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C:\Users\kiran.kumar\Downloads\"/>
    </mc:Choice>
  </mc:AlternateContent>
  <xr:revisionPtr revIDLastSave="0" documentId="13_ncr:1_{746B505D-3B6B-4CD6-97D5-7CA42C09CA1A}" xr6:coauthVersionLast="47" xr6:coauthVersionMax="47" xr10:uidLastSave="{00000000-0000-0000-0000-000000000000}"/>
  <bookViews>
    <workbookView xWindow="-110" yWindow="-110" windowWidth="19420" windowHeight="10300" xr2:uid="{00000000-000D-0000-FFFF-FFFF00000000}"/>
  </bookViews>
  <sheets>
    <sheet name="O2Summary" sheetId="9" r:id="rId1"/>
    <sheet name="AnnualKPI" sheetId="8" r:id="rId2"/>
    <sheet name="MonthlyKPI" sheetId="7" r:id="rId3"/>
    <sheet name="Analytics" sheetId="25" r:id="rId4"/>
    <sheet name="Daily KPI" sheetId="28" r:id="rId5"/>
    <sheet name="Input_Raw" sheetId="20" r:id="rId6"/>
    <sheet name="WTG_BD" sheetId="17" r:id="rId7"/>
    <sheet name="WTG Reactive Power" sheetId="29" r:id="rId8"/>
    <sheet name="IGA_BD" sheetId="23" r:id="rId9"/>
    <sheet name="Grid_BD" sheetId="24" r:id="rId10"/>
    <sheet name="PM" sheetId="26" r:id="rId11"/>
    <sheet name="Modelling New" sheetId="27" state="hidden" r:id="rId12"/>
    <sheet name="Basic Data" sheetId="22" state="hidden" r:id="rId13"/>
  </sheets>
  <externalReferences>
    <externalReference r:id="rId14"/>
  </externalReferences>
  <calcPr calcId="191029"/>
  <pivotCaches>
    <pivotCache cacheId="1"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76" i="23" l="1"/>
  <c r="Q176" i="23"/>
  <c r="P176" i="23"/>
  <c r="DF117" i="20"/>
  <c r="DD117" i="20"/>
  <c r="T622" i="17"/>
  <c r="S621" i="17"/>
  <c r="S622" i="17"/>
  <c r="W610" i="17"/>
  <c r="W611" i="17"/>
  <c r="W612" i="17"/>
  <c r="W613" i="17"/>
  <c r="W614" i="17"/>
  <c r="W615" i="17"/>
  <c r="W616" i="17"/>
  <c r="W617" i="17"/>
  <c r="W618" i="17"/>
  <c r="W619" i="17"/>
  <c r="W620" i="17"/>
  <c r="W621" i="17"/>
  <c r="W622" i="17"/>
  <c r="T611" i="17"/>
  <c r="T612" i="17"/>
  <c r="T613" i="17"/>
  <c r="T614" i="17"/>
  <c r="T615" i="17"/>
  <c r="T616" i="17"/>
  <c r="T617" i="17"/>
  <c r="T618" i="17"/>
  <c r="T619" i="17"/>
  <c r="T620" i="17"/>
  <c r="T621" i="17"/>
  <c r="S611" i="17"/>
  <c r="S612" i="17"/>
  <c r="S613" i="17"/>
  <c r="S614" i="17"/>
  <c r="S615" i="17"/>
  <c r="S616" i="17"/>
  <c r="S617" i="17"/>
  <c r="S618" i="17"/>
  <c r="S619" i="17"/>
  <c r="S620" i="17"/>
  <c r="R611" i="17"/>
  <c r="R612" i="17"/>
  <c r="R613" i="17"/>
  <c r="R614" i="17"/>
  <c r="R615" i="17"/>
  <c r="R616" i="17"/>
  <c r="R617" i="17"/>
  <c r="R618" i="17"/>
  <c r="R619" i="17"/>
  <c r="R620" i="17"/>
  <c r="R621" i="17"/>
  <c r="R622" i="17"/>
  <c r="L622" i="17"/>
  <c r="L621" i="17"/>
  <c r="L620" i="17"/>
  <c r="L619" i="17"/>
  <c r="L618" i="17"/>
  <c r="L617" i="17"/>
  <c r="L616" i="17"/>
  <c r="L615" i="17"/>
  <c r="L614" i="17"/>
  <c r="L613" i="17"/>
  <c r="L612" i="17"/>
  <c r="L611" i="17"/>
  <c r="J611" i="17"/>
  <c r="J612" i="17"/>
  <c r="J613" i="17"/>
  <c r="J614" i="17"/>
  <c r="J615" i="17"/>
  <c r="J616" i="17"/>
  <c r="J617" i="17"/>
  <c r="J618" i="17"/>
  <c r="J619" i="17"/>
  <c r="J620" i="17"/>
  <c r="J621" i="17"/>
  <c r="J622" i="17"/>
  <c r="I611" i="17"/>
  <c r="I612" i="17"/>
  <c r="I613" i="17"/>
  <c r="I614" i="17"/>
  <c r="I615" i="17"/>
  <c r="I616" i="17"/>
  <c r="I617" i="17"/>
  <c r="I618" i="17"/>
  <c r="I619" i="17"/>
  <c r="I620" i="17"/>
  <c r="I621" i="17"/>
  <c r="I622" i="17"/>
  <c r="H611" i="17"/>
  <c r="H612" i="17"/>
  <c r="H613" i="17"/>
  <c r="H614" i="17"/>
  <c r="H615" i="17"/>
  <c r="H616" i="17"/>
  <c r="H617" i="17"/>
  <c r="H618" i="17"/>
  <c r="H619" i="17"/>
  <c r="H620" i="17"/>
  <c r="H621" i="17"/>
  <c r="H622" i="17"/>
  <c r="B611" i="17"/>
  <c r="B612" i="17"/>
  <c r="B613" i="17"/>
  <c r="B614" i="17"/>
  <c r="B615" i="17"/>
  <c r="B616" i="17"/>
  <c r="B617" i="17"/>
  <c r="B618" i="17"/>
  <c r="B619" i="17"/>
  <c r="B620" i="17"/>
  <c r="B621" i="17"/>
  <c r="B622" i="17"/>
  <c r="A611" i="17"/>
  <c r="A612" i="17" s="1"/>
  <c r="A613" i="17" s="1"/>
  <c r="A614" i="17" s="1"/>
  <c r="A615" i="17" s="1"/>
  <c r="A616" i="17" s="1"/>
  <c r="A617" i="17" s="1"/>
  <c r="A618" i="17" s="1"/>
  <c r="A619" i="17" s="1"/>
  <c r="A620" i="17" s="1"/>
  <c r="A621" i="17" s="1"/>
  <c r="A622" i="17" s="1"/>
  <c r="A176" i="23" l="1"/>
  <c r="W609" i="17"/>
  <c r="T609" i="17"/>
  <c r="T610" i="17"/>
  <c r="S609" i="17"/>
  <c r="S610" i="17"/>
  <c r="R609" i="17"/>
  <c r="R610" i="17"/>
  <c r="S608" i="17"/>
  <c r="L609" i="17"/>
  <c r="L610" i="17"/>
  <c r="J609" i="17"/>
  <c r="J610" i="17"/>
  <c r="I609" i="17"/>
  <c r="I610" i="17"/>
  <c r="H609" i="17"/>
  <c r="H610" i="17"/>
  <c r="B609" i="17"/>
  <c r="B610" i="17"/>
  <c r="A609" i="17"/>
  <c r="A610" i="17"/>
  <c r="DF116" i="20"/>
  <c r="DD116" i="20"/>
  <c r="A608" i="17" l="1"/>
  <c r="B608" i="17"/>
  <c r="W608" i="17"/>
  <c r="R608" i="17"/>
  <c r="T608" i="17"/>
  <c r="L608" i="17"/>
  <c r="H608" i="17"/>
  <c r="I608" i="17"/>
  <c r="J608" i="17"/>
  <c r="CQ115" i="20" l="1"/>
  <c r="CP115" i="20"/>
  <c r="T168" i="23"/>
  <c r="T169" i="23"/>
  <c r="T170" i="23"/>
  <c r="T171" i="23"/>
  <c r="T172" i="23"/>
  <c r="T173" i="23"/>
  <c r="T174" i="23"/>
  <c r="T175" i="23"/>
  <c r="Q169" i="23"/>
  <c r="Q170" i="23"/>
  <c r="Q171" i="23"/>
  <c r="Q172" i="23"/>
  <c r="Q173" i="23"/>
  <c r="Q174" i="23"/>
  <c r="Q175" i="23"/>
  <c r="P169" i="23"/>
  <c r="P170" i="23"/>
  <c r="P171" i="23"/>
  <c r="P172" i="23"/>
  <c r="P173" i="23"/>
  <c r="P174" i="23"/>
  <c r="P175" i="23"/>
  <c r="DF115" i="20"/>
  <c r="DD115" i="20"/>
  <c r="CR116" i="20" l="1"/>
  <c r="CR115" i="20"/>
  <c r="CR112" i="20"/>
  <c r="CR113" i="20"/>
  <c r="CR114" i="20"/>
  <c r="I168" i="23"/>
  <c r="H168" i="23"/>
  <c r="J168" i="23"/>
  <c r="E168" i="23"/>
  <c r="E169" i="23"/>
  <c r="E170" i="23"/>
  <c r="E171" i="23"/>
  <c r="E172" i="23"/>
  <c r="E173" i="23"/>
  <c r="E174" i="23"/>
  <c r="E175" i="23"/>
  <c r="A168" i="23"/>
  <c r="A169" i="23"/>
  <c r="A170" i="23" s="1"/>
  <c r="A171" i="23" s="1"/>
  <c r="A172" i="23" s="1"/>
  <c r="A173" i="23" s="1"/>
  <c r="A174" i="23" s="1"/>
  <c r="A175" i="23" s="1"/>
  <c r="Q168" i="23"/>
  <c r="H181" i="23"/>
  <c r="R604" i="17"/>
  <c r="S604" i="17"/>
  <c r="T604" i="17"/>
  <c r="R605" i="17"/>
  <c r="S605" i="17"/>
  <c r="T605" i="17"/>
  <c r="W605" i="17" s="1"/>
  <c r="R606" i="17"/>
  <c r="S606" i="17"/>
  <c r="T606" i="17"/>
  <c r="R607" i="17"/>
  <c r="S607" i="17"/>
  <c r="T607" i="17"/>
  <c r="W607" i="17" s="1"/>
  <c r="L599" i="17"/>
  <c r="L600" i="17"/>
  <c r="L601" i="17"/>
  <c r="L602" i="17"/>
  <c r="L603" i="17"/>
  <c r="L604" i="17"/>
  <c r="L605" i="17"/>
  <c r="L606" i="17"/>
  <c r="L607" i="17"/>
  <c r="H605" i="17"/>
  <c r="I605" i="17"/>
  <c r="J605" i="17"/>
  <c r="H606" i="17"/>
  <c r="I606" i="17"/>
  <c r="J606" i="17"/>
  <c r="W606" i="17" s="1"/>
  <c r="H607" i="17"/>
  <c r="I607" i="17"/>
  <c r="J607" i="17"/>
  <c r="A605" i="17"/>
  <c r="A606" i="17" s="1"/>
  <c r="A607" i="17" s="1"/>
  <c r="B605" i="17"/>
  <c r="B606" i="17"/>
  <c r="B607" i="17"/>
  <c r="T167" i="23" l="1"/>
  <c r="A167" i="23"/>
  <c r="W595" i="17" l="1"/>
  <c r="W596" i="17"/>
  <c r="T596" i="17"/>
  <c r="T597" i="17"/>
  <c r="W597" i="17" s="1"/>
  <c r="T598" i="17"/>
  <c r="W598" i="17" s="1"/>
  <c r="T599" i="17"/>
  <c r="W599" i="17" s="1"/>
  <c r="T600" i="17"/>
  <c r="W600" i="17" s="1"/>
  <c r="T601" i="17"/>
  <c r="W601" i="17" s="1"/>
  <c r="T602" i="17"/>
  <c r="W602" i="17" s="1"/>
  <c r="T603" i="17"/>
  <c r="W603" i="17" s="1"/>
  <c r="S596" i="17"/>
  <c r="S597" i="17"/>
  <c r="S598" i="17"/>
  <c r="S599" i="17"/>
  <c r="S600" i="17"/>
  <c r="S601" i="17"/>
  <c r="S602" i="17"/>
  <c r="S603" i="17"/>
  <c r="R597" i="17"/>
  <c r="R598" i="17"/>
  <c r="R599" i="17"/>
  <c r="R600" i="17"/>
  <c r="R601" i="17"/>
  <c r="R602" i="17"/>
  <c r="R603" i="17"/>
  <c r="L596" i="17"/>
  <c r="L597" i="17"/>
  <c r="L598" i="17"/>
  <c r="J596" i="17"/>
  <c r="J597" i="17"/>
  <c r="J598" i="17"/>
  <c r="J599" i="17"/>
  <c r="J600" i="17"/>
  <c r="J601" i="17"/>
  <c r="J602" i="17"/>
  <c r="J603" i="17"/>
  <c r="J604" i="17"/>
  <c r="W604" i="17" s="1"/>
  <c r="I596" i="17"/>
  <c r="I597" i="17"/>
  <c r="I598" i="17"/>
  <c r="I599" i="17"/>
  <c r="I600" i="17"/>
  <c r="I601" i="17"/>
  <c r="I602" i="17"/>
  <c r="I603" i="17"/>
  <c r="I604" i="17"/>
  <c r="H596" i="17"/>
  <c r="H597" i="17"/>
  <c r="H598" i="17"/>
  <c r="H599" i="17"/>
  <c r="H600" i="17"/>
  <c r="H601" i="17"/>
  <c r="H602" i="17"/>
  <c r="H603" i="17"/>
  <c r="H604" i="17"/>
  <c r="A596" i="17"/>
  <c r="A597" i="17" s="1"/>
  <c r="A598" i="17" s="1"/>
  <c r="A599" i="17" s="1"/>
  <c r="A600" i="17" s="1"/>
  <c r="A601" i="17" s="1"/>
  <c r="A602" i="17" s="1"/>
  <c r="A603" i="17" s="1"/>
  <c r="A604" i="17" s="1"/>
  <c r="B596" i="17"/>
  <c r="B597" i="17"/>
  <c r="B598" i="17"/>
  <c r="B599" i="17"/>
  <c r="B600" i="17"/>
  <c r="B601" i="17"/>
  <c r="B602" i="17"/>
  <c r="B603" i="17"/>
  <c r="B604" i="17"/>
  <c r="DF112" i="20" l="1"/>
  <c r="DD112" i="20"/>
  <c r="T591" i="17"/>
  <c r="W591" i="17" s="1"/>
  <c r="T592" i="17"/>
  <c r="W592" i="17" s="1"/>
  <c r="T593" i="17"/>
  <c r="W593" i="17" s="1"/>
  <c r="T594" i="17"/>
  <c r="W594" i="17" s="1"/>
  <c r="T595" i="17"/>
  <c r="S591" i="17"/>
  <c r="S592" i="17"/>
  <c r="S593" i="17"/>
  <c r="S594" i="17"/>
  <c r="S595" i="17"/>
  <c r="R591" i="17"/>
  <c r="R592" i="17"/>
  <c r="R593" i="17"/>
  <c r="R594" i="17"/>
  <c r="R595" i="17"/>
  <c r="R596" i="17"/>
  <c r="L591" i="17"/>
  <c r="L592" i="17"/>
  <c r="L593" i="17"/>
  <c r="L594" i="17"/>
  <c r="L595" i="17"/>
  <c r="J591" i="17"/>
  <c r="J592" i="17"/>
  <c r="J593" i="17"/>
  <c r="J594" i="17"/>
  <c r="J595" i="17"/>
  <c r="I591" i="17"/>
  <c r="I592" i="17"/>
  <c r="I593" i="17"/>
  <c r="I594" i="17"/>
  <c r="I595" i="17"/>
  <c r="H591" i="17"/>
  <c r="H592" i="17"/>
  <c r="H593" i="17"/>
  <c r="H594" i="17"/>
  <c r="H595" i="17"/>
  <c r="A591" i="17"/>
  <c r="A592" i="17" s="1"/>
  <c r="A593" i="17" s="1"/>
  <c r="A594" i="17" s="1"/>
  <c r="A595" i="17" s="1"/>
  <c r="B591" i="17"/>
  <c r="B592" i="17"/>
  <c r="B593" i="17"/>
  <c r="B594" i="17"/>
  <c r="B595" i="17"/>
  <c r="CW112" i="20" l="1"/>
  <c r="CX112" i="20"/>
  <c r="CY110" i="20"/>
  <c r="CN111" i="20" l="1"/>
  <c r="R580" i="17" l="1"/>
  <c r="S580" i="17"/>
  <c r="T580" i="17"/>
  <c r="R581" i="17"/>
  <c r="S581" i="17"/>
  <c r="T581" i="17"/>
  <c r="R582" i="17"/>
  <c r="S582" i="17"/>
  <c r="T582" i="17"/>
  <c r="R583" i="17"/>
  <c r="S583" i="17"/>
  <c r="T583" i="17"/>
  <c r="R584" i="17"/>
  <c r="S584" i="17"/>
  <c r="T584" i="17"/>
  <c r="W584" i="17" s="1"/>
  <c r="R585" i="17"/>
  <c r="S585" i="17"/>
  <c r="T585" i="17"/>
  <c r="W585" i="17" s="1"/>
  <c r="R586" i="17"/>
  <c r="S586" i="17"/>
  <c r="T586" i="17"/>
  <c r="W586" i="17" s="1"/>
  <c r="R587" i="17"/>
  <c r="S587" i="17"/>
  <c r="T587" i="17"/>
  <c r="W587" i="17" s="1"/>
  <c r="R588" i="17"/>
  <c r="S588" i="17"/>
  <c r="T588" i="17"/>
  <c r="W588" i="17" s="1"/>
  <c r="R589" i="17"/>
  <c r="S589" i="17"/>
  <c r="T589" i="17"/>
  <c r="W589" i="17" s="1"/>
  <c r="R590" i="17"/>
  <c r="S590" i="17"/>
  <c r="T590" i="17"/>
  <c r="W590" i="17" s="1"/>
  <c r="L584" i="17"/>
  <c r="L585" i="17"/>
  <c r="L586" i="17"/>
  <c r="L587" i="17"/>
  <c r="L588" i="17"/>
  <c r="L589" i="17"/>
  <c r="L590" i="17"/>
  <c r="A584" i="17"/>
  <c r="A585" i="17" s="1"/>
  <c r="A586" i="17" s="1"/>
  <c r="A587" i="17" s="1"/>
  <c r="A588" i="17" s="1"/>
  <c r="A589" i="17" s="1"/>
  <c r="A590" i="17" s="1"/>
  <c r="B584" i="17"/>
  <c r="B585" i="17"/>
  <c r="B586" i="17"/>
  <c r="B587" i="17"/>
  <c r="B588" i="17"/>
  <c r="B589" i="17"/>
  <c r="B590" i="17"/>
  <c r="H584" i="17"/>
  <c r="I584" i="17"/>
  <c r="J584" i="17"/>
  <c r="H585" i="17"/>
  <c r="I585" i="17"/>
  <c r="J585" i="17"/>
  <c r="H586" i="17"/>
  <c r="I586" i="17"/>
  <c r="J586" i="17"/>
  <c r="H587" i="17"/>
  <c r="I587" i="17"/>
  <c r="J587" i="17"/>
  <c r="H588" i="17"/>
  <c r="I588" i="17"/>
  <c r="J588" i="17"/>
  <c r="H589" i="17"/>
  <c r="I589" i="17"/>
  <c r="J589" i="17"/>
  <c r="H590" i="17"/>
  <c r="I590" i="17"/>
  <c r="J590" i="17"/>
  <c r="Q166" i="23" l="1"/>
  <c r="T166" i="23" s="1"/>
  <c r="DC110" i="20"/>
  <c r="T159" i="23"/>
  <c r="T160" i="23"/>
  <c r="T161" i="23"/>
  <c r="T162" i="23"/>
  <c r="T163" i="23"/>
  <c r="T164" i="23"/>
  <c r="Q160" i="23"/>
  <c r="Q161" i="23"/>
  <c r="Q162" i="23"/>
  <c r="Q163" i="23"/>
  <c r="Q164" i="23"/>
  <c r="Q165" i="23"/>
  <c r="P160" i="23"/>
  <c r="P161" i="23"/>
  <c r="P162" i="23"/>
  <c r="P163" i="23"/>
  <c r="P164" i="23"/>
  <c r="P165" i="23"/>
  <c r="A160" i="23"/>
  <c r="A161" i="23" s="1"/>
  <c r="A162" i="23" s="1"/>
  <c r="A163" i="23" s="1"/>
  <c r="A164" i="23" s="1"/>
  <c r="A165" i="23" s="1"/>
  <c r="A166" i="23" s="1"/>
  <c r="Q159" i="23"/>
  <c r="P159" i="23"/>
  <c r="E159" i="23"/>
  <c r="A159" i="23"/>
  <c r="R579" i="17"/>
  <c r="S579" i="17"/>
  <c r="T579" i="17"/>
  <c r="A582" i="17"/>
  <c r="B582" i="17"/>
  <c r="A583" i="17"/>
  <c r="B583" i="17"/>
  <c r="L582" i="17"/>
  <c r="L583" i="17"/>
  <c r="H582" i="17"/>
  <c r="I582" i="17"/>
  <c r="J582" i="17"/>
  <c r="W582" i="17" s="1"/>
  <c r="H583" i="17"/>
  <c r="I583" i="17"/>
  <c r="J583" i="17"/>
  <c r="W583" i="17" s="1"/>
  <c r="T158" i="23" l="1"/>
  <c r="A158" i="23"/>
  <c r="DF108" i="20"/>
  <c r="DD108" i="20"/>
  <c r="L580" i="17" l="1"/>
  <c r="L581" i="17"/>
  <c r="A580" i="17"/>
  <c r="A581" i="17" s="1"/>
  <c r="B580" i="17"/>
  <c r="B581" i="17"/>
  <c r="H580" i="17"/>
  <c r="I580" i="17"/>
  <c r="J580" i="17"/>
  <c r="W580" i="17" s="1"/>
  <c r="H581" i="17"/>
  <c r="I581" i="17"/>
  <c r="J581" i="17"/>
  <c r="W581" i="17" s="1"/>
  <c r="R578" i="17" l="1"/>
  <c r="S578" i="17"/>
  <c r="T578" i="17"/>
  <c r="W579" i="17"/>
  <c r="A578" i="17"/>
  <c r="A579" i="17" s="1"/>
  <c r="B578" i="17"/>
  <c r="B579" i="17"/>
  <c r="H578" i="17"/>
  <c r="I578" i="17"/>
  <c r="J578" i="17"/>
  <c r="H579" i="17"/>
  <c r="I579" i="17"/>
  <c r="J579" i="17"/>
  <c r="L578" i="17"/>
  <c r="L579" i="17"/>
  <c r="W578" i="17" l="1"/>
  <c r="T577" i="17"/>
  <c r="W577" i="17" s="1"/>
  <c r="S577" i="17"/>
  <c r="S576" i="17"/>
  <c r="R577" i="17"/>
  <c r="L577" i="17"/>
  <c r="J577" i="17"/>
  <c r="I577" i="17"/>
  <c r="H577" i="17"/>
  <c r="B577" i="17"/>
  <c r="A577" i="17"/>
  <c r="DF104" i="20" l="1"/>
  <c r="R572" i="17"/>
  <c r="S572" i="17"/>
  <c r="T572" i="17"/>
  <c r="R573" i="17"/>
  <c r="S573" i="17"/>
  <c r="T573" i="17"/>
  <c r="R574" i="17"/>
  <c r="S574" i="17"/>
  <c r="T574" i="17"/>
  <c r="R575" i="17"/>
  <c r="S575" i="17"/>
  <c r="T575" i="17"/>
  <c r="W575" i="17" s="1"/>
  <c r="R576" i="17"/>
  <c r="T576" i="17"/>
  <c r="W576" i="17" s="1"/>
  <c r="A575" i="17"/>
  <c r="B575" i="17"/>
  <c r="A576" i="17"/>
  <c r="B576" i="17"/>
  <c r="L575" i="17"/>
  <c r="L576" i="17"/>
  <c r="H575" i="17"/>
  <c r="I575" i="17"/>
  <c r="J575" i="17"/>
  <c r="H576" i="17"/>
  <c r="I576" i="17"/>
  <c r="J576" i="17"/>
  <c r="DD103" i="20" l="1"/>
  <c r="DF119" i="20"/>
  <c r="DF120" i="20"/>
  <c r="DF121" i="20"/>
  <c r="DF122" i="20"/>
  <c r="DF123" i="20"/>
  <c r="DF124" i="20"/>
  <c r="DF125" i="20"/>
  <c r="DF126" i="20"/>
  <c r="DF127" i="20"/>
  <c r="DF128" i="20"/>
  <c r="DF129" i="20"/>
  <c r="DF130" i="20"/>
  <c r="DF131" i="20"/>
  <c r="DF132" i="20"/>
  <c r="DF133" i="20"/>
  <c r="DF134" i="20"/>
  <c r="DF135" i="20"/>
  <c r="DF136" i="20"/>
  <c r="DF137" i="20"/>
  <c r="DF138" i="20"/>
  <c r="DF139" i="20"/>
  <c r="DF140" i="20"/>
  <c r="DF141" i="20"/>
  <c r="DF142" i="20"/>
  <c r="DF143" i="20"/>
  <c r="DF144" i="20"/>
  <c r="DF145" i="20"/>
  <c r="DF146" i="20"/>
  <c r="DF147" i="20"/>
  <c r="DF148" i="20"/>
  <c r="DF149" i="20"/>
  <c r="DF150" i="20"/>
  <c r="DF151" i="20"/>
  <c r="DF152" i="20"/>
  <c r="DF153" i="20"/>
  <c r="DF154" i="20"/>
  <c r="DF155" i="20"/>
  <c r="DF156" i="20"/>
  <c r="DF157" i="20"/>
  <c r="DF99" i="20"/>
  <c r="DF100" i="20"/>
  <c r="DF101" i="20"/>
  <c r="DF102" i="20"/>
  <c r="DF103" i="20"/>
  <c r="CF100" i="20"/>
  <c r="CF101" i="20"/>
  <c r="CF102" i="20"/>
  <c r="CF103" i="20"/>
  <c r="CF104" i="20"/>
  <c r="CF105" i="20"/>
  <c r="CF106" i="20"/>
  <c r="CF107" i="20"/>
  <c r="CF108" i="20"/>
  <c r="CF109" i="20"/>
  <c r="CF110" i="20"/>
  <c r="CF111" i="20"/>
  <c r="CF112" i="20"/>
  <c r="CF113" i="20"/>
  <c r="CF114" i="20"/>
  <c r="CF115" i="20"/>
  <c r="CF116" i="20"/>
  <c r="CF117" i="20"/>
  <c r="CF118" i="20"/>
  <c r="CF119" i="20"/>
  <c r="CF120" i="20"/>
  <c r="CF121" i="20"/>
  <c r="CF122" i="20"/>
  <c r="CF123" i="20"/>
  <c r="CF124" i="20"/>
  <c r="CF125" i="20"/>
  <c r="CF126" i="20"/>
  <c r="CF127" i="20"/>
  <c r="CF128" i="20"/>
  <c r="CF129" i="20"/>
  <c r="CF130" i="20"/>
  <c r="CF131" i="20"/>
  <c r="CF132" i="20"/>
  <c r="CF133" i="20"/>
  <c r="CF134" i="20"/>
  <c r="CF135" i="20"/>
  <c r="CF136" i="20"/>
  <c r="CF137" i="20"/>
  <c r="CF138" i="20"/>
  <c r="CF139" i="20"/>
  <c r="CF140" i="20"/>
  <c r="CF141" i="20"/>
  <c r="CF142" i="20"/>
  <c r="CF143" i="20"/>
  <c r="CF144" i="20"/>
  <c r="CF145" i="20"/>
  <c r="CF146" i="20"/>
  <c r="CF147" i="20"/>
  <c r="CF148" i="20"/>
  <c r="CF149" i="20"/>
  <c r="CF150" i="20"/>
  <c r="CF151" i="20"/>
  <c r="CF152" i="20"/>
  <c r="CF153" i="20"/>
  <c r="CF154" i="20"/>
  <c r="CF155" i="20"/>
  <c r="CF156" i="20"/>
  <c r="CF157" i="20"/>
  <c r="T157" i="23"/>
  <c r="A157" i="23"/>
  <c r="L569" i="17" l="1"/>
  <c r="L570" i="17"/>
  <c r="L571" i="17"/>
  <c r="L572" i="17"/>
  <c r="L573" i="17"/>
  <c r="L574" i="17"/>
  <c r="H574" i="17"/>
  <c r="I574" i="17"/>
  <c r="J574" i="17"/>
  <c r="W574" i="17" s="1"/>
  <c r="E574" i="17"/>
  <c r="B574" i="17"/>
  <c r="A574" i="17"/>
  <c r="CG96" i="20"/>
  <c r="CG97" i="20"/>
  <c r="CG98" i="20"/>
  <c r="CG99" i="20"/>
  <c r="CG100" i="20"/>
  <c r="X2" i="28"/>
  <c r="X3" i="28"/>
  <c r="X4" i="28"/>
  <c r="X5" i="28"/>
  <c r="X6" i="28"/>
  <c r="X7" i="28"/>
  <c r="X8" i="28"/>
  <c r="X9" i="28"/>
  <c r="X10" i="28"/>
  <c r="X11" i="28"/>
  <c r="X12" i="28"/>
  <c r="X13" i="28"/>
  <c r="X14" i="28"/>
  <c r="X15" i="28"/>
  <c r="X16" i="28"/>
  <c r="X17" i="28"/>
  <c r="X18" i="28"/>
  <c r="X19" i="28"/>
  <c r="X20" i="28"/>
  <c r="X21" i="28"/>
  <c r="X22" i="28"/>
  <c r="X23" i="28"/>
  <c r="X24" i="28"/>
  <c r="X25" i="28"/>
  <c r="X26" i="28"/>
  <c r="X27" i="28"/>
  <c r="X28" i="28"/>
  <c r="X29" i="28"/>
  <c r="X30" i="28"/>
  <c r="X31" i="28"/>
  <c r="X32" i="28"/>
  <c r="X33" i="28"/>
  <c r="X34" i="28"/>
  <c r="X35" i="28"/>
  <c r="X36" i="28"/>
  <c r="X37" i="28"/>
  <c r="X38" i="28"/>
  <c r="X39" i="28"/>
  <c r="X40" i="28"/>
  <c r="X41" i="28"/>
  <c r="X42" i="28"/>
  <c r="X43" i="28"/>
  <c r="X44" i="28"/>
  <c r="X45" i="28"/>
  <c r="X46" i="28"/>
  <c r="X47" i="28"/>
  <c r="X48" i="28"/>
  <c r="X49" i="28"/>
  <c r="X50" i="28"/>
  <c r="X51" i="28"/>
  <c r="X52" i="28"/>
  <c r="X53" i="28"/>
  <c r="X54" i="28"/>
  <c r="X55" i="28"/>
  <c r="X56" i="28"/>
  <c r="X57" i="28"/>
  <c r="X58" i="28"/>
  <c r="X59" i="28"/>
  <c r="X60" i="28"/>
  <c r="X61" i="28"/>
  <c r="X62" i="28"/>
  <c r="X63" i="28"/>
  <c r="X64" i="28"/>
  <c r="X65" i="28"/>
  <c r="X66" i="28"/>
  <c r="X67" i="28"/>
  <c r="X68" i="28"/>
  <c r="X69" i="28"/>
  <c r="X70" i="28"/>
  <c r="X71" i="28"/>
  <c r="X72" i="28"/>
  <c r="X73" i="28"/>
  <c r="X74" i="28"/>
  <c r="X75" i="28"/>
  <c r="X76" i="28"/>
  <c r="X77" i="28"/>
  <c r="X78" i="28"/>
  <c r="X79" i="28"/>
  <c r="X80" i="28"/>
  <c r="X81" i="28"/>
  <c r="X82" i="28"/>
  <c r="X83" i="28"/>
  <c r="X84" i="28"/>
  <c r="X85" i="28"/>
  <c r="X86" i="28"/>
  <c r="X87" i="28"/>
  <c r="X88" i="28"/>
  <c r="X89" i="28"/>
  <c r="X90" i="28"/>
  <c r="X91" i="28"/>
  <c r="X92" i="28"/>
  <c r="X155" i="28"/>
  <c r="X156" i="28"/>
  <c r="X157" i="28"/>
  <c r="X158" i="28"/>
  <c r="X159" i="28"/>
  <c r="X160" i="28"/>
  <c r="X161" i="28"/>
  <c r="X162" i="28"/>
  <c r="X163" i="28"/>
  <c r="X164" i="28"/>
  <c r="X165" i="28"/>
  <c r="X166" i="28"/>
  <c r="X167" i="28"/>
  <c r="X168" i="28"/>
  <c r="X169" i="28"/>
  <c r="X170" i="28"/>
  <c r="X171" i="28"/>
  <c r="X172" i="28"/>
  <c r="X173" i="28"/>
  <c r="X174" i="28"/>
  <c r="X175" i="28"/>
  <c r="X176" i="28"/>
  <c r="X177" i="28"/>
  <c r="X178" i="28"/>
  <c r="X179" i="28"/>
  <c r="X180" i="28"/>
  <c r="X181" i="28"/>
  <c r="X182" i="28"/>
  <c r="X183" i="28"/>
  <c r="X184" i="28"/>
  <c r="X185" i="28"/>
  <c r="X186" i="28"/>
  <c r="X187" i="28"/>
  <c r="X188" i="28"/>
  <c r="X189" i="28"/>
  <c r="X190" i="28"/>
  <c r="X191" i="28"/>
  <c r="X192" i="28"/>
  <c r="X193" i="28"/>
  <c r="X194" i="28"/>
  <c r="X195" i="28"/>
  <c r="X196" i="28"/>
  <c r="X197" i="28"/>
  <c r="X198" i="28"/>
  <c r="X199" i="28"/>
  <c r="X200" i="28"/>
  <c r="X201" i="28"/>
  <c r="X202" i="28"/>
  <c r="X203" i="28"/>
  <c r="X204" i="28"/>
  <c r="X205" i="28"/>
  <c r="X206" i="28"/>
  <c r="X207" i="28"/>
  <c r="X208" i="28"/>
  <c r="X209" i="28"/>
  <c r="X210" i="28"/>
  <c r="X211" i="28"/>
  <c r="X212" i="28"/>
  <c r="X213" i="28"/>
  <c r="X214" i="28"/>
  <c r="X215" i="28"/>
  <c r="X216" i="28"/>
  <c r="X217" i="28"/>
  <c r="X218" i="28"/>
  <c r="X219" i="28"/>
  <c r="X220" i="28"/>
  <c r="X221" i="28"/>
  <c r="X222" i="28"/>
  <c r="X223" i="28"/>
  <c r="X224" i="28"/>
  <c r="X225" i="28"/>
  <c r="X226" i="28"/>
  <c r="X227" i="28"/>
  <c r="X228" i="28"/>
  <c r="X229" i="28"/>
  <c r="X230" i="28"/>
  <c r="X231" i="28"/>
  <c r="X232" i="28"/>
  <c r="X233" i="28"/>
  <c r="X234" i="28"/>
  <c r="X235" i="28"/>
  <c r="X236" i="28"/>
  <c r="X237" i="28"/>
  <c r="X238" i="28"/>
  <c r="X239" i="28"/>
  <c r="X240" i="28"/>
  <c r="X241" i="28"/>
  <c r="X242" i="28"/>
  <c r="X243" i="28"/>
  <c r="X244" i="28"/>
  <c r="X245" i="28"/>
  <c r="X246" i="28"/>
  <c r="X247" i="28"/>
  <c r="X248" i="28"/>
  <c r="X249" i="28"/>
  <c r="X250" i="28"/>
  <c r="X251" i="28"/>
  <c r="X252" i="28"/>
  <c r="X253" i="28"/>
  <c r="X254" i="28"/>
  <c r="X255" i="28"/>
  <c r="X256" i="28"/>
  <c r="X257" i="28"/>
  <c r="X258" i="28"/>
  <c r="X259" i="28"/>
  <c r="X260" i="28"/>
  <c r="X261" i="28"/>
  <c r="X262" i="28"/>
  <c r="X263" i="28"/>
  <c r="X264" i="28"/>
  <c r="X265" i="28"/>
  <c r="X266" i="28"/>
  <c r="X267" i="28"/>
  <c r="X268" i="28"/>
  <c r="X269" i="28"/>
  <c r="X270" i="28"/>
  <c r="X271" i="28"/>
  <c r="X272" i="28"/>
  <c r="X273" i="28"/>
  <c r="X274" i="28"/>
  <c r="X275" i="28"/>
  <c r="X276" i="28"/>
  <c r="X277" i="28"/>
  <c r="X278" i="28"/>
  <c r="X279" i="28"/>
  <c r="X280" i="28"/>
  <c r="X281" i="28"/>
  <c r="X282" i="28"/>
  <c r="X283" i="28"/>
  <c r="X284" i="28"/>
  <c r="X285" i="28"/>
  <c r="X286" i="28"/>
  <c r="X287" i="28"/>
  <c r="X288" i="28"/>
  <c r="X289" i="28"/>
  <c r="X290" i="28"/>
  <c r="X291" i="28"/>
  <c r="X292" i="28"/>
  <c r="X293" i="28"/>
  <c r="X294" i="28"/>
  <c r="X295" i="28"/>
  <c r="X296" i="28"/>
  <c r="X297" i="28"/>
  <c r="X298" i="28"/>
  <c r="X299" i="28"/>
  <c r="X300" i="28"/>
  <c r="X301" i="28"/>
  <c r="X302" i="28"/>
  <c r="X303" i="28"/>
  <c r="X304" i="28"/>
  <c r="X305" i="28"/>
  <c r="X306" i="28"/>
  <c r="X307" i="28"/>
  <c r="X308" i="28"/>
  <c r="X309" i="28"/>
  <c r="X310" i="28"/>
  <c r="X311" i="28"/>
  <c r="X312" i="28"/>
  <c r="X313" i="28"/>
  <c r="X314" i="28"/>
  <c r="X315" i="28"/>
  <c r="X316" i="28"/>
  <c r="X317" i="28"/>
  <c r="X318" i="28"/>
  <c r="X319" i="28"/>
  <c r="X320" i="28"/>
  <c r="X321" i="28"/>
  <c r="X322" i="28"/>
  <c r="X323" i="28"/>
  <c r="X324" i="28"/>
  <c r="X325" i="28"/>
  <c r="X326" i="28"/>
  <c r="X327" i="28"/>
  <c r="X328" i="28"/>
  <c r="X329" i="28"/>
  <c r="X330" i="28"/>
  <c r="X331" i="28"/>
  <c r="X332" i="28"/>
  <c r="X333" i="28"/>
  <c r="X334" i="28"/>
  <c r="X335" i="28"/>
  <c r="X336" i="28"/>
  <c r="X337" i="28"/>
  <c r="X338" i="28"/>
  <c r="X339" i="28"/>
  <c r="X340" i="28"/>
  <c r="X341" i="28"/>
  <c r="X342" i="28"/>
  <c r="X343" i="28"/>
  <c r="X344" i="28"/>
  <c r="X345" i="28"/>
  <c r="X346" i="28"/>
  <c r="X347" i="28"/>
  <c r="X348" i="28"/>
  <c r="X349" i="28"/>
  <c r="X350" i="28"/>
  <c r="X351" i="28"/>
  <c r="X352" i="28"/>
  <c r="X353" i="28"/>
  <c r="X354" i="28"/>
  <c r="X355" i="28"/>
  <c r="X356" i="28"/>
  <c r="X357" i="28"/>
  <c r="X358" i="28"/>
  <c r="X359" i="28"/>
  <c r="X360" i="28"/>
  <c r="X361" i="28"/>
  <c r="X362" i="28"/>
  <c r="X363" i="28"/>
  <c r="X364" i="28"/>
  <c r="X365" i="28"/>
  <c r="X366" i="28"/>
  <c r="X367" i="28"/>
  <c r="X368" i="28"/>
  <c r="X369" i="28"/>
  <c r="X370" i="28"/>
  <c r="X371" i="28"/>
  <c r="X372" i="28"/>
  <c r="X373" i="28"/>
  <c r="X374" i="28"/>
  <c r="X375" i="28"/>
  <c r="X376" i="28"/>
  <c r="X377" i="28"/>
  <c r="X378" i="28"/>
  <c r="X379" i="28"/>
  <c r="X380" i="28"/>
  <c r="X381" i="28"/>
  <c r="X382" i="28"/>
  <c r="X383" i="28"/>
  <c r="X384" i="28"/>
  <c r="X385" i="28"/>
  <c r="X386" i="28"/>
  <c r="X387" i="28"/>
  <c r="X388" i="28"/>
  <c r="X389" i="28"/>
  <c r="X390" i="28"/>
  <c r="X391" i="28"/>
  <c r="X392" i="28"/>
  <c r="X393" i="28"/>
  <c r="X394" i="28"/>
  <c r="X395" i="28"/>
  <c r="X396" i="28"/>
  <c r="X397" i="28"/>
  <c r="X398" i="28"/>
  <c r="X399" i="28"/>
  <c r="X400" i="28"/>
  <c r="X401" i="28"/>
  <c r="X402" i="28"/>
  <c r="X403" i="28"/>
  <c r="X404" i="28"/>
  <c r="X405" i="28"/>
  <c r="X406" i="28"/>
  <c r="X407" i="28"/>
  <c r="X408" i="28"/>
  <c r="X409" i="28"/>
  <c r="X410" i="28"/>
  <c r="X411" i="28"/>
  <c r="X412" i="28"/>
  <c r="X413" i="28"/>
  <c r="X414" i="28"/>
  <c r="X415" i="28"/>
  <c r="X416" i="28"/>
  <c r="X417" i="28"/>
  <c r="X418" i="28"/>
  <c r="X419" i="28"/>
  <c r="X420" i="28"/>
  <c r="X421" i="28"/>
  <c r="X422" i="28"/>
  <c r="X423" i="28"/>
  <c r="X424" i="28"/>
  <c r="X425" i="28"/>
  <c r="X426" i="28"/>
  <c r="X427" i="28"/>
  <c r="X428" i="28"/>
  <c r="X429" i="28"/>
  <c r="X430" i="28"/>
  <c r="X431" i="28"/>
  <c r="X432" i="28"/>
  <c r="X433" i="28"/>
  <c r="X434" i="28"/>
  <c r="X435" i="28"/>
  <c r="X436" i="28"/>
  <c r="X437" i="28"/>
  <c r="X438" i="28"/>
  <c r="X439" i="28"/>
  <c r="X440" i="28"/>
  <c r="X441" i="28"/>
  <c r="X442" i="28"/>
  <c r="X443" i="28"/>
  <c r="X444" i="28"/>
  <c r="X445" i="28"/>
  <c r="X446" i="28"/>
  <c r="X447" i="28"/>
  <c r="X448" i="28"/>
  <c r="X449" i="28"/>
  <c r="X450" i="28"/>
  <c r="X451" i="28"/>
  <c r="X452" i="28"/>
  <c r="X453" i="28"/>
  <c r="X454" i="28"/>
  <c r="X455" i="28"/>
  <c r="X456" i="28"/>
  <c r="X457" i="28"/>
  <c r="X458" i="28"/>
  <c r="X459" i="28"/>
  <c r="X460" i="28"/>
  <c r="X461" i="28"/>
  <c r="X462" i="28"/>
  <c r="X463" i="28"/>
  <c r="X464" i="28"/>
  <c r="X465" i="28"/>
  <c r="X466" i="28"/>
  <c r="X467" i="28"/>
  <c r="X468" i="28"/>
  <c r="X469" i="28"/>
  <c r="X470" i="28"/>
  <c r="X471" i="28"/>
  <c r="X472" i="28"/>
  <c r="X473" i="28"/>
  <c r="X474" i="28"/>
  <c r="X475" i="28"/>
  <c r="X476" i="28"/>
  <c r="X477" i="28"/>
  <c r="X478" i="28"/>
  <c r="X479" i="28"/>
  <c r="X480" i="28"/>
  <c r="X481" i="28"/>
  <c r="X482" i="28"/>
  <c r="X483" i="28"/>
  <c r="X484" i="28"/>
  <c r="X485" i="28"/>
  <c r="X486" i="28"/>
  <c r="X487" i="28"/>
  <c r="X488" i="28"/>
  <c r="X489" i="28"/>
  <c r="X490" i="28"/>
  <c r="X491" i="28"/>
  <c r="X492" i="28"/>
  <c r="X493" i="28"/>
  <c r="X494" i="28"/>
  <c r="X495" i="28"/>
  <c r="X496" i="28"/>
  <c r="X497" i="28"/>
  <c r="X498" i="28"/>
  <c r="X499" i="28"/>
  <c r="X500" i="28"/>
  <c r="X501" i="28"/>
  <c r="X502" i="28"/>
  <c r="X503" i="28"/>
  <c r="X504" i="28"/>
  <c r="X505" i="28"/>
  <c r="X506" i="28"/>
  <c r="X507" i="28"/>
  <c r="X508" i="28"/>
  <c r="X509" i="28"/>
  <c r="X510" i="28"/>
  <c r="X511" i="28"/>
  <c r="X512" i="28"/>
  <c r="X513" i="28"/>
  <c r="X514" i="28"/>
  <c r="X515" i="28"/>
  <c r="X516" i="28"/>
  <c r="X517" i="28"/>
  <c r="X518" i="28"/>
  <c r="X519" i="28"/>
  <c r="X520" i="28"/>
  <c r="X521" i="28"/>
  <c r="X522" i="28"/>
  <c r="X523" i="28"/>
  <c r="X524" i="28"/>
  <c r="X525" i="28"/>
  <c r="X526" i="28"/>
  <c r="X527" i="28"/>
  <c r="X528" i="28"/>
  <c r="X529" i="28"/>
  <c r="X530" i="28"/>
  <c r="X531" i="28"/>
  <c r="X532" i="28"/>
  <c r="X533" i="28"/>
  <c r="X534" i="28"/>
  <c r="X535" i="28"/>
  <c r="X536" i="28"/>
  <c r="X537" i="28"/>
  <c r="X538" i="28"/>
  <c r="X539" i="28"/>
  <c r="X540" i="28"/>
  <c r="X541" i="28"/>
  <c r="X542" i="28"/>
  <c r="X543" i="28"/>
  <c r="X544" i="28"/>
  <c r="X545" i="28"/>
  <c r="X546" i="28"/>
  <c r="X547" i="28"/>
  <c r="X548" i="28"/>
  <c r="X549" i="28"/>
  <c r="X550" i="28"/>
  <c r="X551" i="28"/>
  <c r="X552" i="28"/>
  <c r="X553" i="28"/>
  <c r="X554" i="28"/>
  <c r="X555" i="28"/>
  <c r="X556" i="28"/>
  <c r="X557" i="28"/>
  <c r="X558" i="28"/>
  <c r="X559" i="28"/>
  <c r="X560" i="28"/>
  <c r="X561" i="28"/>
  <c r="X562" i="28"/>
  <c r="X563" i="28"/>
  <c r="X564" i="28"/>
  <c r="X565" i="28"/>
  <c r="X566" i="28"/>
  <c r="X567" i="28"/>
  <c r="X568" i="28"/>
  <c r="X569" i="28"/>
  <c r="X570" i="28"/>
  <c r="X571" i="28"/>
  <c r="X572" i="28"/>
  <c r="X573" i="28"/>
  <c r="X574" i="28"/>
  <c r="X575" i="28"/>
  <c r="X576" i="28"/>
  <c r="X577" i="28"/>
  <c r="X578" i="28"/>
  <c r="X579" i="28"/>
  <c r="X580" i="28"/>
  <c r="X581" i="28"/>
  <c r="X582" i="28"/>
  <c r="X583" i="28"/>
  <c r="X584" i="28"/>
  <c r="X585" i="28"/>
  <c r="X586" i="28"/>
  <c r="X587" i="28"/>
  <c r="X588" i="28"/>
  <c r="X589" i="28"/>
  <c r="X590" i="28"/>
  <c r="X591" i="28"/>
  <c r="X592" i="28"/>
  <c r="X593" i="28"/>
  <c r="X594" i="28"/>
  <c r="X595" i="28"/>
  <c r="X596" i="28"/>
  <c r="X597" i="28"/>
  <c r="X598" i="28"/>
  <c r="X599" i="28"/>
  <c r="X600" i="28"/>
  <c r="X601" i="28"/>
  <c r="X602" i="28"/>
  <c r="X603" i="28"/>
  <c r="X604" i="28"/>
  <c r="X605" i="28"/>
  <c r="X606" i="28"/>
  <c r="X607" i="28"/>
  <c r="X608" i="28"/>
  <c r="X609" i="28"/>
  <c r="A573" i="17"/>
  <c r="B573" i="17"/>
  <c r="H573" i="17"/>
  <c r="I573" i="17"/>
  <c r="J573" i="17"/>
  <c r="W573" i="17" s="1"/>
  <c r="CF99" i="20" l="1"/>
  <c r="DF98" i="20"/>
  <c r="CF98" i="20"/>
  <c r="DC95" i="20"/>
  <c r="DC96" i="20"/>
  <c r="DC97" i="20"/>
  <c r="T570" i="17"/>
  <c r="T571" i="17"/>
  <c r="S570" i="17"/>
  <c r="S571" i="17"/>
  <c r="R571" i="17"/>
  <c r="J571" i="17"/>
  <c r="W571" i="17" s="1"/>
  <c r="J572" i="17"/>
  <c r="W572" i="17" s="1"/>
  <c r="I571" i="17"/>
  <c r="I572" i="17"/>
  <c r="H571" i="17"/>
  <c r="H572" i="17"/>
  <c r="B571" i="17"/>
  <c r="B572" i="17"/>
  <c r="A571" i="17"/>
  <c r="A572" i="17"/>
  <c r="DF97" i="20"/>
  <c r="Q155" i="23"/>
  <c r="Q156" i="23"/>
  <c r="P155" i="23"/>
  <c r="P156" i="23"/>
  <c r="T156" i="23"/>
  <c r="A156" i="23"/>
  <c r="DF96" i="20"/>
  <c r="A568" i="17" l="1"/>
  <c r="A569" i="17" s="1"/>
  <c r="A570" i="17" s="1"/>
  <c r="B568" i="17"/>
  <c r="B569" i="17"/>
  <c r="B570" i="17"/>
  <c r="R561" i="17"/>
  <c r="S561" i="17"/>
  <c r="T561" i="17"/>
  <c r="R562" i="17"/>
  <c r="S562" i="17"/>
  <c r="T562" i="17"/>
  <c r="R563" i="17"/>
  <c r="S563" i="17"/>
  <c r="T563" i="17"/>
  <c r="R564" i="17"/>
  <c r="S564" i="17"/>
  <c r="T564" i="17"/>
  <c r="R565" i="17"/>
  <c r="S565" i="17"/>
  <c r="T565" i="17"/>
  <c r="R566" i="17"/>
  <c r="S566" i="17"/>
  <c r="T566" i="17"/>
  <c r="R567" i="17"/>
  <c r="S567" i="17"/>
  <c r="T567" i="17"/>
  <c r="R568" i="17"/>
  <c r="S568" i="17"/>
  <c r="T568" i="17"/>
  <c r="R569" i="17"/>
  <c r="S569" i="17"/>
  <c r="T569" i="17"/>
  <c r="R570" i="17"/>
  <c r="W568" i="17"/>
  <c r="H568" i="17"/>
  <c r="I568" i="17"/>
  <c r="J568" i="17"/>
  <c r="H569" i="17"/>
  <c r="I569" i="17"/>
  <c r="J569" i="17"/>
  <c r="W569" i="17" s="1"/>
  <c r="H570" i="17"/>
  <c r="I570" i="17"/>
  <c r="J570" i="17"/>
  <c r="W570" i="17" l="1"/>
  <c r="CF95" i="20"/>
  <c r="CF96" i="20"/>
  <c r="A150" i="23"/>
  <c r="A151" i="23" s="1"/>
  <c r="A152" i="23" s="1"/>
  <c r="A153" i="23" s="1"/>
  <c r="A154" i="23" s="1"/>
  <c r="A155" i="23" s="1"/>
  <c r="T148" i="23"/>
  <c r="T149" i="23"/>
  <c r="T150" i="23"/>
  <c r="T151" i="23"/>
  <c r="T152" i="23"/>
  <c r="T153" i="23"/>
  <c r="T154" i="23"/>
  <c r="T155" i="23"/>
  <c r="A148" i="23"/>
  <c r="A149" i="23" s="1"/>
  <c r="T146" i="23"/>
  <c r="T147" i="23"/>
  <c r="A147" i="23"/>
  <c r="B147" i="23"/>
  <c r="A146" i="23"/>
  <c r="B146" i="23"/>
  <c r="AB92" i="29"/>
  <c r="DH92" i="20"/>
  <c r="DH93" i="20"/>
  <c r="Q144" i="23" l="1"/>
  <c r="Q145" i="23"/>
  <c r="P144" i="23"/>
  <c r="P145" i="23"/>
  <c r="B145" i="23"/>
  <c r="A145" i="23"/>
  <c r="A567" i="17"/>
  <c r="B567" i="17"/>
  <c r="L567" i="17"/>
  <c r="L568" i="17"/>
  <c r="H567" i="17"/>
  <c r="I567" i="17"/>
  <c r="J567" i="17"/>
  <c r="W567" i="17" s="1"/>
  <c r="CO90" i="20" l="1"/>
  <c r="CO91" i="20"/>
  <c r="CO92" i="20"/>
  <c r="CO93" i="20"/>
  <c r="CN91" i="20"/>
  <c r="CN92" i="20"/>
  <c r="CN93" i="20"/>
  <c r="A144" i="23"/>
  <c r="B144" i="23"/>
  <c r="E22" i="24"/>
  <c r="B22" i="24"/>
  <c r="J22" i="24"/>
  <c r="P22" i="24"/>
  <c r="Q22" i="24"/>
  <c r="R22" i="24"/>
  <c r="AA22" i="24"/>
  <c r="E21" i="24"/>
  <c r="J21" i="24"/>
  <c r="P21" i="24"/>
  <c r="Q21" i="24"/>
  <c r="R21" i="24"/>
  <c r="AA21" i="24"/>
  <c r="B21" i="24"/>
  <c r="AB84" i="29"/>
  <c r="AB85" i="29"/>
  <c r="AB86" i="29"/>
  <c r="AB87" i="29"/>
  <c r="AB88" i="29"/>
  <c r="U22" i="24" l="1"/>
  <c r="U21" i="24"/>
  <c r="L565" i="17"/>
  <c r="L566" i="17"/>
  <c r="J565" i="17"/>
  <c r="W565" i="17" s="1"/>
  <c r="J566" i="17"/>
  <c r="W566" i="17" s="1"/>
  <c r="I565" i="17"/>
  <c r="I566" i="17"/>
  <c r="H565" i="17"/>
  <c r="H566" i="17"/>
  <c r="R20" i="24"/>
  <c r="Q20" i="24"/>
  <c r="B20" i="24"/>
  <c r="E20" i="24"/>
  <c r="J20" i="24"/>
  <c r="U20" i="24" s="1"/>
  <c r="P20" i="24"/>
  <c r="AA20" i="24"/>
  <c r="T143" i="23"/>
  <c r="B143" i="23"/>
  <c r="A143" i="23"/>
  <c r="AA2" i="24"/>
  <c r="AA3" i="24"/>
  <c r="AA4" i="24"/>
  <c r="AA5" i="24"/>
  <c r="AA6" i="24"/>
  <c r="AA7" i="24"/>
  <c r="AA8" i="24"/>
  <c r="AA9" i="24"/>
  <c r="AA10" i="24"/>
  <c r="AA11" i="24"/>
  <c r="AA12" i="24"/>
  <c r="AA13" i="24"/>
  <c r="AA14" i="24"/>
  <c r="AA15" i="24"/>
  <c r="AA16" i="24"/>
  <c r="AA17" i="24"/>
  <c r="AA18" i="24"/>
  <c r="AA19" i="24"/>
  <c r="B3" i="24"/>
  <c r="B4" i="24"/>
  <c r="B5" i="24"/>
  <c r="B6" i="24"/>
  <c r="B7" i="24"/>
  <c r="B8" i="24"/>
  <c r="B9" i="24"/>
  <c r="B10" i="24"/>
  <c r="B11" i="24"/>
  <c r="B12" i="24"/>
  <c r="B13" i="24"/>
  <c r="B14" i="24"/>
  <c r="B15" i="24"/>
  <c r="B16" i="24"/>
  <c r="B17" i="24"/>
  <c r="B18" i="24"/>
  <c r="B19" i="24"/>
  <c r="B2" i="24"/>
  <c r="J2" i="24"/>
  <c r="J3" i="24"/>
  <c r="J4" i="24"/>
  <c r="J5" i="24"/>
  <c r="J6" i="24"/>
  <c r="J7" i="24"/>
  <c r="J8" i="24"/>
  <c r="J9" i="24"/>
  <c r="J10" i="24"/>
  <c r="J11" i="24"/>
  <c r="J12" i="24"/>
  <c r="J13" i="24"/>
  <c r="J14" i="24"/>
  <c r="J15" i="24"/>
  <c r="J16" i="24"/>
  <c r="J17" i="24"/>
  <c r="J18" i="24"/>
  <c r="J19" i="24"/>
  <c r="E2" i="24"/>
  <c r="E3" i="24"/>
  <c r="E4" i="24"/>
  <c r="E5" i="24"/>
  <c r="E6" i="24"/>
  <c r="E7" i="24"/>
  <c r="E8" i="24"/>
  <c r="E9" i="24"/>
  <c r="E10" i="24"/>
  <c r="E11" i="24"/>
  <c r="E12" i="24"/>
  <c r="E13" i="24"/>
  <c r="E14" i="24"/>
  <c r="E15" i="24"/>
  <c r="E16" i="24"/>
  <c r="E17" i="24"/>
  <c r="E18" i="24"/>
  <c r="E19" i="24"/>
  <c r="B6" i="23"/>
  <c r="B7" i="23"/>
  <c r="B8" i="23"/>
  <c r="B9" i="23"/>
  <c r="B10" i="23"/>
  <c r="B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5" i="23"/>
  <c r="E5" i="23"/>
  <c r="E6" i="23"/>
  <c r="E7" i="23"/>
  <c r="E8" i="23"/>
  <c r="E9" i="23"/>
  <c r="E10" i="23"/>
  <c r="E11"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60" i="23"/>
  <c r="E161" i="23"/>
  <c r="E162" i="23"/>
  <c r="E163" i="23"/>
  <c r="E164" i="23"/>
  <c r="E165" i="23"/>
  <c r="E166" i="23"/>
  <c r="E167"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212" i="23"/>
  <c r="E213" i="23"/>
  <c r="E214" i="23"/>
  <c r="E215" i="23"/>
  <c r="E216" i="23"/>
  <c r="E217" i="23"/>
  <c r="E218" i="23"/>
  <c r="E219" i="23"/>
  <c r="E220" i="23"/>
  <c r="E221" i="23"/>
  <c r="E222" i="23"/>
  <c r="E223" i="23"/>
  <c r="E224" i="23"/>
  <c r="E225" i="23"/>
  <c r="E226" i="23"/>
  <c r="E227" i="23"/>
  <c r="E228" i="23"/>
  <c r="E229" i="23"/>
  <c r="E230" i="23"/>
  <c r="E231" i="23"/>
  <c r="E232" i="23"/>
  <c r="E233" i="23"/>
  <c r="E234" i="23"/>
  <c r="E235" i="23"/>
  <c r="E236" i="23"/>
  <c r="E237" i="23"/>
  <c r="E238" i="23"/>
  <c r="E239" i="23"/>
  <c r="E240" i="23"/>
  <c r="E241" i="23"/>
  <c r="E242" i="23"/>
  <c r="E243" i="23"/>
  <c r="E244" i="23"/>
  <c r="E245" i="23"/>
  <c r="E246" i="23"/>
  <c r="E247" i="23"/>
  <c r="E248" i="23"/>
  <c r="E249" i="23"/>
  <c r="E250" i="23"/>
  <c r="E251" i="23"/>
  <c r="E252" i="23"/>
  <c r="E253" i="23"/>
  <c r="E254" i="23"/>
  <c r="E255" i="23"/>
  <c r="E256" i="23"/>
  <c r="E257" i="23"/>
  <c r="E258" i="23"/>
  <c r="E259" i="23"/>
  <c r="E260" i="23"/>
  <c r="E261" i="23"/>
  <c r="E262" i="23"/>
  <c r="E263" i="23"/>
  <c r="E264" i="23"/>
  <c r="E265" i="23"/>
  <c r="E266" i="23"/>
  <c r="E267" i="23"/>
  <c r="E268" i="23"/>
  <c r="E269" i="23"/>
  <c r="E270" i="23"/>
  <c r="E271" i="23"/>
  <c r="E272" i="23"/>
  <c r="E273" i="23"/>
  <c r="E274" i="23"/>
  <c r="E275" i="23"/>
  <c r="E276" i="23"/>
  <c r="E277" i="23"/>
  <c r="E278" i="23"/>
  <c r="E279" i="23"/>
  <c r="E280" i="23"/>
  <c r="E281" i="23"/>
  <c r="E282" i="23"/>
  <c r="E283" i="23"/>
  <c r="E284" i="23"/>
  <c r="E285" i="23"/>
  <c r="E286" i="23"/>
  <c r="E287" i="23"/>
  <c r="E288" i="23"/>
  <c r="E289" i="23"/>
  <c r="E290" i="23"/>
  <c r="E291" i="23"/>
  <c r="E292" i="23"/>
  <c r="E293" i="23"/>
  <c r="E294" i="23"/>
  <c r="E295" i="23"/>
  <c r="E296" i="23"/>
  <c r="E297" i="23"/>
  <c r="E298" i="23"/>
  <c r="E299" i="23"/>
  <c r="E300" i="23"/>
  <c r="E301" i="23"/>
  <c r="E302" i="23"/>
  <c r="E303" i="23"/>
  <c r="E304" i="23"/>
  <c r="E305" i="23"/>
  <c r="E306" i="23"/>
  <c r="E307" i="23"/>
  <c r="E308" i="23"/>
  <c r="E309" i="23"/>
  <c r="E310" i="23"/>
  <c r="E311" i="23"/>
  <c r="E2" i="17" l="1"/>
  <c r="E3" i="17"/>
  <c r="E4" i="17"/>
  <c r="E5" i="17"/>
  <c r="E6" i="17"/>
  <c r="E7" i="17"/>
  <c r="E8" i="17"/>
  <c r="E9" i="17"/>
  <c r="E10" i="17"/>
  <c r="E11" i="17"/>
  <c r="E12" i="17"/>
  <c r="E13" i="17"/>
  <c r="E14" i="17"/>
  <c r="E15" i="17"/>
  <c r="E16" i="17"/>
  <c r="E17" i="17"/>
  <c r="E18" i="17"/>
  <c r="E19" i="17"/>
  <c r="E20" i="17"/>
  <c r="E21" i="17"/>
  <c r="E22" i="17"/>
  <c r="E23" i="17"/>
  <c r="E24" i="17"/>
  <c r="E25" i="17"/>
  <c r="E26" i="17"/>
  <c r="E27" i="17"/>
  <c r="E28" i="17"/>
  <c r="E29" i="17"/>
  <c r="E30" i="17"/>
  <c r="E31" i="17"/>
  <c r="E32" i="17"/>
  <c r="E33" i="17"/>
  <c r="E34" i="17"/>
  <c r="E35" i="17"/>
  <c r="E36" i="17"/>
  <c r="E37" i="17"/>
  <c r="E38" i="17"/>
  <c r="E39" i="17"/>
  <c r="E40" i="17"/>
  <c r="E41" i="17"/>
  <c r="E42" i="17"/>
  <c r="E43" i="17"/>
  <c r="E44" i="17"/>
  <c r="E45" i="17"/>
  <c r="E46" i="17"/>
  <c r="E47" i="17"/>
  <c r="E48" i="17"/>
  <c r="E49" i="17"/>
  <c r="E50" i="17"/>
  <c r="E51" i="17"/>
  <c r="E52" i="17"/>
  <c r="E53" i="17"/>
  <c r="E54" i="17"/>
  <c r="E55" i="17"/>
  <c r="E56" i="17"/>
  <c r="E57" i="17"/>
  <c r="E58" i="17"/>
  <c r="E59" i="17"/>
  <c r="E60" i="17"/>
  <c r="E61" i="17"/>
  <c r="E62" i="17"/>
  <c r="E63" i="17"/>
  <c r="E64" i="17"/>
  <c r="E65" i="17"/>
  <c r="E66" i="17"/>
  <c r="E67" i="17"/>
  <c r="E68" i="17"/>
  <c r="E69" i="17"/>
  <c r="E70" i="17"/>
  <c r="E71" i="17"/>
  <c r="E72" i="17"/>
  <c r="E73" i="17"/>
  <c r="E74" i="17"/>
  <c r="E75" i="17"/>
  <c r="E76" i="17"/>
  <c r="E77" i="17"/>
  <c r="E78" i="17"/>
  <c r="E79" i="17"/>
  <c r="E80" i="17"/>
  <c r="E81" i="17"/>
  <c r="E82" i="17"/>
  <c r="E83" i="17"/>
  <c r="E84" i="17"/>
  <c r="E85" i="17"/>
  <c r="E86" i="17"/>
  <c r="E87" i="17"/>
  <c r="E88" i="17"/>
  <c r="E89" i="17"/>
  <c r="E90" i="17"/>
  <c r="E91" i="17"/>
  <c r="E92" i="17"/>
  <c r="E93" i="17"/>
  <c r="E94" i="17"/>
  <c r="E95" i="17"/>
  <c r="E96" i="17"/>
  <c r="E97" i="17"/>
  <c r="E98" i="17"/>
  <c r="E99" i="17"/>
  <c r="E100" i="17"/>
  <c r="E101" i="17"/>
  <c r="E102" i="17"/>
  <c r="E103" i="17"/>
  <c r="E104" i="17"/>
  <c r="E105" i="17"/>
  <c r="E106" i="17"/>
  <c r="E107" i="17"/>
  <c r="E108" i="17"/>
  <c r="E109" i="17"/>
  <c r="E110" i="17"/>
  <c r="E111" i="17"/>
  <c r="E112" i="17"/>
  <c r="E113" i="17"/>
  <c r="E114" i="17"/>
  <c r="E115" i="17"/>
  <c r="E116" i="17"/>
  <c r="E117" i="17"/>
  <c r="E118" i="17"/>
  <c r="E119" i="17"/>
  <c r="E120" i="17"/>
  <c r="E121" i="17"/>
  <c r="E122" i="17"/>
  <c r="E123" i="17"/>
  <c r="E124" i="17"/>
  <c r="E125" i="17"/>
  <c r="E126" i="17"/>
  <c r="E127" i="17"/>
  <c r="E128" i="17"/>
  <c r="E129" i="17"/>
  <c r="E130" i="17"/>
  <c r="E131" i="17"/>
  <c r="E132" i="17"/>
  <c r="E133" i="17"/>
  <c r="E134" i="17"/>
  <c r="E135" i="17"/>
  <c r="E136" i="17"/>
  <c r="E137" i="17"/>
  <c r="E138" i="17"/>
  <c r="E139" i="17"/>
  <c r="E140" i="17"/>
  <c r="E141" i="17"/>
  <c r="E142" i="17"/>
  <c r="E143" i="17"/>
  <c r="E144" i="17"/>
  <c r="E145" i="17"/>
  <c r="E146" i="17"/>
  <c r="E147" i="17"/>
  <c r="E148" i="17"/>
  <c r="E149" i="17"/>
  <c r="E150" i="17"/>
  <c r="E151" i="17"/>
  <c r="E152" i="17"/>
  <c r="E153" i="17"/>
  <c r="E154" i="17"/>
  <c r="E155" i="17"/>
  <c r="E156" i="17"/>
  <c r="E157" i="17"/>
  <c r="E158" i="17"/>
  <c r="E159" i="17"/>
  <c r="E160" i="17"/>
  <c r="E161" i="17"/>
  <c r="E162" i="17"/>
  <c r="E163" i="17"/>
  <c r="E164" i="17"/>
  <c r="E165" i="17"/>
  <c r="E166" i="17"/>
  <c r="E167" i="17"/>
  <c r="E168" i="17"/>
  <c r="E169" i="17"/>
  <c r="E170" i="17"/>
  <c r="E171" i="17"/>
  <c r="E172" i="17"/>
  <c r="E173" i="17"/>
  <c r="E174" i="17"/>
  <c r="E175" i="17"/>
  <c r="E176" i="17"/>
  <c r="E177" i="17"/>
  <c r="E178" i="17"/>
  <c r="E179" i="17"/>
  <c r="E180" i="17"/>
  <c r="E181" i="17"/>
  <c r="E182" i="17"/>
  <c r="E183" i="17"/>
  <c r="E184" i="17"/>
  <c r="E185" i="17"/>
  <c r="E186" i="17"/>
  <c r="E187" i="17"/>
  <c r="E188" i="17"/>
  <c r="E189" i="17"/>
  <c r="E190" i="17"/>
  <c r="E191" i="17"/>
  <c r="E192" i="17"/>
  <c r="E193" i="17"/>
  <c r="E194" i="17"/>
  <c r="E195" i="17"/>
  <c r="E196" i="17"/>
  <c r="E197" i="17"/>
  <c r="E198" i="17"/>
  <c r="E199" i="17"/>
  <c r="E200" i="17"/>
  <c r="E201" i="17"/>
  <c r="E202" i="17"/>
  <c r="E203" i="17"/>
  <c r="E204" i="17"/>
  <c r="E205" i="17"/>
  <c r="E206" i="17"/>
  <c r="E207" i="17"/>
  <c r="E208" i="17"/>
  <c r="E209" i="17"/>
  <c r="E210" i="17"/>
  <c r="E211" i="17"/>
  <c r="E212" i="17"/>
  <c r="E213" i="17"/>
  <c r="E214" i="17"/>
  <c r="E215" i="17"/>
  <c r="E216" i="17"/>
  <c r="E217" i="17"/>
  <c r="E218" i="17"/>
  <c r="E219" i="17"/>
  <c r="E220" i="17"/>
  <c r="E221" i="17"/>
  <c r="E222" i="17"/>
  <c r="E223" i="17"/>
  <c r="E224" i="17"/>
  <c r="E225" i="17"/>
  <c r="E226" i="17"/>
  <c r="E227" i="17"/>
  <c r="E228" i="17"/>
  <c r="E229" i="17"/>
  <c r="E230" i="17"/>
  <c r="E231" i="17"/>
  <c r="E232" i="17"/>
  <c r="E233" i="17"/>
  <c r="E234" i="17"/>
  <c r="E235" i="17"/>
  <c r="E236" i="17"/>
  <c r="E237" i="17"/>
  <c r="E238" i="17"/>
  <c r="E239" i="17"/>
  <c r="E240" i="17"/>
  <c r="E241" i="17"/>
  <c r="E242" i="17"/>
  <c r="E243" i="17"/>
  <c r="E244" i="17"/>
  <c r="E245" i="17"/>
  <c r="E246" i="17"/>
  <c r="E247" i="17"/>
  <c r="E248" i="17"/>
  <c r="E249" i="17"/>
  <c r="E250" i="17"/>
  <c r="E251" i="17"/>
  <c r="E252" i="17"/>
  <c r="E253" i="17"/>
  <c r="E254" i="17"/>
  <c r="E255" i="17"/>
  <c r="E256" i="17"/>
  <c r="E257" i="17"/>
  <c r="E258" i="17"/>
  <c r="E259" i="17"/>
  <c r="E260" i="17"/>
  <c r="E261" i="17"/>
  <c r="E262" i="17"/>
  <c r="E263" i="17"/>
  <c r="E264" i="17"/>
  <c r="E265" i="17"/>
  <c r="E266" i="17"/>
  <c r="E267" i="17"/>
  <c r="E268" i="17"/>
  <c r="E269" i="17"/>
  <c r="E270" i="17"/>
  <c r="E271" i="17"/>
  <c r="E272" i="17"/>
  <c r="E273" i="17"/>
  <c r="E274" i="17"/>
  <c r="E275" i="17"/>
  <c r="E276" i="17"/>
  <c r="E277" i="17"/>
  <c r="E278" i="17"/>
  <c r="E279" i="17"/>
  <c r="E280" i="17"/>
  <c r="E281" i="17"/>
  <c r="E282" i="17"/>
  <c r="E283" i="17"/>
  <c r="E284" i="17"/>
  <c r="E285" i="17"/>
  <c r="E286" i="17"/>
  <c r="E287" i="17"/>
  <c r="E288" i="17"/>
  <c r="E289" i="17"/>
  <c r="E290" i="17"/>
  <c r="E291" i="17"/>
  <c r="E292" i="17"/>
  <c r="E293" i="17"/>
  <c r="E294" i="17"/>
  <c r="E295" i="17"/>
  <c r="E296" i="17"/>
  <c r="E297" i="17"/>
  <c r="E298" i="17"/>
  <c r="E299" i="17"/>
  <c r="E300" i="17"/>
  <c r="E301" i="17"/>
  <c r="E302" i="17"/>
  <c r="E303" i="17"/>
  <c r="E304" i="17"/>
  <c r="E305" i="17"/>
  <c r="E306" i="17"/>
  <c r="E307" i="17"/>
  <c r="E308" i="17"/>
  <c r="E309" i="17"/>
  <c r="E310" i="17"/>
  <c r="E311" i="17"/>
  <c r="E312" i="17"/>
  <c r="E313" i="17"/>
  <c r="E314" i="17"/>
  <c r="E315" i="17"/>
  <c r="E316" i="17"/>
  <c r="E317" i="17"/>
  <c r="E318" i="17"/>
  <c r="E319" i="17"/>
  <c r="E320" i="17"/>
  <c r="E321" i="17"/>
  <c r="E322" i="17"/>
  <c r="E323" i="17"/>
  <c r="E324" i="17"/>
  <c r="E325" i="17"/>
  <c r="E326" i="17"/>
  <c r="E327" i="17"/>
  <c r="E328" i="17"/>
  <c r="E329" i="17"/>
  <c r="E330" i="17"/>
  <c r="E331" i="17"/>
  <c r="E332" i="17"/>
  <c r="E333" i="17"/>
  <c r="E334" i="17"/>
  <c r="E335" i="17"/>
  <c r="E336" i="17"/>
  <c r="E337" i="17"/>
  <c r="E338" i="17"/>
  <c r="E339" i="17"/>
  <c r="E340" i="17"/>
  <c r="E341" i="17"/>
  <c r="E342" i="17"/>
  <c r="E343" i="17"/>
  <c r="E344" i="17"/>
  <c r="E345" i="17"/>
  <c r="E346" i="17"/>
  <c r="E347" i="17"/>
  <c r="E348" i="17"/>
  <c r="E349" i="17"/>
  <c r="E350" i="17"/>
  <c r="E351" i="17"/>
  <c r="E352" i="17"/>
  <c r="E353" i="17"/>
  <c r="E354" i="17"/>
  <c r="E355" i="17"/>
  <c r="E356" i="17"/>
  <c r="E357" i="17"/>
  <c r="E358" i="17"/>
  <c r="E359" i="17"/>
  <c r="E360" i="17"/>
  <c r="E361" i="17"/>
  <c r="E362" i="17"/>
  <c r="E363" i="17"/>
  <c r="E364" i="17"/>
  <c r="E365" i="17"/>
  <c r="E366" i="17"/>
  <c r="E367" i="17"/>
  <c r="E368" i="17"/>
  <c r="E369" i="17"/>
  <c r="E370" i="17"/>
  <c r="E371" i="17"/>
  <c r="E372" i="17"/>
  <c r="E373" i="17"/>
  <c r="E374" i="17"/>
  <c r="E375" i="17"/>
  <c r="E376" i="17"/>
  <c r="E377" i="17"/>
  <c r="E378" i="17"/>
  <c r="E379" i="17"/>
  <c r="E380" i="17"/>
  <c r="E381" i="17"/>
  <c r="E382" i="17"/>
  <c r="E383" i="17"/>
  <c r="E384" i="17"/>
  <c r="E385" i="17"/>
  <c r="E386" i="17"/>
  <c r="E387" i="17"/>
  <c r="E388" i="17"/>
  <c r="E389" i="17"/>
  <c r="E390" i="17"/>
  <c r="E391" i="17"/>
  <c r="E392" i="17"/>
  <c r="E393" i="17"/>
  <c r="E394" i="17"/>
  <c r="E395" i="17"/>
  <c r="E396" i="17"/>
  <c r="E397" i="17"/>
  <c r="E398" i="17"/>
  <c r="E399" i="17"/>
  <c r="E400" i="17"/>
  <c r="E401" i="17"/>
  <c r="E402" i="17"/>
  <c r="E403" i="17"/>
  <c r="E404" i="17"/>
  <c r="E405" i="17"/>
  <c r="E406" i="17"/>
  <c r="E407" i="17"/>
  <c r="E408" i="17"/>
  <c r="E409" i="17"/>
  <c r="E410" i="17"/>
  <c r="E411" i="17"/>
  <c r="E412" i="17"/>
  <c r="E413" i="17"/>
  <c r="E414" i="17"/>
  <c r="E415" i="17"/>
  <c r="E416" i="17"/>
  <c r="E417" i="17"/>
  <c r="E418" i="17"/>
  <c r="E419" i="17"/>
  <c r="E420" i="17"/>
  <c r="E421" i="17"/>
  <c r="E422" i="17"/>
  <c r="E423" i="17"/>
  <c r="E424" i="17"/>
  <c r="E425" i="17"/>
  <c r="E426" i="17"/>
  <c r="E427" i="17"/>
  <c r="E428" i="17"/>
  <c r="E429" i="17"/>
  <c r="E430" i="17"/>
  <c r="E431" i="17"/>
  <c r="E432" i="17"/>
  <c r="E433" i="17"/>
  <c r="E434" i="17"/>
  <c r="E435" i="17"/>
  <c r="E436" i="17"/>
  <c r="E437" i="17"/>
  <c r="E438" i="17"/>
  <c r="E439" i="17"/>
  <c r="E440" i="17"/>
  <c r="E441" i="17"/>
  <c r="E442" i="17"/>
  <c r="E443" i="17"/>
  <c r="E444" i="17"/>
  <c r="E445" i="17"/>
  <c r="E446" i="17"/>
  <c r="E447" i="17"/>
  <c r="E448" i="17"/>
  <c r="E449" i="17"/>
  <c r="E450" i="17"/>
  <c r="E451" i="17"/>
  <c r="E452" i="17"/>
  <c r="E453" i="17"/>
  <c r="E454" i="17"/>
  <c r="E455" i="17"/>
  <c r="E456" i="17"/>
  <c r="E457" i="17"/>
  <c r="E458" i="17"/>
  <c r="E459" i="17"/>
  <c r="E460" i="17"/>
  <c r="E461" i="17"/>
  <c r="E462" i="17"/>
  <c r="E463" i="17"/>
  <c r="E464" i="17"/>
  <c r="E465" i="17"/>
  <c r="E466" i="17"/>
  <c r="E467" i="17"/>
  <c r="E468" i="17"/>
  <c r="E469" i="17"/>
  <c r="E470" i="17"/>
  <c r="E471" i="17"/>
  <c r="E472" i="17"/>
  <c r="E473" i="17"/>
  <c r="E474" i="17"/>
  <c r="E475" i="17"/>
  <c r="E476" i="17"/>
  <c r="E477" i="17"/>
  <c r="E478" i="17"/>
  <c r="E479" i="17"/>
  <c r="E480" i="17"/>
  <c r="E481" i="17"/>
  <c r="E482" i="17"/>
  <c r="E483" i="17"/>
  <c r="E484" i="17"/>
  <c r="E485" i="17"/>
  <c r="E486" i="17"/>
  <c r="E487" i="17"/>
  <c r="E488" i="17"/>
  <c r="E489" i="17"/>
  <c r="E490" i="17"/>
  <c r="E491" i="17"/>
  <c r="E492" i="17"/>
  <c r="E493" i="17"/>
  <c r="E494" i="17"/>
  <c r="E495" i="17"/>
  <c r="E496" i="17"/>
  <c r="E497" i="17"/>
  <c r="E498" i="17"/>
  <c r="E499" i="17"/>
  <c r="E500" i="17"/>
  <c r="E501" i="17"/>
  <c r="E502" i="17"/>
  <c r="E503" i="17"/>
  <c r="E504" i="17"/>
  <c r="E505" i="17"/>
  <c r="E506" i="17"/>
  <c r="E507" i="17"/>
  <c r="E508" i="17"/>
  <c r="E509" i="17"/>
  <c r="E510" i="17"/>
  <c r="E511" i="17"/>
  <c r="E512" i="17"/>
  <c r="E513" i="17"/>
  <c r="E514" i="17"/>
  <c r="E515" i="17"/>
  <c r="E516" i="17"/>
  <c r="E517" i="17"/>
  <c r="E518" i="17"/>
  <c r="E519" i="17"/>
  <c r="E520" i="17"/>
  <c r="E521" i="17"/>
  <c r="E522" i="17"/>
  <c r="E523" i="17"/>
  <c r="E524" i="17"/>
  <c r="E525" i="17"/>
  <c r="E526" i="17"/>
  <c r="E527" i="17"/>
  <c r="E528" i="17"/>
  <c r="E529" i="17"/>
  <c r="E530" i="17"/>
  <c r="E531" i="17"/>
  <c r="E532" i="17"/>
  <c r="E533" i="17"/>
  <c r="E534" i="17"/>
  <c r="E535" i="17"/>
  <c r="E536" i="17"/>
  <c r="E537" i="17"/>
  <c r="E538" i="17"/>
  <c r="E539" i="17"/>
  <c r="E540" i="17"/>
  <c r="E541" i="17"/>
  <c r="E542" i="17"/>
  <c r="E543" i="17"/>
  <c r="E544" i="17"/>
  <c r="E545" i="17"/>
  <c r="E546" i="17"/>
  <c r="E547" i="17"/>
  <c r="E548" i="17"/>
  <c r="E549" i="17"/>
  <c r="E550" i="17"/>
  <c r="E551" i="17"/>
  <c r="E552" i="17"/>
  <c r="E553" i="17"/>
  <c r="E554" i="17"/>
  <c r="E555" i="17"/>
  <c r="E556" i="17"/>
  <c r="E557" i="17"/>
  <c r="E558" i="17"/>
  <c r="E559" i="17"/>
  <c r="E560" i="17"/>
  <c r="E561" i="17"/>
  <c r="E562" i="17"/>
  <c r="E563" i="17"/>
  <c r="E564" i="17"/>
  <c r="E565" i="17"/>
  <c r="E566" i="17"/>
  <c r="E567" i="17"/>
  <c r="E568" i="17"/>
  <c r="E569" i="17"/>
  <c r="E570" i="17"/>
  <c r="E571" i="17"/>
  <c r="E572" i="17"/>
  <c r="E573" i="17"/>
  <c r="E575" i="17"/>
  <c r="E576" i="17"/>
  <c r="E577" i="17"/>
  <c r="E578" i="17"/>
  <c r="E579" i="17"/>
  <c r="E580" i="17"/>
  <c r="E581" i="17"/>
  <c r="E582" i="17"/>
  <c r="E583" i="17"/>
  <c r="E584" i="17"/>
  <c r="E585" i="17"/>
  <c r="E586" i="17"/>
  <c r="E587" i="17"/>
  <c r="E588" i="17"/>
  <c r="E589" i="17"/>
  <c r="E590" i="17"/>
  <c r="E591" i="17"/>
  <c r="E592" i="17"/>
  <c r="E593" i="17"/>
  <c r="E594" i="17"/>
  <c r="E595" i="17"/>
  <c r="E596" i="17"/>
  <c r="E597" i="17"/>
  <c r="E598" i="17"/>
  <c r="E599" i="17"/>
  <c r="E600" i="17"/>
  <c r="E601" i="17"/>
  <c r="E602" i="17"/>
  <c r="E603" i="17"/>
  <c r="E604" i="17"/>
  <c r="E605" i="17"/>
  <c r="E606" i="17"/>
  <c r="E607" i="17"/>
  <c r="E608" i="17"/>
  <c r="E609" i="17"/>
  <c r="E610" i="17"/>
  <c r="E611" i="17"/>
  <c r="E612" i="17"/>
  <c r="E613" i="17"/>
  <c r="E614" i="17"/>
  <c r="E615" i="17"/>
  <c r="E616" i="17"/>
  <c r="E617" i="17"/>
  <c r="E618" i="17"/>
  <c r="E619" i="17"/>
  <c r="E620" i="17"/>
  <c r="E621" i="17"/>
  <c r="E622" i="17"/>
  <c r="E623" i="17"/>
  <c r="E624" i="17"/>
  <c r="E625" i="17"/>
  <c r="E626" i="17"/>
  <c r="E627" i="17"/>
  <c r="E628" i="17"/>
  <c r="E629" i="17"/>
  <c r="E630" i="17"/>
  <c r="E631" i="17"/>
  <c r="E632" i="17"/>
  <c r="E633" i="17"/>
  <c r="E634" i="17"/>
  <c r="E635" i="17"/>
  <c r="E636" i="17"/>
  <c r="E637" i="17"/>
  <c r="E638" i="17"/>
  <c r="E639" i="17"/>
  <c r="E640" i="17"/>
  <c r="E641" i="17"/>
  <c r="E642" i="17"/>
  <c r="E643" i="17"/>
  <c r="E644" i="17"/>
  <c r="E645" i="17"/>
  <c r="E646" i="17"/>
  <c r="E647" i="17"/>
  <c r="E648" i="17"/>
  <c r="E649" i="17"/>
  <c r="E650" i="17"/>
  <c r="E651" i="17"/>
  <c r="E652" i="17"/>
  <c r="E653" i="17"/>
  <c r="E654" i="17"/>
  <c r="E655" i="17"/>
  <c r="E656" i="17"/>
  <c r="E657" i="17"/>
  <c r="E658" i="17"/>
  <c r="E659" i="17"/>
  <c r="E660" i="17"/>
  <c r="E661" i="17"/>
  <c r="E662" i="17"/>
  <c r="E663" i="17"/>
  <c r="E664" i="17"/>
  <c r="E665" i="17"/>
  <c r="E666" i="17"/>
  <c r="E667" i="17"/>
  <c r="E668" i="17"/>
  <c r="E669" i="17"/>
  <c r="E670" i="17"/>
  <c r="E671" i="17"/>
  <c r="E672" i="17"/>
  <c r="E673" i="17"/>
  <c r="E674" i="17"/>
  <c r="E675" i="17"/>
  <c r="E676" i="17"/>
  <c r="E677" i="17"/>
  <c r="E678" i="17"/>
  <c r="E679" i="17"/>
  <c r="E680" i="17"/>
  <c r="E681" i="17"/>
  <c r="E682" i="17"/>
  <c r="E683" i="17"/>
  <c r="E684" i="17"/>
  <c r="E685" i="17"/>
  <c r="E686" i="17"/>
  <c r="E687" i="17"/>
  <c r="E688" i="17"/>
  <c r="E689" i="17"/>
  <c r="E690" i="17"/>
  <c r="E691" i="17"/>
  <c r="E692" i="17"/>
  <c r="E693" i="17"/>
  <c r="E694" i="17"/>
  <c r="E695" i="17"/>
  <c r="E696" i="17"/>
  <c r="E697" i="17"/>
  <c r="E698" i="17"/>
  <c r="E699" i="17"/>
  <c r="E700" i="17"/>
  <c r="E701" i="17"/>
  <c r="E702" i="17"/>
  <c r="E703" i="17"/>
  <c r="E704" i="17"/>
  <c r="E705" i="17"/>
  <c r="E706" i="17"/>
  <c r="E707" i="17"/>
  <c r="E708" i="17"/>
  <c r="E709" i="17"/>
  <c r="R551" i="17" l="1"/>
  <c r="S551" i="17"/>
  <c r="T551" i="17"/>
  <c r="R552" i="17"/>
  <c r="S552" i="17"/>
  <c r="T552" i="17"/>
  <c r="R553" i="17"/>
  <c r="S553" i="17"/>
  <c r="T553" i="17"/>
  <c r="R554" i="17"/>
  <c r="S554" i="17"/>
  <c r="T554" i="17"/>
  <c r="R555" i="17"/>
  <c r="S555" i="17"/>
  <c r="T555" i="17"/>
  <c r="R556" i="17"/>
  <c r="S556" i="17"/>
  <c r="T556" i="17"/>
  <c r="R557" i="17"/>
  <c r="S557" i="17"/>
  <c r="T557" i="17"/>
  <c r="R558" i="17"/>
  <c r="S558" i="17"/>
  <c r="T558" i="17"/>
  <c r="R559" i="17"/>
  <c r="S559" i="17"/>
  <c r="T559" i="17"/>
  <c r="R560" i="17"/>
  <c r="S560" i="17"/>
  <c r="T560" i="17"/>
  <c r="L553" i="17"/>
  <c r="L554" i="17"/>
  <c r="L555" i="17"/>
  <c r="L556" i="17"/>
  <c r="L557" i="17"/>
  <c r="L558" i="17"/>
  <c r="L559" i="17"/>
  <c r="L560" i="17"/>
  <c r="L561" i="17"/>
  <c r="L562" i="17"/>
  <c r="L563" i="17"/>
  <c r="L564" i="17"/>
  <c r="H553" i="17"/>
  <c r="I553" i="17"/>
  <c r="J553" i="17"/>
  <c r="H554" i="17"/>
  <c r="I554" i="17"/>
  <c r="J554" i="17"/>
  <c r="H555" i="17"/>
  <c r="I555" i="17"/>
  <c r="J555" i="17"/>
  <c r="H556" i="17"/>
  <c r="I556" i="17"/>
  <c r="J556" i="17"/>
  <c r="H557" i="17"/>
  <c r="I557" i="17"/>
  <c r="J557" i="17"/>
  <c r="H558" i="17"/>
  <c r="I558" i="17"/>
  <c r="J558" i="17"/>
  <c r="H559" i="17"/>
  <c r="I559" i="17"/>
  <c r="J559" i="17"/>
  <c r="H560" i="17"/>
  <c r="I560" i="17"/>
  <c r="J560" i="17"/>
  <c r="H561" i="17"/>
  <c r="I561" i="17"/>
  <c r="J561" i="17"/>
  <c r="H562" i="17"/>
  <c r="I562" i="17"/>
  <c r="J562" i="17"/>
  <c r="H563" i="17"/>
  <c r="I563" i="17"/>
  <c r="J563" i="17"/>
  <c r="H564" i="17"/>
  <c r="I564" i="17"/>
  <c r="J564" i="17"/>
  <c r="W562" i="17" l="1"/>
  <c r="W558" i="17"/>
  <c r="W554" i="17"/>
  <c r="W561" i="17"/>
  <c r="W557" i="17"/>
  <c r="W553" i="17"/>
  <c r="W564" i="17"/>
  <c r="W560" i="17"/>
  <c r="W556" i="17"/>
  <c r="W563" i="17"/>
  <c r="W559" i="17"/>
  <c r="W555" i="17"/>
  <c r="W551" i="17"/>
  <c r="T548" i="17" l="1"/>
  <c r="T549" i="17"/>
  <c r="T550" i="17"/>
  <c r="S550" i="17"/>
  <c r="B551" i="17" l="1"/>
  <c r="B552" i="17"/>
  <c r="B553" i="17"/>
  <c r="B554" i="17"/>
  <c r="B555" i="17"/>
  <c r="B556" i="17"/>
  <c r="B557" i="17"/>
  <c r="B558" i="17"/>
  <c r="B559" i="17"/>
  <c r="B560" i="17"/>
  <c r="B561" i="17"/>
  <c r="B562" i="17"/>
  <c r="B563" i="17"/>
  <c r="B564" i="17"/>
  <c r="B565" i="17"/>
  <c r="B566" i="17"/>
  <c r="L551" i="17"/>
  <c r="L552" i="17"/>
  <c r="CP83" i="20"/>
  <c r="CP84" i="20"/>
  <c r="CP85" i="20"/>
  <c r="CP86" i="20"/>
  <c r="CP87" i="20"/>
  <c r="CP88" i="20"/>
  <c r="CP89" i="20"/>
  <c r="CP90" i="20"/>
  <c r="CO88" i="20"/>
  <c r="CO89" i="20"/>
  <c r="CO84" i="20"/>
  <c r="CO85" i="20"/>
  <c r="CO86" i="20"/>
  <c r="CO87" i="20"/>
  <c r="J551" i="17"/>
  <c r="J552" i="17"/>
  <c r="W552" i="17" s="1"/>
  <c r="I551" i="17"/>
  <c r="I552" i="17"/>
  <c r="H551" i="17"/>
  <c r="H552" i="17"/>
  <c r="CN83" i="20"/>
  <c r="B548" i="17"/>
  <c r="B549" i="17"/>
  <c r="B550" i="17"/>
  <c r="R548" i="17"/>
  <c r="S548" i="17"/>
  <c r="R549" i="17"/>
  <c r="S549" i="17"/>
  <c r="R550" i="17"/>
  <c r="L548" i="17"/>
  <c r="L549" i="17"/>
  <c r="L550" i="17"/>
  <c r="T542" i="17" l="1"/>
  <c r="T543" i="17"/>
  <c r="T544" i="17"/>
  <c r="T545" i="17"/>
  <c r="T546" i="17"/>
  <c r="T547" i="17"/>
  <c r="S542" i="17"/>
  <c r="S543" i="17"/>
  <c r="S544" i="17"/>
  <c r="S545" i="17"/>
  <c r="S546" i="17"/>
  <c r="S547" i="17"/>
  <c r="R542" i="17"/>
  <c r="R543" i="17"/>
  <c r="R544" i="17"/>
  <c r="R545" i="17"/>
  <c r="R546" i="17"/>
  <c r="R547" i="17"/>
  <c r="L542" i="17"/>
  <c r="L543" i="17"/>
  <c r="L544" i="17"/>
  <c r="L545" i="17"/>
  <c r="L546" i="17"/>
  <c r="L547" i="17"/>
  <c r="B546" i="17"/>
  <c r="B547" i="17"/>
  <c r="B542" i="17" l="1"/>
  <c r="B543" i="17"/>
  <c r="B544" i="17"/>
  <c r="B545" i="17"/>
  <c r="J542" i="17" l="1"/>
  <c r="W542" i="17" s="1"/>
  <c r="J543" i="17"/>
  <c r="W543" i="17" s="1"/>
  <c r="J544" i="17"/>
  <c r="W544" i="17" s="1"/>
  <c r="J545" i="17"/>
  <c r="W545" i="17" s="1"/>
  <c r="J546" i="17"/>
  <c r="W546" i="17" s="1"/>
  <c r="J547" i="17"/>
  <c r="W547" i="17" s="1"/>
  <c r="J548" i="17"/>
  <c r="W548" i="17" s="1"/>
  <c r="J549" i="17"/>
  <c r="W549" i="17" s="1"/>
  <c r="J550" i="17"/>
  <c r="W550" i="17" s="1"/>
  <c r="I542" i="17"/>
  <c r="I543" i="17"/>
  <c r="I544" i="17"/>
  <c r="I545" i="17"/>
  <c r="I546" i="17"/>
  <c r="I547" i="17"/>
  <c r="I548" i="17"/>
  <c r="I549" i="17"/>
  <c r="I550" i="17"/>
  <c r="H542" i="17"/>
  <c r="H543" i="17"/>
  <c r="H544" i="17"/>
  <c r="H545" i="17"/>
  <c r="H546" i="17"/>
  <c r="H547" i="17"/>
  <c r="H548" i="17"/>
  <c r="H549" i="17"/>
  <c r="H550" i="17"/>
  <c r="J529" i="17"/>
  <c r="J530" i="17"/>
  <c r="J531" i="17"/>
  <c r="J532" i="17"/>
  <c r="J533" i="17"/>
  <c r="J534" i="17"/>
  <c r="J535" i="17"/>
  <c r="J536" i="17"/>
  <c r="J537" i="17"/>
  <c r="J538" i="17"/>
  <c r="J539" i="17"/>
  <c r="J540" i="17"/>
  <c r="J541" i="17"/>
  <c r="I529" i="17"/>
  <c r="I530" i="17"/>
  <c r="I531" i="17"/>
  <c r="I532" i="17"/>
  <c r="I533" i="17"/>
  <c r="I534" i="17"/>
  <c r="I535" i="17"/>
  <c r="I536" i="17"/>
  <c r="I537" i="17"/>
  <c r="I538" i="17"/>
  <c r="I539" i="17"/>
  <c r="I540" i="17"/>
  <c r="I541" i="17"/>
  <c r="H531" i="17"/>
  <c r="H532" i="17"/>
  <c r="H533" i="17"/>
  <c r="H534" i="17"/>
  <c r="H535" i="17"/>
  <c r="H536" i="17"/>
  <c r="H537" i="17"/>
  <c r="H538" i="17"/>
  <c r="H539" i="17"/>
  <c r="H540" i="17"/>
  <c r="H541" i="17"/>
  <c r="T536" i="17"/>
  <c r="T537" i="17"/>
  <c r="T538" i="17"/>
  <c r="T539" i="17"/>
  <c r="T540" i="17"/>
  <c r="W540" i="17" s="1"/>
  <c r="T541" i="17"/>
  <c r="S537" i="17"/>
  <c r="S538" i="17"/>
  <c r="S539" i="17"/>
  <c r="S540" i="17"/>
  <c r="S541" i="17"/>
  <c r="S536" i="17"/>
  <c r="R536" i="17"/>
  <c r="R537" i="17"/>
  <c r="R538" i="17"/>
  <c r="R539" i="17"/>
  <c r="R540" i="17"/>
  <c r="R541" i="17"/>
  <c r="B536" i="17"/>
  <c r="B537" i="17"/>
  <c r="B538" i="17"/>
  <c r="B539" i="17"/>
  <c r="B540" i="17"/>
  <c r="B541" i="17"/>
  <c r="R487" i="17"/>
  <c r="S487" i="17"/>
  <c r="T487" i="17"/>
  <c r="R488" i="17"/>
  <c r="S488" i="17"/>
  <c r="T488" i="17"/>
  <c r="R489" i="17"/>
  <c r="S489" i="17"/>
  <c r="T489" i="17"/>
  <c r="R490" i="17"/>
  <c r="S490" i="17"/>
  <c r="T490" i="17"/>
  <c r="R491" i="17"/>
  <c r="S491" i="17"/>
  <c r="T491" i="17"/>
  <c r="R492" i="17"/>
  <c r="S492" i="17"/>
  <c r="T492" i="17"/>
  <c r="R493" i="17"/>
  <c r="S493" i="17"/>
  <c r="T493" i="17"/>
  <c r="R494" i="17"/>
  <c r="S494" i="17"/>
  <c r="T494" i="17"/>
  <c r="R495" i="17"/>
  <c r="S495" i="17"/>
  <c r="T495" i="17"/>
  <c r="R496" i="17"/>
  <c r="S496" i="17"/>
  <c r="T496" i="17"/>
  <c r="R497" i="17"/>
  <c r="S497" i="17"/>
  <c r="T497" i="17"/>
  <c r="R498" i="17"/>
  <c r="S498" i="17"/>
  <c r="T498" i="17"/>
  <c r="R499" i="17"/>
  <c r="S499" i="17"/>
  <c r="T499" i="17"/>
  <c r="R500" i="17"/>
  <c r="S500" i="17"/>
  <c r="T500" i="17"/>
  <c r="R501" i="17"/>
  <c r="S501" i="17"/>
  <c r="T501" i="17"/>
  <c r="R502" i="17"/>
  <c r="S502" i="17"/>
  <c r="T502" i="17"/>
  <c r="R503" i="17"/>
  <c r="S503" i="17"/>
  <c r="T503" i="17"/>
  <c r="R504" i="17"/>
  <c r="S504" i="17"/>
  <c r="T504" i="17"/>
  <c r="R505" i="17"/>
  <c r="S505" i="17"/>
  <c r="T505" i="17"/>
  <c r="R506" i="17"/>
  <c r="S506" i="17"/>
  <c r="T506" i="17"/>
  <c r="R507" i="17"/>
  <c r="S507" i="17"/>
  <c r="T507" i="17"/>
  <c r="R508" i="17"/>
  <c r="S508" i="17"/>
  <c r="T508" i="17"/>
  <c r="R509" i="17"/>
  <c r="S509" i="17"/>
  <c r="T509" i="17"/>
  <c r="R510" i="17"/>
  <c r="S510" i="17"/>
  <c r="T510" i="17"/>
  <c r="R511" i="17"/>
  <c r="S511" i="17"/>
  <c r="T511" i="17"/>
  <c r="R512" i="17"/>
  <c r="S512" i="17"/>
  <c r="T512" i="17"/>
  <c r="R513" i="17"/>
  <c r="S513" i="17"/>
  <c r="T513" i="17"/>
  <c r="R514" i="17"/>
  <c r="S514" i="17"/>
  <c r="T514" i="17"/>
  <c r="R515" i="17"/>
  <c r="S515" i="17"/>
  <c r="T515" i="17"/>
  <c r="R516" i="17"/>
  <c r="S516" i="17"/>
  <c r="T516" i="17"/>
  <c r="R517" i="17"/>
  <c r="S517" i="17"/>
  <c r="T517" i="17"/>
  <c r="R518" i="17"/>
  <c r="S518" i="17"/>
  <c r="T518" i="17"/>
  <c r="R519" i="17"/>
  <c r="S519" i="17"/>
  <c r="T519" i="17"/>
  <c r="R520" i="17"/>
  <c r="S520" i="17"/>
  <c r="T520" i="17"/>
  <c r="R521" i="17"/>
  <c r="S521" i="17"/>
  <c r="T521" i="17"/>
  <c r="R522" i="17"/>
  <c r="S522" i="17"/>
  <c r="T522" i="17"/>
  <c r="R523" i="17"/>
  <c r="S523" i="17"/>
  <c r="T523" i="17"/>
  <c r="R524" i="17"/>
  <c r="S524" i="17"/>
  <c r="T524" i="17"/>
  <c r="R525" i="17"/>
  <c r="S525" i="17"/>
  <c r="T525" i="17"/>
  <c r="R526" i="17"/>
  <c r="S526" i="17"/>
  <c r="T526" i="17"/>
  <c r="R527" i="17"/>
  <c r="S527" i="17"/>
  <c r="T527" i="17"/>
  <c r="R528" i="17"/>
  <c r="S528" i="17"/>
  <c r="T528" i="17"/>
  <c r="R529" i="17"/>
  <c r="S529" i="17"/>
  <c r="T529" i="17"/>
  <c r="R530" i="17"/>
  <c r="S530" i="17"/>
  <c r="T530" i="17"/>
  <c r="R531" i="17"/>
  <c r="S531" i="17"/>
  <c r="T531" i="17"/>
  <c r="R532" i="17"/>
  <c r="S532" i="17"/>
  <c r="T532" i="17"/>
  <c r="R533" i="17"/>
  <c r="S533" i="17"/>
  <c r="T533" i="17"/>
  <c r="R534" i="17"/>
  <c r="S534" i="17"/>
  <c r="T534" i="17"/>
  <c r="R535" i="17"/>
  <c r="S535" i="17"/>
  <c r="T535" i="17"/>
  <c r="W539" i="17" l="1"/>
  <c r="W538" i="17"/>
  <c r="W537" i="17"/>
  <c r="W541" i="17"/>
  <c r="W536" i="17"/>
  <c r="W529" i="17"/>
  <c r="W532" i="17"/>
  <c r="W533" i="17"/>
  <c r="B522" i="17"/>
  <c r="B523" i="17"/>
  <c r="B524" i="17"/>
  <c r="B525" i="17"/>
  <c r="B526" i="17"/>
  <c r="B527" i="17"/>
  <c r="B528" i="17"/>
  <c r="B529" i="17"/>
  <c r="B530" i="17"/>
  <c r="B531" i="17"/>
  <c r="B532" i="17"/>
  <c r="B533" i="17"/>
  <c r="B534" i="17"/>
  <c r="B535"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H522" i="17"/>
  <c r="I522" i="17"/>
  <c r="J522" i="17"/>
  <c r="W522" i="17" s="1"/>
  <c r="H523" i="17"/>
  <c r="I523" i="17"/>
  <c r="J523" i="17"/>
  <c r="W523" i="17" s="1"/>
  <c r="H524" i="17"/>
  <c r="I524" i="17"/>
  <c r="J524" i="17"/>
  <c r="W524" i="17" s="1"/>
  <c r="H525" i="17"/>
  <c r="I525" i="17"/>
  <c r="J525" i="17"/>
  <c r="W525" i="17" s="1"/>
  <c r="H526" i="17"/>
  <c r="I526" i="17"/>
  <c r="J526" i="17"/>
  <c r="W526" i="17" s="1"/>
  <c r="H527" i="17"/>
  <c r="I527" i="17"/>
  <c r="J527" i="17"/>
  <c r="W527" i="17" s="1"/>
  <c r="H528" i="17"/>
  <c r="I528" i="17"/>
  <c r="J528" i="17"/>
  <c r="W528" i="17" s="1"/>
  <c r="H529" i="17"/>
  <c r="H530" i="17"/>
  <c r="W530" i="17"/>
  <c r="W531" i="17"/>
  <c r="W534" i="17"/>
  <c r="W535" i="17"/>
  <c r="I511" i="17" l="1"/>
  <c r="J511" i="17"/>
  <c r="W511" i="17" s="1"/>
  <c r="I512" i="17"/>
  <c r="J512" i="17"/>
  <c r="W512" i="17" s="1"/>
  <c r="I513" i="17"/>
  <c r="J513" i="17"/>
  <c r="W513" i="17" s="1"/>
  <c r="I514" i="17"/>
  <c r="J514" i="17"/>
  <c r="W514" i="17" s="1"/>
  <c r="I515" i="17"/>
  <c r="J515" i="17"/>
  <c r="W515" i="17" s="1"/>
  <c r="I516" i="17"/>
  <c r="J516" i="17"/>
  <c r="W516" i="17" s="1"/>
  <c r="I517" i="17"/>
  <c r="J517" i="17"/>
  <c r="W517" i="17" s="1"/>
  <c r="I518" i="17"/>
  <c r="J518" i="17"/>
  <c r="W518" i="17" s="1"/>
  <c r="I519" i="17"/>
  <c r="J519" i="17"/>
  <c r="W519" i="17" s="1"/>
  <c r="I520" i="17"/>
  <c r="J520" i="17"/>
  <c r="W520" i="17" s="1"/>
  <c r="I521" i="17"/>
  <c r="J521" i="17"/>
  <c r="W521" i="17" s="1"/>
  <c r="H512" i="17"/>
  <c r="H513" i="17"/>
  <c r="H514" i="17"/>
  <c r="H515" i="17"/>
  <c r="H516" i="17"/>
  <c r="H517" i="17"/>
  <c r="H518" i="17"/>
  <c r="H519" i="17"/>
  <c r="H520" i="17"/>
  <c r="H521" i="17"/>
  <c r="B515" i="17"/>
  <c r="B516" i="17"/>
  <c r="B517" i="17"/>
  <c r="B518" i="17"/>
  <c r="B519" i="17"/>
  <c r="B520" i="17"/>
  <c r="B521" i="17"/>
  <c r="Q140" i="23" l="1"/>
  <c r="P140" i="23"/>
  <c r="O140" i="23"/>
  <c r="J140" i="23"/>
  <c r="I140" i="23"/>
  <c r="H140" i="23"/>
  <c r="B509" i="17"/>
  <c r="B510" i="17"/>
  <c r="B511" i="17"/>
  <c r="B512" i="17"/>
  <c r="B513" i="17"/>
  <c r="B514" i="17"/>
  <c r="H510" i="17"/>
  <c r="I510" i="17"/>
  <c r="J510" i="17"/>
  <c r="W510" i="17" s="1"/>
  <c r="H511" i="17"/>
  <c r="T140" i="23" l="1"/>
  <c r="L492" i="17"/>
  <c r="L493" i="17"/>
  <c r="L494" i="17"/>
  <c r="L495" i="17"/>
  <c r="L496" i="17"/>
  <c r="L497" i="17"/>
  <c r="L498" i="17"/>
  <c r="L499" i="17"/>
  <c r="L500" i="17"/>
  <c r="L501" i="17"/>
  <c r="L502" i="17"/>
  <c r="L503" i="17"/>
  <c r="L504" i="17"/>
  <c r="L505" i="17"/>
  <c r="L506" i="17"/>
  <c r="H493" i="17"/>
  <c r="I493" i="17"/>
  <c r="J493" i="17"/>
  <c r="W493" i="17" s="1"/>
  <c r="H494" i="17"/>
  <c r="I494" i="17"/>
  <c r="J494" i="17"/>
  <c r="W494" i="17" s="1"/>
  <c r="H495" i="17"/>
  <c r="I495" i="17"/>
  <c r="J495" i="17"/>
  <c r="W495" i="17" s="1"/>
  <c r="H496" i="17"/>
  <c r="I496" i="17"/>
  <c r="J496" i="17"/>
  <c r="W496" i="17" s="1"/>
  <c r="H497" i="17"/>
  <c r="I497" i="17"/>
  <c r="J497" i="17"/>
  <c r="W497" i="17" s="1"/>
  <c r="H498" i="17"/>
  <c r="I498" i="17"/>
  <c r="J498" i="17"/>
  <c r="W498" i="17" s="1"/>
  <c r="H499" i="17"/>
  <c r="I499" i="17"/>
  <c r="J499" i="17"/>
  <c r="W499" i="17" s="1"/>
  <c r="H500" i="17"/>
  <c r="I500" i="17"/>
  <c r="J500" i="17"/>
  <c r="W500" i="17" s="1"/>
  <c r="H501" i="17"/>
  <c r="I501" i="17"/>
  <c r="J501" i="17"/>
  <c r="W501" i="17" s="1"/>
  <c r="H502" i="17"/>
  <c r="I502" i="17"/>
  <c r="J502" i="17"/>
  <c r="W502" i="17" s="1"/>
  <c r="H503" i="17"/>
  <c r="I503" i="17"/>
  <c r="J503" i="17"/>
  <c r="W503" i="17" s="1"/>
  <c r="H504" i="17"/>
  <c r="I504" i="17"/>
  <c r="J504" i="17"/>
  <c r="W504" i="17" s="1"/>
  <c r="H505" i="17"/>
  <c r="I505" i="17"/>
  <c r="J505" i="17"/>
  <c r="W505" i="17" s="1"/>
  <c r="H506" i="17"/>
  <c r="I506" i="17"/>
  <c r="J506" i="17"/>
  <c r="W506" i="17" s="1"/>
  <c r="H507" i="17"/>
  <c r="I507" i="17"/>
  <c r="J507" i="17"/>
  <c r="W507" i="17" s="1"/>
  <c r="H508" i="17"/>
  <c r="I508" i="17"/>
  <c r="J508" i="17"/>
  <c r="W508" i="17" s="1"/>
  <c r="H509" i="17"/>
  <c r="I509" i="17"/>
  <c r="J509" i="17"/>
  <c r="W509" i="17" s="1"/>
  <c r="B492" i="17"/>
  <c r="B493" i="17"/>
  <c r="B494" i="17"/>
  <c r="B495" i="17"/>
  <c r="B496" i="17"/>
  <c r="B497" i="17"/>
  <c r="B498" i="17"/>
  <c r="B499" i="17"/>
  <c r="B500" i="17"/>
  <c r="B501" i="17"/>
  <c r="B502" i="17"/>
  <c r="B503" i="17"/>
  <c r="B504" i="17"/>
  <c r="B505" i="17"/>
  <c r="B506" i="17"/>
  <c r="B507" i="17"/>
  <c r="B508" i="17"/>
  <c r="H459" i="17" l="1"/>
  <c r="I459" i="17"/>
  <c r="J459" i="17"/>
  <c r="H460" i="17"/>
  <c r="I460" i="17"/>
  <c r="J460" i="17"/>
  <c r="H461" i="17"/>
  <c r="I461" i="17"/>
  <c r="J461" i="17"/>
  <c r="H462" i="17"/>
  <c r="I462" i="17"/>
  <c r="J462" i="17"/>
  <c r="H463" i="17"/>
  <c r="I463" i="17"/>
  <c r="J463" i="17"/>
  <c r="H464" i="17"/>
  <c r="I464" i="17"/>
  <c r="J464" i="17"/>
  <c r="H465" i="17"/>
  <c r="I465" i="17"/>
  <c r="J465" i="17"/>
  <c r="H466" i="17"/>
  <c r="I466" i="17"/>
  <c r="J466" i="17"/>
  <c r="H467" i="17"/>
  <c r="I467" i="17"/>
  <c r="J467" i="17"/>
  <c r="H468" i="17"/>
  <c r="I468" i="17"/>
  <c r="J468" i="17"/>
  <c r="H469" i="17"/>
  <c r="I469" i="17"/>
  <c r="J469" i="17"/>
  <c r="H470" i="17"/>
  <c r="I470" i="17"/>
  <c r="J470" i="17"/>
  <c r="H471" i="17"/>
  <c r="I471" i="17"/>
  <c r="J471" i="17"/>
  <c r="H472" i="17"/>
  <c r="I472" i="17"/>
  <c r="J472" i="17"/>
  <c r="H473" i="17"/>
  <c r="I473" i="17"/>
  <c r="J473" i="17"/>
  <c r="H474" i="17"/>
  <c r="I474" i="17"/>
  <c r="J474" i="17"/>
  <c r="H475" i="17"/>
  <c r="I475" i="17"/>
  <c r="J475" i="17"/>
  <c r="H476" i="17"/>
  <c r="I476" i="17"/>
  <c r="J476" i="17"/>
  <c r="H477" i="17"/>
  <c r="I477" i="17"/>
  <c r="J477" i="17"/>
  <c r="H478" i="17"/>
  <c r="I478" i="17"/>
  <c r="J478" i="17"/>
  <c r="H479" i="17"/>
  <c r="I479" i="17"/>
  <c r="J479" i="17"/>
  <c r="H480" i="17"/>
  <c r="I480" i="17"/>
  <c r="J480" i="17"/>
  <c r="H481" i="17"/>
  <c r="I481" i="17"/>
  <c r="J481" i="17"/>
  <c r="H482" i="17"/>
  <c r="I482" i="17"/>
  <c r="J482" i="17"/>
  <c r="H483" i="17"/>
  <c r="I483" i="17"/>
  <c r="J483" i="17"/>
  <c r="H484" i="17"/>
  <c r="I484" i="17"/>
  <c r="J484" i="17"/>
  <c r="H485" i="17"/>
  <c r="I485" i="17"/>
  <c r="J485" i="17"/>
  <c r="H486" i="17"/>
  <c r="I486" i="17"/>
  <c r="J486" i="17"/>
  <c r="H487" i="17"/>
  <c r="I487" i="17"/>
  <c r="J487" i="17"/>
  <c r="H488" i="17"/>
  <c r="I488" i="17"/>
  <c r="J488" i="17"/>
  <c r="H489" i="17"/>
  <c r="I489" i="17"/>
  <c r="J489" i="17"/>
  <c r="W489" i="17" s="1"/>
  <c r="H490" i="17"/>
  <c r="I490" i="17"/>
  <c r="J490" i="17"/>
  <c r="W490" i="17" s="1"/>
  <c r="H491" i="17"/>
  <c r="I491" i="17"/>
  <c r="J491" i="17"/>
  <c r="W491" i="17" s="1"/>
  <c r="H492" i="17"/>
  <c r="I492" i="17"/>
  <c r="J492" i="17"/>
  <c r="W492" i="17" s="1"/>
  <c r="L489" i="17"/>
  <c r="L490" i="17"/>
  <c r="L491" i="17"/>
  <c r="B489" i="17"/>
  <c r="B490" i="17"/>
  <c r="B491" i="17"/>
  <c r="W487" i="17" l="1"/>
  <c r="W488" i="17"/>
  <c r="R486" i="17"/>
  <c r="S486" i="17"/>
  <c r="T486" i="17"/>
  <c r="W486" i="17" s="1"/>
  <c r="L474" i="17"/>
  <c r="L475" i="17"/>
  <c r="L476" i="17"/>
  <c r="L477" i="17"/>
  <c r="L478" i="17"/>
  <c r="L479" i="17"/>
  <c r="L480" i="17"/>
  <c r="L481" i="17"/>
  <c r="L482" i="17"/>
  <c r="L483" i="17"/>
  <c r="L484" i="17"/>
  <c r="L485" i="17"/>
  <c r="L486" i="17"/>
  <c r="L487" i="17"/>
  <c r="L488" i="17"/>
  <c r="B486" i="17"/>
  <c r="B487" i="17"/>
  <c r="B488" i="17"/>
  <c r="H136" i="23"/>
  <c r="I136" i="23"/>
  <c r="J136" i="23"/>
  <c r="O136" i="23"/>
  <c r="P136" i="23"/>
  <c r="Q136" i="23"/>
  <c r="CF75" i="20"/>
  <c r="T136" i="23" l="1"/>
  <c r="H137" i="23"/>
  <c r="B482" i="17" l="1"/>
  <c r="B483" i="17"/>
  <c r="B484" i="17"/>
  <c r="B485" i="17"/>
  <c r="R482" i="17"/>
  <c r="S482" i="17"/>
  <c r="T482" i="17"/>
  <c r="W482" i="17" s="1"/>
  <c r="R483" i="17"/>
  <c r="S483" i="17"/>
  <c r="T483" i="17"/>
  <c r="W483" i="17" s="1"/>
  <c r="R484" i="17"/>
  <c r="S484" i="17"/>
  <c r="T484" i="17"/>
  <c r="W484" i="17" s="1"/>
  <c r="R485" i="17"/>
  <c r="S485" i="17"/>
  <c r="T485" i="17"/>
  <c r="W485" i="17" s="1"/>
  <c r="CF74" i="20" l="1"/>
  <c r="CG74" i="20"/>
  <c r="CH74" i="20"/>
  <c r="CI74" i="20"/>
  <c r="CJ74" i="20"/>
  <c r="CK74" i="20"/>
  <c r="CL74" i="20"/>
  <c r="CM74" i="20"/>
  <c r="CN74" i="20"/>
  <c r="CO74" i="20"/>
  <c r="CP74" i="20"/>
  <c r="CQ74" i="20"/>
  <c r="CR74" i="20"/>
  <c r="CS74" i="20"/>
  <c r="CT74" i="20"/>
  <c r="CU74" i="20"/>
  <c r="CV74" i="20"/>
  <c r="CG75" i="20"/>
  <c r="CH75" i="20"/>
  <c r="CI75" i="20"/>
  <c r="CJ75" i="20"/>
  <c r="CK75" i="20"/>
  <c r="CL75" i="20"/>
  <c r="CM75" i="20"/>
  <c r="CN75" i="20"/>
  <c r="CO75" i="20"/>
  <c r="CP75" i="20"/>
  <c r="CQ75" i="20"/>
  <c r="CR75" i="20"/>
  <c r="CS75" i="20"/>
  <c r="CT75" i="20"/>
  <c r="CU75" i="20"/>
  <c r="CV75" i="20"/>
  <c r="CF76" i="20"/>
  <c r="CG76" i="20"/>
  <c r="CH76" i="20"/>
  <c r="CI76" i="20"/>
  <c r="CJ76" i="20"/>
  <c r="CK76" i="20"/>
  <c r="CL76" i="20"/>
  <c r="CM76" i="20"/>
  <c r="CN76" i="20"/>
  <c r="CO76" i="20"/>
  <c r="CP76" i="20"/>
  <c r="CQ76" i="20"/>
  <c r="CR76" i="20"/>
  <c r="CS76" i="20"/>
  <c r="CT76" i="20"/>
  <c r="CU76" i="20"/>
  <c r="CV76" i="20"/>
  <c r="CF77" i="20"/>
  <c r="CG77" i="20"/>
  <c r="CH77" i="20"/>
  <c r="CI77" i="20"/>
  <c r="CJ77" i="20"/>
  <c r="CK77" i="20"/>
  <c r="CL77" i="20"/>
  <c r="CM77" i="20"/>
  <c r="CN77" i="20"/>
  <c r="CO77" i="20"/>
  <c r="CP77" i="20"/>
  <c r="CQ77" i="20"/>
  <c r="CR77" i="20"/>
  <c r="CS77" i="20"/>
  <c r="CT77" i="20"/>
  <c r="CU77" i="20"/>
  <c r="CV77" i="20"/>
  <c r="CF78" i="20"/>
  <c r="CG78" i="20"/>
  <c r="CH78" i="20"/>
  <c r="CI78" i="20"/>
  <c r="CJ78" i="20"/>
  <c r="CK78" i="20"/>
  <c r="CL78" i="20"/>
  <c r="CM78" i="20"/>
  <c r="CN78" i="20"/>
  <c r="CO78" i="20"/>
  <c r="CP78" i="20"/>
  <c r="CQ78" i="20"/>
  <c r="CR78" i="20"/>
  <c r="CS78" i="20"/>
  <c r="CT78" i="20"/>
  <c r="CU78" i="20"/>
  <c r="CV78" i="20"/>
  <c r="CF79" i="20"/>
  <c r="CG79" i="20"/>
  <c r="CH79" i="20"/>
  <c r="CI79" i="20"/>
  <c r="CJ79" i="20"/>
  <c r="CK79" i="20"/>
  <c r="CL79" i="20"/>
  <c r="CM79" i="20"/>
  <c r="CN79" i="20"/>
  <c r="CO79" i="20"/>
  <c r="CP79" i="20"/>
  <c r="CQ79" i="20"/>
  <c r="CR79" i="20"/>
  <c r="CS79" i="20"/>
  <c r="CT79" i="20"/>
  <c r="CU79" i="20"/>
  <c r="CV79" i="20"/>
  <c r="CF80" i="20"/>
  <c r="CG80" i="20"/>
  <c r="CH80" i="20"/>
  <c r="CI80" i="20"/>
  <c r="CJ80" i="20"/>
  <c r="CK80" i="20"/>
  <c r="CL80" i="20"/>
  <c r="CM80" i="20"/>
  <c r="CN80" i="20"/>
  <c r="CO80" i="20"/>
  <c r="CP80" i="20"/>
  <c r="CQ80" i="20"/>
  <c r="CR80" i="20"/>
  <c r="CS80" i="20"/>
  <c r="CT80" i="20"/>
  <c r="CU80" i="20"/>
  <c r="CV80" i="20"/>
  <c r="CF81" i="20"/>
  <c r="CG81" i="20"/>
  <c r="CH81" i="20"/>
  <c r="CI81" i="20"/>
  <c r="CJ81" i="20"/>
  <c r="CK81" i="20"/>
  <c r="CL81" i="20"/>
  <c r="CM81" i="20"/>
  <c r="CN81" i="20"/>
  <c r="CO81" i="20"/>
  <c r="CP81" i="20"/>
  <c r="CQ81" i="20"/>
  <c r="CR81" i="20"/>
  <c r="CS81" i="20"/>
  <c r="CT81" i="20"/>
  <c r="CU81" i="20"/>
  <c r="CV81" i="20"/>
  <c r="CF82" i="20"/>
  <c r="CG82" i="20"/>
  <c r="CH82" i="20"/>
  <c r="CI82" i="20"/>
  <c r="CJ82" i="20"/>
  <c r="CK82" i="20"/>
  <c r="CL82" i="20"/>
  <c r="CM82" i="20"/>
  <c r="CN82" i="20"/>
  <c r="CO82" i="20"/>
  <c r="CP82" i="20"/>
  <c r="CQ82" i="20"/>
  <c r="CR82" i="20"/>
  <c r="CS82" i="20"/>
  <c r="CT82" i="20"/>
  <c r="CU82" i="20"/>
  <c r="CV82" i="20"/>
  <c r="CF83" i="20"/>
  <c r="CG83" i="20"/>
  <c r="CH83" i="20"/>
  <c r="CI83" i="20"/>
  <c r="CJ83" i="20"/>
  <c r="CK83" i="20"/>
  <c r="CL83" i="20"/>
  <c r="CM83" i="20"/>
  <c r="CO83" i="20"/>
  <c r="CQ83" i="20"/>
  <c r="CR83" i="20"/>
  <c r="CS83" i="20"/>
  <c r="CT83" i="20"/>
  <c r="CU83" i="20"/>
  <c r="CV83" i="20"/>
  <c r="CF84" i="20"/>
  <c r="CG84" i="20"/>
  <c r="CH84" i="20"/>
  <c r="CI84" i="20"/>
  <c r="CJ84" i="20"/>
  <c r="CK84" i="20"/>
  <c r="CL84" i="20"/>
  <c r="CM84" i="20"/>
  <c r="CN84" i="20"/>
  <c r="CQ84" i="20"/>
  <c r="CR84" i="20"/>
  <c r="CS84" i="20"/>
  <c r="CT84" i="20"/>
  <c r="CU84" i="20"/>
  <c r="CV84" i="20"/>
  <c r="CF85" i="20"/>
  <c r="CG85" i="20"/>
  <c r="CH85" i="20"/>
  <c r="CI85" i="20"/>
  <c r="CJ85" i="20"/>
  <c r="CK85" i="20"/>
  <c r="CL85" i="20"/>
  <c r="CM85" i="20"/>
  <c r="CN85" i="20"/>
  <c r="CQ85" i="20"/>
  <c r="CR85" i="20"/>
  <c r="CS85" i="20"/>
  <c r="CT85" i="20"/>
  <c r="CU85" i="20"/>
  <c r="CV85" i="20"/>
  <c r="CF86" i="20"/>
  <c r="CG86" i="20"/>
  <c r="CH86" i="20"/>
  <c r="CI86" i="20"/>
  <c r="CJ86" i="20"/>
  <c r="CK86" i="20"/>
  <c r="CL86" i="20"/>
  <c r="CM86" i="20"/>
  <c r="CN86" i="20"/>
  <c r="CQ86" i="20"/>
  <c r="CR86" i="20"/>
  <c r="CS86" i="20"/>
  <c r="CT86" i="20"/>
  <c r="CU86" i="20"/>
  <c r="CV86" i="20"/>
  <c r="CF87" i="20"/>
  <c r="CG87" i="20"/>
  <c r="CH87" i="20"/>
  <c r="CI87" i="20"/>
  <c r="CJ87" i="20"/>
  <c r="CK87" i="20"/>
  <c r="CL87" i="20"/>
  <c r="CM87" i="20"/>
  <c r="CN87" i="20"/>
  <c r="CQ87" i="20"/>
  <c r="CR87" i="20"/>
  <c r="CS87" i="20"/>
  <c r="CT87" i="20"/>
  <c r="CU87" i="20"/>
  <c r="CV87" i="20"/>
  <c r="CF88" i="20"/>
  <c r="CG88" i="20"/>
  <c r="CH88" i="20"/>
  <c r="CI88" i="20"/>
  <c r="CJ88" i="20"/>
  <c r="CK88" i="20"/>
  <c r="CL88" i="20"/>
  <c r="CM88" i="20"/>
  <c r="CN88" i="20"/>
  <c r="CQ88" i="20"/>
  <c r="CR88" i="20"/>
  <c r="CS88" i="20"/>
  <c r="CT88" i="20"/>
  <c r="CU88" i="20"/>
  <c r="CV88" i="20"/>
  <c r="CF89" i="20"/>
  <c r="CG89" i="20"/>
  <c r="CH89" i="20"/>
  <c r="CI89" i="20"/>
  <c r="CJ89" i="20"/>
  <c r="CK89" i="20"/>
  <c r="CL89" i="20"/>
  <c r="CM89" i="20"/>
  <c r="CN89" i="20"/>
  <c r="CQ89" i="20"/>
  <c r="CR89" i="20"/>
  <c r="CS89" i="20"/>
  <c r="CT89" i="20"/>
  <c r="CU89" i="20"/>
  <c r="CV89" i="20"/>
  <c r="CF90" i="20"/>
  <c r="CG90" i="20"/>
  <c r="CH90" i="20"/>
  <c r="CI90" i="20"/>
  <c r="CJ90" i="20"/>
  <c r="CK90" i="20"/>
  <c r="CL90" i="20"/>
  <c r="CM90" i="20"/>
  <c r="CN90" i="20"/>
  <c r="CQ90" i="20"/>
  <c r="CR90" i="20"/>
  <c r="CS90" i="20"/>
  <c r="CT90" i="20"/>
  <c r="CU90" i="20"/>
  <c r="CV90" i="20"/>
  <c r="CF91" i="20"/>
  <c r="CG91" i="20"/>
  <c r="CH91" i="20"/>
  <c r="CI91" i="20"/>
  <c r="CJ91" i="20"/>
  <c r="CK91" i="20"/>
  <c r="CL91" i="20"/>
  <c r="CM91" i="20"/>
  <c r="CP91" i="20"/>
  <c r="CQ91" i="20"/>
  <c r="CR91" i="20"/>
  <c r="CS91" i="20"/>
  <c r="CT91" i="20"/>
  <c r="CU91" i="20"/>
  <c r="CV91" i="20"/>
  <c r="CF92" i="20"/>
  <c r="CG92" i="20"/>
  <c r="CH92" i="20"/>
  <c r="CI92" i="20"/>
  <c r="CJ92" i="20"/>
  <c r="CK92" i="20"/>
  <c r="CL92" i="20"/>
  <c r="CM92" i="20"/>
  <c r="CP92" i="20"/>
  <c r="CQ92" i="20"/>
  <c r="CR92" i="20"/>
  <c r="CS92" i="20"/>
  <c r="CT92" i="20"/>
  <c r="CU92" i="20"/>
  <c r="CV92" i="20"/>
  <c r="CF93" i="20"/>
  <c r="CG93" i="20"/>
  <c r="CH93" i="20"/>
  <c r="CI93" i="20"/>
  <c r="CJ93" i="20"/>
  <c r="CK93" i="20"/>
  <c r="CL93" i="20"/>
  <c r="CM93" i="20"/>
  <c r="CP93" i="20"/>
  <c r="CQ93" i="20"/>
  <c r="CR93" i="20"/>
  <c r="CS93" i="20"/>
  <c r="CT93" i="20"/>
  <c r="CU93" i="20"/>
  <c r="CV93" i="20"/>
  <c r="CF94" i="20"/>
  <c r="CG94" i="20"/>
  <c r="CH94" i="20"/>
  <c r="CI94" i="20"/>
  <c r="CJ94" i="20"/>
  <c r="CK94" i="20"/>
  <c r="CL94" i="20"/>
  <c r="CM94" i="20"/>
  <c r="CN94" i="20"/>
  <c r="CO94" i="20"/>
  <c r="CP94" i="20"/>
  <c r="CQ94" i="20"/>
  <c r="CR94" i="20"/>
  <c r="CS94" i="20"/>
  <c r="CT94" i="20"/>
  <c r="CU94" i="20"/>
  <c r="CV94" i="20"/>
  <c r="CG95" i="20"/>
  <c r="CH95" i="20"/>
  <c r="CI95" i="20"/>
  <c r="CJ95" i="20"/>
  <c r="CK95" i="20"/>
  <c r="CL95" i="20"/>
  <c r="CM95" i="20"/>
  <c r="CN95" i="20"/>
  <c r="CO95" i="20"/>
  <c r="CP95" i="20"/>
  <c r="CQ95" i="20"/>
  <c r="CR95" i="20"/>
  <c r="CS95" i="20"/>
  <c r="CT95" i="20"/>
  <c r="CU95" i="20"/>
  <c r="CV95" i="20"/>
  <c r="CH96" i="20"/>
  <c r="CI96" i="20"/>
  <c r="CJ96" i="20"/>
  <c r="CK96" i="20"/>
  <c r="CL96" i="20"/>
  <c r="CM96" i="20"/>
  <c r="CN96" i="20"/>
  <c r="CO96" i="20"/>
  <c r="CP96" i="20"/>
  <c r="CQ96" i="20"/>
  <c r="CR96" i="20"/>
  <c r="CS96" i="20"/>
  <c r="CT96" i="20"/>
  <c r="CU96" i="20"/>
  <c r="CV96" i="20"/>
  <c r="CF97" i="20"/>
  <c r="CH97" i="20"/>
  <c r="CI97" i="20"/>
  <c r="CJ97" i="20"/>
  <c r="CK97" i="20"/>
  <c r="CL97" i="20"/>
  <c r="CM97" i="20"/>
  <c r="CN97" i="20"/>
  <c r="CO97" i="20"/>
  <c r="CP97" i="20"/>
  <c r="CQ97" i="20"/>
  <c r="CR97" i="20"/>
  <c r="CS97" i="20"/>
  <c r="CT97" i="20"/>
  <c r="CU97" i="20"/>
  <c r="CV97" i="20"/>
  <c r="CH98" i="20"/>
  <c r="CI98" i="20"/>
  <c r="CJ98" i="20"/>
  <c r="CK98" i="20"/>
  <c r="CL98" i="20"/>
  <c r="CM98" i="20"/>
  <c r="CN98" i="20"/>
  <c r="CO98" i="20"/>
  <c r="CP98" i="20"/>
  <c r="CQ98" i="20"/>
  <c r="CR98" i="20"/>
  <c r="CS98" i="20"/>
  <c r="CT98" i="20"/>
  <c r="CU98" i="20"/>
  <c r="CV98" i="20"/>
  <c r="CH99" i="20"/>
  <c r="CI99" i="20"/>
  <c r="CJ99" i="20"/>
  <c r="CK99" i="20"/>
  <c r="CL99" i="20"/>
  <c r="CM99" i="20"/>
  <c r="CN99" i="20"/>
  <c r="CO99" i="20"/>
  <c r="CP99" i="20"/>
  <c r="CQ99" i="20"/>
  <c r="CR99" i="20"/>
  <c r="CS99" i="20"/>
  <c r="CT99" i="20"/>
  <c r="CU99" i="20"/>
  <c r="CV99" i="20"/>
  <c r="CH100" i="20"/>
  <c r="CI100" i="20"/>
  <c r="CJ100" i="20"/>
  <c r="CK100" i="20"/>
  <c r="CL100" i="20"/>
  <c r="CM100" i="20"/>
  <c r="CN100" i="20"/>
  <c r="CO100" i="20"/>
  <c r="CP100" i="20"/>
  <c r="CQ100" i="20"/>
  <c r="CR100" i="20"/>
  <c r="CS100" i="20"/>
  <c r="CT100" i="20"/>
  <c r="CU100" i="20"/>
  <c r="CV100" i="20"/>
  <c r="CG101" i="20"/>
  <c r="CH101" i="20"/>
  <c r="CI101" i="20"/>
  <c r="CJ101" i="20"/>
  <c r="CK101" i="20"/>
  <c r="CL101" i="20"/>
  <c r="CM101" i="20"/>
  <c r="CN101" i="20"/>
  <c r="CO101" i="20"/>
  <c r="CP101" i="20"/>
  <c r="CQ101" i="20"/>
  <c r="CR101" i="20"/>
  <c r="CS101" i="20"/>
  <c r="CT101" i="20"/>
  <c r="CU101" i="20"/>
  <c r="CV101" i="20"/>
  <c r="CG102" i="20"/>
  <c r="CH102" i="20"/>
  <c r="CI102" i="20"/>
  <c r="CJ102" i="20"/>
  <c r="CK102" i="20"/>
  <c r="CL102" i="20"/>
  <c r="CM102" i="20"/>
  <c r="CN102" i="20"/>
  <c r="CO102" i="20"/>
  <c r="CP102" i="20"/>
  <c r="CQ102" i="20"/>
  <c r="CR102" i="20"/>
  <c r="CS102" i="20"/>
  <c r="CT102" i="20"/>
  <c r="CU102" i="20"/>
  <c r="CV102" i="20"/>
  <c r="CG103" i="20"/>
  <c r="CH103" i="20"/>
  <c r="CI103" i="20"/>
  <c r="CJ103" i="20"/>
  <c r="CK103" i="20"/>
  <c r="CL103" i="20"/>
  <c r="CM103" i="20"/>
  <c r="CN103" i="20"/>
  <c r="CO103" i="20"/>
  <c r="CP103" i="20"/>
  <c r="CQ103" i="20"/>
  <c r="CR103" i="20"/>
  <c r="CS103" i="20"/>
  <c r="CT103" i="20"/>
  <c r="CU103" i="20"/>
  <c r="CV103" i="20"/>
  <c r="CG104" i="20"/>
  <c r="CH104" i="20"/>
  <c r="CI104" i="20"/>
  <c r="CJ104" i="20"/>
  <c r="CK104" i="20"/>
  <c r="CL104" i="20"/>
  <c r="CM104" i="20"/>
  <c r="CN104" i="20"/>
  <c r="CO104" i="20"/>
  <c r="CP104" i="20"/>
  <c r="CQ104" i="20"/>
  <c r="CR104" i="20"/>
  <c r="CS104" i="20"/>
  <c r="CT104" i="20"/>
  <c r="CU104" i="20"/>
  <c r="CV104" i="20"/>
  <c r="CG105" i="20"/>
  <c r="CH105" i="20"/>
  <c r="CI105" i="20"/>
  <c r="DF105" i="20" s="1"/>
  <c r="CJ105" i="20"/>
  <c r="CK105" i="20"/>
  <c r="CL105" i="20"/>
  <c r="CM105" i="20"/>
  <c r="CN105" i="20"/>
  <c r="CO105" i="20"/>
  <c r="CP105" i="20"/>
  <c r="CQ105" i="20"/>
  <c r="CR105" i="20"/>
  <c r="CS105" i="20"/>
  <c r="CT105" i="20"/>
  <c r="CU105" i="20"/>
  <c r="CV105" i="20"/>
  <c r="CG106" i="20"/>
  <c r="CH106" i="20"/>
  <c r="CI106" i="20"/>
  <c r="DF106" i="20" s="1"/>
  <c r="CJ106" i="20"/>
  <c r="CK106" i="20"/>
  <c r="CL106" i="20"/>
  <c r="CM106" i="20"/>
  <c r="CN106" i="20"/>
  <c r="CO106" i="20"/>
  <c r="CP106" i="20"/>
  <c r="CQ106" i="20"/>
  <c r="CR106" i="20"/>
  <c r="CS106" i="20"/>
  <c r="CT106" i="20"/>
  <c r="CU106" i="20"/>
  <c r="CV106" i="20"/>
  <c r="CG107" i="20"/>
  <c r="CH107" i="20"/>
  <c r="CI107" i="20"/>
  <c r="DF107" i="20" s="1"/>
  <c r="CJ107" i="20"/>
  <c r="CK107" i="20"/>
  <c r="CL107" i="20"/>
  <c r="CM107" i="20"/>
  <c r="CN107" i="20"/>
  <c r="CO107" i="20"/>
  <c r="CP107" i="20"/>
  <c r="CQ107" i="20"/>
  <c r="CR107" i="20"/>
  <c r="CS107" i="20"/>
  <c r="CT107" i="20"/>
  <c r="CU107" i="20"/>
  <c r="CV107" i="20"/>
  <c r="CG108" i="20"/>
  <c r="CH108" i="20"/>
  <c r="CI108" i="20"/>
  <c r="CJ108" i="20"/>
  <c r="CK108" i="20"/>
  <c r="CL108" i="20"/>
  <c r="CM108" i="20"/>
  <c r="CN108" i="20"/>
  <c r="CO108" i="20"/>
  <c r="CP108" i="20"/>
  <c r="CQ108" i="20"/>
  <c r="CR108" i="20"/>
  <c r="CS108" i="20"/>
  <c r="CT108" i="20"/>
  <c r="CU108" i="20"/>
  <c r="CV108" i="20"/>
  <c r="CG109" i="20"/>
  <c r="CH109" i="20"/>
  <c r="CI109" i="20"/>
  <c r="DF109" i="20" s="1"/>
  <c r="CJ109" i="20"/>
  <c r="CK109" i="20"/>
  <c r="CL109" i="20"/>
  <c r="CM109" i="20"/>
  <c r="CN109" i="20"/>
  <c r="CO109" i="20"/>
  <c r="CP109" i="20"/>
  <c r="CQ109" i="20"/>
  <c r="CR109" i="20"/>
  <c r="CS109" i="20"/>
  <c r="CT109" i="20"/>
  <c r="CU109" i="20"/>
  <c r="CV109" i="20"/>
  <c r="CG110" i="20"/>
  <c r="CH110" i="20"/>
  <c r="CI110" i="20"/>
  <c r="DF110" i="20" s="1"/>
  <c r="CJ110" i="20"/>
  <c r="CK110" i="20"/>
  <c r="CL110" i="20"/>
  <c r="CM110" i="20"/>
  <c r="CN110" i="20"/>
  <c r="CO110" i="20"/>
  <c r="CP110" i="20"/>
  <c r="CQ110" i="20"/>
  <c r="CR110" i="20"/>
  <c r="CS110" i="20"/>
  <c r="CT110" i="20"/>
  <c r="CU110" i="20"/>
  <c r="CV110" i="20"/>
  <c r="CG111" i="20"/>
  <c r="CH111" i="20"/>
  <c r="DD111" i="20" s="1"/>
  <c r="CI111" i="20"/>
  <c r="DF111" i="20" s="1"/>
  <c r="CJ111" i="20"/>
  <c r="CK111" i="20"/>
  <c r="CL111" i="20"/>
  <c r="CM111" i="20"/>
  <c r="CO111" i="20"/>
  <c r="CP111" i="20"/>
  <c r="CQ111" i="20"/>
  <c r="CR111" i="20"/>
  <c r="CS111" i="20"/>
  <c r="CT111" i="20"/>
  <c r="CU111" i="20"/>
  <c r="CV111" i="20"/>
  <c r="CG112" i="20"/>
  <c r="CH112" i="20"/>
  <c r="CI112" i="20"/>
  <c r="CJ112" i="20"/>
  <c r="CK112" i="20"/>
  <c r="CL112" i="20"/>
  <c r="CM112" i="20"/>
  <c r="CN112" i="20"/>
  <c r="CO112" i="20"/>
  <c r="CP112" i="20"/>
  <c r="CQ112" i="20"/>
  <c r="CS112" i="20"/>
  <c r="CT112" i="20"/>
  <c r="CU112" i="20"/>
  <c r="CV112" i="20"/>
  <c r="CG113" i="20"/>
  <c r="CH113" i="20"/>
  <c r="CI113" i="20"/>
  <c r="DF113" i="20" s="1"/>
  <c r="CJ113" i="20"/>
  <c r="CK113" i="20"/>
  <c r="CL113" i="20"/>
  <c r="CM113" i="20"/>
  <c r="CN113" i="20"/>
  <c r="CO113" i="20"/>
  <c r="CP113" i="20"/>
  <c r="CQ113" i="20"/>
  <c r="CS113" i="20"/>
  <c r="CT113" i="20"/>
  <c r="CU113" i="20"/>
  <c r="CV113" i="20"/>
  <c r="CG114" i="20"/>
  <c r="CH114" i="20"/>
  <c r="CI114" i="20"/>
  <c r="DF114" i="20" s="1"/>
  <c r="CJ114" i="20"/>
  <c r="CK114" i="20"/>
  <c r="CL114" i="20"/>
  <c r="CM114" i="20"/>
  <c r="CN114" i="20"/>
  <c r="CO114" i="20"/>
  <c r="CP114" i="20"/>
  <c r="CQ114" i="20"/>
  <c r="CS114" i="20"/>
  <c r="CT114" i="20"/>
  <c r="CU114" i="20"/>
  <c r="CV114" i="20"/>
  <c r="CG115" i="20"/>
  <c r="CH115" i="20"/>
  <c r="CI115" i="20"/>
  <c r="CJ115" i="20"/>
  <c r="CK115" i="20"/>
  <c r="CL115" i="20"/>
  <c r="CM115" i="20"/>
  <c r="CN115" i="20"/>
  <c r="CO115" i="20"/>
  <c r="CS115" i="20"/>
  <c r="CT115" i="20"/>
  <c r="CU115" i="20"/>
  <c r="CV115" i="20"/>
  <c r="CG116" i="20"/>
  <c r="CH116" i="20"/>
  <c r="CI116" i="20"/>
  <c r="CJ116" i="20"/>
  <c r="CK116" i="20"/>
  <c r="CL116" i="20"/>
  <c r="CM116" i="20"/>
  <c r="CN116" i="20"/>
  <c r="CO116" i="20"/>
  <c r="CP116" i="20"/>
  <c r="CQ116" i="20"/>
  <c r="CS116" i="20"/>
  <c r="CT116" i="20"/>
  <c r="CU116" i="20"/>
  <c r="CV116" i="20"/>
  <c r="CG117" i="20"/>
  <c r="CH117" i="20"/>
  <c r="CI117" i="20"/>
  <c r="CJ117" i="20"/>
  <c r="CK117" i="20"/>
  <c r="CL117" i="20"/>
  <c r="CM117" i="20"/>
  <c r="CN117" i="20"/>
  <c r="CO117" i="20"/>
  <c r="CP117" i="20"/>
  <c r="CQ117" i="20"/>
  <c r="CR117" i="20"/>
  <c r="CS117" i="20"/>
  <c r="CT117" i="20"/>
  <c r="CU117" i="20"/>
  <c r="CV117" i="20"/>
  <c r="CG118" i="20"/>
  <c r="CH118" i="20"/>
  <c r="CI118" i="20"/>
  <c r="DF118" i="20" s="1"/>
  <c r="CJ118" i="20"/>
  <c r="CK118" i="20"/>
  <c r="CL118" i="20"/>
  <c r="CM118" i="20"/>
  <c r="CN118" i="20"/>
  <c r="CO118" i="20"/>
  <c r="CP118" i="20"/>
  <c r="CQ118" i="20"/>
  <c r="CR118" i="20"/>
  <c r="CS118" i="20"/>
  <c r="CT118" i="20"/>
  <c r="CU118" i="20"/>
  <c r="CV118" i="20"/>
  <c r="CG119" i="20"/>
  <c r="CH119" i="20"/>
  <c r="CI119" i="20"/>
  <c r="CJ119" i="20"/>
  <c r="CK119" i="20"/>
  <c r="CL119" i="20"/>
  <c r="CM119" i="20"/>
  <c r="CN119" i="20"/>
  <c r="CO119" i="20"/>
  <c r="CP119" i="20"/>
  <c r="CQ119" i="20"/>
  <c r="CR119" i="20"/>
  <c r="CS119" i="20"/>
  <c r="CT119" i="20"/>
  <c r="CU119" i="20"/>
  <c r="CV119" i="20"/>
  <c r="CG120" i="20"/>
  <c r="CH120" i="20"/>
  <c r="CI120" i="20"/>
  <c r="CJ120" i="20"/>
  <c r="CK120" i="20"/>
  <c r="CL120" i="20"/>
  <c r="CM120" i="20"/>
  <c r="CN120" i="20"/>
  <c r="CO120" i="20"/>
  <c r="CP120" i="20"/>
  <c r="CQ120" i="20"/>
  <c r="CR120" i="20"/>
  <c r="CS120" i="20"/>
  <c r="CT120" i="20"/>
  <c r="CU120" i="20"/>
  <c r="CV120" i="20"/>
  <c r="CG121" i="20"/>
  <c r="CH121" i="20"/>
  <c r="CI121" i="20"/>
  <c r="CJ121" i="20"/>
  <c r="CK121" i="20"/>
  <c r="CL121" i="20"/>
  <c r="CM121" i="20"/>
  <c r="CN121" i="20"/>
  <c r="CO121" i="20"/>
  <c r="CP121" i="20"/>
  <c r="CQ121" i="20"/>
  <c r="CR121" i="20"/>
  <c r="CS121" i="20"/>
  <c r="CT121" i="20"/>
  <c r="CU121" i="20"/>
  <c r="CV121" i="20"/>
  <c r="CG122" i="20"/>
  <c r="CH122" i="20"/>
  <c r="CI122" i="20"/>
  <c r="CJ122" i="20"/>
  <c r="CK122" i="20"/>
  <c r="CL122" i="20"/>
  <c r="CM122" i="20"/>
  <c r="CN122" i="20"/>
  <c r="CO122" i="20"/>
  <c r="CP122" i="20"/>
  <c r="CQ122" i="20"/>
  <c r="CR122" i="20"/>
  <c r="CS122" i="20"/>
  <c r="CT122" i="20"/>
  <c r="CU122" i="20"/>
  <c r="CV122" i="20"/>
  <c r="CG123" i="20"/>
  <c r="CH123" i="20"/>
  <c r="CI123" i="20"/>
  <c r="CJ123" i="20"/>
  <c r="CK123" i="20"/>
  <c r="CL123" i="20"/>
  <c r="CM123" i="20"/>
  <c r="CN123" i="20"/>
  <c r="CO123" i="20"/>
  <c r="CP123" i="20"/>
  <c r="CQ123" i="20"/>
  <c r="CR123" i="20"/>
  <c r="CS123" i="20"/>
  <c r="CT123" i="20"/>
  <c r="CU123" i="20"/>
  <c r="CV123" i="20"/>
  <c r="CG124" i="20"/>
  <c r="CH124" i="20"/>
  <c r="CI124" i="20"/>
  <c r="CJ124" i="20"/>
  <c r="CK124" i="20"/>
  <c r="CL124" i="20"/>
  <c r="CM124" i="20"/>
  <c r="CN124" i="20"/>
  <c r="CO124" i="20"/>
  <c r="CP124" i="20"/>
  <c r="CQ124" i="20"/>
  <c r="CR124" i="20"/>
  <c r="CS124" i="20"/>
  <c r="CT124" i="20"/>
  <c r="CU124" i="20"/>
  <c r="CV124" i="20"/>
  <c r="CG125" i="20"/>
  <c r="CH125" i="20"/>
  <c r="CI125" i="20"/>
  <c r="CJ125" i="20"/>
  <c r="CK125" i="20"/>
  <c r="CL125" i="20"/>
  <c r="CM125" i="20"/>
  <c r="CN125" i="20"/>
  <c r="CO125" i="20"/>
  <c r="CP125" i="20"/>
  <c r="CQ125" i="20"/>
  <c r="CR125" i="20"/>
  <c r="CS125" i="20"/>
  <c r="CT125" i="20"/>
  <c r="CU125" i="20"/>
  <c r="CV125" i="20"/>
  <c r="CG126" i="20"/>
  <c r="CH126" i="20"/>
  <c r="CI126" i="20"/>
  <c r="CJ126" i="20"/>
  <c r="CK126" i="20"/>
  <c r="CL126" i="20"/>
  <c r="CM126" i="20"/>
  <c r="CN126" i="20"/>
  <c r="CO126" i="20"/>
  <c r="CP126" i="20"/>
  <c r="CQ126" i="20"/>
  <c r="CR126" i="20"/>
  <c r="CS126" i="20"/>
  <c r="CT126" i="20"/>
  <c r="CU126" i="20"/>
  <c r="CV126" i="20"/>
  <c r="CG127" i="20"/>
  <c r="CH127" i="20"/>
  <c r="CI127" i="20"/>
  <c r="CJ127" i="20"/>
  <c r="CK127" i="20"/>
  <c r="CL127" i="20"/>
  <c r="CM127" i="20"/>
  <c r="CN127" i="20"/>
  <c r="CO127" i="20"/>
  <c r="CP127" i="20"/>
  <c r="CQ127" i="20"/>
  <c r="CR127" i="20"/>
  <c r="CS127" i="20"/>
  <c r="CT127" i="20"/>
  <c r="CU127" i="20"/>
  <c r="CV127" i="20"/>
  <c r="CG128" i="20"/>
  <c r="CH128" i="20"/>
  <c r="CI128" i="20"/>
  <c r="CJ128" i="20"/>
  <c r="CK128" i="20"/>
  <c r="CL128" i="20"/>
  <c r="CM128" i="20"/>
  <c r="CN128" i="20"/>
  <c r="CO128" i="20"/>
  <c r="CP128" i="20"/>
  <c r="CQ128" i="20"/>
  <c r="CR128" i="20"/>
  <c r="CS128" i="20"/>
  <c r="CT128" i="20"/>
  <c r="CU128" i="20"/>
  <c r="CV128" i="20"/>
  <c r="CG129" i="20"/>
  <c r="CH129" i="20"/>
  <c r="CI129" i="20"/>
  <c r="CJ129" i="20"/>
  <c r="CK129" i="20"/>
  <c r="CL129" i="20"/>
  <c r="CM129" i="20"/>
  <c r="CN129" i="20"/>
  <c r="CO129" i="20"/>
  <c r="CP129" i="20"/>
  <c r="CQ129" i="20"/>
  <c r="CR129" i="20"/>
  <c r="CS129" i="20"/>
  <c r="CT129" i="20"/>
  <c r="CU129" i="20"/>
  <c r="CV129" i="20"/>
  <c r="CG130" i="20"/>
  <c r="CH130" i="20"/>
  <c r="CI130" i="20"/>
  <c r="CJ130" i="20"/>
  <c r="CK130" i="20"/>
  <c r="CL130" i="20"/>
  <c r="CM130" i="20"/>
  <c r="CN130" i="20"/>
  <c r="CO130" i="20"/>
  <c r="CP130" i="20"/>
  <c r="CQ130" i="20"/>
  <c r="CR130" i="20"/>
  <c r="CS130" i="20"/>
  <c r="CT130" i="20"/>
  <c r="CU130" i="20"/>
  <c r="CV130" i="20"/>
  <c r="CG131" i="20"/>
  <c r="CH131" i="20"/>
  <c r="CI131" i="20"/>
  <c r="CJ131" i="20"/>
  <c r="CK131" i="20"/>
  <c r="CL131" i="20"/>
  <c r="CM131" i="20"/>
  <c r="CN131" i="20"/>
  <c r="CO131" i="20"/>
  <c r="CP131" i="20"/>
  <c r="CQ131" i="20"/>
  <c r="CR131" i="20"/>
  <c r="CS131" i="20"/>
  <c r="CT131" i="20"/>
  <c r="CU131" i="20"/>
  <c r="CV131" i="20"/>
  <c r="CG132" i="20"/>
  <c r="CH132" i="20"/>
  <c r="CI132" i="20"/>
  <c r="CJ132" i="20"/>
  <c r="CK132" i="20"/>
  <c r="CL132" i="20"/>
  <c r="CM132" i="20"/>
  <c r="CN132" i="20"/>
  <c r="CO132" i="20"/>
  <c r="CP132" i="20"/>
  <c r="CQ132" i="20"/>
  <c r="CR132" i="20"/>
  <c r="CS132" i="20"/>
  <c r="CT132" i="20"/>
  <c r="CU132" i="20"/>
  <c r="CV132" i="20"/>
  <c r="CG133" i="20"/>
  <c r="CH133" i="20"/>
  <c r="CI133" i="20"/>
  <c r="CJ133" i="20"/>
  <c r="CK133" i="20"/>
  <c r="CL133" i="20"/>
  <c r="CM133" i="20"/>
  <c r="CN133" i="20"/>
  <c r="CO133" i="20"/>
  <c r="CP133" i="20"/>
  <c r="CQ133" i="20"/>
  <c r="CR133" i="20"/>
  <c r="CS133" i="20"/>
  <c r="CT133" i="20"/>
  <c r="CU133" i="20"/>
  <c r="CV133" i="20"/>
  <c r="CG134" i="20"/>
  <c r="CH134" i="20"/>
  <c r="CI134" i="20"/>
  <c r="CJ134" i="20"/>
  <c r="CK134" i="20"/>
  <c r="CL134" i="20"/>
  <c r="CM134" i="20"/>
  <c r="CN134" i="20"/>
  <c r="CO134" i="20"/>
  <c r="CP134" i="20"/>
  <c r="CQ134" i="20"/>
  <c r="CR134" i="20"/>
  <c r="CS134" i="20"/>
  <c r="CT134" i="20"/>
  <c r="CU134" i="20"/>
  <c r="CV134" i="20"/>
  <c r="CG135" i="20"/>
  <c r="CH135" i="20"/>
  <c r="CI135" i="20"/>
  <c r="CJ135" i="20"/>
  <c r="CK135" i="20"/>
  <c r="CL135" i="20"/>
  <c r="CM135" i="20"/>
  <c r="CN135" i="20"/>
  <c r="CO135" i="20"/>
  <c r="CP135" i="20"/>
  <c r="CQ135" i="20"/>
  <c r="CR135" i="20"/>
  <c r="CS135" i="20"/>
  <c r="CT135" i="20"/>
  <c r="CU135" i="20"/>
  <c r="CV135" i="20"/>
  <c r="CG136" i="20"/>
  <c r="CH136" i="20"/>
  <c r="CI136" i="20"/>
  <c r="CJ136" i="20"/>
  <c r="CK136" i="20"/>
  <c r="CL136" i="20"/>
  <c r="CM136" i="20"/>
  <c r="CN136" i="20"/>
  <c r="CO136" i="20"/>
  <c r="CP136" i="20"/>
  <c r="CQ136" i="20"/>
  <c r="CR136" i="20"/>
  <c r="CS136" i="20"/>
  <c r="CT136" i="20"/>
  <c r="CU136" i="20"/>
  <c r="CV136" i="20"/>
  <c r="CG137" i="20"/>
  <c r="CH137" i="20"/>
  <c r="CI137" i="20"/>
  <c r="CJ137" i="20"/>
  <c r="CK137" i="20"/>
  <c r="CL137" i="20"/>
  <c r="CM137" i="20"/>
  <c r="CN137" i="20"/>
  <c r="CO137" i="20"/>
  <c r="CP137" i="20"/>
  <c r="CQ137" i="20"/>
  <c r="CR137" i="20"/>
  <c r="CS137" i="20"/>
  <c r="CT137" i="20"/>
  <c r="CU137" i="20"/>
  <c r="CV137" i="20"/>
  <c r="CG138" i="20"/>
  <c r="CH138" i="20"/>
  <c r="CI138" i="20"/>
  <c r="CJ138" i="20"/>
  <c r="CK138" i="20"/>
  <c r="CL138" i="20"/>
  <c r="CM138" i="20"/>
  <c r="CN138" i="20"/>
  <c r="CO138" i="20"/>
  <c r="CP138" i="20"/>
  <c r="CQ138" i="20"/>
  <c r="CR138" i="20"/>
  <c r="CS138" i="20"/>
  <c r="CT138" i="20"/>
  <c r="CU138" i="20"/>
  <c r="CV138" i="20"/>
  <c r="CG139" i="20"/>
  <c r="CH139" i="20"/>
  <c r="CI139" i="20"/>
  <c r="CJ139" i="20"/>
  <c r="CK139" i="20"/>
  <c r="CL139" i="20"/>
  <c r="CM139" i="20"/>
  <c r="CN139" i="20"/>
  <c r="CO139" i="20"/>
  <c r="CP139" i="20"/>
  <c r="CQ139" i="20"/>
  <c r="CR139" i="20"/>
  <c r="CS139" i="20"/>
  <c r="CT139" i="20"/>
  <c r="CU139" i="20"/>
  <c r="CV139" i="20"/>
  <c r="CG140" i="20"/>
  <c r="CH140" i="20"/>
  <c r="CI140" i="20"/>
  <c r="CJ140" i="20"/>
  <c r="CK140" i="20"/>
  <c r="CL140" i="20"/>
  <c r="CM140" i="20"/>
  <c r="CN140" i="20"/>
  <c r="CO140" i="20"/>
  <c r="CP140" i="20"/>
  <c r="CQ140" i="20"/>
  <c r="CR140" i="20"/>
  <c r="CS140" i="20"/>
  <c r="CT140" i="20"/>
  <c r="CU140" i="20"/>
  <c r="CV140" i="20"/>
  <c r="CG141" i="20"/>
  <c r="CH141" i="20"/>
  <c r="CI141" i="20"/>
  <c r="CJ141" i="20"/>
  <c r="CK141" i="20"/>
  <c r="CL141" i="20"/>
  <c r="CM141" i="20"/>
  <c r="CN141" i="20"/>
  <c r="CO141" i="20"/>
  <c r="CP141" i="20"/>
  <c r="CQ141" i="20"/>
  <c r="CR141" i="20"/>
  <c r="CS141" i="20"/>
  <c r="CT141" i="20"/>
  <c r="CU141" i="20"/>
  <c r="CV141" i="20"/>
  <c r="CG142" i="20"/>
  <c r="CH142" i="20"/>
  <c r="CI142" i="20"/>
  <c r="CJ142" i="20"/>
  <c r="CK142" i="20"/>
  <c r="CL142" i="20"/>
  <c r="CM142" i="20"/>
  <c r="CN142" i="20"/>
  <c r="CO142" i="20"/>
  <c r="CP142" i="20"/>
  <c r="CQ142" i="20"/>
  <c r="CR142" i="20"/>
  <c r="CS142" i="20"/>
  <c r="CT142" i="20"/>
  <c r="CU142" i="20"/>
  <c r="CV142" i="20"/>
  <c r="CG143" i="20"/>
  <c r="CH143" i="20"/>
  <c r="CI143" i="20"/>
  <c r="CJ143" i="20"/>
  <c r="CK143" i="20"/>
  <c r="CL143" i="20"/>
  <c r="CM143" i="20"/>
  <c r="CN143" i="20"/>
  <c r="CO143" i="20"/>
  <c r="CP143" i="20"/>
  <c r="CQ143" i="20"/>
  <c r="CR143" i="20"/>
  <c r="CS143" i="20"/>
  <c r="CT143" i="20"/>
  <c r="CU143" i="20"/>
  <c r="CV143" i="20"/>
  <c r="CG144" i="20"/>
  <c r="CH144" i="20"/>
  <c r="CI144" i="20"/>
  <c r="CJ144" i="20"/>
  <c r="CK144" i="20"/>
  <c r="CL144" i="20"/>
  <c r="CM144" i="20"/>
  <c r="CN144" i="20"/>
  <c r="CO144" i="20"/>
  <c r="CP144" i="20"/>
  <c r="CQ144" i="20"/>
  <c r="CR144" i="20"/>
  <c r="CS144" i="20"/>
  <c r="CT144" i="20"/>
  <c r="CU144" i="20"/>
  <c r="CV144" i="20"/>
  <c r="CG145" i="20"/>
  <c r="CH145" i="20"/>
  <c r="CI145" i="20"/>
  <c r="CJ145" i="20"/>
  <c r="CK145" i="20"/>
  <c r="CL145" i="20"/>
  <c r="CM145" i="20"/>
  <c r="CN145" i="20"/>
  <c r="CO145" i="20"/>
  <c r="CP145" i="20"/>
  <c r="CQ145" i="20"/>
  <c r="CR145" i="20"/>
  <c r="CS145" i="20"/>
  <c r="CT145" i="20"/>
  <c r="CU145" i="20"/>
  <c r="CV145" i="20"/>
  <c r="CG146" i="20"/>
  <c r="CH146" i="20"/>
  <c r="CI146" i="20"/>
  <c r="CJ146" i="20"/>
  <c r="CK146" i="20"/>
  <c r="CL146" i="20"/>
  <c r="CM146" i="20"/>
  <c r="CN146" i="20"/>
  <c r="CO146" i="20"/>
  <c r="CP146" i="20"/>
  <c r="CQ146" i="20"/>
  <c r="CR146" i="20"/>
  <c r="CS146" i="20"/>
  <c r="CT146" i="20"/>
  <c r="CU146" i="20"/>
  <c r="CV146" i="20"/>
  <c r="CG147" i="20"/>
  <c r="CH147" i="20"/>
  <c r="CI147" i="20"/>
  <c r="CJ147" i="20"/>
  <c r="CK147" i="20"/>
  <c r="CL147" i="20"/>
  <c r="CM147" i="20"/>
  <c r="CN147" i="20"/>
  <c r="CO147" i="20"/>
  <c r="CP147" i="20"/>
  <c r="CQ147" i="20"/>
  <c r="CR147" i="20"/>
  <c r="CS147" i="20"/>
  <c r="CT147" i="20"/>
  <c r="CU147" i="20"/>
  <c r="CV147" i="20"/>
  <c r="CG148" i="20"/>
  <c r="CH148" i="20"/>
  <c r="CI148" i="20"/>
  <c r="CJ148" i="20"/>
  <c r="CK148" i="20"/>
  <c r="CL148" i="20"/>
  <c r="CM148" i="20"/>
  <c r="CN148" i="20"/>
  <c r="CO148" i="20"/>
  <c r="CP148" i="20"/>
  <c r="CQ148" i="20"/>
  <c r="CR148" i="20"/>
  <c r="CS148" i="20"/>
  <c r="CT148" i="20"/>
  <c r="CU148" i="20"/>
  <c r="CV148" i="20"/>
  <c r="CG149" i="20"/>
  <c r="CH149" i="20"/>
  <c r="CI149" i="20"/>
  <c r="CJ149" i="20"/>
  <c r="CK149" i="20"/>
  <c r="CL149" i="20"/>
  <c r="CM149" i="20"/>
  <c r="CN149" i="20"/>
  <c r="CO149" i="20"/>
  <c r="CP149" i="20"/>
  <c r="CQ149" i="20"/>
  <c r="CR149" i="20"/>
  <c r="CS149" i="20"/>
  <c r="CT149" i="20"/>
  <c r="CU149" i="20"/>
  <c r="CV149" i="20"/>
  <c r="CG150" i="20"/>
  <c r="CH150" i="20"/>
  <c r="CI150" i="20"/>
  <c r="CJ150" i="20"/>
  <c r="CK150" i="20"/>
  <c r="CL150" i="20"/>
  <c r="CM150" i="20"/>
  <c r="CN150" i="20"/>
  <c r="CO150" i="20"/>
  <c r="CP150" i="20"/>
  <c r="CQ150" i="20"/>
  <c r="CR150" i="20"/>
  <c r="CS150" i="20"/>
  <c r="CT150" i="20"/>
  <c r="CU150" i="20"/>
  <c r="CV150" i="20"/>
  <c r="CG151" i="20"/>
  <c r="CH151" i="20"/>
  <c r="CI151" i="20"/>
  <c r="CJ151" i="20"/>
  <c r="CK151" i="20"/>
  <c r="CL151" i="20"/>
  <c r="CM151" i="20"/>
  <c r="CN151" i="20"/>
  <c r="CO151" i="20"/>
  <c r="CP151" i="20"/>
  <c r="CQ151" i="20"/>
  <c r="CR151" i="20"/>
  <c r="CS151" i="20"/>
  <c r="CT151" i="20"/>
  <c r="CU151" i="20"/>
  <c r="CV151" i="20"/>
  <c r="CG152" i="20"/>
  <c r="CH152" i="20"/>
  <c r="CI152" i="20"/>
  <c r="CJ152" i="20"/>
  <c r="CK152" i="20"/>
  <c r="CL152" i="20"/>
  <c r="CM152" i="20"/>
  <c r="CN152" i="20"/>
  <c r="CO152" i="20"/>
  <c r="CP152" i="20"/>
  <c r="CQ152" i="20"/>
  <c r="CR152" i="20"/>
  <c r="CS152" i="20"/>
  <c r="CT152" i="20"/>
  <c r="CU152" i="20"/>
  <c r="CV152" i="20"/>
  <c r="CG153" i="20"/>
  <c r="CH153" i="20"/>
  <c r="CI153" i="20"/>
  <c r="CJ153" i="20"/>
  <c r="CK153" i="20"/>
  <c r="CL153" i="20"/>
  <c r="CM153" i="20"/>
  <c r="CN153" i="20"/>
  <c r="CO153" i="20"/>
  <c r="CP153" i="20"/>
  <c r="CQ153" i="20"/>
  <c r="CR153" i="20"/>
  <c r="CS153" i="20"/>
  <c r="CT153" i="20"/>
  <c r="CU153" i="20"/>
  <c r="CV153" i="20"/>
  <c r="CG154" i="20"/>
  <c r="CH154" i="20"/>
  <c r="CI154" i="20"/>
  <c r="CJ154" i="20"/>
  <c r="CK154" i="20"/>
  <c r="CL154" i="20"/>
  <c r="CM154" i="20"/>
  <c r="CN154" i="20"/>
  <c r="CO154" i="20"/>
  <c r="CP154" i="20"/>
  <c r="CQ154" i="20"/>
  <c r="CR154" i="20"/>
  <c r="CS154" i="20"/>
  <c r="CT154" i="20"/>
  <c r="CU154" i="20"/>
  <c r="CV154" i="20"/>
  <c r="CG155" i="20"/>
  <c r="CH155" i="20"/>
  <c r="CI155" i="20"/>
  <c r="CJ155" i="20"/>
  <c r="CK155" i="20"/>
  <c r="CL155" i="20"/>
  <c r="CM155" i="20"/>
  <c r="CN155" i="20"/>
  <c r="CO155" i="20"/>
  <c r="CP155" i="20"/>
  <c r="CQ155" i="20"/>
  <c r="CR155" i="20"/>
  <c r="CS155" i="20"/>
  <c r="CT155" i="20"/>
  <c r="CU155" i="20"/>
  <c r="CV155" i="20"/>
  <c r="CG156" i="20"/>
  <c r="CH156" i="20"/>
  <c r="CI156" i="20"/>
  <c r="CJ156" i="20"/>
  <c r="CK156" i="20"/>
  <c r="CL156" i="20"/>
  <c r="CM156" i="20"/>
  <c r="CN156" i="20"/>
  <c r="CO156" i="20"/>
  <c r="CP156" i="20"/>
  <c r="CQ156" i="20"/>
  <c r="CR156" i="20"/>
  <c r="CS156" i="20"/>
  <c r="CT156" i="20"/>
  <c r="CU156" i="20"/>
  <c r="CV156" i="20"/>
  <c r="CG157" i="20"/>
  <c r="CH157" i="20"/>
  <c r="CI157" i="20"/>
  <c r="CJ157" i="20"/>
  <c r="CK157" i="20"/>
  <c r="CL157" i="20"/>
  <c r="CM157" i="20"/>
  <c r="CN157" i="20"/>
  <c r="CO157" i="20"/>
  <c r="CP157" i="20"/>
  <c r="CQ157" i="20"/>
  <c r="CR157" i="20"/>
  <c r="CS157" i="20"/>
  <c r="CT157" i="20"/>
  <c r="CU157" i="20"/>
  <c r="CV157" i="20"/>
  <c r="CG72" i="20"/>
  <c r="CH72" i="20"/>
  <c r="CI72" i="20"/>
  <c r="CJ72" i="20"/>
  <c r="CK72" i="20"/>
  <c r="CL72" i="20"/>
  <c r="CM72" i="20"/>
  <c r="CN72" i="20"/>
  <c r="CO72" i="20"/>
  <c r="CP72" i="20"/>
  <c r="CQ72" i="20"/>
  <c r="CR72" i="20"/>
  <c r="CS72" i="20"/>
  <c r="CT72" i="20"/>
  <c r="CU72" i="20"/>
  <c r="CV72" i="20"/>
  <c r="CG73" i="20"/>
  <c r="CH73" i="20"/>
  <c r="CI73" i="20"/>
  <c r="CJ73" i="20"/>
  <c r="CK73" i="20"/>
  <c r="CL73" i="20"/>
  <c r="CM73" i="20"/>
  <c r="CN73" i="20"/>
  <c r="CO73" i="20"/>
  <c r="CP73" i="20"/>
  <c r="CQ73" i="20"/>
  <c r="CR73" i="20"/>
  <c r="CS73" i="20"/>
  <c r="CT73" i="20"/>
  <c r="CU73" i="20"/>
  <c r="CV73" i="20"/>
  <c r="DD104" i="20" l="1"/>
  <c r="DF95" i="20"/>
  <c r="S478" i="17"/>
  <c r="T478" i="17"/>
  <c r="W478" i="17" s="1"/>
  <c r="S479" i="17"/>
  <c r="T479" i="17"/>
  <c r="W479" i="17" s="1"/>
  <c r="S480" i="17"/>
  <c r="T480" i="17"/>
  <c r="W480" i="17" s="1"/>
  <c r="S481" i="17"/>
  <c r="T481" i="17"/>
  <c r="W481" i="17" s="1"/>
  <c r="CG71" i="20" l="1"/>
  <c r="CH71" i="20"/>
  <c r="CI71" i="20"/>
  <c r="CJ71" i="20"/>
  <c r="CK71" i="20"/>
  <c r="CL71" i="20"/>
  <c r="CM71" i="20"/>
  <c r="CN71" i="20"/>
  <c r="CO71" i="20"/>
  <c r="CP71" i="20"/>
  <c r="CQ71" i="20"/>
  <c r="CR71" i="20"/>
  <c r="CS71" i="20"/>
  <c r="R479" i="17"/>
  <c r="R480" i="17"/>
  <c r="R481" i="17"/>
  <c r="B478" i="17"/>
  <c r="B479" i="17"/>
  <c r="B480" i="17"/>
  <c r="B481" i="17"/>
  <c r="CP70" i="20" l="1"/>
  <c r="CK70" i="20"/>
  <c r="CH70" i="20"/>
  <c r="I133" i="23" l="1"/>
  <c r="I134" i="23"/>
  <c r="H133" i="23"/>
  <c r="CP69" i="20"/>
  <c r="CK69" i="20"/>
  <c r="CH69" i="20"/>
  <c r="B477" i="17"/>
  <c r="R477" i="17"/>
  <c r="S477" i="17"/>
  <c r="T477" i="17"/>
  <c r="W477" i="17" s="1"/>
  <c r="R478" i="17"/>
  <c r="CP68" i="20" l="1"/>
  <c r="CK68" i="20"/>
  <c r="CH68" i="20"/>
  <c r="T476" i="17"/>
  <c r="S476" i="17"/>
  <c r="R476" i="17"/>
  <c r="B476" i="17"/>
  <c r="CP67" i="20" l="1"/>
  <c r="CK67" i="20"/>
  <c r="CH67" i="20"/>
  <c r="B475" i="17"/>
  <c r="W476" i="17"/>
  <c r="R475" i="17"/>
  <c r="S475" i="17"/>
  <c r="T475" i="17"/>
  <c r="W475" i="17" l="1"/>
  <c r="CP66" i="20"/>
  <c r="CK66" i="20"/>
  <c r="CH66" i="20"/>
  <c r="W472" i="17"/>
  <c r="R471" i="17"/>
  <c r="S471" i="17"/>
  <c r="T471" i="17"/>
  <c r="R472" i="17"/>
  <c r="S472" i="17"/>
  <c r="T472" i="17"/>
  <c r="R473" i="17"/>
  <c r="S473" i="17"/>
  <c r="T473" i="17"/>
  <c r="R474" i="17"/>
  <c r="S474" i="17"/>
  <c r="T474" i="17"/>
  <c r="B471" i="17"/>
  <c r="B472" i="17"/>
  <c r="B473" i="17"/>
  <c r="B474" i="17"/>
  <c r="L471" i="17"/>
  <c r="L472" i="17"/>
  <c r="L473" i="17"/>
  <c r="BB65" i="20"/>
  <c r="BM63" i="20"/>
  <c r="BM64" i="20"/>
  <c r="BM65" i="20"/>
  <c r="W471" i="17" l="1"/>
  <c r="W474" i="17"/>
  <c r="W473" i="17"/>
  <c r="CK65" i="20"/>
  <c r="CH65" i="20"/>
  <c r="L469" i="17"/>
  <c r="L470" i="17"/>
  <c r="B469" i="17"/>
  <c r="B470" i="17"/>
  <c r="R469" i="17"/>
  <c r="S469" i="17"/>
  <c r="T469" i="17"/>
  <c r="W469" i="17" s="1"/>
  <c r="R470" i="17"/>
  <c r="S470" i="17"/>
  <c r="T470" i="17"/>
  <c r="W470" i="17" l="1"/>
  <c r="O119" i="23" l="1"/>
  <c r="P119" i="23"/>
  <c r="Q119" i="23"/>
  <c r="O120" i="23"/>
  <c r="P120" i="23"/>
  <c r="Q120" i="23"/>
  <c r="CG64" i="20"/>
  <c r="CH64" i="20"/>
  <c r="CI64" i="20"/>
  <c r="CJ64" i="20"/>
  <c r="CK64" i="20"/>
  <c r="CL64" i="20"/>
  <c r="CM64" i="20"/>
  <c r="CN64" i="20"/>
  <c r="CO64" i="20"/>
  <c r="CP64" i="20"/>
  <c r="CQ64" i="20"/>
  <c r="CR64" i="20"/>
  <c r="CS64" i="20"/>
  <c r="CT64" i="20"/>
  <c r="CU64" i="20"/>
  <c r="CV64" i="20"/>
  <c r="T465" i="17"/>
  <c r="W465" i="17" s="1"/>
  <c r="T466" i="17"/>
  <c r="W466" i="17" s="1"/>
  <c r="T467" i="17"/>
  <c r="W467" i="17" s="1"/>
  <c r="T468" i="17"/>
  <c r="W468" i="17" s="1"/>
  <c r="S465" i="17"/>
  <c r="S466" i="17"/>
  <c r="S467" i="17"/>
  <c r="S468" i="17"/>
  <c r="R465" i="17"/>
  <c r="R466" i="17"/>
  <c r="R467" i="17"/>
  <c r="R468" i="17"/>
  <c r="L464" i="17"/>
  <c r="L465" i="17"/>
  <c r="L466" i="17"/>
  <c r="L467" i="17"/>
  <c r="L468" i="17"/>
  <c r="B468" i="17"/>
  <c r="B467" i="17"/>
  <c r="AB61" i="29"/>
  <c r="CG63" i="20" l="1"/>
  <c r="CH63" i="20"/>
  <c r="CI63" i="20"/>
  <c r="CJ63" i="20"/>
  <c r="CK63" i="20"/>
  <c r="CL63" i="20"/>
  <c r="CM63" i="20"/>
  <c r="CN63" i="20"/>
  <c r="CO63" i="20"/>
  <c r="CP63" i="20"/>
  <c r="CQ63" i="20"/>
  <c r="CR63" i="20"/>
  <c r="CS63" i="20"/>
  <c r="CT63" i="20"/>
  <c r="CU63" i="20"/>
  <c r="CV63" i="20"/>
  <c r="AB60" i="29"/>
  <c r="CG62" i="20" l="1"/>
  <c r="CH62" i="20"/>
  <c r="CI62" i="20"/>
  <c r="CJ62" i="20"/>
  <c r="CK62" i="20"/>
  <c r="CL62" i="20"/>
  <c r="CM62" i="20"/>
  <c r="CN62" i="20"/>
  <c r="CO62" i="20"/>
  <c r="CP62" i="20"/>
  <c r="CQ62" i="20"/>
  <c r="CR62" i="20"/>
  <c r="CS62" i="20"/>
  <c r="CT62" i="20"/>
  <c r="CU62" i="20"/>
  <c r="AB59" i="29"/>
  <c r="O109" i="23" l="1"/>
  <c r="P109" i="23"/>
  <c r="Q109" i="23"/>
  <c r="O110" i="23"/>
  <c r="P110" i="23"/>
  <c r="Q110" i="23"/>
  <c r="CG61" i="20"/>
  <c r="CH61" i="20"/>
  <c r="CI61" i="20"/>
  <c r="CJ61" i="20"/>
  <c r="CK61" i="20"/>
  <c r="CL61" i="20"/>
  <c r="CM61" i="20"/>
  <c r="CN61" i="20"/>
  <c r="CO61" i="20"/>
  <c r="CP61" i="20"/>
  <c r="CQ61" i="20"/>
  <c r="CR61" i="20"/>
  <c r="CS61" i="20"/>
  <c r="CT61" i="20"/>
  <c r="AB58" i="29"/>
  <c r="B466" i="17"/>
  <c r="B465" i="17"/>
  <c r="T458" i="17"/>
  <c r="T459" i="17"/>
  <c r="T460" i="17"/>
  <c r="W460" i="17" s="1"/>
  <c r="T461" i="17"/>
  <c r="W461" i="17" s="1"/>
  <c r="T462" i="17"/>
  <c r="W462" i="17" s="1"/>
  <c r="T463" i="17"/>
  <c r="W463" i="17" s="1"/>
  <c r="T464" i="17"/>
  <c r="W464" i="17" s="1"/>
  <c r="S458" i="17"/>
  <c r="S459" i="17"/>
  <c r="S460" i="17"/>
  <c r="S461" i="17"/>
  <c r="S462" i="17"/>
  <c r="S463" i="17"/>
  <c r="S464" i="17"/>
  <c r="R459" i="17"/>
  <c r="R460" i="17"/>
  <c r="R461" i="17"/>
  <c r="R462" i="17"/>
  <c r="R463" i="17"/>
  <c r="R464" i="17"/>
  <c r="L463" i="17"/>
  <c r="CG60" i="20" l="1"/>
  <c r="CH60" i="20"/>
  <c r="CI60" i="20"/>
  <c r="CJ60" i="20"/>
  <c r="CK60" i="20"/>
  <c r="CL60" i="20"/>
  <c r="CM60" i="20"/>
  <c r="CN60" i="20"/>
  <c r="CO60" i="20"/>
  <c r="CP60" i="20"/>
  <c r="CQ60" i="20"/>
  <c r="CR60" i="20"/>
  <c r="CS60" i="20"/>
  <c r="AB57" i="29" l="1"/>
  <c r="K186" i="26" l="1"/>
  <c r="K185" i="26"/>
  <c r="K184" i="26"/>
  <c r="K183" i="26"/>
  <c r="K181" i="26"/>
  <c r="K180" i="26"/>
  <c r="K179" i="26"/>
  <c r="K178" i="26"/>
  <c r="K177" i="26"/>
  <c r="K176" i="26"/>
  <c r="K175" i="26"/>
  <c r="K174" i="26"/>
  <c r="K173" i="26"/>
  <c r="K172" i="26"/>
  <c r="K171" i="26"/>
  <c r="K170" i="26"/>
  <c r="K169" i="26"/>
  <c r="K168" i="26"/>
  <c r="K167" i="26"/>
  <c r="K166" i="26"/>
  <c r="K165" i="26"/>
  <c r="K164" i="26"/>
  <c r="K163" i="26"/>
  <c r="K162" i="26"/>
  <c r="K161" i="26"/>
  <c r="K160" i="26"/>
  <c r="K159" i="26"/>
  <c r="K158" i="26"/>
  <c r="K157" i="26"/>
  <c r="K156" i="26"/>
  <c r="K155" i="26"/>
  <c r="K154" i="26"/>
  <c r="K153" i="26"/>
  <c r="K152" i="26"/>
  <c r="K151" i="26"/>
  <c r="K150" i="26"/>
  <c r="K149" i="26"/>
  <c r="K148" i="26"/>
  <c r="K147" i="26"/>
  <c r="K146" i="26"/>
  <c r="K145" i="26"/>
  <c r="K144" i="26"/>
  <c r="K143" i="26"/>
  <c r="K142" i="26"/>
  <c r="K141" i="26"/>
  <c r="K140" i="26"/>
  <c r="K139" i="26"/>
  <c r="K138" i="26"/>
  <c r="K137" i="26"/>
  <c r="K136" i="26"/>
  <c r="K135" i="26"/>
  <c r="K134" i="26"/>
  <c r="K133" i="26"/>
  <c r="K132" i="26"/>
  <c r="K131" i="26"/>
  <c r="K130" i="26"/>
  <c r="K129" i="26"/>
  <c r="K128" i="26"/>
  <c r="K127" i="26"/>
  <c r="K126" i="26"/>
  <c r="K125" i="26"/>
  <c r="K124" i="26"/>
  <c r="K123" i="26"/>
  <c r="K122" i="26"/>
  <c r="K121" i="26"/>
  <c r="K120" i="26"/>
  <c r="K119" i="26"/>
  <c r="K118" i="26"/>
  <c r="K117" i="26"/>
  <c r="K116" i="26"/>
  <c r="K115" i="26"/>
  <c r="K114" i="26"/>
  <c r="K113" i="26"/>
  <c r="K112" i="26"/>
  <c r="K111" i="26"/>
  <c r="K110" i="26"/>
  <c r="K109" i="26"/>
  <c r="K108" i="26"/>
  <c r="K107" i="26"/>
  <c r="K106" i="26"/>
  <c r="K105" i="26"/>
  <c r="K104" i="26"/>
  <c r="K103" i="26"/>
  <c r="K102" i="26"/>
  <c r="K101" i="26"/>
  <c r="K100" i="26"/>
  <c r="K99" i="26"/>
  <c r="K98" i="26"/>
  <c r="K97" i="26"/>
  <c r="K96" i="26"/>
  <c r="K95" i="26"/>
  <c r="K94" i="26"/>
  <c r="K93" i="26"/>
  <c r="K92" i="26"/>
  <c r="K91" i="26"/>
  <c r="K90" i="26"/>
  <c r="K89" i="26"/>
  <c r="K88" i="26"/>
  <c r="K87" i="26"/>
  <c r="K86" i="26"/>
  <c r="K85" i="26"/>
  <c r="K84" i="26"/>
  <c r="K83" i="26"/>
  <c r="K82" i="26"/>
  <c r="K81" i="26"/>
  <c r="K80" i="26"/>
  <c r="K79" i="26"/>
  <c r="K78" i="26"/>
  <c r="K77" i="26"/>
  <c r="K76" i="26"/>
  <c r="K75" i="26"/>
  <c r="K74" i="26"/>
  <c r="K73" i="26"/>
  <c r="K72" i="26"/>
  <c r="K71" i="26"/>
  <c r="K70" i="26"/>
  <c r="K69" i="26"/>
  <c r="K68" i="26"/>
  <c r="K67" i="26"/>
  <c r="K66" i="26"/>
  <c r="K65" i="26"/>
  <c r="K64" i="26"/>
  <c r="K63" i="26"/>
  <c r="K62" i="26"/>
  <c r="K61" i="26"/>
  <c r="K60" i="26"/>
  <c r="K59" i="26"/>
  <c r="K58" i="26"/>
  <c r="K57" i="26"/>
  <c r="K56" i="26"/>
  <c r="K55" i="26"/>
  <c r="K54" i="26"/>
  <c r="K53" i="26"/>
  <c r="K52" i="26"/>
  <c r="K51" i="26"/>
  <c r="K50" i="26"/>
  <c r="K49" i="26"/>
  <c r="K48" i="26"/>
  <c r="K47" i="26"/>
  <c r="K46" i="26"/>
  <c r="K45" i="26"/>
  <c r="K44" i="26"/>
  <c r="K43" i="26"/>
  <c r="K42" i="26"/>
  <c r="K41" i="26"/>
  <c r="K40" i="26"/>
  <c r="K39" i="26"/>
  <c r="K38" i="26"/>
  <c r="K37" i="26"/>
  <c r="K36" i="26"/>
  <c r="K35" i="26"/>
  <c r="K34" i="26"/>
  <c r="K33" i="26"/>
  <c r="K32" i="26"/>
  <c r="K31" i="26"/>
  <c r="K30" i="26"/>
  <c r="K29" i="26"/>
  <c r="K28" i="26"/>
  <c r="K27" i="26"/>
  <c r="K26" i="26"/>
  <c r="K25" i="26"/>
  <c r="K24" i="26"/>
  <c r="K23" i="26"/>
  <c r="K22" i="26"/>
  <c r="K21" i="26"/>
  <c r="K20" i="26"/>
  <c r="K19" i="26"/>
  <c r="K18" i="26"/>
  <c r="K17" i="26"/>
  <c r="K16" i="26"/>
  <c r="K15" i="26"/>
  <c r="K14" i="26"/>
  <c r="K13" i="26"/>
  <c r="K12" i="26"/>
  <c r="K11" i="26"/>
  <c r="K10" i="26"/>
  <c r="K9" i="26"/>
  <c r="K8" i="26"/>
  <c r="K7" i="26"/>
  <c r="K6" i="26"/>
  <c r="K5" i="26"/>
  <c r="K4" i="26"/>
  <c r="K3" i="26"/>
  <c r="CP65" i="20" l="1"/>
  <c r="CP59" i="20"/>
  <c r="CH59" i="20"/>
  <c r="CI59" i="20"/>
  <c r="CJ59" i="20"/>
  <c r="CK59" i="20"/>
  <c r="B464" i="17"/>
  <c r="AB56" i="29"/>
  <c r="CP58" i="20" l="1"/>
  <c r="CK58" i="20"/>
  <c r="CH58" i="20"/>
  <c r="B447" i="17"/>
  <c r="B448" i="17"/>
  <c r="B449" i="17"/>
  <c r="B450" i="17"/>
  <c r="B451" i="17"/>
  <c r="B452" i="17"/>
  <c r="B453" i="17"/>
  <c r="B454" i="17"/>
  <c r="B455" i="17"/>
  <c r="B456" i="17"/>
  <c r="B457" i="17"/>
  <c r="B458" i="17"/>
  <c r="B459" i="17"/>
  <c r="B460" i="17"/>
  <c r="B461" i="17"/>
  <c r="B462" i="17"/>
  <c r="B463" i="17"/>
  <c r="T445" i="17"/>
  <c r="T446" i="17"/>
  <c r="T447" i="17"/>
  <c r="T448" i="17"/>
  <c r="T449" i="17"/>
  <c r="T450" i="17"/>
  <c r="T451" i="17"/>
  <c r="T452" i="17"/>
  <c r="T453" i="17"/>
  <c r="T454" i="17"/>
  <c r="T455" i="17"/>
  <c r="T456" i="17"/>
  <c r="T457" i="17"/>
  <c r="W459" i="17"/>
  <c r="S445" i="17"/>
  <c r="S446" i="17"/>
  <c r="S447" i="17"/>
  <c r="S448" i="17"/>
  <c r="S449" i="17"/>
  <c r="S450" i="17"/>
  <c r="S451" i="17"/>
  <c r="S452" i="17"/>
  <c r="S453" i="17"/>
  <c r="S454" i="17"/>
  <c r="S455" i="17"/>
  <c r="S456" i="17"/>
  <c r="S457" i="17"/>
  <c r="R445" i="17"/>
  <c r="R446" i="17"/>
  <c r="R447" i="17"/>
  <c r="R448" i="17"/>
  <c r="R449" i="17"/>
  <c r="R450" i="17"/>
  <c r="R451" i="17"/>
  <c r="R452" i="17"/>
  <c r="R453" i="17"/>
  <c r="R454" i="17"/>
  <c r="R455" i="17"/>
  <c r="R456" i="17"/>
  <c r="R457" i="17"/>
  <c r="R458" i="17"/>
  <c r="L447" i="17"/>
  <c r="L448" i="17"/>
  <c r="L449" i="17"/>
  <c r="L450" i="17"/>
  <c r="L451" i="17"/>
  <c r="L452" i="17"/>
  <c r="L453" i="17"/>
  <c r="L454" i="17"/>
  <c r="L455" i="17"/>
  <c r="L456" i="17"/>
  <c r="L457" i="17"/>
  <c r="L458" i="17"/>
  <c r="L459" i="17"/>
  <c r="L460" i="17"/>
  <c r="L461" i="17"/>
  <c r="L462" i="17"/>
  <c r="J445" i="17"/>
  <c r="J446" i="17"/>
  <c r="J447" i="17"/>
  <c r="J448" i="17"/>
  <c r="J449" i="17"/>
  <c r="J450" i="17"/>
  <c r="J451" i="17"/>
  <c r="J452" i="17"/>
  <c r="J453" i="17"/>
  <c r="J454" i="17"/>
  <c r="J455" i="17"/>
  <c r="J456" i="17"/>
  <c r="J457" i="17"/>
  <c r="J458" i="17"/>
  <c r="W458" i="17" s="1"/>
  <c r="I443" i="17"/>
  <c r="I444" i="17"/>
  <c r="I445" i="17"/>
  <c r="I446" i="17"/>
  <c r="I447" i="17"/>
  <c r="I448" i="17"/>
  <c r="I449" i="17"/>
  <c r="I450" i="17"/>
  <c r="I451" i="17"/>
  <c r="I452" i="17"/>
  <c r="I453" i="17"/>
  <c r="I454" i="17"/>
  <c r="I455" i="17"/>
  <c r="I456" i="17"/>
  <c r="I457" i="17"/>
  <c r="I458" i="17"/>
  <c r="H447" i="17"/>
  <c r="H448" i="17"/>
  <c r="H449" i="17"/>
  <c r="H450" i="17"/>
  <c r="H451" i="17"/>
  <c r="H452" i="17"/>
  <c r="H453" i="17"/>
  <c r="H454" i="17"/>
  <c r="H455" i="17"/>
  <c r="H456" i="17"/>
  <c r="H457" i="17"/>
  <c r="H458" i="17"/>
  <c r="AB55" i="29"/>
  <c r="W453" i="17" l="1"/>
  <c r="W457" i="17"/>
  <c r="W449" i="17"/>
  <c r="W448" i="17"/>
  <c r="W456" i="17"/>
  <c r="W455" i="17"/>
  <c r="W451" i="17"/>
  <c r="W447" i="17"/>
  <c r="W452" i="17"/>
  <c r="W454" i="17"/>
  <c r="W450" i="17"/>
  <c r="CH57" i="20"/>
  <c r="H93" i="23"/>
  <c r="I93" i="23"/>
  <c r="J93" i="23"/>
  <c r="O93" i="23"/>
  <c r="P93" i="23"/>
  <c r="Q93" i="23"/>
  <c r="H92" i="23"/>
  <c r="I92" i="23"/>
  <c r="J92" i="23"/>
  <c r="O92" i="23"/>
  <c r="P92" i="23"/>
  <c r="Q92" i="23"/>
  <c r="H91" i="23"/>
  <c r="I91" i="23"/>
  <c r="J91" i="23"/>
  <c r="O91" i="23"/>
  <c r="P91" i="23"/>
  <c r="Q91" i="23"/>
  <c r="H90" i="23"/>
  <c r="I90" i="23"/>
  <c r="J90" i="23"/>
  <c r="O90" i="23"/>
  <c r="P90" i="23"/>
  <c r="Q90" i="23"/>
  <c r="H89" i="23"/>
  <c r="I89" i="23"/>
  <c r="J89" i="23"/>
  <c r="O89" i="23"/>
  <c r="P89" i="23"/>
  <c r="Q89" i="23"/>
  <c r="H88" i="23"/>
  <c r="I88" i="23"/>
  <c r="J88" i="23"/>
  <c r="O88" i="23"/>
  <c r="P88" i="23"/>
  <c r="Q88" i="23"/>
  <c r="T91" i="23" l="1"/>
  <c r="T93" i="23"/>
  <c r="T92" i="23"/>
  <c r="T90" i="23"/>
  <c r="T89" i="23"/>
  <c r="T88" i="23"/>
  <c r="B434" i="17"/>
  <c r="B435" i="17"/>
  <c r="B436" i="17"/>
  <c r="B437" i="17"/>
  <c r="B438" i="17"/>
  <c r="B439" i="17"/>
  <c r="B440" i="17"/>
  <c r="B441" i="17"/>
  <c r="B442" i="17"/>
  <c r="B443" i="17"/>
  <c r="B444" i="17"/>
  <c r="B445" i="17"/>
  <c r="B446" i="17"/>
  <c r="W445" i="17"/>
  <c r="T433" i="17"/>
  <c r="T434" i="17"/>
  <c r="T435" i="17"/>
  <c r="T436" i="17"/>
  <c r="T437" i="17"/>
  <c r="T438" i="17"/>
  <c r="T439" i="17"/>
  <c r="T440" i="17"/>
  <c r="T441" i="17"/>
  <c r="T442" i="17"/>
  <c r="T443" i="17"/>
  <c r="T444" i="17"/>
  <c r="S434" i="17"/>
  <c r="S435" i="17"/>
  <c r="S436" i="17"/>
  <c r="S437" i="17"/>
  <c r="S438" i="17"/>
  <c r="S439" i="17"/>
  <c r="S440" i="17"/>
  <c r="S441" i="17"/>
  <c r="S442" i="17"/>
  <c r="S443" i="17"/>
  <c r="S444" i="17"/>
  <c r="R433" i="17"/>
  <c r="R434" i="17"/>
  <c r="R435" i="17"/>
  <c r="R436" i="17"/>
  <c r="R437" i="17"/>
  <c r="R438" i="17"/>
  <c r="R439" i="17"/>
  <c r="R440" i="17"/>
  <c r="R441" i="17"/>
  <c r="R442" i="17"/>
  <c r="R443" i="17"/>
  <c r="R444" i="17"/>
  <c r="L433" i="17"/>
  <c r="L434" i="17"/>
  <c r="L435" i="17"/>
  <c r="L436" i="17"/>
  <c r="L437" i="17"/>
  <c r="L438" i="17"/>
  <c r="L439" i="17"/>
  <c r="L440" i="17"/>
  <c r="L441" i="17"/>
  <c r="L442" i="17"/>
  <c r="L443" i="17"/>
  <c r="L444" i="17"/>
  <c r="L445" i="17"/>
  <c r="L446" i="17"/>
  <c r="J433" i="17"/>
  <c r="J434" i="17"/>
  <c r="J435" i="17"/>
  <c r="J436" i="17"/>
  <c r="W436" i="17" s="1"/>
  <c r="J437" i="17"/>
  <c r="J438" i="17"/>
  <c r="J439" i="17"/>
  <c r="J440" i="17"/>
  <c r="J441" i="17"/>
  <c r="W441" i="17" s="1"/>
  <c r="J442" i="17"/>
  <c r="J443" i="17"/>
  <c r="J444" i="17"/>
  <c r="W446" i="17"/>
  <c r="I434" i="17"/>
  <c r="I435" i="17"/>
  <c r="I436" i="17"/>
  <c r="I437" i="17"/>
  <c r="I438" i="17"/>
  <c r="I439" i="17"/>
  <c r="I440" i="17"/>
  <c r="I441" i="17"/>
  <c r="I442" i="17"/>
  <c r="H433" i="17"/>
  <c r="H434" i="17"/>
  <c r="H435" i="17"/>
  <c r="H436" i="17"/>
  <c r="H437" i="17"/>
  <c r="H438" i="17"/>
  <c r="H439" i="17"/>
  <c r="H440" i="17"/>
  <c r="H441" i="17"/>
  <c r="H442" i="17"/>
  <c r="H443" i="17"/>
  <c r="H444" i="17"/>
  <c r="H445" i="17"/>
  <c r="H446" i="17"/>
  <c r="AB54" i="29"/>
  <c r="W435" i="17" l="1"/>
  <c r="W443" i="17"/>
  <c r="W439" i="17"/>
  <c r="W438" i="17"/>
  <c r="W437" i="17"/>
  <c r="W433" i="17"/>
  <c r="W442" i="17"/>
  <c r="W434" i="17"/>
  <c r="W444" i="17"/>
  <c r="W440" i="17"/>
  <c r="CH56" i="20"/>
  <c r="B419" i="17" l="1"/>
  <c r="B420" i="17"/>
  <c r="B421" i="17"/>
  <c r="B422" i="17"/>
  <c r="B423" i="17"/>
  <c r="B424" i="17"/>
  <c r="B425" i="17"/>
  <c r="B426" i="17"/>
  <c r="B427" i="17"/>
  <c r="B428" i="17"/>
  <c r="B429" i="17"/>
  <c r="B430" i="17"/>
  <c r="B431" i="17"/>
  <c r="B432" i="17"/>
  <c r="B433" i="17"/>
  <c r="R419" i="17"/>
  <c r="S419" i="17"/>
  <c r="T419" i="17"/>
  <c r="R420" i="17"/>
  <c r="S420" i="17"/>
  <c r="T420" i="17"/>
  <c r="R421" i="17"/>
  <c r="S421" i="17"/>
  <c r="T421" i="17"/>
  <c r="R422" i="17"/>
  <c r="S422" i="17"/>
  <c r="T422" i="17"/>
  <c r="R423" i="17"/>
  <c r="S423" i="17"/>
  <c r="T423" i="17"/>
  <c r="R424" i="17"/>
  <c r="S424" i="17"/>
  <c r="T424" i="17"/>
  <c r="R425" i="17"/>
  <c r="S425" i="17"/>
  <c r="T425" i="17"/>
  <c r="R426" i="17"/>
  <c r="S426" i="17"/>
  <c r="T426" i="17"/>
  <c r="R427" i="17"/>
  <c r="S427" i="17"/>
  <c r="T427" i="17"/>
  <c r="R428" i="17"/>
  <c r="S428" i="17"/>
  <c r="T428" i="17"/>
  <c r="R429" i="17"/>
  <c r="S429" i="17"/>
  <c r="T429" i="17"/>
  <c r="R430" i="17"/>
  <c r="S430" i="17"/>
  <c r="T430" i="17"/>
  <c r="R431" i="17"/>
  <c r="S431" i="17"/>
  <c r="T431" i="17"/>
  <c r="R432" i="17"/>
  <c r="S432" i="17"/>
  <c r="T432" i="17"/>
  <c r="S433" i="17"/>
  <c r="L419" i="17"/>
  <c r="L420" i="17"/>
  <c r="L421" i="17"/>
  <c r="L422" i="17"/>
  <c r="L423" i="17"/>
  <c r="L424" i="17"/>
  <c r="L425" i="17"/>
  <c r="L426" i="17"/>
  <c r="L427" i="17"/>
  <c r="L428" i="17"/>
  <c r="L429" i="17"/>
  <c r="L430" i="17"/>
  <c r="L431" i="17"/>
  <c r="L432" i="17"/>
  <c r="H419" i="17"/>
  <c r="I419" i="17"/>
  <c r="J419" i="17"/>
  <c r="H420" i="17"/>
  <c r="I420" i="17"/>
  <c r="J420" i="17"/>
  <c r="H421" i="17"/>
  <c r="I421" i="17"/>
  <c r="J421" i="17"/>
  <c r="H422" i="17"/>
  <c r="I422" i="17"/>
  <c r="J422" i="17"/>
  <c r="H423" i="17"/>
  <c r="I423" i="17"/>
  <c r="J423" i="17"/>
  <c r="H424" i="17"/>
  <c r="I424" i="17"/>
  <c r="J424" i="17"/>
  <c r="H425" i="17"/>
  <c r="I425" i="17"/>
  <c r="J425" i="17"/>
  <c r="H426" i="17"/>
  <c r="I426" i="17"/>
  <c r="J426" i="17"/>
  <c r="H427" i="17"/>
  <c r="I427" i="17"/>
  <c r="J427" i="17"/>
  <c r="H428" i="17"/>
  <c r="I428" i="17"/>
  <c r="J428" i="17"/>
  <c r="H429" i="17"/>
  <c r="I429" i="17"/>
  <c r="J429" i="17"/>
  <c r="H430" i="17"/>
  <c r="I430" i="17"/>
  <c r="J430" i="17"/>
  <c r="H431" i="17"/>
  <c r="I431" i="17"/>
  <c r="J431" i="17"/>
  <c r="H432" i="17"/>
  <c r="I432" i="17"/>
  <c r="J432" i="17"/>
  <c r="I433" i="17"/>
  <c r="W429" i="17" l="1"/>
  <c r="W425" i="17"/>
  <c r="W421" i="17"/>
  <c r="W432" i="17"/>
  <c r="W420" i="17"/>
  <c r="W424" i="17"/>
  <c r="W422" i="17"/>
  <c r="W431" i="17"/>
  <c r="W427" i="17"/>
  <c r="W423" i="17"/>
  <c r="W419" i="17"/>
  <c r="W430" i="17"/>
  <c r="W426" i="17"/>
  <c r="W428" i="17"/>
  <c r="CH55" i="20"/>
  <c r="B414" i="17"/>
  <c r="B415" i="17"/>
  <c r="B416" i="17"/>
  <c r="B417" i="17"/>
  <c r="B418" i="17"/>
  <c r="T413" i="17"/>
  <c r="T414" i="17"/>
  <c r="T415" i="17"/>
  <c r="T416" i="17"/>
  <c r="T417" i="17"/>
  <c r="T418" i="17"/>
  <c r="S412" i="17"/>
  <c r="S413" i="17"/>
  <c r="S414" i="17"/>
  <c r="S415" i="17"/>
  <c r="S416" i="17"/>
  <c r="S417" i="17"/>
  <c r="S418" i="17"/>
  <c r="R413" i="17"/>
  <c r="R414" i="17"/>
  <c r="R415" i="17"/>
  <c r="R416" i="17"/>
  <c r="R417" i="17"/>
  <c r="R418" i="17"/>
  <c r="L415" i="17"/>
  <c r="L416" i="17"/>
  <c r="L417" i="17"/>
  <c r="L418" i="17"/>
  <c r="J411" i="17"/>
  <c r="J412" i="17"/>
  <c r="J413" i="17"/>
  <c r="J414" i="17"/>
  <c r="J415" i="17"/>
  <c r="J416" i="17"/>
  <c r="J417" i="17"/>
  <c r="J418" i="17"/>
  <c r="I411" i="17"/>
  <c r="I412" i="17"/>
  <c r="I413" i="17"/>
  <c r="I414" i="17"/>
  <c r="I415" i="17"/>
  <c r="I416" i="17"/>
  <c r="I417" i="17"/>
  <c r="I418" i="17"/>
  <c r="H415" i="17"/>
  <c r="H416" i="17"/>
  <c r="H417" i="17"/>
  <c r="H418" i="17"/>
  <c r="AB52" i="29"/>
  <c r="W415" i="17" l="1"/>
  <c r="W416" i="17"/>
  <c r="W418" i="17"/>
  <c r="W417" i="17"/>
  <c r="W414" i="17"/>
  <c r="CG51" i="20"/>
  <c r="CG52" i="20"/>
  <c r="CG53" i="20"/>
  <c r="CG54" i="20"/>
  <c r="CH54" i="20" l="1"/>
  <c r="B407" i="17"/>
  <c r="B408" i="17"/>
  <c r="B409" i="17"/>
  <c r="B410" i="17"/>
  <c r="B411" i="17"/>
  <c r="B412" i="17"/>
  <c r="B413" i="17"/>
  <c r="W413" i="17"/>
  <c r="R407" i="17"/>
  <c r="S407" i="17"/>
  <c r="T407" i="17"/>
  <c r="R408" i="17"/>
  <c r="S408" i="17"/>
  <c r="T408" i="17"/>
  <c r="R409" i="17"/>
  <c r="S409" i="17"/>
  <c r="T409" i="17"/>
  <c r="R410" i="17"/>
  <c r="S410" i="17"/>
  <c r="T410" i="17"/>
  <c r="R411" i="17"/>
  <c r="S411" i="17"/>
  <c r="T411" i="17"/>
  <c r="W411" i="17" s="1"/>
  <c r="R412" i="17"/>
  <c r="T412" i="17"/>
  <c r="W412" i="17" s="1"/>
  <c r="L407" i="17"/>
  <c r="L408" i="17"/>
  <c r="L409" i="17"/>
  <c r="L410" i="17"/>
  <c r="L411" i="17"/>
  <c r="L412" i="17"/>
  <c r="L413" i="17"/>
  <c r="L414" i="17"/>
  <c r="H407" i="17"/>
  <c r="I407" i="17"/>
  <c r="J407" i="17"/>
  <c r="H408" i="17"/>
  <c r="I408" i="17"/>
  <c r="J408" i="17"/>
  <c r="W408" i="17" s="1"/>
  <c r="H409" i="17"/>
  <c r="I409" i="17"/>
  <c r="J409" i="17"/>
  <c r="H410" i="17"/>
  <c r="I410" i="17"/>
  <c r="J410" i="17"/>
  <c r="H411" i="17"/>
  <c r="H412" i="17"/>
  <c r="H413" i="17"/>
  <c r="H414" i="17"/>
  <c r="W407" i="17" l="1"/>
  <c r="W409" i="17"/>
  <c r="W410" i="17"/>
  <c r="CH53" i="20"/>
  <c r="R398" i="17"/>
  <c r="S398" i="17"/>
  <c r="T398" i="17"/>
  <c r="R399" i="17"/>
  <c r="S399" i="17"/>
  <c r="T399" i="17"/>
  <c r="R400" i="17"/>
  <c r="S400" i="17"/>
  <c r="T400" i="17"/>
  <c r="R401" i="17"/>
  <c r="S401" i="17"/>
  <c r="T401" i="17"/>
  <c r="R402" i="17"/>
  <c r="S402" i="17"/>
  <c r="T402" i="17"/>
  <c r="R403" i="17"/>
  <c r="S403" i="17"/>
  <c r="T403" i="17"/>
  <c r="R404" i="17"/>
  <c r="S404" i="17"/>
  <c r="T404" i="17"/>
  <c r="R405" i="17"/>
  <c r="S405" i="17"/>
  <c r="T405" i="17"/>
  <c r="R406" i="17"/>
  <c r="S406" i="17"/>
  <c r="T406" i="17"/>
  <c r="B398" i="17"/>
  <c r="B399" i="17"/>
  <c r="B400" i="17"/>
  <c r="B401" i="17"/>
  <c r="B402" i="17"/>
  <c r="B403" i="17"/>
  <c r="B404" i="17"/>
  <c r="B405" i="17"/>
  <c r="B406" i="17"/>
  <c r="L398" i="17"/>
  <c r="L399" i="17"/>
  <c r="L400" i="17"/>
  <c r="L401" i="17"/>
  <c r="L402" i="17"/>
  <c r="L403" i="17"/>
  <c r="L404" i="17"/>
  <c r="L405" i="17"/>
  <c r="L406" i="17"/>
  <c r="H398" i="17"/>
  <c r="I398" i="17"/>
  <c r="J398" i="17"/>
  <c r="H399" i="17"/>
  <c r="I399" i="17"/>
  <c r="J399" i="17"/>
  <c r="H400" i="17"/>
  <c r="I400" i="17"/>
  <c r="J400" i="17"/>
  <c r="H401" i="17"/>
  <c r="I401" i="17"/>
  <c r="J401" i="17"/>
  <c r="H402" i="17"/>
  <c r="I402" i="17"/>
  <c r="J402" i="17"/>
  <c r="H403" i="17"/>
  <c r="I403" i="17"/>
  <c r="J403" i="17"/>
  <c r="H404" i="17"/>
  <c r="I404" i="17"/>
  <c r="J404" i="17"/>
  <c r="H405" i="17"/>
  <c r="I405" i="17"/>
  <c r="J405" i="17"/>
  <c r="H406" i="17"/>
  <c r="I406" i="17"/>
  <c r="J406" i="17"/>
  <c r="W404" i="17" l="1"/>
  <c r="W403" i="17"/>
  <c r="W402" i="17"/>
  <c r="W406" i="17"/>
  <c r="W405" i="17"/>
  <c r="W401" i="17"/>
  <c r="W398" i="17"/>
  <c r="W399" i="17"/>
  <c r="W400" i="17"/>
  <c r="CH52" i="20"/>
  <c r="AB49" i="29"/>
  <c r="B393" i="17"/>
  <c r="B394" i="17"/>
  <c r="B395" i="17"/>
  <c r="B396" i="17"/>
  <c r="B397" i="17"/>
  <c r="S389" i="17"/>
  <c r="S390" i="17"/>
  <c r="S391" i="17"/>
  <c r="S392" i="17"/>
  <c r="S393" i="17"/>
  <c r="S394" i="17"/>
  <c r="R391" i="17"/>
  <c r="R392" i="17"/>
  <c r="R393" i="17"/>
  <c r="R394" i="17"/>
  <c r="R395" i="17"/>
  <c r="T387" i="17"/>
  <c r="T388" i="17"/>
  <c r="T389" i="17"/>
  <c r="T390" i="17"/>
  <c r="T391" i="17"/>
  <c r="T392" i="17"/>
  <c r="T393" i="17"/>
  <c r="T394" i="17"/>
  <c r="T395" i="17"/>
  <c r="T396" i="17"/>
  <c r="T397" i="17"/>
  <c r="S395" i="17"/>
  <c r="S396" i="17"/>
  <c r="S397" i="17"/>
  <c r="R396" i="17"/>
  <c r="R397" i="17"/>
  <c r="L391" i="17"/>
  <c r="L392" i="17"/>
  <c r="L393" i="17"/>
  <c r="L394" i="17"/>
  <c r="L395" i="17"/>
  <c r="L396" i="17"/>
  <c r="L397" i="17"/>
  <c r="J391" i="17"/>
  <c r="J392" i="17"/>
  <c r="J393" i="17"/>
  <c r="J394" i="17"/>
  <c r="J395" i="17"/>
  <c r="J396" i="17"/>
  <c r="J397" i="17"/>
  <c r="W397" i="17" s="1"/>
  <c r="I392" i="17"/>
  <c r="I393" i="17"/>
  <c r="I394" i="17"/>
  <c r="I395" i="17"/>
  <c r="I396" i="17"/>
  <c r="I397"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W391" i="17" l="1"/>
  <c r="W395" i="17"/>
  <c r="W392" i="17"/>
  <c r="W393" i="17"/>
  <c r="W394" i="17"/>
  <c r="W396"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I391" i="17"/>
  <c r="B391" i="17"/>
  <c r="B392" i="17"/>
  <c r="R386" i="17"/>
  <c r="S386" i="17"/>
  <c r="T386" i="17"/>
  <c r="R387" i="17"/>
  <c r="S387" i="17"/>
  <c r="R388" i="17"/>
  <c r="S388" i="17"/>
  <c r="R389" i="17"/>
  <c r="R390" i="17"/>
  <c r="I386" i="17"/>
  <c r="J386" i="17"/>
  <c r="I387" i="17"/>
  <c r="J387" i="17"/>
  <c r="W387" i="17" s="1"/>
  <c r="I388" i="17"/>
  <c r="J388" i="17"/>
  <c r="W388" i="17" s="1"/>
  <c r="I389" i="17"/>
  <c r="J389" i="17"/>
  <c r="W389" i="17" s="1"/>
  <c r="I390" i="17"/>
  <c r="J390" i="17"/>
  <c r="W390" i="17" s="1"/>
  <c r="B386" i="17"/>
  <c r="B387" i="17"/>
  <c r="B388" i="17"/>
  <c r="B389" i="17"/>
  <c r="B390" i="17"/>
  <c r="W386" i="17" l="1"/>
  <c r="CU48" i="20"/>
  <c r="B362" i="17"/>
  <c r="B363" i="17"/>
  <c r="B364" i="17"/>
  <c r="B365" i="17"/>
  <c r="B366" i="17"/>
  <c r="B367" i="17"/>
  <c r="B368" i="17"/>
  <c r="B369" i="17"/>
  <c r="B370" i="17"/>
  <c r="B371" i="17"/>
  <c r="B372" i="17"/>
  <c r="B373" i="17"/>
  <c r="B374" i="17"/>
  <c r="B375" i="17"/>
  <c r="B376" i="17"/>
  <c r="B377" i="17"/>
  <c r="B378" i="17"/>
  <c r="B379" i="17"/>
  <c r="B380" i="17"/>
  <c r="B381" i="17"/>
  <c r="B382" i="17"/>
  <c r="B383" i="17"/>
  <c r="B384" i="17"/>
  <c r="B385" i="17"/>
  <c r="R385" i="17"/>
  <c r="S385" i="17"/>
  <c r="T385" i="17"/>
  <c r="R362" i="17"/>
  <c r="S362" i="17"/>
  <c r="T362" i="17"/>
  <c r="R363" i="17"/>
  <c r="S363" i="17"/>
  <c r="T363" i="17"/>
  <c r="R364" i="17"/>
  <c r="S364" i="17"/>
  <c r="T364" i="17"/>
  <c r="R365" i="17"/>
  <c r="S365" i="17"/>
  <c r="T365" i="17"/>
  <c r="R366" i="17"/>
  <c r="S366" i="17"/>
  <c r="T366" i="17"/>
  <c r="R367" i="17"/>
  <c r="S367" i="17"/>
  <c r="T367" i="17"/>
  <c r="R368" i="17"/>
  <c r="S368" i="17"/>
  <c r="T368" i="17"/>
  <c r="R369" i="17"/>
  <c r="S369" i="17"/>
  <c r="T369" i="17"/>
  <c r="R370" i="17"/>
  <c r="S370" i="17"/>
  <c r="T370" i="17"/>
  <c r="R371" i="17"/>
  <c r="S371" i="17"/>
  <c r="T371" i="17"/>
  <c r="R372" i="17"/>
  <c r="S372" i="17"/>
  <c r="T372" i="17"/>
  <c r="R373" i="17"/>
  <c r="S373" i="17"/>
  <c r="T373" i="17"/>
  <c r="R374" i="17"/>
  <c r="S374" i="17"/>
  <c r="T374" i="17"/>
  <c r="R375" i="17"/>
  <c r="S375" i="17"/>
  <c r="T375" i="17"/>
  <c r="R376" i="17"/>
  <c r="S376" i="17"/>
  <c r="T376" i="17"/>
  <c r="R377" i="17"/>
  <c r="S377" i="17"/>
  <c r="T377" i="17"/>
  <c r="R378" i="17"/>
  <c r="S378" i="17"/>
  <c r="T378" i="17"/>
  <c r="R379" i="17"/>
  <c r="S379" i="17"/>
  <c r="T379" i="17"/>
  <c r="R380" i="17"/>
  <c r="S380" i="17"/>
  <c r="T380" i="17"/>
  <c r="R381" i="17"/>
  <c r="S381" i="17"/>
  <c r="T381" i="17"/>
  <c r="R382" i="17"/>
  <c r="S382" i="17"/>
  <c r="T382" i="17"/>
  <c r="R383" i="17"/>
  <c r="S383" i="17"/>
  <c r="T383" i="17"/>
  <c r="R384" i="17"/>
  <c r="S384" i="17"/>
  <c r="T384" i="17"/>
  <c r="I357" i="17"/>
  <c r="J357" i="17"/>
  <c r="I358" i="17"/>
  <c r="J358" i="17"/>
  <c r="I359" i="17"/>
  <c r="J359" i="17"/>
  <c r="I360" i="17"/>
  <c r="J360" i="17"/>
  <c r="I361" i="17"/>
  <c r="J361" i="17"/>
  <c r="I362" i="17"/>
  <c r="J362" i="17"/>
  <c r="I363" i="17"/>
  <c r="J363" i="17"/>
  <c r="I364" i="17"/>
  <c r="J364" i="17"/>
  <c r="I365" i="17"/>
  <c r="J365" i="17"/>
  <c r="I366" i="17"/>
  <c r="J366" i="17"/>
  <c r="I367" i="17"/>
  <c r="J367" i="17"/>
  <c r="I368" i="17"/>
  <c r="J368" i="17"/>
  <c r="I369" i="17"/>
  <c r="J369" i="17"/>
  <c r="I370" i="17"/>
  <c r="J370" i="17"/>
  <c r="I371" i="17"/>
  <c r="J371" i="17"/>
  <c r="I372" i="17"/>
  <c r="J372" i="17"/>
  <c r="I373" i="17"/>
  <c r="J373" i="17"/>
  <c r="I374" i="17"/>
  <c r="J374" i="17"/>
  <c r="I375" i="17"/>
  <c r="J375" i="17"/>
  <c r="I376" i="17"/>
  <c r="J376" i="17"/>
  <c r="I377" i="17"/>
  <c r="J377" i="17"/>
  <c r="I378" i="17"/>
  <c r="J378" i="17"/>
  <c r="I379" i="17"/>
  <c r="J379" i="17"/>
  <c r="I380" i="17"/>
  <c r="J380" i="17"/>
  <c r="I381" i="17"/>
  <c r="J381" i="17"/>
  <c r="I382" i="17"/>
  <c r="J382" i="17"/>
  <c r="I383" i="17"/>
  <c r="J383" i="17"/>
  <c r="I384" i="17"/>
  <c r="J384" i="17"/>
  <c r="I385" i="17"/>
  <c r="J385" i="17"/>
  <c r="W374" i="17" l="1"/>
  <c r="W362" i="17"/>
  <c r="W370" i="17"/>
  <c r="W382" i="17"/>
  <c r="W383" i="17"/>
  <c r="W375" i="17"/>
  <c r="W371" i="17"/>
  <c r="W363" i="17"/>
  <c r="W367" i="17"/>
  <c r="W381" i="17"/>
  <c r="W377" i="17"/>
  <c r="W373" i="17"/>
  <c r="W369" i="17"/>
  <c r="W365" i="17"/>
  <c r="W385" i="17"/>
  <c r="W379" i="17"/>
  <c r="W378" i="17"/>
  <c r="W380" i="17"/>
  <c r="W372" i="17"/>
  <c r="W364" i="17"/>
  <c r="W366" i="17"/>
  <c r="W384" i="17"/>
  <c r="W376" i="17"/>
  <c r="W368" i="17"/>
  <c r="CH48" i="20"/>
  <c r="CH49" i="20"/>
  <c r="CH50" i="20"/>
  <c r="CH51" i="20"/>
  <c r="T357" i="17" l="1"/>
  <c r="T358" i="17"/>
  <c r="T359" i="17"/>
  <c r="W359" i="17" s="1"/>
  <c r="T360" i="17"/>
  <c r="W360" i="17" s="1"/>
  <c r="T361" i="17"/>
  <c r="W361" i="17" s="1"/>
  <c r="W358" i="17"/>
  <c r="S357" i="17"/>
  <c r="S358" i="17"/>
  <c r="S359" i="17"/>
  <c r="S360" i="17"/>
  <c r="S361" i="17"/>
  <c r="B361" i="17"/>
  <c r="B360" i="17"/>
  <c r="R360" i="17"/>
  <c r="R361" i="17"/>
  <c r="CH47" i="20"/>
  <c r="R358" i="17"/>
  <c r="R359" i="17"/>
  <c r="B358" i="17"/>
  <c r="B359" i="17"/>
  <c r="W357" i="17" l="1"/>
  <c r="B357" i="17"/>
  <c r="R357" i="17"/>
  <c r="CH45" i="20"/>
  <c r="CH46" i="20"/>
  <c r="B352" i="17" l="1"/>
  <c r="B353" i="17"/>
  <c r="B354" i="17"/>
  <c r="B355" i="17"/>
  <c r="B356" i="17"/>
  <c r="T351" i="17"/>
  <c r="T352" i="17"/>
  <c r="T353" i="17"/>
  <c r="T354" i="17"/>
  <c r="T355" i="17"/>
  <c r="T356" i="17"/>
  <c r="S350" i="17"/>
  <c r="S351" i="17"/>
  <c r="S352" i="17"/>
  <c r="S353" i="17"/>
  <c r="S354" i="17"/>
  <c r="S355" i="17"/>
  <c r="S356" i="17"/>
  <c r="R351" i="17"/>
  <c r="R352" i="17"/>
  <c r="R353" i="17"/>
  <c r="R354" i="17"/>
  <c r="R355" i="17"/>
  <c r="R356" i="17"/>
  <c r="L343" i="17"/>
  <c r="L344" i="17"/>
  <c r="L345" i="17"/>
  <c r="L346" i="17"/>
  <c r="L347" i="17"/>
  <c r="L348" i="17"/>
  <c r="L349" i="17"/>
  <c r="L350" i="17"/>
  <c r="L351" i="17"/>
  <c r="L352" i="17"/>
  <c r="L353" i="17"/>
  <c r="L354" i="17"/>
  <c r="J349" i="17"/>
  <c r="J350" i="17"/>
  <c r="J351" i="17"/>
  <c r="J352" i="17"/>
  <c r="J353" i="17"/>
  <c r="J354" i="17"/>
  <c r="J355" i="17"/>
  <c r="J356" i="17"/>
  <c r="I347" i="17"/>
  <c r="I348" i="17"/>
  <c r="I349" i="17"/>
  <c r="I350" i="17"/>
  <c r="I351" i="17"/>
  <c r="I352" i="17"/>
  <c r="I353" i="17"/>
  <c r="I354" i="17"/>
  <c r="I355" i="17"/>
  <c r="I356" i="17"/>
  <c r="AB42" i="29"/>
  <c r="W355" i="17" l="1"/>
  <c r="W354" i="17"/>
  <c r="W353" i="17"/>
  <c r="W356" i="17"/>
  <c r="A6" i="23"/>
  <c r="A7" i="23" s="1"/>
  <c r="A8" i="23" s="1"/>
  <c r="A9" i="23" s="1"/>
  <c r="A10" i="23" s="1"/>
  <c r="A11" i="23" s="1"/>
  <c r="A12" i="23" s="1"/>
  <c r="A13" i="23" s="1"/>
  <c r="A14" i="23" s="1"/>
  <c r="A15" i="23" s="1"/>
  <c r="A16" i="23" s="1"/>
  <c r="A17" i="23" s="1"/>
  <c r="A18" i="23" s="1"/>
  <c r="A19" i="23" s="1"/>
  <c r="A20" i="23" s="1"/>
  <c r="A21" i="23" s="1"/>
  <c r="A22" i="23" s="1"/>
  <c r="A23" i="23" s="1"/>
  <c r="A24" i="23" s="1"/>
  <c r="A25" i="23" s="1"/>
  <c r="A26" i="23" s="1"/>
  <c r="A27" i="23" s="1"/>
  <c r="A28" i="23" s="1"/>
  <c r="A29" i="23" s="1"/>
  <c r="A30" i="23" s="1"/>
  <c r="A31" i="23" s="1"/>
  <c r="A32" i="23" s="1"/>
  <c r="A33" i="23" s="1"/>
  <c r="A34" i="23" s="1"/>
  <c r="A35" i="23" s="1"/>
  <c r="A36" i="23" s="1"/>
  <c r="A37" i="23" s="1"/>
  <c r="A38" i="23" s="1"/>
  <c r="A39" i="23" s="1"/>
  <c r="A40" i="23" s="1"/>
  <c r="A41" i="23" s="1"/>
  <c r="A42" i="23" s="1"/>
  <c r="A43" i="23" s="1"/>
  <c r="A44" i="23" s="1"/>
  <c r="A45" i="23" s="1"/>
  <c r="A46" i="23" s="1"/>
  <c r="A47" i="23" s="1"/>
  <c r="A48" i="23" s="1"/>
  <c r="A49" i="23" s="1"/>
  <c r="A50" i="23" s="1"/>
  <c r="A51" i="23" s="1"/>
  <c r="A52" i="23" s="1"/>
  <c r="A53" i="23" s="1"/>
  <c r="A54" i="23" s="1"/>
  <c r="A55" i="23" s="1"/>
  <c r="A56" i="23" s="1"/>
  <c r="A57" i="23" s="1"/>
  <c r="A58" i="23" s="1"/>
  <c r="A59" i="23" s="1"/>
  <c r="A60" i="23" s="1"/>
  <c r="A61" i="23" s="1"/>
  <c r="A62" i="23" s="1"/>
  <c r="A63" i="23" s="1"/>
  <c r="A64" i="23" s="1"/>
  <c r="A65" i="23" s="1"/>
  <c r="A66" i="23" s="1"/>
  <c r="A67" i="23" s="1"/>
  <c r="A68" i="23" s="1"/>
  <c r="A69" i="23" s="1"/>
  <c r="A70" i="23" s="1"/>
  <c r="A71" i="23" s="1"/>
  <c r="A72" i="23" s="1"/>
  <c r="A73" i="23" s="1"/>
  <c r="A74" i="23" s="1"/>
  <c r="A75" i="23" s="1"/>
  <c r="A76" i="23" s="1"/>
  <c r="A77" i="23" s="1"/>
  <c r="A78" i="23" s="1"/>
  <c r="A79" i="23" s="1"/>
  <c r="A80" i="23" s="1"/>
  <c r="A81" i="23" s="1"/>
  <c r="A82" i="23" s="1"/>
  <c r="A83" i="23" s="1"/>
  <c r="A84" i="23" s="1"/>
  <c r="A85" i="23" s="1"/>
  <c r="A86" i="23" s="1"/>
  <c r="A87" i="23" s="1"/>
  <c r="A88" i="23" s="1"/>
  <c r="A89" i="23" s="1"/>
  <c r="A90" i="23" s="1"/>
  <c r="A91" i="23" s="1"/>
  <c r="A92" i="23" s="1"/>
  <c r="A93" i="23" s="1"/>
  <c r="A94" i="23" s="1"/>
  <c r="A95" i="23" s="1"/>
  <c r="A96" i="23" s="1"/>
  <c r="A97" i="23" s="1"/>
  <c r="A98" i="23" s="1"/>
  <c r="A99" i="23" s="1"/>
  <c r="A100" i="23" s="1"/>
  <c r="A101" i="23" s="1"/>
  <c r="A102" i="23" s="1"/>
  <c r="A103" i="23" s="1"/>
  <c r="A104" i="23" s="1"/>
  <c r="A105" i="23" s="1"/>
  <c r="A106" i="23" s="1"/>
  <c r="A107" i="23" s="1"/>
  <c r="A108" i="23" s="1"/>
  <c r="A109" i="23" s="1"/>
  <c r="A110" i="23" s="1"/>
  <c r="A111" i="23" s="1"/>
  <c r="A112" i="23" s="1"/>
  <c r="A113" i="23" s="1"/>
  <c r="A114" i="23" s="1"/>
  <c r="A115" i="23" s="1"/>
  <c r="A116" i="23" s="1"/>
  <c r="A117" i="23" s="1"/>
  <c r="A118" i="23" s="1"/>
  <c r="A119" i="23" s="1"/>
  <c r="A120" i="23" s="1"/>
  <c r="A121" i="23" s="1"/>
  <c r="A122" i="23" s="1"/>
  <c r="A123" i="23" s="1"/>
  <c r="A124" i="23" s="1"/>
  <c r="A125" i="23" s="1"/>
  <c r="A126" i="23" s="1"/>
  <c r="A127" i="23" s="1"/>
  <c r="A128" i="23" s="1"/>
  <c r="A129" i="23" s="1"/>
  <c r="A130" i="23" s="1"/>
  <c r="A131" i="23" s="1"/>
  <c r="A132" i="23" s="1"/>
  <c r="A133" i="23" s="1"/>
  <c r="A134" i="23" s="1"/>
  <c r="A135" i="23" s="1"/>
  <c r="A136" i="23" s="1"/>
  <c r="A137" i="23" s="1"/>
  <c r="A138" i="23" s="1"/>
  <c r="A139" i="23" s="1"/>
  <c r="A140" i="23" s="1"/>
  <c r="A141" i="23" s="1"/>
  <c r="A142" i="23" s="1"/>
  <c r="T350" i="17"/>
  <c r="W350" i="17" s="1"/>
  <c r="W351" i="17"/>
  <c r="W352" i="17"/>
  <c r="R350" i="17"/>
  <c r="B350" i="17"/>
  <c r="B351" i="17"/>
  <c r="B349" i="17"/>
  <c r="CH41" i="20"/>
  <c r="CH42" i="20"/>
  <c r="CH43" i="20"/>
  <c r="CH44" i="20"/>
  <c r="B347" i="17"/>
  <c r="B348" i="17"/>
  <c r="W347" i="17"/>
  <c r="R347" i="17"/>
  <c r="S347" i="17"/>
  <c r="T347" i="17"/>
  <c r="R348" i="17"/>
  <c r="S348" i="17"/>
  <c r="T348" i="17"/>
  <c r="R349" i="17"/>
  <c r="S349" i="17"/>
  <c r="T349" i="17"/>
  <c r="J347" i="17"/>
  <c r="J348" i="17"/>
  <c r="BL5" i="20"/>
  <c r="BL6" i="20"/>
  <c r="BL7" i="20"/>
  <c r="BL8" i="20"/>
  <c r="BL9" i="20"/>
  <c r="BL10" i="20"/>
  <c r="BL11" i="20"/>
  <c r="BL12" i="20"/>
  <c r="BL13" i="20"/>
  <c r="BL14" i="20"/>
  <c r="BL15" i="20"/>
  <c r="BL16" i="20"/>
  <c r="BL17" i="20"/>
  <c r="BL18" i="20"/>
  <c r="BL19" i="20"/>
  <c r="BL20" i="20"/>
  <c r="BL21" i="20"/>
  <c r="BL22" i="20"/>
  <c r="BL23" i="20"/>
  <c r="BL24" i="20"/>
  <c r="BL25" i="20"/>
  <c r="BL26" i="20"/>
  <c r="BL27" i="20"/>
  <c r="BL28" i="20"/>
  <c r="BL29" i="20"/>
  <c r="BL30" i="20"/>
  <c r="BL31" i="20"/>
  <c r="BL32" i="20"/>
  <c r="BL33" i="20"/>
  <c r="BL34" i="20"/>
  <c r="BL35" i="20"/>
  <c r="BL36" i="20"/>
  <c r="BL37" i="20"/>
  <c r="BL38" i="20"/>
  <c r="BL39" i="20"/>
  <c r="BL40" i="20"/>
  <c r="BL41" i="20"/>
  <c r="BL42" i="20"/>
  <c r="BL43" i="20"/>
  <c r="BL44" i="20"/>
  <c r="BL45" i="20"/>
  <c r="BL46" i="20"/>
  <c r="BL47" i="20"/>
  <c r="BL48" i="20"/>
  <c r="BL49" i="20"/>
  <c r="BL50" i="20"/>
  <c r="BL51" i="20"/>
  <c r="BL52" i="20"/>
  <c r="BL53" i="20"/>
  <c r="BL54" i="20"/>
  <c r="BL55" i="20"/>
  <c r="BL56" i="20"/>
  <c r="BL57" i="20"/>
  <c r="BL58" i="20"/>
  <c r="BL59" i="20"/>
  <c r="BL60" i="20"/>
  <c r="BL61" i="20"/>
  <c r="BL62" i="20"/>
  <c r="BL63" i="20"/>
  <c r="BL64" i="20"/>
  <c r="BL65" i="20"/>
  <c r="BL66" i="20"/>
  <c r="BL67" i="20"/>
  <c r="BL68" i="20"/>
  <c r="BL69" i="20"/>
  <c r="BL70" i="20"/>
  <c r="BL71" i="20"/>
  <c r="BL72" i="20"/>
  <c r="BL73" i="20"/>
  <c r="BL74" i="20"/>
  <c r="BL75" i="20"/>
  <c r="BL76" i="20"/>
  <c r="BL77" i="20"/>
  <c r="BL78" i="20"/>
  <c r="BL79" i="20"/>
  <c r="BL80" i="20"/>
  <c r="BL81" i="20"/>
  <c r="BL82" i="20"/>
  <c r="BL83" i="20"/>
  <c r="BL84" i="20"/>
  <c r="BL85" i="20"/>
  <c r="BL86" i="20"/>
  <c r="BL87" i="20"/>
  <c r="BL88" i="20"/>
  <c r="BL89" i="20"/>
  <c r="BL90" i="20"/>
  <c r="BL91" i="20"/>
  <c r="BL92" i="20"/>
  <c r="BL93" i="20"/>
  <c r="BL94" i="20"/>
  <c r="BL95" i="20"/>
  <c r="BL96" i="20"/>
  <c r="BL97" i="20"/>
  <c r="BL98" i="20"/>
  <c r="BL99" i="20"/>
  <c r="BL100" i="20"/>
  <c r="BL101" i="20"/>
  <c r="BL102" i="20"/>
  <c r="BL103" i="20"/>
  <c r="BL104" i="20"/>
  <c r="BL105" i="20"/>
  <c r="BL106" i="20"/>
  <c r="BL107" i="20"/>
  <c r="BL108" i="20"/>
  <c r="BL109" i="20"/>
  <c r="BL110" i="20"/>
  <c r="BL111" i="20"/>
  <c r="BL112" i="20"/>
  <c r="BL113" i="20"/>
  <c r="BL114" i="20"/>
  <c r="BL115" i="20"/>
  <c r="BL116" i="20"/>
  <c r="BL117" i="20"/>
  <c r="BL118" i="20"/>
  <c r="BL119" i="20"/>
  <c r="BL120" i="20"/>
  <c r="BL121" i="20"/>
  <c r="BL122" i="20"/>
  <c r="BL123" i="20"/>
  <c r="BL124" i="20"/>
  <c r="BL125" i="20"/>
  <c r="BL126" i="20"/>
  <c r="BL127" i="20"/>
  <c r="BL128" i="20"/>
  <c r="BL129" i="20"/>
  <c r="BL130" i="20"/>
  <c r="BL131" i="20"/>
  <c r="BL132" i="20"/>
  <c r="BL133" i="20"/>
  <c r="BL134" i="20"/>
  <c r="BL135" i="20"/>
  <c r="BL136" i="20"/>
  <c r="BL137" i="20"/>
  <c r="BL138" i="20"/>
  <c r="BL139" i="20"/>
  <c r="BL140" i="20"/>
  <c r="BL141" i="20"/>
  <c r="BL142" i="20"/>
  <c r="BL143" i="20"/>
  <c r="BL144" i="20"/>
  <c r="BL145" i="20"/>
  <c r="BL146" i="20"/>
  <c r="BL147" i="20"/>
  <c r="BL148" i="20"/>
  <c r="BL149" i="20"/>
  <c r="BL150" i="20"/>
  <c r="BL151" i="20"/>
  <c r="BL152" i="20"/>
  <c r="BL153" i="20"/>
  <c r="BL154" i="20"/>
  <c r="BL155" i="20"/>
  <c r="BL156" i="20"/>
  <c r="BL157" i="20"/>
  <c r="BJ5" i="20"/>
  <c r="BJ6" i="20"/>
  <c r="BJ7" i="20"/>
  <c r="BJ8" i="20"/>
  <c r="BJ9" i="20"/>
  <c r="BJ10" i="20"/>
  <c r="BJ11" i="20"/>
  <c r="BJ12" i="20"/>
  <c r="BJ13" i="20"/>
  <c r="BJ14" i="20"/>
  <c r="BJ15" i="20"/>
  <c r="BJ16" i="20"/>
  <c r="BJ17" i="20"/>
  <c r="BJ18" i="20"/>
  <c r="BJ19" i="20"/>
  <c r="BJ20" i="20"/>
  <c r="BJ21" i="20"/>
  <c r="BJ22" i="20"/>
  <c r="BJ23" i="20"/>
  <c r="BJ24" i="20"/>
  <c r="BJ25" i="20"/>
  <c r="BJ26" i="20"/>
  <c r="BJ27" i="20"/>
  <c r="BJ28" i="20"/>
  <c r="BJ29" i="20"/>
  <c r="BJ30" i="20"/>
  <c r="BJ31" i="20"/>
  <c r="BJ32" i="20"/>
  <c r="BJ33" i="20"/>
  <c r="BJ34" i="20"/>
  <c r="BJ35" i="20"/>
  <c r="BJ36" i="20"/>
  <c r="BJ37" i="20"/>
  <c r="BJ38" i="20"/>
  <c r="BJ39" i="20"/>
  <c r="BJ40" i="20"/>
  <c r="BJ41" i="20"/>
  <c r="BJ42" i="20"/>
  <c r="BJ43" i="20"/>
  <c r="BJ44" i="20"/>
  <c r="BJ45" i="20"/>
  <c r="BJ46" i="20"/>
  <c r="BJ47" i="20"/>
  <c r="BJ48" i="20"/>
  <c r="BJ49" i="20"/>
  <c r="BJ50" i="20"/>
  <c r="BJ51" i="20"/>
  <c r="BJ52" i="20"/>
  <c r="BJ53" i="20"/>
  <c r="BJ54" i="20"/>
  <c r="BJ55" i="20"/>
  <c r="BJ56" i="20"/>
  <c r="BJ57" i="20"/>
  <c r="BJ58" i="20"/>
  <c r="BJ59" i="20"/>
  <c r="BJ60" i="20"/>
  <c r="BJ61" i="20"/>
  <c r="BJ62" i="20"/>
  <c r="BJ63" i="20"/>
  <c r="BJ64" i="20"/>
  <c r="BJ65" i="20"/>
  <c r="BJ66" i="20"/>
  <c r="BJ67" i="20"/>
  <c r="BJ68" i="20"/>
  <c r="BJ69" i="20"/>
  <c r="BJ70" i="20"/>
  <c r="BJ71" i="20"/>
  <c r="BJ72" i="20"/>
  <c r="BJ73" i="20"/>
  <c r="BJ74" i="20"/>
  <c r="BJ75" i="20"/>
  <c r="BJ76" i="20"/>
  <c r="BJ77" i="20"/>
  <c r="BJ78" i="20"/>
  <c r="BJ79" i="20"/>
  <c r="BJ80" i="20"/>
  <c r="BJ81" i="20"/>
  <c r="BJ82" i="20"/>
  <c r="BJ83" i="20"/>
  <c r="BJ84" i="20"/>
  <c r="BJ85" i="20"/>
  <c r="BJ86" i="20"/>
  <c r="BJ87" i="20"/>
  <c r="BJ88" i="20"/>
  <c r="BJ89" i="20"/>
  <c r="BJ90" i="20"/>
  <c r="BJ91" i="20"/>
  <c r="BJ92" i="20"/>
  <c r="BJ93" i="20"/>
  <c r="BJ94" i="20"/>
  <c r="BJ95" i="20"/>
  <c r="BJ96" i="20"/>
  <c r="BJ97" i="20"/>
  <c r="BJ98" i="20"/>
  <c r="BJ99" i="20"/>
  <c r="BJ100" i="20"/>
  <c r="BJ101" i="20"/>
  <c r="BJ102" i="20"/>
  <c r="BJ103" i="20"/>
  <c r="BJ104" i="20"/>
  <c r="BJ105" i="20"/>
  <c r="BJ106" i="20"/>
  <c r="BJ107" i="20"/>
  <c r="BJ108" i="20"/>
  <c r="BJ109" i="20"/>
  <c r="BJ110" i="20"/>
  <c r="BJ111" i="20"/>
  <c r="BJ112" i="20"/>
  <c r="BJ113" i="20"/>
  <c r="BJ114" i="20"/>
  <c r="BJ115" i="20"/>
  <c r="BJ116" i="20"/>
  <c r="BJ117" i="20"/>
  <c r="BJ118" i="20"/>
  <c r="BJ119" i="20"/>
  <c r="BJ120" i="20"/>
  <c r="BJ121" i="20"/>
  <c r="BJ122" i="20"/>
  <c r="BJ123" i="20"/>
  <c r="BJ124" i="20"/>
  <c r="BJ125" i="20"/>
  <c r="BJ126" i="20"/>
  <c r="BJ127" i="20"/>
  <c r="BJ128" i="20"/>
  <c r="BJ129" i="20"/>
  <c r="BJ130" i="20"/>
  <c r="BJ131" i="20"/>
  <c r="BJ132" i="20"/>
  <c r="BJ133" i="20"/>
  <c r="BJ134" i="20"/>
  <c r="BJ135" i="20"/>
  <c r="BJ136" i="20"/>
  <c r="BJ137" i="20"/>
  <c r="BJ138" i="20"/>
  <c r="BJ139" i="20"/>
  <c r="BJ140" i="20"/>
  <c r="BJ141" i="20"/>
  <c r="BJ142" i="20"/>
  <c r="BJ143" i="20"/>
  <c r="BJ144" i="20"/>
  <c r="BJ145" i="20"/>
  <c r="BJ146" i="20"/>
  <c r="BJ147" i="20"/>
  <c r="BJ148" i="20"/>
  <c r="BJ149" i="20"/>
  <c r="BJ150" i="20"/>
  <c r="BJ151" i="20"/>
  <c r="BJ152" i="20"/>
  <c r="BJ153" i="20"/>
  <c r="BJ154" i="20"/>
  <c r="BJ155" i="20"/>
  <c r="BJ156" i="20"/>
  <c r="BJ157" i="20"/>
  <c r="W345" i="17"/>
  <c r="R344" i="17"/>
  <c r="S344" i="17"/>
  <c r="T344" i="17"/>
  <c r="R345" i="17"/>
  <c r="S345" i="17"/>
  <c r="T345" i="17"/>
  <c r="R346" i="17"/>
  <c r="S346" i="17"/>
  <c r="T346" i="17"/>
  <c r="B344" i="17"/>
  <c r="B345" i="17"/>
  <c r="B346" i="17"/>
  <c r="H344" i="17"/>
  <c r="I344" i="17"/>
  <c r="J344" i="17"/>
  <c r="H345" i="17"/>
  <c r="I345" i="17"/>
  <c r="J345" i="17"/>
  <c r="H346" i="17"/>
  <c r="I346" i="17"/>
  <c r="J346" i="17"/>
  <c r="B339" i="17"/>
  <c r="B340" i="17"/>
  <c r="B341" i="17"/>
  <c r="B342" i="17"/>
  <c r="B343" i="17"/>
  <c r="R339" i="17"/>
  <c r="S339" i="17"/>
  <c r="T339" i="17"/>
  <c r="R340" i="17"/>
  <c r="S340" i="17"/>
  <c r="T340" i="17"/>
  <c r="R341" i="17"/>
  <c r="S341" i="17"/>
  <c r="T341" i="17"/>
  <c r="R342" i="17"/>
  <c r="S342" i="17"/>
  <c r="T342" i="17"/>
  <c r="R343" i="17"/>
  <c r="S343" i="17"/>
  <c r="T343" i="17"/>
  <c r="L339" i="17"/>
  <c r="L340" i="17"/>
  <c r="L341" i="17"/>
  <c r="L342" i="17"/>
  <c r="H339" i="17"/>
  <c r="I339" i="17"/>
  <c r="J339" i="17"/>
  <c r="H340" i="17"/>
  <c r="I340" i="17"/>
  <c r="J340" i="17"/>
  <c r="H341" i="17"/>
  <c r="I341" i="17"/>
  <c r="J341" i="17"/>
  <c r="H342" i="17"/>
  <c r="I342" i="17"/>
  <c r="J342" i="17"/>
  <c r="H343" i="17"/>
  <c r="I343" i="17"/>
  <c r="J343" i="17"/>
  <c r="W348" i="17" l="1"/>
  <c r="W341" i="17"/>
  <c r="W340" i="17"/>
  <c r="W343" i="17"/>
  <c r="W339" i="17"/>
  <c r="W342" i="17"/>
  <c r="W344" i="17"/>
  <c r="W349" i="17"/>
  <c r="W346" i="17"/>
  <c r="B338" i="17"/>
  <c r="R337" i="17"/>
  <c r="S337" i="17"/>
  <c r="T337" i="17"/>
  <c r="R338" i="17"/>
  <c r="S338" i="17"/>
  <c r="T338" i="17"/>
  <c r="L337" i="17"/>
  <c r="L338" i="17"/>
  <c r="H337" i="17"/>
  <c r="I337" i="17"/>
  <c r="J337" i="17"/>
  <c r="H338" i="17"/>
  <c r="I338" i="17"/>
  <c r="J338" i="17"/>
  <c r="W337" i="17" l="1"/>
  <c r="W338" i="17"/>
  <c r="R329" i="17"/>
  <c r="S329" i="17"/>
  <c r="T329" i="17"/>
  <c r="R330" i="17"/>
  <c r="S330" i="17"/>
  <c r="T330" i="17"/>
  <c r="R331" i="17"/>
  <c r="S331" i="17"/>
  <c r="T331" i="17"/>
  <c r="R332" i="17"/>
  <c r="S332" i="17"/>
  <c r="T332" i="17"/>
  <c r="R333" i="17"/>
  <c r="S333" i="17"/>
  <c r="T333" i="17"/>
  <c r="R334" i="17"/>
  <c r="S334" i="17"/>
  <c r="T334" i="17"/>
  <c r="R335" i="17"/>
  <c r="S335" i="17"/>
  <c r="T335" i="17"/>
  <c r="R336" i="17"/>
  <c r="S336" i="17"/>
  <c r="T336" i="17"/>
  <c r="H329" i="17"/>
  <c r="I329" i="17"/>
  <c r="J329" i="17"/>
  <c r="H330" i="17"/>
  <c r="I330" i="17"/>
  <c r="J330" i="17"/>
  <c r="H331" i="17"/>
  <c r="I331" i="17"/>
  <c r="J331" i="17"/>
  <c r="H332" i="17"/>
  <c r="I332" i="17"/>
  <c r="J332" i="17"/>
  <c r="H333" i="17"/>
  <c r="I333" i="17"/>
  <c r="J333" i="17"/>
  <c r="H334" i="17"/>
  <c r="I334" i="17"/>
  <c r="J334" i="17"/>
  <c r="H335" i="17"/>
  <c r="I335" i="17"/>
  <c r="J335" i="17"/>
  <c r="H336" i="17"/>
  <c r="I336" i="17"/>
  <c r="J336" i="17"/>
  <c r="L328" i="17"/>
  <c r="L329" i="17"/>
  <c r="L330" i="17"/>
  <c r="L331" i="17"/>
  <c r="L332" i="17"/>
  <c r="L333" i="17"/>
  <c r="L334" i="17"/>
  <c r="L335" i="17"/>
  <c r="L336" i="17"/>
  <c r="B328" i="17"/>
  <c r="B329" i="17"/>
  <c r="B330" i="17"/>
  <c r="B331" i="17"/>
  <c r="B332" i="17"/>
  <c r="B333" i="17"/>
  <c r="B334" i="17"/>
  <c r="B335" i="17"/>
  <c r="B336" i="17"/>
  <c r="B337" i="17"/>
  <c r="CT37" i="20"/>
  <c r="CT38" i="20"/>
  <c r="CT39" i="20"/>
  <c r="CT40" i="20"/>
  <c r="CT41" i="20"/>
  <c r="CT42" i="20"/>
  <c r="CT43" i="20"/>
  <c r="CT44" i="20"/>
  <c r="CT45" i="20"/>
  <c r="CT46" i="20"/>
  <c r="CT47" i="20"/>
  <c r="CT48" i="20"/>
  <c r="CT49" i="20"/>
  <c r="W336" i="17" l="1"/>
  <c r="W332" i="17"/>
  <c r="W335" i="17"/>
  <c r="W331" i="17"/>
  <c r="W334" i="17"/>
  <c r="W330" i="17"/>
  <c r="W333" i="17"/>
  <c r="W329" i="17"/>
  <c r="T328" i="17"/>
  <c r="S328" i="17"/>
  <c r="R328" i="17"/>
  <c r="J328" i="17" l="1"/>
  <c r="W328" i="17" s="1"/>
  <c r="I328" i="17"/>
  <c r="H328" i="17"/>
  <c r="AB34" i="29"/>
  <c r="B322" i="17"/>
  <c r="B323" i="17"/>
  <c r="B324" i="17"/>
  <c r="B325" i="17"/>
  <c r="B326" i="17"/>
  <c r="B327" i="17"/>
  <c r="T320" i="17"/>
  <c r="T321" i="17"/>
  <c r="T322" i="17"/>
  <c r="T323" i="17"/>
  <c r="T324" i="17"/>
  <c r="T325" i="17"/>
  <c r="T326" i="17"/>
  <c r="T327" i="17"/>
  <c r="S320" i="17"/>
  <c r="S321" i="17"/>
  <c r="S322" i="17"/>
  <c r="S323" i="17"/>
  <c r="S324" i="17"/>
  <c r="S325" i="17"/>
  <c r="S326" i="17"/>
  <c r="S327" i="17"/>
  <c r="R319" i="17"/>
  <c r="R320" i="17"/>
  <c r="R321" i="17"/>
  <c r="R322" i="17"/>
  <c r="R323" i="17"/>
  <c r="R324" i="17"/>
  <c r="R325" i="17"/>
  <c r="R326" i="17"/>
  <c r="R327" i="17"/>
  <c r="L322" i="17"/>
  <c r="L323" i="17"/>
  <c r="L324" i="17"/>
  <c r="L325" i="17"/>
  <c r="L326" i="17"/>
  <c r="L327" i="17"/>
  <c r="J321" i="17"/>
  <c r="J322" i="17"/>
  <c r="J323" i="17"/>
  <c r="J324" i="17"/>
  <c r="J325" i="17"/>
  <c r="J326" i="17"/>
  <c r="J327" i="17"/>
  <c r="I321" i="17"/>
  <c r="I322" i="17"/>
  <c r="I323" i="17"/>
  <c r="I324" i="17"/>
  <c r="I325" i="17"/>
  <c r="I326" i="17"/>
  <c r="I327" i="17"/>
  <c r="H322" i="17"/>
  <c r="H323" i="17"/>
  <c r="H324" i="17"/>
  <c r="H325" i="17"/>
  <c r="H326" i="17"/>
  <c r="H327" i="17"/>
  <c r="W327" i="17" l="1"/>
  <c r="W324" i="17"/>
  <c r="W323" i="17"/>
  <c r="W322" i="17"/>
  <c r="W326" i="17"/>
  <c r="W325" i="17"/>
  <c r="B308" i="17"/>
  <c r="B309" i="17"/>
  <c r="B310" i="17"/>
  <c r="B311" i="17"/>
  <c r="B312" i="17"/>
  <c r="B313" i="17"/>
  <c r="B314" i="17"/>
  <c r="B315" i="17"/>
  <c r="B316" i="17"/>
  <c r="B317" i="17"/>
  <c r="B318" i="17"/>
  <c r="B319" i="17"/>
  <c r="B320" i="17"/>
  <c r="B321" i="17"/>
  <c r="W321" i="17"/>
  <c r="T308" i="17"/>
  <c r="T309" i="17"/>
  <c r="T310" i="17"/>
  <c r="T311" i="17"/>
  <c r="T312" i="17"/>
  <c r="T313" i="17"/>
  <c r="T314" i="17"/>
  <c r="T315" i="17"/>
  <c r="T316" i="17"/>
  <c r="T317" i="17"/>
  <c r="T318" i="17"/>
  <c r="T319" i="17"/>
  <c r="S308" i="17"/>
  <c r="S309" i="17"/>
  <c r="S310" i="17"/>
  <c r="S311" i="17"/>
  <c r="S312" i="17"/>
  <c r="S313" i="17"/>
  <c r="S314" i="17"/>
  <c r="S315" i="17"/>
  <c r="S316" i="17"/>
  <c r="S317" i="17"/>
  <c r="S318" i="17"/>
  <c r="S319" i="17"/>
  <c r="R307" i="17"/>
  <c r="R308" i="17"/>
  <c r="R309" i="17"/>
  <c r="R310" i="17"/>
  <c r="R311" i="17"/>
  <c r="R312" i="17"/>
  <c r="R313" i="17"/>
  <c r="R314" i="17"/>
  <c r="R315" i="17"/>
  <c r="R316" i="17"/>
  <c r="R317" i="17"/>
  <c r="R318" i="17"/>
  <c r="L307" i="17"/>
  <c r="L308" i="17"/>
  <c r="L309" i="17"/>
  <c r="L310" i="17"/>
  <c r="L311" i="17"/>
  <c r="L312" i="17"/>
  <c r="L313" i="17"/>
  <c r="L314" i="17"/>
  <c r="L315" i="17"/>
  <c r="L316" i="17"/>
  <c r="L317" i="17"/>
  <c r="L318" i="17"/>
  <c r="L319" i="17"/>
  <c r="L320" i="17"/>
  <c r="L321" i="17"/>
  <c r="J307" i="17"/>
  <c r="J308" i="17"/>
  <c r="J309" i="17"/>
  <c r="J310" i="17"/>
  <c r="J311" i="17"/>
  <c r="J312" i="17"/>
  <c r="J313" i="17"/>
  <c r="J314" i="17"/>
  <c r="J315" i="17"/>
  <c r="J316" i="17"/>
  <c r="W316" i="17" s="1"/>
  <c r="J317" i="17"/>
  <c r="W317" i="17" s="1"/>
  <c r="J318" i="17"/>
  <c r="J319" i="17"/>
  <c r="J320" i="17"/>
  <c r="W320" i="17" s="1"/>
  <c r="I305" i="17"/>
  <c r="I306" i="17"/>
  <c r="I307" i="17"/>
  <c r="I308" i="17"/>
  <c r="I309" i="17"/>
  <c r="I310" i="17"/>
  <c r="I311" i="17"/>
  <c r="I312" i="17"/>
  <c r="I313" i="17"/>
  <c r="I314" i="17"/>
  <c r="I315" i="17"/>
  <c r="I316" i="17"/>
  <c r="I317" i="17"/>
  <c r="I318" i="17"/>
  <c r="I319" i="17"/>
  <c r="I320" i="17"/>
  <c r="H308" i="17"/>
  <c r="H309" i="17"/>
  <c r="H310" i="17"/>
  <c r="H311" i="17"/>
  <c r="H312" i="17"/>
  <c r="H313" i="17"/>
  <c r="H314" i="17"/>
  <c r="H315" i="17"/>
  <c r="H316" i="17"/>
  <c r="H317" i="17"/>
  <c r="H318" i="17"/>
  <c r="H319" i="17"/>
  <c r="H320" i="17"/>
  <c r="H321" i="17"/>
  <c r="AB33" i="29"/>
  <c r="W315" i="17" l="1"/>
  <c r="W314" i="17"/>
  <c r="W312" i="17"/>
  <c r="W310" i="17"/>
  <c r="W319" i="17"/>
  <c r="W318" i="17"/>
  <c r="W311" i="17"/>
  <c r="W308" i="17"/>
  <c r="W309" i="17"/>
  <c r="W313" i="17"/>
  <c r="B307" i="17" l="1"/>
  <c r="B294" i="17"/>
  <c r="B295" i="17"/>
  <c r="B296" i="17"/>
  <c r="B297" i="17"/>
  <c r="B298" i="17"/>
  <c r="B299" i="17"/>
  <c r="B300" i="17"/>
  <c r="B301" i="17"/>
  <c r="B302" i="17"/>
  <c r="B303" i="17"/>
  <c r="B304" i="17"/>
  <c r="B305" i="17"/>
  <c r="B306" i="17"/>
  <c r="T293" i="17"/>
  <c r="T294" i="17"/>
  <c r="T295" i="17"/>
  <c r="T296" i="17"/>
  <c r="T297" i="17"/>
  <c r="T298" i="17"/>
  <c r="T299" i="17"/>
  <c r="T300" i="17"/>
  <c r="T301" i="17"/>
  <c r="T302" i="17"/>
  <c r="T303" i="17"/>
  <c r="T304" i="17"/>
  <c r="T305" i="17"/>
  <c r="T306" i="17"/>
  <c r="T307" i="17"/>
  <c r="W307" i="17" s="1"/>
  <c r="S293" i="17"/>
  <c r="S294" i="17"/>
  <c r="S295" i="17"/>
  <c r="S296" i="17"/>
  <c r="S297" i="17"/>
  <c r="S298" i="17"/>
  <c r="S299" i="17"/>
  <c r="S300" i="17"/>
  <c r="S301" i="17"/>
  <c r="S302" i="17"/>
  <c r="S303" i="17"/>
  <c r="S304" i="17"/>
  <c r="S305" i="17"/>
  <c r="S306" i="17"/>
  <c r="S307" i="17"/>
  <c r="R294" i="17"/>
  <c r="R295" i="17"/>
  <c r="R296" i="17"/>
  <c r="R297" i="17"/>
  <c r="R298" i="17"/>
  <c r="R299" i="17"/>
  <c r="R300" i="17"/>
  <c r="R301" i="17"/>
  <c r="R302" i="17"/>
  <c r="R303" i="17"/>
  <c r="R304" i="17"/>
  <c r="R305" i="17"/>
  <c r="R306" i="17"/>
  <c r="L294" i="17"/>
  <c r="L295" i="17"/>
  <c r="L296" i="17"/>
  <c r="L297" i="17"/>
  <c r="L298" i="17"/>
  <c r="L299" i="17"/>
  <c r="L300" i="17"/>
  <c r="L301" i="17"/>
  <c r="L302" i="17"/>
  <c r="L303" i="17"/>
  <c r="L304" i="17"/>
  <c r="L305" i="17"/>
  <c r="L306" i="17"/>
  <c r="J292" i="17"/>
  <c r="J293" i="17"/>
  <c r="J294" i="17"/>
  <c r="J295" i="17"/>
  <c r="J296" i="17"/>
  <c r="J297" i="17"/>
  <c r="J298" i="17"/>
  <c r="J299" i="17"/>
  <c r="J300" i="17"/>
  <c r="J301" i="17"/>
  <c r="J302" i="17"/>
  <c r="J303" i="17"/>
  <c r="J304" i="17"/>
  <c r="J305" i="17"/>
  <c r="J306" i="17"/>
  <c r="I295" i="17"/>
  <c r="I296" i="17"/>
  <c r="I297" i="17"/>
  <c r="I298" i="17"/>
  <c r="I299" i="17"/>
  <c r="I300" i="17"/>
  <c r="I301" i="17"/>
  <c r="I302" i="17"/>
  <c r="I303" i="17"/>
  <c r="I304" i="17"/>
  <c r="H295" i="17"/>
  <c r="H296" i="17"/>
  <c r="H297" i="17"/>
  <c r="H298" i="17"/>
  <c r="H299" i="17"/>
  <c r="H300" i="17"/>
  <c r="H301" i="17"/>
  <c r="H302" i="17"/>
  <c r="H303" i="17"/>
  <c r="H304" i="17"/>
  <c r="H305" i="17"/>
  <c r="H306" i="17"/>
  <c r="H307" i="17"/>
  <c r="AB32" i="29"/>
  <c r="W306" i="17" l="1"/>
  <c r="W294" i="17"/>
  <c r="W299" i="17"/>
  <c r="W302" i="17"/>
  <c r="W297" i="17"/>
  <c r="W301" i="17"/>
  <c r="W298" i="17"/>
  <c r="W300" i="17"/>
  <c r="W296" i="17"/>
  <c r="W295" i="17"/>
  <c r="W305" i="17"/>
  <c r="W293" i="17"/>
  <c r="W304" i="17"/>
  <c r="W303" i="17"/>
  <c r="B291" i="17"/>
  <c r="B292" i="17"/>
  <c r="B293" i="17"/>
  <c r="R291" i="17"/>
  <c r="S291" i="17"/>
  <c r="T291" i="17"/>
  <c r="R292" i="17"/>
  <c r="S292" i="17"/>
  <c r="T292" i="17"/>
  <c r="R293" i="17"/>
  <c r="L291" i="17"/>
  <c r="L292" i="17"/>
  <c r="L293" i="17"/>
  <c r="H291" i="17"/>
  <c r="I291" i="17"/>
  <c r="H292" i="17"/>
  <c r="I292" i="17"/>
  <c r="H293" i="17"/>
  <c r="I293" i="17"/>
  <c r="H294" i="17"/>
  <c r="I294" i="17"/>
  <c r="O69" i="23" l="1"/>
  <c r="P69" i="23"/>
  <c r="Q69" i="23"/>
  <c r="O70" i="23"/>
  <c r="P70" i="23"/>
  <c r="Q70" i="23"/>
  <c r="O71" i="23"/>
  <c r="P71" i="23"/>
  <c r="Q71" i="23"/>
  <c r="O72" i="23"/>
  <c r="P72" i="23"/>
  <c r="Q72" i="23"/>
  <c r="O73" i="23"/>
  <c r="P73" i="23"/>
  <c r="Q73" i="23"/>
  <c r="O74" i="23"/>
  <c r="P74" i="23"/>
  <c r="Q74" i="23"/>
  <c r="O75" i="23"/>
  <c r="P75" i="23"/>
  <c r="Q75" i="23"/>
  <c r="O76" i="23"/>
  <c r="P76" i="23"/>
  <c r="Q76" i="23"/>
  <c r="O77" i="23"/>
  <c r="P77" i="23"/>
  <c r="Q77" i="23"/>
  <c r="O78" i="23"/>
  <c r="P78" i="23"/>
  <c r="Q78" i="23"/>
  <c r="O79" i="23"/>
  <c r="P79" i="23"/>
  <c r="Q79" i="23"/>
  <c r="O80" i="23"/>
  <c r="P80" i="23"/>
  <c r="Q80" i="23"/>
  <c r="O81" i="23"/>
  <c r="P81" i="23"/>
  <c r="Q81" i="23"/>
  <c r="O82" i="23"/>
  <c r="P82" i="23"/>
  <c r="Q82" i="23"/>
  <c r="O83" i="23"/>
  <c r="P83" i="23"/>
  <c r="Q83" i="23"/>
  <c r="O84" i="23"/>
  <c r="P84" i="23"/>
  <c r="Q84" i="23"/>
  <c r="O85" i="23"/>
  <c r="P85" i="23"/>
  <c r="Q85" i="23"/>
  <c r="O86" i="23"/>
  <c r="P86" i="23"/>
  <c r="Q86" i="23"/>
  <c r="O87" i="23"/>
  <c r="P87" i="23"/>
  <c r="Q87" i="23"/>
  <c r="O94" i="23"/>
  <c r="P94" i="23"/>
  <c r="Q94" i="23"/>
  <c r="O95" i="23"/>
  <c r="P95" i="23"/>
  <c r="Q95" i="23"/>
  <c r="O96" i="23"/>
  <c r="P96" i="23"/>
  <c r="Q96" i="23"/>
  <c r="O97" i="23"/>
  <c r="P97" i="23"/>
  <c r="Q97" i="23"/>
  <c r="O98" i="23"/>
  <c r="P98" i="23"/>
  <c r="Q98" i="23"/>
  <c r="O99" i="23"/>
  <c r="P99" i="23"/>
  <c r="Q99" i="23"/>
  <c r="O100" i="23"/>
  <c r="P100" i="23"/>
  <c r="Q100" i="23"/>
  <c r="O101" i="23"/>
  <c r="P101" i="23"/>
  <c r="Q101" i="23"/>
  <c r="O102" i="23"/>
  <c r="P102" i="23"/>
  <c r="Q102" i="23"/>
  <c r="O103" i="23"/>
  <c r="P103" i="23"/>
  <c r="Q103" i="23"/>
  <c r="O104" i="23"/>
  <c r="P104" i="23"/>
  <c r="Q104" i="23"/>
  <c r="O105" i="23"/>
  <c r="P105" i="23"/>
  <c r="Q105" i="23"/>
  <c r="O106" i="23"/>
  <c r="P106" i="23"/>
  <c r="Q106" i="23"/>
  <c r="O107" i="23"/>
  <c r="P107" i="23"/>
  <c r="Q107" i="23"/>
  <c r="O108" i="23"/>
  <c r="P108" i="23"/>
  <c r="Q108" i="23"/>
  <c r="O111" i="23"/>
  <c r="P111" i="23"/>
  <c r="Q111" i="23"/>
  <c r="O112" i="23"/>
  <c r="P112" i="23"/>
  <c r="Q112" i="23"/>
  <c r="O113" i="23"/>
  <c r="P113" i="23"/>
  <c r="Q113" i="23"/>
  <c r="O114" i="23"/>
  <c r="P114" i="23"/>
  <c r="Q114" i="23"/>
  <c r="O115" i="23"/>
  <c r="P115" i="23"/>
  <c r="Q115" i="23"/>
  <c r="O116" i="23"/>
  <c r="P116" i="23"/>
  <c r="Q116" i="23"/>
  <c r="O117" i="23"/>
  <c r="P117" i="23"/>
  <c r="Q117" i="23"/>
  <c r="O118" i="23"/>
  <c r="P118" i="23"/>
  <c r="Q118" i="23"/>
  <c r="O121" i="23"/>
  <c r="P121" i="23"/>
  <c r="Q121" i="23"/>
  <c r="O122" i="23"/>
  <c r="P122" i="23"/>
  <c r="Q122" i="23"/>
  <c r="O123" i="23"/>
  <c r="P123" i="23"/>
  <c r="Q123" i="23"/>
  <c r="O124" i="23"/>
  <c r="P124" i="23"/>
  <c r="Q124" i="23"/>
  <c r="O125" i="23"/>
  <c r="P125" i="23"/>
  <c r="Q125" i="23"/>
  <c r="O126" i="23"/>
  <c r="P126" i="23"/>
  <c r="Q126" i="23"/>
  <c r="O127" i="23"/>
  <c r="P127" i="23"/>
  <c r="Q127" i="23"/>
  <c r="O128" i="23"/>
  <c r="P128" i="23"/>
  <c r="Q128" i="23"/>
  <c r="O129" i="23"/>
  <c r="P129" i="23"/>
  <c r="Q129" i="23"/>
  <c r="O130" i="23"/>
  <c r="P130" i="23"/>
  <c r="Q130" i="23"/>
  <c r="O131" i="23"/>
  <c r="P131" i="23"/>
  <c r="Q131" i="23"/>
  <c r="O132" i="23"/>
  <c r="P132" i="23"/>
  <c r="Q132" i="23"/>
  <c r="O133" i="23"/>
  <c r="P133" i="23"/>
  <c r="Q133" i="23"/>
  <c r="O134" i="23"/>
  <c r="P134" i="23"/>
  <c r="Q134" i="23"/>
  <c r="O135" i="23"/>
  <c r="P135" i="23"/>
  <c r="Q135" i="23"/>
  <c r="O137" i="23"/>
  <c r="P137" i="23"/>
  <c r="Q137" i="23"/>
  <c r="O138" i="23"/>
  <c r="P138" i="23"/>
  <c r="Q138" i="23"/>
  <c r="O139" i="23"/>
  <c r="P139" i="23"/>
  <c r="Q139" i="23"/>
  <c r="O141" i="23"/>
  <c r="P141" i="23"/>
  <c r="Q141" i="23"/>
  <c r="O142" i="23"/>
  <c r="P142" i="23"/>
  <c r="Q142" i="23"/>
  <c r="O143" i="23"/>
  <c r="P143" i="23"/>
  <c r="Q143" i="23"/>
  <c r="O144" i="23"/>
  <c r="T144" i="23"/>
  <c r="O145" i="23"/>
  <c r="O146" i="23"/>
  <c r="P146" i="23"/>
  <c r="Q146" i="23"/>
  <c r="O147" i="23"/>
  <c r="P147" i="23"/>
  <c r="Q147" i="23"/>
  <c r="O148" i="23"/>
  <c r="P148" i="23"/>
  <c r="Q148" i="23"/>
  <c r="O149" i="23"/>
  <c r="P149" i="23"/>
  <c r="Q149" i="23"/>
  <c r="O150" i="23"/>
  <c r="P150" i="23"/>
  <c r="Q150" i="23"/>
  <c r="O151" i="23"/>
  <c r="P151" i="23"/>
  <c r="Q151" i="23"/>
  <c r="O152" i="23"/>
  <c r="P152" i="23"/>
  <c r="Q152" i="23"/>
  <c r="O153" i="23"/>
  <c r="P153" i="23"/>
  <c r="Q153" i="23"/>
  <c r="O154" i="23"/>
  <c r="P154" i="23"/>
  <c r="Q154" i="23"/>
  <c r="O155" i="23"/>
  <c r="O156" i="23"/>
  <c r="O157" i="23"/>
  <c r="P157" i="23"/>
  <c r="Q157" i="23"/>
  <c r="O158" i="23"/>
  <c r="P158" i="23"/>
  <c r="Q158" i="23"/>
  <c r="O159" i="23"/>
  <c r="O160" i="23"/>
  <c r="O161" i="23"/>
  <c r="O162" i="23"/>
  <c r="O163" i="23"/>
  <c r="O164" i="23"/>
  <c r="O165" i="23"/>
  <c r="O166" i="23"/>
  <c r="P166" i="23"/>
  <c r="O167" i="23"/>
  <c r="P167" i="23"/>
  <c r="Q167" i="23"/>
  <c r="O168" i="23"/>
  <c r="P168" i="23"/>
  <c r="O169" i="23"/>
  <c r="O170" i="23"/>
  <c r="O171" i="23"/>
  <c r="O172" i="23"/>
  <c r="O173" i="23"/>
  <c r="O174" i="23"/>
  <c r="O175" i="23"/>
  <c r="O176" i="23"/>
  <c r="O177" i="23"/>
  <c r="P177" i="23"/>
  <c r="Q177" i="23"/>
  <c r="O178" i="23"/>
  <c r="P178" i="23"/>
  <c r="Q178" i="23"/>
  <c r="O179" i="23"/>
  <c r="P179" i="23"/>
  <c r="Q179" i="23"/>
  <c r="O180" i="23"/>
  <c r="P180" i="23"/>
  <c r="Q180" i="23"/>
  <c r="O181" i="23"/>
  <c r="P181" i="23"/>
  <c r="Q181" i="23"/>
  <c r="O182" i="23"/>
  <c r="P182" i="23"/>
  <c r="Q182" i="23"/>
  <c r="O183" i="23"/>
  <c r="P183" i="23"/>
  <c r="Q183" i="23"/>
  <c r="O184" i="23"/>
  <c r="P184" i="23"/>
  <c r="Q184" i="23"/>
  <c r="O185" i="23"/>
  <c r="P185" i="23"/>
  <c r="Q185" i="23"/>
  <c r="O186" i="23"/>
  <c r="P186" i="23"/>
  <c r="Q186" i="23"/>
  <c r="O187" i="23"/>
  <c r="P187" i="23"/>
  <c r="Q187" i="23"/>
  <c r="O188" i="23"/>
  <c r="P188" i="23"/>
  <c r="Q188" i="23"/>
  <c r="O189" i="23"/>
  <c r="P189" i="23"/>
  <c r="Q189" i="23"/>
  <c r="O190" i="23"/>
  <c r="P190" i="23"/>
  <c r="Q190" i="23"/>
  <c r="O191" i="23"/>
  <c r="P191" i="23"/>
  <c r="Q191" i="23"/>
  <c r="O192" i="23"/>
  <c r="P192" i="23"/>
  <c r="Q192" i="23"/>
  <c r="O193" i="23"/>
  <c r="P193" i="23"/>
  <c r="Q193" i="23"/>
  <c r="O194" i="23"/>
  <c r="P194" i="23"/>
  <c r="Q194" i="23"/>
  <c r="O195" i="23"/>
  <c r="P195" i="23"/>
  <c r="Q195" i="23"/>
  <c r="O196" i="23"/>
  <c r="P196" i="23"/>
  <c r="Q196" i="23"/>
  <c r="O197" i="23"/>
  <c r="P197" i="23"/>
  <c r="Q197" i="23"/>
  <c r="O198" i="23"/>
  <c r="P198" i="23"/>
  <c r="Q198" i="23"/>
  <c r="O199" i="23"/>
  <c r="P199" i="23"/>
  <c r="Q199" i="23"/>
  <c r="O200" i="23"/>
  <c r="P200" i="23"/>
  <c r="Q200" i="23"/>
  <c r="O201" i="23"/>
  <c r="P201" i="23"/>
  <c r="Q201" i="23"/>
  <c r="O202" i="23"/>
  <c r="P202" i="23"/>
  <c r="Q202" i="23"/>
  <c r="O203" i="23"/>
  <c r="P203" i="23"/>
  <c r="Q203" i="23"/>
  <c r="O204" i="23"/>
  <c r="P204" i="23"/>
  <c r="Q204" i="23"/>
  <c r="O205" i="23"/>
  <c r="P205" i="23"/>
  <c r="Q205" i="23"/>
  <c r="O206" i="23"/>
  <c r="P206" i="23"/>
  <c r="Q206" i="23"/>
  <c r="O207" i="23"/>
  <c r="P207" i="23"/>
  <c r="Q207" i="23"/>
  <c r="O208" i="23"/>
  <c r="P208" i="23"/>
  <c r="Q208" i="23"/>
  <c r="O209" i="23"/>
  <c r="P209" i="23"/>
  <c r="Q209" i="23"/>
  <c r="O210" i="23"/>
  <c r="P210" i="23"/>
  <c r="Q210" i="23"/>
  <c r="O211" i="23"/>
  <c r="P211" i="23"/>
  <c r="Q211" i="23"/>
  <c r="O212" i="23"/>
  <c r="P212" i="23"/>
  <c r="Q212" i="23"/>
  <c r="O213" i="23"/>
  <c r="P213" i="23"/>
  <c r="Q213" i="23"/>
  <c r="O214" i="23"/>
  <c r="P214" i="23"/>
  <c r="Q214" i="23"/>
  <c r="O215" i="23"/>
  <c r="P215" i="23"/>
  <c r="Q215" i="23"/>
  <c r="O216" i="23"/>
  <c r="P216" i="23"/>
  <c r="Q216" i="23"/>
  <c r="O217" i="23"/>
  <c r="P217" i="23"/>
  <c r="Q217" i="23"/>
  <c r="O218" i="23"/>
  <c r="P218" i="23"/>
  <c r="Q218" i="23"/>
  <c r="O219" i="23"/>
  <c r="P219" i="23"/>
  <c r="Q219" i="23"/>
  <c r="O220" i="23"/>
  <c r="P220" i="23"/>
  <c r="Q220" i="23"/>
  <c r="O221" i="23"/>
  <c r="P221" i="23"/>
  <c r="Q221" i="23"/>
  <c r="O222" i="23"/>
  <c r="P222" i="23"/>
  <c r="Q222" i="23"/>
  <c r="O223" i="23"/>
  <c r="P223" i="23"/>
  <c r="Q223" i="23"/>
  <c r="O224" i="23"/>
  <c r="P224" i="23"/>
  <c r="Q224" i="23"/>
  <c r="O225" i="23"/>
  <c r="P225" i="23"/>
  <c r="Q225" i="23"/>
  <c r="O226" i="23"/>
  <c r="P226" i="23"/>
  <c r="Q226" i="23"/>
  <c r="O227" i="23"/>
  <c r="P227" i="23"/>
  <c r="Q227" i="23"/>
  <c r="O228" i="23"/>
  <c r="P228" i="23"/>
  <c r="Q228" i="23"/>
  <c r="O229" i="23"/>
  <c r="P229" i="23"/>
  <c r="Q229" i="23"/>
  <c r="O230" i="23"/>
  <c r="P230" i="23"/>
  <c r="Q230" i="23"/>
  <c r="O231" i="23"/>
  <c r="P231" i="23"/>
  <c r="Q231" i="23"/>
  <c r="O232" i="23"/>
  <c r="P232" i="23"/>
  <c r="Q232" i="23"/>
  <c r="O233" i="23"/>
  <c r="P233" i="23"/>
  <c r="Q233" i="23"/>
  <c r="O234" i="23"/>
  <c r="P234" i="23"/>
  <c r="Q234" i="23"/>
  <c r="O235" i="23"/>
  <c r="P235" i="23"/>
  <c r="Q235" i="23"/>
  <c r="O236" i="23"/>
  <c r="P236" i="23"/>
  <c r="Q236" i="23"/>
  <c r="O237" i="23"/>
  <c r="P237" i="23"/>
  <c r="Q237" i="23"/>
  <c r="O238" i="23"/>
  <c r="P238" i="23"/>
  <c r="Q238" i="23"/>
  <c r="O239" i="23"/>
  <c r="P239" i="23"/>
  <c r="Q239" i="23"/>
  <c r="O240" i="23"/>
  <c r="P240" i="23"/>
  <c r="Q240" i="23"/>
  <c r="O241" i="23"/>
  <c r="P241" i="23"/>
  <c r="Q241" i="23"/>
  <c r="O242" i="23"/>
  <c r="P242" i="23"/>
  <c r="Q242" i="23"/>
  <c r="O243" i="23"/>
  <c r="P243" i="23"/>
  <c r="Q243" i="23"/>
  <c r="O244" i="23"/>
  <c r="P244" i="23"/>
  <c r="Q244" i="23"/>
  <c r="O245" i="23"/>
  <c r="P245" i="23"/>
  <c r="Q245" i="23"/>
  <c r="O246" i="23"/>
  <c r="P246" i="23"/>
  <c r="Q246" i="23"/>
  <c r="O247" i="23"/>
  <c r="P247" i="23"/>
  <c r="Q247" i="23"/>
  <c r="O248" i="23"/>
  <c r="P248" i="23"/>
  <c r="Q248" i="23"/>
  <c r="O249" i="23"/>
  <c r="P249" i="23"/>
  <c r="Q249" i="23"/>
  <c r="O250" i="23"/>
  <c r="P250" i="23"/>
  <c r="Q250" i="23"/>
  <c r="O251" i="23"/>
  <c r="P251" i="23"/>
  <c r="Q251" i="23"/>
  <c r="O252" i="23"/>
  <c r="P252" i="23"/>
  <c r="Q252" i="23"/>
  <c r="O253" i="23"/>
  <c r="P253" i="23"/>
  <c r="Q253" i="23"/>
  <c r="O254" i="23"/>
  <c r="P254" i="23"/>
  <c r="Q254" i="23"/>
  <c r="O255" i="23"/>
  <c r="P255" i="23"/>
  <c r="Q255" i="23"/>
  <c r="O256" i="23"/>
  <c r="P256" i="23"/>
  <c r="Q256" i="23"/>
  <c r="O257" i="23"/>
  <c r="P257" i="23"/>
  <c r="Q257" i="23"/>
  <c r="O258" i="23"/>
  <c r="P258" i="23"/>
  <c r="Q258" i="23"/>
  <c r="O259" i="23"/>
  <c r="P259" i="23"/>
  <c r="Q259" i="23"/>
  <c r="O260" i="23"/>
  <c r="P260" i="23"/>
  <c r="Q260" i="23"/>
  <c r="O261" i="23"/>
  <c r="P261" i="23"/>
  <c r="Q261" i="23"/>
  <c r="O262" i="23"/>
  <c r="P262" i="23"/>
  <c r="Q262" i="23"/>
  <c r="O263" i="23"/>
  <c r="P263" i="23"/>
  <c r="Q263" i="23"/>
  <c r="O264" i="23"/>
  <c r="P264" i="23"/>
  <c r="Q264" i="23"/>
  <c r="O265" i="23"/>
  <c r="P265" i="23"/>
  <c r="Q265" i="23"/>
  <c r="O266" i="23"/>
  <c r="P266" i="23"/>
  <c r="Q266" i="23"/>
  <c r="O267" i="23"/>
  <c r="P267" i="23"/>
  <c r="Q267" i="23"/>
  <c r="O268" i="23"/>
  <c r="P268" i="23"/>
  <c r="Q268" i="23"/>
  <c r="O269" i="23"/>
  <c r="P269" i="23"/>
  <c r="Q269" i="23"/>
  <c r="O270" i="23"/>
  <c r="P270" i="23"/>
  <c r="Q270" i="23"/>
  <c r="O271" i="23"/>
  <c r="P271" i="23"/>
  <c r="Q271" i="23"/>
  <c r="O272" i="23"/>
  <c r="P272" i="23"/>
  <c r="Q272" i="23"/>
  <c r="O273" i="23"/>
  <c r="P273" i="23"/>
  <c r="Q273" i="23"/>
  <c r="O274" i="23"/>
  <c r="P274" i="23"/>
  <c r="Q274" i="23"/>
  <c r="O275" i="23"/>
  <c r="P275" i="23"/>
  <c r="Q275" i="23"/>
  <c r="O276" i="23"/>
  <c r="P276" i="23"/>
  <c r="Q276" i="23"/>
  <c r="O277" i="23"/>
  <c r="P277" i="23"/>
  <c r="Q277" i="23"/>
  <c r="O278" i="23"/>
  <c r="P278" i="23"/>
  <c r="Q278" i="23"/>
  <c r="O279" i="23"/>
  <c r="P279" i="23"/>
  <c r="Q279" i="23"/>
  <c r="O280" i="23"/>
  <c r="P280" i="23"/>
  <c r="Q280" i="23"/>
  <c r="O281" i="23"/>
  <c r="P281" i="23"/>
  <c r="Q281" i="23"/>
  <c r="O282" i="23"/>
  <c r="P282" i="23"/>
  <c r="Q282" i="23"/>
  <c r="O283" i="23"/>
  <c r="P283" i="23"/>
  <c r="Q283" i="23"/>
  <c r="O284" i="23"/>
  <c r="P284" i="23"/>
  <c r="Q284" i="23"/>
  <c r="O285" i="23"/>
  <c r="P285" i="23"/>
  <c r="Q285" i="23"/>
  <c r="O286" i="23"/>
  <c r="P286" i="23"/>
  <c r="Q286" i="23"/>
  <c r="O287" i="23"/>
  <c r="P287" i="23"/>
  <c r="Q287" i="23"/>
  <c r="O288" i="23"/>
  <c r="P288" i="23"/>
  <c r="Q288" i="23"/>
  <c r="O289" i="23"/>
  <c r="P289" i="23"/>
  <c r="Q289" i="23"/>
  <c r="O290" i="23"/>
  <c r="P290" i="23"/>
  <c r="Q290" i="23"/>
  <c r="O291" i="23"/>
  <c r="P291" i="23"/>
  <c r="Q291" i="23"/>
  <c r="O292" i="23"/>
  <c r="P292" i="23"/>
  <c r="Q292" i="23"/>
  <c r="O293" i="23"/>
  <c r="P293" i="23"/>
  <c r="Q293" i="23"/>
  <c r="O294" i="23"/>
  <c r="P294" i="23"/>
  <c r="Q294" i="23"/>
  <c r="O295" i="23"/>
  <c r="P295" i="23"/>
  <c r="Q295" i="23"/>
  <c r="O296" i="23"/>
  <c r="P296" i="23"/>
  <c r="Q296" i="23"/>
  <c r="O297" i="23"/>
  <c r="P297" i="23"/>
  <c r="Q297" i="23"/>
  <c r="O298" i="23"/>
  <c r="P298" i="23"/>
  <c r="Q298" i="23"/>
  <c r="O299" i="23"/>
  <c r="P299" i="23"/>
  <c r="Q299" i="23"/>
  <c r="O300" i="23"/>
  <c r="P300" i="23"/>
  <c r="Q300" i="23"/>
  <c r="O301" i="23"/>
  <c r="P301" i="23"/>
  <c r="Q301" i="23"/>
  <c r="O302" i="23"/>
  <c r="P302" i="23"/>
  <c r="Q302" i="23"/>
  <c r="O303" i="23"/>
  <c r="P303" i="23"/>
  <c r="Q303" i="23"/>
  <c r="O304" i="23"/>
  <c r="P304" i="23"/>
  <c r="Q304" i="23"/>
  <c r="O305" i="23"/>
  <c r="P305" i="23"/>
  <c r="Q305" i="23"/>
  <c r="O306" i="23"/>
  <c r="P306" i="23"/>
  <c r="Q306" i="23"/>
  <c r="O307" i="23"/>
  <c r="P307" i="23"/>
  <c r="Q307" i="23"/>
  <c r="O308" i="23"/>
  <c r="P308" i="23"/>
  <c r="Q308" i="23"/>
  <c r="O309" i="23"/>
  <c r="P309" i="23"/>
  <c r="Q309" i="23"/>
  <c r="O310" i="23"/>
  <c r="P310" i="23"/>
  <c r="Q310" i="23"/>
  <c r="O311" i="23"/>
  <c r="P311" i="23"/>
  <c r="Q311" i="23"/>
  <c r="Q62" i="23"/>
  <c r="Q63" i="23"/>
  <c r="Q64" i="23"/>
  <c r="Q65" i="23"/>
  <c r="Q66" i="23"/>
  <c r="Q67" i="23"/>
  <c r="Q68" i="23"/>
  <c r="P62" i="23"/>
  <c r="P63" i="23"/>
  <c r="P64" i="23"/>
  <c r="P65" i="23"/>
  <c r="P66" i="23"/>
  <c r="P67" i="23"/>
  <c r="P68" i="23"/>
  <c r="O62" i="23"/>
  <c r="O63" i="23"/>
  <c r="O64" i="23"/>
  <c r="O65" i="23"/>
  <c r="O66" i="23"/>
  <c r="O67" i="23"/>
  <c r="O68" i="23"/>
  <c r="B281" i="17"/>
  <c r="B282" i="17"/>
  <c r="B283" i="17"/>
  <c r="B284" i="17"/>
  <c r="B285" i="17"/>
  <c r="B286" i="17"/>
  <c r="B287" i="17"/>
  <c r="B288" i="17"/>
  <c r="B289" i="17"/>
  <c r="B290" i="17"/>
  <c r="T280" i="17"/>
  <c r="T281" i="17"/>
  <c r="T282" i="17"/>
  <c r="T283" i="17"/>
  <c r="T284" i="17"/>
  <c r="T285" i="17"/>
  <c r="T286" i="17"/>
  <c r="T287" i="17"/>
  <c r="T288" i="17"/>
  <c r="T289" i="17"/>
  <c r="T290" i="17"/>
  <c r="S280" i="17"/>
  <c r="S281" i="17"/>
  <c r="S282" i="17"/>
  <c r="S283" i="17"/>
  <c r="S284" i="17"/>
  <c r="S285" i="17"/>
  <c r="S286" i="17"/>
  <c r="S287" i="17"/>
  <c r="S288" i="17"/>
  <c r="S289" i="17"/>
  <c r="S290" i="17"/>
  <c r="R280" i="17"/>
  <c r="R281" i="17"/>
  <c r="R282" i="17"/>
  <c r="R283" i="17"/>
  <c r="R284" i="17"/>
  <c r="R285" i="17"/>
  <c r="R286" i="17"/>
  <c r="R287" i="17"/>
  <c r="R288" i="17"/>
  <c r="R289" i="17"/>
  <c r="R290" i="17"/>
  <c r="L280" i="17"/>
  <c r="L281" i="17"/>
  <c r="L282" i="17"/>
  <c r="L283" i="17"/>
  <c r="L284" i="17"/>
  <c r="L285" i="17"/>
  <c r="L286" i="17"/>
  <c r="L287" i="17"/>
  <c r="L288" i="17"/>
  <c r="L289" i="17"/>
  <c r="L290" i="17"/>
  <c r="I281" i="17"/>
  <c r="I282" i="17"/>
  <c r="I283" i="17"/>
  <c r="I284" i="17"/>
  <c r="I285" i="17"/>
  <c r="I286" i="17"/>
  <c r="I287" i="17"/>
  <c r="I288" i="17"/>
  <c r="I289" i="17"/>
  <c r="I290" i="17"/>
  <c r="H280" i="17"/>
  <c r="H281" i="17"/>
  <c r="H282" i="17"/>
  <c r="H283" i="17"/>
  <c r="H284" i="17"/>
  <c r="H285" i="17"/>
  <c r="H286" i="17"/>
  <c r="H287" i="17"/>
  <c r="H288" i="17"/>
  <c r="H289" i="17"/>
  <c r="H290" i="17"/>
  <c r="AB30" i="29"/>
  <c r="Q59" i="23"/>
  <c r="Q60" i="23"/>
  <c r="Q61" i="23"/>
  <c r="P59" i="23"/>
  <c r="P60" i="23"/>
  <c r="P61" i="23"/>
  <c r="O59" i="23"/>
  <c r="O60" i="23"/>
  <c r="O61" i="23"/>
  <c r="BM31" i="20"/>
  <c r="BM32" i="20"/>
  <c r="BM33" i="20"/>
  <c r="BM34" i="20"/>
  <c r="BM35" i="20"/>
  <c r="S273" i="17"/>
  <c r="T273" i="17"/>
  <c r="S274" i="17"/>
  <c r="T274" i="17"/>
  <c r="S275" i="17"/>
  <c r="T275" i="17"/>
  <c r="S276" i="17"/>
  <c r="T276" i="17"/>
  <c r="S277" i="17"/>
  <c r="T277" i="17"/>
  <c r="S278" i="17"/>
  <c r="T278" i="17"/>
  <c r="S279" i="17"/>
  <c r="T279" i="17"/>
  <c r="R273" i="17"/>
  <c r="R274" i="17"/>
  <c r="R275" i="17"/>
  <c r="R276" i="17"/>
  <c r="R277" i="17"/>
  <c r="R278" i="17"/>
  <c r="R279" i="17"/>
  <c r="L273" i="17"/>
  <c r="L274" i="17"/>
  <c r="L275" i="17"/>
  <c r="L276" i="17"/>
  <c r="L277" i="17"/>
  <c r="L278" i="17"/>
  <c r="L279" i="17"/>
  <c r="B273" i="17"/>
  <c r="B274" i="17"/>
  <c r="B275" i="17"/>
  <c r="B276" i="17"/>
  <c r="B277" i="17"/>
  <c r="B278" i="17"/>
  <c r="B279" i="17"/>
  <c r="B280" i="17"/>
  <c r="H273" i="17"/>
  <c r="I273" i="17"/>
  <c r="H274" i="17"/>
  <c r="I274" i="17"/>
  <c r="H275" i="17"/>
  <c r="I275" i="17"/>
  <c r="H276" i="17"/>
  <c r="I276" i="17"/>
  <c r="H277" i="17"/>
  <c r="I277" i="17"/>
  <c r="H278" i="17"/>
  <c r="I278" i="17"/>
  <c r="H279" i="17"/>
  <c r="I279" i="17"/>
  <c r="I280" i="17"/>
  <c r="Q54" i="23" l="1"/>
  <c r="Q55" i="23"/>
  <c r="Q56" i="23"/>
  <c r="Q57" i="23"/>
  <c r="Q58" i="23"/>
  <c r="P54" i="23"/>
  <c r="P55" i="23"/>
  <c r="P56" i="23"/>
  <c r="P57" i="23"/>
  <c r="P58" i="23"/>
  <c r="O54" i="23"/>
  <c r="O55" i="23"/>
  <c r="O56" i="23"/>
  <c r="O57" i="23"/>
  <c r="O58" i="23"/>
  <c r="CH31" i="20"/>
  <c r="CH32" i="20"/>
  <c r="CH33" i="20"/>
  <c r="CH34" i="20"/>
  <c r="CH35" i="20"/>
  <c r="CH36" i="20"/>
  <c r="CH37" i="20"/>
  <c r="CH38" i="20"/>
  <c r="CH39" i="20"/>
  <c r="CH40" i="20"/>
  <c r="S254" i="17"/>
  <c r="T254" i="17"/>
  <c r="S255" i="17"/>
  <c r="T255" i="17"/>
  <c r="S256" i="17"/>
  <c r="T256" i="17"/>
  <c r="S257" i="17"/>
  <c r="T257" i="17"/>
  <c r="S258" i="17"/>
  <c r="T258" i="17"/>
  <c r="S259" i="17"/>
  <c r="T259" i="17"/>
  <c r="S260" i="17"/>
  <c r="T260" i="17"/>
  <c r="S261" i="17"/>
  <c r="T261" i="17"/>
  <c r="S262" i="17"/>
  <c r="T262" i="17"/>
  <c r="S263" i="17"/>
  <c r="T263" i="17"/>
  <c r="S264" i="17"/>
  <c r="T264" i="17"/>
  <c r="S265" i="17"/>
  <c r="T265" i="17"/>
  <c r="S266" i="17"/>
  <c r="T266" i="17"/>
  <c r="S267" i="17"/>
  <c r="T267" i="17"/>
  <c r="S268" i="17"/>
  <c r="T268" i="17"/>
  <c r="S269" i="17"/>
  <c r="T269" i="17"/>
  <c r="S270" i="17"/>
  <c r="T270" i="17"/>
  <c r="S271" i="17"/>
  <c r="T271" i="17"/>
  <c r="S272" i="17"/>
  <c r="T272" i="17"/>
  <c r="R254" i="17"/>
  <c r="R255" i="17"/>
  <c r="R256" i="17"/>
  <c r="R257" i="17"/>
  <c r="R258" i="17"/>
  <c r="R259" i="17"/>
  <c r="R260" i="17"/>
  <c r="R261" i="17"/>
  <c r="R262" i="17"/>
  <c r="R263" i="17"/>
  <c r="R264" i="17"/>
  <c r="R265" i="17"/>
  <c r="R266" i="17"/>
  <c r="R267" i="17"/>
  <c r="R268" i="17"/>
  <c r="R269" i="17"/>
  <c r="R270" i="17"/>
  <c r="R271" i="17"/>
  <c r="R272" i="17"/>
  <c r="B254" i="17"/>
  <c r="B255" i="17"/>
  <c r="B256" i="17"/>
  <c r="B257" i="17"/>
  <c r="B258" i="17"/>
  <c r="B259" i="17"/>
  <c r="B260" i="17"/>
  <c r="B261" i="17"/>
  <c r="B262" i="17"/>
  <c r="B263" i="17"/>
  <c r="B264" i="17"/>
  <c r="B265" i="17"/>
  <c r="B266" i="17"/>
  <c r="B267" i="17"/>
  <c r="B268" i="17"/>
  <c r="B269" i="17"/>
  <c r="B270" i="17"/>
  <c r="B271" i="17"/>
  <c r="B272" i="17"/>
  <c r="I254" i="17"/>
  <c r="I255" i="17"/>
  <c r="I256" i="17"/>
  <c r="I257" i="17"/>
  <c r="I258" i="17"/>
  <c r="I259" i="17"/>
  <c r="I260" i="17"/>
  <c r="I261" i="17"/>
  <c r="I262" i="17"/>
  <c r="I263" i="17"/>
  <c r="I264" i="17"/>
  <c r="I265" i="17"/>
  <c r="I266" i="17"/>
  <c r="I267" i="17"/>
  <c r="I268" i="17"/>
  <c r="I269" i="17"/>
  <c r="I270" i="17"/>
  <c r="I271" i="17"/>
  <c r="I272" i="17"/>
  <c r="H254" i="17"/>
  <c r="H255" i="17"/>
  <c r="H256" i="17"/>
  <c r="H257" i="17"/>
  <c r="H258" i="17"/>
  <c r="H259" i="17"/>
  <c r="H260" i="17"/>
  <c r="H261" i="17"/>
  <c r="H262" i="17"/>
  <c r="H263" i="17"/>
  <c r="H264" i="17"/>
  <c r="H265" i="17"/>
  <c r="H266" i="17"/>
  <c r="H267" i="17"/>
  <c r="H268" i="17"/>
  <c r="H269" i="17"/>
  <c r="H270" i="17"/>
  <c r="H271" i="17"/>
  <c r="H272" i="17"/>
  <c r="L254" i="17"/>
  <c r="L255" i="17"/>
  <c r="L256" i="17"/>
  <c r="L257" i="17"/>
  <c r="L258" i="17"/>
  <c r="L259" i="17"/>
  <c r="L260" i="17"/>
  <c r="L261" i="17"/>
  <c r="L262" i="17"/>
  <c r="L263" i="17"/>
  <c r="L264" i="17"/>
  <c r="L265" i="17"/>
  <c r="L266" i="17"/>
  <c r="L267" i="17"/>
  <c r="L268" i="17"/>
  <c r="L269" i="17"/>
  <c r="L270" i="17"/>
  <c r="L271" i="17"/>
  <c r="L272" i="17"/>
  <c r="B252" i="17"/>
  <c r="B253" i="17"/>
  <c r="AB28" i="29"/>
  <c r="CN30" i="20"/>
  <c r="CM30" i="20"/>
  <c r="CK30" i="20"/>
  <c r="CJ30" i="20"/>
  <c r="CP30" i="20"/>
  <c r="CO30" i="20"/>
  <c r="CQ30" i="20"/>
  <c r="CR30" i="20"/>
  <c r="CI30" i="20"/>
  <c r="CH30" i="20"/>
  <c r="CH29" i="20"/>
  <c r="CG30" i="20"/>
  <c r="CF30" i="20"/>
  <c r="BK30" i="20"/>
  <c r="BI30" i="20"/>
  <c r="BH30" i="20"/>
  <c r="BN30" i="20"/>
  <c r="BG30" i="20"/>
  <c r="BF30" i="20"/>
  <c r="BE30" i="20"/>
  <c r="BD30" i="20"/>
  <c r="BC30" i="20"/>
  <c r="BB30" i="20"/>
  <c r="BM30" i="20"/>
  <c r="BM29" i="20"/>
  <c r="CH27" i="20"/>
  <c r="CH28" i="20"/>
  <c r="Q50" i="23"/>
  <c r="Q51" i="23"/>
  <c r="Q52" i="23"/>
  <c r="Q53" i="23"/>
  <c r="P49" i="23"/>
  <c r="P50" i="23"/>
  <c r="P51" i="23"/>
  <c r="P52" i="23"/>
  <c r="P53" i="23"/>
  <c r="O50" i="23"/>
  <c r="O51" i="23"/>
  <c r="O52" i="23"/>
  <c r="O53" i="23"/>
  <c r="B232" i="17"/>
  <c r="B233" i="17"/>
  <c r="B234" i="17"/>
  <c r="B235" i="17"/>
  <c r="B236" i="17"/>
  <c r="B237" i="17"/>
  <c r="B238" i="17"/>
  <c r="B239" i="17"/>
  <c r="B240" i="17"/>
  <c r="B241" i="17"/>
  <c r="B242" i="17"/>
  <c r="B243" i="17"/>
  <c r="B244" i="17"/>
  <c r="B245" i="17"/>
  <c r="B246" i="17"/>
  <c r="B247" i="17"/>
  <c r="B248" i="17"/>
  <c r="B249" i="17"/>
  <c r="B250" i="17"/>
  <c r="B251" i="17"/>
  <c r="T252" i="17"/>
  <c r="T253" i="17"/>
  <c r="T231" i="17"/>
  <c r="T232" i="17"/>
  <c r="T233" i="17"/>
  <c r="T234" i="17"/>
  <c r="T235" i="17"/>
  <c r="T236" i="17"/>
  <c r="T237" i="17"/>
  <c r="T238" i="17"/>
  <c r="T239" i="17"/>
  <c r="T240" i="17"/>
  <c r="T241" i="17"/>
  <c r="T242" i="17"/>
  <c r="T243" i="17"/>
  <c r="T244" i="17"/>
  <c r="T245" i="17"/>
  <c r="T246" i="17"/>
  <c r="T247" i="17"/>
  <c r="T248" i="17"/>
  <c r="T249" i="17"/>
  <c r="T250" i="17"/>
  <c r="T251" i="17"/>
  <c r="S228" i="17"/>
  <c r="S229" i="17"/>
  <c r="S230" i="17"/>
  <c r="S231" i="17"/>
  <c r="S232" i="17"/>
  <c r="S233" i="17"/>
  <c r="S234" i="17"/>
  <c r="S235" i="17"/>
  <c r="S236" i="17"/>
  <c r="S237" i="17"/>
  <c r="S238" i="17"/>
  <c r="S239" i="17"/>
  <c r="S240" i="17"/>
  <c r="S241" i="17"/>
  <c r="S242" i="17"/>
  <c r="S243" i="17"/>
  <c r="S244" i="17"/>
  <c r="S245" i="17"/>
  <c r="S246" i="17"/>
  <c r="S247" i="17"/>
  <c r="S248" i="17"/>
  <c r="S249" i="17"/>
  <c r="S250" i="17"/>
  <c r="S251" i="17"/>
  <c r="S252" i="17"/>
  <c r="S253" i="17"/>
  <c r="R229" i="17"/>
  <c r="R230" i="17"/>
  <c r="R231" i="17"/>
  <c r="R232" i="17"/>
  <c r="R233" i="17"/>
  <c r="R234" i="17"/>
  <c r="R235" i="17"/>
  <c r="R236" i="17"/>
  <c r="R237" i="17"/>
  <c r="R238" i="17"/>
  <c r="R239" i="17"/>
  <c r="R240" i="17"/>
  <c r="R241" i="17"/>
  <c r="R242" i="17"/>
  <c r="R243" i="17"/>
  <c r="R244" i="17"/>
  <c r="R245" i="17"/>
  <c r="R246" i="17"/>
  <c r="R247" i="17"/>
  <c r="R248" i="17"/>
  <c r="R249" i="17"/>
  <c r="R250" i="17"/>
  <c r="R251" i="17"/>
  <c r="R252" i="17"/>
  <c r="R253" i="17"/>
  <c r="L233" i="17"/>
  <c r="L234" i="17"/>
  <c r="L235" i="17"/>
  <c r="L236" i="17"/>
  <c r="L237" i="17"/>
  <c r="L238" i="17"/>
  <c r="L239" i="17"/>
  <c r="L240" i="17"/>
  <c r="L241" i="17"/>
  <c r="L242" i="17"/>
  <c r="L243" i="17"/>
  <c r="L244" i="17"/>
  <c r="L245" i="17"/>
  <c r="L246" i="17"/>
  <c r="L247" i="17"/>
  <c r="L248" i="17"/>
  <c r="L249" i="17"/>
  <c r="L250" i="17"/>
  <c r="L251" i="17"/>
  <c r="L252" i="17"/>
  <c r="L253" i="17"/>
  <c r="I233" i="17" l="1"/>
  <c r="I234" i="17"/>
  <c r="I235" i="17"/>
  <c r="I236" i="17"/>
  <c r="I237" i="17"/>
  <c r="I238" i="17"/>
  <c r="I239" i="17"/>
  <c r="I240" i="17"/>
  <c r="I241" i="17"/>
  <c r="I242" i="17"/>
  <c r="I243" i="17"/>
  <c r="I244" i="17"/>
  <c r="I245" i="17"/>
  <c r="I246" i="17"/>
  <c r="I247" i="17"/>
  <c r="I248" i="17"/>
  <c r="I249" i="17"/>
  <c r="I250" i="17"/>
  <c r="I251" i="17"/>
  <c r="I252" i="17"/>
  <c r="I253" i="17"/>
  <c r="H233" i="17"/>
  <c r="H234" i="17"/>
  <c r="H235" i="17"/>
  <c r="H236" i="17"/>
  <c r="H237" i="17"/>
  <c r="H238" i="17"/>
  <c r="H239" i="17"/>
  <c r="H240" i="17"/>
  <c r="H241" i="17"/>
  <c r="H242" i="17"/>
  <c r="H243" i="17"/>
  <c r="H244" i="17"/>
  <c r="H245" i="17"/>
  <c r="H246" i="17"/>
  <c r="H247" i="17"/>
  <c r="H248" i="17"/>
  <c r="H249" i="17"/>
  <c r="H250" i="17"/>
  <c r="H251" i="17"/>
  <c r="H252" i="17"/>
  <c r="H253" i="17"/>
  <c r="AB27" i="29"/>
  <c r="Q44" i="23"/>
  <c r="Q45" i="23"/>
  <c r="Q46" i="23"/>
  <c r="Q47" i="23"/>
  <c r="Q48" i="23"/>
  <c r="Q49" i="23"/>
  <c r="P45" i="23"/>
  <c r="P46" i="23"/>
  <c r="P47" i="23"/>
  <c r="P48" i="23"/>
  <c r="O46" i="23"/>
  <c r="O47" i="23"/>
  <c r="O48" i="23"/>
  <c r="O49" i="23"/>
  <c r="O43" i="23"/>
  <c r="P43" i="23"/>
  <c r="Q43" i="23"/>
  <c r="O44" i="23"/>
  <c r="P44" i="23"/>
  <c r="O45" i="23"/>
  <c r="CU26" i="20" l="1"/>
  <c r="CU27" i="20"/>
  <c r="CU28" i="20"/>
  <c r="CU29" i="20"/>
  <c r="CU30" i="20"/>
  <c r="CU31" i="20"/>
  <c r="CU32" i="20"/>
  <c r="CU33" i="20"/>
  <c r="CU34" i="20"/>
  <c r="CU35" i="20"/>
  <c r="CU36" i="20"/>
  <c r="CU37" i="20"/>
  <c r="CU38" i="20"/>
  <c r="CS27" i="20"/>
  <c r="CS28" i="20"/>
  <c r="CS29" i="20"/>
  <c r="CS30" i="20"/>
  <c r="B225" i="17"/>
  <c r="B226" i="17"/>
  <c r="B227" i="17"/>
  <c r="B228" i="17"/>
  <c r="B229" i="17"/>
  <c r="B230" i="17"/>
  <c r="B231" i="17"/>
  <c r="R214" i="17"/>
  <c r="S214" i="17"/>
  <c r="T214" i="17"/>
  <c r="R215" i="17"/>
  <c r="S215" i="17"/>
  <c r="T215" i="17"/>
  <c r="R216" i="17"/>
  <c r="S216" i="17"/>
  <c r="T216" i="17"/>
  <c r="R217" i="17"/>
  <c r="S217" i="17"/>
  <c r="T217" i="17"/>
  <c r="R218" i="17"/>
  <c r="S218" i="17"/>
  <c r="T218" i="17"/>
  <c r="R219" i="17"/>
  <c r="S219" i="17"/>
  <c r="T219" i="17"/>
  <c r="R220" i="17"/>
  <c r="S220" i="17"/>
  <c r="T220" i="17"/>
  <c r="R221" i="17"/>
  <c r="S221" i="17"/>
  <c r="T221" i="17"/>
  <c r="R222" i="17"/>
  <c r="S222" i="17"/>
  <c r="T222" i="17"/>
  <c r="R223" i="17"/>
  <c r="S223" i="17"/>
  <c r="T223" i="17"/>
  <c r="R224" i="17"/>
  <c r="S224" i="17"/>
  <c r="T224" i="17"/>
  <c r="R225" i="17"/>
  <c r="S225" i="17"/>
  <c r="T225" i="17"/>
  <c r="R226" i="17"/>
  <c r="S226" i="17"/>
  <c r="T226" i="17"/>
  <c r="R227" i="17"/>
  <c r="S227" i="17"/>
  <c r="T227" i="17"/>
  <c r="R228" i="17"/>
  <c r="T228" i="17"/>
  <c r="T229" i="17"/>
  <c r="T230" i="17"/>
  <c r="L214" i="17"/>
  <c r="L215" i="17"/>
  <c r="L216" i="17"/>
  <c r="L217" i="17"/>
  <c r="L218" i="17"/>
  <c r="L219" i="17"/>
  <c r="L220" i="17"/>
  <c r="L221" i="17"/>
  <c r="L222" i="17"/>
  <c r="L223" i="17"/>
  <c r="L224" i="17"/>
  <c r="L225" i="17"/>
  <c r="L226" i="17"/>
  <c r="L227" i="17"/>
  <c r="L228" i="17"/>
  <c r="L229" i="17"/>
  <c r="L230" i="17"/>
  <c r="L231" i="17"/>
  <c r="L232" i="17"/>
  <c r="H214" i="17"/>
  <c r="I214" i="17"/>
  <c r="H215" i="17"/>
  <c r="I215" i="17"/>
  <c r="H216" i="17"/>
  <c r="I216" i="17"/>
  <c r="H217" i="17"/>
  <c r="I217" i="17"/>
  <c r="H218" i="17"/>
  <c r="I218" i="17"/>
  <c r="H219" i="17"/>
  <c r="I219" i="17"/>
  <c r="H220" i="17"/>
  <c r="I220" i="17"/>
  <c r="H221" i="17"/>
  <c r="I221" i="17"/>
  <c r="H222" i="17"/>
  <c r="I222" i="17"/>
  <c r="H223" i="17"/>
  <c r="I223" i="17"/>
  <c r="H224" i="17"/>
  <c r="I224" i="17"/>
  <c r="H225" i="17"/>
  <c r="I225" i="17"/>
  <c r="H226" i="17"/>
  <c r="I226" i="17"/>
  <c r="H227" i="17"/>
  <c r="I227" i="17"/>
  <c r="H228" i="17"/>
  <c r="I228" i="17"/>
  <c r="H229" i="17"/>
  <c r="I229" i="17"/>
  <c r="H230" i="17"/>
  <c r="I230" i="17"/>
  <c r="H231" i="17"/>
  <c r="I231" i="17"/>
  <c r="H232" i="17"/>
  <c r="I232" i="17"/>
  <c r="B213" i="17" l="1"/>
  <c r="B214" i="17"/>
  <c r="B215" i="17"/>
  <c r="B216" i="17"/>
  <c r="B217" i="17"/>
  <c r="B218" i="17"/>
  <c r="B219" i="17"/>
  <c r="B220" i="17"/>
  <c r="B221" i="17"/>
  <c r="B222" i="17"/>
  <c r="B223" i="17"/>
  <c r="B224" i="17"/>
  <c r="AB25" i="29" l="1"/>
  <c r="B46" i="9" l="1"/>
  <c r="R212" i="17"/>
  <c r="S212" i="17"/>
  <c r="T212" i="17"/>
  <c r="R213" i="17"/>
  <c r="S213" i="17"/>
  <c r="T213" i="17"/>
  <c r="H212" i="17"/>
  <c r="I212" i="17"/>
  <c r="H213" i="17"/>
  <c r="I213" i="17"/>
  <c r="B212" i="17"/>
  <c r="CT28" i="20" l="1"/>
  <c r="CR28" i="20"/>
  <c r="CQ28" i="20"/>
  <c r="CP28" i="20"/>
  <c r="CO28" i="20"/>
  <c r="CN28" i="20"/>
  <c r="CM28" i="20"/>
  <c r="CK28" i="20"/>
  <c r="CL28" i="20"/>
  <c r="CJ28" i="20"/>
  <c r="CI28" i="20"/>
  <c r="CG28" i="20"/>
  <c r="CF28" i="20"/>
  <c r="Q37" i="23"/>
  <c r="Q38" i="23"/>
  <c r="Q39" i="23"/>
  <c r="P38" i="23"/>
  <c r="P39" i="23"/>
  <c r="O38" i="23"/>
  <c r="O39" i="23"/>
  <c r="H40" i="23"/>
  <c r="B209" i="17"/>
  <c r="B210" i="17"/>
  <c r="B211" i="17"/>
  <c r="R209" i="17"/>
  <c r="S209" i="17"/>
  <c r="T209" i="17"/>
  <c r="R210" i="17"/>
  <c r="S210" i="17"/>
  <c r="T210" i="17"/>
  <c r="R211" i="17"/>
  <c r="S211" i="17"/>
  <c r="T211" i="17"/>
  <c r="H209" i="17"/>
  <c r="I209" i="17"/>
  <c r="H210" i="17"/>
  <c r="I210" i="17"/>
  <c r="H211" i="17"/>
  <c r="I211" i="17"/>
  <c r="DD28" i="20" l="1"/>
  <c r="Q34" i="23"/>
  <c r="Q35" i="23"/>
  <c r="Q36" i="23"/>
  <c r="P35" i="23"/>
  <c r="P36" i="23"/>
  <c r="O35" i="23"/>
  <c r="O36" i="23"/>
  <c r="H37" i="23"/>
  <c r="CU45" i="20"/>
  <c r="CU46" i="20"/>
  <c r="CU47" i="20"/>
  <c r="CU49" i="20"/>
  <c r="CU50" i="20"/>
  <c r="CU51" i="20"/>
  <c r="CU52" i="20"/>
  <c r="CU53" i="20"/>
  <c r="CU54" i="20"/>
  <c r="CU55" i="20"/>
  <c r="CU56" i="20"/>
  <c r="CU57" i="20"/>
  <c r="CU58" i="20"/>
  <c r="CU59" i="20"/>
  <c r="CU60" i="20"/>
  <c r="CU61" i="20"/>
  <c r="CU65" i="20"/>
  <c r="CU66" i="20"/>
  <c r="CU67" i="20"/>
  <c r="CU68" i="20"/>
  <c r="CU69" i="20"/>
  <c r="CU70" i="20"/>
  <c r="CU71" i="20"/>
  <c r="CU22" i="20"/>
  <c r="CU23" i="20"/>
  <c r="CU24" i="20"/>
  <c r="CU25" i="20"/>
  <c r="CU39" i="20"/>
  <c r="CU40" i="20"/>
  <c r="CU41" i="20"/>
  <c r="CU42" i="20"/>
  <c r="CU43" i="20"/>
  <c r="CU44" i="20"/>
  <c r="CH24" i="20"/>
  <c r="CH25" i="20"/>
  <c r="CH26" i="20"/>
  <c r="R202" i="17"/>
  <c r="S202" i="17"/>
  <c r="T202" i="17"/>
  <c r="R203" i="17"/>
  <c r="S203" i="17"/>
  <c r="T203" i="17"/>
  <c r="R204" i="17"/>
  <c r="S204" i="17"/>
  <c r="T204" i="17"/>
  <c r="R205" i="17"/>
  <c r="S205" i="17"/>
  <c r="T205" i="17"/>
  <c r="R206" i="17"/>
  <c r="S206" i="17"/>
  <c r="T206" i="17"/>
  <c r="R207" i="17"/>
  <c r="S207" i="17"/>
  <c r="T207" i="17"/>
  <c r="R208" i="17"/>
  <c r="S208" i="17"/>
  <c r="T208" i="17"/>
  <c r="L202" i="17"/>
  <c r="L203" i="17"/>
  <c r="L204" i="17"/>
  <c r="L205" i="17"/>
  <c r="L206" i="17"/>
  <c r="L207" i="17"/>
  <c r="L208" i="17"/>
  <c r="L209" i="17"/>
  <c r="L210" i="17"/>
  <c r="L211" i="17"/>
  <c r="L212" i="17"/>
  <c r="L213" i="17"/>
  <c r="H202" i="17"/>
  <c r="I202" i="17"/>
  <c r="H203" i="17"/>
  <c r="I203" i="17"/>
  <c r="H204" i="17"/>
  <c r="I204" i="17"/>
  <c r="H205" i="17"/>
  <c r="I205" i="17"/>
  <c r="H206" i="17"/>
  <c r="I206" i="17"/>
  <c r="H207" i="17"/>
  <c r="I207" i="17"/>
  <c r="H208" i="17"/>
  <c r="I208" i="17"/>
  <c r="B202" i="17"/>
  <c r="B203" i="17"/>
  <c r="B204" i="17"/>
  <c r="B205" i="17"/>
  <c r="B206" i="17"/>
  <c r="B207" i="17"/>
  <c r="B208" i="17"/>
  <c r="O31" i="23" l="1"/>
  <c r="P31" i="23"/>
  <c r="Q31" i="23"/>
  <c r="O32" i="23"/>
  <c r="P32" i="23"/>
  <c r="Q32" i="23"/>
  <c r="O33" i="23"/>
  <c r="P33" i="23"/>
  <c r="Q33" i="23"/>
  <c r="B197" i="17"/>
  <c r="B198" i="17"/>
  <c r="B199" i="17"/>
  <c r="B200" i="17"/>
  <c r="B201" i="17"/>
  <c r="R197" i="17"/>
  <c r="S197" i="17"/>
  <c r="T197" i="17"/>
  <c r="R198" i="17"/>
  <c r="S198" i="17"/>
  <c r="T198" i="17"/>
  <c r="R199" i="17"/>
  <c r="S199" i="17"/>
  <c r="T199" i="17"/>
  <c r="R200" i="17"/>
  <c r="S200" i="17"/>
  <c r="T200" i="17"/>
  <c r="R201" i="17"/>
  <c r="S201" i="17"/>
  <c r="T201" i="17"/>
  <c r="L197" i="17"/>
  <c r="L198" i="17"/>
  <c r="L199" i="17"/>
  <c r="L200" i="17"/>
  <c r="L201" i="17"/>
  <c r="H197" i="17"/>
  <c r="I197" i="17"/>
  <c r="H198" i="17"/>
  <c r="I198" i="17"/>
  <c r="H199" i="17"/>
  <c r="I199" i="17"/>
  <c r="H200" i="17"/>
  <c r="I200" i="17"/>
  <c r="H201" i="17"/>
  <c r="I201" i="17"/>
  <c r="O30" i="23"/>
  <c r="P30" i="23"/>
  <c r="Q30" i="23"/>
  <c r="CH23" i="20"/>
  <c r="B181" i="17"/>
  <c r="B182" i="17"/>
  <c r="B183" i="17"/>
  <c r="B184" i="17"/>
  <c r="B185" i="17"/>
  <c r="B186" i="17"/>
  <c r="B187" i="17"/>
  <c r="B188" i="17"/>
  <c r="B189" i="17"/>
  <c r="B190" i="17"/>
  <c r="B191" i="17"/>
  <c r="B192" i="17"/>
  <c r="B193" i="17"/>
  <c r="B194" i="17"/>
  <c r="B195" i="17"/>
  <c r="B196" i="17"/>
  <c r="T181" i="17"/>
  <c r="T182" i="17"/>
  <c r="T183" i="17"/>
  <c r="T184" i="17"/>
  <c r="T185" i="17"/>
  <c r="T186" i="17"/>
  <c r="T187" i="17"/>
  <c r="T188" i="17"/>
  <c r="T189" i="17"/>
  <c r="T190" i="17"/>
  <c r="T191" i="17"/>
  <c r="T192" i="17"/>
  <c r="T193" i="17"/>
  <c r="T194" i="17"/>
  <c r="T195" i="17"/>
  <c r="T196" i="17"/>
  <c r="S181" i="17"/>
  <c r="S182" i="17"/>
  <c r="S183" i="17"/>
  <c r="S184" i="17"/>
  <c r="S185" i="17"/>
  <c r="S186" i="17"/>
  <c r="S187" i="17"/>
  <c r="S188" i="17"/>
  <c r="S189" i="17"/>
  <c r="S190" i="17"/>
  <c r="S191" i="17"/>
  <c r="S192" i="17"/>
  <c r="S193" i="17"/>
  <c r="S194" i="17"/>
  <c r="S195" i="17"/>
  <c r="S196" i="17"/>
  <c r="R181" i="17"/>
  <c r="R182" i="17"/>
  <c r="R183" i="17"/>
  <c r="R184" i="17"/>
  <c r="R185" i="17"/>
  <c r="R186" i="17"/>
  <c r="R187" i="17"/>
  <c r="R188" i="17"/>
  <c r="R189" i="17"/>
  <c r="R190" i="17"/>
  <c r="R191" i="17"/>
  <c r="R192" i="17"/>
  <c r="R193" i="17"/>
  <c r="R194" i="17"/>
  <c r="R195" i="17"/>
  <c r="R196" i="17"/>
  <c r="L182" i="17"/>
  <c r="L183" i="17"/>
  <c r="L184" i="17"/>
  <c r="L185" i="17"/>
  <c r="L186" i="17"/>
  <c r="L187" i="17"/>
  <c r="L188" i="17"/>
  <c r="L189" i="17"/>
  <c r="L190" i="17"/>
  <c r="L191" i="17"/>
  <c r="L192" i="17"/>
  <c r="L193" i="17"/>
  <c r="L194" i="17"/>
  <c r="L195" i="17"/>
  <c r="L196" i="17"/>
  <c r="I182" i="17"/>
  <c r="I183" i="17"/>
  <c r="I184" i="17"/>
  <c r="I185" i="17"/>
  <c r="I186" i="17"/>
  <c r="I187" i="17"/>
  <c r="I188" i="17"/>
  <c r="I189" i="17"/>
  <c r="I190" i="17"/>
  <c r="I191" i="17"/>
  <c r="I192" i="17"/>
  <c r="I193" i="17"/>
  <c r="I194" i="17"/>
  <c r="I195" i="17"/>
  <c r="I196" i="17"/>
  <c r="H182" i="17"/>
  <c r="H183" i="17"/>
  <c r="H184" i="17"/>
  <c r="H185" i="17"/>
  <c r="H186" i="17"/>
  <c r="H187" i="17"/>
  <c r="H188" i="17"/>
  <c r="H189" i="17"/>
  <c r="H190" i="17"/>
  <c r="H191" i="17"/>
  <c r="H192" i="17"/>
  <c r="H193" i="17"/>
  <c r="H194" i="17"/>
  <c r="H195" i="17"/>
  <c r="H196" i="17"/>
  <c r="AB20" i="29"/>
  <c r="CH22" i="20" l="1"/>
  <c r="B153" i="17" l="1"/>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T153" i="17"/>
  <c r="T154" i="17"/>
  <c r="T155" i="17"/>
  <c r="T156" i="17"/>
  <c r="T157" i="17"/>
  <c r="T158" i="17"/>
  <c r="T159" i="17"/>
  <c r="T160" i="17"/>
  <c r="T161" i="17"/>
  <c r="T162" i="17"/>
  <c r="T163" i="17"/>
  <c r="T164" i="17"/>
  <c r="T165" i="17"/>
  <c r="T166" i="17"/>
  <c r="T167" i="17"/>
  <c r="T168" i="17"/>
  <c r="T169" i="17"/>
  <c r="T170" i="17"/>
  <c r="T171" i="17"/>
  <c r="T172" i="17"/>
  <c r="T173" i="17"/>
  <c r="T174" i="17"/>
  <c r="T175" i="17"/>
  <c r="T176" i="17"/>
  <c r="T177" i="17"/>
  <c r="T178" i="17"/>
  <c r="T179" i="17"/>
  <c r="T180" i="17"/>
  <c r="S153" i="17"/>
  <c r="S154" i="17"/>
  <c r="S155" i="17"/>
  <c r="S156" i="17"/>
  <c r="S157" i="17"/>
  <c r="S158" i="17"/>
  <c r="S159" i="17"/>
  <c r="S160" i="17"/>
  <c r="S161" i="17"/>
  <c r="S162" i="17"/>
  <c r="S163" i="17"/>
  <c r="S164" i="17"/>
  <c r="S165" i="17"/>
  <c r="S166" i="17"/>
  <c r="S167" i="17"/>
  <c r="S168" i="17"/>
  <c r="S169" i="17"/>
  <c r="S170" i="17"/>
  <c r="S171" i="17"/>
  <c r="S172" i="17"/>
  <c r="S173" i="17"/>
  <c r="S174" i="17"/>
  <c r="S175" i="17"/>
  <c r="S176" i="17"/>
  <c r="S177" i="17"/>
  <c r="S178" i="17"/>
  <c r="S179" i="17"/>
  <c r="S180" i="17"/>
  <c r="R153" i="17"/>
  <c r="R154" i="17"/>
  <c r="R155" i="17"/>
  <c r="R156" i="17"/>
  <c r="R157" i="17"/>
  <c r="R158" i="17"/>
  <c r="R159" i="17"/>
  <c r="R160" i="17"/>
  <c r="R161" i="17"/>
  <c r="R162" i="17"/>
  <c r="R163" i="17"/>
  <c r="R164" i="17"/>
  <c r="R165" i="17"/>
  <c r="R166" i="17"/>
  <c r="R167" i="17"/>
  <c r="R168" i="17"/>
  <c r="R169" i="17"/>
  <c r="R170" i="17"/>
  <c r="R171" i="17"/>
  <c r="R172" i="17"/>
  <c r="R173" i="17"/>
  <c r="R174" i="17"/>
  <c r="R175" i="17"/>
  <c r="R176" i="17"/>
  <c r="R177" i="17"/>
  <c r="R178" i="17"/>
  <c r="R179" i="17"/>
  <c r="R180"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I181"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AB19" i="29"/>
  <c r="B134" i="17" l="1"/>
  <c r="B135" i="17"/>
  <c r="B136" i="17"/>
  <c r="B137" i="17"/>
  <c r="B138" i="17"/>
  <c r="B139" i="17"/>
  <c r="B140" i="17"/>
  <c r="B141" i="17"/>
  <c r="B142" i="17"/>
  <c r="B143" i="17"/>
  <c r="B144" i="17"/>
  <c r="B145" i="17"/>
  <c r="B146" i="17"/>
  <c r="B147" i="17"/>
  <c r="B148" i="17"/>
  <c r="B149" i="17"/>
  <c r="B150" i="17"/>
  <c r="B151" i="17"/>
  <c r="B152" i="17"/>
  <c r="T134" i="17"/>
  <c r="T135" i="17"/>
  <c r="T136" i="17"/>
  <c r="T137" i="17"/>
  <c r="T138" i="17"/>
  <c r="T139" i="17"/>
  <c r="T140" i="17"/>
  <c r="T141" i="17"/>
  <c r="T142" i="17"/>
  <c r="T143" i="17"/>
  <c r="T144" i="17"/>
  <c r="T145" i="17"/>
  <c r="T146" i="17"/>
  <c r="T147" i="17"/>
  <c r="T148" i="17"/>
  <c r="T149" i="17"/>
  <c r="T150" i="17"/>
  <c r="T151" i="17"/>
  <c r="T152" i="17"/>
  <c r="S133" i="17"/>
  <c r="S134" i="17"/>
  <c r="S135" i="17"/>
  <c r="S136" i="17"/>
  <c r="S137" i="17"/>
  <c r="S138" i="17"/>
  <c r="S139" i="17"/>
  <c r="S140" i="17"/>
  <c r="S141" i="17"/>
  <c r="S142" i="17"/>
  <c r="S143" i="17"/>
  <c r="S144" i="17"/>
  <c r="S145" i="17"/>
  <c r="S146" i="17"/>
  <c r="S147" i="17"/>
  <c r="S148" i="17"/>
  <c r="S149" i="17"/>
  <c r="S150" i="17"/>
  <c r="S151" i="17"/>
  <c r="S152" i="17"/>
  <c r="R132" i="17"/>
  <c r="R133" i="17"/>
  <c r="R134" i="17"/>
  <c r="R135" i="17"/>
  <c r="R136" i="17"/>
  <c r="R137" i="17"/>
  <c r="R138" i="17"/>
  <c r="R139" i="17"/>
  <c r="R140" i="17"/>
  <c r="R141" i="17"/>
  <c r="R142" i="17"/>
  <c r="R143" i="17"/>
  <c r="R144" i="17"/>
  <c r="R145" i="17"/>
  <c r="R146" i="17"/>
  <c r="R147" i="17"/>
  <c r="R148" i="17"/>
  <c r="R149" i="17"/>
  <c r="R150" i="17"/>
  <c r="R151" i="17"/>
  <c r="R152" i="17"/>
  <c r="L134" i="17"/>
  <c r="L135" i="17"/>
  <c r="L136" i="17"/>
  <c r="L137" i="17"/>
  <c r="L138" i="17"/>
  <c r="L139" i="17"/>
  <c r="L140" i="17"/>
  <c r="L141" i="17"/>
  <c r="L142" i="17"/>
  <c r="L143" i="17"/>
  <c r="L144" i="17"/>
  <c r="L145" i="17"/>
  <c r="L146" i="17"/>
  <c r="L147" i="17"/>
  <c r="L148" i="17"/>
  <c r="L149" i="17"/>
  <c r="L150" i="17"/>
  <c r="L151" i="17"/>
  <c r="L152" i="17"/>
  <c r="I132" i="17"/>
  <c r="I133" i="17"/>
  <c r="I134" i="17"/>
  <c r="I135" i="17"/>
  <c r="I136" i="17"/>
  <c r="I137" i="17"/>
  <c r="I138" i="17"/>
  <c r="I139" i="17"/>
  <c r="I140" i="17"/>
  <c r="I141" i="17"/>
  <c r="I142" i="17"/>
  <c r="I143" i="17"/>
  <c r="I144" i="17"/>
  <c r="I145" i="17"/>
  <c r="I146" i="17"/>
  <c r="I147" i="17"/>
  <c r="I148" i="17"/>
  <c r="I149" i="17"/>
  <c r="I150" i="17"/>
  <c r="I151" i="17"/>
  <c r="I152" i="17"/>
  <c r="H134" i="17"/>
  <c r="H135" i="17"/>
  <c r="H136" i="17"/>
  <c r="H137" i="17"/>
  <c r="H138" i="17"/>
  <c r="H139" i="17"/>
  <c r="H140" i="17"/>
  <c r="H141" i="17"/>
  <c r="H142" i="17"/>
  <c r="H143" i="17"/>
  <c r="H144" i="17"/>
  <c r="H145" i="17"/>
  <c r="H146" i="17"/>
  <c r="H147" i="17"/>
  <c r="H148" i="17"/>
  <c r="H149" i="17"/>
  <c r="H150" i="17"/>
  <c r="H151" i="17"/>
  <c r="H152" i="17"/>
  <c r="AB18" i="29"/>
  <c r="T125" i="17" l="1"/>
  <c r="T126" i="17"/>
  <c r="T127" i="17"/>
  <c r="T128" i="17"/>
  <c r="T129" i="17"/>
  <c r="T130" i="17"/>
  <c r="T131" i="17"/>
  <c r="T132" i="17"/>
  <c r="T133" i="17"/>
  <c r="S126" i="17"/>
  <c r="S127" i="17"/>
  <c r="S128" i="17"/>
  <c r="S129" i="17"/>
  <c r="S130" i="17"/>
  <c r="S131" i="17"/>
  <c r="S132" i="17"/>
  <c r="R126" i="17"/>
  <c r="R127" i="17"/>
  <c r="R128" i="17"/>
  <c r="R129" i="17"/>
  <c r="R130" i="17"/>
  <c r="R131" i="17"/>
  <c r="L126" i="17"/>
  <c r="L127" i="17"/>
  <c r="L128" i="17"/>
  <c r="L129" i="17"/>
  <c r="L130" i="17"/>
  <c r="L131" i="17"/>
  <c r="L132" i="17"/>
  <c r="L133" i="17"/>
  <c r="I126" i="17"/>
  <c r="I127" i="17"/>
  <c r="I128" i="17"/>
  <c r="I129" i="17"/>
  <c r="I130" i="17"/>
  <c r="I131" i="17"/>
  <c r="H126" i="17"/>
  <c r="H127" i="17"/>
  <c r="H128" i="17"/>
  <c r="H129" i="17"/>
  <c r="H130" i="17"/>
  <c r="H131" i="17"/>
  <c r="H132" i="17"/>
  <c r="H133" i="17"/>
  <c r="B126" i="17"/>
  <c r="B127" i="17"/>
  <c r="B128" i="17"/>
  <c r="B129" i="17"/>
  <c r="B130" i="17"/>
  <c r="B131" i="17"/>
  <c r="B132" i="17"/>
  <c r="B133" i="17"/>
  <c r="AB17" i="29"/>
  <c r="T116" i="17" l="1"/>
  <c r="T117" i="17"/>
  <c r="T118" i="17"/>
  <c r="T119" i="17"/>
  <c r="T120" i="17"/>
  <c r="T121" i="17"/>
  <c r="T122" i="17"/>
  <c r="T123" i="17"/>
  <c r="T124" i="17"/>
  <c r="S115" i="17"/>
  <c r="S116" i="17"/>
  <c r="S117" i="17"/>
  <c r="S118" i="17"/>
  <c r="S119" i="17"/>
  <c r="S120" i="17"/>
  <c r="S121" i="17"/>
  <c r="S122" i="17"/>
  <c r="S123" i="17"/>
  <c r="S124" i="17"/>
  <c r="S125" i="17"/>
  <c r="R116" i="17"/>
  <c r="R117" i="17"/>
  <c r="R118" i="17"/>
  <c r="R119" i="17"/>
  <c r="R120" i="17"/>
  <c r="R121" i="17"/>
  <c r="R122" i="17"/>
  <c r="R123" i="17"/>
  <c r="R124" i="17"/>
  <c r="R125" i="17"/>
  <c r="L120" i="17"/>
  <c r="L121" i="17"/>
  <c r="L122" i="17"/>
  <c r="L123" i="17"/>
  <c r="L124" i="17"/>
  <c r="L125" i="17"/>
  <c r="I119" i="17"/>
  <c r="I120" i="17"/>
  <c r="I121" i="17"/>
  <c r="I122" i="17"/>
  <c r="I123" i="17"/>
  <c r="I124" i="17"/>
  <c r="I125" i="17"/>
  <c r="H120" i="17"/>
  <c r="H121" i="17"/>
  <c r="H122" i="17"/>
  <c r="H123" i="17"/>
  <c r="H124" i="17"/>
  <c r="H125" i="17"/>
  <c r="B117" i="17"/>
  <c r="B118" i="17"/>
  <c r="B119" i="17"/>
  <c r="B120" i="17"/>
  <c r="B121" i="17"/>
  <c r="B122" i="17"/>
  <c r="B123" i="17"/>
  <c r="B124" i="17"/>
  <c r="B125" i="17"/>
  <c r="AB16" i="29"/>
  <c r="AB15" i="29"/>
  <c r="DH17" i="20" l="1"/>
  <c r="H43" i="23" l="1"/>
  <c r="H44" i="23"/>
  <c r="H45" i="23"/>
  <c r="H46" i="23"/>
  <c r="H47" i="23"/>
  <c r="H48" i="23"/>
  <c r="H49" i="23"/>
  <c r="H50" i="23"/>
  <c r="H51" i="23"/>
  <c r="H52" i="23"/>
  <c r="H53" i="23"/>
  <c r="H54" i="23"/>
  <c r="H55" i="23"/>
  <c r="H56" i="23"/>
  <c r="H57" i="23"/>
  <c r="H58" i="23"/>
  <c r="H59" i="23"/>
  <c r="H60" i="23"/>
  <c r="H61" i="23"/>
  <c r="H62" i="23"/>
  <c r="H63" i="23"/>
  <c r="H64" i="23"/>
  <c r="H65" i="23"/>
  <c r="H66" i="23"/>
  <c r="H67" i="23"/>
  <c r="H68" i="23"/>
  <c r="H69" i="23"/>
  <c r="H70" i="23"/>
  <c r="H71" i="23"/>
  <c r="H72" i="23"/>
  <c r="H73" i="23"/>
  <c r="H74" i="23"/>
  <c r="H75" i="23"/>
  <c r="H76" i="23"/>
  <c r="H77" i="23"/>
  <c r="H78" i="23"/>
  <c r="H79" i="23"/>
  <c r="H80" i="23"/>
  <c r="H81" i="23"/>
  <c r="H82" i="23"/>
  <c r="H83" i="23"/>
  <c r="H84" i="23"/>
  <c r="H85" i="23"/>
  <c r="H86" i="23"/>
  <c r="H87" i="23"/>
  <c r="H94" i="23"/>
  <c r="H95" i="23"/>
  <c r="H96" i="23"/>
  <c r="H97" i="23"/>
  <c r="H98" i="23"/>
  <c r="H99" i="23"/>
  <c r="H100" i="23"/>
  <c r="H101" i="23"/>
  <c r="H102" i="23"/>
  <c r="H103" i="23"/>
  <c r="H104" i="23"/>
  <c r="H105" i="23"/>
  <c r="H106" i="23"/>
  <c r="H107" i="23"/>
  <c r="H108" i="23"/>
  <c r="H109" i="23"/>
  <c r="H110" i="23"/>
  <c r="H111" i="23"/>
  <c r="H112" i="23"/>
  <c r="H113" i="23"/>
  <c r="H114" i="23"/>
  <c r="H115" i="23"/>
  <c r="H116" i="23"/>
  <c r="H117" i="23"/>
  <c r="H118" i="23"/>
  <c r="H119" i="23"/>
  <c r="H120" i="23"/>
  <c r="H121" i="23"/>
  <c r="H122" i="23"/>
  <c r="H123" i="23"/>
  <c r="H124" i="23"/>
  <c r="H125" i="23"/>
  <c r="H126" i="23"/>
  <c r="H127" i="23"/>
  <c r="H128" i="23"/>
  <c r="H129" i="23"/>
  <c r="H130" i="23"/>
  <c r="H131" i="23"/>
  <c r="H132" i="23"/>
  <c r="H134" i="23"/>
  <c r="H135" i="23"/>
  <c r="H138" i="23"/>
  <c r="H139" i="23"/>
  <c r="H141" i="23"/>
  <c r="H142" i="23"/>
  <c r="H143" i="23"/>
  <c r="H144" i="23"/>
  <c r="H145" i="23"/>
  <c r="H146" i="23"/>
  <c r="H147" i="23"/>
  <c r="H148" i="23"/>
  <c r="H149" i="23"/>
  <c r="H150" i="23"/>
  <c r="H151" i="23"/>
  <c r="H152" i="23"/>
  <c r="H153" i="23"/>
  <c r="H154" i="23"/>
  <c r="H155" i="23"/>
  <c r="H156" i="23"/>
  <c r="H157" i="23"/>
  <c r="H158" i="23"/>
  <c r="H159" i="23"/>
  <c r="H160" i="23"/>
  <c r="H161" i="23"/>
  <c r="H162" i="23"/>
  <c r="H163" i="23"/>
  <c r="H164" i="23"/>
  <c r="H165" i="23"/>
  <c r="H166" i="23"/>
  <c r="H167" i="23"/>
  <c r="H169" i="23"/>
  <c r="H170" i="23"/>
  <c r="H171" i="23"/>
  <c r="H172" i="23"/>
  <c r="H173" i="23"/>
  <c r="H174" i="23"/>
  <c r="H175" i="23"/>
  <c r="H176" i="23"/>
  <c r="H177" i="23"/>
  <c r="H178" i="23"/>
  <c r="H179" i="23"/>
  <c r="H180" i="23"/>
  <c r="H182" i="23"/>
  <c r="H183" i="23"/>
  <c r="H184" i="23"/>
  <c r="H185" i="23"/>
  <c r="H186" i="23"/>
  <c r="H187" i="23"/>
  <c r="H188" i="23"/>
  <c r="H189" i="23"/>
  <c r="H190" i="23"/>
  <c r="H191" i="23"/>
  <c r="H192" i="23"/>
  <c r="H193" i="23"/>
  <c r="H194" i="23"/>
  <c r="H195" i="23"/>
  <c r="H196" i="23"/>
  <c r="H197" i="23"/>
  <c r="H198" i="23"/>
  <c r="H199" i="23"/>
  <c r="H200" i="23"/>
  <c r="H201" i="23"/>
  <c r="H202" i="23"/>
  <c r="H203" i="23"/>
  <c r="H204" i="23"/>
  <c r="H205" i="23"/>
  <c r="H206" i="23"/>
  <c r="H207" i="23"/>
  <c r="H208" i="23"/>
  <c r="H209" i="23"/>
  <c r="H210" i="23"/>
  <c r="H211" i="23"/>
  <c r="H212" i="23"/>
  <c r="H213" i="23"/>
  <c r="H214" i="23"/>
  <c r="H215" i="23"/>
  <c r="H216" i="23"/>
  <c r="H217" i="23"/>
  <c r="H218" i="23"/>
  <c r="H219" i="23"/>
  <c r="H220" i="23"/>
  <c r="H221" i="23"/>
  <c r="H222" i="23"/>
  <c r="H223" i="23"/>
  <c r="H224" i="23"/>
  <c r="H225" i="23"/>
  <c r="H226" i="23"/>
  <c r="H227" i="23"/>
  <c r="H228" i="23"/>
  <c r="H229" i="23"/>
  <c r="H230" i="23"/>
  <c r="H231" i="23"/>
  <c r="H232" i="23"/>
  <c r="H233" i="23"/>
  <c r="H234" i="23"/>
  <c r="H235" i="23"/>
  <c r="H236" i="23"/>
  <c r="H237" i="23"/>
  <c r="H238" i="23"/>
  <c r="H239" i="23"/>
  <c r="H240" i="23"/>
  <c r="H241" i="23"/>
  <c r="H242" i="23"/>
  <c r="H243" i="23"/>
  <c r="H244" i="23"/>
  <c r="H245" i="23"/>
  <c r="H246" i="23"/>
  <c r="H247" i="23"/>
  <c r="H248" i="23"/>
  <c r="H249" i="23"/>
  <c r="H250" i="23"/>
  <c r="H251" i="23"/>
  <c r="H252" i="23"/>
  <c r="H253" i="23"/>
  <c r="H254" i="23"/>
  <c r="H255" i="23"/>
  <c r="H256" i="23"/>
  <c r="H257" i="23"/>
  <c r="H258" i="23"/>
  <c r="H259" i="23"/>
  <c r="H260" i="23"/>
  <c r="H261" i="23"/>
  <c r="H262" i="23"/>
  <c r="H263" i="23"/>
  <c r="H264" i="23"/>
  <c r="H265" i="23"/>
  <c r="H266" i="23"/>
  <c r="H267" i="23"/>
  <c r="H268" i="23"/>
  <c r="H269" i="23"/>
  <c r="H270" i="23"/>
  <c r="H271" i="23"/>
  <c r="H272" i="23"/>
  <c r="H273" i="23"/>
  <c r="H274" i="23"/>
  <c r="H275" i="23"/>
  <c r="H276" i="23"/>
  <c r="H277" i="23"/>
  <c r="H278" i="23"/>
  <c r="H279" i="23"/>
  <c r="H280" i="23"/>
  <c r="H281" i="23"/>
  <c r="H282" i="23"/>
  <c r="H283" i="23"/>
  <c r="H284" i="23"/>
  <c r="H285" i="23"/>
  <c r="H286" i="23"/>
  <c r="H287" i="23"/>
  <c r="H288" i="23"/>
  <c r="H289" i="23"/>
  <c r="H290" i="23"/>
  <c r="H291" i="23"/>
  <c r="H292" i="23"/>
  <c r="H293" i="23"/>
  <c r="H294" i="23"/>
  <c r="H295" i="23"/>
  <c r="H296" i="23"/>
  <c r="H297" i="23"/>
  <c r="H298" i="23"/>
  <c r="H299" i="23"/>
  <c r="H300" i="23"/>
  <c r="H301" i="23"/>
  <c r="H302" i="23"/>
  <c r="H303" i="23"/>
  <c r="H304" i="23"/>
  <c r="H305" i="23"/>
  <c r="H306" i="23"/>
  <c r="H307" i="23"/>
  <c r="H308" i="23"/>
  <c r="H309" i="23"/>
  <c r="H310" i="23"/>
  <c r="H311" i="23"/>
  <c r="I43" i="23"/>
  <c r="I44" i="23"/>
  <c r="I45" i="23"/>
  <c r="I46" i="23"/>
  <c r="I47" i="23"/>
  <c r="I48" i="23"/>
  <c r="I49" i="23"/>
  <c r="I50" i="23"/>
  <c r="I51" i="23"/>
  <c r="I52" i="23"/>
  <c r="I53" i="23"/>
  <c r="I54" i="23"/>
  <c r="I55" i="23"/>
  <c r="I56" i="23"/>
  <c r="I57" i="23"/>
  <c r="I58" i="23"/>
  <c r="I59" i="23"/>
  <c r="I60" i="23"/>
  <c r="I61" i="23"/>
  <c r="I62" i="23"/>
  <c r="I63" i="23"/>
  <c r="I64" i="23"/>
  <c r="I65" i="23"/>
  <c r="I66" i="23"/>
  <c r="I67" i="23"/>
  <c r="I68" i="23"/>
  <c r="I69" i="23"/>
  <c r="I70" i="23"/>
  <c r="I71" i="23"/>
  <c r="I72" i="23"/>
  <c r="I73" i="23"/>
  <c r="I74" i="23"/>
  <c r="I75" i="23"/>
  <c r="I76" i="23"/>
  <c r="I77" i="23"/>
  <c r="I78" i="23"/>
  <c r="I79" i="23"/>
  <c r="I80" i="23"/>
  <c r="I81" i="23"/>
  <c r="I82" i="23"/>
  <c r="I83" i="23"/>
  <c r="I84" i="23"/>
  <c r="I85" i="23"/>
  <c r="I86" i="23"/>
  <c r="I87" i="23"/>
  <c r="I94" i="23"/>
  <c r="I95" i="23"/>
  <c r="I96" i="23"/>
  <c r="I97" i="23"/>
  <c r="I98" i="23"/>
  <c r="I99" i="23"/>
  <c r="I100" i="23"/>
  <c r="I101" i="23"/>
  <c r="I102" i="23"/>
  <c r="I103" i="23"/>
  <c r="I104" i="23"/>
  <c r="I105" i="23"/>
  <c r="I106" i="23"/>
  <c r="I107" i="23"/>
  <c r="I108" i="23"/>
  <c r="I109" i="23"/>
  <c r="I110" i="23"/>
  <c r="I111" i="23"/>
  <c r="I112" i="23"/>
  <c r="I113" i="23"/>
  <c r="I114" i="23"/>
  <c r="I115" i="23"/>
  <c r="I116" i="23"/>
  <c r="I117" i="23"/>
  <c r="I118" i="23"/>
  <c r="I119" i="23"/>
  <c r="I120" i="23"/>
  <c r="I121" i="23"/>
  <c r="I122" i="23"/>
  <c r="I123" i="23"/>
  <c r="I124" i="23"/>
  <c r="I125" i="23"/>
  <c r="I126" i="23"/>
  <c r="I127" i="23"/>
  <c r="I128" i="23"/>
  <c r="I129" i="23"/>
  <c r="I130" i="23"/>
  <c r="I131" i="23"/>
  <c r="I132" i="23"/>
  <c r="I135" i="23"/>
  <c r="I137" i="23"/>
  <c r="I138" i="23"/>
  <c r="I139" i="23"/>
  <c r="I141" i="23"/>
  <c r="I142" i="23"/>
  <c r="I143" i="23"/>
  <c r="I144" i="23"/>
  <c r="I145" i="23"/>
  <c r="I146" i="23"/>
  <c r="I147" i="23"/>
  <c r="I148" i="23"/>
  <c r="I149" i="23"/>
  <c r="I150" i="23"/>
  <c r="I151" i="23"/>
  <c r="I152" i="23"/>
  <c r="I153" i="23"/>
  <c r="I154" i="23"/>
  <c r="I155" i="23"/>
  <c r="I156" i="23"/>
  <c r="I157" i="23"/>
  <c r="I158" i="23"/>
  <c r="I159" i="23"/>
  <c r="I160" i="23"/>
  <c r="I161" i="23"/>
  <c r="I162" i="23"/>
  <c r="I163" i="23"/>
  <c r="I164" i="23"/>
  <c r="I165" i="23"/>
  <c r="I166" i="23"/>
  <c r="I167" i="23"/>
  <c r="I169" i="23"/>
  <c r="I170" i="23"/>
  <c r="I171" i="23"/>
  <c r="I172" i="23"/>
  <c r="I173" i="23"/>
  <c r="I174" i="23"/>
  <c r="I175" i="23"/>
  <c r="I176" i="23"/>
  <c r="I177" i="23"/>
  <c r="I178" i="23"/>
  <c r="I179" i="23"/>
  <c r="I180" i="23"/>
  <c r="I181" i="23"/>
  <c r="I182" i="23"/>
  <c r="I183" i="23"/>
  <c r="I184" i="23"/>
  <c r="I185" i="23"/>
  <c r="I186" i="23"/>
  <c r="I187" i="23"/>
  <c r="I188" i="23"/>
  <c r="I189" i="23"/>
  <c r="I190" i="23"/>
  <c r="I191" i="23"/>
  <c r="I192" i="23"/>
  <c r="I193" i="23"/>
  <c r="I194" i="23"/>
  <c r="I195" i="23"/>
  <c r="I196" i="23"/>
  <c r="I197" i="23"/>
  <c r="I198" i="23"/>
  <c r="I199" i="23"/>
  <c r="I200" i="23"/>
  <c r="I201" i="23"/>
  <c r="I202" i="23"/>
  <c r="I203" i="23"/>
  <c r="I204" i="23"/>
  <c r="I205" i="23"/>
  <c r="I206" i="23"/>
  <c r="I207" i="23"/>
  <c r="I208" i="23"/>
  <c r="I209" i="23"/>
  <c r="I210" i="23"/>
  <c r="I211" i="23"/>
  <c r="I212" i="23"/>
  <c r="I213" i="23"/>
  <c r="I214" i="23"/>
  <c r="I215" i="23"/>
  <c r="I216" i="23"/>
  <c r="I217" i="23"/>
  <c r="I218" i="23"/>
  <c r="I219" i="23"/>
  <c r="I220" i="23"/>
  <c r="I221" i="23"/>
  <c r="I222" i="23"/>
  <c r="I223" i="23"/>
  <c r="I224" i="23"/>
  <c r="I225" i="23"/>
  <c r="I226" i="23"/>
  <c r="I227" i="23"/>
  <c r="I228" i="23"/>
  <c r="I229" i="23"/>
  <c r="I230" i="23"/>
  <c r="I231" i="23"/>
  <c r="I232" i="23"/>
  <c r="I233" i="23"/>
  <c r="I234" i="23"/>
  <c r="I235" i="23"/>
  <c r="I236" i="23"/>
  <c r="I237" i="23"/>
  <c r="I238" i="23"/>
  <c r="I239" i="23"/>
  <c r="I240" i="23"/>
  <c r="I241" i="23"/>
  <c r="I242" i="23"/>
  <c r="I243" i="23"/>
  <c r="I244" i="23"/>
  <c r="I245" i="23"/>
  <c r="I246" i="23"/>
  <c r="I247" i="23"/>
  <c r="I248" i="23"/>
  <c r="I249" i="23"/>
  <c r="I250" i="23"/>
  <c r="I251" i="23"/>
  <c r="I252" i="23"/>
  <c r="I253" i="23"/>
  <c r="I254" i="23"/>
  <c r="I255" i="23"/>
  <c r="I256" i="23"/>
  <c r="I257" i="23"/>
  <c r="I258" i="23"/>
  <c r="I259" i="23"/>
  <c r="I260" i="23"/>
  <c r="I261" i="23"/>
  <c r="I262" i="23"/>
  <c r="I263" i="23"/>
  <c r="I264" i="23"/>
  <c r="I265" i="23"/>
  <c r="I266" i="23"/>
  <c r="I267" i="23"/>
  <c r="I268" i="23"/>
  <c r="I269" i="23"/>
  <c r="I270" i="23"/>
  <c r="I271" i="23"/>
  <c r="I272" i="23"/>
  <c r="I273" i="23"/>
  <c r="I274" i="23"/>
  <c r="I275" i="23"/>
  <c r="I276" i="23"/>
  <c r="I277" i="23"/>
  <c r="I278" i="23"/>
  <c r="I279" i="23"/>
  <c r="I280" i="23"/>
  <c r="I281" i="23"/>
  <c r="I282" i="23"/>
  <c r="I283" i="23"/>
  <c r="I284" i="23"/>
  <c r="I285" i="23"/>
  <c r="I286" i="23"/>
  <c r="I287" i="23"/>
  <c r="I288" i="23"/>
  <c r="I289" i="23"/>
  <c r="I290" i="23"/>
  <c r="I291" i="23"/>
  <c r="I292" i="23"/>
  <c r="I293" i="23"/>
  <c r="I294" i="23"/>
  <c r="I295" i="23"/>
  <c r="I296" i="23"/>
  <c r="I297" i="23"/>
  <c r="I298" i="23"/>
  <c r="I299" i="23"/>
  <c r="I300" i="23"/>
  <c r="I301" i="23"/>
  <c r="I302" i="23"/>
  <c r="I303" i="23"/>
  <c r="I304" i="23"/>
  <c r="I305" i="23"/>
  <c r="I306" i="23"/>
  <c r="I307" i="23"/>
  <c r="I308" i="23"/>
  <c r="I309" i="23"/>
  <c r="I310" i="23"/>
  <c r="I311" i="23"/>
  <c r="J75" i="23"/>
  <c r="T75" i="23" s="1"/>
  <c r="J76" i="23"/>
  <c r="T76" i="23" s="1"/>
  <c r="J77" i="23"/>
  <c r="T77" i="23" s="1"/>
  <c r="J78" i="23"/>
  <c r="T78" i="23" s="1"/>
  <c r="J79" i="23"/>
  <c r="T79" i="23" s="1"/>
  <c r="J80" i="23"/>
  <c r="T80" i="23" s="1"/>
  <c r="J81" i="23"/>
  <c r="T81" i="23" s="1"/>
  <c r="J82" i="23"/>
  <c r="T82" i="23" s="1"/>
  <c r="J83" i="23"/>
  <c r="T83" i="23" s="1"/>
  <c r="J84" i="23"/>
  <c r="T84" i="23" s="1"/>
  <c r="J85" i="23"/>
  <c r="T85" i="23" s="1"/>
  <c r="J86" i="23"/>
  <c r="T86" i="23" s="1"/>
  <c r="J87" i="23"/>
  <c r="T87" i="23" s="1"/>
  <c r="J94" i="23"/>
  <c r="T94" i="23" s="1"/>
  <c r="J95" i="23"/>
  <c r="T95" i="23" s="1"/>
  <c r="J96" i="23"/>
  <c r="T96" i="23" s="1"/>
  <c r="J97" i="23"/>
  <c r="J98" i="23"/>
  <c r="T98" i="23" s="1"/>
  <c r="J99" i="23"/>
  <c r="T99" i="23" s="1"/>
  <c r="J100" i="23"/>
  <c r="J101" i="23"/>
  <c r="J102" i="23"/>
  <c r="T102" i="23" s="1"/>
  <c r="J103" i="23"/>
  <c r="T103" i="23" s="1"/>
  <c r="J104" i="23"/>
  <c r="T104" i="23" s="1"/>
  <c r="J105" i="23"/>
  <c r="T105" i="23" s="1"/>
  <c r="J106" i="23"/>
  <c r="T106" i="23" s="1"/>
  <c r="J107" i="23"/>
  <c r="T107" i="23" s="1"/>
  <c r="J108" i="23"/>
  <c r="T108" i="23" s="1"/>
  <c r="J109" i="23"/>
  <c r="T109" i="23" s="1"/>
  <c r="J110" i="23"/>
  <c r="T110" i="23" s="1"/>
  <c r="J111" i="23"/>
  <c r="T111" i="23" s="1"/>
  <c r="J112" i="23"/>
  <c r="T112" i="23" s="1"/>
  <c r="J113" i="23"/>
  <c r="T113" i="23" s="1"/>
  <c r="J114" i="23"/>
  <c r="T114" i="23" s="1"/>
  <c r="J115" i="23"/>
  <c r="T115" i="23" s="1"/>
  <c r="J116" i="23"/>
  <c r="T116" i="23" s="1"/>
  <c r="J117" i="23"/>
  <c r="T117" i="23" s="1"/>
  <c r="J118" i="23"/>
  <c r="T118" i="23" s="1"/>
  <c r="J119" i="23"/>
  <c r="T119" i="23" s="1"/>
  <c r="J120" i="23"/>
  <c r="T120" i="23" s="1"/>
  <c r="J121" i="23"/>
  <c r="T121" i="23" s="1"/>
  <c r="J122" i="23"/>
  <c r="T122" i="23" s="1"/>
  <c r="J123" i="23"/>
  <c r="T123" i="23" s="1"/>
  <c r="J124" i="23"/>
  <c r="T124" i="23" s="1"/>
  <c r="J125" i="23"/>
  <c r="T125" i="23" s="1"/>
  <c r="J126" i="23"/>
  <c r="T126" i="23" s="1"/>
  <c r="J127" i="23"/>
  <c r="T127" i="23" s="1"/>
  <c r="J128" i="23"/>
  <c r="T128" i="23" s="1"/>
  <c r="J129" i="23"/>
  <c r="T129" i="23" s="1"/>
  <c r="J130" i="23"/>
  <c r="T130" i="23" s="1"/>
  <c r="J131" i="23"/>
  <c r="T131" i="23" s="1"/>
  <c r="J132" i="23"/>
  <c r="T132" i="23" s="1"/>
  <c r="J133" i="23"/>
  <c r="T133" i="23" s="1"/>
  <c r="J134" i="23"/>
  <c r="T134" i="23" s="1"/>
  <c r="J135" i="23"/>
  <c r="T135" i="23" s="1"/>
  <c r="J137" i="23"/>
  <c r="T137" i="23" s="1"/>
  <c r="J138" i="23"/>
  <c r="T138" i="23" s="1"/>
  <c r="J139" i="23"/>
  <c r="T139" i="23" s="1"/>
  <c r="J141" i="23"/>
  <c r="T141" i="23" s="1"/>
  <c r="J142" i="23"/>
  <c r="T142" i="23" s="1"/>
  <c r="J143" i="23"/>
  <c r="J144" i="23"/>
  <c r="J145" i="23"/>
  <c r="T145" i="23" s="1"/>
  <c r="J146" i="23"/>
  <c r="J147" i="23"/>
  <c r="J148" i="23"/>
  <c r="J149" i="23"/>
  <c r="J150" i="23"/>
  <c r="J151" i="23"/>
  <c r="J152" i="23"/>
  <c r="J153" i="23"/>
  <c r="J154" i="23"/>
  <c r="J155" i="23"/>
  <c r="J156" i="23"/>
  <c r="J157" i="23"/>
  <c r="J158" i="23"/>
  <c r="J159" i="23"/>
  <c r="J160" i="23"/>
  <c r="J161" i="23"/>
  <c r="J162" i="23"/>
  <c r="J163" i="23"/>
  <c r="J164" i="23"/>
  <c r="J165" i="23"/>
  <c r="T165" i="23" s="1"/>
  <c r="J166" i="23"/>
  <c r="J167" i="23"/>
  <c r="J169" i="23"/>
  <c r="J170" i="23"/>
  <c r="J171" i="23"/>
  <c r="J172" i="23"/>
  <c r="J173" i="23"/>
  <c r="J174" i="23"/>
  <c r="J175" i="23"/>
  <c r="J176" i="23"/>
  <c r="J177" i="23"/>
  <c r="J178" i="23"/>
  <c r="J179" i="23"/>
  <c r="T179" i="23" s="1"/>
  <c r="J180" i="23"/>
  <c r="J181" i="23"/>
  <c r="J182" i="23"/>
  <c r="J183" i="23"/>
  <c r="T183" i="23" s="1"/>
  <c r="J184" i="23"/>
  <c r="J185" i="23"/>
  <c r="J186" i="23"/>
  <c r="J187" i="23"/>
  <c r="T187" i="23" s="1"/>
  <c r="J188" i="23"/>
  <c r="J189" i="23"/>
  <c r="J190" i="23"/>
  <c r="J191" i="23"/>
  <c r="J192" i="23"/>
  <c r="J193" i="23"/>
  <c r="J194" i="23"/>
  <c r="J195" i="23"/>
  <c r="T195" i="23" s="1"/>
  <c r="J196" i="23"/>
  <c r="J197" i="23"/>
  <c r="J198" i="23"/>
  <c r="J199" i="23"/>
  <c r="J200" i="23"/>
  <c r="J201" i="23"/>
  <c r="J202" i="23"/>
  <c r="J203" i="23"/>
  <c r="T203" i="23" s="1"/>
  <c r="J204" i="23"/>
  <c r="J205" i="23"/>
  <c r="J206" i="23"/>
  <c r="J207" i="23"/>
  <c r="J208" i="23"/>
  <c r="J209" i="23"/>
  <c r="J210" i="23"/>
  <c r="J211" i="23"/>
  <c r="T211" i="23" s="1"/>
  <c r="J212" i="23"/>
  <c r="J213" i="23"/>
  <c r="J214" i="23"/>
  <c r="J215" i="23"/>
  <c r="T215" i="23" s="1"/>
  <c r="J216" i="23"/>
  <c r="J217" i="23"/>
  <c r="J218" i="23"/>
  <c r="J219" i="23"/>
  <c r="T219" i="23" s="1"/>
  <c r="J220" i="23"/>
  <c r="J221" i="23"/>
  <c r="J222" i="23"/>
  <c r="J223" i="23"/>
  <c r="J224" i="23"/>
  <c r="J225" i="23"/>
  <c r="J226" i="23"/>
  <c r="J227" i="23"/>
  <c r="T227" i="23" s="1"/>
  <c r="J228" i="23"/>
  <c r="J229" i="23"/>
  <c r="J230" i="23"/>
  <c r="J231" i="23"/>
  <c r="J232" i="23"/>
  <c r="J233" i="23"/>
  <c r="J234" i="23"/>
  <c r="J235" i="23"/>
  <c r="T235" i="23" s="1"/>
  <c r="J236" i="23"/>
  <c r="J237" i="23"/>
  <c r="J238" i="23"/>
  <c r="J239" i="23"/>
  <c r="J240" i="23"/>
  <c r="J241" i="23"/>
  <c r="J242" i="23"/>
  <c r="J243" i="23"/>
  <c r="T243" i="23" s="1"/>
  <c r="J244" i="23"/>
  <c r="J245" i="23"/>
  <c r="J246" i="23"/>
  <c r="J247" i="23"/>
  <c r="J248" i="23"/>
  <c r="J249" i="23"/>
  <c r="J250" i="23"/>
  <c r="J251" i="23"/>
  <c r="T251" i="23" s="1"/>
  <c r="J252" i="23"/>
  <c r="J253" i="23"/>
  <c r="J254" i="23"/>
  <c r="J255" i="23"/>
  <c r="J256" i="23"/>
  <c r="J257" i="23"/>
  <c r="J258" i="23"/>
  <c r="J259" i="23"/>
  <c r="T259" i="23" s="1"/>
  <c r="J260" i="23"/>
  <c r="J261" i="23"/>
  <c r="J262" i="23"/>
  <c r="J263" i="23"/>
  <c r="J264" i="23"/>
  <c r="J265" i="23"/>
  <c r="J266" i="23"/>
  <c r="J267" i="23"/>
  <c r="T267" i="23" s="1"/>
  <c r="J268" i="23"/>
  <c r="J269" i="23"/>
  <c r="J270" i="23"/>
  <c r="J271" i="23"/>
  <c r="J272" i="23"/>
  <c r="J273" i="23"/>
  <c r="J274" i="23"/>
  <c r="J275" i="23"/>
  <c r="T275" i="23" s="1"/>
  <c r="J276" i="23"/>
  <c r="J277" i="23"/>
  <c r="J278" i="23"/>
  <c r="J279" i="23"/>
  <c r="J280" i="23"/>
  <c r="J281" i="23"/>
  <c r="J282" i="23"/>
  <c r="J283" i="23"/>
  <c r="T283" i="23" s="1"/>
  <c r="J284" i="23"/>
  <c r="J285" i="23"/>
  <c r="J286" i="23"/>
  <c r="J287" i="23"/>
  <c r="J288" i="23"/>
  <c r="J289" i="23"/>
  <c r="J290" i="23"/>
  <c r="J291" i="23"/>
  <c r="T291" i="23" s="1"/>
  <c r="J292" i="23"/>
  <c r="J293" i="23"/>
  <c r="J294" i="23"/>
  <c r="J295" i="23"/>
  <c r="J296" i="23"/>
  <c r="J297" i="23"/>
  <c r="J298" i="23"/>
  <c r="J299" i="23"/>
  <c r="T299" i="23" s="1"/>
  <c r="J300" i="23"/>
  <c r="J301" i="23"/>
  <c r="J302" i="23"/>
  <c r="J303" i="23"/>
  <c r="J304" i="23"/>
  <c r="J305" i="23"/>
  <c r="J306" i="23"/>
  <c r="J307" i="23"/>
  <c r="T307" i="23" s="1"/>
  <c r="J308" i="23"/>
  <c r="J309" i="23"/>
  <c r="J310" i="23"/>
  <c r="J311" i="23"/>
  <c r="H12" i="23"/>
  <c r="H13" i="23"/>
  <c r="H14" i="23"/>
  <c r="H15" i="23"/>
  <c r="H16" i="23"/>
  <c r="H17" i="23"/>
  <c r="H18" i="23"/>
  <c r="H19" i="23"/>
  <c r="H20" i="23"/>
  <c r="H21" i="23"/>
  <c r="H22" i="23"/>
  <c r="H23" i="23"/>
  <c r="H24" i="23"/>
  <c r="H25" i="23"/>
  <c r="H26" i="23"/>
  <c r="H27" i="23"/>
  <c r="H28" i="23"/>
  <c r="H29" i="23"/>
  <c r="H30" i="23"/>
  <c r="H31" i="23"/>
  <c r="H32" i="23"/>
  <c r="H33" i="23"/>
  <c r="H34" i="23"/>
  <c r="H35" i="23"/>
  <c r="H36" i="23"/>
  <c r="H38" i="23"/>
  <c r="H39" i="23"/>
  <c r="H41" i="23"/>
  <c r="H42" i="23"/>
  <c r="I12" i="23"/>
  <c r="I13" i="23"/>
  <c r="I14" i="23"/>
  <c r="I15" i="23"/>
  <c r="I16" i="23"/>
  <c r="I17" i="23"/>
  <c r="I18" i="23"/>
  <c r="I19" i="23"/>
  <c r="I20" i="23"/>
  <c r="I21" i="23"/>
  <c r="I22" i="23"/>
  <c r="I23" i="23"/>
  <c r="I24" i="23"/>
  <c r="I25" i="23"/>
  <c r="I26" i="23"/>
  <c r="I27" i="23"/>
  <c r="I28" i="23"/>
  <c r="I29" i="23"/>
  <c r="I30" i="23"/>
  <c r="I31" i="23"/>
  <c r="I32" i="23"/>
  <c r="I33" i="23"/>
  <c r="I34" i="23"/>
  <c r="I35" i="23"/>
  <c r="I36" i="23"/>
  <c r="I37" i="23"/>
  <c r="I38" i="23"/>
  <c r="I39" i="23"/>
  <c r="I40" i="23"/>
  <c r="I41" i="23"/>
  <c r="I42" i="23"/>
  <c r="O12" i="23"/>
  <c r="O13" i="23"/>
  <c r="O14" i="23"/>
  <c r="O15" i="23"/>
  <c r="O16" i="23"/>
  <c r="O17" i="23"/>
  <c r="O18" i="23"/>
  <c r="O19" i="23"/>
  <c r="O20" i="23"/>
  <c r="O21" i="23"/>
  <c r="O22" i="23"/>
  <c r="O23" i="23"/>
  <c r="O24" i="23"/>
  <c r="O25" i="23"/>
  <c r="O26" i="23"/>
  <c r="O27" i="23"/>
  <c r="O28" i="23"/>
  <c r="O29" i="23"/>
  <c r="O34" i="23"/>
  <c r="O37" i="23"/>
  <c r="O40" i="23"/>
  <c r="O41" i="23"/>
  <c r="O42" i="23"/>
  <c r="P12" i="23"/>
  <c r="P13" i="23"/>
  <c r="P14" i="23"/>
  <c r="P15" i="23"/>
  <c r="P16" i="23"/>
  <c r="P17" i="23"/>
  <c r="P18" i="23"/>
  <c r="P19" i="23"/>
  <c r="P20" i="23"/>
  <c r="P21" i="23"/>
  <c r="P22" i="23"/>
  <c r="P23" i="23"/>
  <c r="P24" i="23"/>
  <c r="P25" i="23"/>
  <c r="P26" i="23"/>
  <c r="P27" i="23"/>
  <c r="P28" i="23"/>
  <c r="P29" i="23"/>
  <c r="P34" i="23"/>
  <c r="P37" i="23"/>
  <c r="P40" i="23"/>
  <c r="P41" i="23"/>
  <c r="P42" i="23"/>
  <c r="Q12" i="23"/>
  <c r="Q13" i="23"/>
  <c r="Q14" i="23"/>
  <c r="Q15" i="23"/>
  <c r="Q16" i="23"/>
  <c r="Q17" i="23"/>
  <c r="Q18" i="23"/>
  <c r="Q19" i="23"/>
  <c r="Q20" i="23"/>
  <c r="Q21" i="23"/>
  <c r="Q22" i="23"/>
  <c r="Q23" i="23"/>
  <c r="Q24" i="23"/>
  <c r="Q25" i="23"/>
  <c r="Q26" i="23"/>
  <c r="Q27" i="23"/>
  <c r="Q28" i="23"/>
  <c r="Q29" i="23"/>
  <c r="Q40" i="23"/>
  <c r="Q41" i="23"/>
  <c r="Q42" i="23"/>
  <c r="DH18" i="20"/>
  <c r="DH19" i="20"/>
  <c r="DH20" i="20"/>
  <c r="DH21" i="20"/>
  <c r="DH22" i="20"/>
  <c r="DH27" i="20"/>
  <c r="DH29" i="20"/>
  <c r="DH30" i="20"/>
  <c r="DH32" i="20"/>
  <c r="L117" i="17"/>
  <c r="L118" i="17"/>
  <c r="L119" i="17"/>
  <c r="H117" i="17"/>
  <c r="I117" i="17"/>
  <c r="H118" i="17"/>
  <c r="I118" i="17"/>
  <c r="H119" i="17"/>
  <c r="T309" i="23" l="1"/>
  <c r="T301" i="23"/>
  <c r="T293" i="23"/>
  <c r="T285" i="23"/>
  <c r="T277" i="23"/>
  <c r="T269" i="23"/>
  <c r="T261" i="23"/>
  <c r="T253" i="23"/>
  <c r="T245" i="23"/>
  <c r="T237" i="23"/>
  <c r="T229" i="23"/>
  <c r="T221" i="23"/>
  <c r="T213" i="23"/>
  <c r="T205" i="23"/>
  <c r="T197" i="23"/>
  <c r="T189" i="23"/>
  <c r="T185" i="23"/>
  <c r="T181" i="23"/>
  <c r="T177" i="23"/>
  <c r="T100" i="23"/>
  <c r="T310" i="23"/>
  <c r="T302" i="23"/>
  <c r="T294" i="23"/>
  <c r="T286" i="23"/>
  <c r="T278" i="23"/>
  <c r="T270" i="23"/>
  <c r="T262" i="23"/>
  <c r="T254" i="23"/>
  <c r="T246" i="23"/>
  <c r="T238" i="23"/>
  <c r="T230" i="23"/>
  <c r="T222" i="23"/>
  <c r="T214" i="23"/>
  <c r="T206" i="23"/>
  <c r="T198" i="23"/>
  <c r="T190" i="23"/>
  <c r="T182" i="23"/>
  <c r="T101" i="23"/>
  <c r="T308" i="23"/>
  <c r="T304" i="23"/>
  <c r="T300" i="23"/>
  <c r="T296" i="23"/>
  <c r="T292" i="23"/>
  <c r="T288" i="23"/>
  <c r="T284" i="23"/>
  <c r="T280" i="23"/>
  <c r="T276" i="23"/>
  <c r="T272" i="23"/>
  <c r="T268" i="23"/>
  <c r="T264" i="23"/>
  <c r="T260" i="23"/>
  <c r="T256" i="23"/>
  <c r="T252" i="23"/>
  <c r="T248" i="23"/>
  <c r="T244" i="23"/>
  <c r="T240" i="23"/>
  <c r="T236" i="23"/>
  <c r="T232" i="23"/>
  <c r="T228" i="23"/>
  <c r="T224" i="23"/>
  <c r="T220" i="23"/>
  <c r="T216" i="23"/>
  <c r="T212" i="23"/>
  <c r="T208" i="23"/>
  <c r="T204" i="23"/>
  <c r="T200" i="23"/>
  <c r="T196" i="23"/>
  <c r="T192" i="23"/>
  <c r="T188" i="23"/>
  <c r="T184" i="23"/>
  <c r="T180" i="23"/>
  <c r="T305" i="23"/>
  <c r="T297" i="23"/>
  <c r="T289" i="23"/>
  <c r="T281" i="23"/>
  <c r="T273" i="23"/>
  <c r="T265" i="23"/>
  <c r="T257" i="23"/>
  <c r="T249" i="23"/>
  <c r="T241" i="23"/>
  <c r="T233" i="23"/>
  <c r="T225" i="23"/>
  <c r="T217" i="23"/>
  <c r="T209" i="23"/>
  <c r="T201" i="23"/>
  <c r="T193" i="23"/>
  <c r="T311" i="23"/>
  <c r="T303" i="23"/>
  <c r="T295" i="23"/>
  <c r="T287" i="23"/>
  <c r="T279" i="23"/>
  <c r="T271" i="23"/>
  <c r="T263" i="23"/>
  <c r="T255" i="23"/>
  <c r="T247" i="23"/>
  <c r="T239" i="23"/>
  <c r="T231" i="23"/>
  <c r="T223" i="23"/>
  <c r="T207" i="23"/>
  <c r="T199" i="23"/>
  <c r="T191" i="23"/>
  <c r="T306" i="23"/>
  <c r="T298" i="23"/>
  <c r="T290" i="23"/>
  <c r="T282" i="23"/>
  <c r="T274" i="23"/>
  <c r="T266" i="23"/>
  <c r="T258" i="23"/>
  <c r="T250" i="23"/>
  <c r="T242" i="23"/>
  <c r="T234" i="23"/>
  <c r="T226" i="23"/>
  <c r="T218" i="23"/>
  <c r="T210" i="23"/>
  <c r="T202" i="23"/>
  <c r="T194" i="23"/>
  <c r="T186" i="23"/>
  <c r="T178" i="23"/>
  <c r="T97" i="23"/>
  <c r="B97" i="17" l="1"/>
  <c r="B98" i="17"/>
  <c r="B99" i="17"/>
  <c r="B100" i="17"/>
  <c r="B101" i="17"/>
  <c r="B102" i="17"/>
  <c r="B103" i="17"/>
  <c r="B104" i="17"/>
  <c r="B105" i="17"/>
  <c r="B106" i="17"/>
  <c r="B107" i="17"/>
  <c r="B108" i="17"/>
  <c r="B109" i="17"/>
  <c r="B110" i="17"/>
  <c r="B111" i="17"/>
  <c r="B112" i="17"/>
  <c r="B113" i="17"/>
  <c r="B114" i="17"/>
  <c r="B115" i="17"/>
  <c r="B116" i="17"/>
  <c r="R98" i="17"/>
  <c r="S98" i="17"/>
  <c r="T98" i="17"/>
  <c r="R99" i="17"/>
  <c r="S99" i="17"/>
  <c r="T99" i="17"/>
  <c r="R100" i="17"/>
  <c r="S100" i="17"/>
  <c r="T100" i="17"/>
  <c r="R101" i="17"/>
  <c r="S101" i="17"/>
  <c r="T101" i="17"/>
  <c r="R102" i="17"/>
  <c r="S102" i="17"/>
  <c r="T102" i="17"/>
  <c r="R103" i="17"/>
  <c r="S103" i="17"/>
  <c r="T103" i="17"/>
  <c r="R104" i="17"/>
  <c r="S104" i="17"/>
  <c r="T104" i="17"/>
  <c r="R105" i="17"/>
  <c r="S105" i="17"/>
  <c r="T105" i="17"/>
  <c r="R106" i="17"/>
  <c r="S106" i="17"/>
  <c r="T106" i="17"/>
  <c r="R107" i="17"/>
  <c r="S107" i="17"/>
  <c r="T107" i="17"/>
  <c r="R108" i="17"/>
  <c r="S108" i="17"/>
  <c r="T108" i="17"/>
  <c r="R109" i="17"/>
  <c r="S109" i="17"/>
  <c r="T109" i="17"/>
  <c r="R110" i="17"/>
  <c r="S110" i="17"/>
  <c r="T110" i="17"/>
  <c r="R111" i="17"/>
  <c r="S111" i="17"/>
  <c r="T111" i="17"/>
  <c r="R112" i="17"/>
  <c r="S112" i="17"/>
  <c r="T112" i="17"/>
  <c r="R113" i="17"/>
  <c r="S113" i="17"/>
  <c r="T113" i="17"/>
  <c r="R114" i="17"/>
  <c r="S114" i="17"/>
  <c r="T114" i="17"/>
  <c r="R115" i="17"/>
  <c r="T115" i="17"/>
  <c r="H98" i="17"/>
  <c r="I98" i="17"/>
  <c r="H99" i="17"/>
  <c r="I99" i="17"/>
  <c r="H100" i="17"/>
  <c r="I100" i="17"/>
  <c r="H101" i="17"/>
  <c r="I101" i="17"/>
  <c r="H102" i="17"/>
  <c r="I102" i="17"/>
  <c r="H103" i="17"/>
  <c r="I103" i="17"/>
  <c r="H104" i="17"/>
  <c r="I104" i="17"/>
  <c r="H105" i="17"/>
  <c r="I105" i="17"/>
  <c r="H106" i="17"/>
  <c r="I106" i="17"/>
  <c r="H107" i="17"/>
  <c r="I107" i="17"/>
  <c r="H108" i="17"/>
  <c r="I108" i="17"/>
  <c r="H109" i="17"/>
  <c r="I109" i="17"/>
  <c r="H110" i="17"/>
  <c r="I110" i="17"/>
  <c r="H111" i="17"/>
  <c r="I111" i="17"/>
  <c r="H112" i="17"/>
  <c r="I112" i="17"/>
  <c r="H113" i="17"/>
  <c r="I113" i="17"/>
  <c r="H114" i="17"/>
  <c r="I114" i="17"/>
  <c r="H115" i="17"/>
  <c r="I115" i="17"/>
  <c r="H116" i="17"/>
  <c r="I116" i="17"/>
  <c r="L115" i="17"/>
  <c r="L116" i="17"/>
  <c r="L111" i="17"/>
  <c r="L112" i="17"/>
  <c r="L113" i="17"/>
  <c r="L114" i="17"/>
  <c r="L105" i="17"/>
  <c r="L106" i="17"/>
  <c r="L107" i="17"/>
  <c r="L108" i="17"/>
  <c r="L109" i="17"/>
  <c r="L110" i="17"/>
  <c r="L98" i="17"/>
  <c r="L99" i="17"/>
  <c r="L100" i="17"/>
  <c r="L101" i="17"/>
  <c r="L102" i="17"/>
  <c r="L103" i="17"/>
  <c r="L104" i="17"/>
  <c r="P9" i="23" l="1"/>
  <c r="Q9" i="23"/>
  <c r="P10" i="23"/>
  <c r="Q10" i="23"/>
  <c r="P11" i="23"/>
  <c r="Q11" i="23"/>
  <c r="H11" i="23"/>
  <c r="I11" i="23"/>
  <c r="O11" i="23"/>
  <c r="H10" i="23"/>
  <c r="I10" i="23"/>
  <c r="O10" i="23"/>
  <c r="H9" i="23"/>
  <c r="I9" i="23"/>
  <c r="O9" i="23"/>
  <c r="T81" i="17" l="1"/>
  <c r="T82" i="17"/>
  <c r="T83" i="17"/>
  <c r="T84" i="17"/>
  <c r="T85" i="17"/>
  <c r="T86" i="17"/>
  <c r="T87" i="17"/>
  <c r="T88" i="17"/>
  <c r="T89" i="17"/>
  <c r="T90" i="17"/>
  <c r="T91" i="17"/>
  <c r="T92" i="17"/>
  <c r="T93" i="17"/>
  <c r="T94" i="17"/>
  <c r="T95" i="17"/>
  <c r="T96" i="17"/>
  <c r="T97" i="17"/>
  <c r="S81" i="17"/>
  <c r="S82" i="17"/>
  <c r="S83" i="17"/>
  <c r="S84" i="17"/>
  <c r="S85" i="17"/>
  <c r="S86" i="17"/>
  <c r="S87" i="17"/>
  <c r="S88" i="17"/>
  <c r="S89" i="17"/>
  <c r="S90" i="17"/>
  <c r="S91" i="17"/>
  <c r="S92" i="17"/>
  <c r="S93" i="17"/>
  <c r="S94" i="17"/>
  <c r="S95" i="17"/>
  <c r="S96" i="17"/>
  <c r="S97" i="17"/>
  <c r="R83" i="17"/>
  <c r="R84" i="17"/>
  <c r="R85" i="17"/>
  <c r="R86" i="17"/>
  <c r="R87" i="17"/>
  <c r="R88" i="17"/>
  <c r="R89" i="17"/>
  <c r="R90" i="17"/>
  <c r="R91" i="17"/>
  <c r="R92" i="17"/>
  <c r="R93" i="17"/>
  <c r="R94" i="17"/>
  <c r="R95" i="17"/>
  <c r="R96" i="17"/>
  <c r="R97" i="17"/>
  <c r="L83" i="17"/>
  <c r="L84" i="17"/>
  <c r="L85" i="17"/>
  <c r="L86" i="17"/>
  <c r="L87" i="17"/>
  <c r="L88" i="17"/>
  <c r="L89" i="17"/>
  <c r="L90" i="17"/>
  <c r="L91" i="17"/>
  <c r="L92" i="17"/>
  <c r="L93" i="17"/>
  <c r="L94" i="17"/>
  <c r="L95" i="17"/>
  <c r="L96" i="17"/>
  <c r="L97" i="17"/>
  <c r="I83" i="17"/>
  <c r="I84" i="17"/>
  <c r="I85" i="17"/>
  <c r="I86" i="17"/>
  <c r="I87" i="17"/>
  <c r="I88" i="17"/>
  <c r="I89" i="17"/>
  <c r="I90" i="17"/>
  <c r="I91" i="17"/>
  <c r="I92" i="17"/>
  <c r="I93" i="17"/>
  <c r="I94" i="17"/>
  <c r="I95" i="17"/>
  <c r="I96" i="17"/>
  <c r="I97" i="17"/>
  <c r="H83" i="17"/>
  <c r="H84" i="17"/>
  <c r="H85" i="17"/>
  <c r="H86" i="17"/>
  <c r="H87" i="17"/>
  <c r="H88" i="17"/>
  <c r="H89" i="17"/>
  <c r="H90" i="17"/>
  <c r="H91" i="17"/>
  <c r="H92" i="17"/>
  <c r="H93" i="17"/>
  <c r="H94" i="17"/>
  <c r="H95" i="17"/>
  <c r="H96" i="17"/>
  <c r="H97" i="17"/>
  <c r="B59" i="17"/>
  <c r="B60" i="17"/>
  <c r="B61" i="17"/>
  <c r="B62" i="17"/>
  <c r="B63" i="17"/>
  <c r="B64" i="17"/>
  <c r="B65" i="17"/>
  <c r="B66" i="17"/>
  <c r="B67" i="17"/>
  <c r="B68" i="17"/>
  <c r="B69" i="17"/>
  <c r="B70" i="17"/>
  <c r="B71" i="17"/>
  <c r="B72" i="17"/>
  <c r="B73" i="17"/>
  <c r="B74" i="17"/>
  <c r="B75" i="17"/>
  <c r="B76" i="17"/>
  <c r="B77" i="17"/>
  <c r="B78" i="17"/>
  <c r="B79" i="17"/>
  <c r="B80" i="17"/>
  <c r="B81" i="17"/>
  <c r="B82" i="17"/>
  <c r="B83" i="17"/>
  <c r="B84" i="17"/>
  <c r="B85" i="17"/>
  <c r="B86" i="17"/>
  <c r="B87" i="17"/>
  <c r="B88" i="17"/>
  <c r="B89" i="17"/>
  <c r="B90" i="17"/>
  <c r="B91" i="17"/>
  <c r="B92" i="17"/>
  <c r="B93" i="17"/>
  <c r="B94" i="17"/>
  <c r="B95" i="17"/>
  <c r="B96" i="17"/>
  <c r="CI8" i="20" l="1"/>
  <c r="AQ2" i="27" l="1"/>
  <c r="AQ3" i="27" s="1"/>
  <c r="R59" i="17"/>
  <c r="S59" i="17"/>
  <c r="T59" i="17"/>
  <c r="R60" i="17"/>
  <c r="S60" i="17"/>
  <c r="T60" i="17"/>
  <c r="R61" i="17"/>
  <c r="S61" i="17"/>
  <c r="T61" i="17"/>
  <c r="R62" i="17"/>
  <c r="S62" i="17"/>
  <c r="T62" i="17"/>
  <c r="R63" i="17"/>
  <c r="S63" i="17"/>
  <c r="T63" i="17"/>
  <c r="R64" i="17"/>
  <c r="S64" i="17"/>
  <c r="T64" i="17"/>
  <c r="R65" i="17"/>
  <c r="S65" i="17"/>
  <c r="T65" i="17"/>
  <c r="R66" i="17"/>
  <c r="S66" i="17"/>
  <c r="T66" i="17"/>
  <c r="R67" i="17"/>
  <c r="S67" i="17"/>
  <c r="T67" i="17"/>
  <c r="R68" i="17"/>
  <c r="S68" i="17"/>
  <c r="T68" i="17"/>
  <c r="R69" i="17"/>
  <c r="S69" i="17"/>
  <c r="T69" i="17"/>
  <c r="R70" i="17"/>
  <c r="S70" i="17"/>
  <c r="T70" i="17"/>
  <c r="R71" i="17"/>
  <c r="S71" i="17"/>
  <c r="T71" i="17"/>
  <c r="R72" i="17"/>
  <c r="S72" i="17"/>
  <c r="T72" i="17"/>
  <c r="R73" i="17"/>
  <c r="S73" i="17"/>
  <c r="T73" i="17"/>
  <c r="R74" i="17"/>
  <c r="S74" i="17"/>
  <c r="T74" i="17"/>
  <c r="R75" i="17"/>
  <c r="S75" i="17"/>
  <c r="T75" i="17"/>
  <c r="R76" i="17"/>
  <c r="S76" i="17"/>
  <c r="T76" i="17"/>
  <c r="R77" i="17"/>
  <c r="S77" i="17"/>
  <c r="T77" i="17"/>
  <c r="R78" i="17"/>
  <c r="S78" i="17"/>
  <c r="T78" i="17"/>
  <c r="R79" i="17"/>
  <c r="S79" i="17"/>
  <c r="T79" i="17"/>
  <c r="R80" i="17"/>
  <c r="S80" i="17"/>
  <c r="T80" i="17"/>
  <c r="R81" i="17"/>
  <c r="R82"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H59" i="17"/>
  <c r="I59" i="17"/>
  <c r="H60" i="17"/>
  <c r="I60" i="17"/>
  <c r="H61" i="17"/>
  <c r="I61" i="17"/>
  <c r="H62" i="17"/>
  <c r="I62" i="17"/>
  <c r="H63" i="17"/>
  <c r="I63" i="17"/>
  <c r="H64" i="17"/>
  <c r="I64" i="17"/>
  <c r="H65" i="17"/>
  <c r="I65" i="17"/>
  <c r="H66" i="17"/>
  <c r="I66" i="17"/>
  <c r="H67" i="17"/>
  <c r="I67" i="17"/>
  <c r="H68" i="17"/>
  <c r="I68" i="17"/>
  <c r="H69" i="17"/>
  <c r="I69" i="17"/>
  <c r="H70" i="17"/>
  <c r="I70" i="17"/>
  <c r="H71" i="17"/>
  <c r="I71" i="17"/>
  <c r="H72" i="17"/>
  <c r="I72" i="17"/>
  <c r="H73" i="17"/>
  <c r="I73" i="17"/>
  <c r="H74" i="17"/>
  <c r="I74" i="17"/>
  <c r="H75" i="17"/>
  <c r="I75" i="17"/>
  <c r="H76" i="17"/>
  <c r="I76" i="17"/>
  <c r="H77" i="17"/>
  <c r="I77" i="17"/>
  <c r="H78" i="17"/>
  <c r="I78" i="17"/>
  <c r="H79" i="17"/>
  <c r="I79" i="17"/>
  <c r="H80" i="17"/>
  <c r="I80" i="17"/>
  <c r="H81" i="17"/>
  <c r="I81" i="17"/>
  <c r="H82" i="17"/>
  <c r="I82" i="17"/>
  <c r="BF5" i="20"/>
  <c r="BF6" i="20"/>
  <c r="BF7" i="20"/>
  <c r="BF8" i="20"/>
  <c r="BF9" i="20"/>
  <c r="BF10" i="20"/>
  <c r="BF11" i="20"/>
  <c r="BF12" i="20"/>
  <c r="BF13" i="20"/>
  <c r="BF14" i="20"/>
  <c r="BF15" i="20"/>
  <c r="BF16" i="20"/>
  <c r="BF17" i="20"/>
  <c r="BF18" i="20"/>
  <c r="BF19" i="20"/>
  <c r="BF20" i="20"/>
  <c r="BF21" i="20"/>
  <c r="BF22" i="20"/>
  <c r="BF23" i="20"/>
  <c r="BF24" i="20"/>
  <c r="BF25" i="20"/>
  <c r="BF26" i="20"/>
  <c r="BF27" i="20"/>
  <c r="BF28" i="20"/>
  <c r="BF29" i="20"/>
  <c r="BF31" i="20"/>
  <c r="BF32" i="20"/>
  <c r="BF33" i="20"/>
  <c r="BF34" i="20"/>
  <c r="BF35" i="20"/>
  <c r="BF36" i="20"/>
  <c r="BF37" i="20"/>
  <c r="BF38" i="20"/>
  <c r="BF39" i="20"/>
  <c r="BF40" i="20"/>
  <c r="BF41" i="20"/>
  <c r="BF42" i="20"/>
  <c r="BF43" i="20"/>
  <c r="BF44" i="20"/>
  <c r="BF45" i="20"/>
  <c r="BF46" i="20"/>
  <c r="BF47" i="20"/>
  <c r="BF48" i="20"/>
  <c r="BF49" i="20"/>
  <c r="BF50" i="20"/>
  <c r="BF51" i="20"/>
  <c r="BF52" i="20"/>
  <c r="BF53" i="20"/>
  <c r="BF54" i="20"/>
  <c r="BF55" i="20"/>
  <c r="BF56" i="20"/>
  <c r="BF57" i="20"/>
  <c r="BF58" i="20"/>
  <c r="BF59" i="20"/>
  <c r="BF60" i="20"/>
  <c r="BF61" i="20"/>
  <c r="BF62" i="20"/>
  <c r="BF63" i="20"/>
  <c r="BF64" i="20"/>
  <c r="BF65" i="20"/>
  <c r="BF66" i="20"/>
  <c r="BF67" i="20"/>
  <c r="BF68" i="20"/>
  <c r="BF69" i="20"/>
  <c r="BF70" i="20"/>
  <c r="BF71" i="20"/>
  <c r="BF72" i="20"/>
  <c r="BF73" i="20"/>
  <c r="BF74" i="20"/>
  <c r="BF75" i="20"/>
  <c r="BF76" i="20"/>
  <c r="BF77" i="20"/>
  <c r="BF78" i="20"/>
  <c r="BF79" i="20"/>
  <c r="BF80" i="20"/>
  <c r="BF81" i="20"/>
  <c r="BF82" i="20"/>
  <c r="BF83" i="20"/>
  <c r="BF84" i="20"/>
  <c r="BF85" i="20"/>
  <c r="BF86" i="20"/>
  <c r="BF87" i="20"/>
  <c r="BF88" i="20"/>
  <c r="BF89" i="20"/>
  <c r="BF90" i="20"/>
  <c r="BF91" i="20"/>
  <c r="BF92" i="20"/>
  <c r="BF93" i="20"/>
  <c r="BF94" i="20"/>
  <c r="BF95" i="20"/>
  <c r="BF96" i="20"/>
  <c r="BF97" i="20"/>
  <c r="BF98" i="20"/>
  <c r="BF99" i="20"/>
  <c r="BF100" i="20"/>
  <c r="BF101" i="20"/>
  <c r="BF102" i="20"/>
  <c r="BF103" i="20"/>
  <c r="BF104" i="20"/>
  <c r="BF105" i="20"/>
  <c r="BF106" i="20"/>
  <c r="BF107" i="20"/>
  <c r="BF108" i="20"/>
  <c r="BF109" i="20"/>
  <c r="BF110" i="20"/>
  <c r="BF111" i="20"/>
  <c r="BF112" i="20"/>
  <c r="BF113" i="20"/>
  <c r="BF114" i="20"/>
  <c r="BF115" i="20"/>
  <c r="BF116" i="20"/>
  <c r="BF117" i="20"/>
  <c r="BF118" i="20"/>
  <c r="BF119" i="20"/>
  <c r="BF120" i="20"/>
  <c r="BF121" i="20"/>
  <c r="BF122" i="20"/>
  <c r="BF123" i="20"/>
  <c r="BF124" i="20"/>
  <c r="BF125" i="20"/>
  <c r="BF126" i="20"/>
  <c r="BF127" i="20"/>
  <c r="BF128" i="20"/>
  <c r="BF129" i="20"/>
  <c r="BF130" i="20"/>
  <c r="BF131" i="20"/>
  <c r="BF132" i="20"/>
  <c r="BF133" i="20"/>
  <c r="BF134" i="20"/>
  <c r="BF135" i="20"/>
  <c r="BF136" i="20"/>
  <c r="BF137" i="20"/>
  <c r="BF138" i="20"/>
  <c r="BF139" i="20"/>
  <c r="BF140" i="20"/>
  <c r="BF141" i="20"/>
  <c r="BF142" i="20"/>
  <c r="BF143" i="20"/>
  <c r="BF144" i="20"/>
  <c r="BF145" i="20"/>
  <c r="BF146" i="20"/>
  <c r="BF147" i="20"/>
  <c r="BF148" i="20"/>
  <c r="BF149" i="20"/>
  <c r="BF150" i="20"/>
  <c r="BF151" i="20"/>
  <c r="BF152" i="20"/>
  <c r="BF153" i="20"/>
  <c r="BF154" i="20"/>
  <c r="BF155" i="20"/>
  <c r="BF156" i="20"/>
  <c r="BF157" i="20"/>
  <c r="BD5" i="20"/>
  <c r="BD6" i="20"/>
  <c r="BD7" i="20"/>
  <c r="BD8" i="20"/>
  <c r="BD9" i="20"/>
  <c r="BD10" i="20"/>
  <c r="BD11" i="20"/>
  <c r="BD12" i="20"/>
  <c r="BD13" i="20"/>
  <c r="BD14" i="20"/>
  <c r="BD15" i="20"/>
  <c r="BD16" i="20"/>
  <c r="BD17" i="20"/>
  <c r="BD18" i="20"/>
  <c r="BD19" i="20"/>
  <c r="BD20" i="20"/>
  <c r="BD21" i="20"/>
  <c r="BD22" i="20"/>
  <c r="BD23" i="20"/>
  <c r="BD24" i="20"/>
  <c r="BD25" i="20"/>
  <c r="BD26" i="20"/>
  <c r="BD27" i="20"/>
  <c r="BD28" i="20"/>
  <c r="BD29" i="20"/>
  <c r="BD31" i="20"/>
  <c r="BD32" i="20"/>
  <c r="BD33" i="20"/>
  <c r="BD34" i="20"/>
  <c r="BD35" i="20"/>
  <c r="BD36" i="20"/>
  <c r="BD37" i="20"/>
  <c r="BD38" i="20"/>
  <c r="BD39" i="20"/>
  <c r="BD40" i="20"/>
  <c r="BD41" i="20"/>
  <c r="BD42" i="20"/>
  <c r="BD43" i="20"/>
  <c r="BD44" i="20"/>
  <c r="BD45" i="20"/>
  <c r="BD46" i="20"/>
  <c r="BD47" i="20"/>
  <c r="BD48" i="20"/>
  <c r="BD49" i="20"/>
  <c r="BD50" i="20"/>
  <c r="BD51" i="20"/>
  <c r="BD52" i="20"/>
  <c r="BD53" i="20"/>
  <c r="BD54" i="20"/>
  <c r="BD55" i="20"/>
  <c r="BD56" i="20"/>
  <c r="BD57" i="20"/>
  <c r="BD58" i="20"/>
  <c r="BD59" i="20"/>
  <c r="BD60" i="20"/>
  <c r="BD61" i="20"/>
  <c r="BD62" i="20"/>
  <c r="BD63" i="20"/>
  <c r="BD64" i="20"/>
  <c r="BD65" i="20"/>
  <c r="BD66" i="20"/>
  <c r="BD67" i="20"/>
  <c r="BD68" i="20"/>
  <c r="BD69" i="20"/>
  <c r="BD70" i="20"/>
  <c r="BD71" i="20"/>
  <c r="BD72" i="20"/>
  <c r="BD73" i="20"/>
  <c r="BD74" i="20"/>
  <c r="BD75" i="20"/>
  <c r="BD76" i="20"/>
  <c r="BD77" i="20"/>
  <c r="BD78" i="20"/>
  <c r="BD79" i="20"/>
  <c r="BD80" i="20"/>
  <c r="BD81" i="20"/>
  <c r="BD82" i="20"/>
  <c r="BD83" i="20"/>
  <c r="BD84" i="20"/>
  <c r="BD85" i="20"/>
  <c r="BD86" i="20"/>
  <c r="BD87" i="20"/>
  <c r="BD88" i="20"/>
  <c r="BD89" i="20"/>
  <c r="BD90" i="20"/>
  <c r="BD91" i="20"/>
  <c r="BD92" i="20"/>
  <c r="BD93" i="20"/>
  <c r="BD94" i="20"/>
  <c r="BD95" i="20"/>
  <c r="BD96" i="20"/>
  <c r="BD97" i="20"/>
  <c r="BD98" i="20"/>
  <c r="BD99" i="20"/>
  <c r="BD100" i="20"/>
  <c r="BD101" i="20"/>
  <c r="BD102" i="20"/>
  <c r="BD103" i="20"/>
  <c r="BD104" i="20"/>
  <c r="BD105" i="20"/>
  <c r="BD106" i="20"/>
  <c r="BD107" i="20"/>
  <c r="BD108" i="20"/>
  <c r="BD109" i="20"/>
  <c r="BD110" i="20"/>
  <c r="BD111" i="20"/>
  <c r="BD112" i="20"/>
  <c r="BD113" i="20"/>
  <c r="BD114" i="20"/>
  <c r="BD115" i="20"/>
  <c r="BD116" i="20"/>
  <c r="BD117" i="20"/>
  <c r="BD118" i="20"/>
  <c r="BD119" i="20"/>
  <c r="BD120" i="20"/>
  <c r="BD121" i="20"/>
  <c r="BD122" i="20"/>
  <c r="BD123" i="20"/>
  <c r="BD124" i="20"/>
  <c r="BD125" i="20"/>
  <c r="BD126" i="20"/>
  <c r="BD127" i="20"/>
  <c r="BD128" i="20"/>
  <c r="BD129" i="20"/>
  <c r="BD130" i="20"/>
  <c r="BD131" i="20"/>
  <c r="BD132" i="20"/>
  <c r="BD133" i="20"/>
  <c r="BD134" i="20"/>
  <c r="BD135" i="20"/>
  <c r="BD136" i="20"/>
  <c r="BD137" i="20"/>
  <c r="BD138" i="20"/>
  <c r="BD139" i="20"/>
  <c r="BD140" i="20"/>
  <c r="BD141" i="20"/>
  <c r="BD142" i="20"/>
  <c r="BD143" i="20"/>
  <c r="BD144" i="20"/>
  <c r="BD145" i="20"/>
  <c r="BD146" i="20"/>
  <c r="BD147" i="20"/>
  <c r="BD148" i="20"/>
  <c r="BD149" i="20"/>
  <c r="BD150" i="20"/>
  <c r="BD151" i="20"/>
  <c r="BD152" i="20"/>
  <c r="BD153" i="20"/>
  <c r="BD154" i="20"/>
  <c r="BD155" i="20"/>
  <c r="BD156" i="20"/>
  <c r="BD157" i="20"/>
  <c r="W56" i="17" l="1"/>
  <c r="R53" i="17"/>
  <c r="S53" i="17"/>
  <c r="T53" i="17"/>
  <c r="R54" i="17"/>
  <c r="S54" i="17"/>
  <c r="T54" i="17"/>
  <c r="R55" i="17"/>
  <c r="S55" i="17"/>
  <c r="T55" i="17"/>
  <c r="R56" i="17"/>
  <c r="S56" i="17"/>
  <c r="T56" i="17"/>
  <c r="R57" i="17"/>
  <c r="S57" i="17"/>
  <c r="T57" i="17"/>
  <c r="R58" i="17"/>
  <c r="S58" i="17"/>
  <c r="T58" i="17"/>
  <c r="H53" i="17"/>
  <c r="I53" i="17"/>
  <c r="H54" i="17"/>
  <c r="I54" i="17"/>
  <c r="H55" i="17"/>
  <c r="I55" i="17"/>
  <c r="H56" i="17"/>
  <c r="I56" i="17"/>
  <c r="H57" i="17"/>
  <c r="I57" i="17"/>
  <c r="H58" i="17"/>
  <c r="I58" i="17"/>
  <c r="B47" i="17"/>
  <c r="B48" i="17"/>
  <c r="B49" i="17"/>
  <c r="B50" i="17"/>
  <c r="B51" i="17"/>
  <c r="B52" i="17"/>
  <c r="B53" i="17"/>
  <c r="B54" i="17"/>
  <c r="B55" i="17"/>
  <c r="B56" i="17"/>
  <c r="B57" i="17"/>
  <c r="B58" i="17"/>
  <c r="L53" i="17"/>
  <c r="L54" i="17"/>
  <c r="L55" i="17"/>
  <c r="L56" i="17"/>
  <c r="L57" i="17"/>
  <c r="R48" i="17"/>
  <c r="S48" i="17"/>
  <c r="T48" i="17"/>
  <c r="R49" i="17"/>
  <c r="S49" i="17"/>
  <c r="T49" i="17"/>
  <c r="R50" i="17"/>
  <c r="S50" i="17"/>
  <c r="T50" i="17"/>
  <c r="R51" i="17"/>
  <c r="S51" i="17"/>
  <c r="T51" i="17"/>
  <c r="R52" i="17"/>
  <c r="S52" i="17"/>
  <c r="T52" i="17"/>
  <c r="L48" i="17"/>
  <c r="L49" i="17"/>
  <c r="L50" i="17"/>
  <c r="L51" i="17"/>
  <c r="L52" i="17"/>
  <c r="H48" i="17"/>
  <c r="I48" i="17"/>
  <c r="H49" i="17"/>
  <c r="I49" i="17"/>
  <c r="H50" i="17"/>
  <c r="I50" i="17"/>
  <c r="H51" i="17"/>
  <c r="I51" i="17"/>
  <c r="H52" i="17"/>
  <c r="I52" i="17"/>
  <c r="H7" i="23" l="1"/>
  <c r="H8" i="23"/>
  <c r="I7" i="23"/>
  <c r="I8" i="23"/>
  <c r="O7" i="23"/>
  <c r="O8" i="23"/>
  <c r="P7" i="23"/>
  <c r="P8" i="23"/>
  <c r="Q7" i="23"/>
  <c r="Q8" i="23"/>
  <c r="H6" i="23"/>
  <c r="I6" i="23"/>
  <c r="O6" i="23"/>
  <c r="P6" i="23"/>
  <c r="Q6" i="23"/>
  <c r="R30" i="17"/>
  <c r="S30" i="17"/>
  <c r="T30" i="17"/>
  <c r="R31" i="17"/>
  <c r="S31" i="17"/>
  <c r="T31" i="17"/>
  <c r="R32" i="17"/>
  <c r="S32" i="17"/>
  <c r="T32" i="17"/>
  <c r="R33" i="17"/>
  <c r="S33" i="17"/>
  <c r="T33" i="17"/>
  <c r="R34" i="17"/>
  <c r="S34" i="17"/>
  <c r="T34" i="17"/>
  <c r="R35" i="17"/>
  <c r="S35" i="17"/>
  <c r="T35" i="17"/>
  <c r="R36" i="17"/>
  <c r="S36" i="17"/>
  <c r="T36" i="17"/>
  <c r="R37" i="17"/>
  <c r="S37" i="17"/>
  <c r="T37" i="17"/>
  <c r="R38" i="17"/>
  <c r="S38" i="17"/>
  <c r="T38" i="17"/>
  <c r="R39" i="17"/>
  <c r="S39" i="17"/>
  <c r="T39" i="17"/>
  <c r="R40" i="17"/>
  <c r="S40" i="17"/>
  <c r="T40" i="17"/>
  <c r="R41" i="17"/>
  <c r="S41" i="17"/>
  <c r="T41" i="17"/>
  <c r="R42" i="17"/>
  <c r="S42" i="17"/>
  <c r="T42" i="17"/>
  <c r="R43" i="17"/>
  <c r="S43" i="17"/>
  <c r="T43" i="17"/>
  <c r="R44" i="17"/>
  <c r="S44" i="17"/>
  <c r="T44" i="17"/>
  <c r="R45" i="17"/>
  <c r="S45" i="17"/>
  <c r="T45" i="17"/>
  <c r="R46" i="17"/>
  <c r="S46" i="17"/>
  <c r="T46" i="17"/>
  <c r="R47" i="17"/>
  <c r="S47" i="17"/>
  <c r="T47" i="17"/>
  <c r="L30" i="17"/>
  <c r="L31" i="17"/>
  <c r="L32" i="17"/>
  <c r="L33" i="17"/>
  <c r="L34" i="17"/>
  <c r="L35" i="17"/>
  <c r="L36" i="17"/>
  <c r="L37" i="17"/>
  <c r="L38" i="17"/>
  <c r="L39" i="17"/>
  <c r="L40" i="17"/>
  <c r="L41" i="17"/>
  <c r="L42" i="17"/>
  <c r="L43" i="17"/>
  <c r="L44" i="17"/>
  <c r="L45" i="17"/>
  <c r="L46" i="17"/>
  <c r="L47" i="17"/>
  <c r="H30" i="17"/>
  <c r="I30" i="17"/>
  <c r="H31" i="17"/>
  <c r="I31" i="17"/>
  <c r="H32" i="17"/>
  <c r="I32" i="17"/>
  <c r="H33" i="17"/>
  <c r="I33" i="17"/>
  <c r="H34" i="17"/>
  <c r="I34" i="17"/>
  <c r="H35" i="17"/>
  <c r="I35" i="17"/>
  <c r="H36" i="17"/>
  <c r="I36" i="17"/>
  <c r="H37" i="17"/>
  <c r="I37" i="17"/>
  <c r="H38" i="17"/>
  <c r="I38" i="17"/>
  <c r="H39" i="17"/>
  <c r="I39" i="17"/>
  <c r="H40" i="17"/>
  <c r="I40" i="17"/>
  <c r="H41" i="17"/>
  <c r="I41" i="17"/>
  <c r="H42" i="17"/>
  <c r="I42" i="17"/>
  <c r="H43" i="17"/>
  <c r="I43" i="17"/>
  <c r="H44" i="17"/>
  <c r="I44" i="17"/>
  <c r="H45" i="17"/>
  <c r="I45" i="17"/>
  <c r="H46" i="17"/>
  <c r="I46" i="17"/>
  <c r="H47" i="17"/>
  <c r="I47" i="17"/>
  <c r="B17" i="17"/>
  <c r="B18" i="17"/>
  <c r="B19" i="17"/>
  <c r="B20" i="17"/>
  <c r="B21" i="17"/>
  <c r="B22" i="17"/>
  <c r="B23" i="17"/>
  <c r="B24" i="17"/>
  <c r="B25" i="17"/>
  <c r="B26" i="17"/>
  <c r="B27" i="17"/>
  <c r="B28" i="17"/>
  <c r="B29" i="17"/>
  <c r="B30" i="17"/>
  <c r="B31" i="17"/>
  <c r="B32" i="17"/>
  <c r="B33" i="17"/>
  <c r="B34" i="17"/>
  <c r="B35" i="17"/>
  <c r="B36" i="17"/>
  <c r="B37" i="17"/>
  <c r="B38" i="17"/>
  <c r="B39" i="17"/>
  <c r="B40" i="17"/>
  <c r="B41" i="17"/>
  <c r="B42" i="17"/>
  <c r="B43" i="17"/>
  <c r="B44" i="17"/>
  <c r="B45" i="17"/>
  <c r="B46" i="17"/>
  <c r="CH10" i="20"/>
  <c r="CH11" i="20"/>
  <c r="CH12" i="20"/>
  <c r="CH13" i="20"/>
  <c r="CH14" i="20"/>
  <c r="CH15" i="20"/>
  <c r="CH16" i="20"/>
  <c r="CH17" i="20"/>
  <c r="CH18" i="20"/>
  <c r="CH19" i="20"/>
  <c r="CH20" i="20"/>
  <c r="CH21" i="20"/>
  <c r="T23" i="17" l="1"/>
  <c r="T24" i="17"/>
  <c r="T25" i="17"/>
  <c r="T26" i="17"/>
  <c r="T27" i="17"/>
  <c r="T28" i="17"/>
  <c r="T29" i="17"/>
  <c r="S24" i="17"/>
  <c r="S25" i="17"/>
  <c r="S26" i="17"/>
  <c r="S27" i="17"/>
  <c r="S28" i="17"/>
  <c r="S29" i="17"/>
  <c r="R25" i="17"/>
  <c r="R26" i="17"/>
  <c r="R27" i="17"/>
  <c r="R28" i="17"/>
  <c r="R29" i="17"/>
  <c r="S22" i="17"/>
  <c r="S23" i="17"/>
  <c r="R22" i="17"/>
  <c r="R23" i="17"/>
  <c r="R24" i="17"/>
  <c r="L25" i="17"/>
  <c r="L26" i="17"/>
  <c r="L27" i="17"/>
  <c r="L28" i="17"/>
  <c r="L29" i="17"/>
  <c r="I24" i="17"/>
  <c r="I25" i="17"/>
  <c r="I26" i="17"/>
  <c r="I27" i="17"/>
  <c r="I28" i="17"/>
  <c r="I29" i="17"/>
  <c r="H25" i="17"/>
  <c r="H26" i="17"/>
  <c r="H27" i="17"/>
  <c r="H28" i="17"/>
  <c r="H29" i="17"/>
  <c r="CH8" i="20" l="1"/>
  <c r="CH9" i="20"/>
  <c r="T15" i="17" l="1"/>
  <c r="T16" i="17"/>
  <c r="T17" i="17"/>
  <c r="T18" i="17"/>
  <c r="T19" i="17"/>
  <c r="T20" i="17"/>
  <c r="T21" i="17"/>
  <c r="T22" i="17"/>
  <c r="S14" i="17"/>
  <c r="S15" i="17"/>
  <c r="S16" i="17"/>
  <c r="S17" i="17"/>
  <c r="S18" i="17"/>
  <c r="S19" i="17"/>
  <c r="S20" i="17"/>
  <c r="S21" i="17"/>
  <c r="R16" i="17"/>
  <c r="R17" i="17"/>
  <c r="R18" i="17"/>
  <c r="R19" i="17"/>
  <c r="R20" i="17"/>
  <c r="R21" i="17"/>
  <c r="L16" i="17"/>
  <c r="L17" i="17"/>
  <c r="L18" i="17"/>
  <c r="L19" i="17"/>
  <c r="L20" i="17"/>
  <c r="L21" i="17"/>
  <c r="L22" i="17"/>
  <c r="L23" i="17"/>
  <c r="L24" i="17"/>
  <c r="I16" i="17"/>
  <c r="I17" i="17"/>
  <c r="I18" i="17"/>
  <c r="I19" i="17"/>
  <c r="I20" i="17"/>
  <c r="I21" i="17"/>
  <c r="I22" i="17"/>
  <c r="I23" i="17"/>
  <c r="H16" i="17"/>
  <c r="H17" i="17"/>
  <c r="H18" i="17"/>
  <c r="H19" i="17"/>
  <c r="H20" i="17"/>
  <c r="H21" i="17"/>
  <c r="H22" i="17"/>
  <c r="H23" i="17"/>
  <c r="H24" i="17"/>
  <c r="CU5" i="20" l="1"/>
  <c r="CU6" i="20"/>
  <c r="CU7" i="20"/>
  <c r="CU8" i="20"/>
  <c r="CU9" i="20"/>
  <c r="CU10" i="20"/>
  <c r="CU11" i="20"/>
  <c r="CU12" i="20"/>
  <c r="CU13" i="20"/>
  <c r="CU14" i="20"/>
  <c r="CU15" i="20"/>
  <c r="CU16" i="20"/>
  <c r="CU17" i="20"/>
  <c r="CU18" i="20"/>
  <c r="CU19" i="20"/>
  <c r="CU20" i="20"/>
  <c r="CU21" i="20"/>
  <c r="CH7" i="20"/>
  <c r="H5" i="23"/>
  <c r="I5" i="23"/>
  <c r="O5" i="23"/>
  <c r="P5" i="23"/>
  <c r="Q5" i="23"/>
  <c r="R2" i="17"/>
  <c r="S2" i="17"/>
  <c r="T2" i="17"/>
  <c r="R3" i="17"/>
  <c r="S3" i="17"/>
  <c r="T3" i="17"/>
  <c r="R4" i="17"/>
  <c r="S4" i="17"/>
  <c r="T4" i="17"/>
  <c r="R5" i="17"/>
  <c r="S5" i="17"/>
  <c r="T5" i="17"/>
  <c r="R6" i="17"/>
  <c r="S6" i="17"/>
  <c r="T6" i="17"/>
  <c r="R7" i="17"/>
  <c r="S7" i="17"/>
  <c r="T7" i="17"/>
  <c r="R8" i="17"/>
  <c r="S8" i="17"/>
  <c r="T8" i="17"/>
  <c r="R9" i="17"/>
  <c r="S9" i="17"/>
  <c r="T9" i="17"/>
  <c r="R10" i="17"/>
  <c r="S10" i="17"/>
  <c r="T10" i="17"/>
  <c r="R11" i="17"/>
  <c r="S11" i="17"/>
  <c r="T11" i="17"/>
  <c r="R12" i="17"/>
  <c r="S12" i="17"/>
  <c r="T12" i="17"/>
  <c r="R13" i="17"/>
  <c r="S13" i="17"/>
  <c r="T13" i="17"/>
  <c r="R14" i="17"/>
  <c r="T14" i="17"/>
  <c r="R15" i="17"/>
  <c r="B2" i="17"/>
  <c r="B3" i="17"/>
  <c r="B4" i="17"/>
  <c r="B5" i="17"/>
  <c r="B6" i="17"/>
  <c r="B7" i="17"/>
  <c r="B8" i="17"/>
  <c r="B9" i="17"/>
  <c r="B10" i="17"/>
  <c r="B11" i="17"/>
  <c r="B12" i="17"/>
  <c r="B13" i="17"/>
  <c r="B14" i="17"/>
  <c r="B15" i="17"/>
  <c r="B16" i="17"/>
  <c r="H2" i="17"/>
  <c r="I2" i="17"/>
  <c r="L2" i="17"/>
  <c r="H3" i="17"/>
  <c r="I3" i="17"/>
  <c r="L3" i="17"/>
  <c r="H4" i="17"/>
  <c r="I4" i="17"/>
  <c r="L4" i="17"/>
  <c r="H5" i="17"/>
  <c r="I5" i="17"/>
  <c r="L5" i="17"/>
  <c r="H6" i="17"/>
  <c r="I6" i="17"/>
  <c r="L6" i="17"/>
  <c r="H7" i="17"/>
  <c r="I7" i="17"/>
  <c r="L7" i="17"/>
  <c r="W7" i="17"/>
  <c r="H8" i="17"/>
  <c r="I8" i="17"/>
  <c r="L8" i="17"/>
  <c r="H9" i="17"/>
  <c r="I9" i="17"/>
  <c r="L9" i="17"/>
  <c r="H10" i="17"/>
  <c r="I10" i="17"/>
  <c r="L10" i="17"/>
  <c r="H11" i="17"/>
  <c r="I11" i="17"/>
  <c r="L11" i="17"/>
  <c r="H12" i="17"/>
  <c r="I12" i="17"/>
  <c r="L12" i="17"/>
  <c r="H13" i="17"/>
  <c r="I13" i="17"/>
  <c r="L13" i="17"/>
  <c r="H14" i="17"/>
  <c r="I14" i="17"/>
  <c r="L14" i="17"/>
  <c r="H15" i="17"/>
  <c r="I15" i="17"/>
  <c r="L15" i="17"/>
  <c r="CT5" i="20"/>
  <c r="CT6" i="20"/>
  <c r="CT7" i="20"/>
  <c r="CT8" i="20"/>
  <c r="AC29" i="27" l="1"/>
  <c r="AC30" i="27"/>
  <c r="AC31" i="27"/>
  <c r="AC32" i="27"/>
  <c r="AC33" i="27"/>
  <c r="AC34" i="27"/>
  <c r="AC35" i="27"/>
  <c r="AC36" i="27"/>
  <c r="AC37" i="27"/>
  <c r="AC38" i="27"/>
  <c r="AC39" i="27"/>
  <c r="AC28" i="27"/>
  <c r="AD30" i="27" s="1"/>
  <c r="J29" i="27"/>
  <c r="J30" i="27"/>
  <c r="J31" i="27"/>
  <c r="J32" i="27"/>
  <c r="J33" i="27"/>
  <c r="J34" i="27"/>
  <c r="J35" i="27"/>
  <c r="J36" i="27"/>
  <c r="J37" i="27"/>
  <c r="J38" i="27"/>
  <c r="J39" i="27"/>
  <c r="J28" i="27"/>
  <c r="C13" i="9" s="1"/>
  <c r="AD27" i="27"/>
  <c r="E28" i="27"/>
  <c r="E29" i="27"/>
  <c r="E30" i="27"/>
  <c r="E31" i="27"/>
  <c r="E32" i="27"/>
  <c r="E33" i="27"/>
  <c r="E34" i="27"/>
  <c r="E35" i="27"/>
  <c r="E36" i="27"/>
  <c r="E37" i="27"/>
  <c r="E38" i="27"/>
  <c r="E39" i="27"/>
  <c r="G28" i="27"/>
  <c r="T28" i="27" s="1"/>
  <c r="W28" i="27" s="1"/>
  <c r="G29" i="27"/>
  <c r="T29" i="27" s="1"/>
  <c r="W29" i="27" s="1"/>
  <c r="G30" i="27"/>
  <c r="T30" i="27" s="1"/>
  <c r="W30" i="27" s="1"/>
  <c r="G31" i="27"/>
  <c r="T31" i="27" s="1"/>
  <c r="W31" i="27" s="1"/>
  <c r="G32" i="27"/>
  <c r="T32" i="27" s="1"/>
  <c r="W32" i="27" s="1"/>
  <c r="G33" i="27"/>
  <c r="T33" i="27" s="1"/>
  <c r="W33" i="27" s="1"/>
  <c r="G34" i="27"/>
  <c r="T34" i="27" s="1"/>
  <c r="W34" i="27" s="1"/>
  <c r="G35" i="27"/>
  <c r="T35" i="27" s="1"/>
  <c r="W35" i="27" s="1"/>
  <c r="G36" i="27"/>
  <c r="G37" i="27"/>
  <c r="T37" i="27" s="1"/>
  <c r="W37" i="27" s="1"/>
  <c r="G38" i="27"/>
  <c r="T38" i="27" s="1"/>
  <c r="W38" i="27" s="1"/>
  <c r="G39" i="27"/>
  <c r="T39" i="27" s="1"/>
  <c r="W39" i="27" s="1"/>
  <c r="AD29" i="27"/>
  <c r="AE28" i="27"/>
  <c r="AE29" i="27"/>
  <c r="AE30" i="27"/>
  <c r="AE31" i="27"/>
  <c r="AE32" i="27"/>
  <c r="AE33" i="27"/>
  <c r="AE34" i="27"/>
  <c r="AE35" i="27"/>
  <c r="AE36" i="27"/>
  <c r="AE37" i="27"/>
  <c r="AE38" i="27"/>
  <c r="AE39" i="27"/>
  <c r="C36" i="9"/>
  <c r="C35" i="9"/>
  <c r="C33" i="9"/>
  <c r="C32" i="9"/>
  <c r="AE2" i="27"/>
  <c r="AE3" i="27"/>
  <c r="AE4" i="27"/>
  <c r="AE5" i="27"/>
  <c r="AE6" i="27"/>
  <c r="AE7" i="27"/>
  <c r="AE8" i="27"/>
  <c r="AE9" i="27"/>
  <c r="AE10" i="27"/>
  <c r="AE11" i="27"/>
  <c r="AE12" i="27"/>
  <c r="AE13" i="27"/>
  <c r="AE14" i="27"/>
  <c r="AE15" i="27"/>
  <c r="AE16" i="27"/>
  <c r="AE17" i="27"/>
  <c r="AE18" i="27"/>
  <c r="AE19" i="27"/>
  <c r="AE20" i="27"/>
  <c r="AE21" i="27"/>
  <c r="AE22" i="27"/>
  <c r="AE23" i="27"/>
  <c r="AE24" i="27"/>
  <c r="AE25" i="27"/>
  <c r="AE26" i="27"/>
  <c r="AE27" i="27"/>
  <c r="C29" i="9" s="1"/>
  <c r="C23" i="9"/>
  <c r="C24" i="9"/>
  <c r="C22" i="9"/>
  <c r="C20" i="9"/>
  <c r="C21" i="9"/>
  <c r="C19" i="9"/>
  <c r="C18" i="9"/>
  <c r="C17" i="9"/>
  <c r="C16" i="9"/>
  <c r="C1" i="8"/>
  <c r="I4" i="8" s="1"/>
  <c r="AD2" i="27"/>
  <c r="AD3" i="27"/>
  <c r="AD4" i="27"/>
  <c r="AD5" i="27"/>
  <c r="AD6" i="27"/>
  <c r="AD7" i="27"/>
  <c r="AD8" i="27"/>
  <c r="AD9" i="27"/>
  <c r="AD10" i="27"/>
  <c r="AD11" i="27"/>
  <c r="AD12" i="27"/>
  <c r="AD13" i="27"/>
  <c r="AD14" i="27"/>
  <c r="AD15" i="27"/>
  <c r="AD16" i="27"/>
  <c r="AD17" i="27"/>
  <c r="AD18" i="27"/>
  <c r="AD19" i="27"/>
  <c r="AD20" i="27"/>
  <c r="AD21" i="27"/>
  <c r="AD22" i="27"/>
  <c r="AD23" i="27"/>
  <c r="AD24" i="27"/>
  <c r="AD25" i="27"/>
  <c r="AD26" i="27"/>
  <c r="AB3" i="29"/>
  <c r="DH5" i="20" s="1"/>
  <c r="AB4" i="29"/>
  <c r="DH6" i="20" s="1"/>
  <c r="AB5" i="29"/>
  <c r="DH7" i="20" s="1"/>
  <c r="AB6" i="29"/>
  <c r="DH8" i="20" s="1"/>
  <c r="AB7" i="29"/>
  <c r="DH9" i="20" s="1"/>
  <c r="AB8" i="29"/>
  <c r="DH10" i="20" s="1"/>
  <c r="AB9" i="29"/>
  <c r="DH11" i="20" s="1"/>
  <c r="AB10" i="29"/>
  <c r="DH12" i="20" s="1"/>
  <c r="AB11" i="29"/>
  <c r="DH13" i="20" s="1"/>
  <c r="AB12" i="29"/>
  <c r="DH14" i="20" s="1"/>
  <c r="AB13" i="29"/>
  <c r="DH15" i="20" s="1"/>
  <c r="AB14" i="29"/>
  <c r="DH16" i="20" s="1"/>
  <c r="AB21" i="29"/>
  <c r="DH23" i="20" s="1"/>
  <c r="AB22" i="29"/>
  <c r="DH24" i="20" s="1"/>
  <c r="AB23" i="29"/>
  <c r="DH25" i="20" s="1"/>
  <c r="AB24" i="29"/>
  <c r="DH26" i="20" s="1"/>
  <c r="AB26" i="29"/>
  <c r="DH28" i="20" s="1"/>
  <c r="AB29" i="29"/>
  <c r="DH31" i="20" s="1"/>
  <c r="AB31" i="29"/>
  <c r="DH33" i="20" s="1"/>
  <c r="DH34" i="20"/>
  <c r="DH35" i="20"/>
  <c r="DH36" i="20"/>
  <c r="AB35" i="29"/>
  <c r="DH37" i="20" s="1"/>
  <c r="AB36" i="29"/>
  <c r="DH38" i="20" s="1"/>
  <c r="AB37" i="29"/>
  <c r="DH39" i="20" s="1"/>
  <c r="AB38" i="29"/>
  <c r="DH40" i="20" s="1"/>
  <c r="AB39" i="29"/>
  <c r="DH41" i="20" s="1"/>
  <c r="AB40" i="29"/>
  <c r="DH42" i="20" s="1"/>
  <c r="AB41" i="29"/>
  <c r="DH43" i="20" s="1"/>
  <c r="DH44" i="20"/>
  <c r="AB43" i="29"/>
  <c r="DH45" i="20" s="1"/>
  <c r="AB44" i="29"/>
  <c r="DH46" i="20" s="1"/>
  <c r="AB45" i="29"/>
  <c r="DH47" i="20" s="1"/>
  <c r="AB46" i="29"/>
  <c r="DH48" i="20" s="1"/>
  <c r="AB47" i="29"/>
  <c r="DH49" i="20" s="1"/>
  <c r="AB48" i="29"/>
  <c r="DH50" i="20" s="1"/>
  <c r="DH51" i="20"/>
  <c r="AB50" i="29"/>
  <c r="DH52" i="20" s="1"/>
  <c r="AB51" i="29"/>
  <c r="DH53" i="20" s="1"/>
  <c r="DH54" i="20"/>
  <c r="AB53" i="29"/>
  <c r="DH55" i="20" s="1"/>
  <c r="DH56" i="20"/>
  <c r="DH57" i="20"/>
  <c r="DH58" i="20"/>
  <c r="DH59" i="20"/>
  <c r="DH60" i="20"/>
  <c r="DH61" i="20"/>
  <c r="DH62" i="20"/>
  <c r="DH63" i="20"/>
  <c r="AB62" i="29"/>
  <c r="DH64" i="20" s="1"/>
  <c r="AB63" i="29"/>
  <c r="DH65" i="20" s="1"/>
  <c r="AB64" i="29"/>
  <c r="DH66" i="20" s="1"/>
  <c r="AB65" i="29"/>
  <c r="DH67" i="20" s="1"/>
  <c r="AB66" i="29"/>
  <c r="DH68" i="20" s="1"/>
  <c r="AB67" i="29"/>
  <c r="DH69" i="20" s="1"/>
  <c r="AB68" i="29"/>
  <c r="DH70" i="20" s="1"/>
  <c r="AB69" i="29"/>
  <c r="DH71" i="20" s="1"/>
  <c r="AB70" i="29"/>
  <c r="DH72" i="20" s="1"/>
  <c r="AB71" i="29"/>
  <c r="DH73" i="20" s="1"/>
  <c r="AB72" i="29"/>
  <c r="DH74" i="20" s="1"/>
  <c r="AB73" i="29"/>
  <c r="DH75" i="20" s="1"/>
  <c r="AB74" i="29"/>
  <c r="DH76" i="20" s="1"/>
  <c r="AB75" i="29"/>
  <c r="DH77" i="20" s="1"/>
  <c r="AB76" i="29"/>
  <c r="DH78" i="20" s="1"/>
  <c r="AB77" i="29"/>
  <c r="DH79" i="20" s="1"/>
  <c r="AB78" i="29"/>
  <c r="DH80" i="20" s="1"/>
  <c r="AB79" i="29"/>
  <c r="DH81" i="20" s="1"/>
  <c r="AB80" i="29"/>
  <c r="DH82" i="20" s="1"/>
  <c r="AB81" i="29"/>
  <c r="DH83" i="20" s="1"/>
  <c r="AB82" i="29"/>
  <c r="DH84" i="20" s="1"/>
  <c r="AB83" i="29"/>
  <c r="DH85" i="20" s="1"/>
  <c r="DH86" i="20"/>
  <c r="DH87" i="20"/>
  <c r="DH88" i="20"/>
  <c r="DH89" i="20"/>
  <c r="DH90" i="20"/>
  <c r="AB89" i="29"/>
  <c r="DH91" i="20" s="1"/>
  <c r="AB90" i="29"/>
  <c r="AB91" i="29"/>
  <c r="AB93" i="29"/>
  <c r="DH95" i="20" s="1"/>
  <c r="AB94" i="29"/>
  <c r="AB95" i="29"/>
  <c r="AB96" i="29"/>
  <c r="DH98" i="20" s="1"/>
  <c r="AB97" i="29"/>
  <c r="DH99" i="20" s="1"/>
  <c r="AB98" i="29"/>
  <c r="DH100" i="20" s="1"/>
  <c r="AB99" i="29"/>
  <c r="DH101" i="20" s="1"/>
  <c r="AB100" i="29"/>
  <c r="DH102" i="20" s="1"/>
  <c r="AB101" i="29"/>
  <c r="DH103" i="20" s="1"/>
  <c r="AB102" i="29"/>
  <c r="DH104" i="20" s="1"/>
  <c r="AB103" i="29"/>
  <c r="DH105" i="20" s="1"/>
  <c r="AB104" i="29"/>
  <c r="DH106" i="20" s="1"/>
  <c r="AB105" i="29"/>
  <c r="DH107" i="20" s="1"/>
  <c r="AB106" i="29"/>
  <c r="DH108" i="20" s="1"/>
  <c r="AB107" i="29"/>
  <c r="DH109" i="20" s="1"/>
  <c r="AB108" i="29"/>
  <c r="DH110" i="20" s="1"/>
  <c r="AB109" i="29"/>
  <c r="DH111" i="20" s="1"/>
  <c r="AB110" i="29"/>
  <c r="DH112" i="20" s="1"/>
  <c r="AB111" i="29"/>
  <c r="DH113" i="20" s="1"/>
  <c r="AB112" i="29"/>
  <c r="DH114" i="20" s="1"/>
  <c r="AB113" i="29"/>
  <c r="DH115" i="20" s="1"/>
  <c r="AB114" i="29"/>
  <c r="DH116" i="20" s="1"/>
  <c r="AB115" i="29"/>
  <c r="DH117" i="20" s="1"/>
  <c r="AB116" i="29"/>
  <c r="DH118" i="20" s="1"/>
  <c r="AB117" i="29"/>
  <c r="DH119" i="20" s="1"/>
  <c r="AB118" i="29"/>
  <c r="DH120" i="20" s="1"/>
  <c r="AB119" i="29"/>
  <c r="DH121" i="20" s="1"/>
  <c r="AB120" i="29"/>
  <c r="DH122" i="20" s="1"/>
  <c r="AB121" i="29"/>
  <c r="DH123" i="20" s="1"/>
  <c r="AB122" i="29"/>
  <c r="DH124" i="20" s="1"/>
  <c r="AB123" i="29"/>
  <c r="DH125" i="20" s="1"/>
  <c r="AB124" i="29"/>
  <c r="DH126" i="20" s="1"/>
  <c r="AB125" i="29"/>
  <c r="DH127" i="20" s="1"/>
  <c r="AB126" i="29"/>
  <c r="DH128" i="20" s="1"/>
  <c r="AB127" i="29"/>
  <c r="DH129" i="20" s="1"/>
  <c r="AB128" i="29"/>
  <c r="DH130" i="20" s="1"/>
  <c r="AB129" i="29"/>
  <c r="DH131" i="20" s="1"/>
  <c r="AB130" i="29"/>
  <c r="DH132" i="20" s="1"/>
  <c r="AB131" i="29"/>
  <c r="DH133" i="20" s="1"/>
  <c r="AB132" i="29"/>
  <c r="DH134" i="20" s="1"/>
  <c r="AB133" i="29"/>
  <c r="DH135" i="20" s="1"/>
  <c r="AB134" i="29"/>
  <c r="DH136" i="20" s="1"/>
  <c r="AB135" i="29"/>
  <c r="DH137" i="20" s="1"/>
  <c r="AB136" i="29"/>
  <c r="DH138" i="20" s="1"/>
  <c r="AB137" i="29"/>
  <c r="DH139" i="20" s="1"/>
  <c r="AB138" i="29"/>
  <c r="DH140" i="20" s="1"/>
  <c r="AB139" i="29"/>
  <c r="DH141" i="20" s="1"/>
  <c r="AB140" i="29"/>
  <c r="DH142" i="20" s="1"/>
  <c r="AB141" i="29"/>
  <c r="DH143" i="20" s="1"/>
  <c r="AB142" i="29"/>
  <c r="DH144" i="20" s="1"/>
  <c r="AB143" i="29"/>
  <c r="DH145" i="20" s="1"/>
  <c r="AB144" i="29"/>
  <c r="DH146" i="20" s="1"/>
  <c r="AB145" i="29"/>
  <c r="DH147" i="20" s="1"/>
  <c r="AB146" i="29"/>
  <c r="DH148" i="20" s="1"/>
  <c r="AB147" i="29"/>
  <c r="DH149" i="20" s="1"/>
  <c r="AB148" i="29"/>
  <c r="DH150" i="20" s="1"/>
  <c r="AB149" i="29"/>
  <c r="DH151" i="20" s="1"/>
  <c r="AB150" i="29"/>
  <c r="DH152" i="20" s="1"/>
  <c r="AB151" i="29"/>
  <c r="DH153" i="20" s="1"/>
  <c r="AB152" i="29"/>
  <c r="DH154" i="20" s="1"/>
  <c r="AB153" i="29"/>
  <c r="DH155" i="20" s="1"/>
  <c r="AB154" i="29"/>
  <c r="DH156" i="20" s="1"/>
  <c r="AB155" i="29"/>
  <c r="DH157" i="20" s="1"/>
  <c r="AB156" i="29"/>
  <c r="AB157" i="29"/>
  <c r="AB158" i="29"/>
  <c r="AB159" i="29"/>
  <c r="AB160" i="29"/>
  <c r="AB161" i="29"/>
  <c r="AB162" i="29"/>
  <c r="AB163" i="29"/>
  <c r="AB164" i="29"/>
  <c r="AB165" i="29"/>
  <c r="AB166" i="29"/>
  <c r="AB167" i="29"/>
  <c r="AB168" i="29"/>
  <c r="AB169" i="29"/>
  <c r="AB170" i="29"/>
  <c r="AB171" i="29"/>
  <c r="AB172" i="29"/>
  <c r="AB173" i="29"/>
  <c r="AB174" i="29"/>
  <c r="AB175" i="29"/>
  <c r="AB176" i="29"/>
  <c r="AB177" i="29"/>
  <c r="AB178" i="29"/>
  <c r="AB179" i="29"/>
  <c r="AB180" i="29"/>
  <c r="AB181" i="29"/>
  <c r="AB182" i="29"/>
  <c r="AB183" i="29"/>
  <c r="AB184" i="29"/>
  <c r="AB185" i="29"/>
  <c r="AB186" i="29"/>
  <c r="AB187" i="29"/>
  <c r="AB188" i="29"/>
  <c r="AB189" i="29"/>
  <c r="AB190" i="29"/>
  <c r="AB191" i="29"/>
  <c r="AB192" i="29"/>
  <c r="AB193" i="29"/>
  <c r="AB194" i="29"/>
  <c r="AB195" i="29"/>
  <c r="AB196" i="29"/>
  <c r="AB197" i="29"/>
  <c r="AB198" i="29"/>
  <c r="AB199" i="29"/>
  <c r="AB200" i="29"/>
  <c r="AB201" i="29"/>
  <c r="AB202" i="29"/>
  <c r="AB203" i="29"/>
  <c r="AB204" i="29"/>
  <c r="AB205" i="29"/>
  <c r="AB206" i="29"/>
  <c r="AB207" i="29"/>
  <c r="AB208" i="29"/>
  <c r="AB209" i="29"/>
  <c r="AB210" i="29"/>
  <c r="AB211" i="29"/>
  <c r="AB212" i="29"/>
  <c r="AB213" i="29"/>
  <c r="AB214" i="29"/>
  <c r="AB215" i="29"/>
  <c r="AB216" i="29"/>
  <c r="AB217" i="29"/>
  <c r="AB218" i="29"/>
  <c r="AB219" i="29"/>
  <c r="AB220" i="29"/>
  <c r="AB221" i="29"/>
  <c r="AB222" i="29"/>
  <c r="AB223" i="29"/>
  <c r="AB224" i="29"/>
  <c r="AB225" i="29"/>
  <c r="AB226" i="29"/>
  <c r="AB227" i="29"/>
  <c r="AB228" i="29"/>
  <c r="AB229" i="29"/>
  <c r="AB230" i="29"/>
  <c r="AB231" i="29"/>
  <c r="AB232" i="29"/>
  <c r="AB233" i="29"/>
  <c r="AB234" i="29"/>
  <c r="AB235" i="29"/>
  <c r="AB236" i="29"/>
  <c r="AB237" i="29"/>
  <c r="AB238" i="29"/>
  <c r="AB239" i="29"/>
  <c r="AB240" i="29"/>
  <c r="AB241" i="29"/>
  <c r="AB242" i="29"/>
  <c r="AB243" i="29"/>
  <c r="AB244" i="29"/>
  <c r="AB245" i="29"/>
  <c r="AB246" i="29"/>
  <c r="AB247" i="29"/>
  <c r="AB248" i="29"/>
  <c r="AB249" i="29"/>
  <c r="AB250" i="29"/>
  <c r="AB251" i="29"/>
  <c r="AB252" i="29"/>
  <c r="AB253" i="29"/>
  <c r="AB254" i="29"/>
  <c r="AB255" i="29"/>
  <c r="AB256" i="29"/>
  <c r="AB257" i="29"/>
  <c r="AB258" i="29"/>
  <c r="AB259" i="29"/>
  <c r="AB260" i="29"/>
  <c r="AB261" i="29"/>
  <c r="AB262" i="29"/>
  <c r="AB263" i="29"/>
  <c r="AB264" i="29"/>
  <c r="AB265" i="29"/>
  <c r="AB266" i="29"/>
  <c r="AB267" i="29"/>
  <c r="AB268" i="29"/>
  <c r="AB269" i="29"/>
  <c r="AB270" i="29"/>
  <c r="AB271" i="29"/>
  <c r="AB272" i="29"/>
  <c r="AB273" i="29"/>
  <c r="AB274" i="29"/>
  <c r="AB275" i="29"/>
  <c r="AB276" i="29"/>
  <c r="AB277" i="29"/>
  <c r="AB278" i="29"/>
  <c r="AB279" i="29"/>
  <c r="AB280" i="29"/>
  <c r="AB281" i="29"/>
  <c r="AB282" i="29"/>
  <c r="AB283" i="29"/>
  <c r="AB284" i="29"/>
  <c r="AB285" i="29"/>
  <c r="AB286" i="29"/>
  <c r="AB287" i="29"/>
  <c r="AB288" i="29"/>
  <c r="AB289" i="29"/>
  <c r="AB290" i="29"/>
  <c r="AB291" i="29"/>
  <c r="AB292" i="29"/>
  <c r="AB293" i="29"/>
  <c r="AB294" i="29"/>
  <c r="AB295" i="29"/>
  <c r="AB296" i="29"/>
  <c r="AB297" i="29"/>
  <c r="AB298" i="29"/>
  <c r="AB299" i="29"/>
  <c r="AB300" i="29"/>
  <c r="AB301" i="29"/>
  <c r="AB302" i="29"/>
  <c r="AB303" i="29"/>
  <c r="AB304" i="29"/>
  <c r="AB305" i="29"/>
  <c r="AB306" i="29"/>
  <c r="AB307" i="29"/>
  <c r="AB308" i="29"/>
  <c r="AB309" i="29"/>
  <c r="AB310" i="29"/>
  <c r="AB311" i="29"/>
  <c r="AB312" i="29"/>
  <c r="AB313" i="29"/>
  <c r="AB314" i="29"/>
  <c r="AB315" i="29"/>
  <c r="AB316" i="29"/>
  <c r="AB317" i="29"/>
  <c r="AB318" i="29"/>
  <c r="AB319" i="29"/>
  <c r="AB320" i="29"/>
  <c r="AB321" i="29"/>
  <c r="AB322" i="29"/>
  <c r="AB323" i="29"/>
  <c r="AB324" i="29"/>
  <c r="AB325" i="29"/>
  <c r="AB326" i="29"/>
  <c r="AB327" i="29"/>
  <c r="AB328" i="29"/>
  <c r="AB329" i="29"/>
  <c r="AB330" i="29"/>
  <c r="AB331" i="29"/>
  <c r="AB332" i="29"/>
  <c r="AB333" i="29"/>
  <c r="AB334" i="29"/>
  <c r="AB335" i="29"/>
  <c r="AB336" i="29"/>
  <c r="AB337" i="29"/>
  <c r="AB338" i="29"/>
  <c r="AB339" i="29"/>
  <c r="AB340" i="29"/>
  <c r="AB341" i="29"/>
  <c r="AB342" i="29"/>
  <c r="AB343" i="29"/>
  <c r="AB344" i="29"/>
  <c r="AB345" i="29"/>
  <c r="AB346" i="29"/>
  <c r="AB347" i="29"/>
  <c r="AB348" i="29"/>
  <c r="AB349" i="29"/>
  <c r="AB350" i="29"/>
  <c r="AB351" i="29"/>
  <c r="AB352" i="29"/>
  <c r="AB353" i="29"/>
  <c r="AB354" i="29"/>
  <c r="AB355" i="29"/>
  <c r="AB356" i="29"/>
  <c r="AB357" i="29"/>
  <c r="AB358" i="29"/>
  <c r="AB359" i="29"/>
  <c r="AB360" i="29"/>
  <c r="AB361" i="29"/>
  <c r="AB362" i="29"/>
  <c r="AB363" i="29"/>
  <c r="AB364" i="29"/>
  <c r="AB365" i="29"/>
  <c r="AB366" i="29"/>
  <c r="AB367" i="29"/>
  <c r="AB368" i="29"/>
  <c r="AB369" i="29"/>
  <c r="AB370" i="29"/>
  <c r="AB371" i="29"/>
  <c r="AB372" i="29"/>
  <c r="AB373" i="29"/>
  <c r="AB374" i="29"/>
  <c r="AB375" i="29"/>
  <c r="AB376" i="29"/>
  <c r="AB377" i="29"/>
  <c r="AB378" i="29"/>
  <c r="AB379" i="29"/>
  <c r="AB380" i="29"/>
  <c r="AB381" i="29"/>
  <c r="AB382" i="29"/>
  <c r="AB383" i="29"/>
  <c r="AB384" i="29"/>
  <c r="AB385" i="29"/>
  <c r="AB386" i="29"/>
  <c r="AB387" i="29"/>
  <c r="AB388" i="29"/>
  <c r="AB389" i="29"/>
  <c r="AB390" i="29"/>
  <c r="AB391" i="29"/>
  <c r="AB392" i="29"/>
  <c r="AB393" i="29"/>
  <c r="AB394" i="29"/>
  <c r="AB395" i="29"/>
  <c r="AB396" i="29"/>
  <c r="AB397" i="29"/>
  <c r="AB398" i="29"/>
  <c r="AB399" i="29"/>
  <c r="AB400" i="29"/>
  <c r="AB401" i="29"/>
  <c r="AB402" i="29"/>
  <c r="AB403" i="29"/>
  <c r="AB404" i="29"/>
  <c r="AB405" i="29"/>
  <c r="AB406" i="29"/>
  <c r="AB407" i="29"/>
  <c r="AB408" i="29"/>
  <c r="AB409" i="29"/>
  <c r="AB410" i="29"/>
  <c r="AB411" i="29"/>
  <c r="AB412" i="29"/>
  <c r="AB413" i="29"/>
  <c r="AB414" i="29"/>
  <c r="AB415" i="29"/>
  <c r="AB416" i="29"/>
  <c r="AB417" i="29"/>
  <c r="AB418" i="29"/>
  <c r="AB419" i="29"/>
  <c r="AB420" i="29"/>
  <c r="AB421" i="29"/>
  <c r="AB422" i="29"/>
  <c r="AB423" i="29"/>
  <c r="AB424" i="29"/>
  <c r="AB425" i="29"/>
  <c r="AB426" i="29"/>
  <c r="AB427" i="29"/>
  <c r="AB428" i="29"/>
  <c r="AB429" i="29"/>
  <c r="AB430" i="29"/>
  <c r="AB431" i="29"/>
  <c r="AB432" i="29"/>
  <c r="AB433" i="29"/>
  <c r="AB434" i="29"/>
  <c r="AB435" i="29"/>
  <c r="AB436" i="29"/>
  <c r="AB437" i="29"/>
  <c r="AB438" i="29"/>
  <c r="AB439" i="29"/>
  <c r="AB440" i="29"/>
  <c r="AB441" i="29"/>
  <c r="AB442" i="29"/>
  <c r="AB443" i="29"/>
  <c r="AB444" i="29"/>
  <c r="AB445" i="29"/>
  <c r="AB446" i="29"/>
  <c r="AB447" i="29"/>
  <c r="AB448" i="29"/>
  <c r="AB449" i="29"/>
  <c r="AB450" i="29"/>
  <c r="AB451" i="29"/>
  <c r="AB452" i="29"/>
  <c r="AB453" i="29"/>
  <c r="AB454" i="29"/>
  <c r="AB455" i="29"/>
  <c r="AB456" i="29"/>
  <c r="AB457" i="29"/>
  <c r="AB458" i="29"/>
  <c r="AB459" i="29"/>
  <c r="AB460" i="29"/>
  <c r="AB461" i="29"/>
  <c r="AB462" i="29"/>
  <c r="AB463" i="29"/>
  <c r="AB464" i="29"/>
  <c r="AB465" i="29"/>
  <c r="AB466" i="29"/>
  <c r="AB467" i="29"/>
  <c r="AB468" i="29"/>
  <c r="AB469" i="29"/>
  <c r="AB470" i="29"/>
  <c r="AB471" i="29"/>
  <c r="AB472" i="29"/>
  <c r="AB473" i="29"/>
  <c r="AB474" i="29"/>
  <c r="AB475" i="29"/>
  <c r="AB476" i="29"/>
  <c r="AB477" i="29"/>
  <c r="AB478" i="29"/>
  <c r="AB479" i="29"/>
  <c r="AB480" i="29"/>
  <c r="AB481" i="29"/>
  <c r="AB482" i="29"/>
  <c r="AB483" i="29"/>
  <c r="AB484" i="29"/>
  <c r="AB485" i="29"/>
  <c r="AB486" i="29"/>
  <c r="AB487" i="29"/>
  <c r="AB488" i="29"/>
  <c r="AB489" i="29"/>
  <c r="AB490" i="29"/>
  <c r="AB491" i="29"/>
  <c r="AB492" i="29"/>
  <c r="AB493" i="29"/>
  <c r="AB494" i="29"/>
  <c r="AB495" i="29"/>
  <c r="AB496" i="29"/>
  <c r="AB497" i="29"/>
  <c r="AB498" i="29"/>
  <c r="AB499" i="29"/>
  <c r="AB500" i="29"/>
  <c r="AB501" i="29"/>
  <c r="AB502" i="29"/>
  <c r="AB503" i="29"/>
  <c r="AB504" i="29"/>
  <c r="AB505" i="29"/>
  <c r="AB506" i="29"/>
  <c r="AB507" i="29"/>
  <c r="AB508" i="29"/>
  <c r="AB509" i="29"/>
  <c r="AB510" i="29"/>
  <c r="AB511" i="29"/>
  <c r="AB512" i="29"/>
  <c r="AB513" i="29"/>
  <c r="AB514" i="29"/>
  <c r="AB515" i="29"/>
  <c r="AB516" i="29"/>
  <c r="AB517" i="29"/>
  <c r="AB518" i="29"/>
  <c r="AB519" i="29"/>
  <c r="AB520" i="29"/>
  <c r="AB521" i="29"/>
  <c r="AB522" i="29"/>
  <c r="AB523" i="29"/>
  <c r="AB524" i="29"/>
  <c r="AB525" i="29"/>
  <c r="AB526" i="29"/>
  <c r="AB527" i="29"/>
  <c r="AB528" i="29"/>
  <c r="AB529" i="29"/>
  <c r="AB530" i="29"/>
  <c r="AB531" i="29"/>
  <c r="AB532" i="29"/>
  <c r="AB533" i="29"/>
  <c r="AB534" i="29"/>
  <c r="AB535" i="29"/>
  <c r="AB536" i="29"/>
  <c r="AB537" i="29"/>
  <c r="AB538" i="29"/>
  <c r="AB539" i="29"/>
  <c r="AB540" i="29"/>
  <c r="AB541" i="29"/>
  <c r="AB542" i="29"/>
  <c r="AB543" i="29"/>
  <c r="AB544" i="29"/>
  <c r="AB545" i="29"/>
  <c r="AB546" i="29"/>
  <c r="AB547" i="29"/>
  <c r="AB548" i="29"/>
  <c r="AB549" i="29"/>
  <c r="AB550" i="29"/>
  <c r="AB551" i="29"/>
  <c r="AB552" i="29"/>
  <c r="AB553" i="29"/>
  <c r="AB554" i="29"/>
  <c r="AB555" i="29"/>
  <c r="AB556" i="29"/>
  <c r="AB557" i="29"/>
  <c r="AB558" i="29"/>
  <c r="AB559" i="29"/>
  <c r="AB560" i="29"/>
  <c r="AB561" i="29"/>
  <c r="AB562" i="29"/>
  <c r="AB563" i="29"/>
  <c r="AB564" i="29"/>
  <c r="AB565" i="29"/>
  <c r="AB566" i="29"/>
  <c r="AB567" i="29"/>
  <c r="AB568" i="29"/>
  <c r="AB569" i="29"/>
  <c r="AB570" i="29"/>
  <c r="AB571" i="29"/>
  <c r="AB572" i="29"/>
  <c r="AB573" i="29"/>
  <c r="AB574" i="29"/>
  <c r="AB575" i="29"/>
  <c r="AB576" i="29"/>
  <c r="AB577" i="29"/>
  <c r="AB578" i="29"/>
  <c r="AB579" i="29"/>
  <c r="AB580" i="29"/>
  <c r="AB581" i="29"/>
  <c r="AB582" i="29"/>
  <c r="AB583" i="29"/>
  <c r="AB584" i="29"/>
  <c r="AB585" i="29"/>
  <c r="AB586" i="29"/>
  <c r="AB587" i="29"/>
  <c r="AB588" i="29"/>
  <c r="AB589" i="29"/>
  <c r="AB590" i="29"/>
  <c r="AB591" i="29"/>
  <c r="AB592" i="29"/>
  <c r="AB593" i="29"/>
  <c r="AB594" i="29"/>
  <c r="AB595" i="29"/>
  <c r="AB596" i="29"/>
  <c r="AB597" i="29"/>
  <c r="AB598" i="29"/>
  <c r="AB599" i="29"/>
  <c r="AB600" i="29"/>
  <c r="AB601" i="29"/>
  <c r="AB602" i="29"/>
  <c r="AB603" i="29"/>
  <c r="AB604" i="29"/>
  <c r="AB605" i="29"/>
  <c r="AB606" i="29"/>
  <c r="AB607" i="29"/>
  <c r="AB608" i="29"/>
  <c r="AB609" i="29"/>
  <c r="B1" i="29"/>
  <c r="C1" i="29" s="1"/>
  <c r="D1" i="29" s="1"/>
  <c r="E1" i="29" s="1"/>
  <c r="F1" i="29" s="1"/>
  <c r="G1" i="29" s="1"/>
  <c r="H1" i="29" s="1"/>
  <c r="I1" i="29" s="1"/>
  <c r="J1" i="29" s="1"/>
  <c r="K1" i="29" s="1"/>
  <c r="L1" i="29" s="1"/>
  <c r="M1" i="29" s="1"/>
  <c r="N1" i="29" s="1"/>
  <c r="O1" i="29" s="1"/>
  <c r="P1" i="29" s="1"/>
  <c r="Q1" i="29" s="1"/>
  <c r="R1" i="29" s="1"/>
  <c r="S1" i="29" s="1"/>
  <c r="T1" i="29" s="1"/>
  <c r="U1" i="29" s="1"/>
  <c r="V1" i="29" s="1"/>
  <c r="W1" i="29" s="1"/>
  <c r="X1" i="29" s="1"/>
  <c r="Y1" i="29" s="1"/>
  <c r="Z1" i="29" s="1"/>
  <c r="AA1" i="29" s="1"/>
  <c r="AB1" i="29" s="1"/>
  <c r="A4" i="29"/>
  <c r="A5" i="29" s="1"/>
  <c r="A6" i="29" s="1"/>
  <c r="A7" i="29" s="1"/>
  <c r="A8" i="29" s="1"/>
  <c r="A9" i="29" s="1"/>
  <c r="A10" i="29" s="1"/>
  <c r="A11" i="29" s="1"/>
  <c r="A12" i="29" s="1"/>
  <c r="A13" i="29" s="1"/>
  <c r="A14" i="29" s="1"/>
  <c r="A15" i="29" s="1"/>
  <c r="A16" i="29" s="1"/>
  <c r="A17" i="29" s="1"/>
  <c r="A18" i="29" s="1"/>
  <c r="A19" i="29" s="1"/>
  <c r="A20" i="29" s="1"/>
  <c r="A21" i="29" s="1"/>
  <c r="A22" i="29" s="1"/>
  <c r="A23" i="29" s="1"/>
  <c r="A24" i="29" s="1"/>
  <c r="A25" i="29" s="1"/>
  <c r="A26" i="29" s="1"/>
  <c r="A27" i="29" s="1"/>
  <c r="A28" i="29" s="1"/>
  <c r="A29" i="29" s="1"/>
  <c r="A30" i="29" s="1"/>
  <c r="A31" i="29" s="1"/>
  <c r="A32" i="29" s="1"/>
  <c r="A33" i="29" s="1"/>
  <c r="A34" i="29" s="1"/>
  <c r="A35" i="29" s="1"/>
  <c r="A36" i="29" s="1"/>
  <c r="A37" i="29" s="1"/>
  <c r="A38" i="29" s="1"/>
  <c r="A39" i="29" s="1"/>
  <c r="A40" i="29" s="1"/>
  <c r="A41" i="29" s="1"/>
  <c r="A42" i="29" s="1"/>
  <c r="A43" i="29" s="1"/>
  <c r="A44" i="29" s="1"/>
  <c r="A45" i="29" s="1"/>
  <c r="A46" i="29" s="1"/>
  <c r="A47" i="29" s="1"/>
  <c r="A48" i="29" s="1"/>
  <c r="A49" i="29" s="1"/>
  <c r="A50" i="29" s="1"/>
  <c r="A51" i="29" s="1"/>
  <c r="A52" i="29" s="1"/>
  <c r="A53" i="29" s="1"/>
  <c r="A54" i="29" s="1"/>
  <c r="A55" i="29" s="1"/>
  <c r="A56" i="29" s="1"/>
  <c r="A57" i="29" s="1"/>
  <c r="A58" i="29" s="1"/>
  <c r="A59" i="29" s="1"/>
  <c r="A60" i="29" s="1"/>
  <c r="A61" i="29" s="1"/>
  <c r="A62" i="29" s="1"/>
  <c r="A63" i="29" s="1"/>
  <c r="A64" i="29" s="1"/>
  <c r="A65" i="29" s="1"/>
  <c r="A66" i="29" s="1"/>
  <c r="A67" i="29" s="1"/>
  <c r="A68" i="29" s="1"/>
  <c r="A69" i="29" s="1"/>
  <c r="A70" i="29" s="1"/>
  <c r="A71" i="29" s="1"/>
  <c r="A72" i="29" s="1"/>
  <c r="A73" i="29" s="1"/>
  <c r="A74" i="29" s="1"/>
  <c r="A75" i="29" s="1"/>
  <c r="A76" i="29" s="1"/>
  <c r="A77" i="29" s="1"/>
  <c r="A78" i="29" s="1"/>
  <c r="A79" i="29" s="1"/>
  <c r="A80" i="29" s="1"/>
  <c r="A81" i="29" s="1"/>
  <c r="A82" i="29" s="1"/>
  <c r="A83" i="29" s="1"/>
  <c r="A84" i="29" s="1"/>
  <c r="A85" i="29" s="1"/>
  <c r="A86" i="29" s="1"/>
  <c r="A87" i="29" s="1"/>
  <c r="A88" i="29" s="1"/>
  <c r="A89" i="29" s="1"/>
  <c r="A90" i="29" s="1"/>
  <c r="A91" i="29" s="1"/>
  <c r="A92" i="29" s="1"/>
  <c r="A93" i="29" s="1"/>
  <c r="A94" i="29" s="1"/>
  <c r="A95" i="29" s="1"/>
  <c r="A96" i="29" s="1"/>
  <c r="A97" i="29" s="1"/>
  <c r="A98" i="29" s="1"/>
  <c r="A99" i="29" s="1"/>
  <c r="A100" i="29" s="1"/>
  <c r="A101" i="29" s="1"/>
  <c r="A102" i="29" s="1"/>
  <c r="A103" i="29" s="1"/>
  <c r="A104" i="29" s="1"/>
  <c r="A105" i="29" s="1"/>
  <c r="A106" i="29" s="1"/>
  <c r="A107" i="29" s="1"/>
  <c r="A108" i="29" s="1"/>
  <c r="A109" i="29" s="1"/>
  <c r="A110" i="29" s="1"/>
  <c r="A111" i="29" s="1"/>
  <c r="A112" i="29" s="1"/>
  <c r="A113" i="29" s="1"/>
  <c r="A114" i="29" s="1"/>
  <c r="A115" i="29" s="1"/>
  <c r="A116" i="29" s="1"/>
  <c r="A117" i="29" s="1"/>
  <c r="A118" i="29" s="1"/>
  <c r="A119" i="29" s="1"/>
  <c r="A120" i="29" s="1"/>
  <c r="A121" i="29" s="1"/>
  <c r="A122" i="29" s="1"/>
  <c r="A123" i="29" s="1"/>
  <c r="A124" i="29" s="1"/>
  <c r="A125" i="29" s="1"/>
  <c r="A126" i="29" s="1"/>
  <c r="A127" i="29" s="1"/>
  <c r="A128" i="29" s="1"/>
  <c r="A129" i="29" s="1"/>
  <c r="A130" i="29" s="1"/>
  <c r="A131" i="29" s="1"/>
  <c r="A132" i="29" s="1"/>
  <c r="A133" i="29" s="1"/>
  <c r="A134" i="29" s="1"/>
  <c r="A135" i="29" s="1"/>
  <c r="A136" i="29" s="1"/>
  <c r="A137" i="29" s="1"/>
  <c r="A138" i="29" s="1"/>
  <c r="A139" i="29" s="1"/>
  <c r="A140" i="29" s="1"/>
  <c r="A141" i="29" s="1"/>
  <c r="A142" i="29" s="1"/>
  <c r="A143" i="29" s="1"/>
  <c r="A144" i="29" s="1"/>
  <c r="A145" i="29" s="1"/>
  <c r="A146" i="29" s="1"/>
  <c r="A147" i="29" s="1"/>
  <c r="A148" i="29" s="1"/>
  <c r="A149" i="29" s="1"/>
  <c r="A150" i="29" s="1"/>
  <c r="A151" i="29" s="1"/>
  <c r="A152" i="29" s="1"/>
  <c r="A153" i="29" s="1"/>
  <c r="A154" i="29" s="1"/>
  <c r="A155" i="29" s="1"/>
  <c r="A156" i="29" s="1"/>
  <c r="A157" i="29" s="1"/>
  <c r="A158" i="29" s="1"/>
  <c r="A159" i="29" s="1"/>
  <c r="A160" i="29" s="1"/>
  <c r="A161" i="29" s="1"/>
  <c r="A162" i="29" s="1"/>
  <c r="A163" i="29" s="1"/>
  <c r="A164" i="29" s="1"/>
  <c r="A165" i="29" s="1"/>
  <c r="A166" i="29" s="1"/>
  <c r="A167" i="29" s="1"/>
  <c r="A168" i="29" s="1"/>
  <c r="A169" i="29" s="1"/>
  <c r="A170" i="29" s="1"/>
  <c r="A171" i="29" s="1"/>
  <c r="A172" i="29" s="1"/>
  <c r="A173" i="29" s="1"/>
  <c r="A174" i="29" s="1"/>
  <c r="A175" i="29" s="1"/>
  <c r="A176" i="29" s="1"/>
  <c r="A177" i="29" s="1"/>
  <c r="A178" i="29" s="1"/>
  <c r="A179" i="29" s="1"/>
  <c r="A180" i="29" s="1"/>
  <c r="A181" i="29" s="1"/>
  <c r="A182" i="29" s="1"/>
  <c r="A183" i="29" s="1"/>
  <c r="A184" i="29" s="1"/>
  <c r="A185" i="29" s="1"/>
  <c r="A186" i="29" s="1"/>
  <c r="A187" i="29" s="1"/>
  <c r="A188" i="29" s="1"/>
  <c r="A189" i="29" s="1"/>
  <c r="A190" i="29" s="1"/>
  <c r="A191" i="29" s="1"/>
  <c r="A192" i="29" s="1"/>
  <c r="A193" i="29" s="1"/>
  <c r="A194" i="29" s="1"/>
  <c r="A195" i="29" s="1"/>
  <c r="A196" i="29" s="1"/>
  <c r="A197" i="29" s="1"/>
  <c r="A198" i="29" s="1"/>
  <c r="A199" i="29" s="1"/>
  <c r="A200" i="29" s="1"/>
  <c r="A201" i="29" s="1"/>
  <c r="A202" i="29" s="1"/>
  <c r="A203" i="29" s="1"/>
  <c r="A204" i="29" s="1"/>
  <c r="A205" i="29" s="1"/>
  <c r="A206" i="29" s="1"/>
  <c r="A207" i="29" s="1"/>
  <c r="A208" i="29" s="1"/>
  <c r="A209" i="29" s="1"/>
  <c r="A210" i="29" s="1"/>
  <c r="A211" i="29" s="1"/>
  <c r="A212" i="29" s="1"/>
  <c r="A213" i="29" s="1"/>
  <c r="A214" i="29" s="1"/>
  <c r="A215" i="29" s="1"/>
  <c r="A216" i="29" s="1"/>
  <c r="A217" i="29" s="1"/>
  <c r="A218" i="29" s="1"/>
  <c r="A219" i="29" s="1"/>
  <c r="A220" i="29" s="1"/>
  <c r="A221" i="29" s="1"/>
  <c r="A222" i="29" s="1"/>
  <c r="A223" i="29" s="1"/>
  <c r="A224" i="29" s="1"/>
  <c r="A225" i="29" s="1"/>
  <c r="A226" i="29" s="1"/>
  <c r="A227" i="29" s="1"/>
  <c r="A228" i="29" s="1"/>
  <c r="A229" i="29" s="1"/>
  <c r="A230" i="29" s="1"/>
  <c r="A231" i="29" s="1"/>
  <c r="A232" i="29" s="1"/>
  <c r="A233" i="29" s="1"/>
  <c r="A234" i="29" s="1"/>
  <c r="A235" i="29" s="1"/>
  <c r="A236" i="29" s="1"/>
  <c r="A237" i="29" s="1"/>
  <c r="A238" i="29" s="1"/>
  <c r="A239" i="29" s="1"/>
  <c r="A240" i="29" s="1"/>
  <c r="A241" i="29" s="1"/>
  <c r="A242" i="29" s="1"/>
  <c r="A243" i="29" s="1"/>
  <c r="A244" i="29" s="1"/>
  <c r="A245" i="29" s="1"/>
  <c r="A246" i="29" s="1"/>
  <c r="A247" i="29" s="1"/>
  <c r="A248" i="29" s="1"/>
  <c r="A249" i="29" s="1"/>
  <c r="A250" i="29" s="1"/>
  <c r="A251" i="29" s="1"/>
  <c r="A252" i="29" s="1"/>
  <c r="A253" i="29" s="1"/>
  <c r="A254" i="29" s="1"/>
  <c r="A255" i="29" s="1"/>
  <c r="A256" i="29" s="1"/>
  <c r="A257" i="29" s="1"/>
  <c r="A258" i="29" s="1"/>
  <c r="A259" i="29" s="1"/>
  <c r="A260" i="29" s="1"/>
  <c r="A261" i="29" s="1"/>
  <c r="A262" i="29" s="1"/>
  <c r="A263" i="29" s="1"/>
  <c r="A264" i="29" s="1"/>
  <c r="A265" i="29" s="1"/>
  <c r="A266" i="29" s="1"/>
  <c r="A267" i="29" s="1"/>
  <c r="A268" i="29" s="1"/>
  <c r="A269" i="29" s="1"/>
  <c r="A270" i="29" s="1"/>
  <c r="A271" i="29" s="1"/>
  <c r="A272" i="29" s="1"/>
  <c r="A273" i="29" s="1"/>
  <c r="A274" i="29" s="1"/>
  <c r="A275" i="29" s="1"/>
  <c r="A276" i="29" s="1"/>
  <c r="A277" i="29" s="1"/>
  <c r="A278" i="29" s="1"/>
  <c r="A279" i="29" s="1"/>
  <c r="A280" i="29" s="1"/>
  <c r="A281" i="29" s="1"/>
  <c r="A282" i="29" s="1"/>
  <c r="A283" i="29" s="1"/>
  <c r="A284" i="29" s="1"/>
  <c r="A285" i="29" s="1"/>
  <c r="A286" i="29" s="1"/>
  <c r="A287" i="29" s="1"/>
  <c r="A288" i="29" s="1"/>
  <c r="A289" i="29" s="1"/>
  <c r="A290" i="29" s="1"/>
  <c r="A291" i="29" s="1"/>
  <c r="A292" i="29" s="1"/>
  <c r="A293" i="29" s="1"/>
  <c r="A294" i="29" s="1"/>
  <c r="A295" i="29" s="1"/>
  <c r="A296" i="29" s="1"/>
  <c r="A297" i="29" s="1"/>
  <c r="A298" i="29" s="1"/>
  <c r="A299" i="29" s="1"/>
  <c r="A300" i="29" s="1"/>
  <c r="A301" i="29" s="1"/>
  <c r="A302" i="29" s="1"/>
  <c r="A303" i="29" s="1"/>
  <c r="A304" i="29" s="1"/>
  <c r="A305" i="29" s="1"/>
  <c r="A306" i="29" s="1"/>
  <c r="A307" i="29" s="1"/>
  <c r="A308" i="29" s="1"/>
  <c r="A309" i="29" s="1"/>
  <c r="A310" i="29" s="1"/>
  <c r="A311" i="29" s="1"/>
  <c r="A312" i="29" s="1"/>
  <c r="A313" i="29" s="1"/>
  <c r="A314" i="29" s="1"/>
  <c r="A315" i="29" s="1"/>
  <c r="A316" i="29" s="1"/>
  <c r="A317" i="29" s="1"/>
  <c r="A318" i="29" s="1"/>
  <c r="A319" i="29" s="1"/>
  <c r="A320" i="29" s="1"/>
  <c r="A321" i="29" s="1"/>
  <c r="A322" i="29" s="1"/>
  <c r="A323" i="29" s="1"/>
  <c r="A324" i="29" s="1"/>
  <c r="A325" i="29" s="1"/>
  <c r="A326" i="29" s="1"/>
  <c r="A327" i="29" s="1"/>
  <c r="A328" i="29" s="1"/>
  <c r="A329" i="29" s="1"/>
  <c r="A330" i="29" s="1"/>
  <c r="A331" i="29" s="1"/>
  <c r="A332" i="29" s="1"/>
  <c r="A333" i="29" s="1"/>
  <c r="A334" i="29" s="1"/>
  <c r="A335" i="29" s="1"/>
  <c r="A336" i="29" s="1"/>
  <c r="A337" i="29" s="1"/>
  <c r="A338" i="29" s="1"/>
  <c r="A339" i="29" s="1"/>
  <c r="A340" i="29" s="1"/>
  <c r="A341" i="29" s="1"/>
  <c r="A342" i="29" s="1"/>
  <c r="A343" i="29" s="1"/>
  <c r="A344" i="29" s="1"/>
  <c r="A345" i="29" s="1"/>
  <c r="A346" i="29" s="1"/>
  <c r="A347" i="29" s="1"/>
  <c r="A348" i="29" s="1"/>
  <c r="A349" i="29" s="1"/>
  <c r="A350" i="29" s="1"/>
  <c r="A351" i="29" s="1"/>
  <c r="A352" i="29" s="1"/>
  <c r="A353" i="29" s="1"/>
  <c r="A354" i="29" s="1"/>
  <c r="A355" i="29" s="1"/>
  <c r="A356" i="29" s="1"/>
  <c r="A357" i="29" s="1"/>
  <c r="A358" i="29" s="1"/>
  <c r="A359" i="29" s="1"/>
  <c r="A360" i="29" s="1"/>
  <c r="A361" i="29" s="1"/>
  <c r="A362" i="29" s="1"/>
  <c r="A363" i="29" s="1"/>
  <c r="A364" i="29" s="1"/>
  <c r="A365" i="29" s="1"/>
  <c r="A366" i="29" s="1"/>
  <c r="A367" i="29" s="1"/>
  <c r="A368" i="29" s="1"/>
  <c r="A369" i="29" s="1"/>
  <c r="A370" i="29" s="1"/>
  <c r="A371" i="29" s="1"/>
  <c r="A372" i="29" s="1"/>
  <c r="A373" i="29" s="1"/>
  <c r="A374" i="29" s="1"/>
  <c r="A375" i="29" s="1"/>
  <c r="A376" i="29" s="1"/>
  <c r="A377" i="29" s="1"/>
  <c r="A378" i="29" s="1"/>
  <c r="A379" i="29" s="1"/>
  <c r="A380" i="29" s="1"/>
  <c r="A381" i="29" s="1"/>
  <c r="A382" i="29" s="1"/>
  <c r="A383" i="29" s="1"/>
  <c r="A384" i="29" s="1"/>
  <c r="A385" i="29" s="1"/>
  <c r="A386" i="29" s="1"/>
  <c r="A387" i="29" s="1"/>
  <c r="A388" i="29" s="1"/>
  <c r="A389" i="29" s="1"/>
  <c r="A390" i="29" s="1"/>
  <c r="A391" i="29" s="1"/>
  <c r="A392" i="29" s="1"/>
  <c r="A393" i="29" s="1"/>
  <c r="A394" i="29" s="1"/>
  <c r="A395" i="29" s="1"/>
  <c r="A396" i="29" s="1"/>
  <c r="A397" i="29" s="1"/>
  <c r="A398" i="29" s="1"/>
  <c r="A399" i="29" s="1"/>
  <c r="A400" i="29" s="1"/>
  <c r="A401" i="29" s="1"/>
  <c r="A402" i="29" s="1"/>
  <c r="A403" i="29" s="1"/>
  <c r="A404" i="29" s="1"/>
  <c r="A405" i="29" s="1"/>
  <c r="A406" i="29" s="1"/>
  <c r="A407" i="29" s="1"/>
  <c r="A408" i="29" s="1"/>
  <c r="A409" i="29" s="1"/>
  <c r="A410" i="29" s="1"/>
  <c r="A411" i="29" s="1"/>
  <c r="A412" i="29" s="1"/>
  <c r="A413" i="29" s="1"/>
  <c r="A414" i="29" s="1"/>
  <c r="A415" i="29" s="1"/>
  <c r="A416" i="29" s="1"/>
  <c r="A417" i="29" s="1"/>
  <c r="A418" i="29" s="1"/>
  <c r="A419" i="29" s="1"/>
  <c r="A420" i="29" s="1"/>
  <c r="A421" i="29" s="1"/>
  <c r="A422" i="29" s="1"/>
  <c r="A423" i="29" s="1"/>
  <c r="A424" i="29" s="1"/>
  <c r="A425" i="29" s="1"/>
  <c r="A426" i="29" s="1"/>
  <c r="A427" i="29" s="1"/>
  <c r="A428" i="29" s="1"/>
  <c r="A429" i="29" s="1"/>
  <c r="A430" i="29" s="1"/>
  <c r="A431" i="29" s="1"/>
  <c r="A432" i="29" s="1"/>
  <c r="A433" i="29" s="1"/>
  <c r="A434" i="29" s="1"/>
  <c r="A435" i="29" s="1"/>
  <c r="A436" i="29" s="1"/>
  <c r="A437" i="29" s="1"/>
  <c r="A438" i="29" s="1"/>
  <c r="A439" i="29" s="1"/>
  <c r="A440" i="29" s="1"/>
  <c r="A441" i="29" s="1"/>
  <c r="A442" i="29" s="1"/>
  <c r="A443" i="29" s="1"/>
  <c r="A444" i="29" s="1"/>
  <c r="A445" i="29" s="1"/>
  <c r="A446" i="29" s="1"/>
  <c r="A447" i="29" s="1"/>
  <c r="A448" i="29" s="1"/>
  <c r="A449" i="29" s="1"/>
  <c r="A450" i="29" s="1"/>
  <c r="A451" i="29" s="1"/>
  <c r="A452" i="29" s="1"/>
  <c r="A453" i="29" s="1"/>
  <c r="A454" i="29" s="1"/>
  <c r="A455" i="29" s="1"/>
  <c r="A456" i="29" s="1"/>
  <c r="A457" i="29" s="1"/>
  <c r="A458" i="29" s="1"/>
  <c r="A459" i="29" s="1"/>
  <c r="A460" i="29" s="1"/>
  <c r="A461" i="29" s="1"/>
  <c r="A462" i="29" s="1"/>
  <c r="A463" i="29" s="1"/>
  <c r="A464" i="29" s="1"/>
  <c r="A465" i="29" s="1"/>
  <c r="A466" i="29" s="1"/>
  <c r="A467" i="29" s="1"/>
  <c r="A468" i="29" s="1"/>
  <c r="A469" i="29" s="1"/>
  <c r="A470" i="29" s="1"/>
  <c r="A471" i="29" s="1"/>
  <c r="A472" i="29" s="1"/>
  <c r="A473" i="29" s="1"/>
  <c r="A474" i="29" s="1"/>
  <c r="A475" i="29" s="1"/>
  <c r="A476" i="29" s="1"/>
  <c r="A477" i="29" s="1"/>
  <c r="A478" i="29" s="1"/>
  <c r="A479" i="29" s="1"/>
  <c r="A480" i="29" s="1"/>
  <c r="A481" i="29" s="1"/>
  <c r="A482" i="29" s="1"/>
  <c r="A483" i="29" s="1"/>
  <c r="A484" i="29" s="1"/>
  <c r="A485" i="29" s="1"/>
  <c r="A486" i="29" s="1"/>
  <c r="A487" i="29" s="1"/>
  <c r="A488" i="29" s="1"/>
  <c r="A489" i="29" s="1"/>
  <c r="A490" i="29" s="1"/>
  <c r="A491" i="29" s="1"/>
  <c r="A492" i="29" s="1"/>
  <c r="A493" i="29" s="1"/>
  <c r="A494" i="29" s="1"/>
  <c r="A495" i="29" s="1"/>
  <c r="A496" i="29" s="1"/>
  <c r="A497" i="29" s="1"/>
  <c r="A498" i="29" s="1"/>
  <c r="A499" i="29" s="1"/>
  <c r="A500" i="29" s="1"/>
  <c r="A501" i="29" s="1"/>
  <c r="A502" i="29" s="1"/>
  <c r="A503" i="29" s="1"/>
  <c r="A504" i="29" s="1"/>
  <c r="A505" i="29" s="1"/>
  <c r="A506" i="29" s="1"/>
  <c r="A507" i="29" s="1"/>
  <c r="A508" i="29" s="1"/>
  <c r="A509" i="29" s="1"/>
  <c r="A510" i="29" s="1"/>
  <c r="A511" i="29" s="1"/>
  <c r="A512" i="29" s="1"/>
  <c r="A513" i="29" s="1"/>
  <c r="A514" i="29" s="1"/>
  <c r="A515" i="29" s="1"/>
  <c r="A516" i="29" s="1"/>
  <c r="A517" i="29" s="1"/>
  <c r="A518" i="29" s="1"/>
  <c r="A519" i="29" s="1"/>
  <c r="A520" i="29" s="1"/>
  <c r="A521" i="29" s="1"/>
  <c r="A522" i="29" s="1"/>
  <c r="A523" i="29" s="1"/>
  <c r="A524" i="29" s="1"/>
  <c r="A525" i="29" s="1"/>
  <c r="A526" i="29" s="1"/>
  <c r="A527" i="29" s="1"/>
  <c r="A528" i="29" s="1"/>
  <c r="A529" i="29" s="1"/>
  <c r="A530" i="29" s="1"/>
  <c r="A531" i="29" s="1"/>
  <c r="A532" i="29" s="1"/>
  <c r="A533" i="29" s="1"/>
  <c r="A534" i="29" s="1"/>
  <c r="A535" i="29" s="1"/>
  <c r="A536" i="29" s="1"/>
  <c r="A537" i="29" s="1"/>
  <c r="A538" i="29" s="1"/>
  <c r="A539" i="29" s="1"/>
  <c r="A540" i="29" s="1"/>
  <c r="A541" i="29" s="1"/>
  <c r="A542" i="29" s="1"/>
  <c r="A543" i="29" s="1"/>
  <c r="A544" i="29" s="1"/>
  <c r="A545" i="29" s="1"/>
  <c r="A546" i="29" s="1"/>
  <c r="A547" i="29" s="1"/>
  <c r="A548" i="29" s="1"/>
  <c r="A549" i="29" s="1"/>
  <c r="A550" i="29" s="1"/>
  <c r="A551" i="29" s="1"/>
  <c r="A552" i="29" s="1"/>
  <c r="A553" i="29" s="1"/>
  <c r="A554" i="29" s="1"/>
  <c r="A555" i="29" s="1"/>
  <c r="A556" i="29" s="1"/>
  <c r="A557" i="29" s="1"/>
  <c r="A558" i="29" s="1"/>
  <c r="A559" i="29" s="1"/>
  <c r="A560" i="29" s="1"/>
  <c r="A561" i="29" s="1"/>
  <c r="A562" i="29" s="1"/>
  <c r="A563" i="29" s="1"/>
  <c r="A564" i="29" s="1"/>
  <c r="A565" i="29" s="1"/>
  <c r="A566" i="29" s="1"/>
  <c r="A567" i="29" s="1"/>
  <c r="A568" i="29" s="1"/>
  <c r="A569" i="29" s="1"/>
  <c r="A570" i="29" s="1"/>
  <c r="A571" i="29" s="1"/>
  <c r="A572" i="29" s="1"/>
  <c r="A573" i="29" s="1"/>
  <c r="A574" i="29" s="1"/>
  <c r="A575" i="29" s="1"/>
  <c r="A576" i="29" s="1"/>
  <c r="A577" i="29" s="1"/>
  <c r="A578" i="29" s="1"/>
  <c r="A579" i="29" s="1"/>
  <c r="A580" i="29" s="1"/>
  <c r="A581" i="29" s="1"/>
  <c r="A582" i="29" s="1"/>
  <c r="A583" i="29" s="1"/>
  <c r="A584" i="29" s="1"/>
  <c r="A585" i="29" s="1"/>
  <c r="A586" i="29" s="1"/>
  <c r="A587" i="29" s="1"/>
  <c r="A588" i="29" s="1"/>
  <c r="A589" i="29" s="1"/>
  <c r="A590" i="29" s="1"/>
  <c r="A591" i="29" s="1"/>
  <c r="A592" i="29" s="1"/>
  <c r="A593" i="29" s="1"/>
  <c r="A594" i="29" s="1"/>
  <c r="A595" i="29" s="1"/>
  <c r="A596" i="29" s="1"/>
  <c r="A597" i="29" s="1"/>
  <c r="A598" i="29" s="1"/>
  <c r="A599" i="29" s="1"/>
  <c r="A600" i="29" s="1"/>
  <c r="A601" i="29" s="1"/>
  <c r="A602" i="29" s="1"/>
  <c r="A603" i="29" s="1"/>
  <c r="A604" i="29" s="1"/>
  <c r="A605" i="29" s="1"/>
  <c r="A606" i="29" s="1"/>
  <c r="A607" i="29" s="1"/>
  <c r="A608" i="29" s="1"/>
  <c r="A609" i="29" s="1"/>
  <c r="M4" i="8" l="1"/>
  <c r="K4" i="8"/>
  <c r="AD37" i="27"/>
  <c r="AD28" i="27"/>
  <c r="C15" i="9" s="1"/>
  <c r="AD35" i="27"/>
  <c r="AD34" i="27"/>
  <c r="AD39" i="27"/>
  <c r="AD32" i="27"/>
  <c r="AD31" i="27"/>
  <c r="AD38" i="27"/>
  <c r="AD36" i="27"/>
  <c r="AD33" i="27"/>
  <c r="C14" i="9"/>
  <c r="T36" i="27"/>
  <c r="W36" i="27" s="1"/>
  <c r="C28" i="9"/>
  <c r="C30" i="9"/>
  <c r="C4" i="8"/>
  <c r="C14" i="27" l="1"/>
  <c r="C25" i="27" s="1"/>
  <c r="C36" i="27" s="1"/>
  <c r="C15" i="27"/>
  <c r="C26" i="27" s="1"/>
  <c r="C37" i="27" s="1"/>
  <c r="C16" i="27"/>
  <c r="C27" i="27" s="1"/>
  <c r="C38" i="27" s="1"/>
  <c r="C17" i="27"/>
  <c r="C28" i="27" s="1"/>
  <c r="C39" i="27" s="1"/>
  <c r="C18" i="27"/>
  <c r="C29" i="27" s="1"/>
  <c r="C19" i="27"/>
  <c r="C30" i="27" s="1"/>
  <c r="C20" i="27"/>
  <c r="C31" i="27" s="1"/>
  <c r="C21" i="27"/>
  <c r="C32" i="27" s="1"/>
  <c r="C22" i="27"/>
  <c r="C33" i="27" s="1"/>
  <c r="C23" i="27"/>
  <c r="C34" i="27" s="1"/>
  <c r="C13" i="27"/>
  <c r="C24" i="27" s="1"/>
  <c r="C35" i="27" s="1"/>
  <c r="E26" i="27"/>
  <c r="G26" i="27"/>
  <c r="E27" i="27"/>
  <c r="G27" i="27"/>
  <c r="T27" i="27" l="1"/>
  <c r="W27" i="27" s="1"/>
  <c r="T26" i="27"/>
  <c r="W26" i="27" s="1"/>
  <c r="G25" i="27" l="1"/>
  <c r="E25" i="27"/>
  <c r="G24" i="27"/>
  <c r="E24" i="27"/>
  <c r="G23" i="27"/>
  <c r="E23" i="27"/>
  <c r="G22" i="27"/>
  <c r="E22" i="27"/>
  <c r="G21" i="27"/>
  <c r="E21" i="27"/>
  <c r="G20" i="27"/>
  <c r="E20" i="27"/>
  <c r="G19" i="27"/>
  <c r="E19" i="27"/>
  <c r="G18" i="27"/>
  <c r="E18" i="27"/>
  <c r="G17" i="27"/>
  <c r="E17" i="27"/>
  <c r="G16" i="27"/>
  <c r="E16" i="27"/>
  <c r="G15" i="27"/>
  <c r="E15" i="27"/>
  <c r="G14" i="27"/>
  <c r="E14" i="27"/>
  <c r="G13" i="27"/>
  <c r="E13" i="27"/>
  <c r="G12" i="27"/>
  <c r="E12" i="27"/>
  <c r="G11" i="27"/>
  <c r="E11" i="27"/>
  <c r="G10" i="27"/>
  <c r="E10" i="27"/>
  <c r="G9" i="27"/>
  <c r="E9" i="27"/>
  <c r="G8" i="27"/>
  <c r="E8" i="27"/>
  <c r="G7" i="27"/>
  <c r="E7" i="27"/>
  <c r="G6" i="27"/>
  <c r="E6" i="27"/>
  <c r="G5" i="27"/>
  <c r="E5" i="27"/>
  <c r="G4" i="27"/>
  <c r="E4" i="27"/>
  <c r="G3" i="27"/>
  <c r="E3" i="27"/>
  <c r="A3" i="27"/>
  <c r="A4" i="27" s="1"/>
  <c r="A5" i="27" s="1"/>
  <c r="A6" i="27" s="1"/>
  <c r="A7" i="27" s="1"/>
  <c r="A8" i="27" s="1"/>
  <c r="A9" i="27" s="1"/>
  <c r="A10" i="27" s="1"/>
  <c r="A11" i="27" s="1"/>
  <c r="A12" i="27" s="1"/>
  <c r="A13" i="27" s="1"/>
  <c r="A14" i="27" s="1"/>
  <c r="A15" i="27" s="1"/>
  <c r="A16" i="27" s="1"/>
  <c r="A17" i="27" s="1"/>
  <c r="A18" i="27" s="1"/>
  <c r="A19" i="27" s="1"/>
  <c r="A20" i="27" s="1"/>
  <c r="A21" i="27" s="1"/>
  <c r="A22" i="27" s="1"/>
  <c r="A23" i="27" s="1"/>
  <c r="A24" i="27" s="1"/>
  <c r="A25" i="27" s="1"/>
  <c r="A26" i="27" s="1"/>
  <c r="A27" i="27" s="1"/>
  <c r="A28" i="27" s="1"/>
  <c r="A29" i="27" s="1"/>
  <c r="A30" i="27" s="1"/>
  <c r="A31" i="27" s="1"/>
  <c r="A32" i="27" s="1"/>
  <c r="A33" i="27" s="1"/>
  <c r="A34" i="27" s="1"/>
  <c r="A35" i="27" s="1"/>
  <c r="A36" i="27" s="1"/>
  <c r="A37" i="27" s="1"/>
  <c r="A38" i="27" s="1"/>
  <c r="A39" i="27" s="1"/>
  <c r="G2" i="27"/>
  <c r="E2" i="27"/>
  <c r="T17" i="27" l="1"/>
  <c r="W17" i="27" s="1"/>
  <c r="T12" i="27"/>
  <c r="W12" i="27" s="1"/>
  <c r="T8" i="27"/>
  <c r="W8" i="27" s="1"/>
  <c r="T5" i="27"/>
  <c r="W5" i="27" s="1"/>
  <c r="T19" i="27"/>
  <c r="W19" i="27" s="1"/>
  <c r="T21" i="27"/>
  <c r="W21" i="27" s="1"/>
  <c r="T11" i="27"/>
  <c r="W11" i="27" s="1"/>
  <c r="T25" i="27"/>
  <c r="W25" i="27" s="1"/>
  <c r="T2" i="27"/>
  <c r="W2" i="27" s="1"/>
  <c r="T14" i="27"/>
  <c r="W14" i="27" s="1"/>
  <c r="T3" i="27"/>
  <c r="W3" i="27" s="1"/>
  <c r="T9" i="27"/>
  <c r="W9" i="27" s="1"/>
  <c r="T4" i="27"/>
  <c r="W4" i="27" s="1"/>
  <c r="T10" i="27"/>
  <c r="W10" i="27" s="1"/>
  <c r="T22" i="27"/>
  <c r="W22" i="27" s="1"/>
  <c r="T6" i="27"/>
  <c r="W6" i="27" s="1"/>
  <c r="T7" i="27"/>
  <c r="W7" i="27" s="1"/>
  <c r="T13" i="27"/>
  <c r="W13" i="27" s="1"/>
  <c r="T16" i="27"/>
  <c r="W16" i="27" s="1"/>
  <c r="T20" i="27"/>
  <c r="W20" i="27" s="1"/>
  <c r="T24" i="27"/>
  <c r="W24" i="27" s="1"/>
  <c r="T15" i="27"/>
  <c r="W15" i="27" s="1"/>
  <c r="T23" i="27"/>
  <c r="W23" i="27" s="1"/>
  <c r="T18" i="27"/>
  <c r="W18" i="27" s="1"/>
  <c r="C2" i="28" l="1"/>
  <c r="B2" i="28"/>
  <c r="A3" i="28"/>
  <c r="E2" i="28"/>
  <c r="D2" i="28"/>
  <c r="AD2" i="28" l="1"/>
  <c r="AC2" i="28"/>
  <c r="AQ2" i="28"/>
  <c r="AP2" i="28"/>
  <c r="AH2" i="28"/>
  <c r="AG2" i="28"/>
  <c r="AF2" i="28"/>
  <c r="B3" i="29"/>
  <c r="C3" i="29"/>
  <c r="D3" i="29"/>
  <c r="A4" i="28"/>
  <c r="E3" i="28"/>
  <c r="D3" i="28"/>
  <c r="C3" i="28"/>
  <c r="B3" i="28"/>
  <c r="AD3" i="28" l="1"/>
  <c r="AC3" i="28"/>
  <c r="AR3" i="28"/>
  <c r="AQ3" i="28"/>
  <c r="AH3" i="28"/>
  <c r="AP3" i="28"/>
  <c r="AG3" i="28"/>
  <c r="AF3" i="28"/>
  <c r="B4" i="29"/>
  <c r="C4" i="29"/>
  <c r="D4" i="29"/>
  <c r="E4" i="28"/>
  <c r="D4" i="28"/>
  <c r="C4" i="28"/>
  <c r="B4" i="28"/>
  <c r="A5" i="28"/>
  <c r="AD4" i="28" l="1"/>
  <c r="AC4" i="28"/>
  <c r="AR4" i="28"/>
  <c r="B5" i="29"/>
  <c r="C5" i="29"/>
  <c r="D5" i="29"/>
  <c r="AQ4" i="28"/>
  <c r="AH4" i="28"/>
  <c r="AG4" i="28"/>
  <c r="AP4" i="28"/>
  <c r="AF4" i="28"/>
  <c r="A6" i="28"/>
  <c r="E5" i="28"/>
  <c r="D5" i="28"/>
  <c r="C5" i="28"/>
  <c r="B5" i="28"/>
  <c r="AD5" i="28" l="1"/>
  <c r="AC5" i="28"/>
  <c r="AR5" i="28"/>
  <c r="AQ5" i="28"/>
  <c r="AP5" i="28"/>
  <c r="AH5" i="28"/>
  <c r="AG5" i="28"/>
  <c r="AF5" i="28"/>
  <c r="B6" i="29"/>
  <c r="C6" i="29"/>
  <c r="D6" i="29"/>
  <c r="A7" i="28"/>
  <c r="E6" i="28"/>
  <c r="D6" i="28"/>
  <c r="C6" i="28"/>
  <c r="B6" i="28"/>
  <c r="AD6" i="28" l="1"/>
  <c r="AC6" i="28"/>
  <c r="AR6" i="28"/>
  <c r="AQ6" i="28"/>
  <c r="AP6" i="28"/>
  <c r="AG6" i="28"/>
  <c r="AH6" i="28"/>
  <c r="AF6" i="28"/>
  <c r="C7" i="29"/>
  <c r="B7" i="29"/>
  <c r="D7" i="29"/>
  <c r="B7" i="28"/>
  <c r="A8" i="28"/>
  <c r="E7" i="28"/>
  <c r="D7" i="28"/>
  <c r="C7" i="28"/>
  <c r="AD7" i="28" l="1"/>
  <c r="AC7" i="28"/>
  <c r="AR7" i="28"/>
  <c r="AP7" i="28"/>
  <c r="AH7" i="28"/>
  <c r="AQ7" i="28"/>
  <c r="AG7" i="28"/>
  <c r="AF7" i="28"/>
  <c r="C8" i="29"/>
  <c r="B8" i="29"/>
  <c r="D8" i="29"/>
  <c r="A9" i="28"/>
  <c r="E8" i="28"/>
  <c r="D8" i="28"/>
  <c r="C8" i="28"/>
  <c r="B8" i="28"/>
  <c r="AD8" i="28" l="1"/>
  <c r="AC8" i="28"/>
  <c r="AR8" i="28"/>
  <c r="AQ8" i="28"/>
  <c r="AP8" i="28"/>
  <c r="AH8" i="28"/>
  <c r="AG8" i="28"/>
  <c r="AF8" i="28"/>
  <c r="B9" i="29"/>
  <c r="C9" i="29"/>
  <c r="D9" i="29"/>
  <c r="D9" i="28"/>
  <c r="C9" i="28"/>
  <c r="B9" i="28"/>
  <c r="A10" i="28"/>
  <c r="E9" i="28"/>
  <c r="AD9" i="28" l="1"/>
  <c r="AC9" i="28"/>
  <c r="AR9" i="28"/>
  <c r="B10" i="29"/>
  <c r="C10" i="29"/>
  <c r="D10" i="29"/>
  <c r="AQ9" i="28"/>
  <c r="AP9" i="28"/>
  <c r="AH9" i="28"/>
  <c r="AG9" i="28"/>
  <c r="AF9" i="28"/>
  <c r="A11" i="28"/>
  <c r="E10" i="28"/>
  <c r="D10" i="28"/>
  <c r="C10" i="28"/>
  <c r="B10" i="28"/>
  <c r="AD10" i="28" l="1"/>
  <c r="AC10" i="28"/>
  <c r="AR10" i="28"/>
  <c r="AQ10" i="28"/>
  <c r="AP10" i="28"/>
  <c r="AH10" i="28"/>
  <c r="AF10" i="28"/>
  <c r="AG10" i="28"/>
  <c r="B11" i="29"/>
  <c r="C11" i="29"/>
  <c r="D11" i="29"/>
  <c r="A12" i="28"/>
  <c r="E11" i="28"/>
  <c r="D11" i="28"/>
  <c r="C11" i="28"/>
  <c r="B11" i="28"/>
  <c r="AD11" i="28" l="1"/>
  <c r="AC11" i="28"/>
  <c r="AR11" i="28"/>
  <c r="AP11" i="28"/>
  <c r="AH11" i="28"/>
  <c r="AF11" i="28"/>
  <c r="AQ11" i="28"/>
  <c r="AG11" i="28"/>
  <c r="C12" i="29"/>
  <c r="B12" i="29"/>
  <c r="D12" i="29"/>
  <c r="A13" i="28"/>
  <c r="E12" i="28"/>
  <c r="D12" i="28"/>
  <c r="C12" i="28"/>
  <c r="B12" i="28"/>
  <c r="AD12" i="28" l="1"/>
  <c r="AC12" i="28"/>
  <c r="AR12" i="28"/>
  <c r="AQ12" i="28"/>
  <c r="AP12" i="28"/>
  <c r="AH12" i="28"/>
  <c r="AF12" i="28"/>
  <c r="AG12" i="28"/>
  <c r="B13" i="29"/>
  <c r="C13" i="29"/>
  <c r="D13" i="29"/>
  <c r="A14" i="28"/>
  <c r="E13" i="28"/>
  <c r="D13" i="28"/>
  <c r="C13" i="28"/>
  <c r="B13" i="28"/>
  <c r="AD13" i="28" l="1"/>
  <c r="AC13" i="28"/>
  <c r="AR13" i="28"/>
  <c r="AQ13" i="28"/>
  <c r="AP13" i="28"/>
  <c r="AH13" i="28"/>
  <c r="AG13" i="28"/>
  <c r="AF13" i="28"/>
  <c r="B14" i="29"/>
  <c r="C14" i="29"/>
  <c r="D14" i="29"/>
  <c r="C14" i="28"/>
  <c r="B14" i="28"/>
  <c r="A15" i="28"/>
  <c r="E14" i="28"/>
  <c r="D14" i="28"/>
  <c r="AD14" i="28" l="1"/>
  <c r="AC14" i="28"/>
  <c r="AR14" i="28"/>
  <c r="AQ14" i="28"/>
  <c r="AP14" i="28"/>
  <c r="AH14" i="28"/>
  <c r="AF14" i="28"/>
  <c r="AG14" i="28"/>
  <c r="B15" i="29"/>
  <c r="C15" i="29"/>
  <c r="D15" i="29"/>
  <c r="A16" i="28"/>
  <c r="E15" i="28"/>
  <c r="D15" i="28"/>
  <c r="C15" i="28"/>
  <c r="B15" i="28"/>
  <c r="AD15" i="28" l="1"/>
  <c r="AC15" i="28"/>
  <c r="AR15" i="28"/>
  <c r="AQ15" i="28"/>
  <c r="AP15" i="28"/>
  <c r="AH15" i="28"/>
  <c r="AF15" i="28"/>
  <c r="AG15" i="28"/>
  <c r="B16" i="29"/>
  <c r="C16" i="29"/>
  <c r="D16" i="29"/>
  <c r="E16" i="28"/>
  <c r="D16" i="28"/>
  <c r="C16" i="28"/>
  <c r="B16" i="28"/>
  <c r="A17" i="28"/>
  <c r="AD16" i="28" l="1"/>
  <c r="AC16" i="28"/>
  <c r="AR16" i="28"/>
  <c r="B17" i="29"/>
  <c r="C17" i="29"/>
  <c r="D17" i="29"/>
  <c r="AQ16" i="28"/>
  <c r="AH16" i="28"/>
  <c r="AP16" i="28"/>
  <c r="AG16" i="28"/>
  <c r="AF16" i="28"/>
  <c r="A18" i="28"/>
  <c r="E17" i="28"/>
  <c r="D17" i="28"/>
  <c r="C17" i="28"/>
  <c r="B17" i="28"/>
  <c r="AD17" i="28" l="1"/>
  <c r="AC17" i="28"/>
  <c r="AR17" i="28"/>
  <c r="AP17" i="28"/>
  <c r="AQ17" i="28"/>
  <c r="AH17" i="28"/>
  <c r="AG17" i="28"/>
  <c r="AF17" i="28"/>
  <c r="B18" i="29"/>
  <c r="C18" i="29"/>
  <c r="D18" i="29"/>
  <c r="A19" i="28"/>
  <c r="E18" i="28"/>
  <c r="D18" i="28"/>
  <c r="C18" i="28"/>
  <c r="B18" i="28"/>
  <c r="AD18" i="28" l="1"/>
  <c r="AC18" i="28"/>
  <c r="AR18" i="28"/>
  <c r="AP18" i="28"/>
  <c r="AQ18" i="28"/>
  <c r="AH18" i="28"/>
  <c r="AG18" i="28"/>
  <c r="AF18" i="28"/>
  <c r="B19" i="29"/>
  <c r="C19" i="29"/>
  <c r="D19" i="29"/>
  <c r="B19" i="28"/>
  <c r="A20" i="28"/>
  <c r="E19" i="28"/>
  <c r="D19" i="28"/>
  <c r="C19" i="28"/>
  <c r="AD19" i="28" l="1"/>
  <c r="AC19" i="28"/>
  <c r="AR19" i="28"/>
  <c r="AQ19" i="28"/>
  <c r="AH19" i="28"/>
  <c r="AP19" i="28"/>
  <c r="AG19" i="28"/>
  <c r="AF19" i="28"/>
  <c r="B20" i="29"/>
  <c r="C20" i="29"/>
  <c r="D20" i="29"/>
  <c r="A21" i="28"/>
  <c r="E20" i="28"/>
  <c r="D20" i="28"/>
  <c r="C20" i="28"/>
  <c r="B20" i="28"/>
  <c r="AD20" i="28" l="1"/>
  <c r="AC20" i="28"/>
  <c r="AR20" i="28"/>
  <c r="AQ20" i="28"/>
  <c r="AH20" i="28"/>
  <c r="AP20" i="28"/>
  <c r="AG20" i="28"/>
  <c r="AF20" i="28"/>
  <c r="B21" i="29"/>
  <c r="C21" i="29"/>
  <c r="D21" i="29"/>
  <c r="D21" i="28"/>
  <c r="C21" i="28"/>
  <c r="B21" i="28"/>
  <c r="A22" i="28"/>
  <c r="E21" i="28"/>
  <c r="AD21" i="28" l="1"/>
  <c r="AC21" i="28"/>
  <c r="AR21" i="28"/>
  <c r="B22" i="29"/>
  <c r="C22" i="29"/>
  <c r="D22" i="29"/>
  <c r="AP21" i="28"/>
  <c r="AQ21" i="28"/>
  <c r="AH21" i="28"/>
  <c r="AG21" i="28"/>
  <c r="AF21" i="28"/>
  <c r="A23" i="28"/>
  <c r="E22" i="28"/>
  <c r="D22" i="28"/>
  <c r="C22" i="28"/>
  <c r="B22" i="28"/>
  <c r="AD22" i="28" l="1"/>
  <c r="AC22" i="28"/>
  <c r="AR22" i="28"/>
  <c r="AQ22" i="28"/>
  <c r="AH22" i="28"/>
  <c r="AP22" i="28"/>
  <c r="AG22" i="28"/>
  <c r="AF22" i="28"/>
  <c r="B23" i="29"/>
  <c r="C23" i="29"/>
  <c r="D23" i="29"/>
  <c r="E23" i="28"/>
  <c r="D23" i="28"/>
  <c r="A24" i="28"/>
  <c r="C23" i="28"/>
  <c r="B23" i="28"/>
  <c r="AD23" i="28" l="1"/>
  <c r="AC23" i="28"/>
  <c r="AR23" i="28"/>
  <c r="B24" i="29"/>
  <c r="C24" i="29"/>
  <c r="D24" i="29"/>
  <c r="AQ23" i="28"/>
  <c r="AH23" i="28"/>
  <c r="AF23" i="28"/>
  <c r="AP23" i="28"/>
  <c r="AG23" i="28"/>
  <c r="A25" i="28"/>
  <c r="D24" i="28"/>
  <c r="C24" i="28"/>
  <c r="B24" i="28"/>
  <c r="E24" i="28"/>
  <c r="AD24" i="28" l="1"/>
  <c r="AC24" i="28"/>
  <c r="AR24" i="28"/>
  <c r="AQ24" i="28"/>
  <c r="AP24" i="28"/>
  <c r="AH24" i="28"/>
  <c r="AF24" i="28"/>
  <c r="AG24" i="28"/>
  <c r="B25" i="29"/>
  <c r="C25" i="29"/>
  <c r="D25" i="29"/>
  <c r="A26" i="28"/>
  <c r="D25" i="28"/>
  <c r="C25" i="28"/>
  <c r="B25" i="28"/>
  <c r="E25" i="28"/>
  <c r="AD25" i="28" l="1"/>
  <c r="AC25" i="28"/>
  <c r="AR25" i="28"/>
  <c r="AP25" i="28"/>
  <c r="AH25" i="28"/>
  <c r="AQ25" i="28"/>
  <c r="AF25" i="28"/>
  <c r="AG25" i="28"/>
  <c r="B26" i="29"/>
  <c r="C26" i="29"/>
  <c r="D26" i="29"/>
  <c r="A27" i="28"/>
  <c r="E26" i="28"/>
  <c r="D26" i="28"/>
  <c r="C26" i="28"/>
  <c r="B26" i="28"/>
  <c r="AD26" i="28" l="1"/>
  <c r="AC26" i="28"/>
  <c r="AR26" i="28"/>
  <c r="AQ26" i="28"/>
  <c r="AP26" i="28"/>
  <c r="AF26" i="28"/>
  <c r="AG26" i="28"/>
  <c r="AH26" i="28"/>
  <c r="B27" i="29"/>
  <c r="C27" i="29"/>
  <c r="D27" i="29"/>
  <c r="A28" i="28"/>
  <c r="E27" i="28"/>
  <c r="D27" i="28"/>
  <c r="C27" i="28"/>
  <c r="B27" i="28"/>
  <c r="AD27" i="28" l="1"/>
  <c r="AC27" i="28"/>
  <c r="AR27" i="28"/>
  <c r="AQ27" i="28"/>
  <c r="AP27" i="28"/>
  <c r="AH27" i="28"/>
  <c r="AF27" i="28"/>
  <c r="AG27" i="28"/>
  <c r="B28" i="29"/>
  <c r="C28" i="29"/>
  <c r="D28" i="29"/>
  <c r="A29" i="28"/>
  <c r="E28" i="28"/>
  <c r="D28" i="28"/>
  <c r="C28" i="28"/>
  <c r="B28" i="28"/>
  <c r="AD28" i="28" l="1"/>
  <c r="AC28" i="28"/>
  <c r="AR28" i="28"/>
  <c r="AQ28" i="28"/>
  <c r="AP28" i="28"/>
  <c r="AH28" i="28"/>
  <c r="AG28" i="28"/>
  <c r="AF28" i="28"/>
  <c r="B29" i="29"/>
  <c r="D29" i="29"/>
  <c r="C29" i="29"/>
  <c r="C29" i="28"/>
  <c r="B29" i="28"/>
  <c r="A30" i="28"/>
  <c r="E29" i="28"/>
  <c r="D29" i="28"/>
  <c r="AD29" i="28" l="1"/>
  <c r="AC29" i="28"/>
  <c r="AR29" i="28"/>
  <c r="AP29" i="28"/>
  <c r="AQ29" i="28"/>
  <c r="AH29" i="28"/>
  <c r="AG29" i="28"/>
  <c r="AF29" i="28"/>
  <c r="B30" i="29"/>
  <c r="C30" i="29"/>
  <c r="D30" i="29"/>
  <c r="A31" i="28"/>
  <c r="E30" i="28"/>
  <c r="D30" i="28"/>
  <c r="C30" i="28"/>
  <c r="B30" i="28"/>
  <c r="AD30" i="28" l="1"/>
  <c r="AC30" i="28"/>
  <c r="AR30" i="28"/>
  <c r="AP30" i="28"/>
  <c r="AG30" i="28"/>
  <c r="AH30" i="28"/>
  <c r="AQ30" i="28"/>
  <c r="AF30" i="28"/>
  <c r="C31" i="29"/>
  <c r="B31" i="29"/>
  <c r="D31" i="29"/>
  <c r="E31" i="28"/>
  <c r="D31" i="28"/>
  <c r="C31" i="28"/>
  <c r="B31" i="28"/>
  <c r="A32" i="28"/>
  <c r="AD31" i="28" l="1"/>
  <c r="AC31" i="28"/>
  <c r="AR31" i="28"/>
  <c r="C32" i="29"/>
  <c r="B32" i="29"/>
  <c r="D32" i="29"/>
  <c r="AQ31" i="28"/>
  <c r="AH31" i="28"/>
  <c r="AG31" i="28"/>
  <c r="AP31" i="28"/>
  <c r="AF31" i="28"/>
  <c r="A33" i="28"/>
  <c r="E32" i="28"/>
  <c r="D32" i="28"/>
  <c r="C32" i="28"/>
  <c r="B32" i="28"/>
  <c r="AD32" i="28" l="1"/>
  <c r="AC32" i="28"/>
  <c r="AR32" i="28"/>
  <c r="AP32" i="28"/>
  <c r="AQ32" i="28"/>
  <c r="AH32" i="28"/>
  <c r="AF32" i="28"/>
  <c r="AG32" i="28"/>
  <c r="B33" i="29"/>
  <c r="C33" i="29"/>
  <c r="D33" i="29"/>
  <c r="A34" i="28"/>
  <c r="E33" i="28"/>
  <c r="D33" i="28"/>
  <c r="C33" i="28"/>
  <c r="B33" i="28"/>
  <c r="AD33" i="28" l="1"/>
  <c r="AC33" i="28"/>
  <c r="AR33" i="28"/>
  <c r="AQ33" i="28"/>
  <c r="AP33" i="28"/>
  <c r="AH33" i="28"/>
  <c r="AG33" i="28"/>
  <c r="AF33" i="28"/>
  <c r="B34" i="29"/>
  <c r="C34" i="29"/>
  <c r="D34" i="29"/>
  <c r="B34" i="28"/>
  <c r="A35" i="28"/>
  <c r="E34" i="28"/>
  <c r="D34" i="28"/>
  <c r="C34" i="28"/>
  <c r="AD34" i="28" l="1"/>
  <c r="AC34" i="28"/>
  <c r="AR34" i="28"/>
  <c r="AQ34" i="28"/>
  <c r="AP34" i="28"/>
  <c r="AH34" i="28"/>
  <c r="AG34" i="28"/>
  <c r="AF34" i="28"/>
  <c r="B35" i="29"/>
  <c r="C35" i="29"/>
  <c r="D35" i="29"/>
  <c r="A36" i="28"/>
  <c r="E35" i="28"/>
  <c r="D35" i="28"/>
  <c r="C35" i="28"/>
  <c r="B35" i="28"/>
  <c r="AD35" i="28" l="1"/>
  <c r="AC35" i="28"/>
  <c r="AR35" i="28"/>
  <c r="AQ35" i="28"/>
  <c r="AP35" i="28"/>
  <c r="AF35" i="28"/>
  <c r="AG35" i="28"/>
  <c r="AH35" i="28"/>
  <c r="C36" i="29"/>
  <c r="B36" i="29"/>
  <c r="D36" i="29"/>
  <c r="D36" i="28"/>
  <c r="C36" i="28"/>
  <c r="B36" i="28"/>
  <c r="A37" i="28"/>
  <c r="E36" i="28"/>
  <c r="AD36" i="28" l="1"/>
  <c r="AC36" i="28"/>
  <c r="AR36" i="28"/>
  <c r="B37" i="29"/>
  <c r="C37" i="29"/>
  <c r="D37" i="29"/>
  <c r="AQ36" i="28"/>
  <c r="AP36" i="28"/>
  <c r="AF36" i="28"/>
  <c r="AG36" i="28"/>
  <c r="AH36" i="28"/>
  <c r="A38" i="28"/>
  <c r="E37" i="28"/>
  <c r="D37" i="28"/>
  <c r="C37" i="28"/>
  <c r="B37" i="28"/>
  <c r="AD37" i="28" l="1"/>
  <c r="AC37" i="28"/>
  <c r="AR37" i="28"/>
  <c r="AQ37" i="28"/>
  <c r="AP37" i="28"/>
  <c r="AH37" i="28"/>
  <c r="AG37" i="28"/>
  <c r="AF37" i="28"/>
  <c r="B38" i="29"/>
  <c r="C38" i="29"/>
  <c r="D38" i="29"/>
  <c r="A39" i="28"/>
  <c r="E38" i="28"/>
  <c r="D38" i="28"/>
  <c r="C38" i="28"/>
  <c r="B38" i="28"/>
  <c r="AD38" i="28" l="1"/>
  <c r="AC38" i="28"/>
  <c r="AR38" i="28"/>
  <c r="AQ38" i="28"/>
  <c r="AP38" i="28"/>
  <c r="AH38" i="28"/>
  <c r="AF38" i="28"/>
  <c r="AG38" i="28"/>
  <c r="B39" i="29"/>
  <c r="C39" i="29"/>
  <c r="D39" i="29"/>
  <c r="A40" i="28"/>
  <c r="E39" i="28"/>
  <c r="D39" i="28"/>
  <c r="C39" i="28"/>
  <c r="B39" i="28"/>
  <c r="AD39" i="28" l="1"/>
  <c r="AC39" i="28"/>
  <c r="AR39" i="28"/>
  <c r="AQ39" i="28"/>
  <c r="AP39" i="28"/>
  <c r="AH39" i="28"/>
  <c r="AF39" i="28"/>
  <c r="AG39" i="28"/>
  <c r="B40" i="29"/>
  <c r="C40" i="29"/>
  <c r="D40" i="29"/>
  <c r="A41" i="28"/>
  <c r="E40" i="28"/>
  <c r="D40" i="28"/>
  <c r="C40" i="28"/>
  <c r="B40" i="28"/>
  <c r="AD40" i="28" l="1"/>
  <c r="AC40" i="28"/>
  <c r="AR40" i="28"/>
  <c r="AQ40" i="28"/>
  <c r="AP40" i="28"/>
  <c r="AH40" i="28"/>
  <c r="AG40" i="28"/>
  <c r="AF40" i="28"/>
  <c r="B41" i="29"/>
  <c r="C41" i="29"/>
  <c r="D41" i="29"/>
  <c r="C41" i="28"/>
  <c r="B41" i="28"/>
  <c r="A42" i="28"/>
  <c r="E41" i="28"/>
  <c r="D41" i="28"/>
  <c r="AD41" i="28" l="1"/>
  <c r="AC41" i="28"/>
  <c r="AR41" i="28"/>
  <c r="AP41" i="28"/>
  <c r="AH41" i="28"/>
  <c r="AQ41" i="28"/>
  <c r="AF41" i="28"/>
  <c r="AG41" i="28"/>
  <c r="B42" i="29"/>
  <c r="C42" i="29"/>
  <c r="D42" i="29"/>
  <c r="A43" i="28"/>
  <c r="E42" i="28"/>
  <c r="D42" i="28"/>
  <c r="C42" i="28"/>
  <c r="B42" i="28"/>
  <c r="AD42" i="28" l="1"/>
  <c r="AC42" i="28"/>
  <c r="AR42" i="28"/>
  <c r="AQ42" i="28"/>
  <c r="AP42" i="28"/>
  <c r="AH42" i="28"/>
  <c r="AG42" i="28"/>
  <c r="AF42" i="28"/>
  <c r="C43" i="29"/>
  <c r="B43" i="29"/>
  <c r="D43" i="29"/>
  <c r="E43" i="28"/>
  <c r="D43" i="28"/>
  <c r="C43" i="28"/>
  <c r="B43" i="28"/>
  <c r="A44" i="28"/>
  <c r="AD43" i="28" l="1"/>
  <c r="AC43" i="28"/>
  <c r="AR43" i="28"/>
  <c r="C44" i="29"/>
  <c r="B44" i="29"/>
  <c r="D44" i="29"/>
  <c r="AQ43" i="28"/>
  <c r="AP43" i="28"/>
  <c r="AH43" i="28"/>
  <c r="AG43" i="28"/>
  <c r="AF43" i="28"/>
  <c r="A45" i="28"/>
  <c r="E44" i="28"/>
  <c r="D44" i="28"/>
  <c r="C44" i="28"/>
  <c r="B44" i="28"/>
  <c r="AD44" i="28" l="1"/>
  <c r="AC44" i="28"/>
  <c r="AR44" i="28"/>
  <c r="AP44" i="28"/>
  <c r="AH44" i="28"/>
  <c r="AQ44" i="28"/>
  <c r="AG44" i="28"/>
  <c r="AF44" i="28"/>
  <c r="B45" i="29"/>
  <c r="C45" i="29"/>
  <c r="D45" i="29"/>
  <c r="A46" i="28"/>
  <c r="E45" i="28"/>
  <c r="D45" i="28"/>
  <c r="C45" i="28"/>
  <c r="B45" i="28"/>
  <c r="AD45" i="28" l="1"/>
  <c r="AC45" i="28"/>
  <c r="AR45" i="28"/>
  <c r="AP45" i="28"/>
  <c r="AQ45" i="28"/>
  <c r="AH45" i="28"/>
  <c r="AG45" i="28"/>
  <c r="AF45" i="28"/>
  <c r="B46" i="29"/>
  <c r="C46" i="29"/>
  <c r="D46" i="29"/>
  <c r="B46" i="28"/>
  <c r="A47" i="28"/>
  <c r="E46" i="28"/>
  <c r="D46" i="28"/>
  <c r="C46" i="28"/>
  <c r="AD46" i="28" l="1"/>
  <c r="AC46" i="28"/>
  <c r="AR46" i="28"/>
  <c r="AQ46" i="28"/>
  <c r="AP46" i="28"/>
  <c r="AH46" i="28"/>
  <c r="AG46" i="28"/>
  <c r="AF46" i="28"/>
  <c r="B47" i="29"/>
  <c r="C47" i="29"/>
  <c r="D47" i="29"/>
  <c r="A48" i="28"/>
  <c r="E47" i="28"/>
  <c r="D47" i="28"/>
  <c r="C47" i="28"/>
  <c r="B47" i="28"/>
  <c r="AD47" i="28" l="1"/>
  <c r="AC47" i="28"/>
  <c r="AR47" i="28"/>
  <c r="AQ47" i="28"/>
  <c r="AP47" i="28"/>
  <c r="AF47" i="28"/>
  <c r="AH47" i="28"/>
  <c r="AG47" i="28"/>
  <c r="C48" i="29"/>
  <c r="D48" i="29"/>
  <c r="B48" i="29"/>
  <c r="D48" i="28"/>
  <c r="C48" i="28"/>
  <c r="B48" i="28"/>
  <c r="A49" i="28"/>
  <c r="E48" i="28"/>
  <c r="AD48" i="28" l="1"/>
  <c r="AC48" i="28"/>
  <c r="AR48" i="28"/>
  <c r="B49" i="29"/>
  <c r="C49" i="29"/>
  <c r="D49" i="29"/>
  <c r="AQ48" i="28"/>
  <c r="AP48" i="28"/>
  <c r="AH48" i="28"/>
  <c r="AF48" i="28"/>
  <c r="AG48" i="28"/>
  <c r="A50" i="28"/>
  <c r="E49" i="28"/>
  <c r="D49" i="28"/>
  <c r="C49" i="28"/>
  <c r="B49" i="28"/>
  <c r="AD49" i="28" l="1"/>
  <c r="AC49" i="28"/>
  <c r="AR49" i="28"/>
  <c r="AP49" i="28"/>
  <c r="AH49" i="28"/>
  <c r="AQ49" i="28"/>
  <c r="AG49" i="28"/>
  <c r="AF49" i="28"/>
  <c r="B50" i="29"/>
  <c r="C50" i="29"/>
  <c r="D50" i="29"/>
  <c r="A51" i="28"/>
  <c r="E50" i="28"/>
  <c r="D50" i="28"/>
  <c r="C50" i="28"/>
  <c r="B50" i="28"/>
  <c r="AD50" i="28" l="1"/>
  <c r="AC50" i="28"/>
  <c r="AR50" i="28"/>
  <c r="AQ50" i="28"/>
  <c r="AP50" i="28"/>
  <c r="AH50" i="28"/>
  <c r="AG50" i="28"/>
  <c r="AF50" i="28"/>
  <c r="B51" i="29"/>
  <c r="C51" i="29"/>
  <c r="D51" i="29"/>
  <c r="A52" i="28"/>
  <c r="E51" i="28"/>
  <c r="D51" i="28"/>
  <c r="C51" i="28"/>
  <c r="B51" i="28"/>
  <c r="AD51" i="28" l="1"/>
  <c r="AC51" i="28"/>
  <c r="AR51" i="28"/>
  <c r="AQ51" i="28"/>
  <c r="AP51" i="28"/>
  <c r="AH51" i="28"/>
  <c r="AG51" i="28"/>
  <c r="AF51" i="28"/>
  <c r="B52" i="29"/>
  <c r="C52" i="29"/>
  <c r="D52" i="29"/>
  <c r="A53" i="28"/>
  <c r="E52" i="28"/>
  <c r="D52" i="28"/>
  <c r="C52" i="28"/>
  <c r="B52" i="28"/>
  <c r="AD52" i="28" l="1"/>
  <c r="AC52" i="28"/>
  <c r="AR52" i="28"/>
  <c r="AQ52" i="28"/>
  <c r="AH52" i="28"/>
  <c r="AP52" i="28"/>
  <c r="AG52" i="28"/>
  <c r="AF52" i="28"/>
  <c r="B53" i="29"/>
  <c r="C53" i="29"/>
  <c r="D53" i="29"/>
  <c r="C53" i="28"/>
  <c r="B53" i="28"/>
  <c r="A54" i="28"/>
  <c r="E53" i="28"/>
  <c r="D53" i="28"/>
  <c r="AD53" i="28" l="1"/>
  <c r="AC53" i="28"/>
  <c r="AR53" i="28"/>
  <c r="AP53" i="28"/>
  <c r="AQ53" i="28"/>
  <c r="AH53" i="28"/>
  <c r="AG53" i="28"/>
  <c r="AF53" i="28"/>
  <c r="B54" i="29"/>
  <c r="C54" i="29"/>
  <c r="D54" i="29"/>
  <c r="A55" i="28"/>
  <c r="E54" i="28"/>
  <c r="D54" i="28"/>
  <c r="C54" i="28"/>
  <c r="B54" i="28"/>
  <c r="AD54" i="28" l="1"/>
  <c r="AC54" i="28"/>
  <c r="AR54" i="28"/>
  <c r="AQ54" i="28"/>
  <c r="AG54" i="28"/>
  <c r="AP54" i="28"/>
  <c r="AH54" i="28"/>
  <c r="AF54" i="28"/>
  <c r="B55" i="29"/>
  <c r="C55" i="29"/>
  <c r="D55" i="29"/>
  <c r="E55" i="28"/>
  <c r="D55" i="28"/>
  <c r="C55" i="28"/>
  <c r="B55" i="28"/>
  <c r="A56" i="28"/>
  <c r="AD55" i="28" l="1"/>
  <c r="AC55" i="28"/>
  <c r="AR55" i="28"/>
  <c r="B56" i="29"/>
  <c r="C56" i="29"/>
  <c r="D56" i="29"/>
  <c r="AQ55" i="28"/>
  <c r="AH55" i="28"/>
  <c r="AG55" i="28"/>
  <c r="AP55" i="28"/>
  <c r="AF55" i="28"/>
  <c r="A57" i="28"/>
  <c r="E56" i="28"/>
  <c r="D56" i="28"/>
  <c r="C56" i="28"/>
  <c r="B56" i="28"/>
  <c r="AD56" i="28" l="1"/>
  <c r="AC56" i="28"/>
  <c r="AR56" i="28"/>
  <c r="AQ56" i="28"/>
  <c r="AP56" i="28"/>
  <c r="AH56" i="28"/>
  <c r="AG56" i="28"/>
  <c r="AF56" i="28"/>
  <c r="B57" i="29"/>
  <c r="C57" i="29"/>
  <c r="D57" i="29"/>
  <c r="A58" i="28"/>
  <c r="E57" i="28"/>
  <c r="D57" i="28"/>
  <c r="C57" i="28"/>
  <c r="B57" i="28"/>
  <c r="AD57" i="28" l="1"/>
  <c r="AC57" i="28"/>
  <c r="AR57" i="28"/>
  <c r="AP57" i="28"/>
  <c r="AQ57" i="28"/>
  <c r="AH57" i="28"/>
  <c r="AG57" i="28"/>
  <c r="AF57" i="28"/>
  <c r="B58" i="29"/>
  <c r="C58" i="29"/>
  <c r="D58" i="29"/>
  <c r="B58" i="28"/>
  <c r="A59" i="28"/>
  <c r="E58" i="28"/>
  <c r="D58" i="28"/>
  <c r="C58" i="28"/>
  <c r="AD58" i="28" l="1"/>
  <c r="AC58" i="28"/>
  <c r="AR58" i="28"/>
  <c r="AP58" i="28"/>
  <c r="AQ58" i="28"/>
  <c r="AH58" i="28"/>
  <c r="AG58" i="28"/>
  <c r="AF58" i="28"/>
  <c r="B59" i="29"/>
  <c r="C59" i="29"/>
  <c r="D59" i="29"/>
  <c r="A60" i="28"/>
  <c r="E59" i="28"/>
  <c r="D59" i="28"/>
  <c r="C59" i="28"/>
  <c r="B59" i="28"/>
  <c r="AD59" i="28" l="1"/>
  <c r="AC59" i="28"/>
  <c r="AR59" i="28"/>
  <c r="AP59" i="28"/>
  <c r="AQ59" i="28"/>
  <c r="AH59" i="28"/>
  <c r="AF59" i="28"/>
  <c r="AG59" i="28"/>
  <c r="B60" i="29"/>
  <c r="C60" i="29"/>
  <c r="D60" i="29"/>
  <c r="D60" i="28"/>
  <c r="C60" i="28"/>
  <c r="B60" i="28"/>
  <c r="A61" i="28"/>
  <c r="E60" i="28"/>
  <c r="AD60" i="28" l="1"/>
  <c r="AC60" i="28"/>
  <c r="AR60" i="28"/>
  <c r="B61" i="29"/>
  <c r="C61" i="29"/>
  <c r="D61" i="29"/>
  <c r="AP60" i="28"/>
  <c r="AQ60" i="28"/>
  <c r="AH60" i="28"/>
  <c r="AF60" i="28"/>
  <c r="AG60" i="28"/>
  <c r="A62" i="28"/>
  <c r="E61" i="28"/>
  <c r="D61" i="28"/>
  <c r="C61" i="28"/>
  <c r="B61" i="28"/>
  <c r="AD61" i="28" l="1"/>
  <c r="AC61" i="28"/>
  <c r="AR61" i="28"/>
  <c r="AQ61" i="28"/>
  <c r="AP61" i="28"/>
  <c r="AH61" i="28"/>
  <c r="AG61" i="28"/>
  <c r="AF61" i="28"/>
  <c r="B62" i="29"/>
  <c r="C62" i="29"/>
  <c r="D62" i="29"/>
  <c r="A63" i="28"/>
  <c r="E62" i="28"/>
  <c r="D62" i="28"/>
  <c r="C62" i="28"/>
  <c r="B62" i="28"/>
  <c r="AD62" i="28" l="1"/>
  <c r="AC62" i="28"/>
  <c r="AR62" i="28"/>
  <c r="AQ62" i="28"/>
  <c r="AP62" i="28"/>
  <c r="AH62" i="28"/>
  <c r="AF62" i="28"/>
  <c r="AG62" i="28"/>
  <c r="B63" i="29"/>
  <c r="C63" i="29"/>
  <c r="D63" i="29"/>
  <c r="A64" i="28"/>
  <c r="E63" i="28"/>
  <c r="D63" i="28"/>
  <c r="C63" i="28"/>
  <c r="B63" i="28"/>
  <c r="AD63" i="28" l="1"/>
  <c r="AC63" i="28"/>
  <c r="AR63" i="28"/>
  <c r="AQ63" i="28"/>
  <c r="AH63" i="28"/>
  <c r="AP63" i="28"/>
  <c r="AF63" i="28"/>
  <c r="AG63" i="28"/>
  <c r="B64" i="29"/>
  <c r="C64" i="29"/>
  <c r="D64" i="29"/>
  <c r="A65" i="28"/>
  <c r="E64" i="28"/>
  <c r="D64" i="28"/>
  <c r="C64" i="28"/>
  <c r="B64" i="28"/>
  <c r="AD64" i="28" l="1"/>
  <c r="AC64" i="28"/>
  <c r="AR64" i="28"/>
  <c r="AQ64" i="28"/>
  <c r="AH64" i="28"/>
  <c r="AP64" i="28"/>
  <c r="AG64" i="28"/>
  <c r="AF64" i="28"/>
  <c r="B65" i="29"/>
  <c r="C65" i="29"/>
  <c r="D65" i="29"/>
  <c r="C65" i="28"/>
  <c r="B65" i="28"/>
  <c r="A66" i="28"/>
  <c r="E65" i="28"/>
  <c r="D65" i="28"/>
  <c r="AD65" i="28" l="1"/>
  <c r="AC65" i="28"/>
  <c r="AR65" i="28"/>
  <c r="AP65" i="28"/>
  <c r="AH65" i="28"/>
  <c r="AQ65" i="28"/>
  <c r="AG65" i="28"/>
  <c r="AF65" i="28"/>
  <c r="B66" i="29"/>
  <c r="C66" i="29"/>
  <c r="D66" i="29"/>
  <c r="A67" i="28"/>
  <c r="E66" i="28"/>
  <c r="D66" i="28"/>
  <c r="C66" i="28"/>
  <c r="B66" i="28"/>
  <c r="AD66" i="28" l="1"/>
  <c r="AC66" i="28"/>
  <c r="AR66" i="28"/>
  <c r="AQ66" i="28"/>
  <c r="AP66" i="28"/>
  <c r="AG66" i="28"/>
  <c r="AH66" i="28"/>
  <c r="AF66" i="28"/>
  <c r="C67" i="29"/>
  <c r="B67" i="29"/>
  <c r="D67" i="29"/>
  <c r="E67" i="28"/>
  <c r="D67" i="28"/>
  <c r="C67" i="28"/>
  <c r="B67" i="28"/>
  <c r="A68" i="28"/>
  <c r="AD67" i="28" l="1"/>
  <c r="AC67" i="28"/>
  <c r="AR67" i="28"/>
  <c r="C68" i="29"/>
  <c r="B68" i="29"/>
  <c r="D68" i="29"/>
  <c r="AQ67" i="28"/>
  <c r="AH67" i="28"/>
  <c r="AP67" i="28"/>
  <c r="AG67" i="28"/>
  <c r="AF67" i="28"/>
  <c r="A69" i="28"/>
  <c r="E68" i="28"/>
  <c r="D68" i="28"/>
  <c r="C68" i="28"/>
  <c r="B68" i="28"/>
  <c r="AD68" i="28" l="1"/>
  <c r="AC68" i="28"/>
  <c r="AR68" i="28"/>
  <c r="AQ68" i="28"/>
  <c r="AH68" i="28"/>
  <c r="AP68" i="28"/>
  <c r="AG68" i="28"/>
  <c r="AF68" i="28"/>
  <c r="B69" i="29"/>
  <c r="D69" i="29"/>
  <c r="C69" i="29"/>
  <c r="A70" i="28"/>
  <c r="E69" i="28"/>
  <c r="D69" i="28"/>
  <c r="C69" i="28"/>
  <c r="B69" i="28"/>
  <c r="AD69" i="28" l="1"/>
  <c r="AC69" i="28"/>
  <c r="AR69" i="28"/>
  <c r="AP69" i="28"/>
  <c r="AQ69" i="28"/>
  <c r="AG69" i="28"/>
  <c r="AF69" i="28"/>
  <c r="AH69" i="28"/>
  <c r="B70" i="29"/>
  <c r="D70" i="29"/>
  <c r="C70" i="29"/>
  <c r="B70" i="28"/>
  <c r="A71" i="28"/>
  <c r="E70" i="28"/>
  <c r="D70" i="28"/>
  <c r="C70" i="28"/>
  <c r="AD70" i="28" l="1"/>
  <c r="AC70" i="28"/>
  <c r="AR70" i="28"/>
  <c r="AQ70" i="28"/>
  <c r="AP70" i="28"/>
  <c r="AH70" i="28"/>
  <c r="AG70" i="28"/>
  <c r="AF70" i="28"/>
  <c r="B71" i="29"/>
  <c r="C71" i="29"/>
  <c r="D71" i="29"/>
  <c r="A72" i="28"/>
  <c r="E71" i="28"/>
  <c r="D71" i="28"/>
  <c r="C71" i="28"/>
  <c r="B71" i="28"/>
  <c r="AD71" i="28" l="1"/>
  <c r="AC71" i="28"/>
  <c r="AR71" i="28"/>
  <c r="AQ71" i="28"/>
  <c r="AP71" i="28"/>
  <c r="AH71" i="28"/>
  <c r="AF71" i="28"/>
  <c r="AG71" i="28"/>
  <c r="C72" i="29"/>
  <c r="B72" i="29"/>
  <c r="D72" i="29"/>
  <c r="D72" i="28"/>
  <c r="C72" i="28"/>
  <c r="B72" i="28"/>
  <c r="A73" i="28"/>
  <c r="E72" i="28"/>
  <c r="AD72" i="28" l="1"/>
  <c r="AC72" i="28"/>
  <c r="AR72" i="28"/>
  <c r="B73" i="29"/>
  <c r="C73" i="29"/>
  <c r="D73" i="29"/>
  <c r="AP72" i="28"/>
  <c r="AQ72" i="28"/>
  <c r="AH72" i="28"/>
  <c r="AF72" i="28"/>
  <c r="AG72" i="28"/>
  <c r="A74" i="28"/>
  <c r="E73" i="28"/>
  <c r="D73" i="28"/>
  <c r="C73" i="28"/>
  <c r="B73" i="28"/>
  <c r="AD73" i="28" l="1"/>
  <c r="AC73" i="28"/>
  <c r="AR73" i="28"/>
  <c r="AP73" i="28"/>
  <c r="AH73" i="28"/>
  <c r="AQ73" i="28"/>
  <c r="AF73" i="28"/>
  <c r="AG73" i="28"/>
  <c r="B74" i="29"/>
  <c r="C74" i="29"/>
  <c r="D74" i="29"/>
  <c r="A75" i="28"/>
  <c r="E74" i="28"/>
  <c r="D74" i="28"/>
  <c r="C74" i="28"/>
  <c r="B74" i="28"/>
  <c r="AD74" i="28" l="1"/>
  <c r="AC74" i="28"/>
  <c r="AR74" i="28"/>
  <c r="AQ74" i="28"/>
  <c r="AP74" i="28"/>
  <c r="AH74" i="28"/>
  <c r="AF74" i="28"/>
  <c r="AG74" i="28"/>
  <c r="B75" i="29"/>
  <c r="C75" i="29"/>
  <c r="D75" i="29"/>
  <c r="A76" i="28"/>
  <c r="E75" i="28"/>
  <c r="D75" i="28"/>
  <c r="C75" i="28"/>
  <c r="B75" i="28"/>
  <c r="AD75" i="28" l="1"/>
  <c r="AC75" i="28"/>
  <c r="AR75" i="28"/>
  <c r="AP75" i="28"/>
  <c r="AQ75" i="28"/>
  <c r="AH75" i="28"/>
  <c r="AF75" i="28"/>
  <c r="AG75" i="28"/>
  <c r="B76" i="29"/>
  <c r="C76" i="29"/>
  <c r="D76" i="29"/>
  <c r="A77" i="28"/>
  <c r="E76" i="28"/>
  <c r="D76" i="28"/>
  <c r="C76" i="28"/>
  <c r="B76" i="28"/>
  <c r="AD76" i="28" l="1"/>
  <c r="AC76" i="28"/>
  <c r="AR76" i="28"/>
  <c r="AQ76" i="28"/>
  <c r="AP76" i="28"/>
  <c r="AH76" i="28"/>
  <c r="AG76" i="28"/>
  <c r="AF76" i="28"/>
  <c r="B77" i="29"/>
  <c r="C77" i="29"/>
  <c r="D77" i="29"/>
  <c r="C77" i="28"/>
  <c r="B77" i="28"/>
  <c r="A78" i="28"/>
  <c r="E77" i="28"/>
  <c r="D77" i="28"/>
  <c r="AD77" i="28" l="1"/>
  <c r="AC77" i="28"/>
  <c r="AR77" i="28"/>
  <c r="AQ77" i="28"/>
  <c r="AP77" i="28"/>
  <c r="AH77" i="28"/>
  <c r="AG77" i="28"/>
  <c r="AF77" i="28"/>
  <c r="B78" i="29"/>
  <c r="C78" i="29"/>
  <c r="D78" i="29"/>
  <c r="A79" i="28"/>
  <c r="E78" i="28"/>
  <c r="D78" i="28"/>
  <c r="C78" i="28"/>
  <c r="B78" i="28"/>
  <c r="AD78" i="28" l="1"/>
  <c r="AC78" i="28"/>
  <c r="AR78" i="28"/>
  <c r="AQ78" i="28"/>
  <c r="AP78" i="28"/>
  <c r="AG78" i="28"/>
  <c r="AH78" i="28"/>
  <c r="AF78" i="28"/>
  <c r="C79" i="29"/>
  <c r="B79" i="29"/>
  <c r="D79" i="29"/>
  <c r="E79" i="28"/>
  <c r="D79" i="28"/>
  <c r="C79" i="28"/>
  <c r="B79" i="28"/>
  <c r="A80" i="28"/>
  <c r="AD79" i="28" l="1"/>
  <c r="AC79" i="28"/>
  <c r="AR79" i="28"/>
  <c r="C80" i="29"/>
  <c r="B80" i="29"/>
  <c r="D80" i="29"/>
  <c r="AH79" i="28"/>
  <c r="AQ79" i="28"/>
  <c r="AG79" i="28"/>
  <c r="AP79" i="28"/>
  <c r="AF79" i="28"/>
  <c r="A81" i="28"/>
  <c r="E80" i="28"/>
  <c r="D80" i="28"/>
  <c r="C80" i="28"/>
  <c r="B80" i="28"/>
  <c r="AD80" i="28" l="1"/>
  <c r="AC80" i="28"/>
  <c r="AR80" i="28"/>
  <c r="AQ80" i="28"/>
  <c r="AP80" i="28"/>
  <c r="AH80" i="28"/>
  <c r="AF80" i="28"/>
  <c r="AG80" i="28"/>
  <c r="B81" i="29"/>
  <c r="C81" i="29"/>
  <c r="D81" i="29"/>
  <c r="A82" i="28"/>
  <c r="E81" i="28"/>
  <c r="D81" i="28"/>
  <c r="C81" i="28"/>
  <c r="B81" i="28"/>
  <c r="AD81" i="28" l="1"/>
  <c r="AC81" i="28"/>
  <c r="AR81" i="28"/>
  <c r="AQ81" i="28"/>
  <c r="AP81" i="28"/>
  <c r="AH81" i="28"/>
  <c r="AG81" i="28"/>
  <c r="AF81" i="28"/>
  <c r="B82" i="29"/>
  <c r="D82" i="29"/>
  <c r="C82" i="29"/>
  <c r="B82" i="28"/>
  <c r="A83" i="28"/>
  <c r="E82" i="28"/>
  <c r="D82" i="28"/>
  <c r="C82" i="28"/>
  <c r="AD82" i="28" l="1"/>
  <c r="AC82" i="28"/>
  <c r="AR82" i="28"/>
  <c r="AQ82" i="28"/>
  <c r="AP82" i="28"/>
  <c r="AH82" i="28"/>
  <c r="AG82" i="28"/>
  <c r="AF82" i="28"/>
  <c r="B83" i="29"/>
  <c r="C83" i="29"/>
  <c r="D83" i="29"/>
  <c r="A84" i="28"/>
  <c r="E83" i="28"/>
  <c r="D83" i="28"/>
  <c r="C83" i="28"/>
  <c r="B83" i="28"/>
  <c r="AD83" i="28" l="1"/>
  <c r="AC83" i="28"/>
  <c r="AR83" i="28"/>
  <c r="AQ83" i="28"/>
  <c r="AP83" i="28"/>
  <c r="AH83" i="28"/>
  <c r="AF83" i="28"/>
  <c r="AG83" i="28"/>
  <c r="C84" i="29"/>
  <c r="B84" i="29"/>
  <c r="D84" i="29"/>
  <c r="D84" i="28"/>
  <c r="C84" i="28"/>
  <c r="B84" i="28"/>
  <c r="A85" i="28"/>
  <c r="E84" i="28"/>
  <c r="AD84" i="28" l="1"/>
  <c r="AC84" i="28"/>
  <c r="AR84" i="28"/>
  <c r="B85" i="29"/>
  <c r="C85" i="29"/>
  <c r="D85" i="29"/>
  <c r="AQ84" i="28"/>
  <c r="AP84" i="28"/>
  <c r="AH84" i="28"/>
  <c r="AF84" i="28"/>
  <c r="AG84" i="28"/>
  <c r="A86" i="28"/>
  <c r="E85" i="28"/>
  <c r="D85" i="28"/>
  <c r="C85" i="28"/>
  <c r="B85" i="28"/>
  <c r="AD85" i="28" l="1"/>
  <c r="AC85" i="28"/>
  <c r="AR85" i="28"/>
  <c r="AQ85" i="28"/>
  <c r="AH85" i="28"/>
  <c r="AP85" i="28"/>
  <c r="AG85" i="28"/>
  <c r="AF85" i="28"/>
  <c r="B86" i="29"/>
  <c r="C86" i="29"/>
  <c r="D86" i="29"/>
  <c r="A87" i="28"/>
  <c r="E86" i="28"/>
  <c r="D86" i="28"/>
  <c r="C86" i="28"/>
  <c r="B86" i="28"/>
  <c r="AD86" i="28" l="1"/>
  <c r="AC86" i="28"/>
  <c r="AR86" i="28"/>
  <c r="AQ86" i="28"/>
  <c r="AH86" i="28"/>
  <c r="AF86" i="28"/>
  <c r="AP86" i="28"/>
  <c r="AG86" i="28"/>
  <c r="B87" i="29"/>
  <c r="C87" i="29"/>
  <c r="D87" i="29"/>
  <c r="A88" i="28"/>
  <c r="E87" i="28"/>
  <c r="D87" i="28"/>
  <c r="C87" i="28"/>
  <c r="B87" i="28"/>
  <c r="AD87" i="28" l="1"/>
  <c r="AC87" i="28"/>
  <c r="AR87" i="28"/>
  <c r="AP87" i="28"/>
  <c r="AQ87" i="28"/>
  <c r="AH87" i="28"/>
  <c r="AF87" i="28"/>
  <c r="AG87" i="28"/>
  <c r="B88" i="29"/>
  <c r="C88" i="29"/>
  <c r="D88" i="29"/>
  <c r="A89" i="28"/>
  <c r="E88" i="28"/>
  <c r="D88" i="28"/>
  <c r="C88" i="28"/>
  <c r="B88" i="28"/>
  <c r="AD88" i="28" l="1"/>
  <c r="AC88" i="28"/>
  <c r="AR88" i="28"/>
  <c r="AQ88" i="28"/>
  <c r="AP88" i="28"/>
  <c r="AH88" i="28"/>
  <c r="AG88" i="28"/>
  <c r="AF88" i="28"/>
  <c r="B89" i="29"/>
  <c r="D89" i="29"/>
  <c r="C89" i="29"/>
  <c r="C89" i="28"/>
  <c r="B89" i="28"/>
  <c r="A90" i="28"/>
  <c r="E89" i="28"/>
  <c r="D89" i="28"/>
  <c r="AD89" i="28" l="1"/>
  <c r="AC89" i="28"/>
  <c r="AR89" i="28"/>
  <c r="AP89" i="28"/>
  <c r="AQ89" i="28"/>
  <c r="AH89" i="28"/>
  <c r="AG89" i="28"/>
  <c r="AF89" i="28"/>
  <c r="B90" i="29"/>
  <c r="C90" i="29"/>
  <c r="D90" i="29"/>
  <c r="A91" i="28"/>
  <c r="E90" i="28"/>
  <c r="D90" i="28"/>
  <c r="C90" i="28"/>
  <c r="B90" i="28"/>
  <c r="AD90" i="28" l="1"/>
  <c r="AC90" i="28"/>
  <c r="AR90" i="28"/>
  <c r="AP90" i="28"/>
  <c r="AQ90" i="28"/>
  <c r="AH90" i="28"/>
  <c r="AF90" i="28"/>
  <c r="AG90" i="28"/>
  <c r="B91" i="29"/>
  <c r="C91" i="29"/>
  <c r="D91" i="29"/>
  <c r="E91" i="28"/>
  <c r="D91" i="28"/>
  <c r="C91" i="28"/>
  <c r="B91" i="28"/>
  <c r="A92" i="28"/>
  <c r="AD91" i="28" l="1"/>
  <c r="AC91" i="28"/>
  <c r="AR91" i="28"/>
  <c r="B92" i="29"/>
  <c r="C92" i="29"/>
  <c r="D92" i="29"/>
  <c r="AQ91" i="28"/>
  <c r="AP91" i="28"/>
  <c r="AH91" i="28"/>
  <c r="AG91" i="28"/>
  <c r="AF91" i="28"/>
  <c r="A93" i="28"/>
  <c r="E92" i="28"/>
  <c r="D92" i="28"/>
  <c r="C92" i="28"/>
  <c r="B92" i="28"/>
  <c r="AD92" i="28" l="1"/>
  <c r="AC92" i="28"/>
  <c r="AR92" i="28"/>
  <c r="AQ92" i="28"/>
  <c r="AP92" i="28"/>
  <c r="AH92" i="28"/>
  <c r="AF92" i="28"/>
  <c r="AG92" i="28"/>
  <c r="B93" i="29"/>
  <c r="C93" i="29"/>
  <c r="D93" i="29"/>
  <c r="A94" i="28"/>
  <c r="E93" i="28"/>
  <c r="D93" i="28"/>
  <c r="C93" i="28"/>
  <c r="B93" i="28"/>
  <c r="AD93" i="28" l="1"/>
  <c r="AC93" i="28"/>
  <c r="AR93" i="28"/>
  <c r="AP93" i="28"/>
  <c r="AQ93" i="28"/>
  <c r="AH93" i="28"/>
  <c r="AG93" i="28"/>
  <c r="AF93" i="28"/>
  <c r="B94" i="29"/>
  <c r="C94" i="29"/>
  <c r="D94" i="29"/>
  <c r="B94" i="28"/>
  <c r="A95" i="28"/>
  <c r="E94" i="28"/>
  <c r="D94" i="28"/>
  <c r="C94" i="28"/>
  <c r="AD94" i="28" l="1"/>
  <c r="AC94" i="28"/>
  <c r="AR94" i="28"/>
  <c r="AQ94" i="28"/>
  <c r="AH94" i="28"/>
  <c r="AG94" i="28"/>
  <c r="AP94" i="28"/>
  <c r="AF94" i="28"/>
  <c r="B95" i="29"/>
  <c r="C95" i="29"/>
  <c r="D95" i="29"/>
  <c r="A96" i="28"/>
  <c r="E95" i="28"/>
  <c r="D95" i="28"/>
  <c r="C95" i="28"/>
  <c r="B95" i="28"/>
  <c r="AD95" i="28" l="1"/>
  <c r="AC95" i="28"/>
  <c r="AR95" i="28"/>
  <c r="AQ95" i="28"/>
  <c r="AP95" i="28"/>
  <c r="AH95" i="28"/>
  <c r="AF95" i="28"/>
  <c r="AG95" i="28"/>
  <c r="B96" i="29"/>
  <c r="C96" i="29"/>
  <c r="D96" i="29"/>
  <c r="D96" i="28"/>
  <c r="C96" i="28"/>
  <c r="B96" i="28"/>
  <c r="A97" i="28"/>
  <c r="E96" i="28"/>
  <c r="AD96" i="28" l="1"/>
  <c r="AC96" i="28"/>
  <c r="AR96" i="28"/>
  <c r="B97" i="29"/>
  <c r="C97" i="29"/>
  <c r="D97" i="29"/>
  <c r="AQ96" i="28"/>
  <c r="AP96" i="28"/>
  <c r="AF96" i="28"/>
  <c r="AG96" i="28"/>
  <c r="AH96" i="28"/>
  <c r="A98" i="28"/>
  <c r="E97" i="28"/>
  <c r="D97" i="28"/>
  <c r="C97" i="28"/>
  <c r="B97" i="28"/>
  <c r="AD97" i="28" l="1"/>
  <c r="AC97" i="28"/>
  <c r="AR97" i="28"/>
  <c r="AH97" i="28"/>
  <c r="AP97" i="28"/>
  <c r="AQ97" i="28"/>
  <c r="AG97" i="28"/>
  <c r="AF97" i="28"/>
  <c r="B98" i="29"/>
  <c r="C98" i="29"/>
  <c r="D98" i="29"/>
  <c r="A99" i="28"/>
  <c r="E98" i="28"/>
  <c r="D98" i="28"/>
  <c r="C98" i="28"/>
  <c r="B98" i="28"/>
  <c r="AD98" i="28" l="1"/>
  <c r="AC98" i="28"/>
  <c r="AR98" i="28"/>
  <c r="AQ98" i="28"/>
  <c r="AP98" i="28"/>
  <c r="AF98" i="28"/>
  <c r="AH98" i="28"/>
  <c r="AG98" i="28"/>
  <c r="B99" i="29"/>
  <c r="D99" i="29"/>
  <c r="C99" i="29"/>
  <c r="A100" i="28"/>
  <c r="E99" i="28"/>
  <c r="D99" i="28"/>
  <c r="C99" i="28"/>
  <c r="B99" i="28"/>
  <c r="AD99" i="28" l="1"/>
  <c r="AC99" i="28"/>
  <c r="AR99" i="28"/>
  <c r="AQ99" i="28"/>
  <c r="AP99" i="28"/>
  <c r="AH99" i="28"/>
  <c r="AF99" i="28"/>
  <c r="AG99" i="28"/>
  <c r="B100" i="29"/>
  <c r="C100" i="29"/>
  <c r="D100" i="29"/>
  <c r="A101" i="28"/>
  <c r="E100" i="28"/>
  <c r="D100" i="28"/>
  <c r="C100" i="28"/>
  <c r="B100" i="28"/>
  <c r="AD100" i="28" l="1"/>
  <c r="AC100" i="28"/>
  <c r="AR100" i="28"/>
  <c r="AQ100" i="28"/>
  <c r="AH100" i="28"/>
  <c r="AP100" i="28"/>
  <c r="AF100" i="28"/>
  <c r="AG100" i="28"/>
  <c r="B101" i="29"/>
  <c r="C101" i="29"/>
  <c r="D101" i="29"/>
  <c r="C101" i="28"/>
  <c r="B101" i="28"/>
  <c r="A102" i="28"/>
  <c r="E101" i="28"/>
  <c r="D101" i="28"/>
  <c r="AD101" i="28" l="1"/>
  <c r="AC101" i="28"/>
  <c r="AR101" i="28"/>
  <c r="AP101" i="28"/>
  <c r="AQ101" i="28"/>
  <c r="AH101" i="28"/>
  <c r="AG101" i="28"/>
  <c r="AF101" i="28"/>
  <c r="B102" i="29"/>
  <c r="C102" i="29"/>
  <c r="D102" i="29"/>
  <c r="A103" i="28"/>
  <c r="E102" i="28"/>
  <c r="D102" i="28"/>
  <c r="C102" i="28"/>
  <c r="B102" i="28"/>
  <c r="AD102" i="28" l="1"/>
  <c r="AC102" i="28"/>
  <c r="AR102" i="28"/>
  <c r="AP102" i="28"/>
  <c r="AQ102" i="28"/>
  <c r="AH102" i="28"/>
  <c r="AF102" i="28"/>
  <c r="AG102" i="28"/>
  <c r="C103" i="29"/>
  <c r="B103" i="29"/>
  <c r="D103" i="29"/>
  <c r="E103" i="28"/>
  <c r="D103" i="28"/>
  <c r="C103" i="28"/>
  <c r="B103" i="28"/>
  <c r="A104" i="28"/>
  <c r="AD103" i="28" l="1"/>
  <c r="AC103" i="28"/>
  <c r="AR103" i="28"/>
  <c r="C104" i="29"/>
  <c r="B104" i="29"/>
  <c r="D104" i="29"/>
  <c r="AP103" i="28"/>
  <c r="AH103" i="28"/>
  <c r="AQ103" i="28"/>
  <c r="AF103" i="28"/>
  <c r="AG103" i="28"/>
  <c r="A105" i="28"/>
  <c r="E104" i="28"/>
  <c r="D104" i="28"/>
  <c r="C104" i="28"/>
  <c r="B104" i="28"/>
  <c r="AD104" i="28" l="1"/>
  <c r="AC104" i="28"/>
  <c r="AR104" i="28"/>
  <c r="AP104" i="28"/>
  <c r="AH104" i="28"/>
  <c r="AQ104" i="28"/>
  <c r="AG104" i="28"/>
  <c r="AF104" i="28"/>
  <c r="B105" i="29"/>
  <c r="D105" i="29"/>
  <c r="C105" i="29"/>
  <c r="A106" i="28"/>
  <c r="E105" i="28"/>
  <c r="D105" i="28"/>
  <c r="C105" i="28"/>
  <c r="B105" i="28"/>
  <c r="AD105" i="28" l="1"/>
  <c r="AC105" i="28"/>
  <c r="AR105" i="28"/>
  <c r="AQ105" i="28"/>
  <c r="AP105" i="28"/>
  <c r="AH105" i="28"/>
  <c r="AG105" i="28"/>
  <c r="AF105" i="28"/>
  <c r="B106" i="29"/>
  <c r="C106" i="29"/>
  <c r="D106" i="29"/>
  <c r="B106" i="28"/>
  <c r="A107" i="28"/>
  <c r="E106" i="28"/>
  <c r="D106" i="28"/>
  <c r="C106" i="28"/>
  <c r="AD106" i="28" l="1"/>
  <c r="AC106" i="28"/>
  <c r="AR106" i="28"/>
  <c r="AQ106" i="28"/>
  <c r="AP106" i="28"/>
  <c r="AH106" i="28"/>
  <c r="AG106" i="28"/>
  <c r="AF106" i="28"/>
  <c r="B107" i="29"/>
  <c r="C107" i="29"/>
  <c r="D107" i="29"/>
  <c r="A108" i="28"/>
  <c r="E107" i="28"/>
  <c r="D107" i="28"/>
  <c r="C107" i="28"/>
  <c r="B107" i="28"/>
  <c r="AD107" i="28" l="1"/>
  <c r="AC107" i="28"/>
  <c r="AR107" i="28"/>
  <c r="AP107" i="28"/>
  <c r="AQ107" i="28"/>
  <c r="AH107" i="28"/>
  <c r="AF107" i="28"/>
  <c r="AG107" i="28"/>
  <c r="C108" i="29"/>
  <c r="B108" i="29"/>
  <c r="D108" i="29"/>
  <c r="D108" i="28"/>
  <c r="C108" i="28"/>
  <c r="B108" i="28"/>
  <c r="A109" i="28"/>
  <c r="E108" i="28"/>
  <c r="AD108" i="28" l="1"/>
  <c r="AC108" i="28"/>
  <c r="AR108" i="28"/>
  <c r="B109" i="29"/>
  <c r="C109" i="29"/>
  <c r="D109" i="29"/>
  <c r="AQ108" i="28"/>
  <c r="AP108" i="28"/>
  <c r="AF108" i="28"/>
  <c r="AG108" i="28"/>
  <c r="AH108" i="28"/>
  <c r="A110" i="28"/>
  <c r="E109" i="28"/>
  <c r="D109" i="28"/>
  <c r="C109" i="28"/>
  <c r="B109" i="28"/>
  <c r="AD109" i="28" l="1"/>
  <c r="AC109" i="28"/>
  <c r="AR109" i="28"/>
  <c r="AQ109" i="28"/>
  <c r="AH109" i="28"/>
  <c r="AP109" i="28"/>
  <c r="AG109" i="28"/>
  <c r="AF109" i="28"/>
  <c r="B110" i="29"/>
  <c r="C110" i="29"/>
  <c r="D110" i="29"/>
  <c r="A111" i="28"/>
  <c r="E110" i="28"/>
  <c r="D110" i="28"/>
  <c r="C110" i="28"/>
  <c r="B110" i="28"/>
  <c r="AD110" i="28" l="1"/>
  <c r="AC110" i="28"/>
  <c r="AR110" i="28"/>
  <c r="AQ110" i="28"/>
  <c r="AP110" i="28"/>
  <c r="AH110" i="28"/>
  <c r="AF110" i="28"/>
  <c r="AG110" i="28"/>
  <c r="B111" i="29"/>
  <c r="C111" i="29"/>
  <c r="D111" i="29"/>
  <c r="A112" i="28"/>
  <c r="E111" i="28"/>
  <c r="D111" i="28"/>
  <c r="C111" i="28"/>
  <c r="B111" i="28"/>
  <c r="AD111" i="28" l="1"/>
  <c r="AC111" i="28"/>
  <c r="AR111" i="28"/>
  <c r="AQ111" i="28"/>
  <c r="AP111" i="28"/>
  <c r="AH111" i="28"/>
  <c r="AF111" i="28"/>
  <c r="AG111" i="28"/>
  <c r="B112" i="29"/>
  <c r="C112" i="29"/>
  <c r="D112" i="29"/>
  <c r="A113" i="28"/>
  <c r="E112" i="28"/>
  <c r="D112" i="28"/>
  <c r="C112" i="28"/>
  <c r="B112" i="28"/>
  <c r="AD112" i="28" l="1"/>
  <c r="AC112" i="28"/>
  <c r="AR112" i="28"/>
  <c r="AQ112" i="28"/>
  <c r="AH112" i="28"/>
  <c r="AP112" i="28"/>
  <c r="AG112" i="28"/>
  <c r="AF112" i="28"/>
  <c r="B113" i="29"/>
  <c r="C113" i="29"/>
  <c r="D113" i="29"/>
  <c r="C113" i="28"/>
  <c r="B113" i="28"/>
  <c r="A114" i="28"/>
  <c r="E113" i="28"/>
  <c r="D113" i="28"/>
  <c r="AD113" i="28" l="1"/>
  <c r="AC113" i="28"/>
  <c r="AR113" i="28"/>
  <c r="AP113" i="28"/>
  <c r="AH113" i="28"/>
  <c r="AQ113" i="28"/>
  <c r="AG113" i="28"/>
  <c r="AF113" i="28"/>
  <c r="B114" i="29"/>
  <c r="C114" i="29"/>
  <c r="D114" i="29"/>
  <c r="A115" i="28"/>
  <c r="E114" i="28"/>
  <c r="D114" i="28"/>
  <c r="C114" i="28"/>
  <c r="B114" i="28"/>
  <c r="AD114" i="28" l="1"/>
  <c r="AC114" i="28"/>
  <c r="AR114" i="28"/>
  <c r="AQ114" i="28"/>
  <c r="AP114" i="28"/>
  <c r="AH114" i="28"/>
  <c r="AF114" i="28"/>
  <c r="AG114" i="28"/>
  <c r="C115" i="29"/>
  <c r="B115" i="29"/>
  <c r="D115" i="29"/>
  <c r="E115" i="28"/>
  <c r="D115" i="28"/>
  <c r="C115" i="28"/>
  <c r="B115" i="28"/>
  <c r="A116" i="28"/>
  <c r="AD115" i="28" l="1"/>
  <c r="AC115" i="28"/>
  <c r="AR115" i="28"/>
  <c r="C116" i="29"/>
  <c r="B116" i="29"/>
  <c r="D116" i="29"/>
  <c r="AQ115" i="28"/>
  <c r="AH115" i="28"/>
  <c r="AP115" i="28"/>
  <c r="AF115" i="28"/>
  <c r="AG115" i="28"/>
  <c r="A117" i="28"/>
  <c r="E116" i="28"/>
  <c r="D116" i="28"/>
  <c r="C116" i="28"/>
  <c r="B116" i="28"/>
  <c r="AD116" i="28" l="1"/>
  <c r="AC116" i="28"/>
  <c r="AR116" i="28"/>
  <c r="AP116" i="28"/>
  <c r="AH116" i="28"/>
  <c r="AQ116" i="28"/>
  <c r="AG116" i="28"/>
  <c r="AF116" i="28"/>
  <c r="B117" i="29"/>
  <c r="C117" i="29"/>
  <c r="D117" i="29"/>
  <c r="A118" i="28"/>
  <c r="E117" i="28"/>
  <c r="D117" i="28"/>
  <c r="C117" i="28"/>
  <c r="B117" i="28"/>
  <c r="AD117" i="28" l="1"/>
  <c r="AC117" i="28"/>
  <c r="AR117" i="28"/>
  <c r="AP117" i="28"/>
  <c r="AQ117" i="28"/>
  <c r="AH117" i="28"/>
  <c r="AG117" i="28"/>
  <c r="AF117" i="28"/>
  <c r="B118" i="29"/>
  <c r="C118" i="29"/>
  <c r="D118" i="29"/>
  <c r="B118" i="28"/>
  <c r="A119" i="28"/>
  <c r="E118" i="28"/>
  <c r="D118" i="28"/>
  <c r="C118" i="28"/>
  <c r="AD118" i="28" l="1"/>
  <c r="AC118" i="28"/>
  <c r="AR118" i="28"/>
  <c r="AQ118" i="28"/>
  <c r="AP118" i="28"/>
  <c r="AG118" i="28"/>
  <c r="AH118" i="28"/>
  <c r="AF118" i="28"/>
  <c r="B119" i="29"/>
  <c r="C119" i="29"/>
  <c r="D119" i="29"/>
  <c r="A120" i="28"/>
  <c r="E119" i="28"/>
  <c r="D119" i="28"/>
  <c r="C119" i="28"/>
  <c r="B119" i="28"/>
  <c r="AD119" i="28" l="1"/>
  <c r="AC119" i="28"/>
  <c r="AR119" i="28"/>
  <c r="AQ119" i="28"/>
  <c r="AP119" i="28"/>
  <c r="AF119" i="28"/>
  <c r="AG119" i="28"/>
  <c r="AH119" i="28"/>
  <c r="B120" i="29"/>
  <c r="C120" i="29"/>
  <c r="D120" i="29"/>
  <c r="D120" i="28"/>
  <c r="C120" i="28"/>
  <c r="B120" i="28"/>
  <c r="A121" i="28"/>
  <c r="E120" i="28"/>
  <c r="AD120" i="28" l="1"/>
  <c r="AC120" i="28"/>
  <c r="AR120" i="28"/>
  <c r="B121" i="29"/>
  <c r="C121" i="29"/>
  <c r="D121" i="29"/>
  <c r="AQ120" i="28"/>
  <c r="AP120" i="28"/>
  <c r="AH120" i="28"/>
  <c r="AG120" i="28"/>
  <c r="AF120" i="28"/>
  <c r="A122" i="28"/>
  <c r="E121" i="28"/>
  <c r="D121" i="28"/>
  <c r="C121" i="28"/>
  <c r="B121" i="28"/>
  <c r="AD121" i="28" l="1"/>
  <c r="AC121" i="28"/>
  <c r="AR121" i="28"/>
  <c r="AH121" i="28"/>
  <c r="AQ121" i="28"/>
  <c r="AP121" i="28"/>
  <c r="AG121" i="28"/>
  <c r="AF121" i="28"/>
  <c r="B122" i="29"/>
  <c r="C122" i="29"/>
  <c r="D122" i="29"/>
  <c r="A123" i="28"/>
  <c r="E122" i="28"/>
  <c r="D122" i="28"/>
  <c r="C122" i="28"/>
  <c r="B122" i="28"/>
  <c r="AD122" i="28" l="1"/>
  <c r="AC122" i="28"/>
  <c r="AR122" i="28"/>
  <c r="AQ122" i="28"/>
  <c r="AH122" i="28"/>
  <c r="AP122" i="28"/>
  <c r="AF122" i="28"/>
  <c r="AG122" i="28"/>
  <c r="B123" i="29"/>
  <c r="C123" i="29"/>
  <c r="D123" i="29"/>
  <c r="A124" i="28"/>
  <c r="E123" i="28"/>
  <c r="D123" i="28"/>
  <c r="C123" i="28"/>
  <c r="B123" i="28"/>
  <c r="AD123" i="28" l="1"/>
  <c r="AC123" i="28"/>
  <c r="AR123" i="28"/>
  <c r="AQ123" i="28"/>
  <c r="AP123" i="28"/>
  <c r="AH123" i="28"/>
  <c r="AF123" i="28"/>
  <c r="AG123" i="28"/>
  <c r="B124" i="29"/>
  <c r="C124" i="29"/>
  <c r="D124" i="29"/>
  <c r="A125" i="28"/>
  <c r="E124" i="28"/>
  <c r="D124" i="28"/>
  <c r="C124" i="28"/>
  <c r="B124" i="28"/>
  <c r="AD124" i="28" l="1"/>
  <c r="AC124" i="28"/>
  <c r="AR124" i="28"/>
  <c r="AQ124" i="28"/>
  <c r="AH124" i="28"/>
  <c r="AP124" i="28"/>
  <c r="AF124" i="28"/>
  <c r="AG124" i="28"/>
  <c r="B125" i="29"/>
  <c r="C125" i="29"/>
  <c r="D125" i="29"/>
  <c r="C125" i="28"/>
  <c r="B125" i="28"/>
  <c r="A126" i="28"/>
  <c r="E125" i="28"/>
  <c r="D125" i="28"/>
  <c r="AD125" i="28" l="1"/>
  <c r="AC125" i="28"/>
  <c r="AR125" i="28"/>
  <c r="AP125" i="28"/>
  <c r="AQ125" i="28"/>
  <c r="AH125" i="28"/>
  <c r="AG125" i="28"/>
  <c r="AF125" i="28"/>
  <c r="B126" i="29"/>
  <c r="C126" i="29"/>
  <c r="D126" i="29"/>
  <c r="A127" i="28"/>
  <c r="E126" i="28"/>
  <c r="D126" i="28"/>
  <c r="C126" i="28"/>
  <c r="B126" i="28"/>
  <c r="AD126" i="28" l="1"/>
  <c r="AC126" i="28"/>
  <c r="AR126" i="28"/>
  <c r="AQ126" i="28"/>
  <c r="AP126" i="28"/>
  <c r="AH126" i="28"/>
  <c r="AF126" i="28"/>
  <c r="AG126" i="28"/>
  <c r="C127" i="29"/>
  <c r="B127" i="29"/>
  <c r="D127" i="29"/>
  <c r="E127" i="28"/>
  <c r="D127" i="28"/>
  <c r="C127" i="28"/>
  <c r="B127" i="28"/>
  <c r="A128" i="28"/>
  <c r="AD127" i="28" l="1"/>
  <c r="AC127" i="28"/>
  <c r="AR127" i="28"/>
  <c r="C128" i="29"/>
  <c r="B128" i="29"/>
  <c r="D128" i="29"/>
  <c r="AQ127" i="28"/>
  <c r="AH127" i="28"/>
  <c r="AP127" i="28"/>
  <c r="AF127" i="28"/>
  <c r="AG127" i="28"/>
  <c r="A129" i="28"/>
  <c r="E128" i="28"/>
  <c r="D128" i="28"/>
  <c r="C128" i="28"/>
  <c r="B128" i="28"/>
  <c r="AD128" i="28" l="1"/>
  <c r="AC128" i="28"/>
  <c r="AR128" i="28"/>
  <c r="AQ128" i="28"/>
  <c r="AH128" i="28"/>
  <c r="AP128" i="28"/>
  <c r="AG128" i="28"/>
  <c r="AF128" i="28"/>
  <c r="B129" i="29"/>
  <c r="D129" i="29"/>
  <c r="C129" i="29"/>
  <c r="A130" i="28"/>
  <c r="E129" i="28"/>
  <c r="D129" i="28"/>
  <c r="C129" i="28"/>
  <c r="B129" i="28"/>
  <c r="AD129" i="28" l="1"/>
  <c r="AC129" i="28"/>
  <c r="AR129" i="28"/>
  <c r="AP129" i="28"/>
  <c r="AQ129" i="28"/>
  <c r="AH129" i="28"/>
  <c r="AF129" i="28"/>
  <c r="AG129" i="28"/>
  <c r="B130" i="29"/>
  <c r="C130" i="29"/>
  <c r="D130" i="29"/>
  <c r="B130" i="28"/>
  <c r="A131" i="28"/>
  <c r="E130" i="28"/>
  <c r="D130" i="28"/>
  <c r="C130" i="28"/>
  <c r="AD130" i="28" l="1"/>
  <c r="AC130" i="28"/>
  <c r="AR130" i="28"/>
  <c r="AQ130" i="28"/>
  <c r="AP130" i="28"/>
  <c r="AG130" i="28"/>
  <c r="AH130" i="28"/>
  <c r="AF130" i="28"/>
  <c r="B131" i="29"/>
  <c r="C131" i="29"/>
  <c r="D131" i="29"/>
  <c r="A132" i="28"/>
  <c r="E131" i="28"/>
  <c r="D131" i="28"/>
  <c r="C131" i="28"/>
  <c r="B131" i="28"/>
  <c r="AD131" i="28" l="1"/>
  <c r="AC131" i="28"/>
  <c r="AR131" i="28"/>
  <c r="AP131" i="28"/>
  <c r="AQ131" i="28"/>
  <c r="AH131" i="28"/>
  <c r="AF131" i="28"/>
  <c r="AG131" i="28"/>
  <c r="B132" i="29"/>
  <c r="C132" i="29"/>
  <c r="D132" i="29"/>
  <c r="D132" i="28"/>
  <c r="C132" i="28"/>
  <c r="B132" i="28"/>
  <c r="A133" i="28"/>
  <c r="E132" i="28"/>
  <c r="AD132" i="28" l="1"/>
  <c r="AC132" i="28"/>
  <c r="AR132" i="28"/>
  <c r="B133" i="29"/>
  <c r="C133" i="29"/>
  <c r="D133" i="29"/>
  <c r="AP132" i="28"/>
  <c r="AQ132" i="28"/>
  <c r="AH132" i="28"/>
  <c r="AG132" i="28"/>
  <c r="AF132" i="28"/>
  <c r="A134" i="28"/>
  <c r="E133" i="28"/>
  <c r="D133" i="28"/>
  <c r="C133" i="28"/>
  <c r="B133" i="28"/>
  <c r="AD133" i="28" l="1"/>
  <c r="AC133" i="28"/>
  <c r="AR133" i="28"/>
  <c r="AQ133" i="28"/>
  <c r="AH133" i="28"/>
  <c r="AP133" i="28"/>
  <c r="AG133" i="28"/>
  <c r="AF133" i="28"/>
  <c r="B134" i="29"/>
  <c r="C134" i="29"/>
  <c r="D134" i="29"/>
  <c r="A135" i="28"/>
  <c r="E134" i="28"/>
  <c r="D134" i="28"/>
  <c r="C134" i="28"/>
  <c r="B134" i="28"/>
  <c r="AD134" i="28" l="1"/>
  <c r="AC134" i="28"/>
  <c r="AR134" i="28"/>
  <c r="AQ134" i="28"/>
  <c r="AP134" i="28"/>
  <c r="AH134" i="28"/>
  <c r="AF134" i="28"/>
  <c r="AG134" i="28"/>
  <c r="B135" i="29"/>
  <c r="C135" i="29"/>
  <c r="D135" i="29"/>
  <c r="A136" i="28"/>
  <c r="E135" i="28"/>
  <c r="D135" i="28"/>
  <c r="C135" i="28"/>
  <c r="B135" i="28"/>
  <c r="AD135" i="28" l="1"/>
  <c r="AC135" i="28"/>
  <c r="AR135" i="28"/>
  <c r="AQ135" i="28"/>
  <c r="AP135" i="28"/>
  <c r="AH135" i="28"/>
  <c r="AF135" i="28"/>
  <c r="AG135" i="28"/>
  <c r="B136" i="29"/>
  <c r="C136" i="29"/>
  <c r="D136" i="29"/>
  <c r="A137" i="28"/>
  <c r="E136" i="28"/>
  <c r="D136" i="28"/>
  <c r="C136" i="28"/>
  <c r="B136" i="28"/>
  <c r="AD136" i="28" l="1"/>
  <c r="AC136" i="28"/>
  <c r="AR136" i="28"/>
  <c r="AQ136" i="28"/>
  <c r="AH136" i="28"/>
  <c r="AP136" i="28"/>
  <c r="AG136" i="28"/>
  <c r="AF136" i="28"/>
  <c r="B137" i="29"/>
  <c r="C137" i="29"/>
  <c r="D137" i="29"/>
  <c r="C137" i="28"/>
  <c r="B137" i="28"/>
  <c r="A138" i="28"/>
  <c r="E137" i="28"/>
  <c r="D137" i="28"/>
  <c r="AD137" i="28" l="1"/>
  <c r="AC137" i="28"/>
  <c r="AR137" i="28"/>
  <c r="AP137" i="28"/>
  <c r="AH137" i="28"/>
  <c r="AQ137" i="28"/>
  <c r="AG137" i="28"/>
  <c r="AF137" i="28"/>
  <c r="B138" i="29"/>
  <c r="C138" i="29"/>
  <c r="D138" i="29"/>
  <c r="A139" i="28"/>
  <c r="E138" i="28"/>
  <c r="D138" i="28"/>
  <c r="C138" i="28"/>
  <c r="B138" i="28"/>
  <c r="AD138" i="28" l="1"/>
  <c r="AC138" i="28"/>
  <c r="AR138" i="28"/>
  <c r="AQ138" i="28"/>
  <c r="AP138" i="28"/>
  <c r="AF138" i="28"/>
  <c r="AG138" i="28"/>
  <c r="AH138" i="28"/>
  <c r="C139" i="29"/>
  <c r="B139" i="29"/>
  <c r="D139" i="29"/>
  <c r="E139" i="28"/>
  <c r="D139" i="28"/>
  <c r="C139" i="28"/>
  <c r="B139" i="28"/>
  <c r="A140" i="28"/>
  <c r="AD139" i="28" l="1"/>
  <c r="AC139" i="28"/>
  <c r="AR139" i="28"/>
  <c r="C140" i="29"/>
  <c r="B140" i="29"/>
  <c r="D140" i="29"/>
  <c r="AQ139" i="28"/>
  <c r="AH139" i="28"/>
  <c r="AP139" i="28"/>
  <c r="AF139" i="28"/>
  <c r="AG139" i="28"/>
  <c r="A141" i="28"/>
  <c r="E140" i="28"/>
  <c r="D140" i="28"/>
  <c r="C140" i="28"/>
  <c r="B140" i="28"/>
  <c r="AD140" i="28" l="1"/>
  <c r="AC140" i="28"/>
  <c r="AR140" i="28"/>
  <c r="AQ140" i="28"/>
  <c r="AH140" i="28"/>
  <c r="AP140" i="28"/>
  <c r="AG140" i="28"/>
  <c r="AF140" i="28"/>
  <c r="B141" i="29"/>
  <c r="D141" i="29"/>
  <c r="C141" i="29"/>
  <c r="A142" i="28"/>
  <c r="E141" i="28"/>
  <c r="D141" i="28"/>
  <c r="C141" i="28"/>
  <c r="B141" i="28"/>
  <c r="AD141" i="28" l="1"/>
  <c r="AC141" i="28"/>
  <c r="AR141" i="28"/>
  <c r="AP141" i="28"/>
  <c r="AQ141" i="28"/>
  <c r="AH141" i="28"/>
  <c r="AF141" i="28"/>
  <c r="AG141" i="28"/>
  <c r="B142" i="29"/>
  <c r="C142" i="29"/>
  <c r="D142" i="29"/>
  <c r="B142" i="28"/>
  <c r="A143" i="28"/>
  <c r="E142" i="28"/>
  <c r="D142" i="28"/>
  <c r="C142" i="28"/>
  <c r="AD142" i="28" l="1"/>
  <c r="AC142" i="28"/>
  <c r="AR142" i="28"/>
  <c r="AQ142" i="28"/>
  <c r="AP142" i="28"/>
  <c r="AH142" i="28"/>
  <c r="AG142" i="28"/>
  <c r="AF142" i="28"/>
  <c r="B143" i="29"/>
  <c r="C143" i="29"/>
  <c r="D143" i="29"/>
  <c r="A144" i="28"/>
  <c r="E143" i="28"/>
  <c r="D143" i="28"/>
  <c r="C143" i="28"/>
  <c r="B143" i="28"/>
  <c r="AD143" i="28" l="1"/>
  <c r="AC143" i="28"/>
  <c r="AR143" i="28"/>
  <c r="AQ143" i="28"/>
  <c r="AH143" i="28"/>
  <c r="AP143" i="28"/>
  <c r="AF143" i="28"/>
  <c r="AG143" i="28"/>
  <c r="C144" i="29"/>
  <c r="B144" i="29"/>
  <c r="D144" i="29"/>
  <c r="D144" i="28"/>
  <c r="C144" i="28"/>
  <c r="B144" i="28"/>
  <c r="A145" i="28"/>
  <c r="E144" i="28"/>
  <c r="AD144" i="28" l="1"/>
  <c r="AC144" i="28"/>
  <c r="AR144" i="28"/>
  <c r="B145" i="29"/>
  <c r="C145" i="29"/>
  <c r="D145" i="29"/>
  <c r="AQ144" i="28"/>
  <c r="AH144" i="28"/>
  <c r="AG144" i="28"/>
  <c r="AP144" i="28"/>
  <c r="AF144" i="28"/>
  <c r="A146" i="28"/>
  <c r="E145" i="28"/>
  <c r="D145" i="28"/>
  <c r="C145" i="28"/>
  <c r="B145" i="28"/>
  <c r="AD145" i="28" l="1"/>
  <c r="AC145" i="28"/>
  <c r="AR145" i="28"/>
  <c r="AP145" i="28"/>
  <c r="AH145" i="28"/>
  <c r="AQ145" i="28"/>
  <c r="AG145" i="28"/>
  <c r="AF145" i="28"/>
  <c r="B146" i="29"/>
  <c r="C146" i="29"/>
  <c r="D146" i="29"/>
  <c r="A147" i="28"/>
  <c r="E146" i="28"/>
  <c r="D146" i="28"/>
  <c r="C146" i="28"/>
  <c r="B146" i="28"/>
  <c r="AD146" i="28" l="1"/>
  <c r="AC146" i="28"/>
  <c r="AR146" i="28"/>
  <c r="AQ146" i="28"/>
  <c r="AP146" i="28"/>
  <c r="AH146" i="28"/>
  <c r="AF146" i="28"/>
  <c r="AG146" i="28"/>
  <c r="B147" i="29"/>
  <c r="C147" i="29"/>
  <c r="D147" i="29"/>
  <c r="A148" i="28"/>
  <c r="E147" i="28"/>
  <c r="D147" i="28"/>
  <c r="C147" i="28"/>
  <c r="B147" i="28"/>
  <c r="AD147" i="28" l="1"/>
  <c r="AC147" i="28"/>
  <c r="AR147" i="28"/>
  <c r="AP147" i="28"/>
  <c r="AH147" i="28"/>
  <c r="AQ147" i="28"/>
  <c r="AF147" i="28"/>
  <c r="AG147" i="28"/>
  <c r="B148" i="29"/>
  <c r="C148" i="29"/>
  <c r="D148" i="29"/>
  <c r="A149" i="28"/>
  <c r="E148" i="28"/>
  <c r="D148" i="28"/>
  <c r="C148" i="28"/>
  <c r="B148" i="28"/>
  <c r="AD148" i="28" l="1"/>
  <c r="AC148" i="28"/>
  <c r="AR148" i="28"/>
  <c r="AQ148" i="28"/>
  <c r="AP148" i="28"/>
  <c r="AH148" i="28"/>
  <c r="AF148" i="28"/>
  <c r="AG148" i="28"/>
  <c r="C149" i="29"/>
  <c r="B149" i="29"/>
  <c r="D149" i="29"/>
  <c r="C149" i="28"/>
  <c r="B149" i="28"/>
  <c r="A150" i="28"/>
  <c r="E149" i="28"/>
  <c r="D149" i="28"/>
  <c r="AD149" i="28" l="1"/>
  <c r="AC149" i="28"/>
  <c r="AR149" i="28"/>
  <c r="AQ149" i="28"/>
  <c r="AP149" i="28"/>
  <c r="AH149" i="28"/>
  <c r="AG149" i="28"/>
  <c r="AF149" i="28"/>
  <c r="B150" i="29"/>
  <c r="C150" i="29"/>
  <c r="D150" i="29"/>
  <c r="A151" i="28"/>
  <c r="E150" i="28"/>
  <c r="D150" i="28"/>
  <c r="C150" i="28"/>
  <c r="B150" i="28"/>
  <c r="AD150" i="28" l="1"/>
  <c r="AC150" i="28"/>
  <c r="AR150" i="28"/>
  <c r="AQ150" i="28"/>
  <c r="AP150" i="28"/>
  <c r="AF150" i="28"/>
  <c r="AG150" i="28"/>
  <c r="AH150" i="28"/>
  <c r="B151" i="29"/>
  <c r="C151" i="29"/>
  <c r="D151" i="29"/>
  <c r="E151" i="28"/>
  <c r="D151" i="28"/>
  <c r="C151" i="28"/>
  <c r="B151" i="28"/>
  <c r="A152" i="28"/>
  <c r="AD151" i="28" l="1"/>
  <c r="AC151" i="28"/>
  <c r="AR151" i="28"/>
  <c r="B152" i="29"/>
  <c r="C152" i="29"/>
  <c r="D152" i="29"/>
  <c r="AQ151" i="28"/>
  <c r="AH151" i="28"/>
  <c r="AP151" i="28"/>
  <c r="AG151" i="28"/>
  <c r="AF151" i="28"/>
  <c r="A153" i="28"/>
  <c r="E152" i="28"/>
  <c r="D152" i="28"/>
  <c r="C152" i="28"/>
  <c r="B152" i="28"/>
  <c r="AD152" i="28" l="1"/>
  <c r="AC152" i="28"/>
  <c r="AR152" i="28"/>
  <c r="AQ152" i="28"/>
  <c r="AP152" i="28"/>
  <c r="AH152" i="28"/>
  <c r="AG152" i="28"/>
  <c r="AF152" i="28"/>
  <c r="B153" i="29"/>
  <c r="C153" i="29"/>
  <c r="D153" i="29"/>
  <c r="A154" i="28"/>
  <c r="E153" i="28"/>
  <c r="D153" i="28"/>
  <c r="C153" i="28"/>
  <c r="B153" i="28"/>
  <c r="AD153" i="28" l="1"/>
  <c r="AC153" i="28"/>
  <c r="AR153" i="28"/>
  <c r="AQ153" i="28"/>
  <c r="AP153" i="28"/>
  <c r="AH153" i="28"/>
  <c r="AG153" i="28"/>
  <c r="AF153" i="28"/>
  <c r="B154" i="29"/>
  <c r="D154" i="29"/>
  <c r="C154" i="29"/>
  <c r="B154" i="28"/>
  <c r="A155" i="28"/>
  <c r="E154" i="28"/>
  <c r="D154" i="28"/>
  <c r="C154" i="28"/>
  <c r="AD154" i="28" l="1"/>
  <c r="AC154" i="28"/>
  <c r="AR154" i="28"/>
  <c r="AQ154" i="28"/>
  <c r="AP154" i="28"/>
  <c r="AH154" i="28"/>
  <c r="AG154" i="28"/>
  <c r="AF154" i="28"/>
  <c r="B155" i="29"/>
  <c r="C155" i="29"/>
  <c r="D155" i="29"/>
  <c r="A156" i="28"/>
  <c r="E155" i="28"/>
  <c r="D155" i="28"/>
  <c r="C155" i="28"/>
  <c r="B155" i="28"/>
  <c r="AD155" i="28" l="1"/>
  <c r="AC155" i="28"/>
  <c r="AR155" i="28"/>
  <c r="AQ155" i="28"/>
  <c r="AP155" i="28"/>
  <c r="AH155" i="28"/>
  <c r="AF155" i="28"/>
  <c r="AG155" i="28"/>
  <c r="B156" i="29"/>
  <c r="C156" i="29"/>
  <c r="D156" i="29"/>
  <c r="D156" i="28"/>
  <c r="C156" i="28"/>
  <c r="B156" i="28"/>
  <c r="A157" i="28"/>
  <c r="E156" i="28"/>
  <c r="AD156" i="28" l="1"/>
  <c r="AC156" i="28"/>
  <c r="AR156" i="28"/>
  <c r="B157" i="29"/>
  <c r="C157" i="29"/>
  <c r="D157" i="29"/>
  <c r="AQ156" i="28"/>
  <c r="AP156" i="28"/>
  <c r="AH156" i="28"/>
  <c r="AG156" i="28"/>
  <c r="AF156" i="28"/>
  <c r="A158" i="28"/>
  <c r="E157" i="28"/>
  <c r="D157" i="28"/>
  <c r="C157" i="28"/>
  <c r="B157" i="28"/>
  <c r="AD157" i="28" l="1"/>
  <c r="AC157" i="28"/>
  <c r="AR157" i="28"/>
  <c r="AQ157" i="28"/>
  <c r="AH157" i="28"/>
  <c r="AP157" i="28"/>
  <c r="AG157" i="28"/>
  <c r="AF157" i="28"/>
  <c r="B158" i="29"/>
  <c r="C158" i="29"/>
  <c r="D158" i="29"/>
  <c r="A159" i="28"/>
  <c r="E158" i="28"/>
  <c r="C158" i="28"/>
  <c r="D158" i="28"/>
  <c r="B158" i="28"/>
  <c r="AD158" i="28" l="1"/>
  <c r="AC158" i="28"/>
  <c r="AR158" i="28"/>
  <c r="AQ158" i="28"/>
  <c r="AP158" i="28"/>
  <c r="AH158" i="28"/>
  <c r="AF158" i="28"/>
  <c r="AG158" i="28"/>
  <c r="B159" i="29"/>
  <c r="C159" i="29"/>
  <c r="D159" i="29"/>
  <c r="E159" i="28"/>
  <c r="D159" i="28"/>
  <c r="C159" i="28"/>
  <c r="B159" i="28"/>
  <c r="A160" i="28"/>
  <c r="AD159" i="28" l="1"/>
  <c r="AC159" i="28"/>
  <c r="AR159" i="28"/>
  <c r="B160" i="29"/>
  <c r="C160" i="29"/>
  <c r="D160" i="29"/>
  <c r="AP159" i="28"/>
  <c r="AQ159" i="28"/>
  <c r="AH159" i="28"/>
  <c r="AF159" i="28"/>
  <c r="AG159" i="28"/>
  <c r="A161" i="28"/>
  <c r="E160" i="28"/>
  <c r="D160" i="28"/>
  <c r="C160" i="28"/>
  <c r="B160" i="28"/>
  <c r="AD160" i="28" l="1"/>
  <c r="AC160" i="28"/>
  <c r="AR160" i="28"/>
  <c r="AQ160" i="28"/>
  <c r="AP160" i="28"/>
  <c r="AH160" i="28"/>
  <c r="AF160" i="28"/>
  <c r="AG160" i="28"/>
  <c r="B161" i="29"/>
  <c r="C161" i="29"/>
  <c r="D161" i="29"/>
  <c r="C161" i="28"/>
  <c r="B161" i="28"/>
  <c r="A162" i="28"/>
  <c r="E161" i="28"/>
  <c r="D161" i="28"/>
  <c r="AD161" i="28" l="1"/>
  <c r="AC161" i="28"/>
  <c r="AR161" i="28"/>
  <c r="AP161" i="28"/>
  <c r="AQ161" i="28"/>
  <c r="AH161" i="28"/>
  <c r="AG161" i="28"/>
  <c r="AF161" i="28"/>
  <c r="B162" i="29"/>
  <c r="C162" i="29"/>
  <c r="D162" i="29"/>
  <c r="A163" i="28"/>
  <c r="E162" i="28"/>
  <c r="D162" i="28"/>
  <c r="C162" i="28"/>
  <c r="B162" i="28"/>
  <c r="AD162" i="28" l="1"/>
  <c r="AC162" i="28"/>
  <c r="AR162" i="28"/>
  <c r="AP162" i="28"/>
  <c r="AQ162" i="28"/>
  <c r="AH162" i="28"/>
  <c r="AF162" i="28"/>
  <c r="AG162" i="28"/>
  <c r="C163" i="29"/>
  <c r="B163" i="29"/>
  <c r="D163" i="29"/>
  <c r="E163" i="28"/>
  <c r="D163" i="28"/>
  <c r="C163" i="28"/>
  <c r="B163" i="28"/>
  <c r="A164" i="28"/>
  <c r="AD163" i="28" l="1"/>
  <c r="AC163" i="28"/>
  <c r="AR163" i="28"/>
  <c r="C164" i="29"/>
  <c r="B164" i="29"/>
  <c r="D164" i="29"/>
  <c r="AQ163" i="28"/>
  <c r="AP163" i="28"/>
  <c r="AH163" i="28"/>
  <c r="AG163" i="28"/>
  <c r="AF163" i="28"/>
  <c r="A165" i="28"/>
  <c r="E164" i="28"/>
  <c r="D164" i="28"/>
  <c r="C164" i="28"/>
  <c r="B164" i="28"/>
  <c r="AD164" i="28" l="1"/>
  <c r="AC164" i="28"/>
  <c r="AR164" i="28"/>
  <c r="AQ164" i="28"/>
  <c r="AP164" i="28"/>
  <c r="AH164" i="28"/>
  <c r="AG164" i="28"/>
  <c r="AF164" i="28"/>
  <c r="B165" i="29"/>
  <c r="C165" i="29"/>
  <c r="D165" i="29"/>
  <c r="A166" i="28"/>
  <c r="E165" i="28"/>
  <c r="D165" i="28"/>
  <c r="C165" i="28"/>
  <c r="B165" i="28"/>
  <c r="AD165" i="28" l="1"/>
  <c r="AC165" i="28"/>
  <c r="AR165" i="28"/>
  <c r="AP165" i="28"/>
  <c r="AH165" i="28"/>
  <c r="AQ165" i="28"/>
  <c r="AG165" i="28"/>
  <c r="AF165" i="28"/>
  <c r="B166" i="29"/>
  <c r="C166" i="29"/>
  <c r="D166" i="29"/>
  <c r="B166" i="28"/>
  <c r="A167" i="28"/>
  <c r="E166" i="28"/>
  <c r="D166" i="28"/>
  <c r="C166" i="28"/>
  <c r="AD166" i="28" l="1"/>
  <c r="AC166" i="28"/>
  <c r="AR166" i="28"/>
  <c r="AQ166" i="28"/>
  <c r="AP166" i="28"/>
  <c r="AH166" i="28"/>
  <c r="AG166" i="28"/>
  <c r="AF166" i="28"/>
  <c r="B167" i="29"/>
  <c r="C167" i="29"/>
  <c r="D167" i="29"/>
  <c r="A168" i="28"/>
  <c r="E167" i="28"/>
  <c r="D167" i="28"/>
  <c r="C167" i="28"/>
  <c r="B167" i="28"/>
  <c r="AD167" i="28" l="1"/>
  <c r="AC167" i="28"/>
  <c r="AR167" i="28"/>
  <c r="AQ167" i="28"/>
  <c r="AP167" i="28"/>
  <c r="AH167" i="28"/>
  <c r="AF167" i="28"/>
  <c r="AG167" i="28"/>
  <c r="C168" i="29"/>
  <c r="B168" i="29"/>
  <c r="D168" i="29"/>
  <c r="D168" i="28"/>
  <c r="C168" i="28"/>
  <c r="B168" i="28"/>
  <c r="A169" i="28"/>
  <c r="E168" i="28"/>
  <c r="AD168" i="28" l="1"/>
  <c r="AC168" i="28"/>
  <c r="AR168" i="28"/>
  <c r="B169" i="29"/>
  <c r="C169" i="29"/>
  <c r="D169" i="29"/>
  <c r="AQ168" i="28"/>
  <c r="AP168" i="28"/>
  <c r="AH168" i="28"/>
  <c r="AG168" i="28"/>
  <c r="AF168" i="28"/>
  <c r="A170" i="28"/>
  <c r="E169" i="28"/>
  <c r="D169" i="28"/>
  <c r="C169" i="28"/>
  <c r="B169" i="28"/>
  <c r="AD169" i="28" l="1"/>
  <c r="AC169" i="28"/>
  <c r="AR169" i="28"/>
  <c r="AH169" i="28"/>
  <c r="AQ169" i="28"/>
  <c r="AP169" i="28"/>
  <c r="AG169" i="28"/>
  <c r="AF169" i="28"/>
  <c r="B170" i="29"/>
  <c r="C170" i="29"/>
  <c r="D170" i="29"/>
  <c r="A171" i="28"/>
  <c r="E170" i="28"/>
  <c r="D170" i="28"/>
  <c r="C170" i="28"/>
  <c r="B170" i="28"/>
  <c r="AD170" i="28" l="1"/>
  <c r="AC170" i="28"/>
  <c r="AR170" i="28"/>
  <c r="AQ170" i="28"/>
  <c r="AP170" i="28"/>
  <c r="AH170" i="28"/>
  <c r="AF170" i="28"/>
  <c r="AG170" i="28"/>
  <c r="B171" i="29"/>
  <c r="C171" i="29"/>
  <c r="D171" i="29"/>
  <c r="A172" i="28"/>
  <c r="E171" i="28"/>
  <c r="D171" i="28"/>
  <c r="C171" i="28"/>
  <c r="B171" i="28"/>
  <c r="AD171" i="28" l="1"/>
  <c r="AC171" i="28"/>
  <c r="AR171" i="28"/>
  <c r="AQ171" i="28"/>
  <c r="AP171" i="28"/>
  <c r="AH171" i="28"/>
  <c r="AF171" i="28"/>
  <c r="AG171" i="28"/>
  <c r="B172" i="29"/>
  <c r="C172" i="29"/>
  <c r="D172" i="29"/>
  <c r="A173" i="28"/>
  <c r="E172" i="28"/>
  <c r="D172" i="28"/>
  <c r="C172" i="28"/>
  <c r="B172" i="28"/>
  <c r="AD172" i="28" l="1"/>
  <c r="AC172" i="28"/>
  <c r="AR172" i="28"/>
  <c r="AQ172" i="28"/>
  <c r="AH172" i="28"/>
  <c r="AP172" i="28"/>
  <c r="AG172" i="28"/>
  <c r="AF172" i="28"/>
  <c r="B173" i="29"/>
  <c r="C173" i="29"/>
  <c r="D173" i="29"/>
  <c r="C173" i="28"/>
  <c r="B173" i="28"/>
  <c r="A174" i="28"/>
  <c r="E173" i="28"/>
  <c r="D173" i="28"/>
  <c r="AD173" i="28" l="1"/>
  <c r="AC173" i="28"/>
  <c r="AR173" i="28"/>
  <c r="AP173" i="28"/>
  <c r="AQ173" i="28"/>
  <c r="AH173" i="28"/>
  <c r="AG173" i="28"/>
  <c r="AF173" i="28"/>
  <c r="B174" i="29"/>
  <c r="C174" i="29"/>
  <c r="D174" i="29"/>
  <c r="A175" i="28"/>
  <c r="E174" i="28"/>
  <c r="D174" i="28"/>
  <c r="C174" i="28"/>
  <c r="B174" i="28"/>
  <c r="AD174" i="28" l="1"/>
  <c r="AC174" i="28"/>
  <c r="AR174" i="28"/>
  <c r="AP174" i="28"/>
  <c r="AQ174" i="28"/>
  <c r="AH174" i="28"/>
  <c r="AF174" i="28"/>
  <c r="AG174" i="28"/>
  <c r="C175" i="29"/>
  <c r="B175" i="29"/>
  <c r="D175" i="29"/>
  <c r="E175" i="28"/>
  <c r="D175" i="28"/>
  <c r="C175" i="28"/>
  <c r="B175" i="28"/>
  <c r="A176" i="28"/>
  <c r="AD175" i="28" l="1"/>
  <c r="AC175" i="28"/>
  <c r="AR175" i="28"/>
  <c r="C176" i="29"/>
  <c r="B176" i="29"/>
  <c r="D176" i="29"/>
  <c r="AP175" i="28"/>
  <c r="AH175" i="28"/>
  <c r="AQ175" i="28"/>
  <c r="AG175" i="28"/>
  <c r="AF175" i="28"/>
  <c r="A177" i="28"/>
  <c r="E176" i="28"/>
  <c r="D176" i="28"/>
  <c r="C176" i="28"/>
  <c r="B176" i="28"/>
  <c r="AD176" i="28" l="1"/>
  <c r="AC176" i="28"/>
  <c r="AR176" i="28"/>
  <c r="AP176" i="28"/>
  <c r="AH176" i="28"/>
  <c r="AQ176" i="28"/>
  <c r="AG176" i="28"/>
  <c r="AF176" i="28"/>
  <c r="B177" i="29"/>
  <c r="D177" i="29"/>
  <c r="C177" i="29"/>
  <c r="A178" i="28"/>
  <c r="E177" i="28"/>
  <c r="D177" i="28"/>
  <c r="C177" i="28"/>
  <c r="B177" i="28"/>
  <c r="AD177" i="28" l="1"/>
  <c r="AC177" i="28"/>
  <c r="AR177" i="28"/>
  <c r="AQ177" i="28"/>
  <c r="AP177" i="28"/>
  <c r="AH177" i="28"/>
  <c r="AF177" i="28"/>
  <c r="AG177" i="28"/>
  <c r="B178" i="29"/>
  <c r="C178" i="29"/>
  <c r="D178" i="29"/>
  <c r="B178" i="28"/>
  <c r="A179" i="28"/>
  <c r="E178" i="28"/>
  <c r="D178" i="28"/>
  <c r="C178" i="28"/>
  <c r="AD178" i="28" l="1"/>
  <c r="AC178" i="28"/>
  <c r="AR178" i="28"/>
  <c r="AQ178" i="28"/>
  <c r="AP178" i="28"/>
  <c r="AH178" i="28"/>
  <c r="AG178" i="28"/>
  <c r="AF178" i="28"/>
  <c r="B179" i="29"/>
  <c r="C179" i="29"/>
  <c r="D179" i="29"/>
  <c r="A180" i="28"/>
  <c r="E179" i="28"/>
  <c r="D179" i="28"/>
  <c r="C179" i="28"/>
  <c r="B179" i="28"/>
  <c r="AD179" i="28" l="1"/>
  <c r="AC179" i="28"/>
  <c r="AR179" i="28"/>
  <c r="AP179" i="28"/>
  <c r="AQ179" i="28"/>
  <c r="AF179" i="28"/>
  <c r="AG179" i="28"/>
  <c r="AH179" i="28"/>
  <c r="B180" i="29"/>
  <c r="C180" i="29"/>
  <c r="D180" i="29"/>
  <c r="D180" i="28"/>
  <c r="C180" i="28"/>
  <c r="B180" i="28"/>
  <c r="A181" i="28"/>
  <c r="E180" i="28"/>
  <c r="AD180" i="28" l="1"/>
  <c r="AC180" i="28"/>
  <c r="AR180" i="28"/>
  <c r="B181" i="29"/>
  <c r="C181" i="29"/>
  <c r="D181" i="29"/>
  <c r="AQ180" i="28"/>
  <c r="AP180" i="28"/>
  <c r="AG180" i="28"/>
  <c r="AH180" i="28"/>
  <c r="AF180" i="28"/>
  <c r="A182" i="28"/>
  <c r="E181" i="28"/>
  <c r="D181" i="28"/>
  <c r="C181" i="28"/>
  <c r="B181" i="28"/>
  <c r="AD181" i="28" l="1"/>
  <c r="AC181" i="28"/>
  <c r="AR181" i="28"/>
  <c r="AQ181" i="28"/>
  <c r="AH181" i="28"/>
  <c r="AP181" i="28"/>
  <c r="AG181" i="28"/>
  <c r="AF181" i="28"/>
  <c r="B182" i="29"/>
  <c r="C182" i="29"/>
  <c r="D182" i="29"/>
  <c r="A183" i="28"/>
  <c r="E182" i="28"/>
  <c r="D182" i="28"/>
  <c r="C182" i="28"/>
  <c r="B182" i="28"/>
  <c r="AD182" i="28" l="1"/>
  <c r="AC182" i="28"/>
  <c r="AR182" i="28"/>
  <c r="AQ182" i="28"/>
  <c r="AP182" i="28"/>
  <c r="AH182" i="28"/>
  <c r="AF182" i="28"/>
  <c r="AG182" i="28"/>
  <c r="B183" i="29"/>
  <c r="C183" i="29"/>
  <c r="D183" i="29"/>
  <c r="A184" i="28"/>
  <c r="E183" i="28"/>
  <c r="D183" i="28"/>
  <c r="C183" i="28"/>
  <c r="B183" i="28"/>
  <c r="AD183" i="28" l="1"/>
  <c r="AC183" i="28"/>
  <c r="AR183" i="28"/>
  <c r="AQ183" i="28"/>
  <c r="AP183" i="28"/>
  <c r="AH183" i="28"/>
  <c r="AF183" i="28"/>
  <c r="AG183" i="28"/>
  <c r="B184" i="29"/>
  <c r="C184" i="29"/>
  <c r="D184" i="29"/>
  <c r="A185" i="28"/>
  <c r="E184" i="28"/>
  <c r="D184" i="28"/>
  <c r="C184" i="28"/>
  <c r="B184" i="28"/>
  <c r="AD184" i="28" l="1"/>
  <c r="AC184" i="28"/>
  <c r="AR184" i="28"/>
  <c r="AQ184" i="28"/>
  <c r="AH184" i="28"/>
  <c r="AP184" i="28"/>
  <c r="AF184" i="28"/>
  <c r="AG184" i="28"/>
  <c r="B185" i="29"/>
  <c r="C185" i="29"/>
  <c r="D185" i="29"/>
  <c r="C185" i="28"/>
  <c r="B185" i="28"/>
  <c r="A186" i="28"/>
  <c r="E185" i="28"/>
  <c r="D185" i="28"/>
  <c r="AD185" i="28" l="1"/>
  <c r="AC185" i="28"/>
  <c r="AR185" i="28"/>
  <c r="AP185" i="28"/>
  <c r="AH185" i="28"/>
  <c r="AQ185" i="28"/>
  <c r="AG185" i="28"/>
  <c r="AF185" i="28"/>
  <c r="B186" i="29"/>
  <c r="C186" i="29"/>
  <c r="D186" i="29"/>
  <c r="A187" i="28"/>
  <c r="E186" i="28"/>
  <c r="D186" i="28"/>
  <c r="C186" i="28"/>
  <c r="B186" i="28"/>
  <c r="AD186" i="28" l="1"/>
  <c r="AC186" i="28"/>
  <c r="AR186" i="28"/>
  <c r="AQ186" i="28"/>
  <c r="AH186" i="28"/>
  <c r="AP186" i="28"/>
  <c r="AF186" i="28"/>
  <c r="AG186" i="28"/>
  <c r="C187" i="29"/>
  <c r="B187" i="29"/>
  <c r="D187" i="29"/>
  <c r="E187" i="28"/>
  <c r="D187" i="28"/>
  <c r="C187" i="28"/>
  <c r="B187" i="28"/>
  <c r="A188" i="28"/>
  <c r="AD187" i="28" l="1"/>
  <c r="AC187" i="28"/>
  <c r="AR187" i="28"/>
  <c r="C188" i="29"/>
  <c r="B188" i="29"/>
  <c r="D188" i="29"/>
  <c r="AQ187" i="28"/>
  <c r="AH187" i="28"/>
  <c r="AP187" i="28"/>
  <c r="AG187" i="28"/>
  <c r="AF187" i="28"/>
  <c r="A189" i="28"/>
  <c r="E188" i="28"/>
  <c r="D188" i="28"/>
  <c r="C188" i="28"/>
  <c r="B188" i="28"/>
  <c r="AD188" i="28" l="1"/>
  <c r="AC188" i="28"/>
  <c r="AR188" i="28"/>
  <c r="AQ188" i="28"/>
  <c r="AP188" i="28"/>
  <c r="AH188" i="28"/>
  <c r="AG188" i="28"/>
  <c r="AF188" i="28"/>
  <c r="B189" i="29"/>
  <c r="C189" i="29"/>
  <c r="D189" i="29"/>
  <c r="A190" i="28"/>
  <c r="E189" i="28"/>
  <c r="D189" i="28"/>
  <c r="C189" i="28"/>
  <c r="B189" i="28"/>
  <c r="AD189" i="28" l="1"/>
  <c r="AC189" i="28"/>
  <c r="AR189" i="28"/>
  <c r="AP189" i="28"/>
  <c r="AQ189" i="28"/>
  <c r="AH189" i="28"/>
  <c r="AF189" i="28"/>
  <c r="AG189" i="28"/>
  <c r="B190" i="29"/>
  <c r="C190" i="29"/>
  <c r="D190" i="29"/>
  <c r="B190" i="28"/>
  <c r="A191" i="28"/>
  <c r="E190" i="28"/>
  <c r="D190" i="28"/>
  <c r="C190" i="28"/>
  <c r="AD190" i="28" l="1"/>
  <c r="AC190" i="28"/>
  <c r="AR190" i="28"/>
  <c r="AP190" i="28"/>
  <c r="AQ190" i="28"/>
  <c r="AH190" i="28"/>
  <c r="AG190" i="28"/>
  <c r="AF190" i="28"/>
  <c r="B191" i="29"/>
  <c r="C191" i="29"/>
  <c r="D191" i="29"/>
  <c r="A192" i="28"/>
  <c r="E191" i="28"/>
  <c r="D191" i="28"/>
  <c r="C191" i="28"/>
  <c r="B191" i="28"/>
  <c r="AD191" i="28" l="1"/>
  <c r="AC191" i="28"/>
  <c r="AR191" i="28"/>
  <c r="AQ191" i="28"/>
  <c r="AP191" i="28"/>
  <c r="AF191" i="28"/>
  <c r="AG191" i="28"/>
  <c r="AH191" i="28"/>
  <c r="B192" i="29"/>
  <c r="C192" i="29"/>
  <c r="D192" i="29"/>
  <c r="D192" i="28"/>
  <c r="C192" i="28"/>
  <c r="B192" i="28"/>
  <c r="A193" i="28"/>
  <c r="E192" i="28"/>
  <c r="AD192" i="28" l="1"/>
  <c r="AC192" i="28"/>
  <c r="AR192" i="28"/>
  <c r="B193" i="29"/>
  <c r="C193" i="29"/>
  <c r="D193" i="29"/>
  <c r="AQ192" i="28"/>
  <c r="AP192" i="28"/>
  <c r="AH192" i="28"/>
  <c r="AG192" i="28"/>
  <c r="AF192" i="28"/>
  <c r="A194" i="28"/>
  <c r="E193" i="28"/>
  <c r="D193" i="28"/>
  <c r="C193" i="28"/>
  <c r="B193" i="28"/>
  <c r="AD193" i="28" l="1"/>
  <c r="AC193" i="28"/>
  <c r="AR193" i="28"/>
  <c r="AH193" i="28"/>
  <c r="AQ193" i="28"/>
  <c r="AP193" i="28"/>
  <c r="AG193" i="28"/>
  <c r="AF193" i="28"/>
  <c r="B194" i="29"/>
  <c r="C194" i="29"/>
  <c r="D194" i="29"/>
  <c r="A195" i="28"/>
  <c r="E194" i="28"/>
  <c r="D194" i="28"/>
  <c r="C194" i="28"/>
  <c r="B194" i="28"/>
  <c r="AD194" i="28" l="1"/>
  <c r="AC194" i="28"/>
  <c r="AR194" i="28"/>
  <c r="AQ194" i="28"/>
  <c r="AH194" i="28"/>
  <c r="AP194" i="28"/>
  <c r="AF194" i="28"/>
  <c r="AG194" i="28"/>
  <c r="B195" i="29"/>
  <c r="C195" i="29"/>
  <c r="D195" i="29"/>
  <c r="A196" i="28"/>
  <c r="E195" i="28"/>
  <c r="D195" i="28"/>
  <c r="C195" i="28"/>
  <c r="B195" i="28"/>
  <c r="AD195" i="28" l="1"/>
  <c r="AC195" i="28"/>
  <c r="AR195" i="28"/>
  <c r="AQ195" i="28"/>
  <c r="AP195" i="28"/>
  <c r="AF195" i="28"/>
  <c r="AH195" i="28"/>
  <c r="AG195" i="28"/>
  <c r="B196" i="29"/>
  <c r="C196" i="29"/>
  <c r="D196" i="29"/>
  <c r="A197" i="28"/>
  <c r="E196" i="28"/>
  <c r="D196" i="28"/>
  <c r="C196" i="28"/>
  <c r="B196" i="28"/>
  <c r="AD196" i="28" l="1"/>
  <c r="AC196" i="28"/>
  <c r="AR196" i="28"/>
  <c r="AQ196" i="28"/>
  <c r="AH196" i="28"/>
  <c r="AP196" i="28"/>
  <c r="AF196" i="28"/>
  <c r="AG196" i="28"/>
  <c r="B197" i="29"/>
  <c r="C197" i="29"/>
  <c r="D197" i="29"/>
  <c r="C197" i="28"/>
  <c r="B197" i="28"/>
  <c r="A198" i="28"/>
  <c r="E197" i="28"/>
  <c r="D197" i="28"/>
  <c r="AD197" i="28" l="1"/>
  <c r="AC197" i="28"/>
  <c r="AR197" i="28"/>
  <c r="AP197" i="28"/>
  <c r="AQ197" i="28"/>
  <c r="AH197" i="28"/>
  <c r="AG197" i="28"/>
  <c r="AF197" i="28"/>
  <c r="B198" i="29"/>
  <c r="C198" i="29"/>
  <c r="D198" i="29"/>
  <c r="A199" i="28"/>
  <c r="E198" i="28"/>
  <c r="D198" i="28"/>
  <c r="C198" i="28"/>
  <c r="B198" i="28"/>
  <c r="AD198" i="28" l="1"/>
  <c r="AC198" i="28"/>
  <c r="AR198" i="28"/>
  <c r="AQ198" i="28"/>
  <c r="AP198" i="28"/>
  <c r="AH198" i="28"/>
  <c r="AF198" i="28"/>
  <c r="AG198" i="28"/>
  <c r="C199" i="29"/>
  <c r="B199" i="29"/>
  <c r="D199" i="29"/>
  <c r="E199" i="28"/>
  <c r="D199" i="28"/>
  <c r="C199" i="28"/>
  <c r="B199" i="28"/>
  <c r="A200" i="28"/>
  <c r="AD199" i="28" l="1"/>
  <c r="AC199" i="28"/>
  <c r="AR199" i="28"/>
  <c r="C200" i="29"/>
  <c r="B200" i="29"/>
  <c r="D200" i="29"/>
  <c r="AQ199" i="28"/>
  <c r="AH199" i="28"/>
  <c r="AP199" i="28"/>
  <c r="AG199" i="28"/>
  <c r="AF199" i="28"/>
  <c r="A201" i="28"/>
  <c r="E200" i="28"/>
  <c r="D200" i="28"/>
  <c r="C200" i="28"/>
  <c r="B200" i="28"/>
  <c r="AD200" i="28" l="1"/>
  <c r="AC200" i="28"/>
  <c r="AR200" i="28"/>
  <c r="AQ200" i="28"/>
  <c r="AH200" i="28"/>
  <c r="AP200" i="28"/>
  <c r="AG200" i="28"/>
  <c r="AF200" i="28"/>
  <c r="B201" i="29"/>
  <c r="C201" i="29"/>
  <c r="D201" i="29"/>
  <c r="A202" i="28"/>
  <c r="E201" i="28"/>
  <c r="D201" i="28"/>
  <c r="C201" i="28"/>
  <c r="B201" i="28"/>
  <c r="AD201" i="28" l="1"/>
  <c r="AC201" i="28"/>
  <c r="AR201" i="28"/>
  <c r="AP201" i="28"/>
  <c r="AQ201" i="28"/>
  <c r="AH201" i="28"/>
  <c r="AG201" i="28"/>
  <c r="AF201" i="28"/>
  <c r="C202" i="29"/>
  <c r="B202" i="29"/>
  <c r="D202" i="29"/>
  <c r="B202" i="28"/>
  <c r="A203" i="28"/>
  <c r="E202" i="28"/>
  <c r="D202" i="28"/>
  <c r="C202" i="28"/>
  <c r="AD202" i="28" l="1"/>
  <c r="AC202" i="28"/>
  <c r="AR202" i="28"/>
  <c r="AQ202" i="28"/>
  <c r="AG202" i="28"/>
  <c r="AP202" i="28"/>
  <c r="AH202" i="28"/>
  <c r="AF202" i="28"/>
  <c r="B203" i="29"/>
  <c r="C203" i="29"/>
  <c r="D203" i="29"/>
  <c r="A204" i="28"/>
  <c r="E203" i="28"/>
  <c r="D203" i="28"/>
  <c r="C203" i="28"/>
  <c r="B203" i="28"/>
  <c r="AD203" i="28" l="1"/>
  <c r="AC203" i="28"/>
  <c r="AR203" i="28"/>
  <c r="AP203" i="28"/>
  <c r="AQ203" i="28"/>
  <c r="AH203" i="28"/>
  <c r="AF203" i="28"/>
  <c r="AG203" i="28"/>
  <c r="C204" i="29"/>
  <c r="B204" i="29"/>
  <c r="D204" i="29"/>
  <c r="D204" i="28"/>
  <c r="C204" i="28"/>
  <c r="B204" i="28"/>
  <c r="A205" i="28"/>
  <c r="E204" i="28"/>
  <c r="AD204" i="28" l="1"/>
  <c r="AC204" i="28"/>
  <c r="AR204" i="28"/>
  <c r="B205" i="29"/>
  <c r="C205" i="29"/>
  <c r="D205" i="29"/>
  <c r="AP204" i="28"/>
  <c r="AQ204" i="28"/>
  <c r="AH204" i="28"/>
  <c r="AG204" i="28"/>
  <c r="AF204" i="28"/>
  <c r="A206" i="28"/>
  <c r="E205" i="28"/>
  <c r="D205" i="28"/>
  <c r="C205" i="28"/>
  <c r="B205" i="28"/>
  <c r="AD205" i="28" l="1"/>
  <c r="AC205" i="28"/>
  <c r="AR205" i="28"/>
  <c r="AQ205" i="28"/>
  <c r="AH205" i="28"/>
  <c r="AP205" i="28"/>
  <c r="AG205" i="28"/>
  <c r="AF205" i="28"/>
  <c r="B206" i="29"/>
  <c r="C206" i="29"/>
  <c r="D206" i="29"/>
  <c r="A207" i="28"/>
  <c r="E206" i="28"/>
  <c r="D206" i="28"/>
  <c r="C206" i="28"/>
  <c r="B206" i="28"/>
  <c r="AD206" i="28" l="1"/>
  <c r="AC206" i="28"/>
  <c r="AR206" i="28"/>
  <c r="AQ206" i="28"/>
  <c r="AP206" i="28"/>
  <c r="AH206" i="28"/>
  <c r="AF206" i="28"/>
  <c r="AG206" i="28"/>
  <c r="B207" i="29"/>
  <c r="D207" i="29"/>
  <c r="C207" i="29"/>
  <c r="A208" i="28"/>
  <c r="E207" i="28"/>
  <c r="D207" i="28"/>
  <c r="C207" i="28"/>
  <c r="B207" i="28"/>
  <c r="AD207" i="28" l="1"/>
  <c r="AC207" i="28"/>
  <c r="AR207" i="28"/>
  <c r="AQ207" i="28"/>
  <c r="AP207" i="28"/>
  <c r="AH207" i="28"/>
  <c r="AF207" i="28"/>
  <c r="AG207" i="28"/>
  <c r="B208" i="29"/>
  <c r="C208" i="29"/>
  <c r="D208" i="29"/>
  <c r="E208" i="28"/>
  <c r="A209" i="28"/>
  <c r="D208" i="28"/>
  <c r="C208" i="28"/>
  <c r="B208" i="28"/>
  <c r="AD208" i="28" l="1"/>
  <c r="AC208" i="28"/>
  <c r="AR208" i="28"/>
  <c r="AQ208" i="28"/>
  <c r="AH208" i="28"/>
  <c r="AG208" i="28"/>
  <c r="AF208" i="28"/>
  <c r="AP208" i="28"/>
  <c r="B209" i="29"/>
  <c r="C209" i="29"/>
  <c r="D209" i="29"/>
  <c r="E209" i="28"/>
  <c r="A210" i="28"/>
  <c r="D209" i="28"/>
  <c r="C209" i="28"/>
  <c r="B209" i="28"/>
  <c r="AD209" i="28" l="1"/>
  <c r="AC209" i="28"/>
  <c r="AR209" i="28"/>
  <c r="AP209" i="28"/>
  <c r="AH209" i="28"/>
  <c r="AQ209" i="28"/>
  <c r="AG209" i="28"/>
  <c r="AF209" i="28"/>
  <c r="B210" i="29"/>
  <c r="C210" i="29"/>
  <c r="D210" i="29"/>
  <c r="C210" i="28"/>
  <c r="B210" i="28"/>
  <c r="E210" i="28"/>
  <c r="A211" i="28"/>
  <c r="D210" i="28"/>
  <c r="AD210" i="28" l="1"/>
  <c r="AC210" i="28"/>
  <c r="AR210" i="28"/>
  <c r="AQ210" i="28"/>
  <c r="AP210" i="28"/>
  <c r="AH210" i="28"/>
  <c r="AF210" i="28"/>
  <c r="AG210" i="28"/>
  <c r="B211" i="29"/>
  <c r="C211" i="29"/>
  <c r="D211" i="29"/>
  <c r="E211" i="28"/>
  <c r="A212" i="28"/>
  <c r="D211" i="28"/>
  <c r="C211" i="28"/>
  <c r="B211" i="28"/>
  <c r="AD211" i="28" l="1"/>
  <c r="AC211" i="28"/>
  <c r="AR211" i="28"/>
  <c r="AQ211" i="28"/>
  <c r="AP211" i="28"/>
  <c r="AG211" i="28"/>
  <c r="AH211" i="28"/>
  <c r="AF211" i="28"/>
  <c r="B212" i="29"/>
  <c r="C212" i="29"/>
  <c r="D212" i="29"/>
  <c r="E212" i="28"/>
  <c r="D212" i="28"/>
  <c r="A213" i="28"/>
  <c r="C212" i="28"/>
  <c r="B212" i="28"/>
  <c r="AD212" i="28" l="1"/>
  <c r="AC212" i="28"/>
  <c r="AR212" i="28"/>
  <c r="B213" i="29"/>
  <c r="D213" i="29"/>
  <c r="C213" i="29"/>
  <c r="AQ212" i="28"/>
  <c r="AP212" i="28"/>
  <c r="AH212" i="28"/>
  <c r="AG212" i="28"/>
  <c r="AF212" i="28"/>
  <c r="E213" i="28"/>
  <c r="A214" i="28"/>
  <c r="D213" i="28"/>
  <c r="C213" i="28"/>
  <c r="B213" i="28"/>
  <c r="AD213" i="28" l="1"/>
  <c r="AC213" i="28"/>
  <c r="AR213" i="28"/>
  <c r="AP213" i="28"/>
  <c r="AQ213" i="28"/>
  <c r="AH213" i="28"/>
  <c r="AF213" i="28"/>
  <c r="AG213" i="28"/>
  <c r="B214" i="29"/>
  <c r="D214" i="29"/>
  <c r="C214" i="29"/>
  <c r="E214" i="28"/>
  <c r="D214" i="28"/>
  <c r="C214" i="28"/>
  <c r="B214" i="28"/>
  <c r="A215" i="28"/>
  <c r="AD214" i="28" l="1"/>
  <c r="AC214" i="28"/>
  <c r="AR214" i="28"/>
  <c r="B215" i="29"/>
  <c r="C215" i="29"/>
  <c r="D215" i="29"/>
  <c r="AQ214" i="28"/>
  <c r="AP214" i="28"/>
  <c r="AH214" i="28"/>
  <c r="AG214" i="28"/>
  <c r="AF214" i="28"/>
  <c r="B215" i="28"/>
  <c r="E215" i="28"/>
  <c r="D215" i="28"/>
  <c r="C215" i="28"/>
  <c r="A216" i="28"/>
  <c r="AD215" i="28" l="1"/>
  <c r="AC215" i="28"/>
  <c r="AR215" i="28"/>
  <c r="B216" i="29"/>
  <c r="C216" i="29"/>
  <c r="D216" i="29"/>
  <c r="AQ215" i="28"/>
  <c r="AP215" i="28"/>
  <c r="AH215" i="28"/>
  <c r="AF215" i="28"/>
  <c r="AG215" i="28"/>
  <c r="D216" i="28"/>
  <c r="C216" i="28"/>
  <c r="B216" i="28"/>
  <c r="A217" i="28"/>
  <c r="E216" i="28"/>
  <c r="AD216" i="28" l="1"/>
  <c r="AC216" i="28"/>
  <c r="AR216" i="28"/>
  <c r="B217" i="29"/>
  <c r="C217" i="29"/>
  <c r="D217" i="29"/>
  <c r="AQ216" i="28"/>
  <c r="AP216" i="28"/>
  <c r="AH216" i="28"/>
  <c r="AG216" i="28"/>
  <c r="AF216" i="28"/>
  <c r="D217" i="28"/>
  <c r="B217" i="28"/>
  <c r="E217" i="28"/>
  <c r="C217" i="28"/>
  <c r="A218" i="28"/>
  <c r="AD217" i="28" l="1"/>
  <c r="AC217" i="28"/>
  <c r="AR217" i="28"/>
  <c r="B218" i="29"/>
  <c r="C218" i="29"/>
  <c r="D218" i="29"/>
  <c r="AP217" i="28"/>
  <c r="AH217" i="28"/>
  <c r="AG217" i="28"/>
  <c r="AQ217" i="28"/>
  <c r="AF217" i="28"/>
  <c r="A219" i="28"/>
  <c r="C218" i="28"/>
  <c r="E218" i="28"/>
  <c r="D218" i="28"/>
  <c r="B218" i="28"/>
  <c r="AD218" i="28" l="1"/>
  <c r="AC218" i="28"/>
  <c r="AR218" i="28"/>
  <c r="AQ218" i="28"/>
  <c r="AP218" i="28"/>
  <c r="AH218" i="28"/>
  <c r="AF218" i="28"/>
  <c r="AG218" i="28"/>
  <c r="B219" i="29"/>
  <c r="C219" i="29"/>
  <c r="D219" i="29"/>
  <c r="A220" i="28"/>
  <c r="E219" i="28"/>
  <c r="D219" i="28"/>
  <c r="B219" i="28"/>
  <c r="C219" i="28"/>
  <c r="AD219" i="28" l="1"/>
  <c r="AC219" i="28"/>
  <c r="AR219" i="28"/>
  <c r="AQ219" i="28"/>
  <c r="AP219" i="28"/>
  <c r="AH219" i="28"/>
  <c r="AF219" i="28"/>
  <c r="AG219" i="28"/>
  <c r="B220" i="29"/>
  <c r="C220" i="29"/>
  <c r="D220" i="29"/>
  <c r="E220" i="28"/>
  <c r="A221" i="28"/>
  <c r="D220" i="28"/>
  <c r="C220" i="28"/>
  <c r="B220" i="28"/>
  <c r="AD220" i="28" l="1"/>
  <c r="AC220" i="28"/>
  <c r="AR220" i="28"/>
  <c r="AQ220" i="28"/>
  <c r="AP220" i="28"/>
  <c r="AH220" i="28"/>
  <c r="AF220" i="28"/>
  <c r="AG220" i="28"/>
  <c r="B221" i="29"/>
  <c r="C221" i="29"/>
  <c r="D221" i="29"/>
  <c r="A222" i="28"/>
  <c r="C221" i="28"/>
  <c r="E221" i="28"/>
  <c r="D221" i="28"/>
  <c r="B221" i="28"/>
  <c r="AD221" i="28" l="1"/>
  <c r="AC221" i="28"/>
  <c r="AR221" i="28"/>
  <c r="AQ221" i="28"/>
  <c r="AP221" i="28"/>
  <c r="AH221" i="28"/>
  <c r="AG221" i="28"/>
  <c r="AF221" i="28"/>
  <c r="B222" i="29"/>
  <c r="C222" i="29"/>
  <c r="D222" i="29"/>
  <c r="C222" i="28"/>
  <c r="B222" i="28"/>
  <c r="E222" i="28"/>
  <c r="A223" i="28"/>
  <c r="D222" i="28"/>
  <c r="AD222" i="28" l="1"/>
  <c r="AC222" i="28"/>
  <c r="AR222" i="28"/>
  <c r="AQ222" i="28"/>
  <c r="AP222" i="28"/>
  <c r="AH222" i="28"/>
  <c r="AF222" i="28"/>
  <c r="AG222" i="28"/>
  <c r="C223" i="29"/>
  <c r="B223" i="29"/>
  <c r="D223" i="29"/>
  <c r="A224" i="28"/>
  <c r="E223" i="28"/>
  <c r="B223" i="28"/>
  <c r="D223" i="28"/>
  <c r="C223" i="28"/>
  <c r="AD223" i="28" l="1"/>
  <c r="AC223" i="28"/>
  <c r="AR223" i="28"/>
  <c r="AQ223" i="28"/>
  <c r="AP223" i="28"/>
  <c r="AH223" i="28"/>
  <c r="AG223" i="28"/>
  <c r="AF223" i="28"/>
  <c r="C224" i="29"/>
  <c r="B224" i="29"/>
  <c r="D224" i="29"/>
  <c r="E224" i="28"/>
  <c r="D224" i="28"/>
  <c r="C224" i="28"/>
  <c r="B224" i="28"/>
  <c r="A225" i="28"/>
  <c r="AD224" i="28" l="1"/>
  <c r="AC224" i="28"/>
  <c r="AR224" i="28"/>
  <c r="B225" i="29"/>
  <c r="C225" i="29"/>
  <c r="D225" i="29"/>
  <c r="AQ224" i="28"/>
  <c r="AP224" i="28"/>
  <c r="AH224" i="28"/>
  <c r="AG224" i="28"/>
  <c r="AF224" i="28"/>
  <c r="D225" i="28"/>
  <c r="E225" i="28"/>
  <c r="A226" i="28"/>
  <c r="C225" i="28"/>
  <c r="B225" i="28"/>
  <c r="AD225" i="28" l="1"/>
  <c r="AC225" i="28"/>
  <c r="AR225" i="28"/>
  <c r="B226" i="29"/>
  <c r="C226" i="29"/>
  <c r="D226" i="29"/>
  <c r="AQ225" i="28"/>
  <c r="AP225" i="28"/>
  <c r="AH225" i="28"/>
  <c r="AG225" i="28"/>
  <c r="AF225" i="28"/>
  <c r="A227" i="28"/>
  <c r="E226" i="28"/>
  <c r="D226" i="28"/>
  <c r="C226" i="28"/>
  <c r="B226" i="28"/>
  <c r="AD226" i="28" l="1"/>
  <c r="AC226" i="28"/>
  <c r="AR226" i="28"/>
  <c r="AQ226" i="28"/>
  <c r="AP226" i="28"/>
  <c r="AG226" i="28"/>
  <c r="AH226" i="28"/>
  <c r="AF226" i="28"/>
  <c r="B227" i="29"/>
  <c r="C227" i="29"/>
  <c r="D227" i="29"/>
  <c r="B227" i="28"/>
  <c r="A228" i="28"/>
  <c r="E227" i="28"/>
  <c r="D227" i="28"/>
  <c r="C227" i="28"/>
  <c r="AD227" i="28" l="1"/>
  <c r="AC227" i="28"/>
  <c r="AR227" i="28"/>
  <c r="AQ227" i="28"/>
  <c r="AP227" i="28"/>
  <c r="AH227" i="28"/>
  <c r="AF227" i="28"/>
  <c r="AG227" i="28"/>
  <c r="C228" i="29"/>
  <c r="B228" i="29"/>
  <c r="D228" i="29"/>
  <c r="A229" i="28"/>
  <c r="E228" i="28"/>
  <c r="D228" i="28"/>
  <c r="C228" i="28"/>
  <c r="B228" i="28"/>
  <c r="AD228" i="28" l="1"/>
  <c r="AC228" i="28"/>
  <c r="AR228" i="28"/>
  <c r="AQ228" i="28"/>
  <c r="AP228" i="28"/>
  <c r="AH228" i="28"/>
  <c r="AG228" i="28"/>
  <c r="AF228" i="28"/>
  <c r="B229" i="29"/>
  <c r="C229" i="29"/>
  <c r="D229" i="29"/>
  <c r="D229" i="28"/>
  <c r="C229" i="28"/>
  <c r="B229" i="28"/>
  <c r="A230" i="28"/>
  <c r="E229" i="28"/>
  <c r="AD229" i="28" l="1"/>
  <c r="AC229" i="28"/>
  <c r="AR229" i="28"/>
  <c r="B230" i="29"/>
  <c r="C230" i="29"/>
  <c r="D230" i="29"/>
  <c r="AQ229" i="28"/>
  <c r="AH229" i="28"/>
  <c r="AP229" i="28"/>
  <c r="AG229" i="28"/>
  <c r="AF229" i="28"/>
  <c r="A231" i="28"/>
  <c r="D230" i="28"/>
  <c r="C230" i="28"/>
  <c r="B230" i="28"/>
  <c r="E230" i="28"/>
  <c r="AD230" i="28" l="1"/>
  <c r="AC230" i="28"/>
  <c r="AR230" i="28"/>
  <c r="AQ230" i="28"/>
  <c r="AP230" i="28"/>
  <c r="AF230" i="28"/>
  <c r="AH230" i="28"/>
  <c r="AG230" i="28"/>
  <c r="B231" i="29"/>
  <c r="C231" i="29"/>
  <c r="D231" i="29"/>
  <c r="A232" i="28"/>
  <c r="E231" i="28"/>
  <c r="D231" i="28"/>
  <c r="C231" i="28"/>
  <c r="B231" i="28"/>
  <c r="AD231" i="28" l="1"/>
  <c r="AC231" i="28"/>
  <c r="AR231" i="28"/>
  <c r="AP231" i="28"/>
  <c r="AQ231" i="28"/>
  <c r="AH231" i="28"/>
  <c r="AF231" i="28"/>
  <c r="AG231" i="28"/>
  <c r="B232" i="29"/>
  <c r="C232" i="29"/>
  <c r="D232" i="29"/>
  <c r="A233" i="28"/>
  <c r="E232" i="28"/>
  <c r="D232" i="28"/>
  <c r="C232" i="28"/>
  <c r="B232" i="28"/>
  <c r="AD232" i="28" l="1"/>
  <c r="AC232" i="28"/>
  <c r="AR232" i="28"/>
  <c r="AQ232" i="28"/>
  <c r="AP232" i="28"/>
  <c r="AH232" i="28"/>
  <c r="AF232" i="28"/>
  <c r="AG232" i="28"/>
  <c r="B233" i="29"/>
  <c r="C233" i="29"/>
  <c r="D233" i="29"/>
  <c r="A234" i="28"/>
  <c r="E233" i="28"/>
  <c r="D233" i="28"/>
  <c r="C233" i="28"/>
  <c r="B233" i="28"/>
  <c r="AD233" i="28" l="1"/>
  <c r="AC233" i="28"/>
  <c r="AR233" i="28"/>
  <c r="AP233" i="28"/>
  <c r="AQ233" i="28"/>
  <c r="AH233" i="28"/>
  <c r="AG233" i="28"/>
  <c r="AF233" i="28"/>
  <c r="B234" i="29"/>
  <c r="C234" i="29"/>
  <c r="D234" i="29"/>
  <c r="C234" i="28"/>
  <c r="B234" i="28"/>
  <c r="A235" i="28"/>
  <c r="E234" i="28"/>
  <c r="D234" i="28"/>
  <c r="AD234" i="28" l="1"/>
  <c r="AC234" i="28"/>
  <c r="AR234" i="28"/>
  <c r="AP234" i="28"/>
  <c r="AQ234" i="28"/>
  <c r="AF234" i="28"/>
  <c r="AG234" i="28"/>
  <c r="AH234" i="28"/>
  <c r="C235" i="29"/>
  <c r="B235" i="29"/>
  <c r="D235" i="29"/>
  <c r="A236" i="28"/>
  <c r="E235" i="28"/>
  <c r="C235" i="28"/>
  <c r="B235" i="28"/>
  <c r="D235" i="28"/>
  <c r="AD235" i="28" l="1"/>
  <c r="AC235" i="28"/>
  <c r="AR235" i="28"/>
  <c r="AQ235" i="28"/>
  <c r="AP235" i="28"/>
  <c r="AH235" i="28"/>
  <c r="AG235" i="28"/>
  <c r="AF235" i="28"/>
  <c r="B236" i="29"/>
  <c r="C236" i="29"/>
  <c r="D236" i="29"/>
  <c r="E236" i="28"/>
  <c r="D236" i="28"/>
  <c r="C236" i="28"/>
  <c r="B236" i="28"/>
  <c r="A237" i="28"/>
  <c r="AD236" i="28" l="1"/>
  <c r="AC236" i="28"/>
  <c r="AR236" i="28"/>
  <c r="B237" i="29"/>
  <c r="D237" i="29"/>
  <c r="C237" i="29"/>
  <c r="AQ236" i="28"/>
  <c r="AP236" i="28"/>
  <c r="AH236" i="28"/>
  <c r="AG236" i="28"/>
  <c r="AF236" i="28"/>
  <c r="E237" i="28"/>
  <c r="D237" i="28"/>
  <c r="C237" i="28"/>
  <c r="A238" i="28"/>
  <c r="B237" i="28"/>
  <c r="AD237" i="28" l="1"/>
  <c r="AC237" i="28"/>
  <c r="AR237" i="28"/>
  <c r="B238" i="29"/>
  <c r="C238" i="29"/>
  <c r="D238" i="29"/>
  <c r="AP237" i="28"/>
  <c r="AQ237" i="28"/>
  <c r="AH237" i="28"/>
  <c r="AF237" i="28"/>
  <c r="AG237" i="28"/>
  <c r="A239" i="28"/>
  <c r="E238" i="28"/>
  <c r="D238" i="28"/>
  <c r="C238" i="28"/>
  <c r="B238" i="28"/>
  <c r="AD238" i="28" l="1"/>
  <c r="AC238" i="28"/>
  <c r="AR238" i="28"/>
  <c r="AQ238" i="28"/>
  <c r="AH238" i="28"/>
  <c r="AP238" i="28"/>
  <c r="AG238" i="28"/>
  <c r="AF238" i="28"/>
  <c r="B239" i="29"/>
  <c r="C239" i="29"/>
  <c r="D239" i="29"/>
  <c r="B239" i="28"/>
  <c r="A240" i="28"/>
  <c r="E239" i="28"/>
  <c r="D239" i="28"/>
  <c r="C239" i="28"/>
  <c r="AD239" i="28" l="1"/>
  <c r="AC239" i="28"/>
  <c r="AR239" i="28"/>
  <c r="AQ239" i="28"/>
  <c r="AP239" i="28"/>
  <c r="AH239" i="28"/>
  <c r="AF239" i="28"/>
  <c r="AG239" i="28"/>
  <c r="B240" i="29"/>
  <c r="C240" i="29"/>
  <c r="D240" i="29"/>
  <c r="A241" i="28"/>
  <c r="E240" i="28"/>
  <c r="D240" i="28"/>
  <c r="B240" i="28"/>
  <c r="C240" i="28"/>
  <c r="AD240" i="28" l="1"/>
  <c r="AC240" i="28"/>
  <c r="AR240" i="28"/>
  <c r="AQ240" i="28"/>
  <c r="AP240" i="28"/>
  <c r="AH240" i="28"/>
  <c r="AG240" i="28"/>
  <c r="AF240" i="28"/>
  <c r="B241" i="29"/>
  <c r="C241" i="29"/>
  <c r="D241" i="29"/>
  <c r="D241" i="28"/>
  <c r="C241" i="28"/>
  <c r="B241" i="28"/>
  <c r="E241" i="28"/>
  <c r="A242" i="28"/>
  <c r="AD241" i="28" l="1"/>
  <c r="AC241" i="28"/>
  <c r="AR241" i="28"/>
  <c r="B242" i="29"/>
  <c r="C242" i="29"/>
  <c r="D242" i="29"/>
  <c r="AH241" i="28"/>
  <c r="AQ241" i="28"/>
  <c r="AP241" i="28"/>
  <c r="AG241" i="28"/>
  <c r="AF241" i="28"/>
  <c r="A243" i="28"/>
  <c r="D242" i="28"/>
  <c r="C242" i="28"/>
  <c r="B242" i="28"/>
  <c r="E242" i="28"/>
  <c r="AD242" i="28" l="1"/>
  <c r="AC242" i="28"/>
  <c r="AR242" i="28"/>
  <c r="AQ242" i="28"/>
  <c r="AP242" i="28"/>
  <c r="AF242" i="28"/>
  <c r="AG242" i="28"/>
  <c r="AH242" i="28"/>
  <c r="B243" i="29"/>
  <c r="D243" i="29"/>
  <c r="C243" i="29"/>
  <c r="A244" i="28"/>
  <c r="E243" i="28"/>
  <c r="D243" i="28"/>
  <c r="C243" i="28"/>
  <c r="B243" i="28"/>
  <c r="AD243" i="28" l="1"/>
  <c r="AC243" i="28"/>
  <c r="AR243" i="28"/>
  <c r="AQ243" i="28"/>
  <c r="AP243" i="28"/>
  <c r="AH243" i="28"/>
  <c r="AF243" i="28"/>
  <c r="AG243" i="28"/>
  <c r="B244" i="29"/>
  <c r="C244" i="29"/>
  <c r="D244" i="29"/>
  <c r="A245" i="28"/>
  <c r="E244" i="28"/>
  <c r="D244" i="28"/>
  <c r="C244" i="28"/>
  <c r="B244" i="28"/>
  <c r="AD244" i="28" l="1"/>
  <c r="AC244" i="28"/>
  <c r="AR244" i="28"/>
  <c r="AQ244" i="28"/>
  <c r="AH244" i="28"/>
  <c r="AP244" i="28"/>
  <c r="AF244" i="28"/>
  <c r="AG244" i="28"/>
  <c r="B245" i="29"/>
  <c r="C245" i="29"/>
  <c r="D245" i="29"/>
  <c r="A246" i="28"/>
  <c r="E245" i="28"/>
  <c r="D245" i="28"/>
  <c r="C245" i="28"/>
  <c r="B245" i="28"/>
  <c r="AD245" i="28" l="1"/>
  <c r="AC245" i="28"/>
  <c r="AR245" i="28"/>
  <c r="AP245" i="28"/>
  <c r="AQ245" i="28"/>
  <c r="AH245" i="28"/>
  <c r="AG245" i="28"/>
  <c r="AF245" i="28"/>
  <c r="B246" i="29"/>
  <c r="C246" i="29"/>
  <c r="D246" i="29"/>
  <c r="C246" i="28"/>
  <c r="B246" i="28"/>
  <c r="A247" i="28"/>
  <c r="E246" i="28"/>
  <c r="D246" i="28"/>
  <c r="AD246" i="28" l="1"/>
  <c r="AC246" i="28"/>
  <c r="AR246" i="28"/>
  <c r="AP246" i="28"/>
  <c r="AQ246" i="28"/>
  <c r="AH246" i="28"/>
  <c r="AF246" i="28"/>
  <c r="AG246" i="28"/>
  <c r="C247" i="29"/>
  <c r="B247" i="29"/>
  <c r="D247" i="29"/>
  <c r="A248" i="28"/>
  <c r="E247" i="28"/>
  <c r="C247" i="28"/>
  <c r="B247" i="28"/>
  <c r="D247" i="28"/>
  <c r="AD247" i="28" l="1"/>
  <c r="AC247" i="28"/>
  <c r="AR247" i="28"/>
  <c r="AP247" i="28"/>
  <c r="AQ247" i="28"/>
  <c r="AH247" i="28"/>
  <c r="AG247" i="28"/>
  <c r="AF247" i="28"/>
  <c r="C248" i="29"/>
  <c r="B248" i="29"/>
  <c r="D248" i="29"/>
  <c r="E248" i="28"/>
  <c r="D248" i="28"/>
  <c r="C248" i="28"/>
  <c r="B248" i="28"/>
  <c r="A249" i="28"/>
  <c r="AD248" i="28" l="1"/>
  <c r="AC248" i="28"/>
  <c r="AR248" i="28"/>
  <c r="B249" i="29"/>
  <c r="D249" i="29"/>
  <c r="C249" i="29"/>
  <c r="AP248" i="28"/>
  <c r="AQ248" i="28"/>
  <c r="AH248" i="28"/>
  <c r="AG248" i="28"/>
  <c r="AF248" i="28"/>
  <c r="E249" i="28"/>
  <c r="D249" i="28"/>
  <c r="C249" i="28"/>
  <c r="B249" i="28"/>
  <c r="A250" i="28"/>
  <c r="AD249" i="28" l="1"/>
  <c r="AC249" i="28"/>
  <c r="AR249" i="28"/>
  <c r="B250" i="29"/>
  <c r="C250" i="29"/>
  <c r="D250" i="29"/>
  <c r="AQ249" i="28"/>
  <c r="AP249" i="28"/>
  <c r="AH249" i="28"/>
  <c r="AG249" i="28"/>
  <c r="AF249" i="28"/>
  <c r="A251" i="28"/>
  <c r="E250" i="28"/>
  <c r="D250" i="28"/>
  <c r="C250" i="28"/>
  <c r="B250" i="28"/>
  <c r="AD250" i="28" l="1"/>
  <c r="AC250" i="28"/>
  <c r="AR250" i="28"/>
  <c r="AQ250" i="28"/>
  <c r="AP250" i="28"/>
  <c r="AG250" i="28"/>
  <c r="AH250" i="28"/>
  <c r="AF250" i="28"/>
  <c r="B251" i="29"/>
  <c r="C251" i="29"/>
  <c r="D251" i="29"/>
  <c r="B251" i="28"/>
  <c r="A252" i="28"/>
  <c r="E251" i="28"/>
  <c r="D251" i="28"/>
  <c r="C251" i="28"/>
  <c r="AD251" i="28" l="1"/>
  <c r="AC251" i="28"/>
  <c r="AR251" i="28"/>
  <c r="AP251" i="28"/>
  <c r="AQ251" i="28"/>
  <c r="AH251" i="28"/>
  <c r="AF251" i="28"/>
  <c r="AG251" i="28"/>
  <c r="C252" i="29"/>
  <c r="B252" i="29"/>
  <c r="D252" i="29"/>
  <c r="A253" i="28"/>
  <c r="E252" i="28"/>
  <c r="D252" i="28"/>
  <c r="B252" i="28"/>
  <c r="C252" i="28"/>
  <c r="AD252" i="28" l="1"/>
  <c r="AC252" i="28"/>
  <c r="AR252" i="28"/>
  <c r="AQ252" i="28"/>
  <c r="AH252" i="28"/>
  <c r="AP252" i="28"/>
  <c r="AG252" i="28"/>
  <c r="AF252" i="28"/>
  <c r="B253" i="29"/>
  <c r="C253" i="29"/>
  <c r="D253" i="29"/>
  <c r="D253" i="28"/>
  <c r="C253" i="28"/>
  <c r="B253" i="28"/>
  <c r="A254" i="28"/>
  <c r="E253" i="28"/>
  <c r="AD253" i="28" l="1"/>
  <c r="AC253" i="28"/>
  <c r="AR253" i="28"/>
  <c r="B254" i="29"/>
  <c r="C254" i="29"/>
  <c r="D254" i="29"/>
  <c r="AQ253" i="28"/>
  <c r="AH253" i="28"/>
  <c r="AP253" i="28"/>
  <c r="AG253" i="28"/>
  <c r="AF253" i="28"/>
  <c r="A255" i="28"/>
  <c r="D254" i="28"/>
  <c r="C254" i="28"/>
  <c r="B254" i="28"/>
  <c r="E254" i="28"/>
  <c r="AD254" i="28" l="1"/>
  <c r="AC254" i="28"/>
  <c r="AR254" i="28"/>
  <c r="AQ254" i="28"/>
  <c r="AP254" i="28"/>
  <c r="AH254" i="28"/>
  <c r="AF254" i="28"/>
  <c r="AG254" i="28"/>
  <c r="B255" i="29"/>
  <c r="C255" i="29"/>
  <c r="D255" i="29"/>
  <c r="A256" i="28"/>
  <c r="E255" i="28"/>
  <c r="D255" i="28"/>
  <c r="C255" i="28"/>
  <c r="B255" i="28"/>
  <c r="AD255" i="28" l="1"/>
  <c r="AC255" i="28"/>
  <c r="AR255" i="28"/>
  <c r="AQ255" i="28"/>
  <c r="AP255" i="28"/>
  <c r="AH255" i="28"/>
  <c r="AF255" i="28"/>
  <c r="AG255" i="28"/>
  <c r="B256" i="29"/>
  <c r="C256" i="29"/>
  <c r="D256" i="29"/>
  <c r="A257" i="28"/>
  <c r="E256" i="28"/>
  <c r="D256" i="28"/>
  <c r="C256" i="28"/>
  <c r="B256" i="28"/>
  <c r="AD256" i="28" l="1"/>
  <c r="AC256" i="28"/>
  <c r="AR256" i="28"/>
  <c r="AQ256" i="28"/>
  <c r="AH256" i="28"/>
  <c r="AP256" i="28"/>
  <c r="AG256" i="28"/>
  <c r="AF256" i="28"/>
  <c r="B257" i="29"/>
  <c r="C257" i="29"/>
  <c r="D257" i="29"/>
  <c r="A258" i="28"/>
  <c r="E257" i="28"/>
  <c r="D257" i="28"/>
  <c r="C257" i="28"/>
  <c r="B257" i="28"/>
  <c r="AD257" i="28" l="1"/>
  <c r="AC257" i="28"/>
  <c r="AR257" i="28"/>
  <c r="AP257" i="28"/>
  <c r="AQ257" i="28"/>
  <c r="AH257" i="28"/>
  <c r="AG257" i="28"/>
  <c r="AF257" i="28"/>
  <c r="B258" i="29"/>
  <c r="C258" i="29"/>
  <c r="D258" i="29"/>
  <c r="C258" i="28"/>
  <c r="B258" i="28"/>
  <c r="A259" i="28"/>
  <c r="E258" i="28"/>
  <c r="D258" i="28"/>
  <c r="AD258" i="28" l="1"/>
  <c r="AC258" i="28"/>
  <c r="AR258" i="28"/>
  <c r="AQ258" i="28"/>
  <c r="AH258" i="28"/>
  <c r="AP258" i="28"/>
  <c r="AF258" i="28"/>
  <c r="AG258" i="28"/>
  <c r="C259" i="29"/>
  <c r="B259" i="29"/>
  <c r="D259" i="29"/>
  <c r="A260" i="28"/>
  <c r="E259" i="28"/>
  <c r="C259" i="28"/>
  <c r="B259" i="28"/>
  <c r="D259" i="28"/>
  <c r="AD259" i="28" l="1"/>
  <c r="AC259" i="28"/>
  <c r="AR259" i="28"/>
  <c r="AQ259" i="28"/>
  <c r="AP259" i="28"/>
  <c r="AG259" i="28"/>
  <c r="AF259" i="28"/>
  <c r="AH259" i="28"/>
  <c r="C260" i="29"/>
  <c r="B260" i="29"/>
  <c r="D260" i="29"/>
  <c r="A261" i="28"/>
  <c r="E260" i="28"/>
  <c r="D260" i="28"/>
  <c r="C260" i="28"/>
  <c r="B260" i="28"/>
  <c r="AD260" i="28" l="1"/>
  <c r="AC260" i="28"/>
  <c r="AR260" i="28"/>
  <c r="AP260" i="28"/>
  <c r="AQ260" i="28"/>
  <c r="AH260" i="28"/>
  <c r="AG260" i="28"/>
  <c r="AF260" i="28"/>
  <c r="B261" i="29"/>
  <c r="C261" i="29"/>
  <c r="D261" i="29"/>
  <c r="A262" i="28"/>
  <c r="C261" i="28"/>
  <c r="D261" i="28"/>
  <c r="B261" i="28"/>
  <c r="E261" i="28"/>
  <c r="AD261" i="28" l="1"/>
  <c r="AC261" i="28"/>
  <c r="AR261" i="28"/>
  <c r="AP261" i="28"/>
  <c r="AQ261" i="28"/>
  <c r="AH261" i="28"/>
  <c r="AG261" i="28"/>
  <c r="AF261" i="28"/>
  <c r="C262" i="29"/>
  <c r="B262" i="29"/>
  <c r="D262" i="29"/>
  <c r="E262" i="28"/>
  <c r="D262" i="28"/>
  <c r="C262" i="28"/>
  <c r="B262" i="28"/>
  <c r="A263" i="28"/>
  <c r="AD262" i="28" l="1"/>
  <c r="AC262" i="28"/>
  <c r="AR262" i="28"/>
  <c r="B263" i="29"/>
  <c r="C263" i="29"/>
  <c r="D263" i="29"/>
  <c r="AP262" i="28"/>
  <c r="AQ262" i="28"/>
  <c r="AH262" i="28"/>
  <c r="AG262" i="28"/>
  <c r="AF262" i="28"/>
  <c r="E263" i="28"/>
  <c r="D263" i="28"/>
  <c r="C263" i="28"/>
  <c r="B263" i="28"/>
  <c r="A264" i="28"/>
  <c r="AD263" i="28" l="1"/>
  <c r="AC263" i="28"/>
  <c r="AR263" i="28"/>
  <c r="B264" i="29"/>
  <c r="C264" i="29"/>
  <c r="D264" i="29"/>
  <c r="AQ263" i="28"/>
  <c r="AP263" i="28"/>
  <c r="AH263" i="28"/>
  <c r="AF263" i="28"/>
  <c r="AG263" i="28"/>
  <c r="A265" i="28"/>
  <c r="E264" i="28"/>
  <c r="D264" i="28"/>
  <c r="C264" i="28"/>
  <c r="B264" i="28"/>
  <c r="AD264" i="28" l="1"/>
  <c r="AC264" i="28"/>
  <c r="AR264" i="28"/>
  <c r="AQ264" i="28"/>
  <c r="AP264" i="28"/>
  <c r="AH264" i="28"/>
  <c r="AG264" i="28"/>
  <c r="AF264" i="28"/>
  <c r="B265" i="29"/>
  <c r="C265" i="29"/>
  <c r="D265" i="29"/>
  <c r="B265" i="28"/>
  <c r="A266" i="28"/>
  <c r="E265" i="28"/>
  <c r="D265" i="28"/>
  <c r="C265" i="28"/>
  <c r="AD265" i="28" l="1"/>
  <c r="AC265" i="28"/>
  <c r="AR265" i="28"/>
  <c r="AH265" i="28"/>
  <c r="AP265" i="28"/>
  <c r="AQ265" i="28"/>
  <c r="AG265" i="28"/>
  <c r="AF265" i="28"/>
  <c r="B266" i="29"/>
  <c r="C266" i="29"/>
  <c r="D266" i="29"/>
  <c r="A267" i="28"/>
  <c r="E266" i="28"/>
  <c r="B266" i="28"/>
  <c r="D266" i="28"/>
  <c r="C266" i="28"/>
  <c r="AD266" i="28" l="1"/>
  <c r="AC266" i="28"/>
  <c r="AR266" i="28"/>
  <c r="AQ266" i="28"/>
  <c r="AP266" i="28"/>
  <c r="AH266" i="28"/>
  <c r="AF266" i="28"/>
  <c r="AG266" i="28"/>
  <c r="B267" i="29"/>
  <c r="C267" i="29"/>
  <c r="D267" i="29"/>
  <c r="D267" i="28"/>
  <c r="C267" i="28"/>
  <c r="B267" i="28"/>
  <c r="E267" i="28"/>
  <c r="A268" i="28"/>
  <c r="AD267" i="28" l="1"/>
  <c r="AC267" i="28"/>
  <c r="AR267" i="28"/>
  <c r="B268" i="29"/>
  <c r="C268" i="29"/>
  <c r="D268" i="29"/>
  <c r="AQ267" i="28"/>
  <c r="AP267" i="28"/>
  <c r="AH267" i="28"/>
  <c r="AF267" i="28"/>
  <c r="AG267" i="28"/>
  <c r="A269" i="28"/>
  <c r="D268" i="28"/>
  <c r="C268" i="28"/>
  <c r="B268" i="28"/>
  <c r="E268" i="28"/>
  <c r="AD268" i="28" l="1"/>
  <c r="AC268" i="28"/>
  <c r="AR268" i="28"/>
  <c r="AQ268" i="28"/>
  <c r="AH268" i="28"/>
  <c r="AP268" i="28"/>
  <c r="AF268" i="28"/>
  <c r="AG268" i="28"/>
  <c r="B269" i="29"/>
  <c r="C269" i="29"/>
  <c r="D269" i="29"/>
  <c r="A270" i="28"/>
  <c r="E269" i="28"/>
  <c r="D269" i="28"/>
  <c r="C269" i="28"/>
  <c r="B269" i="28"/>
  <c r="AD269" i="28" l="1"/>
  <c r="AC269" i="28"/>
  <c r="AR269" i="28"/>
  <c r="AP269" i="28"/>
  <c r="AQ269" i="28"/>
  <c r="AH269" i="28"/>
  <c r="AG269" i="28"/>
  <c r="AF269" i="28"/>
  <c r="B270" i="29"/>
  <c r="C270" i="29"/>
  <c r="D270" i="29"/>
  <c r="A271" i="28"/>
  <c r="E270" i="28"/>
  <c r="D270" i="28"/>
  <c r="C270" i="28"/>
  <c r="B270" i="28"/>
  <c r="AD270" i="28" l="1"/>
  <c r="AC270" i="28"/>
  <c r="AR270" i="28"/>
  <c r="AQ270" i="28"/>
  <c r="AP270" i="28"/>
  <c r="AH270" i="28"/>
  <c r="AF270" i="28"/>
  <c r="AG270" i="28"/>
  <c r="C271" i="29"/>
  <c r="B271" i="29"/>
  <c r="D271" i="29"/>
  <c r="A272" i="28"/>
  <c r="E271" i="28"/>
  <c r="D271" i="28"/>
  <c r="C271" i="28"/>
  <c r="B271" i="28"/>
  <c r="AD271" i="28" l="1"/>
  <c r="AC271" i="28"/>
  <c r="AR271" i="28"/>
  <c r="AQ271" i="28"/>
  <c r="AP271" i="28"/>
  <c r="AH271" i="28"/>
  <c r="AG271" i="28"/>
  <c r="AF271" i="28"/>
  <c r="C272" i="29"/>
  <c r="B272" i="29"/>
  <c r="D272" i="29"/>
  <c r="C272" i="28"/>
  <c r="B272" i="28"/>
  <c r="A273" i="28"/>
  <c r="E272" i="28"/>
  <c r="D272" i="28"/>
  <c r="AD272" i="28" l="1"/>
  <c r="AC272" i="28"/>
  <c r="AR272" i="28"/>
  <c r="AQ272" i="28"/>
  <c r="AP272" i="28"/>
  <c r="AH272" i="28"/>
  <c r="AG272" i="28"/>
  <c r="AF272" i="28"/>
  <c r="B273" i="29"/>
  <c r="D273" i="29"/>
  <c r="C273" i="29"/>
  <c r="A274" i="28"/>
  <c r="E273" i="28"/>
  <c r="C273" i="28"/>
  <c r="B273" i="28"/>
  <c r="D273" i="28"/>
  <c r="AD273" i="28" l="1"/>
  <c r="AC273" i="28"/>
  <c r="AR273" i="28"/>
  <c r="AP273" i="28"/>
  <c r="AQ273" i="28"/>
  <c r="AH273" i="28"/>
  <c r="AF273" i="28"/>
  <c r="AG273" i="28"/>
  <c r="C274" i="29"/>
  <c r="B274" i="29"/>
  <c r="D274" i="29"/>
  <c r="E274" i="28"/>
  <c r="D274" i="28"/>
  <c r="C274" i="28"/>
  <c r="B274" i="28"/>
  <c r="A275" i="28"/>
  <c r="AD274" i="28" l="1"/>
  <c r="AC274" i="28"/>
  <c r="AR274" i="28"/>
  <c r="B275" i="29"/>
  <c r="C275" i="29"/>
  <c r="D275" i="29"/>
  <c r="AQ274" i="28"/>
  <c r="AP274" i="28"/>
  <c r="AG274" i="28"/>
  <c r="AH274" i="28"/>
  <c r="AF274" i="28"/>
  <c r="E275" i="28"/>
  <c r="D275" i="28"/>
  <c r="C275" i="28"/>
  <c r="B275" i="28"/>
  <c r="A276" i="28"/>
  <c r="AD275" i="28" l="1"/>
  <c r="AC275" i="28"/>
  <c r="AR275" i="28"/>
  <c r="B276" i="29"/>
  <c r="C276" i="29"/>
  <c r="D276" i="29"/>
  <c r="AP275" i="28"/>
  <c r="AQ275" i="28"/>
  <c r="AH275" i="28"/>
  <c r="AF275" i="28"/>
  <c r="AG275" i="28"/>
  <c r="A277" i="28"/>
  <c r="E276" i="28"/>
  <c r="D276" i="28"/>
  <c r="C276" i="28"/>
  <c r="B276" i="28"/>
  <c r="AD276" i="28" l="1"/>
  <c r="AC276" i="28"/>
  <c r="AR276" i="28"/>
  <c r="AP276" i="28"/>
  <c r="AQ276" i="28"/>
  <c r="AH276" i="28"/>
  <c r="AG276" i="28"/>
  <c r="AF276" i="28"/>
  <c r="B277" i="29"/>
  <c r="C277" i="29"/>
  <c r="D277" i="29"/>
  <c r="B277" i="28"/>
  <c r="A278" i="28"/>
  <c r="E277" i="28"/>
  <c r="D277" i="28"/>
  <c r="C277" i="28"/>
  <c r="AD277" i="28" l="1"/>
  <c r="AC277" i="28"/>
  <c r="AR277" i="28"/>
  <c r="AQ277" i="28"/>
  <c r="AH277" i="28"/>
  <c r="AP277" i="28"/>
  <c r="AG277" i="28"/>
  <c r="AF277" i="28"/>
  <c r="B278" i="29"/>
  <c r="C278" i="29"/>
  <c r="D278" i="29"/>
  <c r="A279" i="28"/>
  <c r="E278" i="28"/>
  <c r="D278" i="28"/>
  <c r="B278" i="28"/>
  <c r="C278" i="28"/>
  <c r="AD278" i="28" l="1"/>
  <c r="AC278" i="28"/>
  <c r="AR278" i="28"/>
  <c r="AQ278" i="28"/>
  <c r="AP278" i="28"/>
  <c r="AF278" i="28"/>
  <c r="AH278" i="28"/>
  <c r="AG278" i="28"/>
  <c r="B279" i="29"/>
  <c r="C279" i="29"/>
  <c r="D279" i="29"/>
  <c r="D279" i="28"/>
  <c r="C279" i="28"/>
  <c r="B279" i="28"/>
  <c r="A280" i="28"/>
  <c r="E279" i="28"/>
  <c r="AD279" i="28" l="1"/>
  <c r="AC279" i="28"/>
  <c r="AR279" i="28"/>
  <c r="B280" i="29"/>
  <c r="C280" i="29"/>
  <c r="D280" i="29"/>
  <c r="AQ279" i="28"/>
  <c r="AP279" i="28"/>
  <c r="AH279" i="28"/>
  <c r="AF279" i="28"/>
  <c r="AG279" i="28"/>
  <c r="A281" i="28"/>
  <c r="D280" i="28"/>
  <c r="C280" i="28"/>
  <c r="B280" i="28"/>
  <c r="E280" i="28"/>
  <c r="AD280" i="28" l="1"/>
  <c r="AC280" i="28"/>
  <c r="AR280" i="28"/>
  <c r="AQ280" i="28"/>
  <c r="AH280" i="28"/>
  <c r="AP280" i="28"/>
  <c r="AG280" i="28"/>
  <c r="AF280" i="28"/>
  <c r="B281" i="29"/>
  <c r="C281" i="29"/>
  <c r="D281" i="29"/>
  <c r="A282" i="28"/>
  <c r="E281" i="28"/>
  <c r="D281" i="28"/>
  <c r="C281" i="28"/>
  <c r="B281" i="28"/>
  <c r="AD281" i="28" l="1"/>
  <c r="AC281" i="28"/>
  <c r="AR281" i="28"/>
  <c r="AP281" i="28"/>
  <c r="AH281" i="28"/>
  <c r="AQ281" i="28"/>
  <c r="AG281" i="28"/>
  <c r="AF281" i="28"/>
  <c r="B282" i="29"/>
  <c r="C282" i="29"/>
  <c r="D282" i="29"/>
  <c r="A283" i="28"/>
  <c r="E282" i="28"/>
  <c r="D282" i="28"/>
  <c r="C282" i="28"/>
  <c r="B282" i="28"/>
  <c r="AD282" i="28" l="1"/>
  <c r="AC282" i="28"/>
  <c r="AR282" i="28"/>
  <c r="AQ282" i="28"/>
  <c r="AP282" i="28"/>
  <c r="AF282" i="28"/>
  <c r="AG282" i="28"/>
  <c r="AH282" i="28"/>
  <c r="C283" i="29"/>
  <c r="B283" i="29"/>
  <c r="D283" i="29"/>
  <c r="A284" i="28"/>
  <c r="E283" i="28"/>
  <c r="D283" i="28"/>
  <c r="C283" i="28"/>
  <c r="B283" i="28"/>
  <c r="AD283" i="28" l="1"/>
  <c r="AC283" i="28"/>
  <c r="AR283" i="28"/>
  <c r="AQ283" i="28"/>
  <c r="AP283" i="28"/>
  <c r="AH283" i="28"/>
  <c r="AG283" i="28"/>
  <c r="AF283" i="28"/>
  <c r="C284" i="29"/>
  <c r="B284" i="29"/>
  <c r="D284" i="29"/>
  <c r="C284" i="28"/>
  <c r="B284" i="28"/>
  <c r="A285" i="28"/>
  <c r="E284" i="28"/>
  <c r="D284" i="28"/>
  <c r="AD284" i="28" l="1"/>
  <c r="AC284" i="28"/>
  <c r="AR284" i="28"/>
  <c r="AQ284" i="28"/>
  <c r="AP284" i="28"/>
  <c r="AH284" i="28"/>
  <c r="AG284" i="28"/>
  <c r="AF284" i="28"/>
  <c r="B285" i="29"/>
  <c r="D285" i="29"/>
  <c r="C285" i="29"/>
  <c r="A286" i="28"/>
  <c r="E285" i="28"/>
  <c r="C285" i="28"/>
  <c r="B285" i="28"/>
  <c r="D285" i="28"/>
  <c r="AD285" i="28" l="1"/>
  <c r="AC285" i="28"/>
  <c r="AR285" i="28"/>
  <c r="AP285" i="28"/>
  <c r="AQ285" i="28"/>
  <c r="AH285" i="28"/>
  <c r="AF285" i="28"/>
  <c r="AG285" i="28"/>
  <c r="B286" i="29"/>
  <c r="C286" i="29"/>
  <c r="D286" i="29"/>
  <c r="E286" i="28"/>
  <c r="D286" i="28"/>
  <c r="C286" i="28"/>
  <c r="B286" i="28"/>
  <c r="A287" i="28"/>
  <c r="AD286" i="28" l="1"/>
  <c r="AC286" i="28"/>
  <c r="AR286" i="28"/>
  <c r="B287" i="29"/>
  <c r="C287" i="29"/>
  <c r="D287" i="29"/>
  <c r="AQ286" i="28"/>
  <c r="AP286" i="28"/>
  <c r="AH286" i="28"/>
  <c r="AG286" i="28"/>
  <c r="AF286" i="28"/>
  <c r="E287" i="28"/>
  <c r="D287" i="28"/>
  <c r="C287" i="28"/>
  <c r="B287" i="28"/>
  <c r="A288" i="28"/>
  <c r="AD287" i="28" l="1"/>
  <c r="AC287" i="28"/>
  <c r="AR287" i="28"/>
  <c r="C288" i="29"/>
  <c r="B288" i="29"/>
  <c r="D288" i="29"/>
  <c r="AQ287" i="28"/>
  <c r="AP287" i="28"/>
  <c r="AH287" i="28"/>
  <c r="AF287" i="28"/>
  <c r="AG287" i="28"/>
  <c r="A289" i="28"/>
  <c r="E288" i="28"/>
  <c r="D288" i="28"/>
  <c r="C288" i="28"/>
  <c r="B288" i="28"/>
  <c r="AD288" i="28" l="1"/>
  <c r="AC288" i="28"/>
  <c r="AR288" i="28"/>
  <c r="AQ288" i="28"/>
  <c r="AP288" i="28"/>
  <c r="AH288" i="28"/>
  <c r="AG288" i="28"/>
  <c r="AF288" i="28"/>
  <c r="B289" i="29"/>
  <c r="C289" i="29"/>
  <c r="D289" i="29"/>
  <c r="B289" i="28"/>
  <c r="A290" i="28"/>
  <c r="E289" i="28"/>
  <c r="D289" i="28"/>
  <c r="C289" i="28"/>
  <c r="AD289" i="28" l="1"/>
  <c r="AC289" i="28"/>
  <c r="AR289" i="28"/>
  <c r="AP289" i="28"/>
  <c r="AH289" i="28"/>
  <c r="AQ289" i="28"/>
  <c r="AG289" i="28"/>
  <c r="AF289" i="28"/>
  <c r="B290" i="29"/>
  <c r="C290" i="29"/>
  <c r="D290" i="29"/>
  <c r="A291" i="28"/>
  <c r="E290" i="28"/>
  <c r="D290" i="28"/>
  <c r="B290" i="28"/>
  <c r="C290" i="28"/>
  <c r="AD290" i="28" l="1"/>
  <c r="AC290" i="28"/>
  <c r="AR290" i="28"/>
  <c r="AQ290" i="28"/>
  <c r="AP290" i="28"/>
  <c r="AF290" i="28"/>
  <c r="AG290" i="28"/>
  <c r="AH290" i="28"/>
  <c r="B291" i="29"/>
  <c r="C291" i="29"/>
  <c r="D291" i="29"/>
  <c r="D291" i="28"/>
  <c r="C291" i="28"/>
  <c r="B291" i="28"/>
  <c r="A292" i="28"/>
  <c r="E291" i="28"/>
  <c r="AD291" i="28" l="1"/>
  <c r="AC291" i="28"/>
  <c r="AR291" i="28"/>
  <c r="B292" i="29"/>
  <c r="C292" i="29"/>
  <c r="D292" i="29"/>
  <c r="AP291" i="28"/>
  <c r="AQ291" i="28"/>
  <c r="AH291" i="28"/>
  <c r="AF291" i="28"/>
  <c r="AG291" i="28"/>
  <c r="A293" i="28"/>
  <c r="D292" i="28"/>
  <c r="C292" i="28"/>
  <c r="B292" i="28"/>
  <c r="E292" i="28"/>
  <c r="AD292" i="28" l="1"/>
  <c r="AC292" i="28"/>
  <c r="AR292" i="28"/>
  <c r="AQ292" i="28"/>
  <c r="AP292" i="28"/>
  <c r="AH292" i="28"/>
  <c r="AF292" i="28"/>
  <c r="AG292" i="28"/>
  <c r="B293" i="29"/>
  <c r="C293" i="29"/>
  <c r="D293" i="29"/>
  <c r="A294" i="28"/>
  <c r="E293" i="28"/>
  <c r="D293" i="28"/>
  <c r="C293" i="28"/>
  <c r="B293" i="28"/>
  <c r="AD293" i="28" l="1"/>
  <c r="AC293" i="28"/>
  <c r="AR293" i="28"/>
  <c r="AQ293" i="28"/>
  <c r="AP293" i="28"/>
  <c r="AH293" i="28"/>
  <c r="AG293" i="28"/>
  <c r="AF293" i="28"/>
  <c r="B294" i="29"/>
  <c r="C294" i="29"/>
  <c r="D294" i="29"/>
  <c r="A295" i="28"/>
  <c r="E294" i="28"/>
  <c r="D294" i="28"/>
  <c r="C294" i="28"/>
  <c r="B294" i="28"/>
  <c r="AD294" i="28" l="1"/>
  <c r="AC294" i="28"/>
  <c r="AR294" i="28"/>
  <c r="AQ294" i="28"/>
  <c r="AP294" i="28"/>
  <c r="AH294" i="28"/>
  <c r="AF294" i="28"/>
  <c r="AG294" i="28"/>
  <c r="B295" i="29"/>
  <c r="C295" i="29"/>
  <c r="D295" i="29"/>
  <c r="A296" i="28"/>
  <c r="E295" i="28"/>
  <c r="D295" i="28"/>
  <c r="C295" i="28"/>
  <c r="B295" i="28"/>
  <c r="AD295" i="28" l="1"/>
  <c r="AC295" i="28"/>
  <c r="AR295" i="28"/>
  <c r="AQ295" i="28"/>
  <c r="AP295" i="28"/>
  <c r="AH295" i="28"/>
  <c r="AG295" i="28"/>
  <c r="AF295" i="28"/>
  <c r="B296" i="29"/>
  <c r="C296" i="29"/>
  <c r="D296" i="29"/>
  <c r="C296" i="28"/>
  <c r="B296" i="28"/>
  <c r="A297" i="28"/>
  <c r="E296" i="28"/>
  <c r="D296" i="28"/>
  <c r="AD296" i="28" l="1"/>
  <c r="AC296" i="28"/>
  <c r="AR296" i="28"/>
  <c r="AQ296" i="28"/>
  <c r="AP296" i="28"/>
  <c r="AH296" i="28"/>
  <c r="AG296" i="28"/>
  <c r="AF296" i="28"/>
  <c r="B297" i="29"/>
  <c r="C297" i="29"/>
  <c r="D297" i="29"/>
  <c r="A298" i="28"/>
  <c r="E297" i="28"/>
  <c r="C297" i="28"/>
  <c r="B297" i="28"/>
  <c r="D297" i="28"/>
  <c r="AD297" i="28" l="1"/>
  <c r="AC297" i="28"/>
  <c r="AR297" i="28"/>
  <c r="AQ297" i="28"/>
  <c r="AP297" i="28"/>
  <c r="AH297" i="28"/>
  <c r="AG297" i="28"/>
  <c r="AF297" i="28"/>
  <c r="B298" i="29"/>
  <c r="D298" i="29"/>
  <c r="C298" i="29"/>
  <c r="E298" i="28"/>
  <c r="D298" i="28"/>
  <c r="C298" i="28"/>
  <c r="B298" i="28"/>
  <c r="A299" i="28"/>
  <c r="AD298" i="28" l="1"/>
  <c r="AC298" i="28"/>
  <c r="AR298" i="28"/>
  <c r="B299" i="29"/>
  <c r="C299" i="29"/>
  <c r="D299" i="29"/>
  <c r="AQ298" i="28"/>
  <c r="AP298" i="28"/>
  <c r="AG298" i="28"/>
  <c r="AH298" i="28"/>
  <c r="AF298" i="28"/>
  <c r="E299" i="28"/>
  <c r="D299" i="28"/>
  <c r="C299" i="28"/>
  <c r="A300" i="28"/>
  <c r="B299" i="28"/>
  <c r="AD299" i="28" l="1"/>
  <c r="AC299" i="28"/>
  <c r="AR299" i="28"/>
  <c r="B300" i="29"/>
  <c r="C300" i="29"/>
  <c r="D300" i="29"/>
  <c r="AQ299" i="28"/>
  <c r="AP299" i="28"/>
  <c r="AH299" i="28"/>
  <c r="AF299" i="28"/>
  <c r="AG299" i="28"/>
  <c r="A301" i="28"/>
  <c r="E300" i="28"/>
  <c r="D300" i="28"/>
  <c r="C300" i="28"/>
  <c r="B300" i="28"/>
  <c r="AD300" i="28" l="1"/>
  <c r="AC300" i="28"/>
  <c r="AR300" i="28"/>
  <c r="AQ300" i="28"/>
  <c r="AH300" i="28"/>
  <c r="AP300" i="28"/>
  <c r="AG300" i="28"/>
  <c r="AF300" i="28"/>
  <c r="B301" i="29"/>
  <c r="C301" i="29"/>
  <c r="D301" i="29"/>
  <c r="B301" i="28"/>
  <c r="A302" i="28"/>
  <c r="E301" i="28"/>
  <c r="D301" i="28"/>
  <c r="C301" i="28"/>
  <c r="AD301" i="28" l="1"/>
  <c r="AC301" i="28"/>
  <c r="AR301" i="28"/>
  <c r="AQ301" i="28"/>
  <c r="AH301" i="28"/>
  <c r="AP301" i="28"/>
  <c r="AG301" i="28"/>
  <c r="AF301" i="28"/>
  <c r="B302" i="29"/>
  <c r="C302" i="29"/>
  <c r="D302" i="29"/>
  <c r="A303" i="28"/>
  <c r="E302" i="28"/>
  <c r="D302" i="28"/>
  <c r="B302" i="28"/>
  <c r="C302" i="28"/>
  <c r="AD302" i="28" l="1"/>
  <c r="AC302" i="28"/>
  <c r="AR302" i="28"/>
  <c r="AQ302" i="28"/>
  <c r="AH302" i="28"/>
  <c r="AP302" i="28"/>
  <c r="AF302" i="28"/>
  <c r="AG302" i="28"/>
  <c r="B303" i="29"/>
  <c r="C303" i="29"/>
  <c r="D303" i="29"/>
  <c r="D303" i="28"/>
  <c r="C303" i="28"/>
  <c r="B303" i="28"/>
  <c r="E303" i="28"/>
  <c r="A304" i="28"/>
  <c r="AD303" i="28" l="1"/>
  <c r="AC303" i="28"/>
  <c r="AR303" i="28"/>
  <c r="B304" i="29"/>
  <c r="C304" i="29"/>
  <c r="D304" i="29"/>
  <c r="AP303" i="28"/>
  <c r="AQ303" i="28"/>
  <c r="AH303" i="28"/>
  <c r="AF303" i="28"/>
  <c r="AG303" i="28"/>
  <c r="A305" i="28"/>
  <c r="D304" i="28"/>
  <c r="C304" i="28"/>
  <c r="B304" i="28"/>
  <c r="E304" i="28"/>
  <c r="AD304" i="28" l="1"/>
  <c r="AC304" i="28"/>
  <c r="AR304" i="28"/>
  <c r="AQ304" i="28"/>
  <c r="AP304" i="28"/>
  <c r="AH304" i="28"/>
  <c r="AF304" i="28"/>
  <c r="AG304" i="28"/>
  <c r="B305" i="29"/>
  <c r="C305" i="29"/>
  <c r="D305" i="29"/>
  <c r="A306" i="28"/>
  <c r="E305" i="28"/>
  <c r="D305" i="28"/>
  <c r="C305" i="28"/>
  <c r="B305" i="28"/>
  <c r="AD305" i="28" l="1"/>
  <c r="AC305" i="28"/>
  <c r="AR305" i="28"/>
  <c r="AP305" i="28"/>
  <c r="AH305" i="28"/>
  <c r="AQ305" i="28"/>
  <c r="AG305" i="28"/>
  <c r="AF305" i="28"/>
  <c r="B306" i="29"/>
  <c r="C306" i="29"/>
  <c r="D306" i="29"/>
  <c r="A307" i="28"/>
  <c r="E306" i="28"/>
  <c r="D306" i="28"/>
  <c r="C306" i="28"/>
  <c r="B306" i="28"/>
  <c r="AD306" i="28" l="1"/>
  <c r="AC306" i="28"/>
  <c r="AR306" i="28"/>
  <c r="AP306" i="28"/>
  <c r="AQ306" i="28"/>
  <c r="AH306" i="28"/>
  <c r="AF306" i="28"/>
  <c r="AG306" i="28"/>
  <c r="C307" i="29"/>
  <c r="B307" i="29"/>
  <c r="D307" i="29"/>
  <c r="A308" i="28"/>
  <c r="E307" i="28"/>
  <c r="D307" i="28"/>
  <c r="C307" i="28"/>
  <c r="B307" i="28"/>
  <c r="AD307" i="28" l="1"/>
  <c r="AC307" i="28"/>
  <c r="AR307" i="28"/>
  <c r="AQ307" i="28"/>
  <c r="AP307" i="28"/>
  <c r="AG307" i="28"/>
  <c r="AF307" i="28"/>
  <c r="AH307" i="28"/>
  <c r="C308" i="29"/>
  <c r="B308" i="29"/>
  <c r="D308" i="29"/>
  <c r="C308" i="28"/>
  <c r="B308" i="28"/>
  <c r="A309" i="28"/>
  <c r="E308" i="28"/>
  <c r="D308" i="28"/>
  <c r="AD308" i="28" l="1"/>
  <c r="AC308" i="28"/>
  <c r="AR308" i="28"/>
  <c r="AQ308" i="28"/>
  <c r="AP308" i="28"/>
  <c r="AH308" i="28"/>
  <c r="AG308" i="28"/>
  <c r="AF308" i="28"/>
  <c r="B309" i="29"/>
  <c r="C309" i="29"/>
  <c r="D309" i="29"/>
  <c r="A310" i="28"/>
  <c r="E309" i="28"/>
  <c r="C309" i="28"/>
  <c r="B309" i="28"/>
  <c r="D309" i="28"/>
  <c r="AD309" i="28" l="1"/>
  <c r="AC309" i="28"/>
  <c r="AR309" i="28"/>
  <c r="AP309" i="28"/>
  <c r="AQ309" i="28"/>
  <c r="AH309" i="28"/>
  <c r="AG309" i="28"/>
  <c r="AF309" i="28"/>
  <c r="B310" i="29"/>
  <c r="C310" i="29"/>
  <c r="D310" i="29"/>
  <c r="E310" i="28"/>
  <c r="D310" i="28"/>
  <c r="C310" i="28"/>
  <c r="B310" i="28"/>
  <c r="A311" i="28"/>
  <c r="AD310" i="28" l="1"/>
  <c r="AC310" i="28"/>
  <c r="AR310" i="28"/>
  <c r="B311" i="29"/>
  <c r="C311" i="29"/>
  <c r="D311" i="29"/>
  <c r="AQ310" i="28"/>
  <c r="AP310" i="28"/>
  <c r="AH310" i="28"/>
  <c r="AG310" i="28"/>
  <c r="AF310" i="28"/>
  <c r="E311" i="28"/>
  <c r="D311" i="28"/>
  <c r="C311" i="28"/>
  <c r="A312" i="28"/>
  <c r="B311" i="28"/>
  <c r="AD311" i="28" l="1"/>
  <c r="AC311" i="28"/>
  <c r="AR311" i="28"/>
  <c r="C312" i="29"/>
  <c r="B312" i="29"/>
  <c r="D312" i="29"/>
  <c r="AQ311" i="28"/>
  <c r="AP311" i="28"/>
  <c r="AH311" i="28"/>
  <c r="AF311" i="28"/>
  <c r="AG311" i="28"/>
  <c r="A313" i="28"/>
  <c r="E312" i="28"/>
  <c r="D312" i="28"/>
  <c r="C312" i="28"/>
  <c r="B312" i="28"/>
  <c r="AD312" i="28" l="1"/>
  <c r="AC312" i="28"/>
  <c r="AR312" i="28"/>
  <c r="AQ312" i="28"/>
  <c r="AP312" i="28"/>
  <c r="AH312" i="28"/>
  <c r="AG312" i="28"/>
  <c r="AF312" i="28"/>
  <c r="B313" i="29"/>
  <c r="C313" i="29"/>
  <c r="D313" i="29"/>
  <c r="B313" i="28"/>
  <c r="A314" i="28"/>
  <c r="E313" i="28"/>
  <c r="D313" i="28"/>
  <c r="C313" i="28"/>
  <c r="AD313" i="28" l="1"/>
  <c r="AC313" i="28"/>
  <c r="AR313" i="28"/>
  <c r="AH313" i="28"/>
  <c r="AQ313" i="28"/>
  <c r="AP313" i="28"/>
  <c r="AG313" i="28"/>
  <c r="AF313" i="28"/>
  <c r="B314" i="29"/>
  <c r="C314" i="29"/>
  <c r="D314" i="29"/>
  <c r="A315" i="28"/>
  <c r="E314" i="28"/>
  <c r="D314" i="28"/>
  <c r="B314" i="28"/>
  <c r="C314" i="28"/>
  <c r="AD314" i="28" l="1"/>
  <c r="AC314" i="28"/>
  <c r="AR314" i="28"/>
  <c r="AQ314" i="28"/>
  <c r="AP314" i="28"/>
  <c r="AH314" i="28"/>
  <c r="AF314" i="28"/>
  <c r="AG314" i="28"/>
  <c r="B315" i="29"/>
  <c r="D315" i="29"/>
  <c r="C315" i="29"/>
  <c r="E315" i="28"/>
  <c r="C315" i="28"/>
  <c r="B315" i="28"/>
  <c r="D315" i="28"/>
  <c r="A316" i="28"/>
  <c r="AD315" i="28" l="1"/>
  <c r="AC315" i="28"/>
  <c r="AR315" i="28"/>
  <c r="B316" i="29"/>
  <c r="C316" i="29"/>
  <c r="D316" i="29"/>
  <c r="AQ315" i="28"/>
  <c r="AH315" i="28"/>
  <c r="AP315" i="28"/>
  <c r="AF315" i="28"/>
  <c r="AG315" i="28"/>
  <c r="E316" i="28"/>
  <c r="D316" i="28"/>
  <c r="B316" i="28"/>
  <c r="A317" i="28"/>
  <c r="C316" i="28"/>
  <c r="AD316" i="28" l="1"/>
  <c r="AC316" i="28"/>
  <c r="AR316" i="28"/>
  <c r="B317" i="29"/>
  <c r="C317" i="29"/>
  <c r="D317" i="29"/>
  <c r="AQ316" i="28"/>
  <c r="AH316" i="28"/>
  <c r="AP316" i="28"/>
  <c r="AG316" i="28"/>
  <c r="AF316" i="28"/>
  <c r="E317" i="28"/>
  <c r="D317" i="28"/>
  <c r="C317" i="28"/>
  <c r="A318" i="28"/>
  <c r="B317" i="28"/>
  <c r="AD317" i="28" l="1"/>
  <c r="AC317" i="28"/>
  <c r="AR317" i="28"/>
  <c r="B318" i="29"/>
  <c r="C318" i="29"/>
  <c r="D318" i="29"/>
  <c r="AP317" i="28"/>
  <c r="AQ317" i="28"/>
  <c r="AH317" i="28"/>
  <c r="AG317" i="28"/>
  <c r="AF317" i="28"/>
  <c r="B318" i="28"/>
  <c r="E318" i="28"/>
  <c r="D318" i="28"/>
  <c r="C318" i="28"/>
  <c r="A319" i="28"/>
  <c r="AD318" i="28" l="1"/>
  <c r="AC318" i="28"/>
  <c r="AR318" i="28"/>
  <c r="C319" i="29"/>
  <c r="B319" i="29"/>
  <c r="D319" i="29"/>
  <c r="AP318" i="28"/>
  <c r="AQ318" i="28"/>
  <c r="AH318" i="28"/>
  <c r="AF318" i="28"/>
  <c r="AG318" i="28"/>
  <c r="A320" i="28"/>
  <c r="E319" i="28"/>
  <c r="D319" i="28"/>
  <c r="C319" i="28"/>
  <c r="B319" i="28"/>
  <c r="AD319" i="28" l="1"/>
  <c r="AC319" i="28"/>
  <c r="AR319" i="28"/>
  <c r="AP319" i="28"/>
  <c r="AQ319" i="28"/>
  <c r="AH319" i="28"/>
  <c r="AG319" i="28"/>
  <c r="AF319" i="28"/>
  <c r="C320" i="29"/>
  <c r="B320" i="29"/>
  <c r="D320" i="29"/>
  <c r="E320" i="28"/>
  <c r="D320" i="28"/>
  <c r="C320" i="28"/>
  <c r="B320" i="28"/>
  <c r="A321" i="28"/>
  <c r="AD320" i="28" l="1"/>
  <c r="AC320" i="28"/>
  <c r="AR320" i="28"/>
  <c r="B321" i="29"/>
  <c r="D321" i="29"/>
  <c r="C321" i="29"/>
  <c r="AP320" i="28"/>
  <c r="AQ320" i="28"/>
  <c r="AH320" i="28"/>
  <c r="AG320" i="28"/>
  <c r="AF320" i="28"/>
  <c r="C321" i="28"/>
  <c r="E321" i="28"/>
  <c r="D321" i="28"/>
  <c r="B321" i="28"/>
  <c r="A322" i="28"/>
  <c r="AD321" i="28" l="1"/>
  <c r="AC321" i="28"/>
  <c r="AR321" i="28"/>
  <c r="B322" i="29"/>
  <c r="C322" i="29"/>
  <c r="D322" i="29"/>
  <c r="AQ321" i="28"/>
  <c r="AP321" i="28"/>
  <c r="AH321" i="28"/>
  <c r="AF321" i="28"/>
  <c r="AG321" i="28"/>
  <c r="A323" i="28"/>
  <c r="C322" i="28"/>
  <c r="B322" i="28"/>
  <c r="E322" i="28"/>
  <c r="D322" i="28"/>
  <c r="AD322" i="28" l="1"/>
  <c r="AC322" i="28"/>
  <c r="AR322" i="28"/>
  <c r="AQ322" i="28"/>
  <c r="AP322" i="28"/>
  <c r="AG322" i="28"/>
  <c r="AH322" i="28"/>
  <c r="AF322" i="28"/>
  <c r="B323" i="29"/>
  <c r="C323" i="29"/>
  <c r="D323" i="29"/>
  <c r="E323" i="28"/>
  <c r="B323" i="28"/>
  <c r="A324" i="28"/>
  <c r="C323" i="28"/>
  <c r="D323" i="28"/>
  <c r="AD323" i="28" l="1"/>
  <c r="AC323" i="28"/>
  <c r="AR323" i="28"/>
  <c r="AP323" i="28"/>
  <c r="AQ323" i="28"/>
  <c r="AH323" i="28"/>
  <c r="AF323" i="28"/>
  <c r="AG323" i="28"/>
  <c r="B324" i="29"/>
  <c r="C324" i="29"/>
  <c r="D324" i="29"/>
  <c r="E324" i="28"/>
  <c r="D324" i="28"/>
  <c r="C324" i="28"/>
  <c r="A325" i="28"/>
  <c r="B324" i="28"/>
  <c r="AD324" i="28" l="1"/>
  <c r="AC324" i="28"/>
  <c r="AR324" i="28"/>
  <c r="B325" i="29"/>
  <c r="C325" i="29"/>
  <c r="D325" i="29"/>
  <c r="AQ324" i="28"/>
  <c r="AP324" i="28"/>
  <c r="AH324" i="28"/>
  <c r="AG324" i="28"/>
  <c r="AF324" i="28"/>
  <c r="D325" i="28"/>
  <c r="C325" i="28"/>
  <c r="A326" i="28"/>
  <c r="B325" i="28"/>
  <c r="E325" i="28"/>
  <c r="AD325" i="28" l="1"/>
  <c r="AC325" i="28"/>
  <c r="AR325" i="28"/>
  <c r="B326" i="29"/>
  <c r="C326" i="29"/>
  <c r="D326" i="29"/>
  <c r="AQ325" i="28"/>
  <c r="AH325" i="28"/>
  <c r="AP325" i="28"/>
  <c r="AG325" i="28"/>
  <c r="AF325" i="28"/>
  <c r="B326" i="28"/>
  <c r="A327" i="28"/>
  <c r="E326" i="28"/>
  <c r="D326" i="28"/>
  <c r="C326" i="28"/>
  <c r="AD326" i="28" l="1"/>
  <c r="AC326" i="28"/>
  <c r="AR326" i="28"/>
  <c r="AQ326" i="28"/>
  <c r="AP326" i="28"/>
  <c r="AF326" i="28"/>
  <c r="AH326" i="28"/>
  <c r="AG326" i="28"/>
  <c r="B327" i="29"/>
  <c r="C327" i="29"/>
  <c r="D327" i="29"/>
  <c r="A328" i="28"/>
  <c r="E327" i="28"/>
  <c r="B327" i="28"/>
  <c r="D327" i="28"/>
  <c r="C327" i="28"/>
  <c r="AD327" i="28" l="1"/>
  <c r="AC327" i="28"/>
  <c r="AR327" i="28"/>
  <c r="AQ327" i="28"/>
  <c r="AP327" i="28"/>
  <c r="AH327" i="28"/>
  <c r="AF327" i="28"/>
  <c r="AG327" i="28"/>
  <c r="B328" i="29"/>
  <c r="C328" i="29"/>
  <c r="D328" i="29"/>
  <c r="D328" i="28"/>
  <c r="A329" i="28"/>
  <c r="E328" i="28"/>
  <c r="C328" i="28"/>
  <c r="B328" i="28"/>
  <c r="AD328" i="28" l="1"/>
  <c r="AC328" i="28"/>
  <c r="AR328" i="28"/>
  <c r="B329" i="29"/>
  <c r="C329" i="29"/>
  <c r="D329" i="29"/>
  <c r="AQ328" i="28"/>
  <c r="AH328" i="28"/>
  <c r="AP328" i="28"/>
  <c r="AF328" i="28"/>
  <c r="AG328" i="28"/>
  <c r="D329" i="28"/>
  <c r="C329" i="28"/>
  <c r="B329" i="28"/>
  <c r="E329" i="28"/>
  <c r="A330" i="28"/>
  <c r="AD329" i="28" l="1"/>
  <c r="AC329" i="28"/>
  <c r="AR329" i="28"/>
  <c r="B330" i="29"/>
  <c r="C330" i="29"/>
  <c r="D330" i="29"/>
  <c r="AP329" i="28"/>
  <c r="AH329" i="28"/>
  <c r="AQ329" i="28"/>
  <c r="AG329" i="28"/>
  <c r="AF329" i="28"/>
  <c r="A331" i="28"/>
  <c r="C330" i="28"/>
  <c r="B330" i="28"/>
  <c r="E330" i="28"/>
  <c r="D330" i="28"/>
  <c r="AD330" i="28" l="1"/>
  <c r="AC330" i="28"/>
  <c r="AR330" i="28"/>
  <c r="AQ330" i="28"/>
  <c r="AP330" i="28"/>
  <c r="AF330" i="28"/>
  <c r="AG330" i="28"/>
  <c r="AH330" i="28"/>
  <c r="C331" i="29"/>
  <c r="B331" i="29"/>
  <c r="D331" i="29"/>
  <c r="A332" i="28"/>
  <c r="E331" i="28"/>
  <c r="D331" i="28"/>
  <c r="C331" i="28"/>
  <c r="B331" i="28"/>
  <c r="AD331" i="28" l="1"/>
  <c r="AC331" i="28"/>
  <c r="AR331" i="28"/>
  <c r="AQ331" i="28"/>
  <c r="AP331" i="28"/>
  <c r="AH331" i="28"/>
  <c r="AG331" i="28"/>
  <c r="AF331" i="28"/>
  <c r="C332" i="29"/>
  <c r="B332" i="29"/>
  <c r="D332" i="29"/>
  <c r="E332" i="28"/>
  <c r="D332" i="28"/>
  <c r="A333" i="28"/>
  <c r="C332" i="28"/>
  <c r="B332" i="28"/>
  <c r="AD332" i="28" l="1"/>
  <c r="AC332" i="28"/>
  <c r="AR332" i="28"/>
  <c r="B333" i="29"/>
  <c r="C333" i="29"/>
  <c r="D333" i="29"/>
  <c r="AP332" i="28"/>
  <c r="AQ332" i="28"/>
  <c r="AH332" i="28"/>
  <c r="AG332" i="28"/>
  <c r="AF332" i="28"/>
  <c r="C333" i="28"/>
  <c r="A334" i="28"/>
  <c r="E333" i="28"/>
  <c r="D333" i="28"/>
  <c r="B333" i="28"/>
  <c r="AD333" i="28" l="1"/>
  <c r="AC333" i="28"/>
  <c r="AR333" i="28"/>
  <c r="AP333" i="28"/>
  <c r="AQ333" i="28"/>
  <c r="AH333" i="28"/>
  <c r="AF333" i="28"/>
  <c r="AG333" i="28"/>
  <c r="B334" i="29"/>
  <c r="C334" i="29"/>
  <c r="D334" i="29"/>
  <c r="A335" i="28"/>
  <c r="C334" i="28"/>
  <c r="B334" i="28"/>
  <c r="D334" i="28"/>
  <c r="E334" i="28"/>
  <c r="AD334" i="28" l="1"/>
  <c r="AC334" i="28"/>
  <c r="AR334" i="28"/>
  <c r="AP334" i="28"/>
  <c r="AQ334" i="28"/>
  <c r="AH334" i="28"/>
  <c r="AG334" i="28"/>
  <c r="AF334" i="28"/>
  <c r="B335" i="29"/>
  <c r="C335" i="29"/>
  <c r="D335" i="29"/>
  <c r="E335" i="28"/>
  <c r="B335" i="28"/>
  <c r="D335" i="28"/>
  <c r="A336" i="28"/>
  <c r="C335" i="28"/>
  <c r="AD335" i="28" l="1"/>
  <c r="AC335" i="28"/>
  <c r="AR335" i="28"/>
  <c r="B336" i="29"/>
  <c r="C336" i="29"/>
  <c r="D336" i="29"/>
  <c r="AQ335" i="28"/>
  <c r="AP335" i="28"/>
  <c r="AH335" i="28"/>
  <c r="AF335" i="28"/>
  <c r="AG335" i="28"/>
  <c r="E336" i="28"/>
  <c r="D336" i="28"/>
  <c r="C336" i="28"/>
  <c r="B336" i="28"/>
  <c r="A337" i="28"/>
  <c r="AD336" i="28" l="1"/>
  <c r="AC336" i="28"/>
  <c r="AR336" i="28"/>
  <c r="B337" i="29"/>
  <c r="C337" i="29"/>
  <c r="D337" i="29"/>
  <c r="AQ336" i="28"/>
  <c r="AP336" i="28"/>
  <c r="AH336" i="28"/>
  <c r="AG336" i="28"/>
  <c r="AF336" i="28"/>
  <c r="D337" i="28"/>
  <c r="C337" i="28"/>
  <c r="A338" i="28"/>
  <c r="E337" i="28"/>
  <c r="B337" i="28"/>
  <c r="AD337" i="28" l="1"/>
  <c r="AC337" i="28"/>
  <c r="AR337" i="28"/>
  <c r="B338" i="29"/>
  <c r="C338" i="29"/>
  <c r="D338" i="29"/>
  <c r="AH337" i="28"/>
  <c r="AP337" i="28"/>
  <c r="AQ337" i="28"/>
  <c r="AG337" i="28"/>
  <c r="AF337" i="28"/>
  <c r="B338" i="28"/>
  <c r="A339" i="28"/>
  <c r="E338" i="28"/>
  <c r="D338" i="28"/>
  <c r="C338" i="28"/>
  <c r="AD338" i="28" l="1"/>
  <c r="AC338" i="28"/>
  <c r="AR338" i="28"/>
  <c r="AQ338" i="28"/>
  <c r="AP338" i="28"/>
  <c r="AF338" i="28"/>
  <c r="AG338" i="28"/>
  <c r="AH338" i="28"/>
  <c r="B339" i="29"/>
  <c r="C339" i="29"/>
  <c r="D339" i="29"/>
  <c r="A340" i="28"/>
  <c r="E339" i="28"/>
  <c r="B339" i="28"/>
  <c r="C339" i="28"/>
  <c r="D339" i="28"/>
  <c r="AD339" i="28" l="1"/>
  <c r="AC339" i="28"/>
  <c r="AR339" i="28"/>
  <c r="AQ339" i="28"/>
  <c r="AP339" i="28"/>
  <c r="AH339" i="28"/>
  <c r="AF339" i="28"/>
  <c r="AG339" i="28"/>
  <c r="B340" i="29"/>
  <c r="C340" i="29"/>
  <c r="D340" i="29"/>
  <c r="D340" i="28"/>
  <c r="A341" i="28"/>
  <c r="E340" i="28"/>
  <c r="C340" i="28"/>
  <c r="B340" i="28"/>
  <c r="AD340" i="28" l="1"/>
  <c r="AC340" i="28"/>
  <c r="AR340" i="28"/>
  <c r="B341" i="29"/>
  <c r="D341" i="29"/>
  <c r="C341" i="29"/>
  <c r="AQ340" i="28"/>
  <c r="AH340" i="28"/>
  <c r="AP340" i="28"/>
  <c r="AF340" i="28"/>
  <c r="AG340" i="28"/>
  <c r="D341" i="28"/>
  <c r="C341" i="28"/>
  <c r="B341" i="28"/>
  <c r="E341" i="28"/>
  <c r="A342" i="28"/>
  <c r="AD341" i="28" l="1"/>
  <c r="AC341" i="28"/>
  <c r="AR341" i="28"/>
  <c r="B342" i="29"/>
  <c r="C342" i="29"/>
  <c r="D342" i="29"/>
  <c r="AP341" i="28"/>
  <c r="AQ341" i="28"/>
  <c r="AH341" i="28"/>
  <c r="AG341" i="28"/>
  <c r="AF341" i="28"/>
  <c r="A343" i="28"/>
  <c r="C342" i="28"/>
  <c r="B342" i="28"/>
  <c r="E342" i="28"/>
  <c r="D342" i="28"/>
  <c r="AD342" i="28" l="1"/>
  <c r="AC342" i="28"/>
  <c r="AR342" i="28"/>
  <c r="AQ342" i="28"/>
  <c r="AP342" i="28"/>
  <c r="AH342" i="28"/>
  <c r="AF342" i="28"/>
  <c r="AG342" i="28"/>
  <c r="C343" i="29"/>
  <c r="B343" i="29"/>
  <c r="D343" i="29"/>
  <c r="A344" i="28"/>
  <c r="E343" i="28"/>
  <c r="D343" i="28"/>
  <c r="C343" i="28"/>
  <c r="B343" i="28"/>
  <c r="AD343" i="28" l="1"/>
  <c r="AC343" i="28"/>
  <c r="AR343" i="28"/>
  <c r="AQ343" i="28"/>
  <c r="AP343" i="28"/>
  <c r="AH343" i="28"/>
  <c r="AG343" i="28"/>
  <c r="AF343" i="28"/>
  <c r="C344" i="29"/>
  <c r="B344" i="29"/>
  <c r="D344" i="29"/>
  <c r="E344" i="28"/>
  <c r="D344" i="28"/>
  <c r="B344" i="28"/>
  <c r="A345" i="28"/>
  <c r="C344" i="28"/>
  <c r="AD344" i="28" l="1"/>
  <c r="AC344" i="28"/>
  <c r="AR344" i="28"/>
  <c r="B345" i="29"/>
  <c r="C345" i="29"/>
  <c r="D345" i="29"/>
  <c r="AQ344" i="28"/>
  <c r="AP344" i="28"/>
  <c r="AH344" i="28"/>
  <c r="AG344" i="28"/>
  <c r="AF344" i="28"/>
  <c r="C345" i="28"/>
  <c r="A346" i="28"/>
  <c r="E345" i="28"/>
  <c r="D345" i="28"/>
  <c r="B345" i="28"/>
  <c r="AD345" i="28" l="1"/>
  <c r="AC345" i="28"/>
  <c r="AR345" i="28"/>
  <c r="AP345" i="28"/>
  <c r="AQ345" i="28"/>
  <c r="AH345" i="28"/>
  <c r="AG345" i="28"/>
  <c r="AF345" i="28"/>
  <c r="C346" i="29"/>
  <c r="B346" i="29"/>
  <c r="D346" i="29"/>
  <c r="A347" i="28"/>
  <c r="C346" i="28"/>
  <c r="B346" i="28"/>
  <c r="E346" i="28"/>
  <c r="D346" i="28"/>
  <c r="AD346" i="28" l="1"/>
  <c r="AC346" i="28"/>
  <c r="AR346" i="28"/>
  <c r="AQ346" i="28"/>
  <c r="AP346" i="28"/>
  <c r="AG346" i="28"/>
  <c r="AH346" i="28"/>
  <c r="AF346" i="28"/>
  <c r="B347" i="29"/>
  <c r="C347" i="29"/>
  <c r="D347" i="29"/>
  <c r="E347" i="28"/>
  <c r="B347" i="28"/>
  <c r="A348" i="28"/>
  <c r="D347" i="28"/>
  <c r="C347" i="28"/>
  <c r="AD347" i="28" l="1"/>
  <c r="AC347" i="28"/>
  <c r="AR347" i="28"/>
  <c r="AP347" i="28"/>
  <c r="AQ347" i="28"/>
  <c r="AH347" i="28"/>
  <c r="AF347" i="28"/>
  <c r="AG347" i="28"/>
  <c r="C348" i="29"/>
  <c r="D348" i="29"/>
  <c r="B348" i="29"/>
  <c r="E348" i="28"/>
  <c r="D348" i="28"/>
  <c r="C348" i="28"/>
  <c r="A349" i="28"/>
  <c r="B348" i="28"/>
  <c r="AD348" i="28" l="1"/>
  <c r="AC348" i="28"/>
  <c r="AR348" i="28"/>
  <c r="B349" i="29"/>
  <c r="C349" i="29"/>
  <c r="D349" i="29"/>
  <c r="AP348" i="28"/>
  <c r="AH348" i="28"/>
  <c r="AQ348" i="28"/>
  <c r="AG348" i="28"/>
  <c r="AF348" i="28"/>
  <c r="D349" i="28"/>
  <c r="C349" i="28"/>
  <c r="A350" i="28"/>
  <c r="E349" i="28"/>
  <c r="B349" i="28"/>
  <c r="AD349" i="28" l="1"/>
  <c r="AC349" i="28"/>
  <c r="AR349" i="28"/>
  <c r="B350" i="29"/>
  <c r="C350" i="29"/>
  <c r="D350" i="29"/>
  <c r="AQ349" i="28"/>
  <c r="AH349" i="28"/>
  <c r="AP349" i="28"/>
  <c r="AG349" i="28"/>
  <c r="AF349" i="28"/>
  <c r="B350" i="28"/>
  <c r="A351" i="28"/>
  <c r="E350" i="28"/>
  <c r="D350" i="28"/>
  <c r="C350" i="28"/>
  <c r="AD350" i="28" l="1"/>
  <c r="AC350" i="28"/>
  <c r="AR350" i="28"/>
  <c r="AQ350" i="28"/>
  <c r="AP350" i="28"/>
  <c r="AH350" i="28"/>
  <c r="AF350" i="28"/>
  <c r="AG350" i="28"/>
  <c r="B351" i="29"/>
  <c r="C351" i="29"/>
  <c r="D351" i="29"/>
  <c r="A352" i="28"/>
  <c r="E351" i="28"/>
  <c r="B351" i="28"/>
  <c r="D351" i="28"/>
  <c r="C351" i="28"/>
  <c r="AD351" i="28" l="1"/>
  <c r="AC351" i="28"/>
  <c r="AR351" i="28"/>
  <c r="AQ351" i="28"/>
  <c r="AP351" i="28"/>
  <c r="AH351" i="28"/>
  <c r="AF351" i="28"/>
  <c r="AG351" i="28"/>
  <c r="B352" i="29"/>
  <c r="D352" i="29"/>
  <c r="C352" i="29"/>
  <c r="D352" i="28"/>
  <c r="A353" i="28"/>
  <c r="E352" i="28"/>
  <c r="C352" i="28"/>
  <c r="B352" i="28"/>
  <c r="AD352" i="28" l="1"/>
  <c r="AC352" i="28"/>
  <c r="AR352" i="28"/>
  <c r="B353" i="29"/>
  <c r="D353" i="29"/>
  <c r="C353" i="29"/>
  <c r="AQ352" i="28"/>
  <c r="AH352" i="28"/>
  <c r="AP352" i="28"/>
  <c r="AG352" i="28"/>
  <c r="AF352" i="28"/>
  <c r="D353" i="28"/>
  <c r="C353" i="28"/>
  <c r="B353" i="28"/>
  <c r="E353" i="28"/>
  <c r="A354" i="28"/>
  <c r="AD353" i="28" l="1"/>
  <c r="AC353" i="28"/>
  <c r="AR353" i="28"/>
  <c r="B354" i="29"/>
  <c r="C354" i="29"/>
  <c r="D354" i="29"/>
  <c r="AP353" i="28"/>
  <c r="AH353" i="28"/>
  <c r="AQ353" i="28"/>
  <c r="AG353" i="28"/>
  <c r="AF353" i="28"/>
  <c r="A355" i="28"/>
  <c r="C354" i="28"/>
  <c r="B354" i="28"/>
  <c r="E354" i="28"/>
  <c r="D354" i="28"/>
  <c r="AD354" i="28" l="1"/>
  <c r="AC354" i="28"/>
  <c r="AR354" i="28"/>
  <c r="AP354" i="28"/>
  <c r="AQ354" i="28"/>
  <c r="AH354" i="28"/>
  <c r="AF354" i="28"/>
  <c r="AG354" i="28"/>
  <c r="B355" i="29"/>
  <c r="C355" i="29"/>
  <c r="D355" i="29"/>
  <c r="A356" i="28"/>
  <c r="E355" i="28"/>
  <c r="D355" i="28"/>
  <c r="C355" i="28"/>
  <c r="B355" i="28"/>
  <c r="AD355" i="28" l="1"/>
  <c r="AC355" i="28"/>
  <c r="AR355" i="28"/>
  <c r="AQ355" i="28"/>
  <c r="AP355" i="28"/>
  <c r="AG355" i="28"/>
  <c r="AH355" i="28"/>
  <c r="AF355" i="28"/>
  <c r="B356" i="29"/>
  <c r="C356" i="29"/>
  <c r="D356" i="29"/>
  <c r="E356" i="28"/>
  <c r="D356" i="28"/>
  <c r="A357" i="28"/>
  <c r="C356" i="28"/>
  <c r="B356" i="28"/>
  <c r="AD356" i="28" l="1"/>
  <c r="AC356" i="28"/>
  <c r="AR356" i="28"/>
  <c r="B357" i="29"/>
  <c r="C357" i="29"/>
  <c r="D357" i="29"/>
  <c r="AQ356" i="28"/>
  <c r="AP356" i="28"/>
  <c r="AH356" i="28"/>
  <c r="AG356" i="28"/>
  <c r="AF356" i="28"/>
  <c r="C357" i="28"/>
  <c r="A358" i="28"/>
  <c r="E357" i="28"/>
  <c r="D357" i="28"/>
  <c r="B357" i="28"/>
  <c r="AD357" i="28" l="1"/>
  <c r="AC357" i="28"/>
  <c r="AR357" i="28"/>
  <c r="AP357" i="28"/>
  <c r="AQ357" i="28"/>
  <c r="AH357" i="28"/>
  <c r="AF357" i="28"/>
  <c r="AG357" i="28"/>
  <c r="B358" i="29"/>
  <c r="C358" i="29"/>
  <c r="D358" i="29"/>
  <c r="A359" i="28"/>
  <c r="C358" i="28"/>
  <c r="B358" i="28"/>
  <c r="D358" i="28"/>
  <c r="E358" i="28"/>
  <c r="AD358" i="28" l="1"/>
  <c r="AC358" i="28"/>
  <c r="AR358" i="28"/>
  <c r="AQ358" i="28"/>
  <c r="AH358" i="28"/>
  <c r="AG358" i="28"/>
  <c r="AP358" i="28"/>
  <c r="AF358" i="28"/>
  <c r="B359" i="29"/>
  <c r="C359" i="29"/>
  <c r="D359" i="29"/>
  <c r="E359" i="28"/>
  <c r="A360" i="28"/>
  <c r="B359" i="28"/>
  <c r="D359" i="28"/>
  <c r="C359" i="28"/>
  <c r="AD359" i="28" l="1"/>
  <c r="AC359" i="28"/>
  <c r="AR359" i="28"/>
  <c r="AQ359" i="28"/>
  <c r="AH359" i="28"/>
  <c r="AF359" i="28"/>
  <c r="AG359" i="28"/>
  <c r="AP359" i="28"/>
  <c r="C360" i="29"/>
  <c r="D360" i="29"/>
  <c r="B360" i="29"/>
  <c r="A361" i="28"/>
  <c r="C360" i="28"/>
  <c r="E360" i="28"/>
  <c r="D360" i="28"/>
  <c r="B360" i="28"/>
  <c r="AD360" i="28" l="1"/>
  <c r="AC360" i="28"/>
  <c r="AR360" i="28"/>
  <c r="AQ360" i="28"/>
  <c r="AP360" i="28"/>
  <c r="AH360" i="28"/>
  <c r="AG360" i="28"/>
  <c r="AF360" i="28"/>
  <c r="B361" i="29"/>
  <c r="C361" i="29"/>
  <c r="D361" i="29"/>
  <c r="A362" i="28"/>
  <c r="D361" i="28"/>
  <c r="C361" i="28"/>
  <c r="E361" i="28"/>
  <c r="B361" i="28"/>
  <c r="AD361" i="28" l="1"/>
  <c r="AC361" i="28"/>
  <c r="AR361" i="28"/>
  <c r="AP361" i="28"/>
  <c r="AH361" i="28"/>
  <c r="AQ361" i="28"/>
  <c r="AG361" i="28"/>
  <c r="AF361" i="28"/>
  <c r="B362" i="29"/>
  <c r="C362" i="29"/>
  <c r="D362" i="29"/>
  <c r="E362" i="28"/>
  <c r="A363" i="28"/>
  <c r="B362" i="28"/>
  <c r="C362" i="28"/>
  <c r="D362" i="28"/>
  <c r="AD362" i="28" l="1"/>
  <c r="AC362" i="28"/>
  <c r="AR362" i="28"/>
  <c r="AQ362" i="28"/>
  <c r="AP362" i="28"/>
  <c r="AH362" i="28"/>
  <c r="AF362" i="28"/>
  <c r="AG362" i="28"/>
  <c r="B363" i="29"/>
  <c r="C363" i="29"/>
  <c r="D363" i="29"/>
  <c r="C363" i="28"/>
  <c r="A364" i="28"/>
  <c r="E363" i="28"/>
  <c r="D363" i="28"/>
  <c r="B363" i="28"/>
  <c r="AD363" i="28" l="1"/>
  <c r="AC363" i="28"/>
  <c r="AR363" i="28"/>
  <c r="AQ363" i="28"/>
  <c r="AP363" i="28"/>
  <c r="AH363" i="28"/>
  <c r="AF363" i="28"/>
  <c r="AG363" i="28"/>
  <c r="B364" i="29"/>
  <c r="C364" i="29"/>
  <c r="D364" i="29"/>
  <c r="A365" i="28"/>
  <c r="C364" i="28"/>
  <c r="E364" i="28"/>
  <c r="D364" i="28"/>
  <c r="B364" i="28"/>
  <c r="AD364" i="28" l="1"/>
  <c r="AC364" i="28"/>
  <c r="AR364" i="28"/>
  <c r="AQ364" i="28"/>
  <c r="AP364" i="28"/>
  <c r="AH364" i="28"/>
  <c r="AF364" i="28"/>
  <c r="AG364" i="28"/>
  <c r="B365" i="29"/>
  <c r="C365" i="29"/>
  <c r="D365" i="29"/>
  <c r="E365" i="28"/>
  <c r="B365" i="28"/>
  <c r="C365" i="28"/>
  <c r="A366" i="28"/>
  <c r="D365" i="28"/>
  <c r="AD365" i="28" l="1"/>
  <c r="AC365" i="28"/>
  <c r="AR365" i="28"/>
  <c r="AQ365" i="28"/>
  <c r="AP365" i="28"/>
  <c r="AH365" i="28"/>
  <c r="AG365" i="28"/>
  <c r="AF365" i="28"/>
  <c r="B366" i="29"/>
  <c r="C366" i="29"/>
  <c r="D366" i="29"/>
  <c r="E366" i="28"/>
  <c r="D366" i="28"/>
  <c r="C366" i="28"/>
  <c r="B366" i="28"/>
  <c r="A367" i="28"/>
  <c r="AD366" i="28" l="1"/>
  <c r="AC366" i="28"/>
  <c r="AR366" i="28"/>
  <c r="C367" i="29"/>
  <c r="B367" i="29"/>
  <c r="D367" i="29"/>
  <c r="AQ366" i="28"/>
  <c r="AP366" i="28"/>
  <c r="AH366" i="28"/>
  <c r="AF366" i="28"/>
  <c r="AG366" i="28"/>
  <c r="D367" i="28"/>
  <c r="C367" i="28"/>
  <c r="A368" i="28"/>
  <c r="E367" i="28"/>
  <c r="B367" i="28"/>
  <c r="AD367" i="28" l="1"/>
  <c r="AC367" i="28"/>
  <c r="AR367" i="28"/>
  <c r="C368" i="29"/>
  <c r="B368" i="29"/>
  <c r="D368" i="29"/>
  <c r="AQ367" i="28"/>
  <c r="AP367" i="28"/>
  <c r="AH367" i="28"/>
  <c r="AG367" i="28"/>
  <c r="AF367" i="28"/>
  <c r="B368" i="28"/>
  <c r="A369" i="28"/>
  <c r="E368" i="28"/>
  <c r="C368" i="28"/>
  <c r="D368" i="28"/>
  <c r="AD368" i="28" l="1"/>
  <c r="AC368" i="28"/>
  <c r="AR368" i="28"/>
  <c r="AQ368" i="28"/>
  <c r="AP368" i="28"/>
  <c r="AH368" i="28"/>
  <c r="AG368" i="28"/>
  <c r="AF368" i="28"/>
  <c r="B369" i="29"/>
  <c r="C369" i="29"/>
  <c r="D369" i="29"/>
  <c r="A370" i="28"/>
  <c r="E369" i="28"/>
  <c r="B369" i="28"/>
  <c r="D369" i="28"/>
  <c r="C369" i="28"/>
  <c r="AD369" i="28" l="1"/>
  <c r="AC369" i="28"/>
  <c r="AR369" i="28"/>
  <c r="AQ369" i="28"/>
  <c r="AP369" i="28"/>
  <c r="AH369" i="28"/>
  <c r="AG369" i="28"/>
  <c r="AF369" i="28"/>
  <c r="B370" i="29"/>
  <c r="C370" i="29"/>
  <c r="D370" i="29"/>
  <c r="D370" i="28"/>
  <c r="A371" i="28"/>
  <c r="B370" i="28"/>
  <c r="E370" i="28"/>
  <c r="C370" i="28"/>
  <c r="AD370" i="28" l="1"/>
  <c r="AC370" i="28"/>
  <c r="AR370" i="28"/>
  <c r="B371" i="29"/>
  <c r="C371" i="29"/>
  <c r="D371" i="29"/>
  <c r="AQ370" i="28"/>
  <c r="AP370" i="28"/>
  <c r="AG370" i="28"/>
  <c r="AH370" i="28"/>
  <c r="AF370" i="28"/>
  <c r="D371" i="28"/>
  <c r="C371" i="28"/>
  <c r="B371" i="28"/>
  <c r="E371" i="28"/>
  <c r="A372" i="28"/>
  <c r="AD371" i="28" l="1"/>
  <c r="AC371" i="28"/>
  <c r="AR371" i="28"/>
  <c r="C372" i="29"/>
  <c r="B372" i="29"/>
  <c r="D372" i="29"/>
  <c r="AQ371" i="28"/>
  <c r="AP371" i="28"/>
  <c r="AH371" i="28"/>
  <c r="AF371" i="28"/>
  <c r="AG371" i="28"/>
  <c r="A373" i="28"/>
  <c r="C372" i="28"/>
  <c r="B372" i="28"/>
  <c r="E372" i="28"/>
  <c r="D372" i="28"/>
  <c r="AD372" i="28" l="1"/>
  <c r="AC372" i="28"/>
  <c r="AR372" i="28"/>
  <c r="AQ372" i="28"/>
  <c r="AP372" i="28"/>
  <c r="AH372" i="28"/>
  <c r="AG372" i="28"/>
  <c r="AF372" i="28"/>
  <c r="B373" i="29"/>
  <c r="C373" i="29"/>
  <c r="D373" i="29"/>
  <c r="A374" i="28"/>
  <c r="E373" i="28"/>
  <c r="D373" i="28"/>
  <c r="B373" i="28"/>
  <c r="C373" i="28"/>
  <c r="AD373" i="28" l="1"/>
  <c r="AC373" i="28"/>
  <c r="AR373" i="28"/>
  <c r="AQ373" i="28"/>
  <c r="AH373" i="28"/>
  <c r="AP373" i="28"/>
  <c r="AG373" i="28"/>
  <c r="AF373" i="28"/>
  <c r="B374" i="29"/>
  <c r="C374" i="29"/>
  <c r="D374" i="29"/>
  <c r="E374" i="28"/>
  <c r="D374" i="28"/>
  <c r="A375" i="28"/>
  <c r="C374" i="28"/>
  <c r="B374" i="28"/>
  <c r="AD374" i="28" l="1"/>
  <c r="AC374" i="28"/>
  <c r="AR374" i="28"/>
  <c r="B375" i="29"/>
  <c r="C375" i="29"/>
  <c r="D375" i="29"/>
  <c r="AQ374" i="28"/>
  <c r="AP374" i="28"/>
  <c r="AF374" i="28"/>
  <c r="AH374" i="28"/>
  <c r="AG374" i="28"/>
  <c r="C375" i="28"/>
  <c r="A376" i="28"/>
  <c r="E375" i="28"/>
  <c r="D375" i="28"/>
  <c r="B375" i="28"/>
  <c r="AD375" i="28" l="1"/>
  <c r="AC375" i="28"/>
  <c r="AR375" i="28"/>
  <c r="AP375" i="28"/>
  <c r="AQ375" i="28"/>
  <c r="AH375" i="28"/>
  <c r="AF375" i="28"/>
  <c r="AG375" i="28"/>
  <c r="B376" i="29"/>
  <c r="C376" i="29"/>
  <c r="D376" i="29"/>
  <c r="A377" i="28"/>
  <c r="C376" i="28"/>
  <c r="B376" i="28"/>
  <c r="E376" i="28"/>
  <c r="D376" i="28"/>
  <c r="AD376" i="28" l="1"/>
  <c r="AC376" i="28"/>
  <c r="AR376" i="28"/>
  <c r="AQ376" i="28"/>
  <c r="AP376" i="28"/>
  <c r="AH376" i="28"/>
  <c r="AF376" i="28"/>
  <c r="AG376" i="28"/>
  <c r="B377" i="29"/>
  <c r="C377" i="29"/>
  <c r="D377" i="29"/>
  <c r="E377" i="28"/>
  <c r="B377" i="28"/>
  <c r="A378" i="28"/>
  <c r="D377" i="28"/>
  <c r="C377" i="28"/>
  <c r="AD377" i="28" l="1"/>
  <c r="AC377" i="28"/>
  <c r="AR377" i="28"/>
  <c r="AP377" i="28"/>
  <c r="AH377" i="28"/>
  <c r="AQ377" i="28"/>
  <c r="AG377" i="28"/>
  <c r="AF377" i="28"/>
  <c r="B378" i="29"/>
  <c r="C378" i="29"/>
  <c r="D378" i="29"/>
  <c r="E378" i="28"/>
  <c r="D378" i="28"/>
  <c r="C378" i="28"/>
  <c r="B378" i="28"/>
  <c r="A379" i="28"/>
  <c r="AD378" i="28" l="1"/>
  <c r="AC378" i="28"/>
  <c r="AR378" i="28"/>
  <c r="C379" i="29"/>
  <c r="B379" i="29"/>
  <c r="D379" i="29"/>
  <c r="AP378" i="28"/>
  <c r="AQ378" i="28"/>
  <c r="AF378" i="28"/>
  <c r="AG378" i="28"/>
  <c r="AH378" i="28"/>
  <c r="D379" i="28"/>
  <c r="C379" i="28"/>
  <c r="E379" i="28"/>
  <c r="B379" i="28"/>
  <c r="A380" i="28"/>
  <c r="AD379" i="28" l="1"/>
  <c r="AC379" i="28"/>
  <c r="AR379" i="28"/>
  <c r="B380" i="29"/>
  <c r="C380" i="29"/>
  <c r="D380" i="29"/>
  <c r="AQ379" i="28"/>
  <c r="AP379" i="28"/>
  <c r="AH379" i="28"/>
  <c r="AG379" i="28"/>
  <c r="AF379" i="28"/>
  <c r="B380" i="28"/>
  <c r="A381" i="28"/>
  <c r="E380" i="28"/>
  <c r="D380" i="28"/>
  <c r="C380" i="28"/>
  <c r="AD380" i="28" l="1"/>
  <c r="AC380" i="28"/>
  <c r="AR380" i="28"/>
  <c r="AQ380" i="28"/>
  <c r="AP380" i="28"/>
  <c r="AH380" i="28"/>
  <c r="AF380" i="28"/>
  <c r="AG380" i="28"/>
  <c r="B381" i="29"/>
  <c r="D381" i="29"/>
  <c r="C381" i="29"/>
  <c r="A382" i="28"/>
  <c r="E381" i="28"/>
  <c r="B381" i="28"/>
  <c r="D381" i="28"/>
  <c r="C381" i="28"/>
  <c r="AD381" i="28" l="1"/>
  <c r="AC381" i="28"/>
  <c r="AR381" i="28"/>
  <c r="AP381" i="28"/>
  <c r="AQ381" i="28"/>
  <c r="AH381" i="28"/>
  <c r="AF381" i="28"/>
  <c r="AG381" i="28"/>
  <c r="B382" i="29"/>
  <c r="C382" i="29"/>
  <c r="D382" i="29"/>
  <c r="D382" i="28"/>
  <c r="E382" i="28"/>
  <c r="C382" i="28"/>
  <c r="B382" i="28"/>
  <c r="A383" i="28"/>
  <c r="AD382" i="28" l="1"/>
  <c r="AC382" i="28"/>
  <c r="AR382" i="28"/>
  <c r="B383" i="29"/>
  <c r="C383" i="29"/>
  <c r="D383" i="29"/>
  <c r="AQ382" i="28"/>
  <c r="AH382" i="28"/>
  <c r="AP382" i="28"/>
  <c r="AG382" i="28"/>
  <c r="AF382" i="28"/>
  <c r="D383" i="28"/>
  <c r="C383" i="28"/>
  <c r="B383" i="28"/>
  <c r="A384" i="28"/>
  <c r="E383" i="28"/>
  <c r="AD383" i="28" l="1"/>
  <c r="AC383" i="28"/>
  <c r="AR383" i="28"/>
  <c r="B384" i="29"/>
  <c r="C384" i="29"/>
  <c r="D384" i="29"/>
  <c r="AQ383" i="28"/>
  <c r="AP383" i="28"/>
  <c r="AH383" i="28"/>
  <c r="AF383" i="28"/>
  <c r="AG383" i="28"/>
  <c r="A385" i="28"/>
  <c r="C384" i="28"/>
  <c r="B384" i="28"/>
  <c r="D384" i="28"/>
  <c r="E384" i="28"/>
  <c r="AD384" i="28" l="1"/>
  <c r="AC384" i="28"/>
  <c r="AR384" i="28"/>
  <c r="AP384" i="28"/>
  <c r="AQ384" i="28"/>
  <c r="AH384" i="28"/>
  <c r="AG384" i="28"/>
  <c r="AF384" i="28"/>
  <c r="B385" i="29"/>
  <c r="C385" i="29"/>
  <c r="D385" i="29"/>
  <c r="A386" i="28"/>
  <c r="E385" i="28"/>
  <c r="D385" i="28"/>
  <c r="C385" i="28"/>
  <c r="B385" i="28"/>
  <c r="AD385" i="28" l="1"/>
  <c r="AC385" i="28"/>
  <c r="AR385" i="28"/>
  <c r="AH385" i="28"/>
  <c r="AP385" i="28"/>
  <c r="AG385" i="28"/>
  <c r="AQ385" i="28"/>
  <c r="AF385" i="28"/>
  <c r="B386" i="29"/>
  <c r="C386" i="29"/>
  <c r="D386" i="29"/>
  <c r="E386" i="28"/>
  <c r="D386" i="28"/>
  <c r="A387" i="28"/>
  <c r="C386" i="28"/>
  <c r="B386" i="28"/>
  <c r="AD386" i="28" l="1"/>
  <c r="AC386" i="28"/>
  <c r="AR386" i="28"/>
  <c r="B387" i="29"/>
  <c r="D387" i="29"/>
  <c r="C387" i="29"/>
  <c r="AQ386" i="28"/>
  <c r="AP386" i="28"/>
  <c r="AF386" i="28"/>
  <c r="AG386" i="28"/>
  <c r="AH386" i="28"/>
  <c r="C387" i="28"/>
  <c r="A388" i="28"/>
  <c r="D387" i="28"/>
  <c r="B387" i="28"/>
  <c r="E387" i="28"/>
  <c r="AD387" i="28" l="1"/>
  <c r="AC387" i="28"/>
  <c r="AR387" i="28"/>
  <c r="AQ387" i="28"/>
  <c r="AH387" i="28"/>
  <c r="AP387" i="28"/>
  <c r="AF387" i="28"/>
  <c r="AG387" i="28"/>
  <c r="B388" i="29"/>
  <c r="C388" i="29"/>
  <c r="D388" i="29"/>
  <c r="A389" i="28"/>
  <c r="C388" i="28"/>
  <c r="B388" i="28"/>
  <c r="E388" i="28"/>
  <c r="D388" i="28"/>
  <c r="AD388" i="28" l="1"/>
  <c r="AC388" i="28"/>
  <c r="AR388" i="28"/>
  <c r="AQ388" i="28"/>
  <c r="AH388" i="28"/>
  <c r="AP388" i="28"/>
  <c r="AG388" i="28"/>
  <c r="AF388" i="28"/>
  <c r="B389" i="29"/>
  <c r="C389" i="29"/>
  <c r="D389" i="29"/>
  <c r="E389" i="28"/>
  <c r="B389" i="28"/>
  <c r="C389" i="28"/>
  <c r="D389" i="28"/>
  <c r="A390" i="28"/>
  <c r="AD389" i="28" l="1"/>
  <c r="AC389" i="28"/>
  <c r="AR389" i="28"/>
  <c r="B390" i="29"/>
  <c r="C390" i="29"/>
  <c r="D390" i="29"/>
  <c r="AP389" i="28"/>
  <c r="AQ389" i="28"/>
  <c r="AH389" i="28"/>
  <c r="AG389" i="28"/>
  <c r="AF389" i="28"/>
  <c r="E390" i="28"/>
  <c r="D390" i="28"/>
  <c r="C390" i="28"/>
  <c r="B390" i="28"/>
  <c r="A391" i="28"/>
  <c r="AD390" i="28" l="1"/>
  <c r="AC390" i="28"/>
  <c r="AR390" i="28"/>
  <c r="C391" i="29"/>
  <c r="B391" i="29"/>
  <c r="D391" i="29"/>
  <c r="AQ390" i="28"/>
  <c r="AP390" i="28"/>
  <c r="AF390" i="28"/>
  <c r="AH390" i="28"/>
  <c r="AG390" i="28"/>
  <c r="D391" i="28"/>
  <c r="C391" i="28"/>
  <c r="A392" i="28"/>
  <c r="E391" i="28"/>
  <c r="B391" i="28"/>
  <c r="AD391" i="28" l="1"/>
  <c r="AC391" i="28"/>
  <c r="AR391" i="28"/>
  <c r="B392" i="29"/>
  <c r="C392" i="29"/>
  <c r="D392" i="29"/>
  <c r="AQ391" i="28"/>
  <c r="AP391" i="28"/>
  <c r="AH391" i="28"/>
  <c r="AG391" i="28"/>
  <c r="AF391" i="28"/>
  <c r="B392" i="28"/>
  <c r="A393" i="28"/>
  <c r="E392" i="28"/>
  <c r="C392" i="28"/>
  <c r="D392" i="28"/>
  <c r="AD392" i="28" l="1"/>
  <c r="AC392" i="28"/>
  <c r="AR392" i="28"/>
  <c r="AQ392" i="28"/>
  <c r="AP392" i="28"/>
  <c r="AH392" i="28"/>
  <c r="AG392" i="28"/>
  <c r="AF392" i="28"/>
  <c r="B393" i="29"/>
  <c r="C393" i="29"/>
  <c r="D393" i="29"/>
  <c r="A394" i="28"/>
  <c r="E393" i="28"/>
  <c r="B393" i="28"/>
  <c r="D393" i="28"/>
  <c r="C393" i="28"/>
  <c r="AD393" i="28" l="1"/>
  <c r="AC393" i="28"/>
  <c r="AR393" i="28"/>
  <c r="AQ393" i="28"/>
  <c r="AP393" i="28"/>
  <c r="AH393" i="28"/>
  <c r="AF393" i="28"/>
  <c r="AG393" i="28"/>
  <c r="B394" i="29"/>
  <c r="C394" i="29"/>
  <c r="D394" i="29"/>
  <c r="D394" i="28"/>
  <c r="A395" i="28"/>
  <c r="B394" i="28"/>
  <c r="E394" i="28"/>
  <c r="C394" i="28"/>
  <c r="AD394" i="28" l="1"/>
  <c r="AC394" i="28"/>
  <c r="AR394" i="28"/>
  <c r="B395" i="29"/>
  <c r="C395" i="29"/>
  <c r="D395" i="29"/>
  <c r="AQ394" i="28"/>
  <c r="AP394" i="28"/>
  <c r="AH394" i="28"/>
  <c r="AG394" i="28"/>
  <c r="AF394" i="28"/>
  <c r="D395" i="28"/>
  <c r="C395" i="28"/>
  <c r="B395" i="28"/>
  <c r="A396" i="28"/>
  <c r="E395" i="28"/>
  <c r="AD395" i="28" l="1"/>
  <c r="AC395" i="28"/>
  <c r="AR395" i="28"/>
  <c r="C396" i="29"/>
  <c r="B396" i="29"/>
  <c r="D396" i="29"/>
  <c r="AQ395" i="28"/>
  <c r="AP395" i="28"/>
  <c r="AH395" i="28"/>
  <c r="AF395" i="28"/>
  <c r="AG395" i="28"/>
  <c r="A397" i="28"/>
  <c r="C396" i="28"/>
  <c r="B396" i="28"/>
  <c r="E396" i="28"/>
  <c r="D396" i="28"/>
  <c r="AD396" i="28" l="1"/>
  <c r="AC396" i="28"/>
  <c r="AR396" i="28"/>
  <c r="AQ396" i="28"/>
  <c r="AH396" i="28"/>
  <c r="AP396" i="28"/>
  <c r="AG396" i="28"/>
  <c r="AF396" i="28"/>
  <c r="B397" i="29"/>
  <c r="C397" i="29"/>
  <c r="D397" i="29"/>
  <c r="A398" i="28"/>
  <c r="E397" i="28"/>
  <c r="D397" i="28"/>
  <c r="B397" i="28"/>
  <c r="C397" i="28"/>
  <c r="AD397" i="28" l="1"/>
  <c r="AC397" i="28"/>
  <c r="AR397" i="28"/>
  <c r="AQ397" i="28"/>
  <c r="AH397" i="28"/>
  <c r="AP397" i="28"/>
  <c r="AG397" i="28"/>
  <c r="AF397" i="28"/>
  <c r="B398" i="29"/>
  <c r="C398" i="29"/>
  <c r="D398" i="29"/>
  <c r="E398" i="28"/>
  <c r="D398" i="28"/>
  <c r="A399" i="28"/>
  <c r="C398" i="28"/>
  <c r="B398" i="28"/>
  <c r="AD398" i="28" l="1"/>
  <c r="AC398" i="28"/>
  <c r="AR398" i="28"/>
  <c r="B399" i="29"/>
  <c r="C399" i="29"/>
  <c r="D399" i="29"/>
  <c r="AQ398" i="28"/>
  <c r="AP398" i="28"/>
  <c r="AH398" i="28"/>
  <c r="AF398" i="28"/>
  <c r="AG398" i="28"/>
  <c r="C399" i="28"/>
  <c r="A400" i="28"/>
  <c r="E399" i="28"/>
  <c r="B399" i="28"/>
  <c r="D399" i="28"/>
  <c r="AD399" i="28" l="1"/>
  <c r="AC399" i="28"/>
  <c r="AR399" i="28"/>
  <c r="AP399" i="28"/>
  <c r="AH399" i="28"/>
  <c r="AF399" i="28"/>
  <c r="AQ399" i="28"/>
  <c r="AG399" i="28"/>
  <c r="B400" i="29"/>
  <c r="C400" i="29"/>
  <c r="D400" i="29"/>
  <c r="C400" i="28"/>
  <c r="B400" i="28"/>
  <c r="A401" i="28"/>
  <c r="D400" i="28"/>
  <c r="E400" i="28"/>
  <c r="AD400" i="28" l="1"/>
  <c r="AC400" i="28"/>
  <c r="AR400" i="28"/>
  <c r="AQ400" i="28"/>
  <c r="AH400" i="28"/>
  <c r="AP400" i="28"/>
  <c r="AF400" i="28"/>
  <c r="AG400" i="28"/>
  <c r="B401" i="29"/>
  <c r="C401" i="29"/>
  <c r="D401" i="29"/>
  <c r="A402" i="28"/>
  <c r="D401" i="28"/>
  <c r="C401" i="28"/>
  <c r="E401" i="28"/>
  <c r="B401" i="28"/>
  <c r="AD401" i="28" l="1"/>
  <c r="AC401" i="28"/>
  <c r="AR401" i="28"/>
  <c r="AP401" i="28"/>
  <c r="AQ401" i="28"/>
  <c r="AG401" i="28"/>
  <c r="AH401" i="28"/>
  <c r="AF401" i="28"/>
  <c r="B402" i="29"/>
  <c r="C402" i="29"/>
  <c r="D402" i="29"/>
  <c r="A403" i="28"/>
  <c r="D402" i="28"/>
  <c r="E402" i="28"/>
  <c r="C402" i="28"/>
  <c r="B402" i="28"/>
  <c r="AD402" i="28" l="1"/>
  <c r="AC402" i="28"/>
  <c r="AR402" i="28"/>
  <c r="AQ402" i="28"/>
  <c r="AH402" i="28"/>
  <c r="AP402" i="28"/>
  <c r="AF402" i="28"/>
  <c r="AG402" i="28"/>
  <c r="C403" i="29"/>
  <c r="B403" i="29"/>
  <c r="D403" i="29"/>
  <c r="B403" i="28"/>
  <c r="E403" i="28"/>
  <c r="C403" i="28"/>
  <c r="A404" i="28"/>
  <c r="D403" i="28"/>
  <c r="AD403" i="28" l="1"/>
  <c r="AC403" i="28"/>
  <c r="AR403" i="28"/>
  <c r="AQ403" i="28"/>
  <c r="AP403" i="28"/>
  <c r="AH403" i="28"/>
  <c r="AG403" i="28"/>
  <c r="AF403" i="28"/>
  <c r="B404" i="29"/>
  <c r="C404" i="29"/>
  <c r="D404" i="29"/>
  <c r="A405" i="28"/>
  <c r="D404" i="28"/>
  <c r="C404" i="28"/>
  <c r="B404" i="28"/>
  <c r="E404" i="28"/>
  <c r="AD404" i="28" l="1"/>
  <c r="AC404" i="28"/>
  <c r="AR404" i="28"/>
  <c r="AP404" i="28"/>
  <c r="AQ404" i="28"/>
  <c r="AH404" i="28"/>
  <c r="AG404" i="28"/>
  <c r="AF404" i="28"/>
  <c r="B405" i="29"/>
  <c r="D405" i="29"/>
  <c r="C405" i="29"/>
  <c r="C405" i="28"/>
  <c r="E405" i="28"/>
  <c r="A406" i="28"/>
  <c r="D405" i="28"/>
  <c r="B405" i="28"/>
  <c r="AD405" i="28" l="1"/>
  <c r="AC405" i="28"/>
  <c r="AR405" i="28"/>
  <c r="AP405" i="28"/>
  <c r="AQ405" i="28"/>
  <c r="AH405" i="28"/>
  <c r="AG405" i="28"/>
  <c r="AF405" i="28"/>
  <c r="B406" i="29"/>
  <c r="D406" i="29"/>
  <c r="C406" i="29"/>
  <c r="A407" i="28"/>
  <c r="C406" i="28"/>
  <c r="E406" i="28"/>
  <c r="D406" i="28"/>
  <c r="B406" i="28"/>
  <c r="AD406" i="28" l="1"/>
  <c r="AC406" i="28"/>
  <c r="AR406" i="28"/>
  <c r="AP406" i="28"/>
  <c r="AQ406" i="28"/>
  <c r="AG406" i="28"/>
  <c r="AH406" i="28"/>
  <c r="AF406" i="28"/>
  <c r="B407" i="29"/>
  <c r="C407" i="29"/>
  <c r="D407" i="29"/>
  <c r="E407" i="28"/>
  <c r="C407" i="28"/>
  <c r="A408" i="28"/>
  <c r="B407" i="28"/>
  <c r="D407" i="28"/>
  <c r="AD407" i="28" l="1"/>
  <c r="AC407" i="28"/>
  <c r="AR407" i="28"/>
  <c r="AQ407" i="28"/>
  <c r="AP407" i="28"/>
  <c r="AF407" i="28"/>
  <c r="AG407" i="28"/>
  <c r="AH407" i="28"/>
  <c r="B408" i="29"/>
  <c r="C408" i="29"/>
  <c r="D408" i="29"/>
  <c r="A409" i="28"/>
  <c r="B408" i="28"/>
  <c r="E408" i="28"/>
  <c r="C408" i="28"/>
  <c r="D408" i="28"/>
  <c r="AD408" i="28" l="1"/>
  <c r="AC408" i="28"/>
  <c r="AR408" i="28"/>
  <c r="AQ408" i="28"/>
  <c r="AP408" i="28"/>
  <c r="AH408" i="28"/>
  <c r="AG408" i="28"/>
  <c r="AF408" i="28"/>
  <c r="B409" i="29"/>
  <c r="C409" i="29"/>
  <c r="D409" i="29"/>
  <c r="E409" i="28"/>
  <c r="B409" i="28"/>
  <c r="A410" i="28"/>
  <c r="C409" i="28"/>
  <c r="D409" i="28"/>
  <c r="AD409" i="28" l="1"/>
  <c r="AC409" i="28"/>
  <c r="AR409" i="28"/>
  <c r="AH409" i="28"/>
  <c r="AP409" i="28"/>
  <c r="AQ409" i="28"/>
  <c r="AG409" i="28"/>
  <c r="AF409" i="28"/>
  <c r="B410" i="29"/>
  <c r="C410" i="29"/>
  <c r="D410" i="29"/>
  <c r="B410" i="28"/>
  <c r="E410" i="28"/>
  <c r="A411" i="28"/>
  <c r="D410" i="28"/>
  <c r="C410" i="28"/>
  <c r="AD410" i="28" l="1"/>
  <c r="AC410" i="28"/>
  <c r="AR410" i="28"/>
  <c r="AQ410" i="28"/>
  <c r="AP410" i="28"/>
  <c r="AH410" i="28"/>
  <c r="AF410" i="28"/>
  <c r="AG410" i="28"/>
  <c r="B411" i="29"/>
  <c r="C411" i="29"/>
  <c r="D411" i="29"/>
  <c r="C411" i="28"/>
  <c r="D411" i="28"/>
  <c r="E411" i="28"/>
  <c r="A412" i="28"/>
  <c r="B411" i="28"/>
  <c r="AD411" i="28" l="1"/>
  <c r="AC411" i="28"/>
  <c r="AR411" i="28"/>
  <c r="B412" i="29"/>
  <c r="C412" i="29"/>
  <c r="D412" i="29"/>
  <c r="AP411" i="28"/>
  <c r="AQ411" i="28"/>
  <c r="AH411" i="28"/>
  <c r="AF411" i="28"/>
  <c r="AG411" i="28"/>
  <c r="D412" i="28"/>
  <c r="B412" i="28"/>
  <c r="A413" i="28"/>
  <c r="E412" i="28"/>
  <c r="C412" i="28"/>
  <c r="AD412" i="28" l="1"/>
  <c r="AC412" i="28"/>
  <c r="AR412" i="28"/>
  <c r="B413" i="29"/>
  <c r="C413" i="29"/>
  <c r="D413" i="29"/>
  <c r="AQ412" i="28"/>
  <c r="AH412" i="28"/>
  <c r="AP412" i="28"/>
  <c r="AF412" i="28"/>
  <c r="AG412" i="28"/>
  <c r="E413" i="28"/>
  <c r="A414" i="28"/>
  <c r="D413" i="28"/>
  <c r="B413" i="28"/>
  <c r="C413" i="28"/>
  <c r="AD413" i="28" l="1"/>
  <c r="AC413" i="28"/>
  <c r="AR413" i="28"/>
  <c r="AP413" i="28"/>
  <c r="AQ413" i="28"/>
  <c r="AH413" i="28"/>
  <c r="AG413" i="28"/>
  <c r="AF413" i="28"/>
  <c r="B414" i="29"/>
  <c r="C414" i="29"/>
  <c r="D414" i="29"/>
  <c r="A415" i="28"/>
  <c r="D414" i="28"/>
  <c r="E414" i="28"/>
  <c r="C414" i="28"/>
  <c r="B414" i="28"/>
  <c r="AD414" i="28" l="1"/>
  <c r="AC414" i="28"/>
  <c r="AR414" i="28"/>
  <c r="AQ414" i="28"/>
  <c r="AP414" i="28"/>
  <c r="AH414" i="28"/>
  <c r="AF414" i="28"/>
  <c r="AG414" i="28"/>
  <c r="C415" i="29"/>
  <c r="B415" i="29"/>
  <c r="D415" i="29"/>
  <c r="D415" i="28"/>
  <c r="E415" i="28"/>
  <c r="B415" i="28"/>
  <c r="A416" i="28"/>
  <c r="C415" i="28"/>
  <c r="AD415" i="28" l="1"/>
  <c r="AC415" i="28"/>
  <c r="AR415" i="28"/>
  <c r="B416" i="29"/>
  <c r="C416" i="29"/>
  <c r="D416" i="29"/>
  <c r="AQ415" i="28"/>
  <c r="AP415" i="28"/>
  <c r="AH415" i="28"/>
  <c r="AG415" i="28"/>
  <c r="AF415" i="28"/>
  <c r="A417" i="28"/>
  <c r="B416" i="28"/>
  <c r="C416" i="28"/>
  <c r="D416" i="28"/>
  <c r="E416" i="28"/>
  <c r="AD416" i="28" l="1"/>
  <c r="AC416" i="28"/>
  <c r="AR416" i="28"/>
  <c r="AQ416" i="28"/>
  <c r="AP416" i="28"/>
  <c r="AH416" i="28"/>
  <c r="AF416" i="28"/>
  <c r="AG416" i="28"/>
  <c r="B417" i="29"/>
  <c r="C417" i="29"/>
  <c r="D417" i="29"/>
  <c r="C417" i="28"/>
  <c r="E417" i="28"/>
  <c r="D417" i="28"/>
  <c r="A418" i="28"/>
  <c r="B417" i="28"/>
  <c r="AD417" i="28" l="1"/>
  <c r="AC417" i="28"/>
  <c r="AR417" i="28"/>
  <c r="B418" i="29"/>
  <c r="C418" i="29"/>
  <c r="D418" i="29"/>
  <c r="AP417" i="28"/>
  <c r="AQ417" i="28"/>
  <c r="AH417" i="28"/>
  <c r="AF417" i="28"/>
  <c r="AG417" i="28"/>
  <c r="D418" i="28"/>
  <c r="A419" i="28"/>
  <c r="C418" i="28"/>
  <c r="B418" i="28"/>
  <c r="E418" i="28"/>
  <c r="AD418" i="28" l="1"/>
  <c r="AC418" i="28"/>
  <c r="AR418" i="28"/>
  <c r="B419" i="29"/>
  <c r="C419" i="29"/>
  <c r="D419" i="29"/>
  <c r="AQ418" i="28"/>
  <c r="AP418" i="28"/>
  <c r="AG418" i="28"/>
  <c r="AH418" i="28"/>
  <c r="AF418" i="28"/>
  <c r="E419" i="28"/>
  <c r="C419" i="28"/>
  <c r="D419" i="28"/>
  <c r="A420" i="28"/>
  <c r="B419" i="28"/>
  <c r="AD419" i="28" l="1"/>
  <c r="AC419" i="28"/>
  <c r="AR419" i="28"/>
  <c r="B420" i="29"/>
  <c r="C420" i="29"/>
  <c r="D420" i="29"/>
  <c r="AP419" i="28"/>
  <c r="AQ419" i="28"/>
  <c r="AH419" i="28"/>
  <c r="AF419" i="28"/>
  <c r="AG419" i="28"/>
  <c r="A421" i="28"/>
  <c r="C420" i="28"/>
  <c r="D420" i="28"/>
  <c r="B420" i="28"/>
  <c r="E420" i="28"/>
  <c r="AD420" i="28" l="1"/>
  <c r="AC420" i="28"/>
  <c r="AR420" i="28"/>
  <c r="AP420" i="28"/>
  <c r="AQ420" i="28"/>
  <c r="AG420" i="28"/>
  <c r="AF420" i="28"/>
  <c r="AH420" i="28"/>
  <c r="B421" i="29"/>
  <c r="C421" i="29"/>
  <c r="D421" i="29"/>
  <c r="E421" i="28"/>
  <c r="B421" i="28"/>
  <c r="D421" i="28"/>
  <c r="C421" i="28"/>
  <c r="A422" i="28"/>
  <c r="AD421" i="28" l="1"/>
  <c r="AC421" i="28"/>
  <c r="AR421" i="28"/>
  <c r="B422" i="29"/>
  <c r="C422" i="29"/>
  <c r="D422" i="29"/>
  <c r="AQ421" i="28"/>
  <c r="AH421" i="28"/>
  <c r="AP421" i="28"/>
  <c r="AG421" i="28"/>
  <c r="AF421" i="28"/>
  <c r="B422" i="28"/>
  <c r="D422" i="28"/>
  <c r="C422" i="28"/>
  <c r="E422" i="28"/>
  <c r="A423" i="28"/>
  <c r="AD422" i="28" l="1"/>
  <c r="AC422" i="28"/>
  <c r="AR422" i="28"/>
  <c r="B423" i="29"/>
  <c r="C423" i="29"/>
  <c r="D423" i="29"/>
  <c r="AQ422" i="28"/>
  <c r="AP422" i="28"/>
  <c r="AF422" i="28"/>
  <c r="AG422" i="28"/>
  <c r="AH422" i="28"/>
  <c r="C423" i="28"/>
  <c r="B423" i="28"/>
  <c r="A424" i="28"/>
  <c r="E423" i="28"/>
  <c r="D423" i="28"/>
  <c r="AD423" i="28" l="1"/>
  <c r="AC423" i="28"/>
  <c r="AR423" i="28"/>
  <c r="AQ423" i="28"/>
  <c r="AP423" i="28"/>
  <c r="AH423" i="28"/>
  <c r="AF423" i="28"/>
  <c r="AG423" i="28"/>
  <c r="B424" i="29"/>
  <c r="C424" i="29"/>
  <c r="D424" i="29"/>
  <c r="D424" i="28"/>
  <c r="B424" i="28"/>
  <c r="C424" i="28"/>
  <c r="E424" i="28"/>
  <c r="A425" i="28"/>
  <c r="AD424" i="28" l="1"/>
  <c r="AC424" i="28"/>
  <c r="AR424" i="28"/>
  <c r="B425" i="29"/>
  <c r="C425" i="29"/>
  <c r="D425" i="29"/>
  <c r="AQ424" i="28"/>
  <c r="AH424" i="28"/>
  <c r="AP424" i="28"/>
  <c r="AG424" i="28"/>
  <c r="AF424" i="28"/>
  <c r="E425" i="28"/>
  <c r="D425" i="28"/>
  <c r="A426" i="28"/>
  <c r="C425" i="28"/>
  <c r="B425" i="28"/>
  <c r="AD425" i="28" l="1"/>
  <c r="AC425" i="28"/>
  <c r="AR425" i="28"/>
  <c r="B426" i="29"/>
  <c r="C426" i="29"/>
  <c r="D426" i="29"/>
  <c r="AP425" i="28"/>
  <c r="AQ425" i="28"/>
  <c r="AH425" i="28"/>
  <c r="AG425" i="28"/>
  <c r="AF425" i="28"/>
  <c r="A427" i="28"/>
  <c r="D426" i="28"/>
  <c r="C426" i="28"/>
  <c r="B426" i="28"/>
  <c r="E426" i="28"/>
  <c r="AD426" i="28" l="1"/>
  <c r="AC426" i="28"/>
  <c r="AR426" i="28"/>
  <c r="AQ426" i="28"/>
  <c r="AP426" i="28"/>
  <c r="AH426" i="28"/>
  <c r="AF426" i="28"/>
  <c r="AG426" i="28"/>
  <c r="C427" i="29"/>
  <c r="B427" i="29"/>
  <c r="D427" i="29"/>
  <c r="A428" i="28"/>
  <c r="C427" i="28"/>
  <c r="B427" i="28"/>
  <c r="E427" i="28"/>
  <c r="D427" i="28"/>
  <c r="AD427" i="28" l="1"/>
  <c r="AC427" i="28"/>
  <c r="AR427" i="28"/>
  <c r="AQ427" i="28"/>
  <c r="AP427" i="28"/>
  <c r="AH427" i="28"/>
  <c r="AG427" i="28"/>
  <c r="AF427" i="28"/>
  <c r="B428" i="29"/>
  <c r="C428" i="29"/>
  <c r="D428" i="29"/>
  <c r="A429" i="28"/>
  <c r="B428" i="28"/>
  <c r="D428" i="28"/>
  <c r="C428" i="28"/>
  <c r="E428" i="28"/>
  <c r="AD428" i="28" l="1"/>
  <c r="AC428" i="28"/>
  <c r="AR428" i="28"/>
  <c r="AQ428" i="28"/>
  <c r="AP428" i="28"/>
  <c r="AH428" i="28"/>
  <c r="AG428" i="28"/>
  <c r="AF428" i="28"/>
  <c r="B429" i="29"/>
  <c r="D429" i="29"/>
  <c r="C429" i="29"/>
  <c r="C429" i="28"/>
  <c r="E429" i="28"/>
  <c r="D429" i="28"/>
  <c r="A430" i="28"/>
  <c r="B429" i="28"/>
  <c r="AD429" i="28" l="1"/>
  <c r="AC429" i="28"/>
  <c r="AR429" i="28"/>
  <c r="B430" i="29"/>
  <c r="C430" i="29"/>
  <c r="D430" i="29"/>
  <c r="AP429" i="28"/>
  <c r="AQ429" i="28"/>
  <c r="AH429" i="28"/>
  <c r="AF429" i="28"/>
  <c r="AG429" i="28"/>
  <c r="D430" i="28"/>
  <c r="C430" i="28"/>
  <c r="A431" i="28"/>
  <c r="E430" i="28"/>
  <c r="B430" i="28"/>
  <c r="AD430" i="28" l="1"/>
  <c r="AC430" i="28"/>
  <c r="AR430" i="28"/>
  <c r="B431" i="29"/>
  <c r="C431" i="29"/>
  <c r="D431" i="29"/>
  <c r="AQ430" i="28"/>
  <c r="AP430" i="28"/>
  <c r="AH430" i="28"/>
  <c r="AG430" i="28"/>
  <c r="AF430" i="28"/>
  <c r="E431" i="28"/>
  <c r="C431" i="28"/>
  <c r="A432" i="28"/>
  <c r="D431" i="28"/>
  <c r="B431" i="28"/>
  <c r="AD431" i="28" l="1"/>
  <c r="AC431" i="28"/>
  <c r="AR431" i="28"/>
  <c r="AQ431" i="28"/>
  <c r="AP431" i="28"/>
  <c r="AH431" i="28"/>
  <c r="AF431" i="28"/>
  <c r="AG431" i="28"/>
  <c r="C432" i="29"/>
  <c r="B432" i="29"/>
  <c r="D432" i="29"/>
  <c r="A433" i="28"/>
  <c r="E432" i="28"/>
  <c r="B432" i="28"/>
  <c r="D432" i="28"/>
  <c r="C432" i="28"/>
  <c r="AD432" i="28" l="1"/>
  <c r="AC432" i="28"/>
  <c r="AR432" i="28"/>
  <c r="AQ432" i="28"/>
  <c r="AP432" i="28"/>
  <c r="AG432" i="28"/>
  <c r="AH432" i="28"/>
  <c r="AF432" i="28"/>
  <c r="B433" i="29"/>
  <c r="C433" i="29"/>
  <c r="D433" i="29"/>
  <c r="E433" i="28"/>
  <c r="B433" i="28"/>
  <c r="A434" i="28"/>
  <c r="D433" i="28"/>
  <c r="C433" i="28"/>
  <c r="AD433" i="28" l="1"/>
  <c r="AC433" i="28"/>
  <c r="AR433" i="28"/>
  <c r="AP433" i="28"/>
  <c r="AH433" i="28"/>
  <c r="AQ433" i="28"/>
  <c r="AG433" i="28"/>
  <c r="AF433" i="28"/>
  <c r="B434" i="29"/>
  <c r="C434" i="29"/>
  <c r="D434" i="29"/>
  <c r="B434" i="28"/>
  <c r="E434" i="28"/>
  <c r="D434" i="28"/>
  <c r="C434" i="28"/>
  <c r="A435" i="28"/>
  <c r="AD434" i="28" l="1"/>
  <c r="AC434" i="28"/>
  <c r="AR434" i="28"/>
  <c r="B435" i="29"/>
  <c r="C435" i="29"/>
  <c r="D435" i="29"/>
  <c r="AQ434" i="28"/>
  <c r="AP434" i="28"/>
  <c r="AH434" i="28"/>
  <c r="AF434" i="28"/>
  <c r="AG434" i="28"/>
  <c r="C435" i="28"/>
  <c r="A436" i="28"/>
  <c r="B435" i="28"/>
  <c r="E435" i="28"/>
  <c r="D435" i="28"/>
  <c r="AD435" i="28" l="1"/>
  <c r="AC435" i="28"/>
  <c r="AR435" i="28"/>
  <c r="AP435" i="28"/>
  <c r="AQ435" i="28"/>
  <c r="AF435" i="28"/>
  <c r="AH435" i="28"/>
  <c r="AG435" i="28"/>
  <c r="B436" i="29"/>
  <c r="C436" i="29"/>
  <c r="D436" i="29"/>
  <c r="C436" i="28"/>
  <c r="B436" i="28"/>
  <c r="D436" i="28"/>
  <c r="E436" i="28"/>
  <c r="A437" i="28"/>
  <c r="AD436" i="28" l="1"/>
  <c r="AC436" i="28"/>
  <c r="AR436" i="28"/>
  <c r="B437" i="29"/>
  <c r="C437" i="29"/>
  <c r="D437" i="29"/>
  <c r="AQ436" i="28"/>
  <c r="AP436" i="28"/>
  <c r="AH436" i="28"/>
  <c r="AF436" i="28"/>
  <c r="AG436" i="28"/>
  <c r="A438" i="28"/>
  <c r="D437" i="28"/>
  <c r="C437" i="28"/>
  <c r="E437" i="28"/>
  <c r="B437" i="28"/>
  <c r="AD437" i="28" l="1"/>
  <c r="AC437" i="28"/>
  <c r="AR437" i="28"/>
  <c r="AQ437" i="28"/>
  <c r="AP437" i="28"/>
  <c r="AG437" i="28"/>
  <c r="AH437" i="28"/>
  <c r="AF437" i="28"/>
  <c r="B438" i="29"/>
  <c r="C438" i="29"/>
  <c r="D438" i="29"/>
  <c r="E438" i="28"/>
  <c r="D438" i="28"/>
  <c r="B438" i="28"/>
  <c r="A439" i="28"/>
  <c r="C438" i="28"/>
  <c r="AD438" i="28" l="1"/>
  <c r="AC438" i="28"/>
  <c r="AR438" i="28"/>
  <c r="B439" i="29"/>
  <c r="C439" i="29"/>
  <c r="D439" i="29"/>
  <c r="AQ438" i="28"/>
  <c r="AP438" i="28"/>
  <c r="AH438" i="28"/>
  <c r="AG438" i="28"/>
  <c r="AF438" i="28"/>
  <c r="A440" i="28"/>
  <c r="E439" i="28"/>
  <c r="B439" i="28"/>
  <c r="C439" i="28"/>
  <c r="D439" i="28"/>
  <c r="AD439" i="28" l="1"/>
  <c r="AC439" i="28"/>
  <c r="AR439" i="28"/>
  <c r="AQ439" i="28"/>
  <c r="AH439" i="28"/>
  <c r="AP439" i="28"/>
  <c r="AG439" i="28"/>
  <c r="AF439" i="28"/>
  <c r="B440" i="29"/>
  <c r="C440" i="29"/>
  <c r="D440" i="29"/>
  <c r="C440" i="28"/>
  <c r="E440" i="28"/>
  <c r="A441" i="28"/>
  <c r="D440" i="28"/>
  <c r="B440" i="28"/>
  <c r="AD440" i="28" l="1"/>
  <c r="AC440" i="28"/>
  <c r="AR440" i="28"/>
  <c r="AQ440" i="28"/>
  <c r="AP440" i="28"/>
  <c r="AH440" i="28"/>
  <c r="AG440" i="28"/>
  <c r="AF440" i="28"/>
  <c r="B441" i="29"/>
  <c r="C441" i="29"/>
  <c r="D441" i="29"/>
  <c r="B441" i="28"/>
  <c r="D441" i="28"/>
  <c r="C441" i="28"/>
  <c r="A442" i="28"/>
  <c r="E441" i="28"/>
  <c r="AD441" i="28" l="1"/>
  <c r="AC441" i="28"/>
  <c r="AR441" i="28"/>
  <c r="B442" i="29"/>
  <c r="C442" i="29"/>
  <c r="D442" i="29"/>
  <c r="AQ441" i="28"/>
  <c r="AP441" i="28"/>
  <c r="AH441" i="28"/>
  <c r="AG441" i="28"/>
  <c r="AF441" i="28"/>
  <c r="E442" i="28"/>
  <c r="C442" i="28"/>
  <c r="B442" i="28"/>
  <c r="A443" i="28"/>
  <c r="D442" i="28"/>
  <c r="AD442" i="28" l="1"/>
  <c r="AC442" i="28"/>
  <c r="AR442" i="28"/>
  <c r="AQ442" i="28"/>
  <c r="AP442" i="28"/>
  <c r="AH442" i="28"/>
  <c r="AG442" i="28"/>
  <c r="AF442" i="28"/>
  <c r="B443" i="29"/>
  <c r="C443" i="29"/>
  <c r="D443" i="29"/>
  <c r="D443" i="28"/>
  <c r="C443" i="28"/>
  <c r="A444" i="28"/>
  <c r="B443" i="28"/>
  <c r="E443" i="28"/>
  <c r="AD443" i="28" l="1"/>
  <c r="AC443" i="28"/>
  <c r="AR443" i="28"/>
  <c r="B444" i="29"/>
  <c r="C444" i="29"/>
  <c r="D444" i="29"/>
  <c r="AQ443" i="28"/>
  <c r="AP443" i="28"/>
  <c r="AF443" i="28"/>
  <c r="AG443" i="28"/>
  <c r="AH443" i="28"/>
  <c r="E444" i="28"/>
  <c r="D444" i="28"/>
  <c r="C444" i="28"/>
  <c r="A445" i="28"/>
  <c r="B444" i="28"/>
  <c r="AD444" i="28" l="1"/>
  <c r="AC444" i="28"/>
  <c r="AR444" i="28"/>
  <c r="B445" i="29"/>
  <c r="C445" i="29"/>
  <c r="D445" i="29"/>
  <c r="AQ444" i="28"/>
  <c r="AH444" i="28"/>
  <c r="AG444" i="28"/>
  <c r="AP444" i="28"/>
  <c r="AF444" i="28"/>
  <c r="A446" i="28"/>
  <c r="B445" i="28"/>
  <c r="C445" i="28"/>
  <c r="D445" i="28"/>
  <c r="E445" i="28"/>
  <c r="AD445" i="28" l="1"/>
  <c r="AC445" i="28"/>
  <c r="AR445" i="28"/>
  <c r="AQ445" i="28"/>
  <c r="AH445" i="28"/>
  <c r="AG445" i="28"/>
  <c r="AP445" i="28"/>
  <c r="AF445" i="28"/>
  <c r="B446" i="29"/>
  <c r="C446" i="29"/>
  <c r="D446" i="29"/>
  <c r="A447" i="28"/>
  <c r="E446" i="28"/>
  <c r="C446" i="28"/>
  <c r="D446" i="28"/>
  <c r="B446" i="28"/>
  <c r="AD446" i="28" l="1"/>
  <c r="AC446" i="28"/>
  <c r="AR446" i="28"/>
  <c r="AQ446" i="28"/>
  <c r="AP446" i="28"/>
  <c r="AH446" i="28"/>
  <c r="AF446" i="28"/>
  <c r="AG446" i="28"/>
  <c r="B447" i="29"/>
  <c r="C447" i="29"/>
  <c r="D447" i="29"/>
  <c r="D447" i="28"/>
  <c r="C447" i="28"/>
  <c r="B447" i="28"/>
  <c r="A448" i="28"/>
  <c r="E447" i="28"/>
  <c r="AD447" i="28" l="1"/>
  <c r="AC447" i="28"/>
  <c r="AR447" i="28"/>
  <c r="B448" i="29"/>
  <c r="C448" i="29"/>
  <c r="D448" i="29"/>
  <c r="AP447" i="28"/>
  <c r="AQ447" i="28"/>
  <c r="AH447" i="28"/>
  <c r="AF447" i="28"/>
  <c r="AG447" i="28"/>
  <c r="C448" i="28"/>
  <c r="A449" i="28"/>
  <c r="D448" i="28"/>
  <c r="B448" i="28"/>
  <c r="E448" i="28"/>
  <c r="AD448" i="28" l="1"/>
  <c r="AC448" i="28"/>
  <c r="AR448" i="28"/>
  <c r="AQ448" i="28"/>
  <c r="AP448" i="28"/>
  <c r="AH448" i="28"/>
  <c r="AF448" i="28"/>
  <c r="AG448" i="28"/>
  <c r="B449" i="29"/>
  <c r="D449" i="29"/>
  <c r="C449" i="29"/>
  <c r="A450" i="28"/>
  <c r="E449" i="28"/>
  <c r="D449" i="28"/>
  <c r="C449" i="28"/>
  <c r="B449" i="28"/>
  <c r="AD449" i="28" l="1"/>
  <c r="AC449" i="28"/>
  <c r="AR449" i="28"/>
  <c r="AP449" i="28"/>
  <c r="AQ449" i="28"/>
  <c r="AH449" i="28"/>
  <c r="AG449" i="28"/>
  <c r="AF449" i="28"/>
  <c r="B450" i="29"/>
  <c r="C450" i="29"/>
  <c r="D450" i="29"/>
  <c r="E450" i="28"/>
  <c r="D450" i="28"/>
  <c r="C450" i="28"/>
  <c r="A451" i="28"/>
  <c r="B450" i="28"/>
  <c r="AD450" i="28" l="1"/>
  <c r="AC450" i="28"/>
  <c r="AR450" i="28"/>
  <c r="C451" i="29"/>
  <c r="B451" i="29"/>
  <c r="D451" i="29"/>
  <c r="AP450" i="28"/>
  <c r="AQ450" i="28"/>
  <c r="AH450" i="28"/>
  <c r="AG450" i="28"/>
  <c r="AF450" i="28"/>
  <c r="A452" i="28"/>
  <c r="E451" i="28"/>
  <c r="D451" i="28"/>
  <c r="B451" i="28"/>
  <c r="C451" i="28"/>
  <c r="AD451" i="28" l="1"/>
  <c r="AC451" i="28"/>
  <c r="AR451" i="28"/>
  <c r="AQ451" i="28"/>
  <c r="AP451" i="28"/>
  <c r="AH451" i="28"/>
  <c r="AG451" i="28"/>
  <c r="AF451" i="28"/>
  <c r="B452" i="29"/>
  <c r="D452" i="29"/>
  <c r="C452" i="29"/>
  <c r="C452" i="28"/>
  <c r="B452" i="28"/>
  <c r="D452" i="28"/>
  <c r="E452" i="28"/>
  <c r="A453" i="28"/>
  <c r="AD452" i="28" l="1"/>
  <c r="AC452" i="28"/>
  <c r="AR452" i="28"/>
  <c r="B453" i="29"/>
  <c r="D453" i="29"/>
  <c r="C453" i="29"/>
  <c r="AQ452" i="28"/>
  <c r="AP452" i="28"/>
  <c r="AH452" i="28"/>
  <c r="AF452" i="28"/>
  <c r="AG452" i="28"/>
  <c r="B453" i="28"/>
  <c r="E453" i="28"/>
  <c r="D453" i="28"/>
  <c r="C453" i="28"/>
  <c r="A454" i="28"/>
  <c r="AD453" i="28" l="1"/>
  <c r="AC453" i="28"/>
  <c r="AR453" i="28"/>
  <c r="B454" i="29"/>
  <c r="C454" i="29"/>
  <c r="D454" i="29"/>
  <c r="AP453" i="28"/>
  <c r="AQ453" i="28"/>
  <c r="AH453" i="28"/>
  <c r="AF453" i="28"/>
  <c r="AG453" i="28"/>
  <c r="E454" i="28"/>
  <c r="D454" i="28"/>
  <c r="C454" i="28"/>
  <c r="B454" i="28"/>
  <c r="A455" i="28"/>
  <c r="AD454" i="28" l="1"/>
  <c r="AC454" i="28"/>
  <c r="AR454" i="28"/>
  <c r="B455" i="29"/>
  <c r="C455" i="29"/>
  <c r="D455" i="29"/>
  <c r="AQ454" i="28"/>
  <c r="AP454" i="28"/>
  <c r="AH454" i="28"/>
  <c r="AG454" i="28"/>
  <c r="AF454" i="28"/>
  <c r="D455" i="28"/>
  <c r="A456" i="28"/>
  <c r="C455" i="28"/>
  <c r="B455" i="28"/>
  <c r="E455" i="28"/>
  <c r="AD455" i="28" l="1"/>
  <c r="AC455" i="28"/>
  <c r="AR455" i="28"/>
  <c r="C456" i="29"/>
  <c r="B456" i="29"/>
  <c r="D456" i="29"/>
  <c r="AQ455" i="28"/>
  <c r="AP455" i="28"/>
  <c r="AH455" i="28"/>
  <c r="AF455" i="28"/>
  <c r="AG455" i="28"/>
  <c r="A457" i="28"/>
  <c r="E456" i="28"/>
  <c r="D456" i="28"/>
  <c r="C456" i="28"/>
  <c r="B456" i="28"/>
  <c r="AD456" i="28" l="1"/>
  <c r="AC456" i="28"/>
  <c r="AR456" i="28"/>
  <c r="AP456" i="28"/>
  <c r="AQ456" i="28"/>
  <c r="AH456" i="28"/>
  <c r="AG456" i="28"/>
  <c r="AF456" i="28"/>
  <c r="B457" i="29"/>
  <c r="C457" i="29"/>
  <c r="D457" i="29"/>
  <c r="A458" i="28"/>
  <c r="B457" i="28"/>
  <c r="E457" i="28"/>
  <c r="D457" i="28"/>
  <c r="C457" i="28"/>
  <c r="AD457" i="28" l="1"/>
  <c r="AC457" i="28"/>
  <c r="AR457" i="28"/>
  <c r="AH457" i="28"/>
  <c r="AP457" i="28"/>
  <c r="AQ457" i="28"/>
  <c r="AG457" i="28"/>
  <c r="AF457" i="28"/>
  <c r="B458" i="29"/>
  <c r="C458" i="29"/>
  <c r="D458" i="29"/>
  <c r="A459" i="28"/>
  <c r="D458" i="28"/>
  <c r="B458" i="28"/>
  <c r="E458" i="28"/>
  <c r="C458" i="28"/>
  <c r="AD458" i="28" l="1"/>
  <c r="AC458" i="28"/>
  <c r="AR458" i="28"/>
  <c r="AQ458" i="28"/>
  <c r="AP458" i="28"/>
  <c r="AH458" i="28"/>
  <c r="AF458" i="28"/>
  <c r="AG458" i="28"/>
  <c r="B459" i="29"/>
  <c r="C459" i="29"/>
  <c r="D459" i="29"/>
  <c r="D459" i="28"/>
  <c r="C459" i="28"/>
  <c r="B459" i="28"/>
  <c r="A460" i="28"/>
  <c r="E459" i="28"/>
  <c r="AD459" i="28" l="1"/>
  <c r="AC459" i="28"/>
  <c r="AR459" i="28"/>
  <c r="B460" i="29"/>
  <c r="C460" i="29"/>
  <c r="D460" i="29"/>
  <c r="AQ459" i="28"/>
  <c r="AP459" i="28"/>
  <c r="AH459" i="28"/>
  <c r="AG459" i="28"/>
  <c r="AF459" i="28"/>
  <c r="C460" i="28"/>
  <c r="B460" i="28"/>
  <c r="E460" i="28"/>
  <c r="D460" i="28"/>
  <c r="A461" i="28"/>
  <c r="AD460" i="28" l="1"/>
  <c r="AC460" i="28"/>
  <c r="AR460" i="28"/>
  <c r="B461" i="29"/>
  <c r="C461" i="29"/>
  <c r="D461" i="29"/>
  <c r="AQ460" i="28"/>
  <c r="AH460" i="28"/>
  <c r="AP460" i="28"/>
  <c r="AG460" i="28"/>
  <c r="AF460" i="28"/>
  <c r="A462" i="28"/>
  <c r="E461" i="28"/>
  <c r="D461" i="28"/>
  <c r="C461" i="28"/>
  <c r="B461" i="28"/>
  <c r="AD461" i="28" l="1"/>
  <c r="AC461" i="28"/>
  <c r="AR461" i="28"/>
  <c r="AP461" i="28"/>
  <c r="AQ461" i="28"/>
  <c r="AH461" i="28"/>
  <c r="AG461" i="28"/>
  <c r="AF461" i="28"/>
  <c r="B462" i="29"/>
  <c r="C462" i="29"/>
  <c r="D462" i="29"/>
  <c r="E462" i="28"/>
  <c r="D462" i="28"/>
  <c r="A463" i="28"/>
  <c r="C462" i="28"/>
  <c r="B462" i="28"/>
  <c r="AD462" i="28" l="1"/>
  <c r="AC462" i="28"/>
  <c r="AR462" i="28"/>
  <c r="C463" i="29"/>
  <c r="B463" i="29"/>
  <c r="D463" i="29"/>
  <c r="AP462" i="28"/>
  <c r="AQ462" i="28"/>
  <c r="AH462" i="28"/>
  <c r="AG462" i="28"/>
  <c r="AF462" i="28"/>
  <c r="E463" i="28"/>
  <c r="C463" i="28"/>
  <c r="D463" i="28"/>
  <c r="B463" i="28"/>
  <c r="A464" i="28"/>
  <c r="AD463" i="28" l="1"/>
  <c r="AC463" i="28"/>
  <c r="AR463" i="28"/>
  <c r="C464" i="29"/>
  <c r="B464" i="29"/>
  <c r="D464" i="29"/>
  <c r="AQ463" i="28"/>
  <c r="AP463" i="28"/>
  <c r="AH463" i="28"/>
  <c r="AG463" i="28"/>
  <c r="AF463" i="28"/>
  <c r="D464" i="28"/>
  <c r="E464" i="28"/>
  <c r="A465" i="28"/>
  <c r="C464" i="28"/>
  <c r="B464" i="28"/>
  <c r="AD464" i="28" l="1"/>
  <c r="AC464" i="28"/>
  <c r="AR464" i="28"/>
  <c r="B465" i="29"/>
  <c r="C465" i="29"/>
  <c r="D465" i="29"/>
  <c r="AQ464" i="28"/>
  <c r="AP464" i="28"/>
  <c r="AG464" i="28"/>
  <c r="AF464" i="28"/>
  <c r="AH464" i="28"/>
  <c r="A466" i="28"/>
  <c r="C465" i="28"/>
  <c r="B465" i="28"/>
  <c r="E465" i="28"/>
  <c r="D465" i="28"/>
  <c r="AD465" i="28" l="1"/>
  <c r="AC465" i="28"/>
  <c r="AR465" i="28"/>
  <c r="AQ465" i="28"/>
  <c r="AP465" i="28"/>
  <c r="AG465" i="28"/>
  <c r="AF465" i="28"/>
  <c r="AH465" i="28"/>
  <c r="B466" i="29"/>
  <c r="C466" i="29"/>
  <c r="D466" i="29"/>
  <c r="A467" i="28"/>
  <c r="B466" i="28"/>
  <c r="E466" i="28"/>
  <c r="D466" i="28"/>
  <c r="C466" i="28"/>
  <c r="AD466" i="28" l="1"/>
  <c r="AC466" i="28"/>
  <c r="AR466" i="28"/>
  <c r="AQ466" i="28"/>
  <c r="AP466" i="28"/>
  <c r="AH466" i="28"/>
  <c r="AG466" i="28"/>
  <c r="AF466" i="28"/>
  <c r="B467" i="29"/>
  <c r="C467" i="29"/>
  <c r="D467" i="29"/>
  <c r="C467" i="28"/>
  <c r="A468" i="28"/>
  <c r="E467" i="28"/>
  <c r="B467" i="28"/>
  <c r="D467" i="28"/>
  <c r="AD467" i="28" l="1"/>
  <c r="AC467" i="28"/>
  <c r="AR467" i="28"/>
  <c r="AQ467" i="28"/>
  <c r="AP467" i="28"/>
  <c r="AH467" i="28"/>
  <c r="AF467" i="28"/>
  <c r="AG467" i="28"/>
  <c r="B468" i="29"/>
  <c r="C468" i="29"/>
  <c r="D468" i="29"/>
  <c r="D468" i="28"/>
  <c r="C468" i="28"/>
  <c r="B468" i="28"/>
  <c r="E468" i="28"/>
  <c r="A469" i="28"/>
  <c r="AD468" i="28" l="1"/>
  <c r="AC468" i="28"/>
  <c r="AR468" i="28"/>
  <c r="B469" i="29"/>
  <c r="C469" i="29"/>
  <c r="D469" i="29"/>
  <c r="AQ468" i="28"/>
  <c r="AH468" i="28"/>
  <c r="AG468" i="28"/>
  <c r="AP468" i="28"/>
  <c r="AF468" i="28"/>
  <c r="C469" i="28"/>
  <c r="A470" i="28"/>
  <c r="B469" i="28"/>
  <c r="E469" i="28"/>
  <c r="D469" i="28"/>
  <c r="AD469" i="28" l="1"/>
  <c r="AC469" i="28"/>
  <c r="AR469" i="28"/>
  <c r="AQ469" i="28"/>
  <c r="AH469" i="28"/>
  <c r="AP469" i="28"/>
  <c r="AG469" i="28"/>
  <c r="AF469" i="28"/>
  <c r="B470" i="29"/>
  <c r="C470" i="29"/>
  <c r="D470" i="29"/>
  <c r="A471" i="28"/>
  <c r="E470" i="28"/>
  <c r="D470" i="28"/>
  <c r="C470" i="28"/>
  <c r="B470" i="28"/>
  <c r="AD470" i="28" l="1"/>
  <c r="AC470" i="28"/>
  <c r="AR470" i="28"/>
  <c r="AQ470" i="28"/>
  <c r="AP470" i="28"/>
  <c r="AH470" i="28"/>
  <c r="AF470" i="28"/>
  <c r="AG470" i="28"/>
  <c r="B471" i="29"/>
  <c r="C471" i="29"/>
  <c r="D471" i="29"/>
  <c r="E471" i="28"/>
  <c r="D471" i="28"/>
  <c r="C471" i="28"/>
  <c r="A472" i="28"/>
  <c r="B471" i="28"/>
  <c r="AD471" i="28" l="1"/>
  <c r="AC471" i="28"/>
  <c r="AR471" i="28"/>
  <c r="B472" i="29"/>
  <c r="C472" i="29"/>
  <c r="D472" i="29"/>
  <c r="AQ471" i="28"/>
  <c r="AP471" i="28"/>
  <c r="AH471" i="28"/>
  <c r="AG471" i="28"/>
  <c r="AF471" i="28"/>
  <c r="A473" i="28"/>
  <c r="B472" i="28"/>
  <c r="C472" i="28"/>
  <c r="E472" i="28"/>
  <c r="D472" i="28"/>
  <c r="AD472" i="28" l="1"/>
  <c r="AC472" i="28"/>
  <c r="AR472" i="28"/>
  <c r="AQ472" i="28"/>
  <c r="AH472" i="28"/>
  <c r="AP472" i="28"/>
  <c r="AG472" i="28"/>
  <c r="AF472" i="28"/>
  <c r="B473" i="29"/>
  <c r="C473" i="29"/>
  <c r="D473" i="29"/>
  <c r="C473" i="28"/>
  <c r="B473" i="28"/>
  <c r="D473" i="28"/>
  <c r="A474" i="28"/>
  <c r="E473" i="28"/>
  <c r="AD473" i="28" l="1"/>
  <c r="AC473" i="28"/>
  <c r="AR473" i="28"/>
  <c r="B474" i="29"/>
  <c r="C474" i="29"/>
  <c r="D474" i="29"/>
  <c r="AP473" i="28"/>
  <c r="AQ473" i="28"/>
  <c r="AH473" i="28"/>
  <c r="AG473" i="28"/>
  <c r="AF473" i="28"/>
  <c r="B474" i="28"/>
  <c r="E474" i="28"/>
  <c r="D474" i="28"/>
  <c r="C474" i="28"/>
  <c r="A475" i="28"/>
  <c r="AD474" i="28" l="1"/>
  <c r="AC474" i="28"/>
  <c r="AR474" i="28"/>
  <c r="C475" i="29"/>
  <c r="B475" i="29"/>
  <c r="D475" i="29"/>
  <c r="AQ474" i="28"/>
  <c r="AH474" i="28"/>
  <c r="AP474" i="28"/>
  <c r="AG474" i="28"/>
  <c r="AF474" i="28"/>
  <c r="E475" i="28"/>
  <c r="D475" i="28"/>
  <c r="C475" i="28"/>
  <c r="B475" i="28"/>
  <c r="A476" i="28"/>
  <c r="AD475" i="28" l="1"/>
  <c r="AC475" i="28"/>
  <c r="AR475" i="28"/>
  <c r="C476" i="29"/>
  <c r="D476" i="29"/>
  <c r="B476" i="29"/>
  <c r="AQ475" i="28"/>
  <c r="AH475" i="28"/>
  <c r="AP475" i="28"/>
  <c r="AG475" i="28"/>
  <c r="AF475" i="28"/>
  <c r="D476" i="28"/>
  <c r="A477" i="28"/>
  <c r="E476" i="28"/>
  <c r="C476" i="28"/>
  <c r="B476" i="28"/>
  <c r="AD476" i="28" l="1"/>
  <c r="AC476" i="28"/>
  <c r="AR476" i="28"/>
  <c r="B477" i="29"/>
  <c r="D477" i="29"/>
  <c r="C477" i="29"/>
  <c r="AP476" i="28"/>
  <c r="AQ476" i="28"/>
  <c r="AH476" i="28"/>
  <c r="AF476" i="28"/>
  <c r="AG476" i="28"/>
  <c r="A478" i="28"/>
  <c r="E477" i="28"/>
  <c r="D477" i="28"/>
  <c r="B477" i="28"/>
  <c r="C477" i="28"/>
  <c r="AD477" i="28" l="1"/>
  <c r="AC477" i="28"/>
  <c r="AR477" i="28"/>
  <c r="AP477" i="28"/>
  <c r="AQ477" i="28"/>
  <c r="AH477" i="28"/>
  <c r="AF477" i="28"/>
  <c r="AG477" i="28"/>
  <c r="B478" i="29"/>
  <c r="C478" i="29"/>
  <c r="D478" i="29"/>
  <c r="A479" i="28"/>
  <c r="B478" i="28"/>
  <c r="C478" i="28"/>
  <c r="E478" i="28"/>
  <c r="D478" i="28"/>
  <c r="AD478" i="28" l="1"/>
  <c r="AC478" i="28"/>
  <c r="AR478" i="28"/>
  <c r="AQ478" i="28"/>
  <c r="AP478" i="28"/>
  <c r="AG478" i="28"/>
  <c r="AH478" i="28"/>
  <c r="AF478" i="28"/>
  <c r="B479" i="29"/>
  <c r="C479" i="29"/>
  <c r="D479" i="29"/>
  <c r="E479" i="28"/>
  <c r="D479" i="28"/>
  <c r="A480" i="28"/>
  <c r="C479" i="28"/>
  <c r="B479" i="28"/>
  <c r="AD479" i="28" l="1"/>
  <c r="AC479" i="28"/>
  <c r="AR479" i="28"/>
  <c r="B480" i="29"/>
  <c r="C480" i="29"/>
  <c r="D480" i="29"/>
  <c r="AQ479" i="28"/>
  <c r="AP479" i="28"/>
  <c r="AF479" i="28"/>
  <c r="AG479" i="28"/>
  <c r="AH479" i="28"/>
  <c r="D480" i="28"/>
  <c r="C480" i="28"/>
  <c r="B480" i="28"/>
  <c r="E480" i="28"/>
  <c r="A481" i="28"/>
  <c r="AD480" i="28" l="1"/>
  <c r="AC480" i="28"/>
  <c r="AR480" i="28"/>
  <c r="B481" i="29"/>
  <c r="C481" i="29"/>
  <c r="D481" i="29"/>
  <c r="AQ480" i="28"/>
  <c r="AP480" i="28"/>
  <c r="AH480" i="28"/>
  <c r="AG480" i="28"/>
  <c r="AF480" i="28"/>
  <c r="C481" i="28"/>
  <c r="E481" i="28"/>
  <c r="D481" i="28"/>
  <c r="B481" i="28"/>
  <c r="A482" i="28"/>
  <c r="AD481" i="28" l="1"/>
  <c r="AC481" i="28"/>
  <c r="AR481" i="28"/>
  <c r="B482" i="29"/>
  <c r="C482" i="29"/>
  <c r="D482" i="29"/>
  <c r="AH481" i="28"/>
  <c r="AP481" i="28"/>
  <c r="AQ481" i="28"/>
  <c r="AG481" i="28"/>
  <c r="AF481" i="28"/>
  <c r="A483" i="28"/>
  <c r="E482" i="28"/>
  <c r="D482" i="28"/>
  <c r="C482" i="28"/>
  <c r="B482" i="28"/>
  <c r="AD482" i="28" l="1"/>
  <c r="AC482" i="28"/>
  <c r="AR482" i="28"/>
  <c r="AQ482" i="28"/>
  <c r="AH482" i="28"/>
  <c r="AP482" i="28"/>
  <c r="AF482" i="28"/>
  <c r="AG482" i="28"/>
  <c r="B483" i="29"/>
  <c r="C483" i="29"/>
  <c r="D483" i="29"/>
  <c r="E483" i="28"/>
  <c r="B483" i="28"/>
  <c r="A484" i="28"/>
  <c r="D483" i="28"/>
  <c r="C483" i="28"/>
  <c r="AD483" i="28" l="1"/>
  <c r="AC483" i="28"/>
  <c r="AR483" i="28"/>
  <c r="AP483" i="28"/>
  <c r="AQ483" i="28"/>
  <c r="AH483" i="28"/>
  <c r="AF483" i="28"/>
  <c r="AG483" i="28"/>
  <c r="B484" i="29"/>
  <c r="C484" i="29"/>
  <c r="D484" i="29"/>
  <c r="A485" i="28"/>
  <c r="E484" i="28"/>
  <c r="D484" i="28"/>
  <c r="C484" i="28"/>
  <c r="B484" i="28"/>
  <c r="AD484" i="28" l="1"/>
  <c r="AC484" i="28"/>
  <c r="AR484" i="28"/>
  <c r="AQ484" i="28"/>
  <c r="AH484" i="28"/>
  <c r="AP484" i="28"/>
  <c r="AF484" i="28"/>
  <c r="AG484" i="28"/>
  <c r="B485" i="29"/>
  <c r="C485" i="29"/>
  <c r="D485" i="29"/>
  <c r="C485" i="28"/>
  <c r="B485" i="28"/>
  <c r="D485" i="28"/>
  <c r="A486" i="28"/>
  <c r="E485" i="28"/>
  <c r="AD485" i="28" l="1"/>
  <c r="AC485" i="28"/>
  <c r="AR485" i="28"/>
  <c r="B486" i="29"/>
  <c r="C486" i="29"/>
  <c r="D486" i="29"/>
  <c r="AP485" i="28"/>
  <c r="AQ485" i="28"/>
  <c r="AH485" i="28"/>
  <c r="AG485" i="28"/>
  <c r="AF485" i="28"/>
  <c r="B486" i="28"/>
  <c r="D486" i="28"/>
  <c r="C486" i="28"/>
  <c r="E486" i="28"/>
  <c r="A487" i="28"/>
  <c r="AD486" i="28" l="1"/>
  <c r="AC486" i="28"/>
  <c r="AR486" i="28"/>
  <c r="B487" i="29"/>
  <c r="C487" i="29"/>
  <c r="D487" i="29"/>
  <c r="AP486" i="28"/>
  <c r="AH486" i="28"/>
  <c r="AQ486" i="28"/>
  <c r="AG486" i="28"/>
  <c r="AF486" i="28"/>
  <c r="E487" i="28"/>
  <c r="D487" i="28"/>
  <c r="C487" i="28"/>
  <c r="A488" i="28"/>
  <c r="B487" i="28"/>
  <c r="AD487" i="28" l="1"/>
  <c r="AC487" i="28"/>
  <c r="AR487" i="28"/>
  <c r="B488" i="29"/>
  <c r="C488" i="29"/>
  <c r="D488" i="29"/>
  <c r="AQ487" i="28"/>
  <c r="AP487" i="28"/>
  <c r="AG487" i="28"/>
  <c r="AH487" i="28"/>
  <c r="AF487" i="28"/>
  <c r="D488" i="28"/>
  <c r="A489" i="28"/>
  <c r="C488" i="28"/>
  <c r="E488" i="28"/>
  <c r="B488" i="28"/>
  <c r="AD488" i="28" l="1"/>
  <c r="AC488" i="28"/>
  <c r="AR488" i="28"/>
  <c r="B489" i="29"/>
  <c r="D489" i="29"/>
  <c r="C489" i="29"/>
  <c r="AQ488" i="28"/>
  <c r="AP488" i="28"/>
  <c r="AH488" i="28"/>
  <c r="AG488" i="28"/>
  <c r="AF488" i="28"/>
  <c r="A490" i="28"/>
  <c r="E489" i="28"/>
  <c r="D489" i="28"/>
  <c r="C489" i="28"/>
  <c r="B489" i="28"/>
  <c r="AD489" i="28" l="1"/>
  <c r="AC489" i="28"/>
  <c r="AR489" i="28"/>
  <c r="AP489" i="28"/>
  <c r="AQ489" i="28"/>
  <c r="AH489" i="28"/>
  <c r="AF489" i="28"/>
  <c r="AG489" i="28"/>
  <c r="B490" i="29"/>
  <c r="C490" i="29"/>
  <c r="D490" i="29"/>
  <c r="A491" i="28"/>
  <c r="B490" i="28"/>
  <c r="C490" i="28"/>
  <c r="E490" i="28"/>
  <c r="D490" i="28"/>
  <c r="AD490" i="28" l="1"/>
  <c r="AC490" i="28"/>
  <c r="AR490" i="28"/>
  <c r="AQ490" i="28"/>
  <c r="AP490" i="28"/>
  <c r="AH490" i="28"/>
  <c r="AG490" i="28"/>
  <c r="AF490" i="28"/>
  <c r="B491" i="29"/>
  <c r="C491" i="29"/>
  <c r="D491" i="29"/>
  <c r="C491" i="28"/>
  <c r="B491" i="28"/>
  <c r="A492" i="28"/>
  <c r="D491" i="28"/>
  <c r="E491" i="28"/>
  <c r="AD491" i="28" l="1"/>
  <c r="AC491" i="28"/>
  <c r="AR491" i="28"/>
  <c r="AP491" i="28"/>
  <c r="AQ491" i="28"/>
  <c r="AH491" i="28"/>
  <c r="AF491" i="28"/>
  <c r="AG491" i="28"/>
  <c r="C492" i="29"/>
  <c r="B492" i="29"/>
  <c r="D492" i="29"/>
  <c r="D492" i="28"/>
  <c r="C492" i="28"/>
  <c r="B492" i="28"/>
  <c r="A493" i="28"/>
  <c r="E492" i="28"/>
  <c r="AD492" i="28" l="1"/>
  <c r="AC492" i="28"/>
  <c r="AR492" i="28"/>
  <c r="B493" i="29"/>
  <c r="C493" i="29"/>
  <c r="D493" i="29"/>
  <c r="AQ492" i="28"/>
  <c r="AP492" i="28"/>
  <c r="AH492" i="28"/>
  <c r="AG492" i="28"/>
  <c r="AF492" i="28"/>
  <c r="A494" i="28"/>
  <c r="C493" i="28"/>
  <c r="E493" i="28"/>
  <c r="B493" i="28"/>
  <c r="D493" i="28"/>
  <c r="AD493" i="28" l="1"/>
  <c r="AC493" i="28"/>
  <c r="AR493" i="28"/>
  <c r="AQ493" i="28"/>
  <c r="AH493" i="28"/>
  <c r="AP493" i="28"/>
  <c r="AG493" i="28"/>
  <c r="AF493" i="28"/>
  <c r="B494" i="29"/>
  <c r="C494" i="29"/>
  <c r="D494" i="29"/>
  <c r="A495" i="28"/>
  <c r="E494" i="28"/>
  <c r="D494" i="28"/>
  <c r="C494" i="28"/>
  <c r="B494" i="28"/>
  <c r="AD494" i="28" l="1"/>
  <c r="AC494" i="28"/>
  <c r="AR494" i="28"/>
  <c r="AQ494" i="28"/>
  <c r="AP494" i="28"/>
  <c r="AH494" i="28"/>
  <c r="AF494" i="28"/>
  <c r="AG494" i="28"/>
  <c r="B495" i="29"/>
  <c r="C495" i="29"/>
  <c r="D495" i="29"/>
  <c r="E495" i="28"/>
  <c r="B495" i="28"/>
  <c r="D495" i="28"/>
  <c r="A496" i="28"/>
  <c r="C495" i="28"/>
  <c r="AD495" i="28" l="1"/>
  <c r="AC495" i="28"/>
  <c r="AR495" i="28"/>
  <c r="B496" i="29"/>
  <c r="C496" i="29"/>
  <c r="D496" i="29"/>
  <c r="AQ495" i="28"/>
  <c r="AP495" i="28"/>
  <c r="AH495" i="28"/>
  <c r="AG495" i="28"/>
  <c r="AF495" i="28"/>
  <c r="C496" i="28"/>
  <c r="A497" i="28"/>
  <c r="E496" i="28"/>
  <c r="D496" i="28"/>
  <c r="B496" i="28"/>
  <c r="AD496" i="28" l="1"/>
  <c r="AC496" i="28"/>
  <c r="AR496" i="28"/>
  <c r="AQ496" i="28"/>
  <c r="AH496" i="28"/>
  <c r="AP496" i="28"/>
  <c r="AG496" i="28"/>
  <c r="AF496" i="28"/>
  <c r="B497" i="29"/>
  <c r="C497" i="29"/>
  <c r="D497" i="29"/>
  <c r="C497" i="28"/>
  <c r="B497" i="28"/>
  <c r="E497" i="28"/>
  <c r="D497" i="28"/>
  <c r="A498" i="28"/>
  <c r="AD497" i="28" l="1"/>
  <c r="AC497" i="28"/>
  <c r="AR497" i="28"/>
  <c r="B498" i="29"/>
  <c r="C498" i="29"/>
  <c r="D498" i="29"/>
  <c r="AP497" i="28"/>
  <c r="AQ497" i="28"/>
  <c r="AH497" i="28"/>
  <c r="AG497" i="28"/>
  <c r="AF497" i="28"/>
  <c r="E498" i="28"/>
  <c r="B498" i="28"/>
  <c r="C498" i="28"/>
  <c r="A499" i="28"/>
  <c r="D498" i="28"/>
  <c r="AD498" i="28" l="1"/>
  <c r="AC498" i="28"/>
  <c r="AR498" i="28"/>
  <c r="AP498" i="28"/>
  <c r="AH498" i="28"/>
  <c r="AQ498" i="28"/>
  <c r="AG498" i="28"/>
  <c r="AF498" i="28"/>
  <c r="B499" i="29"/>
  <c r="C499" i="29"/>
  <c r="D499" i="29"/>
  <c r="E499" i="28"/>
  <c r="D499" i="28"/>
  <c r="C499" i="28"/>
  <c r="A500" i="28"/>
  <c r="B499" i="28"/>
  <c r="AD499" i="28" l="1"/>
  <c r="AC499" i="28"/>
  <c r="AR499" i="28"/>
  <c r="B500" i="29"/>
  <c r="C500" i="29"/>
  <c r="D500" i="29"/>
  <c r="AQ499" i="28"/>
  <c r="AP499" i="28"/>
  <c r="AH499" i="28"/>
  <c r="AG499" i="28"/>
  <c r="AF499" i="28"/>
  <c r="D500" i="28"/>
  <c r="C500" i="28"/>
  <c r="B500" i="28"/>
  <c r="E500" i="28"/>
  <c r="A501" i="28"/>
  <c r="AD500" i="28" l="1"/>
  <c r="AC500" i="28"/>
  <c r="AR500" i="28"/>
  <c r="B501" i="29"/>
  <c r="D501" i="29"/>
  <c r="C501" i="29"/>
  <c r="AQ500" i="28"/>
  <c r="AP500" i="28"/>
  <c r="AH500" i="28"/>
  <c r="AG500" i="28"/>
  <c r="AF500" i="28"/>
  <c r="B501" i="28"/>
  <c r="A502" i="28"/>
  <c r="E501" i="28"/>
  <c r="D501" i="28"/>
  <c r="C501" i="28"/>
  <c r="AD501" i="28" l="1"/>
  <c r="AC501" i="28"/>
  <c r="AR501" i="28"/>
  <c r="AP501" i="28"/>
  <c r="AQ501" i="28"/>
  <c r="AH501" i="28"/>
  <c r="AG501" i="28"/>
  <c r="AF501" i="28"/>
  <c r="B502" i="29"/>
  <c r="C502" i="29"/>
  <c r="D502" i="29"/>
  <c r="A503" i="28"/>
  <c r="B502" i="28"/>
  <c r="D502" i="28"/>
  <c r="C502" i="28"/>
  <c r="E502" i="28"/>
  <c r="AD502" i="28" l="1"/>
  <c r="AC502" i="28"/>
  <c r="AR502" i="28"/>
  <c r="AQ502" i="28"/>
  <c r="AP502" i="28"/>
  <c r="AH502" i="28"/>
  <c r="AG502" i="28"/>
  <c r="AF502" i="28"/>
  <c r="B503" i="29"/>
  <c r="C503" i="29"/>
  <c r="D503" i="29"/>
  <c r="D503" i="28"/>
  <c r="B503" i="28"/>
  <c r="A504" i="28"/>
  <c r="C503" i="28"/>
  <c r="E503" i="28"/>
  <c r="AD503" i="28" l="1"/>
  <c r="AC503" i="28"/>
  <c r="AR503" i="28"/>
  <c r="C504" i="29"/>
  <c r="B504" i="29"/>
  <c r="D504" i="29"/>
  <c r="AQ503" i="28"/>
  <c r="AH503" i="28"/>
  <c r="AF503" i="28"/>
  <c r="AG503" i="28"/>
  <c r="AP503" i="28"/>
  <c r="D504" i="28"/>
  <c r="C504" i="28"/>
  <c r="B504" i="28"/>
  <c r="E504" i="28"/>
  <c r="A505" i="28"/>
  <c r="AD504" i="28" l="1"/>
  <c r="AC504" i="28"/>
  <c r="AR504" i="28"/>
  <c r="B505" i="29"/>
  <c r="C505" i="29"/>
  <c r="D505" i="29"/>
  <c r="AQ504" i="28"/>
  <c r="AP504" i="28"/>
  <c r="AG504" i="28"/>
  <c r="AH504" i="28"/>
  <c r="AF504" i="28"/>
  <c r="A506" i="28"/>
  <c r="C505" i="28"/>
  <c r="E505" i="28"/>
  <c r="D505" i="28"/>
  <c r="B505" i="28"/>
  <c r="AD505" i="28" l="1"/>
  <c r="AC505" i="28"/>
  <c r="AR505" i="28"/>
  <c r="AP505" i="28"/>
  <c r="AH505" i="28"/>
  <c r="AQ505" i="28"/>
  <c r="AG505" i="28"/>
  <c r="AF505" i="28"/>
  <c r="B506" i="29"/>
  <c r="C506" i="29"/>
  <c r="D506" i="29"/>
  <c r="A507" i="28"/>
  <c r="E506" i="28"/>
  <c r="D506" i="28"/>
  <c r="B506" i="28"/>
  <c r="C506" i="28"/>
  <c r="AD506" i="28" l="1"/>
  <c r="AC506" i="28"/>
  <c r="AR506" i="28"/>
  <c r="AQ506" i="28"/>
  <c r="AP506" i="28"/>
  <c r="AH506" i="28"/>
  <c r="AF506" i="28"/>
  <c r="AG506" i="28"/>
  <c r="B507" i="29"/>
  <c r="C507" i="29"/>
  <c r="D507" i="29"/>
  <c r="E507" i="28"/>
  <c r="C507" i="28"/>
  <c r="B507" i="28"/>
  <c r="A508" i="28"/>
  <c r="D507" i="28"/>
  <c r="AD507" i="28" l="1"/>
  <c r="AC507" i="28"/>
  <c r="AR507" i="28"/>
  <c r="AP507" i="28"/>
  <c r="AQ507" i="28"/>
  <c r="AF507" i="28"/>
  <c r="AG507" i="28"/>
  <c r="AH507" i="28"/>
  <c r="B508" i="29"/>
  <c r="C508" i="29"/>
  <c r="D508" i="29"/>
  <c r="E508" i="28"/>
  <c r="B508" i="28"/>
  <c r="C508" i="28"/>
  <c r="A509" i="28"/>
  <c r="D508" i="28"/>
  <c r="AD508" i="28" l="1"/>
  <c r="AC508" i="28"/>
  <c r="AR508" i="28"/>
  <c r="AQ508" i="28"/>
  <c r="AP508" i="28"/>
  <c r="AH508" i="28"/>
  <c r="AF508" i="28"/>
  <c r="AG508" i="28"/>
  <c r="B509" i="29"/>
  <c r="C509" i="29"/>
  <c r="D509" i="29"/>
  <c r="A510" i="28"/>
  <c r="D509" i="28"/>
  <c r="B509" i="28"/>
  <c r="E509" i="28"/>
  <c r="C509" i="28"/>
  <c r="AD509" i="28" l="1"/>
  <c r="AC509" i="28"/>
  <c r="AR509" i="28"/>
  <c r="AQ509" i="28"/>
  <c r="AP509" i="28"/>
  <c r="AG509" i="28"/>
  <c r="AF509" i="28"/>
  <c r="AH509" i="28"/>
  <c r="B510" i="29"/>
  <c r="C510" i="29"/>
  <c r="D510" i="29"/>
  <c r="B510" i="28"/>
  <c r="C510" i="28"/>
  <c r="A511" i="28"/>
  <c r="E510" i="28"/>
  <c r="D510" i="28"/>
  <c r="AD510" i="28" l="1"/>
  <c r="AC510" i="28"/>
  <c r="AR510" i="28"/>
  <c r="AQ510" i="28"/>
  <c r="AP510" i="28"/>
  <c r="AH510" i="28"/>
  <c r="AG510" i="28"/>
  <c r="AF510" i="28"/>
  <c r="B511" i="29"/>
  <c r="C511" i="29"/>
  <c r="D511" i="29"/>
  <c r="E511" i="28"/>
  <c r="D511" i="28"/>
  <c r="B511" i="28"/>
  <c r="A512" i="28"/>
  <c r="C511" i="28"/>
  <c r="AD511" i="28" l="1"/>
  <c r="AC511" i="28"/>
  <c r="AR511" i="28"/>
  <c r="B512" i="29"/>
  <c r="C512" i="29"/>
  <c r="D512" i="29"/>
  <c r="AH511" i="28"/>
  <c r="AQ511" i="28"/>
  <c r="AP511" i="28"/>
  <c r="AG511" i="28"/>
  <c r="AF511" i="28"/>
  <c r="D512" i="28"/>
  <c r="B512" i="28"/>
  <c r="E512" i="28"/>
  <c r="C512" i="28"/>
  <c r="A513" i="28"/>
  <c r="AD512" i="28" l="1"/>
  <c r="AC512" i="28"/>
  <c r="AR512" i="28"/>
  <c r="B513" i="29"/>
  <c r="C513" i="29"/>
  <c r="D513" i="29"/>
  <c r="AQ512" i="28"/>
  <c r="AP512" i="28"/>
  <c r="AH512" i="28"/>
  <c r="AG512" i="28"/>
  <c r="AF512" i="28"/>
  <c r="A514" i="28"/>
  <c r="D513" i="28"/>
  <c r="B513" i="28"/>
  <c r="C513" i="28"/>
  <c r="E513" i="28"/>
  <c r="AD513" i="28" l="1"/>
  <c r="AC513" i="28"/>
  <c r="AR513" i="28"/>
  <c r="AQ513" i="28"/>
  <c r="AP513" i="28"/>
  <c r="AH513" i="28"/>
  <c r="AG513" i="28"/>
  <c r="AF513" i="28"/>
  <c r="B514" i="29"/>
  <c r="C514" i="29"/>
  <c r="D514" i="29"/>
  <c r="A515" i="28"/>
  <c r="B514" i="28"/>
  <c r="E514" i="28"/>
  <c r="C514" i="28"/>
  <c r="D514" i="28"/>
  <c r="AD514" i="28" l="1"/>
  <c r="AC514" i="28"/>
  <c r="AR514" i="28"/>
  <c r="AQ514" i="28"/>
  <c r="AP514" i="28"/>
  <c r="AH514" i="28"/>
  <c r="AG514" i="28"/>
  <c r="AF514" i="28"/>
  <c r="B515" i="29"/>
  <c r="C515" i="29"/>
  <c r="D515" i="29"/>
  <c r="A516" i="28"/>
  <c r="C515" i="28"/>
  <c r="B515" i="28"/>
  <c r="E515" i="28"/>
  <c r="D515" i="28"/>
  <c r="AD515" i="28" l="1"/>
  <c r="AC515" i="28"/>
  <c r="AR515" i="28"/>
  <c r="AQ515" i="28"/>
  <c r="AP515" i="28"/>
  <c r="AF515" i="28"/>
  <c r="AG515" i="28"/>
  <c r="AH515" i="28"/>
  <c r="C516" i="29"/>
  <c r="B516" i="29"/>
  <c r="D516" i="29"/>
  <c r="D516" i="28"/>
  <c r="C516" i="28"/>
  <c r="A517" i="28"/>
  <c r="B516" i="28"/>
  <c r="E516" i="28"/>
  <c r="AD516" i="28" l="1"/>
  <c r="AC516" i="28"/>
  <c r="AR516" i="28"/>
  <c r="B517" i="29"/>
  <c r="C517" i="29"/>
  <c r="D517" i="29"/>
  <c r="AQ516" i="28"/>
  <c r="AH516" i="28"/>
  <c r="AP516" i="28"/>
  <c r="AG516" i="28"/>
  <c r="AF516" i="28"/>
  <c r="C517" i="28"/>
  <c r="E517" i="28"/>
  <c r="A518" i="28"/>
  <c r="D517" i="28"/>
  <c r="B517" i="28"/>
  <c r="AD517" i="28" l="1"/>
  <c r="AC517" i="28"/>
  <c r="AR517" i="28"/>
  <c r="AQ517" i="28"/>
  <c r="AH517" i="28"/>
  <c r="AP517" i="28"/>
  <c r="AG517" i="28"/>
  <c r="AF517" i="28"/>
  <c r="B518" i="29"/>
  <c r="C518" i="29"/>
  <c r="D518" i="29"/>
  <c r="A519" i="28"/>
  <c r="E518" i="28"/>
  <c r="C518" i="28"/>
  <c r="D518" i="28"/>
  <c r="B518" i="28"/>
  <c r="AD518" i="28" l="1"/>
  <c r="AC518" i="28"/>
  <c r="AR518" i="28"/>
  <c r="AQ518" i="28"/>
  <c r="AH518" i="28"/>
  <c r="AF518" i="28"/>
  <c r="AP518" i="28"/>
  <c r="AG518" i="28"/>
  <c r="B519" i="29"/>
  <c r="C519" i="29"/>
  <c r="D519" i="29"/>
  <c r="E519" i="28"/>
  <c r="D519" i="28"/>
  <c r="A520" i="28"/>
  <c r="C519" i="28"/>
  <c r="B519" i="28"/>
  <c r="AD519" i="28" l="1"/>
  <c r="AC519" i="28"/>
  <c r="AR519" i="28"/>
  <c r="B520" i="29"/>
  <c r="C520" i="29"/>
  <c r="D520" i="29"/>
  <c r="AP519" i="28"/>
  <c r="AQ519" i="28"/>
  <c r="AH519" i="28"/>
  <c r="AF519" i="28"/>
  <c r="AG519" i="28"/>
  <c r="A521" i="28"/>
  <c r="E520" i="28"/>
  <c r="D520" i="28"/>
  <c r="B520" i="28"/>
  <c r="C520" i="28"/>
  <c r="AD520" i="28" l="1"/>
  <c r="AC520" i="28"/>
  <c r="AR520" i="28"/>
  <c r="AQ520" i="28"/>
  <c r="AP520" i="28"/>
  <c r="AH520" i="28"/>
  <c r="AF520" i="28"/>
  <c r="AG520" i="28"/>
  <c r="B521" i="29"/>
  <c r="D521" i="29"/>
  <c r="C521" i="29"/>
  <c r="C521" i="28"/>
  <c r="B521" i="28"/>
  <c r="E521" i="28"/>
  <c r="D521" i="28"/>
  <c r="A522" i="28"/>
  <c r="AD521" i="28" l="1"/>
  <c r="AC521" i="28"/>
  <c r="AR521" i="28"/>
  <c r="B522" i="29"/>
  <c r="C522" i="29"/>
  <c r="D522" i="29"/>
  <c r="AP521" i="28"/>
  <c r="AQ521" i="28"/>
  <c r="AG521" i="28"/>
  <c r="AH521" i="28"/>
  <c r="AF521" i="28"/>
  <c r="B522" i="28"/>
  <c r="C522" i="28"/>
  <c r="A523" i="28"/>
  <c r="D522" i="28"/>
  <c r="E522" i="28"/>
  <c r="AD522" i="28" l="1"/>
  <c r="AC522" i="28"/>
  <c r="AR522" i="28"/>
  <c r="AP522" i="28"/>
  <c r="AQ522" i="28"/>
  <c r="AG522" i="28"/>
  <c r="AH522" i="28"/>
  <c r="AF522" i="28"/>
  <c r="B523" i="29"/>
  <c r="D523" i="29"/>
  <c r="C523" i="29"/>
  <c r="E523" i="28"/>
  <c r="D523" i="28"/>
  <c r="C523" i="28"/>
  <c r="B523" i="28"/>
  <c r="A524" i="28"/>
  <c r="AD523" i="28" l="1"/>
  <c r="AC523" i="28"/>
  <c r="AR523" i="28"/>
  <c r="B524" i="29"/>
  <c r="C524" i="29"/>
  <c r="D524" i="29"/>
  <c r="AQ523" i="28"/>
  <c r="AP523" i="28"/>
  <c r="AH523" i="28"/>
  <c r="AG523" i="28"/>
  <c r="AF523" i="28"/>
  <c r="D524" i="28"/>
  <c r="B524" i="28"/>
  <c r="A525" i="28"/>
  <c r="C524" i="28"/>
  <c r="E524" i="28"/>
  <c r="AD524" i="28" l="1"/>
  <c r="AC524" i="28"/>
  <c r="AR524" i="28"/>
  <c r="B525" i="29"/>
  <c r="D525" i="29"/>
  <c r="C525" i="29"/>
  <c r="AQ524" i="28"/>
  <c r="AP524" i="28"/>
  <c r="AH524" i="28"/>
  <c r="AF524" i="28"/>
  <c r="AG524" i="28"/>
  <c r="A526" i="28"/>
  <c r="E525" i="28"/>
  <c r="D525" i="28"/>
  <c r="C525" i="28"/>
  <c r="B525" i="28"/>
  <c r="AD525" i="28" l="1"/>
  <c r="AC525" i="28"/>
  <c r="AR525" i="28"/>
  <c r="AP525" i="28"/>
  <c r="AQ525" i="28"/>
  <c r="AH525" i="28"/>
  <c r="AF525" i="28"/>
  <c r="AG525" i="28"/>
  <c r="B526" i="29"/>
  <c r="C526" i="29"/>
  <c r="D526" i="29"/>
  <c r="A527" i="28"/>
  <c r="B526" i="28"/>
  <c r="E526" i="28"/>
  <c r="D526" i="28"/>
  <c r="C526" i="28"/>
  <c r="AD526" i="28" l="1"/>
  <c r="AC526" i="28"/>
  <c r="AR526" i="28"/>
  <c r="AQ526" i="28"/>
  <c r="AP526" i="28"/>
  <c r="AH526" i="28"/>
  <c r="AG526" i="28"/>
  <c r="AF526" i="28"/>
  <c r="B527" i="29"/>
  <c r="C527" i="29"/>
  <c r="D527" i="29"/>
  <c r="A528" i="28"/>
  <c r="B527" i="28"/>
  <c r="D527" i="28"/>
  <c r="E527" i="28"/>
  <c r="C527" i="28"/>
  <c r="AD527" i="28" l="1"/>
  <c r="AC527" i="28"/>
  <c r="AR527" i="28"/>
  <c r="AQ527" i="28"/>
  <c r="AP527" i="28"/>
  <c r="AH527" i="28"/>
  <c r="AF527" i="28"/>
  <c r="AG527" i="28"/>
  <c r="B528" i="29"/>
  <c r="C528" i="29"/>
  <c r="D528" i="29"/>
  <c r="D528" i="28"/>
  <c r="C528" i="28"/>
  <c r="B528" i="28"/>
  <c r="A529" i="28"/>
  <c r="E528" i="28"/>
  <c r="AD528" i="28" l="1"/>
  <c r="AC528" i="28"/>
  <c r="AR528" i="28"/>
  <c r="B529" i="29"/>
  <c r="C529" i="29"/>
  <c r="D529" i="29"/>
  <c r="AP528" i="28"/>
  <c r="AQ528" i="28"/>
  <c r="AG528" i="28"/>
  <c r="AH528" i="28"/>
  <c r="AF528" i="28"/>
  <c r="C529" i="28"/>
  <c r="E529" i="28"/>
  <c r="D529" i="28"/>
  <c r="B529" i="28"/>
  <c r="A530" i="28"/>
  <c r="AD529" i="28" l="1"/>
  <c r="AC529" i="28"/>
  <c r="AR529" i="28"/>
  <c r="B530" i="29"/>
  <c r="C530" i="29"/>
  <c r="D530" i="29"/>
  <c r="AP529" i="28"/>
  <c r="AQ529" i="28"/>
  <c r="AH529" i="28"/>
  <c r="AG529" i="28"/>
  <c r="AF529" i="28"/>
  <c r="A531" i="28"/>
  <c r="E530" i="28"/>
  <c r="D530" i="28"/>
  <c r="C530" i="28"/>
  <c r="B530" i="28"/>
  <c r="AD530" i="28" l="1"/>
  <c r="AC530" i="28"/>
  <c r="AR530" i="28"/>
  <c r="AQ530" i="28"/>
  <c r="AP530" i="28"/>
  <c r="AH530" i="28"/>
  <c r="AF530" i="28"/>
  <c r="AG530" i="28"/>
  <c r="B531" i="29"/>
  <c r="C531" i="29"/>
  <c r="D531" i="29"/>
  <c r="E531" i="28"/>
  <c r="A532" i="28"/>
  <c r="D531" i="28"/>
  <c r="C531" i="28"/>
  <c r="B531" i="28"/>
  <c r="AD531" i="28" l="1"/>
  <c r="AC531" i="28"/>
  <c r="AR531" i="28"/>
  <c r="AQ531" i="28"/>
  <c r="AP531" i="28"/>
  <c r="AH531" i="28"/>
  <c r="AG531" i="28"/>
  <c r="AF531" i="28"/>
  <c r="B532" i="29"/>
  <c r="C532" i="29"/>
  <c r="D532" i="29"/>
  <c r="A533" i="28"/>
  <c r="E532" i="28"/>
  <c r="C532" i="28"/>
  <c r="B532" i="28"/>
  <c r="D532" i="28"/>
  <c r="AD532" i="28" l="1"/>
  <c r="AC532" i="28"/>
  <c r="AR532" i="28"/>
  <c r="AQ532" i="28"/>
  <c r="AP532" i="28"/>
  <c r="AH532" i="28"/>
  <c r="AG532" i="28"/>
  <c r="AF532" i="28"/>
  <c r="B533" i="29"/>
  <c r="C533" i="29"/>
  <c r="D533" i="29"/>
  <c r="C533" i="28"/>
  <c r="B533" i="28"/>
  <c r="E533" i="28"/>
  <c r="D533" i="28"/>
  <c r="A534" i="28"/>
  <c r="AD533" i="28" l="1"/>
  <c r="AC533" i="28"/>
  <c r="AR533" i="28"/>
  <c r="B534" i="29"/>
  <c r="C534" i="29"/>
  <c r="D534" i="29"/>
  <c r="AP533" i="28"/>
  <c r="AQ533" i="28"/>
  <c r="AH533" i="28"/>
  <c r="AG533" i="28"/>
  <c r="AF533" i="28"/>
  <c r="B534" i="28"/>
  <c r="D534" i="28"/>
  <c r="E534" i="28"/>
  <c r="A535" i="28"/>
  <c r="C534" i="28"/>
  <c r="AD534" i="28" l="1"/>
  <c r="AC534" i="28"/>
  <c r="AR534" i="28"/>
  <c r="B535" i="29"/>
  <c r="C535" i="29"/>
  <c r="D535" i="29"/>
  <c r="AP534" i="28"/>
  <c r="AQ534" i="28"/>
  <c r="AH534" i="28"/>
  <c r="AG534" i="28"/>
  <c r="AF534" i="28"/>
  <c r="E535" i="28"/>
  <c r="D535" i="28"/>
  <c r="C535" i="28"/>
  <c r="B535" i="28"/>
  <c r="A536" i="28"/>
  <c r="AD535" i="28" l="1"/>
  <c r="AC535" i="28"/>
  <c r="AR535" i="28"/>
  <c r="B536" i="29"/>
  <c r="C536" i="29"/>
  <c r="D536" i="29"/>
  <c r="AH535" i="28"/>
  <c r="AP535" i="28"/>
  <c r="AQ535" i="28"/>
  <c r="AG535" i="28"/>
  <c r="AF535" i="28"/>
  <c r="D536" i="28"/>
  <c r="C536" i="28"/>
  <c r="B536" i="28"/>
  <c r="A537" i="28"/>
  <c r="E536" i="28"/>
  <c r="AD536" i="28" l="1"/>
  <c r="AC536" i="28"/>
  <c r="AR536" i="28"/>
  <c r="B537" i="29"/>
  <c r="D537" i="29"/>
  <c r="C537" i="29"/>
  <c r="AQ536" i="28"/>
  <c r="AP536" i="28"/>
  <c r="AH536" i="28"/>
  <c r="AG536" i="28"/>
  <c r="AF536" i="28"/>
  <c r="A538" i="28"/>
  <c r="E537" i="28"/>
  <c r="D537" i="28"/>
  <c r="C537" i="28"/>
  <c r="B537" i="28"/>
  <c r="AD537" i="28" l="1"/>
  <c r="AC537" i="28"/>
  <c r="AR537" i="28"/>
  <c r="AQ537" i="28"/>
  <c r="AP537" i="28"/>
  <c r="AH537" i="28"/>
  <c r="AG537" i="28"/>
  <c r="AF537" i="28"/>
  <c r="B538" i="29"/>
  <c r="C538" i="29"/>
  <c r="D538" i="29"/>
  <c r="A539" i="28"/>
  <c r="B538" i="28"/>
  <c r="E538" i="28"/>
  <c r="D538" i="28"/>
  <c r="C538" i="28"/>
  <c r="AD538" i="28" l="1"/>
  <c r="AC538" i="28"/>
  <c r="AR538" i="28"/>
  <c r="AQ538" i="28"/>
  <c r="AP538" i="28"/>
  <c r="AH538" i="28"/>
  <c r="AG538" i="28"/>
  <c r="AF538" i="28"/>
  <c r="B539" i="29"/>
  <c r="C539" i="29"/>
  <c r="D539" i="29"/>
  <c r="A540" i="28"/>
  <c r="C539" i="28"/>
  <c r="D539" i="28"/>
  <c r="E539" i="28"/>
  <c r="B539" i="28"/>
  <c r="AD539" i="28" l="1"/>
  <c r="AC539" i="28"/>
  <c r="AR539" i="28"/>
  <c r="AQ539" i="28"/>
  <c r="AP539" i="28"/>
  <c r="AH539" i="28"/>
  <c r="AF539" i="28"/>
  <c r="AG539" i="28"/>
  <c r="C540" i="29"/>
  <c r="B540" i="29"/>
  <c r="D540" i="29"/>
  <c r="D540" i="28"/>
  <c r="C540" i="28"/>
  <c r="B540" i="28"/>
  <c r="E540" i="28"/>
  <c r="A541" i="28"/>
  <c r="AD540" i="28" l="1"/>
  <c r="AC540" i="28"/>
  <c r="AR540" i="28"/>
  <c r="B541" i="29"/>
  <c r="C541" i="29"/>
  <c r="D541" i="29"/>
  <c r="AQ540" i="28"/>
  <c r="AP540" i="28"/>
  <c r="AG540" i="28"/>
  <c r="AH540" i="28"/>
  <c r="AF540" i="28"/>
  <c r="A542" i="28"/>
  <c r="C541" i="28"/>
  <c r="E541" i="28"/>
  <c r="D541" i="28"/>
  <c r="B541" i="28"/>
  <c r="AD541" i="28" l="1"/>
  <c r="AC541" i="28"/>
  <c r="AR541" i="28"/>
  <c r="AQ541" i="28"/>
  <c r="AP541" i="28"/>
  <c r="AG541" i="28"/>
  <c r="AH541" i="28"/>
  <c r="AF541" i="28"/>
  <c r="B542" i="29"/>
  <c r="C542" i="29"/>
  <c r="D542" i="29"/>
  <c r="A543" i="28"/>
  <c r="E542" i="28"/>
  <c r="D542" i="28"/>
  <c r="C542" i="28"/>
  <c r="B542" i="28"/>
  <c r="AD542" i="28" l="1"/>
  <c r="AC542" i="28"/>
  <c r="AR542" i="28"/>
  <c r="AQ542" i="28"/>
  <c r="AP542" i="28"/>
  <c r="AH542" i="28"/>
  <c r="AF542" i="28"/>
  <c r="AG542" i="28"/>
  <c r="B543" i="29"/>
  <c r="D543" i="29"/>
  <c r="C543" i="29"/>
  <c r="E543" i="28"/>
  <c r="C543" i="28"/>
  <c r="D543" i="28"/>
  <c r="B543" i="28"/>
  <c r="A544" i="28"/>
  <c r="AD543" i="28" l="1"/>
  <c r="AC543" i="28"/>
  <c r="AR543" i="28"/>
  <c r="B544" i="29"/>
  <c r="C544" i="29"/>
  <c r="D544" i="29"/>
  <c r="AQ543" i="28"/>
  <c r="AP543" i="28"/>
  <c r="AH543" i="28"/>
  <c r="AG543" i="28"/>
  <c r="AF543" i="28"/>
  <c r="C544" i="28"/>
  <c r="B544" i="28"/>
  <c r="A545" i="28"/>
  <c r="E544" i="28"/>
  <c r="D544" i="28"/>
  <c r="AD544" i="28" l="1"/>
  <c r="AC544" i="28"/>
  <c r="AR544" i="28"/>
  <c r="AQ544" i="28"/>
  <c r="AP544" i="28"/>
  <c r="AH544" i="28"/>
  <c r="AG544" i="28"/>
  <c r="AF544" i="28"/>
  <c r="C545" i="29"/>
  <c r="B545" i="29"/>
  <c r="D545" i="29"/>
  <c r="C545" i="28"/>
  <c r="B545" i="28"/>
  <c r="D545" i="28"/>
  <c r="A546" i="28"/>
  <c r="E545" i="28"/>
  <c r="AD545" i="28" l="1"/>
  <c r="AC545" i="28"/>
  <c r="AR545" i="28"/>
  <c r="B546" i="29"/>
  <c r="C546" i="29"/>
  <c r="D546" i="29"/>
  <c r="AP545" i="28"/>
  <c r="AQ545" i="28"/>
  <c r="AG545" i="28"/>
  <c r="AH545" i="28"/>
  <c r="AF545" i="28"/>
  <c r="E546" i="28"/>
  <c r="D546" i="28"/>
  <c r="B546" i="28"/>
  <c r="C546" i="28"/>
  <c r="A547" i="28"/>
  <c r="AD546" i="28" l="1"/>
  <c r="AC546" i="28"/>
  <c r="AR546" i="28"/>
  <c r="B547" i="29"/>
  <c r="D547" i="29"/>
  <c r="C547" i="29"/>
  <c r="AQ546" i="28"/>
  <c r="AP546" i="28"/>
  <c r="AH546" i="28"/>
  <c r="AG546" i="28"/>
  <c r="AF546" i="28"/>
  <c r="E547" i="28"/>
  <c r="D547" i="28"/>
  <c r="C547" i="28"/>
  <c r="B547" i="28"/>
  <c r="A548" i="28"/>
  <c r="AD547" i="28" l="1"/>
  <c r="AC547" i="28"/>
  <c r="AR547" i="28"/>
  <c r="B548" i="29"/>
  <c r="C548" i="29"/>
  <c r="D548" i="29"/>
  <c r="AQ547" i="28"/>
  <c r="AH547" i="28"/>
  <c r="AP547" i="28"/>
  <c r="AG547" i="28"/>
  <c r="AF547" i="28"/>
  <c r="A549" i="28"/>
  <c r="D548" i="28"/>
  <c r="B548" i="28"/>
  <c r="E548" i="28"/>
  <c r="C548" i="28"/>
  <c r="AD548" i="28" l="1"/>
  <c r="AC548" i="28"/>
  <c r="AR548" i="28"/>
  <c r="AP548" i="28"/>
  <c r="AH548" i="28"/>
  <c r="AQ548" i="28"/>
  <c r="AF548" i="28"/>
  <c r="AG548" i="28"/>
  <c r="B549" i="29"/>
  <c r="C549" i="29"/>
  <c r="D549" i="29"/>
  <c r="B549" i="28"/>
  <c r="A550" i="28"/>
  <c r="E549" i="28"/>
  <c r="D549" i="28"/>
  <c r="C549" i="28"/>
  <c r="AD549" i="28" l="1"/>
  <c r="AC549" i="28"/>
  <c r="AR549" i="28"/>
  <c r="AP549" i="28"/>
  <c r="AQ549" i="28"/>
  <c r="AH549" i="28"/>
  <c r="AF549" i="28"/>
  <c r="AG549" i="28"/>
  <c r="B550" i="29"/>
  <c r="C550" i="29"/>
  <c r="D550" i="29"/>
  <c r="E550" i="28"/>
  <c r="B550" i="28"/>
  <c r="A551" i="28"/>
  <c r="D550" i="28"/>
  <c r="C550" i="28"/>
  <c r="AD550" i="28" l="1"/>
  <c r="AC550" i="28"/>
  <c r="AR550" i="28"/>
  <c r="AQ550" i="28"/>
  <c r="AH550" i="28"/>
  <c r="AG550" i="28"/>
  <c r="AP550" i="28"/>
  <c r="AF550" i="28"/>
  <c r="B551" i="29"/>
  <c r="C551" i="29"/>
  <c r="D551" i="29"/>
  <c r="D551" i="28"/>
  <c r="E551" i="28"/>
  <c r="C551" i="28"/>
  <c r="A552" i="28"/>
  <c r="B551" i="28"/>
  <c r="AD551" i="28" l="1"/>
  <c r="AC551" i="28"/>
  <c r="AR551" i="28"/>
  <c r="B552" i="29"/>
  <c r="C552" i="29"/>
  <c r="D552" i="29"/>
  <c r="AQ551" i="28"/>
  <c r="AP551" i="28"/>
  <c r="AH551" i="28"/>
  <c r="AF551" i="28"/>
  <c r="AG551" i="28"/>
  <c r="A553" i="28"/>
  <c r="D552" i="28"/>
  <c r="C552" i="28"/>
  <c r="E552" i="28"/>
  <c r="B552" i="28"/>
  <c r="AD552" i="28" l="1"/>
  <c r="AC552" i="28"/>
  <c r="AR552" i="28"/>
  <c r="AQ552" i="28"/>
  <c r="AP552" i="28"/>
  <c r="AG552" i="28"/>
  <c r="AH552" i="28"/>
  <c r="AF552" i="28"/>
  <c r="B553" i="29"/>
  <c r="C553" i="29"/>
  <c r="D553" i="29"/>
  <c r="A554" i="28"/>
  <c r="B553" i="28"/>
  <c r="C553" i="28"/>
  <c r="E553" i="28"/>
  <c r="D553" i="28"/>
  <c r="AD553" i="28" l="1"/>
  <c r="AC553" i="28"/>
  <c r="AR553" i="28"/>
  <c r="AP553" i="28"/>
  <c r="AQ553" i="28"/>
  <c r="AG553" i="28"/>
  <c r="AH553" i="28"/>
  <c r="AF553" i="28"/>
  <c r="B554" i="29"/>
  <c r="C554" i="29"/>
  <c r="D554" i="29"/>
  <c r="A555" i="28"/>
  <c r="E554" i="28"/>
  <c r="D554" i="28"/>
  <c r="C554" i="28"/>
  <c r="B554" i="28"/>
  <c r="AD554" i="28" l="1"/>
  <c r="AC554" i="28"/>
  <c r="AR554" i="28"/>
  <c r="AQ554" i="28"/>
  <c r="AH554" i="28"/>
  <c r="AF554" i="28"/>
  <c r="AG554" i="28"/>
  <c r="AP554" i="28"/>
  <c r="B555" i="29"/>
  <c r="C555" i="29"/>
  <c r="D555" i="29"/>
  <c r="D555" i="28"/>
  <c r="C555" i="28"/>
  <c r="A556" i="28"/>
  <c r="E555" i="28"/>
  <c r="B555" i="28"/>
  <c r="AD555" i="28" l="1"/>
  <c r="AC555" i="28"/>
  <c r="AR555" i="28"/>
  <c r="B556" i="29"/>
  <c r="C556" i="29"/>
  <c r="D556" i="29"/>
  <c r="AP555" i="28"/>
  <c r="AQ555" i="28"/>
  <c r="AH555" i="28"/>
  <c r="AF555" i="28"/>
  <c r="AG555" i="28"/>
  <c r="C556" i="28"/>
  <c r="E556" i="28"/>
  <c r="D556" i="28"/>
  <c r="B556" i="28"/>
  <c r="A557" i="28"/>
  <c r="AD556" i="28" l="1"/>
  <c r="AC556" i="28"/>
  <c r="AR556" i="28"/>
  <c r="B557" i="29"/>
  <c r="C557" i="29"/>
  <c r="D557" i="29"/>
  <c r="AQ556" i="28"/>
  <c r="AP556" i="28"/>
  <c r="AH556" i="28"/>
  <c r="AF556" i="28"/>
  <c r="AG556" i="28"/>
  <c r="A558" i="28"/>
  <c r="E557" i="28"/>
  <c r="C557" i="28"/>
  <c r="B557" i="28"/>
  <c r="D557" i="28"/>
  <c r="AD557" i="28" l="1"/>
  <c r="AC557" i="28"/>
  <c r="AR557" i="28"/>
  <c r="AP557" i="28"/>
  <c r="AQ557" i="28"/>
  <c r="AG557" i="28"/>
  <c r="AH557" i="28"/>
  <c r="AF557" i="28"/>
  <c r="B558" i="29"/>
  <c r="C558" i="29"/>
  <c r="D558" i="29"/>
  <c r="E558" i="28"/>
  <c r="B558" i="28"/>
  <c r="A559" i="28"/>
  <c r="D558" i="28"/>
  <c r="C558" i="28"/>
  <c r="AD558" i="28" l="1"/>
  <c r="AC558" i="28"/>
  <c r="AR558" i="28"/>
  <c r="AP558" i="28"/>
  <c r="AQ558" i="28"/>
  <c r="AH558" i="28"/>
  <c r="AG558" i="28"/>
  <c r="AF558" i="28"/>
  <c r="B559" i="29"/>
  <c r="C559" i="29"/>
  <c r="D559" i="29"/>
  <c r="D559" i="28"/>
  <c r="C559" i="28"/>
  <c r="B559" i="28"/>
  <c r="A560" i="28"/>
  <c r="E559" i="28"/>
  <c r="AD559" i="28" l="1"/>
  <c r="AC559" i="28"/>
  <c r="AR559" i="28"/>
  <c r="B560" i="29"/>
  <c r="C560" i="29"/>
  <c r="D560" i="29"/>
  <c r="AQ559" i="28"/>
  <c r="AP559" i="28"/>
  <c r="AH559" i="28"/>
  <c r="AG559" i="28"/>
  <c r="AF559" i="28"/>
  <c r="C560" i="28"/>
  <c r="B560" i="28"/>
  <c r="A561" i="28"/>
  <c r="E560" i="28"/>
  <c r="D560" i="28"/>
  <c r="AD560" i="28" l="1"/>
  <c r="AC560" i="28"/>
  <c r="AR560" i="28"/>
  <c r="AQ560" i="28"/>
  <c r="AP560" i="28"/>
  <c r="AH560" i="28"/>
  <c r="AF560" i="28"/>
  <c r="AG560" i="28"/>
  <c r="B561" i="29"/>
  <c r="D561" i="29"/>
  <c r="C561" i="29"/>
  <c r="B561" i="28"/>
  <c r="E561" i="28"/>
  <c r="D561" i="28"/>
  <c r="A562" i="28"/>
  <c r="C561" i="28"/>
  <c r="AD561" i="28" l="1"/>
  <c r="AC561" i="28"/>
  <c r="AR561" i="28"/>
  <c r="B562" i="29"/>
  <c r="C562" i="29"/>
  <c r="D562" i="29"/>
  <c r="AP561" i="28"/>
  <c r="AQ561" i="28"/>
  <c r="AH561" i="28"/>
  <c r="AF561" i="28"/>
  <c r="AG561" i="28"/>
  <c r="E562" i="28"/>
  <c r="D562" i="28"/>
  <c r="C562" i="28"/>
  <c r="A563" i="28"/>
  <c r="B562" i="28"/>
  <c r="AD562" i="28" l="1"/>
  <c r="AC562" i="28"/>
  <c r="AR562" i="28"/>
  <c r="B563" i="29"/>
  <c r="C563" i="29"/>
  <c r="D563" i="29"/>
  <c r="AQ562" i="28"/>
  <c r="AP562" i="28"/>
  <c r="AH562" i="28"/>
  <c r="AG562" i="28"/>
  <c r="AF562" i="28"/>
  <c r="D563" i="28"/>
  <c r="B563" i="28"/>
  <c r="E563" i="28"/>
  <c r="A564" i="28"/>
  <c r="C563" i="28"/>
  <c r="AD563" i="28" l="1"/>
  <c r="AC563" i="28"/>
  <c r="AR563" i="28"/>
  <c r="C564" i="29"/>
  <c r="B564" i="29"/>
  <c r="D564" i="29"/>
  <c r="AP563" i="28"/>
  <c r="AQ563" i="28"/>
  <c r="AH563" i="28"/>
  <c r="AF563" i="28"/>
  <c r="AG563" i="28"/>
  <c r="A565" i="28"/>
  <c r="E564" i="28"/>
  <c r="C564" i="28"/>
  <c r="B564" i="28"/>
  <c r="D564" i="28"/>
  <c r="AD564" i="28" l="1"/>
  <c r="AC564" i="28"/>
  <c r="AR564" i="28"/>
  <c r="AQ564" i="28"/>
  <c r="AP564" i="28"/>
  <c r="AH564" i="28"/>
  <c r="AG564" i="28"/>
  <c r="AF564" i="28"/>
  <c r="B565" i="29"/>
  <c r="C565" i="29"/>
  <c r="D565" i="29"/>
  <c r="A566" i="28"/>
  <c r="B565" i="28"/>
  <c r="E565" i="28"/>
  <c r="D565" i="28"/>
  <c r="C565" i="28"/>
  <c r="AD565" i="28" l="1"/>
  <c r="AC565" i="28"/>
  <c r="AR565" i="28"/>
  <c r="AQ565" i="28"/>
  <c r="AP565" i="28"/>
  <c r="AH565" i="28"/>
  <c r="AG565" i="28"/>
  <c r="AF565" i="28"/>
  <c r="B566" i="29"/>
  <c r="C566" i="29"/>
  <c r="D566" i="29"/>
  <c r="D566" i="28"/>
  <c r="C566" i="28"/>
  <c r="A567" i="28"/>
  <c r="B566" i="28"/>
  <c r="E566" i="28"/>
  <c r="AD566" i="28" l="1"/>
  <c r="AC566" i="28"/>
  <c r="AR566" i="28"/>
  <c r="B567" i="29"/>
  <c r="C567" i="29"/>
  <c r="D567" i="29"/>
  <c r="AQ566" i="28"/>
  <c r="AP566" i="28"/>
  <c r="AH566" i="28"/>
  <c r="AG566" i="28"/>
  <c r="AF566" i="28"/>
  <c r="D567" i="28"/>
  <c r="C567" i="28"/>
  <c r="B567" i="28"/>
  <c r="A568" i="28"/>
  <c r="E567" i="28"/>
  <c r="AD567" i="28" l="1"/>
  <c r="AC567" i="28"/>
  <c r="AR567" i="28"/>
  <c r="B568" i="29"/>
  <c r="C568" i="29"/>
  <c r="D568" i="29"/>
  <c r="AQ567" i="28"/>
  <c r="AP567" i="28"/>
  <c r="AH567" i="28"/>
  <c r="AG567" i="28"/>
  <c r="AF567" i="28"/>
  <c r="A569" i="28"/>
  <c r="C568" i="28"/>
  <c r="E568" i="28"/>
  <c r="D568" i="28"/>
  <c r="B568" i="28"/>
  <c r="AD568" i="28" l="1"/>
  <c r="AC568" i="28"/>
  <c r="AR568" i="28"/>
  <c r="AQ568" i="28"/>
  <c r="AH568" i="28"/>
  <c r="AP568" i="28"/>
  <c r="AG568" i="28"/>
  <c r="AF568" i="28"/>
  <c r="C569" i="29"/>
  <c r="B569" i="29"/>
  <c r="D569" i="29"/>
  <c r="D569" i="28"/>
  <c r="C569" i="28"/>
  <c r="B569" i="28"/>
  <c r="A570" i="28"/>
  <c r="E569" i="28"/>
  <c r="AD569" i="28" l="1"/>
  <c r="AC569" i="28"/>
  <c r="AR569" i="28"/>
  <c r="B570" i="29"/>
  <c r="C570" i="29"/>
  <c r="D570" i="29"/>
  <c r="AP569" i="28"/>
  <c r="AQ569" i="28"/>
  <c r="AH569" i="28"/>
  <c r="AG569" i="28"/>
  <c r="AF569" i="28"/>
  <c r="E570" i="28"/>
  <c r="D570" i="28"/>
  <c r="A571" i="28"/>
  <c r="C570" i="28"/>
  <c r="B570" i="28"/>
  <c r="AD570" i="28" l="1"/>
  <c r="AC570" i="28"/>
  <c r="AR570" i="28"/>
  <c r="C571" i="29"/>
  <c r="B571" i="29"/>
  <c r="D571" i="29"/>
  <c r="AQ570" i="28"/>
  <c r="AP570" i="28"/>
  <c r="AG570" i="28"/>
  <c r="AH570" i="28"/>
  <c r="AF570" i="28"/>
  <c r="A572" i="28"/>
  <c r="E571" i="28"/>
  <c r="D571" i="28"/>
  <c r="C571" i="28"/>
  <c r="B571" i="28"/>
  <c r="AD571" i="28" l="1"/>
  <c r="AC571" i="28"/>
  <c r="AR571" i="28"/>
  <c r="AQ571" i="28"/>
  <c r="AP571" i="28"/>
  <c r="AH571" i="28"/>
  <c r="AG571" i="28"/>
  <c r="AF571" i="28"/>
  <c r="B572" i="29"/>
  <c r="C572" i="29"/>
  <c r="D572" i="29"/>
  <c r="C572" i="28"/>
  <c r="A573" i="28"/>
  <c r="E572" i="28"/>
  <c r="B572" i="28"/>
  <c r="D572" i="28"/>
  <c r="AD572" i="28" l="1"/>
  <c r="AC572" i="28"/>
  <c r="AR572" i="28"/>
  <c r="AP572" i="28"/>
  <c r="AQ572" i="28"/>
  <c r="AH572" i="28"/>
  <c r="AG572" i="28"/>
  <c r="AF572" i="28"/>
  <c r="B573" i="29"/>
  <c r="C573" i="29"/>
  <c r="D573" i="29"/>
  <c r="A574" i="28"/>
  <c r="E573" i="28"/>
  <c r="B573" i="28"/>
  <c r="D573" i="28"/>
  <c r="C573" i="28"/>
  <c r="AD573" i="28" l="1"/>
  <c r="AC573" i="28"/>
  <c r="AR573" i="28"/>
  <c r="AP573" i="28"/>
  <c r="AQ573" i="28"/>
  <c r="AH573" i="28"/>
  <c r="AG573" i="28"/>
  <c r="AF573" i="28"/>
  <c r="B574" i="29"/>
  <c r="C574" i="29"/>
  <c r="D574" i="29"/>
  <c r="A575" i="28"/>
  <c r="C574" i="28"/>
  <c r="B574" i="28"/>
  <c r="D574" i="28"/>
  <c r="E574" i="28"/>
  <c r="AD574" i="28" l="1"/>
  <c r="AC574" i="28"/>
  <c r="AR574" i="28"/>
  <c r="AQ574" i="28"/>
  <c r="AH574" i="28"/>
  <c r="AP574" i="28"/>
  <c r="AG574" i="28"/>
  <c r="AF574" i="28"/>
  <c r="B575" i="29"/>
  <c r="C575" i="29"/>
  <c r="D575" i="29"/>
  <c r="A576" i="28"/>
  <c r="B575" i="28"/>
  <c r="D575" i="28"/>
  <c r="C575" i="28"/>
  <c r="E575" i="28"/>
  <c r="AD575" i="28" l="1"/>
  <c r="AC575" i="28"/>
  <c r="AR575" i="28"/>
  <c r="AQ575" i="28"/>
  <c r="AH575" i="28"/>
  <c r="AP575" i="28"/>
  <c r="AG575" i="28"/>
  <c r="AF575" i="28"/>
  <c r="B576" i="29"/>
  <c r="C576" i="29"/>
  <c r="D576" i="29"/>
  <c r="D576" i="28"/>
  <c r="E576" i="28"/>
  <c r="C576" i="28"/>
  <c r="A577" i="28"/>
  <c r="B576" i="28"/>
  <c r="AD576" i="28" l="1"/>
  <c r="AC576" i="28"/>
  <c r="AR576" i="28"/>
  <c r="B577" i="29"/>
  <c r="C577" i="29"/>
  <c r="D577" i="29"/>
  <c r="AQ576" i="28"/>
  <c r="AP576" i="28"/>
  <c r="AG576" i="28"/>
  <c r="AF576" i="28"/>
  <c r="AH576" i="28"/>
  <c r="C577" i="28"/>
  <c r="A578" i="28"/>
  <c r="E577" i="28"/>
  <c r="D577" i="28"/>
  <c r="B577" i="28"/>
  <c r="AD577" i="28" l="1"/>
  <c r="AC577" i="28"/>
  <c r="AR577" i="28"/>
  <c r="AP577" i="28"/>
  <c r="AQ577" i="28"/>
  <c r="AG577" i="28"/>
  <c r="AH577" i="28"/>
  <c r="AF577" i="28"/>
  <c r="B578" i="29"/>
  <c r="C578" i="29"/>
  <c r="D578" i="29"/>
  <c r="A579" i="28"/>
  <c r="B578" i="28"/>
  <c r="E578" i="28"/>
  <c r="C578" i="28"/>
  <c r="D578" i="28"/>
  <c r="AD578" i="28" l="1"/>
  <c r="AC578" i="28"/>
  <c r="AR578" i="28"/>
  <c r="AQ578" i="28"/>
  <c r="AH578" i="28"/>
  <c r="AP578" i="28"/>
  <c r="AG578" i="28"/>
  <c r="AF578" i="28"/>
  <c r="B579" i="29"/>
  <c r="C579" i="29"/>
  <c r="D579" i="29"/>
  <c r="E579" i="28"/>
  <c r="B579" i="28"/>
  <c r="A580" i="28"/>
  <c r="D579" i="28"/>
  <c r="C579" i="28"/>
  <c r="AD579" i="28" l="1"/>
  <c r="AC579" i="28"/>
  <c r="AR579" i="28"/>
  <c r="AQ579" i="28"/>
  <c r="AH579" i="28"/>
  <c r="AP579" i="28"/>
  <c r="AG579" i="28"/>
  <c r="AF579" i="28"/>
  <c r="B580" i="29"/>
  <c r="C580" i="29"/>
  <c r="D580" i="29"/>
  <c r="A581" i="28"/>
  <c r="B580" i="28"/>
  <c r="E580" i="28"/>
  <c r="D580" i="28"/>
  <c r="C580" i="28"/>
  <c r="AD580" i="28" l="1"/>
  <c r="AC580" i="28"/>
  <c r="AR580" i="28"/>
  <c r="AQ580" i="28"/>
  <c r="AP580" i="28"/>
  <c r="AH580" i="28"/>
  <c r="AG580" i="28"/>
  <c r="AF580" i="28"/>
  <c r="C581" i="29"/>
  <c r="B581" i="29"/>
  <c r="D581" i="29"/>
  <c r="C581" i="28"/>
  <c r="A582" i="28"/>
  <c r="B581" i="28"/>
  <c r="E581" i="28"/>
  <c r="D581" i="28"/>
  <c r="AD581" i="28" l="1"/>
  <c r="AC581" i="28"/>
  <c r="AR581" i="28"/>
  <c r="AQ581" i="28"/>
  <c r="AP581" i="28"/>
  <c r="AG581" i="28"/>
  <c r="AH581" i="28"/>
  <c r="AF581" i="28"/>
  <c r="B582" i="29"/>
  <c r="C582" i="29"/>
  <c r="D582" i="29"/>
  <c r="B582" i="28"/>
  <c r="D582" i="28"/>
  <c r="A583" i="28"/>
  <c r="E582" i="28"/>
  <c r="C582" i="28"/>
  <c r="AD582" i="28" l="1"/>
  <c r="AC582" i="28"/>
  <c r="AR582" i="28"/>
  <c r="B583" i="29"/>
  <c r="C583" i="29"/>
  <c r="D583" i="29"/>
  <c r="AQ582" i="28"/>
  <c r="AP582" i="28"/>
  <c r="AG582" i="28"/>
  <c r="AH582" i="28"/>
  <c r="AF582" i="28"/>
  <c r="E583" i="28"/>
  <c r="C583" i="28"/>
  <c r="A584" i="28"/>
  <c r="D583" i="28"/>
  <c r="B583" i="28"/>
  <c r="AD583" i="28" l="1"/>
  <c r="AC583" i="28"/>
  <c r="AR583" i="28"/>
  <c r="AQ583" i="28"/>
  <c r="AH583" i="28"/>
  <c r="AG583" i="28"/>
  <c r="AP583" i="28"/>
  <c r="AF583" i="28"/>
  <c r="B584" i="29"/>
  <c r="D584" i="29"/>
  <c r="C584" i="29"/>
  <c r="D584" i="28"/>
  <c r="C584" i="28"/>
  <c r="A585" i="28"/>
  <c r="E584" i="28"/>
  <c r="B584" i="28"/>
  <c r="AD584" i="28" l="1"/>
  <c r="AC584" i="28"/>
  <c r="AR584" i="28"/>
  <c r="B585" i="29"/>
  <c r="C585" i="29"/>
  <c r="D585" i="29"/>
  <c r="AP584" i="28"/>
  <c r="AH584" i="28"/>
  <c r="AQ584" i="28"/>
  <c r="AG584" i="28"/>
  <c r="AF584" i="28"/>
  <c r="C585" i="28"/>
  <c r="A586" i="28"/>
  <c r="E585" i="28"/>
  <c r="D585" i="28"/>
  <c r="B585" i="28"/>
  <c r="AD585" i="28" l="1"/>
  <c r="AC585" i="28"/>
  <c r="AR585" i="28"/>
  <c r="AQ585" i="28"/>
  <c r="AP585" i="28"/>
  <c r="AH585" i="28"/>
  <c r="AG585" i="28"/>
  <c r="AF585" i="28"/>
  <c r="B586" i="29"/>
  <c r="C586" i="29"/>
  <c r="D586" i="29"/>
  <c r="A587" i="28"/>
  <c r="B586" i="28"/>
  <c r="C586" i="28"/>
  <c r="E586" i="28"/>
  <c r="D586" i="28"/>
  <c r="AD586" i="28" l="1"/>
  <c r="AC586" i="28"/>
  <c r="AR586" i="28"/>
  <c r="AQ586" i="28"/>
  <c r="AP586" i="28"/>
  <c r="AH586" i="28"/>
  <c r="AG586" i="28"/>
  <c r="AF586" i="28"/>
  <c r="B587" i="29"/>
  <c r="C587" i="29"/>
  <c r="D587" i="29"/>
  <c r="C587" i="28"/>
  <c r="A588" i="28"/>
  <c r="B587" i="28"/>
  <c r="D587" i="28"/>
  <c r="E587" i="28"/>
  <c r="AD587" i="28" l="1"/>
  <c r="AC587" i="28"/>
  <c r="AR587" i="28"/>
  <c r="AQ587" i="28"/>
  <c r="AP587" i="28"/>
  <c r="AH587" i="28"/>
  <c r="AG587" i="28"/>
  <c r="AF587" i="28"/>
  <c r="C588" i="29"/>
  <c r="B588" i="29"/>
  <c r="D588" i="29"/>
  <c r="D588" i="28"/>
  <c r="B588" i="28"/>
  <c r="A589" i="28"/>
  <c r="E588" i="28"/>
  <c r="C588" i="28"/>
  <c r="AD588" i="28" l="1"/>
  <c r="AC588" i="28"/>
  <c r="AR588" i="28"/>
  <c r="B589" i="29"/>
  <c r="C589" i="29"/>
  <c r="D589" i="29"/>
  <c r="AQ588" i="28"/>
  <c r="AP588" i="28"/>
  <c r="AG588" i="28"/>
  <c r="AF588" i="28"/>
  <c r="AH588" i="28"/>
  <c r="C589" i="28"/>
  <c r="B589" i="28"/>
  <c r="A590" i="28"/>
  <c r="E589" i="28"/>
  <c r="D589" i="28"/>
  <c r="AD589" i="28" l="1"/>
  <c r="AC589" i="28"/>
  <c r="AR589" i="28"/>
  <c r="AQ589" i="28"/>
  <c r="AP589" i="28"/>
  <c r="AH589" i="28"/>
  <c r="AG589" i="28"/>
  <c r="AF589" i="28"/>
  <c r="B590" i="29"/>
  <c r="C590" i="29"/>
  <c r="D590" i="29"/>
  <c r="A591" i="28"/>
  <c r="B590" i="28"/>
  <c r="E590" i="28"/>
  <c r="C590" i="28"/>
  <c r="D590" i="28"/>
  <c r="AD590" i="28" l="1"/>
  <c r="AC590" i="28"/>
  <c r="AR590" i="28"/>
  <c r="AQ590" i="28"/>
  <c r="AP590" i="28"/>
  <c r="AH590" i="28"/>
  <c r="AG590" i="28"/>
  <c r="AF590" i="28"/>
  <c r="B591" i="29"/>
  <c r="C591" i="29"/>
  <c r="D591" i="29"/>
  <c r="E591" i="28"/>
  <c r="B591" i="28"/>
  <c r="A592" i="28"/>
  <c r="D591" i="28"/>
  <c r="C591" i="28"/>
  <c r="AD591" i="28" l="1"/>
  <c r="AC591" i="28"/>
  <c r="AR591" i="28"/>
  <c r="AP591" i="28"/>
  <c r="AQ591" i="28"/>
  <c r="AH591" i="28"/>
  <c r="AF591" i="28"/>
  <c r="AG591" i="28"/>
  <c r="B592" i="29"/>
  <c r="C592" i="29"/>
  <c r="D592" i="29"/>
  <c r="A593" i="28"/>
  <c r="B592" i="28"/>
  <c r="E592" i="28"/>
  <c r="D592" i="28"/>
  <c r="C592" i="28"/>
  <c r="AD592" i="28" l="1"/>
  <c r="AC592" i="28"/>
  <c r="AR592" i="28"/>
  <c r="AQ592" i="28"/>
  <c r="AP592" i="28"/>
  <c r="AH592" i="28"/>
  <c r="AF592" i="28"/>
  <c r="AG592" i="28"/>
  <c r="B593" i="29"/>
  <c r="C593" i="29"/>
  <c r="D593" i="29"/>
  <c r="C593" i="28"/>
  <c r="A594" i="28"/>
  <c r="D593" i="28"/>
  <c r="B593" i="28"/>
  <c r="E593" i="28"/>
  <c r="AD593" i="28" l="1"/>
  <c r="AC593" i="28"/>
  <c r="AR593" i="28"/>
  <c r="AP593" i="28"/>
  <c r="AQ593" i="28"/>
  <c r="AH593" i="28"/>
  <c r="AG593" i="28"/>
  <c r="AF593" i="28"/>
  <c r="B594" i="29"/>
  <c r="C594" i="29"/>
  <c r="D594" i="29"/>
  <c r="B594" i="28"/>
  <c r="A595" i="28"/>
  <c r="E594" i="28"/>
  <c r="D594" i="28"/>
  <c r="C594" i="28"/>
  <c r="AD594" i="28" l="1"/>
  <c r="AC594" i="28"/>
  <c r="AR594" i="28"/>
  <c r="AQ594" i="28"/>
  <c r="AP594" i="28"/>
  <c r="AH594" i="28"/>
  <c r="AG594" i="28"/>
  <c r="AF594" i="28"/>
  <c r="C595" i="29"/>
  <c r="B595" i="29"/>
  <c r="D595" i="29"/>
  <c r="E595" i="28"/>
  <c r="A596" i="28"/>
  <c r="C595" i="28"/>
  <c r="B595" i="28"/>
  <c r="D595" i="28"/>
  <c r="AD595" i="28" l="1"/>
  <c r="AC595" i="28"/>
  <c r="AR595" i="28"/>
  <c r="AQ595" i="28"/>
  <c r="AP595" i="28"/>
  <c r="AH595" i="28"/>
  <c r="AG595" i="28"/>
  <c r="AF595" i="28"/>
  <c r="B596" i="29"/>
  <c r="C596" i="29"/>
  <c r="D596" i="29"/>
  <c r="D596" i="28"/>
  <c r="A597" i="28"/>
  <c r="C596" i="28"/>
  <c r="B596" i="28"/>
  <c r="E596" i="28"/>
  <c r="AD596" i="28" l="1"/>
  <c r="AC596" i="28"/>
  <c r="AR596" i="28"/>
  <c r="B597" i="29"/>
  <c r="D597" i="29"/>
  <c r="C597" i="29"/>
  <c r="AQ596" i="28"/>
  <c r="AP596" i="28"/>
  <c r="AH596" i="28"/>
  <c r="AG596" i="28"/>
  <c r="AF596" i="28"/>
  <c r="E597" i="28"/>
  <c r="C597" i="28"/>
  <c r="B597" i="28"/>
  <c r="A598" i="28"/>
  <c r="D597" i="28"/>
  <c r="AD597" i="28" l="1"/>
  <c r="AC597" i="28"/>
  <c r="AR597" i="28"/>
  <c r="AH597" i="28"/>
  <c r="AQ597" i="28"/>
  <c r="AP597" i="28"/>
  <c r="AG597" i="28"/>
  <c r="AF597" i="28"/>
  <c r="B598" i="29"/>
  <c r="C598" i="29"/>
  <c r="D598" i="29"/>
  <c r="A599" i="28"/>
  <c r="B598" i="28"/>
  <c r="E598" i="28"/>
  <c r="D598" i="28"/>
  <c r="C598" i="28"/>
  <c r="AD598" i="28" l="1"/>
  <c r="AC598" i="28"/>
  <c r="AR598" i="28"/>
  <c r="AQ598" i="28"/>
  <c r="AP598" i="28"/>
  <c r="AH598" i="28"/>
  <c r="AG598" i="28"/>
  <c r="AF598" i="28"/>
  <c r="B599" i="29"/>
  <c r="C599" i="29"/>
  <c r="D599" i="29"/>
  <c r="E599" i="28"/>
  <c r="C599" i="28"/>
  <c r="A600" i="28"/>
  <c r="D599" i="28"/>
  <c r="B599" i="28"/>
  <c r="AD599" i="28" l="1"/>
  <c r="AC599" i="28"/>
  <c r="AR599" i="28"/>
  <c r="AQ599" i="28"/>
  <c r="AP599" i="28"/>
  <c r="AH599" i="28"/>
  <c r="AG599" i="28"/>
  <c r="AF599" i="28"/>
  <c r="B600" i="29"/>
  <c r="C600" i="29"/>
  <c r="D600" i="29"/>
  <c r="D600" i="28"/>
  <c r="E600" i="28"/>
  <c r="A601" i="28"/>
  <c r="C600" i="28"/>
  <c r="B600" i="28"/>
  <c r="AD600" i="28" l="1"/>
  <c r="AC600" i="28"/>
  <c r="AR600" i="28"/>
  <c r="B601" i="29"/>
  <c r="C601" i="29"/>
  <c r="D601" i="29"/>
  <c r="AQ600" i="28"/>
  <c r="AP600" i="28"/>
  <c r="AG600" i="28"/>
  <c r="AH600" i="28"/>
  <c r="AF600" i="28"/>
  <c r="C601" i="28"/>
  <c r="E601" i="28"/>
  <c r="B601" i="28"/>
  <c r="A602" i="28"/>
  <c r="D601" i="28"/>
  <c r="AD601" i="28" l="1"/>
  <c r="AC601" i="28"/>
  <c r="AR601" i="28"/>
  <c r="AQ601" i="28"/>
  <c r="AP601" i="28"/>
  <c r="AG601" i="28"/>
  <c r="AF601" i="28"/>
  <c r="AH601" i="28"/>
  <c r="B602" i="29"/>
  <c r="C602" i="29"/>
  <c r="D602" i="29"/>
  <c r="A603" i="28"/>
  <c r="E602" i="28"/>
  <c r="D602" i="28"/>
  <c r="C602" i="28"/>
  <c r="B602" i="28"/>
  <c r="AD602" i="28" l="1"/>
  <c r="AC602" i="28"/>
  <c r="AR602" i="28"/>
  <c r="AQ602" i="28"/>
  <c r="AP602" i="28"/>
  <c r="AH602" i="28"/>
  <c r="AG602" i="28"/>
  <c r="AF602" i="28"/>
  <c r="B603" i="29"/>
  <c r="C603" i="29"/>
  <c r="D603" i="29"/>
  <c r="E603" i="28"/>
  <c r="D603" i="28"/>
  <c r="B603" i="28"/>
  <c r="C603" i="28"/>
  <c r="A604" i="28"/>
  <c r="AD603" i="28" l="1"/>
  <c r="AC603" i="28"/>
  <c r="AR603" i="28"/>
  <c r="B604" i="29"/>
  <c r="C604" i="29"/>
  <c r="D604" i="29"/>
  <c r="AQ603" i="28"/>
  <c r="AP603" i="28"/>
  <c r="AG603" i="28"/>
  <c r="AF603" i="28"/>
  <c r="AH603" i="28"/>
  <c r="A605" i="28"/>
  <c r="E604" i="28"/>
  <c r="D604" i="28"/>
  <c r="C604" i="28"/>
  <c r="B604" i="28"/>
  <c r="AD604" i="28" l="1"/>
  <c r="AC604" i="28"/>
  <c r="AR604" i="28"/>
  <c r="AQ604" i="28"/>
  <c r="AP604" i="28"/>
  <c r="AH604" i="28"/>
  <c r="AG604" i="28"/>
  <c r="AF604" i="28"/>
  <c r="B605" i="29"/>
  <c r="C605" i="29"/>
  <c r="D605" i="29"/>
  <c r="C605" i="28"/>
  <c r="A606" i="28"/>
  <c r="E605" i="28"/>
  <c r="D605" i="28"/>
  <c r="B605" i="28"/>
  <c r="AD605" i="28" l="1"/>
  <c r="AC605" i="28"/>
  <c r="AR605" i="28"/>
  <c r="AP605" i="28"/>
  <c r="AQ605" i="28"/>
  <c r="AH605" i="28"/>
  <c r="AG605" i="28"/>
  <c r="AF605" i="28"/>
  <c r="B606" i="29"/>
  <c r="C606" i="29"/>
  <c r="D606" i="29"/>
  <c r="B606" i="28"/>
  <c r="A607" i="28"/>
  <c r="E606" i="28"/>
  <c r="D606" i="28"/>
  <c r="C606" i="28"/>
  <c r="AD606" i="28" l="1"/>
  <c r="AC606" i="28"/>
  <c r="AR606" i="28"/>
  <c r="AQ606" i="28"/>
  <c r="AP606" i="28"/>
  <c r="AH606" i="28"/>
  <c r="AG606" i="28"/>
  <c r="AF606" i="28"/>
  <c r="B607" i="29"/>
  <c r="C607" i="29"/>
  <c r="D607" i="29"/>
  <c r="E607" i="28"/>
  <c r="A608" i="28"/>
  <c r="D607" i="28"/>
  <c r="C607" i="28"/>
  <c r="B607" i="28"/>
  <c r="AD607" i="28" l="1"/>
  <c r="AC607" i="28"/>
  <c r="AR607" i="28"/>
  <c r="AQ607" i="28"/>
  <c r="AH607" i="28"/>
  <c r="AP607" i="28"/>
  <c r="AG607" i="28"/>
  <c r="AF607" i="28"/>
  <c r="B608" i="29"/>
  <c r="C608" i="29"/>
  <c r="D608" i="29"/>
  <c r="D608" i="28"/>
  <c r="A609" i="28"/>
  <c r="E608" i="28"/>
  <c r="C608" i="28"/>
  <c r="B608" i="28"/>
  <c r="AD608" i="28" l="1"/>
  <c r="AC608" i="28"/>
  <c r="AR608" i="28"/>
  <c r="C10" i="9"/>
  <c r="C31" i="9"/>
  <c r="C34" i="9"/>
  <c r="B609" i="29"/>
  <c r="C609" i="29"/>
  <c r="D609" i="29"/>
  <c r="AP608" i="28"/>
  <c r="AH608" i="28"/>
  <c r="AQ608" i="28"/>
  <c r="AG608" i="28"/>
  <c r="AF608" i="28"/>
  <c r="E609" i="28"/>
  <c r="D609" i="28"/>
  <c r="C609" i="28"/>
  <c r="B609" i="28"/>
  <c r="AD609" i="28" l="1"/>
  <c r="AC609" i="28"/>
  <c r="AR609" i="28"/>
  <c r="AQ609" i="28"/>
  <c r="AP609" i="28"/>
  <c r="AH609" i="28"/>
  <c r="AG609" i="28"/>
  <c r="AF609" i="28"/>
  <c r="CH5" i="20" l="1"/>
  <c r="CH6" i="20"/>
  <c r="R2" i="24" l="1"/>
  <c r="R3" i="24"/>
  <c r="R4" i="24"/>
  <c r="R5" i="24"/>
  <c r="R6" i="24"/>
  <c r="R7" i="24"/>
  <c r="R8" i="24"/>
  <c r="R9" i="24"/>
  <c r="R10" i="24"/>
  <c r="R11" i="24"/>
  <c r="R12" i="24"/>
  <c r="R13" i="24"/>
  <c r="R14" i="24"/>
  <c r="R15" i="24"/>
  <c r="R16" i="24"/>
  <c r="R17" i="24"/>
  <c r="R18" i="24"/>
  <c r="R19" i="24"/>
  <c r="Q2" i="24"/>
  <c r="Q3" i="24"/>
  <c r="Q4" i="24"/>
  <c r="Q5" i="24"/>
  <c r="Q6" i="24"/>
  <c r="Q7" i="24"/>
  <c r="Q8" i="24"/>
  <c r="Q9" i="24"/>
  <c r="Q10" i="24"/>
  <c r="Q11" i="24"/>
  <c r="Q12" i="24"/>
  <c r="Q13" i="24"/>
  <c r="Q14" i="24"/>
  <c r="Q15" i="24"/>
  <c r="Q16" i="24"/>
  <c r="Q17" i="24"/>
  <c r="Q18" i="24"/>
  <c r="Q19" i="24"/>
  <c r="P2" i="24"/>
  <c r="P3" i="24"/>
  <c r="P4" i="24"/>
  <c r="P5" i="24"/>
  <c r="P6" i="24"/>
  <c r="P7" i="24"/>
  <c r="P8" i="24"/>
  <c r="P9" i="24"/>
  <c r="P10" i="24"/>
  <c r="P11" i="24"/>
  <c r="P12" i="24"/>
  <c r="P13" i="24"/>
  <c r="P14" i="24"/>
  <c r="P15" i="24"/>
  <c r="P16" i="24"/>
  <c r="P17" i="24"/>
  <c r="P18" i="24"/>
  <c r="P19" i="24"/>
  <c r="CM5" i="20" l="1"/>
  <c r="CM6" i="20"/>
  <c r="CM7" i="20"/>
  <c r="CM8" i="20"/>
  <c r="CM9" i="20"/>
  <c r="CM10" i="20"/>
  <c r="CM11" i="20"/>
  <c r="CM12" i="20"/>
  <c r="CM13" i="20"/>
  <c r="CM14" i="20"/>
  <c r="CM15" i="20"/>
  <c r="CM16" i="20"/>
  <c r="CM17" i="20"/>
  <c r="CM18" i="20"/>
  <c r="CM19" i="20"/>
  <c r="CM20" i="20"/>
  <c r="CM21" i="20"/>
  <c r="CM22" i="20"/>
  <c r="CM23" i="20"/>
  <c r="CM24" i="20"/>
  <c r="CM25" i="20"/>
  <c r="CM26" i="20"/>
  <c r="CM27" i="20"/>
  <c r="CM29" i="20"/>
  <c r="CM31" i="20"/>
  <c r="CM32" i="20"/>
  <c r="CM33" i="20"/>
  <c r="CM34" i="20"/>
  <c r="CM35" i="20"/>
  <c r="CM36" i="20"/>
  <c r="CM37" i="20"/>
  <c r="CM38" i="20"/>
  <c r="CM39" i="20"/>
  <c r="CM40" i="20"/>
  <c r="CM41" i="20"/>
  <c r="CM42" i="20"/>
  <c r="CM43" i="20"/>
  <c r="CM44" i="20"/>
  <c r="CM45" i="20"/>
  <c r="CM46" i="20"/>
  <c r="CM47" i="20"/>
  <c r="CM48" i="20"/>
  <c r="CM49" i="20"/>
  <c r="CM50" i="20"/>
  <c r="CM51" i="20"/>
  <c r="CM52" i="20"/>
  <c r="CM53" i="20"/>
  <c r="CM54" i="20"/>
  <c r="CM55" i="20"/>
  <c r="CM56" i="20"/>
  <c r="CM57" i="20"/>
  <c r="CM58" i="20"/>
  <c r="CM59" i="20"/>
  <c r="CM65" i="20"/>
  <c r="CM66" i="20"/>
  <c r="CM67" i="20"/>
  <c r="CM68" i="20"/>
  <c r="CM69" i="20"/>
  <c r="CM70" i="20"/>
  <c r="CL5" i="20" l="1"/>
  <c r="CL6" i="20"/>
  <c r="CL7" i="20"/>
  <c r="CL8" i="20"/>
  <c r="CL9" i="20"/>
  <c r="CL10" i="20"/>
  <c r="CL11" i="20"/>
  <c r="CL12" i="20"/>
  <c r="CL13" i="20"/>
  <c r="CL14" i="20"/>
  <c r="CL15" i="20"/>
  <c r="CL16" i="20"/>
  <c r="CL17" i="20"/>
  <c r="CL18" i="20"/>
  <c r="CL19" i="20"/>
  <c r="CL20" i="20"/>
  <c r="CL21" i="20"/>
  <c r="CL22" i="20"/>
  <c r="CL23" i="20"/>
  <c r="CL24" i="20"/>
  <c r="CL25" i="20"/>
  <c r="CL26" i="20"/>
  <c r="CL27" i="20"/>
  <c r="CL29" i="20"/>
  <c r="CL31" i="20"/>
  <c r="CL32" i="20"/>
  <c r="CL33" i="20"/>
  <c r="CL34" i="20"/>
  <c r="CL35" i="20"/>
  <c r="CL36" i="20"/>
  <c r="CL37" i="20"/>
  <c r="CL38" i="20"/>
  <c r="CL39" i="20"/>
  <c r="CL40" i="20"/>
  <c r="CL41" i="20"/>
  <c r="CL42" i="20"/>
  <c r="CL43" i="20"/>
  <c r="CL44" i="20"/>
  <c r="CL45" i="20"/>
  <c r="CL46" i="20"/>
  <c r="CL47" i="20"/>
  <c r="CL48" i="20"/>
  <c r="CL49" i="20"/>
  <c r="CL50" i="20"/>
  <c r="CL51" i="20"/>
  <c r="CL52" i="20"/>
  <c r="CL53" i="20"/>
  <c r="CL54" i="20"/>
  <c r="CL55" i="20"/>
  <c r="CL56" i="20"/>
  <c r="CL57" i="20"/>
  <c r="CL58" i="20"/>
  <c r="CL59" i="20"/>
  <c r="CL65" i="20"/>
  <c r="CL66" i="20"/>
  <c r="CL67" i="20"/>
  <c r="CL68" i="20"/>
  <c r="CL69" i="20"/>
  <c r="CL70" i="20"/>
  <c r="B45" i="9" l="1"/>
  <c r="B47" i="9"/>
  <c r="B48" i="9"/>
  <c r="BB58" i="20" l="1"/>
  <c r="BB59" i="20"/>
  <c r="BB60" i="20"/>
  <c r="BB61" i="20"/>
  <c r="BB62" i="20"/>
  <c r="BB63" i="20"/>
  <c r="BB64" i="20"/>
  <c r="BB66" i="20"/>
  <c r="BB67" i="20"/>
  <c r="BB68" i="20"/>
  <c r="BB69" i="20"/>
  <c r="BB70" i="20"/>
  <c r="BB71" i="20"/>
  <c r="BB72" i="20"/>
  <c r="BB73" i="20"/>
  <c r="BB74" i="20"/>
  <c r="BB75" i="20"/>
  <c r="BB76" i="20"/>
  <c r="BB77" i="20"/>
  <c r="BB78" i="20"/>
  <c r="BB79" i="20"/>
  <c r="BB80" i="20"/>
  <c r="BB81" i="20"/>
  <c r="BB82" i="20"/>
  <c r="BB83" i="20"/>
  <c r="BB84" i="20"/>
  <c r="BB85" i="20"/>
  <c r="BB86" i="20"/>
  <c r="BB87" i="20"/>
  <c r="BB88" i="20"/>
  <c r="BB89" i="20"/>
  <c r="BB90" i="20"/>
  <c r="BB91" i="20"/>
  <c r="BB92" i="20"/>
  <c r="BB93" i="20"/>
  <c r="BB94" i="20"/>
  <c r="BB95" i="20"/>
  <c r="BB96" i="20"/>
  <c r="BB97" i="20"/>
  <c r="BB98" i="20"/>
  <c r="BB99" i="20"/>
  <c r="BB100" i="20"/>
  <c r="BB101" i="20"/>
  <c r="BB102" i="20"/>
  <c r="BB103" i="20"/>
  <c r="BB104" i="20"/>
  <c r="BB105" i="20"/>
  <c r="BB106" i="20"/>
  <c r="BB107" i="20"/>
  <c r="BB108" i="20"/>
  <c r="BB109" i="20"/>
  <c r="BB110" i="20"/>
  <c r="BB111" i="20"/>
  <c r="BB112" i="20"/>
  <c r="BB113" i="20"/>
  <c r="BB114" i="20"/>
  <c r="BB115" i="20"/>
  <c r="BB116" i="20"/>
  <c r="BB117" i="20"/>
  <c r="BB118" i="20"/>
  <c r="BB119" i="20"/>
  <c r="BB120" i="20"/>
  <c r="BB121" i="20"/>
  <c r="BB122" i="20"/>
  <c r="BB123" i="20"/>
  <c r="BB124" i="20"/>
  <c r="BB125" i="20"/>
  <c r="BB126" i="20"/>
  <c r="BB127" i="20"/>
  <c r="BB128" i="20"/>
  <c r="BB129" i="20"/>
  <c r="BB130" i="20"/>
  <c r="BB131" i="20"/>
  <c r="BB132" i="20"/>
  <c r="BB133" i="20"/>
  <c r="BB134" i="20"/>
  <c r="BB135" i="20"/>
  <c r="BB136" i="20"/>
  <c r="BB137" i="20"/>
  <c r="BB138" i="20"/>
  <c r="BB139" i="20"/>
  <c r="BB140" i="20"/>
  <c r="BB141" i="20"/>
  <c r="BB142" i="20"/>
  <c r="BB143" i="20"/>
  <c r="BB144" i="20"/>
  <c r="BB145" i="20"/>
  <c r="BB146" i="20"/>
  <c r="BB147" i="20"/>
  <c r="BB148" i="20"/>
  <c r="BB149" i="20"/>
  <c r="BB150" i="20"/>
  <c r="BB151" i="20"/>
  <c r="BB152" i="20"/>
  <c r="BB153" i="20"/>
  <c r="BB154" i="20"/>
  <c r="BB155" i="20"/>
  <c r="BB156" i="20"/>
  <c r="BB157" i="20"/>
  <c r="BC58" i="20"/>
  <c r="BC59" i="20"/>
  <c r="BC60" i="20"/>
  <c r="BC61" i="20"/>
  <c r="BC62" i="20"/>
  <c r="BC63" i="20"/>
  <c r="BC64" i="20"/>
  <c r="BC65" i="20"/>
  <c r="BC66" i="20"/>
  <c r="BC67" i="20"/>
  <c r="BC68" i="20"/>
  <c r="BC69" i="20"/>
  <c r="BC70" i="20"/>
  <c r="BC71" i="20"/>
  <c r="BC72" i="20"/>
  <c r="BC73" i="20"/>
  <c r="BC74" i="20"/>
  <c r="BC75" i="20"/>
  <c r="BC76" i="20"/>
  <c r="BC77" i="20"/>
  <c r="BC78" i="20"/>
  <c r="BC79" i="20"/>
  <c r="BC80" i="20"/>
  <c r="BC81" i="20"/>
  <c r="BC82" i="20"/>
  <c r="BC83" i="20"/>
  <c r="BC84" i="20"/>
  <c r="BC85" i="20"/>
  <c r="BC86" i="20"/>
  <c r="BC87" i="20"/>
  <c r="BC88" i="20"/>
  <c r="BC89" i="20"/>
  <c r="BC90" i="20"/>
  <c r="BC91" i="20"/>
  <c r="BC92" i="20"/>
  <c r="BC93" i="20"/>
  <c r="BC94" i="20"/>
  <c r="BC95" i="20"/>
  <c r="BC96" i="20"/>
  <c r="BC97" i="20"/>
  <c r="BC98" i="20"/>
  <c r="BC99" i="20"/>
  <c r="BC100" i="20"/>
  <c r="BC101" i="20"/>
  <c r="BC102" i="20"/>
  <c r="BC103" i="20"/>
  <c r="BC104" i="20"/>
  <c r="BC105" i="20"/>
  <c r="BC106" i="20"/>
  <c r="BC107" i="20"/>
  <c r="BC108" i="20"/>
  <c r="BC109" i="20"/>
  <c r="BC110" i="20"/>
  <c r="BC111" i="20"/>
  <c r="BC112" i="20"/>
  <c r="BC113" i="20"/>
  <c r="BC114" i="20"/>
  <c r="BC115" i="20"/>
  <c r="BC116" i="20"/>
  <c r="BC117" i="20"/>
  <c r="BC118" i="20"/>
  <c r="BC119" i="20"/>
  <c r="BC120" i="20"/>
  <c r="BC121" i="20"/>
  <c r="BC122" i="20"/>
  <c r="BC123" i="20"/>
  <c r="BC124" i="20"/>
  <c r="BC125" i="20"/>
  <c r="BC126" i="20"/>
  <c r="BC127" i="20"/>
  <c r="BC128" i="20"/>
  <c r="BC129" i="20"/>
  <c r="BC130" i="20"/>
  <c r="BC131" i="20"/>
  <c r="BC132" i="20"/>
  <c r="BC133" i="20"/>
  <c r="BC134" i="20"/>
  <c r="BC135" i="20"/>
  <c r="BC136" i="20"/>
  <c r="BC137" i="20"/>
  <c r="BC138" i="20"/>
  <c r="BC139" i="20"/>
  <c r="BC140" i="20"/>
  <c r="BC141" i="20"/>
  <c r="BC142" i="20"/>
  <c r="BC143" i="20"/>
  <c r="BC144" i="20"/>
  <c r="BC145" i="20"/>
  <c r="BC146" i="20"/>
  <c r="BC147" i="20"/>
  <c r="BC148" i="20"/>
  <c r="BC149" i="20"/>
  <c r="BC150" i="20"/>
  <c r="BC151" i="20"/>
  <c r="BC152" i="20"/>
  <c r="BC153" i="20"/>
  <c r="BC154" i="20"/>
  <c r="BC155" i="20"/>
  <c r="BC156" i="20"/>
  <c r="BC157" i="20"/>
  <c r="BE58" i="20"/>
  <c r="BE59" i="20"/>
  <c r="BE60" i="20"/>
  <c r="BE61" i="20"/>
  <c r="BE62" i="20"/>
  <c r="BE63" i="20"/>
  <c r="BE64" i="20"/>
  <c r="BE65" i="20"/>
  <c r="BE66" i="20"/>
  <c r="BE67" i="20"/>
  <c r="BE68" i="20"/>
  <c r="BE69" i="20"/>
  <c r="BE70" i="20"/>
  <c r="BE71" i="20"/>
  <c r="BE72" i="20"/>
  <c r="BE73" i="20"/>
  <c r="BE74" i="20"/>
  <c r="BE75" i="20"/>
  <c r="BE76" i="20"/>
  <c r="BE77" i="20"/>
  <c r="BE78" i="20"/>
  <c r="BE79" i="20"/>
  <c r="BE80" i="20"/>
  <c r="BE81" i="20"/>
  <c r="BE82" i="20"/>
  <c r="BE83" i="20"/>
  <c r="BE84" i="20"/>
  <c r="BE85" i="20"/>
  <c r="BE86" i="20"/>
  <c r="BE87" i="20"/>
  <c r="BE88" i="20"/>
  <c r="BE89" i="20"/>
  <c r="BE90" i="20"/>
  <c r="BE91" i="20"/>
  <c r="BE92" i="20"/>
  <c r="BE93" i="20"/>
  <c r="BE94" i="20"/>
  <c r="BE95" i="20"/>
  <c r="BE96" i="20"/>
  <c r="BE97" i="20"/>
  <c r="BE98" i="20"/>
  <c r="BE99" i="20"/>
  <c r="BE100" i="20"/>
  <c r="BE101" i="20"/>
  <c r="BE102" i="20"/>
  <c r="BE103" i="20"/>
  <c r="BE104" i="20"/>
  <c r="BE105" i="20"/>
  <c r="BE106" i="20"/>
  <c r="BE107" i="20"/>
  <c r="BE108" i="20"/>
  <c r="BE109" i="20"/>
  <c r="BE110" i="20"/>
  <c r="BE111" i="20"/>
  <c r="BE112" i="20"/>
  <c r="BE113" i="20"/>
  <c r="BE114" i="20"/>
  <c r="BE115" i="20"/>
  <c r="BE116" i="20"/>
  <c r="BE117" i="20"/>
  <c r="BE118" i="20"/>
  <c r="BE119" i="20"/>
  <c r="BE120" i="20"/>
  <c r="BE121" i="20"/>
  <c r="BE122" i="20"/>
  <c r="BE123" i="20"/>
  <c r="BE124" i="20"/>
  <c r="BE125" i="20"/>
  <c r="BE126" i="20"/>
  <c r="BE127" i="20"/>
  <c r="BE128" i="20"/>
  <c r="BE129" i="20"/>
  <c r="BE130" i="20"/>
  <c r="BE131" i="20"/>
  <c r="BE132" i="20"/>
  <c r="BE133" i="20"/>
  <c r="BE134" i="20"/>
  <c r="BE135" i="20"/>
  <c r="BE136" i="20"/>
  <c r="BE137" i="20"/>
  <c r="BE138" i="20"/>
  <c r="BE139" i="20"/>
  <c r="BE140" i="20"/>
  <c r="BE141" i="20"/>
  <c r="BE142" i="20"/>
  <c r="BE143" i="20"/>
  <c r="BE144" i="20"/>
  <c r="BE145" i="20"/>
  <c r="BE146" i="20"/>
  <c r="BE147" i="20"/>
  <c r="BE148" i="20"/>
  <c r="BE149" i="20"/>
  <c r="BE150" i="20"/>
  <c r="BE151" i="20"/>
  <c r="BE152" i="20"/>
  <c r="BE153" i="20"/>
  <c r="BE154" i="20"/>
  <c r="BE155" i="20"/>
  <c r="BE156" i="20"/>
  <c r="BE157" i="20"/>
  <c r="BG58" i="20"/>
  <c r="BG59" i="20"/>
  <c r="BG60" i="20"/>
  <c r="BG61" i="20"/>
  <c r="BG62" i="20"/>
  <c r="BG63" i="20"/>
  <c r="BG64" i="20"/>
  <c r="BG65" i="20"/>
  <c r="BG66" i="20"/>
  <c r="BG67" i="20"/>
  <c r="BG68" i="20"/>
  <c r="BG69" i="20"/>
  <c r="BG70" i="20"/>
  <c r="BG71" i="20"/>
  <c r="BG72" i="20"/>
  <c r="BG73" i="20"/>
  <c r="BG74" i="20"/>
  <c r="BG75" i="20"/>
  <c r="BG76" i="20"/>
  <c r="BG77" i="20"/>
  <c r="BG78" i="20"/>
  <c r="BG79" i="20"/>
  <c r="BG80" i="20"/>
  <c r="BG81" i="20"/>
  <c r="BG82" i="20"/>
  <c r="BG83" i="20"/>
  <c r="BG84" i="20"/>
  <c r="BG85" i="20"/>
  <c r="BG86" i="20"/>
  <c r="BG87" i="20"/>
  <c r="BG88" i="20"/>
  <c r="BG89" i="20"/>
  <c r="BG90" i="20"/>
  <c r="BG91" i="20"/>
  <c r="BG92" i="20"/>
  <c r="BG93" i="20"/>
  <c r="BG94" i="20"/>
  <c r="BG95" i="20"/>
  <c r="BG96" i="20"/>
  <c r="X93" i="28" s="1"/>
  <c r="BG97" i="20"/>
  <c r="X94" i="28" s="1"/>
  <c r="BG98" i="20"/>
  <c r="X95" i="28" s="1"/>
  <c r="BG99" i="20"/>
  <c r="X96" i="28" s="1"/>
  <c r="BG100" i="20"/>
  <c r="X97" i="28" s="1"/>
  <c r="BG101" i="20"/>
  <c r="X98" i="28" s="1"/>
  <c r="BG102" i="20"/>
  <c r="X99" i="28" s="1"/>
  <c r="BG103" i="20"/>
  <c r="X100" i="28" s="1"/>
  <c r="BG104" i="20"/>
  <c r="X101" i="28" s="1"/>
  <c r="BG105" i="20"/>
  <c r="X102" i="28" s="1"/>
  <c r="BG106" i="20"/>
  <c r="X103" i="28" s="1"/>
  <c r="BG107" i="20"/>
  <c r="X104" i="28" s="1"/>
  <c r="BG108" i="20"/>
  <c r="X105" i="28" s="1"/>
  <c r="BG109" i="20"/>
  <c r="X106" i="28" s="1"/>
  <c r="BG110" i="20"/>
  <c r="X107" i="28" s="1"/>
  <c r="BG111" i="20"/>
  <c r="X108" i="28" s="1"/>
  <c r="BG112" i="20"/>
  <c r="X109" i="28" s="1"/>
  <c r="BG113" i="20"/>
  <c r="X110" i="28" s="1"/>
  <c r="BG114" i="20"/>
  <c r="X111" i="28" s="1"/>
  <c r="BG115" i="20"/>
  <c r="X112" i="28" s="1"/>
  <c r="BG116" i="20"/>
  <c r="X113" i="28" s="1"/>
  <c r="BG117" i="20"/>
  <c r="X114" i="28" s="1"/>
  <c r="BG118" i="20"/>
  <c r="X115" i="28" s="1"/>
  <c r="BG119" i="20"/>
  <c r="X116" i="28" s="1"/>
  <c r="BG120" i="20"/>
  <c r="X117" i="28" s="1"/>
  <c r="BG121" i="20"/>
  <c r="X118" i="28" s="1"/>
  <c r="BG122" i="20"/>
  <c r="X119" i="28" s="1"/>
  <c r="BG123" i="20"/>
  <c r="X120" i="28" s="1"/>
  <c r="BG124" i="20"/>
  <c r="X121" i="28" s="1"/>
  <c r="BG125" i="20"/>
  <c r="X122" i="28" s="1"/>
  <c r="BG126" i="20"/>
  <c r="X123" i="28" s="1"/>
  <c r="BG127" i="20"/>
  <c r="X124" i="28" s="1"/>
  <c r="BG128" i="20"/>
  <c r="X125" i="28" s="1"/>
  <c r="BG129" i="20"/>
  <c r="X126" i="28" s="1"/>
  <c r="BG130" i="20"/>
  <c r="X127" i="28" s="1"/>
  <c r="BG131" i="20"/>
  <c r="X128" i="28" s="1"/>
  <c r="BG132" i="20"/>
  <c r="X129" i="28" s="1"/>
  <c r="BG133" i="20"/>
  <c r="X130" i="28" s="1"/>
  <c r="BG134" i="20"/>
  <c r="X131" i="28" s="1"/>
  <c r="BG135" i="20"/>
  <c r="X132" i="28" s="1"/>
  <c r="BG136" i="20"/>
  <c r="X133" i="28" s="1"/>
  <c r="BG137" i="20"/>
  <c r="X134" i="28" s="1"/>
  <c r="BG138" i="20"/>
  <c r="X135" i="28" s="1"/>
  <c r="BG139" i="20"/>
  <c r="X136" i="28" s="1"/>
  <c r="BG140" i="20"/>
  <c r="X137" i="28" s="1"/>
  <c r="BG141" i="20"/>
  <c r="X138" i="28" s="1"/>
  <c r="BG142" i="20"/>
  <c r="X139" i="28" s="1"/>
  <c r="BG143" i="20"/>
  <c r="X140" i="28" s="1"/>
  <c r="BG144" i="20"/>
  <c r="X141" i="28" s="1"/>
  <c r="BG145" i="20"/>
  <c r="X142" i="28" s="1"/>
  <c r="BG146" i="20"/>
  <c r="X143" i="28" s="1"/>
  <c r="BG147" i="20"/>
  <c r="X144" i="28" s="1"/>
  <c r="BG148" i="20"/>
  <c r="X145" i="28" s="1"/>
  <c r="BG149" i="20"/>
  <c r="X146" i="28" s="1"/>
  <c r="BG150" i="20"/>
  <c r="X147" i="28" s="1"/>
  <c r="BG151" i="20"/>
  <c r="X148" i="28" s="1"/>
  <c r="BG152" i="20"/>
  <c r="X149" i="28" s="1"/>
  <c r="BG153" i="20"/>
  <c r="X150" i="28" s="1"/>
  <c r="BG154" i="20"/>
  <c r="X151" i="28" s="1"/>
  <c r="BG155" i="20"/>
  <c r="X152" i="28" s="1"/>
  <c r="BG156" i="20"/>
  <c r="X153" i="28" s="1"/>
  <c r="BG157" i="20"/>
  <c r="X154" i="28" s="1"/>
  <c r="BH58" i="20"/>
  <c r="BH59" i="20"/>
  <c r="BH60" i="20"/>
  <c r="BH61" i="20"/>
  <c r="BH62" i="20"/>
  <c r="BH63" i="20"/>
  <c r="BH64" i="20"/>
  <c r="BH65" i="20"/>
  <c r="BH66" i="20"/>
  <c r="BH67" i="20"/>
  <c r="BH68" i="20"/>
  <c r="BH69" i="20"/>
  <c r="BH70" i="20"/>
  <c r="BH71" i="20"/>
  <c r="BH72" i="20"/>
  <c r="BH73" i="20"/>
  <c r="BH74" i="20"/>
  <c r="BH75" i="20"/>
  <c r="BH76" i="20"/>
  <c r="BH77" i="20"/>
  <c r="BH78" i="20"/>
  <c r="BH79" i="20"/>
  <c r="BH80" i="20"/>
  <c r="BH81" i="20"/>
  <c r="BH82" i="20"/>
  <c r="BH83" i="20"/>
  <c r="BH84" i="20"/>
  <c r="BH85" i="20"/>
  <c r="BH86" i="20"/>
  <c r="BH87" i="20"/>
  <c r="BH88" i="20"/>
  <c r="BH89" i="20"/>
  <c r="BH90" i="20"/>
  <c r="BH91" i="20"/>
  <c r="BH92" i="20"/>
  <c r="BH93" i="20"/>
  <c r="BH94" i="20"/>
  <c r="BH95" i="20"/>
  <c r="BH96" i="20"/>
  <c r="BH97" i="20"/>
  <c r="BH98" i="20"/>
  <c r="BH99" i="20"/>
  <c r="BH100" i="20"/>
  <c r="BH101" i="20"/>
  <c r="BH102" i="20"/>
  <c r="BH103" i="20"/>
  <c r="BH104" i="20"/>
  <c r="BH105" i="20"/>
  <c r="BH106" i="20"/>
  <c r="BH107" i="20"/>
  <c r="BH108" i="20"/>
  <c r="BH109" i="20"/>
  <c r="BH110" i="20"/>
  <c r="BH111" i="20"/>
  <c r="BH112" i="20"/>
  <c r="BH113" i="20"/>
  <c r="BH114" i="20"/>
  <c r="BH115" i="20"/>
  <c r="BH116" i="20"/>
  <c r="BH117" i="20"/>
  <c r="BH118" i="20"/>
  <c r="BH119" i="20"/>
  <c r="BH120" i="20"/>
  <c r="BH121" i="20"/>
  <c r="BH122" i="20"/>
  <c r="BH123" i="20"/>
  <c r="BH124" i="20"/>
  <c r="BH125" i="20"/>
  <c r="BH126" i="20"/>
  <c r="BH127" i="20"/>
  <c r="BH128" i="20"/>
  <c r="BH129" i="20"/>
  <c r="BH130" i="20"/>
  <c r="BH131" i="20"/>
  <c r="BH132" i="20"/>
  <c r="BH133" i="20"/>
  <c r="BH134" i="20"/>
  <c r="BH135" i="20"/>
  <c r="BH136" i="20"/>
  <c r="BH137" i="20"/>
  <c r="BH138" i="20"/>
  <c r="BH139" i="20"/>
  <c r="BH140" i="20"/>
  <c r="BH141" i="20"/>
  <c r="BH142" i="20"/>
  <c r="BH143" i="20"/>
  <c r="BH144" i="20"/>
  <c r="BH145" i="20"/>
  <c r="BH146" i="20"/>
  <c r="BH147" i="20"/>
  <c r="BH148" i="20"/>
  <c r="BH149" i="20"/>
  <c r="BH150" i="20"/>
  <c r="BH151" i="20"/>
  <c r="BH152" i="20"/>
  <c r="BH153" i="20"/>
  <c r="BH154" i="20"/>
  <c r="BH155" i="20"/>
  <c r="BH156" i="20"/>
  <c r="BH157" i="20"/>
  <c r="BI58" i="20"/>
  <c r="BI59" i="20"/>
  <c r="BI60" i="20"/>
  <c r="BI61" i="20"/>
  <c r="BI62" i="20"/>
  <c r="BI63" i="20"/>
  <c r="BI64" i="20"/>
  <c r="BI65" i="20"/>
  <c r="BI66" i="20"/>
  <c r="BI67" i="20"/>
  <c r="BI68" i="20"/>
  <c r="BI69" i="20"/>
  <c r="BI70" i="20"/>
  <c r="BI71" i="20"/>
  <c r="BI72" i="20"/>
  <c r="BI73" i="20"/>
  <c r="BI74" i="20"/>
  <c r="BI75" i="20"/>
  <c r="BI76" i="20"/>
  <c r="BI77" i="20"/>
  <c r="BI78" i="20"/>
  <c r="BI79" i="20"/>
  <c r="BI80" i="20"/>
  <c r="BI81" i="20"/>
  <c r="BI82" i="20"/>
  <c r="BI83" i="20"/>
  <c r="BI84" i="20"/>
  <c r="BI85" i="20"/>
  <c r="BI86" i="20"/>
  <c r="BI87" i="20"/>
  <c r="BI88" i="20"/>
  <c r="BI89" i="20"/>
  <c r="BI90" i="20"/>
  <c r="BI91" i="20"/>
  <c r="BI92" i="20"/>
  <c r="BI93" i="20"/>
  <c r="BI94" i="20"/>
  <c r="BI95" i="20"/>
  <c r="BI96" i="20"/>
  <c r="BI97" i="20"/>
  <c r="BI98" i="20"/>
  <c r="BI99" i="20"/>
  <c r="BI100" i="20"/>
  <c r="BI101" i="20"/>
  <c r="BI102" i="20"/>
  <c r="BI103" i="20"/>
  <c r="BI104" i="20"/>
  <c r="BI105" i="20"/>
  <c r="BI106" i="20"/>
  <c r="BI107" i="20"/>
  <c r="BI108" i="20"/>
  <c r="BI109" i="20"/>
  <c r="BI110" i="20"/>
  <c r="BI111" i="20"/>
  <c r="BI112" i="20"/>
  <c r="BI113" i="20"/>
  <c r="BI114" i="20"/>
  <c r="BI115" i="20"/>
  <c r="BI116" i="20"/>
  <c r="BI117" i="20"/>
  <c r="BI118" i="20"/>
  <c r="BI119" i="20"/>
  <c r="BI120" i="20"/>
  <c r="BI121" i="20"/>
  <c r="BI122" i="20"/>
  <c r="BI123" i="20"/>
  <c r="BI124" i="20"/>
  <c r="BI125" i="20"/>
  <c r="BI126" i="20"/>
  <c r="BI127" i="20"/>
  <c r="BI128" i="20"/>
  <c r="BI129" i="20"/>
  <c r="BI130" i="20"/>
  <c r="BI131" i="20"/>
  <c r="BI132" i="20"/>
  <c r="BI133" i="20"/>
  <c r="BI134" i="20"/>
  <c r="BI135" i="20"/>
  <c r="BI136" i="20"/>
  <c r="BI137" i="20"/>
  <c r="BI138" i="20"/>
  <c r="BI139" i="20"/>
  <c r="BI140" i="20"/>
  <c r="BI141" i="20"/>
  <c r="BI142" i="20"/>
  <c r="BI143" i="20"/>
  <c r="BI144" i="20"/>
  <c r="BI145" i="20"/>
  <c r="BI146" i="20"/>
  <c r="BI147" i="20"/>
  <c r="BI148" i="20"/>
  <c r="BI149" i="20"/>
  <c r="BI150" i="20"/>
  <c r="BI151" i="20"/>
  <c r="BI152" i="20"/>
  <c r="BI153" i="20"/>
  <c r="BI154" i="20"/>
  <c r="BI155" i="20"/>
  <c r="BI156" i="20"/>
  <c r="BI157" i="20"/>
  <c r="BK58" i="20"/>
  <c r="BK59" i="20"/>
  <c r="BK60" i="20"/>
  <c r="BK61" i="20"/>
  <c r="BK62" i="20"/>
  <c r="BK63" i="20"/>
  <c r="BK64" i="20"/>
  <c r="BK65" i="20"/>
  <c r="BK66" i="20"/>
  <c r="BK67" i="20"/>
  <c r="BK68" i="20"/>
  <c r="BK69" i="20"/>
  <c r="BK70" i="20"/>
  <c r="BK71" i="20"/>
  <c r="BK72" i="20"/>
  <c r="BK73" i="20"/>
  <c r="BK74" i="20"/>
  <c r="BK75" i="20"/>
  <c r="BK76" i="20"/>
  <c r="BK77" i="20"/>
  <c r="BK78" i="20"/>
  <c r="BK79" i="20"/>
  <c r="BK80" i="20"/>
  <c r="BK81" i="20"/>
  <c r="BK82" i="20"/>
  <c r="BK83" i="20"/>
  <c r="BK84" i="20"/>
  <c r="BK85" i="20"/>
  <c r="BK86" i="20"/>
  <c r="BK87" i="20"/>
  <c r="BK88" i="20"/>
  <c r="BK89" i="20"/>
  <c r="BK90" i="20"/>
  <c r="BK91" i="20"/>
  <c r="BK92" i="20"/>
  <c r="BK93" i="20"/>
  <c r="BK94" i="20"/>
  <c r="BK95" i="20"/>
  <c r="BK96" i="20"/>
  <c r="BK97" i="20"/>
  <c r="BK98" i="20"/>
  <c r="BK99" i="20"/>
  <c r="BK100" i="20"/>
  <c r="BK101" i="20"/>
  <c r="BK102" i="20"/>
  <c r="BK103" i="20"/>
  <c r="BK104" i="20"/>
  <c r="BK105" i="20"/>
  <c r="BK106" i="20"/>
  <c r="BK107" i="20"/>
  <c r="BK108" i="20"/>
  <c r="BK109" i="20"/>
  <c r="BK110" i="20"/>
  <c r="BK111" i="20"/>
  <c r="BK112" i="20"/>
  <c r="BK113" i="20"/>
  <c r="BK114" i="20"/>
  <c r="BK115" i="20"/>
  <c r="BK116" i="20"/>
  <c r="BK117" i="20"/>
  <c r="BK118" i="20"/>
  <c r="BK119" i="20"/>
  <c r="BK120" i="20"/>
  <c r="BK121" i="20"/>
  <c r="BK122" i="20"/>
  <c r="BK123" i="20"/>
  <c r="BK124" i="20"/>
  <c r="BK125" i="20"/>
  <c r="BK126" i="20"/>
  <c r="BK127" i="20"/>
  <c r="BK128" i="20"/>
  <c r="BK129" i="20"/>
  <c r="BK130" i="20"/>
  <c r="BK131" i="20"/>
  <c r="BK132" i="20"/>
  <c r="BK133" i="20"/>
  <c r="BK134" i="20"/>
  <c r="BK135" i="20"/>
  <c r="BK136" i="20"/>
  <c r="BK137" i="20"/>
  <c r="BK138" i="20"/>
  <c r="BK139" i="20"/>
  <c r="BK140" i="20"/>
  <c r="BK141" i="20"/>
  <c r="BK142" i="20"/>
  <c r="BK143" i="20"/>
  <c r="BK144" i="20"/>
  <c r="BK145" i="20"/>
  <c r="BK146" i="20"/>
  <c r="BK147" i="20"/>
  <c r="BK148" i="20"/>
  <c r="BK149" i="20"/>
  <c r="BK150" i="20"/>
  <c r="BK151" i="20"/>
  <c r="BK152" i="20"/>
  <c r="BK153" i="20"/>
  <c r="BK154" i="20"/>
  <c r="BK155" i="20"/>
  <c r="BK156" i="20"/>
  <c r="BK157" i="20"/>
  <c r="BM58" i="20"/>
  <c r="BM59" i="20"/>
  <c r="BM60" i="20"/>
  <c r="BM61" i="20"/>
  <c r="BM62" i="20"/>
  <c r="BM66" i="20"/>
  <c r="BM67" i="20"/>
  <c r="BM68" i="20"/>
  <c r="BM69" i="20"/>
  <c r="BM70" i="20"/>
  <c r="BM71" i="20"/>
  <c r="BM72" i="20"/>
  <c r="BM73" i="20"/>
  <c r="BM74" i="20"/>
  <c r="BM75" i="20"/>
  <c r="BM76" i="20"/>
  <c r="BM77" i="20"/>
  <c r="BM78" i="20"/>
  <c r="BM79" i="20"/>
  <c r="BM80" i="20"/>
  <c r="BM81" i="20"/>
  <c r="BM82" i="20"/>
  <c r="BM83" i="20"/>
  <c r="BM84" i="20"/>
  <c r="BM85" i="20"/>
  <c r="BM86" i="20"/>
  <c r="BM87" i="20"/>
  <c r="BM88" i="20"/>
  <c r="BM89" i="20"/>
  <c r="BM90" i="20"/>
  <c r="BM91" i="20"/>
  <c r="BM92" i="20"/>
  <c r="BM93" i="20"/>
  <c r="BM94" i="20"/>
  <c r="BM95" i="20"/>
  <c r="BM96" i="20"/>
  <c r="BM97" i="20"/>
  <c r="BM98" i="20"/>
  <c r="BM99" i="20"/>
  <c r="BM100" i="20"/>
  <c r="BM101" i="20"/>
  <c r="BM102" i="20"/>
  <c r="BM103" i="20"/>
  <c r="BM104" i="20"/>
  <c r="BM105" i="20"/>
  <c r="BM106" i="20"/>
  <c r="BM107" i="20"/>
  <c r="BM108" i="20"/>
  <c r="BM109" i="20"/>
  <c r="BM110" i="20"/>
  <c r="BM111" i="20"/>
  <c r="BM112" i="20"/>
  <c r="BM113" i="20"/>
  <c r="BM114" i="20"/>
  <c r="BM115" i="20"/>
  <c r="BM116" i="20"/>
  <c r="BM117" i="20"/>
  <c r="BM118" i="20"/>
  <c r="BM119" i="20"/>
  <c r="BM120" i="20"/>
  <c r="BM121" i="20"/>
  <c r="BM122" i="20"/>
  <c r="BM123" i="20"/>
  <c r="BM124" i="20"/>
  <c r="BM125" i="20"/>
  <c r="BM126" i="20"/>
  <c r="BM127" i="20"/>
  <c r="BM128" i="20"/>
  <c r="BM129" i="20"/>
  <c r="BM130" i="20"/>
  <c r="BM131" i="20"/>
  <c r="BM132" i="20"/>
  <c r="BM133" i="20"/>
  <c r="BM134" i="20"/>
  <c r="BM135" i="20"/>
  <c r="BM136" i="20"/>
  <c r="BM137" i="20"/>
  <c r="BM138" i="20"/>
  <c r="BM139" i="20"/>
  <c r="BM140" i="20"/>
  <c r="BM141" i="20"/>
  <c r="BM142" i="20"/>
  <c r="BM143" i="20"/>
  <c r="BM144" i="20"/>
  <c r="BM145" i="20"/>
  <c r="BM146" i="20"/>
  <c r="BM147" i="20"/>
  <c r="BM148" i="20"/>
  <c r="BM149" i="20"/>
  <c r="BM150" i="20"/>
  <c r="BM151" i="20"/>
  <c r="BM152" i="20"/>
  <c r="BM153" i="20"/>
  <c r="BM154" i="20"/>
  <c r="BM155" i="20"/>
  <c r="BM156" i="20"/>
  <c r="BM157" i="20"/>
  <c r="BN58" i="20"/>
  <c r="BN59" i="20"/>
  <c r="BN60" i="20"/>
  <c r="BN61" i="20"/>
  <c r="BN62" i="20"/>
  <c r="BN63" i="20"/>
  <c r="BN64" i="20"/>
  <c r="BN65" i="20"/>
  <c r="BN66" i="20"/>
  <c r="BN67" i="20"/>
  <c r="BN68" i="20"/>
  <c r="BN69" i="20"/>
  <c r="BN70" i="20"/>
  <c r="BN71" i="20"/>
  <c r="BN72" i="20"/>
  <c r="BN73" i="20"/>
  <c r="BN74" i="20"/>
  <c r="BN75" i="20"/>
  <c r="BN76" i="20"/>
  <c r="BN77" i="20"/>
  <c r="BN78" i="20"/>
  <c r="BN79" i="20"/>
  <c r="BN80" i="20"/>
  <c r="BN81" i="20"/>
  <c r="BN82" i="20"/>
  <c r="BN83" i="20"/>
  <c r="BN84" i="20"/>
  <c r="BN85" i="20"/>
  <c r="BN86" i="20"/>
  <c r="BN87" i="20"/>
  <c r="BN88" i="20"/>
  <c r="BN89" i="20"/>
  <c r="BN90" i="20"/>
  <c r="BN91" i="20"/>
  <c r="BN92" i="20"/>
  <c r="BN93" i="20"/>
  <c r="BN94" i="20"/>
  <c r="BN95" i="20"/>
  <c r="BN96" i="20"/>
  <c r="BN97" i="20"/>
  <c r="BN98" i="20"/>
  <c r="BN99" i="20"/>
  <c r="BN100" i="20"/>
  <c r="BN101" i="20"/>
  <c r="BN102" i="20"/>
  <c r="BN103" i="20"/>
  <c r="BN104" i="20"/>
  <c r="BN105" i="20"/>
  <c r="BN106" i="20"/>
  <c r="BN107" i="20"/>
  <c r="BN108" i="20"/>
  <c r="BN109" i="20"/>
  <c r="BN110" i="20"/>
  <c r="BN111" i="20"/>
  <c r="BN112" i="20"/>
  <c r="BN113" i="20"/>
  <c r="BN114" i="20"/>
  <c r="BN115" i="20"/>
  <c r="BN116" i="20"/>
  <c r="BN117" i="20"/>
  <c r="BN118" i="20"/>
  <c r="BN119" i="20"/>
  <c r="BN120" i="20"/>
  <c r="BN121" i="20"/>
  <c r="BN122" i="20"/>
  <c r="BN123" i="20"/>
  <c r="BN124" i="20"/>
  <c r="BN125" i="20"/>
  <c r="BN126" i="20"/>
  <c r="BN127" i="20"/>
  <c r="BN128" i="20"/>
  <c r="BN129" i="20"/>
  <c r="BN130" i="20"/>
  <c r="BN131" i="20"/>
  <c r="BN132" i="20"/>
  <c r="BN133" i="20"/>
  <c r="BN134" i="20"/>
  <c r="BN135" i="20"/>
  <c r="BN136" i="20"/>
  <c r="BN137" i="20"/>
  <c r="BN138" i="20"/>
  <c r="BN139" i="20"/>
  <c r="BN140" i="20"/>
  <c r="BN141" i="20"/>
  <c r="BN142" i="20"/>
  <c r="BN143" i="20"/>
  <c r="BN144" i="20"/>
  <c r="BN145" i="20"/>
  <c r="BN146" i="20"/>
  <c r="BN147" i="20"/>
  <c r="BN148" i="20"/>
  <c r="BN149" i="20"/>
  <c r="BN150" i="20"/>
  <c r="BN151" i="20"/>
  <c r="BN152" i="20"/>
  <c r="BN153" i="20"/>
  <c r="BN154" i="20"/>
  <c r="BN155" i="20"/>
  <c r="BN156" i="20"/>
  <c r="BN157" i="20"/>
  <c r="CF58" i="20"/>
  <c r="CF59" i="20"/>
  <c r="CF60" i="20"/>
  <c r="CF61" i="20"/>
  <c r="CF62" i="20"/>
  <c r="CF63" i="20"/>
  <c r="CF64" i="20"/>
  <c r="CF65" i="20"/>
  <c r="CF66" i="20"/>
  <c r="CF67" i="20"/>
  <c r="CF68" i="20"/>
  <c r="CF69" i="20"/>
  <c r="CF70" i="20"/>
  <c r="CF71" i="20"/>
  <c r="CF72" i="20"/>
  <c r="CF73" i="20"/>
  <c r="CG58" i="20"/>
  <c r="CG59" i="20"/>
  <c r="CG65" i="20"/>
  <c r="CG66" i="20"/>
  <c r="CG67" i="20"/>
  <c r="CG68" i="20"/>
  <c r="CG69" i="20"/>
  <c r="CG70" i="20"/>
  <c r="CJ58" i="20"/>
  <c r="DD58" i="20" s="1"/>
  <c r="DD59" i="20"/>
  <c r="DD60" i="20"/>
  <c r="DD61" i="20"/>
  <c r="DD62" i="20"/>
  <c r="DD63" i="20"/>
  <c r="DD64" i="20"/>
  <c r="CJ65" i="20"/>
  <c r="DD65" i="20" s="1"/>
  <c r="CJ66" i="20"/>
  <c r="DD66" i="20" s="1"/>
  <c r="CJ67" i="20"/>
  <c r="DD67" i="20" s="1"/>
  <c r="CJ68" i="20"/>
  <c r="DD68" i="20" s="1"/>
  <c r="CJ69" i="20"/>
  <c r="DD69" i="20" s="1"/>
  <c r="CJ70" i="20"/>
  <c r="DD70" i="20" s="1"/>
  <c r="DD71" i="20"/>
  <c r="DD72" i="20"/>
  <c r="DD73" i="20"/>
  <c r="DD74" i="20"/>
  <c r="DD75" i="20"/>
  <c r="DD76" i="20"/>
  <c r="DD77" i="20"/>
  <c r="DD78" i="20"/>
  <c r="DD79" i="20"/>
  <c r="DD80" i="20"/>
  <c r="DD81" i="20"/>
  <c r="DD82" i="20"/>
  <c r="DD83" i="20"/>
  <c r="DD84" i="20"/>
  <c r="DD85" i="20"/>
  <c r="DD86" i="20"/>
  <c r="DD87" i="20"/>
  <c r="DD88" i="20"/>
  <c r="DD89" i="20"/>
  <c r="DD90" i="20"/>
  <c r="DD91" i="20"/>
  <c r="DD92" i="20"/>
  <c r="DD93" i="20"/>
  <c r="DD94" i="20"/>
  <c r="DD95" i="20"/>
  <c r="DD96" i="20"/>
  <c r="DD97" i="20"/>
  <c r="DD98" i="20"/>
  <c r="DD99" i="20"/>
  <c r="DD100" i="20"/>
  <c r="DD101" i="20"/>
  <c r="DD102" i="20"/>
  <c r="DD105" i="20"/>
  <c r="DD106" i="20"/>
  <c r="DD107" i="20"/>
  <c r="DD109" i="20"/>
  <c r="DD110" i="20"/>
  <c r="DD113" i="20"/>
  <c r="DD114" i="20"/>
  <c r="DD118" i="20"/>
  <c r="DD119" i="20"/>
  <c r="DD120" i="20"/>
  <c r="DD121" i="20"/>
  <c r="DD122" i="20"/>
  <c r="DD123" i="20"/>
  <c r="DD124" i="20"/>
  <c r="DD125" i="20"/>
  <c r="DD126" i="20"/>
  <c r="DD127" i="20"/>
  <c r="DD128" i="20"/>
  <c r="DD129" i="20"/>
  <c r="DD130" i="20"/>
  <c r="DD131" i="20"/>
  <c r="DD132" i="20"/>
  <c r="DD133" i="20"/>
  <c r="DD134" i="20"/>
  <c r="DD135" i="20"/>
  <c r="DD136" i="20"/>
  <c r="DD137" i="20"/>
  <c r="DD138" i="20"/>
  <c r="DD139" i="20"/>
  <c r="DD140" i="20"/>
  <c r="DD141" i="20"/>
  <c r="DD142" i="20"/>
  <c r="DD143" i="20"/>
  <c r="DD144" i="20"/>
  <c r="DD145" i="20"/>
  <c r="DD146" i="20"/>
  <c r="DD147" i="20"/>
  <c r="DD148" i="20"/>
  <c r="DD149" i="20"/>
  <c r="DD150" i="20"/>
  <c r="DD151" i="20"/>
  <c r="DD152" i="20"/>
  <c r="DD153" i="20"/>
  <c r="DD154" i="20"/>
  <c r="DD155" i="20"/>
  <c r="DD156" i="20"/>
  <c r="DD157" i="20"/>
  <c r="CN58" i="20"/>
  <c r="CN59" i="20"/>
  <c r="CN65" i="20"/>
  <c r="CN66" i="20"/>
  <c r="CN67" i="20"/>
  <c r="CN68" i="20"/>
  <c r="CN69" i="20"/>
  <c r="CN70" i="20"/>
  <c r="CW96" i="20"/>
  <c r="CO58" i="20"/>
  <c r="CO59" i="20"/>
  <c r="CW60" i="20"/>
  <c r="CO65" i="20"/>
  <c r="CO66" i="20"/>
  <c r="CO67" i="20"/>
  <c r="CO68" i="20"/>
  <c r="CO69" i="20"/>
  <c r="CO70" i="20"/>
  <c r="CW84" i="20"/>
  <c r="CW108" i="20"/>
  <c r="CW132" i="20"/>
  <c r="CW144" i="20"/>
  <c r="CW145" i="20"/>
  <c r="CW156" i="20"/>
  <c r="CW157" i="20"/>
  <c r="CQ58" i="20"/>
  <c r="CQ59" i="20"/>
  <c r="CQ65" i="20"/>
  <c r="CQ66" i="20"/>
  <c r="CQ67" i="20"/>
  <c r="CQ68" i="20"/>
  <c r="CQ69" i="20"/>
  <c r="CQ70" i="20"/>
  <c r="CR58" i="20"/>
  <c r="CR59" i="20"/>
  <c r="CR65" i="20"/>
  <c r="CR66" i="20"/>
  <c r="CR67" i="20"/>
  <c r="CR68" i="20"/>
  <c r="CR69" i="20"/>
  <c r="CR70" i="20"/>
  <c r="CX108" i="20"/>
  <c r="CS58" i="20"/>
  <c r="CS59" i="20"/>
  <c r="CS65" i="20"/>
  <c r="CS66" i="20"/>
  <c r="CS67" i="20"/>
  <c r="CS68" i="20"/>
  <c r="CS69" i="20"/>
  <c r="CS70" i="20"/>
  <c r="CT58" i="20"/>
  <c r="CT59" i="20"/>
  <c r="CT60" i="20"/>
  <c r="CT65" i="20"/>
  <c r="CT66" i="20"/>
  <c r="CT67" i="20"/>
  <c r="CT68" i="20"/>
  <c r="CT69" i="20"/>
  <c r="CT70" i="20"/>
  <c r="CT71" i="20"/>
  <c r="CV58" i="20"/>
  <c r="CV59" i="20"/>
  <c r="CV60" i="20"/>
  <c r="CV61" i="20"/>
  <c r="CV62" i="20"/>
  <c r="CV65" i="20"/>
  <c r="CV66" i="20"/>
  <c r="CV67" i="20"/>
  <c r="CV68" i="20"/>
  <c r="CV69" i="20"/>
  <c r="CV70" i="20"/>
  <c r="CV71" i="20"/>
  <c r="CW72" i="20"/>
  <c r="CX85" i="20"/>
  <c r="CX97" i="20"/>
  <c r="CZ58" i="20"/>
  <c r="CZ59" i="20"/>
  <c r="CZ60" i="20"/>
  <c r="CZ61" i="20"/>
  <c r="CZ62" i="20"/>
  <c r="CZ63" i="20"/>
  <c r="CZ64" i="20"/>
  <c r="CZ65" i="20"/>
  <c r="CZ66" i="20"/>
  <c r="CZ67" i="20"/>
  <c r="CZ68" i="20"/>
  <c r="CZ69" i="20"/>
  <c r="CZ70" i="20"/>
  <c r="CZ71" i="20"/>
  <c r="CZ72" i="20"/>
  <c r="CZ73" i="20"/>
  <c r="CZ74" i="20"/>
  <c r="CZ75" i="20"/>
  <c r="CZ76" i="20"/>
  <c r="CZ77" i="20"/>
  <c r="CZ78" i="20"/>
  <c r="CZ79" i="20"/>
  <c r="CZ80" i="20"/>
  <c r="CZ81" i="20"/>
  <c r="CZ82" i="20"/>
  <c r="CZ83" i="20"/>
  <c r="CZ84" i="20"/>
  <c r="CZ85" i="20"/>
  <c r="CZ86" i="20"/>
  <c r="CZ87" i="20"/>
  <c r="CZ88" i="20"/>
  <c r="CZ89" i="20"/>
  <c r="CZ90" i="20"/>
  <c r="CZ91" i="20"/>
  <c r="CZ92" i="20"/>
  <c r="CZ93" i="20"/>
  <c r="CZ94" i="20"/>
  <c r="CZ95" i="20"/>
  <c r="CZ96" i="20"/>
  <c r="CZ97" i="20"/>
  <c r="CZ98" i="20"/>
  <c r="CZ99" i="20"/>
  <c r="CZ100" i="20"/>
  <c r="CZ101" i="20"/>
  <c r="CZ102" i="20"/>
  <c r="CZ103" i="20"/>
  <c r="CZ104" i="20"/>
  <c r="CZ105" i="20"/>
  <c r="CZ106" i="20"/>
  <c r="CZ107" i="20"/>
  <c r="CZ108" i="20"/>
  <c r="CZ109" i="20"/>
  <c r="CZ110" i="20"/>
  <c r="CZ111" i="20"/>
  <c r="CZ112" i="20"/>
  <c r="CZ113" i="20"/>
  <c r="CZ114" i="20"/>
  <c r="CZ115" i="20"/>
  <c r="CZ116" i="20"/>
  <c r="CZ117" i="20"/>
  <c r="CZ118" i="20"/>
  <c r="CZ119" i="20"/>
  <c r="CZ120" i="20"/>
  <c r="CZ121" i="20"/>
  <c r="CZ122" i="20"/>
  <c r="CZ123" i="20"/>
  <c r="CZ124" i="20"/>
  <c r="CZ125" i="20"/>
  <c r="CZ126" i="20"/>
  <c r="CZ127" i="20"/>
  <c r="CZ128" i="20"/>
  <c r="CZ129" i="20"/>
  <c r="CZ130" i="20"/>
  <c r="CZ131" i="20"/>
  <c r="CZ132" i="20"/>
  <c r="CZ133" i="20"/>
  <c r="CZ134" i="20"/>
  <c r="CZ135" i="20"/>
  <c r="CZ136" i="20"/>
  <c r="CZ137" i="20"/>
  <c r="CZ138" i="20"/>
  <c r="CZ139" i="20"/>
  <c r="CZ140" i="20"/>
  <c r="CZ141" i="20"/>
  <c r="CZ142" i="20"/>
  <c r="CZ143" i="20"/>
  <c r="CZ144" i="20"/>
  <c r="CZ145" i="20"/>
  <c r="CZ146" i="20"/>
  <c r="CZ147" i="20"/>
  <c r="CZ148" i="20"/>
  <c r="CZ149" i="20"/>
  <c r="CZ150" i="20"/>
  <c r="CZ151" i="20"/>
  <c r="CZ152" i="20"/>
  <c r="CZ153" i="20"/>
  <c r="CZ154" i="20"/>
  <c r="CZ155" i="20"/>
  <c r="CZ156" i="20"/>
  <c r="CZ157" i="20"/>
  <c r="DC58" i="20"/>
  <c r="DC59" i="20"/>
  <c r="DC60" i="20"/>
  <c r="DC61" i="20"/>
  <c r="DC62" i="20"/>
  <c r="DC63" i="20"/>
  <c r="DC64" i="20"/>
  <c r="DC65" i="20"/>
  <c r="DC66" i="20"/>
  <c r="DC67" i="20"/>
  <c r="DC68" i="20"/>
  <c r="DC69" i="20"/>
  <c r="DC70" i="20"/>
  <c r="DC71" i="20"/>
  <c r="DC72" i="20"/>
  <c r="DC73" i="20"/>
  <c r="DC74" i="20"/>
  <c r="DC75" i="20"/>
  <c r="DC76" i="20"/>
  <c r="DC77" i="20"/>
  <c r="DC78" i="20"/>
  <c r="DC79" i="20"/>
  <c r="DC80" i="20"/>
  <c r="DC81" i="20"/>
  <c r="DC82" i="20"/>
  <c r="DC83" i="20"/>
  <c r="DC84" i="20"/>
  <c r="DC85" i="20"/>
  <c r="DC86" i="20"/>
  <c r="DC87" i="20"/>
  <c r="DC88" i="20"/>
  <c r="DC89" i="20"/>
  <c r="DC90" i="20"/>
  <c r="DC91" i="20"/>
  <c r="DC92" i="20"/>
  <c r="DC93" i="20"/>
  <c r="DC94" i="20"/>
  <c r="DC98" i="20"/>
  <c r="DC99" i="20"/>
  <c r="DC100" i="20"/>
  <c r="DC101" i="20"/>
  <c r="DC102" i="20"/>
  <c r="DC103" i="20"/>
  <c r="DC104" i="20"/>
  <c r="DC105" i="20"/>
  <c r="DC106" i="20"/>
  <c r="DC107" i="20"/>
  <c r="DC108" i="20"/>
  <c r="DC109" i="20"/>
  <c r="DC111" i="20"/>
  <c r="DC112" i="20"/>
  <c r="DC113" i="20"/>
  <c r="DC114" i="20"/>
  <c r="DC115" i="20"/>
  <c r="DC116" i="20"/>
  <c r="DC117" i="20"/>
  <c r="DC118" i="20"/>
  <c r="DC119" i="20"/>
  <c r="DC120" i="20"/>
  <c r="DC121" i="20"/>
  <c r="DC122" i="20"/>
  <c r="DC123" i="20"/>
  <c r="DC124" i="20"/>
  <c r="DC125" i="20"/>
  <c r="DC126" i="20"/>
  <c r="DC127" i="20"/>
  <c r="DC128" i="20"/>
  <c r="DC129" i="20"/>
  <c r="DC130" i="20"/>
  <c r="DC131" i="20"/>
  <c r="DC132" i="20"/>
  <c r="DC133" i="20"/>
  <c r="DC134" i="20"/>
  <c r="DC135" i="20"/>
  <c r="DC136" i="20"/>
  <c r="DC137" i="20"/>
  <c r="DC138" i="20"/>
  <c r="DC139" i="20"/>
  <c r="DC140" i="20"/>
  <c r="DC141" i="20"/>
  <c r="DC142" i="20"/>
  <c r="DC143" i="20"/>
  <c r="DC144" i="20"/>
  <c r="DC145" i="20"/>
  <c r="DC146" i="20"/>
  <c r="DC147" i="20"/>
  <c r="DC148" i="20"/>
  <c r="DC149" i="20"/>
  <c r="DC150" i="20"/>
  <c r="DC151" i="20"/>
  <c r="DC152" i="20"/>
  <c r="DC153" i="20"/>
  <c r="DC154" i="20"/>
  <c r="DC155" i="20"/>
  <c r="DC156" i="20"/>
  <c r="DC157" i="20"/>
  <c r="CI5" i="20"/>
  <c r="CI6" i="20"/>
  <c r="CI7" i="20"/>
  <c r="CI9" i="20"/>
  <c r="CI10" i="20"/>
  <c r="CI11" i="20"/>
  <c r="CI12" i="20"/>
  <c r="CI13" i="20"/>
  <c r="CI14" i="20"/>
  <c r="CI15" i="20"/>
  <c r="CI16" i="20"/>
  <c r="CI17" i="20"/>
  <c r="CI18" i="20"/>
  <c r="CI19" i="20"/>
  <c r="CI20" i="20"/>
  <c r="CI21" i="20"/>
  <c r="CI22" i="20"/>
  <c r="CI23" i="20"/>
  <c r="CI24" i="20"/>
  <c r="CI25" i="20"/>
  <c r="CI26" i="20"/>
  <c r="CI27" i="20"/>
  <c r="CI29" i="20"/>
  <c r="CI31" i="20"/>
  <c r="CI32" i="20"/>
  <c r="CI33" i="20"/>
  <c r="CI34" i="20"/>
  <c r="CI35" i="20"/>
  <c r="CI36" i="20"/>
  <c r="CI37" i="20"/>
  <c r="CI38" i="20"/>
  <c r="CI39" i="20"/>
  <c r="CI40" i="20"/>
  <c r="CI41" i="20"/>
  <c r="CI42" i="20"/>
  <c r="CI43" i="20"/>
  <c r="CI44" i="20"/>
  <c r="CI45" i="20"/>
  <c r="CI46" i="20"/>
  <c r="CI47" i="20"/>
  <c r="CI48" i="20"/>
  <c r="CI49" i="20"/>
  <c r="CI50" i="20"/>
  <c r="CI51" i="20"/>
  <c r="CI52" i="20"/>
  <c r="CI53" i="20"/>
  <c r="CI54" i="20"/>
  <c r="CI55" i="20"/>
  <c r="CI56" i="20"/>
  <c r="CI57" i="20"/>
  <c r="CI58" i="20"/>
  <c r="CI65" i="20"/>
  <c r="CI66" i="20"/>
  <c r="CI67" i="20"/>
  <c r="CI68" i="20"/>
  <c r="CI69" i="20"/>
  <c r="CI70" i="20"/>
  <c r="CW121" i="20" l="1"/>
  <c r="CW109" i="20"/>
  <c r="CW97" i="20"/>
  <c r="CX73" i="20"/>
  <c r="CW61" i="20"/>
  <c r="CX61" i="20"/>
  <c r="CX60" i="20"/>
  <c r="CY60" i="20" s="1"/>
  <c r="CX83" i="20"/>
  <c r="CX96" i="20"/>
  <c r="CX95" i="20"/>
  <c r="CX59" i="20"/>
  <c r="CX153" i="20"/>
  <c r="CX141" i="20"/>
  <c r="CX129" i="20"/>
  <c r="CX105" i="20"/>
  <c r="CX93" i="20"/>
  <c r="CX81" i="20"/>
  <c r="CX69" i="20"/>
  <c r="CW137" i="20"/>
  <c r="CW113" i="20"/>
  <c r="CW89" i="20"/>
  <c r="CW65" i="20"/>
  <c r="CX71" i="20"/>
  <c r="CX140" i="20"/>
  <c r="CX116" i="20"/>
  <c r="CX104" i="20"/>
  <c r="CX92" i="20"/>
  <c r="CX80" i="20"/>
  <c r="CX68" i="20"/>
  <c r="CW120" i="20"/>
  <c r="CW135" i="20"/>
  <c r="CW111" i="20"/>
  <c r="CY111" i="20" s="1"/>
  <c r="CW87" i="20"/>
  <c r="CW63" i="20"/>
  <c r="CW155" i="20"/>
  <c r="CW131" i="20"/>
  <c r="CW107" i="20"/>
  <c r="CW83" i="20"/>
  <c r="CW59" i="20"/>
  <c r="CW110" i="20"/>
  <c r="CW62" i="20"/>
  <c r="CX152" i="20"/>
  <c r="CW122" i="20"/>
  <c r="CW74" i="20"/>
  <c r="CW130" i="20"/>
  <c r="CW82" i="20"/>
  <c r="CW149" i="20"/>
  <c r="CW133" i="20"/>
  <c r="CW125" i="20"/>
  <c r="CW101" i="20"/>
  <c r="CW85" i="20"/>
  <c r="CY85" i="20" s="1"/>
  <c r="CW77" i="20"/>
  <c r="CW152" i="20"/>
  <c r="CW128" i="20"/>
  <c r="CW104" i="20"/>
  <c r="CY104" i="20" s="1"/>
  <c r="CY61" i="20"/>
  <c r="CW143" i="20"/>
  <c r="CW119" i="20"/>
  <c r="CW95" i="20"/>
  <c r="CY95" i="20" s="1"/>
  <c r="CW71" i="20"/>
  <c r="CW142" i="20"/>
  <c r="CW118" i="20"/>
  <c r="CW94" i="20"/>
  <c r="CW140" i="20"/>
  <c r="CY140" i="20" s="1"/>
  <c r="CW116" i="20"/>
  <c r="CY116" i="20" s="1"/>
  <c r="CW92" i="20"/>
  <c r="CW153" i="20"/>
  <c r="CW141" i="20"/>
  <c r="CX121" i="20"/>
  <c r="CY121" i="20" s="1"/>
  <c r="CX109" i="20"/>
  <c r="CY109" i="20" s="1"/>
  <c r="CW73" i="20"/>
  <c r="DF91" i="20"/>
  <c r="DF79" i="20"/>
  <c r="DF67" i="20"/>
  <c r="CX113" i="20"/>
  <c r="CX101" i="20"/>
  <c r="CX89" i="20"/>
  <c r="CX77" i="20"/>
  <c r="CX65" i="20"/>
  <c r="CY65" i="20" s="1"/>
  <c r="CX145" i="20"/>
  <c r="CY145" i="20" s="1"/>
  <c r="CX120" i="20"/>
  <c r="CW129" i="20"/>
  <c r="CY129" i="20" s="1"/>
  <c r="CX148" i="20"/>
  <c r="CX136" i="20"/>
  <c r="CX124" i="20"/>
  <c r="CX100" i="20"/>
  <c r="CX88" i="20"/>
  <c r="CX76" i="20"/>
  <c r="CX64" i="20"/>
  <c r="CW148" i="20"/>
  <c r="CW136" i="20"/>
  <c r="CW124" i="20"/>
  <c r="CW100" i="20"/>
  <c r="CW88" i="20"/>
  <c r="CW76" i="20"/>
  <c r="CW64" i="20"/>
  <c r="CX156" i="20"/>
  <c r="CY156" i="20" s="1"/>
  <c r="CX144" i="20"/>
  <c r="CY144" i="20" s="1"/>
  <c r="CX132" i="20"/>
  <c r="CY132" i="20" s="1"/>
  <c r="CX84" i="20"/>
  <c r="CY84" i="20" s="1"/>
  <c r="CX72" i="20"/>
  <c r="CY72" i="20" s="1"/>
  <c r="CW80" i="20"/>
  <c r="CW70" i="20"/>
  <c r="CW117" i="20"/>
  <c r="CW105" i="20"/>
  <c r="CY105" i="20" s="1"/>
  <c r="CW93" i="20"/>
  <c r="CW81" i="20"/>
  <c r="CY81" i="20" s="1"/>
  <c r="CW69" i="20"/>
  <c r="CX98" i="20"/>
  <c r="DF90" i="20"/>
  <c r="DF78" i="20"/>
  <c r="DF66" i="20"/>
  <c r="DF89" i="20"/>
  <c r="DF77" i="20"/>
  <c r="DF65" i="20"/>
  <c r="CY97" i="20"/>
  <c r="CW68" i="20"/>
  <c r="CY96" i="20"/>
  <c r="DF87" i="20"/>
  <c r="DF75" i="20"/>
  <c r="DF63" i="20"/>
  <c r="DF88" i="20"/>
  <c r="DF76" i="20"/>
  <c r="DF64" i="20"/>
  <c r="DF86" i="20"/>
  <c r="DF74" i="20"/>
  <c r="DF62" i="20"/>
  <c r="CY108" i="20"/>
  <c r="CX149" i="20"/>
  <c r="CX137" i="20"/>
  <c r="CX125" i="20"/>
  <c r="DF85" i="20"/>
  <c r="DF73" i="20"/>
  <c r="DF61" i="20"/>
  <c r="DF84" i="20"/>
  <c r="DF72" i="20"/>
  <c r="DF60" i="20"/>
  <c r="DF83" i="20"/>
  <c r="DF71" i="20"/>
  <c r="DF59" i="20"/>
  <c r="DF94" i="20"/>
  <c r="DF82" i="20"/>
  <c r="DF70" i="20"/>
  <c r="DF58" i="20"/>
  <c r="DF93" i="20"/>
  <c r="DF81" i="20"/>
  <c r="DF69" i="20"/>
  <c r="DF92" i="20"/>
  <c r="DF80" i="20"/>
  <c r="DF68" i="20"/>
  <c r="CW151" i="20"/>
  <c r="CW139" i="20"/>
  <c r="CW127" i="20"/>
  <c r="CW115" i="20"/>
  <c r="CW103" i="20"/>
  <c r="CW91" i="20"/>
  <c r="CW79" i="20"/>
  <c r="CW67" i="20"/>
  <c r="CX102" i="20"/>
  <c r="CW150" i="20"/>
  <c r="CW138" i="20"/>
  <c r="CW126" i="20"/>
  <c r="CW114" i="20"/>
  <c r="CW102" i="20"/>
  <c r="CW90" i="20"/>
  <c r="CW78" i="20"/>
  <c r="CW66" i="20"/>
  <c r="CX99" i="20"/>
  <c r="CX87" i="20"/>
  <c r="CX75" i="20"/>
  <c r="CX63" i="20"/>
  <c r="CX122" i="20"/>
  <c r="CX86" i="20"/>
  <c r="CX74" i="20"/>
  <c r="CX62" i="20"/>
  <c r="CX70" i="20"/>
  <c r="CW154" i="20"/>
  <c r="CW106" i="20"/>
  <c r="CW58" i="20"/>
  <c r="CW146" i="20"/>
  <c r="CW134" i="20"/>
  <c r="CW98" i="20"/>
  <c r="CW86" i="20"/>
  <c r="CX157" i="20"/>
  <c r="CY157" i="20" s="1"/>
  <c r="CX133" i="20"/>
  <c r="CX130" i="20"/>
  <c r="CX94" i="20"/>
  <c r="CY94" i="20" s="1"/>
  <c r="CX82" i="20"/>
  <c r="CW147" i="20"/>
  <c r="CW123" i="20"/>
  <c r="CW99" i="20"/>
  <c r="CW75" i="20"/>
  <c r="CX114" i="20"/>
  <c r="CX90" i="20"/>
  <c r="CX78" i="20"/>
  <c r="CX66" i="20"/>
  <c r="CX103" i="20"/>
  <c r="CX91" i="20"/>
  <c r="CX79" i="20"/>
  <c r="CX67" i="20"/>
  <c r="CX126" i="20"/>
  <c r="CX58" i="20"/>
  <c r="CX110" i="20"/>
  <c r="CX111" i="20"/>
  <c r="CX107" i="20"/>
  <c r="CX155" i="20"/>
  <c r="CY155" i="20" s="1"/>
  <c r="CX143" i="20"/>
  <c r="CX131" i="20"/>
  <c r="CX154" i="20"/>
  <c r="CX150" i="20"/>
  <c r="CX146" i="20"/>
  <c r="CX142" i="20"/>
  <c r="CX138" i="20"/>
  <c r="CX134" i="20"/>
  <c r="CX106" i="20"/>
  <c r="CX147" i="20"/>
  <c r="CX139" i="20"/>
  <c r="CX151" i="20"/>
  <c r="CX135" i="20"/>
  <c r="CX117" i="20"/>
  <c r="CX127" i="20"/>
  <c r="CX123" i="20"/>
  <c r="CX118" i="20"/>
  <c r="CX128" i="20"/>
  <c r="CX119" i="20"/>
  <c r="CX115" i="20"/>
  <c r="CY113" i="20" l="1"/>
  <c r="CY92" i="20"/>
  <c r="CY89" i="20"/>
  <c r="CY73" i="20"/>
  <c r="CY74" i="20"/>
  <c r="CY153" i="20"/>
  <c r="CY83" i="20"/>
  <c r="CY93" i="20"/>
  <c r="CY71" i="20"/>
  <c r="CY59" i="20"/>
  <c r="CY152" i="20"/>
  <c r="CY68" i="20"/>
  <c r="CY120" i="20"/>
  <c r="CY80" i="20"/>
  <c r="CY122" i="20"/>
  <c r="CY137" i="20"/>
  <c r="CY135" i="20"/>
  <c r="CY149" i="20"/>
  <c r="CY69" i="20"/>
  <c r="CY141" i="20"/>
  <c r="CY131" i="20"/>
  <c r="CY130" i="20"/>
  <c r="CY107" i="20"/>
  <c r="CY87" i="20"/>
  <c r="CY142" i="20"/>
  <c r="CY119" i="20"/>
  <c r="CY63" i="20"/>
  <c r="CY82" i="20"/>
  <c r="CY62" i="20"/>
  <c r="CY118" i="20"/>
  <c r="CY133" i="20"/>
  <c r="CY128" i="20"/>
  <c r="CY101" i="20"/>
  <c r="CY77" i="20"/>
  <c r="CY148" i="20"/>
  <c r="CY143" i="20"/>
  <c r="CY125" i="20"/>
  <c r="CY70" i="20"/>
  <c r="CY88" i="20"/>
  <c r="CY117" i="20"/>
  <c r="CY112" i="20"/>
  <c r="CY64" i="20"/>
  <c r="CY100" i="20"/>
  <c r="CY136" i="20"/>
  <c r="CY76" i="20"/>
  <c r="CY124" i="20"/>
  <c r="CY102" i="20"/>
  <c r="CY151" i="20"/>
  <c r="CY98" i="20"/>
  <c r="CY106" i="20"/>
  <c r="CY99" i="20"/>
  <c r="CY114" i="20"/>
  <c r="CY139" i="20"/>
  <c r="CY126" i="20"/>
  <c r="CY138" i="20"/>
  <c r="CY150" i="20"/>
  <c r="CY86" i="20"/>
  <c r="CY67" i="20"/>
  <c r="CY134" i="20"/>
  <c r="CY79" i="20"/>
  <c r="CY75" i="20"/>
  <c r="CY146" i="20"/>
  <c r="CY91" i="20"/>
  <c r="CY58" i="20"/>
  <c r="CY66" i="20"/>
  <c r="CY103" i="20"/>
  <c r="CY123" i="20"/>
  <c r="CY78" i="20"/>
  <c r="CY115" i="20"/>
  <c r="CY147" i="20"/>
  <c r="CY154" i="20"/>
  <c r="CY90" i="20"/>
  <c r="CY127" i="20"/>
  <c r="U12" i="24" l="1"/>
  <c r="U16" i="24"/>
  <c r="U7" i="24" l="1"/>
  <c r="U8" i="24"/>
  <c r="U9" i="24"/>
  <c r="U10" i="24"/>
  <c r="U11" i="24"/>
  <c r="U13" i="24"/>
  <c r="U14" i="24"/>
  <c r="U15" i="24"/>
  <c r="U17" i="24"/>
  <c r="U18" i="24"/>
  <c r="U19" i="24"/>
  <c r="CN5" i="20" l="1"/>
  <c r="CN6" i="20"/>
  <c r="CN7" i="20"/>
  <c r="CN8" i="20"/>
  <c r="CN9" i="20"/>
  <c r="CN10" i="20"/>
  <c r="CN11" i="20"/>
  <c r="CN12" i="20"/>
  <c r="CN13" i="20"/>
  <c r="CN14" i="20"/>
  <c r="CN15" i="20"/>
  <c r="CN16" i="20"/>
  <c r="CN17" i="20"/>
  <c r="CN18" i="20"/>
  <c r="CN19" i="20"/>
  <c r="CN20" i="20"/>
  <c r="CN21" i="20"/>
  <c r="CN22" i="20"/>
  <c r="CN23" i="20"/>
  <c r="CN24" i="20"/>
  <c r="CN25" i="20"/>
  <c r="CN26" i="20"/>
  <c r="CN27" i="20"/>
  <c r="CN29" i="20"/>
  <c r="CN31" i="20"/>
  <c r="CN32" i="20"/>
  <c r="CN33" i="20"/>
  <c r="CN34" i="20"/>
  <c r="CN35" i="20"/>
  <c r="CN36" i="20"/>
  <c r="CN37" i="20"/>
  <c r="CN38" i="20"/>
  <c r="CN39" i="20"/>
  <c r="CN40" i="20"/>
  <c r="CN41" i="20"/>
  <c r="CN42" i="20"/>
  <c r="CN43" i="20"/>
  <c r="CN44" i="20"/>
  <c r="CN45" i="20"/>
  <c r="CN46" i="20"/>
  <c r="CN47" i="20"/>
  <c r="CN48" i="20"/>
  <c r="CN49" i="20"/>
  <c r="CN50" i="20"/>
  <c r="CN51" i="20"/>
  <c r="CN52" i="20"/>
  <c r="CN53" i="20"/>
  <c r="CN54" i="20"/>
  <c r="CN55" i="20"/>
  <c r="CN56" i="20"/>
  <c r="CN57" i="20"/>
  <c r="DC5" i="20" l="1"/>
  <c r="DC6" i="20"/>
  <c r="DC7" i="20"/>
  <c r="DC8" i="20"/>
  <c r="DC9" i="20"/>
  <c r="DC10" i="20"/>
  <c r="DC11" i="20"/>
  <c r="DC12" i="20"/>
  <c r="DC13" i="20"/>
  <c r="DC14" i="20"/>
  <c r="DC15" i="20"/>
  <c r="DC16" i="20"/>
  <c r="DC17" i="20"/>
  <c r="DC18" i="20"/>
  <c r="DC19" i="20"/>
  <c r="DC20" i="20"/>
  <c r="DC21" i="20"/>
  <c r="DC22" i="20"/>
  <c r="DC23" i="20"/>
  <c r="DC24" i="20"/>
  <c r="DC25" i="20"/>
  <c r="DC26" i="20"/>
  <c r="DC27" i="20"/>
  <c r="DC28" i="20"/>
  <c r="DC29" i="20"/>
  <c r="DC30" i="20"/>
  <c r="DC31" i="20"/>
  <c r="DC32" i="20"/>
  <c r="DC33" i="20"/>
  <c r="DC34" i="20"/>
  <c r="DC35" i="20"/>
  <c r="DC36" i="20"/>
  <c r="DC37" i="20"/>
  <c r="DC38" i="20"/>
  <c r="DC39" i="20"/>
  <c r="DC40" i="20"/>
  <c r="DC41" i="20"/>
  <c r="DC42" i="20"/>
  <c r="DC43" i="20"/>
  <c r="DC44" i="20"/>
  <c r="DC45" i="20"/>
  <c r="DC46" i="20"/>
  <c r="DC47" i="20"/>
  <c r="DC48" i="20"/>
  <c r="DC49" i="20"/>
  <c r="DC50" i="20"/>
  <c r="DC51" i="20"/>
  <c r="DC52" i="20"/>
  <c r="DC53" i="20"/>
  <c r="DC54" i="20"/>
  <c r="DC55" i="20"/>
  <c r="DC56" i="20"/>
  <c r="DC57" i="20"/>
  <c r="CV5" i="20"/>
  <c r="CV6" i="20"/>
  <c r="CV7" i="20"/>
  <c r="CV8" i="20"/>
  <c r="CV9" i="20"/>
  <c r="CV10" i="20"/>
  <c r="CV11" i="20"/>
  <c r="CV12" i="20"/>
  <c r="CV13" i="20"/>
  <c r="CV14" i="20"/>
  <c r="CV15" i="20"/>
  <c r="CV16" i="20"/>
  <c r="CV17" i="20"/>
  <c r="CV18" i="20"/>
  <c r="CV19" i="20"/>
  <c r="CV20" i="20"/>
  <c r="CV21" i="20"/>
  <c r="CV22" i="20"/>
  <c r="CV23" i="20"/>
  <c r="CV24" i="20"/>
  <c r="CV25" i="20"/>
  <c r="CV26" i="20"/>
  <c r="CV27" i="20"/>
  <c r="CV28" i="20"/>
  <c r="CV29" i="20"/>
  <c r="CV30" i="20"/>
  <c r="CV31" i="20"/>
  <c r="CV32" i="20"/>
  <c r="CV33" i="20"/>
  <c r="CV34" i="20"/>
  <c r="CV35" i="20"/>
  <c r="CV36" i="20"/>
  <c r="CV37" i="20"/>
  <c r="CV38" i="20"/>
  <c r="CV39" i="20"/>
  <c r="CV40" i="20"/>
  <c r="CV41" i="20"/>
  <c r="CV42" i="20"/>
  <c r="CV43" i="20"/>
  <c r="CV44" i="20"/>
  <c r="CV45" i="20"/>
  <c r="CV46" i="20"/>
  <c r="CV47" i="20"/>
  <c r="CV48" i="20"/>
  <c r="CV49" i="20"/>
  <c r="CV50" i="20"/>
  <c r="CV51" i="20"/>
  <c r="CV52" i="20"/>
  <c r="CV53" i="20"/>
  <c r="CV54" i="20"/>
  <c r="CV55" i="20"/>
  <c r="CV56" i="20"/>
  <c r="CV57" i="20"/>
  <c r="CS5" i="20"/>
  <c r="CS6" i="20"/>
  <c r="CS7" i="20"/>
  <c r="CS8" i="20"/>
  <c r="CS9" i="20"/>
  <c r="CS10" i="20"/>
  <c r="CS11" i="20"/>
  <c r="CS12" i="20"/>
  <c r="CS13" i="20"/>
  <c r="CS14" i="20"/>
  <c r="CS15" i="20"/>
  <c r="CS16" i="20"/>
  <c r="CS17" i="20"/>
  <c r="CS18" i="20"/>
  <c r="CS19" i="20"/>
  <c r="CS20" i="20"/>
  <c r="CS21" i="20"/>
  <c r="CS22" i="20"/>
  <c r="CS23" i="20"/>
  <c r="CS24" i="20"/>
  <c r="CS25" i="20"/>
  <c r="CS26" i="20"/>
  <c r="CS31" i="20"/>
  <c r="CS32" i="20"/>
  <c r="CS33" i="20"/>
  <c r="CS34" i="20"/>
  <c r="CS35" i="20"/>
  <c r="CS36" i="20"/>
  <c r="CS37" i="20"/>
  <c r="CS38" i="20"/>
  <c r="CS39" i="20"/>
  <c r="CS40" i="20"/>
  <c r="CS41" i="20"/>
  <c r="CS42" i="20"/>
  <c r="CS43" i="20"/>
  <c r="CS44" i="20"/>
  <c r="CS45" i="20"/>
  <c r="CS46" i="20"/>
  <c r="CS47" i="20"/>
  <c r="CS48" i="20"/>
  <c r="CS49" i="20"/>
  <c r="CS50" i="20"/>
  <c r="CS51" i="20"/>
  <c r="CS52" i="20"/>
  <c r="CS53" i="20"/>
  <c r="CS54" i="20"/>
  <c r="CS55" i="20"/>
  <c r="CS56" i="20"/>
  <c r="CS57" i="20"/>
  <c r="CR5" i="20"/>
  <c r="CR6" i="20"/>
  <c r="CR7" i="20"/>
  <c r="CR8" i="20"/>
  <c r="CR9" i="20"/>
  <c r="CR10" i="20"/>
  <c r="CR11" i="20"/>
  <c r="CR12" i="20"/>
  <c r="CR13" i="20"/>
  <c r="CR14" i="20"/>
  <c r="CR15" i="20"/>
  <c r="CR16" i="20"/>
  <c r="CR17" i="20"/>
  <c r="CR18" i="20"/>
  <c r="CR19" i="20"/>
  <c r="CR20" i="20"/>
  <c r="CR21" i="20"/>
  <c r="CR22" i="20"/>
  <c r="CR23" i="20"/>
  <c r="CR24" i="20"/>
  <c r="CR25" i="20"/>
  <c r="CR26" i="20"/>
  <c r="CR27" i="20"/>
  <c r="CR29" i="20"/>
  <c r="CR31" i="20"/>
  <c r="CR32" i="20"/>
  <c r="CR33" i="20"/>
  <c r="CR34" i="20"/>
  <c r="CR35" i="20"/>
  <c r="CR36" i="20"/>
  <c r="CR37" i="20"/>
  <c r="CR38" i="20"/>
  <c r="CR39" i="20"/>
  <c r="CR40" i="20"/>
  <c r="CR41" i="20"/>
  <c r="CR42" i="20"/>
  <c r="CR43" i="20"/>
  <c r="CR44" i="20"/>
  <c r="CR45" i="20"/>
  <c r="CR46" i="20"/>
  <c r="CR47" i="20"/>
  <c r="CR48" i="20"/>
  <c r="CR49" i="20"/>
  <c r="CR50" i="20"/>
  <c r="CR51" i="20"/>
  <c r="CR52" i="20"/>
  <c r="CR53" i="20"/>
  <c r="CR54" i="20"/>
  <c r="CR55" i="20"/>
  <c r="CR56" i="20"/>
  <c r="CR57" i="20"/>
  <c r="CP5" i="20"/>
  <c r="CP6" i="20"/>
  <c r="CP7" i="20"/>
  <c r="CP8" i="20"/>
  <c r="CP9" i="20"/>
  <c r="CP10" i="20"/>
  <c r="CP11" i="20"/>
  <c r="CP12" i="20"/>
  <c r="CP13" i="20"/>
  <c r="CP14" i="20"/>
  <c r="CP15" i="20"/>
  <c r="CP16" i="20"/>
  <c r="CP17" i="20"/>
  <c r="CP18" i="20"/>
  <c r="CP19" i="20"/>
  <c r="CP20" i="20"/>
  <c r="CP21" i="20"/>
  <c r="CP22" i="20"/>
  <c r="CP23" i="20"/>
  <c r="CP24" i="20"/>
  <c r="CP25" i="20"/>
  <c r="CP26" i="20"/>
  <c r="CP27" i="20"/>
  <c r="CP29" i="20"/>
  <c r="CP31" i="20"/>
  <c r="CP32" i="20"/>
  <c r="CP33" i="20"/>
  <c r="CP34" i="20"/>
  <c r="CP35" i="20"/>
  <c r="CP36" i="20"/>
  <c r="CP37" i="20"/>
  <c r="CP38" i="20"/>
  <c r="CP39" i="20"/>
  <c r="CP40" i="20"/>
  <c r="CP41" i="20"/>
  <c r="CP42" i="20"/>
  <c r="CP43" i="20"/>
  <c r="CP44" i="20"/>
  <c r="CP45" i="20"/>
  <c r="CP46" i="20"/>
  <c r="CP47" i="20"/>
  <c r="CP48" i="20"/>
  <c r="CP49" i="20"/>
  <c r="CP50" i="20"/>
  <c r="CP51" i="20"/>
  <c r="CP52" i="20"/>
  <c r="CP53" i="20"/>
  <c r="CP54" i="20"/>
  <c r="CP55" i="20"/>
  <c r="CP56" i="20"/>
  <c r="CP57" i="20"/>
  <c r="CO5" i="20"/>
  <c r="CW5" i="20" s="1"/>
  <c r="CO6" i="20"/>
  <c r="CW6" i="20" s="1"/>
  <c r="CO7" i="20"/>
  <c r="CW7" i="20" s="1"/>
  <c r="CO8" i="20"/>
  <c r="CW8" i="20" s="1"/>
  <c r="CO9" i="20"/>
  <c r="CW9" i="20" s="1"/>
  <c r="CO10" i="20"/>
  <c r="CW10" i="20" s="1"/>
  <c r="CO11" i="20"/>
  <c r="CW11" i="20" s="1"/>
  <c r="CO12" i="20"/>
  <c r="CW12" i="20" s="1"/>
  <c r="CO13" i="20"/>
  <c r="CW13" i="20" s="1"/>
  <c r="CO14" i="20"/>
  <c r="CW14" i="20" s="1"/>
  <c r="CO15" i="20"/>
  <c r="CW15" i="20" s="1"/>
  <c r="CO16" i="20"/>
  <c r="CW16" i="20" s="1"/>
  <c r="CO17" i="20"/>
  <c r="CW17" i="20" s="1"/>
  <c r="CO18" i="20"/>
  <c r="CW18" i="20" s="1"/>
  <c r="CO19" i="20"/>
  <c r="CW19" i="20" s="1"/>
  <c r="CO20" i="20"/>
  <c r="CW20" i="20" s="1"/>
  <c r="CO21" i="20"/>
  <c r="CW21" i="20" s="1"/>
  <c r="CO22" i="20"/>
  <c r="CW22" i="20" s="1"/>
  <c r="CO23" i="20"/>
  <c r="CW23" i="20" s="1"/>
  <c r="CO24" i="20"/>
  <c r="CW24" i="20" s="1"/>
  <c r="CO25" i="20"/>
  <c r="CW25" i="20" s="1"/>
  <c r="CO26" i="20"/>
  <c r="CW26" i="20" s="1"/>
  <c r="CO27" i="20"/>
  <c r="CW27" i="20" s="1"/>
  <c r="CW28" i="20"/>
  <c r="CO29" i="20"/>
  <c r="CW29" i="20" s="1"/>
  <c r="CW30" i="20"/>
  <c r="CO31" i="20"/>
  <c r="CW31" i="20" s="1"/>
  <c r="CO32" i="20"/>
  <c r="CW32" i="20" s="1"/>
  <c r="CO33" i="20"/>
  <c r="CW33" i="20" s="1"/>
  <c r="CO34" i="20"/>
  <c r="CW34" i="20" s="1"/>
  <c r="CO35" i="20"/>
  <c r="CW35" i="20" s="1"/>
  <c r="CO36" i="20"/>
  <c r="CW36" i="20" s="1"/>
  <c r="CO37" i="20"/>
  <c r="CW37" i="20" s="1"/>
  <c r="CO38" i="20"/>
  <c r="CW38" i="20" s="1"/>
  <c r="CO39" i="20"/>
  <c r="CW39" i="20" s="1"/>
  <c r="CO40" i="20"/>
  <c r="CW40" i="20" s="1"/>
  <c r="CO41" i="20"/>
  <c r="CW41" i="20" s="1"/>
  <c r="CO42" i="20"/>
  <c r="CW42" i="20" s="1"/>
  <c r="CO43" i="20"/>
  <c r="CW43" i="20" s="1"/>
  <c r="CO44" i="20"/>
  <c r="CW44" i="20" s="1"/>
  <c r="CO45" i="20"/>
  <c r="CW45" i="20" s="1"/>
  <c r="CO46" i="20"/>
  <c r="CW46" i="20" s="1"/>
  <c r="CO47" i="20"/>
  <c r="CW47" i="20" s="1"/>
  <c r="CO48" i="20"/>
  <c r="CW48" i="20" s="1"/>
  <c r="CO49" i="20"/>
  <c r="CW49" i="20" s="1"/>
  <c r="CO50" i="20"/>
  <c r="CW50" i="20" s="1"/>
  <c r="CO51" i="20"/>
  <c r="CW51" i="20" s="1"/>
  <c r="CO52" i="20"/>
  <c r="CW52" i="20" s="1"/>
  <c r="CO53" i="20"/>
  <c r="CW53" i="20" s="1"/>
  <c r="CO54" i="20"/>
  <c r="CW54" i="20" s="1"/>
  <c r="CO55" i="20"/>
  <c r="CW55" i="20" s="1"/>
  <c r="CO56" i="20"/>
  <c r="CW56" i="20" s="1"/>
  <c r="CO57" i="20"/>
  <c r="CW57" i="20" s="1"/>
  <c r="CK5" i="20"/>
  <c r="CK6" i="20"/>
  <c r="CK7" i="20"/>
  <c r="CK8" i="20"/>
  <c r="CK9" i="20"/>
  <c r="CK10" i="20"/>
  <c r="CK11" i="20"/>
  <c r="CK12" i="20"/>
  <c r="CK13" i="20"/>
  <c r="CK14" i="20"/>
  <c r="CK15" i="20"/>
  <c r="CK16" i="20"/>
  <c r="CK17" i="20"/>
  <c r="CK18" i="20"/>
  <c r="CK19" i="20"/>
  <c r="CK20" i="20"/>
  <c r="CK21" i="20"/>
  <c r="CK22" i="20"/>
  <c r="CK23" i="20"/>
  <c r="CK24" i="20"/>
  <c r="CK25" i="20"/>
  <c r="CK26" i="20"/>
  <c r="CK27" i="20"/>
  <c r="CK29" i="20"/>
  <c r="CK31" i="20"/>
  <c r="CK32" i="20"/>
  <c r="CK33" i="20"/>
  <c r="CK34" i="20"/>
  <c r="CK35" i="20"/>
  <c r="CK36" i="20"/>
  <c r="CK37" i="20"/>
  <c r="CK38" i="20"/>
  <c r="CK39" i="20"/>
  <c r="CK40" i="20"/>
  <c r="CK41" i="20"/>
  <c r="CK42" i="20"/>
  <c r="CK43" i="20"/>
  <c r="CK44" i="20"/>
  <c r="CK45" i="20"/>
  <c r="CK46" i="20"/>
  <c r="CK47" i="20"/>
  <c r="CK48" i="20"/>
  <c r="CK49" i="20"/>
  <c r="CK50" i="20"/>
  <c r="CK51" i="20"/>
  <c r="CK52" i="20"/>
  <c r="CK53" i="20"/>
  <c r="CK54" i="20"/>
  <c r="CK55" i="20"/>
  <c r="CK56" i="20"/>
  <c r="CK57" i="20"/>
  <c r="CJ5" i="20"/>
  <c r="CJ6" i="20"/>
  <c r="CJ7" i="20"/>
  <c r="CJ8" i="20"/>
  <c r="CJ9" i="20"/>
  <c r="DD9" i="20" s="1"/>
  <c r="CJ10" i="20"/>
  <c r="CJ11" i="20"/>
  <c r="CJ12" i="20"/>
  <c r="CJ13" i="20"/>
  <c r="CJ14" i="20"/>
  <c r="CJ15" i="20"/>
  <c r="CJ16" i="20"/>
  <c r="CJ17" i="20"/>
  <c r="CJ18" i="20"/>
  <c r="CJ19" i="20"/>
  <c r="CJ20" i="20"/>
  <c r="CJ21" i="20"/>
  <c r="CJ22" i="20"/>
  <c r="CJ23" i="20"/>
  <c r="CJ24" i="20"/>
  <c r="CJ25" i="20"/>
  <c r="DD25" i="20" s="1"/>
  <c r="CJ26" i="20"/>
  <c r="CJ27" i="20"/>
  <c r="DD27" i="20" s="1"/>
  <c r="CJ29" i="20"/>
  <c r="DD30" i="20"/>
  <c r="CJ31" i="20"/>
  <c r="CJ32" i="20"/>
  <c r="CJ33" i="20"/>
  <c r="DD33" i="20" s="1"/>
  <c r="CJ34" i="20"/>
  <c r="CJ35" i="20"/>
  <c r="CJ36" i="20"/>
  <c r="CJ37" i="20"/>
  <c r="CJ38" i="20"/>
  <c r="CJ39" i="20"/>
  <c r="CJ40" i="20"/>
  <c r="CJ41" i="20"/>
  <c r="CJ42" i="20"/>
  <c r="CJ43" i="20"/>
  <c r="CJ44" i="20"/>
  <c r="CJ45" i="20"/>
  <c r="CJ46" i="20"/>
  <c r="CJ47" i="20"/>
  <c r="CJ48" i="20"/>
  <c r="CJ49" i="20"/>
  <c r="DD49" i="20" s="1"/>
  <c r="CJ50" i="20"/>
  <c r="CJ51" i="20"/>
  <c r="CJ52" i="20"/>
  <c r="CJ53" i="20"/>
  <c r="CJ54" i="20"/>
  <c r="CJ55" i="20"/>
  <c r="CJ56" i="20"/>
  <c r="CJ57" i="20"/>
  <c r="DD57" i="20" s="1"/>
  <c r="CG5" i="20"/>
  <c r="DF5" i="20" s="1"/>
  <c r="CG6" i="20"/>
  <c r="DF6" i="20" s="1"/>
  <c r="CG7" i="20"/>
  <c r="DF7" i="20" s="1"/>
  <c r="CG8" i="20"/>
  <c r="DF8" i="20" s="1"/>
  <c r="CG9" i="20"/>
  <c r="DF9" i="20" s="1"/>
  <c r="CG10" i="20"/>
  <c r="DF10" i="20" s="1"/>
  <c r="CG11" i="20"/>
  <c r="DF11" i="20" s="1"/>
  <c r="CG12" i="20"/>
  <c r="DF12" i="20" s="1"/>
  <c r="CG13" i="20"/>
  <c r="DF13" i="20" s="1"/>
  <c r="CG14" i="20"/>
  <c r="DF14" i="20" s="1"/>
  <c r="CG15" i="20"/>
  <c r="DF15" i="20" s="1"/>
  <c r="CG16" i="20"/>
  <c r="DF16" i="20" s="1"/>
  <c r="CG17" i="20"/>
  <c r="DF17" i="20" s="1"/>
  <c r="CG18" i="20"/>
  <c r="DF18" i="20" s="1"/>
  <c r="CG19" i="20"/>
  <c r="DF19" i="20" s="1"/>
  <c r="CG20" i="20"/>
  <c r="DF20" i="20" s="1"/>
  <c r="CG21" i="20"/>
  <c r="DF21" i="20" s="1"/>
  <c r="CG22" i="20"/>
  <c r="DF22" i="20" s="1"/>
  <c r="CG23" i="20"/>
  <c r="DF23" i="20" s="1"/>
  <c r="CG24" i="20"/>
  <c r="DF24" i="20" s="1"/>
  <c r="CG25" i="20"/>
  <c r="DF25" i="20" s="1"/>
  <c r="CG26" i="20"/>
  <c r="DF26" i="20" s="1"/>
  <c r="CG27" i="20"/>
  <c r="DF27" i="20" s="1"/>
  <c r="DF28" i="20"/>
  <c r="CG29" i="20"/>
  <c r="DF29" i="20" s="1"/>
  <c r="DF30" i="20"/>
  <c r="CG31" i="20"/>
  <c r="DF31" i="20" s="1"/>
  <c r="CG32" i="20"/>
  <c r="DF32" i="20" s="1"/>
  <c r="CG33" i="20"/>
  <c r="DF33" i="20" s="1"/>
  <c r="CG34" i="20"/>
  <c r="DF34" i="20" s="1"/>
  <c r="CG35" i="20"/>
  <c r="DF35" i="20" s="1"/>
  <c r="CG36" i="20"/>
  <c r="DF36" i="20" s="1"/>
  <c r="CG37" i="20"/>
  <c r="DF37" i="20" s="1"/>
  <c r="CG38" i="20"/>
  <c r="DF38" i="20" s="1"/>
  <c r="CG39" i="20"/>
  <c r="DF39" i="20" s="1"/>
  <c r="CG40" i="20"/>
  <c r="DF40" i="20" s="1"/>
  <c r="CG41" i="20"/>
  <c r="DF41" i="20" s="1"/>
  <c r="CG42" i="20"/>
  <c r="DF42" i="20" s="1"/>
  <c r="CG43" i="20"/>
  <c r="DF43" i="20" s="1"/>
  <c r="CG44" i="20"/>
  <c r="DF44" i="20" s="1"/>
  <c r="CG45" i="20"/>
  <c r="DF45" i="20" s="1"/>
  <c r="CG46" i="20"/>
  <c r="DF46" i="20" s="1"/>
  <c r="CG47" i="20"/>
  <c r="DF47" i="20" s="1"/>
  <c r="CG48" i="20"/>
  <c r="DF48" i="20" s="1"/>
  <c r="CG49" i="20"/>
  <c r="DF49" i="20" s="1"/>
  <c r="CG50" i="20"/>
  <c r="DF50" i="20" s="1"/>
  <c r="DF51" i="20"/>
  <c r="DF52" i="20"/>
  <c r="DF53" i="20"/>
  <c r="DF54" i="20"/>
  <c r="CG55" i="20"/>
  <c r="DF55" i="20" s="1"/>
  <c r="CG56" i="20"/>
  <c r="DF56" i="20" s="1"/>
  <c r="CG57" i="20"/>
  <c r="DF57" i="20" s="1"/>
  <c r="CF5" i="20"/>
  <c r="CF6" i="20"/>
  <c r="CF7" i="20"/>
  <c r="CF8" i="20"/>
  <c r="CF9" i="20"/>
  <c r="CF10" i="20"/>
  <c r="CF11" i="20"/>
  <c r="CF12" i="20"/>
  <c r="CF13" i="20"/>
  <c r="CF14" i="20"/>
  <c r="CF15" i="20"/>
  <c r="CF16" i="20"/>
  <c r="CF17" i="20"/>
  <c r="CF18" i="20"/>
  <c r="CF19" i="20"/>
  <c r="CF20" i="20"/>
  <c r="CF21" i="20"/>
  <c r="CF22" i="20"/>
  <c r="CF23" i="20"/>
  <c r="CF24" i="20"/>
  <c r="CF25" i="20"/>
  <c r="CF26" i="20"/>
  <c r="CF27" i="20"/>
  <c r="CF29" i="20"/>
  <c r="CF31" i="20"/>
  <c r="CF32" i="20"/>
  <c r="CF33" i="20"/>
  <c r="CF34" i="20"/>
  <c r="CF35" i="20"/>
  <c r="CF36" i="20"/>
  <c r="CF37" i="20"/>
  <c r="CF38" i="20"/>
  <c r="CF39" i="20"/>
  <c r="CF40" i="20"/>
  <c r="CF41" i="20"/>
  <c r="CF42" i="20"/>
  <c r="CF43" i="20"/>
  <c r="CF44" i="20"/>
  <c r="CF45" i="20"/>
  <c r="CF46" i="20"/>
  <c r="CF47" i="20"/>
  <c r="CF48" i="20"/>
  <c r="CF49" i="20"/>
  <c r="CF50" i="20"/>
  <c r="CF51" i="20"/>
  <c r="CF52" i="20"/>
  <c r="CF53" i="20"/>
  <c r="CF54" i="20"/>
  <c r="CF55" i="20"/>
  <c r="CF56" i="20"/>
  <c r="CF57" i="20"/>
  <c r="DD18" i="20" l="1"/>
  <c r="DD6" i="20"/>
  <c r="DD29" i="20"/>
  <c r="DD54" i="20"/>
  <c r="DD42" i="20"/>
  <c r="DD48" i="20"/>
  <c r="DD24" i="20"/>
  <c r="DD45" i="20"/>
  <c r="DD37" i="20"/>
  <c r="DD21" i="20"/>
  <c r="DD13" i="20"/>
  <c r="DD36" i="20"/>
  <c r="DD12" i="20"/>
  <c r="DD50" i="20"/>
  <c r="DD38" i="20"/>
  <c r="DD26" i="20"/>
  <c r="DD14" i="20"/>
  <c r="DD53" i="20"/>
  <c r="DD41" i="20"/>
  <c r="DD17" i="20"/>
  <c r="DD5" i="20"/>
  <c r="DD51" i="20"/>
  <c r="DD39" i="20"/>
  <c r="DD15" i="20"/>
  <c r="DD47" i="20"/>
  <c r="DD35" i="20"/>
  <c r="DD23" i="20"/>
  <c r="DD11" i="20"/>
  <c r="DD46" i="20"/>
  <c r="DD34" i="20"/>
  <c r="DD22" i="20"/>
  <c r="DD10" i="20"/>
  <c r="DD56" i="20"/>
  <c r="DD44" i="20"/>
  <c r="DD32" i="20"/>
  <c r="DD20" i="20"/>
  <c r="DD8" i="20"/>
  <c r="DD55" i="20"/>
  <c r="DD43" i="20"/>
  <c r="DD31" i="20"/>
  <c r="DD19" i="20"/>
  <c r="DD7" i="20"/>
  <c r="DD52" i="20"/>
  <c r="DD40" i="20"/>
  <c r="DD16" i="20"/>
  <c r="BB5" i="20" l="1"/>
  <c r="BB6" i="20"/>
  <c r="BB7" i="20"/>
  <c r="BB8" i="20"/>
  <c r="BB9" i="20"/>
  <c r="BB10" i="20"/>
  <c r="BB11" i="20"/>
  <c r="BB12" i="20"/>
  <c r="BB13" i="20"/>
  <c r="BB14" i="20"/>
  <c r="BB15" i="20"/>
  <c r="BB16" i="20"/>
  <c r="BB17" i="20"/>
  <c r="BB18" i="20"/>
  <c r="BB19" i="20"/>
  <c r="BB20" i="20"/>
  <c r="BB21" i="20"/>
  <c r="BB22" i="20"/>
  <c r="BB23" i="20"/>
  <c r="BB24" i="20"/>
  <c r="BB25" i="20"/>
  <c r="BB26" i="20"/>
  <c r="BB27" i="20"/>
  <c r="BB28" i="20"/>
  <c r="BB29" i="20"/>
  <c r="BB31" i="20"/>
  <c r="BB32" i="20"/>
  <c r="BB33" i="20"/>
  <c r="BB34" i="20"/>
  <c r="BB35" i="20"/>
  <c r="BB36" i="20"/>
  <c r="BB37" i="20"/>
  <c r="BB38" i="20"/>
  <c r="BB39" i="20"/>
  <c r="BB40" i="20"/>
  <c r="BB41" i="20"/>
  <c r="BB42" i="20"/>
  <c r="BB43" i="20"/>
  <c r="BB44" i="20"/>
  <c r="BB45" i="20"/>
  <c r="BB46" i="20"/>
  <c r="BB47" i="20"/>
  <c r="BB48" i="20"/>
  <c r="BB49" i="20"/>
  <c r="BB50" i="20"/>
  <c r="BB51" i="20"/>
  <c r="BB52" i="20"/>
  <c r="BB53" i="20"/>
  <c r="BB54" i="20"/>
  <c r="BB55" i="20"/>
  <c r="BB56" i="20"/>
  <c r="BB57" i="20"/>
  <c r="BC5" i="20"/>
  <c r="BC6" i="20"/>
  <c r="BC7" i="20"/>
  <c r="BC8" i="20"/>
  <c r="BC9" i="20"/>
  <c r="BC10" i="20"/>
  <c r="BC11" i="20"/>
  <c r="BC12" i="20"/>
  <c r="BC13" i="20"/>
  <c r="BC14" i="20"/>
  <c r="BC15" i="20"/>
  <c r="BC16" i="20"/>
  <c r="BC17" i="20"/>
  <c r="BC18" i="20"/>
  <c r="BC19" i="20"/>
  <c r="BC20" i="20"/>
  <c r="BC21" i="20"/>
  <c r="BC22" i="20"/>
  <c r="BC23" i="20"/>
  <c r="BC24" i="20"/>
  <c r="BC25" i="20"/>
  <c r="BC26" i="20"/>
  <c r="BC27" i="20"/>
  <c r="BC28" i="20"/>
  <c r="BC29" i="20"/>
  <c r="BC31" i="20"/>
  <c r="BC32" i="20"/>
  <c r="BC33" i="20"/>
  <c r="BC34" i="20"/>
  <c r="BC35" i="20"/>
  <c r="BC36" i="20"/>
  <c r="BC37" i="20"/>
  <c r="BC38" i="20"/>
  <c r="BC39" i="20"/>
  <c r="BC40" i="20"/>
  <c r="BC41" i="20"/>
  <c r="BC42" i="20"/>
  <c r="BC43" i="20"/>
  <c r="BC44" i="20"/>
  <c r="BC45" i="20"/>
  <c r="BC46" i="20"/>
  <c r="BC47" i="20"/>
  <c r="BC48" i="20"/>
  <c r="BC49" i="20"/>
  <c r="BC50" i="20"/>
  <c r="BC51" i="20"/>
  <c r="BC52" i="20"/>
  <c r="BC53" i="20"/>
  <c r="BC54" i="20"/>
  <c r="BC55" i="20"/>
  <c r="BC56" i="20"/>
  <c r="BC57" i="20"/>
  <c r="BE5" i="20"/>
  <c r="BE6" i="20"/>
  <c r="BE7" i="20"/>
  <c r="BE8" i="20"/>
  <c r="BE9" i="20"/>
  <c r="BE10" i="20"/>
  <c r="BE11" i="20"/>
  <c r="BE12" i="20"/>
  <c r="BE13" i="20"/>
  <c r="BE14" i="20"/>
  <c r="BE15" i="20"/>
  <c r="BE16" i="20"/>
  <c r="BE17" i="20"/>
  <c r="BE18" i="20"/>
  <c r="BE19" i="20"/>
  <c r="BE20" i="20"/>
  <c r="BE21" i="20"/>
  <c r="BE22" i="20"/>
  <c r="BE23" i="20"/>
  <c r="BE24" i="20"/>
  <c r="BE25" i="20"/>
  <c r="BE26" i="20"/>
  <c r="BE27" i="20"/>
  <c r="BE28" i="20"/>
  <c r="BE29" i="20"/>
  <c r="BE31" i="20"/>
  <c r="BE32" i="20"/>
  <c r="BE33" i="20"/>
  <c r="BE34" i="20"/>
  <c r="BE35" i="20"/>
  <c r="BE36" i="20"/>
  <c r="BE37" i="20"/>
  <c r="BE38" i="20"/>
  <c r="BE39" i="20"/>
  <c r="BE40" i="20"/>
  <c r="BE41" i="20"/>
  <c r="BE42" i="20"/>
  <c r="BE43" i="20"/>
  <c r="BE44" i="20"/>
  <c r="BE45" i="20"/>
  <c r="BE46" i="20"/>
  <c r="BE47" i="20"/>
  <c r="BE48" i="20"/>
  <c r="BE49" i="20"/>
  <c r="BE50" i="20"/>
  <c r="BE51" i="20"/>
  <c r="BE52" i="20"/>
  <c r="BE53" i="20"/>
  <c r="BE54" i="20"/>
  <c r="BE55" i="20"/>
  <c r="BE56" i="20"/>
  <c r="BE57" i="20"/>
  <c r="BG5" i="20"/>
  <c r="BG6" i="20"/>
  <c r="BG7" i="20"/>
  <c r="BG8" i="20"/>
  <c r="BG9" i="20"/>
  <c r="BG10" i="20"/>
  <c r="BG11" i="20"/>
  <c r="BG12" i="20"/>
  <c r="BG13" i="20"/>
  <c r="BG14" i="20"/>
  <c r="BG15" i="20"/>
  <c r="BG16" i="20"/>
  <c r="BG17" i="20"/>
  <c r="BG18" i="20"/>
  <c r="BG19" i="20"/>
  <c r="BG20" i="20"/>
  <c r="BG21" i="20"/>
  <c r="BG22" i="20"/>
  <c r="BG23" i="20"/>
  <c r="BG24" i="20"/>
  <c r="BG25" i="20"/>
  <c r="BG26" i="20"/>
  <c r="BG27" i="20"/>
  <c r="BG28" i="20"/>
  <c r="BG29" i="20"/>
  <c r="BG31" i="20"/>
  <c r="BG32" i="20"/>
  <c r="BG33" i="20"/>
  <c r="BG34" i="20"/>
  <c r="BG35" i="20"/>
  <c r="BG36" i="20"/>
  <c r="BG37" i="20"/>
  <c r="BG38" i="20"/>
  <c r="BG39" i="20"/>
  <c r="BG40" i="20"/>
  <c r="BG41" i="20"/>
  <c r="BG42" i="20"/>
  <c r="BG43" i="20"/>
  <c r="BG44" i="20"/>
  <c r="BG45" i="20"/>
  <c r="BG46" i="20"/>
  <c r="BG47" i="20"/>
  <c r="BG48" i="20"/>
  <c r="BG49" i="20"/>
  <c r="BG50" i="20"/>
  <c r="BG51" i="20"/>
  <c r="BG52" i="20"/>
  <c r="BG53" i="20"/>
  <c r="BG54" i="20"/>
  <c r="BG55" i="20"/>
  <c r="BG56" i="20"/>
  <c r="BG57" i="20"/>
  <c r="BH5" i="20"/>
  <c r="BH6" i="20"/>
  <c r="BH7" i="20"/>
  <c r="BH8" i="20"/>
  <c r="BH9" i="20"/>
  <c r="BH10" i="20"/>
  <c r="BH11" i="20"/>
  <c r="BH12" i="20"/>
  <c r="BH13" i="20"/>
  <c r="BH14" i="20"/>
  <c r="BH15" i="20"/>
  <c r="BH16" i="20"/>
  <c r="BH17" i="20"/>
  <c r="BH18" i="20"/>
  <c r="BH19" i="20"/>
  <c r="BH20" i="20"/>
  <c r="BH21" i="20"/>
  <c r="BH22" i="20"/>
  <c r="BH23" i="20"/>
  <c r="BH24" i="20"/>
  <c r="BH25" i="20"/>
  <c r="BH26" i="20"/>
  <c r="BH27" i="20"/>
  <c r="BH28" i="20"/>
  <c r="BH29" i="20"/>
  <c r="BH31" i="20"/>
  <c r="BH32" i="20"/>
  <c r="BH33" i="20"/>
  <c r="BH34" i="20"/>
  <c r="BH35" i="20"/>
  <c r="BH36" i="20"/>
  <c r="BH37" i="20"/>
  <c r="BH38" i="20"/>
  <c r="BH39" i="20"/>
  <c r="BH40" i="20"/>
  <c r="BH41" i="20"/>
  <c r="BH42" i="20"/>
  <c r="BH43" i="20"/>
  <c r="BH44" i="20"/>
  <c r="BH45" i="20"/>
  <c r="BH46" i="20"/>
  <c r="BH47" i="20"/>
  <c r="BH48" i="20"/>
  <c r="BH49" i="20"/>
  <c r="BH50" i="20"/>
  <c r="BH51" i="20"/>
  <c r="BH52" i="20"/>
  <c r="BH53" i="20"/>
  <c r="BH54" i="20"/>
  <c r="BH55" i="20"/>
  <c r="BH56" i="20"/>
  <c r="BH57" i="20"/>
  <c r="BI5" i="20"/>
  <c r="BI6" i="20"/>
  <c r="BI7" i="20"/>
  <c r="BI8" i="20"/>
  <c r="BI9" i="20"/>
  <c r="BI10" i="20"/>
  <c r="BI11" i="20"/>
  <c r="BI12" i="20"/>
  <c r="BI13" i="20"/>
  <c r="BI14" i="20"/>
  <c r="BI15" i="20"/>
  <c r="BI16" i="20"/>
  <c r="BI17" i="20"/>
  <c r="BI18" i="20"/>
  <c r="BI19" i="20"/>
  <c r="BI20" i="20"/>
  <c r="BI21" i="20"/>
  <c r="BI22" i="20"/>
  <c r="BI23" i="20"/>
  <c r="BI24" i="20"/>
  <c r="BI25" i="20"/>
  <c r="BI26" i="20"/>
  <c r="BI27" i="20"/>
  <c r="BI28" i="20"/>
  <c r="BI29" i="20"/>
  <c r="BI31" i="20"/>
  <c r="BI32" i="20"/>
  <c r="BI33" i="20"/>
  <c r="BI34" i="20"/>
  <c r="BI35" i="20"/>
  <c r="BI36" i="20"/>
  <c r="BI37" i="20"/>
  <c r="BI38" i="20"/>
  <c r="BI39" i="20"/>
  <c r="BI40" i="20"/>
  <c r="BI41" i="20"/>
  <c r="BI42" i="20"/>
  <c r="BI43" i="20"/>
  <c r="BI44" i="20"/>
  <c r="BI45" i="20"/>
  <c r="BI46" i="20"/>
  <c r="BI47" i="20"/>
  <c r="BI48" i="20"/>
  <c r="BI49" i="20"/>
  <c r="BI50" i="20"/>
  <c r="BI51" i="20"/>
  <c r="BI52" i="20"/>
  <c r="BI53" i="20"/>
  <c r="BI54" i="20"/>
  <c r="BI55" i="20"/>
  <c r="BI56" i="20"/>
  <c r="BI57" i="20"/>
  <c r="BK5" i="20"/>
  <c r="BK6" i="20"/>
  <c r="BK7" i="20"/>
  <c r="BK8" i="20"/>
  <c r="BK9" i="20"/>
  <c r="BK10" i="20"/>
  <c r="BK11" i="20"/>
  <c r="BK12" i="20"/>
  <c r="BK13" i="20"/>
  <c r="BK14" i="20"/>
  <c r="BK15" i="20"/>
  <c r="BK16" i="20"/>
  <c r="BK17" i="20"/>
  <c r="BK18" i="20"/>
  <c r="BK19" i="20"/>
  <c r="BK20" i="20"/>
  <c r="BK21" i="20"/>
  <c r="BK22" i="20"/>
  <c r="BK23" i="20"/>
  <c r="BK24" i="20"/>
  <c r="BK25" i="20"/>
  <c r="BK26" i="20"/>
  <c r="BK27" i="20"/>
  <c r="BK28" i="20"/>
  <c r="BK29" i="20"/>
  <c r="BK31" i="20"/>
  <c r="BK32" i="20"/>
  <c r="BK33" i="20"/>
  <c r="BK34" i="20"/>
  <c r="BK35" i="20"/>
  <c r="BK36" i="20"/>
  <c r="BK37" i="20"/>
  <c r="BK38" i="20"/>
  <c r="BK39" i="20"/>
  <c r="BK40" i="20"/>
  <c r="BK41" i="20"/>
  <c r="BK42" i="20"/>
  <c r="BK43" i="20"/>
  <c r="BK44" i="20"/>
  <c r="BK45" i="20"/>
  <c r="BK46" i="20"/>
  <c r="BK47" i="20"/>
  <c r="BK48" i="20"/>
  <c r="BK49" i="20"/>
  <c r="BK50" i="20"/>
  <c r="BK51" i="20"/>
  <c r="BK52" i="20"/>
  <c r="BK53" i="20"/>
  <c r="BK54" i="20"/>
  <c r="BK55" i="20"/>
  <c r="BK56" i="20"/>
  <c r="BK57" i="20"/>
  <c r="BM5" i="20"/>
  <c r="BM6" i="20"/>
  <c r="BM7" i="20"/>
  <c r="BM8" i="20"/>
  <c r="BM9" i="20"/>
  <c r="BM10" i="20"/>
  <c r="BM11" i="20"/>
  <c r="BM12" i="20"/>
  <c r="BM13" i="20"/>
  <c r="BM14" i="20"/>
  <c r="BM15" i="20"/>
  <c r="BM16" i="20"/>
  <c r="BM17" i="20"/>
  <c r="BM18" i="20"/>
  <c r="BM19" i="20"/>
  <c r="BM20" i="20"/>
  <c r="BM21" i="20"/>
  <c r="BM22" i="20"/>
  <c r="BM23" i="20"/>
  <c r="BM24" i="20"/>
  <c r="BM25" i="20"/>
  <c r="BM26" i="20"/>
  <c r="BM27" i="20"/>
  <c r="BM28" i="20"/>
  <c r="BM36" i="20"/>
  <c r="BM37" i="20"/>
  <c r="BM38" i="20"/>
  <c r="BM39" i="20"/>
  <c r="BM40" i="20"/>
  <c r="BM41" i="20"/>
  <c r="BM42" i="20"/>
  <c r="BM43" i="20"/>
  <c r="BM44" i="20"/>
  <c r="BM45" i="20"/>
  <c r="BM46" i="20"/>
  <c r="BM47" i="20"/>
  <c r="BM48" i="20"/>
  <c r="BM49" i="20"/>
  <c r="BM50" i="20"/>
  <c r="BM51" i="20"/>
  <c r="BM52" i="20"/>
  <c r="BM53" i="20"/>
  <c r="BM54" i="20"/>
  <c r="BM55" i="20"/>
  <c r="BM56" i="20"/>
  <c r="BM57" i="20"/>
  <c r="BN5" i="20"/>
  <c r="BN6" i="20"/>
  <c r="BN7" i="20"/>
  <c r="BN8" i="20"/>
  <c r="BN9" i="20"/>
  <c r="BN10" i="20"/>
  <c r="BN11" i="20"/>
  <c r="BN12" i="20"/>
  <c r="BN13" i="20"/>
  <c r="BN14" i="20"/>
  <c r="BN15" i="20"/>
  <c r="BN16" i="20"/>
  <c r="BN17" i="20"/>
  <c r="BN18" i="20"/>
  <c r="BN19" i="20"/>
  <c r="BN20" i="20"/>
  <c r="BN21" i="20"/>
  <c r="BN22" i="20"/>
  <c r="BN23" i="20"/>
  <c r="BN24" i="20"/>
  <c r="BN25" i="20"/>
  <c r="BN26" i="20"/>
  <c r="BN27" i="20"/>
  <c r="BN28" i="20"/>
  <c r="BN29" i="20"/>
  <c r="BN31" i="20"/>
  <c r="BN32" i="20"/>
  <c r="BN33" i="20"/>
  <c r="BN34" i="20"/>
  <c r="BN35" i="20"/>
  <c r="BN36" i="20"/>
  <c r="BN37" i="20"/>
  <c r="BN38" i="20"/>
  <c r="BN39" i="20"/>
  <c r="BN40" i="20"/>
  <c r="BN41" i="20"/>
  <c r="BN42" i="20"/>
  <c r="BN43" i="20"/>
  <c r="BN44" i="20"/>
  <c r="BN45" i="20"/>
  <c r="BN46" i="20"/>
  <c r="BN47" i="20"/>
  <c r="BN48" i="20"/>
  <c r="BN49" i="20"/>
  <c r="BN50" i="20"/>
  <c r="BN51" i="20"/>
  <c r="BN52" i="20"/>
  <c r="BN53" i="20"/>
  <c r="BN54" i="20"/>
  <c r="BN55" i="20"/>
  <c r="BN56" i="20"/>
  <c r="BN57" i="20"/>
  <c r="CQ5" i="20"/>
  <c r="CQ6" i="20"/>
  <c r="CQ7" i="20"/>
  <c r="CQ8" i="20"/>
  <c r="CQ9" i="20"/>
  <c r="CQ10" i="20"/>
  <c r="CQ11" i="20"/>
  <c r="CQ12" i="20"/>
  <c r="CQ13" i="20"/>
  <c r="CQ14" i="20"/>
  <c r="CQ15" i="20"/>
  <c r="CQ16" i="20"/>
  <c r="CQ17" i="20"/>
  <c r="CQ18" i="20"/>
  <c r="CQ19" i="20"/>
  <c r="CQ20" i="20"/>
  <c r="CQ21" i="20"/>
  <c r="CQ22" i="20"/>
  <c r="CQ23" i="20"/>
  <c r="CQ24" i="20"/>
  <c r="CQ25" i="20"/>
  <c r="CQ26" i="20"/>
  <c r="CQ27" i="20"/>
  <c r="CQ29" i="20"/>
  <c r="CQ31" i="20"/>
  <c r="CQ32" i="20"/>
  <c r="CQ33" i="20"/>
  <c r="CQ34" i="20"/>
  <c r="CQ35" i="20"/>
  <c r="CQ36" i="20"/>
  <c r="CQ37" i="20"/>
  <c r="CQ38" i="20"/>
  <c r="CQ39" i="20"/>
  <c r="CQ40" i="20"/>
  <c r="CQ41" i="20"/>
  <c r="CQ42" i="20"/>
  <c r="CQ43" i="20"/>
  <c r="CQ44" i="20"/>
  <c r="CQ45" i="20"/>
  <c r="CQ46" i="20"/>
  <c r="CQ47" i="20"/>
  <c r="CQ48" i="20"/>
  <c r="CQ49" i="20"/>
  <c r="CQ50" i="20"/>
  <c r="CQ51" i="20"/>
  <c r="CQ52" i="20"/>
  <c r="CQ53" i="20"/>
  <c r="CQ54" i="20"/>
  <c r="CQ55" i="20"/>
  <c r="CQ56" i="20"/>
  <c r="CQ57" i="20"/>
  <c r="CT9" i="20"/>
  <c r="CT10" i="20"/>
  <c r="CT11" i="20"/>
  <c r="CT12" i="20"/>
  <c r="CT13" i="20"/>
  <c r="CT14" i="20"/>
  <c r="CT15" i="20"/>
  <c r="CT16" i="20"/>
  <c r="CT17" i="20"/>
  <c r="CT18" i="20"/>
  <c r="CT19" i="20"/>
  <c r="CT20" i="20"/>
  <c r="CT21" i="20"/>
  <c r="CT22" i="20"/>
  <c r="CT23" i="20"/>
  <c r="CT24" i="20"/>
  <c r="CT25" i="20"/>
  <c r="CT26" i="20"/>
  <c r="CT27" i="20"/>
  <c r="CX28" i="20"/>
  <c r="CY28" i="20" s="1"/>
  <c r="CT29" i="20"/>
  <c r="CT30" i="20"/>
  <c r="CX30" i="20" s="1"/>
  <c r="CY30" i="20" s="1"/>
  <c r="CT31" i="20"/>
  <c r="CT32" i="20"/>
  <c r="CT33" i="20"/>
  <c r="CT34" i="20"/>
  <c r="CT35" i="20"/>
  <c r="CT36" i="20"/>
  <c r="CT50" i="20"/>
  <c r="CT51" i="20"/>
  <c r="CT52" i="20"/>
  <c r="CT53" i="20"/>
  <c r="CT54" i="20"/>
  <c r="CT55" i="20"/>
  <c r="CT56" i="20"/>
  <c r="CT57" i="20"/>
  <c r="CZ5" i="20"/>
  <c r="CZ6" i="20"/>
  <c r="CZ7" i="20"/>
  <c r="CZ8" i="20"/>
  <c r="CZ9" i="20"/>
  <c r="CZ10" i="20"/>
  <c r="CZ11" i="20"/>
  <c r="CZ12" i="20"/>
  <c r="CZ13" i="20"/>
  <c r="CZ14" i="20"/>
  <c r="CZ15" i="20"/>
  <c r="CZ16" i="20"/>
  <c r="CZ17" i="20"/>
  <c r="CZ18" i="20"/>
  <c r="CZ19" i="20"/>
  <c r="CZ20" i="20"/>
  <c r="CZ21" i="20"/>
  <c r="CZ22" i="20"/>
  <c r="CZ23" i="20"/>
  <c r="CZ24" i="20"/>
  <c r="CZ25" i="20"/>
  <c r="CZ26" i="20"/>
  <c r="CZ27" i="20"/>
  <c r="CZ28" i="20"/>
  <c r="CZ29" i="20"/>
  <c r="CZ30" i="20"/>
  <c r="CZ31" i="20"/>
  <c r="CZ32" i="20"/>
  <c r="CZ33" i="20"/>
  <c r="CZ34" i="20"/>
  <c r="CZ35" i="20"/>
  <c r="CZ36" i="20"/>
  <c r="CZ37" i="20"/>
  <c r="CZ38" i="20"/>
  <c r="CZ39" i="20"/>
  <c r="CZ40" i="20"/>
  <c r="CZ41" i="20"/>
  <c r="CZ42" i="20"/>
  <c r="CZ43" i="20"/>
  <c r="CZ44" i="20"/>
  <c r="CZ45" i="20"/>
  <c r="CZ46" i="20"/>
  <c r="CZ47" i="20"/>
  <c r="CZ48" i="20"/>
  <c r="CZ49" i="20"/>
  <c r="CZ50" i="20"/>
  <c r="CZ51" i="20"/>
  <c r="CZ52" i="20"/>
  <c r="CZ53" i="20"/>
  <c r="CZ54" i="20"/>
  <c r="CZ55" i="20"/>
  <c r="CZ56" i="20"/>
  <c r="CZ57" i="20"/>
  <c r="CX57" i="20" l="1"/>
  <c r="CY57" i="20" s="1"/>
  <c r="CX53" i="20"/>
  <c r="CY53" i="20" s="1"/>
  <c r="CX49" i="20"/>
  <c r="CY49" i="20" s="1"/>
  <c r="CX45" i="20"/>
  <c r="CY45" i="20" s="1"/>
  <c r="CX41" i="20"/>
  <c r="CY41" i="20" s="1"/>
  <c r="CX37" i="20"/>
  <c r="CY37" i="20" s="1"/>
  <c r="CX33" i="20"/>
  <c r="CY33" i="20" s="1"/>
  <c r="CX25" i="20"/>
  <c r="CY25" i="20" s="1"/>
  <c r="CX21" i="20"/>
  <c r="CY21" i="20" s="1"/>
  <c r="CX17" i="20"/>
  <c r="CY17" i="20" s="1"/>
  <c r="CX56" i="20"/>
  <c r="CY56" i="20" s="1"/>
  <c r="CX52" i="20"/>
  <c r="CY52" i="20" s="1"/>
  <c r="CX48" i="20"/>
  <c r="CY48" i="20" s="1"/>
  <c r="CX44" i="20"/>
  <c r="CY44" i="20" s="1"/>
  <c r="CX40" i="20"/>
  <c r="CY40" i="20" s="1"/>
  <c r="CX36" i="20"/>
  <c r="CY36" i="20" s="1"/>
  <c r="CX32" i="20"/>
  <c r="CY32" i="20" s="1"/>
  <c r="CX24" i="20"/>
  <c r="CY24" i="20" s="1"/>
  <c r="CX20" i="20"/>
  <c r="CY20" i="20" s="1"/>
  <c r="CX16" i="20"/>
  <c r="CY16" i="20" s="1"/>
  <c r="CX55" i="20"/>
  <c r="CY55" i="20" s="1"/>
  <c r="CX51" i="20"/>
  <c r="CY51" i="20" s="1"/>
  <c r="CX47" i="20"/>
  <c r="CY47" i="20" s="1"/>
  <c r="CX43" i="20"/>
  <c r="CY43" i="20" s="1"/>
  <c r="CX39" i="20"/>
  <c r="CY39" i="20" s="1"/>
  <c r="CX35" i="20"/>
  <c r="CY35" i="20" s="1"/>
  <c r="CX23" i="20"/>
  <c r="CY23" i="20" s="1"/>
  <c r="CX19" i="20"/>
  <c r="CY19" i="20" s="1"/>
  <c r="CX15" i="20"/>
  <c r="CY15" i="20" s="1"/>
  <c r="CX54" i="20"/>
  <c r="CY54" i="20" s="1"/>
  <c r="CX50" i="20"/>
  <c r="CY50" i="20" s="1"/>
  <c r="CX46" i="20"/>
  <c r="CY46" i="20" s="1"/>
  <c r="CX42" i="20"/>
  <c r="CY42" i="20" s="1"/>
  <c r="CX38" i="20"/>
  <c r="CY38" i="20" s="1"/>
  <c r="CX34" i="20"/>
  <c r="CY34" i="20" s="1"/>
  <c r="CX22" i="20"/>
  <c r="CY22" i="20" s="1"/>
  <c r="CX18" i="20"/>
  <c r="CY18" i="20" s="1"/>
  <c r="CX31" i="20"/>
  <c r="CY31" i="20" s="1"/>
  <c r="CX29" i="20"/>
  <c r="CY29" i="20" s="1"/>
  <c r="CX27" i="20"/>
  <c r="CY27" i="20" s="1"/>
  <c r="CX26" i="20"/>
  <c r="CY26" i="20" s="1"/>
  <c r="CX10" i="20"/>
  <c r="CY10" i="20" s="1"/>
  <c r="CX9" i="20"/>
  <c r="CY9" i="20" s="1"/>
  <c r="CX8" i="20"/>
  <c r="CY8" i="20" s="1"/>
  <c r="CX7" i="20"/>
  <c r="CY7" i="20" s="1"/>
  <c r="CX5" i="20"/>
  <c r="CY5" i="20" s="1"/>
  <c r="CX14" i="20"/>
  <c r="CY14" i="20" s="1"/>
  <c r="CX13" i="20"/>
  <c r="CY13" i="20" s="1"/>
  <c r="CX12" i="20"/>
  <c r="CY12" i="20" s="1"/>
  <c r="CX6" i="20"/>
  <c r="CY6" i="20" s="1"/>
  <c r="CX11" i="20"/>
  <c r="CY11" i="20" s="1"/>
  <c r="C7" i="25" l="1"/>
  <c r="B7" i="25" l="1"/>
  <c r="BD65" i="22" l="1"/>
  <c r="BE65" i="22" s="1"/>
  <c r="BD64" i="22"/>
  <c r="BE64" i="22" s="1"/>
  <c r="BD63" i="22"/>
  <c r="BE63" i="22" s="1"/>
  <c r="BD62" i="22"/>
  <c r="BE62" i="22" s="1"/>
  <c r="BD61" i="22"/>
  <c r="BE61" i="22" s="1"/>
  <c r="BD60" i="22"/>
  <c r="BE60" i="22" s="1"/>
  <c r="BE53" i="22"/>
  <c r="BE48" i="22"/>
  <c r="BE43" i="22"/>
  <c r="E39" i="22"/>
  <c r="BE38" i="22"/>
  <c r="E38" i="22"/>
  <c r="BE37" i="22"/>
  <c r="E37" i="22"/>
  <c r="BE36" i="22"/>
  <c r="E36" i="22"/>
  <c r="BE35" i="22"/>
  <c r="E35" i="22"/>
  <c r="BE34" i="22"/>
  <c r="E34" i="22"/>
  <c r="BE33" i="22"/>
  <c r="E33" i="22"/>
  <c r="BE32" i="22"/>
  <c r="E32" i="22"/>
  <c r="BE31" i="22"/>
  <c r="E31" i="22"/>
  <c r="BE30" i="22"/>
  <c r="E30" i="22"/>
  <c r="BE29" i="22"/>
  <c r="E29" i="22"/>
  <c r="BE28" i="22"/>
  <c r="E28" i="22"/>
  <c r="BE27" i="22"/>
  <c r="E27" i="22"/>
  <c r="BE26" i="22"/>
  <c r="E26" i="22"/>
  <c r="BE25" i="22"/>
  <c r="E25" i="22"/>
  <c r="BE24" i="22"/>
  <c r="E24" i="22"/>
  <c r="BE23" i="22"/>
  <c r="E23" i="22"/>
  <c r="BE22" i="22"/>
  <c r="E22" i="22"/>
  <c r="BE21" i="22"/>
  <c r="E21" i="22"/>
  <c r="BE20" i="22"/>
  <c r="E20" i="22"/>
  <c r="BE19" i="22"/>
  <c r="E19" i="22"/>
  <c r="BE18" i="22"/>
  <c r="E18" i="22"/>
  <c r="E17" i="22"/>
  <c r="E16" i="22"/>
  <c r="E15" i="22"/>
  <c r="E14" i="22"/>
  <c r="E13" i="22"/>
  <c r="E12" i="22"/>
  <c r="E11" i="22"/>
  <c r="E10" i="22"/>
  <c r="E9" i="22"/>
  <c r="E8" i="22"/>
  <c r="E7" i="22"/>
  <c r="E6" i="22"/>
  <c r="E5" i="22"/>
  <c r="E4" i="22"/>
  <c r="BE3" i="22"/>
  <c r="AF3" i="22"/>
  <c r="E3" i="22"/>
  <c r="BE2" i="22"/>
  <c r="A3" i="24"/>
  <c r="A4" i="24" s="1"/>
  <c r="A5" i="24" s="1"/>
  <c r="A6" i="24" s="1"/>
  <c r="A7" i="24" s="1"/>
  <c r="A8" i="24" s="1"/>
  <c r="A9" i="24" s="1"/>
  <c r="A10" i="24" s="1"/>
  <c r="A11" i="24" s="1"/>
  <c r="A12" i="24" s="1"/>
  <c r="A13" i="24" s="1"/>
  <c r="A14" i="24" s="1"/>
  <c r="A15" i="24" s="1"/>
  <c r="A16" i="24" s="1"/>
  <c r="A17" i="24" s="1"/>
  <c r="A18" i="24" s="1"/>
  <c r="A19" i="24" s="1"/>
  <c r="A20" i="24" s="1"/>
  <c r="A21" i="24" s="1"/>
  <c r="A22" i="24" s="1"/>
  <c r="B13" i="25"/>
  <c r="K13" i="25"/>
  <c r="O13" i="25"/>
  <c r="S13" i="25"/>
  <c r="AC13" i="25" s="1"/>
  <c r="X13" i="25"/>
  <c r="I13" i="25"/>
  <c r="X12" i="25"/>
  <c r="E14" i="25"/>
  <c r="R26" i="25"/>
  <c r="O14" i="25"/>
  <c r="D26" i="25"/>
  <c r="K14" i="25"/>
  <c r="F14" i="25"/>
  <c r="S14" i="25"/>
  <c r="AC14" i="25" s="1"/>
  <c r="S26" i="25"/>
  <c r="AC26" i="25" s="1"/>
  <c r="F1" i="20"/>
  <c r="G1" i="20" s="1"/>
  <c r="H1" i="20" s="1"/>
  <c r="I1" i="20" s="1"/>
  <c r="J1" i="20" s="1"/>
  <c r="K1" i="20" s="1"/>
  <c r="L1" i="20" s="1"/>
  <c r="M1" i="20" s="1"/>
  <c r="N1" i="20" s="1"/>
  <c r="O1" i="20" s="1"/>
  <c r="P1" i="20" s="1"/>
  <c r="Q1" i="20" s="1"/>
  <c r="R1" i="20" s="1"/>
  <c r="S1" i="20" s="1"/>
  <c r="T1" i="20" s="1"/>
  <c r="U1" i="20" s="1"/>
  <c r="V1" i="20" s="1"/>
  <c r="W1" i="20" s="1"/>
  <c r="X1" i="20" s="1"/>
  <c r="Y1" i="20" s="1"/>
  <c r="Z1" i="20" s="1"/>
  <c r="AA1" i="20" s="1"/>
  <c r="AB1" i="20" s="1"/>
  <c r="AC1" i="20" s="1"/>
  <c r="AD1" i="20" s="1"/>
  <c r="D169" i="25"/>
  <c r="D168" i="25"/>
  <c r="D167" i="25"/>
  <c r="D166" i="25"/>
  <c r="D165" i="25"/>
  <c r="D164" i="25"/>
  <c r="D163" i="25"/>
  <c r="D162" i="25"/>
  <c r="D161" i="25"/>
  <c r="D160" i="25"/>
  <c r="D159" i="25"/>
  <c r="D158" i="25"/>
  <c r="D157" i="25"/>
  <c r="D156" i="25"/>
  <c r="D155" i="25"/>
  <c r="D154" i="25"/>
  <c r="D153" i="25"/>
  <c r="D152" i="25"/>
  <c r="D151" i="25"/>
  <c r="D150" i="25"/>
  <c r="D149" i="25"/>
  <c r="D148" i="25"/>
  <c r="D147" i="25"/>
  <c r="D146" i="25"/>
  <c r="D145" i="25"/>
  <c r="D144" i="25"/>
  <c r="D143" i="25"/>
  <c r="D142" i="25"/>
  <c r="D141" i="25"/>
  <c r="D140" i="25"/>
  <c r="D139" i="25"/>
  <c r="D138" i="25"/>
  <c r="D137" i="25"/>
  <c r="D136" i="25"/>
  <c r="D135" i="25"/>
  <c r="D134" i="25"/>
  <c r="D133" i="25"/>
  <c r="D132" i="25"/>
  <c r="D131" i="25"/>
  <c r="D130" i="25"/>
  <c r="D129" i="25"/>
  <c r="D128" i="25"/>
  <c r="D127" i="25"/>
  <c r="D126" i="25"/>
  <c r="D125" i="25"/>
  <c r="D124" i="25"/>
  <c r="D123" i="25"/>
  <c r="D122" i="25"/>
  <c r="D121" i="25"/>
  <c r="D120" i="25"/>
  <c r="D119" i="25"/>
  <c r="D118" i="25"/>
  <c r="D117" i="25"/>
  <c r="D116" i="25"/>
  <c r="D115" i="25"/>
  <c r="D114" i="25"/>
  <c r="D113" i="25"/>
  <c r="D112" i="25"/>
  <c r="D111" i="25"/>
  <c r="D110" i="25"/>
  <c r="D109" i="25"/>
  <c r="D108" i="25"/>
  <c r="D107" i="25"/>
  <c r="D106" i="25"/>
  <c r="D105" i="25"/>
  <c r="D104" i="25"/>
  <c r="D103" i="25"/>
  <c r="D102" i="25"/>
  <c r="D101" i="25"/>
  <c r="D100" i="25"/>
  <c r="D99" i="25"/>
  <c r="D98" i="25"/>
  <c r="D97" i="25"/>
  <c r="D96" i="25"/>
  <c r="D95" i="25"/>
  <c r="D94" i="25"/>
  <c r="D93" i="25"/>
  <c r="D92" i="25"/>
  <c r="D91" i="25"/>
  <c r="D90" i="25"/>
  <c r="D89" i="25"/>
  <c r="D88" i="25"/>
  <c r="D87" i="25"/>
  <c r="D86" i="25"/>
  <c r="D85" i="25"/>
  <c r="D84" i="25"/>
  <c r="D83" i="25"/>
  <c r="D82" i="25"/>
  <c r="D81" i="25"/>
  <c r="D80" i="25"/>
  <c r="D79" i="25"/>
  <c r="D78" i="25"/>
  <c r="D77" i="25"/>
  <c r="D76" i="25"/>
  <c r="D75" i="25"/>
  <c r="D74" i="25"/>
  <c r="D73" i="25"/>
  <c r="D72" i="25"/>
  <c r="D71" i="25"/>
  <c r="D70" i="25"/>
  <c r="D69" i="25"/>
  <c r="D68" i="25"/>
  <c r="D67" i="25"/>
  <c r="D66" i="25"/>
  <c r="D65" i="25"/>
  <c r="D64" i="25"/>
  <c r="D63" i="25"/>
  <c r="D62" i="25"/>
  <c r="D61" i="25"/>
  <c r="D60" i="25"/>
  <c r="D59" i="25"/>
  <c r="D58" i="25"/>
  <c r="D57" i="25"/>
  <c r="D56" i="25"/>
  <c r="D55" i="25"/>
  <c r="D54" i="25"/>
  <c r="D53" i="25"/>
  <c r="D52" i="25"/>
  <c r="D51" i="25"/>
  <c r="D50" i="25"/>
  <c r="D49" i="25"/>
  <c r="D48" i="25"/>
  <c r="C44" i="25"/>
  <c r="B44" i="25" s="1"/>
  <c r="X27" i="25"/>
  <c r="W27" i="25"/>
  <c r="V27" i="25"/>
  <c r="U27" i="25"/>
  <c r="T27" i="25"/>
  <c r="S27" i="25"/>
  <c r="AC27" i="25" s="1"/>
  <c r="R27" i="25"/>
  <c r="Q27" i="25"/>
  <c r="P27" i="25"/>
  <c r="O27" i="25"/>
  <c r="N27" i="25"/>
  <c r="M27" i="25"/>
  <c r="L27" i="25"/>
  <c r="K27" i="25"/>
  <c r="J27" i="25"/>
  <c r="I27" i="25"/>
  <c r="H27" i="25"/>
  <c r="G27" i="25"/>
  <c r="F27" i="25"/>
  <c r="E27" i="25"/>
  <c r="D27" i="25"/>
  <c r="C27" i="25"/>
  <c r="B27" i="25"/>
  <c r="J26" i="25"/>
  <c r="I26" i="25"/>
  <c r="X23" i="25"/>
  <c r="W23" i="25"/>
  <c r="V23" i="25"/>
  <c r="U23" i="25"/>
  <c r="T23" i="25"/>
  <c r="S23" i="25"/>
  <c r="AC23" i="25" s="1"/>
  <c r="R23" i="25"/>
  <c r="Q23" i="25"/>
  <c r="P23" i="25"/>
  <c r="O23" i="25"/>
  <c r="N23" i="25"/>
  <c r="M23" i="25"/>
  <c r="L23" i="25"/>
  <c r="K23" i="25"/>
  <c r="J23" i="25"/>
  <c r="I23" i="25"/>
  <c r="H23" i="25"/>
  <c r="G23" i="25"/>
  <c r="F23" i="25"/>
  <c r="E23" i="25"/>
  <c r="D23" i="25"/>
  <c r="C23" i="25"/>
  <c r="B23" i="25"/>
  <c r="X22" i="25"/>
  <c r="W22" i="25"/>
  <c r="V22" i="25"/>
  <c r="U22" i="25"/>
  <c r="T22" i="25"/>
  <c r="S22" i="25"/>
  <c r="AC22" i="25" s="1"/>
  <c r="R22" i="25"/>
  <c r="Q22" i="25"/>
  <c r="P22" i="25"/>
  <c r="O22" i="25"/>
  <c r="N22" i="25"/>
  <c r="M22" i="25"/>
  <c r="L22" i="25"/>
  <c r="K22" i="25"/>
  <c r="J22" i="25"/>
  <c r="I22" i="25"/>
  <c r="H22" i="25"/>
  <c r="G22" i="25"/>
  <c r="F22" i="25"/>
  <c r="E22" i="25"/>
  <c r="D22" i="25"/>
  <c r="C22" i="25"/>
  <c r="B22" i="25"/>
  <c r="X21" i="25"/>
  <c r="W21" i="25"/>
  <c r="V21" i="25"/>
  <c r="U21" i="25"/>
  <c r="T21" i="25"/>
  <c r="S21" i="25"/>
  <c r="AC21" i="25" s="1"/>
  <c r="R21" i="25"/>
  <c r="Q21" i="25"/>
  <c r="P21" i="25"/>
  <c r="O21" i="25"/>
  <c r="N21" i="25"/>
  <c r="M21" i="25"/>
  <c r="L21" i="25"/>
  <c r="K21" i="25"/>
  <c r="J21" i="25"/>
  <c r="I21" i="25"/>
  <c r="H21" i="25"/>
  <c r="G21" i="25"/>
  <c r="F21" i="25"/>
  <c r="E21" i="25"/>
  <c r="D21" i="25"/>
  <c r="C21" i="25"/>
  <c r="B21" i="25"/>
  <c r="X20" i="25"/>
  <c r="W20" i="25"/>
  <c r="V20" i="25"/>
  <c r="U20" i="25"/>
  <c r="T20" i="25"/>
  <c r="S20" i="25"/>
  <c r="AC20" i="25" s="1"/>
  <c r="R20" i="25"/>
  <c r="Q20" i="25"/>
  <c r="P20" i="25"/>
  <c r="O20" i="25"/>
  <c r="N20" i="25"/>
  <c r="M20" i="25"/>
  <c r="L20" i="25"/>
  <c r="K20" i="25"/>
  <c r="J20" i="25"/>
  <c r="I20" i="25"/>
  <c r="H20" i="25"/>
  <c r="G20" i="25"/>
  <c r="F20" i="25"/>
  <c r="E20" i="25"/>
  <c r="D20" i="25"/>
  <c r="C20" i="25"/>
  <c r="B20" i="25"/>
  <c r="X15" i="25"/>
  <c r="W15" i="25"/>
  <c r="V15" i="25"/>
  <c r="U15" i="25"/>
  <c r="T15" i="25"/>
  <c r="S15" i="25"/>
  <c r="AC15" i="25" s="1"/>
  <c r="R15" i="25"/>
  <c r="Q15" i="25"/>
  <c r="P15" i="25"/>
  <c r="O15" i="25"/>
  <c r="N15" i="25"/>
  <c r="M15" i="25"/>
  <c r="L15" i="25"/>
  <c r="K15" i="25"/>
  <c r="J15" i="25"/>
  <c r="I15" i="25"/>
  <c r="H15" i="25"/>
  <c r="G15" i="25"/>
  <c r="F15" i="25"/>
  <c r="E15" i="25"/>
  <c r="D15" i="25"/>
  <c r="C15" i="25"/>
  <c r="B15" i="25"/>
  <c r="X14" i="25"/>
  <c r="W14" i="25"/>
  <c r="V14" i="25"/>
  <c r="U14" i="25"/>
  <c r="T14" i="25"/>
  <c r="R14" i="25"/>
  <c r="Q14" i="25"/>
  <c r="P14" i="25"/>
  <c r="N14" i="25"/>
  <c r="M14" i="25"/>
  <c r="L14" i="25"/>
  <c r="J14" i="25"/>
  <c r="I14" i="25"/>
  <c r="H14" i="25"/>
  <c r="G14" i="25"/>
  <c r="D14" i="25"/>
  <c r="C14" i="25"/>
  <c r="R13" i="25"/>
  <c r="N13" i="25"/>
  <c r="M13" i="25"/>
  <c r="L13" i="25"/>
  <c r="H13" i="25"/>
  <c r="G13" i="25"/>
  <c r="D13" i="25"/>
  <c r="U12" i="25"/>
  <c r="Q12" i="25"/>
  <c r="M12" i="25"/>
  <c r="I12" i="25"/>
  <c r="E12" i="25"/>
  <c r="X11" i="25"/>
  <c r="W11" i="25"/>
  <c r="V11" i="25"/>
  <c r="U11" i="25"/>
  <c r="T11" i="25"/>
  <c r="S11" i="25"/>
  <c r="AC11" i="25" s="1"/>
  <c r="R11" i="25"/>
  <c r="Q11" i="25"/>
  <c r="P11" i="25"/>
  <c r="O11" i="25"/>
  <c r="N11" i="25"/>
  <c r="M11" i="25"/>
  <c r="L11" i="25"/>
  <c r="K11" i="25"/>
  <c r="J11" i="25"/>
  <c r="I11" i="25"/>
  <c r="H11" i="25"/>
  <c r="G11" i="25"/>
  <c r="F11" i="25"/>
  <c r="E11" i="25"/>
  <c r="D11" i="25"/>
  <c r="C11" i="25"/>
  <c r="B11" i="25"/>
  <c r="X9" i="25"/>
  <c r="W9" i="25"/>
  <c r="V9" i="25"/>
  <c r="U9" i="25"/>
  <c r="T9" i="25"/>
  <c r="S9" i="25"/>
  <c r="AC9" i="25" s="1"/>
  <c r="R9" i="25"/>
  <c r="Q9" i="25"/>
  <c r="P9" i="25"/>
  <c r="O9" i="25"/>
  <c r="N9" i="25"/>
  <c r="M9" i="25"/>
  <c r="L9" i="25"/>
  <c r="K9" i="25"/>
  <c r="J9" i="25"/>
  <c r="I9" i="25"/>
  <c r="H9" i="25"/>
  <c r="G9" i="25"/>
  <c r="F9" i="25"/>
  <c r="E9" i="25"/>
  <c r="D9" i="25"/>
  <c r="C9" i="25"/>
  <c r="B9" i="25"/>
  <c r="C4" i="25"/>
  <c r="A11" i="7"/>
  <c r="A4" i="7"/>
  <c r="B1" i="7"/>
  <c r="B1" i="8"/>
  <c r="B49" i="9"/>
  <c r="I24" i="9"/>
  <c r="I23" i="9"/>
  <c r="I22" i="9"/>
  <c r="I21" i="9"/>
  <c r="I20" i="9"/>
  <c r="I19" i="9"/>
  <c r="I18" i="9"/>
  <c r="I17" i="9"/>
  <c r="I16" i="9"/>
  <c r="A4" i="8" l="1"/>
  <c r="J282" i="17"/>
  <c r="W282" i="17" s="1"/>
  <c r="J262" i="17"/>
  <c r="W262" i="17" s="1"/>
  <c r="J266" i="17"/>
  <c r="W266" i="17" s="1"/>
  <c r="J263" i="17"/>
  <c r="W263" i="17" s="1"/>
  <c r="J264" i="17"/>
  <c r="W264" i="17" s="1"/>
  <c r="J265" i="17"/>
  <c r="W265" i="17" s="1"/>
  <c r="J244" i="17"/>
  <c r="W244" i="17" s="1"/>
  <c r="J245" i="17"/>
  <c r="W245" i="17" s="1"/>
  <c r="J243" i="17"/>
  <c r="W243" i="17" s="1"/>
  <c r="J210" i="17"/>
  <c r="W210" i="17" s="1"/>
  <c r="J204" i="17"/>
  <c r="W204" i="17" s="1"/>
  <c r="J187" i="17"/>
  <c r="W187" i="17" s="1"/>
  <c r="J167" i="17"/>
  <c r="W167" i="17" s="1"/>
  <c r="J143" i="17"/>
  <c r="W143" i="17" s="1"/>
  <c r="J24" i="23"/>
  <c r="T24" i="23" s="1"/>
  <c r="J119" i="17"/>
  <c r="W119" i="17" s="1"/>
  <c r="J90" i="17"/>
  <c r="W90" i="17" s="1"/>
  <c r="J71" i="17"/>
  <c r="W71" i="17" s="1"/>
  <c r="J55" i="17"/>
  <c r="W55" i="17" s="1"/>
  <c r="J27" i="17"/>
  <c r="W27" i="17" s="1"/>
  <c r="J26" i="17"/>
  <c r="W26" i="17" s="1"/>
  <c r="J226" i="17"/>
  <c r="W226" i="17" s="1"/>
  <c r="J215" i="17"/>
  <c r="W215" i="17" s="1"/>
  <c r="J135" i="17"/>
  <c r="W135" i="17" s="1"/>
  <c r="J35" i="23"/>
  <c r="T35" i="23" s="1"/>
  <c r="J118" i="17"/>
  <c r="W118" i="17" s="1"/>
  <c r="J32" i="23"/>
  <c r="T32" i="23" s="1"/>
  <c r="J13" i="23"/>
  <c r="T13" i="23" s="1"/>
  <c r="J21" i="23"/>
  <c r="T21" i="23" s="1"/>
  <c r="J38" i="23"/>
  <c r="T38" i="23" s="1"/>
  <c r="J17" i="23"/>
  <c r="T17" i="23" s="1"/>
  <c r="J97" i="17"/>
  <c r="W97" i="17" s="1"/>
  <c r="J84" i="17"/>
  <c r="W84" i="17" s="1"/>
  <c r="J61" i="17"/>
  <c r="W61" i="17" s="1"/>
  <c r="J4" i="17"/>
  <c r="W4" i="17" s="1"/>
  <c r="J291" i="17"/>
  <c r="W291" i="17" s="1"/>
  <c r="J275" i="17"/>
  <c r="W275" i="17" s="1"/>
  <c r="J274" i="17"/>
  <c r="W274" i="17" s="1"/>
  <c r="J271" i="17"/>
  <c r="W271" i="17" s="1"/>
  <c r="J256" i="17"/>
  <c r="W256" i="17" s="1"/>
  <c r="J272" i="17"/>
  <c r="W272" i="17" s="1"/>
  <c r="J257" i="17"/>
  <c r="W257" i="17" s="1"/>
  <c r="J238" i="17"/>
  <c r="W238" i="17" s="1"/>
  <c r="J216" i="17"/>
  <c r="W216" i="17" s="1"/>
  <c r="J228" i="17"/>
  <c r="W228" i="17" s="1"/>
  <c r="J199" i="17"/>
  <c r="W199" i="17" s="1"/>
  <c r="J157" i="17"/>
  <c r="W157" i="17" s="1"/>
  <c r="J158" i="17"/>
  <c r="W158" i="17" s="1"/>
  <c r="J138" i="17"/>
  <c r="W138" i="17" s="1"/>
  <c r="J112" i="17"/>
  <c r="W112" i="17" s="1"/>
  <c r="J86" i="17"/>
  <c r="W86" i="17" s="1"/>
  <c r="J64" i="17"/>
  <c r="W64" i="17" s="1"/>
  <c r="J48" i="17"/>
  <c r="W48" i="17" s="1"/>
  <c r="J39" i="17"/>
  <c r="W39" i="17" s="1"/>
  <c r="J19" i="17"/>
  <c r="W19" i="17" s="1"/>
  <c r="J287" i="17"/>
  <c r="W287" i="17" s="1"/>
  <c r="J192" i="17"/>
  <c r="W192" i="17" s="1"/>
  <c r="J172" i="17"/>
  <c r="W172" i="17" s="1"/>
  <c r="J148" i="17"/>
  <c r="W148" i="17" s="1"/>
  <c r="J120" i="17"/>
  <c r="W120" i="17" s="1"/>
  <c r="J105" i="17"/>
  <c r="W105" i="17" s="1"/>
  <c r="J77" i="17"/>
  <c r="W77" i="17" s="1"/>
  <c r="J57" i="17"/>
  <c r="W57" i="17" s="1"/>
  <c r="J56" i="17"/>
  <c r="J249" i="17"/>
  <c r="W249" i="17" s="1"/>
  <c r="J222" i="17"/>
  <c r="W222" i="17" s="1"/>
  <c r="J194" i="17"/>
  <c r="W194" i="17" s="1"/>
  <c r="J175" i="17"/>
  <c r="W175" i="17" s="1"/>
  <c r="J150" i="17"/>
  <c r="W150" i="17" s="1"/>
  <c r="J131" i="17"/>
  <c r="W131" i="17" s="1"/>
  <c r="J122" i="17"/>
  <c r="W122" i="17" s="1"/>
  <c r="J78" i="17"/>
  <c r="W78" i="17" s="1"/>
  <c r="J24" i="17"/>
  <c r="W24" i="17" s="1"/>
  <c r="J14" i="17"/>
  <c r="W14" i="17" s="1"/>
  <c r="J279" i="17"/>
  <c r="W279" i="17" s="1"/>
  <c r="J278" i="17"/>
  <c r="W278" i="17" s="1"/>
  <c r="J290" i="17"/>
  <c r="W290" i="17" s="1"/>
  <c r="J258" i="17"/>
  <c r="W258" i="17" s="1"/>
  <c r="J260" i="17"/>
  <c r="W260" i="17" s="1"/>
  <c r="J259" i="17"/>
  <c r="W259" i="17" s="1"/>
  <c r="J246" i="17"/>
  <c r="W246" i="17" s="1"/>
  <c r="J240" i="17"/>
  <c r="W240" i="17" s="1"/>
  <c r="J241" i="17"/>
  <c r="W241" i="17" s="1"/>
  <c r="J165" i="17"/>
  <c r="W165" i="17" s="1"/>
  <c r="J164" i="17"/>
  <c r="W164" i="17" s="1"/>
  <c r="J141" i="17"/>
  <c r="W141" i="17" s="1"/>
  <c r="J89" i="17"/>
  <c r="W89" i="17" s="1"/>
  <c r="J68" i="17"/>
  <c r="W68" i="17" s="1"/>
  <c r="J22" i="17"/>
  <c r="W22" i="17" s="1"/>
  <c r="J3" i="17"/>
  <c r="W3" i="17" s="1"/>
  <c r="J270" i="17"/>
  <c r="W270" i="17" s="1"/>
  <c r="J253" i="17"/>
  <c r="W253" i="17" s="1"/>
  <c r="J252" i="17"/>
  <c r="W252" i="17" s="1"/>
  <c r="J195" i="17"/>
  <c r="W195" i="17" s="1"/>
  <c r="J178" i="17"/>
  <c r="W178" i="17" s="1"/>
  <c r="J179" i="17"/>
  <c r="W179" i="17" s="1"/>
  <c r="J152" i="17"/>
  <c r="W152" i="17" s="1"/>
  <c r="J132" i="17"/>
  <c r="W132" i="17" s="1"/>
  <c r="J125" i="17"/>
  <c r="W125" i="17" s="1"/>
  <c r="J124" i="17"/>
  <c r="W124" i="17" s="1"/>
  <c r="J28" i="23"/>
  <c r="T28" i="23" s="1"/>
  <c r="J116" i="17"/>
  <c r="W116" i="17" s="1"/>
  <c r="J115" i="17"/>
  <c r="W115" i="17" s="1"/>
  <c r="J95" i="17"/>
  <c r="W95" i="17" s="1"/>
  <c r="J81" i="17"/>
  <c r="W81" i="17" s="1"/>
  <c r="J47" i="17"/>
  <c r="W47" i="17" s="1"/>
  <c r="J25" i="17"/>
  <c r="W25" i="17" s="1"/>
  <c r="J8" i="17"/>
  <c r="W8" i="17" s="1"/>
  <c r="J15" i="17"/>
  <c r="W15" i="17" s="1"/>
  <c r="J7" i="17"/>
  <c r="J205" i="17"/>
  <c r="W205" i="17" s="1"/>
  <c r="J189" i="17"/>
  <c r="W189" i="17" s="1"/>
  <c r="J188" i="17"/>
  <c r="W188" i="17" s="1"/>
  <c r="J168" i="17"/>
  <c r="W168" i="17" s="1"/>
  <c r="J144" i="17"/>
  <c r="W144" i="17" s="1"/>
  <c r="J25" i="23"/>
  <c r="T25" i="23" s="1"/>
  <c r="J101" i="17"/>
  <c r="W101" i="17" s="1"/>
  <c r="J108" i="17"/>
  <c r="W108" i="17" s="1"/>
  <c r="J91" i="17"/>
  <c r="W91" i="17" s="1"/>
  <c r="J72" i="17"/>
  <c r="W72" i="17" s="1"/>
  <c r="J34" i="17"/>
  <c r="W34" i="17" s="1"/>
  <c r="J33" i="17"/>
  <c r="W33" i="17" s="1"/>
  <c r="J32" i="17"/>
  <c r="W32" i="17" s="1"/>
  <c r="J11" i="17"/>
  <c r="W11" i="17" s="1"/>
  <c r="J191" i="17"/>
  <c r="W191" i="17" s="1"/>
  <c r="J200" i="17"/>
  <c r="W200" i="17" s="1"/>
  <c r="J171" i="17"/>
  <c r="W171" i="17" s="1"/>
  <c r="J147" i="17"/>
  <c r="W147" i="17" s="1"/>
  <c r="J26" i="23"/>
  <c r="T26" i="23" s="1"/>
  <c r="J75" i="17"/>
  <c r="W75" i="17" s="1"/>
  <c r="J76" i="17"/>
  <c r="W76" i="17" s="1"/>
  <c r="J36" i="17"/>
  <c r="W36" i="17" s="1"/>
  <c r="J6" i="17"/>
  <c r="W6" i="17" s="1"/>
  <c r="J13" i="17"/>
  <c r="W13" i="17" s="1"/>
  <c r="J239" i="17"/>
  <c r="W239" i="17" s="1"/>
  <c r="J229" i="17"/>
  <c r="W229" i="17" s="1"/>
  <c r="J159" i="17"/>
  <c r="W159" i="17" s="1"/>
  <c r="J127" i="17"/>
  <c r="W127" i="17" s="1"/>
  <c r="J87" i="17"/>
  <c r="W87" i="17" s="1"/>
  <c r="J65" i="17"/>
  <c r="W65" i="17" s="1"/>
  <c r="J50" i="17"/>
  <c r="W50" i="17" s="1"/>
  <c r="J49" i="17"/>
  <c r="W49" i="17" s="1"/>
  <c r="J54" i="17"/>
  <c r="W54" i="17" s="1"/>
  <c r="J41" i="17"/>
  <c r="W41" i="17" s="1"/>
  <c r="J40" i="17"/>
  <c r="W40" i="17" s="1"/>
  <c r="J5" i="17"/>
  <c r="W5" i="17" s="1"/>
  <c r="J261" i="17"/>
  <c r="W261" i="17" s="1"/>
  <c r="J242" i="17"/>
  <c r="W242" i="17" s="1"/>
  <c r="J218" i="17"/>
  <c r="W218" i="17" s="1"/>
  <c r="J186" i="17"/>
  <c r="W186" i="17" s="1"/>
  <c r="J166" i="17"/>
  <c r="W166" i="17" s="1"/>
  <c r="J142" i="17"/>
  <c r="W142" i="17" s="1"/>
  <c r="J107" i="17"/>
  <c r="W107" i="17" s="1"/>
  <c r="J70" i="17"/>
  <c r="W70" i="17" s="1"/>
  <c r="J69" i="17"/>
  <c r="W69" i="17" s="1"/>
  <c r="J31" i="17"/>
  <c r="W31" i="17" s="1"/>
  <c r="J284" i="17"/>
  <c r="W284" i="17" s="1"/>
  <c r="J206" i="17"/>
  <c r="W206" i="17" s="1"/>
  <c r="J190" i="17"/>
  <c r="W190" i="17" s="1"/>
  <c r="J169" i="17"/>
  <c r="W169" i="17" s="1"/>
  <c r="J145" i="17"/>
  <c r="W145" i="17" s="1"/>
  <c r="J45" i="23"/>
  <c r="T45" i="23" s="1"/>
  <c r="J92" i="17"/>
  <c r="W92" i="17" s="1"/>
  <c r="J73" i="17"/>
  <c r="W73" i="17" s="1"/>
  <c r="J285" i="17"/>
  <c r="W285" i="17" s="1"/>
  <c r="J273" i="17"/>
  <c r="W273" i="17" s="1"/>
  <c r="J254" i="17"/>
  <c r="W254" i="17" s="1"/>
  <c r="J236" i="17"/>
  <c r="W236" i="17" s="1"/>
  <c r="J235" i="17"/>
  <c r="W235" i="17" s="1"/>
  <c r="J227" i="17"/>
  <c r="W227" i="17" s="1"/>
  <c r="J155" i="17"/>
  <c r="W155" i="17" s="1"/>
  <c r="J136" i="17"/>
  <c r="W136" i="17" s="1"/>
  <c r="J71" i="23"/>
  <c r="T71" i="23" s="1"/>
  <c r="J64" i="23"/>
  <c r="T64" i="23" s="1"/>
  <c r="J110" i="17"/>
  <c r="W110" i="17" s="1"/>
  <c r="J85" i="17"/>
  <c r="W85" i="17" s="1"/>
  <c r="J62" i="17"/>
  <c r="W62" i="17" s="1"/>
  <c r="J37" i="17"/>
  <c r="W37" i="17" s="1"/>
  <c r="J17" i="17"/>
  <c r="W17" i="17" s="1"/>
  <c r="J2" i="17"/>
  <c r="W2" i="17" s="1"/>
  <c r="J182" i="17"/>
  <c r="W182" i="17" s="1"/>
  <c r="J160" i="17"/>
  <c r="W160" i="17" s="1"/>
  <c r="J128" i="17"/>
  <c r="W128" i="17" s="1"/>
  <c r="J100" i="17"/>
  <c r="W100" i="17" s="1"/>
  <c r="J66" i="17"/>
  <c r="W66" i="17" s="1"/>
  <c r="J42" i="17"/>
  <c r="W42" i="17" s="1"/>
  <c r="J267" i="17"/>
  <c r="W267" i="17" s="1"/>
  <c r="J248" i="17"/>
  <c r="W248" i="17" s="1"/>
  <c r="J247" i="17"/>
  <c r="W247" i="17" s="1"/>
  <c r="J221" i="17"/>
  <c r="W221" i="17" s="1"/>
  <c r="J220" i="17"/>
  <c r="W220" i="17" s="1"/>
  <c r="J201" i="17"/>
  <c r="W201" i="17" s="1"/>
  <c r="J193" i="17"/>
  <c r="W193" i="17" s="1"/>
  <c r="J173" i="17"/>
  <c r="W173" i="17" s="1"/>
  <c r="J174" i="17"/>
  <c r="W174" i="17" s="1"/>
  <c r="J149" i="17"/>
  <c r="W149" i="17" s="1"/>
  <c r="J121" i="17"/>
  <c r="W121" i="17" s="1"/>
  <c r="J113" i="17"/>
  <c r="W113" i="17" s="1"/>
  <c r="J94" i="17"/>
  <c r="W94" i="17" s="1"/>
  <c r="J51" i="17"/>
  <c r="W51" i="17" s="1"/>
  <c r="J58" i="17"/>
  <c r="W58" i="17" s="1"/>
  <c r="J43" i="17"/>
  <c r="W43" i="17" s="1"/>
  <c r="J29" i="17"/>
  <c r="W29" i="17" s="1"/>
  <c r="J23" i="17"/>
  <c r="W23" i="17" s="1"/>
  <c r="W292" i="17"/>
  <c r="J288" i="17"/>
  <c r="W288" i="17" s="1"/>
  <c r="J289" i="17"/>
  <c r="W289" i="17" s="1"/>
  <c r="J277" i="17"/>
  <c r="W277" i="17" s="1"/>
  <c r="J185" i="17"/>
  <c r="W185" i="17" s="1"/>
  <c r="J162" i="17"/>
  <c r="W162" i="17" s="1"/>
  <c r="J163" i="17"/>
  <c r="W163" i="17" s="1"/>
  <c r="J140" i="17"/>
  <c r="W140" i="17" s="1"/>
  <c r="J67" i="17"/>
  <c r="W67" i="17" s="1"/>
  <c r="J45" i="17"/>
  <c r="W45" i="17" s="1"/>
  <c r="J44" i="17"/>
  <c r="W44" i="17" s="1"/>
  <c r="J21" i="17"/>
  <c r="W21" i="17" s="1"/>
  <c r="J268" i="17"/>
  <c r="W268" i="17" s="1"/>
  <c r="J269" i="17"/>
  <c r="W269" i="17" s="1"/>
  <c r="J250" i="17"/>
  <c r="W250" i="17" s="1"/>
  <c r="J251" i="17"/>
  <c r="W251" i="17" s="1"/>
  <c r="J224" i="17"/>
  <c r="W224" i="17" s="1"/>
  <c r="J223" i="17"/>
  <c r="W223" i="17" s="1"/>
  <c r="J207" i="17"/>
  <c r="W207" i="17" s="1"/>
  <c r="J177" i="17"/>
  <c r="W177" i="17" s="1"/>
  <c r="J176" i="17"/>
  <c r="W176" i="17" s="1"/>
  <c r="J151" i="17"/>
  <c r="W151" i="17" s="1"/>
  <c r="J123" i="17"/>
  <c r="W123" i="17" s="1"/>
  <c r="J27" i="23"/>
  <c r="T27" i="23" s="1"/>
  <c r="J106" i="17"/>
  <c r="W106" i="17" s="1"/>
  <c r="J114" i="17"/>
  <c r="W114" i="17" s="1"/>
  <c r="J79" i="17"/>
  <c r="W79" i="17" s="1"/>
  <c r="J80" i="17"/>
  <c r="W80" i="17" s="1"/>
  <c r="J52" i="17"/>
  <c r="W52" i="17" s="1"/>
  <c r="J46" i="17"/>
  <c r="W46" i="17" s="1"/>
  <c r="J208" i="17"/>
  <c r="W208" i="17" s="1"/>
  <c r="J196" i="17"/>
  <c r="W196" i="17" s="1"/>
  <c r="J181" i="17"/>
  <c r="W181" i="17" s="1"/>
  <c r="J180" i="17"/>
  <c r="W180" i="17" s="1"/>
  <c r="J133" i="17"/>
  <c r="W133" i="17" s="1"/>
  <c r="J29" i="23"/>
  <c r="T29" i="23" s="1"/>
  <c r="J96" i="17"/>
  <c r="W96" i="17" s="1"/>
  <c r="J82" i="17"/>
  <c r="W82" i="17" s="1"/>
  <c r="J16" i="17"/>
  <c r="W16" i="17" s="1"/>
  <c r="J43" i="23"/>
  <c r="T43" i="23" s="1"/>
  <c r="J67" i="23"/>
  <c r="T67" i="23" s="1"/>
  <c r="J23" i="23"/>
  <c r="T23" i="23" s="1"/>
  <c r="J40" i="23"/>
  <c r="T40" i="23" s="1"/>
  <c r="J69" i="23"/>
  <c r="T69" i="23" s="1"/>
  <c r="J46" i="23"/>
  <c r="T46" i="23" s="1"/>
  <c r="J42" i="23"/>
  <c r="T42" i="23" s="1"/>
  <c r="J30" i="23"/>
  <c r="T30" i="23" s="1"/>
  <c r="J10" i="23"/>
  <c r="T10" i="23" s="1"/>
  <c r="J7" i="23"/>
  <c r="T7" i="23" s="1"/>
  <c r="J47" i="23"/>
  <c r="T47" i="23" s="1"/>
  <c r="J51" i="23"/>
  <c r="T51" i="23" s="1"/>
  <c r="J55" i="23"/>
  <c r="T55" i="23" s="1"/>
  <c r="J59" i="23"/>
  <c r="T59" i="23" s="1"/>
  <c r="J63" i="23"/>
  <c r="T63" i="23" s="1"/>
  <c r="J15" i="23"/>
  <c r="T15" i="23" s="1"/>
  <c r="J19" i="23"/>
  <c r="T19" i="23" s="1"/>
  <c r="J31" i="23"/>
  <c r="T31" i="23" s="1"/>
  <c r="J39" i="23"/>
  <c r="T39" i="23" s="1"/>
  <c r="J12" i="23"/>
  <c r="T12" i="23" s="1"/>
  <c r="J16" i="23"/>
  <c r="T16" i="23" s="1"/>
  <c r="J20" i="23"/>
  <c r="T20" i="23" s="1"/>
  <c r="J36" i="23"/>
  <c r="T36" i="23" s="1"/>
  <c r="J68" i="23"/>
  <c r="T68" i="23" s="1"/>
  <c r="J49" i="23"/>
  <c r="T49" i="23" s="1"/>
  <c r="J62" i="23"/>
  <c r="T62" i="23" s="1"/>
  <c r="J18" i="23"/>
  <c r="T18" i="23" s="1"/>
  <c r="J34" i="23"/>
  <c r="T34" i="23" s="1"/>
  <c r="J14" i="23"/>
  <c r="T14" i="23" s="1"/>
  <c r="J74" i="23"/>
  <c r="T74" i="23" s="1"/>
  <c r="J50" i="23"/>
  <c r="T50" i="23" s="1"/>
  <c r="J37" i="23"/>
  <c r="T37" i="23" s="1"/>
  <c r="J54" i="23"/>
  <c r="T54" i="23" s="1"/>
  <c r="J70" i="23"/>
  <c r="T70" i="23" s="1"/>
  <c r="J22" i="23"/>
  <c r="T22" i="23" s="1"/>
  <c r="J58" i="23"/>
  <c r="T58" i="23" s="1"/>
  <c r="J33" i="23"/>
  <c r="T33" i="23" s="1"/>
  <c r="J9" i="23"/>
  <c r="T9" i="23" s="1"/>
  <c r="J11" i="23"/>
  <c r="T11" i="23" s="1"/>
  <c r="J6" i="23"/>
  <c r="T6" i="23" s="1"/>
  <c r="J8" i="23"/>
  <c r="T8" i="23" s="1"/>
  <c r="J5" i="23"/>
  <c r="T5" i="23" s="1"/>
  <c r="U3" i="24"/>
  <c r="U5" i="24"/>
  <c r="U4" i="24"/>
  <c r="U2" i="24"/>
  <c r="U6" i="24"/>
  <c r="J281" i="17"/>
  <c r="W281" i="17" s="1"/>
  <c r="J234" i="17"/>
  <c r="W234" i="17" s="1"/>
  <c r="J232" i="17"/>
  <c r="W232" i="17" s="1"/>
  <c r="J233" i="17"/>
  <c r="W233" i="17" s="1"/>
  <c r="J214" i="17"/>
  <c r="W214" i="17" s="1"/>
  <c r="J209" i="17"/>
  <c r="W209" i="17" s="1"/>
  <c r="J203" i="17"/>
  <c r="W203" i="17" s="1"/>
  <c r="J202" i="17"/>
  <c r="W202" i="17" s="1"/>
  <c r="J153" i="17"/>
  <c r="W153" i="17" s="1"/>
  <c r="J134" i="17"/>
  <c r="W134" i="17" s="1"/>
  <c r="J52" i="23"/>
  <c r="T52" i="23" s="1"/>
  <c r="J56" i="23"/>
  <c r="T56" i="23" s="1"/>
  <c r="J60" i="23"/>
  <c r="T60" i="23" s="1"/>
  <c r="J72" i="23"/>
  <c r="T72" i="23" s="1"/>
  <c r="J65" i="23"/>
  <c r="T65" i="23" s="1"/>
  <c r="J117" i="17"/>
  <c r="W117" i="17" s="1"/>
  <c r="J59" i="17"/>
  <c r="W59" i="17" s="1"/>
  <c r="J30" i="17"/>
  <c r="W30" i="17" s="1"/>
  <c r="J9" i="17"/>
  <c r="W9" i="17" s="1"/>
  <c r="J283" i="17"/>
  <c r="W283" i="17" s="1"/>
  <c r="J154" i="17"/>
  <c r="W154" i="17" s="1"/>
  <c r="J126" i="17"/>
  <c r="W126" i="17" s="1"/>
  <c r="J98" i="17"/>
  <c r="W98" i="17" s="1"/>
  <c r="J83" i="17"/>
  <c r="W83" i="17" s="1"/>
  <c r="J60" i="17"/>
  <c r="W60" i="17" s="1"/>
  <c r="J53" i="17"/>
  <c r="W53" i="17" s="1"/>
  <c r="J280" i="17"/>
  <c r="W280" i="17" s="1"/>
  <c r="J231" i="17"/>
  <c r="W231" i="17" s="1"/>
  <c r="J219" i="17"/>
  <c r="W219" i="17" s="1"/>
  <c r="J225" i="17"/>
  <c r="W225" i="17" s="1"/>
  <c r="J170" i="17"/>
  <c r="W170" i="17" s="1"/>
  <c r="J146" i="17"/>
  <c r="W146" i="17" s="1"/>
  <c r="J130" i="17"/>
  <c r="W130" i="17" s="1"/>
  <c r="J44" i="23"/>
  <c r="T44" i="23" s="1"/>
  <c r="J41" i="23"/>
  <c r="T41" i="23" s="1"/>
  <c r="J109" i="17"/>
  <c r="W109" i="17" s="1"/>
  <c r="J104" i="17"/>
  <c r="W104" i="17" s="1"/>
  <c r="J102" i="17"/>
  <c r="W102" i="17" s="1"/>
  <c r="J103" i="17"/>
  <c r="W103" i="17" s="1"/>
  <c r="J93" i="17"/>
  <c r="W93" i="17" s="1"/>
  <c r="J74" i="17"/>
  <c r="W74" i="17" s="1"/>
  <c r="J35" i="17"/>
  <c r="W35" i="17" s="1"/>
  <c r="J28" i="17"/>
  <c r="W28" i="17" s="1"/>
  <c r="J12" i="17"/>
  <c r="W12" i="17" s="1"/>
  <c r="J286" i="17"/>
  <c r="W286" i="17" s="1"/>
  <c r="J255" i="17"/>
  <c r="W255" i="17" s="1"/>
  <c r="J237" i="17"/>
  <c r="W237" i="17" s="1"/>
  <c r="J213" i="17"/>
  <c r="W213" i="17" s="1"/>
  <c r="J212" i="17"/>
  <c r="W212" i="17" s="1"/>
  <c r="J211" i="17"/>
  <c r="W211" i="17" s="1"/>
  <c r="J197" i="17"/>
  <c r="W197" i="17" s="1"/>
  <c r="J198" i="17"/>
  <c r="W198" i="17" s="1"/>
  <c r="J156" i="17"/>
  <c r="W156" i="17" s="1"/>
  <c r="J137" i="17"/>
  <c r="W137" i="17" s="1"/>
  <c r="J99" i="17"/>
  <c r="W99" i="17" s="1"/>
  <c r="J111" i="17"/>
  <c r="W111" i="17" s="1"/>
  <c r="J63" i="17"/>
  <c r="W63" i="17" s="1"/>
  <c r="J38" i="17"/>
  <c r="W38" i="17" s="1"/>
  <c r="J18" i="17"/>
  <c r="W18" i="17" s="1"/>
  <c r="J10" i="17"/>
  <c r="W10" i="17" s="1"/>
  <c r="J276" i="17"/>
  <c r="W276" i="17" s="1"/>
  <c r="J230" i="17"/>
  <c r="W230" i="17" s="1"/>
  <c r="J217" i="17"/>
  <c r="W217" i="17" s="1"/>
  <c r="J183" i="17"/>
  <c r="W183" i="17" s="1"/>
  <c r="J184" i="17"/>
  <c r="W184" i="17" s="1"/>
  <c r="J161" i="17"/>
  <c r="W161" i="17" s="1"/>
  <c r="J139" i="17"/>
  <c r="W139" i="17" s="1"/>
  <c r="J129" i="17"/>
  <c r="W129" i="17" s="1"/>
  <c r="J48" i="23"/>
  <c r="T48" i="23" s="1"/>
  <c r="J53" i="23"/>
  <c r="T53" i="23" s="1"/>
  <c r="J57" i="23"/>
  <c r="T57" i="23" s="1"/>
  <c r="J61" i="23"/>
  <c r="T61" i="23" s="1"/>
  <c r="J73" i="23"/>
  <c r="T73" i="23" s="1"/>
  <c r="J66" i="23"/>
  <c r="T66" i="23" s="1"/>
  <c r="J88" i="17"/>
  <c r="W88" i="17" s="1"/>
  <c r="J20" i="17"/>
  <c r="W20" i="17" s="1"/>
  <c r="AE23" i="25"/>
  <c r="AD20" i="25"/>
  <c r="AE21" i="25"/>
  <c r="AD21" i="25"/>
  <c r="AE22" i="25"/>
  <c r="AE20" i="25"/>
  <c r="AD23" i="25"/>
  <c r="AD22" i="25"/>
  <c r="AE13" i="25"/>
  <c r="AE27" i="25"/>
  <c r="AE14" i="25"/>
  <c r="AE15" i="25"/>
  <c r="AB15" i="25"/>
  <c r="AA15" i="25"/>
  <c r="AD27" i="25"/>
  <c r="AD14" i="25"/>
  <c r="AB14" i="25"/>
  <c r="AD15" i="25"/>
  <c r="AE9" i="25"/>
  <c r="AB11" i="25"/>
  <c r="AA9" i="25"/>
  <c r="AD11" i="25"/>
  <c r="AE11" i="25"/>
  <c r="AD9" i="25"/>
  <c r="AB9" i="25"/>
  <c r="AA11" i="25"/>
  <c r="B4" i="8"/>
  <c r="I11" i="7"/>
  <c r="K11" i="7"/>
  <c r="M11" i="7"/>
  <c r="C11" i="7"/>
  <c r="I4" i="7"/>
  <c r="M4" i="7"/>
  <c r="K4" i="7"/>
  <c r="C4" i="7"/>
  <c r="A3" i="17"/>
  <c r="A4" i="17" s="1"/>
  <c r="A5" i="17" s="1"/>
  <c r="A6" i="17" s="1"/>
  <c r="A7" i="17" s="1"/>
  <c r="A8" i="17" s="1"/>
  <c r="A9" i="17" s="1"/>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A100" i="17" s="1"/>
  <c r="A101" i="17" s="1"/>
  <c r="A102" i="17" s="1"/>
  <c r="A103" i="17" s="1"/>
  <c r="A104" i="17" s="1"/>
  <c r="A105" i="17" s="1"/>
  <c r="A106" i="17" s="1"/>
  <c r="A107" i="17" s="1"/>
  <c r="A108" i="17" s="1"/>
  <c r="A109" i="17" s="1"/>
  <c r="A110" i="17" s="1"/>
  <c r="A111" i="17" s="1"/>
  <c r="A112" i="17" s="1"/>
  <c r="A113" i="17" s="1"/>
  <c r="A114" i="17" s="1"/>
  <c r="A115" i="17" s="1"/>
  <c r="A116" i="17" s="1"/>
  <c r="A117" i="17" s="1"/>
  <c r="A118" i="17" s="1"/>
  <c r="A119" i="17" s="1"/>
  <c r="A120" i="17" s="1"/>
  <c r="A121" i="17" s="1"/>
  <c r="A122" i="17" s="1"/>
  <c r="A123" i="17" s="1"/>
  <c r="A124" i="17" s="1"/>
  <c r="A125" i="17" s="1"/>
  <c r="A126" i="17" s="1"/>
  <c r="A127" i="17" s="1"/>
  <c r="A128" i="17" s="1"/>
  <c r="A129" i="17" s="1"/>
  <c r="A130" i="17" s="1"/>
  <c r="A131" i="17" s="1"/>
  <c r="A132" i="17" s="1"/>
  <c r="A133" i="17" s="1"/>
  <c r="A134" i="17" s="1"/>
  <c r="A135" i="17" s="1"/>
  <c r="A136" i="17" s="1"/>
  <c r="A137" i="17" s="1"/>
  <c r="A138" i="17" s="1"/>
  <c r="A139" i="17" s="1"/>
  <c r="A140" i="17" s="1"/>
  <c r="A141" i="17" s="1"/>
  <c r="A142" i="17" s="1"/>
  <c r="A143" i="17" s="1"/>
  <c r="A144" i="17" s="1"/>
  <c r="A145" i="17" s="1"/>
  <c r="A146" i="17" s="1"/>
  <c r="A147" i="17" s="1"/>
  <c r="A148" i="17" s="1"/>
  <c r="A149" i="17" s="1"/>
  <c r="A150" i="17" s="1"/>
  <c r="A151" i="17" s="1"/>
  <c r="A152" i="17" s="1"/>
  <c r="A153" i="17" s="1"/>
  <c r="A154" i="17" s="1"/>
  <c r="A155" i="17" s="1"/>
  <c r="A156" i="17" s="1"/>
  <c r="A157" i="17" s="1"/>
  <c r="A158" i="17" s="1"/>
  <c r="A159" i="17" s="1"/>
  <c r="A160" i="17" s="1"/>
  <c r="A161" i="17" s="1"/>
  <c r="A162" i="17" s="1"/>
  <c r="A163" i="17" s="1"/>
  <c r="A164" i="17" s="1"/>
  <c r="A165" i="17" s="1"/>
  <c r="A166" i="17" s="1"/>
  <c r="A167" i="17" s="1"/>
  <c r="A168" i="17" s="1"/>
  <c r="A169" i="17" s="1"/>
  <c r="A170" i="17" s="1"/>
  <c r="A171" i="17" s="1"/>
  <c r="A172" i="17" s="1"/>
  <c r="A173" i="17" s="1"/>
  <c r="A174" i="17" s="1"/>
  <c r="A175" i="17" s="1"/>
  <c r="A176" i="17" s="1"/>
  <c r="A177" i="17" s="1"/>
  <c r="A178" i="17" s="1"/>
  <c r="A179" i="17" s="1"/>
  <c r="A180" i="17" s="1"/>
  <c r="A181" i="17" s="1"/>
  <c r="A182" i="17" s="1"/>
  <c r="A183" i="17" s="1"/>
  <c r="A184" i="17" s="1"/>
  <c r="A185" i="17" s="1"/>
  <c r="A186" i="17" s="1"/>
  <c r="A187" i="17" s="1"/>
  <c r="A188" i="17" s="1"/>
  <c r="A189" i="17" s="1"/>
  <c r="A190" i="17" s="1"/>
  <c r="A191" i="17" s="1"/>
  <c r="A192" i="17" s="1"/>
  <c r="A193" i="17" s="1"/>
  <c r="A194" i="17" s="1"/>
  <c r="A195" i="17" s="1"/>
  <c r="A196" i="17" s="1"/>
  <c r="A197" i="17" s="1"/>
  <c r="A198" i="17" s="1"/>
  <c r="A199" i="17" s="1"/>
  <c r="A200" i="17" s="1"/>
  <c r="A201" i="17" s="1"/>
  <c r="A202" i="17" s="1"/>
  <c r="A203" i="17" s="1"/>
  <c r="A204" i="17" s="1"/>
  <c r="A205" i="17" s="1"/>
  <c r="A206" i="17" s="1"/>
  <c r="A207" i="17" s="1"/>
  <c r="A208" i="17" s="1"/>
  <c r="A209" i="17" s="1"/>
  <c r="A210" i="17" s="1"/>
  <c r="A211" i="17" s="1"/>
  <c r="A212" i="17" s="1"/>
  <c r="A213" i="17" s="1"/>
  <c r="A214" i="17" s="1"/>
  <c r="A215" i="17" s="1"/>
  <c r="A216" i="17" s="1"/>
  <c r="A217" i="17" s="1"/>
  <c r="A218" i="17" s="1"/>
  <c r="A219" i="17" s="1"/>
  <c r="A220" i="17" s="1"/>
  <c r="A221" i="17" s="1"/>
  <c r="A222" i="17" s="1"/>
  <c r="A223" i="17" s="1"/>
  <c r="A224" i="17" s="1"/>
  <c r="A225" i="17" s="1"/>
  <c r="A226" i="17" s="1"/>
  <c r="A227" i="17" s="1"/>
  <c r="A228" i="17" s="1"/>
  <c r="A229" i="17" s="1"/>
  <c r="A230" i="17" s="1"/>
  <c r="A231" i="17" s="1"/>
  <c r="A232" i="17" s="1"/>
  <c r="A233" i="17" s="1"/>
  <c r="A234" i="17" s="1"/>
  <c r="A235" i="17" s="1"/>
  <c r="A236" i="17" s="1"/>
  <c r="A237" i="17" s="1"/>
  <c r="A238" i="17" s="1"/>
  <c r="A239" i="17" s="1"/>
  <c r="A240" i="17" s="1"/>
  <c r="A241" i="17" s="1"/>
  <c r="A242" i="17" s="1"/>
  <c r="A243" i="17" s="1"/>
  <c r="A244" i="17" s="1"/>
  <c r="A245" i="17" s="1"/>
  <c r="A246" i="17" s="1"/>
  <c r="A247" i="17" s="1"/>
  <c r="A248" i="17" s="1"/>
  <c r="A249" i="17" s="1"/>
  <c r="A250" i="17" s="1"/>
  <c r="A251" i="17" s="1"/>
  <c r="A252" i="17" s="1"/>
  <c r="A253" i="17" s="1"/>
  <c r="A254" i="17" s="1"/>
  <c r="A255" i="17" s="1"/>
  <c r="A256" i="17" s="1"/>
  <c r="A257" i="17" s="1"/>
  <c r="A258" i="17" s="1"/>
  <c r="A259" i="17" s="1"/>
  <c r="A260" i="17" s="1"/>
  <c r="A261" i="17" s="1"/>
  <c r="A262" i="17" s="1"/>
  <c r="A263" i="17" s="1"/>
  <c r="A264" i="17" s="1"/>
  <c r="A265" i="17" s="1"/>
  <c r="A266" i="17" s="1"/>
  <c r="A267" i="17" s="1"/>
  <c r="A268" i="17" s="1"/>
  <c r="A269" i="17" s="1"/>
  <c r="A270" i="17" s="1"/>
  <c r="A271" i="17" s="1"/>
  <c r="A272" i="17" s="1"/>
  <c r="A273" i="17" s="1"/>
  <c r="A274" i="17" s="1"/>
  <c r="A275" i="17" s="1"/>
  <c r="A276" i="17" s="1"/>
  <c r="A277" i="17" s="1"/>
  <c r="A278" i="17" s="1"/>
  <c r="A279" i="17" s="1"/>
  <c r="A280" i="17" s="1"/>
  <c r="A281" i="17" s="1"/>
  <c r="A282" i="17" s="1"/>
  <c r="A283" i="17" s="1"/>
  <c r="A284" i="17" s="1"/>
  <c r="A285" i="17" s="1"/>
  <c r="A286" i="17" s="1"/>
  <c r="A287" i="17" s="1"/>
  <c r="A288" i="17" s="1"/>
  <c r="A289" i="17" s="1"/>
  <c r="A290" i="17" s="1"/>
  <c r="A291" i="17" s="1"/>
  <c r="A292" i="17" s="1"/>
  <c r="A293" i="17" s="1"/>
  <c r="A294" i="17" s="1"/>
  <c r="A295" i="17" s="1"/>
  <c r="A296" i="17" s="1"/>
  <c r="A297" i="17" s="1"/>
  <c r="A298" i="17" s="1"/>
  <c r="A299" i="17" s="1"/>
  <c r="A300" i="17" s="1"/>
  <c r="A301" i="17" s="1"/>
  <c r="A302" i="17" s="1"/>
  <c r="A303" i="17" s="1"/>
  <c r="A304" i="17" s="1"/>
  <c r="A305" i="17" s="1"/>
  <c r="A306" i="17" s="1"/>
  <c r="A307" i="17" s="1"/>
  <c r="A308" i="17" s="1"/>
  <c r="A309" i="17" s="1"/>
  <c r="A310" i="17" s="1"/>
  <c r="A311" i="17" s="1"/>
  <c r="A312" i="17" s="1"/>
  <c r="A313" i="17" s="1"/>
  <c r="A314" i="17" s="1"/>
  <c r="A315" i="17" s="1"/>
  <c r="A316" i="17" s="1"/>
  <c r="A317" i="17" s="1"/>
  <c r="A318" i="17" s="1"/>
  <c r="A319" i="17" s="1"/>
  <c r="A320" i="17" s="1"/>
  <c r="A321" i="17" s="1"/>
  <c r="A322" i="17" s="1"/>
  <c r="A323" i="17" s="1"/>
  <c r="A324" i="17" s="1"/>
  <c r="A325" i="17" s="1"/>
  <c r="A326" i="17" s="1"/>
  <c r="A327" i="17" s="1"/>
  <c r="A328" i="17" s="1"/>
  <c r="A329" i="17" s="1"/>
  <c r="A330" i="17" s="1"/>
  <c r="A331" i="17" s="1"/>
  <c r="A332" i="17" s="1"/>
  <c r="A333" i="17" s="1"/>
  <c r="A334" i="17" s="1"/>
  <c r="A335" i="17" s="1"/>
  <c r="A336" i="17" s="1"/>
  <c r="A337" i="17" s="1"/>
  <c r="A338" i="17" s="1"/>
  <c r="A339" i="17" s="1"/>
  <c r="A340" i="17" s="1"/>
  <c r="A341" i="17" s="1"/>
  <c r="A342" i="17" s="1"/>
  <c r="A343" i="17" s="1"/>
  <c r="A344" i="17" s="1"/>
  <c r="A345" i="17" s="1"/>
  <c r="A346" i="17" s="1"/>
  <c r="A347" i="17" s="1"/>
  <c r="A348" i="17" s="1"/>
  <c r="A349" i="17" s="1"/>
  <c r="A350" i="17" s="1"/>
  <c r="A351" i="17" s="1"/>
  <c r="A352" i="17" s="1"/>
  <c r="A353" i="17" s="1"/>
  <c r="A354" i="17" s="1"/>
  <c r="A355" i="17" s="1"/>
  <c r="A356" i="17" s="1"/>
  <c r="A357" i="17" s="1"/>
  <c r="A358" i="17" s="1"/>
  <c r="A359" i="17" s="1"/>
  <c r="A360" i="17" s="1"/>
  <c r="A361" i="17" s="1"/>
  <c r="A362" i="17" s="1"/>
  <c r="A363" i="17" s="1"/>
  <c r="A364" i="17" s="1"/>
  <c r="A365" i="17" s="1"/>
  <c r="A366" i="17" s="1"/>
  <c r="A367" i="17" s="1"/>
  <c r="A368" i="17" s="1"/>
  <c r="A369" i="17" s="1"/>
  <c r="A370" i="17" s="1"/>
  <c r="A371" i="17" s="1"/>
  <c r="A372" i="17" s="1"/>
  <c r="A373" i="17" s="1"/>
  <c r="A374" i="17" s="1"/>
  <c r="A375" i="17" s="1"/>
  <c r="A376" i="17" s="1"/>
  <c r="A377" i="17" s="1"/>
  <c r="A378" i="17" s="1"/>
  <c r="A379" i="17" s="1"/>
  <c r="A380" i="17" s="1"/>
  <c r="A381" i="17" s="1"/>
  <c r="A382" i="17" s="1"/>
  <c r="A383" i="17" s="1"/>
  <c r="A384" i="17" s="1"/>
  <c r="A385" i="17" s="1"/>
  <c r="A386" i="17" s="1"/>
  <c r="A387" i="17" s="1"/>
  <c r="A388" i="17" s="1"/>
  <c r="A389" i="17" s="1"/>
  <c r="A390" i="17" s="1"/>
  <c r="A391" i="17" s="1"/>
  <c r="A392" i="17" s="1"/>
  <c r="A393" i="17" s="1"/>
  <c r="A394" i="17" s="1"/>
  <c r="A395" i="17" s="1"/>
  <c r="A396" i="17" s="1"/>
  <c r="A397" i="17" s="1"/>
  <c r="A398" i="17" s="1"/>
  <c r="A399" i="17" s="1"/>
  <c r="A400" i="17" s="1"/>
  <c r="A401" i="17" s="1"/>
  <c r="A402" i="17" s="1"/>
  <c r="A403" i="17" s="1"/>
  <c r="A404" i="17" s="1"/>
  <c r="A405" i="17" s="1"/>
  <c r="A406" i="17" s="1"/>
  <c r="A407" i="17" s="1"/>
  <c r="A408" i="17" s="1"/>
  <c r="A409" i="17" s="1"/>
  <c r="A410" i="17" s="1"/>
  <c r="A411" i="17" s="1"/>
  <c r="A412" i="17" s="1"/>
  <c r="A413" i="17" s="1"/>
  <c r="A414" i="17" s="1"/>
  <c r="A415" i="17" s="1"/>
  <c r="A416" i="17" s="1"/>
  <c r="A417" i="17" s="1"/>
  <c r="A418" i="17" s="1"/>
  <c r="A419" i="17" s="1"/>
  <c r="A420" i="17" s="1"/>
  <c r="A421" i="17" s="1"/>
  <c r="A422" i="17" s="1"/>
  <c r="A423" i="17" s="1"/>
  <c r="A424" i="17" s="1"/>
  <c r="A425" i="17" s="1"/>
  <c r="A426" i="17" s="1"/>
  <c r="A427" i="17" s="1"/>
  <c r="A428" i="17" s="1"/>
  <c r="A429" i="17" s="1"/>
  <c r="A430" i="17" s="1"/>
  <c r="A431" i="17" s="1"/>
  <c r="A432" i="17" s="1"/>
  <c r="A433" i="17" s="1"/>
  <c r="A434" i="17" s="1"/>
  <c r="A435" i="17" s="1"/>
  <c r="A436" i="17" s="1"/>
  <c r="A437" i="17" s="1"/>
  <c r="A438" i="17" s="1"/>
  <c r="A439" i="17" s="1"/>
  <c r="A440" i="17" s="1"/>
  <c r="A441" i="17" s="1"/>
  <c r="A442" i="17" s="1"/>
  <c r="A443" i="17" s="1"/>
  <c r="A444" i="17" s="1"/>
  <c r="A445" i="17" s="1"/>
  <c r="A446" i="17" s="1"/>
  <c r="A447" i="17" s="1"/>
  <c r="A448" i="17" s="1"/>
  <c r="A449" i="17" s="1"/>
  <c r="A450" i="17" s="1"/>
  <c r="A451" i="17" s="1"/>
  <c r="A452" i="17" s="1"/>
  <c r="A453" i="17" s="1"/>
  <c r="A454" i="17" s="1"/>
  <c r="A455" i="17" s="1"/>
  <c r="A456" i="17" s="1"/>
  <c r="A457" i="17" s="1"/>
  <c r="A458" i="17" s="1"/>
  <c r="A459" i="17" s="1"/>
  <c r="A460" i="17" s="1"/>
  <c r="A461" i="17" s="1"/>
  <c r="A462" i="17" s="1"/>
  <c r="A463" i="17" s="1"/>
  <c r="A464" i="17" s="1"/>
  <c r="A465" i="17" s="1"/>
  <c r="A466" i="17" s="1"/>
  <c r="A467" i="17" s="1"/>
  <c r="A468" i="17" s="1"/>
  <c r="A469" i="17" s="1"/>
  <c r="A470" i="17" s="1"/>
  <c r="A471" i="17" s="1"/>
  <c r="A472" i="17" s="1"/>
  <c r="A473" i="17" s="1"/>
  <c r="A474" i="17" s="1"/>
  <c r="A475" i="17" s="1"/>
  <c r="A476" i="17" s="1"/>
  <c r="A477" i="17" s="1"/>
  <c r="A478" i="17" s="1"/>
  <c r="A479" i="17" s="1"/>
  <c r="A480" i="17" s="1"/>
  <c r="A481" i="17" s="1"/>
  <c r="A482" i="17" s="1"/>
  <c r="A483" i="17" s="1"/>
  <c r="A484" i="17" s="1"/>
  <c r="A485" i="17" s="1"/>
  <c r="A486" i="17" s="1"/>
  <c r="A487" i="17" s="1"/>
  <c r="A488" i="17" s="1"/>
  <c r="A489" i="17" s="1"/>
  <c r="A490" i="17" s="1"/>
  <c r="A491" i="17" s="1"/>
  <c r="A492" i="17" s="1"/>
  <c r="A493" i="17" s="1"/>
  <c r="A494" i="17" s="1"/>
  <c r="A495" i="17" s="1"/>
  <c r="A496" i="17" s="1"/>
  <c r="A497" i="17" s="1"/>
  <c r="A498" i="17" s="1"/>
  <c r="A499" i="17" s="1"/>
  <c r="A500" i="17" s="1"/>
  <c r="A501" i="17" s="1"/>
  <c r="A502" i="17" s="1"/>
  <c r="A503" i="17" s="1"/>
  <c r="A504" i="17" s="1"/>
  <c r="A505" i="17" s="1"/>
  <c r="A506" i="17" s="1"/>
  <c r="A507" i="17" s="1"/>
  <c r="A508" i="17" s="1"/>
  <c r="A509" i="17" s="1"/>
  <c r="A510" i="17" s="1"/>
  <c r="A511" i="17" s="1"/>
  <c r="A512" i="17" s="1"/>
  <c r="A513" i="17" s="1"/>
  <c r="A514" i="17" s="1"/>
  <c r="A515" i="17" s="1"/>
  <c r="A516" i="17" s="1"/>
  <c r="A517" i="17" s="1"/>
  <c r="A518" i="17" s="1"/>
  <c r="A519" i="17" s="1"/>
  <c r="A520" i="17" s="1"/>
  <c r="A521" i="17" s="1"/>
  <c r="A522" i="17" s="1"/>
  <c r="A523" i="17" s="1"/>
  <c r="A524" i="17" s="1"/>
  <c r="A525" i="17" s="1"/>
  <c r="A526" i="17" s="1"/>
  <c r="A527" i="17" s="1"/>
  <c r="A528" i="17" s="1"/>
  <c r="A529" i="17" s="1"/>
  <c r="A530" i="17" s="1"/>
  <c r="A531" i="17" s="1"/>
  <c r="A532" i="17" s="1"/>
  <c r="A533" i="17" s="1"/>
  <c r="A534" i="17" s="1"/>
  <c r="A535" i="17" s="1"/>
  <c r="A536" i="17" s="1"/>
  <c r="A537" i="17" s="1"/>
  <c r="A538" i="17" s="1"/>
  <c r="A539" i="17" s="1"/>
  <c r="A540" i="17" s="1"/>
  <c r="A541" i="17" s="1"/>
  <c r="A542" i="17" s="1"/>
  <c r="A543" i="17" s="1"/>
  <c r="A544" i="17" s="1"/>
  <c r="A545" i="17" s="1"/>
  <c r="A546" i="17" s="1"/>
  <c r="A547" i="17" s="1"/>
  <c r="A548" i="17" s="1"/>
  <c r="A549" i="17" s="1"/>
  <c r="A550" i="17" s="1"/>
  <c r="A551" i="17" s="1"/>
  <c r="A552" i="17" s="1"/>
  <c r="A553" i="17" s="1"/>
  <c r="A554" i="17" s="1"/>
  <c r="A555" i="17" s="1"/>
  <c r="A556" i="17" s="1"/>
  <c r="A557" i="17" s="1"/>
  <c r="A558" i="17" s="1"/>
  <c r="A559" i="17" s="1"/>
  <c r="A560" i="17" s="1"/>
  <c r="A561" i="17" s="1"/>
  <c r="A562" i="17" s="1"/>
  <c r="A563" i="17" s="1"/>
  <c r="A564" i="17" s="1"/>
  <c r="A565" i="17" s="1"/>
  <c r="A566" i="17" s="1"/>
  <c r="B8" i="7"/>
  <c r="B7" i="7" s="1"/>
  <c r="E11" i="7" s="1"/>
  <c r="AB23" i="25"/>
  <c r="AB21" i="25"/>
  <c r="AA23" i="25"/>
  <c r="AA22" i="25"/>
  <c r="AB20" i="25"/>
  <c r="AA21" i="25"/>
  <c r="AA20" i="25"/>
  <c r="AB22" i="25"/>
  <c r="AB27" i="25"/>
  <c r="AA27" i="25"/>
  <c r="H7" i="25"/>
  <c r="U26" i="25"/>
  <c r="U29" i="25" s="1"/>
  <c r="B14" i="25"/>
  <c r="AA14" i="25" s="1"/>
  <c r="N26" i="25"/>
  <c r="N29" i="25" s="1"/>
  <c r="H26" i="25"/>
  <c r="W26" i="25"/>
  <c r="W28" i="25" s="1"/>
  <c r="B12" i="25"/>
  <c r="F12" i="25"/>
  <c r="J12" i="25"/>
  <c r="N12" i="25"/>
  <c r="R12" i="25"/>
  <c r="AB12" i="25" s="1"/>
  <c r="V12" i="25"/>
  <c r="C12" i="25"/>
  <c r="G12" i="25"/>
  <c r="K12" i="25"/>
  <c r="O12" i="25"/>
  <c r="S12" i="25"/>
  <c r="AC12" i="25" s="1"/>
  <c r="W12" i="25"/>
  <c r="D12" i="25"/>
  <c r="H12" i="25"/>
  <c r="AE12" i="25" s="1"/>
  <c r="L12" i="25"/>
  <c r="P12" i="25"/>
  <c r="T12" i="25"/>
  <c r="Q13" i="25"/>
  <c r="AB13" i="25" s="1"/>
  <c r="M26" i="25"/>
  <c r="M28" i="25" s="1"/>
  <c r="P7" i="25"/>
  <c r="P6" i="25" s="1"/>
  <c r="N7" i="25"/>
  <c r="N6" i="25" s="1"/>
  <c r="Q7" i="25"/>
  <c r="M7" i="25"/>
  <c r="M6" i="25" s="1"/>
  <c r="G7" i="25"/>
  <c r="G6" i="25" s="1"/>
  <c r="J7" i="25"/>
  <c r="J6" i="25" s="1"/>
  <c r="V7" i="25"/>
  <c r="V6" i="25" s="1"/>
  <c r="E7" i="25"/>
  <c r="E6" i="25" s="1"/>
  <c r="W7" i="25"/>
  <c r="W6" i="25" s="1"/>
  <c r="Q26" i="25"/>
  <c r="Q29" i="25" s="1"/>
  <c r="X26" i="25"/>
  <c r="X29" i="25" s="1"/>
  <c r="D7" i="25"/>
  <c r="D6" i="25" s="1"/>
  <c r="R7" i="25"/>
  <c r="R6" i="25" s="1"/>
  <c r="O7" i="25"/>
  <c r="O6" i="25" s="1"/>
  <c r="K7" i="25"/>
  <c r="K6" i="25" s="1"/>
  <c r="U7" i="25"/>
  <c r="U6" i="25" s="1"/>
  <c r="S7" i="25"/>
  <c r="AC7" i="25" s="1"/>
  <c r="F7" i="25"/>
  <c r="F6" i="25" s="1"/>
  <c r="I7" i="25"/>
  <c r="I6" i="25" s="1"/>
  <c r="O26" i="25"/>
  <c r="O28" i="25" s="1"/>
  <c r="E26" i="25"/>
  <c r="E29" i="25" s="1"/>
  <c r="C26" i="25"/>
  <c r="T26" i="25"/>
  <c r="T28" i="25" s="1"/>
  <c r="V26" i="25"/>
  <c r="V29" i="25" s="1"/>
  <c r="G26" i="25"/>
  <c r="G29" i="25" s="1"/>
  <c r="AE1" i="20"/>
  <c r="AF1" i="20" s="1"/>
  <c r="AG1" i="20" s="1"/>
  <c r="AH1" i="20" s="1"/>
  <c r="AI1" i="20" s="1"/>
  <c r="AJ1" i="20" s="1"/>
  <c r="AK1" i="20" s="1"/>
  <c r="AL1" i="20" s="1"/>
  <c r="AM1" i="20" s="1"/>
  <c r="AN1" i="20" s="1"/>
  <c r="AO1" i="20" s="1"/>
  <c r="AP1" i="20" s="1"/>
  <c r="AQ1" i="20" s="1"/>
  <c r="AR1" i="20" s="1"/>
  <c r="AS1" i="20" s="1"/>
  <c r="AT1" i="20" s="1"/>
  <c r="AU1" i="20" s="1"/>
  <c r="AV1" i="20" s="1"/>
  <c r="AW1" i="20" s="1"/>
  <c r="AX1" i="20" s="1"/>
  <c r="AY1" i="20" s="1"/>
  <c r="AZ1" i="20" s="1"/>
  <c r="BA1" i="20" s="1"/>
  <c r="BB1" i="20" s="1"/>
  <c r="BC1" i="20" s="1"/>
  <c r="BD1" i="20" s="1"/>
  <c r="BE1" i="20" s="1"/>
  <c r="BG1" i="20" s="1"/>
  <c r="BH1" i="20" s="1"/>
  <c r="BI1" i="20" s="1"/>
  <c r="BJ1" i="20" s="1"/>
  <c r="BK1" i="20" s="1"/>
  <c r="BM1" i="20" s="1"/>
  <c r="BN1" i="20" s="1"/>
  <c r="BO1" i="20" s="1"/>
  <c r="BP1" i="20" s="1"/>
  <c r="BQ1" i="20" s="1"/>
  <c r="BR1" i="20" s="1"/>
  <c r="BS1" i="20" s="1"/>
  <c r="BT1" i="20" s="1"/>
  <c r="BU1" i="20" s="1"/>
  <c r="BV1" i="20" s="1"/>
  <c r="BW1" i="20" s="1"/>
  <c r="BX1" i="20" s="1"/>
  <c r="BY1" i="20" s="1"/>
  <c r="BZ1" i="20" s="1"/>
  <c r="CA1" i="20" s="1"/>
  <c r="CB1" i="20" s="1"/>
  <c r="CC1" i="20" s="1"/>
  <c r="CD1" i="20" s="1"/>
  <c r="CE1" i="20" s="1"/>
  <c r="CF1" i="20" s="1"/>
  <c r="CG1" i="20" s="1"/>
  <c r="CH1" i="20" s="1"/>
  <c r="CI1" i="20" s="1"/>
  <c r="CJ1" i="20" s="1"/>
  <c r="CK1" i="20" s="1"/>
  <c r="CL1" i="20" s="1"/>
  <c r="CM1" i="20" s="1"/>
  <c r="CN1" i="20" s="1"/>
  <c r="CO1" i="20" s="1"/>
  <c r="CP1" i="20" s="1"/>
  <c r="CQ1" i="20" s="1"/>
  <c r="CR1" i="20" s="1"/>
  <c r="CS1" i="20" s="1"/>
  <c r="CT1" i="20" s="1"/>
  <c r="CU1" i="20" s="1"/>
  <c r="CV1" i="20" s="1"/>
  <c r="CW1" i="20" s="1"/>
  <c r="CX1" i="20" s="1"/>
  <c r="CY1" i="20" s="1"/>
  <c r="CZ1" i="20" s="1"/>
  <c r="DA1" i="20" s="1"/>
  <c r="DB1" i="20" s="1"/>
  <c r="DC1" i="20" s="1"/>
  <c r="DD1" i="20" s="1"/>
  <c r="DE1" i="20" s="1"/>
  <c r="DF1" i="20" s="1"/>
  <c r="DG1" i="20" s="1"/>
  <c r="DH1" i="20" s="1"/>
  <c r="DI1" i="20" s="1"/>
  <c r="J13" i="25"/>
  <c r="V13" i="25"/>
  <c r="W13" i="25"/>
  <c r="E13" i="25"/>
  <c r="F13" i="25"/>
  <c r="L26" i="25"/>
  <c r="L28" i="25" s="1"/>
  <c r="X7" i="25"/>
  <c r="X6" i="25" s="1"/>
  <c r="F26" i="25"/>
  <c r="F29" i="25" s="1"/>
  <c r="C13" i="25"/>
  <c r="P13" i="25"/>
  <c r="Q10" i="25"/>
  <c r="U13" i="25"/>
  <c r="T7" i="25"/>
  <c r="T6" i="25" s="1"/>
  <c r="U10" i="25"/>
  <c r="B10" i="25"/>
  <c r="J10" i="25"/>
  <c r="R10" i="25"/>
  <c r="F10" i="25"/>
  <c r="T13" i="25"/>
  <c r="V10" i="25"/>
  <c r="N10" i="25"/>
  <c r="B26" i="25"/>
  <c r="K26" i="25"/>
  <c r="K28" i="25" s="1"/>
  <c r="P26" i="25"/>
  <c r="P28" i="25" s="1"/>
  <c r="L7" i="25"/>
  <c r="L6" i="25" s="1"/>
  <c r="G10" i="25"/>
  <c r="S10" i="25"/>
  <c r="AC10" i="25" s="1"/>
  <c r="K10" i="25"/>
  <c r="W10" i="25"/>
  <c r="C10" i="25"/>
  <c r="O10" i="25"/>
  <c r="D10" i="25"/>
  <c r="H10" i="25"/>
  <c r="L10" i="25"/>
  <c r="P10" i="25"/>
  <c r="T10" i="25"/>
  <c r="X10" i="25"/>
  <c r="X8" i="25" s="1"/>
  <c r="E10" i="25"/>
  <c r="I10" i="25"/>
  <c r="I8" i="25" s="1"/>
  <c r="M10" i="25"/>
  <c r="M8" i="25" s="1"/>
  <c r="B19" i="25"/>
  <c r="B4" i="7"/>
  <c r="I30" i="9"/>
  <c r="I29" i="9"/>
  <c r="I28" i="9"/>
  <c r="J28" i="25"/>
  <c r="I28" i="25"/>
  <c r="D28" i="25"/>
  <c r="E168" i="25"/>
  <c r="E166" i="25"/>
  <c r="E164" i="25"/>
  <c r="E162" i="25"/>
  <c r="E160" i="25"/>
  <c r="E158" i="25"/>
  <c r="E156" i="25"/>
  <c r="E154" i="25"/>
  <c r="E152" i="25"/>
  <c r="E150" i="25"/>
  <c r="E148" i="25"/>
  <c r="E146" i="25"/>
  <c r="E144" i="25"/>
  <c r="E142" i="25"/>
  <c r="E140" i="25"/>
  <c r="E138" i="25"/>
  <c r="E136" i="25"/>
  <c r="E134" i="25"/>
  <c r="E132" i="25"/>
  <c r="E130" i="25"/>
  <c r="E128" i="25"/>
  <c r="E126" i="25"/>
  <c r="E124" i="25"/>
  <c r="E122" i="25"/>
  <c r="E120" i="25"/>
  <c r="E118" i="25"/>
  <c r="E116" i="25"/>
  <c r="E114" i="25"/>
  <c r="E112" i="25"/>
  <c r="E110" i="25"/>
  <c r="E108" i="25"/>
  <c r="E106" i="25"/>
  <c r="E104" i="25"/>
  <c r="E102" i="25"/>
  <c r="E100" i="25"/>
  <c r="E98" i="25"/>
  <c r="E96" i="25"/>
  <c r="E94" i="25"/>
  <c r="E92" i="25"/>
  <c r="E90" i="25"/>
  <c r="E88" i="25"/>
  <c r="E86" i="25"/>
  <c r="E84" i="25"/>
  <c r="E82" i="25"/>
  <c r="E80" i="25"/>
  <c r="E78" i="25"/>
  <c r="E76" i="25"/>
  <c r="E74" i="25"/>
  <c r="E72" i="25"/>
  <c r="E70" i="25"/>
  <c r="E68" i="25"/>
  <c r="E66" i="25"/>
  <c r="E64" i="25"/>
  <c r="E62" i="25"/>
  <c r="E60" i="25"/>
  <c r="E58" i="25"/>
  <c r="E56" i="25"/>
  <c r="E54" i="25"/>
  <c r="E52" i="25"/>
  <c r="E50" i="25"/>
  <c r="E48" i="25"/>
  <c r="E169" i="25"/>
  <c r="E167" i="25"/>
  <c r="E165" i="25"/>
  <c r="E163" i="25"/>
  <c r="E161" i="25"/>
  <c r="E159" i="25"/>
  <c r="E157" i="25"/>
  <c r="E155" i="25"/>
  <c r="E153" i="25"/>
  <c r="E151" i="25"/>
  <c r="E149" i="25"/>
  <c r="E147" i="25"/>
  <c r="E145" i="25"/>
  <c r="E143" i="25"/>
  <c r="E141" i="25"/>
  <c r="E139" i="25"/>
  <c r="E137" i="25"/>
  <c r="E135" i="25"/>
  <c r="E133" i="25"/>
  <c r="E131" i="25"/>
  <c r="E129" i="25"/>
  <c r="E127" i="25"/>
  <c r="E125" i="25"/>
  <c r="E123" i="25"/>
  <c r="E121" i="25"/>
  <c r="E119" i="25"/>
  <c r="E117" i="25"/>
  <c r="E115" i="25"/>
  <c r="E113" i="25"/>
  <c r="E111" i="25"/>
  <c r="E109" i="25"/>
  <c r="E107" i="25"/>
  <c r="E105" i="25"/>
  <c r="E103" i="25"/>
  <c r="E101" i="25"/>
  <c r="E99" i="25"/>
  <c r="E97" i="25"/>
  <c r="E95" i="25"/>
  <c r="E93" i="25"/>
  <c r="E91" i="25"/>
  <c r="E89" i="25"/>
  <c r="E87" i="25"/>
  <c r="E85" i="25"/>
  <c r="E83" i="25"/>
  <c r="E81" i="25"/>
  <c r="E79" i="25"/>
  <c r="E77" i="25"/>
  <c r="E75" i="25"/>
  <c r="E73" i="25"/>
  <c r="E71" i="25"/>
  <c r="E69" i="25"/>
  <c r="E67" i="25"/>
  <c r="E65" i="25"/>
  <c r="E63" i="25"/>
  <c r="E61" i="25"/>
  <c r="E59" i="25"/>
  <c r="E57" i="25"/>
  <c r="E55" i="25"/>
  <c r="E53" i="25"/>
  <c r="E51" i="25"/>
  <c r="E49" i="25"/>
  <c r="B16" i="25"/>
  <c r="F16" i="25"/>
  <c r="J16" i="25"/>
  <c r="N16" i="25"/>
  <c r="R16" i="25"/>
  <c r="V16" i="25"/>
  <c r="Y27" i="25"/>
  <c r="I29" i="25"/>
  <c r="C16" i="25"/>
  <c r="G16" i="25"/>
  <c r="K16" i="25"/>
  <c r="O16" i="25"/>
  <c r="S16" i="25"/>
  <c r="AC16" i="25" s="1"/>
  <c r="W16" i="25"/>
  <c r="R28" i="25"/>
  <c r="J29" i="25"/>
  <c r="R29" i="25"/>
  <c r="D16" i="25"/>
  <c r="H16" i="25"/>
  <c r="L16" i="25"/>
  <c r="P16" i="25"/>
  <c r="T16" i="25"/>
  <c r="X16" i="25"/>
  <c r="S28" i="25"/>
  <c r="AC28" i="25" s="1"/>
  <c r="S29" i="25"/>
  <c r="AC29" i="25" s="1"/>
  <c r="E16" i="25"/>
  <c r="I16" i="25"/>
  <c r="M16" i="25"/>
  <c r="Q16" i="25"/>
  <c r="AB16" i="25" s="1"/>
  <c r="U16" i="25"/>
  <c r="D29" i="25"/>
  <c r="U3972" i="22"/>
  <c r="U3968" i="22"/>
  <c r="U3964" i="22"/>
  <c r="U3960" i="22"/>
  <c r="U3956" i="22"/>
  <c r="U3952" i="22"/>
  <c r="U3948" i="22"/>
  <c r="U3944" i="22"/>
  <c r="U3940" i="22"/>
  <c r="U3936" i="22"/>
  <c r="U3932" i="22"/>
  <c r="U3928" i="22"/>
  <c r="U3924" i="22"/>
  <c r="U3920" i="22"/>
  <c r="U3916" i="22"/>
  <c r="U3912" i="22"/>
  <c r="U3908" i="22"/>
  <c r="U3904" i="22"/>
  <c r="U3900" i="22"/>
  <c r="U3896" i="22"/>
  <c r="U3892" i="22"/>
  <c r="U3888" i="22"/>
  <c r="U3884" i="22"/>
  <c r="U3880" i="22"/>
  <c r="U3876" i="22"/>
  <c r="U3872" i="22"/>
  <c r="U3868" i="22"/>
  <c r="U3864" i="22"/>
  <c r="U3860" i="22"/>
  <c r="U3856" i="22"/>
  <c r="U3852" i="22"/>
  <c r="U3848" i="22"/>
  <c r="U3844" i="22"/>
  <c r="U3840" i="22"/>
  <c r="U3836" i="22"/>
  <c r="U3832" i="22"/>
  <c r="U3828" i="22"/>
  <c r="U3824" i="22"/>
  <c r="U3820" i="22"/>
  <c r="U3816" i="22"/>
  <c r="U3812" i="22"/>
  <c r="U3808" i="22"/>
  <c r="U3804" i="22"/>
  <c r="U3800" i="22"/>
  <c r="U3796" i="22"/>
  <c r="U3792" i="22"/>
  <c r="U3788" i="22"/>
  <c r="U3784" i="22"/>
  <c r="U3780" i="22"/>
  <c r="U3776" i="22"/>
  <c r="U3772" i="22"/>
  <c r="U3768" i="22"/>
  <c r="U3764" i="22"/>
  <c r="U3760" i="22"/>
  <c r="U3756" i="22"/>
  <c r="U3752" i="22"/>
  <c r="U3748" i="22"/>
  <c r="U3744" i="22"/>
  <c r="U3740" i="22"/>
  <c r="U3736" i="22"/>
  <c r="U3732" i="22"/>
  <c r="U3728" i="22"/>
  <c r="U3724" i="22"/>
  <c r="U3720" i="22"/>
  <c r="U3716" i="22"/>
  <c r="U3712" i="22"/>
  <c r="U3708" i="22"/>
  <c r="U3704" i="22"/>
  <c r="U3700" i="22"/>
  <c r="U3696" i="22"/>
  <c r="U3692" i="22"/>
  <c r="U3688" i="22"/>
  <c r="U3684" i="22"/>
  <c r="U3680" i="22"/>
  <c r="U3676" i="22"/>
  <c r="U3672" i="22"/>
  <c r="U3668" i="22"/>
  <c r="U3664" i="22"/>
  <c r="U3660" i="22"/>
  <c r="U3656" i="22"/>
  <c r="U3652" i="22"/>
  <c r="U3648" i="22"/>
  <c r="U3644" i="22"/>
  <c r="U3640" i="22"/>
  <c r="U3636" i="22"/>
  <c r="U3632" i="22"/>
  <c r="U3628" i="22"/>
  <c r="U3624" i="22"/>
  <c r="U3620" i="22"/>
  <c r="U3616" i="22"/>
  <c r="U3612" i="22"/>
  <c r="U3608" i="22"/>
  <c r="U3604" i="22"/>
  <c r="U3600" i="22"/>
  <c r="U3596" i="22"/>
  <c r="U3592" i="22"/>
  <c r="U3588" i="22"/>
  <c r="U3584" i="22"/>
  <c r="U3580" i="22"/>
  <c r="U3576" i="22"/>
  <c r="U3572" i="22"/>
  <c r="U3568" i="22"/>
  <c r="U3564" i="22"/>
  <c r="U3560" i="22"/>
  <c r="U3556" i="22"/>
  <c r="U3552" i="22"/>
  <c r="U3548" i="22"/>
  <c r="U3544" i="22"/>
  <c r="U3540" i="22"/>
  <c r="U3536" i="22"/>
  <c r="U3532" i="22"/>
  <c r="U3528" i="22"/>
  <c r="U3524" i="22"/>
  <c r="U3520" i="22"/>
  <c r="U3516" i="22"/>
  <c r="U3512" i="22"/>
  <c r="U3508" i="22"/>
  <c r="U3504" i="22"/>
  <c r="U3500" i="22"/>
  <c r="U3496" i="22"/>
  <c r="U3492" i="22"/>
  <c r="U3488" i="22"/>
  <c r="U3484" i="22"/>
  <c r="U3480" i="22"/>
  <c r="U3476" i="22"/>
  <c r="U3472" i="22"/>
  <c r="U3468" i="22"/>
  <c r="U3464" i="22"/>
  <c r="U3460" i="22"/>
  <c r="U3456" i="22"/>
  <c r="U3452" i="22"/>
  <c r="U3448" i="22"/>
  <c r="U3444" i="22"/>
  <c r="U3440" i="22"/>
  <c r="U3436" i="22"/>
  <c r="U3432" i="22"/>
  <c r="U3428" i="22"/>
  <c r="U3424" i="22"/>
  <c r="U3420" i="22"/>
  <c r="U3416" i="22"/>
  <c r="U3412" i="22"/>
  <c r="U3408" i="22"/>
  <c r="U3404" i="22"/>
  <c r="U3400" i="22"/>
  <c r="U3396" i="22"/>
  <c r="U3392" i="22"/>
  <c r="U3388" i="22"/>
  <c r="U3384" i="22"/>
  <c r="U3380" i="22"/>
  <c r="U3376" i="22"/>
  <c r="U3372" i="22"/>
  <c r="U3368" i="22"/>
  <c r="U3364" i="22"/>
  <c r="U3360" i="22"/>
  <c r="U3356" i="22"/>
  <c r="U3352" i="22"/>
  <c r="U3348" i="22"/>
  <c r="U3344" i="22"/>
  <c r="U3340" i="22"/>
  <c r="U3336" i="22"/>
  <c r="U3332" i="22"/>
  <c r="U3328" i="22"/>
  <c r="U3324" i="22"/>
  <c r="U3320" i="22"/>
  <c r="U3316" i="22"/>
  <c r="U3312" i="22"/>
  <c r="U3308" i="22"/>
  <c r="U3304" i="22"/>
  <c r="U3300" i="22"/>
  <c r="U3296" i="22"/>
  <c r="U3292" i="22"/>
  <c r="U3288" i="22"/>
  <c r="U3284" i="22"/>
  <c r="U3280" i="22"/>
  <c r="U3276" i="22"/>
  <c r="U3272" i="22"/>
  <c r="U3268" i="22"/>
  <c r="U3264" i="22"/>
  <c r="U3260" i="22"/>
  <c r="U3256" i="22"/>
  <c r="U3252" i="22"/>
  <c r="U3248" i="22"/>
  <c r="U3244" i="22"/>
  <c r="U3240" i="22"/>
  <c r="U3236" i="22"/>
  <c r="U3232" i="22"/>
  <c r="U3228" i="22"/>
  <c r="U3224" i="22"/>
  <c r="U3220" i="22"/>
  <c r="U3216" i="22"/>
  <c r="U3212" i="22"/>
  <c r="U3208" i="22"/>
  <c r="U3204" i="22"/>
  <c r="U3200" i="22"/>
  <c r="U3196" i="22"/>
  <c r="U3192" i="22"/>
  <c r="U3188" i="22"/>
  <c r="U3184" i="22"/>
  <c r="U3180" i="22"/>
  <c r="U3176" i="22"/>
  <c r="U3172" i="22"/>
  <c r="U3168" i="22"/>
  <c r="U3164" i="22"/>
  <c r="U3160" i="22"/>
  <c r="U3156" i="22"/>
  <c r="U3152" i="22"/>
  <c r="U3148" i="22"/>
  <c r="U3144" i="22"/>
  <c r="U3140" i="22"/>
  <c r="U3136" i="22"/>
  <c r="U3132" i="22"/>
  <c r="U3128" i="22"/>
  <c r="U3124" i="22"/>
  <c r="U3120" i="22"/>
  <c r="U3116" i="22"/>
  <c r="U3112" i="22"/>
  <c r="U3110" i="22"/>
  <c r="U3108" i="22"/>
  <c r="U3106" i="22"/>
  <c r="U3104" i="22"/>
  <c r="U3102" i="22"/>
  <c r="U3100" i="22"/>
  <c r="U3098" i="22"/>
  <c r="U3096" i="22"/>
  <c r="U3094" i="22"/>
  <c r="U3092" i="22"/>
  <c r="U3090" i="22"/>
  <c r="U3088" i="22"/>
  <c r="U3086" i="22"/>
  <c r="U3084" i="22"/>
  <c r="U3082" i="22"/>
  <c r="U3080" i="22"/>
  <c r="U3078" i="22"/>
  <c r="U3076" i="22"/>
  <c r="U3074" i="22"/>
  <c r="U3072" i="22"/>
  <c r="U3975" i="22"/>
  <c r="U3971" i="22"/>
  <c r="U3967" i="22"/>
  <c r="U3963" i="22"/>
  <c r="U3959" i="22"/>
  <c r="U3955" i="22"/>
  <c r="U3951" i="22"/>
  <c r="U3947" i="22"/>
  <c r="U3943" i="22"/>
  <c r="U3939" i="22"/>
  <c r="U3935" i="22"/>
  <c r="U3931" i="22"/>
  <c r="U3927" i="22"/>
  <c r="U3923" i="22"/>
  <c r="U3919" i="22"/>
  <c r="U3915" i="22"/>
  <c r="U3911" i="22"/>
  <c r="U3907" i="22"/>
  <c r="U3903" i="22"/>
  <c r="U3899" i="22"/>
  <c r="U3895" i="22"/>
  <c r="U3891" i="22"/>
  <c r="U3887" i="22"/>
  <c r="U3883" i="22"/>
  <c r="U3879" i="22"/>
  <c r="U3875" i="22"/>
  <c r="U3871" i="22"/>
  <c r="U3867" i="22"/>
  <c r="U3863" i="22"/>
  <c r="U3859" i="22"/>
  <c r="U3855" i="22"/>
  <c r="U3851" i="22"/>
  <c r="U3847" i="22"/>
  <c r="U3843" i="22"/>
  <c r="U3839" i="22"/>
  <c r="U3835" i="22"/>
  <c r="U3831" i="22"/>
  <c r="U3827" i="22"/>
  <c r="U3823" i="22"/>
  <c r="U3819" i="22"/>
  <c r="U3815" i="22"/>
  <c r="U3811" i="22"/>
  <c r="U3807" i="22"/>
  <c r="U3803" i="22"/>
  <c r="U3799" i="22"/>
  <c r="U3795" i="22"/>
  <c r="U3791" i="22"/>
  <c r="U3787" i="22"/>
  <c r="U3783" i="22"/>
  <c r="U3779" i="22"/>
  <c r="U3775" i="22"/>
  <c r="U3771" i="22"/>
  <c r="U3767" i="22"/>
  <c r="U3763" i="22"/>
  <c r="U3759" i="22"/>
  <c r="U3755" i="22"/>
  <c r="U3751" i="22"/>
  <c r="U3747" i="22"/>
  <c r="U3743" i="22"/>
  <c r="U3739" i="22"/>
  <c r="U3735" i="22"/>
  <c r="U3731" i="22"/>
  <c r="U3727" i="22"/>
  <c r="U3723" i="22"/>
  <c r="U3719" i="22"/>
  <c r="U3715" i="22"/>
  <c r="U3711" i="22"/>
  <c r="U3707" i="22"/>
  <c r="U3703" i="22"/>
  <c r="U3699" i="22"/>
  <c r="U3695" i="22"/>
  <c r="U3691" i="22"/>
  <c r="U3687" i="22"/>
  <c r="U3683" i="22"/>
  <c r="U3679" i="22"/>
  <c r="U3675" i="22"/>
  <c r="U3671" i="22"/>
  <c r="U3667" i="22"/>
  <c r="U3663" i="22"/>
  <c r="U3659" i="22"/>
  <c r="U3655" i="22"/>
  <c r="U3651" i="22"/>
  <c r="U3647" i="22"/>
  <c r="U3643" i="22"/>
  <c r="U3639" i="22"/>
  <c r="U3635" i="22"/>
  <c r="U3631" i="22"/>
  <c r="U3627" i="22"/>
  <c r="U3623" i="22"/>
  <c r="U3619" i="22"/>
  <c r="U3615" i="22"/>
  <c r="U3611" i="22"/>
  <c r="U3607" i="22"/>
  <c r="U3603" i="22"/>
  <c r="U3599" i="22"/>
  <c r="U3595" i="22"/>
  <c r="U3591" i="22"/>
  <c r="U3587" i="22"/>
  <c r="U3583" i="22"/>
  <c r="U3579" i="22"/>
  <c r="U3575" i="22"/>
  <c r="U3571" i="22"/>
  <c r="U3567" i="22"/>
  <c r="U3563" i="22"/>
  <c r="U3559" i="22"/>
  <c r="U3555" i="22"/>
  <c r="U3551" i="22"/>
  <c r="U3547" i="22"/>
  <c r="U3543" i="22"/>
  <c r="U3539" i="22"/>
  <c r="U3535" i="22"/>
  <c r="U3531" i="22"/>
  <c r="U3527" i="22"/>
  <c r="U3523" i="22"/>
  <c r="U3519" i="22"/>
  <c r="U3515" i="22"/>
  <c r="U3511" i="22"/>
  <c r="U3507" i="22"/>
  <c r="U3503" i="22"/>
  <c r="U3499" i="22"/>
  <c r="U3495" i="22"/>
  <c r="U3491" i="22"/>
  <c r="U3487" i="22"/>
  <c r="U3483" i="22"/>
  <c r="U3479" i="22"/>
  <c r="U3475" i="22"/>
  <c r="U3471" i="22"/>
  <c r="U3467" i="22"/>
  <c r="U3463" i="22"/>
  <c r="U3459" i="22"/>
  <c r="U3455" i="22"/>
  <c r="U3451" i="22"/>
  <c r="U3447" i="22"/>
  <c r="U3443" i="22"/>
  <c r="U3439" i="22"/>
  <c r="U3435" i="22"/>
  <c r="U3431" i="22"/>
  <c r="U3427" i="22"/>
  <c r="U3423" i="22"/>
  <c r="U3419" i="22"/>
  <c r="U3415" i="22"/>
  <c r="U3411" i="22"/>
  <c r="U3407" i="22"/>
  <c r="U3403" i="22"/>
  <c r="U3399" i="22"/>
  <c r="U3395" i="22"/>
  <c r="U3391" i="22"/>
  <c r="U3387" i="22"/>
  <c r="U3383" i="22"/>
  <c r="U3379" i="22"/>
  <c r="U3375" i="22"/>
  <c r="U3371" i="22"/>
  <c r="U3367" i="22"/>
  <c r="U3363" i="22"/>
  <c r="U3359" i="22"/>
  <c r="U3355" i="22"/>
  <c r="U3351" i="22"/>
  <c r="U3347" i="22"/>
  <c r="U3343" i="22"/>
  <c r="U3339" i="22"/>
  <c r="U3335" i="22"/>
  <c r="U3331" i="22"/>
  <c r="U3327" i="22"/>
  <c r="U3323" i="22"/>
  <c r="U3319" i="22"/>
  <c r="U3315" i="22"/>
  <c r="U3311" i="22"/>
  <c r="U3307" i="22"/>
  <c r="U3303" i="22"/>
  <c r="U3299" i="22"/>
  <c r="U3295" i="22"/>
  <c r="U3291" i="22"/>
  <c r="U3287" i="22"/>
  <c r="U3283" i="22"/>
  <c r="U3279" i="22"/>
  <c r="U3275" i="22"/>
  <c r="U3271" i="22"/>
  <c r="U3267" i="22"/>
  <c r="U3263" i="22"/>
  <c r="U3259" i="22"/>
  <c r="U3255" i="22"/>
  <c r="U3251" i="22"/>
  <c r="U3247" i="22"/>
  <c r="U3243" i="22"/>
  <c r="U3239" i="22"/>
  <c r="U3235" i="22"/>
  <c r="U3231" i="22"/>
  <c r="U3227" i="22"/>
  <c r="U3223" i="22"/>
  <c r="U3219" i="22"/>
  <c r="U3215" i="22"/>
  <c r="U3211" i="22"/>
  <c r="U3207" i="22"/>
  <c r="U3203" i="22"/>
  <c r="U3199" i="22"/>
  <c r="U3195" i="22"/>
  <c r="U3191" i="22"/>
  <c r="U3187" i="22"/>
  <c r="U3183" i="22"/>
  <c r="U3179" i="22"/>
  <c r="U3175" i="22"/>
  <c r="U3171" i="22"/>
  <c r="U3167" i="22"/>
  <c r="U3163" i="22"/>
  <c r="U3159" i="22"/>
  <c r="U3155" i="22"/>
  <c r="U3151" i="22"/>
  <c r="U3147" i="22"/>
  <c r="U3143" i="22"/>
  <c r="U3139" i="22"/>
  <c r="U3135" i="22"/>
  <c r="U3131" i="22"/>
  <c r="U3127" i="22"/>
  <c r="U3123" i="22"/>
  <c r="U3119" i="22"/>
  <c r="U3115" i="22"/>
  <c r="U3974" i="22"/>
  <c r="U3970" i="22"/>
  <c r="U3966" i="22"/>
  <c r="U3962" i="22"/>
  <c r="U3958" i="22"/>
  <c r="U3954" i="22"/>
  <c r="U3950" i="22"/>
  <c r="U3946" i="22"/>
  <c r="U3942" i="22"/>
  <c r="U3938" i="22"/>
  <c r="U3934" i="22"/>
  <c r="U3930" i="22"/>
  <c r="U3926" i="22"/>
  <c r="U3922" i="22"/>
  <c r="U3918" i="22"/>
  <c r="U3914" i="22"/>
  <c r="U3910" i="22"/>
  <c r="U3906" i="22"/>
  <c r="U3902" i="22"/>
  <c r="U3898" i="22"/>
  <c r="U3894" i="22"/>
  <c r="U3890" i="22"/>
  <c r="U3886" i="22"/>
  <c r="U3882" i="22"/>
  <c r="U3878" i="22"/>
  <c r="U3874" i="22"/>
  <c r="U3870" i="22"/>
  <c r="U3866" i="22"/>
  <c r="U3862" i="22"/>
  <c r="U3858" i="22"/>
  <c r="U3854" i="22"/>
  <c r="U3850" i="22"/>
  <c r="U3846" i="22"/>
  <c r="U3842" i="22"/>
  <c r="U3838" i="22"/>
  <c r="U3834" i="22"/>
  <c r="U3830" i="22"/>
  <c r="U3826" i="22"/>
  <c r="U3822" i="22"/>
  <c r="U3818" i="22"/>
  <c r="U3814" i="22"/>
  <c r="U3810" i="22"/>
  <c r="U3806" i="22"/>
  <c r="U3802" i="22"/>
  <c r="U3798" i="22"/>
  <c r="U3794" i="22"/>
  <c r="U3790" i="22"/>
  <c r="U3786" i="22"/>
  <c r="U3782" i="22"/>
  <c r="U3778" i="22"/>
  <c r="U3774" i="22"/>
  <c r="U3770" i="22"/>
  <c r="U3766" i="22"/>
  <c r="U3762" i="22"/>
  <c r="U3758" i="22"/>
  <c r="U3754" i="22"/>
  <c r="U3750" i="22"/>
  <c r="U3746" i="22"/>
  <c r="U3742" i="22"/>
  <c r="U3738" i="22"/>
  <c r="U3734" i="22"/>
  <c r="U3730" i="22"/>
  <c r="U3726" i="22"/>
  <c r="U3722" i="22"/>
  <c r="U3718" i="22"/>
  <c r="U3714" i="22"/>
  <c r="U3710" i="22"/>
  <c r="U3706" i="22"/>
  <c r="U3702" i="22"/>
  <c r="U3698" i="22"/>
  <c r="U3694" i="22"/>
  <c r="U3690" i="22"/>
  <c r="U3686" i="22"/>
  <c r="U3682" i="22"/>
  <c r="U3678" i="22"/>
  <c r="U3674" i="22"/>
  <c r="U3670" i="22"/>
  <c r="U3666" i="22"/>
  <c r="U3662" i="22"/>
  <c r="U3658" i="22"/>
  <c r="U3654" i="22"/>
  <c r="U3650" i="22"/>
  <c r="U3646" i="22"/>
  <c r="U3642" i="22"/>
  <c r="U3638" i="22"/>
  <c r="U3634" i="22"/>
  <c r="U3630" i="22"/>
  <c r="U3626" i="22"/>
  <c r="U3622" i="22"/>
  <c r="U3618" i="22"/>
  <c r="U3614" i="22"/>
  <c r="U3610" i="22"/>
  <c r="U3606" i="22"/>
  <c r="U3602" i="22"/>
  <c r="U3598" i="22"/>
  <c r="U3594" i="22"/>
  <c r="U3590" i="22"/>
  <c r="U3586" i="22"/>
  <c r="U3582" i="22"/>
  <c r="U3578" i="22"/>
  <c r="U3574" i="22"/>
  <c r="U3570" i="22"/>
  <c r="U3566" i="22"/>
  <c r="U3562" i="22"/>
  <c r="U3558" i="22"/>
  <c r="U3554" i="22"/>
  <c r="U3550" i="22"/>
  <c r="U3546" i="22"/>
  <c r="U3542" i="22"/>
  <c r="U3538" i="22"/>
  <c r="U3534" i="22"/>
  <c r="U3530" i="22"/>
  <c r="U3526" i="22"/>
  <c r="U3522" i="22"/>
  <c r="U3518" i="22"/>
  <c r="U3514" i="22"/>
  <c r="U3510" i="22"/>
  <c r="U3506" i="22"/>
  <c r="U3502" i="22"/>
  <c r="U3498" i="22"/>
  <c r="U3494" i="22"/>
  <c r="U3490" i="22"/>
  <c r="U3486" i="22"/>
  <c r="U3482" i="22"/>
  <c r="U3478" i="22"/>
  <c r="U3474" i="22"/>
  <c r="U3470" i="22"/>
  <c r="U3466" i="22"/>
  <c r="U3462" i="22"/>
  <c r="U3458" i="22"/>
  <c r="U3454" i="22"/>
  <c r="U3450" i="22"/>
  <c r="U3446" i="22"/>
  <c r="U3442" i="22"/>
  <c r="U3438" i="22"/>
  <c r="U3434" i="22"/>
  <c r="U3430" i="22"/>
  <c r="U3426" i="22"/>
  <c r="U3422" i="22"/>
  <c r="U3418" i="22"/>
  <c r="U3414" i="22"/>
  <c r="U3410" i="22"/>
  <c r="U3406" i="22"/>
  <c r="U3402" i="22"/>
  <c r="U3398" i="22"/>
  <c r="U3394" i="22"/>
  <c r="U3390" i="22"/>
  <c r="U3386" i="22"/>
  <c r="U3382" i="22"/>
  <c r="U3378" i="22"/>
  <c r="U3374" i="22"/>
  <c r="U3370" i="22"/>
  <c r="U3366" i="22"/>
  <c r="U3362" i="22"/>
  <c r="U3358" i="22"/>
  <c r="U3354" i="22"/>
  <c r="U3350" i="22"/>
  <c r="U3346" i="22"/>
  <c r="U3342" i="22"/>
  <c r="U3338" i="22"/>
  <c r="U3334" i="22"/>
  <c r="U3330" i="22"/>
  <c r="U3326" i="22"/>
  <c r="U3322" i="22"/>
  <c r="U3318" i="22"/>
  <c r="U3314" i="22"/>
  <c r="U3310" i="22"/>
  <c r="U3306" i="22"/>
  <c r="U3302" i="22"/>
  <c r="U3298" i="22"/>
  <c r="U3294" i="22"/>
  <c r="U3290" i="22"/>
  <c r="U3286" i="22"/>
  <c r="U3282" i="22"/>
  <c r="U3278" i="22"/>
  <c r="U3274" i="22"/>
  <c r="U3270" i="22"/>
  <c r="U3266" i="22"/>
  <c r="U3262" i="22"/>
  <c r="U3258" i="22"/>
  <c r="U3254" i="22"/>
  <c r="U3250" i="22"/>
  <c r="U3246" i="22"/>
  <c r="U3242" i="22"/>
  <c r="U3238" i="22"/>
  <c r="U3234" i="22"/>
  <c r="U3230" i="22"/>
  <c r="U3226" i="22"/>
  <c r="U3222" i="22"/>
  <c r="U3218" i="22"/>
  <c r="U3214" i="22"/>
  <c r="U3210" i="22"/>
  <c r="U3206" i="22"/>
  <c r="U3202" i="22"/>
  <c r="U3198" i="22"/>
  <c r="U3194" i="22"/>
  <c r="U3190" i="22"/>
  <c r="U3186" i="22"/>
  <c r="U3182" i="22"/>
  <c r="U3178" i="22"/>
  <c r="U3174" i="22"/>
  <c r="U3170" i="22"/>
  <c r="U3166" i="22"/>
  <c r="U3162" i="22"/>
  <c r="U3158" i="22"/>
  <c r="U3154" i="22"/>
  <c r="U3150" i="22"/>
  <c r="U3146" i="22"/>
  <c r="U3142" i="22"/>
  <c r="U3138" i="22"/>
  <c r="U3134" i="22"/>
  <c r="U3130" i="22"/>
  <c r="U3126" i="22"/>
  <c r="U3122" i="22"/>
  <c r="U3118" i="22"/>
  <c r="U3114" i="22"/>
  <c r="U3111" i="22"/>
  <c r="U3109" i="22"/>
  <c r="U3107" i="22"/>
  <c r="U3105" i="22"/>
  <c r="U3103" i="22"/>
  <c r="U3101" i="22"/>
  <c r="U3099" i="22"/>
  <c r="U3097" i="22"/>
  <c r="U3095" i="22"/>
  <c r="U3093" i="22"/>
  <c r="U3091" i="22"/>
  <c r="U3089" i="22"/>
  <c r="U3087" i="22"/>
  <c r="U3085" i="22"/>
  <c r="U3973" i="22"/>
  <c r="U3969" i="22"/>
  <c r="U3965" i="22"/>
  <c r="U3961" i="22"/>
  <c r="U3957" i="22"/>
  <c r="U3953" i="22"/>
  <c r="U3949" i="22"/>
  <c r="U3945" i="22"/>
  <c r="U3941" i="22"/>
  <c r="U3937" i="22"/>
  <c r="U3933" i="22"/>
  <c r="U3929" i="22"/>
  <c r="U3925" i="22"/>
  <c r="U3921" i="22"/>
  <c r="U3917" i="22"/>
  <c r="U3913" i="22"/>
  <c r="U3909" i="22"/>
  <c r="U3905" i="22"/>
  <c r="U3901" i="22"/>
  <c r="U3897" i="22"/>
  <c r="U3893" i="22"/>
  <c r="U3889" i="22"/>
  <c r="U3885" i="22"/>
  <c r="U3881" i="22"/>
  <c r="U3877" i="22"/>
  <c r="U3873" i="22"/>
  <c r="U3869" i="22"/>
  <c r="U3865" i="22"/>
  <c r="U3861" i="22"/>
  <c r="U3857" i="22"/>
  <c r="U3853" i="22"/>
  <c r="U3849" i="22"/>
  <c r="U3845" i="22"/>
  <c r="U3841" i="22"/>
  <c r="U3837" i="22"/>
  <c r="U3833" i="22"/>
  <c r="U3829" i="22"/>
  <c r="U3825" i="22"/>
  <c r="U3821" i="22"/>
  <c r="U3817" i="22"/>
  <c r="U3813" i="22"/>
  <c r="U3809" i="22"/>
  <c r="U3805" i="22"/>
  <c r="U3801" i="22"/>
  <c r="U3797" i="22"/>
  <c r="U3793" i="22"/>
  <c r="U3789" i="22"/>
  <c r="U3785" i="22"/>
  <c r="U3781" i="22"/>
  <c r="U3777" i="22"/>
  <c r="U3773" i="22"/>
  <c r="U3769" i="22"/>
  <c r="U3765" i="22"/>
  <c r="U3761" i="22"/>
  <c r="U3757" i="22"/>
  <c r="U3753" i="22"/>
  <c r="U3749" i="22"/>
  <c r="U3745" i="22"/>
  <c r="U3741" i="22"/>
  <c r="U3737" i="22"/>
  <c r="U3733" i="22"/>
  <c r="U3729" i="22"/>
  <c r="U3725" i="22"/>
  <c r="U3721" i="22"/>
  <c r="U3717" i="22"/>
  <c r="U3713" i="22"/>
  <c r="U3709" i="22"/>
  <c r="U3705" i="22"/>
  <c r="U3701" i="22"/>
  <c r="U3697" i="22"/>
  <c r="U3693" i="22"/>
  <c r="U3689" i="22"/>
  <c r="U3685" i="22"/>
  <c r="U3681" i="22"/>
  <c r="U3677" i="22"/>
  <c r="U3673" i="22"/>
  <c r="U3669" i="22"/>
  <c r="U3665" i="22"/>
  <c r="U3661" i="22"/>
  <c r="U3657" i="22"/>
  <c r="U3653" i="22"/>
  <c r="U3649" i="22"/>
  <c r="U3645" i="22"/>
  <c r="U3641" i="22"/>
  <c r="U3637" i="22"/>
  <c r="U3633" i="22"/>
  <c r="U3629" i="22"/>
  <c r="U3625" i="22"/>
  <c r="U3621" i="22"/>
  <c r="U3617" i="22"/>
  <c r="U3613" i="22"/>
  <c r="U3609" i="22"/>
  <c r="U3605" i="22"/>
  <c r="U3601" i="22"/>
  <c r="U3597" i="22"/>
  <c r="U3593" i="22"/>
  <c r="U3589" i="22"/>
  <c r="U3585" i="22"/>
  <c r="U3581" i="22"/>
  <c r="U3577" i="22"/>
  <c r="U3573" i="22"/>
  <c r="U3569" i="22"/>
  <c r="U3565" i="22"/>
  <c r="U3561" i="22"/>
  <c r="U3557" i="22"/>
  <c r="U3553" i="22"/>
  <c r="U3549" i="22"/>
  <c r="U3545" i="22"/>
  <c r="U3541" i="22"/>
  <c r="U3537" i="22"/>
  <c r="U3533" i="22"/>
  <c r="U3529" i="22"/>
  <c r="U3525" i="22"/>
  <c r="U3521" i="22"/>
  <c r="U3517" i="22"/>
  <c r="U3513" i="22"/>
  <c r="U3497" i="22"/>
  <c r="U3481" i="22"/>
  <c r="U3465" i="22"/>
  <c r="U3449" i="22"/>
  <c r="U3433" i="22"/>
  <c r="U3417" i="22"/>
  <c r="U3401" i="22"/>
  <c r="U3385" i="22"/>
  <c r="U3369" i="22"/>
  <c r="U3353" i="22"/>
  <c r="U3337" i="22"/>
  <c r="U3321" i="22"/>
  <c r="U3305" i="22"/>
  <c r="U3289" i="22"/>
  <c r="U3273" i="22"/>
  <c r="U3257" i="22"/>
  <c r="U3241" i="22"/>
  <c r="U3225" i="22"/>
  <c r="U3209" i="22"/>
  <c r="U3193" i="22"/>
  <c r="U3177" i="22"/>
  <c r="U3161" i="22"/>
  <c r="U3145" i="22"/>
  <c r="U3129" i="22"/>
  <c r="U3113" i="22"/>
  <c r="U3068" i="22"/>
  <c r="U3065" i="22"/>
  <c r="U3060" i="22"/>
  <c r="U3057" i="22"/>
  <c r="U3052" i="22"/>
  <c r="U3049" i="22"/>
  <c r="U3044" i="22"/>
  <c r="U3041" i="22"/>
  <c r="U3036" i="22"/>
  <c r="U3033" i="22"/>
  <c r="U3028" i="22"/>
  <c r="U3025" i="22"/>
  <c r="U3020" i="22"/>
  <c r="U3017" i="22"/>
  <c r="U3509" i="22"/>
  <c r="U3493" i="22"/>
  <c r="U3477" i="22"/>
  <c r="U3461" i="22"/>
  <c r="U3445" i="22"/>
  <c r="U3429" i="22"/>
  <c r="U3413" i="22"/>
  <c r="U3397" i="22"/>
  <c r="U3381" i="22"/>
  <c r="U3365" i="22"/>
  <c r="U3349" i="22"/>
  <c r="U3333" i="22"/>
  <c r="U3317" i="22"/>
  <c r="U3301" i="22"/>
  <c r="U3285" i="22"/>
  <c r="U3269" i="22"/>
  <c r="U3253" i="22"/>
  <c r="U3237" i="22"/>
  <c r="U3221" i="22"/>
  <c r="U3205" i="22"/>
  <c r="U3189" i="22"/>
  <c r="U3173" i="22"/>
  <c r="U3157" i="22"/>
  <c r="U3141" i="22"/>
  <c r="U3125" i="22"/>
  <c r="U3081" i="22"/>
  <c r="U3077" i="22"/>
  <c r="U3073" i="22"/>
  <c r="U3070" i="22"/>
  <c r="U3067" i="22"/>
  <c r="U3062" i="22"/>
  <c r="U3059" i="22"/>
  <c r="U3054" i="22"/>
  <c r="U3051" i="22"/>
  <c r="U3046" i="22"/>
  <c r="U3043" i="22"/>
  <c r="U3038" i="22"/>
  <c r="U3035" i="22"/>
  <c r="U3030" i="22"/>
  <c r="U3027" i="22"/>
  <c r="U3022" i="22"/>
  <c r="U3019" i="22"/>
  <c r="U3014" i="22"/>
  <c r="U3011" i="22"/>
  <c r="U3006" i="22"/>
  <c r="U3003" i="22"/>
  <c r="U2998" i="22"/>
  <c r="U2995" i="22"/>
  <c r="U2990" i="22"/>
  <c r="U2987" i="22"/>
  <c r="U2982" i="22"/>
  <c r="U2979" i="22"/>
  <c r="U2974" i="22"/>
  <c r="U2971" i="22"/>
  <c r="U2966" i="22"/>
  <c r="U3505" i="22"/>
  <c r="U3489" i="22"/>
  <c r="U3473" i="22"/>
  <c r="U3457" i="22"/>
  <c r="U3441" i="22"/>
  <c r="U3425" i="22"/>
  <c r="U3409" i="22"/>
  <c r="U3393" i="22"/>
  <c r="U3377" i="22"/>
  <c r="U3361" i="22"/>
  <c r="U3345" i="22"/>
  <c r="U3329" i="22"/>
  <c r="U3313" i="22"/>
  <c r="U3297" i="22"/>
  <c r="U3281" i="22"/>
  <c r="U3265" i="22"/>
  <c r="U3249" i="22"/>
  <c r="U3233" i="22"/>
  <c r="U3217" i="22"/>
  <c r="U3201" i="22"/>
  <c r="U3185" i="22"/>
  <c r="U3169" i="22"/>
  <c r="U3153" i="22"/>
  <c r="U3137" i="22"/>
  <c r="U3121" i="22"/>
  <c r="U3069" i="22"/>
  <c r="U3064" i="22"/>
  <c r="U3061" i="22"/>
  <c r="U3056" i="22"/>
  <c r="U3053" i="22"/>
  <c r="U3048" i="22"/>
  <c r="U3045" i="22"/>
  <c r="U3040" i="22"/>
  <c r="U3037" i="22"/>
  <c r="U3032" i="22"/>
  <c r="U3029" i="22"/>
  <c r="U3024" i="22"/>
  <c r="U3021" i="22"/>
  <c r="U3016" i="22"/>
  <c r="U3013" i="22"/>
  <c r="U3008" i="22"/>
  <c r="U3005" i="22"/>
  <c r="U3000" i="22"/>
  <c r="U2997" i="22"/>
  <c r="U2992" i="22"/>
  <c r="U2989" i="22"/>
  <c r="U2984" i="22"/>
  <c r="U2981" i="22"/>
  <c r="U2976" i="22"/>
  <c r="U2973" i="22"/>
  <c r="U2968" i="22"/>
  <c r="U2965" i="22"/>
  <c r="U2963" i="22"/>
  <c r="U2961" i="22"/>
  <c r="U2959" i="22"/>
  <c r="U2957" i="22"/>
  <c r="U2955" i="22"/>
  <c r="U2953" i="22"/>
  <c r="U2951" i="22"/>
  <c r="U3501" i="22"/>
  <c r="U3485" i="22"/>
  <c r="U3469" i="22"/>
  <c r="U3453" i="22"/>
  <c r="U3437" i="22"/>
  <c r="U3421" i="22"/>
  <c r="U3405" i="22"/>
  <c r="U3389" i="22"/>
  <c r="U3373" i="22"/>
  <c r="U3357" i="22"/>
  <c r="U3341" i="22"/>
  <c r="U3325" i="22"/>
  <c r="U3309" i="22"/>
  <c r="U3293" i="22"/>
  <c r="U3277" i="22"/>
  <c r="U3261" i="22"/>
  <c r="U3245" i="22"/>
  <c r="U3229" i="22"/>
  <c r="U3213" i="22"/>
  <c r="U3197" i="22"/>
  <c r="U3181" i="22"/>
  <c r="U3165" i="22"/>
  <c r="U3149" i="22"/>
  <c r="U3133" i="22"/>
  <c r="U3117" i="22"/>
  <c r="U3083" i="22"/>
  <c r="U3058" i="22"/>
  <c r="U3047" i="22"/>
  <c r="U3026" i="22"/>
  <c r="U3015" i="22"/>
  <c r="U3010" i="22"/>
  <c r="U2999" i="22"/>
  <c r="U2994" i="22"/>
  <c r="U2983" i="22"/>
  <c r="U2978" i="22"/>
  <c r="U2967" i="22"/>
  <c r="U2948" i="22"/>
  <c r="U2945" i="22"/>
  <c r="U2940" i="22"/>
  <c r="U2937" i="22"/>
  <c r="U2932" i="22"/>
  <c r="U2929" i="22"/>
  <c r="U2924" i="22"/>
  <c r="U2921" i="22"/>
  <c r="U2916" i="22"/>
  <c r="U2913" i="22"/>
  <c r="U2908" i="22"/>
  <c r="U2905" i="22"/>
  <c r="U2900" i="22"/>
  <c r="U2897" i="22"/>
  <c r="U2892" i="22"/>
  <c r="U2889" i="22"/>
  <c r="U2884" i="22"/>
  <c r="U2881" i="22"/>
  <c r="U2876" i="22"/>
  <c r="U2873" i="22"/>
  <c r="U2868" i="22"/>
  <c r="U2865" i="22"/>
  <c r="U2860" i="22"/>
  <c r="U2857" i="22"/>
  <c r="U2852" i="22"/>
  <c r="U2849" i="22"/>
  <c r="U2844" i="22"/>
  <c r="U2841" i="22"/>
  <c r="U2836" i="22"/>
  <c r="U2833" i="22"/>
  <c r="U2828" i="22"/>
  <c r="U2825" i="22"/>
  <c r="U2820" i="22"/>
  <c r="U2817" i="22"/>
  <c r="U2812" i="22"/>
  <c r="U2809" i="22"/>
  <c r="U2804" i="22"/>
  <c r="U2801" i="22"/>
  <c r="U2796" i="22"/>
  <c r="U2793" i="22"/>
  <c r="U2788" i="22"/>
  <c r="U2785" i="22"/>
  <c r="U2780" i="22"/>
  <c r="U2777" i="22"/>
  <c r="U2772" i="22"/>
  <c r="U2769" i="22"/>
  <c r="U2764" i="22"/>
  <c r="U2761" i="22"/>
  <c r="U2756" i="22"/>
  <c r="U2753" i="22"/>
  <c r="U2748" i="22"/>
  <c r="U2745" i="22"/>
  <c r="U2740" i="22"/>
  <c r="U2737" i="22"/>
  <c r="U2732" i="22"/>
  <c r="U2729" i="22"/>
  <c r="U2724" i="22"/>
  <c r="U2721" i="22"/>
  <c r="U2716" i="22"/>
  <c r="U2713" i="22"/>
  <c r="U2708" i="22"/>
  <c r="U2705" i="22"/>
  <c r="U2700" i="22"/>
  <c r="U2697" i="22"/>
  <c r="U2692" i="22"/>
  <c r="U2689" i="22"/>
  <c r="U2684" i="22"/>
  <c r="U2681" i="22"/>
  <c r="U2676" i="22"/>
  <c r="U2673" i="22"/>
  <c r="U2668" i="22"/>
  <c r="U2665" i="22"/>
  <c r="U2660" i="22"/>
  <c r="U2657" i="22"/>
  <c r="U2652" i="22"/>
  <c r="U2649" i="22"/>
  <c r="U2644" i="22"/>
  <c r="U2641" i="22"/>
  <c r="U2636" i="22"/>
  <c r="U2633" i="22"/>
  <c r="U2628" i="22"/>
  <c r="U2625" i="22"/>
  <c r="U2620" i="22"/>
  <c r="U2617" i="22"/>
  <c r="U2612" i="22"/>
  <c r="U2609" i="22"/>
  <c r="U2604" i="22"/>
  <c r="U2601" i="22"/>
  <c r="U2596" i="22"/>
  <c r="U2593" i="22"/>
  <c r="U2588" i="22"/>
  <c r="U2585" i="22"/>
  <c r="U2580" i="22"/>
  <c r="U2577" i="22"/>
  <c r="U2572" i="22"/>
  <c r="U2569" i="22"/>
  <c r="U2564" i="22"/>
  <c r="U2561" i="22"/>
  <c r="U2556" i="22"/>
  <c r="U2553" i="22"/>
  <c r="U2548" i="22"/>
  <c r="U2545" i="22"/>
  <c r="U2540" i="22"/>
  <c r="U2537" i="22"/>
  <c r="U2532" i="22"/>
  <c r="U2529" i="22"/>
  <c r="U2524" i="22"/>
  <c r="U2521" i="22"/>
  <c r="U2516" i="22"/>
  <c r="U2513" i="22"/>
  <c r="U2508" i="22"/>
  <c r="U2505" i="22"/>
  <c r="U2500" i="22"/>
  <c r="U2497" i="22"/>
  <c r="U2492" i="22"/>
  <c r="U2489" i="22"/>
  <c r="U2484" i="22"/>
  <c r="U2481" i="22"/>
  <c r="U2476" i="22"/>
  <c r="U2473" i="22"/>
  <c r="U2468" i="22"/>
  <c r="U2465" i="22"/>
  <c r="U2460" i="22"/>
  <c r="U2457" i="22"/>
  <c r="U2452" i="22"/>
  <c r="U2449" i="22"/>
  <c r="U2444" i="22"/>
  <c r="U2441" i="22"/>
  <c r="U2436" i="22"/>
  <c r="U2433" i="22"/>
  <c r="U2428" i="22"/>
  <c r="U2425" i="22"/>
  <c r="U2420" i="22"/>
  <c r="U2417" i="22"/>
  <c r="U2412" i="22"/>
  <c r="U2409" i="22"/>
  <c r="U2404" i="22"/>
  <c r="U2401" i="22"/>
  <c r="U2396" i="22"/>
  <c r="U2393" i="22"/>
  <c r="U2388" i="22"/>
  <c r="U2385" i="22"/>
  <c r="U2380" i="22"/>
  <c r="U2377" i="22"/>
  <c r="U2372" i="22"/>
  <c r="U2369" i="22"/>
  <c r="U2364" i="22"/>
  <c r="U2361" i="22"/>
  <c r="U2356" i="22"/>
  <c r="U2353" i="22"/>
  <c r="U2348" i="22"/>
  <c r="U2345" i="22"/>
  <c r="U2340" i="22"/>
  <c r="U2337" i="22"/>
  <c r="U2332" i="22"/>
  <c r="U2329" i="22"/>
  <c r="U2324" i="22"/>
  <c r="U2321" i="22"/>
  <c r="U2316" i="22"/>
  <c r="U2313" i="22"/>
  <c r="U2308" i="22"/>
  <c r="U2305" i="22"/>
  <c r="U2300" i="22"/>
  <c r="U2297" i="22"/>
  <c r="U2292" i="22"/>
  <c r="U2289" i="22"/>
  <c r="U2284" i="22"/>
  <c r="U2281" i="22"/>
  <c r="U2276" i="22"/>
  <c r="U2273" i="22"/>
  <c r="U2268" i="22"/>
  <c r="U2265" i="22"/>
  <c r="U2260" i="22"/>
  <c r="U2257" i="22"/>
  <c r="U2252" i="22"/>
  <c r="U2249" i="22"/>
  <c r="U2244" i="22"/>
  <c r="U2241" i="22"/>
  <c r="U2236" i="22"/>
  <c r="U2233" i="22"/>
  <c r="U2228" i="22"/>
  <c r="U2225" i="22"/>
  <c r="U2220" i="22"/>
  <c r="U2217" i="22"/>
  <c r="U2212" i="22"/>
  <c r="U2209" i="22"/>
  <c r="U2204" i="22"/>
  <c r="U2201" i="22"/>
  <c r="U2196" i="22"/>
  <c r="U2193" i="22"/>
  <c r="U2188" i="22"/>
  <c r="U2185" i="22"/>
  <c r="U2180" i="22"/>
  <c r="U2177" i="22"/>
  <c r="U2172" i="22"/>
  <c r="U2169" i="22"/>
  <c r="U2164" i="22"/>
  <c r="U2161" i="22"/>
  <c r="U2156" i="22"/>
  <c r="U2153" i="22"/>
  <c r="U2148" i="22"/>
  <c r="U2145" i="22"/>
  <c r="U2140" i="22"/>
  <c r="U2137" i="22"/>
  <c r="U2132" i="22"/>
  <c r="U2129" i="22"/>
  <c r="U2124" i="22"/>
  <c r="U2121" i="22"/>
  <c r="U2116" i="22"/>
  <c r="U2113" i="22"/>
  <c r="U2108" i="22"/>
  <c r="U2105" i="22"/>
  <c r="U2100" i="22"/>
  <c r="U2097" i="22"/>
  <c r="U2092" i="22"/>
  <c r="U2089" i="22"/>
  <c r="U2084" i="22"/>
  <c r="U3079" i="22"/>
  <c r="U3066" i="22"/>
  <c r="U3055" i="22"/>
  <c r="U3034" i="22"/>
  <c r="U3023" i="22"/>
  <c r="U3009" i="22"/>
  <c r="U3004" i="22"/>
  <c r="U2993" i="22"/>
  <c r="U2988" i="22"/>
  <c r="U2977" i="22"/>
  <c r="U2972" i="22"/>
  <c r="U2962" i="22"/>
  <c r="U2958" i="22"/>
  <c r="U2954" i="22"/>
  <c r="U2950" i="22"/>
  <c r="U2947" i="22"/>
  <c r="U2942" i="22"/>
  <c r="U2939" i="22"/>
  <c r="U2934" i="22"/>
  <c r="U2931" i="22"/>
  <c r="U2926" i="22"/>
  <c r="U2923" i="22"/>
  <c r="U2918" i="22"/>
  <c r="U2915" i="22"/>
  <c r="U2910" i="22"/>
  <c r="U2907" i="22"/>
  <c r="U2902" i="22"/>
  <c r="U2899" i="22"/>
  <c r="U2894" i="22"/>
  <c r="U2891" i="22"/>
  <c r="U2886" i="22"/>
  <c r="U2883" i="22"/>
  <c r="U2878" i="22"/>
  <c r="U2875" i="22"/>
  <c r="U2870" i="22"/>
  <c r="U2867" i="22"/>
  <c r="U2862" i="22"/>
  <c r="U2859" i="22"/>
  <c r="U2854" i="22"/>
  <c r="U2851" i="22"/>
  <c r="U2846" i="22"/>
  <c r="U2843" i="22"/>
  <c r="U2838" i="22"/>
  <c r="U2835" i="22"/>
  <c r="U2830" i="22"/>
  <c r="U2827" i="22"/>
  <c r="U2822" i="22"/>
  <c r="U2819" i="22"/>
  <c r="U2814" i="22"/>
  <c r="U2811" i="22"/>
  <c r="U2806" i="22"/>
  <c r="U2803" i="22"/>
  <c r="U2798" i="22"/>
  <c r="U2795" i="22"/>
  <c r="U2790" i="22"/>
  <c r="U2787" i="22"/>
  <c r="U2782" i="22"/>
  <c r="U2779" i="22"/>
  <c r="U2774" i="22"/>
  <c r="U2771" i="22"/>
  <c r="U2766" i="22"/>
  <c r="U2763" i="22"/>
  <c r="U2758" i="22"/>
  <c r="U2755" i="22"/>
  <c r="U2750" i="22"/>
  <c r="U2747" i="22"/>
  <c r="U2742" i="22"/>
  <c r="U2739" i="22"/>
  <c r="U2734" i="22"/>
  <c r="U2731" i="22"/>
  <c r="U2726" i="22"/>
  <c r="U2723" i="22"/>
  <c r="U2718" i="22"/>
  <c r="U2715" i="22"/>
  <c r="U2710" i="22"/>
  <c r="U2707" i="22"/>
  <c r="U2702" i="22"/>
  <c r="U2699" i="22"/>
  <c r="U2694" i="22"/>
  <c r="U2691" i="22"/>
  <c r="U2686" i="22"/>
  <c r="U2683" i="22"/>
  <c r="U2678" i="22"/>
  <c r="U2675" i="22"/>
  <c r="U2670" i="22"/>
  <c r="U2667" i="22"/>
  <c r="U2662" i="22"/>
  <c r="U2659" i="22"/>
  <c r="U2654" i="22"/>
  <c r="U2651" i="22"/>
  <c r="U2646" i="22"/>
  <c r="U2643" i="22"/>
  <c r="U2638" i="22"/>
  <c r="U2635" i="22"/>
  <c r="U2630" i="22"/>
  <c r="U2627" i="22"/>
  <c r="U2622" i="22"/>
  <c r="U2619" i="22"/>
  <c r="U2614" i="22"/>
  <c r="U2611" i="22"/>
  <c r="U2606" i="22"/>
  <c r="U2603" i="22"/>
  <c r="U2598" i="22"/>
  <c r="U2595" i="22"/>
  <c r="U2590" i="22"/>
  <c r="U2587" i="22"/>
  <c r="U2582" i="22"/>
  <c r="U2579" i="22"/>
  <c r="U2574" i="22"/>
  <c r="U2571" i="22"/>
  <c r="U2566" i="22"/>
  <c r="U2563" i="22"/>
  <c r="U2558" i="22"/>
  <c r="U2555" i="22"/>
  <c r="U2550" i="22"/>
  <c r="U2547" i="22"/>
  <c r="U2542" i="22"/>
  <c r="U2539" i="22"/>
  <c r="U2534" i="22"/>
  <c r="U2531" i="22"/>
  <c r="U2526" i="22"/>
  <c r="U2523" i="22"/>
  <c r="U2518" i="22"/>
  <c r="U2515" i="22"/>
  <c r="U2510" i="22"/>
  <c r="U2507" i="22"/>
  <c r="U2502" i="22"/>
  <c r="U2499" i="22"/>
  <c r="U2494" i="22"/>
  <c r="U2491" i="22"/>
  <c r="U2486" i="22"/>
  <c r="U2483" i="22"/>
  <c r="U2478" i="22"/>
  <c r="U2475" i="22"/>
  <c r="U2470" i="22"/>
  <c r="U2467" i="22"/>
  <c r="U2462" i="22"/>
  <c r="U2459" i="22"/>
  <c r="U2454" i="22"/>
  <c r="U2451" i="22"/>
  <c r="U2446" i="22"/>
  <c r="U2443" i="22"/>
  <c r="U2438" i="22"/>
  <c r="U2435" i="22"/>
  <c r="U2430" i="22"/>
  <c r="U2427" i="22"/>
  <c r="U2422" i="22"/>
  <c r="U2419" i="22"/>
  <c r="U2414" i="22"/>
  <c r="U2411" i="22"/>
  <c r="U2406" i="22"/>
  <c r="U2403" i="22"/>
  <c r="U2398" i="22"/>
  <c r="U2395" i="22"/>
  <c r="U2390" i="22"/>
  <c r="U2387" i="22"/>
  <c r="U2382" i="22"/>
  <c r="U2379" i="22"/>
  <c r="U2374" i="22"/>
  <c r="U2371" i="22"/>
  <c r="U2366" i="22"/>
  <c r="U2363" i="22"/>
  <c r="U2358" i="22"/>
  <c r="U2355" i="22"/>
  <c r="U2350" i="22"/>
  <c r="U2347" i="22"/>
  <c r="U2342" i="22"/>
  <c r="U2339" i="22"/>
  <c r="U2334" i="22"/>
  <c r="U2331" i="22"/>
  <c r="U2326" i="22"/>
  <c r="U2323" i="22"/>
  <c r="U2318" i="22"/>
  <c r="U2315" i="22"/>
  <c r="U2310" i="22"/>
  <c r="U2307" i="22"/>
  <c r="U2302" i="22"/>
  <c r="U2299" i="22"/>
  <c r="U2294" i="22"/>
  <c r="U2291" i="22"/>
  <c r="U2286" i="22"/>
  <c r="U2283" i="22"/>
  <c r="U2278" i="22"/>
  <c r="U2275" i="22"/>
  <c r="U2270" i="22"/>
  <c r="U2267" i="22"/>
  <c r="U2262" i="22"/>
  <c r="U2259" i="22"/>
  <c r="U2254" i="22"/>
  <c r="U2251" i="22"/>
  <c r="U2246" i="22"/>
  <c r="U2243" i="22"/>
  <c r="U2238" i="22"/>
  <c r="U2235" i="22"/>
  <c r="U2230" i="22"/>
  <c r="U2227" i="22"/>
  <c r="U2222" i="22"/>
  <c r="U2219" i="22"/>
  <c r="U2214" i="22"/>
  <c r="U2211" i="22"/>
  <c r="U2206" i="22"/>
  <c r="U2203" i="22"/>
  <c r="U2198" i="22"/>
  <c r="U2195" i="22"/>
  <c r="U2190" i="22"/>
  <c r="U2187" i="22"/>
  <c r="U2182" i="22"/>
  <c r="U2179" i="22"/>
  <c r="U2174" i="22"/>
  <c r="U2171" i="22"/>
  <c r="U2166" i="22"/>
  <c r="U2163" i="22"/>
  <c r="U2158" i="22"/>
  <c r="U2155" i="22"/>
  <c r="U2150" i="22"/>
  <c r="U2147" i="22"/>
  <c r="U2142" i="22"/>
  <c r="U2139" i="22"/>
  <c r="U2134" i="22"/>
  <c r="U2131" i="22"/>
  <c r="U2126" i="22"/>
  <c r="U2123" i="22"/>
  <c r="U2118" i="22"/>
  <c r="U2115" i="22"/>
  <c r="U2110" i="22"/>
  <c r="U2107" i="22"/>
  <c r="U2102" i="22"/>
  <c r="U2099" i="22"/>
  <c r="U2094" i="22"/>
  <c r="U2091" i="22"/>
  <c r="U3075" i="22"/>
  <c r="U3063" i="22"/>
  <c r="U3042" i="22"/>
  <c r="U3031" i="22"/>
  <c r="U3007" i="22"/>
  <c r="U3002" i="22"/>
  <c r="U2991" i="22"/>
  <c r="U2986" i="22"/>
  <c r="U2975" i="22"/>
  <c r="U2970" i="22"/>
  <c r="U2949" i="22"/>
  <c r="U2944" i="22"/>
  <c r="U2941" i="22"/>
  <c r="U2936" i="22"/>
  <c r="U2933" i="22"/>
  <c r="U2928" i="22"/>
  <c r="U2925" i="22"/>
  <c r="U2920" i="22"/>
  <c r="U2917" i="22"/>
  <c r="U2912" i="22"/>
  <c r="U2909" i="22"/>
  <c r="U2904" i="22"/>
  <c r="U2901" i="22"/>
  <c r="U2896" i="22"/>
  <c r="U2893" i="22"/>
  <c r="U2888" i="22"/>
  <c r="U2885" i="22"/>
  <c r="U2880" i="22"/>
  <c r="U2877" i="22"/>
  <c r="U2872" i="22"/>
  <c r="U2869" i="22"/>
  <c r="U2864" i="22"/>
  <c r="U2861" i="22"/>
  <c r="U2856" i="22"/>
  <c r="U2853" i="22"/>
  <c r="U2848" i="22"/>
  <c r="U2845" i="22"/>
  <c r="U2840" i="22"/>
  <c r="U2837" i="22"/>
  <c r="U2832" i="22"/>
  <c r="U2829" i="22"/>
  <c r="U2824" i="22"/>
  <c r="U2821" i="22"/>
  <c r="U2816" i="22"/>
  <c r="U2813" i="22"/>
  <c r="U2808" i="22"/>
  <c r="U2805" i="22"/>
  <c r="U2800" i="22"/>
  <c r="U2797" i="22"/>
  <c r="U2792" i="22"/>
  <c r="U2789" i="22"/>
  <c r="U2784" i="22"/>
  <c r="U2781" i="22"/>
  <c r="U2776" i="22"/>
  <c r="U2773" i="22"/>
  <c r="U2768" i="22"/>
  <c r="U2765" i="22"/>
  <c r="U2760" i="22"/>
  <c r="U2757" i="22"/>
  <c r="U2752" i="22"/>
  <c r="U2749" i="22"/>
  <c r="U2744" i="22"/>
  <c r="U2741" i="22"/>
  <c r="U2736" i="22"/>
  <c r="U2733" i="22"/>
  <c r="U2728" i="22"/>
  <c r="U2725" i="22"/>
  <c r="U2720" i="22"/>
  <c r="U2717" i="22"/>
  <c r="U2712" i="22"/>
  <c r="U2709" i="22"/>
  <c r="U2704" i="22"/>
  <c r="U2701" i="22"/>
  <c r="U2696" i="22"/>
  <c r="U2693" i="22"/>
  <c r="U2688" i="22"/>
  <c r="U2685" i="22"/>
  <c r="U2680" i="22"/>
  <c r="U2677" i="22"/>
  <c r="U2672" i="22"/>
  <c r="U2669" i="22"/>
  <c r="U2664" i="22"/>
  <c r="U2661" i="22"/>
  <c r="U2656" i="22"/>
  <c r="U2653" i="22"/>
  <c r="U2648" i="22"/>
  <c r="U2645" i="22"/>
  <c r="U2640" i="22"/>
  <c r="U2637" i="22"/>
  <c r="U2632" i="22"/>
  <c r="U2629" i="22"/>
  <c r="U2624" i="22"/>
  <c r="U2621" i="22"/>
  <c r="U2616" i="22"/>
  <c r="U2613" i="22"/>
  <c r="U2608" i="22"/>
  <c r="U2605" i="22"/>
  <c r="U2600" i="22"/>
  <c r="U2597" i="22"/>
  <c r="U2592" i="22"/>
  <c r="U2589" i="22"/>
  <c r="U2584" i="22"/>
  <c r="U2581" i="22"/>
  <c r="U2576" i="22"/>
  <c r="U2573" i="22"/>
  <c r="U2568" i="22"/>
  <c r="U2565" i="22"/>
  <c r="U2560" i="22"/>
  <c r="U2557" i="22"/>
  <c r="U2552" i="22"/>
  <c r="U2549" i="22"/>
  <c r="U2544" i="22"/>
  <c r="U2541" i="22"/>
  <c r="U2536" i="22"/>
  <c r="U2533" i="22"/>
  <c r="U2528" i="22"/>
  <c r="U2525" i="22"/>
  <c r="U2520" i="22"/>
  <c r="U2517" i="22"/>
  <c r="U2512" i="22"/>
  <c r="U2509" i="22"/>
  <c r="U2504" i="22"/>
  <c r="U2501" i="22"/>
  <c r="U2496" i="22"/>
  <c r="U2493" i="22"/>
  <c r="U2488" i="22"/>
  <c r="U2485" i="22"/>
  <c r="U2480" i="22"/>
  <c r="U2477" i="22"/>
  <c r="U2472" i="22"/>
  <c r="U2469" i="22"/>
  <c r="U2464" i="22"/>
  <c r="U2461" i="22"/>
  <c r="U2456" i="22"/>
  <c r="U2453" i="22"/>
  <c r="U2448" i="22"/>
  <c r="U2445" i="22"/>
  <c r="U2440" i="22"/>
  <c r="U2437" i="22"/>
  <c r="U2432" i="22"/>
  <c r="U2429" i="22"/>
  <c r="U2424" i="22"/>
  <c r="U2421" i="22"/>
  <c r="U2416" i="22"/>
  <c r="U2413" i="22"/>
  <c r="U2408" i="22"/>
  <c r="U2405" i="22"/>
  <c r="U2400" i="22"/>
  <c r="U2397" i="22"/>
  <c r="U2392" i="22"/>
  <c r="U2389" i="22"/>
  <c r="U2384" i="22"/>
  <c r="U2381" i="22"/>
  <c r="U2376" i="22"/>
  <c r="U2373" i="22"/>
  <c r="U2368" i="22"/>
  <c r="U2365" i="22"/>
  <c r="U2360" i="22"/>
  <c r="U2357" i="22"/>
  <c r="U2352" i="22"/>
  <c r="U2349" i="22"/>
  <c r="U2344" i="22"/>
  <c r="U2341" i="22"/>
  <c r="U2336" i="22"/>
  <c r="U2333" i="22"/>
  <c r="U2328" i="22"/>
  <c r="U2325" i="22"/>
  <c r="U2320" i="22"/>
  <c r="U2317" i="22"/>
  <c r="U2312" i="22"/>
  <c r="U2309" i="22"/>
  <c r="U2304" i="22"/>
  <c r="U2301" i="22"/>
  <c r="U2296" i="22"/>
  <c r="U2293" i="22"/>
  <c r="U2288" i="22"/>
  <c r="U2285" i="22"/>
  <c r="U2280" i="22"/>
  <c r="U2277" i="22"/>
  <c r="U2272" i="22"/>
  <c r="U2269" i="22"/>
  <c r="U2264" i="22"/>
  <c r="U2261" i="22"/>
  <c r="U2256" i="22"/>
  <c r="U2253" i="22"/>
  <c r="U2248" i="22"/>
  <c r="U2245" i="22"/>
  <c r="U2240" i="22"/>
  <c r="U2237" i="22"/>
  <c r="U2232" i="22"/>
  <c r="U2229" i="22"/>
  <c r="U2224" i="22"/>
  <c r="U2221" i="22"/>
  <c r="U2216" i="22"/>
  <c r="U2213" i="22"/>
  <c r="U2208" i="22"/>
  <c r="U2205" i="22"/>
  <c r="U2200" i="22"/>
  <c r="U2197" i="22"/>
  <c r="U2192" i="22"/>
  <c r="U2189" i="22"/>
  <c r="U2184" i="22"/>
  <c r="U2181" i="22"/>
  <c r="U2176" i="22"/>
  <c r="U2173" i="22"/>
  <c r="U2168" i="22"/>
  <c r="U2165" i="22"/>
  <c r="U2160" i="22"/>
  <c r="U2157" i="22"/>
  <c r="U2152" i="22"/>
  <c r="U2149" i="22"/>
  <c r="U2144" i="22"/>
  <c r="U2141" i="22"/>
  <c r="U2136" i="22"/>
  <c r="U2133" i="22"/>
  <c r="U2128" i="22"/>
  <c r="U2125" i="22"/>
  <c r="U2120" i="22"/>
  <c r="U2117" i="22"/>
  <c r="U2112" i="22"/>
  <c r="U2109" i="22"/>
  <c r="U2104" i="22"/>
  <c r="U2101" i="22"/>
  <c r="U2096" i="22"/>
  <c r="U2093" i="22"/>
  <c r="U3071" i="22"/>
  <c r="U3050" i="22"/>
  <c r="U3039" i="22"/>
  <c r="U3018" i="22"/>
  <c r="U3012" i="22"/>
  <c r="U3001" i="22"/>
  <c r="U2996" i="22"/>
  <c r="U2985" i="22"/>
  <c r="U2980" i="22"/>
  <c r="U2969" i="22"/>
  <c r="U2964" i="22"/>
  <c r="U2960" i="22"/>
  <c r="U2956" i="22"/>
  <c r="U2952" i="22"/>
  <c r="U2946" i="22"/>
  <c r="U2943" i="22"/>
  <c r="U2938" i="22"/>
  <c r="U2935" i="22"/>
  <c r="U2930" i="22"/>
  <c r="U2927" i="22"/>
  <c r="U2922" i="22"/>
  <c r="U2919" i="22"/>
  <c r="U2914" i="22"/>
  <c r="U2911" i="22"/>
  <c r="U2906" i="22"/>
  <c r="U2903" i="22"/>
  <c r="U2898" i="22"/>
  <c r="U2895" i="22"/>
  <c r="U2890" i="22"/>
  <c r="U2887" i="22"/>
  <c r="U2882" i="22"/>
  <c r="U2879" i="22"/>
  <c r="U2874" i="22"/>
  <c r="U2871" i="22"/>
  <c r="U2866" i="22"/>
  <c r="U2863" i="22"/>
  <c r="U2858" i="22"/>
  <c r="U2855" i="22"/>
  <c r="U2850" i="22"/>
  <c r="U2847" i="22"/>
  <c r="U2842" i="22"/>
  <c r="U2839" i="22"/>
  <c r="U2834" i="22"/>
  <c r="U2831" i="22"/>
  <c r="U2826" i="22"/>
  <c r="U2823" i="22"/>
  <c r="U2818" i="22"/>
  <c r="U2815" i="22"/>
  <c r="U2810" i="22"/>
  <c r="U2807" i="22"/>
  <c r="U2802" i="22"/>
  <c r="U2799" i="22"/>
  <c r="U2794" i="22"/>
  <c r="U2791" i="22"/>
  <c r="U2786" i="22"/>
  <c r="U2783" i="22"/>
  <c r="U2778" i="22"/>
  <c r="U2775" i="22"/>
  <c r="U2770" i="22"/>
  <c r="U2767" i="22"/>
  <c r="U2762" i="22"/>
  <c r="U2759" i="22"/>
  <c r="U2754" i="22"/>
  <c r="U2751" i="22"/>
  <c r="U2746" i="22"/>
  <c r="U2743" i="22"/>
  <c r="U2738" i="22"/>
  <c r="U2735" i="22"/>
  <c r="U2730" i="22"/>
  <c r="U2727" i="22"/>
  <c r="U2722" i="22"/>
  <c r="U2719" i="22"/>
  <c r="U2714" i="22"/>
  <c r="U2711" i="22"/>
  <c r="U2706" i="22"/>
  <c r="U2703" i="22"/>
  <c r="U2698" i="22"/>
  <c r="U2695" i="22"/>
  <c r="U2690" i="22"/>
  <c r="U2687" i="22"/>
  <c r="U2682" i="22"/>
  <c r="U2679" i="22"/>
  <c r="U2674" i="22"/>
  <c r="U2671" i="22"/>
  <c r="U2666" i="22"/>
  <c r="U2663" i="22"/>
  <c r="U2658" i="22"/>
  <c r="U2655" i="22"/>
  <c r="U2650" i="22"/>
  <c r="U2647" i="22"/>
  <c r="U2642" i="22"/>
  <c r="U2639" i="22"/>
  <c r="U2634" i="22"/>
  <c r="U2631" i="22"/>
  <c r="U2626" i="22"/>
  <c r="U2623" i="22"/>
  <c r="U2618" i="22"/>
  <c r="U2615" i="22"/>
  <c r="U2610" i="22"/>
  <c r="U2607" i="22"/>
  <c r="U2602" i="22"/>
  <c r="U2599" i="22"/>
  <c r="U2594" i="22"/>
  <c r="U2591" i="22"/>
  <c r="U2586" i="22"/>
  <c r="U2583" i="22"/>
  <c r="U2578" i="22"/>
  <c r="U2575" i="22"/>
  <c r="U2570" i="22"/>
  <c r="U2567" i="22"/>
  <c r="U2562" i="22"/>
  <c r="U2559" i="22"/>
  <c r="U2554" i="22"/>
  <c r="U2551" i="22"/>
  <c r="U2546" i="22"/>
  <c r="U2543" i="22"/>
  <c r="U2538" i="22"/>
  <c r="U2535" i="22"/>
  <c r="U2530" i="22"/>
  <c r="U2527" i="22"/>
  <c r="U2522" i="22"/>
  <c r="U2519" i="22"/>
  <c r="U2514" i="22"/>
  <c r="U2511" i="22"/>
  <c r="U2506" i="22"/>
  <c r="U2503" i="22"/>
  <c r="U2498" i="22"/>
  <c r="U2495" i="22"/>
  <c r="U2490" i="22"/>
  <c r="U2487" i="22"/>
  <c r="U2482" i="22"/>
  <c r="U2479" i="22"/>
  <c r="U2474" i="22"/>
  <c r="U2471" i="22"/>
  <c r="U2466" i="22"/>
  <c r="U2463" i="22"/>
  <c r="U2458" i="22"/>
  <c r="U2455" i="22"/>
  <c r="U2450" i="22"/>
  <c r="U2447" i="22"/>
  <c r="U2442" i="22"/>
  <c r="U2439" i="22"/>
  <c r="U2434" i="22"/>
  <c r="U2431" i="22"/>
  <c r="U2426" i="22"/>
  <c r="U2423" i="22"/>
  <c r="U2418" i="22"/>
  <c r="U2415" i="22"/>
  <c r="U2410" i="22"/>
  <c r="U2407" i="22"/>
  <c r="U2402" i="22"/>
  <c r="U2399" i="22"/>
  <c r="U2394" i="22"/>
  <c r="U2391" i="22"/>
  <c r="U2386" i="22"/>
  <c r="U2383" i="22"/>
  <c r="U2378" i="22"/>
  <c r="U2375" i="22"/>
  <c r="U2370" i="22"/>
  <c r="U2367" i="22"/>
  <c r="U2362" i="22"/>
  <c r="U2359" i="22"/>
  <c r="U2354" i="22"/>
  <c r="U2351" i="22"/>
  <c r="U2346" i="22"/>
  <c r="U2343" i="22"/>
  <c r="U2338" i="22"/>
  <c r="U2335" i="22"/>
  <c r="U2330" i="22"/>
  <c r="U2327" i="22"/>
  <c r="U2322" i="22"/>
  <c r="U2319" i="22"/>
  <c r="U2314" i="22"/>
  <c r="U2311" i="22"/>
  <c r="U2306" i="22"/>
  <c r="U2303" i="22"/>
  <c r="U2298" i="22"/>
  <c r="U2295" i="22"/>
  <c r="U2290" i="22"/>
  <c r="U2287" i="22"/>
  <c r="U2282" i="22"/>
  <c r="U2279" i="22"/>
  <c r="U2274" i="22"/>
  <c r="U2271" i="22"/>
  <c r="U2266" i="22"/>
  <c r="U2263" i="22"/>
  <c r="U2258" i="22"/>
  <c r="U2255" i="22"/>
  <c r="U2250" i="22"/>
  <c r="U2247" i="22"/>
  <c r="U2242" i="22"/>
  <c r="U2239" i="22"/>
  <c r="U2234" i="22"/>
  <c r="U2231" i="22"/>
  <c r="U2226" i="22"/>
  <c r="U2223" i="22"/>
  <c r="U2218" i="22"/>
  <c r="U2215" i="22"/>
  <c r="U2210" i="22"/>
  <c r="U2207" i="22"/>
  <c r="U2202" i="22"/>
  <c r="U2199" i="22"/>
  <c r="U2194" i="22"/>
  <c r="U2191" i="22"/>
  <c r="U2186" i="22"/>
  <c r="U2183" i="22"/>
  <c r="U2178" i="22"/>
  <c r="U2175" i="22"/>
  <c r="U2170" i="22"/>
  <c r="U2167" i="22"/>
  <c r="U2162" i="22"/>
  <c r="U2159" i="22"/>
  <c r="U2154" i="22"/>
  <c r="U2151" i="22"/>
  <c r="U2146" i="22"/>
  <c r="U2143" i="22"/>
  <c r="U2138" i="22"/>
  <c r="U2135" i="22"/>
  <c r="U2130" i="22"/>
  <c r="U2127" i="22"/>
  <c r="U2122" i="22"/>
  <c r="U2119" i="22"/>
  <c r="U2114" i="22"/>
  <c r="U2111" i="22"/>
  <c r="U2106" i="22"/>
  <c r="U2103" i="22"/>
  <c r="U2098" i="22"/>
  <c r="U2095" i="22"/>
  <c r="U2088" i="22"/>
  <c r="U2081" i="22"/>
  <c r="U2076" i="22"/>
  <c r="U2073" i="22"/>
  <c r="U2068" i="22"/>
  <c r="U2065" i="22"/>
  <c r="U2060" i="22"/>
  <c r="U2057" i="22"/>
  <c r="U2052" i="22"/>
  <c r="U2049" i="22"/>
  <c r="U2044" i="22"/>
  <c r="U2041" i="22"/>
  <c r="U2036" i="22"/>
  <c r="U2033" i="22"/>
  <c r="U2028" i="22"/>
  <c r="U2025" i="22"/>
  <c r="U2020" i="22"/>
  <c r="U2017" i="22"/>
  <c r="U2012" i="22"/>
  <c r="U2009" i="22"/>
  <c r="U2004" i="22"/>
  <c r="U2001" i="22"/>
  <c r="U1996" i="22"/>
  <c r="U1993" i="22"/>
  <c r="U1988" i="22"/>
  <c r="U1985" i="22"/>
  <c r="U1980" i="22"/>
  <c r="U1977" i="22"/>
  <c r="U1972" i="22"/>
  <c r="U1969" i="22"/>
  <c r="U1964" i="22"/>
  <c r="U1961" i="22"/>
  <c r="U1956" i="22"/>
  <c r="U1953" i="22"/>
  <c r="U1948" i="22"/>
  <c r="U1945" i="22"/>
  <c r="U1940" i="22"/>
  <c r="U1937" i="22"/>
  <c r="U1932" i="22"/>
  <c r="U1929" i="22"/>
  <c r="U1924" i="22"/>
  <c r="U1921" i="22"/>
  <c r="U1916" i="22"/>
  <c r="U1913" i="22"/>
  <c r="U1908" i="22"/>
  <c r="U1905" i="22"/>
  <c r="U1900" i="22"/>
  <c r="U1897" i="22"/>
  <c r="U1892" i="22"/>
  <c r="U1889" i="22"/>
  <c r="U1884" i="22"/>
  <c r="U1881" i="22"/>
  <c r="U1876" i="22"/>
  <c r="U1873" i="22"/>
  <c r="U1868" i="22"/>
  <c r="U1865" i="22"/>
  <c r="U1860" i="22"/>
  <c r="U1857" i="22"/>
  <c r="U1852" i="22"/>
  <c r="U1849" i="22"/>
  <c r="U1844" i="22"/>
  <c r="U1841" i="22"/>
  <c r="U1836" i="22"/>
  <c r="U1833" i="22"/>
  <c r="U1828" i="22"/>
  <c r="U1825" i="22"/>
  <c r="U1820" i="22"/>
  <c r="U1817" i="22"/>
  <c r="U1812" i="22"/>
  <c r="U1809" i="22"/>
  <c r="U1804" i="22"/>
  <c r="U1801" i="22"/>
  <c r="U1796" i="22"/>
  <c r="U1793" i="22"/>
  <c r="U1788" i="22"/>
  <c r="U1785" i="22"/>
  <c r="U1780" i="22"/>
  <c r="U1777" i="22"/>
  <c r="U1772" i="22"/>
  <c r="U1769" i="22"/>
  <c r="U1764" i="22"/>
  <c r="U1761" i="22"/>
  <c r="U1756" i="22"/>
  <c r="U1753" i="22"/>
  <c r="U1748" i="22"/>
  <c r="U1745" i="22"/>
  <c r="U1743" i="22"/>
  <c r="U1741" i="22"/>
  <c r="U1739" i="22"/>
  <c r="U1737" i="22"/>
  <c r="U1735" i="22"/>
  <c r="U2087" i="22"/>
  <c r="U2083" i="22"/>
  <c r="U2078" i="22"/>
  <c r="U2075" i="22"/>
  <c r="U2070" i="22"/>
  <c r="U2067" i="22"/>
  <c r="U2062" i="22"/>
  <c r="U2059" i="22"/>
  <c r="U2054" i="22"/>
  <c r="U2051" i="22"/>
  <c r="U2046" i="22"/>
  <c r="U2043" i="22"/>
  <c r="U2038" i="22"/>
  <c r="U2035" i="22"/>
  <c r="U2030" i="22"/>
  <c r="U2027" i="22"/>
  <c r="U2022" i="22"/>
  <c r="U2019" i="22"/>
  <c r="U2014" i="22"/>
  <c r="U2011" i="22"/>
  <c r="U2006" i="22"/>
  <c r="U2003" i="22"/>
  <c r="U1998" i="22"/>
  <c r="U1995" i="22"/>
  <c r="U1990" i="22"/>
  <c r="U1987" i="22"/>
  <c r="U1982" i="22"/>
  <c r="U1979" i="22"/>
  <c r="U1974" i="22"/>
  <c r="U1971" i="22"/>
  <c r="U1966" i="22"/>
  <c r="U1963" i="22"/>
  <c r="U1958" i="22"/>
  <c r="U1955" i="22"/>
  <c r="U1950" i="22"/>
  <c r="U1947" i="22"/>
  <c r="U1942" i="22"/>
  <c r="U1939" i="22"/>
  <c r="U1934" i="22"/>
  <c r="U1931" i="22"/>
  <c r="U1926" i="22"/>
  <c r="U1923" i="22"/>
  <c r="U1918" i="22"/>
  <c r="U1915" i="22"/>
  <c r="U1910" i="22"/>
  <c r="U1907" i="22"/>
  <c r="U1902" i="22"/>
  <c r="U1899" i="22"/>
  <c r="U1894" i="22"/>
  <c r="U1891" i="22"/>
  <c r="U1886" i="22"/>
  <c r="U1883" i="22"/>
  <c r="U1878" i="22"/>
  <c r="U1875" i="22"/>
  <c r="U1870" i="22"/>
  <c r="U1867" i="22"/>
  <c r="U1862" i="22"/>
  <c r="U1859" i="22"/>
  <c r="U1854" i="22"/>
  <c r="U1851" i="22"/>
  <c r="U1846" i="22"/>
  <c r="U1843" i="22"/>
  <c r="U1838" i="22"/>
  <c r="U1835" i="22"/>
  <c r="U1830" i="22"/>
  <c r="U1827" i="22"/>
  <c r="U1822" i="22"/>
  <c r="U1819" i="22"/>
  <c r="U1814" i="22"/>
  <c r="U1811" i="22"/>
  <c r="U1806" i="22"/>
  <c r="U1803" i="22"/>
  <c r="U1798" i="22"/>
  <c r="U1795" i="22"/>
  <c r="U1790" i="22"/>
  <c r="U1787" i="22"/>
  <c r="U1782" i="22"/>
  <c r="U1779" i="22"/>
  <c r="U1774" i="22"/>
  <c r="U1771" i="22"/>
  <c r="U1766" i="22"/>
  <c r="U1763" i="22"/>
  <c r="U1758" i="22"/>
  <c r="U1755" i="22"/>
  <c r="U1750" i="22"/>
  <c r="U1747" i="22"/>
  <c r="U2090" i="22"/>
  <c r="U2086" i="22"/>
  <c r="U2080" i="22"/>
  <c r="U2077" i="22"/>
  <c r="U2072" i="22"/>
  <c r="U2069" i="22"/>
  <c r="U2064" i="22"/>
  <c r="U2061" i="22"/>
  <c r="U2056" i="22"/>
  <c r="U2053" i="22"/>
  <c r="U2048" i="22"/>
  <c r="U2045" i="22"/>
  <c r="U2040" i="22"/>
  <c r="U2037" i="22"/>
  <c r="U2032" i="22"/>
  <c r="U2029" i="22"/>
  <c r="U2024" i="22"/>
  <c r="U2021" i="22"/>
  <c r="U2016" i="22"/>
  <c r="U2013" i="22"/>
  <c r="U2008" i="22"/>
  <c r="U2005" i="22"/>
  <c r="U2000" i="22"/>
  <c r="U1997" i="22"/>
  <c r="U1992" i="22"/>
  <c r="U1989" i="22"/>
  <c r="U1984" i="22"/>
  <c r="U1981" i="22"/>
  <c r="U1976" i="22"/>
  <c r="U1973" i="22"/>
  <c r="U1968" i="22"/>
  <c r="U1965" i="22"/>
  <c r="U1960" i="22"/>
  <c r="U1957" i="22"/>
  <c r="U1952" i="22"/>
  <c r="U1949" i="22"/>
  <c r="U1944" i="22"/>
  <c r="U1941" i="22"/>
  <c r="U1936" i="22"/>
  <c r="U1933" i="22"/>
  <c r="U1928" i="22"/>
  <c r="U1925" i="22"/>
  <c r="U1920" i="22"/>
  <c r="U1917" i="22"/>
  <c r="U1912" i="22"/>
  <c r="U1909" i="22"/>
  <c r="U1904" i="22"/>
  <c r="U1901" i="22"/>
  <c r="U1896" i="22"/>
  <c r="U1893" i="22"/>
  <c r="U1888" i="22"/>
  <c r="U1885" i="22"/>
  <c r="U1880" i="22"/>
  <c r="U1877" i="22"/>
  <c r="U1872" i="22"/>
  <c r="U1869" i="22"/>
  <c r="U1864" i="22"/>
  <c r="U1861" i="22"/>
  <c r="U1856" i="22"/>
  <c r="U1853" i="22"/>
  <c r="U1848" i="22"/>
  <c r="U1845" i="22"/>
  <c r="U1840" i="22"/>
  <c r="U1837" i="22"/>
  <c r="U1832" i="22"/>
  <c r="U1829" i="22"/>
  <c r="U1824" i="22"/>
  <c r="U1821" i="22"/>
  <c r="U1816" i="22"/>
  <c r="U1813" i="22"/>
  <c r="U1808" i="22"/>
  <c r="U1805" i="22"/>
  <c r="U1800" i="22"/>
  <c r="U1797" i="22"/>
  <c r="U1792" i="22"/>
  <c r="U1789" i="22"/>
  <c r="U1784" i="22"/>
  <c r="U1781" i="22"/>
  <c r="U1776" i="22"/>
  <c r="U1773" i="22"/>
  <c r="U1768" i="22"/>
  <c r="U1765" i="22"/>
  <c r="U1760" i="22"/>
  <c r="U1757" i="22"/>
  <c r="U1752" i="22"/>
  <c r="U1749" i="22"/>
  <c r="U1744" i="22"/>
  <c r="U1742" i="22"/>
  <c r="U1740" i="22"/>
  <c r="U1738" i="22"/>
  <c r="U1736" i="22"/>
  <c r="U1734" i="22"/>
  <c r="U1732" i="22"/>
  <c r="U2085" i="22"/>
  <c r="U2082" i="22"/>
  <c r="U2079" i="22"/>
  <c r="U2074" i="22"/>
  <c r="U2071" i="22"/>
  <c r="U2066" i="22"/>
  <c r="U2063" i="22"/>
  <c r="U2058" i="22"/>
  <c r="U2055" i="22"/>
  <c r="U2050" i="22"/>
  <c r="U2047" i="22"/>
  <c r="U2042" i="22"/>
  <c r="U2039" i="22"/>
  <c r="U2034" i="22"/>
  <c r="U2031" i="22"/>
  <c r="U2026" i="22"/>
  <c r="U2023" i="22"/>
  <c r="U2018" i="22"/>
  <c r="U2015" i="22"/>
  <c r="U2010" i="22"/>
  <c r="U2007" i="22"/>
  <c r="U2002" i="22"/>
  <c r="U1999" i="22"/>
  <c r="U1994" i="22"/>
  <c r="U1991" i="22"/>
  <c r="U1986" i="22"/>
  <c r="U1983" i="22"/>
  <c r="U1978" i="22"/>
  <c r="U1975" i="22"/>
  <c r="U1970" i="22"/>
  <c r="U1967" i="22"/>
  <c r="U1962" i="22"/>
  <c r="U1959" i="22"/>
  <c r="U1954" i="22"/>
  <c r="U1951" i="22"/>
  <c r="U1946" i="22"/>
  <c r="U1943" i="22"/>
  <c r="U1938" i="22"/>
  <c r="U1935" i="22"/>
  <c r="U1930" i="22"/>
  <c r="U1927" i="22"/>
  <c r="U1922" i="22"/>
  <c r="U1919" i="22"/>
  <c r="U1914" i="22"/>
  <c r="U1911" i="22"/>
  <c r="U1906" i="22"/>
  <c r="U1903" i="22"/>
  <c r="U1898" i="22"/>
  <c r="U1895" i="22"/>
  <c r="U1890" i="22"/>
  <c r="U1887" i="22"/>
  <c r="U1882" i="22"/>
  <c r="U1879" i="22"/>
  <c r="U1874" i="22"/>
  <c r="U1871" i="22"/>
  <c r="U1866" i="22"/>
  <c r="U1863" i="22"/>
  <c r="U1858" i="22"/>
  <c r="U1855" i="22"/>
  <c r="U1850" i="22"/>
  <c r="U1847" i="22"/>
  <c r="U1842" i="22"/>
  <c r="U1839" i="22"/>
  <c r="U1834" i="22"/>
  <c r="U1831" i="22"/>
  <c r="U1826" i="22"/>
  <c r="U1823" i="22"/>
  <c r="U1818" i="22"/>
  <c r="U1815" i="22"/>
  <c r="U1810" i="22"/>
  <c r="U1807" i="22"/>
  <c r="U1802" i="22"/>
  <c r="U1799" i="22"/>
  <c r="U1794" i="22"/>
  <c r="U1791" i="22"/>
  <c r="U1786" i="22"/>
  <c r="U1783" i="22"/>
  <c r="U1778" i="22"/>
  <c r="U1775" i="22"/>
  <c r="U1770" i="22"/>
  <c r="U1767" i="22"/>
  <c r="U1762" i="22"/>
  <c r="U1759" i="22"/>
  <c r="U1754" i="22"/>
  <c r="U1751" i="22"/>
  <c r="U1746" i="22"/>
  <c r="U1729" i="22"/>
  <c r="U1725" i="22"/>
  <c r="U1721" i="22"/>
  <c r="U1717" i="22"/>
  <c r="U1713" i="22"/>
  <c r="U1709" i="22"/>
  <c r="U1705" i="22"/>
  <c r="U1701" i="22"/>
  <c r="U1697" i="22"/>
  <c r="U1693" i="22"/>
  <c r="U1689" i="22"/>
  <c r="U1685" i="22"/>
  <c r="U1681" i="22"/>
  <c r="U1677" i="22"/>
  <c r="U1673" i="22"/>
  <c r="U1669" i="22"/>
  <c r="U1665" i="22"/>
  <c r="U1661" i="22"/>
  <c r="U1657" i="22"/>
  <c r="U1653" i="22"/>
  <c r="U1649" i="22"/>
  <c r="U1645" i="22"/>
  <c r="U1641" i="22"/>
  <c r="U1637" i="22"/>
  <c r="U1633" i="22"/>
  <c r="U1629" i="22"/>
  <c r="U1625" i="22"/>
  <c r="U1621" i="22"/>
  <c r="U1617" i="22"/>
  <c r="U1613" i="22"/>
  <c r="U1609" i="22"/>
  <c r="U1605" i="22"/>
  <c r="U1601" i="22"/>
  <c r="U1597" i="22"/>
  <c r="U1593" i="22"/>
  <c r="U1589" i="22"/>
  <c r="U1585" i="22"/>
  <c r="U1581" i="22"/>
  <c r="U1577" i="22"/>
  <c r="U1573" i="22"/>
  <c r="U1569" i="22"/>
  <c r="U1565" i="22"/>
  <c r="U1561" i="22"/>
  <c r="U1557" i="22"/>
  <c r="U1553" i="22"/>
  <c r="U1549" i="22"/>
  <c r="U1545" i="22"/>
  <c r="U1541" i="22"/>
  <c r="U1537" i="22"/>
  <c r="U1533" i="22"/>
  <c r="U1529" i="22"/>
  <c r="U1525" i="22"/>
  <c r="U1521" i="22"/>
  <c r="U1517" i="22"/>
  <c r="U1513" i="22"/>
  <c r="U1509" i="22"/>
  <c r="U1505" i="22"/>
  <c r="U1501" i="22"/>
  <c r="U1497" i="22"/>
  <c r="U1493" i="22"/>
  <c r="U1489" i="22"/>
  <c r="U1485" i="22"/>
  <c r="U1481" i="22"/>
  <c r="U1477" i="22"/>
  <c r="U1473" i="22"/>
  <c r="U1469" i="22"/>
  <c r="U1465" i="22"/>
  <c r="U1461" i="22"/>
  <c r="U1457" i="22"/>
  <c r="U1453" i="22"/>
  <c r="U1449" i="22"/>
  <c r="U1445" i="22"/>
  <c r="U1441" i="22"/>
  <c r="U1437" i="22"/>
  <c r="U1433" i="22"/>
  <c r="U1429" i="22"/>
  <c r="U1425" i="22"/>
  <c r="U1421" i="22"/>
  <c r="U1417" i="22"/>
  <c r="U1413" i="22"/>
  <c r="U1409" i="22"/>
  <c r="U1405" i="22"/>
  <c r="U1401" i="22"/>
  <c r="U1397" i="22"/>
  <c r="U1393" i="22"/>
  <c r="U1389" i="22"/>
  <c r="U1385" i="22"/>
  <c r="U1381" i="22"/>
  <c r="U1377" i="22"/>
  <c r="U1373" i="22"/>
  <c r="U1369" i="22"/>
  <c r="U1365" i="22"/>
  <c r="U1361" i="22"/>
  <c r="U1357" i="22"/>
  <c r="U1353" i="22"/>
  <c r="U1349" i="22"/>
  <c r="U1345" i="22"/>
  <c r="U1341" i="22"/>
  <c r="U1337" i="22"/>
  <c r="U1333" i="22"/>
  <c r="U1329" i="22"/>
  <c r="U1325" i="22"/>
  <c r="U1321" i="22"/>
  <c r="U1317" i="22"/>
  <c r="U1313" i="22"/>
  <c r="U1309" i="22"/>
  <c r="U1305" i="22"/>
  <c r="U1301" i="22"/>
  <c r="U1297" i="22"/>
  <c r="U1293" i="22"/>
  <c r="U1289" i="22"/>
  <c r="U1285" i="22"/>
  <c r="U1281" i="22"/>
  <c r="U1277" i="22"/>
  <c r="U1273" i="22"/>
  <c r="U1269" i="22"/>
  <c r="U1265" i="22"/>
  <c r="U1261" i="22"/>
  <c r="U1257" i="22"/>
  <c r="U1253" i="22"/>
  <c r="U1249" i="22"/>
  <c r="U1245" i="22"/>
  <c r="U1241" i="22"/>
  <c r="U1237" i="22"/>
  <c r="U1233" i="22"/>
  <c r="U1229" i="22"/>
  <c r="U1225" i="22"/>
  <c r="U1221" i="22"/>
  <c r="U1217" i="22"/>
  <c r="U1213" i="22"/>
  <c r="U1209" i="22"/>
  <c r="U1205" i="22"/>
  <c r="U1201" i="22"/>
  <c r="U1197" i="22"/>
  <c r="U1193" i="22"/>
  <c r="U1189" i="22"/>
  <c r="U1185" i="22"/>
  <c r="U1181" i="22"/>
  <c r="U1177" i="22"/>
  <c r="U1173" i="22"/>
  <c r="U1169" i="22"/>
  <c r="U1165" i="22"/>
  <c r="U1161" i="22"/>
  <c r="U1157" i="22"/>
  <c r="U1153" i="22"/>
  <c r="U1149" i="22"/>
  <c r="U1145" i="22"/>
  <c r="U1141" i="22"/>
  <c r="U1137" i="22"/>
  <c r="U1133" i="22"/>
  <c r="U1129" i="22"/>
  <c r="U1125" i="22"/>
  <c r="U1121" i="22"/>
  <c r="U1117" i="22"/>
  <c r="U1113" i="22"/>
  <c r="U1109" i="22"/>
  <c r="U1105" i="22"/>
  <c r="U1101" i="22"/>
  <c r="U1097" i="22"/>
  <c r="U1093" i="22"/>
  <c r="U1089" i="22"/>
  <c r="U1085" i="22"/>
  <c r="U1081" i="22"/>
  <c r="U1077" i="22"/>
  <c r="U1073" i="22"/>
  <c r="U1069" i="22"/>
  <c r="U1065" i="22"/>
  <c r="U1061" i="22"/>
  <c r="U1057" i="22"/>
  <c r="U1053" i="22"/>
  <c r="U1049" i="22"/>
  <c r="U1045" i="22"/>
  <c r="U1041" i="22"/>
  <c r="U1037" i="22"/>
  <c r="U1033" i="22"/>
  <c r="U1029" i="22"/>
  <c r="U1025" i="22"/>
  <c r="U1021" i="22"/>
  <c r="U1017" i="22"/>
  <c r="U1013" i="22"/>
  <c r="U1009" i="22"/>
  <c r="U1005" i="22"/>
  <c r="U1001" i="22"/>
  <c r="U997" i="22"/>
  <c r="U993" i="22"/>
  <c r="U989" i="22"/>
  <c r="U985" i="22"/>
  <c r="U981" i="22"/>
  <c r="U977" i="22"/>
  <c r="U973" i="22"/>
  <c r="U969" i="22"/>
  <c r="U965" i="22"/>
  <c r="U961" i="22"/>
  <c r="U957" i="22"/>
  <c r="U953" i="22"/>
  <c r="U949" i="22"/>
  <c r="U945" i="22"/>
  <c r="U941" i="22"/>
  <c r="U937" i="22"/>
  <c r="U933" i="22"/>
  <c r="U929" i="22"/>
  <c r="U925" i="22"/>
  <c r="U921" i="22"/>
  <c r="U917" i="22"/>
  <c r="U913" i="22"/>
  <c r="U909" i="22"/>
  <c r="U905" i="22"/>
  <c r="U901" i="22"/>
  <c r="U897" i="22"/>
  <c r="U893" i="22"/>
  <c r="U889" i="22"/>
  <c r="U885" i="22"/>
  <c r="U881" i="22"/>
  <c r="U877" i="22"/>
  <c r="U873" i="22"/>
  <c r="U869" i="22"/>
  <c r="U865" i="22"/>
  <c r="U861" i="22"/>
  <c r="U857" i="22"/>
  <c r="U853" i="22"/>
  <c r="U849" i="22"/>
  <c r="U845" i="22"/>
  <c r="U841" i="22"/>
  <c r="U837" i="22"/>
  <c r="U833" i="22"/>
  <c r="U829" i="22"/>
  <c r="U825" i="22"/>
  <c r="U821" i="22"/>
  <c r="U817" i="22"/>
  <c r="U813" i="22"/>
  <c r="U809" i="22"/>
  <c r="U805" i="22"/>
  <c r="U801" i="22"/>
  <c r="U797" i="22"/>
  <c r="U793" i="22"/>
  <c r="U789" i="22"/>
  <c r="U785" i="22"/>
  <c r="U781" i="22"/>
  <c r="U777" i="22"/>
  <c r="U773" i="22"/>
  <c r="U769" i="22"/>
  <c r="U765" i="22"/>
  <c r="U761" i="22"/>
  <c r="U757" i="22"/>
  <c r="U753" i="22"/>
  <c r="U749" i="22"/>
  <c r="U745" i="22"/>
  <c r="U741" i="22"/>
  <c r="U737" i="22"/>
  <c r="U733" i="22"/>
  <c r="U729" i="22"/>
  <c r="U725" i="22"/>
  <c r="U721" i="22"/>
  <c r="U717" i="22"/>
  <c r="U713" i="22"/>
  <c r="U709" i="22"/>
  <c r="U705" i="22"/>
  <c r="U701" i="22"/>
  <c r="U697" i="22"/>
  <c r="U693" i="22"/>
  <c r="U689" i="22"/>
  <c r="U685" i="22"/>
  <c r="U681" i="22"/>
  <c r="U677" i="22"/>
  <c r="U673" i="22"/>
  <c r="U669" i="22"/>
  <c r="U665" i="22"/>
  <c r="U661" i="22"/>
  <c r="U657" i="22"/>
  <c r="U653" i="22"/>
  <c r="U649" i="22"/>
  <c r="U645" i="22"/>
  <c r="U641" i="22"/>
  <c r="U635" i="22"/>
  <c r="U632" i="22"/>
  <c r="U627" i="22"/>
  <c r="U624" i="22"/>
  <c r="U619" i="22"/>
  <c r="U616" i="22"/>
  <c r="U611" i="22"/>
  <c r="U608" i="22"/>
  <c r="U603" i="22"/>
  <c r="U600" i="22"/>
  <c r="U595" i="22"/>
  <c r="U592" i="22"/>
  <c r="U587" i="22"/>
  <c r="U584" i="22"/>
  <c r="U579" i="22"/>
  <c r="U576" i="22"/>
  <c r="U571" i="22"/>
  <c r="U568" i="22"/>
  <c r="U563" i="22"/>
  <c r="U560" i="22"/>
  <c r="U555" i="22"/>
  <c r="U552" i="22"/>
  <c r="U547" i="22"/>
  <c r="U544" i="22"/>
  <c r="U539" i="22"/>
  <c r="U536" i="22"/>
  <c r="U531" i="22"/>
  <c r="U528" i="22"/>
  <c r="U523" i="22"/>
  <c r="U520" i="22"/>
  <c r="U515" i="22"/>
  <c r="U512" i="22"/>
  <c r="U507" i="22"/>
  <c r="U504" i="22"/>
  <c r="U499" i="22"/>
  <c r="U496" i="22"/>
  <c r="U491" i="22"/>
  <c r="U488" i="22"/>
  <c r="U483" i="22"/>
  <c r="U480" i="22"/>
  <c r="U475" i="22"/>
  <c r="U472" i="22"/>
  <c r="U467" i="22"/>
  <c r="U464" i="22"/>
  <c r="U459" i="22"/>
  <c r="U456" i="22"/>
  <c r="U451" i="22"/>
  <c r="U448" i="22"/>
  <c r="U443" i="22"/>
  <c r="U440" i="22"/>
  <c r="U435" i="22"/>
  <c r="U432" i="22"/>
  <c r="U427" i="22"/>
  <c r="U424" i="22"/>
  <c r="U419" i="22"/>
  <c r="U416" i="22"/>
  <c r="U411" i="22"/>
  <c r="U408" i="22"/>
  <c r="U403" i="22"/>
  <c r="U400" i="22"/>
  <c r="U395" i="22"/>
  <c r="U392" i="22"/>
  <c r="U387" i="22"/>
  <c r="U384" i="22"/>
  <c r="U379" i="22"/>
  <c r="U376" i="22"/>
  <c r="U371" i="22"/>
  <c r="U368" i="22"/>
  <c r="U52" i="22"/>
  <c r="U50" i="22"/>
  <c r="U43" i="22"/>
  <c r="U41" i="22"/>
  <c r="U39" i="22"/>
  <c r="U38" i="22"/>
  <c r="U37" i="22"/>
  <c r="U36" i="22"/>
  <c r="U35" i="22"/>
  <c r="U34" i="22"/>
  <c r="U33" i="22"/>
  <c r="U32" i="22"/>
  <c r="U31" i="22"/>
  <c r="U30" i="22"/>
  <c r="U29" i="22"/>
  <c r="U28" i="22"/>
  <c r="U27" i="22"/>
  <c r="U26" i="22"/>
  <c r="U25" i="22"/>
  <c r="U24" i="22"/>
  <c r="U23" i="22"/>
  <c r="U22" i="22"/>
  <c r="U21" i="22"/>
  <c r="U20" i="22"/>
  <c r="U19" i="22"/>
  <c r="U18" i="22"/>
  <c r="U14" i="22"/>
  <c r="U10" i="22"/>
  <c r="U6" i="22"/>
  <c r="U4" i="22"/>
  <c r="U1733" i="22"/>
  <c r="U1728" i="22"/>
  <c r="U1724" i="22"/>
  <c r="U1720" i="22"/>
  <c r="U1716" i="22"/>
  <c r="U1712" i="22"/>
  <c r="U1708" i="22"/>
  <c r="U1704" i="22"/>
  <c r="U1700" i="22"/>
  <c r="U1696" i="22"/>
  <c r="U1692" i="22"/>
  <c r="U1688" i="22"/>
  <c r="U1684" i="22"/>
  <c r="U1680" i="22"/>
  <c r="U1676" i="22"/>
  <c r="U1672" i="22"/>
  <c r="U1668" i="22"/>
  <c r="U1664" i="22"/>
  <c r="U1660" i="22"/>
  <c r="U1656" i="22"/>
  <c r="U1652" i="22"/>
  <c r="U1648" i="22"/>
  <c r="U1644" i="22"/>
  <c r="U1640" i="22"/>
  <c r="U1636" i="22"/>
  <c r="U1632" i="22"/>
  <c r="U1628" i="22"/>
  <c r="U1624" i="22"/>
  <c r="U1620" i="22"/>
  <c r="U1616" i="22"/>
  <c r="U1612" i="22"/>
  <c r="U1608" i="22"/>
  <c r="U1604" i="22"/>
  <c r="U1600" i="22"/>
  <c r="U1596" i="22"/>
  <c r="U1592" i="22"/>
  <c r="U1588" i="22"/>
  <c r="U1584" i="22"/>
  <c r="U1580" i="22"/>
  <c r="U1576" i="22"/>
  <c r="U1572" i="22"/>
  <c r="U1568" i="22"/>
  <c r="U1564" i="22"/>
  <c r="U1560" i="22"/>
  <c r="U1556" i="22"/>
  <c r="U1552" i="22"/>
  <c r="U1548" i="22"/>
  <c r="U1544" i="22"/>
  <c r="U1540" i="22"/>
  <c r="U1536" i="22"/>
  <c r="U1532" i="22"/>
  <c r="U1528" i="22"/>
  <c r="U1524" i="22"/>
  <c r="U1520" i="22"/>
  <c r="U1516" i="22"/>
  <c r="U1512" i="22"/>
  <c r="U1508" i="22"/>
  <c r="U1504" i="22"/>
  <c r="U1500" i="22"/>
  <c r="U1496" i="22"/>
  <c r="U1492" i="22"/>
  <c r="U1488" i="22"/>
  <c r="U1484" i="22"/>
  <c r="U1480" i="22"/>
  <c r="U1476" i="22"/>
  <c r="U1472" i="22"/>
  <c r="U1468" i="22"/>
  <c r="U1464" i="22"/>
  <c r="U1460" i="22"/>
  <c r="U1456" i="22"/>
  <c r="U1452" i="22"/>
  <c r="U1448" i="22"/>
  <c r="U1444" i="22"/>
  <c r="U1440" i="22"/>
  <c r="U1436" i="22"/>
  <c r="U1432" i="22"/>
  <c r="U1428" i="22"/>
  <c r="U1424" i="22"/>
  <c r="U1420" i="22"/>
  <c r="U1416" i="22"/>
  <c r="U1412" i="22"/>
  <c r="U1408" i="22"/>
  <c r="U1404" i="22"/>
  <c r="U1400" i="22"/>
  <c r="U1396" i="22"/>
  <c r="U1392" i="22"/>
  <c r="U1388" i="22"/>
  <c r="U1384" i="22"/>
  <c r="U1380" i="22"/>
  <c r="U1376" i="22"/>
  <c r="U1372" i="22"/>
  <c r="U1368" i="22"/>
  <c r="U1364" i="22"/>
  <c r="U1360" i="22"/>
  <c r="U1356" i="22"/>
  <c r="U1352" i="22"/>
  <c r="U1348" i="22"/>
  <c r="U1344" i="22"/>
  <c r="U1340" i="22"/>
  <c r="U1336" i="22"/>
  <c r="U1332" i="22"/>
  <c r="U1328" i="22"/>
  <c r="U1324" i="22"/>
  <c r="U1320" i="22"/>
  <c r="U1316" i="22"/>
  <c r="U1312" i="22"/>
  <c r="U1308" i="22"/>
  <c r="U1304" i="22"/>
  <c r="U1300" i="22"/>
  <c r="U1296" i="22"/>
  <c r="U1292" i="22"/>
  <c r="U1288" i="22"/>
  <c r="U1284" i="22"/>
  <c r="U1280" i="22"/>
  <c r="U1276" i="22"/>
  <c r="U1272" i="22"/>
  <c r="U1268" i="22"/>
  <c r="U1264" i="22"/>
  <c r="U1260" i="22"/>
  <c r="U1256" i="22"/>
  <c r="U1252" i="22"/>
  <c r="U1248" i="22"/>
  <c r="U1244" i="22"/>
  <c r="U1240" i="22"/>
  <c r="U1236" i="22"/>
  <c r="U1232" i="22"/>
  <c r="U1228" i="22"/>
  <c r="U1224" i="22"/>
  <c r="U1220" i="22"/>
  <c r="U1216" i="22"/>
  <c r="U1212" i="22"/>
  <c r="U1208" i="22"/>
  <c r="U1204" i="22"/>
  <c r="U1200" i="22"/>
  <c r="U1196" i="22"/>
  <c r="U1192" i="22"/>
  <c r="U1188" i="22"/>
  <c r="U1184" i="22"/>
  <c r="U1180" i="22"/>
  <c r="U1176" i="22"/>
  <c r="U1172" i="22"/>
  <c r="U1168" i="22"/>
  <c r="U1164" i="22"/>
  <c r="U1160" i="22"/>
  <c r="U1156" i="22"/>
  <c r="U1152" i="22"/>
  <c r="U1148" i="22"/>
  <c r="U1144" i="22"/>
  <c r="U1140" i="22"/>
  <c r="U1136" i="22"/>
  <c r="U1132" i="22"/>
  <c r="U1128" i="22"/>
  <c r="U1124" i="22"/>
  <c r="U1120" i="22"/>
  <c r="U1116" i="22"/>
  <c r="U1112" i="22"/>
  <c r="U1108" i="22"/>
  <c r="U1104" i="22"/>
  <c r="U1100" i="22"/>
  <c r="U1096" i="22"/>
  <c r="U1092" i="22"/>
  <c r="U1088" i="22"/>
  <c r="U1084" i="22"/>
  <c r="U1080" i="22"/>
  <c r="U1076" i="22"/>
  <c r="U1072" i="22"/>
  <c r="U1068" i="22"/>
  <c r="U1064" i="22"/>
  <c r="U1060" i="22"/>
  <c r="U1056" i="22"/>
  <c r="U1052" i="22"/>
  <c r="U1048" i="22"/>
  <c r="U1044" i="22"/>
  <c r="U1040" i="22"/>
  <c r="U1036" i="22"/>
  <c r="U1032" i="22"/>
  <c r="U1028" i="22"/>
  <c r="U1024" i="22"/>
  <c r="U1020" i="22"/>
  <c r="U1016" i="22"/>
  <c r="U1012" i="22"/>
  <c r="U1008" i="22"/>
  <c r="U1004" i="22"/>
  <c r="U1000" i="22"/>
  <c r="U996" i="22"/>
  <c r="U992" i="22"/>
  <c r="U988" i="22"/>
  <c r="U984" i="22"/>
  <c r="U980" i="22"/>
  <c r="U976" i="22"/>
  <c r="U972" i="22"/>
  <c r="U968" i="22"/>
  <c r="U964" i="22"/>
  <c r="U960" i="22"/>
  <c r="U956" i="22"/>
  <c r="U952" i="22"/>
  <c r="U948" i="22"/>
  <c r="U944" i="22"/>
  <c r="U940" i="22"/>
  <c r="U936" i="22"/>
  <c r="U932" i="22"/>
  <c r="U928" i="22"/>
  <c r="U924" i="22"/>
  <c r="U920" i="22"/>
  <c r="U916" i="22"/>
  <c r="U912" i="22"/>
  <c r="U908" i="22"/>
  <c r="U904" i="22"/>
  <c r="U900" i="22"/>
  <c r="U896" i="22"/>
  <c r="U892" i="22"/>
  <c r="U888" i="22"/>
  <c r="U884" i="22"/>
  <c r="U880" i="22"/>
  <c r="U876" i="22"/>
  <c r="U872" i="22"/>
  <c r="U868" i="22"/>
  <c r="U864" i="22"/>
  <c r="U860" i="22"/>
  <c r="U856" i="22"/>
  <c r="U852" i="22"/>
  <c r="U848" i="22"/>
  <c r="U844" i="22"/>
  <c r="U840" i="22"/>
  <c r="U836" i="22"/>
  <c r="U832" i="22"/>
  <c r="U828" i="22"/>
  <c r="U824" i="22"/>
  <c r="U820" i="22"/>
  <c r="U816" i="22"/>
  <c r="U812" i="22"/>
  <c r="U808" i="22"/>
  <c r="U804" i="22"/>
  <c r="U800" i="22"/>
  <c r="U796" i="22"/>
  <c r="U792" i="22"/>
  <c r="U788" i="22"/>
  <c r="U784" i="22"/>
  <c r="U780" i="22"/>
  <c r="U776" i="22"/>
  <c r="U772" i="22"/>
  <c r="U768" i="22"/>
  <c r="U764" i="22"/>
  <c r="U760" i="22"/>
  <c r="U756" i="22"/>
  <c r="U752" i="22"/>
  <c r="U748" i="22"/>
  <c r="U744" i="22"/>
  <c r="U740" i="22"/>
  <c r="U736" i="22"/>
  <c r="U732" i="22"/>
  <c r="U728" i="22"/>
  <c r="U724" i="22"/>
  <c r="U720" i="22"/>
  <c r="U716" i="22"/>
  <c r="U712" i="22"/>
  <c r="U708" i="22"/>
  <c r="U704" i="22"/>
  <c r="U700" i="22"/>
  <c r="U696" i="22"/>
  <c r="U692" i="22"/>
  <c r="U688" i="22"/>
  <c r="U684" i="22"/>
  <c r="U680" i="22"/>
  <c r="U676" i="22"/>
  <c r="U672" i="22"/>
  <c r="U668" i="22"/>
  <c r="U664" i="22"/>
  <c r="U660" i="22"/>
  <c r="U656" i="22"/>
  <c r="U652" i="22"/>
  <c r="U648" i="22"/>
  <c r="U644" i="22"/>
  <c r="U640" i="22"/>
  <c r="U637" i="22"/>
  <c r="U634" i="22"/>
  <c r="U629" i="22"/>
  <c r="U626" i="22"/>
  <c r="U621" i="22"/>
  <c r="U618" i="22"/>
  <c r="U613" i="22"/>
  <c r="U610" i="22"/>
  <c r="U605" i="22"/>
  <c r="U602" i="22"/>
  <c r="U597" i="22"/>
  <c r="U594" i="22"/>
  <c r="U589" i="22"/>
  <c r="U586" i="22"/>
  <c r="U581" i="22"/>
  <c r="U578" i="22"/>
  <c r="U573" i="22"/>
  <c r="U570" i="22"/>
  <c r="U565" i="22"/>
  <c r="U562" i="22"/>
  <c r="U557" i="22"/>
  <c r="U554" i="22"/>
  <c r="U549" i="22"/>
  <c r="U546" i="22"/>
  <c r="U541" i="22"/>
  <c r="U538" i="22"/>
  <c r="U533" i="22"/>
  <c r="U530" i="22"/>
  <c r="U525" i="22"/>
  <c r="U522" i="22"/>
  <c r="U517" i="22"/>
  <c r="U514" i="22"/>
  <c r="U509" i="22"/>
  <c r="U506" i="22"/>
  <c r="U501" i="22"/>
  <c r="U498" i="22"/>
  <c r="U493" i="22"/>
  <c r="U490" i="22"/>
  <c r="U485" i="22"/>
  <c r="U482" i="22"/>
  <c r="U477" i="22"/>
  <c r="U474" i="22"/>
  <c r="U469" i="22"/>
  <c r="U466" i="22"/>
  <c r="U461" i="22"/>
  <c r="U458" i="22"/>
  <c r="U453" i="22"/>
  <c r="U450" i="22"/>
  <c r="U445" i="22"/>
  <c r="U442" i="22"/>
  <c r="U437" i="22"/>
  <c r="U434" i="22"/>
  <c r="U429" i="22"/>
  <c r="U426" i="22"/>
  <c r="U421" i="22"/>
  <c r="U418" i="22"/>
  <c r="U413" i="22"/>
  <c r="U410" i="22"/>
  <c r="U405" i="22"/>
  <c r="U402" i="22"/>
  <c r="U397" i="22"/>
  <c r="U394" i="22"/>
  <c r="U389" i="22"/>
  <c r="U386" i="22"/>
  <c r="U381" i="22"/>
  <c r="U378" i="22"/>
  <c r="U373" i="22"/>
  <c r="U370" i="22"/>
  <c r="U365" i="22"/>
  <c r="U363" i="22"/>
  <c r="U361" i="22"/>
  <c r="U359" i="22"/>
  <c r="U357" i="22"/>
  <c r="U355" i="22"/>
  <c r="U353" i="22"/>
  <c r="U351" i="22"/>
  <c r="U349" i="22"/>
  <c r="U347" i="22"/>
  <c r="U345" i="22"/>
  <c r="U343" i="22"/>
  <c r="U341" i="22"/>
  <c r="U339" i="22"/>
  <c r="U337" i="22"/>
  <c r="U335" i="22"/>
  <c r="U333" i="22"/>
  <c r="U331" i="22"/>
  <c r="U329" i="22"/>
  <c r="U327" i="22"/>
  <c r="U325" i="22"/>
  <c r="U323" i="22"/>
  <c r="U321" i="22"/>
  <c r="U319" i="22"/>
  <c r="U317" i="22"/>
  <c r="U315" i="22"/>
  <c r="U313" i="22"/>
  <c r="U311" i="22"/>
  <c r="U309" i="22"/>
  <c r="U307" i="22"/>
  <c r="U305" i="22"/>
  <c r="U303" i="22"/>
  <c r="U301" i="22"/>
  <c r="U299" i="22"/>
  <c r="U297" i="22"/>
  <c r="U295" i="22"/>
  <c r="U293" i="22"/>
  <c r="U291" i="22"/>
  <c r="U289" i="22"/>
  <c r="U287" i="22"/>
  <c r="U285" i="22"/>
  <c r="U283" i="22"/>
  <c r="U281" i="22"/>
  <c r="U279" i="22"/>
  <c r="U277" i="22"/>
  <c r="U275" i="22"/>
  <c r="U273" i="22"/>
  <c r="U271" i="22"/>
  <c r="U269" i="22"/>
  <c r="U267" i="22"/>
  <c r="U265" i="22"/>
  <c r="U263" i="22"/>
  <c r="U261" i="22"/>
  <c r="U259" i="22"/>
  <c r="U257" i="22"/>
  <c r="U255" i="22"/>
  <c r="U253" i="22"/>
  <c r="U251" i="22"/>
  <c r="U249" i="22"/>
  <c r="U247" i="22"/>
  <c r="U245" i="22"/>
  <c r="U243" i="22"/>
  <c r="U241" i="22"/>
  <c r="U239" i="22"/>
  <c r="U237" i="22"/>
  <c r="U235" i="22"/>
  <c r="U233" i="22"/>
  <c r="U231" i="22"/>
  <c r="U229" i="22"/>
  <c r="U227" i="22"/>
  <c r="U225" i="22"/>
  <c r="U223" i="22"/>
  <c r="U221" i="22"/>
  <c r="U219" i="22"/>
  <c r="U217" i="22"/>
  <c r="U215" i="22"/>
  <c r="U213" i="22"/>
  <c r="U211" i="22"/>
  <c r="U209" i="22"/>
  <c r="U207" i="22"/>
  <c r="U205" i="22"/>
  <c r="U203" i="22"/>
  <c r="U201" i="22"/>
  <c r="U199" i="22"/>
  <c r="U197" i="22"/>
  <c r="U195" i="22"/>
  <c r="U193" i="22"/>
  <c r="U191" i="22"/>
  <c r="U189" i="22"/>
  <c r="U187" i="22"/>
  <c r="U185" i="22"/>
  <c r="U183" i="22"/>
  <c r="U181" i="22"/>
  <c r="U179" i="22"/>
  <c r="U177" i="22"/>
  <c r="U175" i="22"/>
  <c r="U173" i="22"/>
  <c r="U171" i="22"/>
  <c r="U169" i="22"/>
  <c r="U167" i="22"/>
  <c r="U165" i="22"/>
  <c r="U163" i="22"/>
  <c r="U161" i="22"/>
  <c r="U159" i="22"/>
  <c r="U157" i="22"/>
  <c r="U155" i="22"/>
  <c r="U153" i="22"/>
  <c r="U151" i="22"/>
  <c r="U149" i="22"/>
  <c r="U147" i="22"/>
  <c r="U145" i="22"/>
  <c r="U143" i="22"/>
  <c r="U141" i="22"/>
  <c r="U139" i="22"/>
  <c r="U137" i="22"/>
  <c r="U135" i="22"/>
  <c r="U133" i="22"/>
  <c r="U131" i="22"/>
  <c r="U129" i="22"/>
  <c r="U127" i="22"/>
  <c r="U125" i="22"/>
  <c r="U123" i="22"/>
  <c r="U121" i="22"/>
  <c r="U119" i="22"/>
  <c r="U117" i="22"/>
  <c r="U1731" i="22"/>
  <c r="U1727" i="22"/>
  <c r="U1723" i="22"/>
  <c r="U1719" i="22"/>
  <c r="U1715" i="22"/>
  <c r="U1711" i="22"/>
  <c r="U1707" i="22"/>
  <c r="U1703" i="22"/>
  <c r="U1699" i="22"/>
  <c r="U1695" i="22"/>
  <c r="U1691" i="22"/>
  <c r="U1687" i="22"/>
  <c r="U1683" i="22"/>
  <c r="U1679" i="22"/>
  <c r="U1675" i="22"/>
  <c r="U1671" i="22"/>
  <c r="U1667" i="22"/>
  <c r="U1663" i="22"/>
  <c r="U1659" i="22"/>
  <c r="U1655" i="22"/>
  <c r="U1651" i="22"/>
  <c r="U1647" i="22"/>
  <c r="U1643" i="22"/>
  <c r="U1639" i="22"/>
  <c r="U1635" i="22"/>
  <c r="U1631" i="22"/>
  <c r="U1627" i="22"/>
  <c r="U1623" i="22"/>
  <c r="U1619" i="22"/>
  <c r="U1615" i="22"/>
  <c r="U1611" i="22"/>
  <c r="U1607" i="22"/>
  <c r="U1603" i="22"/>
  <c r="U1599" i="22"/>
  <c r="U1595" i="22"/>
  <c r="U1591" i="22"/>
  <c r="U1587" i="22"/>
  <c r="U1583" i="22"/>
  <c r="U1579" i="22"/>
  <c r="U1575" i="22"/>
  <c r="U1571" i="22"/>
  <c r="U1567" i="22"/>
  <c r="U1563" i="22"/>
  <c r="U1559" i="22"/>
  <c r="U1555" i="22"/>
  <c r="U1551" i="22"/>
  <c r="U1547" i="22"/>
  <c r="U1543" i="22"/>
  <c r="U1539" i="22"/>
  <c r="U1535" i="22"/>
  <c r="U1531" i="22"/>
  <c r="U1527" i="22"/>
  <c r="U1523" i="22"/>
  <c r="U1519" i="22"/>
  <c r="U1515" i="22"/>
  <c r="U1511" i="22"/>
  <c r="U1507" i="22"/>
  <c r="U1503" i="22"/>
  <c r="U1499" i="22"/>
  <c r="U1495" i="22"/>
  <c r="U1491" i="22"/>
  <c r="U1487" i="22"/>
  <c r="U1483" i="22"/>
  <c r="U1479" i="22"/>
  <c r="U1475" i="22"/>
  <c r="U1471" i="22"/>
  <c r="U1467" i="22"/>
  <c r="U1463" i="22"/>
  <c r="U1459" i="22"/>
  <c r="U1455" i="22"/>
  <c r="U1451" i="22"/>
  <c r="U1447" i="22"/>
  <c r="U1443" i="22"/>
  <c r="U1439" i="22"/>
  <c r="U1435" i="22"/>
  <c r="U1431" i="22"/>
  <c r="U1427" i="22"/>
  <c r="U1423" i="22"/>
  <c r="U1419" i="22"/>
  <c r="U1415" i="22"/>
  <c r="U1411" i="22"/>
  <c r="U1407" i="22"/>
  <c r="U1403" i="22"/>
  <c r="U1399" i="22"/>
  <c r="U1395" i="22"/>
  <c r="U1391" i="22"/>
  <c r="U1387" i="22"/>
  <c r="U1383" i="22"/>
  <c r="U1379" i="22"/>
  <c r="U1375" i="22"/>
  <c r="U1371" i="22"/>
  <c r="U1367" i="22"/>
  <c r="U1363" i="22"/>
  <c r="U1359" i="22"/>
  <c r="U1355" i="22"/>
  <c r="U1351" i="22"/>
  <c r="U1347" i="22"/>
  <c r="U1343" i="22"/>
  <c r="U1339" i="22"/>
  <c r="U1335" i="22"/>
  <c r="U1331" i="22"/>
  <c r="U1327" i="22"/>
  <c r="U1323" i="22"/>
  <c r="U1319" i="22"/>
  <c r="U1315" i="22"/>
  <c r="U1311" i="22"/>
  <c r="U1307" i="22"/>
  <c r="U1303" i="22"/>
  <c r="U1299" i="22"/>
  <c r="U1295" i="22"/>
  <c r="U1291" i="22"/>
  <c r="U1287" i="22"/>
  <c r="U1283" i="22"/>
  <c r="U1279" i="22"/>
  <c r="U1275" i="22"/>
  <c r="U1271" i="22"/>
  <c r="U1267" i="22"/>
  <c r="U1263" i="22"/>
  <c r="U1259" i="22"/>
  <c r="U1255" i="22"/>
  <c r="U1251" i="22"/>
  <c r="U1247" i="22"/>
  <c r="U1243" i="22"/>
  <c r="U1239" i="22"/>
  <c r="U1235" i="22"/>
  <c r="U1231" i="22"/>
  <c r="U1227" i="22"/>
  <c r="U1223" i="22"/>
  <c r="U1219" i="22"/>
  <c r="U1215" i="22"/>
  <c r="U1211" i="22"/>
  <c r="U1207" i="22"/>
  <c r="U1203" i="22"/>
  <c r="U1199" i="22"/>
  <c r="U1195" i="22"/>
  <c r="U1191" i="22"/>
  <c r="U1187" i="22"/>
  <c r="U1183" i="22"/>
  <c r="U1179" i="22"/>
  <c r="U1175" i="22"/>
  <c r="U1171" i="22"/>
  <c r="U1167" i="22"/>
  <c r="U1163" i="22"/>
  <c r="U1159" i="22"/>
  <c r="U1155" i="22"/>
  <c r="U1151" i="22"/>
  <c r="U1147" i="22"/>
  <c r="U1143" i="22"/>
  <c r="U1139" i="22"/>
  <c r="U1135" i="22"/>
  <c r="U1131" i="22"/>
  <c r="U1127" i="22"/>
  <c r="U1123" i="22"/>
  <c r="U1119" i="22"/>
  <c r="U1115" i="22"/>
  <c r="U1111" i="22"/>
  <c r="U1107" i="22"/>
  <c r="U1103" i="22"/>
  <c r="U1099" i="22"/>
  <c r="U1095" i="22"/>
  <c r="U1091" i="22"/>
  <c r="U1087" i="22"/>
  <c r="U1083" i="22"/>
  <c r="U1079" i="22"/>
  <c r="U1075" i="22"/>
  <c r="U1071" i="22"/>
  <c r="U1067" i="22"/>
  <c r="U1063" i="22"/>
  <c r="U1059" i="22"/>
  <c r="U1055" i="22"/>
  <c r="U1051" i="22"/>
  <c r="U1047" i="22"/>
  <c r="U1043" i="22"/>
  <c r="U1039" i="22"/>
  <c r="U1035" i="22"/>
  <c r="U1031" i="22"/>
  <c r="U1027" i="22"/>
  <c r="U1023" i="22"/>
  <c r="U1019" i="22"/>
  <c r="U1015" i="22"/>
  <c r="U1011" i="22"/>
  <c r="U1007" i="22"/>
  <c r="U1003" i="22"/>
  <c r="U999" i="22"/>
  <c r="U995" i="22"/>
  <c r="U991" i="22"/>
  <c r="U987" i="22"/>
  <c r="U983" i="22"/>
  <c r="U979" i="22"/>
  <c r="U975" i="22"/>
  <c r="U971" i="22"/>
  <c r="U967" i="22"/>
  <c r="U963" i="22"/>
  <c r="U959" i="22"/>
  <c r="U955" i="22"/>
  <c r="U951" i="22"/>
  <c r="U947" i="22"/>
  <c r="U943" i="22"/>
  <c r="U939" i="22"/>
  <c r="U935" i="22"/>
  <c r="U931" i="22"/>
  <c r="U927" i="22"/>
  <c r="U923" i="22"/>
  <c r="U919" i="22"/>
  <c r="U915" i="22"/>
  <c r="U911" i="22"/>
  <c r="U907" i="22"/>
  <c r="U903" i="22"/>
  <c r="U899" i="22"/>
  <c r="U895" i="22"/>
  <c r="U891" i="22"/>
  <c r="U887" i="22"/>
  <c r="U883" i="22"/>
  <c r="U879" i="22"/>
  <c r="U875" i="22"/>
  <c r="U871" i="22"/>
  <c r="U867" i="22"/>
  <c r="U863" i="22"/>
  <c r="U859" i="22"/>
  <c r="U855" i="22"/>
  <c r="U851" i="22"/>
  <c r="U847" i="22"/>
  <c r="U843" i="22"/>
  <c r="U839" i="22"/>
  <c r="U835" i="22"/>
  <c r="U831" i="22"/>
  <c r="U827" i="22"/>
  <c r="U823" i="22"/>
  <c r="U819" i="22"/>
  <c r="U815" i="22"/>
  <c r="U811" i="22"/>
  <c r="U807" i="22"/>
  <c r="U803" i="22"/>
  <c r="U799" i="22"/>
  <c r="U795" i="22"/>
  <c r="U791" i="22"/>
  <c r="U787" i="22"/>
  <c r="U783" i="22"/>
  <c r="U779" i="22"/>
  <c r="U775" i="22"/>
  <c r="U771" i="22"/>
  <c r="U767" i="22"/>
  <c r="U763" i="22"/>
  <c r="U759" i="22"/>
  <c r="U755" i="22"/>
  <c r="U751" i="22"/>
  <c r="U747" i="22"/>
  <c r="U743" i="22"/>
  <c r="U739" i="22"/>
  <c r="U735" i="22"/>
  <c r="U731" i="22"/>
  <c r="U727" i="22"/>
  <c r="U723" i="22"/>
  <c r="U719" i="22"/>
  <c r="U715" i="22"/>
  <c r="U711" i="22"/>
  <c r="U707" i="22"/>
  <c r="U703" i="22"/>
  <c r="U699" i="22"/>
  <c r="U695" i="22"/>
  <c r="U691" i="22"/>
  <c r="U687" i="22"/>
  <c r="U683" i="22"/>
  <c r="U679" i="22"/>
  <c r="U675" i="22"/>
  <c r="U671" i="22"/>
  <c r="U667" i="22"/>
  <c r="U663" i="22"/>
  <c r="U659" i="22"/>
  <c r="U655" i="22"/>
  <c r="U651" i="22"/>
  <c r="U647" i="22"/>
  <c r="U643" i="22"/>
  <c r="U639" i="22"/>
  <c r="U636" i="22"/>
  <c r="U631" i="22"/>
  <c r="U628" i="22"/>
  <c r="U623" i="22"/>
  <c r="U620" i="22"/>
  <c r="U615" i="22"/>
  <c r="U612" i="22"/>
  <c r="U607" i="22"/>
  <c r="U604" i="22"/>
  <c r="U599" i="22"/>
  <c r="U596" i="22"/>
  <c r="U591" i="22"/>
  <c r="U588" i="22"/>
  <c r="U583" i="22"/>
  <c r="U580" i="22"/>
  <c r="U575" i="22"/>
  <c r="U572" i="22"/>
  <c r="U567" i="22"/>
  <c r="U564" i="22"/>
  <c r="U559" i="22"/>
  <c r="U556" i="22"/>
  <c r="U551" i="22"/>
  <c r="U548" i="22"/>
  <c r="U543" i="22"/>
  <c r="U540" i="22"/>
  <c r="U535" i="22"/>
  <c r="U532" i="22"/>
  <c r="U527" i="22"/>
  <c r="U524" i="22"/>
  <c r="U519" i="22"/>
  <c r="U516" i="22"/>
  <c r="U511" i="22"/>
  <c r="U508" i="22"/>
  <c r="U503" i="22"/>
  <c r="U500" i="22"/>
  <c r="U495" i="22"/>
  <c r="U492" i="22"/>
  <c r="U487" i="22"/>
  <c r="U484" i="22"/>
  <c r="U479" i="22"/>
  <c r="U476" i="22"/>
  <c r="U471" i="22"/>
  <c r="U468" i="22"/>
  <c r="U463" i="22"/>
  <c r="U460" i="22"/>
  <c r="U455" i="22"/>
  <c r="U452" i="22"/>
  <c r="U447" i="22"/>
  <c r="U444" i="22"/>
  <c r="U439" i="22"/>
  <c r="U436" i="22"/>
  <c r="U431" i="22"/>
  <c r="U428" i="22"/>
  <c r="U423" i="22"/>
  <c r="U420" i="22"/>
  <c r="U415" i="22"/>
  <c r="U412" i="22"/>
  <c r="U407" i="22"/>
  <c r="U404" i="22"/>
  <c r="U399" i="22"/>
  <c r="U396" i="22"/>
  <c r="U391" i="22"/>
  <c r="U388" i="22"/>
  <c r="U383" i="22"/>
  <c r="U380" i="22"/>
  <c r="U375" i="22"/>
  <c r="U372" i="22"/>
  <c r="U367" i="22"/>
  <c r="U53" i="22"/>
  <c r="U51" i="22"/>
  <c r="U49" i="22"/>
  <c r="U42" i="22"/>
  <c r="U40" i="22"/>
  <c r="U16" i="22"/>
  <c r="U12" i="22"/>
  <c r="U8" i="22"/>
  <c r="U5" i="22"/>
  <c r="U1730" i="22"/>
  <c r="U1726" i="22"/>
  <c r="U1722" i="22"/>
  <c r="U1718" i="22"/>
  <c r="U1714" i="22"/>
  <c r="U1710" i="22"/>
  <c r="U1706" i="22"/>
  <c r="U1702" i="22"/>
  <c r="U1698" i="22"/>
  <c r="U1694" i="22"/>
  <c r="U1690" i="22"/>
  <c r="U1686" i="22"/>
  <c r="U1682" i="22"/>
  <c r="U1678" i="22"/>
  <c r="U1674" i="22"/>
  <c r="U1670" i="22"/>
  <c r="U1666" i="22"/>
  <c r="U1662" i="22"/>
  <c r="U1658" i="22"/>
  <c r="U1654" i="22"/>
  <c r="U1650" i="22"/>
  <c r="U1646" i="22"/>
  <c r="U1642" i="22"/>
  <c r="U1638" i="22"/>
  <c r="U1634" i="22"/>
  <c r="U1630" i="22"/>
  <c r="U1626" i="22"/>
  <c r="U1622" i="22"/>
  <c r="U1618" i="22"/>
  <c r="U1614" i="22"/>
  <c r="U1610" i="22"/>
  <c r="U1606" i="22"/>
  <c r="U1602" i="22"/>
  <c r="U1598" i="22"/>
  <c r="U1594" i="22"/>
  <c r="U1590" i="22"/>
  <c r="U1586" i="22"/>
  <c r="U1582" i="22"/>
  <c r="U1578" i="22"/>
  <c r="U1574" i="22"/>
  <c r="U1570" i="22"/>
  <c r="U1566" i="22"/>
  <c r="U1562" i="22"/>
  <c r="U1558" i="22"/>
  <c r="U1554" i="22"/>
  <c r="U1550" i="22"/>
  <c r="U1546" i="22"/>
  <c r="U1542" i="22"/>
  <c r="U1538" i="22"/>
  <c r="U1534" i="22"/>
  <c r="U1530" i="22"/>
  <c r="U1526" i="22"/>
  <c r="U1522" i="22"/>
  <c r="U1518" i="22"/>
  <c r="U1514" i="22"/>
  <c r="U1510" i="22"/>
  <c r="U1506" i="22"/>
  <c r="U1502" i="22"/>
  <c r="U1498" i="22"/>
  <c r="U1494" i="22"/>
  <c r="U1490" i="22"/>
  <c r="U1486" i="22"/>
  <c r="U1482" i="22"/>
  <c r="U1478" i="22"/>
  <c r="U1474" i="22"/>
  <c r="U1470" i="22"/>
  <c r="U1466" i="22"/>
  <c r="U1462" i="22"/>
  <c r="U1458" i="22"/>
  <c r="U1454" i="22"/>
  <c r="U1450" i="22"/>
  <c r="U1446" i="22"/>
  <c r="U1442" i="22"/>
  <c r="U1438" i="22"/>
  <c r="U1434" i="22"/>
  <c r="U1430" i="22"/>
  <c r="U1426" i="22"/>
  <c r="U1422" i="22"/>
  <c r="U1418" i="22"/>
  <c r="U1414" i="22"/>
  <c r="U1410" i="22"/>
  <c r="U1406" i="22"/>
  <c r="U1402" i="22"/>
  <c r="U1398" i="22"/>
  <c r="U1394" i="22"/>
  <c r="U1390" i="22"/>
  <c r="U1386" i="22"/>
  <c r="U1382" i="22"/>
  <c r="U1378" i="22"/>
  <c r="U1374" i="22"/>
  <c r="U1370" i="22"/>
  <c r="U1366" i="22"/>
  <c r="U1362" i="22"/>
  <c r="U1358" i="22"/>
  <c r="U1354" i="22"/>
  <c r="U1350" i="22"/>
  <c r="U1346" i="22"/>
  <c r="U1342" i="22"/>
  <c r="U1338" i="22"/>
  <c r="U1334" i="22"/>
  <c r="U1330" i="22"/>
  <c r="U1326" i="22"/>
  <c r="U1322" i="22"/>
  <c r="U1318" i="22"/>
  <c r="U1314" i="22"/>
  <c r="U1310" i="22"/>
  <c r="U1306" i="22"/>
  <c r="U1302" i="22"/>
  <c r="U1298" i="22"/>
  <c r="U1294" i="22"/>
  <c r="U1290" i="22"/>
  <c r="U1286" i="22"/>
  <c r="U1282" i="22"/>
  <c r="U1278" i="22"/>
  <c r="U1274" i="22"/>
  <c r="U1270" i="22"/>
  <c r="U1266" i="22"/>
  <c r="U1262" i="22"/>
  <c r="U1258" i="22"/>
  <c r="U1254" i="22"/>
  <c r="U1250" i="22"/>
  <c r="U1246" i="22"/>
  <c r="U1242" i="22"/>
  <c r="U1238" i="22"/>
  <c r="U1234" i="22"/>
  <c r="U1230" i="22"/>
  <c r="U1226" i="22"/>
  <c r="U1222" i="22"/>
  <c r="U1218" i="22"/>
  <c r="U1214" i="22"/>
  <c r="U1210" i="22"/>
  <c r="U1206" i="22"/>
  <c r="U1202" i="22"/>
  <c r="U1198" i="22"/>
  <c r="U1194" i="22"/>
  <c r="U1190" i="22"/>
  <c r="U1186" i="22"/>
  <c r="U1182" i="22"/>
  <c r="U1178" i="22"/>
  <c r="U1174" i="22"/>
  <c r="U1170" i="22"/>
  <c r="U1166" i="22"/>
  <c r="U1162" i="22"/>
  <c r="U1158" i="22"/>
  <c r="U1154" i="22"/>
  <c r="U1150" i="22"/>
  <c r="U1146" i="22"/>
  <c r="U1142" i="22"/>
  <c r="U1138" i="22"/>
  <c r="U1134" i="22"/>
  <c r="U1130" i="22"/>
  <c r="U1126" i="22"/>
  <c r="U1122" i="22"/>
  <c r="U1118" i="22"/>
  <c r="U1114" i="22"/>
  <c r="U1110" i="22"/>
  <c r="U1106" i="22"/>
  <c r="U1102" i="22"/>
  <c r="U1098" i="22"/>
  <c r="U1094" i="22"/>
  <c r="U1090" i="22"/>
  <c r="U1086" i="22"/>
  <c r="U1082" i="22"/>
  <c r="U1078" i="22"/>
  <c r="U1074" i="22"/>
  <c r="U1070" i="22"/>
  <c r="U1066" i="22"/>
  <c r="U1062" i="22"/>
  <c r="U1058" i="22"/>
  <c r="U1054" i="22"/>
  <c r="U1050" i="22"/>
  <c r="U1046" i="22"/>
  <c r="U1042" i="22"/>
  <c r="U1038" i="22"/>
  <c r="U1034" i="22"/>
  <c r="U1030" i="22"/>
  <c r="U1026" i="22"/>
  <c r="U1022" i="22"/>
  <c r="U1018" i="22"/>
  <c r="U1014" i="22"/>
  <c r="U1010" i="22"/>
  <c r="U1006" i="22"/>
  <c r="U1002" i="22"/>
  <c r="U998" i="22"/>
  <c r="U994" i="22"/>
  <c r="U990" i="22"/>
  <c r="U986" i="22"/>
  <c r="U982" i="22"/>
  <c r="U978" i="22"/>
  <c r="U974" i="22"/>
  <c r="U970" i="22"/>
  <c r="U966" i="22"/>
  <c r="U962" i="22"/>
  <c r="U958" i="22"/>
  <c r="U954" i="22"/>
  <c r="U950" i="22"/>
  <c r="U946" i="22"/>
  <c r="U942" i="22"/>
  <c r="U938" i="22"/>
  <c r="U934" i="22"/>
  <c r="U930" i="22"/>
  <c r="U926" i="22"/>
  <c r="U922" i="22"/>
  <c r="U918" i="22"/>
  <c r="U914" i="22"/>
  <c r="U910" i="22"/>
  <c r="U906" i="22"/>
  <c r="U902" i="22"/>
  <c r="U898" i="22"/>
  <c r="U894" i="22"/>
  <c r="U890" i="22"/>
  <c r="U886" i="22"/>
  <c r="U882" i="22"/>
  <c r="U878" i="22"/>
  <c r="U874" i="22"/>
  <c r="U870" i="22"/>
  <c r="U866" i="22"/>
  <c r="U862" i="22"/>
  <c r="U858" i="22"/>
  <c r="U854" i="22"/>
  <c r="U850" i="22"/>
  <c r="U846" i="22"/>
  <c r="U842" i="22"/>
  <c r="U838" i="22"/>
  <c r="U834" i="22"/>
  <c r="U830" i="22"/>
  <c r="U826" i="22"/>
  <c r="U822" i="22"/>
  <c r="U818" i="22"/>
  <c r="U814" i="22"/>
  <c r="U810" i="22"/>
  <c r="U806" i="22"/>
  <c r="U802" i="22"/>
  <c r="U798" i="22"/>
  <c r="U794" i="22"/>
  <c r="U790" i="22"/>
  <c r="U786" i="22"/>
  <c r="U782" i="22"/>
  <c r="U778" i="22"/>
  <c r="U774" i="22"/>
  <c r="U770" i="22"/>
  <c r="U766" i="22"/>
  <c r="U762" i="22"/>
  <c r="U758" i="22"/>
  <c r="U754" i="22"/>
  <c r="U750" i="22"/>
  <c r="U746" i="22"/>
  <c r="U742" i="22"/>
  <c r="U738" i="22"/>
  <c r="U734" i="22"/>
  <c r="U730" i="22"/>
  <c r="U726" i="22"/>
  <c r="U722" i="22"/>
  <c r="U718" i="22"/>
  <c r="U714" i="22"/>
  <c r="U710" i="22"/>
  <c r="U706" i="22"/>
  <c r="U702" i="22"/>
  <c r="U698" i="22"/>
  <c r="U694" i="22"/>
  <c r="U690" i="22"/>
  <c r="U686" i="22"/>
  <c r="U682" i="22"/>
  <c r="U678" i="22"/>
  <c r="U674" i="22"/>
  <c r="U670" i="22"/>
  <c r="U666" i="22"/>
  <c r="U662" i="22"/>
  <c r="U658" i="22"/>
  <c r="U654" i="22"/>
  <c r="U650" i="22"/>
  <c r="U646" i="22"/>
  <c r="U642" i="22"/>
  <c r="U638" i="22"/>
  <c r="U633" i="22"/>
  <c r="U630" i="22"/>
  <c r="U625" i="22"/>
  <c r="U622" i="22"/>
  <c r="U617" i="22"/>
  <c r="U614" i="22"/>
  <c r="U609" i="22"/>
  <c r="U606" i="22"/>
  <c r="U601" i="22"/>
  <c r="U598" i="22"/>
  <c r="U593" i="22"/>
  <c r="U590" i="22"/>
  <c r="U585" i="22"/>
  <c r="U582" i="22"/>
  <c r="U2" i="22"/>
  <c r="AG3" i="22"/>
  <c r="U47" i="22"/>
  <c r="U57" i="22"/>
  <c r="U67" i="22"/>
  <c r="U71" i="22"/>
  <c r="U75" i="22"/>
  <c r="U79" i="22"/>
  <c r="U83" i="22"/>
  <c r="U87" i="22"/>
  <c r="U91" i="22"/>
  <c r="U95" i="22"/>
  <c r="U99" i="22"/>
  <c r="U103" i="22"/>
  <c r="U107" i="22"/>
  <c r="U111" i="22"/>
  <c r="U115" i="22"/>
  <c r="U122" i="22"/>
  <c r="U130" i="22"/>
  <c r="U138" i="22"/>
  <c r="U146" i="22"/>
  <c r="U154" i="22"/>
  <c r="U162" i="22"/>
  <c r="U170" i="22"/>
  <c r="U178" i="22"/>
  <c r="U186" i="22"/>
  <c r="U194" i="22"/>
  <c r="U202" i="22"/>
  <c r="U210" i="22"/>
  <c r="U218" i="22"/>
  <c r="U226" i="22"/>
  <c r="U234" i="22"/>
  <c r="U242" i="22"/>
  <c r="U250" i="22"/>
  <c r="U258" i="22"/>
  <c r="U266" i="22"/>
  <c r="U274" i="22"/>
  <c r="U282" i="22"/>
  <c r="U290" i="22"/>
  <c r="U298" i="22"/>
  <c r="U306" i="22"/>
  <c r="U314" i="22"/>
  <c r="U322" i="22"/>
  <c r="U330" i="22"/>
  <c r="U338" i="22"/>
  <c r="U346" i="22"/>
  <c r="U354" i="22"/>
  <c r="U362" i="22"/>
  <c r="U382" i="22"/>
  <c r="U393" i="22"/>
  <c r="U414" i="22"/>
  <c r="U425" i="22"/>
  <c r="U446" i="22"/>
  <c r="U457" i="22"/>
  <c r="U478" i="22"/>
  <c r="U489" i="22"/>
  <c r="U510" i="22"/>
  <c r="U521" i="22"/>
  <c r="U542" i="22"/>
  <c r="U553" i="22"/>
  <c r="U574" i="22"/>
  <c r="U44" i="22"/>
  <c r="U48" i="22"/>
  <c r="U54" i="22"/>
  <c r="U58" i="22"/>
  <c r="U61" i="22"/>
  <c r="U63" i="22"/>
  <c r="U65" i="22"/>
  <c r="U68" i="22"/>
  <c r="U72" i="22"/>
  <c r="U76" i="22"/>
  <c r="U80" i="22"/>
  <c r="U84" i="22"/>
  <c r="U88" i="22"/>
  <c r="U92" i="22"/>
  <c r="U96" i="22"/>
  <c r="U100" i="22"/>
  <c r="U104" i="22"/>
  <c r="U108" i="22"/>
  <c r="U112" i="22"/>
  <c r="U116" i="22"/>
  <c r="U124" i="22"/>
  <c r="U132" i="22"/>
  <c r="U140" i="22"/>
  <c r="U148" i="22"/>
  <c r="U156" i="22"/>
  <c r="U164" i="22"/>
  <c r="U172" i="22"/>
  <c r="U180" i="22"/>
  <c r="U188" i="22"/>
  <c r="U196" i="22"/>
  <c r="U204" i="22"/>
  <c r="U212" i="22"/>
  <c r="U220" i="22"/>
  <c r="U228" i="22"/>
  <c r="U236" i="22"/>
  <c r="U244" i="22"/>
  <c r="U252" i="22"/>
  <c r="U260" i="22"/>
  <c r="U268" i="22"/>
  <c r="U276" i="22"/>
  <c r="U284" i="22"/>
  <c r="U292" i="22"/>
  <c r="U300" i="22"/>
  <c r="U308" i="22"/>
  <c r="U316" i="22"/>
  <c r="U324" i="22"/>
  <c r="U332" i="22"/>
  <c r="U340" i="22"/>
  <c r="U348" i="22"/>
  <c r="U356" i="22"/>
  <c r="U364" i="22"/>
  <c r="U374" i="22"/>
  <c r="U385" i="22"/>
  <c r="U406" i="22"/>
  <c r="U417" i="22"/>
  <c r="U438" i="22"/>
  <c r="U449" i="22"/>
  <c r="U470" i="22"/>
  <c r="U481" i="22"/>
  <c r="U502" i="22"/>
  <c r="U513" i="22"/>
  <c r="U534" i="22"/>
  <c r="U545" i="22"/>
  <c r="U566" i="22"/>
  <c r="U577" i="22"/>
  <c r="U7" i="22"/>
  <c r="U9" i="22"/>
  <c r="U11" i="22"/>
  <c r="U13" i="22"/>
  <c r="U15" i="22"/>
  <c r="U17" i="22"/>
  <c r="U45" i="22"/>
  <c r="U55" i="22"/>
  <c r="U59" i="22"/>
  <c r="U69" i="22"/>
  <c r="U73" i="22"/>
  <c r="U77" i="22"/>
  <c r="U81" i="22"/>
  <c r="U85" i="22"/>
  <c r="U89" i="22"/>
  <c r="U93" i="22"/>
  <c r="U97" i="22"/>
  <c r="U101" i="22"/>
  <c r="U105" i="22"/>
  <c r="U109" i="22"/>
  <c r="U113" i="22"/>
  <c r="U118" i="22"/>
  <c r="U126" i="22"/>
  <c r="U134" i="22"/>
  <c r="U142" i="22"/>
  <c r="U150" i="22"/>
  <c r="U158" i="22"/>
  <c r="U166" i="22"/>
  <c r="U174" i="22"/>
  <c r="U182" i="22"/>
  <c r="U190" i="22"/>
  <c r="U198" i="22"/>
  <c r="U206" i="22"/>
  <c r="U214" i="22"/>
  <c r="U222" i="22"/>
  <c r="U230" i="22"/>
  <c r="U238" i="22"/>
  <c r="U246" i="22"/>
  <c r="U254" i="22"/>
  <c r="U262" i="22"/>
  <c r="U270" i="22"/>
  <c r="U278" i="22"/>
  <c r="U286" i="22"/>
  <c r="U294" i="22"/>
  <c r="U302" i="22"/>
  <c r="U310" i="22"/>
  <c r="U318" i="22"/>
  <c r="U326" i="22"/>
  <c r="U334" i="22"/>
  <c r="U342" i="22"/>
  <c r="U350" i="22"/>
  <c r="U358" i="22"/>
  <c r="U366" i="22"/>
  <c r="U377" i="22"/>
  <c r="U398" i="22"/>
  <c r="U409" i="22"/>
  <c r="U430" i="22"/>
  <c r="U441" i="22"/>
  <c r="U462" i="22"/>
  <c r="U473" i="22"/>
  <c r="U494" i="22"/>
  <c r="U505" i="22"/>
  <c r="U526" i="22"/>
  <c r="U537" i="22"/>
  <c r="U558" i="22"/>
  <c r="U569" i="22"/>
  <c r="U3" i="22"/>
  <c r="U46" i="22"/>
  <c r="U56" i="22"/>
  <c r="U60" i="22"/>
  <c r="U62" i="22"/>
  <c r="U64" i="22"/>
  <c r="U66" i="22"/>
  <c r="U70" i="22"/>
  <c r="U74" i="22"/>
  <c r="U78" i="22"/>
  <c r="U82" i="22"/>
  <c r="U86" i="22"/>
  <c r="U90" i="22"/>
  <c r="U94" i="22"/>
  <c r="U98" i="22"/>
  <c r="U102" i="22"/>
  <c r="U106" i="22"/>
  <c r="U110" i="22"/>
  <c r="U114" i="22"/>
  <c r="U120" i="22"/>
  <c r="U128" i="22"/>
  <c r="U136" i="22"/>
  <c r="U144" i="22"/>
  <c r="U152" i="22"/>
  <c r="U160" i="22"/>
  <c r="U168" i="22"/>
  <c r="U176" i="22"/>
  <c r="U184" i="22"/>
  <c r="U192" i="22"/>
  <c r="U200" i="22"/>
  <c r="U208" i="22"/>
  <c r="U216" i="22"/>
  <c r="U224" i="22"/>
  <c r="U232" i="22"/>
  <c r="U240" i="22"/>
  <c r="U248" i="22"/>
  <c r="U256" i="22"/>
  <c r="U264" i="22"/>
  <c r="U272" i="22"/>
  <c r="U280" i="22"/>
  <c r="U288" i="22"/>
  <c r="U296" i="22"/>
  <c r="U304" i="22"/>
  <c r="U312" i="22"/>
  <c r="U320" i="22"/>
  <c r="U328" i="22"/>
  <c r="U336" i="22"/>
  <c r="U344" i="22"/>
  <c r="U352" i="22"/>
  <c r="U360" i="22"/>
  <c r="U369" i="22"/>
  <c r="U390" i="22"/>
  <c r="U401" i="22"/>
  <c r="U422" i="22"/>
  <c r="U433" i="22"/>
  <c r="U454" i="22"/>
  <c r="U465" i="22"/>
  <c r="U486" i="22"/>
  <c r="U497" i="22"/>
  <c r="U518" i="22"/>
  <c r="U529" i="22"/>
  <c r="U550" i="22"/>
  <c r="U561" i="22"/>
  <c r="AD16" i="25" l="1"/>
  <c r="AA16" i="25"/>
  <c r="AE16" i="25"/>
  <c r="AB7" i="25"/>
  <c r="H28" i="25"/>
  <c r="AE28" i="25" s="1"/>
  <c r="AE26" i="25"/>
  <c r="H6" i="25"/>
  <c r="AE6" i="25" s="1"/>
  <c r="AE7" i="25"/>
  <c r="AD26" i="25"/>
  <c r="AD7" i="25"/>
  <c r="AA7" i="25"/>
  <c r="AD12" i="25"/>
  <c r="AA13" i="25"/>
  <c r="AD10" i="25"/>
  <c r="AA10" i="25"/>
  <c r="AD13" i="25"/>
  <c r="AA12" i="25"/>
  <c r="AE10" i="25"/>
  <c r="AB10" i="25"/>
  <c r="R8" i="25"/>
  <c r="X19" i="25"/>
  <c r="X25" i="25" s="1"/>
  <c r="N28" i="25"/>
  <c r="U28" i="25"/>
  <c r="W29" i="25"/>
  <c r="B29" i="25"/>
  <c r="AA26" i="25"/>
  <c r="B6" i="25"/>
  <c r="AA6" i="25" s="1"/>
  <c r="C28" i="25"/>
  <c r="C6" i="25"/>
  <c r="AD6" i="25" s="1"/>
  <c r="Q6" i="25"/>
  <c r="AB6" i="25" s="1"/>
  <c r="AB29" i="25"/>
  <c r="AB26" i="25"/>
  <c r="S6" i="25"/>
  <c r="AC6" i="25" s="1"/>
  <c r="O8" i="25"/>
  <c r="H29" i="25"/>
  <c r="AE29" i="25" s="1"/>
  <c r="E8" i="25"/>
  <c r="H8" i="25"/>
  <c r="AE8" i="25" s="1"/>
  <c r="K8" i="25"/>
  <c r="B8" i="25"/>
  <c r="Q8" i="25"/>
  <c r="L8" i="25"/>
  <c r="C8" i="25"/>
  <c r="X28" i="25"/>
  <c r="P8" i="25"/>
  <c r="N8" i="25"/>
  <c r="W8" i="25"/>
  <c r="G8" i="25"/>
  <c r="M29" i="25"/>
  <c r="Q28" i="25"/>
  <c r="AB28" i="25" s="1"/>
  <c r="V28" i="25"/>
  <c r="F8" i="25"/>
  <c r="E28" i="25"/>
  <c r="G28" i="25"/>
  <c r="O29" i="25"/>
  <c r="T29" i="25"/>
  <c r="C29" i="25"/>
  <c r="J8" i="25"/>
  <c r="T8" i="25"/>
  <c r="L29" i="25"/>
  <c r="F28" i="25"/>
  <c r="C25" i="9"/>
  <c r="U8" i="25"/>
  <c r="B11" i="7"/>
  <c r="D19" i="25"/>
  <c r="D25" i="25" s="1"/>
  <c r="O19" i="25"/>
  <c r="O25" i="25" s="1"/>
  <c r="J19" i="25"/>
  <c r="J25" i="25" s="1"/>
  <c r="K29" i="25"/>
  <c r="S8" i="25"/>
  <c r="AC8" i="25" s="1"/>
  <c r="V8" i="25"/>
  <c r="Y26" i="25"/>
  <c r="Y28" i="25" s="1"/>
  <c r="B28" i="25"/>
  <c r="P29" i="25"/>
  <c r="T19" i="25"/>
  <c r="T25" i="25" s="1"/>
  <c r="K19" i="25"/>
  <c r="K25" i="25" s="1"/>
  <c r="B25" i="25"/>
  <c r="M19" i="25"/>
  <c r="M25" i="25" s="1"/>
  <c r="P19" i="25"/>
  <c r="P25" i="25" s="1"/>
  <c r="N19" i="25"/>
  <c r="N25" i="25" s="1"/>
  <c r="I19" i="25"/>
  <c r="I25" i="25" s="1"/>
  <c r="D8" i="25"/>
  <c r="L19" i="25"/>
  <c r="L25" i="25" s="1"/>
  <c r="W19" i="25"/>
  <c r="W25" i="25" s="1"/>
  <c r="G19" i="25"/>
  <c r="G25" i="25" s="1"/>
  <c r="V19" i="25"/>
  <c r="V25" i="25" s="1"/>
  <c r="F19" i="25"/>
  <c r="F25" i="25" s="1"/>
  <c r="U19" i="25"/>
  <c r="U25" i="25" s="1"/>
  <c r="E19" i="25"/>
  <c r="E25" i="25" s="1"/>
  <c r="H19" i="25"/>
  <c r="S19" i="25"/>
  <c r="AC19" i="25" s="1"/>
  <c r="C19" i="25"/>
  <c r="R19" i="25"/>
  <c r="R25" i="25" s="1"/>
  <c r="Q19" i="25"/>
  <c r="V518" i="22"/>
  <c r="V454" i="22"/>
  <c r="V390" i="22"/>
  <c r="V280" i="22"/>
  <c r="V152" i="22"/>
  <c r="V102" i="22"/>
  <c r="V398" i="22"/>
  <c r="V286" i="22"/>
  <c r="V190" i="22"/>
  <c r="V105" i="22"/>
  <c r="V45" i="22"/>
  <c r="V17" i="22"/>
  <c r="V513" i="22"/>
  <c r="V348" i="22"/>
  <c r="V104" i="22"/>
  <c r="V550" i="22"/>
  <c r="V486" i="22"/>
  <c r="V422" i="22"/>
  <c r="V360" i="22"/>
  <c r="V328" i="22"/>
  <c r="V296" i="22"/>
  <c r="V264" i="22"/>
  <c r="V232" i="22"/>
  <c r="V200" i="22"/>
  <c r="V168" i="22"/>
  <c r="V136" i="22"/>
  <c r="V110" i="22"/>
  <c r="V94" i="22"/>
  <c r="V78" i="22"/>
  <c r="V64" i="22"/>
  <c r="V46" i="22"/>
  <c r="V558" i="22"/>
  <c r="V494" i="22"/>
  <c r="V430" i="22"/>
  <c r="V366" i="22"/>
  <c r="V334" i="22"/>
  <c r="V302" i="22"/>
  <c r="V270" i="22"/>
  <c r="V238" i="22"/>
  <c r="V206" i="22"/>
  <c r="V174" i="22"/>
  <c r="V142" i="22"/>
  <c r="V113" i="22"/>
  <c r="V97" i="22"/>
  <c r="V81" i="22"/>
  <c r="V59" i="22"/>
  <c r="V13" i="22"/>
  <c r="V545" i="22"/>
  <c r="V481" i="22"/>
  <c r="V417" i="22"/>
  <c r="V364" i="22"/>
  <c r="V332" i="22"/>
  <c r="V300" i="22"/>
  <c r="V268" i="22"/>
  <c r="V236" i="22"/>
  <c r="V204" i="22"/>
  <c r="V172" i="22"/>
  <c r="V140" i="22"/>
  <c r="V112" i="22"/>
  <c r="V96" i="22"/>
  <c r="V80" i="22"/>
  <c r="V65" i="22"/>
  <c r="V54" i="22"/>
  <c r="V542" i="22"/>
  <c r="V478" i="22"/>
  <c r="V414" i="22"/>
  <c r="V354" i="22"/>
  <c r="V322" i="22"/>
  <c r="V290" i="22"/>
  <c r="V258" i="22"/>
  <c r="V226" i="22"/>
  <c r="V194" i="22"/>
  <c r="V162" i="22"/>
  <c r="V130" i="22"/>
  <c r="V107" i="22"/>
  <c r="V91" i="22"/>
  <c r="V75" i="22"/>
  <c r="V47" i="22"/>
  <c r="V590" i="22"/>
  <c r="V606" i="22"/>
  <c r="V622" i="22"/>
  <c r="V638" i="22"/>
  <c r="V654" i="22"/>
  <c r="V670" i="22"/>
  <c r="V686" i="22"/>
  <c r="V702" i="22"/>
  <c r="V718" i="22"/>
  <c r="V734" i="22"/>
  <c r="V750" i="22"/>
  <c r="V766" i="22"/>
  <c r="V782" i="22"/>
  <c r="V798" i="22"/>
  <c r="V814" i="22"/>
  <c r="V830" i="22"/>
  <c r="V846" i="22"/>
  <c r="V862" i="22"/>
  <c r="V878" i="22"/>
  <c r="V894" i="22"/>
  <c r="V910" i="22"/>
  <c r="V926" i="22"/>
  <c r="V942" i="22"/>
  <c r="V958" i="22"/>
  <c r="V974" i="22"/>
  <c r="V990" i="22"/>
  <c r="V1006" i="22"/>
  <c r="V1022" i="22"/>
  <c r="V1038" i="22"/>
  <c r="V1054" i="22"/>
  <c r="V1070" i="22"/>
  <c r="V1086" i="22"/>
  <c r="V1102" i="22"/>
  <c r="V1118" i="22"/>
  <c r="V1134" i="22"/>
  <c r="V1150" i="22"/>
  <c r="V1166" i="22"/>
  <c r="V1182" i="22"/>
  <c r="V1198" i="22"/>
  <c r="V1214" i="22"/>
  <c r="V1230" i="22"/>
  <c r="V1246" i="22"/>
  <c r="V1262" i="22"/>
  <c r="V1278" i="22"/>
  <c r="V1294" i="22"/>
  <c r="V1310" i="22"/>
  <c r="V1326" i="22"/>
  <c r="V1342" i="22"/>
  <c r="V1358" i="22"/>
  <c r="V1374" i="22"/>
  <c r="V1390" i="22"/>
  <c r="V1406" i="22"/>
  <c r="V1422" i="22"/>
  <c r="V1438" i="22"/>
  <c r="V1454" i="22"/>
  <c r="V1470" i="22"/>
  <c r="V1486" i="22"/>
  <c r="V1502" i="22"/>
  <c r="V1518" i="22"/>
  <c r="V1534" i="22"/>
  <c r="V1550" i="22"/>
  <c r="V1566" i="22"/>
  <c r="V1582" i="22"/>
  <c r="V1598" i="22"/>
  <c r="V1614" i="22"/>
  <c r="V1630" i="22"/>
  <c r="V1646" i="22"/>
  <c r="V1662" i="22"/>
  <c r="V1678" i="22"/>
  <c r="V1694" i="22"/>
  <c r="V1710" i="22"/>
  <c r="V1726" i="22"/>
  <c r="V12" i="22"/>
  <c r="V49" i="22"/>
  <c r="V372" i="22"/>
  <c r="V388" i="22"/>
  <c r="V404" i="22"/>
  <c r="V420" i="22"/>
  <c r="V436" i="22"/>
  <c r="V452" i="22"/>
  <c r="V468" i="22"/>
  <c r="V484" i="22"/>
  <c r="V500" i="22"/>
  <c r="V516" i="22"/>
  <c r="V532" i="22"/>
  <c r="V548" i="22"/>
  <c r="V564" i="22"/>
  <c r="V580" i="22"/>
  <c r="V596" i="22"/>
  <c r="V612" i="22"/>
  <c r="V628" i="22"/>
  <c r="V643" i="22"/>
  <c r="V659" i="22"/>
  <c r="V675" i="22"/>
  <c r="V691" i="22"/>
  <c r="V707" i="22"/>
  <c r="V723" i="22"/>
  <c r="V739" i="22"/>
  <c r="V755" i="22"/>
  <c r="V771" i="22"/>
  <c r="V787" i="22"/>
  <c r="V803" i="22"/>
  <c r="V819" i="22"/>
  <c r="V835" i="22"/>
  <c r="V851" i="22"/>
  <c r="V867" i="22"/>
  <c r="V883" i="22"/>
  <c r="V899" i="22"/>
  <c r="V915" i="22"/>
  <c r="V931" i="22"/>
  <c r="V947" i="22"/>
  <c r="V963" i="22"/>
  <c r="V979" i="22"/>
  <c r="V995" i="22"/>
  <c r="V1011" i="22"/>
  <c r="V1027" i="22"/>
  <c r="V1043" i="22"/>
  <c r="V1059" i="22"/>
  <c r="V1075" i="22"/>
  <c r="V1091" i="22"/>
  <c r="V1107" i="22"/>
  <c r="V1123" i="22"/>
  <c r="V1139" i="22"/>
  <c r="V1155" i="22"/>
  <c r="V1171" i="22"/>
  <c r="V1187" i="22"/>
  <c r="V1203" i="22"/>
  <c r="V1219" i="22"/>
  <c r="V1235" i="22"/>
  <c r="V1251" i="22"/>
  <c r="V1267" i="22"/>
  <c r="V1283" i="22"/>
  <c r="V1299" i="22"/>
  <c r="V1315" i="22"/>
  <c r="V1331" i="22"/>
  <c r="V1347" i="22"/>
  <c r="V1363" i="22"/>
  <c r="V1379" i="22"/>
  <c r="V1395" i="22"/>
  <c r="V1411" i="22"/>
  <c r="V1427" i="22"/>
  <c r="V1443" i="22"/>
  <c r="V1459" i="22"/>
  <c r="V1475" i="22"/>
  <c r="V1491" i="22"/>
  <c r="V1507" i="22"/>
  <c r="V1523" i="22"/>
  <c r="V1539" i="22"/>
  <c r="V1555" i="22"/>
  <c r="V1571" i="22"/>
  <c r="V1587" i="22"/>
  <c r="V1603" i="22"/>
  <c r="V1619" i="22"/>
  <c r="V1635" i="22"/>
  <c r="V1651" i="22"/>
  <c r="V1667" i="22"/>
  <c r="V1683" i="22"/>
  <c r="V1699" i="22"/>
  <c r="V1715" i="22"/>
  <c r="V1731" i="22"/>
  <c r="V123" i="22"/>
  <c r="V131" i="22"/>
  <c r="V139" i="22"/>
  <c r="V147" i="22"/>
  <c r="V155" i="22"/>
  <c r="V163" i="22"/>
  <c r="V171" i="22"/>
  <c r="V179" i="22"/>
  <c r="V187" i="22"/>
  <c r="V195" i="22"/>
  <c r="V203" i="22"/>
  <c r="V211" i="22"/>
  <c r="V219" i="22"/>
  <c r="V227" i="22"/>
  <c r="V235" i="22"/>
  <c r="V243" i="22"/>
  <c r="V251" i="22"/>
  <c r="V259" i="22"/>
  <c r="V267" i="22"/>
  <c r="V275" i="22"/>
  <c r="V283" i="22"/>
  <c r="V291" i="22"/>
  <c r="V299" i="22"/>
  <c r="V307" i="22"/>
  <c r="V315" i="22"/>
  <c r="V323" i="22"/>
  <c r="V331" i="22"/>
  <c r="V339" i="22"/>
  <c r="V347" i="22"/>
  <c r="V355" i="22"/>
  <c r="V363" i="22"/>
  <c r="V378" i="22"/>
  <c r="V394" i="22"/>
  <c r="V410" i="22"/>
  <c r="V426" i="22"/>
  <c r="V442" i="22"/>
  <c r="V458" i="22"/>
  <c r="V474" i="22"/>
  <c r="V490" i="22"/>
  <c r="V506" i="22"/>
  <c r="V522" i="22"/>
  <c r="V538" i="22"/>
  <c r="V554" i="22"/>
  <c r="V570" i="22"/>
  <c r="V586" i="22"/>
  <c r="V602" i="22"/>
  <c r="V618" i="22"/>
  <c r="V634" i="22"/>
  <c r="V648" i="22"/>
  <c r="V664" i="22"/>
  <c r="V680" i="22"/>
  <c r="V696" i="22"/>
  <c r="V712" i="22"/>
  <c r="V728" i="22"/>
  <c r="V744" i="22"/>
  <c r="V760" i="22"/>
  <c r="V776" i="22"/>
  <c r="V792" i="22"/>
  <c r="V808" i="22"/>
  <c r="V824" i="22"/>
  <c r="V840" i="22"/>
  <c r="V856" i="22"/>
  <c r="V872" i="22"/>
  <c r="V888" i="22"/>
  <c r="V904" i="22"/>
  <c r="V920" i="22"/>
  <c r="V936" i="22"/>
  <c r="V952" i="22"/>
  <c r="V968" i="22"/>
  <c r="V984" i="22"/>
  <c r="V1000" i="22"/>
  <c r="V1016" i="22"/>
  <c r="V1032" i="22"/>
  <c r="V1048" i="22"/>
  <c r="V1064" i="22"/>
  <c r="V1080" i="22"/>
  <c r="V1096" i="22"/>
  <c r="V1112" i="22"/>
  <c r="V1128" i="22"/>
  <c r="V1144" i="22"/>
  <c r="V1160" i="22"/>
  <c r="V1176" i="22"/>
  <c r="V1192" i="22"/>
  <c r="V1208" i="22"/>
  <c r="V1224" i="22"/>
  <c r="V1240" i="22"/>
  <c r="V1256" i="22"/>
  <c r="V1272" i="22"/>
  <c r="V1288" i="22"/>
  <c r="V1304" i="22"/>
  <c r="V1320" i="22"/>
  <c r="V1336" i="22"/>
  <c r="V1352" i="22"/>
  <c r="V1368" i="22"/>
  <c r="V1384" i="22"/>
  <c r="V1400" i="22"/>
  <c r="V1416" i="22"/>
  <c r="V1432" i="22"/>
  <c r="V1448" i="22"/>
  <c r="V1464" i="22"/>
  <c r="V1480" i="22"/>
  <c r="V1496" i="22"/>
  <c r="V1512" i="22"/>
  <c r="V1528" i="22"/>
  <c r="V1544" i="22"/>
  <c r="V1560" i="22"/>
  <c r="V1576" i="22"/>
  <c r="V1592" i="22"/>
  <c r="V1608" i="22"/>
  <c r="V1624" i="22"/>
  <c r="V1640" i="22"/>
  <c r="V1656" i="22"/>
  <c r="V1672" i="22"/>
  <c r="V1688" i="22"/>
  <c r="V1704" i="22"/>
  <c r="V1720" i="22"/>
  <c r="V4" i="22"/>
  <c r="V18" i="22"/>
  <c r="V22" i="22"/>
  <c r="V26" i="22"/>
  <c r="V30" i="22"/>
  <c r="V34" i="22"/>
  <c r="V38" i="22"/>
  <c r="V50" i="22"/>
  <c r="V376" i="22"/>
  <c r="V392" i="22"/>
  <c r="V408" i="22"/>
  <c r="V424" i="22"/>
  <c r="V440" i="22"/>
  <c r="V456" i="22"/>
  <c r="V472" i="22"/>
  <c r="V488" i="22"/>
  <c r="V504" i="22"/>
  <c r="V520" i="22"/>
  <c r="V536" i="22"/>
  <c r="V552" i="22"/>
  <c r="V568" i="22"/>
  <c r="V584" i="22"/>
  <c r="V600" i="22"/>
  <c r="V616" i="22"/>
  <c r="V632" i="22"/>
  <c r="V649" i="22"/>
  <c r="V665" i="22"/>
  <c r="V681" i="22"/>
  <c r="V697" i="22"/>
  <c r="V713" i="22"/>
  <c r="V729" i="22"/>
  <c r="V745" i="22"/>
  <c r="V761" i="22"/>
  <c r="V777" i="22"/>
  <c r="V793" i="22"/>
  <c r="V809" i="22"/>
  <c r="V825" i="22"/>
  <c r="V841" i="22"/>
  <c r="V857" i="22"/>
  <c r="V873" i="22"/>
  <c r="V889" i="22"/>
  <c r="V905" i="22"/>
  <c r="V921" i="22"/>
  <c r="V937" i="22"/>
  <c r="V953" i="22"/>
  <c r="V969" i="22"/>
  <c r="V985" i="22"/>
  <c r="V1001" i="22"/>
  <c r="V1017" i="22"/>
  <c r="V1033" i="22"/>
  <c r="V1049" i="22"/>
  <c r="V1065" i="22"/>
  <c r="V1081" i="22"/>
  <c r="V1097" i="22"/>
  <c r="V1113" i="22"/>
  <c r="V1129" i="22"/>
  <c r="V1145" i="22"/>
  <c r="V1161" i="22"/>
  <c r="V1177" i="22"/>
  <c r="V1193" i="22"/>
  <c r="V1209" i="22"/>
  <c r="V1225" i="22"/>
  <c r="V1241" i="22"/>
  <c r="V1257" i="22"/>
  <c r="V1273" i="22"/>
  <c r="V1289" i="22"/>
  <c r="V1305" i="22"/>
  <c r="V1321" i="22"/>
  <c r="V1337" i="22"/>
  <c r="V1353" i="22"/>
  <c r="V1369" i="22"/>
  <c r="V1385" i="22"/>
  <c r="V1401" i="22"/>
  <c r="V1417" i="22"/>
  <c r="V1433" i="22"/>
  <c r="V1449" i="22"/>
  <c r="V1465" i="22"/>
  <c r="V1481" i="22"/>
  <c r="V1497" i="22"/>
  <c r="V1513" i="22"/>
  <c r="V1529" i="22"/>
  <c r="V1545" i="22"/>
  <c r="V1561" i="22"/>
  <c r="V1577" i="22"/>
  <c r="V1593" i="22"/>
  <c r="V1609" i="22"/>
  <c r="V1625" i="22"/>
  <c r="V1641" i="22"/>
  <c r="V1657" i="22"/>
  <c r="V1673" i="22"/>
  <c r="V1689" i="22"/>
  <c r="V1705" i="22"/>
  <c r="V1721" i="22"/>
  <c r="V1751" i="22"/>
  <c r="V1767" i="22"/>
  <c r="V1783" i="22"/>
  <c r="V1799" i="22"/>
  <c r="V1815" i="22"/>
  <c r="V1831" i="22"/>
  <c r="V1847" i="22"/>
  <c r="V1863" i="22"/>
  <c r="V1879" i="22"/>
  <c r="V1895" i="22"/>
  <c r="V1911" i="22"/>
  <c r="V1927" i="22"/>
  <c r="V1943" i="22"/>
  <c r="V1959" i="22"/>
  <c r="V1975" i="22"/>
  <c r="V1991" i="22"/>
  <c r="V2007" i="22"/>
  <c r="V2023" i="22"/>
  <c r="V2039" i="22"/>
  <c r="V2055" i="22"/>
  <c r="V2071" i="22"/>
  <c r="V2085" i="22"/>
  <c r="V1738" i="22"/>
  <c r="V1749" i="22"/>
  <c r="V1765" i="22"/>
  <c r="V1781" i="22"/>
  <c r="V1797" i="22"/>
  <c r="V1813" i="22"/>
  <c r="V1829" i="22"/>
  <c r="V1845" i="22"/>
  <c r="V1861" i="22"/>
  <c r="V1877" i="22"/>
  <c r="V1893" i="22"/>
  <c r="V1909" i="22"/>
  <c r="V1925" i="22"/>
  <c r="V1941" i="22"/>
  <c r="V1957" i="22"/>
  <c r="V1973" i="22"/>
  <c r="V1989" i="22"/>
  <c r="V2005" i="22"/>
  <c r="V2021" i="22"/>
  <c r="V2037" i="22"/>
  <c r="V2053" i="22"/>
  <c r="V2069" i="22"/>
  <c r="V2086" i="22"/>
  <c r="V1755" i="22"/>
  <c r="V1771" i="22"/>
  <c r="V1787" i="22"/>
  <c r="V1803" i="22"/>
  <c r="V1819" i="22"/>
  <c r="V1835" i="22"/>
  <c r="V1851" i="22"/>
  <c r="V1867" i="22"/>
  <c r="V1883" i="22"/>
  <c r="V1899" i="22"/>
  <c r="V1915" i="22"/>
  <c r="V1931" i="22"/>
  <c r="V1947" i="22"/>
  <c r="V1963" i="22"/>
  <c r="V1979" i="22"/>
  <c r="V1995" i="22"/>
  <c r="V2011" i="22"/>
  <c r="V2027" i="22"/>
  <c r="V2043" i="22"/>
  <c r="V2059" i="22"/>
  <c r="V2075" i="22"/>
  <c r="V1735" i="22"/>
  <c r="V1743" i="22"/>
  <c r="V1756" i="22"/>
  <c r="V1772" i="22"/>
  <c r="V1788" i="22"/>
  <c r="V1804" i="22"/>
  <c r="V1820" i="22"/>
  <c r="V1836" i="22"/>
  <c r="V1852" i="22"/>
  <c r="V1868" i="22"/>
  <c r="V1884" i="22"/>
  <c r="V1900" i="22"/>
  <c r="V1916" i="22"/>
  <c r="V1932" i="22"/>
  <c r="V1948" i="22"/>
  <c r="V1964" i="22"/>
  <c r="V1980" i="22"/>
  <c r="V1996" i="22"/>
  <c r="V2012" i="22"/>
  <c r="V2028" i="22"/>
  <c r="V2044" i="22"/>
  <c r="V2060" i="22"/>
  <c r="V2076" i="22"/>
  <c r="V2098" i="22"/>
  <c r="V2114" i="22"/>
  <c r="V2130" i="22"/>
  <c r="V2146" i="22"/>
  <c r="V2162" i="22"/>
  <c r="V2178" i="22"/>
  <c r="V2194" i="22"/>
  <c r="V2210" i="22"/>
  <c r="V2226" i="22"/>
  <c r="V2242" i="22"/>
  <c r="V2258" i="22"/>
  <c r="V2274" i="22"/>
  <c r="V2290" i="22"/>
  <c r="V2306" i="22"/>
  <c r="V2322" i="22"/>
  <c r="V2338" i="22"/>
  <c r="V2354" i="22"/>
  <c r="V2370" i="22"/>
  <c r="V2386" i="22"/>
  <c r="V2402" i="22"/>
  <c r="V2418" i="22"/>
  <c r="V2434" i="22"/>
  <c r="V2450" i="22"/>
  <c r="V2466" i="22"/>
  <c r="V2482" i="22"/>
  <c r="V2498" i="22"/>
  <c r="V2514" i="22"/>
  <c r="V2530" i="22"/>
  <c r="V2546" i="22"/>
  <c r="V2562" i="22"/>
  <c r="V2578" i="22"/>
  <c r="V2594" i="22"/>
  <c r="V2610" i="22"/>
  <c r="V2626" i="22"/>
  <c r="V2642" i="22"/>
  <c r="V2658" i="22"/>
  <c r="V2674" i="22"/>
  <c r="V2690" i="22"/>
  <c r="V2706" i="22"/>
  <c r="V2722" i="22"/>
  <c r="V2738" i="22"/>
  <c r="V2754" i="22"/>
  <c r="V2770" i="22"/>
  <c r="V2786" i="22"/>
  <c r="V2802" i="22"/>
  <c r="V2818" i="22"/>
  <c r="V2834" i="22"/>
  <c r="V2850" i="22"/>
  <c r="V2866" i="22"/>
  <c r="V2882" i="22"/>
  <c r="V2898" i="22"/>
  <c r="V2914" i="22"/>
  <c r="V2930" i="22"/>
  <c r="V2946" i="22"/>
  <c r="V2964" i="22"/>
  <c r="V2996" i="22"/>
  <c r="V3039" i="22"/>
  <c r="V2096" i="22"/>
  <c r="V2112" i="22"/>
  <c r="V2128" i="22"/>
  <c r="V2144" i="22"/>
  <c r="V2160" i="22"/>
  <c r="V2176" i="22"/>
  <c r="V2192" i="22"/>
  <c r="V2208" i="22"/>
  <c r="V2224" i="22"/>
  <c r="V2240" i="22"/>
  <c r="V2256" i="22"/>
  <c r="V2272" i="22"/>
  <c r="V2288" i="22"/>
  <c r="V2304" i="22"/>
  <c r="V2320" i="22"/>
  <c r="V2336" i="22"/>
  <c r="V2352" i="22"/>
  <c r="V2368" i="22"/>
  <c r="V2384" i="22"/>
  <c r="V2400" i="22"/>
  <c r="V2416" i="22"/>
  <c r="V2432" i="22"/>
  <c r="V2448" i="22"/>
  <c r="V2464" i="22"/>
  <c r="V2480" i="22"/>
  <c r="V2496" i="22"/>
  <c r="V2512" i="22"/>
  <c r="V2528" i="22"/>
  <c r="V2544" i="22"/>
  <c r="V2560" i="22"/>
  <c r="V2576" i="22"/>
  <c r="V2592" i="22"/>
  <c r="V2608" i="22"/>
  <c r="V2624" i="22"/>
  <c r="V2640" i="22"/>
  <c r="V2656" i="22"/>
  <c r="V2672" i="22"/>
  <c r="V2688" i="22"/>
  <c r="V2704" i="22"/>
  <c r="V2720" i="22"/>
  <c r="V2736" i="22"/>
  <c r="V2752" i="22"/>
  <c r="V2768" i="22"/>
  <c r="V2784" i="22"/>
  <c r="V2800" i="22"/>
  <c r="V2816" i="22"/>
  <c r="V2832" i="22"/>
  <c r="V2848" i="22"/>
  <c r="V2864" i="22"/>
  <c r="V2880" i="22"/>
  <c r="V2896" i="22"/>
  <c r="V2912" i="22"/>
  <c r="V2928" i="22"/>
  <c r="V2944" i="22"/>
  <c r="V2986" i="22"/>
  <c r="V3031" i="22"/>
  <c r="V2091" i="22"/>
  <c r="V2107" i="22"/>
  <c r="V2123" i="22"/>
  <c r="V2139" i="22"/>
  <c r="V2155" i="22"/>
  <c r="V2171" i="22"/>
  <c r="V2187" i="22"/>
  <c r="V2203" i="22"/>
  <c r="V2219" i="22"/>
  <c r="V2235" i="22"/>
  <c r="V2251" i="22"/>
  <c r="V2267" i="22"/>
  <c r="V2283" i="22"/>
  <c r="V2299" i="22"/>
  <c r="V2315" i="22"/>
  <c r="V2331" i="22"/>
  <c r="V2347" i="22"/>
  <c r="V2363" i="22"/>
  <c r="V2379" i="22"/>
  <c r="V2395" i="22"/>
  <c r="V2411" i="22"/>
  <c r="V2427" i="22"/>
  <c r="V2443" i="22"/>
  <c r="V2459" i="22"/>
  <c r="V2475" i="22"/>
  <c r="V2491" i="22"/>
  <c r="V2507" i="22"/>
  <c r="V2523" i="22"/>
  <c r="V2539" i="22"/>
  <c r="V2555" i="22"/>
  <c r="V2571" i="22"/>
  <c r="V2587" i="22"/>
  <c r="V2603" i="22"/>
  <c r="V2619" i="22"/>
  <c r="V2635" i="22"/>
  <c r="V2651" i="22"/>
  <c r="V2667" i="22"/>
  <c r="V2683" i="22"/>
  <c r="V2699" i="22"/>
  <c r="V2715" i="22"/>
  <c r="V2731" i="22"/>
  <c r="V2747" i="22"/>
  <c r="V2763" i="22"/>
  <c r="V2779" i="22"/>
  <c r="V2795" i="22"/>
  <c r="V2811" i="22"/>
  <c r="V2827" i="22"/>
  <c r="V2843" i="22"/>
  <c r="V2859" i="22"/>
  <c r="V2875" i="22"/>
  <c r="V2891" i="22"/>
  <c r="V2907" i="22"/>
  <c r="V2923" i="22"/>
  <c r="V2939" i="22"/>
  <c r="V2954" i="22"/>
  <c r="V2977" i="22"/>
  <c r="V3009" i="22"/>
  <c r="V3066" i="22"/>
  <c r="V2092" i="22"/>
  <c r="V2108" i="22"/>
  <c r="V2124" i="22"/>
  <c r="V2140" i="22"/>
  <c r="V2156" i="22"/>
  <c r="V2172" i="22"/>
  <c r="V2188" i="22"/>
  <c r="V2204" i="22"/>
  <c r="V2220" i="22"/>
  <c r="V2236" i="22"/>
  <c r="V2252" i="22"/>
  <c r="V2268" i="22"/>
  <c r="V2284" i="22"/>
  <c r="V2300" i="22"/>
  <c r="V2316" i="22"/>
  <c r="V2332" i="22"/>
  <c r="V2348" i="22"/>
  <c r="V2364" i="22"/>
  <c r="V2380" i="22"/>
  <c r="V2396" i="22"/>
  <c r="V2412" i="22"/>
  <c r="V2428" i="22"/>
  <c r="V2444" i="22"/>
  <c r="V2460" i="22"/>
  <c r="V2476" i="22"/>
  <c r="V2492" i="22"/>
  <c r="V2508" i="22"/>
  <c r="V2524" i="22"/>
  <c r="V2540" i="22"/>
  <c r="V2556" i="22"/>
  <c r="V2572" i="22"/>
  <c r="V2588" i="22"/>
  <c r="V2604" i="22"/>
  <c r="V2620" i="22"/>
  <c r="V2636" i="22"/>
  <c r="V2652" i="22"/>
  <c r="V2668" i="22"/>
  <c r="V2684" i="22"/>
  <c r="V2700" i="22"/>
  <c r="V2716" i="22"/>
  <c r="V2732" i="22"/>
  <c r="V2748" i="22"/>
  <c r="V2764" i="22"/>
  <c r="V2780" i="22"/>
  <c r="V2796" i="22"/>
  <c r="V2812" i="22"/>
  <c r="V2828" i="22"/>
  <c r="V2844" i="22"/>
  <c r="V2860" i="22"/>
  <c r="V2876" i="22"/>
  <c r="V2892" i="22"/>
  <c r="V2908" i="22"/>
  <c r="V2924" i="22"/>
  <c r="V2940" i="22"/>
  <c r="V2978" i="22"/>
  <c r="V3010" i="22"/>
  <c r="V3058" i="22"/>
  <c r="V3149" i="22"/>
  <c r="V3213" i="22"/>
  <c r="V3277" i="22"/>
  <c r="V3341" i="22"/>
  <c r="V3405" i="22"/>
  <c r="V3469" i="22"/>
  <c r="V2953" i="22"/>
  <c r="V2961" i="22"/>
  <c r="V2973" i="22"/>
  <c r="V2989" i="22"/>
  <c r="V3005" i="22"/>
  <c r="V3021" i="22"/>
  <c r="V3037" i="22"/>
  <c r="V3053" i="22"/>
  <c r="V3069" i="22"/>
  <c r="V3169" i="22"/>
  <c r="V3233" i="22"/>
  <c r="V3297" i="22"/>
  <c r="V3361" i="22"/>
  <c r="V3425" i="22"/>
  <c r="V3489" i="22"/>
  <c r="V2974" i="22"/>
  <c r="V2990" i="22"/>
  <c r="V3006" i="22"/>
  <c r="V3022" i="22"/>
  <c r="V3038" i="22"/>
  <c r="V3054" i="22"/>
  <c r="V3070" i="22"/>
  <c r="V3125" i="22"/>
  <c r="V3189" i="22"/>
  <c r="V3253" i="22"/>
  <c r="V3317" i="22"/>
  <c r="V3381" i="22"/>
  <c r="V3445" i="22"/>
  <c r="V3509" i="22"/>
  <c r="V3028" i="22"/>
  <c r="V3044" i="22"/>
  <c r="V3060" i="22"/>
  <c r="V3129" i="22"/>
  <c r="V3193" i="22"/>
  <c r="V3257" i="22"/>
  <c r="V3321" i="22"/>
  <c r="V3385" i="22"/>
  <c r="V3449" i="22"/>
  <c r="V3513" i="22"/>
  <c r="V3529" i="22"/>
  <c r="V3545" i="22"/>
  <c r="V3561" i="22"/>
  <c r="V3577" i="22"/>
  <c r="V3593" i="22"/>
  <c r="V3609" i="22"/>
  <c r="V3625" i="22"/>
  <c r="V3641" i="22"/>
  <c r="V3657" i="22"/>
  <c r="V3673" i="22"/>
  <c r="V3689" i="22"/>
  <c r="V3705" i="22"/>
  <c r="V3721" i="22"/>
  <c r="V3737" i="22"/>
  <c r="V3753" i="22"/>
  <c r="V3769" i="22"/>
  <c r="V3785" i="22"/>
  <c r="V3801" i="22"/>
  <c r="V3817" i="22"/>
  <c r="V3833" i="22"/>
  <c r="V3849" i="22"/>
  <c r="V3865" i="22"/>
  <c r="V3881" i="22"/>
  <c r="V3897" i="22"/>
  <c r="V3913" i="22"/>
  <c r="V3929" i="22"/>
  <c r="V3945" i="22"/>
  <c r="V3961" i="22"/>
  <c r="V3085" i="22"/>
  <c r="V3093" i="22"/>
  <c r="V3101" i="22"/>
  <c r="V3109" i="22"/>
  <c r="V3122" i="22"/>
  <c r="V3138" i="22"/>
  <c r="V3154" i="22"/>
  <c r="V3170" i="22"/>
  <c r="V3186" i="22"/>
  <c r="V3202" i="22"/>
  <c r="V3218" i="22"/>
  <c r="V3234" i="22"/>
  <c r="V3250" i="22"/>
  <c r="V3266" i="22"/>
  <c r="V3282" i="22"/>
  <c r="V3298" i="22"/>
  <c r="V3314" i="22"/>
  <c r="V3330" i="22"/>
  <c r="V3346" i="22"/>
  <c r="V3362" i="22"/>
  <c r="V3378" i="22"/>
  <c r="V3394" i="22"/>
  <c r="V3410" i="22"/>
  <c r="V3426" i="22"/>
  <c r="V3442" i="22"/>
  <c r="V3458" i="22"/>
  <c r="V3474" i="22"/>
  <c r="V3490" i="22"/>
  <c r="V3506" i="22"/>
  <c r="V3522" i="22"/>
  <c r="V3538" i="22"/>
  <c r="V3554" i="22"/>
  <c r="V3570" i="22"/>
  <c r="V3586" i="22"/>
  <c r="V3602" i="22"/>
  <c r="V3618" i="22"/>
  <c r="V3634" i="22"/>
  <c r="V3650" i="22"/>
  <c r="V3666" i="22"/>
  <c r="V3682" i="22"/>
  <c r="V3698" i="22"/>
  <c r="V3714" i="22"/>
  <c r="V3730" i="22"/>
  <c r="V3746" i="22"/>
  <c r="V3762" i="22"/>
  <c r="V3778" i="22"/>
  <c r="V3794" i="22"/>
  <c r="V3810" i="22"/>
  <c r="V3826" i="22"/>
  <c r="V3842" i="22"/>
  <c r="V3858" i="22"/>
  <c r="V3874" i="22"/>
  <c r="V3890" i="22"/>
  <c r="V3906" i="22"/>
  <c r="V3922" i="22"/>
  <c r="V3938" i="22"/>
  <c r="V3954" i="22"/>
  <c r="V3970" i="22"/>
  <c r="V3123" i="22"/>
  <c r="V3139" i="22"/>
  <c r="V3155" i="22"/>
  <c r="V3171" i="22"/>
  <c r="V3187" i="22"/>
  <c r="V3203" i="22"/>
  <c r="V3219" i="22"/>
  <c r="V3235" i="22"/>
  <c r="V3251" i="22"/>
  <c r="V3267" i="22"/>
  <c r="V3283" i="22"/>
  <c r="V3299" i="22"/>
  <c r="V3315" i="22"/>
  <c r="V3331" i="22"/>
  <c r="V3347" i="22"/>
  <c r="V3363" i="22"/>
  <c r="V3379" i="22"/>
  <c r="V3395" i="22"/>
  <c r="V3411" i="22"/>
  <c r="V3427" i="22"/>
  <c r="V3443" i="22"/>
  <c r="V3459" i="22"/>
  <c r="V3475" i="22"/>
  <c r="V3491" i="22"/>
  <c r="V3507" i="22"/>
  <c r="V3523" i="22"/>
  <c r="V3539" i="22"/>
  <c r="V3555" i="22"/>
  <c r="V3571" i="22"/>
  <c r="V3587" i="22"/>
  <c r="V3603" i="22"/>
  <c r="V3619" i="22"/>
  <c r="V3635" i="22"/>
  <c r="V3651" i="22"/>
  <c r="V3667" i="22"/>
  <c r="V3683" i="22"/>
  <c r="V3699" i="22"/>
  <c r="V3715" i="22"/>
  <c r="V3731" i="22"/>
  <c r="V3747" i="22"/>
  <c r="V3763" i="22"/>
  <c r="V3779" i="22"/>
  <c r="V3795" i="22"/>
  <c r="V3811" i="22"/>
  <c r="V3827" i="22"/>
  <c r="V3843" i="22"/>
  <c r="V3859" i="22"/>
  <c r="V3875" i="22"/>
  <c r="V3891" i="22"/>
  <c r="V3907" i="22"/>
  <c r="V3923" i="22"/>
  <c r="V3939" i="22"/>
  <c r="V3955" i="22"/>
  <c r="V3971" i="22"/>
  <c r="V3076" i="22"/>
  <c r="V3084" i="22"/>
  <c r="V3092" i="22"/>
  <c r="V3100" i="22"/>
  <c r="V3108" i="22"/>
  <c r="V3120" i="22"/>
  <c r="V3136" i="22"/>
  <c r="V3152" i="22"/>
  <c r="V3168" i="22"/>
  <c r="V3184" i="22"/>
  <c r="V3200" i="22"/>
  <c r="V3216" i="22"/>
  <c r="V3232" i="22"/>
  <c r="V3248" i="22"/>
  <c r="V3264" i="22"/>
  <c r="V3280" i="22"/>
  <c r="V3296" i="22"/>
  <c r="V3312" i="22"/>
  <c r="V3328" i="22"/>
  <c r="V3344" i="22"/>
  <c r="V3360" i="22"/>
  <c r="V3376" i="22"/>
  <c r="V3392" i="22"/>
  <c r="V3408" i="22"/>
  <c r="V3424" i="22"/>
  <c r="V3440" i="22"/>
  <c r="V3456" i="22"/>
  <c r="V3472" i="22"/>
  <c r="V3488" i="22"/>
  <c r="V3504" i="22"/>
  <c r="V3520" i="22"/>
  <c r="V3536" i="22"/>
  <c r="V3552" i="22"/>
  <c r="V3568" i="22"/>
  <c r="V3584" i="22"/>
  <c r="V3600" i="22"/>
  <c r="V3616" i="22"/>
  <c r="V3632" i="22"/>
  <c r="V3648" i="22"/>
  <c r="V3664" i="22"/>
  <c r="V3680" i="22"/>
  <c r="V3696" i="22"/>
  <c r="V3712" i="22"/>
  <c r="V3728" i="22"/>
  <c r="V3744" i="22"/>
  <c r="V3760" i="22"/>
  <c r="V3776" i="22"/>
  <c r="V3792" i="22"/>
  <c r="V3808" i="22"/>
  <c r="V3824" i="22"/>
  <c r="V3840" i="22"/>
  <c r="V3856" i="22"/>
  <c r="V3872" i="22"/>
  <c r="V3888" i="22"/>
  <c r="V3904" i="22"/>
  <c r="V3920" i="22"/>
  <c r="V3936" i="22"/>
  <c r="V3952" i="22"/>
  <c r="V3968" i="22"/>
  <c r="V344" i="22"/>
  <c r="V216" i="22"/>
  <c r="V70" i="22"/>
  <c r="V529" i="22"/>
  <c r="V465" i="22"/>
  <c r="V401" i="22"/>
  <c r="V352" i="22"/>
  <c r="V320" i="22"/>
  <c r="V288" i="22"/>
  <c r="V256" i="22"/>
  <c r="V224" i="22"/>
  <c r="V192" i="22"/>
  <c r="V160" i="22"/>
  <c r="V128" i="22"/>
  <c r="V106" i="22"/>
  <c r="V90" i="22"/>
  <c r="V74" i="22"/>
  <c r="V62" i="22"/>
  <c r="V3" i="22"/>
  <c r="V537" i="22"/>
  <c r="V473" i="22"/>
  <c r="V409" i="22"/>
  <c r="V358" i="22"/>
  <c r="V326" i="22"/>
  <c r="V294" i="22"/>
  <c r="V262" i="22"/>
  <c r="V230" i="22"/>
  <c r="V198" i="22"/>
  <c r="V166" i="22"/>
  <c r="V134" i="22"/>
  <c r="V109" i="22"/>
  <c r="V93" i="22"/>
  <c r="V77" i="22"/>
  <c r="V55" i="22"/>
  <c r="V11" i="22"/>
  <c r="V534" i="22"/>
  <c r="V470" i="22"/>
  <c r="V406" i="22"/>
  <c r="V356" i="22"/>
  <c r="V324" i="22"/>
  <c r="V292" i="22"/>
  <c r="V260" i="22"/>
  <c r="V228" i="22"/>
  <c r="V196" i="22"/>
  <c r="V164" i="22"/>
  <c r="V132" i="22"/>
  <c r="V108" i="22"/>
  <c r="V92" i="22"/>
  <c r="V76" i="22"/>
  <c r="V63" i="22"/>
  <c r="V48" i="22"/>
  <c r="V521" i="22"/>
  <c r="V457" i="22"/>
  <c r="V393" i="22"/>
  <c r="V346" i="22"/>
  <c r="V314" i="22"/>
  <c r="V282" i="22"/>
  <c r="V250" i="22"/>
  <c r="V218" i="22"/>
  <c r="V186" i="22"/>
  <c r="V154" i="22"/>
  <c r="V122" i="22"/>
  <c r="V103" i="22"/>
  <c r="V87" i="22"/>
  <c r="V71" i="22"/>
  <c r="AH3" i="22"/>
  <c r="V593" i="22"/>
  <c r="V609" i="22"/>
  <c r="V625" i="22"/>
  <c r="V642" i="22"/>
  <c r="V658" i="22"/>
  <c r="V674" i="22"/>
  <c r="V690" i="22"/>
  <c r="V706" i="22"/>
  <c r="V722" i="22"/>
  <c r="V738" i="22"/>
  <c r="V754" i="22"/>
  <c r="V770" i="22"/>
  <c r="V786" i="22"/>
  <c r="V802" i="22"/>
  <c r="V818" i="22"/>
  <c r="V834" i="22"/>
  <c r="V850" i="22"/>
  <c r="V866" i="22"/>
  <c r="V882" i="22"/>
  <c r="V898" i="22"/>
  <c r="V914" i="22"/>
  <c r="V930" i="22"/>
  <c r="V946" i="22"/>
  <c r="V962" i="22"/>
  <c r="V978" i="22"/>
  <c r="V994" i="22"/>
  <c r="V1010" i="22"/>
  <c r="V1026" i="22"/>
  <c r="V1042" i="22"/>
  <c r="V1058" i="22"/>
  <c r="V1074" i="22"/>
  <c r="V1090" i="22"/>
  <c r="V1106" i="22"/>
  <c r="V1122" i="22"/>
  <c r="V1138" i="22"/>
  <c r="V1154" i="22"/>
  <c r="V1170" i="22"/>
  <c r="V1186" i="22"/>
  <c r="V1202" i="22"/>
  <c r="V1218" i="22"/>
  <c r="V1234" i="22"/>
  <c r="V1250" i="22"/>
  <c r="V1266" i="22"/>
  <c r="V1282" i="22"/>
  <c r="V1298" i="22"/>
  <c r="V1314" i="22"/>
  <c r="V1330" i="22"/>
  <c r="V1346" i="22"/>
  <c r="V1362" i="22"/>
  <c r="V1378" i="22"/>
  <c r="V1394" i="22"/>
  <c r="V1410" i="22"/>
  <c r="V1426" i="22"/>
  <c r="V1442" i="22"/>
  <c r="V1458" i="22"/>
  <c r="V1474" i="22"/>
  <c r="V1490" i="22"/>
  <c r="V1506" i="22"/>
  <c r="V1522" i="22"/>
  <c r="V1538" i="22"/>
  <c r="V1554" i="22"/>
  <c r="V1570" i="22"/>
  <c r="V1586" i="22"/>
  <c r="V1602" i="22"/>
  <c r="V1618" i="22"/>
  <c r="V1634" i="22"/>
  <c r="V1650" i="22"/>
  <c r="V1666" i="22"/>
  <c r="V1682" i="22"/>
  <c r="V1698" i="22"/>
  <c r="V1714" i="22"/>
  <c r="V1730" i="22"/>
  <c r="V16" i="22"/>
  <c r="V51" i="22"/>
  <c r="V375" i="22"/>
  <c r="V391" i="22"/>
  <c r="V407" i="22"/>
  <c r="V423" i="22"/>
  <c r="V439" i="22"/>
  <c r="V455" i="22"/>
  <c r="V471" i="22"/>
  <c r="V487" i="22"/>
  <c r="V503" i="22"/>
  <c r="V519" i="22"/>
  <c r="V535" i="22"/>
  <c r="V551" i="22"/>
  <c r="V567" i="22"/>
  <c r="V583" i="22"/>
  <c r="V599" i="22"/>
  <c r="V615" i="22"/>
  <c r="V631" i="22"/>
  <c r="V647" i="22"/>
  <c r="V663" i="22"/>
  <c r="V679" i="22"/>
  <c r="V695" i="22"/>
  <c r="V711" i="22"/>
  <c r="V727" i="22"/>
  <c r="V743" i="22"/>
  <c r="V759" i="22"/>
  <c r="V775" i="22"/>
  <c r="V791" i="22"/>
  <c r="V807" i="22"/>
  <c r="V823" i="22"/>
  <c r="V839" i="22"/>
  <c r="V855" i="22"/>
  <c r="V871" i="22"/>
  <c r="V887" i="22"/>
  <c r="V903" i="22"/>
  <c r="V919" i="22"/>
  <c r="V935" i="22"/>
  <c r="V951" i="22"/>
  <c r="V967" i="22"/>
  <c r="V983" i="22"/>
  <c r="V999" i="22"/>
  <c r="V1015" i="22"/>
  <c r="V1031" i="22"/>
  <c r="V1047" i="22"/>
  <c r="V1063" i="22"/>
  <c r="V1079" i="22"/>
  <c r="V1095" i="22"/>
  <c r="V1111" i="22"/>
  <c r="V1127" i="22"/>
  <c r="V1143" i="22"/>
  <c r="V1159" i="22"/>
  <c r="V1175" i="22"/>
  <c r="V1191" i="22"/>
  <c r="V1207" i="22"/>
  <c r="V1223" i="22"/>
  <c r="V1239" i="22"/>
  <c r="V1255" i="22"/>
  <c r="V1271" i="22"/>
  <c r="V1287" i="22"/>
  <c r="V1303" i="22"/>
  <c r="V1319" i="22"/>
  <c r="V1335" i="22"/>
  <c r="V1351" i="22"/>
  <c r="V1367" i="22"/>
  <c r="V1383" i="22"/>
  <c r="V1399" i="22"/>
  <c r="V1415" i="22"/>
  <c r="V1431" i="22"/>
  <c r="V1447" i="22"/>
  <c r="V1463" i="22"/>
  <c r="V1479" i="22"/>
  <c r="V1495" i="22"/>
  <c r="V1511" i="22"/>
  <c r="V1527" i="22"/>
  <c r="V1543" i="22"/>
  <c r="V1559" i="22"/>
  <c r="V1575" i="22"/>
  <c r="V1591" i="22"/>
  <c r="V1607" i="22"/>
  <c r="V1623" i="22"/>
  <c r="V1639" i="22"/>
  <c r="V1655" i="22"/>
  <c r="V1671" i="22"/>
  <c r="V1687" i="22"/>
  <c r="V1703" i="22"/>
  <c r="V1719" i="22"/>
  <c r="V117" i="22"/>
  <c r="V125" i="22"/>
  <c r="V133" i="22"/>
  <c r="V141" i="22"/>
  <c r="V149" i="22"/>
  <c r="V157" i="22"/>
  <c r="V165" i="22"/>
  <c r="V173" i="22"/>
  <c r="V181" i="22"/>
  <c r="V189" i="22"/>
  <c r="V197" i="22"/>
  <c r="V205" i="22"/>
  <c r="V213" i="22"/>
  <c r="V221" i="22"/>
  <c r="V229" i="22"/>
  <c r="V237" i="22"/>
  <c r="V245" i="22"/>
  <c r="V253" i="22"/>
  <c r="V261" i="22"/>
  <c r="V269" i="22"/>
  <c r="V277" i="22"/>
  <c r="V285" i="22"/>
  <c r="V293" i="22"/>
  <c r="V301" i="22"/>
  <c r="V309" i="22"/>
  <c r="V317" i="22"/>
  <c r="V325" i="22"/>
  <c r="V333" i="22"/>
  <c r="V341" i="22"/>
  <c r="V349" i="22"/>
  <c r="V357" i="22"/>
  <c r="V365" i="22"/>
  <c r="V381" i="22"/>
  <c r="V397" i="22"/>
  <c r="V413" i="22"/>
  <c r="V429" i="22"/>
  <c r="V445" i="22"/>
  <c r="V461" i="22"/>
  <c r="V477" i="22"/>
  <c r="V493" i="22"/>
  <c r="V509" i="22"/>
  <c r="V525" i="22"/>
  <c r="V541" i="22"/>
  <c r="V557" i="22"/>
  <c r="V573" i="22"/>
  <c r="V589" i="22"/>
  <c r="V605" i="22"/>
  <c r="V621" i="22"/>
  <c r="V637" i="22"/>
  <c r="V652" i="22"/>
  <c r="V668" i="22"/>
  <c r="V684" i="22"/>
  <c r="V700" i="22"/>
  <c r="V716" i="22"/>
  <c r="V732" i="22"/>
  <c r="V748" i="22"/>
  <c r="V764" i="22"/>
  <c r="V780" i="22"/>
  <c r="V796" i="22"/>
  <c r="V812" i="22"/>
  <c r="V828" i="22"/>
  <c r="V844" i="22"/>
  <c r="V860" i="22"/>
  <c r="V876" i="22"/>
  <c r="V892" i="22"/>
  <c r="V908" i="22"/>
  <c r="V924" i="22"/>
  <c r="V940" i="22"/>
  <c r="V956" i="22"/>
  <c r="V972" i="22"/>
  <c r="V988" i="22"/>
  <c r="V1004" i="22"/>
  <c r="V1020" i="22"/>
  <c r="V1036" i="22"/>
  <c r="V1052" i="22"/>
  <c r="V1068" i="22"/>
  <c r="V1084" i="22"/>
  <c r="V1100" i="22"/>
  <c r="V1116" i="22"/>
  <c r="V1132" i="22"/>
  <c r="V1148" i="22"/>
  <c r="V1164" i="22"/>
  <c r="V1180" i="22"/>
  <c r="V1196" i="22"/>
  <c r="V1212" i="22"/>
  <c r="V1228" i="22"/>
  <c r="V1244" i="22"/>
  <c r="V1260" i="22"/>
  <c r="V1276" i="22"/>
  <c r="V1292" i="22"/>
  <c r="V1308" i="22"/>
  <c r="V1324" i="22"/>
  <c r="V1340" i="22"/>
  <c r="V1356" i="22"/>
  <c r="V1372" i="22"/>
  <c r="V1388" i="22"/>
  <c r="V1404" i="22"/>
  <c r="V1420" i="22"/>
  <c r="V1436" i="22"/>
  <c r="V1452" i="22"/>
  <c r="V1468" i="22"/>
  <c r="V1484" i="22"/>
  <c r="V1500" i="22"/>
  <c r="V1516" i="22"/>
  <c r="V1532" i="22"/>
  <c r="V1548" i="22"/>
  <c r="V1564" i="22"/>
  <c r="V1580" i="22"/>
  <c r="V1596" i="22"/>
  <c r="V1612" i="22"/>
  <c r="V1628" i="22"/>
  <c r="V1644" i="22"/>
  <c r="V1660" i="22"/>
  <c r="V1676" i="22"/>
  <c r="V1692" i="22"/>
  <c r="V1708" i="22"/>
  <c r="V1724" i="22"/>
  <c r="V6" i="22"/>
  <c r="V19" i="22"/>
  <c r="V23" i="22"/>
  <c r="V27" i="22"/>
  <c r="V31" i="22"/>
  <c r="V35" i="22"/>
  <c r="V39" i="22"/>
  <c r="V52" i="22"/>
  <c r="V379" i="22"/>
  <c r="V395" i="22"/>
  <c r="V411" i="22"/>
  <c r="V427" i="22"/>
  <c r="V443" i="22"/>
  <c r="V459" i="22"/>
  <c r="V475" i="22"/>
  <c r="V491" i="22"/>
  <c r="V507" i="22"/>
  <c r="V523" i="22"/>
  <c r="V539" i="22"/>
  <c r="V555" i="22"/>
  <c r="V571" i="22"/>
  <c r="V587" i="22"/>
  <c r="V603" i="22"/>
  <c r="V619" i="22"/>
  <c r="V635" i="22"/>
  <c r="V653" i="22"/>
  <c r="V669" i="22"/>
  <c r="V685" i="22"/>
  <c r="V701" i="22"/>
  <c r="V717" i="22"/>
  <c r="V733" i="22"/>
  <c r="V749" i="22"/>
  <c r="V765" i="22"/>
  <c r="V781" i="22"/>
  <c r="V797" i="22"/>
  <c r="V813" i="22"/>
  <c r="V829" i="22"/>
  <c r="V845" i="22"/>
  <c r="V861" i="22"/>
  <c r="V877" i="22"/>
  <c r="V893" i="22"/>
  <c r="V909" i="22"/>
  <c r="V925" i="22"/>
  <c r="V941" i="22"/>
  <c r="V957" i="22"/>
  <c r="V973" i="22"/>
  <c r="V989" i="22"/>
  <c r="V1005" i="22"/>
  <c r="V1021" i="22"/>
  <c r="V1037" i="22"/>
  <c r="V1053" i="22"/>
  <c r="V1069" i="22"/>
  <c r="V1085" i="22"/>
  <c r="V1101" i="22"/>
  <c r="V1117" i="22"/>
  <c r="V1133" i="22"/>
  <c r="V1149" i="22"/>
  <c r="V1165" i="22"/>
  <c r="V1181" i="22"/>
  <c r="V1197" i="22"/>
  <c r="V1213" i="22"/>
  <c r="V1229" i="22"/>
  <c r="V1245" i="22"/>
  <c r="V1261" i="22"/>
  <c r="V1277" i="22"/>
  <c r="V1293" i="22"/>
  <c r="V1309" i="22"/>
  <c r="V1325" i="22"/>
  <c r="V1341" i="22"/>
  <c r="V1357" i="22"/>
  <c r="V1373" i="22"/>
  <c r="V1389" i="22"/>
  <c r="V1405" i="22"/>
  <c r="V1421" i="22"/>
  <c r="V1437" i="22"/>
  <c r="V1453" i="22"/>
  <c r="V1469" i="22"/>
  <c r="V1485" i="22"/>
  <c r="V1501" i="22"/>
  <c r="V1517" i="22"/>
  <c r="V1533" i="22"/>
  <c r="V1549" i="22"/>
  <c r="V1565" i="22"/>
  <c r="V1581" i="22"/>
  <c r="V1597" i="22"/>
  <c r="V1613" i="22"/>
  <c r="V1629" i="22"/>
  <c r="V1645" i="22"/>
  <c r="V1661" i="22"/>
  <c r="V1677" i="22"/>
  <c r="V1693" i="22"/>
  <c r="V1709" i="22"/>
  <c r="V1725" i="22"/>
  <c r="V1754" i="22"/>
  <c r="V1770" i="22"/>
  <c r="V1786" i="22"/>
  <c r="V1802" i="22"/>
  <c r="V1818" i="22"/>
  <c r="V1834" i="22"/>
  <c r="V1850" i="22"/>
  <c r="V1866" i="22"/>
  <c r="V1882" i="22"/>
  <c r="V1898" i="22"/>
  <c r="V1914" i="22"/>
  <c r="V1930" i="22"/>
  <c r="V1946" i="22"/>
  <c r="V1962" i="22"/>
  <c r="V1978" i="22"/>
  <c r="V1994" i="22"/>
  <c r="V2010" i="22"/>
  <c r="V2026" i="22"/>
  <c r="V2042" i="22"/>
  <c r="V2058" i="22"/>
  <c r="V2074" i="22"/>
  <c r="V1732" i="22"/>
  <c r="V1740" i="22"/>
  <c r="V1752" i="22"/>
  <c r="V1768" i="22"/>
  <c r="V1784" i="22"/>
  <c r="V1800" i="22"/>
  <c r="V1816" i="22"/>
  <c r="V1832" i="22"/>
  <c r="V1848" i="22"/>
  <c r="V1864" i="22"/>
  <c r="V1880" i="22"/>
  <c r="V1896" i="22"/>
  <c r="V1912" i="22"/>
  <c r="V1928" i="22"/>
  <c r="V1944" i="22"/>
  <c r="V1960" i="22"/>
  <c r="V1976" i="22"/>
  <c r="V1992" i="22"/>
  <c r="V2008" i="22"/>
  <c r="V2024" i="22"/>
  <c r="V2040" i="22"/>
  <c r="V2056" i="22"/>
  <c r="V2072" i="22"/>
  <c r="V2090" i="22"/>
  <c r="V1758" i="22"/>
  <c r="V1774" i="22"/>
  <c r="V1790" i="22"/>
  <c r="V1806" i="22"/>
  <c r="V1822" i="22"/>
  <c r="V1838" i="22"/>
  <c r="V1854" i="22"/>
  <c r="V1870" i="22"/>
  <c r="V1886" i="22"/>
  <c r="V1902" i="22"/>
  <c r="V1918" i="22"/>
  <c r="V1934" i="22"/>
  <c r="V1950" i="22"/>
  <c r="V1966" i="22"/>
  <c r="V1982" i="22"/>
  <c r="V1998" i="22"/>
  <c r="V2014" i="22"/>
  <c r="V2030" i="22"/>
  <c r="V2046" i="22"/>
  <c r="V2062" i="22"/>
  <c r="V2078" i="22"/>
  <c r="V1737" i="22"/>
  <c r="V1745" i="22"/>
  <c r="V1761" i="22"/>
  <c r="V1777" i="22"/>
  <c r="V1793" i="22"/>
  <c r="V1809" i="22"/>
  <c r="V1825" i="22"/>
  <c r="V1841" i="22"/>
  <c r="V1857" i="22"/>
  <c r="V1873" i="22"/>
  <c r="V1889" i="22"/>
  <c r="V1905" i="22"/>
  <c r="V1921" i="22"/>
  <c r="V1937" i="22"/>
  <c r="V1953" i="22"/>
  <c r="V1969" i="22"/>
  <c r="V1985" i="22"/>
  <c r="V2001" i="22"/>
  <c r="V2017" i="22"/>
  <c r="V2033" i="22"/>
  <c r="V2049" i="22"/>
  <c r="V2065" i="22"/>
  <c r="V2081" i="22"/>
  <c r="V2103" i="22"/>
  <c r="V2119" i="22"/>
  <c r="V2135" i="22"/>
  <c r="V2151" i="22"/>
  <c r="V2167" i="22"/>
  <c r="V2183" i="22"/>
  <c r="V2199" i="22"/>
  <c r="V2215" i="22"/>
  <c r="V2231" i="22"/>
  <c r="V2247" i="22"/>
  <c r="V2263" i="22"/>
  <c r="V2279" i="22"/>
  <c r="V2295" i="22"/>
  <c r="V2311" i="22"/>
  <c r="V2327" i="22"/>
  <c r="V2343" i="22"/>
  <c r="V2359" i="22"/>
  <c r="V2375" i="22"/>
  <c r="V2391" i="22"/>
  <c r="V2407" i="22"/>
  <c r="V2423" i="22"/>
  <c r="V2439" i="22"/>
  <c r="V2455" i="22"/>
  <c r="V2471" i="22"/>
  <c r="V2487" i="22"/>
  <c r="V2503" i="22"/>
  <c r="V2519" i="22"/>
  <c r="V2535" i="22"/>
  <c r="V2551" i="22"/>
  <c r="V2567" i="22"/>
  <c r="V2583" i="22"/>
  <c r="V2599" i="22"/>
  <c r="V2615" i="22"/>
  <c r="V2631" i="22"/>
  <c r="V2647" i="22"/>
  <c r="V2663" i="22"/>
  <c r="V2679" i="22"/>
  <c r="V2695" i="22"/>
  <c r="V2711" i="22"/>
  <c r="V2727" i="22"/>
  <c r="V2743" i="22"/>
  <c r="V2759" i="22"/>
  <c r="V2775" i="22"/>
  <c r="V2791" i="22"/>
  <c r="V2807" i="22"/>
  <c r="V2823" i="22"/>
  <c r="V2839" i="22"/>
  <c r="V2855" i="22"/>
  <c r="V2871" i="22"/>
  <c r="V2887" i="22"/>
  <c r="V2903" i="22"/>
  <c r="V2919" i="22"/>
  <c r="V2935" i="22"/>
  <c r="V2952" i="22"/>
  <c r="V2969" i="22"/>
  <c r="V3001" i="22"/>
  <c r="V3050" i="22"/>
  <c r="V2101" i="22"/>
  <c r="V2117" i="22"/>
  <c r="V2133" i="22"/>
  <c r="V2149" i="22"/>
  <c r="V2165" i="22"/>
  <c r="V2181" i="22"/>
  <c r="V2197" i="22"/>
  <c r="V2213" i="22"/>
  <c r="V2229" i="22"/>
  <c r="V2245" i="22"/>
  <c r="V2261" i="22"/>
  <c r="V2277" i="22"/>
  <c r="V2293" i="22"/>
  <c r="V2309" i="22"/>
  <c r="V2325" i="22"/>
  <c r="V2341" i="22"/>
  <c r="V2357" i="22"/>
  <c r="V2373" i="22"/>
  <c r="V2389" i="22"/>
  <c r="V2405" i="22"/>
  <c r="V2421" i="22"/>
  <c r="V2437" i="22"/>
  <c r="V2453" i="22"/>
  <c r="V2469" i="22"/>
  <c r="V2485" i="22"/>
  <c r="V2501" i="22"/>
  <c r="V2517" i="22"/>
  <c r="V2533" i="22"/>
  <c r="V2549" i="22"/>
  <c r="V2565" i="22"/>
  <c r="V2581" i="22"/>
  <c r="V2597" i="22"/>
  <c r="V2613" i="22"/>
  <c r="V2629" i="22"/>
  <c r="V2645" i="22"/>
  <c r="V2661" i="22"/>
  <c r="V2677" i="22"/>
  <c r="V2693" i="22"/>
  <c r="V2709" i="22"/>
  <c r="V2725" i="22"/>
  <c r="V2741" i="22"/>
  <c r="V2757" i="22"/>
  <c r="V2773" i="22"/>
  <c r="V2789" i="22"/>
  <c r="V2805" i="22"/>
  <c r="V2821" i="22"/>
  <c r="V2837" i="22"/>
  <c r="V2853" i="22"/>
  <c r="V2869" i="22"/>
  <c r="V2885" i="22"/>
  <c r="V2901" i="22"/>
  <c r="V2917" i="22"/>
  <c r="V2933" i="22"/>
  <c r="V2949" i="22"/>
  <c r="V2991" i="22"/>
  <c r="V3042" i="22"/>
  <c r="V2094" i="22"/>
  <c r="V2110" i="22"/>
  <c r="V2126" i="22"/>
  <c r="V2142" i="22"/>
  <c r="V2158" i="22"/>
  <c r="V2174" i="22"/>
  <c r="V2190" i="22"/>
  <c r="V2206" i="22"/>
  <c r="V2222" i="22"/>
  <c r="V2238" i="22"/>
  <c r="V2254" i="22"/>
  <c r="V2270" i="22"/>
  <c r="V2286" i="22"/>
  <c r="V2302" i="22"/>
  <c r="V2318" i="22"/>
  <c r="V2334" i="22"/>
  <c r="V2350" i="22"/>
  <c r="V2366" i="22"/>
  <c r="V2382" i="22"/>
  <c r="V2398" i="22"/>
  <c r="V2414" i="22"/>
  <c r="V2430" i="22"/>
  <c r="V2446" i="22"/>
  <c r="V2462" i="22"/>
  <c r="V2478" i="22"/>
  <c r="V2494" i="22"/>
  <c r="V2510" i="22"/>
  <c r="V2526" i="22"/>
  <c r="V2542" i="22"/>
  <c r="V2558" i="22"/>
  <c r="V2574" i="22"/>
  <c r="V2590" i="22"/>
  <c r="V2606" i="22"/>
  <c r="V2622" i="22"/>
  <c r="V2638" i="22"/>
  <c r="V2654" i="22"/>
  <c r="V2670" i="22"/>
  <c r="V2686" i="22"/>
  <c r="V2702" i="22"/>
  <c r="V2718" i="22"/>
  <c r="V2734" i="22"/>
  <c r="V2750" i="22"/>
  <c r="V2766" i="22"/>
  <c r="V2782" i="22"/>
  <c r="V2798" i="22"/>
  <c r="V2814" i="22"/>
  <c r="V2830" i="22"/>
  <c r="V2846" i="22"/>
  <c r="V2862" i="22"/>
  <c r="V2878" i="22"/>
  <c r="V2894" i="22"/>
  <c r="V2910" i="22"/>
  <c r="V2926" i="22"/>
  <c r="V2942" i="22"/>
  <c r="V2958" i="22"/>
  <c r="V2988" i="22"/>
  <c r="V3023" i="22"/>
  <c r="V3079" i="22"/>
  <c r="V2097" i="22"/>
  <c r="V2113" i="22"/>
  <c r="V2129" i="22"/>
  <c r="V2145" i="22"/>
  <c r="V2161" i="22"/>
  <c r="V2177" i="22"/>
  <c r="V2193" i="22"/>
  <c r="V2209" i="22"/>
  <c r="V2225" i="22"/>
  <c r="V2241" i="22"/>
  <c r="V2257" i="22"/>
  <c r="V2273" i="22"/>
  <c r="V2289" i="22"/>
  <c r="V2305" i="22"/>
  <c r="V2321" i="22"/>
  <c r="V2337" i="22"/>
  <c r="V2353" i="22"/>
  <c r="V2369" i="22"/>
  <c r="V2385" i="22"/>
  <c r="V2401" i="22"/>
  <c r="V2417" i="22"/>
  <c r="V2433" i="22"/>
  <c r="V2449" i="22"/>
  <c r="V2465" i="22"/>
  <c r="V2481" i="22"/>
  <c r="V2497" i="22"/>
  <c r="V2513" i="22"/>
  <c r="V2529" i="22"/>
  <c r="V2545" i="22"/>
  <c r="V2561" i="22"/>
  <c r="V2577" i="22"/>
  <c r="V2593" i="22"/>
  <c r="V2609" i="22"/>
  <c r="V2625" i="22"/>
  <c r="V2641" i="22"/>
  <c r="V2657" i="22"/>
  <c r="V2673" i="22"/>
  <c r="V2689" i="22"/>
  <c r="V2705" i="22"/>
  <c r="V2721" i="22"/>
  <c r="V2737" i="22"/>
  <c r="V2753" i="22"/>
  <c r="V2769" i="22"/>
  <c r="V2785" i="22"/>
  <c r="V2801" i="22"/>
  <c r="V2817" i="22"/>
  <c r="V2833" i="22"/>
  <c r="V2849" i="22"/>
  <c r="V2865" i="22"/>
  <c r="V2881" i="22"/>
  <c r="V2897" i="22"/>
  <c r="V2913" i="22"/>
  <c r="V2929" i="22"/>
  <c r="V2945" i="22"/>
  <c r="V2983" i="22"/>
  <c r="V3015" i="22"/>
  <c r="V3083" i="22"/>
  <c r="V3165" i="22"/>
  <c r="V3229" i="22"/>
  <c r="V3293" i="22"/>
  <c r="V3357" i="22"/>
  <c r="V3421" i="22"/>
  <c r="V3485" i="22"/>
  <c r="V2955" i="22"/>
  <c r="V2963" i="22"/>
  <c r="V2976" i="22"/>
  <c r="V2992" i="22"/>
  <c r="V3008" i="22"/>
  <c r="V3024" i="22"/>
  <c r="V3040" i="22"/>
  <c r="V3056" i="22"/>
  <c r="V3121" i="22"/>
  <c r="V3185" i="22"/>
  <c r="V3249" i="22"/>
  <c r="V3313" i="22"/>
  <c r="V3377" i="22"/>
  <c r="V3441" i="22"/>
  <c r="V3505" i="22"/>
  <c r="V2979" i="22"/>
  <c r="V2995" i="22"/>
  <c r="V3011" i="22"/>
  <c r="V3027" i="22"/>
  <c r="V3043" i="22"/>
  <c r="V3059" i="22"/>
  <c r="V3073" i="22"/>
  <c r="V3141" i="22"/>
  <c r="V3205" i="22"/>
  <c r="V3269" i="22"/>
  <c r="V3333" i="22"/>
  <c r="V3397" i="22"/>
  <c r="V3461" i="22"/>
  <c r="V3017" i="22"/>
  <c r="V3033" i="22"/>
  <c r="V3049" i="22"/>
  <c r="V3065" i="22"/>
  <c r="V3145" i="22"/>
  <c r="V3209" i="22"/>
  <c r="V3273" i="22"/>
  <c r="V3337" i="22"/>
  <c r="V3401" i="22"/>
  <c r="V3465" i="22"/>
  <c r="V3517" i="22"/>
  <c r="V3533" i="22"/>
  <c r="V3549" i="22"/>
  <c r="V3565" i="22"/>
  <c r="V3581" i="22"/>
  <c r="V3597" i="22"/>
  <c r="V3613" i="22"/>
  <c r="V3629" i="22"/>
  <c r="V3645" i="22"/>
  <c r="V3661" i="22"/>
  <c r="V3677" i="22"/>
  <c r="V3693" i="22"/>
  <c r="V3709" i="22"/>
  <c r="V3725" i="22"/>
  <c r="V3741" i="22"/>
  <c r="V3757" i="22"/>
  <c r="V3773" i="22"/>
  <c r="V3789" i="22"/>
  <c r="V3805" i="22"/>
  <c r="V3821" i="22"/>
  <c r="V3837" i="22"/>
  <c r="V3853" i="22"/>
  <c r="V3869" i="22"/>
  <c r="V3885" i="22"/>
  <c r="V3901" i="22"/>
  <c r="V3917" i="22"/>
  <c r="V3933" i="22"/>
  <c r="V3949" i="22"/>
  <c r="V3965" i="22"/>
  <c r="V3087" i="22"/>
  <c r="V3095" i="22"/>
  <c r="V3103" i="22"/>
  <c r="V3111" i="22"/>
  <c r="V3126" i="22"/>
  <c r="V3142" i="22"/>
  <c r="V3158" i="22"/>
  <c r="V3174" i="22"/>
  <c r="V3190" i="22"/>
  <c r="V3206" i="22"/>
  <c r="V3222" i="22"/>
  <c r="V3238" i="22"/>
  <c r="V3254" i="22"/>
  <c r="V3270" i="22"/>
  <c r="V3286" i="22"/>
  <c r="V3302" i="22"/>
  <c r="V3318" i="22"/>
  <c r="V3334" i="22"/>
  <c r="V3350" i="22"/>
  <c r="V3366" i="22"/>
  <c r="V3382" i="22"/>
  <c r="V3398" i="22"/>
  <c r="V3414" i="22"/>
  <c r="V3430" i="22"/>
  <c r="V3446" i="22"/>
  <c r="V3462" i="22"/>
  <c r="V3478" i="22"/>
  <c r="V3494" i="22"/>
  <c r="V3510" i="22"/>
  <c r="V3526" i="22"/>
  <c r="V3542" i="22"/>
  <c r="V3558" i="22"/>
  <c r="V3574" i="22"/>
  <c r="V3590" i="22"/>
  <c r="V3606" i="22"/>
  <c r="V3622" i="22"/>
  <c r="V3638" i="22"/>
  <c r="V3654" i="22"/>
  <c r="V3670" i="22"/>
  <c r="V3686" i="22"/>
  <c r="V3702" i="22"/>
  <c r="V3718" i="22"/>
  <c r="V3734" i="22"/>
  <c r="V3750" i="22"/>
  <c r="V3766" i="22"/>
  <c r="V3782" i="22"/>
  <c r="V3798" i="22"/>
  <c r="V3814" i="22"/>
  <c r="V3830" i="22"/>
  <c r="V3846" i="22"/>
  <c r="V3862" i="22"/>
  <c r="V3878" i="22"/>
  <c r="V3894" i="22"/>
  <c r="V3910" i="22"/>
  <c r="V3926" i="22"/>
  <c r="V3942" i="22"/>
  <c r="V3958" i="22"/>
  <c r="V3974" i="22"/>
  <c r="V3127" i="22"/>
  <c r="V3143" i="22"/>
  <c r="V3159" i="22"/>
  <c r="V3175" i="22"/>
  <c r="V3191" i="22"/>
  <c r="V3207" i="22"/>
  <c r="V3223" i="22"/>
  <c r="V3239" i="22"/>
  <c r="V3255" i="22"/>
  <c r="V3271" i="22"/>
  <c r="V3287" i="22"/>
  <c r="V3303" i="22"/>
  <c r="V3319" i="22"/>
  <c r="V3335" i="22"/>
  <c r="V3351" i="22"/>
  <c r="V3367" i="22"/>
  <c r="V3383" i="22"/>
  <c r="V3399" i="22"/>
  <c r="V3415" i="22"/>
  <c r="V3431" i="22"/>
  <c r="V3447" i="22"/>
  <c r="V3463" i="22"/>
  <c r="V3479" i="22"/>
  <c r="V3495" i="22"/>
  <c r="V3511" i="22"/>
  <c r="V3527" i="22"/>
  <c r="V3543" i="22"/>
  <c r="V3559" i="22"/>
  <c r="V3575" i="22"/>
  <c r="V3591" i="22"/>
  <c r="V3607" i="22"/>
  <c r="V3623" i="22"/>
  <c r="V3639" i="22"/>
  <c r="V3655" i="22"/>
  <c r="V3671" i="22"/>
  <c r="V3687" i="22"/>
  <c r="V3703" i="22"/>
  <c r="V3719" i="22"/>
  <c r="V3735" i="22"/>
  <c r="V3751" i="22"/>
  <c r="V3767" i="22"/>
  <c r="V3783" i="22"/>
  <c r="V3799" i="22"/>
  <c r="V3815" i="22"/>
  <c r="V3831" i="22"/>
  <c r="V3847" i="22"/>
  <c r="V3863" i="22"/>
  <c r="V3879" i="22"/>
  <c r="V3895" i="22"/>
  <c r="V3911" i="22"/>
  <c r="V3927" i="22"/>
  <c r="V3943" i="22"/>
  <c r="V3959" i="22"/>
  <c r="V3975" i="22"/>
  <c r="V3078" i="22"/>
  <c r="V3086" i="22"/>
  <c r="V3094" i="22"/>
  <c r="V3102" i="22"/>
  <c r="V3110" i="22"/>
  <c r="V3124" i="22"/>
  <c r="V3140" i="22"/>
  <c r="V3156" i="22"/>
  <c r="V3172" i="22"/>
  <c r="V3188" i="22"/>
  <c r="V3204" i="22"/>
  <c r="V3220" i="22"/>
  <c r="V3236" i="22"/>
  <c r="V3252" i="22"/>
  <c r="V3268" i="22"/>
  <c r="V3284" i="22"/>
  <c r="V3300" i="22"/>
  <c r="V3316" i="22"/>
  <c r="V3332" i="22"/>
  <c r="V3348" i="22"/>
  <c r="V3364" i="22"/>
  <c r="V3380" i="22"/>
  <c r="V3396" i="22"/>
  <c r="V3412" i="22"/>
  <c r="V3428" i="22"/>
  <c r="V3444" i="22"/>
  <c r="V3460" i="22"/>
  <c r="V3476" i="22"/>
  <c r="V3492" i="22"/>
  <c r="V3508" i="22"/>
  <c r="V3524" i="22"/>
  <c r="V3540" i="22"/>
  <c r="V3556" i="22"/>
  <c r="V3572" i="22"/>
  <c r="V3588" i="22"/>
  <c r="V3604" i="22"/>
  <c r="V3620" i="22"/>
  <c r="V3636" i="22"/>
  <c r="V3652" i="22"/>
  <c r="V3668" i="22"/>
  <c r="V3684" i="22"/>
  <c r="V3700" i="22"/>
  <c r="V3716" i="22"/>
  <c r="V3732" i="22"/>
  <c r="V3748" i="22"/>
  <c r="V3764" i="22"/>
  <c r="V3780" i="22"/>
  <c r="V3796" i="22"/>
  <c r="V3812" i="22"/>
  <c r="V3828" i="22"/>
  <c r="V3844" i="22"/>
  <c r="V3860" i="22"/>
  <c r="V3876" i="22"/>
  <c r="V3892" i="22"/>
  <c r="V3908" i="22"/>
  <c r="V3924" i="22"/>
  <c r="V3940" i="22"/>
  <c r="V3956" i="22"/>
  <c r="V3972" i="22"/>
  <c r="V312" i="22"/>
  <c r="V184" i="22"/>
  <c r="V86" i="22"/>
  <c r="V526" i="22"/>
  <c r="V350" i="22"/>
  <c r="V254" i="22"/>
  <c r="V158" i="22"/>
  <c r="V89" i="22"/>
  <c r="V9" i="22"/>
  <c r="V449" i="22"/>
  <c r="V385" i="22"/>
  <c r="V284" i="22"/>
  <c r="V220" i="22"/>
  <c r="V156" i="22"/>
  <c r="V72" i="22"/>
  <c r="V44" i="22"/>
  <c r="V574" i="22"/>
  <c r="V446" i="22"/>
  <c r="V338" i="22"/>
  <c r="V274" i="22"/>
  <c r="V210" i="22"/>
  <c r="V146" i="22"/>
  <c r="V99" i="22"/>
  <c r="V67" i="22"/>
  <c r="V598" i="22"/>
  <c r="V630" i="22"/>
  <c r="V646" i="22"/>
  <c r="V662" i="22"/>
  <c r="V678" i="22"/>
  <c r="V710" i="22"/>
  <c r="V726" i="22"/>
  <c r="V742" i="22"/>
  <c r="V758" i="22"/>
  <c r="V774" i="22"/>
  <c r="V790" i="22"/>
  <c r="V806" i="22"/>
  <c r="V822" i="22"/>
  <c r="V838" i="22"/>
  <c r="V854" i="22"/>
  <c r="V870" i="22"/>
  <c r="V886" i="22"/>
  <c r="V902" i="22"/>
  <c r="V918" i="22"/>
  <c r="V934" i="22"/>
  <c r="V950" i="22"/>
  <c r="V966" i="22"/>
  <c r="V982" i="22"/>
  <c r="V998" i="22"/>
  <c r="V1014" i="22"/>
  <c r="V1030" i="22"/>
  <c r="V1046" i="22"/>
  <c r="V1062" i="22"/>
  <c r="V1078" i="22"/>
  <c r="V1094" i="22"/>
  <c r="V1110" i="22"/>
  <c r="V1126" i="22"/>
  <c r="V1142" i="22"/>
  <c r="V1158" i="22"/>
  <c r="V1174" i="22"/>
  <c r="V1190" i="22"/>
  <c r="V1206" i="22"/>
  <c r="V1222" i="22"/>
  <c r="V1238" i="22"/>
  <c r="V1254" i="22"/>
  <c r="V1270" i="22"/>
  <c r="V1286" i="22"/>
  <c r="V1302" i="22"/>
  <c r="V1318" i="22"/>
  <c r="V1334" i="22"/>
  <c r="V1350" i="22"/>
  <c r="V1366" i="22"/>
  <c r="V1382" i="22"/>
  <c r="V1398" i="22"/>
  <c r="V1414" i="22"/>
  <c r="V1430" i="22"/>
  <c r="V1446" i="22"/>
  <c r="V1462" i="22"/>
  <c r="V1478" i="22"/>
  <c r="V1494" i="22"/>
  <c r="V1510" i="22"/>
  <c r="V1526" i="22"/>
  <c r="V1542" i="22"/>
  <c r="V1558" i="22"/>
  <c r="V1574" i="22"/>
  <c r="V1590" i="22"/>
  <c r="V1606" i="22"/>
  <c r="V1622" i="22"/>
  <c r="V1638" i="22"/>
  <c r="V1654" i="22"/>
  <c r="V1670" i="22"/>
  <c r="V1686" i="22"/>
  <c r="V1702" i="22"/>
  <c r="V1718" i="22"/>
  <c r="V5" i="22"/>
  <c r="V40" i="22"/>
  <c r="V53" i="22"/>
  <c r="V380" i="22"/>
  <c r="V396" i="22"/>
  <c r="V412" i="22"/>
  <c r="V428" i="22"/>
  <c r="V444" i="22"/>
  <c r="V460" i="22"/>
  <c r="V476" i="22"/>
  <c r="V492" i="22"/>
  <c r="V508" i="22"/>
  <c r="V524" i="22"/>
  <c r="V540" i="22"/>
  <c r="V556" i="22"/>
  <c r="V572" i="22"/>
  <c r="V588" i="22"/>
  <c r="V604" i="22"/>
  <c r="V620" i="22"/>
  <c r="V636" i="22"/>
  <c r="V651" i="22"/>
  <c r="V667" i="22"/>
  <c r="V683" i="22"/>
  <c r="V699" i="22"/>
  <c r="V715" i="22"/>
  <c r="V731" i="22"/>
  <c r="V747" i="22"/>
  <c r="V763" i="22"/>
  <c r="V779" i="22"/>
  <c r="V795" i="22"/>
  <c r="V811" i="22"/>
  <c r="V827" i="22"/>
  <c r="V843" i="22"/>
  <c r="V859" i="22"/>
  <c r="V875" i="22"/>
  <c r="V891" i="22"/>
  <c r="V907" i="22"/>
  <c r="V923" i="22"/>
  <c r="V939" i="22"/>
  <c r="V955" i="22"/>
  <c r="V971" i="22"/>
  <c r="V987" i="22"/>
  <c r="V1003" i="22"/>
  <c r="V1019" i="22"/>
  <c r="V1035" i="22"/>
  <c r="V1051" i="22"/>
  <c r="V1067" i="22"/>
  <c r="V1083" i="22"/>
  <c r="V1099" i="22"/>
  <c r="V1115" i="22"/>
  <c r="V1131" i="22"/>
  <c r="V1147" i="22"/>
  <c r="V1163" i="22"/>
  <c r="V1179" i="22"/>
  <c r="V1195" i="22"/>
  <c r="V1211" i="22"/>
  <c r="V1227" i="22"/>
  <c r="V1243" i="22"/>
  <c r="V1259" i="22"/>
  <c r="V1275" i="22"/>
  <c r="V1291" i="22"/>
  <c r="V1307" i="22"/>
  <c r="V1323" i="22"/>
  <c r="V1339" i="22"/>
  <c r="V1355" i="22"/>
  <c r="V1371" i="22"/>
  <c r="V1387" i="22"/>
  <c r="V1403" i="22"/>
  <c r="V1419" i="22"/>
  <c r="V1435" i="22"/>
  <c r="V1451" i="22"/>
  <c r="V1467" i="22"/>
  <c r="V1483" i="22"/>
  <c r="V1499" i="22"/>
  <c r="V1515" i="22"/>
  <c r="V1531" i="22"/>
  <c r="V1547" i="22"/>
  <c r="V1563" i="22"/>
  <c r="V1579" i="22"/>
  <c r="V1595" i="22"/>
  <c r="V1611" i="22"/>
  <c r="V1627" i="22"/>
  <c r="V1643" i="22"/>
  <c r="V1659" i="22"/>
  <c r="V1675" i="22"/>
  <c r="V1691" i="22"/>
  <c r="V1707" i="22"/>
  <c r="V1723" i="22"/>
  <c r="V119" i="22"/>
  <c r="V127" i="22"/>
  <c r="V135" i="22"/>
  <c r="V143" i="22"/>
  <c r="V151" i="22"/>
  <c r="V159" i="22"/>
  <c r="V167" i="22"/>
  <c r="V175" i="22"/>
  <c r="V183" i="22"/>
  <c r="V191" i="22"/>
  <c r="V199" i="22"/>
  <c r="V207" i="22"/>
  <c r="V215" i="22"/>
  <c r="V223" i="22"/>
  <c r="V231" i="22"/>
  <c r="V239" i="22"/>
  <c r="V247" i="22"/>
  <c r="V255" i="22"/>
  <c r="V263" i="22"/>
  <c r="V271" i="22"/>
  <c r="V279" i="22"/>
  <c r="V287" i="22"/>
  <c r="V295" i="22"/>
  <c r="V303" i="22"/>
  <c r="V311" i="22"/>
  <c r="V319" i="22"/>
  <c r="V327" i="22"/>
  <c r="V335" i="22"/>
  <c r="V343" i="22"/>
  <c r="V351" i="22"/>
  <c r="V359" i="22"/>
  <c r="V370" i="22"/>
  <c r="V386" i="22"/>
  <c r="V402" i="22"/>
  <c r="V418" i="22"/>
  <c r="V434" i="22"/>
  <c r="V450" i="22"/>
  <c r="V466" i="22"/>
  <c r="V482" i="22"/>
  <c r="V498" i="22"/>
  <c r="V514" i="22"/>
  <c r="V530" i="22"/>
  <c r="V546" i="22"/>
  <c r="V562" i="22"/>
  <c r="V578" i="22"/>
  <c r="V594" i="22"/>
  <c r="V610" i="22"/>
  <c r="V626" i="22"/>
  <c r="V640" i="22"/>
  <c r="V656" i="22"/>
  <c r="V672" i="22"/>
  <c r="V688" i="22"/>
  <c r="V704" i="22"/>
  <c r="V720" i="22"/>
  <c r="V736" i="22"/>
  <c r="V752" i="22"/>
  <c r="V768" i="22"/>
  <c r="V784" i="22"/>
  <c r="V800" i="22"/>
  <c r="V816" i="22"/>
  <c r="V832" i="22"/>
  <c r="V848" i="22"/>
  <c r="V864" i="22"/>
  <c r="V880" i="22"/>
  <c r="V896" i="22"/>
  <c r="V912" i="22"/>
  <c r="V928" i="22"/>
  <c r="V944" i="22"/>
  <c r="V960" i="22"/>
  <c r="V976" i="22"/>
  <c r="V992" i="22"/>
  <c r="V1008" i="22"/>
  <c r="V1024" i="22"/>
  <c r="V1040" i="22"/>
  <c r="V1056" i="22"/>
  <c r="V1072" i="22"/>
  <c r="V1088" i="22"/>
  <c r="V1104" i="22"/>
  <c r="V1120" i="22"/>
  <c r="V1136" i="22"/>
  <c r="V1152" i="22"/>
  <c r="V1168" i="22"/>
  <c r="V1184" i="22"/>
  <c r="V1200" i="22"/>
  <c r="V1216" i="22"/>
  <c r="V1232" i="22"/>
  <c r="V1248" i="22"/>
  <c r="V1264" i="22"/>
  <c r="V1280" i="22"/>
  <c r="V1296" i="22"/>
  <c r="V1312" i="22"/>
  <c r="V1328" i="22"/>
  <c r="V1344" i="22"/>
  <c r="V1360" i="22"/>
  <c r="V1376" i="22"/>
  <c r="V1392" i="22"/>
  <c r="V1408" i="22"/>
  <c r="V1424" i="22"/>
  <c r="V1440" i="22"/>
  <c r="V1456" i="22"/>
  <c r="V1472" i="22"/>
  <c r="V1488" i="22"/>
  <c r="V1504" i="22"/>
  <c r="V1520" i="22"/>
  <c r="V1536" i="22"/>
  <c r="V1552" i="22"/>
  <c r="V1568" i="22"/>
  <c r="V1584" i="22"/>
  <c r="V1600" i="22"/>
  <c r="V1616" i="22"/>
  <c r="V1632" i="22"/>
  <c r="V1648" i="22"/>
  <c r="V1664" i="22"/>
  <c r="V1680" i="22"/>
  <c r="V1696" i="22"/>
  <c r="V1712" i="22"/>
  <c r="V1728" i="22"/>
  <c r="V10" i="22"/>
  <c r="V20" i="22"/>
  <c r="V24" i="22"/>
  <c r="V28" i="22"/>
  <c r="V32" i="22"/>
  <c r="V36" i="22"/>
  <c r="V41" i="22"/>
  <c r="V368" i="22"/>
  <c r="V384" i="22"/>
  <c r="V400" i="22"/>
  <c r="V416" i="22"/>
  <c r="V432" i="22"/>
  <c r="V448" i="22"/>
  <c r="V464" i="22"/>
  <c r="V480" i="22"/>
  <c r="V496" i="22"/>
  <c r="V512" i="22"/>
  <c r="V528" i="22"/>
  <c r="V544" i="22"/>
  <c r="V560" i="22"/>
  <c r="V576" i="22"/>
  <c r="V592" i="22"/>
  <c r="V608" i="22"/>
  <c r="V624" i="22"/>
  <c r="V641" i="22"/>
  <c r="V657" i="22"/>
  <c r="V673" i="22"/>
  <c r="V689" i="22"/>
  <c r="V705" i="22"/>
  <c r="V721" i="22"/>
  <c r="V737" i="22"/>
  <c r="V753" i="22"/>
  <c r="V769" i="22"/>
  <c r="V785" i="22"/>
  <c r="V801" i="22"/>
  <c r="V817" i="22"/>
  <c r="V833" i="22"/>
  <c r="V849" i="22"/>
  <c r="V865" i="22"/>
  <c r="V881" i="22"/>
  <c r="V897" i="22"/>
  <c r="V913" i="22"/>
  <c r="V929" i="22"/>
  <c r="V945" i="22"/>
  <c r="V961" i="22"/>
  <c r="V977" i="22"/>
  <c r="V993" i="22"/>
  <c r="V1009" i="22"/>
  <c r="V1025" i="22"/>
  <c r="V1041" i="22"/>
  <c r="V1057" i="22"/>
  <c r="V1073" i="22"/>
  <c r="V1089" i="22"/>
  <c r="V1105" i="22"/>
  <c r="V1121" i="22"/>
  <c r="V1137" i="22"/>
  <c r="V1153" i="22"/>
  <c r="V1169" i="22"/>
  <c r="V1185" i="22"/>
  <c r="V1201" i="22"/>
  <c r="V1217" i="22"/>
  <c r="V1233" i="22"/>
  <c r="V1249" i="22"/>
  <c r="V1265" i="22"/>
  <c r="V1281" i="22"/>
  <c r="V1297" i="22"/>
  <c r="V1313" i="22"/>
  <c r="V1329" i="22"/>
  <c r="V1345" i="22"/>
  <c r="V1361" i="22"/>
  <c r="V1377" i="22"/>
  <c r="V1393" i="22"/>
  <c r="V1409" i="22"/>
  <c r="V1425" i="22"/>
  <c r="V1441" i="22"/>
  <c r="V1457" i="22"/>
  <c r="V1473" i="22"/>
  <c r="V1489" i="22"/>
  <c r="V1505" i="22"/>
  <c r="V1521" i="22"/>
  <c r="V1537" i="22"/>
  <c r="V1553" i="22"/>
  <c r="V1569" i="22"/>
  <c r="V1585" i="22"/>
  <c r="V1601" i="22"/>
  <c r="V1617" i="22"/>
  <c r="V1633" i="22"/>
  <c r="V1649" i="22"/>
  <c r="V1665" i="22"/>
  <c r="V1681" i="22"/>
  <c r="V1697" i="22"/>
  <c r="V1713" i="22"/>
  <c r="V1729" i="22"/>
  <c r="V1759" i="22"/>
  <c r="V1775" i="22"/>
  <c r="V1791" i="22"/>
  <c r="V1807" i="22"/>
  <c r="V1823" i="22"/>
  <c r="V1839" i="22"/>
  <c r="V1855" i="22"/>
  <c r="V1871" i="22"/>
  <c r="V1887" i="22"/>
  <c r="V1903" i="22"/>
  <c r="V1919" i="22"/>
  <c r="V1935" i="22"/>
  <c r="V1951" i="22"/>
  <c r="V1967" i="22"/>
  <c r="V1983" i="22"/>
  <c r="V1999" i="22"/>
  <c r="V2015" i="22"/>
  <c r="V2031" i="22"/>
  <c r="V2047" i="22"/>
  <c r="V2063" i="22"/>
  <c r="V2079" i="22"/>
  <c r="V1734" i="22"/>
  <c r="V1742" i="22"/>
  <c r="V1757" i="22"/>
  <c r="V1773" i="22"/>
  <c r="V1789" i="22"/>
  <c r="V1805" i="22"/>
  <c r="V1821" i="22"/>
  <c r="V1837" i="22"/>
  <c r="V1853" i="22"/>
  <c r="V1869" i="22"/>
  <c r="V1885" i="22"/>
  <c r="V1901" i="22"/>
  <c r="V1917" i="22"/>
  <c r="V1933" i="22"/>
  <c r="V1949" i="22"/>
  <c r="V1965" i="22"/>
  <c r="V1981" i="22"/>
  <c r="V1997" i="22"/>
  <c r="V2013" i="22"/>
  <c r="V2029" i="22"/>
  <c r="V2045" i="22"/>
  <c r="V2061" i="22"/>
  <c r="V2077" i="22"/>
  <c r="V1747" i="22"/>
  <c r="V1763" i="22"/>
  <c r="V1779" i="22"/>
  <c r="V1795" i="22"/>
  <c r="V1811" i="22"/>
  <c r="V1827" i="22"/>
  <c r="V1843" i="22"/>
  <c r="V1859" i="22"/>
  <c r="V1875" i="22"/>
  <c r="V1891" i="22"/>
  <c r="V1907" i="22"/>
  <c r="V1923" i="22"/>
  <c r="V1939" i="22"/>
  <c r="V1955" i="22"/>
  <c r="V1971" i="22"/>
  <c r="V1987" i="22"/>
  <c r="V2003" i="22"/>
  <c r="V2019" i="22"/>
  <c r="V2035" i="22"/>
  <c r="V2051" i="22"/>
  <c r="V2067" i="22"/>
  <c r="V2083" i="22"/>
  <c r="V1739" i="22"/>
  <c r="V1748" i="22"/>
  <c r="V1764" i="22"/>
  <c r="V1780" i="22"/>
  <c r="V1796" i="22"/>
  <c r="V1812" i="22"/>
  <c r="V1828" i="22"/>
  <c r="V1844" i="22"/>
  <c r="V1860" i="22"/>
  <c r="V1876" i="22"/>
  <c r="V1892" i="22"/>
  <c r="V1908" i="22"/>
  <c r="V1924" i="22"/>
  <c r="V1940" i="22"/>
  <c r="V1956" i="22"/>
  <c r="V1972" i="22"/>
  <c r="V1988" i="22"/>
  <c r="V2004" i="22"/>
  <c r="V2020" i="22"/>
  <c r="V2036" i="22"/>
  <c r="V2052" i="22"/>
  <c r="V2068" i="22"/>
  <c r="V2088" i="22"/>
  <c r="V2106" i="22"/>
  <c r="V2122" i="22"/>
  <c r="V2138" i="22"/>
  <c r="V2154" i="22"/>
  <c r="V2170" i="22"/>
  <c r="V2186" i="22"/>
  <c r="V2202" i="22"/>
  <c r="V2218" i="22"/>
  <c r="V2234" i="22"/>
  <c r="V2250" i="22"/>
  <c r="V2266" i="22"/>
  <c r="V2282" i="22"/>
  <c r="V2298" i="22"/>
  <c r="V2314" i="22"/>
  <c r="V2330" i="22"/>
  <c r="V2346" i="22"/>
  <c r="V2362" i="22"/>
  <c r="V2378" i="22"/>
  <c r="V2394" i="22"/>
  <c r="V2410" i="22"/>
  <c r="V2426" i="22"/>
  <c r="V2442" i="22"/>
  <c r="V2458" i="22"/>
  <c r="V2474" i="22"/>
  <c r="V2490" i="22"/>
  <c r="V2506" i="22"/>
  <c r="V2522" i="22"/>
  <c r="V2538" i="22"/>
  <c r="V2554" i="22"/>
  <c r="V2570" i="22"/>
  <c r="V2586" i="22"/>
  <c r="V2602" i="22"/>
  <c r="V2618" i="22"/>
  <c r="V2634" i="22"/>
  <c r="V2650" i="22"/>
  <c r="V2666" i="22"/>
  <c r="V2682" i="22"/>
  <c r="V2698" i="22"/>
  <c r="V2714" i="22"/>
  <c r="V2730" i="22"/>
  <c r="V2746" i="22"/>
  <c r="V2762" i="22"/>
  <c r="V2778" i="22"/>
  <c r="V2794" i="22"/>
  <c r="V2810" i="22"/>
  <c r="V2826" i="22"/>
  <c r="V2842" i="22"/>
  <c r="V2858" i="22"/>
  <c r="V2874" i="22"/>
  <c r="V2890" i="22"/>
  <c r="V2906" i="22"/>
  <c r="V2922" i="22"/>
  <c r="V2938" i="22"/>
  <c r="V2956" i="22"/>
  <c r="V2980" i="22"/>
  <c r="V3012" i="22"/>
  <c r="V3071" i="22"/>
  <c r="V2104" i="22"/>
  <c r="V2120" i="22"/>
  <c r="V2136" i="22"/>
  <c r="V2152" i="22"/>
  <c r="V2168" i="22"/>
  <c r="V2184" i="22"/>
  <c r="V2200" i="22"/>
  <c r="V2216" i="22"/>
  <c r="V2232" i="22"/>
  <c r="V2248" i="22"/>
  <c r="V2264" i="22"/>
  <c r="V2280" i="22"/>
  <c r="V2296" i="22"/>
  <c r="V2312" i="22"/>
  <c r="V2328" i="22"/>
  <c r="V2344" i="22"/>
  <c r="V2360" i="22"/>
  <c r="V2376" i="22"/>
  <c r="V2392" i="22"/>
  <c r="V2408" i="22"/>
  <c r="V2424" i="22"/>
  <c r="V2440" i="22"/>
  <c r="V2456" i="22"/>
  <c r="V2472" i="22"/>
  <c r="V2488" i="22"/>
  <c r="V2504" i="22"/>
  <c r="V2520" i="22"/>
  <c r="V2536" i="22"/>
  <c r="V2552" i="22"/>
  <c r="V2568" i="22"/>
  <c r="V2584" i="22"/>
  <c r="V2600" i="22"/>
  <c r="V2616" i="22"/>
  <c r="V2632" i="22"/>
  <c r="V2648" i="22"/>
  <c r="V2664" i="22"/>
  <c r="V2680" i="22"/>
  <c r="V2696" i="22"/>
  <c r="V2712" i="22"/>
  <c r="V2728" i="22"/>
  <c r="V2744" i="22"/>
  <c r="V2760" i="22"/>
  <c r="V2776" i="22"/>
  <c r="V2792" i="22"/>
  <c r="V2808" i="22"/>
  <c r="V2824" i="22"/>
  <c r="V2840" i="22"/>
  <c r="V2856" i="22"/>
  <c r="V2872" i="22"/>
  <c r="V2888" i="22"/>
  <c r="V2904" i="22"/>
  <c r="V2920" i="22"/>
  <c r="V2936" i="22"/>
  <c r="V2970" i="22"/>
  <c r="V3002" i="22"/>
  <c r="V3063" i="22"/>
  <c r="V2099" i="22"/>
  <c r="V2115" i="22"/>
  <c r="V2131" i="22"/>
  <c r="V2147" i="22"/>
  <c r="V2163" i="22"/>
  <c r="V2179" i="22"/>
  <c r="V2195" i="22"/>
  <c r="V2211" i="22"/>
  <c r="V2227" i="22"/>
  <c r="V2243" i="22"/>
  <c r="V2259" i="22"/>
  <c r="V2275" i="22"/>
  <c r="V2291" i="22"/>
  <c r="V2307" i="22"/>
  <c r="V2323" i="22"/>
  <c r="V2339" i="22"/>
  <c r="V2355" i="22"/>
  <c r="V2371" i="22"/>
  <c r="V2387" i="22"/>
  <c r="V2403" i="22"/>
  <c r="V2419" i="22"/>
  <c r="V2435" i="22"/>
  <c r="V2451" i="22"/>
  <c r="V2467" i="22"/>
  <c r="V2483" i="22"/>
  <c r="V2499" i="22"/>
  <c r="V2515" i="22"/>
  <c r="V2531" i="22"/>
  <c r="V2547" i="22"/>
  <c r="V2563" i="22"/>
  <c r="V2579" i="22"/>
  <c r="V2595" i="22"/>
  <c r="V2611" i="22"/>
  <c r="V2627" i="22"/>
  <c r="V2643" i="22"/>
  <c r="V2659" i="22"/>
  <c r="V2675" i="22"/>
  <c r="V2691" i="22"/>
  <c r="V2707" i="22"/>
  <c r="V2723" i="22"/>
  <c r="V2739" i="22"/>
  <c r="V2755" i="22"/>
  <c r="V2771" i="22"/>
  <c r="V2787" i="22"/>
  <c r="V2803" i="22"/>
  <c r="V2819" i="22"/>
  <c r="V2835" i="22"/>
  <c r="V2851" i="22"/>
  <c r="V2867" i="22"/>
  <c r="V2883" i="22"/>
  <c r="V2899" i="22"/>
  <c r="V2915" i="22"/>
  <c r="V2931" i="22"/>
  <c r="V2947" i="22"/>
  <c r="V2962" i="22"/>
  <c r="V2993" i="22"/>
  <c r="V3034" i="22"/>
  <c r="V2084" i="22"/>
  <c r="V2100" i="22"/>
  <c r="V2116" i="22"/>
  <c r="V2132" i="22"/>
  <c r="V2148" i="22"/>
  <c r="V2164" i="22"/>
  <c r="V2180" i="22"/>
  <c r="V2196" i="22"/>
  <c r="V2212" i="22"/>
  <c r="V2228" i="22"/>
  <c r="V2244" i="22"/>
  <c r="V2260" i="22"/>
  <c r="V2276" i="22"/>
  <c r="V2292" i="22"/>
  <c r="V2308" i="22"/>
  <c r="V2324" i="22"/>
  <c r="V2340" i="22"/>
  <c r="V2356" i="22"/>
  <c r="V2372" i="22"/>
  <c r="V2388" i="22"/>
  <c r="V2404" i="22"/>
  <c r="V2420" i="22"/>
  <c r="V2436" i="22"/>
  <c r="V2452" i="22"/>
  <c r="V2468" i="22"/>
  <c r="V2484" i="22"/>
  <c r="V2500" i="22"/>
  <c r="V2516" i="22"/>
  <c r="V2532" i="22"/>
  <c r="V2548" i="22"/>
  <c r="V2564" i="22"/>
  <c r="V2580" i="22"/>
  <c r="V2596" i="22"/>
  <c r="V2612" i="22"/>
  <c r="V2628" i="22"/>
  <c r="V2644" i="22"/>
  <c r="V2660" i="22"/>
  <c r="V2676" i="22"/>
  <c r="V2692" i="22"/>
  <c r="V2708" i="22"/>
  <c r="V2724" i="22"/>
  <c r="V2740" i="22"/>
  <c r="V2756" i="22"/>
  <c r="V2772" i="22"/>
  <c r="V2788" i="22"/>
  <c r="V2804" i="22"/>
  <c r="V2820" i="22"/>
  <c r="V2836" i="22"/>
  <c r="V2852" i="22"/>
  <c r="V2868" i="22"/>
  <c r="V2884" i="22"/>
  <c r="V2900" i="22"/>
  <c r="V2916" i="22"/>
  <c r="V2932" i="22"/>
  <c r="V2948" i="22"/>
  <c r="V2994" i="22"/>
  <c r="V3026" i="22"/>
  <c r="V3117" i="22"/>
  <c r="V3181" i="22"/>
  <c r="V3245" i="22"/>
  <c r="V3309" i="22"/>
  <c r="V3373" i="22"/>
  <c r="V3437" i="22"/>
  <c r="V3501" i="22"/>
  <c r="V2957" i="22"/>
  <c r="V2965" i="22"/>
  <c r="V2981" i="22"/>
  <c r="V2997" i="22"/>
  <c r="V3013" i="22"/>
  <c r="V3029" i="22"/>
  <c r="V3045" i="22"/>
  <c r="V3061" i="22"/>
  <c r="V3137" i="22"/>
  <c r="V3201" i="22"/>
  <c r="V3265" i="22"/>
  <c r="V3329" i="22"/>
  <c r="V3393" i="22"/>
  <c r="V3457" i="22"/>
  <c r="V2966" i="22"/>
  <c r="V2982" i="22"/>
  <c r="V2998" i="22"/>
  <c r="V3014" i="22"/>
  <c r="V3030" i="22"/>
  <c r="V3046" i="22"/>
  <c r="V3062" i="22"/>
  <c r="V3077" i="22"/>
  <c r="V3157" i="22"/>
  <c r="V3221" i="22"/>
  <c r="V3285" i="22"/>
  <c r="V3349" i="22"/>
  <c r="V3413" i="22"/>
  <c r="V3477" i="22"/>
  <c r="V3020" i="22"/>
  <c r="V3036" i="22"/>
  <c r="V3052" i="22"/>
  <c r="V3068" i="22"/>
  <c r="V3161" i="22"/>
  <c r="V3225" i="22"/>
  <c r="V3289" i="22"/>
  <c r="V3353" i="22"/>
  <c r="V3417" i="22"/>
  <c r="V3481" i="22"/>
  <c r="V3521" i="22"/>
  <c r="V3537" i="22"/>
  <c r="V3553" i="22"/>
  <c r="V3569" i="22"/>
  <c r="V3585" i="22"/>
  <c r="V3601" i="22"/>
  <c r="V3617" i="22"/>
  <c r="V3633" i="22"/>
  <c r="V3649" i="22"/>
  <c r="V3665" i="22"/>
  <c r="V3681" i="22"/>
  <c r="V3697" i="22"/>
  <c r="V3713" i="22"/>
  <c r="V3729" i="22"/>
  <c r="V3745" i="22"/>
  <c r="V3761" i="22"/>
  <c r="V3777" i="22"/>
  <c r="V3793" i="22"/>
  <c r="V3809" i="22"/>
  <c r="V3825" i="22"/>
  <c r="V3841" i="22"/>
  <c r="V3857" i="22"/>
  <c r="V3873" i="22"/>
  <c r="V3889" i="22"/>
  <c r="V3905" i="22"/>
  <c r="V3921" i="22"/>
  <c r="V3937" i="22"/>
  <c r="V3953" i="22"/>
  <c r="V3969" i="22"/>
  <c r="V3089" i="22"/>
  <c r="V3097" i="22"/>
  <c r="V3105" i="22"/>
  <c r="V3114" i="22"/>
  <c r="V3130" i="22"/>
  <c r="V3146" i="22"/>
  <c r="V3162" i="22"/>
  <c r="V3178" i="22"/>
  <c r="V3194" i="22"/>
  <c r="V3210" i="22"/>
  <c r="V3226" i="22"/>
  <c r="V3242" i="22"/>
  <c r="V3258" i="22"/>
  <c r="V3274" i="22"/>
  <c r="V3290" i="22"/>
  <c r="V3306" i="22"/>
  <c r="V3322" i="22"/>
  <c r="V3338" i="22"/>
  <c r="V3354" i="22"/>
  <c r="V3370" i="22"/>
  <c r="V3386" i="22"/>
  <c r="V3402" i="22"/>
  <c r="V3418" i="22"/>
  <c r="V3434" i="22"/>
  <c r="V3450" i="22"/>
  <c r="V3466" i="22"/>
  <c r="V3482" i="22"/>
  <c r="V3498" i="22"/>
  <c r="V3514" i="22"/>
  <c r="V3530" i="22"/>
  <c r="V3546" i="22"/>
  <c r="V3562" i="22"/>
  <c r="V3578" i="22"/>
  <c r="V3594" i="22"/>
  <c r="V3610" i="22"/>
  <c r="V3626" i="22"/>
  <c r="V3642" i="22"/>
  <c r="V3658" i="22"/>
  <c r="V3674" i="22"/>
  <c r="V3690" i="22"/>
  <c r="V3706" i="22"/>
  <c r="V3722" i="22"/>
  <c r="V3738" i="22"/>
  <c r="V3754" i="22"/>
  <c r="V3770" i="22"/>
  <c r="V3786" i="22"/>
  <c r="V3802" i="22"/>
  <c r="V3818" i="22"/>
  <c r="V3834" i="22"/>
  <c r="V3850" i="22"/>
  <c r="V3866" i="22"/>
  <c r="V3882" i="22"/>
  <c r="V3898" i="22"/>
  <c r="V3914" i="22"/>
  <c r="V3930" i="22"/>
  <c r="V3946" i="22"/>
  <c r="V3962" i="22"/>
  <c r="V3115" i="22"/>
  <c r="V3131" i="22"/>
  <c r="V3147" i="22"/>
  <c r="V3163" i="22"/>
  <c r="V3179" i="22"/>
  <c r="V3195" i="22"/>
  <c r="V3211" i="22"/>
  <c r="V3227" i="22"/>
  <c r="V3243" i="22"/>
  <c r="V3259" i="22"/>
  <c r="V3275" i="22"/>
  <c r="V3291" i="22"/>
  <c r="V3307" i="22"/>
  <c r="V3323" i="22"/>
  <c r="V3339" i="22"/>
  <c r="V3355" i="22"/>
  <c r="V3371" i="22"/>
  <c r="V3387" i="22"/>
  <c r="V3403" i="22"/>
  <c r="V3419" i="22"/>
  <c r="V3435" i="22"/>
  <c r="V3451" i="22"/>
  <c r="V3467" i="22"/>
  <c r="V3483" i="22"/>
  <c r="V3499" i="22"/>
  <c r="V3515" i="22"/>
  <c r="V3531" i="22"/>
  <c r="V3547" i="22"/>
  <c r="V3563" i="22"/>
  <c r="V3579" i="22"/>
  <c r="V3595" i="22"/>
  <c r="V3611" i="22"/>
  <c r="V3627" i="22"/>
  <c r="V3643" i="22"/>
  <c r="V3659" i="22"/>
  <c r="V3675" i="22"/>
  <c r="V3691" i="22"/>
  <c r="V3707" i="22"/>
  <c r="V3723" i="22"/>
  <c r="V3739" i="22"/>
  <c r="V3755" i="22"/>
  <c r="V3771" i="22"/>
  <c r="V3787" i="22"/>
  <c r="V3803" i="22"/>
  <c r="V3819" i="22"/>
  <c r="V3835" i="22"/>
  <c r="V3851" i="22"/>
  <c r="V3867" i="22"/>
  <c r="V3883" i="22"/>
  <c r="V3899" i="22"/>
  <c r="V3915" i="22"/>
  <c r="V3931" i="22"/>
  <c r="V3947" i="22"/>
  <c r="V3963" i="22"/>
  <c r="V3072" i="22"/>
  <c r="V3080" i="22"/>
  <c r="V3088" i="22"/>
  <c r="V3096" i="22"/>
  <c r="V3104" i="22"/>
  <c r="V3112" i="22"/>
  <c r="V3128" i="22"/>
  <c r="V3144" i="22"/>
  <c r="V3160" i="22"/>
  <c r="V3176" i="22"/>
  <c r="V3192" i="22"/>
  <c r="V3208" i="22"/>
  <c r="V3224" i="22"/>
  <c r="V3240" i="22"/>
  <c r="V3256" i="22"/>
  <c r="V3272" i="22"/>
  <c r="V3288" i="22"/>
  <c r="V3304" i="22"/>
  <c r="V3320" i="22"/>
  <c r="V3336" i="22"/>
  <c r="V3352" i="22"/>
  <c r="V3368" i="22"/>
  <c r="V3384" i="22"/>
  <c r="V3400" i="22"/>
  <c r="V3416" i="22"/>
  <c r="V3432" i="22"/>
  <c r="V3448" i="22"/>
  <c r="V3464" i="22"/>
  <c r="V3480" i="22"/>
  <c r="V3496" i="22"/>
  <c r="V3512" i="22"/>
  <c r="V3528" i="22"/>
  <c r="V3544" i="22"/>
  <c r="V3560" i="22"/>
  <c r="V3576" i="22"/>
  <c r="V3592" i="22"/>
  <c r="V3608" i="22"/>
  <c r="V3624" i="22"/>
  <c r="V3640" i="22"/>
  <c r="V3656" i="22"/>
  <c r="V3672" i="22"/>
  <c r="V3688" i="22"/>
  <c r="V3704" i="22"/>
  <c r="V3720" i="22"/>
  <c r="V3736" i="22"/>
  <c r="V3752" i="22"/>
  <c r="V3768" i="22"/>
  <c r="V3784" i="22"/>
  <c r="V3800" i="22"/>
  <c r="V3816" i="22"/>
  <c r="V3832" i="22"/>
  <c r="V3848" i="22"/>
  <c r="V3864" i="22"/>
  <c r="V3880" i="22"/>
  <c r="V3896" i="22"/>
  <c r="V3912" i="22"/>
  <c r="V3928" i="22"/>
  <c r="V3944" i="22"/>
  <c r="V3960" i="22"/>
  <c r="V248" i="22"/>
  <c r="V120" i="22"/>
  <c r="V60" i="22"/>
  <c r="V462" i="22"/>
  <c r="V318" i="22"/>
  <c r="V222" i="22"/>
  <c r="V126" i="22"/>
  <c r="V73" i="22"/>
  <c r="V577" i="22"/>
  <c r="V316" i="22"/>
  <c r="V252" i="22"/>
  <c r="V188" i="22"/>
  <c r="V124" i="22"/>
  <c r="V88" i="22"/>
  <c r="V61" i="22"/>
  <c r="V510" i="22"/>
  <c r="V382" i="22"/>
  <c r="V306" i="22"/>
  <c r="V242" i="22"/>
  <c r="V178" i="22"/>
  <c r="V115" i="22"/>
  <c r="V83" i="22"/>
  <c r="V582" i="22"/>
  <c r="V614" i="22"/>
  <c r="V694" i="22"/>
  <c r="V561" i="22"/>
  <c r="V497" i="22"/>
  <c r="V433" i="22"/>
  <c r="V369" i="22"/>
  <c r="V336" i="22"/>
  <c r="V304" i="22"/>
  <c r="V272" i="22"/>
  <c r="V240" i="22"/>
  <c r="V208" i="22"/>
  <c r="V176" i="22"/>
  <c r="V144" i="22"/>
  <c r="V114" i="22"/>
  <c r="V98" i="22"/>
  <c r="V82" i="22"/>
  <c r="V66" i="22"/>
  <c r="V56" i="22"/>
  <c r="V569" i="22"/>
  <c r="V505" i="22"/>
  <c r="V441" i="22"/>
  <c r="V377" i="22"/>
  <c r="V342" i="22"/>
  <c r="V310" i="22"/>
  <c r="V278" i="22"/>
  <c r="V246" i="22"/>
  <c r="V214" i="22"/>
  <c r="V182" i="22"/>
  <c r="V150" i="22"/>
  <c r="V118" i="22"/>
  <c r="V101" i="22"/>
  <c r="V85" i="22"/>
  <c r="V69" i="22"/>
  <c r="V15" i="22"/>
  <c r="V7" i="22"/>
  <c r="V566" i="22"/>
  <c r="V502" i="22"/>
  <c r="V438" i="22"/>
  <c r="V374" i="22"/>
  <c r="V340" i="22"/>
  <c r="V308" i="22"/>
  <c r="V276" i="22"/>
  <c r="V244" i="22"/>
  <c r="V212" i="22"/>
  <c r="V180" i="22"/>
  <c r="V148" i="22"/>
  <c r="V116" i="22"/>
  <c r="V100" i="22"/>
  <c r="V84" i="22"/>
  <c r="V68" i="22"/>
  <c r="V58" i="22"/>
  <c r="V553" i="22"/>
  <c r="V489" i="22"/>
  <c r="V425" i="22"/>
  <c r="V362" i="22"/>
  <c r="V330" i="22"/>
  <c r="V298" i="22"/>
  <c r="V266" i="22"/>
  <c r="V234" i="22"/>
  <c r="V202" i="22"/>
  <c r="V170" i="22"/>
  <c r="V138" i="22"/>
  <c r="V111" i="22"/>
  <c r="V95" i="22"/>
  <c r="V79" i="22"/>
  <c r="V57" i="22"/>
  <c r="V2" i="22"/>
  <c r="V585" i="22"/>
  <c r="V601" i="22"/>
  <c r="V617" i="22"/>
  <c r="V633" i="22"/>
  <c r="V650" i="22"/>
  <c r="V666" i="22"/>
  <c r="V682" i="22"/>
  <c r="V698" i="22"/>
  <c r="V714" i="22"/>
  <c r="V730" i="22"/>
  <c r="V746" i="22"/>
  <c r="V762" i="22"/>
  <c r="V778" i="22"/>
  <c r="V794" i="22"/>
  <c r="V810" i="22"/>
  <c r="V826" i="22"/>
  <c r="V842" i="22"/>
  <c r="V858" i="22"/>
  <c r="V874" i="22"/>
  <c r="V890" i="22"/>
  <c r="V906" i="22"/>
  <c r="V922" i="22"/>
  <c r="V938" i="22"/>
  <c r="V954" i="22"/>
  <c r="V970" i="22"/>
  <c r="V986" i="22"/>
  <c r="V1002" i="22"/>
  <c r="V1018" i="22"/>
  <c r="V1034" i="22"/>
  <c r="V1050" i="22"/>
  <c r="V1066" i="22"/>
  <c r="V1082" i="22"/>
  <c r="V1098" i="22"/>
  <c r="V1114" i="22"/>
  <c r="V1130" i="22"/>
  <c r="V1146" i="22"/>
  <c r="V1162" i="22"/>
  <c r="V1178" i="22"/>
  <c r="V1194" i="22"/>
  <c r="V1210" i="22"/>
  <c r="V1226" i="22"/>
  <c r="V1242" i="22"/>
  <c r="V1258" i="22"/>
  <c r="V1274" i="22"/>
  <c r="V1290" i="22"/>
  <c r="V1306" i="22"/>
  <c r="V1322" i="22"/>
  <c r="V1338" i="22"/>
  <c r="V1354" i="22"/>
  <c r="V1370" i="22"/>
  <c r="V1386" i="22"/>
  <c r="V1402" i="22"/>
  <c r="V1418" i="22"/>
  <c r="V1434" i="22"/>
  <c r="V1450" i="22"/>
  <c r="V1466" i="22"/>
  <c r="V1482" i="22"/>
  <c r="V1498" i="22"/>
  <c r="V1514" i="22"/>
  <c r="V1530" i="22"/>
  <c r="V1546" i="22"/>
  <c r="V1562" i="22"/>
  <c r="V1578" i="22"/>
  <c r="V1594" i="22"/>
  <c r="V1610" i="22"/>
  <c r="V1626" i="22"/>
  <c r="V1642" i="22"/>
  <c r="V1658" i="22"/>
  <c r="V1674" i="22"/>
  <c r="V1690" i="22"/>
  <c r="V1706" i="22"/>
  <c r="V1722" i="22"/>
  <c r="V8" i="22"/>
  <c r="V42" i="22"/>
  <c r="V367" i="22"/>
  <c r="V383" i="22"/>
  <c r="V399" i="22"/>
  <c r="V415" i="22"/>
  <c r="V431" i="22"/>
  <c r="V447" i="22"/>
  <c r="V463" i="22"/>
  <c r="V479" i="22"/>
  <c r="V495" i="22"/>
  <c r="V511" i="22"/>
  <c r="V527" i="22"/>
  <c r="V543" i="22"/>
  <c r="V559" i="22"/>
  <c r="V575" i="22"/>
  <c r="V591" i="22"/>
  <c r="V607" i="22"/>
  <c r="V623" i="22"/>
  <c r="V639" i="22"/>
  <c r="V655" i="22"/>
  <c r="V671" i="22"/>
  <c r="V687" i="22"/>
  <c r="V703" i="22"/>
  <c r="V719" i="22"/>
  <c r="V735" i="22"/>
  <c r="V751" i="22"/>
  <c r="V767" i="22"/>
  <c r="V783" i="22"/>
  <c r="V799" i="22"/>
  <c r="V815" i="22"/>
  <c r="V831" i="22"/>
  <c r="V847" i="22"/>
  <c r="V863" i="22"/>
  <c r="V879" i="22"/>
  <c r="V895" i="22"/>
  <c r="V911" i="22"/>
  <c r="V927" i="22"/>
  <c r="V943" i="22"/>
  <c r="V959" i="22"/>
  <c r="V975" i="22"/>
  <c r="V991" i="22"/>
  <c r="V1007" i="22"/>
  <c r="V1023" i="22"/>
  <c r="V1039" i="22"/>
  <c r="V1055" i="22"/>
  <c r="V1071" i="22"/>
  <c r="V1087" i="22"/>
  <c r="V1103" i="22"/>
  <c r="V1119" i="22"/>
  <c r="V1135" i="22"/>
  <c r="V1151" i="22"/>
  <c r="V1167" i="22"/>
  <c r="V1183" i="22"/>
  <c r="V1199" i="22"/>
  <c r="V1215" i="22"/>
  <c r="V1231" i="22"/>
  <c r="V1247" i="22"/>
  <c r="V1263" i="22"/>
  <c r="V1279" i="22"/>
  <c r="V1295" i="22"/>
  <c r="V1311" i="22"/>
  <c r="V1327" i="22"/>
  <c r="V1343" i="22"/>
  <c r="V1359" i="22"/>
  <c r="V1375" i="22"/>
  <c r="V1391" i="22"/>
  <c r="V1407" i="22"/>
  <c r="V1423" i="22"/>
  <c r="V1439" i="22"/>
  <c r="V1455" i="22"/>
  <c r="V1471" i="22"/>
  <c r="V1487" i="22"/>
  <c r="V1503" i="22"/>
  <c r="V1519" i="22"/>
  <c r="V1535" i="22"/>
  <c r="V1551" i="22"/>
  <c r="V1567" i="22"/>
  <c r="V1583" i="22"/>
  <c r="V1599" i="22"/>
  <c r="V1615" i="22"/>
  <c r="V1631" i="22"/>
  <c r="V1647" i="22"/>
  <c r="V1663" i="22"/>
  <c r="V1679" i="22"/>
  <c r="V1695" i="22"/>
  <c r="V1711" i="22"/>
  <c r="V1727" i="22"/>
  <c r="V121" i="22"/>
  <c r="V129" i="22"/>
  <c r="V137" i="22"/>
  <c r="V145" i="22"/>
  <c r="V153" i="22"/>
  <c r="V161" i="22"/>
  <c r="V169" i="22"/>
  <c r="V177" i="22"/>
  <c r="V185" i="22"/>
  <c r="V193" i="22"/>
  <c r="V201" i="22"/>
  <c r="V209" i="22"/>
  <c r="V217" i="22"/>
  <c r="V225" i="22"/>
  <c r="V233" i="22"/>
  <c r="V241" i="22"/>
  <c r="V249" i="22"/>
  <c r="V257" i="22"/>
  <c r="V265" i="22"/>
  <c r="V273" i="22"/>
  <c r="V281" i="22"/>
  <c r="V289" i="22"/>
  <c r="V297" i="22"/>
  <c r="V305" i="22"/>
  <c r="V313" i="22"/>
  <c r="V321" i="22"/>
  <c r="V329" i="22"/>
  <c r="V337" i="22"/>
  <c r="V345" i="22"/>
  <c r="V353" i="22"/>
  <c r="V361" i="22"/>
  <c r="V373" i="22"/>
  <c r="V389" i="22"/>
  <c r="V405" i="22"/>
  <c r="V421" i="22"/>
  <c r="V437" i="22"/>
  <c r="V453" i="22"/>
  <c r="V469" i="22"/>
  <c r="V485" i="22"/>
  <c r="V501" i="22"/>
  <c r="V517" i="22"/>
  <c r="V533" i="22"/>
  <c r="V549" i="22"/>
  <c r="V565" i="22"/>
  <c r="V581" i="22"/>
  <c r="V597" i="22"/>
  <c r="V613" i="22"/>
  <c r="V629" i="22"/>
  <c r="V644" i="22"/>
  <c r="V660" i="22"/>
  <c r="V676" i="22"/>
  <c r="V692" i="22"/>
  <c r="V708" i="22"/>
  <c r="V724" i="22"/>
  <c r="V740" i="22"/>
  <c r="V756" i="22"/>
  <c r="V772" i="22"/>
  <c r="V788" i="22"/>
  <c r="V804" i="22"/>
  <c r="V820" i="22"/>
  <c r="V836" i="22"/>
  <c r="V852" i="22"/>
  <c r="V868" i="22"/>
  <c r="V884" i="22"/>
  <c r="V900" i="22"/>
  <c r="V916" i="22"/>
  <c r="V932" i="22"/>
  <c r="V948" i="22"/>
  <c r="V964" i="22"/>
  <c r="V980" i="22"/>
  <c r="V996" i="22"/>
  <c r="V1012" i="22"/>
  <c r="V1028" i="22"/>
  <c r="V1044" i="22"/>
  <c r="V1060" i="22"/>
  <c r="V1076" i="22"/>
  <c r="V1092" i="22"/>
  <c r="V1108" i="22"/>
  <c r="V1124" i="22"/>
  <c r="V1140" i="22"/>
  <c r="V1156" i="22"/>
  <c r="V1172" i="22"/>
  <c r="V1188" i="22"/>
  <c r="V1204" i="22"/>
  <c r="V1220" i="22"/>
  <c r="V1236" i="22"/>
  <c r="V1252" i="22"/>
  <c r="V1268" i="22"/>
  <c r="V1284" i="22"/>
  <c r="V1300" i="22"/>
  <c r="V1316" i="22"/>
  <c r="V1332" i="22"/>
  <c r="V1348" i="22"/>
  <c r="V1364" i="22"/>
  <c r="V1380" i="22"/>
  <c r="V1396" i="22"/>
  <c r="V1412" i="22"/>
  <c r="V1428" i="22"/>
  <c r="V1444" i="22"/>
  <c r="V1460" i="22"/>
  <c r="V1476" i="22"/>
  <c r="V1492" i="22"/>
  <c r="V1508" i="22"/>
  <c r="V1524" i="22"/>
  <c r="V1540" i="22"/>
  <c r="V1556" i="22"/>
  <c r="V1572" i="22"/>
  <c r="V1588" i="22"/>
  <c r="V1604" i="22"/>
  <c r="V1620" i="22"/>
  <c r="V1636" i="22"/>
  <c r="V1652" i="22"/>
  <c r="V1668" i="22"/>
  <c r="V1684" i="22"/>
  <c r="V1700" i="22"/>
  <c r="V1716" i="22"/>
  <c r="V1733" i="22"/>
  <c r="V14" i="22"/>
  <c r="V21" i="22"/>
  <c r="V25" i="22"/>
  <c r="V29" i="22"/>
  <c r="V33" i="22"/>
  <c r="V37" i="22"/>
  <c r="V43" i="22"/>
  <c r="V371" i="22"/>
  <c r="V387" i="22"/>
  <c r="V403" i="22"/>
  <c r="V419" i="22"/>
  <c r="V435" i="22"/>
  <c r="V451" i="22"/>
  <c r="V467" i="22"/>
  <c r="V483" i="22"/>
  <c r="V499" i="22"/>
  <c r="V515" i="22"/>
  <c r="V531" i="22"/>
  <c r="V547" i="22"/>
  <c r="V563" i="22"/>
  <c r="V579" i="22"/>
  <c r="V595" i="22"/>
  <c r="V611" i="22"/>
  <c r="V627" i="22"/>
  <c r="V645" i="22"/>
  <c r="V661" i="22"/>
  <c r="V677" i="22"/>
  <c r="V693" i="22"/>
  <c r="V709" i="22"/>
  <c r="V725" i="22"/>
  <c r="V741" i="22"/>
  <c r="V757" i="22"/>
  <c r="V773" i="22"/>
  <c r="V789" i="22"/>
  <c r="V805" i="22"/>
  <c r="V821" i="22"/>
  <c r="V837" i="22"/>
  <c r="V853" i="22"/>
  <c r="V869" i="22"/>
  <c r="V885" i="22"/>
  <c r="V901" i="22"/>
  <c r="V917" i="22"/>
  <c r="V933" i="22"/>
  <c r="V949" i="22"/>
  <c r="V965" i="22"/>
  <c r="V981" i="22"/>
  <c r="V997" i="22"/>
  <c r="V1013" i="22"/>
  <c r="V1029" i="22"/>
  <c r="V1045" i="22"/>
  <c r="V1061" i="22"/>
  <c r="V1077" i="22"/>
  <c r="V1093" i="22"/>
  <c r="V1109" i="22"/>
  <c r="V1125" i="22"/>
  <c r="V1141" i="22"/>
  <c r="V1157" i="22"/>
  <c r="V1173" i="22"/>
  <c r="V1189" i="22"/>
  <c r="V1205" i="22"/>
  <c r="V1221" i="22"/>
  <c r="V1237" i="22"/>
  <c r="V1253" i="22"/>
  <c r="V1269" i="22"/>
  <c r="V1285" i="22"/>
  <c r="V1301" i="22"/>
  <c r="V1317" i="22"/>
  <c r="V1333" i="22"/>
  <c r="V1349" i="22"/>
  <c r="V1365" i="22"/>
  <c r="V1381" i="22"/>
  <c r="V1397" i="22"/>
  <c r="V1413" i="22"/>
  <c r="V1429" i="22"/>
  <c r="V1445" i="22"/>
  <c r="V1461" i="22"/>
  <c r="V1477" i="22"/>
  <c r="V1493" i="22"/>
  <c r="V1509" i="22"/>
  <c r="V1525" i="22"/>
  <c r="V1541" i="22"/>
  <c r="V1557" i="22"/>
  <c r="V1573" i="22"/>
  <c r="V1589" i="22"/>
  <c r="V1605" i="22"/>
  <c r="V1621" i="22"/>
  <c r="V1637" i="22"/>
  <c r="V1653" i="22"/>
  <c r="V1669" i="22"/>
  <c r="V1685" i="22"/>
  <c r="V1701" i="22"/>
  <c r="V1717" i="22"/>
  <c r="V1746" i="22"/>
  <c r="V1762" i="22"/>
  <c r="V1778" i="22"/>
  <c r="V1794" i="22"/>
  <c r="V1810" i="22"/>
  <c r="V1826" i="22"/>
  <c r="V1842" i="22"/>
  <c r="V1858" i="22"/>
  <c r="V1874" i="22"/>
  <c r="V1890" i="22"/>
  <c r="V1906" i="22"/>
  <c r="V1922" i="22"/>
  <c r="V1938" i="22"/>
  <c r="V1954" i="22"/>
  <c r="V1970" i="22"/>
  <c r="V1986" i="22"/>
  <c r="V2002" i="22"/>
  <c r="V2018" i="22"/>
  <c r="V2034" i="22"/>
  <c r="V2050" i="22"/>
  <c r="V2066" i="22"/>
  <c r="V2082" i="22"/>
  <c r="V1736" i="22"/>
  <c r="V1744" i="22"/>
  <c r="V1760" i="22"/>
  <c r="V1776" i="22"/>
  <c r="V1792" i="22"/>
  <c r="V1808" i="22"/>
  <c r="V1824" i="22"/>
  <c r="V1840" i="22"/>
  <c r="V1856" i="22"/>
  <c r="V1872" i="22"/>
  <c r="V1888" i="22"/>
  <c r="V1904" i="22"/>
  <c r="V1920" i="22"/>
  <c r="V1936" i="22"/>
  <c r="V1952" i="22"/>
  <c r="V1968" i="22"/>
  <c r="V1984" i="22"/>
  <c r="V2000" i="22"/>
  <c r="V2016" i="22"/>
  <c r="V2032" i="22"/>
  <c r="V2048" i="22"/>
  <c r="V2064" i="22"/>
  <c r="V2080" i="22"/>
  <c r="V1750" i="22"/>
  <c r="V1766" i="22"/>
  <c r="V1782" i="22"/>
  <c r="V1798" i="22"/>
  <c r="V1814" i="22"/>
  <c r="V1830" i="22"/>
  <c r="V1846" i="22"/>
  <c r="V1862" i="22"/>
  <c r="V1878" i="22"/>
  <c r="V1894" i="22"/>
  <c r="V1910" i="22"/>
  <c r="V1926" i="22"/>
  <c r="V1942" i="22"/>
  <c r="V1958" i="22"/>
  <c r="V1974" i="22"/>
  <c r="V1990" i="22"/>
  <c r="V2006" i="22"/>
  <c r="V2022" i="22"/>
  <c r="V2038" i="22"/>
  <c r="V2054" i="22"/>
  <c r="V2070" i="22"/>
  <c r="V2087" i="22"/>
  <c r="V1741" i="22"/>
  <c r="V1753" i="22"/>
  <c r="V1769" i="22"/>
  <c r="V1785" i="22"/>
  <c r="V1801" i="22"/>
  <c r="V1817" i="22"/>
  <c r="V1833" i="22"/>
  <c r="V1849" i="22"/>
  <c r="V1865" i="22"/>
  <c r="V1881" i="22"/>
  <c r="V1897" i="22"/>
  <c r="V1913" i="22"/>
  <c r="V1929" i="22"/>
  <c r="V1945" i="22"/>
  <c r="V1961" i="22"/>
  <c r="V1977" i="22"/>
  <c r="V1993" i="22"/>
  <c r="V2009" i="22"/>
  <c r="V2025" i="22"/>
  <c r="V2041" i="22"/>
  <c r="V2057" i="22"/>
  <c r="V2073" i="22"/>
  <c r="V2095" i="22"/>
  <c r="V2111" i="22"/>
  <c r="V2127" i="22"/>
  <c r="V2143" i="22"/>
  <c r="V2159" i="22"/>
  <c r="V2175" i="22"/>
  <c r="V2191" i="22"/>
  <c r="V2207" i="22"/>
  <c r="V2223" i="22"/>
  <c r="V2239" i="22"/>
  <c r="V2255" i="22"/>
  <c r="V2271" i="22"/>
  <c r="V2287" i="22"/>
  <c r="V2303" i="22"/>
  <c r="V2319" i="22"/>
  <c r="V2335" i="22"/>
  <c r="V2351" i="22"/>
  <c r="V2367" i="22"/>
  <c r="V2383" i="22"/>
  <c r="V2399" i="22"/>
  <c r="V2415" i="22"/>
  <c r="V2431" i="22"/>
  <c r="V2447" i="22"/>
  <c r="V2463" i="22"/>
  <c r="V2479" i="22"/>
  <c r="V2495" i="22"/>
  <c r="V2511" i="22"/>
  <c r="V2527" i="22"/>
  <c r="V2543" i="22"/>
  <c r="V2559" i="22"/>
  <c r="V2575" i="22"/>
  <c r="V2591" i="22"/>
  <c r="V2607" i="22"/>
  <c r="V2623" i="22"/>
  <c r="V2639" i="22"/>
  <c r="V2655" i="22"/>
  <c r="V2671" i="22"/>
  <c r="V2687" i="22"/>
  <c r="V2703" i="22"/>
  <c r="V2719" i="22"/>
  <c r="V2735" i="22"/>
  <c r="V2751" i="22"/>
  <c r="V2767" i="22"/>
  <c r="V2783" i="22"/>
  <c r="V2799" i="22"/>
  <c r="V2815" i="22"/>
  <c r="V2831" i="22"/>
  <c r="V2847" i="22"/>
  <c r="V2863" i="22"/>
  <c r="V2879" i="22"/>
  <c r="V2895" i="22"/>
  <c r="V2911" i="22"/>
  <c r="V2927" i="22"/>
  <c r="V2943" i="22"/>
  <c r="V2960" i="22"/>
  <c r="V2985" i="22"/>
  <c r="V3018" i="22"/>
  <c r="V2093" i="22"/>
  <c r="V2109" i="22"/>
  <c r="V2125" i="22"/>
  <c r="V2141" i="22"/>
  <c r="V2157" i="22"/>
  <c r="V2173" i="22"/>
  <c r="V2189" i="22"/>
  <c r="V2205" i="22"/>
  <c r="V2221" i="22"/>
  <c r="V2237" i="22"/>
  <c r="V2253" i="22"/>
  <c r="V2269" i="22"/>
  <c r="V2285" i="22"/>
  <c r="V2301" i="22"/>
  <c r="V2317" i="22"/>
  <c r="V2333" i="22"/>
  <c r="V2349" i="22"/>
  <c r="V2365" i="22"/>
  <c r="V2381" i="22"/>
  <c r="V2397" i="22"/>
  <c r="V2413" i="22"/>
  <c r="V2429" i="22"/>
  <c r="V2445" i="22"/>
  <c r="V2461" i="22"/>
  <c r="V2477" i="22"/>
  <c r="V2493" i="22"/>
  <c r="V2509" i="22"/>
  <c r="V2525" i="22"/>
  <c r="V2541" i="22"/>
  <c r="V2557" i="22"/>
  <c r="V2573" i="22"/>
  <c r="V2589" i="22"/>
  <c r="V2605" i="22"/>
  <c r="V2621" i="22"/>
  <c r="V2637" i="22"/>
  <c r="V2653" i="22"/>
  <c r="V2669" i="22"/>
  <c r="V2685" i="22"/>
  <c r="V2701" i="22"/>
  <c r="V2717" i="22"/>
  <c r="V2733" i="22"/>
  <c r="V2749" i="22"/>
  <c r="V2765" i="22"/>
  <c r="V2781" i="22"/>
  <c r="V2797" i="22"/>
  <c r="V2813" i="22"/>
  <c r="V2829" i="22"/>
  <c r="V2845" i="22"/>
  <c r="V2861" i="22"/>
  <c r="V2877" i="22"/>
  <c r="V2893" i="22"/>
  <c r="V2909" i="22"/>
  <c r="V2925" i="22"/>
  <c r="V2941" i="22"/>
  <c r="V2975" i="22"/>
  <c r="V3007" i="22"/>
  <c r="V3075" i="22"/>
  <c r="V2102" i="22"/>
  <c r="V2118" i="22"/>
  <c r="V2134" i="22"/>
  <c r="V2150" i="22"/>
  <c r="V2166" i="22"/>
  <c r="V2182" i="22"/>
  <c r="V2198" i="22"/>
  <c r="V2214" i="22"/>
  <c r="V2230" i="22"/>
  <c r="V2246" i="22"/>
  <c r="V2262" i="22"/>
  <c r="V2278" i="22"/>
  <c r="V2294" i="22"/>
  <c r="V2310" i="22"/>
  <c r="V2326" i="22"/>
  <c r="V2342" i="22"/>
  <c r="V2358" i="22"/>
  <c r="V2374" i="22"/>
  <c r="V2390" i="22"/>
  <c r="V2406" i="22"/>
  <c r="V2422" i="22"/>
  <c r="V2438" i="22"/>
  <c r="V2454" i="22"/>
  <c r="V2470" i="22"/>
  <c r="V2486" i="22"/>
  <c r="V2502" i="22"/>
  <c r="V2518" i="22"/>
  <c r="V2534" i="22"/>
  <c r="V2550" i="22"/>
  <c r="V2566" i="22"/>
  <c r="V2582" i="22"/>
  <c r="V2598" i="22"/>
  <c r="V2614" i="22"/>
  <c r="V2630" i="22"/>
  <c r="V2646" i="22"/>
  <c r="V2662" i="22"/>
  <c r="V2678" i="22"/>
  <c r="V2694" i="22"/>
  <c r="V2710" i="22"/>
  <c r="V2726" i="22"/>
  <c r="V2742" i="22"/>
  <c r="V2758" i="22"/>
  <c r="V2774" i="22"/>
  <c r="V2790" i="22"/>
  <c r="V2806" i="22"/>
  <c r="V2822" i="22"/>
  <c r="V2838" i="22"/>
  <c r="V2854" i="22"/>
  <c r="V2870" i="22"/>
  <c r="V2886" i="22"/>
  <c r="V2902" i="22"/>
  <c r="V2918" i="22"/>
  <c r="V2934" i="22"/>
  <c r="V2950" i="22"/>
  <c r="V2972" i="22"/>
  <c r="V3004" i="22"/>
  <c r="V3055" i="22"/>
  <c r="V2089" i="22"/>
  <c r="V2105" i="22"/>
  <c r="V2121" i="22"/>
  <c r="V2137" i="22"/>
  <c r="V2153" i="22"/>
  <c r="V2169" i="22"/>
  <c r="V2185" i="22"/>
  <c r="V2201" i="22"/>
  <c r="V2217" i="22"/>
  <c r="V2233" i="22"/>
  <c r="V2249" i="22"/>
  <c r="V2265" i="22"/>
  <c r="V2281" i="22"/>
  <c r="V2297" i="22"/>
  <c r="V2313" i="22"/>
  <c r="V2329" i="22"/>
  <c r="V2345" i="22"/>
  <c r="V2361" i="22"/>
  <c r="V2377" i="22"/>
  <c r="V2393" i="22"/>
  <c r="V2409" i="22"/>
  <c r="V2425" i="22"/>
  <c r="V2441" i="22"/>
  <c r="V2457" i="22"/>
  <c r="V2473" i="22"/>
  <c r="V2489" i="22"/>
  <c r="V2505" i="22"/>
  <c r="V2521" i="22"/>
  <c r="V2537" i="22"/>
  <c r="V2553" i="22"/>
  <c r="V2569" i="22"/>
  <c r="V2585" i="22"/>
  <c r="V2601" i="22"/>
  <c r="V2617" i="22"/>
  <c r="V2633" i="22"/>
  <c r="V2649" i="22"/>
  <c r="V2665" i="22"/>
  <c r="V2681" i="22"/>
  <c r="V2697" i="22"/>
  <c r="V2713" i="22"/>
  <c r="V2729" i="22"/>
  <c r="V2745" i="22"/>
  <c r="V2761" i="22"/>
  <c r="V2777" i="22"/>
  <c r="V2793" i="22"/>
  <c r="V2809" i="22"/>
  <c r="V2825" i="22"/>
  <c r="V2841" i="22"/>
  <c r="V2857" i="22"/>
  <c r="V2873" i="22"/>
  <c r="V2889" i="22"/>
  <c r="V2905" i="22"/>
  <c r="V2921" i="22"/>
  <c r="V2937" i="22"/>
  <c r="V2967" i="22"/>
  <c r="V2999" i="22"/>
  <c r="V3047" i="22"/>
  <c r="V3133" i="22"/>
  <c r="V3197" i="22"/>
  <c r="V3261" i="22"/>
  <c r="V3325" i="22"/>
  <c r="V3389" i="22"/>
  <c r="V3453" i="22"/>
  <c r="V2951" i="22"/>
  <c r="V2959" i="22"/>
  <c r="V2968" i="22"/>
  <c r="V2984" i="22"/>
  <c r="V3000" i="22"/>
  <c r="V3016" i="22"/>
  <c r="V3032" i="22"/>
  <c r="V3048" i="22"/>
  <c r="V3064" i="22"/>
  <c r="V3153" i="22"/>
  <c r="V3217" i="22"/>
  <c r="V3281" i="22"/>
  <c r="V3345" i="22"/>
  <c r="V3409" i="22"/>
  <c r="V3473" i="22"/>
  <c r="V2971" i="22"/>
  <c r="V2987" i="22"/>
  <c r="V3003" i="22"/>
  <c r="V3019" i="22"/>
  <c r="V3035" i="22"/>
  <c r="V3051" i="22"/>
  <c r="V3067" i="22"/>
  <c r="V3081" i="22"/>
  <c r="V3173" i="22"/>
  <c r="V3237" i="22"/>
  <c r="V3301" i="22"/>
  <c r="V3365" i="22"/>
  <c r="V3429" i="22"/>
  <c r="V3493" i="22"/>
  <c r="V3025" i="22"/>
  <c r="V3041" i="22"/>
  <c r="V3057" i="22"/>
  <c r="V3113" i="22"/>
  <c r="V3177" i="22"/>
  <c r="V3241" i="22"/>
  <c r="V3305" i="22"/>
  <c r="V3369" i="22"/>
  <c r="V3433" i="22"/>
  <c r="V3497" i="22"/>
  <c r="V3525" i="22"/>
  <c r="V3541" i="22"/>
  <c r="V3557" i="22"/>
  <c r="V3573" i="22"/>
  <c r="V3589" i="22"/>
  <c r="V3605" i="22"/>
  <c r="V3621" i="22"/>
  <c r="V3637" i="22"/>
  <c r="V3653" i="22"/>
  <c r="V3669" i="22"/>
  <c r="V3685" i="22"/>
  <c r="V3701" i="22"/>
  <c r="V3717" i="22"/>
  <c r="V3733" i="22"/>
  <c r="V3749" i="22"/>
  <c r="V3765" i="22"/>
  <c r="V3781" i="22"/>
  <c r="V3797" i="22"/>
  <c r="V3813" i="22"/>
  <c r="V3829" i="22"/>
  <c r="V3845" i="22"/>
  <c r="V3861" i="22"/>
  <c r="V3877" i="22"/>
  <c r="V3893" i="22"/>
  <c r="V3909" i="22"/>
  <c r="V3925" i="22"/>
  <c r="V3941" i="22"/>
  <c r="V3957" i="22"/>
  <c r="V3973" i="22"/>
  <c r="V3091" i="22"/>
  <c r="V3099" i="22"/>
  <c r="V3107" i="22"/>
  <c r="V3118" i="22"/>
  <c r="V3134" i="22"/>
  <c r="V3150" i="22"/>
  <c r="V3166" i="22"/>
  <c r="V3182" i="22"/>
  <c r="V3198" i="22"/>
  <c r="V3214" i="22"/>
  <c r="V3230" i="22"/>
  <c r="V3246" i="22"/>
  <c r="V3262" i="22"/>
  <c r="V3278" i="22"/>
  <c r="V3294" i="22"/>
  <c r="V3310" i="22"/>
  <c r="V3326" i="22"/>
  <c r="V3342" i="22"/>
  <c r="V3358" i="22"/>
  <c r="V3374" i="22"/>
  <c r="V3390" i="22"/>
  <c r="V3406" i="22"/>
  <c r="V3422" i="22"/>
  <c r="V3438" i="22"/>
  <c r="V3454" i="22"/>
  <c r="V3470" i="22"/>
  <c r="V3486" i="22"/>
  <c r="V3502" i="22"/>
  <c r="V3518" i="22"/>
  <c r="V3534" i="22"/>
  <c r="V3550" i="22"/>
  <c r="V3566" i="22"/>
  <c r="V3582" i="22"/>
  <c r="V3598" i="22"/>
  <c r="V3614" i="22"/>
  <c r="V3630" i="22"/>
  <c r="V3646" i="22"/>
  <c r="V3662" i="22"/>
  <c r="V3678" i="22"/>
  <c r="V3694" i="22"/>
  <c r="V3710" i="22"/>
  <c r="V3726" i="22"/>
  <c r="V3742" i="22"/>
  <c r="V3758" i="22"/>
  <c r="V3774" i="22"/>
  <c r="V3790" i="22"/>
  <c r="V3806" i="22"/>
  <c r="V3822" i="22"/>
  <c r="V3838" i="22"/>
  <c r="V3854" i="22"/>
  <c r="V3870" i="22"/>
  <c r="V3886" i="22"/>
  <c r="V3902" i="22"/>
  <c r="V3918" i="22"/>
  <c r="V3934" i="22"/>
  <c r="V3950" i="22"/>
  <c r="V3966" i="22"/>
  <c r="V3119" i="22"/>
  <c r="V3135" i="22"/>
  <c r="V3151" i="22"/>
  <c r="V3167" i="22"/>
  <c r="V3183" i="22"/>
  <c r="V3199" i="22"/>
  <c r="V3215" i="22"/>
  <c r="V3231" i="22"/>
  <c r="V3247" i="22"/>
  <c r="V3263" i="22"/>
  <c r="V3279" i="22"/>
  <c r="V3295" i="22"/>
  <c r="V3311" i="22"/>
  <c r="V3327" i="22"/>
  <c r="V3343" i="22"/>
  <c r="V3359" i="22"/>
  <c r="V3375" i="22"/>
  <c r="V3391" i="22"/>
  <c r="V3407" i="22"/>
  <c r="V3423" i="22"/>
  <c r="V3439" i="22"/>
  <c r="V3455" i="22"/>
  <c r="V3471" i="22"/>
  <c r="V3487" i="22"/>
  <c r="V3503" i="22"/>
  <c r="V3519" i="22"/>
  <c r="V3535" i="22"/>
  <c r="V3551" i="22"/>
  <c r="V3567" i="22"/>
  <c r="V3583" i="22"/>
  <c r="V3599" i="22"/>
  <c r="V3615" i="22"/>
  <c r="V3631" i="22"/>
  <c r="V3647" i="22"/>
  <c r="V3663" i="22"/>
  <c r="V3679" i="22"/>
  <c r="V3695" i="22"/>
  <c r="V3711" i="22"/>
  <c r="V3727" i="22"/>
  <c r="V3743" i="22"/>
  <c r="V3759" i="22"/>
  <c r="V3775" i="22"/>
  <c r="V3791" i="22"/>
  <c r="V3807" i="22"/>
  <c r="V3823" i="22"/>
  <c r="V3839" i="22"/>
  <c r="V3855" i="22"/>
  <c r="V3871" i="22"/>
  <c r="V3887" i="22"/>
  <c r="V3903" i="22"/>
  <c r="V3919" i="22"/>
  <c r="V3935" i="22"/>
  <c r="V3951" i="22"/>
  <c r="V3967" i="22"/>
  <c r="V3074" i="22"/>
  <c r="V3082" i="22"/>
  <c r="V3090" i="22"/>
  <c r="V3098" i="22"/>
  <c r="V3106" i="22"/>
  <c r="V3116" i="22"/>
  <c r="V3132" i="22"/>
  <c r="V3148" i="22"/>
  <c r="V3164" i="22"/>
  <c r="V3180" i="22"/>
  <c r="V3196" i="22"/>
  <c r="V3212" i="22"/>
  <c r="V3228" i="22"/>
  <c r="V3244" i="22"/>
  <c r="V3260" i="22"/>
  <c r="V3276" i="22"/>
  <c r="V3292" i="22"/>
  <c r="V3308" i="22"/>
  <c r="V3324" i="22"/>
  <c r="V3340" i="22"/>
  <c r="V3356" i="22"/>
  <c r="V3372" i="22"/>
  <c r="V3388" i="22"/>
  <c r="V3404" i="22"/>
  <c r="V3420" i="22"/>
  <c r="V3436" i="22"/>
  <c r="V3452" i="22"/>
  <c r="V3468" i="22"/>
  <c r="V3484" i="22"/>
  <c r="V3500" i="22"/>
  <c r="V3516" i="22"/>
  <c r="V3532" i="22"/>
  <c r="V3548" i="22"/>
  <c r="V3564" i="22"/>
  <c r="V3580" i="22"/>
  <c r="V3596" i="22"/>
  <c r="V3612" i="22"/>
  <c r="V3628" i="22"/>
  <c r="V3644" i="22"/>
  <c r="V3660" i="22"/>
  <c r="V3676" i="22"/>
  <c r="V3692" i="22"/>
  <c r="V3708" i="22"/>
  <c r="V3724" i="22"/>
  <c r="V3740" i="22"/>
  <c r="V3756" i="22"/>
  <c r="V3772" i="22"/>
  <c r="V3788" i="22"/>
  <c r="V3804" i="22"/>
  <c r="V3820" i="22"/>
  <c r="V3836" i="22"/>
  <c r="V3852" i="22"/>
  <c r="V3868" i="22"/>
  <c r="V3884" i="22"/>
  <c r="V3900" i="22"/>
  <c r="V3916" i="22"/>
  <c r="V3932" i="22"/>
  <c r="V3948" i="22"/>
  <c r="V3964" i="22"/>
  <c r="AB8" i="25" l="1"/>
  <c r="AD29" i="25"/>
  <c r="H25" i="25"/>
  <c r="AE25" i="25" s="1"/>
  <c r="AE19" i="25"/>
  <c r="AD19" i="25"/>
  <c r="AA28" i="25"/>
  <c r="AA29" i="25"/>
  <c r="AD28" i="25"/>
  <c r="AA25" i="25"/>
  <c r="AA8" i="25"/>
  <c r="AD8" i="25"/>
  <c r="G11" i="7"/>
  <c r="C25" i="25"/>
  <c r="AD25" i="25" s="1"/>
  <c r="AA19" i="25"/>
  <c r="Q25" i="25"/>
  <c r="AB25" i="25" s="1"/>
  <c r="AB19" i="25"/>
  <c r="S25" i="25"/>
  <c r="AC25" i="25" s="1"/>
  <c r="AI3" i="22"/>
  <c r="AJ3" i="22" l="1"/>
  <c r="AK3" i="22" l="1"/>
  <c r="AL3" i="22" l="1"/>
  <c r="A5" i="20" l="1"/>
  <c r="D5" i="20"/>
  <c r="B5" i="20"/>
  <c r="C5" i="20"/>
  <c r="E6" i="20"/>
  <c r="A6" i="20" l="1"/>
  <c r="E7" i="20"/>
  <c r="C6" i="20"/>
  <c r="D6" i="20"/>
  <c r="B6" i="20"/>
  <c r="A7" i="20" l="1"/>
  <c r="E8" i="20"/>
  <c r="B7" i="20"/>
  <c r="C7" i="20"/>
  <c r="D7" i="20"/>
  <c r="A8" i="20" l="1"/>
  <c r="E9" i="20"/>
  <c r="D8" i="20"/>
  <c r="C8" i="20"/>
  <c r="B8" i="20"/>
  <c r="A9" i="20" l="1"/>
  <c r="B9" i="20"/>
  <c r="C9" i="20"/>
  <c r="E10" i="20"/>
  <c r="D9" i="20"/>
  <c r="B10" i="20" l="1"/>
  <c r="D10" i="20"/>
  <c r="A10" i="20"/>
  <c r="C10" i="20"/>
  <c r="E11" i="20"/>
  <c r="A11" i="20" l="1"/>
  <c r="E12" i="20"/>
  <c r="C11" i="20"/>
  <c r="D11" i="20"/>
  <c r="B11" i="20"/>
  <c r="A12" i="20" l="1"/>
  <c r="D12" i="20"/>
  <c r="E13" i="20"/>
  <c r="B12" i="20"/>
  <c r="C12" i="20"/>
  <c r="A13" i="20" l="1"/>
  <c r="D13" i="20"/>
  <c r="E14" i="20"/>
  <c r="B13" i="20"/>
  <c r="C13" i="20"/>
  <c r="B14" i="20" l="1"/>
  <c r="E15" i="20"/>
  <c r="A14" i="20"/>
  <c r="C14" i="20"/>
  <c r="D14" i="20"/>
  <c r="A15" i="20" l="1"/>
  <c r="D15" i="20"/>
  <c r="B15" i="20"/>
  <c r="C15" i="20"/>
  <c r="E16" i="20"/>
  <c r="A16" i="20" l="1"/>
  <c r="E17" i="20"/>
  <c r="D16" i="20"/>
  <c r="B16" i="20"/>
  <c r="C16" i="20"/>
  <c r="A17" i="20" l="1"/>
  <c r="E18" i="20"/>
  <c r="D17" i="20"/>
  <c r="C17" i="20"/>
  <c r="B17" i="20"/>
  <c r="B18" i="20" l="1"/>
  <c r="D18" i="20"/>
  <c r="A18" i="20"/>
  <c r="E19" i="20"/>
  <c r="C18" i="20"/>
  <c r="A19" i="20" l="1"/>
  <c r="E20" i="20"/>
  <c r="C19" i="20"/>
  <c r="B19" i="20"/>
  <c r="D19" i="20"/>
  <c r="A20" i="20" l="1"/>
  <c r="C20" i="20"/>
  <c r="E21" i="20"/>
  <c r="B20" i="20"/>
  <c r="D20" i="20"/>
  <c r="A21" i="20" l="1"/>
  <c r="D21" i="20"/>
  <c r="E22" i="20"/>
  <c r="C21" i="20"/>
  <c r="B21" i="20"/>
  <c r="A22" i="20" l="1"/>
  <c r="E23" i="20"/>
  <c r="B22" i="20"/>
  <c r="D22" i="20"/>
  <c r="C22" i="20"/>
  <c r="A23" i="20" l="1"/>
  <c r="D23" i="20"/>
  <c r="B23" i="20"/>
  <c r="C23" i="20"/>
  <c r="E24" i="20"/>
  <c r="A24" i="20" l="1"/>
  <c r="E25" i="20"/>
  <c r="B24" i="20"/>
  <c r="C24" i="20"/>
  <c r="D24" i="20"/>
  <c r="A25" i="20" l="1"/>
  <c r="E26" i="20"/>
  <c r="B25" i="20"/>
  <c r="D25" i="20"/>
  <c r="C25" i="20"/>
  <c r="B26" i="20" l="1"/>
  <c r="D26" i="20"/>
  <c r="A26" i="20"/>
  <c r="E27" i="20"/>
  <c r="C26" i="20"/>
  <c r="A27" i="20" l="1"/>
  <c r="E28" i="20"/>
  <c r="D27" i="20"/>
  <c r="B27" i="20"/>
  <c r="C27" i="20"/>
  <c r="A28" i="20" l="1"/>
  <c r="D28" i="20"/>
  <c r="B28" i="20"/>
  <c r="C28" i="20"/>
  <c r="E29" i="20"/>
  <c r="A29" i="20" l="1"/>
  <c r="D29" i="20"/>
  <c r="E30" i="20"/>
  <c r="B29" i="20"/>
  <c r="C29" i="20"/>
  <c r="A30" i="20" l="1"/>
  <c r="E31" i="20"/>
  <c r="B30" i="20"/>
  <c r="C30" i="20"/>
  <c r="D30" i="20"/>
  <c r="A31" i="20" l="1"/>
  <c r="E32" i="20"/>
  <c r="D31" i="20"/>
  <c r="B31" i="20"/>
  <c r="C31" i="20"/>
  <c r="A32" i="20" l="1"/>
  <c r="E33" i="20"/>
  <c r="C32" i="20"/>
  <c r="B32" i="20"/>
  <c r="D32" i="20"/>
  <c r="A33" i="20" l="1"/>
  <c r="E34" i="20"/>
  <c r="B33" i="20"/>
  <c r="D33" i="20"/>
  <c r="C33" i="20"/>
  <c r="B34" i="20" l="1"/>
  <c r="D34" i="20"/>
  <c r="A34" i="20"/>
  <c r="E35" i="20"/>
  <c r="C34" i="20"/>
  <c r="A35" i="20" l="1"/>
  <c r="E36" i="20"/>
  <c r="B35" i="20"/>
  <c r="C35" i="20"/>
  <c r="D35" i="20"/>
  <c r="A36" i="20" l="1"/>
  <c r="D36" i="20"/>
  <c r="B36" i="20"/>
  <c r="C36" i="20"/>
  <c r="E37" i="20"/>
  <c r="A37" i="20" l="1"/>
  <c r="D37" i="20"/>
  <c r="C37" i="20"/>
  <c r="E38" i="20"/>
  <c r="B37" i="20"/>
  <c r="A38" i="20" l="1"/>
  <c r="E39" i="20"/>
  <c r="B38" i="20"/>
  <c r="D38" i="20"/>
  <c r="C38" i="20"/>
  <c r="A39" i="20" l="1"/>
  <c r="D39" i="20"/>
  <c r="B39" i="20"/>
  <c r="E40" i="20"/>
  <c r="C39" i="20"/>
  <c r="A40" i="20" l="1"/>
  <c r="E41" i="20"/>
  <c r="B40" i="20"/>
  <c r="C40" i="20"/>
  <c r="D40" i="20"/>
  <c r="A41" i="20" l="1"/>
  <c r="E42" i="20"/>
  <c r="B41" i="20"/>
  <c r="C41" i="20"/>
  <c r="D41" i="20"/>
  <c r="B42" i="20" l="1"/>
  <c r="D42" i="20"/>
  <c r="A42" i="20"/>
  <c r="E43" i="20"/>
  <c r="C42" i="20"/>
  <c r="A43" i="20" l="1"/>
  <c r="E44" i="20"/>
  <c r="D43" i="20"/>
  <c r="B43" i="20"/>
  <c r="C43" i="20"/>
  <c r="B44" i="20" l="1"/>
  <c r="D44" i="20"/>
  <c r="C44" i="20"/>
  <c r="A44" i="20"/>
  <c r="E45" i="20"/>
  <c r="A45" i="20" l="1"/>
  <c r="D45" i="20"/>
  <c r="B45" i="20"/>
  <c r="E46" i="20"/>
  <c r="C45" i="20"/>
  <c r="C46" i="20" l="1"/>
  <c r="E47" i="20"/>
  <c r="B46" i="20"/>
  <c r="A46" i="20"/>
  <c r="D46" i="20"/>
  <c r="A47" i="20" l="1"/>
  <c r="D47" i="20"/>
  <c r="B47" i="20"/>
  <c r="C47" i="20"/>
  <c r="E48" i="20"/>
  <c r="A48" i="20" l="1"/>
  <c r="E49" i="20"/>
  <c r="B48" i="20"/>
  <c r="D48" i="20"/>
  <c r="C48" i="20"/>
  <c r="A49" i="20" l="1"/>
  <c r="E50" i="20"/>
  <c r="D49" i="20"/>
  <c r="B49" i="20"/>
  <c r="C49" i="20"/>
  <c r="B50" i="20" l="1"/>
  <c r="D50" i="20"/>
  <c r="C50" i="20"/>
  <c r="A50" i="20"/>
  <c r="E51" i="20"/>
  <c r="A51" i="20" l="1"/>
  <c r="E52" i="20"/>
  <c r="D51" i="20"/>
  <c r="C51" i="20"/>
  <c r="B51" i="20"/>
  <c r="A52" i="20" l="1"/>
  <c r="C52" i="20"/>
  <c r="D52" i="20"/>
  <c r="B52" i="20"/>
  <c r="E53" i="20"/>
  <c r="A53" i="20" l="1"/>
  <c r="D53" i="20"/>
  <c r="B53" i="20"/>
  <c r="E54" i="20"/>
  <c r="C53" i="20"/>
  <c r="A54" i="20" l="1"/>
  <c r="E55" i="20"/>
  <c r="B54" i="20"/>
  <c r="C54" i="20"/>
  <c r="D54" i="20"/>
  <c r="A55" i="20" l="1"/>
  <c r="E56" i="20"/>
  <c r="C55" i="20"/>
  <c r="B55" i="20"/>
  <c r="D55" i="20"/>
  <c r="A56" i="20" l="1"/>
  <c r="E57" i="20"/>
  <c r="E58" i="20" s="1"/>
  <c r="B56" i="20"/>
  <c r="C56" i="20"/>
  <c r="D56" i="20"/>
  <c r="A58" i="20" l="1"/>
  <c r="E59" i="20"/>
  <c r="B58" i="20"/>
  <c r="C58" i="20"/>
  <c r="D58" i="20"/>
  <c r="A57" i="20"/>
  <c r="C57" i="20"/>
  <c r="B57" i="20"/>
  <c r="D57" i="20"/>
  <c r="C37" i="25"/>
  <c r="W37" i="25"/>
  <c r="S37" i="25"/>
  <c r="M37" i="25"/>
  <c r="V37" i="25"/>
  <c r="I37" i="25"/>
  <c r="T37" i="25"/>
  <c r="H37" i="25"/>
  <c r="U37" i="25"/>
  <c r="J37" i="25"/>
  <c r="F37" i="25"/>
  <c r="D37" i="25"/>
  <c r="O37" i="25"/>
  <c r="P37" i="25"/>
  <c r="Q37" i="25"/>
  <c r="E37" i="25"/>
  <c r="K37" i="25"/>
  <c r="L37" i="25"/>
  <c r="B37" i="25"/>
  <c r="G37" i="25"/>
  <c r="R37" i="25"/>
  <c r="N37" i="25"/>
  <c r="X37" i="25"/>
  <c r="A59" i="20" l="1"/>
  <c r="E60" i="20"/>
  <c r="B59" i="20"/>
  <c r="D59" i="20"/>
  <c r="C59" i="20"/>
  <c r="X40" i="25"/>
  <c r="T40" i="25"/>
  <c r="L40" i="25"/>
  <c r="W40" i="25"/>
  <c r="B40" i="25"/>
  <c r="S40" i="25"/>
  <c r="N40" i="25"/>
  <c r="J40" i="25"/>
  <c r="R40" i="25"/>
  <c r="K40" i="25"/>
  <c r="O40" i="25"/>
  <c r="U40" i="25"/>
  <c r="V40" i="25"/>
  <c r="C40" i="25"/>
  <c r="Q40" i="25"/>
  <c r="F40" i="25"/>
  <c r="P40" i="25"/>
  <c r="I40" i="25"/>
  <c r="G40" i="25"/>
  <c r="E40" i="25"/>
  <c r="D40" i="25"/>
  <c r="H40" i="25"/>
  <c r="M40" i="25"/>
  <c r="A60" i="20" l="1"/>
  <c r="C60" i="20"/>
  <c r="D60" i="20"/>
  <c r="E61" i="20"/>
  <c r="B60" i="20"/>
  <c r="C61" i="20" l="1"/>
  <c r="E62" i="20"/>
  <c r="B61" i="20"/>
  <c r="A61" i="20"/>
  <c r="D61" i="20"/>
  <c r="K10" i="9"/>
  <c r="I10" i="9"/>
  <c r="A62" i="20" l="1"/>
  <c r="B62" i="20"/>
  <c r="C62" i="20"/>
  <c r="D62" i="20"/>
  <c r="E63" i="20"/>
  <c r="L10" i="9"/>
  <c r="J10" i="9"/>
  <c r="A63" i="20" l="1"/>
  <c r="E64" i="20"/>
  <c r="B63" i="20"/>
  <c r="C63" i="20"/>
  <c r="D63" i="20"/>
  <c r="B64" i="20" l="1"/>
  <c r="D64" i="20"/>
  <c r="E65" i="20"/>
  <c r="C64" i="20"/>
  <c r="A64" i="20"/>
  <c r="B65" i="20" l="1"/>
  <c r="D65" i="20"/>
  <c r="A65" i="20"/>
  <c r="C65" i="20"/>
  <c r="E66" i="20"/>
  <c r="A66" i="20" l="1"/>
  <c r="E67" i="20"/>
  <c r="B66" i="20"/>
  <c r="C66" i="20"/>
  <c r="D66" i="20"/>
  <c r="A67" i="20" l="1"/>
  <c r="E68" i="20"/>
  <c r="B67" i="20"/>
  <c r="C67" i="20"/>
  <c r="D67" i="20"/>
  <c r="A68" i="20" l="1"/>
  <c r="D68" i="20"/>
  <c r="C68" i="20"/>
  <c r="E69" i="20"/>
  <c r="B68" i="20"/>
  <c r="A69" i="20" l="1"/>
  <c r="C69" i="20"/>
  <c r="B69" i="20"/>
  <c r="E70" i="20"/>
  <c r="D69" i="20"/>
  <c r="A70" i="20" l="1"/>
  <c r="E71" i="20"/>
  <c r="B70" i="20"/>
  <c r="D70" i="20"/>
  <c r="C70" i="20"/>
  <c r="A71" i="20" l="1"/>
  <c r="E72" i="20"/>
  <c r="B71" i="20"/>
  <c r="C71" i="20"/>
  <c r="D71" i="20"/>
  <c r="B72" i="20" l="1"/>
  <c r="C72" i="20"/>
  <c r="D72" i="20"/>
  <c r="E73" i="20"/>
  <c r="A72" i="20"/>
  <c r="B73" i="20" l="1"/>
  <c r="E74" i="20"/>
  <c r="D73" i="20"/>
  <c r="A73" i="20"/>
  <c r="C73" i="20"/>
  <c r="A74" i="20" l="1"/>
  <c r="B74" i="20"/>
  <c r="C74" i="20"/>
  <c r="D74" i="20"/>
  <c r="E75" i="20"/>
  <c r="A75" i="20" l="1"/>
  <c r="E76" i="20"/>
  <c r="B75" i="20"/>
  <c r="C75" i="20"/>
  <c r="D75" i="20"/>
  <c r="A76" i="20" l="1"/>
  <c r="B76" i="20"/>
  <c r="C76" i="20"/>
  <c r="D76" i="20"/>
  <c r="E77" i="20"/>
  <c r="A77" i="20" l="1"/>
  <c r="B77" i="20"/>
  <c r="C77" i="20"/>
  <c r="E78" i="20"/>
  <c r="D77" i="20"/>
  <c r="A78" i="20" l="1"/>
  <c r="E79" i="20"/>
  <c r="B78" i="20"/>
  <c r="C78" i="20"/>
  <c r="D78" i="20"/>
  <c r="A79" i="20" l="1"/>
  <c r="E80" i="20"/>
  <c r="B79" i="20"/>
  <c r="C79" i="20"/>
  <c r="D79" i="20"/>
  <c r="B80" i="20" l="1"/>
  <c r="D80" i="20"/>
  <c r="E81" i="20"/>
  <c r="C80" i="20"/>
  <c r="A80" i="20"/>
  <c r="B81" i="20" l="1"/>
  <c r="E82" i="20"/>
  <c r="C81" i="20"/>
  <c r="D81" i="20"/>
  <c r="A81" i="20"/>
  <c r="A82" i="20" l="1"/>
  <c r="E83" i="20"/>
  <c r="B82" i="20"/>
  <c r="C82" i="20"/>
  <c r="D82" i="20"/>
  <c r="A83" i="20" l="1"/>
  <c r="E84" i="20"/>
  <c r="D83" i="20"/>
  <c r="B83" i="20"/>
  <c r="C83" i="20"/>
  <c r="A84" i="20" l="1"/>
  <c r="C84" i="20"/>
  <c r="B84" i="20"/>
  <c r="E85" i="20"/>
  <c r="D84" i="20"/>
  <c r="A85" i="20" l="1"/>
  <c r="E86" i="20"/>
  <c r="C85" i="20"/>
  <c r="D85" i="20"/>
  <c r="B85" i="20"/>
  <c r="A86" i="20" l="1"/>
  <c r="E87" i="20"/>
  <c r="B86" i="20"/>
  <c r="C86" i="20"/>
  <c r="D86" i="20"/>
  <c r="A87" i="20" l="1"/>
  <c r="E88" i="20"/>
  <c r="B87" i="20"/>
  <c r="C87" i="20"/>
  <c r="D87" i="20"/>
  <c r="B88" i="20" l="1"/>
  <c r="C88" i="20"/>
  <c r="D88" i="20"/>
  <c r="A88" i="20"/>
  <c r="E89" i="20"/>
  <c r="B89" i="20" l="1"/>
  <c r="E90" i="20"/>
  <c r="D89" i="20"/>
  <c r="A89" i="20"/>
  <c r="C89" i="20"/>
  <c r="A90" i="20" l="1"/>
  <c r="E91" i="20"/>
  <c r="B90" i="20"/>
  <c r="C90" i="20"/>
  <c r="D90" i="20"/>
  <c r="A91" i="20" l="1"/>
  <c r="E92" i="20"/>
  <c r="B91" i="20"/>
  <c r="C91" i="20"/>
  <c r="D91" i="20"/>
  <c r="A92" i="20" l="1"/>
  <c r="B92" i="20"/>
  <c r="C92" i="20"/>
  <c r="D92" i="20"/>
  <c r="E93" i="20"/>
  <c r="A93" i="20" l="1"/>
  <c r="E94" i="20"/>
  <c r="C93" i="20"/>
  <c r="B93" i="20"/>
  <c r="D93" i="20"/>
  <c r="A94" i="20" l="1"/>
  <c r="E95" i="20"/>
  <c r="B94" i="20"/>
  <c r="C94" i="20"/>
  <c r="D94" i="20"/>
  <c r="A95" i="20" l="1"/>
  <c r="B95" i="20"/>
  <c r="E96" i="20"/>
  <c r="C95" i="20"/>
  <c r="D95" i="20"/>
  <c r="B96" i="20" l="1"/>
  <c r="C96" i="20"/>
  <c r="A96" i="20"/>
  <c r="D96" i="20"/>
  <c r="E97" i="20"/>
  <c r="B97" i="20" l="1"/>
  <c r="A97" i="20"/>
  <c r="D97" i="20"/>
  <c r="C97" i="20"/>
  <c r="E98" i="20"/>
  <c r="A98" i="20" l="1"/>
  <c r="D98" i="20"/>
  <c r="B98" i="20"/>
  <c r="C98" i="20"/>
  <c r="E99" i="20"/>
  <c r="A99" i="20" l="1"/>
  <c r="B99" i="20"/>
  <c r="C99" i="20"/>
  <c r="E100" i="20"/>
  <c r="D99" i="20"/>
  <c r="A100" i="20" l="1"/>
  <c r="B100" i="20"/>
  <c r="C100" i="20"/>
  <c r="D100" i="20"/>
  <c r="E101" i="20"/>
  <c r="A101" i="20" l="1"/>
  <c r="E102" i="20"/>
  <c r="C101" i="20"/>
  <c r="D101" i="20"/>
  <c r="B101" i="20"/>
  <c r="A102" i="20" l="1"/>
  <c r="B102" i="20"/>
  <c r="C102" i="20"/>
  <c r="E103" i="20"/>
  <c r="D102" i="20"/>
  <c r="A103" i="20" l="1"/>
  <c r="D103" i="20"/>
  <c r="B103" i="20"/>
  <c r="C103" i="20"/>
  <c r="E104" i="20"/>
  <c r="B104" i="20" l="1"/>
  <c r="C104" i="20"/>
  <c r="D104" i="20"/>
  <c r="E105" i="20"/>
  <c r="A104" i="20"/>
  <c r="B105" i="20" l="1"/>
  <c r="A105" i="20"/>
  <c r="D105" i="20"/>
  <c r="E106" i="20"/>
  <c r="C105" i="20"/>
  <c r="A106" i="20" l="1"/>
  <c r="B106" i="20"/>
  <c r="C106" i="20"/>
  <c r="E107" i="20"/>
  <c r="D106" i="20"/>
  <c r="A107" i="20" l="1"/>
  <c r="B107" i="20"/>
  <c r="C107" i="20"/>
  <c r="E108" i="20"/>
  <c r="D107" i="20"/>
  <c r="A108" i="20" l="1"/>
  <c r="B108" i="20"/>
  <c r="C108" i="20"/>
  <c r="E109" i="20"/>
  <c r="D108" i="20"/>
  <c r="A109" i="20" l="1"/>
  <c r="B109" i="20"/>
  <c r="C109" i="20"/>
  <c r="D109" i="20"/>
  <c r="E110" i="20"/>
  <c r="A110" i="20" l="1"/>
  <c r="D110" i="20"/>
  <c r="B110" i="20"/>
  <c r="C110" i="20"/>
  <c r="E111" i="20"/>
  <c r="A111" i="20" l="1"/>
  <c r="D111" i="20"/>
  <c r="B111" i="20"/>
  <c r="E112" i="20"/>
  <c r="C111" i="20"/>
  <c r="B112" i="20" l="1"/>
  <c r="C112" i="20"/>
  <c r="D112" i="20"/>
  <c r="E113" i="20"/>
  <c r="A112" i="20"/>
  <c r="B113" i="20" l="1"/>
  <c r="A113" i="20"/>
  <c r="D113" i="20"/>
  <c r="C113" i="20"/>
  <c r="E114" i="20"/>
  <c r="A114" i="20" l="1"/>
  <c r="B114" i="20"/>
  <c r="C114" i="20"/>
  <c r="E115" i="20"/>
  <c r="D114" i="20"/>
  <c r="A115" i="20" l="1"/>
  <c r="D115" i="20"/>
  <c r="B115" i="20"/>
  <c r="C115" i="20"/>
  <c r="E116" i="20"/>
  <c r="A116" i="20" l="1"/>
  <c r="B116" i="20"/>
  <c r="C116" i="20"/>
  <c r="D116" i="20"/>
  <c r="E117" i="20"/>
  <c r="A117" i="20" l="1"/>
  <c r="E118" i="20"/>
  <c r="C117" i="20"/>
  <c r="D117" i="20"/>
  <c r="B117" i="20"/>
  <c r="A118" i="20" l="1"/>
  <c r="B118" i="20"/>
  <c r="E119" i="20"/>
  <c r="D118" i="20"/>
  <c r="C118" i="20"/>
  <c r="A119" i="20" l="1"/>
  <c r="D119" i="20"/>
  <c r="B119" i="20"/>
  <c r="C119" i="20"/>
  <c r="E120" i="20"/>
  <c r="B120" i="20" l="1"/>
  <c r="C120" i="20"/>
  <c r="D120" i="20"/>
  <c r="E121" i="20"/>
  <c r="A120" i="20"/>
  <c r="B121" i="20" l="1"/>
  <c r="E122" i="20"/>
  <c r="D121" i="20"/>
  <c r="A121" i="20"/>
  <c r="C121" i="20"/>
  <c r="B122" i="20" l="1"/>
  <c r="A122" i="20"/>
  <c r="C122" i="20"/>
  <c r="E123" i="20"/>
  <c r="D122" i="20"/>
  <c r="A123" i="20" l="1"/>
  <c r="D123" i="20"/>
  <c r="E124" i="20"/>
  <c r="B123" i="20"/>
  <c r="C123" i="20"/>
  <c r="A124" i="20" l="1"/>
  <c r="B124" i="20"/>
  <c r="C124" i="20"/>
  <c r="E125" i="20"/>
  <c r="D124" i="20"/>
  <c r="A125" i="20" l="1"/>
  <c r="E126" i="20"/>
  <c r="C125" i="20"/>
  <c r="B125" i="20"/>
  <c r="D125" i="20"/>
  <c r="A126" i="20" l="1"/>
  <c r="D126" i="20"/>
  <c r="B126" i="20"/>
  <c r="C126" i="20"/>
  <c r="E127" i="20"/>
  <c r="A127" i="20" l="1"/>
  <c r="B127" i="20"/>
  <c r="C127" i="20"/>
  <c r="E128" i="20"/>
  <c r="D127" i="20"/>
  <c r="B128" i="20" l="1"/>
  <c r="C128" i="20"/>
  <c r="D128" i="20"/>
  <c r="E129" i="20"/>
  <c r="A128" i="20"/>
  <c r="B129" i="20" l="1"/>
  <c r="E130" i="20"/>
  <c r="D129" i="20"/>
  <c r="A129" i="20"/>
  <c r="C129" i="20"/>
  <c r="A130" i="20" l="1"/>
  <c r="D130" i="20"/>
  <c r="B130" i="20"/>
  <c r="C130" i="20"/>
  <c r="E131" i="20"/>
  <c r="A131" i="20" l="1"/>
  <c r="D131" i="20"/>
  <c r="B131" i="20"/>
  <c r="C131" i="20"/>
  <c r="E132" i="20"/>
  <c r="A132" i="20" l="1"/>
  <c r="C132" i="20"/>
  <c r="E133" i="20"/>
  <c r="B132" i="20"/>
  <c r="D132" i="20"/>
  <c r="A133" i="20" l="1"/>
  <c r="E134" i="20"/>
  <c r="C133" i="20"/>
  <c r="D133" i="20"/>
  <c r="B133" i="20"/>
  <c r="A134" i="20" l="1"/>
  <c r="B134" i="20"/>
  <c r="E135" i="20"/>
  <c r="D134" i="20"/>
  <c r="C134" i="20"/>
  <c r="A135" i="20" l="1"/>
  <c r="D135" i="20"/>
  <c r="B135" i="20"/>
  <c r="C135" i="20"/>
  <c r="E136" i="20"/>
  <c r="B136" i="20" l="1"/>
  <c r="C136" i="20"/>
  <c r="D136" i="20"/>
  <c r="A136" i="20"/>
  <c r="E137" i="20"/>
  <c r="B137" i="20" l="1"/>
  <c r="E138" i="20"/>
  <c r="C137" i="20"/>
  <c r="D137" i="20"/>
  <c r="A137" i="20"/>
  <c r="A138" i="20" l="1"/>
  <c r="D138" i="20"/>
  <c r="B138" i="20"/>
  <c r="E139" i="20"/>
  <c r="C138" i="20"/>
  <c r="A139" i="20" l="1"/>
  <c r="B139" i="20"/>
  <c r="D139" i="20"/>
  <c r="C139" i="20"/>
  <c r="E140" i="20"/>
  <c r="A140" i="20" l="1"/>
  <c r="C140" i="20"/>
  <c r="D140" i="20"/>
  <c r="E141" i="20"/>
  <c r="B140" i="20"/>
  <c r="A141" i="20" l="1"/>
  <c r="B141" i="20"/>
  <c r="C141" i="20"/>
  <c r="D141" i="20"/>
  <c r="E142" i="20"/>
  <c r="A142" i="20" l="1"/>
  <c r="D142" i="20"/>
  <c r="B142" i="20"/>
  <c r="C142" i="20"/>
  <c r="E143" i="20"/>
  <c r="A143" i="20" l="1"/>
  <c r="D143" i="20"/>
  <c r="B143" i="20"/>
  <c r="C143" i="20"/>
  <c r="E144" i="20"/>
  <c r="B144" i="20" l="1"/>
  <c r="D144" i="20"/>
  <c r="E145" i="20"/>
  <c r="C144" i="20"/>
  <c r="A144" i="20"/>
  <c r="B145" i="20" l="1"/>
  <c r="A145" i="20"/>
  <c r="D145" i="20"/>
  <c r="C145" i="20"/>
  <c r="E146" i="20"/>
  <c r="A146" i="20" l="1"/>
  <c r="B146" i="20"/>
  <c r="C146" i="20"/>
  <c r="E147" i="20"/>
  <c r="D146" i="20"/>
  <c r="A147" i="20" l="1"/>
  <c r="B147" i="20"/>
  <c r="E148" i="20"/>
  <c r="D147" i="20"/>
  <c r="C147" i="20"/>
  <c r="A148" i="20" l="1"/>
  <c r="B148" i="20"/>
  <c r="C148" i="20"/>
  <c r="D148" i="20"/>
  <c r="E149" i="20"/>
  <c r="A149" i="20" l="1"/>
  <c r="E150" i="20"/>
  <c r="C149" i="20"/>
  <c r="D149" i="20"/>
  <c r="B149" i="20"/>
  <c r="A150" i="20" l="1"/>
  <c r="D150" i="20"/>
  <c r="B150" i="20"/>
  <c r="E151" i="20"/>
  <c r="C150" i="20"/>
  <c r="A151" i="20" l="1"/>
  <c r="D151" i="20"/>
  <c r="B151" i="20"/>
  <c r="E152" i="20"/>
  <c r="C151" i="20"/>
  <c r="B152" i="20" l="1"/>
  <c r="A152" i="20"/>
  <c r="D152" i="20"/>
  <c r="E153" i="20"/>
  <c r="C152" i="20"/>
  <c r="B153" i="20" l="1"/>
  <c r="E154" i="20"/>
  <c r="C153" i="20"/>
  <c r="D153" i="20"/>
  <c r="A153" i="20"/>
  <c r="A154" i="20" l="1"/>
  <c r="B154" i="20"/>
  <c r="C154" i="20"/>
  <c r="E155" i="20"/>
  <c r="D154" i="20"/>
  <c r="A155" i="20" l="1"/>
  <c r="B155" i="20"/>
  <c r="E156" i="20"/>
  <c r="C155" i="20"/>
  <c r="D155" i="20"/>
  <c r="A156" i="20" l="1"/>
  <c r="B156" i="20"/>
  <c r="C156" i="20"/>
  <c r="E157" i="20"/>
  <c r="D156" i="20"/>
  <c r="Y524" i="28" l="1"/>
  <c r="Z524" i="28" s="1"/>
  <c r="Y404" i="28"/>
  <c r="Z404" i="28" s="1"/>
  <c r="Y276" i="28"/>
  <c r="Z276" i="28" s="1"/>
  <c r="Y443" i="28"/>
  <c r="Z443" i="28" s="1"/>
  <c r="Y315" i="28"/>
  <c r="Z315" i="28" s="1"/>
  <c r="Y187" i="28"/>
  <c r="Z187" i="28" s="1"/>
  <c r="Y442" i="28"/>
  <c r="Z442" i="28" s="1"/>
  <c r="Y314" i="28"/>
  <c r="Z314" i="28" s="1"/>
  <c r="Y186" i="28"/>
  <c r="Z186" i="28" s="1"/>
  <c r="Y481" i="28"/>
  <c r="Z481" i="28" s="1"/>
  <c r="Y353" i="28"/>
  <c r="Z353" i="28" s="1"/>
  <c r="Y225" i="28"/>
  <c r="Z225" i="28" s="1"/>
  <c r="Y571" i="28"/>
  <c r="Z571" i="28" s="1"/>
  <c r="Y528" i="28"/>
  <c r="Z528" i="28" s="1"/>
  <c r="Y557" i="28"/>
  <c r="Z557" i="28" s="1"/>
  <c r="Y514" i="28"/>
  <c r="Z514" i="28" s="1"/>
  <c r="Y543" i="28"/>
  <c r="Z543" i="28" s="1"/>
  <c r="Y500" i="28"/>
  <c r="Z500" i="28" s="1"/>
  <c r="Y428" i="28"/>
  <c r="Z428" i="28" s="1"/>
  <c r="Y300" i="28"/>
  <c r="Z300" i="28" s="1"/>
  <c r="Y172" i="28"/>
  <c r="Z172" i="28" s="1"/>
  <c r="Y467" i="28"/>
  <c r="Z467" i="28" s="1"/>
  <c r="Y339" i="28"/>
  <c r="Z339" i="28" s="1"/>
  <c r="Y211" i="28"/>
  <c r="Z211" i="28" s="1"/>
  <c r="Y466" i="28"/>
  <c r="Z466" i="28" s="1"/>
  <c r="Y338" i="28"/>
  <c r="Z338" i="28" s="1"/>
  <c r="Y210" i="28"/>
  <c r="Z210" i="28" s="1"/>
  <c r="Y377" i="28"/>
  <c r="Z377" i="28" s="1"/>
  <c r="Y249" i="28"/>
  <c r="Z249" i="28" s="1"/>
  <c r="Y558" i="28"/>
  <c r="Z558" i="28" s="1"/>
  <c r="Y569" i="28"/>
  <c r="Z569" i="28" s="1"/>
  <c r="Y165" i="28"/>
  <c r="Z165" i="28" s="1"/>
  <c r="Y293" i="28"/>
  <c r="Z293" i="28" s="1"/>
  <c r="Y421" i="28"/>
  <c r="Z421" i="28" s="1"/>
  <c r="Y254" i="28"/>
  <c r="Z254" i="28" s="1"/>
  <c r="Y382" i="28"/>
  <c r="Z382" i="28" s="1"/>
  <c r="Y247" i="28"/>
  <c r="Z247" i="28" s="1"/>
  <c r="Y375" i="28"/>
  <c r="Z375" i="28" s="1"/>
  <c r="Y208" i="28"/>
  <c r="Z208" i="28" s="1"/>
  <c r="Y336" i="28"/>
  <c r="Z336" i="28" s="1"/>
  <c r="Y464" i="28"/>
  <c r="Z464" i="28" s="1"/>
  <c r="Y582" i="28"/>
  <c r="Z582" i="28" s="1"/>
  <c r="Y497" i="28"/>
  <c r="Z497" i="28" s="1"/>
  <c r="Y205" i="28"/>
  <c r="Z205" i="28" s="1"/>
  <c r="Y333" i="28"/>
  <c r="Z333" i="28" s="1"/>
  <c r="Y461" i="28"/>
  <c r="Z461" i="28" s="1"/>
  <c r="Y166" i="28"/>
  <c r="Z166" i="28" s="1"/>
  <c r="Y294" i="28"/>
  <c r="Z294" i="28" s="1"/>
  <c r="Y422" i="28"/>
  <c r="Z422" i="28" s="1"/>
  <c r="Y159" i="28"/>
  <c r="Z159" i="28" s="1"/>
  <c r="Y287" i="28"/>
  <c r="Y415" i="28"/>
  <c r="Z415" i="28" s="1"/>
  <c r="Y248" i="28"/>
  <c r="Z248" i="28" s="1"/>
  <c r="Y376" i="28"/>
  <c r="Z376" i="28" s="1"/>
  <c r="Y510" i="28"/>
  <c r="Z510" i="28" s="1"/>
  <c r="Y553" i="28"/>
  <c r="Z553" i="28" s="1"/>
  <c r="Y277" i="28"/>
  <c r="Z277" i="28" s="1"/>
  <c r="Y405" i="28"/>
  <c r="Z405" i="28" s="1"/>
  <c r="Y238" i="28"/>
  <c r="Z238" i="28" s="1"/>
  <c r="Y366" i="28"/>
  <c r="Z366" i="28" s="1"/>
  <c r="Y231" i="28"/>
  <c r="Z231" i="28" s="1"/>
  <c r="Y359" i="28"/>
  <c r="Z359" i="28" s="1"/>
  <c r="Y487" i="28"/>
  <c r="Z487" i="28" s="1"/>
  <c r="Y192" i="28"/>
  <c r="Z192" i="28" s="1"/>
  <c r="Y320" i="28"/>
  <c r="Z320" i="28" s="1"/>
  <c r="Y448" i="28"/>
  <c r="Z448" i="28" s="1"/>
  <c r="Y566" i="28"/>
  <c r="Z566" i="28" s="1"/>
  <c r="Y609" i="28"/>
  <c r="Z609" i="28" s="1"/>
  <c r="Y221" i="28"/>
  <c r="Z221" i="28" s="1"/>
  <c r="Y349" i="28"/>
  <c r="Z349" i="28" s="1"/>
  <c r="Y477" i="28"/>
  <c r="Z477" i="28" s="1"/>
  <c r="Y182" i="28"/>
  <c r="Z182" i="28" s="1"/>
  <c r="Y310" i="28"/>
  <c r="Z310" i="28" s="1"/>
  <c r="Y438" i="28"/>
  <c r="Z438" i="28" s="1"/>
  <c r="Y175" i="28"/>
  <c r="Z175" i="28" s="1"/>
  <c r="Y303" i="28"/>
  <c r="Z303" i="28" s="1"/>
  <c r="Y431" i="28"/>
  <c r="Z431" i="28" s="1"/>
  <c r="Y264" i="28"/>
  <c r="Z264" i="28" s="1"/>
  <c r="Y392" i="28"/>
  <c r="Z392" i="28" s="1"/>
  <c r="Y515" i="28"/>
  <c r="Z515" i="28" s="1"/>
  <c r="Y600" i="28"/>
  <c r="Z600" i="28" s="1"/>
  <c r="Y501" i="28"/>
  <c r="Z501" i="28" s="1"/>
  <c r="Y586" i="28"/>
  <c r="Z586" i="28" s="1"/>
  <c r="Y519" i="28"/>
  <c r="Z519" i="28" s="1"/>
  <c r="Y604" i="28"/>
  <c r="Z604" i="28" s="1"/>
  <c r="Y452" i="28"/>
  <c r="Z452" i="28" s="1"/>
  <c r="Y324" i="28"/>
  <c r="Z324" i="28" s="1"/>
  <c r="Y196" i="28"/>
  <c r="Z196" i="28" s="1"/>
  <c r="Y491" i="28"/>
  <c r="Z491" i="28" s="1"/>
  <c r="Y363" i="28"/>
  <c r="Z363" i="28" s="1"/>
  <c r="Y235" i="28"/>
  <c r="Z235" i="28" s="1"/>
  <c r="Y490" i="28"/>
  <c r="Z490" i="28" s="1"/>
  <c r="Y362" i="28"/>
  <c r="Z362" i="28" s="1"/>
  <c r="Y234" i="28"/>
  <c r="Z234" i="28" s="1"/>
  <c r="Y401" i="28"/>
  <c r="Z401" i="28" s="1"/>
  <c r="Y273" i="28"/>
  <c r="Z273" i="28" s="1"/>
  <c r="Y602" i="28"/>
  <c r="Z602" i="28" s="1"/>
  <c r="Y556" i="28"/>
  <c r="Z556" i="28" s="1"/>
  <c r="Y372" i="28"/>
  <c r="Z372" i="28" s="1"/>
  <c r="Y244" i="28"/>
  <c r="Z244" i="28" s="1"/>
  <c r="Y411" i="28"/>
  <c r="Z411" i="28" s="1"/>
  <c r="Y283" i="28"/>
  <c r="Y155" i="28"/>
  <c r="Z155" i="28" s="1"/>
  <c r="Y410" i="28"/>
  <c r="Z410" i="28" s="1"/>
  <c r="Y282" i="28"/>
  <c r="Z282" i="28" s="1"/>
  <c r="Y449" i="28"/>
  <c r="Z449" i="28" s="1"/>
  <c r="Y321" i="28"/>
  <c r="Z321" i="28" s="1"/>
  <c r="Y193" i="28"/>
  <c r="Z193" i="28" s="1"/>
  <c r="Y503" i="28"/>
  <c r="Z503" i="28" s="1"/>
  <c r="Y603" i="28"/>
  <c r="Z603" i="28" s="1"/>
  <c r="Y560" i="28"/>
  <c r="Z560" i="28" s="1"/>
  <c r="Y589" i="28"/>
  <c r="Z589" i="28" s="1"/>
  <c r="Y546" i="28"/>
  <c r="Z546" i="28" s="1"/>
  <c r="Y575" i="28"/>
  <c r="Z575" i="28" s="1"/>
  <c r="Y532" i="28"/>
  <c r="Z532" i="28" s="1"/>
  <c r="Y396" i="28"/>
  <c r="Z396" i="28" s="1"/>
  <c r="Y268" i="28"/>
  <c r="Z268" i="28" s="1"/>
  <c r="Y435" i="28"/>
  <c r="Z435" i="28" s="1"/>
  <c r="Y307" i="28"/>
  <c r="Z307" i="28" s="1"/>
  <c r="Y179" i="28"/>
  <c r="Z179" i="28" s="1"/>
  <c r="Y434" i="28"/>
  <c r="Z434" i="28" s="1"/>
  <c r="Y306" i="28"/>
  <c r="Z306" i="28" s="1"/>
  <c r="Y178" i="28"/>
  <c r="Z178" i="28" s="1"/>
  <c r="Y473" i="28"/>
  <c r="Z473" i="28" s="1"/>
  <c r="Y345" i="28"/>
  <c r="Z345" i="28" s="1"/>
  <c r="Y217" i="28"/>
  <c r="Z217" i="28" s="1"/>
  <c r="Y526" i="28"/>
  <c r="Z526" i="28" s="1"/>
  <c r="Y537" i="28"/>
  <c r="Z537" i="28" s="1"/>
  <c r="Y197" i="28"/>
  <c r="Z197" i="28" s="1"/>
  <c r="Y325" i="28"/>
  <c r="Z325" i="28" s="1"/>
  <c r="Y453" i="28"/>
  <c r="Z453" i="28" s="1"/>
  <c r="Y158" i="28"/>
  <c r="Z158" i="28" s="1"/>
  <c r="Y286" i="28"/>
  <c r="Z286" i="28" s="1"/>
  <c r="Y414" i="28"/>
  <c r="Z414" i="28" s="1"/>
  <c r="Y279" i="28"/>
  <c r="Z279" i="28" s="1"/>
  <c r="Y407" i="28"/>
  <c r="Z407" i="28" s="1"/>
  <c r="Y240" i="28"/>
  <c r="Z240" i="28" s="1"/>
  <c r="Y368" i="28"/>
  <c r="Z368" i="28" s="1"/>
  <c r="Y550" i="28"/>
  <c r="Z550" i="28" s="1"/>
  <c r="Y593" i="28"/>
  <c r="Z593" i="28" s="1"/>
  <c r="Y237" i="28"/>
  <c r="Z237" i="28" s="1"/>
  <c r="Y365" i="28"/>
  <c r="Z365" i="28" s="1"/>
  <c r="Y493" i="28"/>
  <c r="Z493" i="28" s="1"/>
  <c r="Y198" i="28"/>
  <c r="Z198" i="28" s="1"/>
  <c r="Y326" i="28"/>
  <c r="Z326" i="28" s="1"/>
  <c r="Y454" i="28"/>
  <c r="Z454" i="28" s="1"/>
  <c r="Y191" i="28"/>
  <c r="Z191" i="28" s="1"/>
  <c r="Y319" i="28"/>
  <c r="Z319" i="28" s="1"/>
  <c r="Y447" i="28"/>
  <c r="Z447" i="28" s="1"/>
  <c r="Y280" i="28"/>
  <c r="Z280" i="28" s="1"/>
  <c r="Y408" i="28"/>
  <c r="Z408" i="28" s="1"/>
  <c r="Y606" i="28"/>
  <c r="Z606" i="28" s="1"/>
  <c r="Y521" i="28"/>
  <c r="Z521" i="28" s="1"/>
  <c r="Y181" i="28"/>
  <c r="Z181" i="28" s="1"/>
  <c r="Y309" i="28"/>
  <c r="Z309" i="28" s="1"/>
  <c r="Y437" i="28"/>
  <c r="Z437" i="28" s="1"/>
  <c r="Y270" i="28"/>
  <c r="Z270" i="28" s="1"/>
  <c r="Y398" i="28"/>
  <c r="Z398" i="28" s="1"/>
  <c r="Y263" i="28"/>
  <c r="Z263" i="28" s="1"/>
  <c r="Y391" i="28"/>
  <c r="Z391" i="28" s="1"/>
  <c r="Y224" i="28"/>
  <c r="Y352" i="28"/>
  <c r="Z352" i="28" s="1"/>
  <c r="Y480" i="28"/>
  <c r="Z480" i="28" s="1"/>
  <c r="Y534" i="28"/>
  <c r="Z534" i="28" s="1"/>
  <c r="Y577" i="28"/>
  <c r="Z577" i="28" s="1"/>
  <c r="Y253" i="28"/>
  <c r="Z253" i="28" s="1"/>
  <c r="Y381" i="28"/>
  <c r="Z381" i="28" s="1"/>
  <c r="Y214" i="28"/>
  <c r="Z214" i="28" s="1"/>
  <c r="Y342" i="28"/>
  <c r="Z342" i="28" s="1"/>
  <c r="Y470" i="28"/>
  <c r="Z470" i="28" s="1"/>
  <c r="Y207" i="28"/>
  <c r="Z207" i="28" s="1"/>
  <c r="Y335" i="28"/>
  <c r="Z335" i="28" s="1"/>
  <c r="Y463" i="28"/>
  <c r="Z463" i="28" s="1"/>
  <c r="Y168" i="28"/>
  <c r="Z168" i="28" s="1"/>
  <c r="Y296" i="28"/>
  <c r="Z296" i="28" s="1"/>
  <c r="Y424" i="28"/>
  <c r="Z424" i="28" s="1"/>
  <c r="Y499" i="28"/>
  <c r="Z499" i="28" s="1"/>
  <c r="Y549" i="28"/>
  <c r="Z549" i="28" s="1"/>
  <c r="Y535" i="28"/>
  <c r="Z535" i="28" s="1"/>
  <c r="Y547" i="28"/>
  <c r="Z547" i="28" s="1"/>
  <c r="Y504" i="28"/>
  <c r="Z504" i="28" s="1"/>
  <c r="Y533" i="28"/>
  <c r="Z533" i="28" s="1"/>
  <c r="Y551" i="28"/>
  <c r="Z551" i="28" s="1"/>
  <c r="Y508" i="28"/>
  <c r="Z508" i="28" s="1"/>
  <c r="Y420" i="28"/>
  <c r="Z420" i="28" s="1"/>
  <c r="Y292" i="28"/>
  <c r="Z292" i="28" s="1"/>
  <c r="Y164" i="28"/>
  <c r="Z164" i="28" s="1"/>
  <c r="Y459" i="28"/>
  <c r="Z459" i="28" s="1"/>
  <c r="Y331" i="28"/>
  <c r="Z331" i="28" s="1"/>
  <c r="Y203" i="28"/>
  <c r="Z203" i="28" s="1"/>
  <c r="Y458" i="28"/>
  <c r="Z458" i="28" s="1"/>
  <c r="Y330" i="28"/>
  <c r="Z330" i="28" s="1"/>
  <c r="Y202" i="28"/>
  <c r="Z202" i="28" s="1"/>
  <c r="Y369" i="28"/>
  <c r="Z369" i="28" s="1"/>
  <c r="Y241" i="28"/>
  <c r="Z241" i="28" s="1"/>
  <c r="Y588" i="28"/>
  <c r="Z588" i="28" s="1"/>
  <c r="Y468" i="28"/>
  <c r="Z468" i="28" s="1"/>
  <c r="Y340" i="28"/>
  <c r="Z340" i="28" s="1"/>
  <c r="Y212" i="28"/>
  <c r="Z212" i="28" s="1"/>
  <c r="Y379" i="28"/>
  <c r="Z379" i="28" s="1"/>
  <c r="Y251" i="28"/>
  <c r="Z251" i="28" s="1"/>
  <c r="Y378" i="28"/>
  <c r="Z378" i="28" s="1"/>
  <c r="Y250" i="28"/>
  <c r="Z250" i="28" s="1"/>
  <c r="Y417" i="28"/>
  <c r="Z417" i="28" s="1"/>
  <c r="Y289" i="28"/>
  <c r="Z289" i="28" s="1"/>
  <c r="Y161" i="28"/>
  <c r="Z161" i="28" s="1"/>
  <c r="Y517" i="28"/>
  <c r="Z517" i="28" s="1"/>
  <c r="Y506" i="28"/>
  <c r="Z506" i="28" s="1"/>
  <c r="Y567" i="28"/>
  <c r="Z567" i="28" s="1"/>
  <c r="Y507" i="28"/>
  <c r="Z507" i="28" s="1"/>
  <c r="Y592" i="28"/>
  <c r="Y578" i="28"/>
  <c r="Z578" i="28" s="1"/>
  <c r="Y607" i="28"/>
  <c r="Z607" i="28" s="1"/>
  <c r="Y564" i="28"/>
  <c r="Z564" i="28" s="1"/>
  <c r="Y492" i="28"/>
  <c r="Z492" i="28" s="1"/>
  <c r="Y364" i="28"/>
  <c r="Z364" i="28" s="1"/>
  <c r="Y236" i="28"/>
  <c r="Z236" i="28" s="1"/>
  <c r="Y403" i="28"/>
  <c r="Z403" i="28" s="1"/>
  <c r="Y275" i="28"/>
  <c r="Z275" i="28" s="1"/>
  <c r="Y402" i="28"/>
  <c r="Z402" i="28" s="1"/>
  <c r="Y274" i="28"/>
  <c r="Z274" i="28" s="1"/>
  <c r="Y441" i="28"/>
  <c r="Z441" i="28" s="1"/>
  <c r="Y313" i="28"/>
  <c r="Z313" i="28" s="1"/>
  <c r="Y185" i="28"/>
  <c r="Z185" i="28" s="1"/>
  <c r="Y494" i="28"/>
  <c r="Z494" i="28" s="1"/>
  <c r="Y505" i="28"/>
  <c r="Z505" i="28" s="1"/>
  <c r="Y229" i="28"/>
  <c r="Z229" i="28" s="1"/>
  <c r="Y357" i="28"/>
  <c r="Z357" i="28" s="1"/>
  <c r="Y485" i="28"/>
  <c r="Z485" i="28" s="1"/>
  <c r="Y190" i="28"/>
  <c r="Z190" i="28" s="1"/>
  <c r="Y318" i="28"/>
  <c r="Z318" i="28" s="1"/>
  <c r="Y446" i="28"/>
  <c r="Z446" i="28" s="1"/>
  <c r="Y183" i="28"/>
  <c r="Z183" i="28" s="1"/>
  <c r="Y311" i="28"/>
  <c r="Z311" i="28" s="1"/>
  <c r="Y439" i="28"/>
  <c r="Z439" i="28" s="1"/>
  <c r="Y272" i="28"/>
  <c r="Z272" i="28" s="1"/>
  <c r="Y400" i="28"/>
  <c r="Z400" i="28" s="1"/>
  <c r="Y518" i="28"/>
  <c r="Z518" i="28" s="1"/>
  <c r="Y561" i="28"/>
  <c r="Z561" i="28" s="1"/>
  <c r="Y269" i="28"/>
  <c r="Z269" i="28" s="1"/>
  <c r="Y397" i="28"/>
  <c r="Z397" i="28" s="1"/>
  <c r="Y230" i="28"/>
  <c r="Z230" i="28" s="1"/>
  <c r="Y358" i="28"/>
  <c r="Z358" i="28" s="1"/>
  <c r="Y486" i="28"/>
  <c r="Z486" i="28" s="1"/>
  <c r="Y223" i="28"/>
  <c r="Z223" i="28" s="1"/>
  <c r="Y351" i="28"/>
  <c r="Z351" i="28" s="1"/>
  <c r="Y479" i="28"/>
  <c r="Z479" i="28" s="1"/>
  <c r="Y184" i="28"/>
  <c r="Z184" i="28" s="1"/>
  <c r="Y312" i="28"/>
  <c r="Z312" i="28" s="1"/>
  <c r="Y440" i="28"/>
  <c r="Z440" i="28" s="1"/>
  <c r="Y574" i="28"/>
  <c r="Z574" i="28" s="1"/>
  <c r="Y213" i="28"/>
  <c r="Z213" i="28" s="1"/>
  <c r="Y341" i="28"/>
  <c r="Z341" i="28" s="1"/>
  <c r="Y469" i="28"/>
  <c r="Z469" i="28" s="1"/>
  <c r="Y174" i="28"/>
  <c r="Z174" i="28" s="1"/>
  <c r="Y302" i="28"/>
  <c r="Z302" i="28" s="1"/>
  <c r="Y430" i="28"/>
  <c r="Z430" i="28" s="1"/>
  <c r="Y167" i="28"/>
  <c r="Z167" i="28" s="1"/>
  <c r="Y295" i="28"/>
  <c r="Z295" i="28" s="1"/>
  <c r="Y423" i="28"/>
  <c r="Z423" i="28" s="1"/>
  <c r="Y256" i="28"/>
  <c r="Z256" i="28" s="1"/>
  <c r="Y384" i="28"/>
  <c r="Z384" i="28" s="1"/>
  <c r="Y502" i="28"/>
  <c r="Z502" i="28" s="1"/>
  <c r="Y545" i="28"/>
  <c r="Z545" i="28" s="1"/>
  <c r="Y157" i="28"/>
  <c r="Z157" i="28" s="1"/>
  <c r="Y285" i="28"/>
  <c r="Z285" i="28" s="1"/>
  <c r="Y413" i="28"/>
  <c r="Z413" i="28" s="1"/>
  <c r="Y246" i="28"/>
  <c r="Z246" i="28" s="1"/>
  <c r="Y374" i="28"/>
  <c r="Z374" i="28" s="1"/>
  <c r="Y239" i="28"/>
  <c r="Z239" i="28" s="1"/>
  <c r="Y367" i="28"/>
  <c r="Z367" i="28" s="1"/>
  <c r="Y200" i="28"/>
  <c r="Z200" i="28" s="1"/>
  <c r="Y328" i="28"/>
  <c r="Z328" i="28" s="1"/>
  <c r="Y456" i="28"/>
  <c r="Z456" i="28" s="1"/>
  <c r="Y531" i="28"/>
  <c r="Z531" i="28" s="1"/>
  <c r="Y520" i="28"/>
  <c r="Z520" i="28" s="1"/>
  <c r="Y538" i="28"/>
  <c r="Z538" i="28" s="1"/>
  <c r="Y599" i="28"/>
  <c r="Z599" i="28" s="1"/>
  <c r="Y579" i="28"/>
  <c r="Z579" i="28" s="1"/>
  <c r="Y536" i="28"/>
  <c r="Z536" i="28" s="1"/>
  <c r="Y565" i="28"/>
  <c r="Z565" i="28" s="1"/>
  <c r="Y522" i="28"/>
  <c r="Z522" i="28" s="1"/>
  <c r="Y583" i="28"/>
  <c r="Z583" i="28" s="1"/>
  <c r="Y540" i="28"/>
  <c r="Z540" i="28" s="1"/>
  <c r="Y388" i="28"/>
  <c r="Z388" i="28" s="1"/>
  <c r="Y260" i="28"/>
  <c r="Z260" i="28" s="1"/>
  <c r="Y427" i="28"/>
  <c r="Z427" i="28" s="1"/>
  <c r="Y299" i="28"/>
  <c r="Z299" i="28" s="1"/>
  <c r="Y171" i="28"/>
  <c r="Z171" i="28" s="1"/>
  <c r="Y426" i="28"/>
  <c r="Z426" i="28" s="1"/>
  <c r="Y298" i="28"/>
  <c r="Z298" i="28" s="1"/>
  <c r="Y170" i="28"/>
  <c r="Z170" i="28" s="1"/>
  <c r="Y465" i="28"/>
  <c r="Z465" i="28" s="1"/>
  <c r="Y337" i="28"/>
  <c r="Z337" i="28" s="1"/>
  <c r="Y209" i="28"/>
  <c r="Z209" i="28" s="1"/>
  <c r="Y595" i="28"/>
  <c r="Z595" i="28" s="1"/>
  <c r="Y552" i="28"/>
  <c r="Z552" i="28" s="1"/>
  <c r="Y436" i="28"/>
  <c r="Z436" i="28" s="1"/>
  <c r="Y308" i="28"/>
  <c r="Z308" i="28" s="1"/>
  <c r="Y180" i="28"/>
  <c r="Z180" i="28" s="1"/>
  <c r="Y475" i="28"/>
  <c r="Z475" i="28" s="1"/>
  <c r="Y347" i="28"/>
  <c r="Z347" i="28" s="1"/>
  <c r="Y219" i="28"/>
  <c r="Z219" i="28" s="1"/>
  <c r="Y474" i="28"/>
  <c r="Z474" i="28" s="1"/>
  <c r="Y346" i="28"/>
  <c r="Z346" i="28" s="1"/>
  <c r="Y218" i="28"/>
  <c r="Z218" i="28" s="1"/>
  <c r="Y385" i="28"/>
  <c r="Z385" i="28" s="1"/>
  <c r="Y257" i="28"/>
  <c r="Z257" i="28" s="1"/>
  <c r="Y563" i="28"/>
  <c r="Z563" i="28" s="1"/>
  <c r="Y581" i="28"/>
  <c r="Z581" i="28" s="1"/>
  <c r="Y570" i="28"/>
  <c r="Z570" i="28" s="1"/>
  <c r="Y539" i="28"/>
  <c r="Z539" i="28" s="1"/>
  <c r="Y496" i="28"/>
  <c r="Z496" i="28" s="1"/>
  <c r="Y525" i="28"/>
  <c r="Z525" i="28" s="1"/>
  <c r="Y511" i="28"/>
  <c r="Z511" i="28" s="1"/>
  <c r="Y596" i="28"/>
  <c r="Z596" i="28" s="1"/>
  <c r="Y460" i="28"/>
  <c r="Z460" i="28" s="1"/>
  <c r="Y332" i="28"/>
  <c r="Z332" i="28" s="1"/>
  <c r="Y204" i="28"/>
  <c r="Z204" i="28" s="1"/>
  <c r="Y371" i="28"/>
  <c r="Z371" i="28" s="1"/>
  <c r="Y243" i="28"/>
  <c r="Z243" i="28" s="1"/>
  <c r="Y370" i="28"/>
  <c r="Z370" i="28" s="1"/>
  <c r="Y242" i="28"/>
  <c r="Z242" i="28" s="1"/>
  <c r="Y409" i="28"/>
  <c r="Z409" i="28" s="1"/>
  <c r="Y281" i="28"/>
  <c r="Z281" i="28" s="1"/>
  <c r="Y590" i="28"/>
  <c r="Z590" i="28" s="1"/>
  <c r="Y601" i="28"/>
  <c r="Z601" i="28" s="1"/>
  <c r="Y261" i="28"/>
  <c r="Z261" i="28" s="1"/>
  <c r="Y389" i="28"/>
  <c r="Z389" i="28" s="1"/>
  <c r="Y222" i="28"/>
  <c r="Z222" i="28" s="1"/>
  <c r="Y350" i="28"/>
  <c r="Z350" i="28" s="1"/>
  <c r="Y478" i="28"/>
  <c r="Z478" i="28" s="1"/>
  <c r="Y215" i="28"/>
  <c r="Z215" i="28" s="1"/>
  <c r="Y343" i="28"/>
  <c r="Z343" i="28" s="1"/>
  <c r="Y471" i="28"/>
  <c r="Z471" i="28" s="1"/>
  <c r="Y176" i="28"/>
  <c r="Z176" i="28" s="1"/>
  <c r="Y304" i="28"/>
  <c r="Z304" i="28" s="1"/>
  <c r="Y432" i="28"/>
  <c r="Z432" i="28" s="1"/>
  <c r="Y529" i="28"/>
  <c r="Z529" i="28" s="1"/>
  <c r="Y173" i="28"/>
  <c r="Z173" i="28" s="1"/>
  <c r="Y301" i="28"/>
  <c r="Z301" i="28" s="1"/>
  <c r="Y429" i="28"/>
  <c r="Z429" i="28" s="1"/>
  <c r="Y262" i="28"/>
  <c r="Z262" i="28" s="1"/>
  <c r="Y390" i="28"/>
  <c r="Z390" i="28" s="1"/>
  <c r="Y255" i="28"/>
  <c r="Z255" i="28" s="1"/>
  <c r="Y383" i="28"/>
  <c r="Z383" i="28" s="1"/>
  <c r="Y216" i="28"/>
  <c r="Z216" i="28" s="1"/>
  <c r="Y344" i="28"/>
  <c r="Z344" i="28" s="1"/>
  <c r="Y472" i="28"/>
  <c r="Z472" i="28" s="1"/>
  <c r="Y542" i="28"/>
  <c r="Z542" i="28" s="1"/>
  <c r="Y585" i="28"/>
  <c r="Z585" i="28" s="1"/>
  <c r="Y245" i="28"/>
  <c r="Z245" i="28" s="1"/>
  <c r="Y373" i="28"/>
  <c r="Z373" i="28" s="1"/>
  <c r="Y206" i="28"/>
  <c r="Z206" i="28" s="1"/>
  <c r="Y334" i="28"/>
  <c r="Y462" i="28"/>
  <c r="Z462" i="28" s="1"/>
  <c r="Y199" i="28"/>
  <c r="Z199" i="28" s="1"/>
  <c r="Y327" i="28"/>
  <c r="Z327" i="28" s="1"/>
  <c r="Y455" i="28"/>
  <c r="Z455" i="28" s="1"/>
  <c r="Y160" i="28"/>
  <c r="Z160" i="28" s="1"/>
  <c r="Y288" i="28"/>
  <c r="Z288" i="28" s="1"/>
  <c r="Y416" i="28"/>
  <c r="Z416" i="28" s="1"/>
  <c r="Y598" i="28"/>
  <c r="Z598" i="28" s="1"/>
  <c r="Y513" i="28"/>
  <c r="Z513" i="28" s="1"/>
  <c r="Y189" i="28"/>
  <c r="Z189" i="28" s="1"/>
  <c r="Y317" i="28"/>
  <c r="Z317" i="28" s="1"/>
  <c r="Y445" i="28"/>
  <c r="Z445" i="28" s="1"/>
  <c r="Y278" i="28"/>
  <c r="Z278" i="28" s="1"/>
  <c r="Y406" i="28"/>
  <c r="Z406" i="28" s="1"/>
  <c r="Y271" i="28"/>
  <c r="Z271" i="28" s="1"/>
  <c r="Y399" i="28"/>
  <c r="Z399" i="28" s="1"/>
  <c r="Y232" i="28"/>
  <c r="Z232" i="28" s="1"/>
  <c r="Y360" i="28"/>
  <c r="Z360" i="28" s="1"/>
  <c r="Y488" i="28"/>
  <c r="Z488" i="28" s="1"/>
  <c r="Y584" i="28"/>
  <c r="Z584" i="28" s="1"/>
  <c r="Y568" i="28"/>
  <c r="Z568" i="28" s="1"/>
  <c r="Y597" i="28"/>
  <c r="Z597" i="28" s="1"/>
  <c r="Y554" i="28"/>
  <c r="Z554" i="28" s="1"/>
  <c r="Y572" i="28"/>
  <c r="Z572" i="28" s="1"/>
  <c r="Y484" i="28"/>
  <c r="Z484" i="28" s="1"/>
  <c r="Y356" i="28"/>
  <c r="Z356" i="28" s="1"/>
  <c r="Y228" i="28"/>
  <c r="Z228" i="28" s="1"/>
  <c r="Y395" i="28"/>
  <c r="Z395" i="28" s="1"/>
  <c r="Y267" i="28"/>
  <c r="Z267" i="28" s="1"/>
  <c r="Y394" i="28"/>
  <c r="Z394" i="28" s="1"/>
  <c r="Y266" i="28"/>
  <c r="Z266" i="28" s="1"/>
  <c r="Y433" i="28"/>
  <c r="Z433" i="28" s="1"/>
  <c r="Y305" i="28"/>
  <c r="Z305" i="28" s="1"/>
  <c r="Y177" i="28"/>
  <c r="Z177" i="28" s="1"/>
  <c r="Y38" i="28"/>
  <c r="Z38" i="28" s="1"/>
  <c r="Y148" i="28"/>
  <c r="Z148" i="28" s="1"/>
  <c r="Y139" i="28"/>
  <c r="Z139" i="28" s="1"/>
  <c r="Y82" i="28"/>
  <c r="Z82" i="28" s="1"/>
  <c r="Y146" i="28"/>
  <c r="Z146" i="28" s="1"/>
  <c r="Y57" i="28"/>
  <c r="Z57" i="28" s="1"/>
  <c r="Y122" i="28"/>
  <c r="Z122" i="28" s="1"/>
  <c r="Y75" i="28"/>
  <c r="Z75" i="28" s="1"/>
  <c r="Y127" i="28"/>
  <c r="Z127" i="28" s="1"/>
  <c r="Y132" i="28"/>
  <c r="Z132" i="28" s="1"/>
  <c r="Y78" i="28"/>
  <c r="Z78" i="28" s="1"/>
  <c r="Y124" i="28"/>
  <c r="Z124" i="28" s="1"/>
  <c r="Y81" i="28"/>
  <c r="Z81" i="28" s="1"/>
  <c r="Y80" i="28"/>
  <c r="Z80" i="28" s="1"/>
  <c r="Y44" i="28"/>
  <c r="Z44" i="28" s="1"/>
  <c r="Y541" i="28"/>
  <c r="Z541" i="28" s="1"/>
  <c r="Y555" i="28"/>
  <c r="Z555" i="28" s="1"/>
  <c r="Y233" i="28"/>
  <c r="Z233" i="28" s="1"/>
  <c r="Y425" i="28"/>
  <c r="Z425" i="28" s="1"/>
  <c r="Y290" i="28"/>
  <c r="Z290" i="28" s="1"/>
  <c r="Y482" i="28"/>
  <c r="Z482" i="28" s="1"/>
  <c r="Y163" i="28"/>
  <c r="Z163" i="28" s="1"/>
  <c r="Y323" i="28"/>
  <c r="Z323" i="28" s="1"/>
  <c r="Y284" i="28"/>
  <c r="Z284" i="28" s="1"/>
  <c r="Y580" i="28"/>
  <c r="Z580" i="28" s="1"/>
  <c r="Y495" i="28"/>
  <c r="Z495" i="28" s="1"/>
  <c r="Y605" i="28"/>
  <c r="Z605" i="28" s="1"/>
  <c r="Y265" i="28"/>
  <c r="Z265" i="28" s="1"/>
  <c r="Y418" i="28"/>
  <c r="Z418" i="28" s="1"/>
  <c r="Y355" i="28"/>
  <c r="Z355" i="28" s="1"/>
  <c r="Y348" i="28"/>
  <c r="Z348" i="28" s="1"/>
  <c r="Y37" i="28"/>
  <c r="Z37" i="28" s="1"/>
  <c r="Y99" i="28"/>
  <c r="Z99" i="28" s="1"/>
  <c r="Y147" i="28"/>
  <c r="Z147" i="28" s="1"/>
  <c r="Y100" i="28"/>
  <c r="Z100" i="28" s="1"/>
  <c r="Y21" i="28"/>
  <c r="Z21" i="28" s="1"/>
  <c r="Y34" i="28"/>
  <c r="Z34" i="28" s="1"/>
  <c r="Y116" i="28"/>
  <c r="Z116" i="28" s="1"/>
  <c r="Y83" i="28"/>
  <c r="Z83" i="28" s="1"/>
  <c r="Y125" i="28"/>
  <c r="Z125" i="28" s="1"/>
  <c r="Y35" i="28"/>
  <c r="Z35" i="28" s="1"/>
  <c r="Y15" i="28"/>
  <c r="Z15" i="28" s="1"/>
  <c r="Y144" i="28"/>
  <c r="Z144" i="28" s="1"/>
  <c r="Y20" i="28"/>
  <c r="Z20" i="28" s="1"/>
  <c r="Y84" i="28"/>
  <c r="Z84" i="28" s="1"/>
  <c r="Y73" i="28"/>
  <c r="Z73" i="28" s="1"/>
  <c r="Y62" i="28"/>
  <c r="Z62" i="28" s="1"/>
  <c r="Y17" i="28"/>
  <c r="Z17" i="28" s="1"/>
  <c r="Y79" i="28"/>
  <c r="Z79" i="28" s="1"/>
  <c r="Y14" i="28"/>
  <c r="Z14" i="28" s="1"/>
  <c r="Y76" i="28"/>
  <c r="Z76" i="28" s="1"/>
  <c r="Y117" i="28"/>
  <c r="Z117" i="28" s="1"/>
  <c r="Y64" i="28"/>
  <c r="Z64" i="28" s="1"/>
  <c r="Y60" i="28"/>
  <c r="Z60" i="28" s="1"/>
  <c r="Y142" i="28"/>
  <c r="Z142" i="28" s="1"/>
  <c r="Y138" i="28"/>
  <c r="Z138" i="28" s="1"/>
  <c r="Y115" i="28"/>
  <c r="Z115" i="28" s="1"/>
  <c r="Y77" i="28"/>
  <c r="Z77" i="28" s="1"/>
  <c r="Y102" i="28"/>
  <c r="Z102" i="28" s="1"/>
  <c r="Y65" i="28"/>
  <c r="Z65" i="28" s="1"/>
  <c r="O4" i="8"/>
  <c r="Y8" i="28"/>
  <c r="Z8" i="28" s="1"/>
  <c r="Y91" i="28"/>
  <c r="Z91" i="28" s="1"/>
  <c r="Y40" i="28"/>
  <c r="Z40" i="28" s="1"/>
  <c r="Y107" i="28"/>
  <c r="Z107" i="28" s="1"/>
  <c r="Y33" i="28"/>
  <c r="Z33" i="28" s="1"/>
  <c r="Y118" i="28"/>
  <c r="Z118" i="28" s="1"/>
  <c r="Y90" i="28"/>
  <c r="Z90" i="28" s="1"/>
  <c r="Y121" i="28"/>
  <c r="Z121" i="28" s="1"/>
  <c r="Y527" i="28"/>
  <c r="Z527" i="28" s="1"/>
  <c r="Y594" i="28"/>
  <c r="Z594" i="28" s="1"/>
  <c r="Y544" i="28"/>
  <c r="Z544" i="28" s="1"/>
  <c r="Y297" i="28"/>
  <c r="Z297" i="28" s="1"/>
  <c r="Y457" i="28"/>
  <c r="Z457" i="28" s="1"/>
  <c r="Y162" i="28"/>
  <c r="Z162" i="28" s="1"/>
  <c r="Y354" i="28"/>
  <c r="Z354" i="28" s="1"/>
  <c r="Y195" i="28"/>
  <c r="Z195" i="28" s="1"/>
  <c r="Y387" i="28"/>
  <c r="Z387" i="28" s="1"/>
  <c r="Y380" i="28"/>
  <c r="Z380" i="28" s="1"/>
  <c r="Y530" i="28"/>
  <c r="Z530" i="28" s="1"/>
  <c r="Y509" i="28"/>
  <c r="Z509" i="28" s="1"/>
  <c r="Y608" i="28"/>
  <c r="Z608" i="28" s="1"/>
  <c r="Y523" i="28"/>
  <c r="Z523" i="28" s="1"/>
  <c r="Y361" i="28"/>
  <c r="Z361" i="28" s="1"/>
  <c r="Y419" i="28"/>
  <c r="Z419" i="28" s="1"/>
  <c r="Y412" i="28"/>
  <c r="Z412" i="28" s="1"/>
  <c r="Y61" i="28"/>
  <c r="Z61" i="28" s="1"/>
  <c r="Y25" i="28"/>
  <c r="Z25" i="28" s="1"/>
  <c r="Y86" i="28"/>
  <c r="Z86" i="28" s="1"/>
  <c r="Y19" i="28"/>
  <c r="Z19" i="28" s="1"/>
  <c r="Y68" i="28"/>
  <c r="Z68" i="28" s="1"/>
  <c r="Y140" i="28"/>
  <c r="Z140" i="28" s="1"/>
  <c r="Y141" i="28"/>
  <c r="Z141" i="28" s="1"/>
  <c r="Y97" i="28"/>
  <c r="Z97" i="28" s="1"/>
  <c r="Y123" i="28"/>
  <c r="Z123" i="28" s="1"/>
  <c r="Y67" i="28"/>
  <c r="Z67" i="28" s="1"/>
  <c r="Y103" i="28"/>
  <c r="Z103" i="28" s="1"/>
  <c r="Y94" i="28"/>
  <c r="Z94" i="28" s="1"/>
  <c r="Y45" i="28"/>
  <c r="Z45" i="28" s="1"/>
  <c r="N24" i="25"/>
  <c r="Y114" i="28"/>
  <c r="Z114" i="28" s="1"/>
  <c r="Y29" i="28"/>
  <c r="Z29" i="28" s="1"/>
  <c r="Y50" i="28"/>
  <c r="Z50" i="28" s="1"/>
  <c r="Y31" i="28"/>
  <c r="Z31" i="28" s="1"/>
  <c r="Y70" i="28"/>
  <c r="Z70" i="28" s="1"/>
  <c r="Y42" i="28"/>
  <c r="Z42" i="28" s="1"/>
  <c r="Y112" i="28"/>
  <c r="Z112" i="28" s="1"/>
  <c r="Y59" i="28"/>
  <c r="Z59" i="28" s="1"/>
  <c r="Y9" i="28"/>
  <c r="Z9" i="28" s="1"/>
  <c r="Y3" i="28"/>
  <c r="Z3" i="28" s="1"/>
  <c r="Y104" i="28"/>
  <c r="Z104" i="28" s="1"/>
  <c r="Y151" i="28"/>
  <c r="Z151" i="28" s="1"/>
  <c r="Y137" i="28"/>
  <c r="Z137" i="28" s="1"/>
  <c r="Y26" i="28"/>
  <c r="Z26" i="28" s="1"/>
  <c r="Y119" i="28"/>
  <c r="Z119" i="28" s="1"/>
  <c r="Y136" i="28"/>
  <c r="Z136" i="28" s="1"/>
  <c r="Y52" i="28"/>
  <c r="Z52" i="28" s="1"/>
  <c r="Y516" i="28"/>
  <c r="Z516" i="28" s="1"/>
  <c r="Y498" i="28"/>
  <c r="Z498" i="28" s="1"/>
  <c r="Y329" i="28"/>
  <c r="Z329" i="28" s="1"/>
  <c r="Y194" i="28"/>
  <c r="Z194" i="28" s="1"/>
  <c r="Y386" i="28"/>
  <c r="Z386" i="28" s="1"/>
  <c r="Y227" i="28"/>
  <c r="Z227" i="28" s="1"/>
  <c r="Y451" i="28"/>
  <c r="Z451" i="28" s="1"/>
  <c r="Y156" i="28"/>
  <c r="Z156" i="28" s="1"/>
  <c r="Y444" i="28"/>
  <c r="Z444" i="28" s="1"/>
  <c r="Y512" i="28"/>
  <c r="Z512" i="28" s="1"/>
  <c r="Y489" i="28"/>
  <c r="Z489" i="28" s="1"/>
  <c r="Y226" i="28"/>
  <c r="Z226" i="28" s="1"/>
  <c r="Y188" i="28"/>
  <c r="Z188" i="28" s="1"/>
  <c r="Y559" i="28"/>
  <c r="Z559" i="28" s="1"/>
  <c r="Y573" i="28"/>
  <c r="Z573" i="28" s="1"/>
  <c r="Y587" i="28"/>
  <c r="Z587" i="28" s="1"/>
  <c r="Y108" i="28"/>
  <c r="Z108" i="28" s="1"/>
  <c r="Y143" i="28"/>
  <c r="Z143" i="28" s="1"/>
  <c r="Y105" i="28"/>
  <c r="Z105" i="28" s="1"/>
  <c r="Y109" i="28"/>
  <c r="Z109" i="28" s="1"/>
  <c r="Y58" i="28"/>
  <c r="Z58" i="28" s="1"/>
  <c r="Y101" i="28"/>
  <c r="Z101" i="28" s="1"/>
  <c r="Y74" i="28"/>
  <c r="Z74" i="28" s="1"/>
  <c r="Y89" i="28"/>
  <c r="Z89" i="28" s="1"/>
  <c r="Y87" i="28"/>
  <c r="Z87" i="28" s="1"/>
  <c r="Y46" i="28"/>
  <c r="Z46" i="28" s="1"/>
  <c r="Y85" i="28"/>
  <c r="Z85" i="28" s="1"/>
  <c r="Y27" i="28"/>
  <c r="Z27" i="28" s="1"/>
  <c r="Y110" i="28"/>
  <c r="Z110" i="28" s="1"/>
  <c r="Y128" i="28"/>
  <c r="Z128" i="28" s="1"/>
  <c r="Y131" i="28"/>
  <c r="Z131" i="28" s="1"/>
  <c r="Y22" i="28"/>
  <c r="Z22" i="28" s="1"/>
  <c r="Y28" i="28"/>
  <c r="Z28" i="28" s="1"/>
  <c r="Y6" i="28"/>
  <c r="Z6" i="28" s="1"/>
  <c r="Y106" i="28"/>
  <c r="Z106" i="28" s="1"/>
  <c r="Y88" i="28"/>
  <c r="Z88" i="28" s="1"/>
  <c r="Y23" i="28"/>
  <c r="Z23" i="28" s="1"/>
  <c r="Y120" i="28"/>
  <c r="Z120" i="28" s="1"/>
  <c r="Y93" i="28"/>
  <c r="Z93" i="28" s="1"/>
  <c r="Y18" i="28"/>
  <c r="Z18" i="28" s="1"/>
  <c r="Y113" i="28"/>
  <c r="Z113" i="28" s="1"/>
  <c r="Y51" i="28"/>
  <c r="Z51" i="28" s="1"/>
  <c r="Y135" i="28"/>
  <c r="Z135" i="28" s="1"/>
  <c r="Y24" i="28"/>
  <c r="Z24" i="28" s="1"/>
  <c r="Y32" i="28"/>
  <c r="Z32" i="28" s="1"/>
  <c r="Y316" i="28"/>
  <c r="Z316" i="28" s="1"/>
  <c r="Y201" i="28"/>
  <c r="Z201" i="28" s="1"/>
  <c r="Y393" i="28"/>
  <c r="Z393" i="28" s="1"/>
  <c r="Y258" i="28"/>
  <c r="Z258" i="28" s="1"/>
  <c r="Y450" i="28"/>
  <c r="Z450" i="28" s="1"/>
  <c r="Y291" i="28"/>
  <c r="Z291" i="28" s="1"/>
  <c r="Y483" i="28"/>
  <c r="Z483" i="28" s="1"/>
  <c r="Y220" i="28"/>
  <c r="Z220" i="28" s="1"/>
  <c r="Y476" i="28"/>
  <c r="Z476" i="28" s="1"/>
  <c r="Y591" i="28"/>
  <c r="Z591" i="28" s="1"/>
  <c r="Y169" i="28"/>
  <c r="Z169" i="28" s="1"/>
  <c r="Y322" i="28"/>
  <c r="Z322" i="28" s="1"/>
  <c r="Y259" i="28"/>
  <c r="Z259" i="28" s="1"/>
  <c r="Y252" i="28"/>
  <c r="Z252" i="28" s="1"/>
  <c r="Y548" i="28"/>
  <c r="Z548" i="28" s="1"/>
  <c r="Y562" i="28"/>
  <c r="Z562" i="28" s="1"/>
  <c r="Y576" i="28"/>
  <c r="Z576" i="28" s="1"/>
  <c r="Y126" i="28"/>
  <c r="Z126" i="28" s="1"/>
  <c r="Y48" i="28"/>
  <c r="Z48" i="28" s="1"/>
  <c r="Y41" i="28"/>
  <c r="Z41" i="28" s="1"/>
  <c r="Y10" i="28"/>
  <c r="Z10" i="28" s="1"/>
  <c r="Y134" i="28"/>
  <c r="Z134" i="28" s="1"/>
  <c r="Y43" i="28"/>
  <c r="Z43" i="28" s="1"/>
  <c r="Y66" i="28"/>
  <c r="Z66" i="28" s="1"/>
  <c r="Y7" i="28"/>
  <c r="Z7" i="28" s="1"/>
  <c r="Y96" i="28"/>
  <c r="Z96" i="28" s="1"/>
  <c r="Y4" i="28"/>
  <c r="Z4" i="28" s="1"/>
  <c r="Y11" i="28"/>
  <c r="Z11" i="28" s="1"/>
  <c r="Y152" i="28"/>
  <c r="Z152" i="28" s="1"/>
  <c r="Y154" i="28"/>
  <c r="Z154" i="28" s="1"/>
  <c r="Y63" i="28"/>
  <c r="Z63" i="28" s="1"/>
  <c r="Y2" i="28"/>
  <c r="Z2" i="28" s="1"/>
  <c r="Y55" i="28"/>
  <c r="Z55" i="28" s="1"/>
  <c r="Y130" i="28"/>
  <c r="Z130" i="28" s="1"/>
  <c r="Y150" i="28"/>
  <c r="Z150" i="28" s="1"/>
  <c r="Y56" i="28"/>
  <c r="Z56" i="28" s="1"/>
  <c r="Y49" i="28"/>
  <c r="Z49" i="28" s="1"/>
  <c r="Y129" i="28"/>
  <c r="Z129" i="28" s="1"/>
  <c r="Y149" i="28"/>
  <c r="Z149" i="28" s="1"/>
  <c r="Y54" i="28"/>
  <c r="Y5" i="28"/>
  <c r="Z5" i="28" s="1"/>
  <c r="Y145" i="28"/>
  <c r="Z145" i="28" s="1"/>
  <c r="Y71" i="28"/>
  <c r="Y111" i="28"/>
  <c r="Z111" i="28" s="1"/>
  <c r="Y53" i="28"/>
  <c r="Z53" i="28" s="1"/>
  <c r="Y98" i="28"/>
  <c r="Z98" i="28" s="1"/>
  <c r="Y16" i="28"/>
  <c r="Z16" i="28" s="1"/>
  <c r="Y133" i="28"/>
  <c r="Z133" i="28" s="1"/>
  <c r="Y47" i="28"/>
  <c r="Z47" i="28" s="1"/>
  <c r="Y36" i="28"/>
  <c r="Z36" i="28" s="1"/>
  <c r="Y12" i="28"/>
  <c r="Z12" i="28" s="1"/>
  <c r="Y30" i="28"/>
  <c r="Z30" i="28" s="1"/>
  <c r="Y153" i="28"/>
  <c r="Z153" i="28" s="1"/>
  <c r="Y92" i="28"/>
  <c r="Z92" i="28" s="1"/>
  <c r="Y69" i="28"/>
  <c r="Z69" i="28" s="1"/>
  <c r="Y72" i="28"/>
  <c r="Z72" i="28" s="1"/>
  <c r="Y95" i="28"/>
  <c r="Z95" i="28" s="1"/>
  <c r="Y13" i="28"/>
  <c r="Z13" i="28" s="1"/>
  <c r="Y39" i="28"/>
  <c r="Z39" i="28" s="1"/>
  <c r="AB533" i="28"/>
  <c r="AI305" i="28"/>
  <c r="AI478" i="28"/>
  <c r="AI196" i="28"/>
  <c r="AI494" i="28"/>
  <c r="AI281" i="28"/>
  <c r="AI563" i="28"/>
  <c r="AB50" i="28"/>
  <c r="AB117" i="28"/>
  <c r="AI145" i="28"/>
  <c r="AB506" i="28"/>
  <c r="AI549" i="28"/>
  <c r="AB588" i="28"/>
  <c r="AI530" i="28"/>
  <c r="AI555" i="28"/>
  <c r="AI434" i="28"/>
  <c r="AB45" i="28"/>
  <c r="AI546" i="28"/>
  <c r="AB320" i="28"/>
  <c r="AI606" i="28"/>
  <c r="AB303" i="28"/>
  <c r="AB531" i="28"/>
  <c r="AB529" i="28"/>
  <c r="AB181" i="28"/>
  <c r="AI155" i="28"/>
  <c r="AI282" i="28"/>
  <c r="AI266" i="28"/>
  <c r="AB496" i="28"/>
  <c r="AI595" i="28"/>
  <c r="AI567" i="28"/>
  <c r="AI210" i="28"/>
  <c r="AI32" i="28"/>
  <c r="AI529" i="28"/>
  <c r="AI156" i="28"/>
  <c r="AI115" i="28"/>
  <c r="AB193" i="28"/>
  <c r="AI534" i="28"/>
  <c r="AB88" i="28"/>
  <c r="AB29" i="28"/>
  <c r="AI453" i="28"/>
  <c r="AI538" i="28"/>
  <c r="AI211" i="28"/>
  <c r="AB476" i="28"/>
  <c r="AI337" i="28"/>
  <c r="AB106" i="28"/>
  <c r="AB196" i="28"/>
  <c r="AI367" i="28"/>
  <c r="AI441" i="28"/>
  <c r="AI548" i="28"/>
  <c r="AI572" i="28"/>
  <c r="AI372" i="28"/>
  <c r="AB34" i="28"/>
  <c r="AI190" i="28"/>
  <c r="AB269" i="28"/>
  <c r="AB32" i="28"/>
  <c r="AB606" i="28"/>
  <c r="AB581" i="28"/>
  <c r="AB528" i="28"/>
  <c r="AB446" i="28"/>
  <c r="AI351" i="28"/>
  <c r="AB286" i="28"/>
  <c r="AI289" i="28"/>
  <c r="AI85" i="28"/>
  <c r="AB479" i="28"/>
  <c r="AB263" i="28"/>
  <c r="AI501" i="28"/>
  <c r="AB85" i="28"/>
  <c r="AI394" i="28"/>
  <c r="AI413" i="28"/>
  <c r="AI75" i="28"/>
  <c r="AB252" i="28"/>
  <c r="AB414" i="28"/>
  <c r="AI526" i="28"/>
  <c r="AB463" i="28"/>
  <c r="AB151" i="28"/>
  <c r="AI553" i="28"/>
  <c r="AI23" i="28"/>
  <c r="AI575" i="28"/>
  <c r="AI377" i="28"/>
  <c r="AI543" i="28"/>
  <c r="AI446" i="28"/>
  <c r="AI466" i="28"/>
  <c r="AI92" i="28"/>
  <c r="AI47" i="28"/>
  <c r="AI418" i="28"/>
  <c r="AI222" i="28"/>
  <c r="AB265" i="28"/>
  <c r="AI99" i="28"/>
  <c r="AI150" i="28"/>
  <c r="AI554" i="28"/>
  <c r="AI100" i="28"/>
  <c r="AI355" i="28"/>
  <c r="AB382" i="28"/>
  <c r="AI585" i="28"/>
  <c r="AB109" i="28"/>
  <c r="AI200" i="28"/>
  <c r="AI194" i="28"/>
  <c r="AI152" i="28"/>
  <c r="AI443" i="28"/>
  <c r="AI439" i="28"/>
  <c r="AI498" i="28"/>
  <c r="AB522" i="28"/>
  <c r="AB589" i="28"/>
  <c r="AI256" i="28"/>
  <c r="AI144" i="28"/>
  <c r="AB149" i="28"/>
  <c r="AI460" i="28"/>
  <c r="AI532" i="28"/>
  <c r="AI297" i="28"/>
  <c r="AI34" i="28"/>
  <c r="AI385" i="28"/>
  <c r="AI375" i="28"/>
  <c r="AB7" i="28"/>
  <c r="AI561" i="28"/>
  <c r="AI374" i="28"/>
  <c r="AI64" i="28"/>
  <c r="AB417" i="28"/>
  <c r="AI151" i="28"/>
  <c r="AI422" i="28"/>
  <c r="AI477" i="28"/>
  <c r="AB307" i="28"/>
  <c r="AI146" i="28"/>
  <c r="AI237" i="28"/>
  <c r="AI26" i="28"/>
  <c r="AI53" i="28"/>
  <c r="AB421" i="28"/>
  <c r="AI376" i="28"/>
  <c r="AI492" i="28"/>
  <c r="AI519" i="28"/>
  <c r="AI203" i="28"/>
  <c r="AI506" i="28"/>
  <c r="AI110" i="28"/>
  <c r="AI175" i="28"/>
  <c r="AI217" i="28"/>
  <c r="AI524" i="28"/>
  <c r="AI426" i="28"/>
  <c r="AB210" i="28"/>
  <c r="AI9" i="28"/>
  <c r="AI437" i="28"/>
  <c r="AI523" i="28"/>
  <c r="AI408" i="28"/>
  <c r="AI172" i="28"/>
  <c r="AB304" i="28"/>
  <c r="AI20" i="28"/>
  <c r="AB551" i="28"/>
  <c r="AB191" i="28"/>
  <c r="AB422" i="28"/>
  <c r="AB368" i="28"/>
  <c r="AB437" i="28"/>
  <c r="AI247" i="28"/>
  <c r="AB458" i="28"/>
  <c r="AB453" i="28"/>
  <c r="AI6" i="28"/>
  <c r="AB179" i="28"/>
  <c r="AI263" i="28"/>
  <c r="AB159" i="28"/>
  <c r="AB384" i="28"/>
  <c r="AB42" i="28"/>
  <c r="AI363" i="28"/>
  <c r="AB192" i="28"/>
  <c r="AB56" i="28"/>
  <c r="AB445" i="28"/>
  <c r="AB130" i="28"/>
  <c r="AI257" i="28"/>
  <c r="AB309" i="28"/>
  <c r="AI133" i="28"/>
  <c r="AI486" i="28"/>
  <c r="AI14" i="28"/>
  <c r="AI7" i="28"/>
  <c r="AB372" i="28"/>
  <c r="AI22" i="28"/>
  <c r="AI50" i="28"/>
  <c r="AI174" i="28"/>
  <c r="AB367" i="28"/>
  <c r="AI309" i="28"/>
  <c r="AB174" i="28"/>
  <c r="AI520" i="28"/>
  <c r="AI442" i="28"/>
  <c r="AB71" i="28"/>
  <c r="AI361" i="28"/>
  <c r="AI435" i="28"/>
  <c r="AI425" i="28"/>
  <c r="AB52" i="28"/>
  <c r="AB478" i="28"/>
  <c r="AI223" i="28"/>
  <c r="AB13" i="28"/>
  <c r="AI205" i="28"/>
  <c r="AI293" i="28"/>
  <c r="AB266" i="28"/>
  <c r="AI186" i="28"/>
  <c r="AI204" i="28"/>
  <c r="AB40" i="28"/>
  <c r="AI208" i="28"/>
  <c r="AI423" i="28"/>
  <c r="AI432" i="28"/>
  <c r="AI2" i="28"/>
  <c r="AB30" i="28"/>
  <c r="AI393" i="28"/>
  <c r="AB235" i="28"/>
  <c r="AI260" i="28"/>
  <c r="AB355" i="28"/>
  <c r="AB407" i="28"/>
  <c r="AI187" i="28"/>
  <c r="AI243" i="28"/>
  <c r="AB403" i="28"/>
  <c r="AI602" i="28"/>
  <c r="AI405" i="28"/>
  <c r="AB595" i="28"/>
  <c r="AB342" i="28"/>
  <c r="AI321" i="28"/>
  <c r="AB256" i="28"/>
  <c r="AI378" i="28"/>
  <c r="AI38" i="28"/>
  <c r="AI183" i="28"/>
  <c r="AI541" i="28"/>
  <c r="AI168" i="28"/>
  <c r="AI236" i="28"/>
  <c r="AI107" i="28"/>
  <c r="AI578" i="28"/>
  <c r="AI577" i="28"/>
  <c r="AB600" i="28"/>
  <c r="AB170" i="28"/>
  <c r="AI489" i="28"/>
  <c r="AI345" i="28"/>
  <c r="AB383" i="28"/>
  <c r="AI132" i="28"/>
  <c r="AI286" i="28"/>
  <c r="AB497" i="28"/>
  <c r="AB585" i="28"/>
  <c r="AB226" i="28"/>
  <c r="AB319" i="28"/>
  <c r="AB340" i="28"/>
  <c r="AI95" i="28"/>
  <c r="AI539" i="28"/>
  <c r="AI252" i="28"/>
  <c r="AB500" i="28"/>
  <c r="AI68" i="28"/>
  <c r="AI285" i="28"/>
  <c r="AI96" i="28"/>
  <c r="AI114" i="28"/>
  <c r="AB413" i="28"/>
  <c r="AB162" i="28"/>
  <c r="AB73" i="28"/>
  <c r="AB467" i="28"/>
  <c r="AB313" i="28"/>
  <c r="AB240" i="28"/>
  <c r="AI61" i="28"/>
  <c r="AB397" i="28"/>
  <c r="AI121" i="28"/>
  <c r="AI39" i="28"/>
  <c r="AI330" i="28"/>
  <c r="AI323" i="28"/>
  <c r="AI510" i="28"/>
  <c r="AI502" i="28"/>
  <c r="AI240" i="28"/>
  <c r="AI201" i="28"/>
  <c r="AB215" i="28"/>
  <c r="AB36" i="28"/>
  <c r="AI93" i="28"/>
  <c r="AB120" i="28"/>
  <c r="AI171" i="28"/>
  <c r="AB495" i="28"/>
  <c r="AI386" i="28"/>
  <c r="AI184" i="28"/>
  <c r="AI176" i="28"/>
  <c r="AI3" i="28"/>
  <c r="AB72" i="28"/>
  <c r="AI379" i="28"/>
  <c r="AB609" i="28"/>
  <c r="AI108" i="28"/>
  <c r="AI4" i="28"/>
  <c r="AI605" i="28"/>
  <c r="AB178" i="28"/>
  <c r="AI412" i="28"/>
  <c r="AI370" i="28"/>
  <c r="AI587" i="28"/>
  <c r="AI341" i="28"/>
  <c r="AI433" i="28"/>
  <c r="AI198" i="28"/>
  <c r="AI220" i="28"/>
  <c r="AB161" i="28"/>
  <c r="AB133" i="28"/>
  <c r="AI590" i="28"/>
  <c r="AI216" i="28"/>
  <c r="AI387" i="28"/>
  <c r="AB222" i="28"/>
  <c r="AB328" i="28"/>
  <c r="AI427" i="28"/>
  <c r="AI551" i="28"/>
  <c r="AB236" i="28"/>
  <c r="AI213" i="28"/>
  <c r="AB336" i="28"/>
  <c r="AB571" i="28"/>
  <c r="AB357" i="28"/>
  <c r="AB454" i="28"/>
  <c r="AI275" i="28"/>
  <c r="AI517" i="28"/>
  <c r="AB128" i="28"/>
  <c r="AI241" i="28"/>
  <c r="AB509" i="28"/>
  <c r="AB339" i="28"/>
  <c r="AB393" i="28"/>
  <c r="AB91" i="28"/>
  <c r="AB229" i="28"/>
  <c r="AB38" i="28"/>
  <c r="AB468" i="28"/>
  <c r="AB494" i="28"/>
  <c r="AI583" i="28"/>
  <c r="AI78" i="28"/>
  <c r="AI392" i="28"/>
  <c r="AB173" i="28"/>
  <c r="AI207" i="28"/>
  <c r="AI467" i="28"/>
  <c r="AI465" i="28"/>
  <c r="AI225" i="28"/>
  <c r="AI77" i="28"/>
  <c r="AI245" i="28"/>
  <c r="AB69" i="28"/>
  <c r="AB489" i="28"/>
  <c r="AI594" i="28"/>
  <c r="AI139" i="28"/>
  <c r="AI264" i="28"/>
  <c r="AI455" i="28"/>
  <c r="AI137" i="28"/>
  <c r="AB146" i="28"/>
  <c r="AI381" i="28"/>
  <c r="AB366" i="28"/>
  <c r="AI409" i="28"/>
  <c r="AI505" i="28"/>
  <c r="AI80" i="28"/>
  <c r="AI353" i="28"/>
  <c r="AI565" i="28"/>
  <c r="AI232" i="28"/>
  <c r="AI230" i="28"/>
  <c r="AI43" i="28"/>
  <c r="AB230" i="28"/>
  <c r="AI87" i="28"/>
  <c r="AB41" i="28"/>
  <c r="AB75" i="28"/>
  <c r="AI40" i="28"/>
  <c r="AB449" i="28"/>
  <c r="AB188" i="28"/>
  <c r="AB377" i="28"/>
  <c r="AI516" i="28"/>
  <c r="AI94" i="28"/>
  <c r="AB486" i="28"/>
  <c r="AB198" i="28"/>
  <c r="AB4" i="28"/>
  <c r="AI415" i="28"/>
  <c r="AB270" i="28"/>
  <c r="AI69" i="28"/>
  <c r="AI588" i="28"/>
  <c r="AB112" i="28"/>
  <c r="AB100" i="28"/>
  <c r="AB204" i="28"/>
  <c r="AI178" i="28"/>
  <c r="AI382" i="28"/>
  <c r="AI27" i="28"/>
  <c r="AB448" i="28"/>
  <c r="AB53" i="28"/>
  <c r="AI19" i="28"/>
  <c r="AI274" i="28"/>
  <c r="AI154" i="28"/>
  <c r="AB172" i="28"/>
  <c r="AI206" i="28"/>
  <c r="AI346" i="28"/>
  <c r="AB356" i="28"/>
  <c r="AI447" i="28"/>
  <c r="AI511" i="28"/>
  <c r="AI474" i="28"/>
  <c r="AI518" i="28"/>
  <c r="AB81" i="28"/>
  <c r="AI404" i="28"/>
  <c r="AI162" i="28"/>
  <c r="AI130" i="28"/>
  <c r="AB37" i="28"/>
  <c r="AB547" i="28"/>
  <c r="AI249" i="28"/>
  <c r="AI406" i="28"/>
  <c r="AB96" i="28"/>
  <c r="AI411" i="28"/>
  <c r="AB484" i="28"/>
  <c r="AI589" i="28"/>
  <c r="AB175" i="28"/>
  <c r="AI322" i="28"/>
  <c r="AI609" i="28"/>
  <c r="AI366" i="28"/>
  <c r="AI298" i="28"/>
  <c r="AI267" i="28"/>
  <c r="AB575" i="28"/>
  <c r="AB24" i="28"/>
  <c r="AI143" i="28"/>
  <c r="AB214" i="28"/>
  <c r="AB391" i="28"/>
  <c r="AB48" i="28"/>
  <c r="AI488" i="28"/>
  <c r="AB27" i="28"/>
  <c r="AB380" i="28"/>
  <c r="AB483" i="28"/>
  <c r="AI562" i="28"/>
  <c r="AB274" i="28"/>
  <c r="AB535" i="28"/>
  <c r="AB487" i="28"/>
  <c r="AB371" i="28"/>
  <c r="AI284" i="28"/>
  <c r="AB502" i="28"/>
  <c r="AI456" i="28"/>
  <c r="AB127" i="28"/>
  <c r="AB31" i="28"/>
  <c r="AI369" i="28"/>
  <c r="AB115" i="28"/>
  <c r="AB169" i="28"/>
  <c r="AI481" i="28"/>
  <c r="AI74" i="28"/>
  <c r="AI395" i="28"/>
  <c r="AI584" i="28"/>
  <c r="AI294" i="28"/>
  <c r="AI308" i="28"/>
  <c r="AB150" i="28"/>
  <c r="AI463" i="28"/>
  <c r="AI104" i="28"/>
  <c r="AI290" i="28"/>
  <c r="AI185" i="28"/>
  <c r="AB203" i="28"/>
  <c r="AB65" i="28"/>
  <c r="AI231" i="28"/>
  <c r="AB338" i="28"/>
  <c r="AI12" i="28"/>
  <c r="AB246" i="28"/>
  <c r="AI438" i="28"/>
  <c r="AB183" i="28"/>
  <c r="AI76" i="28"/>
  <c r="AI59" i="28"/>
  <c r="AI215" i="28"/>
  <c r="AB184" i="28"/>
  <c r="AB18" i="28"/>
  <c r="AI197" i="28"/>
  <c r="AB352" i="28"/>
  <c r="AB145" i="28"/>
  <c r="AB323" i="28"/>
  <c r="AI158" i="28"/>
  <c r="AB282" i="28"/>
  <c r="AI33" i="28"/>
  <c r="AI362" i="28"/>
  <c r="AI596" i="28"/>
  <c r="AB160" i="28"/>
  <c r="AB337" i="28"/>
  <c r="AI608" i="28"/>
  <c r="AI295" i="28"/>
  <c r="AI431" i="28"/>
  <c r="AI452" i="28"/>
  <c r="AI470" i="28"/>
  <c r="AI338" i="28"/>
  <c r="AI312" i="28"/>
  <c r="AB507" i="28"/>
  <c r="AI336" i="28"/>
  <c r="AB465" i="28"/>
  <c r="AI49" i="28"/>
  <c r="AI140" i="28"/>
  <c r="AI352" i="28"/>
  <c r="AI224" i="28"/>
  <c r="AB144" i="28"/>
  <c r="AB566" i="28"/>
  <c r="AB3" i="28"/>
  <c r="AI314" i="28"/>
  <c r="AB219" i="28"/>
  <c r="AB153" i="28"/>
  <c r="AB406" i="28"/>
  <c r="AB409" i="28"/>
  <c r="AB603" i="28"/>
  <c r="AB504" i="28"/>
  <c r="AB442" i="28"/>
  <c r="AB239" i="28"/>
  <c r="AB279" i="28"/>
  <c r="AB148" i="28"/>
  <c r="AB332" i="28"/>
  <c r="AI103" i="28"/>
  <c r="AB341" i="28"/>
  <c r="AB430" i="28"/>
  <c r="AI576" i="28"/>
  <c r="AB311" i="28"/>
  <c r="AB212" i="28"/>
  <c r="AB524" i="28"/>
  <c r="AB251" i="28"/>
  <c r="AI579" i="28"/>
  <c r="AB354" i="28"/>
  <c r="AI574" i="28"/>
  <c r="AI181" i="28"/>
  <c r="AI251" i="28"/>
  <c r="AI199" i="28"/>
  <c r="AI540" i="28"/>
  <c r="AI414" i="28"/>
  <c r="AI192" i="28"/>
  <c r="AI600" i="28"/>
  <c r="AI153" i="28"/>
  <c r="AI544" i="28"/>
  <c r="AB376" i="28"/>
  <c r="AI161" i="28"/>
  <c r="AI499" i="28"/>
  <c r="AI88" i="28"/>
  <c r="AB574" i="28"/>
  <c r="AB59" i="28"/>
  <c r="AI388" i="28"/>
  <c r="AI29" i="28"/>
  <c r="AB61" i="28"/>
  <c r="AI235" i="28"/>
  <c r="AI261" i="28"/>
  <c r="AI365" i="28"/>
  <c r="AB121" i="28"/>
  <c r="AB370" i="28"/>
  <c r="AB209" i="28"/>
  <c r="AI188" i="28"/>
  <c r="AI327" i="28"/>
  <c r="AI82" i="28"/>
  <c r="AI21" i="28"/>
  <c r="AI559" i="28"/>
  <c r="AI598" i="28"/>
  <c r="AI515" i="28"/>
  <c r="AI54" i="28"/>
  <c r="AB163" i="28"/>
  <c r="AI195" i="28"/>
  <c r="AB324" i="28"/>
  <c r="AI165" i="28"/>
  <c r="AB268" i="28"/>
  <c r="AB152" i="28"/>
  <c r="AI476" i="28"/>
  <c r="AI383" i="28"/>
  <c r="AI182" i="28"/>
  <c r="AI265" i="28"/>
  <c r="AI51" i="28"/>
  <c r="AB257" i="28"/>
  <c r="AI242" i="28"/>
  <c r="AI313" i="28"/>
  <c r="AI46" i="28"/>
  <c r="AB318" i="28"/>
  <c r="AB136" i="28"/>
  <c r="AI219" i="28"/>
  <c r="AB426" i="28"/>
  <c r="AI469" i="28"/>
  <c r="AI288" i="28"/>
  <c r="AI262" i="28"/>
  <c r="AI536" i="28"/>
  <c r="AI52" i="28"/>
  <c r="AB474" i="28"/>
  <c r="AB23" i="28"/>
  <c r="AI335" i="28"/>
  <c r="AB481" i="28"/>
  <c r="AB293" i="28"/>
  <c r="AB439" i="28"/>
  <c r="AB135" i="28"/>
  <c r="AB345" i="28"/>
  <c r="AB344" i="28"/>
  <c r="AB554" i="28"/>
  <c r="AB99" i="28"/>
  <c r="AB363" i="28"/>
  <c r="AB477" i="28"/>
  <c r="AI318" i="28"/>
  <c r="AB379" i="28"/>
  <c r="AB312" i="28"/>
  <c r="AB8" i="28"/>
  <c r="AB190" i="28"/>
  <c r="AB473" i="28"/>
  <c r="AB315" i="28"/>
  <c r="AB521" i="28"/>
  <c r="AB411" i="28"/>
  <c r="AB242" i="28"/>
  <c r="AB300" i="28"/>
  <c r="AB224" i="28"/>
  <c r="AI485" i="28"/>
  <c r="AB241" i="28"/>
  <c r="AI10" i="28"/>
  <c r="AI278" i="28"/>
  <c r="AI500" i="28"/>
  <c r="AI79" i="28"/>
  <c r="AI164" i="28"/>
  <c r="AB462" i="28"/>
  <c r="AI568" i="28"/>
  <c r="AI358" i="28"/>
  <c r="AB253" i="28"/>
  <c r="AI254" i="28"/>
  <c r="AI269" i="28"/>
  <c r="AI296" i="28"/>
  <c r="AB558" i="28"/>
  <c r="AB540" i="28"/>
  <c r="AI42" i="28"/>
  <c r="AI202" i="28"/>
  <c r="AB208" i="28"/>
  <c r="AI582" i="28"/>
  <c r="AB590" i="28"/>
  <c r="AI344" i="28"/>
  <c r="AB138" i="28"/>
  <c r="AI83" i="28"/>
  <c r="AI560" i="28"/>
  <c r="AI480" i="28"/>
  <c r="AB455" i="28"/>
  <c r="AI356" i="28"/>
  <c r="AI326" i="28"/>
  <c r="AB301" i="28"/>
  <c r="AI67" i="28"/>
  <c r="AI342" i="28"/>
  <c r="AB108" i="28"/>
  <c r="AI357" i="28"/>
  <c r="AI607" i="28"/>
  <c r="AB205" i="28"/>
  <c r="AB394" i="28"/>
  <c r="AB322" i="28"/>
  <c r="AI45" i="28"/>
  <c r="AI16" i="28"/>
  <c r="AB217" i="28"/>
  <c r="AI390" i="28"/>
  <c r="AB438" i="28"/>
  <c r="AI177" i="28"/>
  <c r="AB308" i="28"/>
  <c r="AI450" i="28"/>
  <c r="AI56" i="28"/>
  <c r="AI25" i="28"/>
  <c r="AI279" i="28"/>
  <c r="AB277" i="28"/>
  <c r="AI226" i="28"/>
  <c r="AI36" i="28"/>
  <c r="AI315" i="28"/>
  <c r="AI458" i="28"/>
  <c r="AI329" i="28"/>
  <c r="AB576" i="28"/>
  <c r="AB273" i="28"/>
  <c r="AB427" i="28"/>
  <c r="AB272" i="28"/>
  <c r="AB247" i="28"/>
  <c r="AB424" i="28"/>
  <c r="AB347" i="28"/>
  <c r="AI528" i="28"/>
  <c r="AB227" i="28"/>
  <c r="AB155" i="28"/>
  <c r="AB122" i="28"/>
  <c r="AB461" i="28"/>
  <c r="AB233" i="28"/>
  <c r="AB572" i="28"/>
  <c r="AI212" i="28"/>
  <c r="AB560" i="28"/>
  <c r="AB11" i="28"/>
  <c r="AB567" i="28"/>
  <c r="AI227" i="28"/>
  <c r="AI109" i="28"/>
  <c r="AI126" i="28"/>
  <c r="AB351" i="28"/>
  <c r="AB444" i="28"/>
  <c r="AB326" i="28"/>
  <c r="AI384" i="28"/>
  <c r="AB276" i="28"/>
  <c r="AI599" i="28"/>
  <c r="AI89" i="28"/>
  <c r="AI537" i="28"/>
  <c r="AI44" i="28"/>
  <c r="AB450" i="28"/>
  <c r="AI135" i="28"/>
  <c r="AI303" i="28"/>
  <c r="AI343" i="28"/>
  <c r="AI239" i="28"/>
  <c r="AI399" i="28"/>
  <c r="AB47" i="28"/>
  <c r="AI396" i="28"/>
  <c r="AI468" i="28"/>
  <c r="AB107" i="28"/>
  <c r="AB28" i="28"/>
  <c r="AB223" i="28"/>
  <c r="AI253" i="28"/>
  <c r="AI410" i="28"/>
  <c r="AI84" i="28"/>
  <c r="AI591" i="28"/>
  <c r="AI360" i="28"/>
  <c r="AI507" i="28"/>
  <c r="AI98" i="28"/>
  <c r="AI449" i="28"/>
  <c r="AI131" i="28"/>
  <c r="AI127" i="28"/>
  <c r="AI283" i="28"/>
  <c r="AI63" i="28"/>
  <c r="AB278" i="28"/>
  <c r="AB17" i="28"/>
  <c r="AI487" i="28"/>
  <c r="AI475" i="28"/>
  <c r="AI228" i="28"/>
  <c r="AI149" i="28"/>
  <c r="AI105" i="28"/>
  <c r="AI125" i="28"/>
  <c r="AB90" i="28"/>
  <c r="AI73" i="28"/>
  <c r="AB375" i="28"/>
  <c r="AI566" i="28"/>
  <c r="AI280" i="28"/>
  <c r="AI556" i="28"/>
  <c r="AI111" i="28"/>
  <c r="AI70" i="28"/>
  <c r="AI420" i="28"/>
  <c r="AI601" i="28"/>
  <c r="AI328" i="28"/>
  <c r="AB480" i="28"/>
  <c r="AI570" i="28"/>
  <c r="AI304" i="28"/>
  <c r="AB234" i="28"/>
  <c r="AI473" i="28"/>
  <c r="AB527" i="28"/>
  <c r="AB299" i="28"/>
  <c r="AB12" i="28"/>
  <c r="AB350" i="28"/>
  <c r="AB255" i="28"/>
  <c r="AB488" i="28"/>
  <c r="AB348" i="28"/>
  <c r="AI18" i="28"/>
  <c r="AB84" i="28"/>
  <c r="AB537" i="28"/>
  <c r="AB238" i="28"/>
  <c r="AB10" i="28"/>
  <c r="AB485" i="28"/>
  <c r="AB525" i="28"/>
  <c r="AI55" i="28"/>
  <c r="AB201" i="28"/>
  <c r="AB157" i="28"/>
  <c r="AI444" i="28"/>
  <c r="AB460" i="28"/>
  <c r="AI324" i="28"/>
  <c r="AI364" i="28"/>
  <c r="AI11" i="28"/>
  <c r="AI316" i="28"/>
  <c r="AI593" i="28"/>
  <c r="AB297" i="28"/>
  <c r="AI90" i="28"/>
  <c r="AI117" i="28"/>
  <c r="AI271" i="28"/>
  <c r="AI163" i="28"/>
  <c r="AB64" i="28"/>
  <c r="AB378" i="28"/>
  <c r="AB292" i="28"/>
  <c r="AI234" i="28"/>
  <c r="AI348" i="28"/>
  <c r="AB294" i="28"/>
  <c r="AB5" i="28"/>
  <c r="AB335" i="28"/>
  <c r="AB492" i="28"/>
  <c r="AI218" i="28"/>
  <c r="AB599" i="28"/>
  <c r="AI573" i="28"/>
  <c r="AB78" i="28"/>
  <c r="AI123" i="28"/>
  <c r="AI30" i="28"/>
  <c r="AI380" i="28"/>
  <c r="AI472" i="28"/>
  <c r="AI445" i="28"/>
  <c r="AI129" i="28"/>
  <c r="AB316" i="28"/>
  <c r="AI159" i="28"/>
  <c r="AI291" i="28"/>
  <c r="AI58" i="28"/>
  <c r="AI233" i="28"/>
  <c r="AI244" i="28"/>
  <c r="AB412" i="28"/>
  <c r="AI113" i="28"/>
  <c r="AI28" i="28"/>
  <c r="AI397" i="28"/>
  <c r="AI416" i="28"/>
  <c r="AB364" i="28"/>
  <c r="AI350" i="28"/>
  <c r="AI118" i="28"/>
  <c r="AI86" i="28"/>
  <c r="AI193" i="28"/>
  <c r="AB464" i="28"/>
  <c r="AB400" i="28"/>
  <c r="AI531" i="28"/>
  <c r="AB244" i="28"/>
  <c r="AB102" i="28"/>
  <c r="AI276" i="28"/>
  <c r="AI101" i="28"/>
  <c r="AI391" i="28"/>
  <c r="AI57" i="28"/>
  <c r="AI545" i="28"/>
  <c r="AI116" i="28"/>
  <c r="AI302" i="28"/>
  <c r="AB105" i="28"/>
  <c r="AI310" i="28"/>
  <c r="AI417" i="28"/>
  <c r="AI71" i="28"/>
  <c r="AI141" i="28"/>
  <c r="AI558" i="28"/>
  <c r="AB49" i="28"/>
  <c r="AI482" i="28"/>
  <c r="AB287" i="28"/>
  <c r="AB171" i="28"/>
  <c r="AB89" i="28"/>
  <c r="AI167" i="28"/>
  <c r="AB515" i="28"/>
  <c r="AI521" i="28"/>
  <c r="AB137" i="28"/>
  <c r="AB436" i="28"/>
  <c r="AB543" i="28"/>
  <c r="AB248" i="28"/>
  <c r="AB290" i="28"/>
  <c r="AB103" i="28"/>
  <c r="AI119" i="28"/>
  <c r="AI552" i="28"/>
  <c r="AB482" i="28"/>
  <c r="AB176" i="28"/>
  <c r="AI180" i="28"/>
  <c r="AB232" i="28"/>
  <c r="AI122" i="28"/>
  <c r="AB16" i="28"/>
  <c r="AI535" i="28"/>
  <c r="AI81" i="28"/>
  <c r="AB189" i="28"/>
  <c r="AB220" i="28"/>
  <c r="AI430" i="28"/>
  <c r="AI592" i="28"/>
  <c r="AI248" i="28"/>
  <c r="AI191" i="28"/>
  <c r="AI157" i="28"/>
  <c r="AB19" i="28"/>
  <c r="AI258" i="28"/>
  <c r="AB289" i="28"/>
  <c r="AI147" i="28"/>
  <c r="AI525" i="28"/>
  <c r="AB231" i="28"/>
  <c r="AI136" i="28"/>
  <c r="AB402" i="28"/>
  <c r="AI419" i="28"/>
  <c r="AB510" i="28"/>
  <c r="AI112" i="28"/>
  <c r="AI403" i="28"/>
  <c r="AI436" i="28"/>
  <c r="AI547" i="28"/>
  <c r="AI160" i="28"/>
  <c r="AI148" i="28"/>
  <c r="AI373" i="28"/>
  <c r="AB66" i="28"/>
  <c r="AI317" i="28"/>
  <c r="AB517" i="28"/>
  <c r="AB199" i="28"/>
  <c r="AB520" i="28"/>
  <c r="AB546" i="28"/>
  <c r="AB361" i="28"/>
  <c r="AB373" i="28"/>
  <c r="AB390" i="28"/>
  <c r="AI299" i="28"/>
  <c r="AB46" i="28"/>
  <c r="AI603" i="28"/>
  <c r="AI246" i="28"/>
  <c r="AI542" i="28"/>
  <c r="AI31" i="28"/>
  <c r="AB325" i="28"/>
  <c r="AB498" i="28"/>
  <c r="AI17" i="28"/>
  <c r="AI448" i="28"/>
  <c r="AI464" i="28"/>
  <c r="AI331" i="28"/>
  <c r="AB607" i="28"/>
  <c r="AI491" i="28"/>
  <c r="AI522" i="28"/>
  <c r="AI320" i="28"/>
  <c r="AB491" i="28"/>
  <c r="AI306" i="28"/>
  <c r="AI8" i="28"/>
  <c r="AB237" i="28"/>
  <c r="AB141" i="28"/>
  <c r="AI270" i="28"/>
  <c r="AI496" i="28"/>
  <c r="AB548" i="28"/>
  <c r="AB388" i="28"/>
  <c r="AI106" i="28"/>
  <c r="AB564" i="28"/>
  <c r="AB225" i="28"/>
  <c r="AB447" i="28"/>
  <c r="AB51" i="28"/>
  <c r="AB197" i="28"/>
  <c r="AB129" i="28"/>
  <c r="AB221" i="28"/>
  <c r="AB243" i="28"/>
  <c r="AI209" i="28"/>
  <c r="AB280" i="28"/>
  <c r="AI120" i="28"/>
  <c r="AI319" i="28"/>
  <c r="AB258" i="28"/>
  <c r="AI65" i="28"/>
  <c r="AI401" i="28"/>
  <c r="AI389" i="28"/>
  <c r="AB6" i="28"/>
  <c r="AB25" i="28"/>
  <c r="AI268" i="28"/>
  <c r="AI41" i="28"/>
  <c r="AI424" i="28"/>
  <c r="AI72" i="28"/>
  <c r="AI255" i="28"/>
  <c r="AB43" i="28"/>
  <c r="AI259" i="28"/>
  <c r="AB396" i="28"/>
  <c r="AB288" i="28"/>
  <c r="AB349" i="28"/>
  <c r="AI340" i="28"/>
  <c r="AI440" i="28"/>
  <c r="AI428" i="28"/>
  <c r="AB604" i="28"/>
  <c r="AI479" i="28"/>
  <c r="AI128" i="28"/>
  <c r="AI349" i="28"/>
  <c r="AI359" i="28"/>
  <c r="AI457" i="28"/>
  <c r="AB381" i="28"/>
  <c r="AB97" i="28"/>
  <c r="AB472" i="28"/>
  <c r="AB306" i="28"/>
  <c r="AI166" i="28"/>
  <c r="AB54" i="28"/>
  <c r="AI503" i="28"/>
  <c r="AI91" i="28"/>
  <c r="AB126" i="28"/>
  <c r="AB578" i="28"/>
  <c r="AI221" i="28"/>
  <c r="AI527" i="28"/>
  <c r="AB101" i="28"/>
  <c r="AI102" i="28"/>
  <c r="AB186" i="28"/>
  <c r="AI5" i="28"/>
  <c r="AI400" i="28"/>
  <c r="AB432" i="28"/>
  <c r="AI454" i="28"/>
  <c r="AB579" i="28"/>
  <c r="AB518" i="28"/>
  <c r="AI300" i="28"/>
  <c r="AB132" i="28"/>
  <c r="AB429" i="28"/>
  <c r="AI580" i="28"/>
  <c r="AB435" i="28"/>
  <c r="AB423" i="28"/>
  <c r="AB167" i="28"/>
  <c r="AI62" i="28"/>
  <c r="AB331" i="28"/>
  <c r="AI173" i="28"/>
  <c r="AB410" i="28"/>
  <c r="AB353" i="28"/>
  <c r="AB267" i="28"/>
  <c r="AI277" i="28"/>
  <c r="AB542" i="28"/>
  <c r="AB586" i="28"/>
  <c r="AB86" i="28"/>
  <c r="AI35" i="28"/>
  <c r="AB330" i="28"/>
  <c r="AB419" i="28"/>
  <c r="AI272" i="28"/>
  <c r="AB601" i="28"/>
  <c r="AB177" i="28"/>
  <c r="AB305" i="28"/>
  <c r="AB298" i="28"/>
  <c r="AB452" i="28"/>
  <c r="AI471" i="28"/>
  <c r="AB456" i="28"/>
  <c r="AB245" i="28"/>
  <c r="AI513" i="28"/>
  <c r="AB386" i="28"/>
  <c r="AB21" i="28"/>
  <c r="AI179" i="28"/>
  <c r="AB9" i="28"/>
  <c r="AB92" i="28"/>
  <c r="AB166" i="28"/>
  <c r="AI238" i="28"/>
  <c r="AB79" i="28"/>
  <c r="AB35" i="28"/>
  <c r="AB140" i="28"/>
  <c r="AB110" i="28"/>
  <c r="AB563" i="28"/>
  <c r="AB143" i="28"/>
  <c r="AI273" i="28"/>
  <c r="AI371" i="28"/>
  <c r="AI250" i="28"/>
  <c r="AB360" i="28"/>
  <c r="AB568" i="28"/>
  <c r="AI189" i="28"/>
  <c r="AB147" i="28"/>
  <c r="AI402" i="28"/>
  <c r="AB530" i="28"/>
  <c r="AI97" i="28"/>
  <c r="AB334" i="28"/>
  <c r="AB587" i="28"/>
  <c r="AB508" i="28"/>
  <c r="AB39" i="28"/>
  <c r="AB259" i="28"/>
  <c r="AI48" i="28"/>
  <c r="AB592" i="28"/>
  <c r="AB44" i="28"/>
  <c r="AB260" i="28"/>
  <c r="AB569" i="28"/>
  <c r="AB333" i="28"/>
  <c r="AI334" i="28"/>
  <c r="AI597" i="28"/>
  <c r="AB555" i="28"/>
  <c r="AB362" i="28"/>
  <c r="AB457" i="28"/>
  <c r="AI429" i="28"/>
  <c r="AB519" i="28"/>
  <c r="AB302" i="28"/>
  <c r="AI550" i="28"/>
  <c r="AI571" i="28"/>
  <c r="AB58" i="28"/>
  <c r="AB539" i="28"/>
  <c r="AB434" i="28"/>
  <c r="AI484" i="28"/>
  <c r="AB513" i="28"/>
  <c r="AB2" i="28"/>
  <c r="AI490" i="28"/>
  <c r="AB469" i="28"/>
  <c r="AI332" i="28"/>
  <c r="AB459" i="28"/>
  <c r="AB387" i="28"/>
  <c r="AB114" i="28"/>
  <c r="AB104" i="28"/>
  <c r="AI557" i="28"/>
  <c r="AB82" i="28"/>
  <c r="AB598" i="28"/>
  <c r="AI292" i="28"/>
  <c r="AB285" i="28"/>
  <c r="AB499" i="28"/>
  <c r="AB431" i="28"/>
  <c r="AB168" i="28"/>
  <c r="AB433" i="28"/>
  <c r="AB124" i="28"/>
  <c r="AB503" i="28"/>
  <c r="AB111" i="28"/>
  <c r="AB281" i="28"/>
  <c r="AB134" i="28"/>
  <c r="AB131" i="28"/>
  <c r="AB583" i="28"/>
  <c r="AB425" i="28"/>
  <c r="AB291" i="28"/>
  <c r="AB200" i="28"/>
  <c r="AI325" i="28"/>
  <c r="AB549" i="28"/>
  <c r="AI347" i="28"/>
  <c r="AI504" i="28"/>
  <c r="AB207" i="28"/>
  <c r="AB544" i="28"/>
  <c r="AB532" i="28"/>
  <c r="AB582" i="28"/>
  <c r="AI569" i="28"/>
  <c r="AB512" i="28"/>
  <c r="AB365" i="28"/>
  <c r="AI509" i="28"/>
  <c r="AI564" i="28"/>
  <c r="AI483" i="28"/>
  <c r="AB415" i="28"/>
  <c r="AB195" i="28"/>
  <c r="AB526" i="28"/>
  <c r="AI339" i="28"/>
  <c r="AB408" i="28"/>
  <c r="AI214" i="28"/>
  <c r="AB55" i="28"/>
  <c r="AB466" i="28"/>
  <c r="AI533" i="28"/>
  <c r="AB534" i="28"/>
  <c r="AB580" i="28"/>
  <c r="AB116" i="28"/>
  <c r="AB22" i="28"/>
  <c r="AB14" i="28"/>
  <c r="AB596" i="28"/>
  <c r="AB284" i="28"/>
  <c r="AB283" i="28"/>
  <c r="AI459" i="28"/>
  <c r="AI287" i="28"/>
  <c r="AI124" i="28"/>
  <c r="AB501" i="28"/>
  <c r="AB33" i="28"/>
  <c r="AI66" i="28"/>
  <c r="AB565" i="28"/>
  <c r="AB15" i="28"/>
  <c r="AB76" i="28"/>
  <c r="AI138" i="28"/>
  <c r="AB389" i="28"/>
  <c r="AB62" i="28"/>
  <c r="AB314" i="28"/>
  <c r="AB20" i="28"/>
  <c r="AB440" i="28"/>
  <c r="AB541" i="28"/>
  <c r="AB275" i="28"/>
  <c r="AB202" i="28"/>
  <c r="AB392" i="28"/>
  <c r="AB213" i="28"/>
  <c r="AI15" i="28"/>
  <c r="AB346" i="28"/>
  <c r="AI586" i="28"/>
  <c r="AB416" i="28"/>
  <c r="AI461" i="28"/>
  <c r="AB559" i="28"/>
  <c r="AB94" i="28"/>
  <c r="AB93" i="28"/>
  <c r="AI60" i="28"/>
  <c r="AB608" i="28"/>
  <c r="AB95" i="28"/>
  <c r="AB562" i="28"/>
  <c r="AI13" i="28"/>
  <c r="AB139" i="28"/>
  <c r="AB74" i="28"/>
  <c r="AB505" i="28"/>
  <c r="AB165" i="28"/>
  <c r="AI508" i="28"/>
  <c r="AI512" i="28"/>
  <c r="AI581" i="28"/>
  <c r="AB516" i="28"/>
  <c r="AB514" i="28"/>
  <c r="AB98" i="28"/>
  <c r="AB591" i="28"/>
  <c r="AB77" i="28"/>
  <c r="AB538" i="28"/>
  <c r="AB264" i="28"/>
  <c r="AB119" i="28"/>
  <c r="AB359" i="28"/>
  <c r="AB60" i="28"/>
  <c r="AB182" i="28"/>
  <c r="AB57" i="28"/>
  <c r="AI229" i="28"/>
  <c r="AB187" i="28"/>
  <c r="AI462" i="28"/>
  <c r="AB206" i="28"/>
  <c r="AB536" i="28"/>
  <c r="AB185" i="28"/>
  <c r="AB573" i="28"/>
  <c r="AB249" i="28"/>
  <c r="AB398" i="28"/>
  <c r="AI170" i="28"/>
  <c r="AI407" i="28"/>
  <c r="AB490" i="28"/>
  <c r="AB83" i="28"/>
  <c r="AB358" i="28"/>
  <c r="AB154" i="28"/>
  <c r="AB295" i="28"/>
  <c r="AB545" i="28"/>
  <c r="AI142" i="28"/>
  <c r="AB441" i="28"/>
  <c r="AB329" i="28"/>
  <c r="AB180" i="28"/>
  <c r="AI514" i="28"/>
  <c r="AB523" i="28"/>
  <c r="AB374" i="28"/>
  <c r="AB211" i="28"/>
  <c r="AB451" i="28"/>
  <c r="AB68" i="28"/>
  <c r="AI604" i="28"/>
  <c r="AB142" i="28"/>
  <c r="AB261" i="28"/>
  <c r="AB254" i="28"/>
  <c r="AB310" i="28"/>
  <c r="AI134" i="28"/>
  <c r="AB164" i="28"/>
  <c r="AB228" i="28"/>
  <c r="AI24" i="28"/>
  <c r="AB570" i="28"/>
  <c r="AB194" i="28"/>
  <c r="AB550" i="28"/>
  <c r="AB216" i="28"/>
  <c r="AB420" i="28"/>
  <c r="AI333" i="28"/>
  <c r="AB296" i="28"/>
  <c r="AI421" i="28"/>
  <c r="AB561" i="28"/>
  <c r="AB118" i="28"/>
  <c r="AB80" i="28"/>
  <c r="AI368" i="28"/>
  <c r="AI37" i="28"/>
  <c r="AB577" i="28"/>
  <c r="AB343" i="28"/>
  <c r="AB557" i="28"/>
  <c r="AB70" i="28"/>
  <c r="AI301" i="28"/>
  <c r="AB87" i="28"/>
  <c r="AB552" i="28"/>
  <c r="AB553" i="28"/>
  <c r="AB250" i="28"/>
  <c r="AB395" i="28"/>
  <c r="AB158" i="28"/>
  <c r="AB67" i="28"/>
  <c r="AB218" i="28"/>
  <c r="AI495" i="28"/>
  <c r="AB369" i="28"/>
  <c r="AI169" i="28"/>
  <c r="AB597" i="28"/>
  <c r="AB428" i="28"/>
  <c r="AB271" i="28"/>
  <c r="AI497" i="28"/>
  <c r="AB123" i="28"/>
  <c r="AB399" i="28"/>
  <c r="AB593" i="28"/>
  <c r="AB443" i="28"/>
  <c r="AB475" i="28"/>
  <c r="AB493" i="28"/>
  <c r="AB511" i="28"/>
  <c r="AB156" i="28"/>
  <c r="AB602" i="28"/>
  <c r="AB113" i="28"/>
  <c r="AB317" i="28"/>
  <c r="AB605" i="28"/>
  <c r="AB556" i="28"/>
  <c r="AB405" i="28"/>
  <c r="AI311" i="28"/>
  <c r="AI354" i="28"/>
  <c r="AI398" i="28"/>
  <c r="AB471" i="28"/>
  <c r="AB385" i="28"/>
  <c r="AB26" i="28"/>
  <c r="AB404" i="28"/>
  <c r="AB470" i="28"/>
  <c r="AB125" i="28"/>
  <c r="AI307" i="28"/>
  <c r="AI451" i="28"/>
  <c r="AB584" i="28"/>
  <c r="AB594" i="28"/>
  <c r="AB321" i="28"/>
  <c r="AI493" i="28"/>
  <c r="AB418" i="28"/>
  <c r="AB262" i="28"/>
  <c r="AB63" i="28"/>
  <c r="AB401" i="28"/>
  <c r="AB327" i="28"/>
  <c r="R4" i="7"/>
  <c r="O11" i="7"/>
  <c r="A157" i="20"/>
  <c r="C157" i="20"/>
  <c r="O4" i="7" s="1"/>
  <c r="D157" i="20"/>
  <c r="B157" i="20"/>
  <c r="G30" i="25"/>
  <c r="L38" i="25"/>
  <c r="M24" i="25"/>
  <c r="S24" i="25"/>
  <c r="AC24" i="25" s="1"/>
  <c r="W39" i="25"/>
  <c r="J38" i="25"/>
  <c r="O38" i="25"/>
  <c r="C39" i="25"/>
  <c r="B38" i="25"/>
  <c r="R24" i="25"/>
  <c r="X38" i="25"/>
  <c r="L30" i="25"/>
  <c r="C30" i="25"/>
  <c r="R39" i="25"/>
  <c r="M30" i="25"/>
  <c r="K38" i="25"/>
  <c r="S38" i="25"/>
  <c r="F24" i="25"/>
  <c r="Q39" i="25"/>
  <c r="W38" i="25"/>
  <c r="J39" i="25"/>
  <c r="R38" i="25"/>
  <c r="G39" i="25"/>
  <c r="H24" i="25"/>
  <c r="V38" i="25"/>
  <c r="Q24" i="25"/>
  <c r="E38" i="25"/>
  <c r="U30" i="25"/>
  <c r="M39" i="25"/>
  <c r="R30" i="25"/>
  <c r="O30" i="25"/>
  <c r="I38" i="25"/>
  <c r="D30" i="25"/>
  <c r="N39" i="25"/>
  <c r="N30" i="25"/>
  <c r="V24" i="25"/>
  <c r="E39" i="25"/>
  <c r="F30" i="25"/>
  <c r="P38" i="25"/>
  <c r="C38" i="25"/>
  <c r="B30" i="25"/>
  <c r="H38" i="25"/>
  <c r="B24" i="25"/>
  <c r="U38" i="25"/>
  <c r="M38" i="25"/>
  <c r="D38" i="25"/>
  <c r="X30" i="25"/>
  <c r="F39" i="25"/>
  <c r="I24" i="25"/>
  <c r="K24" i="25"/>
  <c r="N38" i="25"/>
  <c r="J24" i="25"/>
  <c r="T38" i="25"/>
  <c r="Q38" i="25"/>
  <c r="K30" i="25"/>
  <c r="T30" i="25"/>
  <c r="X39" i="25"/>
  <c r="I39" i="25"/>
  <c r="W24" i="25"/>
  <c r="L39" i="25"/>
  <c r="V39" i="25"/>
  <c r="B39" i="25"/>
  <c r="P24" i="25"/>
  <c r="O24" i="25"/>
  <c r="T39" i="25"/>
  <c r="J30" i="25"/>
  <c r="U39" i="25"/>
  <c r="U24" i="25"/>
  <c r="G24" i="25"/>
  <c r="H30" i="25"/>
  <c r="P30" i="25"/>
  <c r="E24" i="25"/>
  <c r="K39" i="25"/>
  <c r="L24" i="25"/>
  <c r="E30" i="25"/>
  <c r="F38" i="25"/>
  <c r="Q30" i="25"/>
  <c r="P39" i="25"/>
  <c r="S30" i="25"/>
  <c r="AC30" i="25" s="1"/>
  <c r="T24" i="25"/>
  <c r="D39" i="25"/>
  <c r="O39" i="25"/>
  <c r="H39" i="25"/>
  <c r="I30" i="25"/>
  <c r="W30" i="25"/>
  <c r="C24" i="25"/>
  <c r="D24" i="25"/>
  <c r="X24" i="25"/>
  <c r="V30" i="25"/>
  <c r="S39" i="25"/>
  <c r="G38" i="25"/>
  <c r="F404" i="28"/>
  <c r="F44" i="28"/>
  <c r="F27" i="28"/>
  <c r="F289" i="28"/>
  <c r="F16" i="28"/>
  <c r="F182" i="28"/>
  <c r="F274" i="28"/>
  <c r="F94" i="28"/>
  <c r="F35" i="28"/>
  <c r="F309" i="28"/>
  <c r="F256" i="28"/>
  <c r="F365" i="28"/>
  <c r="F491" i="28"/>
  <c r="F170" i="28"/>
  <c r="F483" i="28"/>
  <c r="F50" i="28"/>
  <c r="F273" i="28"/>
  <c r="F155" i="28"/>
  <c r="F385" i="28"/>
  <c r="F513" i="28"/>
  <c r="F540" i="28"/>
  <c r="F328" i="28"/>
  <c r="F464" i="28"/>
  <c r="F178" i="28"/>
  <c r="F516" i="28"/>
  <c r="F590" i="28"/>
  <c r="F163" i="28"/>
  <c r="F358" i="28"/>
  <c r="F252" i="28"/>
  <c r="F126" i="28"/>
  <c r="F399" i="28"/>
  <c r="F189" i="28"/>
  <c r="F30" i="28"/>
  <c r="F392" i="28"/>
  <c r="F534" i="28"/>
  <c r="F22" i="28"/>
  <c r="F133" i="28"/>
  <c r="F377" i="28"/>
  <c r="F500" i="28"/>
  <c r="F101" i="28"/>
  <c r="F85" i="28"/>
  <c r="F219" i="28"/>
  <c r="F361" i="28"/>
  <c r="F109" i="28"/>
  <c r="F563" i="28"/>
  <c r="F462" i="28"/>
  <c r="F253" i="28"/>
  <c r="F515" i="28"/>
  <c r="F302" i="28"/>
  <c r="F98" i="28"/>
  <c r="F270" i="28"/>
  <c r="F367" i="28"/>
  <c r="F73" i="28"/>
  <c r="F602" i="28"/>
  <c r="F356" i="28"/>
  <c r="F541" i="28"/>
  <c r="F71" i="28"/>
  <c r="F300" i="28"/>
  <c r="F531" i="28"/>
  <c r="F130" i="28"/>
  <c r="F4" i="28"/>
  <c r="F363" i="28"/>
  <c r="F422" i="28"/>
  <c r="F280" i="28"/>
  <c r="F320" i="28"/>
  <c r="F455" i="28"/>
  <c r="F118" i="28"/>
  <c r="F5" i="28"/>
  <c r="F249" i="28"/>
  <c r="F237" i="28"/>
  <c r="F11" i="28"/>
  <c r="F259" i="28"/>
  <c r="F138" i="28"/>
  <c r="F10" i="28"/>
  <c r="F386" i="28"/>
  <c r="F511" i="28"/>
  <c r="F371" i="28"/>
  <c r="F471" i="28"/>
  <c r="F69" i="28"/>
  <c r="F66" i="28"/>
  <c r="F188" i="28"/>
  <c r="F112" i="28"/>
  <c r="F141" i="28"/>
  <c r="F527" i="28"/>
  <c r="F593" i="28"/>
  <c r="F293" i="28"/>
  <c r="F465" i="28"/>
  <c r="F49" i="28"/>
  <c r="F415" i="28"/>
  <c r="F443" i="28"/>
  <c r="F408" i="28"/>
  <c r="F115" i="28"/>
  <c r="F117" i="28"/>
  <c r="F582" i="28"/>
  <c r="F248" i="28"/>
  <c r="F171" i="28"/>
  <c r="F487" i="28"/>
  <c r="F509" i="28"/>
  <c r="F198" i="28"/>
  <c r="F153" i="28"/>
  <c r="F440" i="28"/>
  <c r="F352" i="28"/>
  <c r="F379" i="28"/>
  <c r="F472" i="28"/>
  <c r="F574" i="28"/>
  <c r="F562" i="28"/>
  <c r="F214" i="28"/>
  <c r="F378" i="28"/>
  <c r="F291" i="28"/>
  <c r="F162" i="28"/>
  <c r="F330" i="28"/>
  <c r="F409" i="28"/>
  <c r="F75" i="28"/>
  <c r="F333" i="28"/>
  <c r="F438" i="28"/>
  <c r="F537" i="28"/>
  <c r="F395" i="28"/>
  <c r="F555" i="28"/>
  <c r="F561" i="28"/>
  <c r="F384" i="28"/>
  <c r="F594" i="28"/>
  <c r="F244" i="28"/>
  <c r="F474" i="28"/>
  <c r="F108" i="28"/>
  <c r="F350" i="28"/>
  <c r="F329" i="28"/>
  <c r="F452" i="28"/>
  <c r="F187" i="28"/>
  <c r="F218" i="28"/>
  <c r="F160" i="28"/>
  <c r="F507" i="28"/>
  <c r="F261" i="28"/>
  <c r="F82" i="28"/>
  <c r="F62" i="28"/>
  <c r="F239" i="28"/>
  <c r="F3" i="28"/>
  <c r="F251" i="28"/>
  <c r="F127" i="28"/>
  <c r="F150" i="28"/>
  <c r="F372" i="28"/>
  <c r="F247" i="28"/>
  <c r="F55" i="28"/>
  <c r="F51" i="28"/>
  <c r="F496" i="28"/>
  <c r="F242" i="28"/>
  <c r="F568" i="28"/>
  <c r="F37" i="28"/>
  <c r="F264" i="28"/>
  <c r="F52" i="28"/>
  <c r="F316" i="28"/>
  <c r="F298" i="28"/>
  <c r="F454" i="28"/>
  <c r="F257" i="28"/>
  <c r="F453" i="28"/>
  <c r="F269" i="28"/>
  <c r="F473" i="28"/>
  <c r="F20" i="28"/>
  <c r="F321" i="28"/>
  <c r="F301" i="28"/>
  <c r="F59" i="28"/>
  <c r="F575" i="28"/>
  <c r="F2" i="28"/>
  <c r="F92" i="28"/>
  <c r="F407" i="28"/>
  <c r="F158" i="28"/>
  <c r="F368" i="28"/>
  <c r="F338" i="28"/>
  <c r="F14" i="28"/>
  <c r="F9" i="28"/>
  <c r="F161" i="28"/>
  <c r="F567" i="28"/>
  <c r="F339" i="28"/>
  <c r="F167" i="28"/>
  <c r="F111" i="28"/>
  <c r="F190" i="28"/>
  <c r="F125" i="28"/>
  <c r="F304" i="28"/>
  <c r="F423" i="28"/>
  <c r="F100" i="28"/>
  <c r="F260" i="28"/>
  <c r="F148" i="28"/>
  <c r="F325" i="28"/>
  <c r="F292" i="28"/>
  <c r="F121" i="28"/>
  <c r="F550" i="28"/>
  <c r="F230" i="28"/>
  <c r="F277" i="28"/>
  <c r="F498" i="28"/>
  <c r="F346" i="28"/>
  <c r="F403" i="28"/>
  <c r="F557" i="28"/>
  <c r="F424" i="28"/>
  <c r="F97" i="28"/>
  <c r="F12" i="28"/>
  <c r="F113" i="28"/>
  <c r="F457" i="28"/>
  <c r="F84" i="28"/>
  <c r="F488" i="28"/>
  <c r="F195" i="28"/>
  <c r="F196" i="28"/>
  <c r="F522" i="28"/>
  <c r="F433" i="28"/>
  <c r="F480" i="28"/>
  <c r="F492" i="28"/>
  <c r="F469" i="28"/>
  <c r="F436" i="28"/>
  <c r="F608" i="28"/>
  <c r="F327" i="28"/>
  <c r="F183" i="28"/>
  <c r="F460" i="28"/>
  <c r="F439" i="28"/>
  <c r="F521" i="28"/>
  <c r="F342" i="28"/>
  <c r="F243" i="28"/>
  <c r="F374" i="28"/>
  <c r="F437" i="28"/>
  <c r="F313" i="28"/>
  <c r="F185" i="28"/>
  <c r="F236" i="28"/>
  <c r="F604" i="28"/>
  <c r="F448" i="28"/>
  <c r="F413" i="28"/>
  <c r="F373" i="28"/>
  <c r="F68" i="28"/>
  <c r="F450" i="28"/>
  <c r="F533" i="28"/>
  <c r="F199" i="28"/>
  <c r="F449" i="28"/>
  <c r="F375" i="28"/>
  <c r="F366" i="28"/>
  <c r="F362" i="28"/>
  <c r="F225" i="28"/>
  <c r="F551" i="28"/>
  <c r="F558" i="28"/>
  <c r="F315" i="28"/>
  <c r="F91" i="28"/>
  <c r="F26" i="28"/>
  <c r="F434" i="28"/>
  <c r="F441" i="28"/>
  <c r="F131" i="28"/>
  <c r="F137" i="28"/>
  <c r="F572" i="28"/>
  <c r="F159" i="28"/>
  <c r="F197" i="28"/>
  <c r="F65" i="28"/>
  <c r="F308" i="28"/>
  <c r="F228" i="28"/>
  <c r="F586" i="28"/>
  <c r="F33" i="28"/>
  <c r="F25" i="28"/>
  <c r="F89" i="28"/>
  <c r="F296" i="28"/>
  <c r="F72" i="28"/>
  <c r="F139" i="28"/>
  <c r="F536" i="28"/>
  <c r="F539" i="28"/>
  <c r="F579" i="28"/>
  <c r="F194" i="28"/>
  <c r="F458" i="28"/>
  <c r="F135" i="28"/>
  <c r="F351" i="28"/>
  <c r="F538" i="28"/>
  <c r="F177" i="28"/>
  <c r="F95" i="28"/>
  <c r="F250" i="28"/>
  <c r="F397" i="28"/>
  <c r="F429" i="28"/>
  <c r="F542" i="28"/>
  <c r="F479" i="28"/>
  <c r="F294" i="28"/>
  <c r="F145" i="28"/>
  <c r="F510" i="28"/>
  <c r="F337" i="28"/>
  <c r="F427" i="28"/>
  <c r="F390" i="28"/>
  <c r="F157" i="28"/>
  <c r="F222" i="28"/>
  <c r="F40" i="28"/>
  <c r="F490" i="28"/>
  <c r="F282" i="28"/>
  <c r="F477" i="28"/>
  <c r="F592" i="28"/>
  <c r="F554" i="28"/>
  <c r="F102" i="28"/>
  <c r="F172" i="28"/>
  <c r="F28" i="28"/>
  <c r="F353" i="28"/>
  <c r="F506" i="28"/>
  <c r="F504" i="28"/>
  <c r="F221" i="28"/>
  <c r="F31" i="28"/>
  <c r="F486" i="28"/>
  <c r="F184" i="28"/>
  <c r="F233" i="28"/>
  <c r="F459" i="28"/>
  <c r="F235" i="28"/>
  <c r="F45" i="28"/>
  <c r="F58" i="28"/>
  <c r="F23" i="28"/>
  <c r="F255" i="28"/>
  <c r="F191" i="28"/>
  <c r="F216" i="28"/>
  <c r="F319" i="28"/>
  <c r="F53" i="28"/>
  <c r="F114" i="28"/>
  <c r="F103" i="28"/>
  <c r="F571" i="28"/>
  <c r="F173" i="28"/>
  <c r="F203" i="28"/>
  <c r="F420" i="28"/>
  <c r="F215" i="28"/>
  <c r="F494" i="28"/>
  <c r="F223" i="28"/>
  <c r="F116" i="28"/>
  <c r="F278" i="28"/>
  <c r="F456" i="28"/>
  <c r="F19" i="28"/>
  <c r="F134" i="28"/>
  <c r="F482" i="28"/>
  <c r="F258" i="28"/>
  <c r="F63" i="28"/>
  <c r="F411" i="28"/>
  <c r="F42" i="28"/>
  <c r="F419" i="28"/>
  <c r="F370" i="28"/>
  <c r="F105" i="28"/>
  <c r="F224" i="28"/>
  <c r="F600" i="28"/>
  <c r="F431" i="28"/>
  <c r="F61" i="28"/>
  <c r="F67" i="28"/>
  <c r="F211" i="28"/>
  <c r="F39" i="28"/>
  <c r="F146" i="28"/>
  <c r="F295" i="28"/>
  <c r="F88" i="28"/>
  <c r="F581" i="28"/>
  <c r="F387" i="28"/>
  <c r="F343" i="28"/>
  <c r="F262" i="28"/>
  <c r="F603" i="28"/>
  <c r="F589" i="28"/>
  <c r="F229" i="28"/>
  <c r="F241" i="28"/>
  <c r="F447" i="28"/>
  <c r="F143" i="28"/>
  <c r="F80" i="28"/>
  <c r="F493" i="28"/>
  <c r="F281" i="28"/>
  <c r="F17" i="28"/>
  <c r="F382" i="28"/>
  <c r="F530" i="28"/>
  <c r="F179" i="28"/>
  <c r="F81" i="28"/>
  <c r="F323" i="28"/>
  <c r="F217" i="28"/>
  <c r="F359" i="28"/>
  <c r="F376" i="28"/>
  <c r="F520" i="28"/>
  <c r="F152" i="28"/>
  <c r="F609" i="28"/>
  <c r="F192" i="28"/>
  <c r="F317" i="28"/>
  <c r="F421" i="28"/>
  <c r="F388" i="28"/>
  <c r="F193" i="28"/>
  <c r="F599" i="28"/>
  <c r="F514" i="28"/>
  <c r="F272" i="28"/>
  <c r="F532" i="28"/>
  <c r="F119" i="28"/>
  <c r="F406" i="28"/>
  <c r="F279" i="28"/>
  <c r="F54" i="28"/>
  <c r="F132" i="28"/>
  <c r="F240" i="28"/>
  <c r="F442" i="28"/>
  <c r="F577" i="28"/>
  <c r="F318" i="28"/>
  <c r="F518" i="28"/>
  <c r="F548" i="28"/>
  <c r="F357" i="28"/>
  <c r="F549" i="28"/>
  <c r="F312" i="28"/>
  <c r="F90" i="28"/>
  <c r="F41" i="28"/>
  <c r="F425" i="28"/>
  <c r="F523" i="28"/>
  <c r="F416" i="28"/>
  <c r="F287" i="28"/>
  <c r="F501" i="28"/>
  <c r="F334" i="28"/>
  <c r="F519" i="28"/>
  <c r="F355" i="28"/>
  <c r="F394" i="28"/>
  <c r="F578" i="28"/>
  <c r="F180" i="28"/>
  <c r="F48" i="28"/>
  <c r="F128" i="28"/>
  <c r="F212" i="28"/>
  <c r="F580" i="28"/>
  <c r="F499" i="28"/>
  <c r="F288" i="28"/>
  <c r="F136" i="28"/>
  <c r="F528" i="28"/>
  <c r="F110" i="28"/>
  <c r="F566" i="28"/>
  <c r="F587" i="28"/>
  <c r="F46" i="28"/>
  <c r="F56" i="28"/>
  <c r="F267" i="28"/>
  <c r="F463" i="28"/>
  <c r="F597" i="28"/>
  <c r="F432" i="28"/>
  <c r="F144" i="28"/>
  <c r="F77" i="28"/>
  <c r="F99" i="28"/>
  <c r="F204" i="28"/>
  <c r="F588" i="28"/>
  <c r="F414" i="28"/>
  <c r="F238" i="28"/>
  <c r="F78" i="28"/>
  <c r="F502" i="28"/>
  <c r="F297" i="28"/>
  <c r="F466" i="28"/>
  <c r="F393" i="28"/>
  <c r="F147" i="28"/>
  <c r="F398" i="28"/>
  <c r="F348" i="28"/>
  <c r="F475" i="28"/>
  <c r="F381" i="28"/>
  <c r="F446" i="28"/>
  <c r="F344" i="28"/>
  <c r="F340" i="28"/>
  <c r="F461" i="28"/>
  <c r="F444" i="28"/>
  <c r="F336" i="28"/>
  <c r="F169" i="28"/>
  <c r="F543" i="28"/>
  <c r="F34" i="28"/>
  <c r="F383" i="28"/>
  <c r="F324" i="28"/>
  <c r="F140" i="28"/>
  <c r="F583" i="28"/>
  <c r="F489" i="28"/>
  <c r="F286" i="28"/>
  <c r="F283" i="28"/>
  <c r="F29" i="28"/>
  <c r="F451" i="28"/>
  <c r="F605" i="28"/>
  <c r="F569" i="28"/>
  <c r="F104" i="28"/>
  <c r="F60" i="28"/>
  <c r="F220" i="28"/>
  <c r="F47" i="28"/>
  <c r="F576" i="28"/>
  <c r="F266" i="28"/>
  <c r="F607" i="28"/>
  <c r="F232" i="28"/>
  <c r="F8" i="28"/>
  <c r="F268" i="28"/>
  <c r="F430" i="28"/>
  <c r="F389" i="28"/>
  <c r="F400" i="28"/>
  <c r="F468" i="28"/>
  <c r="F508" i="28"/>
  <c r="F165" i="28"/>
  <c r="F332" i="28"/>
  <c r="F18" i="28"/>
  <c r="F106" i="28"/>
  <c r="F303" i="28"/>
  <c r="F402" i="28"/>
  <c r="F156" i="28"/>
  <c r="F174" i="28"/>
  <c r="F560" i="28"/>
  <c r="F76" i="28"/>
  <c r="F412" i="28"/>
  <c r="F208" i="28"/>
  <c r="F435" i="28"/>
  <c r="F311" i="28"/>
  <c r="F347" i="28"/>
  <c r="F7" i="28"/>
  <c r="F151" i="28"/>
  <c r="F93" i="28"/>
  <c r="F545" i="28"/>
  <c r="F213" i="28"/>
  <c r="F306" i="28"/>
  <c r="F284" i="28"/>
  <c r="F120" i="28"/>
  <c r="F535" i="28"/>
  <c r="F426" i="28"/>
  <c r="F305" i="28"/>
  <c r="F107" i="28"/>
  <c r="F341" i="28"/>
  <c r="F149" i="28"/>
  <c r="F310" i="28"/>
  <c r="F57" i="28"/>
  <c r="F254" i="28"/>
  <c r="F122" i="28"/>
  <c r="F369" i="28"/>
  <c r="F36" i="28"/>
  <c r="F525" i="28"/>
  <c r="F307" i="28"/>
  <c r="F396" i="28"/>
  <c r="F345" i="28"/>
  <c r="F380" i="28"/>
  <c r="F401" i="28"/>
  <c r="F570" i="28"/>
  <c r="F166" i="28"/>
  <c r="F276" i="28"/>
  <c r="F585" i="28"/>
  <c r="F87" i="28"/>
  <c r="F275" i="28"/>
  <c r="F559" i="28"/>
  <c r="F553" i="28"/>
  <c r="F246" i="28"/>
  <c r="F428" i="28"/>
  <c r="F207" i="28"/>
  <c r="F322" i="28"/>
  <c r="F13" i="28"/>
  <c r="F552" i="28"/>
  <c r="F21" i="28"/>
  <c r="F32" i="28"/>
  <c r="F231" i="28"/>
  <c r="F335" i="28"/>
  <c r="F606" i="28"/>
  <c r="F512" i="28"/>
  <c r="F227" i="28"/>
  <c r="F70" i="28"/>
  <c r="F271" i="28"/>
  <c r="F405" i="28"/>
  <c r="F79" i="28"/>
  <c r="F226" i="28"/>
  <c r="F6" i="28"/>
  <c r="F573" i="28"/>
  <c r="F595" i="28"/>
  <c r="F544" i="28"/>
  <c r="F547" i="28"/>
  <c r="F164" i="28"/>
  <c r="F591" i="28"/>
  <c r="F290" i="28"/>
  <c r="F360" i="28"/>
  <c r="F265" i="28"/>
  <c r="F470" i="28"/>
  <c r="F364" i="28"/>
  <c r="F175" i="28"/>
  <c r="F529" i="28"/>
  <c r="F74" i="28"/>
  <c r="F186" i="28"/>
  <c r="F485" i="28"/>
  <c r="F200" i="28"/>
  <c r="F86" i="28"/>
  <c r="F505" i="28"/>
  <c r="F123" i="28"/>
  <c r="F201" i="28"/>
  <c r="F326" i="28"/>
  <c r="F209" i="28"/>
  <c r="F64" i="28"/>
  <c r="F417" i="28"/>
  <c r="F263" i="28"/>
  <c r="F234" i="28"/>
  <c r="F565" i="28"/>
  <c r="F202" i="28"/>
  <c r="F206" i="28"/>
  <c r="F331" i="28"/>
  <c r="F391" i="28"/>
  <c r="F503" i="28"/>
  <c r="F497" i="28"/>
  <c r="F285" i="28"/>
  <c r="F467" i="28"/>
  <c r="F484" i="28"/>
  <c r="F410" i="28"/>
  <c r="F598" i="28"/>
  <c r="F168" i="28"/>
  <c r="F314" i="28"/>
  <c r="F124" i="28"/>
  <c r="F96" i="28"/>
  <c r="F564" i="28"/>
  <c r="F83" i="28"/>
  <c r="F142" i="28"/>
  <c r="F476" i="28"/>
  <c r="F601" i="28"/>
  <c r="F517" i="28"/>
  <c r="F245" i="28"/>
  <c r="F584" i="28"/>
  <c r="F24" i="28"/>
  <c r="F154" i="28"/>
  <c r="F129" i="28"/>
  <c r="F354" i="28"/>
  <c r="F596" i="28"/>
  <c r="F205" i="28"/>
  <c r="F299" i="28"/>
  <c r="F481" i="28"/>
  <c r="F43" i="28"/>
  <c r="F546" i="28"/>
  <c r="F38" i="28"/>
  <c r="F445" i="28"/>
  <c r="F15" i="28"/>
  <c r="F526" i="28"/>
  <c r="F418" i="28"/>
  <c r="F495" i="28"/>
  <c r="F556" i="28"/>
  <c r="F210" i="28"/>
  <c r="F524" i="28"/>
  <c r="F181" i="28"/>
  <c r="F478" i="28"/>
  <c r="F349" i="28"/>
  <c r="F176" i="28"/>
  <c r="AN267" i="28"/>
  <c r="AN281" i="28"/>
  <c r="AN61" i="28"/>
  <c r="AN413" i="28"/>
  <c r="AN266" i="28"/>
  <c r="AN199" i="28"/>
  <c r="AN185" i="28"/>
  <c r="AN233" i="28"/>
  <c r="AN574" i="28"/>
  <c r="AN72" i="28"/>
  <c r="AN206" i="28"/>
  <c r="AN439" i="28"/>
  <c r="AN607" i="28"/>
  <c r="AN536" i="28"/>
  <c r="AN219" i="28"/>
  <c r="AN319" i="28"/>
  <c r="AN465" i="28"/>
  <c r="AN381" i="28"/>
  <c r="AN437" i="28"/>
  <c r="AN264" i="28"/>
  <c r="AN379" i="28"/>
  <c r="AN351" i="28"/>
  <c r="AN549" i="28"/>
  <c r="AN463" i="28"/>
  <c r="AN429" i="28"/>
  <c r="AN360" i="28"/>
  <c r="AN380" i="28"/>
  <c r="AN361" i="28"/>
  <c r="AN320" i="28"/>
  <c r="AN476" i="28"/>
  <c r="AN6" i="28"/>
  <c r="AN125" i="28"/>
  <c r="AN212" i="28"/>
  <c r="AN448" i="28"/>
  <c r="AN590" i="28"/>
  <c r="AN104" i="28"/>
  <c r="AN295" i="28"/>
  <c r="AN314" i="28"/>
  <c r="AN552" i="28"/>
  <c r="AN228" i="28"/>
  <c r="AN258" i="28"/>
  <c r="AN537" i="28"/>
  <c r="AN234" i="28"/>
  <c r="AN225" i="28"/>
  <c r="AN218" i="28"/>
  <c r="AN214" i="28"/>
  <c r="AN445" i="28"/>
  <c r="AN481" i="28"/>
  <c r="AN296" i="28"/>
  <c r="AN354" i="28"/>
  <c r="AN378" i="28"/>
  <c r="AN517" i="28"/>
  <c r="AN443" i="28"/>
  <c r="AN587" i="28"/>
  <c r="AN593" i="28"/>
  <c r="AN23" i="28"/>
  <c r="AN409" i="28"/>
  <c r="AN544" i="28"/>
  <c r="AN19" i="28"/>
  <c r="AN260" i="28"/>
  <c r="AN75" i="28"/>
  <c r="AN188" i="28"/>
  <c r="AN213" i="28"/>
  <c r="AN109" i="28"/>
  <c r="AN183" i="28"/>
  <c r="AN63" i="28"/>
  <c r="AN181" i="28"/>
  <c r="AN40" i="28"/>
  <c r="AN49" i="28"/>
  <c r="AN515" i="28"/>
  <c r="AN594" i="28"/>
  <c r="AN10" i="28"/>
  <c r="AN262" i="28"/>
  <c r="AN469" i="28"/>
  <c r="AN489" i="28"/>
  <c r="AN32" i="28"/>
  <c r="AN117" i="28"/>
  <c r="AN282" i="28"/>
  <c r="AN368" i="28"/>
  <c r="AN26" i="28"/>
  <c r="AN156" i="28"/>
  <c r="AN538" i="28"/>
  <c r="AN283" i="28"/>
  <c r="AN599" i="28"/>
  <c r="AN340" i="28"/>
  <c r="AN166" i="28"/>
  <c r="AN396" i="28"/>
  <c r="AN203" i="28"/>
  <c r="AN242" i="28"/>
  <c r="AN435" i="28"/>
  <c r="AN197" i="28"/>
  <c r="AN238" i="28"/>
  <c r="AN115" i="28"/>
  <c r="AN331" i="28"/>
  <c r="AN546" i="28"/>
  <c r="AN597" i="28"/>
  <c r="AN161" i="28"/>
  <c r="AN82" i="28"/>
  <c r="AN168" i="28"/>
  <c r="AN373" i="28"/>
  <c r="AN56" i="28"/>
  <c r="AN325" i="28"/>
  <c r="AN460" i="28"/>
  <c r="AN311" i="28"/>
  <c r="AN38" i="28"/>
  <c r="AN285" i="28"/>
  <c r="AN240" i="28"/>
  <c r="AN556" i="28"/>
  <c r="AN87" i="28"/>
  <c r="AN43" i="28"/>
  <c r="AN566" i="28"/>
  <c r="AN158" i="28"/>
  <c r="AN207" i="28"/>
  <c r="AN457" i="28"/>
  <c r="AN144" i="28"/>
  <c r="AN64" i="28"/>
  <c r="AN140" i="28"/>
  <c r="AN580" i="28"/>
  <c r="AN97" i="28"/>
  <c r="AN67" i="28"/>
  <c r="AN239" i="28"/>
  <c r="AN46" i="28"/>
  <c r="AN51" i="28"/>
  <c r="AN397" i="28"/>
  <c r="AN80" i="28"/>
  <c r="AN297" i="28"/>
  <c r="AN444" i="28"/>
  <c r="AN545" i="28"/>
  <c r="AN193" i="28"/>
  <c r="AN114" i="28"/>
  <c r="AN263" i="28"/>
  <c r="AN478" i="28"/>
  <c r="AN539" i="28"/>
  <c r="AN595" i="28"/>
  <c r="AN471" i="28"/>
  <c r="AN132" i="28"/>
  <c r="AN519" i="28"/>
  <c r="AN252" i="28"/>
  <c r="AN582" i="28"/>
  <c r="AN58" i="28"/>
  <c r="AN145" i="28"/>
  <c r="AN288" i="28"/>
  <c r="AN148" i="28"/>
  <c r="AN326" i="28"/>
  <c r="AN226" i="28"/>
  <c r="AN568" i="28"/>
  <c r="AN22" i="28"/>
  <c r="AN426" i="28"/>
  <c r="AN163" i="28"/>
  <c r="AN122" i="28"/>
  <c r="AN427" i="28"/>
  <c r="AN391" i="28"/>
  <c r="AN402" i="28"/>
  <c r="AN261" i="28"/>
  <c r="AN208" i="28"/>
  <c r="AN309" i="28"/>
  <c r="AN65" i="28"/>
  <c r="AN251" i="28"/>
  <c r="AN124" i="28"/>
  <c r="AN541" i="28"/>
  <c r="AN330" i="28"/>
  <c r="AN301" i="28"/>
  <c r="AN550" i="28"/>
  <c r="AN254" i="28"/>
  <c r="AN609" i="28"/>
  <c r="AN278" i="28"/>
  <c r="AN410" i="28"/>
  <c r="AN493" i="28"/>
  <c r="AN128" i="28"/>
  <c r="AN565" i="28"/>
  <c r="AN496" i="28"/>
  <c r="AN318" i="28"/>
  <c r="AN366" i="28"/>
  <c r="AN492" i="28"/>
  <c r="AN186" i="28"/>
  <c r="AN328" i="28"/>
  <c r="AN608" i="28"/>
  <c r="AN31" i="28"/>
  <c r="AN37" i="28"/>
  <c r="AN279" i="28"/>
  <c r="AN24" i="28"/>
  <c r="AN431" i="28"/>
  <c r="AN584" i="28"/>
  <c r="AN564" i="28"/>
  <c r="AN598" i="28"/>
  <c r="AN432" i="28"/>
  <c r="AN356" i="28"/>
  <c r="AN110" i="28"/>
  <c r="AN265" i="28"/>
  <c r="AN151" i="28"/>
  <c r="AN2" i="28"/>
  <c r="AN474" i="28"/>
  <c r="AN558" i="28"/>
  <c r="AN375" i="28"/>
  <c r="AN20" i="28"/>
  <c r="AN581" i="28"/>
  <c r="AN405" i="28"/>
  <c r="AN120" i="28"/>
  <c r="AN184" i="28"/>
  <c r="AN171" i="28"/>
  <c r="AN363" i="28"/>
  <c r="AN466" i="28"/>
  <c r="AN553" i="28"/>
  <c r="AN157" i="28"/>
  <c r="AN488" i="28"/>
  <c r="AN130" i="28"/>
  <c r="AN533" i="28"/>
  <c r="AN229" i="28"/>
  <c r="AN269" i="28"/>
  <c r="AN129" i="28"/>
  <c r="AN601" i="28"/>
  <c r="AN9" i="28"/>
  <c r="AN224" i="28"/>
  <c r="AN21" i="28"/>
  <c r="AN557" i="28"/>
  <c r="AN95" i="28"/>
  <c r="AN286" i="28"/>
  <c r="AN467" i="28"/>
  <c r="AN217" i="28"/>
  <c r="AN274" i="28"/>
  <c r="AN272" i="28"/>
  <c r="AN172" i="28"/>
  <c r="AN53" i="28"/>
  <c r="AN579" i="28"/>
  <c r="AN101" i="28"/>
  <c r="AN180" i="28"/>
  <c r="AN221" i="28"/>
  <c r="AN293" i="28"/>
  <c r="AN66" i="28"/>
  <c r="AN513" i="28"/>
  <c r="AN253" i="28"/>
  <c r="AN479" i="28"/>
  <c r="AN501" i="28"/>
  <c r="AN135" i="28"/>
  <c r="AN73" i="28"/>
  <c r="AN348" i="28"/>
  <c r="AN528" i="28"/>
  <c r="AN508" i="28"/>
  <c r="AN291" i="28"/>
  <c r="AN91" i="28"/>
  <c r="AN575" i="28"/>
  <c r="AN18" i="28"/>
  <c r="AN377" i="28"/>
  <c r="AN62" i="28"/>
  <c r="AN111" i="28"/>
  <c r="AN88" i="28"/>
  <c r="AN423" i="28"/>
  <c r="AN48" i="28"/>
  <c r="AN456" i="28"/>
  <c r="AN194" i="28"/>
  <c r="AN118" i="28"/>
  <c r="AN454" i="28"/>
  <c r="AN55" i="28"/>
  <c r="AN353" i="28"/>
  <c r="AN338" i="28"/>
  <c r="AN170" i="28"/>
  <c r="AN74" i="28"/>
  <c r="AN235" i="28"/>
  <c r="AN17" i="28"/>
  <c r="AN127" i="28"/>
  <c r="AN403" i="28"/>
  <c r="AN13" i="28"/>
  <c r="AN458" i="28"/>
  <c r="AN542" i="28"/>
  <c r="AN123" i="28"/>
  <c r="AN268" i="28"/>
  <c r="AN187" i="28"/>
  <c r="AN317" i="28"/>
  <c r="AN518" i="28"/>
  <c r="AN146" i="28"/>
  <c r="AN250" i="28"/>
  <c r="AN200" i="28"/>
  <c r="AN442" i="28"/>
  <c r="AN270" i="28"/>
  <c r="AN220" i="28"/>
  <c r="AN169" i="28"/>
  <c r="AN284" i="28"/>
  <c r="AN498" i="28"/>
  <c r="AN585" i="28"/>
  <c r="AN28" i="28"/>
  <c r="AN310" i="28"/>
  <c r="AN329" i="28"/>
  <c r="AN14" i="28"/>
  <c r="AN12" i="28"/>
  <c r="AN4" i="28"/>
  <c r="AN383" i="28"/>
  <c r="AN136" i="28"/>
  <c r="AN341" i="28"/>
  <c r="AN312" i="28"/>
  <c r="AN99" i="28"/>
  <c r="AN204" i="28"/>
  <c r="AN551" i="28"/>
  <c r="AN477" i="28"/>
  <c r="AN84" i="28"/>
  <c r="AN349" i="28"/>
  <c r="AN195" i="28"/>
  <c r="AN174" i="28"/>
  <c r="AN152" i="28"/>
  <c r="AN382" i="28"/>
  <c r="AN100" i="28"/>
  <c r="AN511" i="28"/>
  <c r="AN359" i="28"/>
  <c r="AN332" i="28"/>
  <c r="AN150" i="28"/>
  <c r="AN244" i="28"/>
  <c r="AN412" i="28"/>
  <c r="AN162" i="28"/>
  <c r="AN165" i="28"/>
  <c r="AN307" i="28"/>
  <c r="AN602" i="28"/>
  <c r="AN90" i="28"/>
  <c r="AN44" i="28"/>
  <c r="AN327" i="28"/>
  <c r="AN69" i="28"/>
  <c r="AN374" i="28"/>
  <c r="AN529" i="28"/>
  <c r="AN134" i="28"/>
  <c r="AN436" i="28"/>
  <c r="AN535" i="28"/>
  <c r="AN142" i="28"/>
  <c r="AN30" i="28"/>
  <c r="AN385" i="28"/>
  <c r="AN277" i="28"/>
  <c r="AN399" i="28"/>
  <c r="AN126" i="28"/>
  <c r="AN93" i="28"/>
  <c r="AN371" i="28"/>
  <c r="AN308" i="28"/>
  <c r="AN33" i="28"/>
  <c r="AN52" i="28"/>
  <c r="AN7" i="28"/>
  <c r="AN388" i="28"/>
  <c r="AN59" i="28"/>
  <c r="AN167" i="28"/>
  <c r="AN485" i="28"/>
  <c r="AN112" i="28"/>
  <c r="AN506" i="28"/>
  <c r="AN25" i="28"/>
  <c r="AN147" i="28"/>
  <c r="AN470" i="28"/>
  <c r="AN323" i="28"/>
  <c r="AN96" i="28"/>
  <c r="AN209" i="28"/>
  <c r="AN131" i="28"/>
  <c r="AN45" i="28"/>
  <c r="AN369" i="28"/>
  <c r="AN524" i="28"/>
  <c r="AN89" i="28"/>
  <c r="AN315" i="28"/>
  <c r="AN289" i="28"/>
  <c r="AN503" i="28"/>
  <c r="AN509" i="28"/>
  <c r="AN299" i="28"/>
  <c r="AN196" i="28"/>
  <c r="AN138" i="28"/>
  <c r="AN592" i="28"/>
  <c r="AN355" i="28"/>
  <c r="AN520" i="28"/>
  <c r="AN333" i="28"/>
  <c r="AN491" i="28"/>
  <c r="AN143" i="28"/>
  <c r="AN350" i="28"/>
  <c r="AN417" i="28"/>
  <c r="AN404" i="28"/>
  <c r="AN236" i="28"/>
  <c r="AN376" i="28"/>
  <c r="AN232" i="28"/>
  <c r="AN495" i="28"/>
  <c r="AN276" i="28"/>
  <c r="AN486" i="28"/>
  <c r="AN462" i="28"/>
  <c r="AN92" i="28"/>
  <c r="AN300" i="28"/>
  <c r="AN303" i="28"/>
  <c r="AN39" i="28"/>
  <c r="AN605" i="28"/>
  <c r="AN358" i="28"/>
  <c r="AN344" i="28"/>
  <c r="AN141" i="28"/>
  <c r="AN103" i="28"/>
  <c r="AN395" i="28"/>
  <c r="AN179" i="28"/>
  <c r="AN572" i="28"/>
  <c r="AN422" i="28"/>
  <c r="AN68" i="28"/>
  <c r="AN430" i="28"/>
  <c r="AN16" i="28"/>
  <c r="AN370" i="28"/>
  <c r="AN160" i="28"/>
  <c r="AN357" i="28"/>
  <c r="AN367" i="28"/>
  <c r="AN530" i="28"/>
  <c r="AN177" i="28"/>
  <c r="AN11" i="28"/>
  <c r="AN452" i="28"/>
  <c r="AN316" i="28"/>
  <c r="AN178" i="28"/>
  <c r="AN81" i="28"/>
  <c r="AN464" i="28"/>
  <c r="AN294" i="28"/>
  <c r="AN304" i="28"/>
  <c r="AN215" i="28"/>
  <c r="AN159" i="28"/>
  <c r="AN230" i="28"/>
  <c r="AN324" i="28"/>
  <c r="AN275" i="28"/>
  <c r="AN461" i="28"/>
  <c r="AN389" i="28"/>
  <c r="AN510" i="28"/>
  <c r="AN352" i="28"/>
  <c r="AN237" i="28"/>
  <c r="AN345" i="28"/>
  <c r="AN392" i="28"/>
  <c r="AN57" i="28"/>
  <c r="AN182" i="28"/>
  <c r="AN514" i="28"/>
  <c r="AN205" i="28"/>
  <c r="AN473" i="28"/>
  <c r="AN372" i="28"/>
  <c r="AN408" i="28"/>
  <c r="AN153" i="28"/>
  <c r="AN248" i="28"/>
  <c r="AN482" i="28"/>
  <c r="AN406" i="28"/>
  <c r="AN490" i="28"/>
  <c r="AN245" i="28"/>
  <c r="AN483" i="28"/>
  <c r="AN500" i="28"/>
  <c r="AN280" i="28"/>
  <c r="AN438" i="28"/>
  <c r="AN149" i="28"/>
  <c r="AN76" i="28"/>
  <c r="AN86" i="28"/>
  <c r="AN175" i="28"/>
  <c r="AN70" i="28"/>
  <c r="AN105" i="28"/>
  <c r="AN198" i="28"/>
  <c r="AN540" i="28"/>
  <c r="AN79" i="28"/>
  <c r="AN523" i="28"/>
  <c r="AN139" i="28"/>
  <c r="AN468" i="28"/>
  <c r="AN191" i="28"/>
  <c r="AN322" i="28"/>
  <c r="AN249" i="28"/>
  <c r="AN246" i="28"/>
  <c r="AN424" i="28"/>
  <c r="AN441" i="28"/>
  <c r="AN362" i="28"/>
  <c r="AN222" i="28"/>
  <c r="AN343" i="28"/>
  <c r="AN29" i="28"/>
  <c r="AN455" i="28"/>
  <c r="AN400" i="28"/>
  <c r="AN563" i="28"/>
  <c r="AN407" i="28"/>
  <c r="AN534" i="28"/>
  <c r="AN98" i="28"/>
  <c r="AN346" i="28"/>
  <c r="AN5" i="28"/>
  <c r="AN257" i="28"/>
  <c r="AN47" i="28"/>
  <c r="AN227" i="28"/>
  <c r="AN411" i="28"/>
  <c r="AN562" i="28"/>
  <c r="AN173" i="28"/>
  <c r="AN347" i="28"/>
  <c r="AN119" i="28"/>
  <c r="AN525" i="28"/>
  <c r="AN342" i="28"/>
  <c r="AN259" i="28"/>
  <c r="AN526" i="28"/>
  <c r="AN415" i="28"/>
  <c r="AN502" i="28"/>
  <c r="AN305" i="28"/>
  <c r="AN472" i="28"/>
  <c r="AN313" i="28"/>
  <c r="AN504" i="28"/>
  <c r="AN113" i="28"/>
  <c r="AN453" i="28"/>
  <c r="AN434" i="28"/>
  <c r="AN321" i="28"/>
  <c r="AN106" i="28"/>
  <c r="AN365" i="28"/>
  <c r="AN176" i="28"/>
  <c r="AN201" i="28"/>
  <c r="AN604" i="28"/>
  <c r="AN8" i="28"/>
  <c r="AN600" i="28"/>
  <c r="AN42" i="28"/>
  <c r="AN548" i="28"/>
  <c r="AN133" i="28"/>
  <c r="AN451" i="28"/>
  <c r="AN292" i="28"/>
  <c r="AN231" i="28"/>
  <c r="AN390" i="28"/>
  <c r="AN247" i="28"/>
  <c r="AN386" i="28"/>
  <c r="AN116" i="28"/>
  <c r="AN418" i="28"/>
  <c r="AN475" i="28"/>
  <c r="AN85" i="28"/>
  <c r="AN302" i="28"/>
  <c r="AN337" i="28"/>
  <c r="AN416" i="28"/>
  <c r="AN290" i="28"/>
  <c r="AN543" i="28"/>
  <c r="AN34" i="28"/>
  <c r="AN77" i="28"/>
  <c r="AN121" i="28"/>
  <c r="AN364" i="28"/>
  <c r="AN499" i="28"/>
  <c r="AN450" i="28"/>
  <c r="AN393" i="28"/>
  <c r="AN255" i="28"/>
  <c r="AN428" i="28"/>
  <c r="AN494" i="28"/>
  <c r="AN273" i="28"/>
  <c r="AN571" i="28"/>
  <c r="AN586" i="28"/>
  <c r="AN398" i="28"/>
  <c r="AN223" i="28"/>
  <c r="AN94" i="28"/>
  <c r="AN335" i="28"/>
  <c r="AN516" i="28"/>
  <c r="AN54" i="28"/>
  <c r="AN27" i="28"/>
  <c r="AN394" i="28"/>
  <c r="AN532" i="28"/>
  <c r="AN446" i="28"/>
  <c r="AN243" i="28"/>
  <c r="AN531" i="28"/>
  <c r="AN547" i="28"/>
  <c r="AN192" i="28"/>
  <c r="AN576" i="28"/>
  <c r="AN484" i="28"/>
  <c r="AN287" i="28"/>
  <c r="AN420" i="28"/>
  <c r="AN419" i="28"/>
  <c r="AN521" i="28"/>
  <c r="AN137" i="28"/>
  <c r="AN339" i="28"/>
  <c r="AN449" i="28"/>
  <c r="AN107" i="28"/>
  <c r="AN487" i="28"/>
  <c r="AN102" i="28"/>
  <c r="AN561" i="28"/>
  <c r="AN3" i="28"/>
  <c r="AN569" i="28"/>
  <c r="AN507" i="28"/>
  <c r="AN567" i="28"/>
  <c r="AN334" i="28"/>
  <c r="AN555" i="28"/>
  <c r="AN384" i="28"/>
  <c r="AN440" i="28"/>
  <c r="AN505" i="28"/>
  <c r="AN425" i="28"/>
  <c r="AN573" i="28"/>
  <c r="AN459" i="28"/>
  <c r="AN36" i="28"/>
  <c r="AN336" i="28"/>
  <c r="AN210" i="28"/>
  <c r="AN164" i="28"/>
  <c r="AN35" i="28"/>
  <c r="AN41" i="28"/>
  <c r="AN401" i="28"/>
  <c r="AN241" i="28"/>
  <c r="AN588" i="28"/>
  <c r="AN527" i="28"/>
  <c r="AN589" i="28"/>
  <c r="AN189" i="28"/>
  <c r="AN306" i="28"/>
  <c r="AN570" i="28"/>
  <c r="AN78" i="28"/>
  <c r="AN271" i="28"/>
  <c r="AN433" i="28"/>
  <c r="AN560" i="28"/>
  <c r="AN216" i="28"/>
  <c r="AN202" i="28"/>
  <c r="AN583" i="28"/>
  <c r="AN606" i="28"/>
  <c r="AN15" i="28"/>
  <c r="AN298" i="28"/>
  <c r="AN577" i="28"/>
  <c r="AN522" i="28"/>
  <c r="AN447" i="28"/>
  <c r="AN83" i="28"/>
  <c r="AN603" i="28"/>
  <c r="AN578" i="28"/>
  <c r="AN211" i="28"/>
  <c r="AN591" i="28"/>
  <c r="AN596" i="28"/>
  <c r="AN480" i="28"/>
  <c r="AN190" i="28"/>
  <c r="AN497" i="28"/>
  <c r="AN512" i="28"/>
  <c r="AN559" i="28"/>
  <c r="AN155" i="28"/>
  <c r="AN414" i="28"/>
  <c r="AN421" i="28"/>
  <c r="AN60" i="28"/>
  <c r="AN108" i="28"/>
  <c r="AN71" i="28"/>
  <c r="AN50" i="28"/>
  <c r="AN387" i="28"/>
  <c r="AN554" i="28"/>
  <c r="AN256" i="28"/>
  <c r="AN154" i="28"/>
  <c r="W537" i="28"/>
  <c r="W222" i="28"/>
  <c r="W515" i="28"/>
  <c r="W279" i="28"/>
  <c r="W558" i="28"/>
  <c r="W136" i="28"/>
  <c r="W531" i="28"/>
  <c r="W571" i="28"/>
  <c r="W554" i="28"/>
  <c r="W474" i="28"/>
  <c r="W155" i="28"/>
  <c r="W400" i="28"/>
  <c r="W394" i="28"/>
  <c r="W376" i="28"/>
  <c r="W3" i="28"/>
  <c r="W31" i="28"/>
  <c r="W320" i="28"/>
  <c r="W449" i="28"/>
  <c r="W385" i="28"/>
  <c r="W269" i="28"/>
  <c r="W107" i="28"/>
  <c r="W518" i="28"/>
  <c r="W441" i="28"/>
  <c r="W607" i="28"/>
  <c r="W177" i="28"/>
  <c r="W200" i="28"/>
  <c r="W198" i="28"/>
  <c r="W28" i="28"/>
  <c r="W565" i="28"/>
  <c r="W328" i="28"/>
  <c r="W507" i="28"/>
  <c r="W231" i="28"/>
  <c r="W410" i="28"/>
  <c r="W439" i="28"/>
  <c r="W582" i="28"/>
  <c r="W609" i="28"/>
  <c r="W228" i="28"/>
  <c r="W158" i="28"/>
  <c r="W552" i="28"/>
  <c r="W263" i="28"/>
  <c r="W434" i="28"/>
  <c r="W538" i="28"/>
  <c r="W503" i="28"/>
  <c r="W317" i="28"/>
  <c r="W581" i="28"/>
  <c r="W339" i="28"/>
  <c r="W352" i="28"/>
  <c r="W8" i="28"/>
  <c r="W308" i="28"/>
  <c r="W413" i="28"/>
  <c r="W424" i="28"/>
  <c r="W86" i="28"/>
  <c r="W24" i="28"/>
  <c r="W478" i="28"/>
  <c r="W370" i="28"/>
  <c r="W336" i="28"/>
  <c r="W333" i="28"/>
  <c r="W258" i="28"/>
  <c r="W346" i="28"/>
  <c r="W80" i="28"/>
  <c r="W82" i="28"/>
  <c r="W550" i="28"/>
  <c r="W445" i="28"/>
  <c r="W513" i="28"/>
  <c r="W508" i="28"/>
  <c r="W58" i="28"/>
  <c r="W303" i="28"/>
  <c r="W25" i="28"/>
  <c r="W467" i="28"/>
  <c r="W309" i="28"/>
  <c r="W473" i="28"/>
  <c r="W480" i="28"/>
  <c r="W53" i="28"/>
  <c r="W573" i="28"/>
  <c r="W468" i="28"/>
  <c r="W35" i="28"/>
  <c r="W253" i="28"/>
  <c r="W72" i="28"/>
  <c r="W368" i="28"/>
  <c r="W484" i="28"/>
  <c r="W407" i="28"/>
  <c r="W312" i="28"/>
  <c r="W91" i="28"/>
  <c r="W451" i="28"/>
  <c r="W56" i="28"/>
  <c r="W94" i="28"/>
  <c r="W60" i="28"/>
  <c r="W603" i="28"/>
  <c r="W306" i="28"/>
  <c r="W254" i="28"/>
  <c r="W530" i="28"/>
  <c r="W127" i="28"/>
  <c r="W282" i="28"/>
  <c r="W296" i="28"/>
  <c r="W99" i="28"/>
  <c r="W415" i="28"/>
  <c r="W463" i="28"/>
  <c r="W334" i="28"/>
  <c r="W199" i="28"/>
  <c r="W481" i="28"/>
  <c r="W207" i="28"/>
  <c r="W23" i="28"/>
  <c r="W71" i="28"/>
  <c r="W18" i="28"/>
  <c r="W11" i="28"/>
  <c r="W324" i="28"/>
  <c r="W359" i="28"/>
  <c r="W497" i="28"/>
  <c r="W349" i="28"/>
  <c r="W591" i="28"/>
  <c r="W487" i="28"/>
  <c r="W238" i="28"/>
  <c r="W287" i="28"/>
  <c r="W431" i="28"/>
  <c r="W290" i="28"/>
  <c r="W63" i="28"/>
  <c r="W197" i="28"/>
  <c r="W64" i="28"/>
  <c r="W248" i="28"/>
  <c r="W471" i="28"/>
  <c r="W208" i="28"/>
  <c r="W134" i="28"/>
  <c r="W59" i="28"/>
  <c r="W329" i="28"/>
  <c r="W384" i="28"/>
  <c r="W493" i="28"/>
  <c r="W27" i="28"/>
  <c r="W338" i="28"/>
  <c r="W483" i="28"/>
  <c r="W55" i="28"/>
  <c r="W520" i="28"/>
  <c r="W113" i="28"/>
  <c r="W579" i="28"/>
  <c r="W345" i="28"/>
  <c r="W506" i="28"/>
  <c r="W142" i="28"/>
  <c r="W170" i="28"/>
  <c r="W215" i="28"/>
  <c r="W268" i="28"/>
  <c r="W492" i="28"/>
  <c r="W235" i="28"/>
  <c r="W30" i="28"/>
  <c r="W369" i="28"/>
  <c r="W95" i="28"/>
  <c r="W512" i="28"/>
  <c r="W354" i="28"/>
  <c r="W351" i="28"/>
  <c r="W187" i="28"/>
  <c r="W403" i="28"/>
  <c r="W540" i="28"/>
  <c r="W237" i="28"/>
  <c r="W116" i="28"/>
  <c r="W212" i="28"/>
  <c r="W98" i="28"/>
  <c r="W240" i="28"/>
  <c r="W522" i="28"/>
  <c r="W61" i="28"/>
  <c r="W202" i="28"/>
  <c r="W281" i="28"/>
  <c r="W220" i="28"/>
  <c r="W148" i="28"/>
  <c r="W331" i="28"/>
  <c r="W539" i="28"/>
  <c r="W599" i="28"/>
  <c r="W381" i="28"/>
  <c r="W388" i="28"/>
  <c r="W19" i="28"/>
  <c r="W355" i="28"/>
  <c r="W414" i="28"/>
  <c r="W475" i="28"/>
  <c r="W326" i="28"/>
  <c r="W233" i="28"/>
  <c r="W100" i="28"/>
  <c r="W593" i="28"/>
  <c r="W272" i="28"/>
  <c r="W390" i="28"/>
  <c r="W437" i="28"/>
  <c r="W372" i="28"/>
  <c r="W188" i="28"/>
  <c r="W156" i="28"/>
  <c r="W448" i="28"/>
  <c r="W183" i="28"/>
  <c r="W167" i="28"/>
  <c r="W70" i="28"/>
  <c r="W244" i="28"/>
  <c r="W489" i="28"/>
  <c r="W108" i="28"/>
  <c r="W343" i="28"/>
  <c r="W397" i="28"/>
  <c r="W466" i="28"/>
  <c r="W392" i="28"/>
  <c r="W586" i="28"/>
  <c r="W186" i="28"/>
  <c r="W567" i="28"/>
  <c r="W194" i="28"/>
  <c r="W307" i="28"/>
  <c r="W164" i="28"/>
  <c r="W265" i="28"/>
  <c r="W516" i="28"/>
  <c r="W195" i="28"/>
  <c r="W210" i="28"/>
  <c r="W319" i="28"/>
  <c r="W275" i="28"/>
  <c r="W295" i="28"/>
  <c r="W246" i="28"/>
  <c r="W348" i="28"/>
  <c r="W83" i="28"/>
  <c r="W563" i="28"/>
  <c r="W525" i="28"/>
  <c r="W350" i="28"/>
  <c r="W81" i="28"/>
  <c r="W560" i="28"/>
  <c r="W17" i="28"/>
  <c r="W112" i="28"/>
  <c r="W601" i="28"/>
  <c r="W292" i="28"/>
  <c r="W594" i="28"/>
  <c r="W547" i="28"/>
  <c r="W51" i="28"/>
  <c r="W12" i="28"/>
  <c r="W374" i="28"/>
  <c r="W529" i="28"/>
  <c r="W38" i="28"/>
  <c r="W62" i="28"/>
  <c r="W103" i="28"/>
  <c r="W205" i="28"/>
  <c r="W39" i="28"/>
  <c r="W22" i="28"/>
  <c r="W606" i="28"/>
  <c r="W230" i="28"/>
  <c r="W416" i="28"/>
  <c r="W126" i="28"/>
  <c r="W419" i="28"/>
  <c r="W260" i="28"/>
  <c r="W283" i="28"/>
  <c r="W298" i="28"/>
  <c r="W232" i="28"/>
  <c r="W311" i="28"/>
  <c r="W300" i="28"/>
  <c r="W358" i="28"/>
  <c r="W597" i="28"/>
  <c r="W7" i="28"/>
  <c r="W191" i="28"/>
  <c r="W527" i="28"/>
  <c r="W455" i="28"/>
  <c r="W366" i="28"/>
  <c r="W561" i="28"/>
  <c r="W587" i="28"/>
  <c r="W433" i="28"/>
  <c r="W10" i="28"/>
  <c r="W577" i="28"/>
  <c r="W76" i="28"/>
  <c r="W73" i="28"/>
  <c r="W278" i="28"/>
  <c r="W588" i="28"/>
  <c r="W564" i="28"/>
  <c r="W438" i="28"/>
  <c r="W443" i="28"/>
  <c r="W408" i="28"/>
  <c r="W555" i="28"/>
  <c r="W341" i="28"/>
  <c r="W519" i="28"/>
  <c r="W41" i="28"/>
  <c r="W386" i="28"/>
  <c r="W509" i="28"/>
  <c r="W590" i="28"/>
  <c r="W9" i="28"/>
  <c r="W589" i="28"/>
  <c r="W501" i="28"/>
  <c r="W432" i="28"/>
  <c r="W16" i="28"/>
  <c r="W131" i="28"/>
  <c r="W229" i="28"/>
  <c r="W166" i="28"/>
  <c r="W291" i="28"/>
  <c r="W157" i="28"/>
  <c r="W34" i="28"/>
  <c r="W293" i="28"/>
  <c r="W259" i="28"/>
  <c r="W48" i="28"/>
  <c r="W137" i="28"/>
  <c r="W453" i="28"/>
  <c r="W332" i="28"/>
  <c r="W505" i="28"/>
  <c r="W364" i="28"/>
  <c r="W428" i="28"/>
  <c r="W491" i="28"/>
  <c r="W130" i="28"/>
  <c r="W250" i="28"/>
  <c r="W179" i="28"/>
  <c r="W117" i="28"/>
  <c r="W316" i="28"/>
  <c r="W146" i="28"/>
  <c r="W78" i="28"/>
  <c r="W325" i="28"/>
  <c r="W327" i="28"/>
  <c r="W97" i="28"/>
  <c r="W362" i="28"/>
  <c r="W575" i="28"/>
  <c r="W141" i="28"/>
  <c r="W395" i="28"/>
  <c r="W273" i="28"/>
  <c r="W211" i="28"/>
  <c r="W361" i="28"/>
  <c r="W436" i="28"/>
  <c r="W36" i="28"/>
  <c r="W605" i="28"/>
  <c r="W543" i="28"/>
  <c r="W450" i="28"/>
  <c r="W315" i="28"/>
  <c r="W378" i="28"/>
  <c r="W226" i="28"/>
  <c r="W517" i="28"/>
  <c r="W496" i="28"/>
  <c r="W304" i="28"/>
  <c r="W190" i="28"/>
  <c r="W578" i="28"/>
  <c r="W551" i="28"/>
  <c r="W435" i="28"/>
  <c r="W182" i="28"/>
  <c r="W133" i="28"/>
  <c r="W532" i="28"/>
  <c r="W576" i="28"/>
  <c r="W162" i="28"/>
  <c r="W120" i="28"/>
  <c r="W425" i="28"/>
  <c r="W92" i="28"/>
  <c r="W144" i="28"/>
  <c r="W26" i="28"/>
  <c r="W161" i="28"/>
  <c r="W289" i="28"/>
  <c r="W256" i="28"/>
  <c r="W373" i="28"/>
  <c r="W251" i="28"/>
  <c r="W566" i="28"/>
  <c r="W472" i="28"/>
  <c r="W559" i="28"/>
  <c r="W123" i="28"/>
  <c r="W335" i="28"/>
  <c r="W461" i="28"/>
  <c r="W13" i="28"/>
  <c r="W110" i="28"/>
  <c r="W163" i="28"/>
  <c r="W526" i="28"/>
  <c r="W470" i="28"/>
  <c r="W418" i="28"/>
  <c r="W457" i="28"/>
  <c r="W494" i="28"/>
  <c r="W6" i="28"/>
  <c r="W47" i="28"/>
  <c r="W314" i="28"/>
  <c r="W121" i="28"/>
  <c r="W241" i="28"/>
  <c r="W411" i="28"/>
  <c r="W115" i="28"/>
  <c r="W604" i="28"/>
  <c r="W203" i="28"/>
  <c r="W342" i="28"/>
  <c r="W180" i="28"/>
  <c r="W227" i="28"/>
  <c r="W169" i="28"/>
  <c r="W262" i="28"/>
  <c r="W90" i="28"/>
  <c r="W344" i="28"/>
  <c r="W572" i="28"/>
  <c r="W535" i="28"/>
  <c r="W245" i="28"/>
  <c r="W490" i="28"/>
  <c r="W172" i="28"/>
  <c r="W365" i="28"/>
  <c r="W440" i="28"/>
  <c r="W420" i="28"/>
  <c r="W477" i="28"/>
  <c r="W14" i="28"/>
  <c r="W391" i="28"/>
  <c r="W101" i="28"/>
  <c r="W135" i="28"/>
  <c r="W151" i="28"/>
  <c r="W87" i="28"/>
  <c r="W118" i="28"/>
  <c r="W426" i="28"/>
  <c r="W285" i="28"/>
  <c r="W267" i="28"/>
  <c r="W534" i="28"/>
  <c r="W596" i="28"/>
  <c r="W330" i="28"/>
  <c r="W204" i="28"/>
  <c r="W533" i="28"/>
  <c r="W562" i="28"/>
  <c r="W125" i="28"/>
  <c r="W173" i="28"/>
  <c r="W84" i="28"/>
  <c r="W536" i="28"/>
  <c r="W479" i="28"/>
  <c r="W557" i="28"/>
  <c r="W69" i="28"/>
  <c r="W421" i="28"/>
  <c r="W2" i="28"/>
  <c r="W444" i="28"/>
  <c r="W178" i="28"/>
  <c r="W323" i="28"/>
  <c r="W44" i="28"/>
  <c r="W356" i="28"/>
  <c r="W569" i="28"/>
  <c r="W302" i="28"/>
  <c r="W502" i="28"/>
  <c r="W544" i="28"/>
  <c r="W213" i="28"/>
  <c r="W318" i="28"/>
  <c r="W297" i="28"/>
  <c r="W65" i="28"/>
  <c r="W122" i="28"/>
  <c r="W498" i="28"/>
  <c r="W171" i="28"/>
  <c r="W21" i="28"/>
  <c r="W20" i="28"/>
  <c r="W549" i="28"/>
  <c r="W129" i="28"/>
  <c r="W85" i="28"/>
  <c r="W50" i="28"/>
  <c r="W396" i="28"/>
  <c r="W57" i="28"/>
  <c r="W257" i="28"/>
  <c r="W340" i="28"/>
  <c r="W286" i="28"/>
  <c r="W181" i="28"/>
  <c r="W96" i="28"/>
  <c r="W43" i="28"/>
  <c r="W33" i="28"/>
  <c r="W398" i="28"/>
  <c r="W159" i="28"/>
  <c r="W568" i="28"/>
  <c r="W482" i="28"/>
  <c r="W114" i="28"/>
  <c r="W322" i="28"/>
  <c r="W75" i="28"/>
  <c r="W255" i="28"/>
  <c r="W404" i="28"/>
  <c r="W570" i="28"/>
  <c r="W119" i="28"/>
  <c r="W454" i="28"/>
  <c r="W77" i="28"/>
  <c r="W88" i="28"/>
  <c r="W206" i="28"/>
  <c r="W271" i="28"/>
  <c r="W165" i="28"/>
  <c r="W524" i="28"/>
  <c r="W427" i="28"/>
  <c r="W377" i="28"/>
  <c r="W380" i="28"/>
  <c r="W239" i="28"/>
  <c r="W184" i="28"/>
  <c r="W452" i="28"/>
  <c r="W105" i="28"/>
  <c r="W379" i="28"/>
  <c r="W32" i="28"/>
  <c r="W393" i="28"/>
  <c r="W595" i="28"/>
  <c r="W149" i="28"/>
  <c r="W402" i="28"/>
  <c r="W405" i="28"/>
  <c r="W124" i="28"/>
  <c r="W574" i="28"/>
  <c r="W600" i="28"/>
  <c r="W469" i="28"/>
  <c r="W277" i="28"/>
  <c r="W192" i="28"/>
  <c r="W504" i="28"/>
  <c r="W45" i="28"/>
  <c r="W514" i="28"/>
  <c r="W54" i="28"/>
  <c r="W305" i="28"/>
  <c r="W185" i="28"/>
  <c r="W521" i="28"/>
  <c r="W138" i="28"/>
  <c r="W465" i="28"/>
  <c r="W462" i="28"/>
  <c r="W218" i="28"/>
  <c r="W459" i="28"/>
  <c r="W37" i="28"/>
  <c r="W224" i="28"/>
  <c r="W154" i="28"/>
  <c r="W89" i="28"/>
  <c r="W495" i="28"/>
  <c r="W140" i="28"/>
  <c r="W528" i="28"/>
  <c r="W234" i="28"/>
  <c r="W145" i="28"/>
  <c r="W219" i="28"/>
  <c r="W104" i="28"/>
  <c r="W357" i="28"/>
  <c r="W284" i="28"/>
  <c r="W399" i="28"/>
  <c r="W153" i="28"/>
  <c r="W409" i="28"/>
  <c r="W280" i="28"/>
  <c r="W598" i="28"/>
  <c r="W4" i="28"/>
  <c r="W429" i="28"/>
  <c r="W430" i="28"/>
  <c r="W542" i="28"/>
  <c r="W174" i="28"/>
  <c r="W106" i="28"/>
  <c r="W548" i="28"/>
  <c r="W301" i="28"/>
  <c r="W193" i="28"/>
  <c r="W247" i="28"/>
  <c r="W249" i="28"/>
  <c r="W128" i="28"/>
  <c r="W422" i="28"/>
  <c r="W442" i="28"/>
  <c r="W216" i="28"/>
  <c r="W201" i="28"/>
  <c r="W196" i="28"/>
  <c r="W52" i="28"/>
  <c r="W79" i="28"/>
  <c r="W109" i="28"/>
  <c r="W147" i="28"/>
  <c r="W389" i="28"/>
  <c r="W46" i="28"/>
  <c r="W261" i="28"/>
  <c r="W608" i="28"/>
  <c r="W460" i="28"/>
  <c r="W243" i="28"/>
  <c r="W221" i="28"/>
  <c r="W150" i="28"/>
  <c r="W367" i="28"/>
  <c r="W546" i="28"/>
  <c r="W93" i="28"/>
  <c r="W288" i="28"/>
  <c r="W242" i="28"/>
  <c r="W168" i="28"/>
  <c r="W209" i="28"/>
  <c r="W266" i="28"/>
  <c r="W401" i="28"/>
  <c r="W42" i="28"/>
  <c r="W541" i="28"/>
  <c r="W40" i="28"/>
  <c r="W417" i="28"/>
  <c r="W423" i="28"/>
  <c r="W15" i="28"/>
  <c r="W523" i="28"/>
  <c r="W152" i="28"/>
  <c r="W363" i="28"/>
  <c r="W485" i="28"/>
  <c r="W511" i="28"/>
  <c r="W500" i="28"/>
  <c r="W592" i="28"/>
  <c r="W299" i="28"/>
  <c r="W602" i="28"/>
  <c r="W446" i="28"/>
  <c r="W67" i="28"/>
  <c r="W49" i="28"/>
  <c r="W371" i="28"/>
  <c r="W584" i="28"/>
  <c r="W347" i="28"/>
  <c r="W447" i="28"/>
  <c r="W499" i="28"/>
  <c r="W252" i="28"/>
  <c r="W294" i="28"/>
  <c r="W556" i="28"/>
  <c r="W217" i="28"/>
  <c r="W545" i="28"/>
  <c r="W175" i="28"/>
  <c r="W456" i="28"/>
  <c r="W382" i="28"/>
  <c r="W102" i="28"/>
  <c r="W360" i="28"/>
  <c r="W160" i="28"/>
  <c r="W270" i="28"/>
  <c r="W74" i="28"/>
  <c r="W464" i="28"/>
  <c r="W321" i="28"/>
  <c r="W337" i="28"/>
  <c r="W387" i="28"/>
  <c r="W313" i="28"/>
  <c r="W189" i="28"/>
  <c r="W236" i="28"/>
  <c r="W29" i="28"/>
  <c r="W583" i="28"/>
  <c r="W412" i="28"/>
  <c r="W383" i="28"/>
  <c r="W353" i="28"/>
  <c r="W510" i="28"/>
  <c r="W264" i="28"/>
  <c r="W132" i="28"/>
  <c r="W225" i="28"/>
  <c r="W488" i="28"/>
  <c r="W143" i="28"/>
  <c r="W139" i="28"/>
  <c r="W375" i="28"/>
  <c r="W580" i="28"/>
  <c r="W274" i="28"/>
  <c r="W176" i="28"/>
  <c r="W585" i="28"/>
  <c r="W553" i="28"/>
  <c r="W214" i="28"/>
  <c r="W406" i="28"/>
  <c r="W223" i="28"/>
  <c r="W476" i="28"/>
  <c r="W310" i="28"/>
  <c r="W486" i="28"/>
  <c r="W276" i="28"/>
  <c r="W111" i="28"/>
  <c r="W458" i="28"/>
  <c r="M448" i="28"/>
  <c r="N25" i="28"/>
  <c r="M315" i="28"/>
  <c r="M525" i="28"/>
  <c r="N56" i="28"/>
  <c r="M609" i="28"/>
  <c r="M377" i="28"/>
  <c r="N334" i="28"/>
  <c r="M145" i="28"/>
  <c r="M467" i="28"/>
  <c r="N4" i="28"/>
  <c r="M368" i="28"/>
  <c r="M336" i="28"/>
  <c r="M40" i="28"/>
  <c r="M134" i="28"/>
  <c r="M86" i="28"/>
  <c r="N223" i="28"/>
  <c r="M262" i="28"/>
  <c r="N57" i="28"/>
  <c r="N397" i="28"/>
  <c r="M81" i="28"/>
  <c r="M124" i="28"/>
  <c r="N258" i="28"/>
  <c r="N520" i="28"/>
  <c r="M574" i="28"/>
  <c r="M424" i="28"/>
  <c r="M250" i="28"/>
  <c r="N602" i="28"/>
  <c r="M3" i="28"/>
  <c r="M354" i="28"/>
  <c r="N93" i="28"/>
  <c r="M282" i="28"/>
  <c r="M148" i="28"/>
  <c r="M190" i="28"/>
  <c r="N294" i="28"/>
  <c r="M184" i="28"/>
  <c r="N77" i="28"/>
  <c r="M593" i="28"/>
  <c r="M67" i="28"/>
  <c r="M289" i="28"/>
  <c r="M415" i="28"/>
  <c r="M288" i="28"/>
  <c r="N11" i="28"/>
  <c r="N528" i="28"/>
  <c r="M87" i="28"/>
  <c r="M526" i="28"/>
  <c r="M339" i="28"/>
  <c r="M600" i="28"/>
  <c r="M126" i="28"/>
  <c r="N162" i="28"/>
  <c r="N302" i="28"/>
  <c r="M351" i="28"/>
  <c r="N52" i="28"/>
  <c r="M400" i="28"/>
  <c r="N42" i="28"/>
  <c r="N99" i="28"/>
  <c r="N34" i="28"/>
  <c r="M310" i="28"/>
  <c r="M570" i="28"/>
  <c r="N117" i="28"/>
  <c r="N118" i="28"/>
  <c r="N518" i="28"/>
  <c r="M412" i="28"/>
  <c r="M514" i="28"/>
  <c r="N515" i="28"/>
  <c r="N367" i="28"/>
  <c r="N86" i="28"/>
  <c r="M500" i="28"/>
  <c r="M53" i="28"/>
  <c r="M541" i="28"/>
  <c r="N556" i="28"/>
  <c r="M30" i="28"/>
  <c r="N366" i="28"/>
  <c r="M411" i="28"/>
  <c r="N208" i="28"/>
  <c r="M397" i="28"/>
  <c r="N418" i="28"/>
  <c r="N161" i="28"/>
  <c r="N444" i="28"/>
  <c r="M299" i="28"/>
  <c r="N225" i="28"/>
  <c r="M114" i="28"/>
  <c r="M340" i="28"/>
  <c r="N312" i="28"/>
  <c r="N609" i="28"/>
  <c r="N51" i="28"/>
  <c r="N288" i="28"/>
  <c r="N350" i="28"/>
  <c r="M554" i="28"/>
  <c r="N94" i="28"/>
  <c r="N497" i="28"/>
  <c r="N40" i="28"/>
  <c r="N232" i="28"/>
  <c r="M566" i="28"/>
  <c r="N391" i="28"/>
  <c r="M601" i="28"/>
  <c r="M311" i="28"/>
  <c r="N359" i="28"/>
  <c r="N293" i="28"/>
  <c r="M496" i="28"/>
  <c r="N521" i="28"/>
  <c r="N495" i="28"/>
  <c r="M247" i="28"/>
  <c r="M608" i="28"/>
  <c r="N272" i="28"/>
  <c r="N306" i="28"/>
  <c r="M513" i="28"/>
  <c r="N66" i="28"/>
  <c r="N452" i="28"/>
  <c r="N64" i="28"/>
  <c r="M44" i="28"/>
  <c r="N253" i="28"/>
  <c r="N493" i="28"/>
  <c r="M561" i="28"/>
  <c r="M481" i="28"/>
  <c r="N346" i="28"/>
  <c r="M488" i="28"/>
  <c r="N427" i="28"/>
  <c r="M63" i="28"/>
  <c r="M198" i="28"/>
  <c r="N76" i="28"/>
  <c r="N138" i="28"/>
  <c r="M14" i="28"/>
  <c r="M512" i="28"/>
  <c r="M4" i="28"/>
  <c r="N581" i="28"/>
  <c r="N413" i="28"/>
  <c r="N38" i="28"/>
  <c r="M363" i="28"/>
  <c r="M572" i="28"/>
  <c r="N46" i="28"/>
  <c r="M147" i="28"/>
  <c r="N152" i="28"/>
  <c r="N70" i="28"/>
  <c r="M402" i="28"/>
  <c r="M253" i="28"/>
  <c r="M120" i="28"/>
  <c r="N392" i="28"/>
  <c r="N381" i="28"/>
  <c r="N254" i="28"/>
  <c r="M348" i="28"/>
  <c r="N153" i="28"/>
  <c r="M417" i="28"/>
  <c r="N88" i="28"/>
  <c r="M389" i="28"/>
  <c r="N143" i="28"/>
  <c r="M91" i="28"/>
  <c r="N33" i="28"/>
  <c r="N354" i="28"/>
  <c r="N604" i="28"/>
  <c r="M454" i="28"/>
  <c r="M360" i="28"/>
  <c r="M133" i="28"/>
  <c r="N572" i="28"/>
  <c r="M96" i="28"/>
  <c r="N593" i="28"/>
  <c r="N378" i="28"/>
  <c r="N558" i="28"/>
  <c r="N244" i="28"/>
  <c r="M94" i="28"/>
  <c r="N440" i="28"/>
  <c r="M98" i="28"/>
  <c r="N243" i="28"/>
  <c r="N443" i="28"/>
  <c r="M349" i="28"/>
  <c r="M169" i="28"/>
  <c r="M137" i="28"/>
  <c r="M367" i="28"/>
  <c r="N429" i="28"/>
  <c r="N471" i="28"/>
  <c r="M69" i="28"/>
  <c r="M502" i="28"/>
  <c r="N23" i="28"/>
  <c r="N290" i="28"/>
  <c r="M527" i="28"/>
  <c r="N507" i="28"/>
  <c r="N236" i="28"/>
  <c r="N531" i="28"/>
  <c r="M223" i="28"/>
  <c r="N516" i="28"/>
  <c r="N422" i="28"/>
  <c r="N75" i="28"/>
  <c r="N543" i="28"/>
  <c r="M307" i="28"/>
  <c r="N352" i="28"/>
  <c r="M330" i="28"/>
  <c r="N264" i="28"/>
  <c r="M450" i="28"/>
  <c r="N477" i="28"/>
  <c r="N574" i="28"/>
  <c r="M267" i="28"/>
  <c r="N21" i="28"/>
  <c r="M276" i="28"/>
  <c r="M338" i="28"/>
  <c r="N5" i="28"/>
  <c r="N459" i="28"/>
  <c r="M487" i="28"/>
  <c r="M359" i="28"/>
  <c r="N120" i="28"/>
  <c r="M372" i="28"/>
  <c r="M52" i="28"/>
  <c r="M468" i="28"/>
  <c r="N269" i="28"/>
  <c r="N263" i="28"/>
  <c r="N82" i="28"/>
  <c r="N496" i="28"/>
  <c r="M77" i="28"/>
  <c r="N394" i="28"/>
  <c r="N109" i="28"/>
  <c r="N215" i="28"/>
  <c r="M260" i="28"/>
  <c r="N188" i="28"/>
  <c r="N371" i="28"/>
  <c r="M219" i="28"/>
  <c r="M153" i="28"/>
  <c r="N54" i="28"/>
  <c r="M319" i="28"/>
  <c r="M309" i="28"/>
  <c r="N101" i="28"/>
  <c r="M327" i="28"/>
  <c r="N591" i="28"/>
  <c r="N550" i="28"/>
  <c r="N415" i="28"/>
  <c r="N45" i="28"/>
  <c r="N227" i="28"/>
  <c r="M226" i="28"/>
  <c r="M230" i="28"/>
  <c r="M118" i="28"/>
  <c r="N478" i="28"/>
  <c r="N347" i="28"/>
  <c r="M464" i="28"/>
  <c r="M370" i="28"/>
  <c r="M419" i="28"/>
  <c r="M551" i="28"/>
  <c r="M597" i="28"/>
  <c r="M379" i="28"/>
  <c r="M183" i="28"/>
  <c r="M352" i="28"/>
  <c r="N166" i="28"/>
  <c r="M235" i="28"/>
  <c r="N276" i="28"/>
  <c r="N265" i="28"/>
  <c r="M452" i="28"/>
  <c r="N469" i="28"/>
  <c r="N31" i="28"/>
  <c r="M522" i="28"/>
  <c r="M322" i="28"/>
  <c r="N513" i="28"/>
  <c r="M41" i="28"/>
  <c r="N545" i="28"/>
  <c r="N203" i="28"/>
  <c r="M539" i="28"/>
  <c r="N603" i="28"/>
  <c r="M594" i="28"/>
  <c r="N466" i="28"/>
  <c r="N470" i="28"/>
  <c r="M381" i="28"/>
  <c r="M325" i="28"/>
  <c r="M326" i="28"/>
  <c r="M471" i="28"/>
  <c r="M538" i="28"/>
  <c r="M284" i="28"/>
  <c r="N492" i="28"/>
  <c r="M443" i="28"/>
  <c r="N455" i="28"/>
  <c r="N169" i="28"/>
  <c r="M425" i="28"/>
  <c r="M160" i="28"/>
  <c r="N149" i="28"/>
  <c r="M222" i="28"/>
  <c r="N9" i="28"/>
  <c r="M29" i="28"/>
  <c r="M559" i="28"/>
  <c r="N248" i="28"/>
  <c r="N582" i="28"/>
  <c r="N249" i="28"/>
  <c r="N526" i="28"/>
  <c r="M200" i="28"/>
  <c r="M558" i="28"/>
  <c r="M445" i="28"/>
  <c r="N594" i="28"/>
  <c r="M591" i="28"/>
  <c r="M556" i="28"/>
  <c r="N132" i="28"/>
  <c r="M438" i="28"/>
  <c r="M95" i="28"/>
  <c r="N343" i="28"/>
  <c r="M135" i="28"/>
  <c r="N402" i="28"/>
  <c r="M57" i="28"/>
  <c r="N278" i="28"/>
  <c r="N377" i="28"/>
  <c r="M353" i="28"/>
  <c r="N123" i="28"/>
  <c r="M115" i="28"/>
  <c r="M461" i="28"/>
  <c r="N362" i="28"/>
  <c r="M39" i="28"/>
  <c r="N488" i="28"/>
  <c r="N145" i="28"/>
  <c r="M344" i="28"/>
  <c r="M100" i="28"/>
  <c r="N320" i="28"/>
  <c r="M158" i="28"/>
  <c r="M371" i="28"/>
  <c r="N209" i="28"/>
  <c r="M173" i="28"/>
  <c r="N69" i="28"/>
  <c r="N388" i="28"/>
  <c r="N176" i="28"/>
  <c r="M214" i="28"/>
  <c r="N183" i="28"/>
  <c r="M324" i="28"/>
  <c r="M398" i="28"/>
  <c r="N151" i="28"/>
  <c r="N139" i="28"/>
  <c r="M105" i="28"/>
  <c r="M27" i="28"/>
  <c r="N219" i="28"/>
  <c r="M293" i="28"/>
  <c r="N273" i="28"/>
  <c r="N155" i="28"/>
  <c r="M436" i="28"/>
  <c r="M197" i="28"/>
  <c r="N160" i="28"/>
  <c r="M35" i="28"/>
  <c r="M241" i="28"/>
  <c r="N6" i="28"/>
  <c r="N220" i="28"/>
  <c r="N112" i="28"/>
  <c r="M264" i="28"/>
  <c r="M546" i="28"/>
  <c r="N90" i="28"/>
  <c r="N570" i="28"/>
  <c r="M246" i="28"/>
  <c r="N608" i="28"/>
  <c r="M446" i="28"/>
  <c r="M590" i="28"/>
  <c r="N304" i="28"/>
  <c r="M515" i="28"/>
  <c r="M375" i="28"/>
  <c r="M61" i="28"/>
  <c r="M275" i="28"/>
  <c r="N193" i="28"/>
  <c r="N571" i="28"/>
  <c r="M510" i="28"/>
  <c r="N482" i="28"/>
  <c r="N207" i="28"/>
  <c r="M286" i="28"/>
  <c r="N474" i="28"/>
  <c r="M581" i="28"/>
  <c r="M528" i="28"/>
  <c r="N577" i="28"/>
  <c r="N514" i="28"/>
  <c r="N284" i="28"/>
  <c r="M113" i="28"/>
  <c r="M602" i="28"/>
  <c r="N548" i="28"/>
  <c r="M361" i="28"/>
  <c r="M483" i="28"/>
  <c r="M317" i="28"/>
  <c r="N607" i="28"/>
  <c r="M141" i="28"/>
  <c r="M294" i="28"/>
  <c r="N50" i="28"/>
  <c r="M104" i="28"/>
  <c r="M283" i="28"/>
  <c r="M462" i="28"/>
  <c r="N410" i="28"/>
  <c r="M333" i="28"/>
  <c r="M210" i="28"/>
  <c r="M456" i="28"/>
  <c r="N485" i="28"/>
  <c r="N211" i="28"/>
  <c r="M603" i="28"/>
  <c r="N555" i="28"/>
  <c r="N30" i="28"/>
  <c r="M423" i="28"/>
  <c r="N133" i="28"/>
  <c r="N71" i="28"/>
  <c r="M511" i="28"/>
  <c r="M536" i="28"/>
  <c r="M555" i="28"/>
  <c r="M224" i="28"/>
  <c r="N15" i="28"/>
  <c r="N578" i="28"/>
  <c r="M482" i="28"/>
  <c r="M473" i="28"/>
  <c r="N121" i="28"/>
  <c r="N296" i="28"/>
  <c r="N465" i="28"/>
  <c r="N562" i="28"/>
  <c r="N360" i="28"/>
  <c r="M347" i="28"/>
  <c r="N426" i="28"/>
  <c r="N584" i="28"/>
  <c r="M480" i="28"/>
  <c r="N68" i="28"/>
  <c r="N348" i="28"/>
  <c r="N421" i="28"/>
  <c r="M55" i="28"/>
  <c r="N221" i="28"/>
  <c r="M76" i="28"/>
  <c r="N476" i="28"/>
  <c r="N417" i="28"/>
  <c r="N140" i="28"/>
  <c r="N487" i="28"/>
  <c r="N7" i="28"/>
  <c r="N589" i="28"/>
  <c r="N195" i="28"/>
  <c r="M568" i="28"/>
  <c r="N303" i="28"/>
  <c r="N173" i="28"/>
  <c r="M386" i="28"/>
  <c r="M177" i="28"/>
  <c r="M394" i="28"/>
  <c r="M477" i="28"/>
  <c r="N59" i="28"/>
  <c r="M382" i="28"/>
  <c r="M285" i="28"/>
  <c r="M13" i="28"/>
  <c r="N163" i="28"/>
  <c r="M51" i="28"/>
  <c r="N596" i="28"/>
  <c r="M259" i="28"/>
  <c r="M598" i="28"/>
  <c r="N408" i="28"/>
  <c r="M204" i="28"/>
  <c r="M393" i="28"/>
  <c r="N226" i="28"/>
  <c r="N291" i="28"/>
  <c r="N229" i="28"/>
  <c r="N438" i="28"/>
  <c r="M374" i="28"/>
  <c r="N472" i="28"/>
  <c r="N549" i="28"/>
  <c r="M563" i="28"/>
  <c r="M580" i="28"/>
  <c r="N310" i="28"/>
  <c r="M479" i="28"/>
  <c r="M16" i="28"/>
  <c r="M83" i="28"/>
  <c r="M524" i="28"/>
  <c r="N437" i="28"/>
  <c r="N590" i="28"/>
  <c r="N157" i="28"/>
  <c r="N409" i="28"/>
  <c r="N85" i="28"/>
  <c r="N406" i="28"/>
  <c r="N20" i="28"/>
  <c r="N435" i="28"/>
  <c r="N598" i="28"/>
  <c r="N565" i="28"/>
  <c r="N454" i="28"/>
  <c r="N177" i="28"/>
  <c r="M529" i="28"/>
  <c r="M178" i="28"/>
  <c r="M111" i="28"/>
  <c r="M48" i="28"/>
  <c r="N600" i="28"/>
  <c r="M22" i="28"/>
  <c r="M492" i="28"/>
  <c r="N158" i="28"/>
  <c r="M227" i="28"/>
  <c r="N490" i="28"/>
  <c r="N315" i="28"/>
  <c r="N551" i="28"/>
  <c r="M157" i="28"/>
  <c r="M308" i="28"/>
  <c r="N395" i="28"/>
  <c r="N242" i="28"/>
  <c r="N43" i="28"/>
  <c r="N500" i="28"/>
  <c r="M45" i="28"/>
  <c r="N532" i="28"/>
  <c r="M274" i="28"/>
  <c r="N113" i="28"/>
  <c r="M494" i="28"/>
  <c r="M179" i="28"/>
  <c r="M152" i="28"/>
  <c r="M240" i="28"/>
  <c r="N330" i="28"/>
  <c r="N205" i="28"/>
  <c r="N174" i="28"/>
  <c r="M304" i="28"/>
  <c r="M123" i="28"/>
  <c r="N154" i="28"/>
  <c r="N393" i="28"/>
  <c r="N385" i="28"/>
  <c r="N460" i="28"/>
  <c r="M350" i="28"/>
  <c r="M596" i="28"/>
  <c r="N84" i="28"/>
  <c r="M2" i="28"/>
  <c r="N62" i="28"/>
  <c r="N78" i="28"/>
  <c r="M151" i="28"/>
  <c r="M571" i="28"/>
  <c r="M472" i="28"/>
  <c r="M272" i="28"/>
  <c r="M131" i="28"/>
  <c r="N185" i="28"/>
  <c r="N561" i="28"/>
  <c r="M547" i="28"/>
  <c r="M122" i="28"/>
  <c r="N125" i="28"/>
  <c r="M186" i="28"/>
  <c r="M21" i="28"/>
  <c r="N345" i="28"/>
  <c r="N573" i="28"/>
  <c r="M273" i="28"/>
  <c r="M427" i="28"/>
  <c r="N451" i="28"/>
  <c r="M90" i="28"/>
  <c r="N98" i="28"/>
  <c r="M406" i="28"/>
  <c r="M323" i="28"/>
  <c r="M499" i="28"/>
  <c r="N533" i="28"/>
  <c r="N468" i="28"/>
  <c r="N341" i="28"/>
  <c r="M517" i="28"/>
  <c r="M163" i="28"/>
  <c r="M485" i="28"/>
  <c r="N382" i="28"/>
  <c r="M66" i="28"/>
  <c r="N517" i="28"/>
  <c r="M12" i="28"/>
  <c r="M553" i="28"/>
  <c r="M497" i="28"/>
  <c r="N364" i="28"/>
  <c r="N103" i="28"/>
  <c r="N503" i="28"/>
  <c r="N298" i="28"/>
  <c r="N539" i="28"/>
  <c r="M221" i="28"/>
  <c r="N375" i="28"/>
  <c r="M64" i="28"/>
  <c r="N198" i="28"/>
  <c r="M252" i="28"/>
  <c r="M578" i="28"/>
  <c r="M392" i="28"/>
  <c r="N559" i="28"/>
  <c r="M332" i="28"/>
  <c r="N439" i="28"/>
  <c r="M165" i="28"/>
  <c r="M238" i="28"/>
  <c r="N184" i="28"/>
  <c r="N564" i="28"/>
  <c r="N130" i="28"/>
  <c r="M97" i="28"/>
  <c r="M390" i="28"/>
  <c r="M401" i="28"/>
  <c r="N114" i="28"/>
  <c r="N164" i="28"/>
  <c r="N595" i="28"/>
  <c r="M36" i="28"/>
  <c r="M72" i="28"/>
  <c r="N286" i="28"/>
  <c r="M300" i="28"/>
  <c r="N127" i="28"/>
  <c r="N213" i="28"/>
  <c r="N55" i="28"/>
  <c r="M520" i="28"/>
  <c r="M73" i="28"/>
  <c r="N181" i="28"/>
  <c r="M583" i="28"/>
  <c r="M129" i="28"/>
  <c r="M33" i="28"/>
  <c r="N586" i="28"/>
  <c r="M103" i="28"/>
  <c r="N442" i="28"/>
  <c r="N449" i="28"/>
  <c r="M418" i="28"/>
  <c r="N305" i="28"/>
  <c r="N235" i="28"/>
  <c r="N81" i="28"/>
  <c r="N351" i="28"/>
  <c r="M414" i="28"/>
  <c r="M396" i="28"/>
  <c r="N512" i="28"/>
  <c r="N256" i="28"/>
  <c r="M329" i="28"/>
  <c r="M422" i="28"/>
  <c r="M125" i="28"/>
  <c r="N433" i="28"/>
  <c r="N289" i="28"/>
  <c r="M442" i="28"/>
  <c r="M265" i="28"/>
  <c r="N206" i="28"/>
  <c r="M475" i="28"/>
  <c r="N311" i="28"/>
  <c r="N568" i="28"/>
  <c r="N387" i="28"/>
  <c r="M491" i="28"/>
  <c r="M185" i="28"/>
  <c r="N599" i="28"/>
  <c r="N171" i="28"/>
  <c r="N349" i="28"/>
  <c r="M249" i="28"/>
  <c r="N72" i="28"/>
  <c r="N446" i="28"/>
  <c r="N239" i="28"/>
  <c r="N107" i="28"/>
  <c r="N505" i="28"/>
  <c r="M484" i="28"/>
  <c r="M345" i="28"/>
  <c r="M88" i="28"/>
  <c r="M193" i="28"/>
  <c r="N441" i="28"/>
  <c r="N358" i="28"/>
  <c r="M139" i="28"/>
  <c r="N274" i="28"/>
  <c r="N372" i="28"/>
  <c r="M429" i="28"/>
  <c r="N541" i="28"/>
  <c r="M213" i="28"/>
  <c r="M384" i="28"/>
  <c r="N255" i="28"/>
  <c r="M544" i="28"/>
  <c r="N257" i="28"/>
  <c r="N450" i="28"/>
  <c r="M244" i="28"/>
  <c r="N108" i="28"/>
  <c r="M162" i="28"/>
  <c r="M74" i="28"/>
  <c r="N147" i="28"/>
  <c r="N175" i="28"/>
  <c r="M587" i="28"/>
  <c r="N448" i="28"/>
  <c r="M231" i="28"/>
  <c r="M362" i="28"/>
  <c r="M174" i="28"/>
  <c r="M334" i="28"/>
  <c r="M453" i="28"/>
  <c r="N327" i="28"/>
  <c r="M108" i="28"/>
  <c r="M318" i="28"/>
  <c r="M460" i="28"/>
  <c r="N535" i="28"/>
  <c r="N396" i="28"/>
  <c r="N473" i="28"/>
  <c r="M463" i="28"/>
  <c r="N508" i="28"/>
  <c r="M489" i="28"/>
  <c r="M560" i="28"/>
  <c r="N554" i="28"/>
  <c r="M49" i="28"/>
  <c r="N287" i="28"/>
  <c r="N168" i="28"/>
  <c r="N307" i="28"/>
  <c r="N212" i="28"/>
  <c r="N141" i="28"/>
  <c r="N332" i="28"/>
  <c r="N251" i="28"/>
  <c r="M146" i="28"/>
  <c r="M15" i="28"/>
  <c r="M369" i="28"/>
  <c r="M136" i="28"/>
  <c r="M24" i="28"/>
  <c r="N148" i="28"/>
  <c r="N506" i="28"/>
  <c r="N26" i="28"/>
  <c r="M296" i="28"/>
  <c r="M410" i="28"/>
  <c r="N110" i="28"/>
  <c r="M303" i="28"/>
  <c r="N96" i="28"/>
  <c r="N234" i="28"/>
  <c r="N553" i="28"/>
  <c r="N467" i="28"/>
  <c r="N563" i="28"/>
  <c r="M516" i="28"/>
  <c r="N79" i="28"/>
  <c r="N580" i="28"/>
  <c r="M248" i="28"/>
  <c r="N522" i="28"/>
  <c r="N412" i="28"/>
  <c r="M585" i="28"/>
  <c r="N58" i="28"/>
  <c r="M239" i="28"/>
  <c r="N245" i="28"/>
  <c r="N115" i="28"/>
  <c r="M254" i="28"/>
  <c r="M355" i="28"/>
  <c r="M331" i="28"/>
  <c r="M395" i="28"/>
  <c r="N527" i="28"/>
  <c r="N63" i="28"/>
  <c r="N336" i="28"/>
  <c r="N268" i="28"/>
  <c r="N218" i="28"/>
  <c r="N41" i="28"/>
  <c r="M167" i="28"/>
  <c r="N458" i="28"/>
  <c r="N420" i="28"/>
  <c r="M552" i="28"/>
  <c r="N247" i="28"/>
  <c r="M297" i="28"/>
  <c r="N237" i="28"/>
  <c r="M50" i="28"/>
  <c r="M195" i="28"/>
  <c r="N309" i="28"/>
  <c r="M228" i="28"/>
  <c r="M408" i="28"/>
  <c r="M503" i="28"/>
  <c r="M20" i="28"/>
  <c r="N279" i="28"/>
  <c r="N137" i="28"/>
  <c r="M251" i="28"/>
  <c r="N384" i="28"/>
  <c r="N119" i="28"/>
  <c r="N182" i="28"/>
  <c r="M533" i="28"/>
  <c r="N228" i="28"/>
  <c r="N172" i="28"/>
  <c r="N403" i="28"/>
  <c r="M38" i="28"/>
  <c r="M208" i="28"/>
  <c r="M582" i="28"/>
  <c r="N380" i="28"/>
  <c r="N10" i="28"/>
  <c r="N301" i="28"/>
  <c r="N480" i="28"/>
  <c r="M121" i="28"/>
  <c r="N538" i="28"/>
  <c r="M391" i="28"/>
  <c r="N318" i="28"/>
  <c r="N202" i="28"/>
  <c r="M26" i="28"/>
  <c r="N370" i="28"/>
  <c r="M237" i="28"/>
  <c r="N425" i="28"/>
  <c r="N335" i="28"/>
  <c r="M261" i="28"/>
  <c r="M337" i="28"/>
  <c r="N540" i="28"/>
  <c r="N542" i="28"/>
  <c r="M159" i="28"/>
  <c r="M588" i="28"/>
  <c r="M504" i="28"/>
  <c r="N529" i="28"/>
  <c r="M341" i="28"/>
  <c r="M493" i="28"/>
  <c r="M79" i="28"/>
  <c r="N129" i="28"/>
  <c r="M232" i="28"/>
  <c r="M150" i="28"/>
  <c r="N196" i="28"/>
  <c r="M279" i="28"/>
  <c r="M65" i="28"/>
  <c r="M364" i="28"/>
  <c r="M225" i="28"/>
  <c r="N484" i="28"/>
  <c r="M519" i="28"/>
  <c r="M92" i="28"/>
  <c r="M387" i="28"/>
  <c r="N424" i="28"/>
  <c r="N95" i="28"/>
  <c r="M7" i="28"/>
  <c r="N457" i="28"/>
  <c r="M25" i="28"/>
  <c r="N67" i="28"/>
  <c r="M156" i="28"/>
  <c r="M130" i="28"/>
  <c r="N116" i="28"/>
  <c r="N187" i="28"/>
  <c r="N246" i="28"/>
  <c r="M306" i="28"/>
  <c r="M23" i="28"/>
  <c r="M365" i="28"/>
  <c r="M567" i="28"/>
  <c r="M107" i="28"/>
  <c r="M328" i="28"/>
  <c r="N97" i="28"/>
  <c r="M149" i="28"/>
  <c r="N329" i="28"/>
  <c r="N37" i="28"/>
  <c r="N479" i="28"/>
  <c r="M212" i="28"/>
  <c r="N456" i="28"/>
  <c r="N510" i="28"/>
  <c r="M432" i="28"/>
  <c r="M233" i="28"/>
  <c r="N126" i="28"/>
  <c r="M545" i="28"/>
  <c r="N91" i="28"/>
  <c r="M469" i="28"/>
  <c r="N190" i="28"/>
  <c r="M106" i="28"/>
  <c r="M357" i="28"/>
  <c r="M192" i="28"/>
  <c r="M380" i="28"/>
  <c r="M595" i="28"/>
  <c r="N102" i="28"/>
  <c r="M161" i="28"/>
  <c r="N326" i="28"/>
  <c r="N18" i="28"/>
  <c r="M196" i="28"/>
  <c r="M537" i="28"/>
  <c r="M586" i="28"/>
  <c r="M562" i="28"/>
  <c r="N128" i="28"/>
  <c r="M498" i="28"/>
  <c r="M530" i="28"/>
  <c r="M19" i="28"/>
  <c r="M431" i="28"/>
  <c r="N536" i="28"/>
  <c r="M10" i="28"/>
  <c r="M216" i="28"/>
  <c r="M140" i="28"/>
  <c r="M205" i="28"/>
  <c r="N277" i="28"/>
  <c r="N502" i="28"/>
  <c r="N340" i="28"/>
  <c r="M437" i="28"/>
  <c r="M203" i="28"/>
  <c r="N44" i="28"/>
  <c r="N189" i="28"/>
  <c r="M201" i="28"/>
  <c r="M256" i="28"/>
  <c r="N407" i="28"/>
  <c r="M93" i="28"/>
  <c r="M127" i="28"/>
  <c r="N285" i="28"/>
  <c r="N281" i="28"/>
  <c r="N292" i="28"/>
  <c r="N547" i="28"/>
  <c r="N180" i="28"/>
  <c r="N323" i="28"/>
  <c r="N204" i="28"/>
  <c r="M298" i="28"/>
  <c r="M278" i="28"/>
  <c r="N498" i="28"/>
  <c r="M258" i="28"/>
  <c r="N199" i="28"/>
  <c r="N200" i="28"/>
  <c r="N146" i="28"/>
  <c r="M358" i="28"/>
  <c r="M143" i="28"/>
  <c r="N344" i="28"/>
  <c r="N87" i="28"/>
  <c r="M343" i="28"/>
  <c r="M413" i="28"/>
  <c r="N567" i="28"/>
  <c r="N525" i="28"/>
  <c r="M495" i="28"/>
  <c r="N363" i="28"/>
  <c r="N17" i="28"/>
  <c r="N489" i="28"/>
  <c r="M592" i="28"/>
  <c r="N61" i="28"/>
  <c r="N317" i="28"/>
  <c r="M486" i="28"/>
  <c r="M58" i="28"/>
  <c r="M385" i="28"/>
  <c r="M607" i="28"/>
  <c r="M573" i="28"/>
  <c r="N49" i="28"/>
  <c r="M420" i="28"/>
  <c r="N240" i="28"/>
  <c r="M449" i="28"/>
  <c r="N361" i="28"/>
  <c r="N534" i="28"/>
  <c r="N404" i="28"/>
  <c r="M164" i="28"/>
  <c r="N186" i="28"/>
  <c r="N194" i="28"/>
  <c r="M168" i="28"/>
  <c r="N16" i="28"/>
  <c r="M548" i="28"/>
  <c r="M421" i="28"/>
  <c r="N104" i="28"/>
  <c r="M9" i="28"/>
  <c r="M501" i="28"/>
  <c r="M11" i="28"/>
  <c r="N222" i="28"/>
  <c r="M180" i="28"/>
  <c r="N355" i="28"/>
  <c r="N390" i="28"/>
  <c r="M34" i="28"/>
  <c r="M441" i="28"/>
  <c r="M564" i="28"/>
  <c r="M605" i="28"/>
  <c r="N216" i="28"/>
  <c r="N299" i="28"/>
  <c r="N53" i="28"/>
  <c r="M234" i="28"/>
  <c r="N461" i="28"/>
  <c r="N453" i="28"/>
  <c r="M320" i="28"/>
  <c r="M521" i="28"/>
  <c r="M404" i="28"/>
  <c r="N142" i="28"/>
  <c r="N491" i="28"/>
  <c r="M466" i="28"/>
  <c r="N583" i="28"/>
  <c r="M220" i="28"/>
  <c r="N217" i="28"/>
  <c r="M376" i="28"/>
  <c r="N401" i="28"/>
  <c r="N27" i="28"/>
  <c r="M277" i="28"/>
  <c r="M302" i="28"/>
  <c r="N560" i="28"/>
  <c r="M8" i="28"/>
  <c r="N238" i="28"/>
  <c r="M584" i="28"/>
  <c r="N544" i="28"/>
  <c r="M46" i="28"/>
  <c r="N414" i="28"/>
  <c r="N191" i="28"/>
  <c r="N80" i="28"/>
  <c r="N432" i="28"/>
  <c r="M47" i="28"/>
  <c r="N105" i="28"/>
  <c r="M409" i="28"/>
  <c r="N14" i="28"/>
  <c r="M68" i="28"/>
  <c r="M255" i="28"/>
  <c r="N431" i="28"/>
  <c r="M444" i="28"/>
  <c r="M314" i="28"/>
  <c r="N270" i="28"/>
  <c r="M290" i="28"/>
  <c r="N224" i="28"/>
  <c r="N530" i="28"/>
  <c r="N324" i="28"/>
  <c r="M557" i="28"/>
  <c r="M577" i="28"/>
  <c r="M458" i="28"/>
  <c r="N252" i="28"/>
  <c r="N259" i="28"/>
  <c r="M71" i="28"/>
  <c r="M263" i="28"/>
  <c r="N605" i="28"/>
  <c r="N124" i="28"/>
  <c r="N416" i="28"/>
  <c r="M217" i="28"/>
  <c r="M56" i="28"/>
  <c r="N333" i="28"/>
  <c r="N434" i="28"/>
  <c r="N319" i="28"/>
  <c r="M28" i="28"/>
  <c r="N389" i="28"/>
  <c r="N475" i="28"/>
  <c r="N197" i="28"/>
  <c r="N576" i="28"/>
  <c r="M31" i="28"/>
  <c r="M188" i="28"/>
  <c r="N325" i="28"/>
  <c r="M132" i="28"/>
  <c r="M101" i="28"/>
  <c r="N178" i="28"/>
  <c r="N557" i="28"/>
  <c r="N575" i="28"/>
  <c r="M534" i="28"/>
  <c r="M579" i="28"/>
  <c r="M206" i="28"/>
  <c r="N28" i="28"/>
  <c r="M532" i="28"/>
  <c r="N214" i="28"/>
  <c r="M191" i="28"/>
  <c r="M18" i="28"/>
  <c r="M189" i="28"/>
  <c r="M407" i="28"/>
  <c r="N597" i="28"/>
  <c r="N606" i="28"/>
  <c r="M266" i="28"/>
  <c r="N261" i="28"/>
  <c r="N2" i="28"/>
  <c r="N36" i="28"/>
  <c r="N89" i="28"/>
  <c r="M455" i="28"/>
  <c r="N106" i="28"/>
  <c r="N501" i="28"/>
  <c r="M128" i="28"/>
  <c r="N250" i="28"/>
  <c r="M509" i="28"/>
  <c r="M535" i="28"/>
  <c r="N523" i="28"/>
  <c r="M346" i="28"/>
  <c r="N74" i="28"/>
  <c r="M70" i="28"/>
  <c r="N587" i="28"/>
  <c r="N592" i="28"/>
  <c r="N267" i="28"/>
  <c r="M280" i="28"/>
  <c r="M268" i="28"/>
  <c r="M287" i="28"/>
  <c r="M37" i="28"/>
  <c r="N210" i="28"/>
  <c r="M575" i="28"/>
  <c r="N373" i="28"/>
  <c r="M476" i="28"/>
  <c r="M428" i="28"/>
  <c r="N282" i="28"/>
  <c r="N405" i="28"/>
  <c r="M433" i="28"/>
  <c r="M426" i="28"/>
  <c r="M356" i="28"/>
  <c r="M42" i="28"/>
  <c r="M166" i="28"/>
  <c r="N297" i="28"/>
  <c r="N283" i="28"/>
  <c r="N569" i="28"/>
  <c r="M109" i="28"/>
  <c r="M589" i="28"/>
  <c r="M373" i="28"/>
  <c r="M383" i="28"/>
  <c r="M543" i="28"/>
  <c r="M172" i="28"/>
  <c r="N400" i="28"/>
  <c r="M313" i="28"/>
  <c r="M62" i="28"/>
  <c r="M435" i="28"/>
  <c r="N546" i="28"/>
  <c r="N537" i="28"/>
  <c r="M271" i="28"/>
  <c r="M316" i="28"/>
  <c r="M102" i="28"/>
  <c r="N447" i="28"/>
  <c r="M89" i="28"/>
  <c r="N122" i="28"/>
  <c r="N464" i="28"/>
  <c r="N295" i="28"/>
  <c r="N266" i="28"/>
  <c r="M470" i="28"/>
  <c r="M211" i="28"/>
  <c r="M321" i="28"/>
  <c r="M270" i="28"/>
  <c r="M80" i="28"/>
  <c r="M218" i="28"/>
  <c r="N313" i="28"/>
  <c r="N300" i="28"/>
  <c r="M187" i="28"/>
  <c r="N156" i="28"/>
  <c r="N280" i="28"/>
  <c r="M176" i="28"/>
  <c r="N167" i="28"/>
  <c r="N601" i="28"/>
  <c r="M5" i="28"/>
  <c r="M116" i="28"/>
  <c r="M144" i="28"/>
  <c r="N486" i="28"/>
  <c r="M269" i="28"/>
  <c r="M606" i="28"/>
  <c r="N308" i="28"/>
  <c r="N65" i="28"/>
  <c r="M305" i="28"/>
  <c r="M142" i="28"/>
  <c r="M403" i="28"/>
  <c r="N100" i="28"/>
  <c r="N369" i="28"/>
  <c r="N423" i="28"/>
  <c r="N374" i="28"/>
  <c r="N111" i="28"/>
  <c r="M342" i="28"/>
  <c r="N201" i="28"/>
  <c r="M550" i="28"/>
  <c r="N134" i="28"/>
  <c r="N92" i="28"/>
  <c r="M439" i="28"/>
  <c r="M599" i="28"/>
  <c r="N566" i="28"/>
  <c r="M434" i="28"/>
  <c r="M366" i="28"/>
  <c r="N339" i="28"/>
  <c r="N322" i="28"/>
  <c r="N504" i="28"/>
  <c r="M54" i="28"/>
  <c r="M112" i="28"/>
  <c r="N144" i="28"/>
  <c r="N337" i="28"/>
  <c r="M209" i="28"/>
  <c r="N419" i="28"/>
  <c r="N39" i="28"/>
  <c r="N29" i="28"/>
  <c r="N509" i="28"/>
  <c r="N428" i="28"/>
  <c r="M229" i="28"/>
  <c r="N481" i="28"/>
  <c r="N22" i="28"/>
  <c r="M523" i="28"/>
  <c r="N262" i="28"/>
  <c r="M257" i="28"/>
  <c r="M549" i="28"/>
  <c r="M518" i="28"/>
  <c r="N32" i="28"/>
  <c r="M59" i="28"/>
  <c r="M440" i="28"/>
  <c r="M505" i="28"/>
  <c r="M540" i="28"/>
  <c r="N494" i="28"/>
  <c r="N399" i="28"/>
  <c r="M565" i="28"/>
  <c r="N136" i="28"/>
  <c r="M447" i="28"/>
  <c r="N131" i="28"/>
  <c r="M335" i="28"/>
  <c r="N356" i="28"/>
  <c r="M507" i="28"/>
  <c r="M78" i="28"/>
  <c r="M199" i="28"/>
  <c r="N579" i="28"/>
  <c r="N260" i="28"/>
  <c r="N150" i="28"/>
  <c r="N331" i="28"/>
  <c r="M508" i="28"/>
  <c r="N357" i="28"/>
  <c r="M312" i="28"/>
  <c r="M215" i="28"/>
  <c r="N135" i="28"/>
  <c r="M378" i="28"/>
  <c r="N73" i="28"/>
  <c r="M478" i="28"/>
  <c r="N353" i="28"/>
  <c r="N379" i="28"/>
  <c r="N170" i="28"/>
  <c r="N386" i="28"/>
  <c r="M245" i="28"/>
  <c r="N463" i="28"/>
  <c r="N12" i="28"/>
  <c r="N588" i="28"/>
  <c r="N35" i="28"/>
  <c r="N19" i="28"/>
  <c r="N83" i="28"/>
  <c r="M236" i="28"/>
  <c r="N165" i="28"/>
  <c r="N47" i="28"/>
  <c r="M292" i="28"/>
  <c r="N314" i="28"/>
  <c r="N365" i="28"/>
  <c r="N511" i="28"/>
  <c r="N383" i="28"/>
  <c r="M459" i="28"/>
  <c r="N398" i="28"/>
  <c r="M457" i="28"/>
  <c r="N316" i="28"/>
  <c r="M32" i="28"/>
  <c r="N3" i="28"/>
  <c r="M99" i="28"/>
  <c r="M110" i="28"/>
  <c r="M405" i="28"/>
  <c r="N241" i="28"/>
  <c r="N13" i="28"/>
  <c r="M43" i="28"/>
  <c r="M576" i="28"/>
  <c r="M542" i="28"/>
  <c r="N499" i="28"/>
  <c r="M181" i="28"/>
  <c r="M117" i="28"/>
  <c r="N436" i="28"/>
  <c r="M119" i="28"/>
  <c r="N585" i="28"/>
  <c r="N192" i="28"/>
  <c r="N483" i="28"/>
  <c r="N445" i="28"/>
  <c r="N159" i="28"/>
  <c r="N231" i="28"/>
  <c r="M416" i="28"/>
  <c r="N524" i="28"/>
  <c r="N60" i="28"/>
  <c r="M474" i="28"/>
  <c r="N179" i="28"/>
  <c r="N430" i="28"/>
  <c r="M295" i="28"/>
  <c r="N519" i="28"/>
  <c r="N233" i="28"/>
  <c r="N328" i="28"/>
  <c r="N411" i="28"/>
  <c r="M388" i="28"/>
  <c r="M85" i="28"/>
  <c r="M171" i="28"/>
  <c r="N338" i="28"/>
  <c r="M170" i="28"/>
  <c r="M531" i="28"/>
  <c r="M175" i="28"/>
  <c r="N275" i="28"/>
  <c r="M182" i="28"/>
  <c r="M243" i="28"/>
  <c r="M194" i="28"/>
  <c r="N321" i="28"/>
  <c r="M465" i="28"/>
  <c r="M207" i="28"/>
  <c r="M6" i="28"/>
  <c r="N24" i="28"/>
  <c r="N8" i="28"/>
  <c r="M291" i="28"/>
  <c r="M242" i="28"/>
  <c r="M451" i="28"/>
  <c r="N230" i="28"/>
  <c r="M301" i="28"/>
  <c r="M82" i="28"/>
  <c r="N462" i="28"/>
  <c r="N48" i="28"/>
  <c r="M569" i="28"/>
  <c r="N271" i="28"/>
  <c r="M399" i="28"/>
  <c r="N342" i="28"/>
  <c r="M604" i="28"/>
  <c r="N552" i="28"/>
  <c r="N368" i="28"/>
  <c r="M155" i="28"/>
  <c r="M60" i="28"/>
  <c r="M138" i="28"/>
  <c r="M84" i="28"/>
  <c r="N376" i="28"/>
  <c r="M430" i="28"/>
  <c r="M281" i="28"/>
  <c r="M75" i="28"/>
  <c r="M154" i="28"/>
  <c r="M490" i="28"/>
  <c r="M17" i="28"/>
  <c r="M506" i="28"/>
  <c r="M202" i="28"/>
  <c r="W5" i="28" l="1"/>
  <c r="D39" i="9"/>
  <c r="W66" i="28"/>
  <c r="D38" i="9"/>
  <c r="W68" i="28"/>
  <c r="D37" i="9"/>
  <c r="Q2" i="27"/>
  <c r="U2" i="27" s="1"/>
  <c r="Z2" i="27"/>
  <c r="AA2" i="27" s="1"/>
  <c r="R4" i="8"/>
  <c r="C39" i="9" s="1"/>
  <c r="AA109" i="28"/>
  <c r="Q109" i="28" s="1"/>
  <c r="AA607" i="28"/>
  <c r="R607" i="28" s="1"/>
  <c r="Z287" i="28"/>
  <c r="AA287" i="28" s="1"/>
  <c r="Z224" i="28"/>
  <c r="AA224" i="28" s="1"/>
  <c r="Z283" i="28"/>
  <c r="AA283" i="28" s="1"/>
  <c r="Z71" i="28"/>
  <c r="AA71" i="28" s="1"/>
  <c r="Z334" i="28"/>
  <c r="AA334" i="28" s="1"/>
  <c r="Z54" i="28"/>
  <c r="AA54" i="28" s="1"/>
  <c r="AA255" i="28"/>
  <c r="Q255" i="28" s="1"/>
  <c r="AA181" i="28"/>
  <c r="Q181" i="28" s="1"/>
  <c r="Z592" i="28"/>
  <c r="AA592" i="28" s="1"/>
  <c r="AA536" i="28"/>
  <c r="R536" i="28" s="1"/>
  <c r="AA120" i="28"/>
  <c r="AA496" i="28"/>
  <c r="AA22" i="28"/>
  <c r="AA230" i="28"/>
  <c r="AA449" i="28"/>
  <c r="P449" i="28" s="1"/>
  <c r="AA167" i="28"/>
  <c r="C56" i="9"/>
  <c r="AA128" i="28"/>
  <c r="Q128" i="28" s="1"/>
  <c r="AA447" i="28"/>
  <c r="Z8" i="27"/>
  <c r="Z37" i="27"/>
  <c r="Z25" i="27"/>
  <c r="Z29" i="27"/>
  <c r="Z7" i="27"/>
  <c r="Z15" i="27"/>
  <c r="Z38" i="27"/>
  <c r="Z12" i="27"/>
  <c r="Z31" i="27"/>
  <c r="Z34" i="27"/>
  <c r="Z6" i="27"/>
  <c r="Z20" i="27"/>
  <c r="Z21" i="27"/>
  <c r="Z10" i="27"/>
  <c r="Z23" i="27"/>
  <c r="Z5" i="27"/>
  <c r="Z36" i="27"/>
  <c r="Z28" i="27"/>
  <c r="Z17" i="27"/>
  <c r="Z4" i="27"/>
  <c r="Z16" i="27"/>
  <c r="Z32" i="27"/>
  <c r="Z39" i="27"/>
  <c r="Z24" i="27"/>
  <c r="Z3" i="27"/>
  <c r="Z18" i="27"/>
  <c r="Z30" i="27"/>
  <c r="Z26" i="27"/>
  <c r="Z13" i="27"/>
  <c r="Z19" i="27"/>
  <c r="Z11" i="27"/>
  <c r="Z27" i="27"/>
  <c r="Z33" i="27"/>
  <c r="Z14" i="27"/>
  <c r="Z22" i="27"/>
  <c r="Z9" i="27"/>
  <c r="Z35" i="27"/>
  <c r="AA117" i="28"/>
  <c r="AA354" i="28"/>
  <c r="AA353" i="28"/>
  <c r="AA254" i="28"/>
  <c r="AA264" i="28"/>
  <c r="AA94" i="28"/>
  <c r="AA242" i="28"/>
  <c r="AA582" i="28"/>
  <c r="AA250" i="28"/>
  <c r="AA37" i="28"/>
  <c r="AA247" i="28"/>
  <c r="AA212" i="28"/>
  <c r="AB24" i="25"/>
  <c r="AA252" i="28"/>
  <c r="AA175" i="28"/>
  <c r="AA312" i="28"/>
  <c r="AA548" i="28"/>
  <c r="AA408" i="28"/>
  <c r="AA182" i="28"/>
  <c r="AA586" i="28"/>
  <c r="P4" i="7"/>
  <c r="Q4" i="7" s="1"/>
  <c r="AA11" i="28"/>
  <c r="AA248" i="28"/>
  <c r="AA39" i="28"/>
  <c r="AA219" i="28"/>
  <c r="AA51" i="28"/>
  <c r="AA412" i="28"/>
  <c r="AA429" i="28"/>
  <c r="AA590" i="28"/>
  <c r="AA18" i="28"/>
  <c r="AA357" i="28"/>
  <c r="AA198" i="28"/>
  <c r="AA58" i="28"/>
  <c r="AA388" i="28"/>
  <c r="AA119" i="28"/>
  <c r="AA559" i="28"/>
  <c r="AA547" i="28"/>
  <c r="AA10" i="28"/>
  <c r="AA367" i="28"/>
  <c r="AA215" i="28"/>
  <c r="AA306" i="28"/>
  <c r="AA135" i="28"/>
  <c r="AD24" i="25"/>
  <c r="AE30" i="25"/>
  <c r="AA23" i="28"/>
  <c r="AA140" i="28"/>
  <c r="AA30" i="28"/>
  <c r="AA363" i="28"/>
  <c r="AA59" i="28"/>
  <c r="AA318" i="28"/>
  <c r="AA104" i="28"/>
  <c r="AA543" i="28"/>
  <c r="AA211" i="28"/>
  <c r="AA525" i="28"/>
  <c r="AA570" i="28"/>
  <c r="AA523" i="28"/>
  <c r="AA281" i="28"/>
  <c r="AA375" i="28"/>
  <c r="AA593" i="28"/>
  <c r="AA268" i="28"/>
  <c r="AA340" i="28"/>
  <c r="AA541" i="28"/>
  <c r="AA510" i="28"/>
  <c r="AA321" i="28"/>
  <c r="AA358" i="28"/>
  <c r="AA382" i="28"/>
  <c r="AA239" i="28"/>
  <c r="S4" i="7"/>
  <c r="C38" i="9" s="1"/>
  <c r="AA100" i="28"/>
  <c r="AA136" i="28"/>
  <c r="AA262" i="28"/>
  <c r="AA335" i="28"/>
  <c r="AA555" i="28"/>
  <c r="AA14" i="28"/>
  <c r="AD30" i="25"/>
  <c r="AA24" i="25"/>
  <c r="AE24" i="25"/>
  <c r="D4" i="7"/>
  <c r="D14" i="9" s="1"/>
  <c r="E14" i="9" s="1"/>
  <c r="C37" i="9"/>
  <c r="AA515" i="28"/>
  <c r="AA444" i="28"/>
  <c r="AA223" i="28"/>
  <c r="AA368" i="28"/>
  <c r="AA63" i="28"/>
  <c r="AA329" i="28"/>
  <c r="AA467" i="28"/>
  <c r="AA561" i="28"/>
  <c r="AA480" i="28"/>
  <c r="AA446" i="28"/>
  <c r="AA190" i="28"/>
  <c r="AA138" i="28"/>
  <c r="AA370" i="28"/>
  <c r="AA186" i="28"/>
  <c r="AA16" i="28"/>
  <c r="AA12" i="28"/>
  <c r="AA448" i="28"/>
  <c r="AA261" i="28"/>
  <c r="AA173" i="28"/>
  <c r="AA66" i="28"/>
  <c r="AA398" i="28"/>
  <c r="AA8" i="28"/>
  <c r="AA485" i="28"/>
  <c r="AA57" i="28"/>
  <c r="AA430" i="28"/>
  <c r="AA469" i="28"/>
  <c r="AA84" i="28"/>
  <c r="AA327" i="28"/>
  <c r="AA277" i="28"/>
  <c r="AA563" i="28"/>
  <c r="AA414" i="28"/>
  <c r="AA463" i="28"/>
  <c r="AA574" i="28"/>
  <c r="AA428" i="28"/>
  <c r="AA159" i="28"/>
  <c r="AA445" i="28"/>
  <c r="AA288" i="28"/>
  <c r="AA229" i="28"/>
  <c r="AA145" i="28"/>
  <c r="AA245" i="28"/>
  <c r="AA495" i="28"/>
  <c r="AA443" i="28"/>
  <c r="AA552" i="28"/>
  <c r="AA519" i="28"/>
  <c r="AA518" i="28"/>
  <c r="AA418" i="28"/>
  <c r="AA103" i="28"/>
  <c r="AA200" i="28"/>
  <c r="AA70" i="28"/>
  <c r="AA106" i="28"/>
  <c r="AA404" i="28"/>
  <c r="AA365" i="28"/>
  <c r="AA237" i="28"/>
  <c r="AA516" i="28"/>
  <c r="AA528" i="28"/>
  <c r="AA207" i="28"/>
  <c r="AA279" i="28"/>
  <c r="AA355" i="28"/>
  <c r="AA4" i="28"/>
  <c r="AA108" i="28"/>
  <c r="AA407" i="28"/>
  <c r="AA482" i="28"/>
  <c r="AA187" i="28"/>
  <c r="AA326" i="28"/>
  <c r="S4" i="8"/>
  <c r="D33" i="9" s="1"/>
  <c r="E33" i="9" s="1"/>
  <c r="AA374" i="28"/>
  <c r="AA426" i="28"/>
  <c r="AA597" i="28"/>
  <c r="AA19" i="28"/>
  <c r="AA546" i="28"/>
  <c r="AA336" i="28"/>
  <c r="AA131" i="28"/>
  <c r="AA6" i="28"/>
  <c r="AA285" i="28"/>
  <c r="AA141" i="28"/>
  <c r="AA369" i="28"/>
  <c r="AA191" i="28"/>
  <c r="AA384" i="28"/>
  <c r="AA55" i="28"/>
  <c r="AA603" i="28"/>
  <c r="AA73" i="28"/>
  <c r="AA233" i="28"/>
  <c r="AA440" i="28"/>
  <c r="AA301" i="28"/>
  <c r="AA576" i="28"/>
  <c r="AA206" i="28"/>
  <c r="AA454" i="28"/>
  <c r="AA419" i="28"/>
  <c r="AA189" i="28"/>
  <c r="AA476" i="28"/>
  <c r="AA502" i="28"/>
  <c r="AA600" i="28"/>
  <c r="AA475" i="28"/>
  <c r="AA87" i="28"/>
  <c r="AA202" i="28"/>
  <c r="AA539" i="28"/>
  <c r="AA533" i="28"/>
  <c r="AA393" i="28"/>
  <c r="AA573" i="28"/>
  <c r="AA311" i="28"/>
  <c r="AA90" i="28"/>
  <c r="T4" i="7"/>
  <c r="D32" i="9" s="1"/>
  <c r="E32" i="9" s="1"/>
  <c r="AA308" i="28"/>
  <c r="AA78" i="28"/>
  <c r="AA25" i="28"/>
  <c r="AA205" i="28"/>
  <c r="AA275" i="28"/>
  <c r="AA96" i="28"/>
  <c r="Q28" i="27"/>
  <c r="F4" i="7"/>
  <c r="H4" i="7" s="1"/>
  <c r="AA450" i="28"/>
  <c r="Q31" i="27"/>
  <c r="F11" i="7"/>
  <c r="H11" i="7" s="1"/>
  <c r="D4" i="8"/>
  <c r="D15" i="9" s="1"/>
  <c r="E15" i="9" s="1"/>
  <c r="Q37" i="27"/>
  <c r="Q29" i="27"/>
  <c r="Q38" i="27"/>
  <c r="F4" i="8"/>
  <c r="H4" i="8" s="1"/>
  <c r="Q34" i="27"/>
  <c r="Q30" i="27"/>
  <c r="Q36" i="27"/>
  <c r="D11" i="7"/>
  <c r="Q32" i="27"/>
  <c r="Q39" i="27"/>
  <c r="Q33" i="27"/>
  <c r="Q35" i="27"/>
  <c r="AA373" i="28"/>
  <c r="AA214" i="28"/>
  <c r="AA598" i="28"/>
  <c r="AA65" i="28"/>
  <c r="AA330" i="28"/>
  <c r="AA432" i="28"/>
  <c r="AA156" i="28"/>
  <c r="AA494" i="28"/>
  <c r="AA162" i="28"/>
  <c r="AA391" i="28"/>
  <c r="AA472" i="28"/>
  <c r="AA112" i="28"/>
  <c r="AA509" i="28"/>
  <c r="AA568" i="28"/>
  <c r="AA184" i="28"/>
  <c r="AA433" i="28"/>
  <c r="AA290" i="28"/>
  <c r="AA477" i="28"/>
  <c r="AA298" i="28"/>
  <c r="AA132" i="28"/>
  <c r="AA49" i="28"/>
  <c r="AA204" i="28"/>
  <c r="AA62" i="28"/>
  <c r="AA13" i="28"/>
  <c r="AA322" i="28"/>
  <c r="AA267" i="28"/>
  <c r="AA153" i="28"/>
  <c r="AA226" i="28"/>
  <c r="AA270" i="28"/>
  <c r="AA44" i="28"/>
  <c r="AA317" i="28"/>
  <c r="AA310" i="28"/>
  <c r="AA220" i="28"/>
  <c r="AA551" i="28"/>
  <c r="AA366" i="28"/>
  <c r="AA303" i="28"/>
  <c r="AA556" i="28"/>
  <c r="AA442" i="28"/>
  <c r="AA328" i="28"/>
  <c r="AA346" i="28"/>
  <c r="AA417" i="28"/>
  <c r="AA423" i="28"/>
  <c r="AA411" i="28"/>
  <c r="AA292" i="28"/>
  <c r="AA314" i="28"/>
  <c r="AA427" i="28"/>
  <c r="AA47" i="28"/>
  <c r="AA377" i="28"/>
  <c r="AA203" i="28"/>
  <c r="AA527" i="28"/>
  <c r="AA95" i="28"/>
  <c r="AA88" i="28"/>
  <c r="AA98" i="28"/>
  <c r="AA52" i="28"/>
  <c r="AA320" i="28"/>
  <c r="AA280" i="28"/>
  <c r="AA540" i="28"/>
  <c r="AA257" i="28"/>
  <c r="AA596" i="28"/>
  <c r="AA194" i="28"/>
  <c r="AA17" i="28"/>
  <c r="AA406" i="28"/>
  <c r="AA564" i="28"/>
  <c r="AA3" i="28"/>
  <c r="AA352" i="28"/>
  <c r="AA349" i="28"/>
  <c r="AA176" i="28"/>
  <c r="AA532" i="28"/>
  <c r="AA498" i="28"/>
  <c r="AA457" i="28"/>
  <c r="AA397" i="28"/>
  <c r="AA41" i="28"/>
  <c r="AA389" i="28"/>
  <c r="AA409" i="28"/>
  <c r="AA381" i="28"/>
  <c r="AA606" i="28"/>
  <c r="AA466" i="28"/>
  <c r="AA557" i="28"/>
  <c r="AA378" i="28"/>
  <c r="AA307" i="28"/>
  <c r="AA601" i="28"/>
  <c r="AA608" i="28"/>
  <c r="AA86" i="28"/>
  <c r="AA504" i="28"/>
  <c r="AA272" i="28"/>
  <c r="AA362" i="28"/>
  <c r="AA166" i="28"/>
  <c r="AA569" i="28"/>
  <c r="AA251" i="28"/>
  <c r="AA296" i="28"/>
  <c r="AA338" i="28"/>
  <c r="AA15" i="28"/>
  <c r="AA64" i="28"/>
  <c r="AA464" i="28"/>
  <c r="AA143" i="28"/>
  <c r="AA492" i="28"/>
  <c r="AA580" i="28"/>
  <c r="AA566" i="28"/>
  <c r="AA31" i="28"/>
  <c r="AA126" i="28"/>
  <c r="AA83" i="28"/>
  <c r="Q21" i="27"/>
  <c r="AA177" i="28"/>
  <c r="Q17" i="27"/>
  <c r="AA395" i="28"/>
  <c r="AA29" i="28"/>
  <c r="AA291" i="28"/>
  <c r="AA437" i="28"/>
  <c r="Q19" i="27"/>
  <c r="AA413" i="28"/>
  <c r="AA319" i="28"/>
  <c r="AA168" i="28"/>
  <c r="AA508" i="28"/>
  <c r="AA107" i="28"/>
  <c r="AA572" i="28"/>
  <c r="AA34" i="28"/>
  <c r="AA410" i="28"/>
  <c r="AA218" i="28"/>
  <c r="Q23" i="27"/>
  <c r="AA323" i="28"/>
  <c r="AA371" i="28"/>
  <c r="AA183" i="28"/>
  <c r="AA434" i="28"/>
  <c r="AA309" i="28"/>
  <c r="AA9" i="28"/>
  <c r="AA155" i="28"/>
  <c r="AA337" i="28"/>
  <c r="AA217" i="28"/>
  <c r="AA522" i="28"/>
  <c r="AA325" i="28"/>
  <c r="AA121" i="28"/>
  <c r="AA269" i="28"/>
  <c r="AA199" i="28"/>
  <c r="AA216" i="28"/>
  <c r="AA244" i="28"/>
  <c r="AA61" i="28"/>
  <c r="AA465" i="28"/>
  <c r="AA163" i="28"/>
  <c r="Q10" i="27"/>
  <c r="AA101" i="28"/>
  <c r="AA524" i="28"/>
  <c r="Q20" i="27"/>
  <c r="AA456" i="28"/>
  <c r="AA422" i="28"/>
  <c r="AA48" i="28"/>
  <c r="AA185" i="28"/>
  <c r="AA45" i="28"/>
  <c r="AA567" i="28"/>
  <c r="AA553" i="28"/>
  <c r="AA170" i="28"/>
  <c r="AA479" i="28"/>
  <c r="AA562" i="28"/>
  <c r="AA591" i="28"/>
  <c r="AA293" i="28"/>
  <c r="AA490" i="28"/>
  <c r="AA549" i="28"/>
  <c r="AA394" i="28"/>
  <c r="AA231" i="28"/>
  <c r="AA40" i="28"/>
  <c r="AA201" i="28"/>
  <c r="AA387" i="28"/>
  <c r="AA102" i="28"/>
  <c r="AA453" i="28"/>
  <c r="AA379" i="28"/>
  <c r="AA460" i="28"/>
  <c r="AA350" i="28"/>
  <c r="AA497" i="28"/>
  <c r="AA195" i="28"/>
  <c r="AA134" i="28"/>
  <c r="Q14" i="27"/>
  <c r="AA152" i="28"/>
  <c r="AA473" i="28"/>
  <c r="AA60" i="28"/>
  <c r="AA114" i="28"/>
  <c r="AA149" i="28"/>
  <c r="AA32" i="28"/>
  <c r="AA93" i="28"/>
  <c r="AA452" i="28"/>
  <c r="AA511" i="28"/>
  <c r="AA197" i="28"/>
  <c r="AA474" i="28"/>
  <c r="AA488" i="28"/>
  <c r="AA315" i="28"/>
  <c r="AA372" i="28"/>
  <c r="AA157" i="28"/>
  <c r="AA266" i="28"/>
  <c r="AA385" i="28"/>
  <c r="AA192" i="28"/>
  <c r="AA127" i="28"/>
  <c r="AA24" i="28"/>
  <c r="AA180" i="28"/>
  <c r="AA376" i="28"/>
  <c r="AA129" i="28"/>
  <c r="AA147" i="28"/>
  <c r="AA344" i="28"/>
  <c r="AA295" i="28"/>
  <c r="AA421" i="28"/>
  <c r="AA124" i="28"/>
  <c r="AA503" i="28"/>
  <c r="AA253" i="28"/>
  <c r="AA38" i="28"/>
  <c r="AA241" i="28"/>
  <c r="AA74" i="28"/>
  <c r="AA478" i="28"/>
  <c r="AA300" i="28"/>
  <c r="AA420" i="28"/>
  <c r="AA380" i="28"/>
  <c r="Q5" i="27"/>
  <c r="AA179" i="28"/>
  <c r="AA305" i="28"/>
  <c r="Q9" i="27"/>
  <c r="AA513" i="28"/>
  <c r="AA222" i="28"/>
  <c r="AA289" i="28"/>
  <c r="AA26" i="28"/>
  <c r="AA69" i="28"/>
  <c r="AA105" i="28"/>
  <c r="AA341" i="28"/>
  <c r="AA174" i="28"/>
  <c r="AA43" i="28"/>
  <c r="AA259" i="28"/>
  <c r="AA42" i="28"/>
  <c r="AA468" i="28"/>
  <c r="AA538" i="28"/>
  <c r="AA258" i="28"/>
  <c r="AA416" i="28"/>
  <c r="AA577" i="28"/>
  <c r="AA276" i="28"/>
  <c r="AA558" i="28"/>
  <c r="AA521" i="28"/>
  <c r="AA150" i="28"/>
  <c r="AA56" i="28"/>
  <c r="AA401" i="28"/>
  <c r="AA461" i="28"/>
  <c r="Q3" i="27"/>
  <c r="AA364" i="28"/>
  <c r="AA282" i="28"/>
  <c r="AA67" i="28"/>
  <c r="AA297" i="28"/>
  <c r="AA28" i="28"/>
  <c r="AA304" i="28"/>
  <c r="AA221" i="28"/>
  <c r="AA431" i="28"/>
  <c r="AA154" i="28"/>
  <c r="AA246" i="28"/>
  <c r="AA578" i="28"/>
  <c r="AA299" i="28"/>
  <c r="AA471" i="28"/>
  <c r="AA196" i="28"/>
  <c r="AA348" i="28"/>
  <c r="AA383" i="28"/>
  <c r="AA526" i="28"/>
  <c r="AA347" i="28"/>
  <c r="AA491" i="28"/>
  <c r="AA5" i="28"/>
  <c r="AA2" i="28"/>
  <c r="AA21" i="28"/>
  <c r="AA273" i="28"/>
  <c r="AA236" i="28"/>
  <c r="AA386" i="28"/>
  <c r="Q4" i="27"/>
  <c r="AA122" i="28"/>
  <c r="AA339" i="28"/>
  <c r="AA123" i="28"/>
  <c r="AA484" i="28"/>
  <c r="AA89" i="28"/>
  <c r="AA392" i="28"/>
  <c r="AA92" i="28"/>
  <c r="AA234" i="28"/>
  <c r="AA451" i="28"/>
  <c r="AA238" i="28"/>
  <c r="AA544" i="28"/>
  <c r="AA256" i="28"/>
  <c r="AA20" i="28"/>
  <c r="AA225" i="28"/>
  <c r="AA284" i="28"/>
  <c r="AA232" i="28"/>
  <c r="AA587" i="28"/>
  <c r="AA116" i="28"/>
  <c r="AA125" i="28"/>
  <c r="AA537" i="28"/>
  <c r="AA436" i="28"/>
  <c r="AA342" i="28"/>
  <c r="AA165" i="28"/>
  <c r="AA160" i="28"/>
  <c r="AA161" i="28"/>
  <c r="AA46" i="28"/>
  <c r="AA579" i="28"/>
  <c r="AA455" i="28"/>
  <c r="AA332" i="28"/>
  <c r="AA213" i="28"/>
  <c r="Q24" i="27"/>
  <c r="AA146" i="28"/>
  <c r="Q16" i="27"/>
  <c r="AA302" i="28"/>
  <c r="AA589" i="28"/>
  <c r="AA441" i="28"/>
  <c r="AA545" i="28"/>
  <c r="AA599" i="28"/>
  <c r="AA148" i="28"/>
  <c r="AA535" i="28"/>
  <c r="AA438" i="28"/>
  <c r="AA501" i="28"/>
  <c r="Q18" i="27"/>
  <c r="AA172" i="28"/>
  <c r="AA517" i="28"/>
  <c r="AA584" i="28"/>
  <c r="AA133" i="28"/>
  <c r="AA554" i="28"/>
  <c r="AA361" i="28"/>
  <c r="AA235" i="28"/>
  <c r="AA396" i="28"/>
  <c r="AA583" i="28"/>
  <c r="AA425" i="28"/>
  <c r="AA85" i="28"/>
  <c r="AA403" i="28"/>
  <c r="AA588" i="28"/>
  <c r="AA399" i="28"/>
  <c r="AA483" i="28"/>
  <c r="Q8" i="27"/>
  <c r="AA111" i="28"/>
  <c r="AA294" i="28"/>
  <c r="AA333" i="28"/>
  <c r="AA530" i="28"/>
  <c r="AA487" i="28"/>
  <c r="AA609" i="28"/>
  <c r="AA227" i="28"/>
  <c r="AA97" i="28"/>
  <c r="AA76" i="28"/>
  <c r="AA137" i="28"/>
  <c r="AA151" i="28"/>
  <c r="AA499" i="28"/>
  <c r="AA274" i="28"/>
  <c r="AA435" i="28"/>
  <c r="AA520" i="28"/>
  <c r="AA77" i="28"/>
  <c r="Q12" i="27"/>
  <c r="AA36" i="28"/>
  <c r="AA359" i="28"/>
  <c r="AA91" i="28"/>
  <c r="AA80" i="28"/>
  <c r="AA604" i="28"/>
  <c r="AA68" i="28"/>
  <c r="P68" i="28" s="1"/>
  <c r="AA7" i="28"/>
  <c r="AA529" i="28"/>
  <c r="Q6" i="27"/>
  <c r="AA351" i="28"/>
  <c r="AA113" i="28"/>
  <c r="AA500" i="28"/>
  <c r="AA550" i="28"/>
  <c r="AA27" i="28"/>
  <c r="AA50" i="28"/>
  <c r="AA271" i="28"/>
  <c r="AA193" i="28"/>
  <c r="AA470" i="28"/>
  <c r="AA343" i="28"/>
  <c r="Q11" i="27"/>
  <c r="Q15" i="27"/>
  <c r="AA400" i="28"/>
  <c r="AA486" i="28"/>
  <c r="AA514" i="28"/>
  <c r="Q26" i="27"/>
  <c r="AA209" i="28"/>
  <c r="AA512" i="28"/>
  <c r="Q25" i="27"/>
  <c r="AA81" i="28"/>
  <c r="AA178" i="28"/>
  <c r="AA542" i="28"/>
  <c r="AA439" i="28"/>
  <c r="AA265" i="28"/>
  <c r="AA35" i="28"/>
  <c r="AA458" i="28"/>
  <c r="AA115" i="28"/>
  <c r="AA118" i="28"/>
  <c r="AA602" i="28"/>
  <c r="AA158" i="28"/>
  <c r="AA82" i="28"/>
  <c r="AA142" i="28"/>
  <c r="AA360" i="28"/>
  <c r="AA402" i="28"/>
  <c r="AA144" i="28"/>
  <c r="AA331" i="28"/>
  <c r="AA575" i="28"/>
  <c r="AA505" i="28"/>
  <c r="AA415" i="28"/>
  <c r="AA605" i="28"/>
  <c r="AA188" i="28"/>
  <c r="AA79" i="28"/>
  <c r="AA278" i="28"/>
  <c r="AA171" i="28"/>
  <c r="AA249" i="28"/>
  <c r="AA390" i="28"/>
  <c r="AA507" i="28"/>
  <c r="AA560" i="28"/>
  <c r="AA459" i="28"/>
  <c r="Q22" i="27"/>
  <c r="AA506" i="28"/>
  <c r="AA571" i="28"/>
  <c r="AA110" i="28"/>
  <c r="AA581" i="28"/>
  <c r="AA493" i="28"/>
  <c r="Q27" i="27"/>
  <c r="AA139" i="28"/>
  <c r="AA481" i="28"/>
  <c r="AA164" i="28"/>
  <c r="AA208" i="28"/>
  <c r="AA324" i="28"/>
  <c r="AA594" i="28"/>
  <c r="AA169" i="28"/>
  <c r="Q13" i="27"/>
  <c r="AA489" i="28"/>
  <c r="AA424" i="28"/>
  <c r="AA316" i="28"/>
  <c r="AA534" i="28"/>
  <c r="AA286" i="28"/>
  <c r="AA565" i="28"/>
  <c r="AA313" i="28"/>
  <c r="AA33" i="28"/>
  <c r="AA462" i="28"/>
  <c r="AA53" i="28"/>
  <c r="AA99" i="28"/>
  <c r="AA130" i="28"/>
  <c r="Q7" i="27"/>
  <c r="AA243" i="28"/>
  <c r="AA228" i="28"/>
  <c r="AA531" i="28"/>
  <c r="AA75" i="28"/>
  <c r="AA263" i="28"/>
  <c r="AA356" i="28"/>
  <c r="AA210" i="28"/>
  <c r="AA595" i="28"/>
  <c r="AA585" i="28"/>
  <c r="AA345" i="28"/>
  <c r="AA405" i="28"/>
  <c r="AA260" i="28"/>
  <c r="AA240" i="28"/>
  <c r="AA72" i="28"/>
  <c r="AJ4" i="22"/>
  <c r="AI4" i="22"/>
  <c r="AF4" i="22"/>
  <c r="AH4" i="22"/>
  <c r="AK4" i="22"/>
  <c r="AG4" i="22"/>
  <c r="AL4" i="22"/>
  <c r="G41" i="25"/>
  <c r="S42" i="25"/>
  <c r="AB30" i="25"/>
  <c r="X31" i="25"/>
  <c r="X17" i="25"/>
  <c r="X18" i="25" s="1"/>
  <c r="D17" i="25"/>
  <c r="D18" i="25" s="1"/>
  <c r="D31" i="25"/>
  <c r="H42" i="25"/>
  <c r="U42" i="25"/>
  <c r="P31" i="25"/>
  <c r="P17" i="25"/>
  <c r="P18" i="25" s="1"/>
  <c r="W31" i="25"/>
  <c r="W17" i="25"/>
  <c r="W18" i="25" s="1"/>
  <c r="N41" i="25"/>
  <c r="B31" i="25"/>
  <c r="B17" i="25"/>
  <c r="P41" i="25"/>
  <c r="H17" i="25"/>
  <c r="H31" i="25"/>
  <c r="W41" i="25"/>
  <c r="K41" i="25"/>
  <c r="C42" i="25"/>
  <c r="S17" i="25"/>
  <c r="AC17" i="25" s="1"/>
  <c r="S31" i="25"/>
  <c r="AC31" i="25" s="1"/>
  <c r="C31" i="25"/>
  <c r="C17" i="25"/>
  <c r="O42" i="25"/>
  <c r="P42" i="25"/>
  <c r="L17" i="25"/>
  <c r="L18" i="25" s="1"/>
  <c r="L31" i="25"/>
  <c r="B42" i="25"/>
  <c r="I42" i="25"/>
  <c r="Q41" i="25"/>
  <c r="K17" i="25"/>
  <c r="K18" i="25" s="1"/>
  <c r="K31" i="25"/>
  <c r="D41" i="25"/>
  <c r="H41" i="25"/>
  <c r="N42" i="25"/>
  <c r="E41" i="25"/>
  <c r="G42" i="25"/>
  <c r="Q42" i="25"/>
  <c r="X41" i="25"/>
  <c r="O41" i="25"/>
  <c r="M17" i="25"/>
  <c r="M18" i="25" s="1"/>
  <c r="M31" i="25"/>
  <c r="D42" i="25"/>
  <c r="K42" i="25"/>
  <c r="G31" i="25"/>
  <c r="G17" i="25"/>
  <c r="G18" i="25" s="1"/>
  <c r="T42" i="25"/>
  <c r="V42" i="25"/>
  <c r="X42" i="25"/>
  <c r="T41" i="25"/>
  <c r="I31" i="25"/>
  <c r="I17" i="25"/>
  <c r="I18" i="25" s="1"/>
  <c r="M41" i="25"/>
  <c r="D4" i="25"/>
  <c r="AA30" i="25"/>
  <c r="E42" i="25"/>
  <c r="N17" i="25"/>
  <c r="N18" i="25" s="1"/>
  <c r="N31" i="25"/>
  <c r="Q31" i="25"/>
  <c r="Q17" i="25"/>
  <c r="R41" i="25"/>
  <c r="F17" i="25"/>
  <c r="F18" i="25" s="1"/>
  <c r="F31" i="25"/>
  <c r="R42" i="25"/>
  <c r="R31" i="25"/>
  <c r="R17" i="25"/>
  <c r="R18" i="25" s="1"/>
  <c r="J41" i="25"/>
  <c r="L41" i="25"/>
  <c r="C55" i="9"/>
  <c r="C54" i="9"/>
  <c r="C53" i="9"/>
  <c r="C52" i="9"/>
  <c r="T31" i="25"/>
  <c r="T17" i="25"/>
  <c r="T18" i="25" s="1"/>
  <c r="F41" i="25"/>
  <c r="E17" i="25"/>
  <c r="E18" i="25" s="1"/>
  <c r="E31" i="25"/>
  <c r="U31" i="25"/>
  <c r="U17" i="25"/>
  <c r="U18" i="25" s="1"/>
  <c r="O31" i="25"/>
  <c r="O17" i="25"/>
  <c r="O18" i="25" s="1"/>
  <c r="L42" i="25"/>
  <c r="J31" i="25"/>
  <c r="J17" i="25"/>
  <c r="J18" i="25" s="1"/>
  <c r="F42" i="25"/>
  <c r="U41" i="25"/>
  <c r="C41" i="25"/>
  <c r="V17" i="25"/>
  <c r="V18" i="25" s="1"/>
  <c r="V31" i="25"/>
  <c r="I41" i="25"/>
  <c r="M42" i="25"/>
  <c r="V41" i="25"/>
  <c r="J42" i="25"/>
  <c r="S41" i="25"/>
  <c r="B41" i="25"/>
  <c r="W42" i="25"/>
  <c r="D31" i="9"/>
  <c r="AO458" i="28"/>
  <c r="AO486" i="28"/>
  <c r="AO223" i="28"/>
  <c r="AO553" i="28"/>
  <c r="AO585" i="28"/>
  <c r="AO274" i="28"/>
  <c r="AO375" i="28"/>
  <c r="AO143" i="28"/>
  <c r="AO583" i="28"/>
  <c r="AO236" i="28"/>
  <c r="AO313" i="28"/>
  <c r="AO464" i="28"/>
  <c r="AO74" i="28"/>
  <c r="AO102" i="28"/>
  <c r="AO252" i="28"/>
  <c r="AO67" i="28"/>
  <c r="AO299" i="28"/>
  <c r="AO500" i="28"/>
  <c r="AO485" i="28"/>
  <c r="AO15" i="28"/>
  <c r="AO266" i="28"/>
  <c r="AO168" i="28"/>
  <c r="AO221" i="28"/>
  <c r="AO46" i="28"/>
  <c r="AO147" i="28"/>
  <c r="AO216" i="28"/>
  <c r="AO106" i="28"/>
  <c r="AO542" i="28"/>
  <c r="AO280" i="28"/>
  <c r="AO399" i="28"/>
  <c r="AO140" i="28"/>
  <c r="AO154" i="28"/>
  <c r="AO37" i="28"/>
  <c r="AO462" i="28"/>
  <c r="AO521" i="28"/>
  <c r="AO305" i="28"/>
  <c r="AO514" i="28"/>
  <c r="AO277" i="28"/>
  <c r="AO405" i="28"/>
  <c r="AO32" i="28"/>
  <c r="AO452" i="28"/>
  <c r="AO380" i="28"/>
  <c r="AO377" i="28"/>
  <c r="AO77" i="28"/>
  <c r="AO454" i="28"/>
  <c r="AO404" i="28"/>
  <c r="AO257" i="28"/>
  <c r="AO129" i="28"/>
  <c r="AO498" i="28"/>
  <c r="AO318" i="28"/>
  <c r="AO502" i="28"/>
  <c r="AO178" i="28"/>
  <c r="AO69" i="28"/>
  <c r="AO479" i="28"/>
  <c r="AO533" i="28"/>
  <c r="AO87" i="28"/>
  <c r="AO477" i="28"/>
  <c r="AO172" i="28"/>
  <c r="AO344" i="28"/>
  <c r="AO203" i="28"/>
  <c r="AO241" i="28"/>
  <c r="AO526" i="28"/>
  <c r="AO110" i="28"/>
  <c r="AO335" i="28"/>
  <c r="AO559" i="28"/>
  <c r="AO289" i="28"/>
  <c r="AO425" i="28"/>
  <c r="AO182" i="28"/>
  <c r="AO435" i="28"/>
  <c r="AO304" i="28"/>
  <c r="AO517" i="28"/>
  <c r="AO605" i="28"/>
  <c r="AO211" i="28"/>
  <c r="AO141" i="28"/>
  <c r="AO362" i="28"/>
  <c r="AO179" i="28"/>
  <c r="AO130" i="28"/>
  <c r="AO505" i="28"/>
  <c r="AO157" i="28"/>
  <c r="AO131" i="28"/>
  <c r="AO589" i="28"/>
  <c r="AO509" i="28"/>
  <c r="AO41" i="28"/>
  <c r="AO555" i="28"/>
  <c r="AO588" i="28"/>
  <c r="AO73" i="28"/>
  <c r="AO10" i="28"/>
  <c r="AO587" i="28"/>
  <c r="AO191" i="28"/>
  <c r="AO300" i="28"/>
  <c r="AO232" i="28"/>
  <c r="AO298" i="28"/>
  <c r="AO260" i="28"/>
  <c r="AO416" i="28"/>
  <c r="AO205" i="28"/>
  <c r="AO38" i="28"/>
  <c r="AO529" i="28"/>
  <c r="AO51" i="28"/>
  <c r="AO292" i="28"/>
  <c r="AO560" i="28"/>
  <c r="AO348" i="28"/>
  <c r="AO516" i="28"/>
  <c r="AO164" i="28"/>
  <c r="AO567" i="28"/>
  <c r="AO392" i="28"/>
  <c r="AO343" i="28"/>
  <c r="AO244" i="28"/>
  <c r="AO448" i="28"/>
  <c r="AO372" i="28"/>
  <c r="AO326" i="28"/>
  <c r="AO355" i="28"/>
  <c r="AO381" i="28"/>
  <c r="AO281" i="28"/>
  <c r="AO111" i="28"/>
  <c r="AO310" i="28"/>
  <c r="AO406" i="28"/>
  <c r="AO176" i="28"/>
  <c r="AO580" i="28"/>
  <c r="AO488" i="28"/>
  <c r="AO132" i="28"/>
  <c r="AO264" i="28"/>
  <c r="AO383" i="28"/>
  <c r="AO189" i="28"/>
  <c r="AO387" i="28"/>
  <c r="AO321" i="28"/>
  <c r="AO160" i="28"/>
  <c r="AO382" i="28"/>
  <c r="AO545" i="28"/>
  <c r="AO499" i="28"/>
  <c r="AO347" i="28"/>
  <c r="AO446" i="28"/>
  <c r="AO592" i="28"/>
  <c r="AO363" i="28"/>
  <c r="AO423" i="28"/>
  <c r="AO40" i="28"/>
  <c r="AO546" i="28"/>
  <c r="AO367" i="28"/>
  <c r="AO243" i="28"/>
  <c r="AO261" i="28"/>
  <c r="AO389" i="28"/>
  <c r="AO79" i="28"/>
  <c r="AO442" i="28"/>
  <c r="AO422" i="28"/>
  <c r="AO247" i="28"/>
  <c r="AO174" i="28"/>
  <c r="AO429" i="28"/>
  <c r="AO409" i="28"/>
  <c r="AO284" i="28"/>
  <c r="AO104" i="28"/>
  <c r="AO145" i="28"/>
  <c r="AO495" i="28"/>
  <c r="AO224" i="28"/>
  <c r="AO459" i="28"/>
  <c r="AO465" i="28"/>
  <c r="AO45" i="28"/>
  <c r="AO469" i="28"/>
  <c r="AO124" i="28"/>
  <c r="AO379" i="28"/>
  <c r="AO239" i="28"/>
  <c r="AO206" i="28"/>
  <c r="AO255" i="28"/>
  <c r="AO114" i="28"/>
  <c r="AO43" i="28"/>
  <c r="AO181" i="28"/>
  <c r="AO286" i="28"/>
  <c r="AO57" i="28"/>
  <c r="AO396" i="28"/>
  <c r="AO20" i="28"/>
  <c r="AO122" i="28"/>
  <c r="AO213" i="28"/>
  <c r="AO302" i="28"/>
  <c r="AO356" i="28"/>
  <c r="AO444" i="28"/>
  <c r="AO557" i="28"/>
  <c r="AO173" i="28"/>
  <c r="AO204" i="28"/>
  <c r="AO135" i="28"/>
  <c r="AO391" i="28"/>
  <c r="AO420" i="28"/>
  <c r="AO365" i="28"/>
  <c r="AO490" i="28"/>
  <c r="AO572" i="28"/>
  <c r="AO90" i="28"/>
  <c r="AO262" i="28"/>
  <c r="AO169" i="28"/>
  <c r="AO180" i="28"/>
  <c r="AO47" i="28"/>
  <c r="AO494" i="28"/>
  <c r="AO418" i="28"/>
  <c r="AO123" i="28"/>
  <c r="AO472" i="28"/>
  <c r="AO373" i="28"/>
  <c r="AO26" i="28"/>
  <c r="AO144" i="28"/>
  <c r="AO120" i="28"/>
  <c r="AO190" i="28"/>
  <c r="AO226" i="28"/>
  <c r="AO450" i="28"/>
  <c r="AO36" i="28"/>
  <c r="AO273" i="28"/>
  <c r="AO146" i="28"/>
  <c r="AO491" i="28"/>
  <c r="AO332" i="28"/>
  <c r="AO48" i="28"/>
  <c r="AO34" i="28"/>
  <c r="AO166" i="28"/>
  <c r="AO432" i="28"/>
  <c r="AO386" i="28"/>
  <c r="AO519" i="28"/>
  <c r="AO341" i="28"/>
  <c r="AO408" i="28"/>
  <c r="AO438" i="28"/>
  <c r="AO564" i="28"/>
  <c r="AO278" i="28"/>
  <c r="AO561" i="28"/>
  <c r="AO7" i="28"/>
  <c r="AO419" i="28"/>
  <c r="AO547" i="28"/>
  <c r="AO601" i="28"/>
  <c r="AO81" i="28"/>
  <c r="AO350" i="28"/>
  <c r="AO295" i="28"/>
  <c r="AO186" i="28"/>
  <c r="AO276" i="28"/>
  <c r="AO476" i="28"/>
  <c r="AO214" i="28"/>
  <c r="AO510" i="28"/>
  <c r="AO29" i="28"/>
  <c r="AO270" i="28"/>
  <c r="AO360" i="28"/>
  <c r="AO456" i="28"/>
  <c r="AO556" i="28"/>
  <c r="AO447" i="28"/>
  <c r="AO584" i="28"/>
  <c r="AO371" i="28"/>
  <c r="AO523" i="28"/>
  <c r="AO401" i="28"/>
  <c r="AO242" i="28"/>
  <c r="AO93" i="28"/>
  <c r="AO150" i="28"/>
  <c r="AO460" i="28"/>
  <c r="AO52" i="28"/>
  <c r="AO196" i="28"/>
  <c r="AO128" i="28"/>
  <c r="AO193" i="28"/>
  <c r="AO4" i="28"/>
  <c r="AO153" i="28"/>
  <c r="AO219" i="28"/>
  <c r="AO234" i="28"/>
  <c r="AO89" i="28"/>
  <c r="AO218" i="28"/>
  <c r="AO138" i="28"/>
  <c r="AO185" i="28"/>
  <c r="AO54" i="28"/>
  <c r="AO504" i="28"/>
  <c r="AO600" i="28"/>
  <c r="AO402" i="28"/>
  <c r="AO105" i="28"/>
  <c r="AO427" i="28"/>
  <c r="AO524" i="28"/>
  <c r="AO271" i="28"/>
  <c r="AO119" i="28"/>
  <c r="AO75" i="28"/>
  <c r="AO482" i="28"/>
  <c r="AO398" i="28"/>
  <c r="AO85" i="28"/>
  <c r="AO21" i="28"/>
  <c r="AO544" i="28"/>
  <c r="AO44" i="28"/>
  <c r="AO536" i="28"/>
  <c r="AO125" i="28"/>
  <c r="AO330" i="28"/>
  <c r="AO534" i="28"/>
  <c r="AO267" i="28"/>
  <c r="AO426" i="28"/>
  <c r="AO151" i="28"/>
  <c r="AO101" i="28"/>
  <c r="AO440" i="28"/>
  <c r="AO245" i="28"/>
  <c r="AO342" i="28"/>
  <c r="AO115" i="28"/>
  <c r="AO121" i="28"/>
  <c r="AO6" i="28"/>
  <c r="AO470" i="28"/>
  <c r="AO163" i="28"/>
  <c r="AO13" i="28"/>
  <c r="AO566" i="28"/>
  <c r="AO162" i="28"/>
  <c r="AO532" i="28"/>
  <c r="AO133" i="28"/>
  <c r="AO551" i="28"/>
  <c r="AO496" i="28"/>
  <c r="AO378" i="28"/>
  <c r="AO395" i="28"/>
  <c r="AO575" i="28"/>
  <c r="AO97" i="28"/>
  <c r="AO327" i="28"/>
  <c r="AO325" i="28"/>
  <c r="AO78" i="28"/>
  <c r="AO316" i="28"/>
  <c r="AO250" i="28"/>
  <c r="AO428" i="28"/>
  <c r="AO453" i="28"/>
  <c r="AO259" i="28"/>
  <c r="AO291" i="28"/>
  <c r="AO229" i="28"/>
  <c r="AO16" i="28"/>
  <c r="AO501" i="28"/>
  <c r="AO76" i="28"/>
  <c r="AO577" i="28"/>
  <c r="AO366" i="28"/>
  <c r="AO283" i="28"/>
  <c r="AO230" i="28"/>
  <c r="AO22" i="28"/>
  <c r="AO103" i="28"/>
  <c r="AO139" i="28"/>
  <c r="AO225" i="28"/>
  <c r="AO353" i="28"/>
  <c r="AO412" i="28"/>
  <c r="AO337" i="28"/>
  <c r="AO175" i="28"/>
  <c r="AO217" i="28"/>
  <c r="AO294" i="28"/>
  <c r="AO49" i="28"/>
  <c r="AO602" i="28"/>
  <c r="AO511" i="28"/>
  <c r="AO152" i="28"/>
  <c r="AO5" i="28"/>
  <c r="AO417" i="28"/>
  <c r="AO541" i="28"/>
  <c r="AO42" i="28"/>
  <c r="AO209" i="28"/>
  <c r="AO288" i="28"/>
  <c r="AO66" i="28"/>
  <c r="AO608" i="28"/>
  <c r="AO109" i="28"/>
  <c r="AO201" i="28"/>
  <c r="AO249" i="28"/>
  <c r="AO301" i="28"/>
  <c r="AO548" i="28"/>
  <c r="AO430" i="28"/>
  <c r="AO598" i="28"/>
  <c r="AO357" i="28"/>
  <c r="AO528" i="28"/>
  <c r="AO192" i="28"/>
  <c r="AO574" i="28"/>
  <c r="AO149" i="28"/>
  <c r="AO595" i="28"/>
  <c r="AO393" i="28"/>
  <c r="AO184" i="28"/>
  <c r="AO165" i="28"/>
  <c r="AO88" i="28"/>
  <c r="AO570" i="28"/>
  <c r="AO322" i="28"/>
  <c r="AO568" i="28"/>
  <c r="AO159" i="28"/>
  <c r="AO33" i="28"/>
  <c r="AO96" i="28"/>
  <c r="AO340" i="28"/>
  <c r="AO50" i="28"/>
  <c r="AO549" i="28"/>
  <c r="AO171" i="28"/>
  <c r="AO65" i="28"/>
  <c r="AO297" i="28"/>
  <c r="AO569" i="28"/>
  <c r="AO323" i="28"/>
  <c r="AO2" i="28"/>
  <c r="AO421" i="28"/>
  <c r="AO84" i="28"/>
  <c r="AO562" i="28"/>
  <c r="AO596" i="28"/>
  <c r="AO285" i="28"/>
  <c r="AO118" i="28"/>
  <c r="AO14" i="28"/>
  <c r="AO535" i="28"/>
  <c r="AO227" i="28"/>
  <c r="AO604" i="28"/>
  <c r="AO411" i="28"/>
  <c r="AO314" i="28"/>
  <c r="AO457" i="28"/>
  <c r="AO461" i="28"/>
  <c r="AO251" i="28"/>
  <c r="AO256" i="28"/>
  <c r="AO161" i="28"/>
  <c r="AO92" i="28"/>
  <c r="AO576" i="28"/>
  <c r="AO578" i="28"/>
  <c r="AO315" i="28"/>
  <c r="AO543" i="28"/>
  <c r="AO436" i="28"/>
  <c r="AO361" i="28"/>
  <c r="AO117" i="28"/>
  <c r="AO364" i="28"/>
  <c r="AO137" i="28"/>
  <c r="AO293" i="28"/>
  <c r="AO9" i="28"/>
  <c r="AO590" i="28"/>
  <c r="AO443" i="28"/>
  <c r="AO433" i="28"/>
  <c r="AO455" i="28"/>
  <c r="AO527" i="28"/>
  <c r="AO597" i="28"/>
  <c r="AO358" i="28"/>
  <c r="AO311" i="28"/>
  <c r="AO126" i="28"/>
  <c r="AO606" i="28"/>
  <c r="AO39" i="28"/>
  <c r="AO62" i="28"/>
  <c r="AO374" i="28"/>
  <c r="AO12" i="28"/>
  <c r="AO594" i="28"/>
  <c r="AO112" i="28"/>
  <c r="AO563" i="28"/>
  <c r="AO275" i="28"/>
  <c r="AO319" i="28"/>
  <c r="AO195" i="28"/>
  <c r="AO265" i="28"/>
  <c r="AO307" i="28"/>
  <c r="AO586" i="28"/>
  <c r="AO397" i="28"/>
  <c r="AO489" i="28"/>
  <c r="AO70" i="28"/>
  <c r="AO183" i="28"/>
  <c r="AO188" i="28"/>
  <c r="AO437" i="28"/>
  <c r="AO593" i="28"/>
  <c r="AO233" i="28"/>
  <c r="AO539" i="28"/>
  <c r="AO246" i="28"/>
  <c r="AO156" i="28"/>
  <c r="AO390" i="28"/>
  <c r="AO475" i="28"/>
  <c r="AO19" i="28"/>
  <c r="AO599" i="28"/>
  <c r="AO202" i="28"/>
  <c r="AO98" i="28"/>
  <c r="AO540" i="28"/>
  <c r="AO351" i="28"/>
  <c r="AO369" i="28"/>
  <c r="AO492" i="28"/>
  <c r="AO520" i="28"/>
  <c r="AO27" i="28"/>
  <c r="AO384" i="28"/>
  <c r="AO197" i="28"/>
  <c r="AO431" i="28"/>
  <c r="AO287" i="28"/>
  <c r="AO497" i="28"/>
  <c r="AO23" i="28"/>
  <c r="AO282" i="28"/>
  <c r="AO451" i="28"/>
  <c r="AO35" i="28"/>
  <c r="AO53" i="28"/>
  <c r="AO309" i="28"/>
  <c r="AO25" i="28"/>
  <c r="AO58" i="28"/>
  <c r="AO550" i="28"/>
  <c r="AO346" i="28"/>
  <c r="AO336" i="28"/>
  <c r="AO24" i="28"/>
  <c r="AO86" i="28"/>
  <c r="AO581" i="28"/>
  <c r="AO503" i="28"/>
  <c r="AO552" i="28"/>
  <c r="AO439" i="28"/>
  <c r="AO565" i="28"/>
  <c r="AO200" i="28"/>
  <c r="AO607" i="28"/>
  <c r="AO107" i="28"/>
  <c r="AO3" i="28"/>
  <c r="AO394" i="28"/>
  <c r="AO531" i="28"/>
  <c r="AO515" i="28"/>
  <c r="AO537" i="28"/>
  <c r="AO466" i="28"/>
  <c r="AO272" i="28"/>
  <c r="AO388" i="28"/>
  <c r="AO61" i="28"/>
  <c r="AO212" i="28"/>
  <c r="AO30" i="28"/>
  <c r="AO268" i="28"/>
  <c r="AO345" i="28"/>
  <c r="AO55" i="28"/>
  <c r="AO483" i="28"/>
  <c r="AO338" i="28"/>
  <c r="AO329" i="28"/>
  <c r="AO134" i="28"/>
  <c r="AO64" i="28"/>
  <c r="AO290" i="28"/>
  <c r="AO238" i="28"/>
  <c r="AO591" i="28"/>
  <c r="AO349" i="28"/>
  <c r="AO359" i="28"/>
  <c r="AO324" i="28"/>
  <c r="AO199" i="28"/>
  <c r="AO463" i="28"/>
  <c r="AO127" i="28"/>
  <c r="AO254" i="28"/>
  <c r="AO306" i="28"/>
  <c r="AO91" i="28"/>
  <c r="AO407" i="28"/>
  <c r="AO72" i="28"/>
  <c r="AO468" i="28"/>
  <c r="AO480" i="28"/>
  <c r="AO303" i="28"/>
  <c r="AO508" i="28"/>
  <c r="AO258" i="28"/>
  <c r="AO370" i="28"/>
  <c r="AO352" i="28"/>
  <c r="AO538" i="28"/>
  <c r="AO434" i="28"/>
  <c r="AO609" i="28"/>
  <c r="AO507" i="28"/>
  <c r="AO28" i="28"/>
  <c r="AO441" i="28"/>
  <c r="AO449" i="28"/>
  <c r="AO376" i="28"/>
  <c r="AO400" i="28"/>
  <c r="AO554" i="28"/>
  <c r="AO136" i="28"/>
  <c r="AO279" i="28"/>
  <c r="AO222" i="28"/>
  <c r="AO17" i="28"/>
  <c r="AO525" i="28"/>
  <c r="AO194" i="28"/>
  <c r="AO108" i="28"/>
  <c r="AO100" i="28"/>
  <c r="AO414" i="28"/>
  <c r="AO331" i="28"/>
  <c r="AO220" i="28"/>
  <c r="AO116" i="28"/>
  <c r="AO403" i="28"/>
  <c r="AO354" i="28"/>
  <c r="AO95" i="28"/>
  <c r="AO215" i="28"/>
  <c r="AO142" i="28"/>
  <c r="AO579" i="28"/>
  <c r="AO493" i="28"/>
  <c r="AO471" i="28"/>
  <c r="AO248" i="28"/>
  <c r="AO487" i="28"/>
  <c r="AO18" i="28"/>
  <c r="AO207" i="28"/>
  <c r="AO334" i="28"/>
  <c r="AO415" i="28"/>
  <c r="AO296" i="28"/>
  <c r="AO530" i="28"/>
  <c r="AO603" i="28"/>
  <c r="AO94" i="28"/>
  <c r="AO312" i="28"/>
  <c r="AO484" i="28"/>
  <c r="AO253" i="28"/>
  <c r="AO513" i="28"/>
  <c r="AO478" i="28"/>
  <c r="AO308" i="28"/>
  <c r="AO8" i="28"/>
  <c r="AO339" i="28"/>
  <c r="AO263" i="28"/>
  <c r="AO158" i="28"/>
  <c r="AO410" i="28"/>
  <c r="AO198" i="28"/>
  <c r="AO269" i="28"/>
  <c r="AO320" i="28"/>
  <c r="AO155" i="28"/>
  <c r="AO571" i="28"/>
  <c r="AO558" i="28"/>
  <c r="AO83" i="28"/>
  <c r="AO210" i="28"/>
  <c r="AO167" i="28"/>
  <c r="AO148" i="28"/>
  <c r="AO522" i="28"/>
  <c r="AO240" i="28"/>
  <c r="AO237" i="28"/>
  <c r="AO187" i="28"/>
  <c r="AO512" i="28"/>
  <c r="AO235" i="28"/>
  <c r="AO170" i="28"/>
  <c r="AO506" i="28"/>
  <c r="AO113" i="28"/>
  <c r="AO59" i="28"/>
  <c r="AO208" i="28"/>
  <c r="AO63" i="28"/>
  <c r="AO11" i="28"/>
  <c r="AO71" i="28"/>
  <c r="AO481" i="28"/>
  <c r="AO99" i="28"/>
  <c r="AO60" i="28"/>
  <c r="AO56" i="28"/>
  <c r="AO368" i="28"/>
  <c r="AO573" i="28"/>
  <c r="AO473" i="28"/>
  <c r="AO467" i="28"/>
  <c r="AO445" i="28"/>
  <c r="AO82" i="28"/>
  <c r="AO80" i="28"/>
  <c r="AO333" i="28"/>
  <c r="AO424" i="28"/>
  <c r="AO413" i="28"/>
  <c r="AO317" i="28"/>
  <c r="AO228" i="28"/>
  <c r="AO582" i="28"/>
  <c r="AO231" i="28"/>
  <c r="AO328" i="28"/>
  <c r="AO177" i="28"/>
  <c r="AO518" i="28"/>
  <c r="AO385" i="28"/>
  <c r="AO31" i="28"/>
  <c r="AO474" i="28"/>
  <c r="AO68" i="28"/>
  <c r="D13" i="9"/>
  <c r="Q607" i="28" l="1"/>
  <c r="P109" i="28"/>
  <c r="P607" i="28"/>
  <c r="R109" i="28"/>
  <c r="X2" i="27"/>
  <c r="V2" i="27"/>
  <c r="Y2" i="27" s="1"/>
  <c r="R181" i="28"/>
  <c r="P181" i="28"/>
  <c r="O181" i="28" s="1"/>
  <c r="P255" i="28"/>
  <c r="O255" i="28" s="1"/>
  <c r="P592" i="28"/>
  <c r="R592" i="28"/>
  <c r="R255" i="28"/>
  <c r="Q536" i="28"/>
  <c r="D34" i="9"/>
  <c r="E34" i="9" s="1"/>
  <c r="P536" i="28"/>
  <c r="R54" i="28"/>
  <c r="Q54" i="28"/>
  <c r="P54" i="28"/>
  <c r="R334" i="28"/>
  <c r="Q334" i="28"/>
  <c r="P334" i="28"/>
  <c r="R283" i="28"/>
  <c r="P283" i="28"/>
  <c r="Q283" i="28"/>
  <c r="R287" i="28"/>
  <c r="P287" i="28"/>
  <c r="Q287" i="28"/>
  <c r="R71" i="28"/>
  <c r="Q71" i="28"/>
  <c r="P71" i="28"/>
  <c r="Q224" i="28"/>
  <c r="P224" i="28"/>
  <c r="R224" i="28"/>
  <c r="Q592" i="28"/>
  <c r="Q120" i="28"/>
  <c r="R120" i="28"/>
  <c r="P120" i="28"/>
  <c r="R128" i="28"/>
  <c r="R496" i="28"/>
  <c r="P496" i="28"/>
  <c r="Q496" i="28"/>
  <c r="R167" i="28"/>
  <c r="Q167" i="28"/>
  <c r="P167" i="28"/>
  <c r="R449" i="28"/>
  <c r="R22" i="28"/>
  <c r="Q22" i="28"/>
  <c r="P22" i="28"/>
  <c r="Q447" i="28"/>
  <c r="R447" i="28"/>
  <c r="P447" i="28"/>
  <c r="R230" i="28"/>
  <c r="Q230" i="28"/>
  <c r="P230" i="28"/>
  <c r="Q449" i="28"/>
  <c r="O449" i="28" s="1"/>
  <c r="P128" i="28"/>
  <c r="O128" i="28" s="1"/>
  <c r="E31" i="9"/>
  <c r="T4" i="8"/>
  <c r="D36" i="9" s="1"/>
  <c r="E36" i="9" s="1"/>
  <c r="E13" i="9"/>
  <c r="AA15" i="27"/>
  <c r="AA19" i="27"/>
  <c r="AA23" i="27"/>
  <c r="AA27" i="27"/>
  <c r="AA16" i="27"/>
  <c r="AA20" i="27"/>
  <c r="AA24" i="27"/>
  <c r="AA17" i="27"/>
  <c r="AA21" i="27"/>
  <c r="AA25" i="27"/>
  <c r="AA14" i="27"/>
  <c r="AA18" i="27"/>
  <c r="AA22" i="27"/>
  <c r="AA26" i="27"/>
  <c r="AA31" i="27"/>
  <c r="AA35" i="27"/>
  <c r="AA39" i="27"/>
  <c r="AA28" i="27"/>
  <c r="AA32" i="27"/>
  <c r="AA36" i="27"/>
  <c r="AA29" i="27"/>
  <c r="AA33" i="27"/>
  <c r="AA37" i="27"/>
  <c r="AA30" i="27"/>
  <c r="AA34" i="27"/>
  <c r="AA38" i="27"/>
  <c r="AA3" i="27"/>
  <c r="AA8" i="27"/>
  <c r="AA9" i="27"/>
  <c r="AA4" i="27"/>
  <c r="AA10" i="27"/>
  <c r="AA7" i="27"/>
  <c r="AA12" i="27"/>
  <c r="AA13" i="27"/>
  <c r="AA5" i="27"/>
  <c r="AA11" i="27"/>
  <c r="AA6" i="27"/>
  <c r="R308" i="28"/>
  <c r="P308" i="28"/>
  <c r="Q308" i="28"/>
  <c r="R90" i="28"/>
  <c r="Q90" i="28"/>
  <c r="P90" i="28"/>
  <c r="R393" i="28"/>
  <c r="P393" i="28"/>
  <c r="Q393" i="28"/>
  <c r="R539" i="28"/>
  <c r="P539" i="28"/>
  <c r="Q539" i="28"/>
  <c r="R502" i="28"/>
  <c r="Q502" i="28"/>
  <c r="P502" i="28"/>
  <c r="R301" i="28"/>
  <c r="P301" i="28"/>
  <c r="Q301" i="28"/>
  <c r="R603" i="28"/>
  <c r="P603" i="28"/>
  <c r="Q603" i="28"/>
  <c r="R191" i="28"/>
  <c r="Q191" i="28"/>
  <c r="P191" i="28"/>
  <c r="R141" i="28"/>
  <c r="Q141" i="28"/>
  <c r="P141" i="28"/>
  <c r="R131" i="28"/>
  <c r="Q131" i="28"/>
  <c r="P131" i="28"/>
  <c r="R19" i="28"/>
  <c r="Q19" i="28"/>
  <c r="P19" i="28"/>
  <c r="R597" i="28"/>
  <c r="P597" i="28"/>
  <c r="Q597" i="28"/>
  <c r="R374" i="28"/>
  <c r="Q374" i="28"/>
  <c r="P374" i="28"/>
  <c r="R407" i="28"/>
  <c r="P407" i="28"/>
  <c r="Q407" i="28"/>
  <c r="R355" i="28"/>
  <c r="P355" i="28"/>
  <c r="Q355" i="28"/>
  <c r="R207" i="28"/>
  <c r="Q207" i="28"/>
  <c r="P207" i="28"/>
  <c r="R516" i="28"/>
  <c r="P516" i="28"/>
  <c r="Q516" i="28"/>
  <c r="R106" i="28"/>
  <c r="Q106" i="28"/>
  <c r="P106" i="28"/>
  <c r="R103" i="28"/>
  <c r="Q103" i="28"/>
  <c r="P103" i="28"/>
  <c r="R145" i="28"/>
  <c r="Q145" i="28"/>
  <c r="P145" i="28"/>
  <c r="R159" i="28"/>
  <c r="Q159" i="28"/>
  <c r="P159" i="28"/>
  <c r="R430" i="28"/>
  <c r="Q430" i="28"/>
  <c r="P430" i="28"/>
  <c r="R398" i="28"/>
  <c r="Q398" i="28"/>
  <c r="P398" i="28"/>
  <c r="R448" i="28"/>
  <c r="P448" i="28"/>
  <c r="Q448" i="28"/>
  <c r="R138" i="28"/>
  <c r="Q138" i="28"/>
  <c r="P138" i="28"/>
  <c r="R190" i="28"/>
  <c r="Q190" i="28"/>
  <c r="P190" i="28"/>
  <c r="R561" i="28"/>
  <c r="P561" i="28"/>
  <c r="Q561" i="28"/>
  <c r="R63" i="28"/>
  <c r="Q63" i="28"/>
  <c r="P63" i="28"/>
  <c r="R444" i="28"/>
  <c r="P444" i="28"/>
  <c r="Q444" i="28"/>
  <c r="R515" i="28"/>
  <c r="P515" i="28"/>
  <c r="Q515" i="28"/>
  <c r="R335" i="28"/>
  <c r="P335" i="28"/>
  <c r="Q335" i="28"/>
  <c r="R262" i="28"/>
  <c r="Q262" i="28"/>
  <c r="P262" i="28"/>
  <c r="R358" i="28"/>
  <c r="Q358" i="28"/>
  <c r="P358" i="28"/>
  <c r="R510" i="28"/>
  <c r="Q510" i="28"/>
  <c r="P510" i="28"/>
  <c r="R593" i="28"/>
  <c r="P593" i="28"/>
  <c r="Q593" i="28"/>
  <c r="R281" i="28"/>
  <c r="P281" i="28"/>
  <c r="Q281" i="28"/>
  <c r="R570" i="28"/>
  <c r="Q570" i="28"/>
  <c r="P570" i="28"/>
  <c r="R318" i="28"/>
  <c r="Q318" i="28"/>
  <c r="P318" i="28"/>
  <c r="R30" i="28"/>
  <c r="Q30" i="28"/>
  <c r="P30" i="28"/>
  <c r="R559" i="28"/>
  <c r="P559" i="28"/>
  <c r="Q559" i="28"/>
  <c r="R357" i="28"/>
  <c r="P357" i="28"/>
  <c r="Q357" i="28"/>
  <c r="R590" i="28"/>
  <c r="Q590" i="28"/>
  <c r="P590" i="28"/>
  <c r="R219" i="28"/>
  <c r="Q219" i="28"/>
  <c r="P219" i="28"/>
  <c r="R248" i="28"/>
  <c r="Q248" i="28"/>
  <c r="P248" i="28"/>
  <c r="R182" i="28"/>
  <c r="Q182" i="28"/>
  <c r="P182" i="28"/>
  <c r="R175" i="28"/>
  <c r="Q175" i="28"/>
  <c r="P175" i="28"/>
  <c r="R247" i="28"/>
  <c r="Q247" i="28"/>
  <c r="P247" i="28"/>
  <c r="R242" i="28"/>
  <c r="Q242" i="28"/>
  <c r="P242" i="28"/>
  <c r="R117" i="28"/>
  <c r="Q117" i="28"/>
  <c r="P117" i="28"/>
  <c r="R405" i="28"/>
  <c r="P405" i="28"/>
  <c r="Q405" i="28"/>
  <c r="R243" i="28"/>
  <c r="Q243" i="28"/>
  <c r="P243" i="28"/>
  <c r="R462" i="28"/>
  <c r="Q462" i="28"/>
  <c r="P462" i="28"/>
  <c r="R489" i="28"/>
  <c r="P489" i="28"/>
  <c r="Q489" i="28"/>
  <c r="R493" i="28"/>
  <c r="P493" i="28"/>
  <c r="Q493" i="28"/>
  <c r="R581" i="28"/>
  <c r="P581" i="28"/>
  <c r="Q581" i="28"/>
  <c r="R571" i="28"/>
  <c r="P571" i="28"/>
  <c r="Q571" i="28"/>
  <c r="R249" i="28"/>
  <c r="Q249" i="28"/>
  <c r="P249" i="28"/>
  <c r="R605" i="28"/>
  <c r="P605" i="28"/>
  <c r="Q605" i="28"/>
  <c r="R505" i="28"/>
  <c r="P505" i="28"/>
  <c r="Q505" i="28"/>
  <c r="R144" i="28"/>
  <c r="Q144" i="28"/>
  <c r="P144" i="28"/>
  <c r="R360" i="28"/>
  <c r="P360" i="28"/>
  <c r="Q360" i="28"/>
  <c r="R35" i="28"/>
  <c r="Q35" i="28"/>
  <c r="P35" i="28"/>
  <c r="R514" i="28"/>
  <c r="Q514" i="28"/>
  <c r="P514" i="28"/>
  <c r="R193" i="28"/>
  <c r="Q193" i="28"/>
  <c r="P193" i="28"/>
  <c r="R271" i="28"/>
  <c r="P271" i="28"/>
  <c r="Q271" i="28"/>
  <c r="R500" i="28"/>
  <c r="P500" i="28"/>
  <c r="Q500" i="28"/>
  <c r="R113" i="28"/>
  <c r="Q113" i="28"/>
  <c r="P113" i="28"/>
  <c r="R529" i="28"/>
  <c r="P529" i="28"/>
  <c r="Q529" i="28"/>
  <c r="R77" i="28"/>
  <c r="Q77" i="28"/>
  <c r="P77" i="28"/>
  <c r="R499" i="28"/>
  <c r="P499" i="28"/>
  <c r="Q499" i="28"/>
  <c r="R137" i="28"/>
  <c r="Q137" i="28"/>
  <c r="P137" i="28"/>
  <c r="R97" i="28"/>
  <c r="Q97" i="28"/>
  <c r="P97" i="28"/>
  <c r="R609" i="28"/>
  <c r="P609" i="28"/>
  <c r="Q609" i="28"/>
  <c r="R294" i="28"/>
  <c r="Q294" i="28"/>
  <c r="P294" i="28"/>
  <c r="R483" i="28"/>
  <c r="P483" i="28"/>
  <c r="Q483" i="28"/>
  <c r="R403" i="28"/>
  <c r="P403" i="28"/>
  <c r="Q403" i="28"/>
  <c r="R425" i="28"/>
  <c r="P425" i="28"/>
  <c r="Q425" i="28"/>
  <c r="R361" i="28"/>
  <c r="P361" i="28"/>
  <c r="Q361" i="28"/>
  <c r="R501" i="28"/>
  <c r="P501" i="28"/>
  <c r="Q501" i="28"/>
  <c r="R438" i="28"/>
  <c r="Q438" i="28"/>
  <c r="P438" i="28"/>
  <c r="R535" i="28"/>
  <c r="P535" i="28"/>
  <c r="Q535" i="28"/>
  <c r="R441" i="28"/>
  <c r="P441" i="28"/>
  <c r="Q441" i="28"/>
  <c r="R589" i="28"/>
  <c r="P589" i="28"/>
  <c r="Q589" i="28"/>
  <c r="R146" i="28"/>
  <c r="Q146" i="28"/>
  <c r="P146" i="28"/>
  <c r="R46" i="28"/>
  <c r="Q46" i="28"/>
  <c r="P46" i="28"/>
  <c r="R160" i="28"/>
  <c r="Q160" i="28"/>
  <c r="P160" i="28"/>
  <c r="R436" i="28"/>
  <c r="P436" i="28"/>
  <c r="Q436" i="28"/>
  <c r="R232" i="28"/>
  <c r="Q232" i="28"/>
  <c r="P232" i="28"/>
  <c r="R20" i="28"/>
  <c r="Q20" i="28"/>
  <c r="P20" i="28"/>
  <c r="R256" i="28"/>
  <c r="P256" i="28"/>
  <c r="Q256" i="28"/>
  <c r="R234" i="28"/>
  <c r="Q234" i="28"/>
  <c r="P234" i="28"/>
  <c r="R2" i="28"/>
  <c r="Q2" i="28"/>
  <c r="P2" i="28"/>
  <c r="R196" i="28"/>
  <c r="Q196" i="28"/>
  <c r="P196" i="28"/>
  <c r="R154" i="28"/>
  <c r="Q154" i="28"/>
  <c r="P154" i="28"/>
  <c r="R221" i="28"/>
  <c r="Q221" i="28"/>
  <c r="P221" i="28"/>
  <c r="R28" i="28"/>
  <c r="Q28" i="28"/>
  <c r="P28" i="28"/>
  <c r="R67" i="28"/>
  <c r="Q67" i="28"/>
  <c r="P67" i="28"/>
  <c r="R401" i="28"/>
  <c r="P401" i="28"/>
  <c r="Q401" i="28"/>
  <c r="R558" i="28"/>
  <c r="Q558" i="28"/>
  <c r="P558" i="28"/>
  <c r="R42" i="28"/>
  <c r="Q42" i="28"/>
  <c r="P42" i="28"/>
  <c r="R289" i="28"/>
  <c r="P289" i="28"/>
  <c r="Q289" i="28"/>
  <c r="R300" i="28"/>
  <c r="P300" i="28"/>
  <c r="Q300" i="28"/>
  <c r="R478" i="28"/>
  <c r="Q478" i="28"/>
  <c r="P478" i="28"/>
  <c r="R241" i="28"/>
  <c r="Q241" i="28"/>
  <c r="P241" i="28"/>
  <c r="R38" i="28"/>
  <c r="Q38" i="28"/>
  <c r="P38" i="28"/>
  <c r="R147" i="28"/>
  <c r="Q147" i="28"/>
  <c r="P147" i="28"/>
  <c r="R157" i="28"/>
  <c r="Q157" i="28"/>
  <c r="P157" i="28"/>
  <c r="R315" i="28"/>
  <c r="P315" i="28"/>
  <c r="Q315" i="28"/>
  <c r="R488" i="28"/>
  <c r="P488" i="28"/>
  <c r="Q488" i="28"/>
  <c r="R60" i="28"/>
  <c r="Q60" i="28"/>
  <c r="P60" i="28"/>
  <c r="R473" i="28"/>
  <c r="P473" i="28"/>
  <c r="Q473" i="28"/>
  <c r="R152" i="28"/>
  <c r="Q152" i="28"/>
  <c r="P152" i="28"/>
  <c r="R379" i="28"/>
  <c r="P379" i="28"/>
  <c r="Q379" i="28"/>
  <c r="R201" i="28"/>
  <c r="Q201" i="28"/>
  <c r="P201" i="28"/>
  <c r="R231" i="28"/>
  <c r="Q231" i="28"/>
  <c r="P231" i="28"/>
  <c r="R394" i="28"/>
  <c r="Q394" i="28"/>
  <c r="P394" i="28"/>
  <c r="R479" i="28"/>
  <c r="P479" i="28"/>
  <c r="Q479" i="28"/>
  <c r="R185" i="28"/>
  <c r="Q185" i="28"/>
  <c r="P185" i="28"/>
  <c r="R422" i="28"/>
  <c r="Q422" i="28"/>
  <c r="P422" i="28"/>
  <c r="R61" i="28"/>
  <c r="Q61" i="28"/>
  <c r="P61" i="28"/>
  <c r="R121" i="28"/>
  <c r="Q121" i="28"/>
  <c r="P121" i="28"/>
  <c r="R434" i="28"/>
  <c r="Q434" i="28"/>
  <c r="P434" i="28"/>
  <c r="R410" i="28"/>
  <c r="Q410" i="28"/>
  <c r="P410" i="28"/>
  <c r="R508" i="28"/>
  <c r="P508" i="28"/>
  <c r="Q508" i="28"/>
  <c r="R168" i="28"/>
  <c r="Q168" i="28"/>
  <c r="P168" i="28"/>
  <c r="R437" i="28"/>
  <c r="P437" i="28"/>
  <c r="Q437" i="28"/>
  <c r="R395" i="28"/>
  <c r="P395" i="28"/>
  <c r="Q395" i="28"/>
  <c r="R177" i="28"/>
  <c r="Q177" i="28"/>
  <c r="P177" i="28"/>
  <c r="R83" i="28"/>
  <c r="Q83" i="28"/>
  <c r="P83" i="28"/>
  <c r="R31" i="28"/>
  <c r="Q31" i="28"/>
  <c r="P31" i="28"/>
  <c r="R580" i="28"/>
  <c r="P580" i="28"/>
  <c r="Q580" i="28"/>
  <c r="R492" i="28"/>
  <c r="P492" i="28"/>
  <c r="Q492" i="28"/>
  <c r="R296" i="28"/>
  <c r="P296" i="28"/>
  <c r="Q296" i="28"/>
  <c r="R504" i="28"/>
  <c r="P504" i="28"/>
  <c r="Q504" i="28"/>
  <c r="R86" i="28"/>
  <c r="Q86" i="28"/>
  <c r="P86" i="28"/>
  <c r="R606" i="28"/>
  <c r="Q606" i="28"/>
  <c r="P606" i="28"/>
  <c r="R409" i="28"/>
  <c r="P409" i="28"/>
  <c r="Q409" i="28"/>
  <c r="R397" i="28"/>
  <c r="P397" i="28"/>
  <c r="Q397" i="28"/>
  <c r="R352" i="28"/>
  <c r="P352" i="28"/>
  <c r="Q352" i="28"/>
  <c r="R564" i="28"/>
  <c r="P564" i="28"/>
  <c r="Q564" i="28"/>
  <c r="R17" i="28"/>
  <c r="Q17" i="28"/>
  <c r="P17" i="28"/>
  <c r="R280" i="28"/>
  <c r="P280" i="28"/>
  <c r="Q280" i="28"/>
  <c r="R98" i="28"/>
  <c r="Q98" i="28"/>
  <c r="P98" i="28"/>
  <c r="R427" i="28"/>
  <c r="P427" i="28"/>
  <c r="Q427" i="28"/>
  <c r="R417" i="28"/>
  <c r="P417" i="28"/>
  <c r="Q417" i="28"/>
  <c r="R442" i="28"/>
  <c r="Q442" i="28"/>
  <c r="P442" i="28"/>
  <c r="R366" i="28"/>
  <c r="Q366" i="28"/>
  <c r="P366" i="28"/>
  <c r="R317" i="28"/>
  <c r="P317" i="28"/>
  <c r="Q317" i="28"/>
  <c r="R322" i="28"/>
  <c r="Q322" i="28"/>
  <c r="P322" i="28"/>
  <c r="R477" i="28"/>
  <c r="P477" i="28"/>
  <c r="Q477" i="28"/>
  <c r="R568" i="28"/>
  <c r="P568" i="28"/>
  <c r="Q568" i="28"/>
  <c r="R391" i="28"/>
  <c r="P391" i="28"/>
  <c r="Q391" i="28"/>
  <c r="R162" i="28"/>
  <c r="Q162" i="28"/>
  <c r="P162" i="28"/>
  <c r="R156" i="28"/>
  <c r="Q156" i="28"/>
  <c r="P156" i="28"/>
  <c r="R373" i="28"/>
  <c r="P373" i="28"/>
  <c r="Q373" i="28"/>
  <c r="R450" i="28"/>
  <c r="Q450" i="28"/>
  <c r="P450" i="28"/>
  <c r="R96" i="28"/>
  <c r="Q96" i="28"/>
  <c r="P96" i="28"/>
  <c r="R205" i="28"/>
  <c r="Q205" i="28"/>
  <c r="P205" i="28"/>
  <c r="R573" i="28"/>
  <c r="P573" i="28"/>
  <c r="Q573" i="28"/>
  <c r="R533" i="28"/>
  <c r="P533" i="28"/>
  <c r="Q533" i="28"/>
  <c r="R202" i="28"/>
  <c r="Q202" i="28"/>
  <c r="P202" i="28"/>
  <c r="R475" i="28"/>
  <c r="P475" i="28"/>
  <c r="Q475" i="28"/>
  <c r="R476" i="28"/>
  <c r="P476" i="28"/>
  <c r="Q476" i="28"/>
  <c r="R576" i="28"/>
  <c r="P576" i="28"/>
  <c r="Q576" i="28"/>
  <c r="R440" i="28"/>
  <c r="P440" i="28"/>
  <c r="Q440" i="28"/>
  <c r="R73" i="28"/>
  <c r="Q73" i="28"/>
  <c r="P73" i="28"/>
  <c r="R55" i="28"/>
  <c r="Q55" i="28"/>
  <c r="P55" i="28"/>
  <c r="R369" i="28"/>
  <c r="P369" i="28"/>
  <c r="Q369" i="28"/>
  <c r="R546" i="28"/>
  <c r="Q546" i="28"/>
  <c r="P546" i="28"/>
  <c r="R482" i="28"/>
  <c r="Q482" i="28"/>
  <c r="P482" i="28"/>
  <c r="R108" i="28"/>
  <c r="Q108" i="28"/>
  <c r="P108" i="28"/>
  <c r="R237" i="28"/>
  <c r="Q237" i="28"/>
  <c r="P237" i="28"/>
  <c r="R418" i="28"/>
  <c r="Q418" i="28"/>
  <c r="P418" i="28"/>
  <c r="R245" i="28"/>
  <c r="Q245" i="28"/>
  <c r="P245" i="28"/>
  <c r="R229" i="28"/>
  <c r="Q229" i="28"/>
  <c r="P229" i="28"/>
  <c r="R445" i="28"/>
  <c r="P445" i="28"/>
  <c r="Q445" i="28"/>
  <c r="R428" i="28"/>
  <c r="P428" i="28"/>
  <c r="Q428" i="28"/>
  <c r="R277" i="28"/>
  <c r="P277" i="28"/>
  <c r="Q277" i="28"/>
  <c r="R84" i="28"/>
  <c r="Q84" i="28"/>
  <c r="P84" i="28"/>
  <c r="R57" i="28"/>
  <c r="Q57" i="28"/>
  <c r="P57" i="28"/>
  <c r="R485" i="28"/>
  <c r="P485" i="28"/>
  <c r="Q485" i="28"/>
  <c r="R66" i="28"/>
  <c r="Q66" i="28"/>
  <c r="P66" i="28"/>
  <c r="R12" i="28"/>
  <c r="Q12" i="28"/>
  <c r="P12" i="28"/>
  <c r="R186" i="28"/>
  <c r="Q186" i="28"/>
  <c r="P186" i="28"/>
  <c r="R368" i="28"/>
  <c r="P368" i="28"/>
  <c r="Q368" i="28"/>
  <c r="R239" i="28"/>
  <c r="Q239" i="28"/>
  <c r="P239" i="28"/>
  <c r="R268" i="28"/>
  <c r="P268" i="28"/>
  <c r="Q268" i="28"/>
  <c r="R375" i="28"/>
  <c r="P375" i="28"/>
  <c r="Q375" i="28"/>
  <c r="R523" i="28"/>
  <c r="P523" i="28"/>
  <c r="Q523" i="28"/>
  <c r="R211" i="28"/>
  <c r="Q211" i="28"/>
  <c r="P211" i="28"/>
  <c r="R23" i="28"/>
  <c r="Q23" i="28"/>
  <c r="P23" i="28"/>
  <c r="R135" i="28"/>
  <c r="Q135" i="28"/>
  <c r="P135" i="28"/>
  <c r="R215" i="28"/>
  <c r="Q215" i="28"/>
  <c r="P215" i="28"/>
  <c r="R10" i="28"/>
  <c r="Q10" i="28"/>
  <c r="P10" i="28"/>
  <c r="R119" i="28"/>
  <c r="Q119" i="28"/>
  <c r="P119" i="28"/>
  <c r="R429" i="28"/>
  <c r="P429" i="28"/>
  <c r="Q429" i="28"/>
  <c r="R11" i="28"/>
  <c r="Q11" i="28"/>
  <c r="P11" i="28"/>
  <c r="R586" i="28"/>
  <c r="Q586" i="28"/>
  <c r="P586" i="28"/>
  <c r="R548" i="28"/>
  <c r="P548" i="28"/>
  <c r="Q548" i="28"/>
  <c r="R212" i="28"/>
  <c r="Q212" i="28"/>
  <c r="P212" i="28"/>
  <c r="R37" i="28"/>
  <c r="Q37" i="28"/>
  <c r="P37" i="28"/>
  <c r="R264" i="28"/>
  <c r="P264" i="28"/>
  <c r="Q264" i="28"/>
  <c r="R585" i="28"/>
  <c r="P585" i="28"/>
  <c r="Q585" i="28"/>
  <c r="R228" i="28"/>
  <c r="Q228" i="28"/>
  <c r="P228" i="28"/>
  <c r="R130" i="28"/>
  <c r="Q130" i="28"/>
  <c r="P130" i="28"/>
  <c r="R316" i="28"/>
  <c r="P316" i="28"/>
  <c r="Q316" i="28"/>
  <c r="R169" i="28"/>
  <c r="Q169" i="28"/>
  <c r="P169" i="28"/>
  <c r="R481" i="28"/>
  <c r="P481" i="28"/>
  <c r="Q481" i="28"/>
  <c r="R560" i="28"/>
  <c r="P560" i="28"/>
  <c r="Q560" i="28"/>
  <c r="R512" i="28"/>
  <c r="P512" i="28"/>
  <c r="Q512" i="28"/>
  <c r="R209" i="28"/>
  <c r="Q209" i="28"/>
  <c r="P209" i="28"/>
  <c r="R400" i="28"/>
  <c r="P400" i="28"/>
  <c r="Q400" i="28"/>
  <c r="R343" i="28"/>
  <c r="P343" i="28"/>
  <c r="Q343" i="28"/>
  <c r="R550" i="28"/>
  <c r="Q550" i="28"/>
  <c r="P550" i="28"/>
  <c r="R588" i="28"/>
  <c r="P588" i="28"/>
  <c r="Q588" i="28"/>
  <c r="R396" i="28"/>
  <c r="P396" i="28"/>
  <c r="Q396" i="28"/>
  <c r="R517" i="28"/>
  <c r="P517" i="28"/>
  <c r="Q517" i="28"/>
  <c r="R545" i="28"/>
  <c r="P545" i="28"/>
  <c r="Q545" i="28"/>
  <c r="R161" i="28"/>
  <c r="Q161" i="28"/>
  <c r="P161" i="28"/>
  <c r="R342" i="28"/>
  <c r="Q342" i="28"/>
  <c r="P342" i="28"/>
  <c r="R225" i="28"/>
  <c r="Q225" i="28"/>
  <c r="P225" i="28"/>
  <c r="R238" i="28"/>
  <c r="Q238" i="28"/>
  <c r="P238" i="28"/>
  <c r="R451" i="28"/>
  <c r="P451" i="28"/>
  <c r="Q451" i="28"/>
  <c r="R92" i="28"/>
  <c r="Q92" i="28"/>
  <c r="P92" i="28"/>
  <c r="R89" i="28"/>
  <c r="Q89" i="28"/>
  <c r="P89" i="28"/>
  <c r="R236" i="28"/>
  <c r="Q236" i="28"/>
  <c r="P236" i="28"/>
  <c r="R276" i="28"/>
  <c r="P276" i="28"/>
  <c r="Q276" i="28"/>
  <c r="R259" i="28"/>
  <c r="P259" i="28"/>
  <c r="Q259" i="28"/>
  <c r="R341" i="28"/>
  <c r="P341" i="28"/>
  <c r="Q341" i="28"/>
  <c r="R105" i="28"/>
  <c r="Q105" i="28"/>
  <c r="P105" i="28"/>
  <c r="R26" i="28"/>
  <c r="Q26" i="28"/>
  <c r="P26" i="28"/>
  <c r="R513" i="28"/>
  <c r="P513" i="28"/>
  <c r="Q513" i="28"/>
  <c r="R420" i="28"/>
  <c r="P420" i="28"/>
  <c r="Q420" i="28"/>
  <c r="R24" i="28"/>
  <c r="Q24" i="28"/>
  <c r="P24" i="28"/>
  <c r="R266" i="28"/>
  <c r="Q266" i="28"/>
  <c r="P266" i="28"/>
  <c r="R93" i="28"/>
  <c r="Q93" i="28"/>
  <c r="P93" i="28"/>
  <c r="R149" i="28"/>
  <c r="Q149" i="28"/>
  <c r="P149" i="28"/>
  <c r="R195" i="28"/>
  <c r="Q195" i="28"/>
  <c r="P195" i="28"/>
  <c r="R40" i="28"/>
  <c r="Q40" i="28"/>
  <c r="P40" i="28"/>
  <c r="R490" i="28"/>
  <c r="Q490" i="28"/>
  <c r="P490" i="28"/>
  <c r="R591" i="28"/>
  <c r="P591" i="28"/>
  <c r="Q591" i="28"/>
  <c r="R562" i="28"/>
  <c r="Q562" i="28"/>
  <c r="P562" i="28"/>
  <c r="R553" i="28"/>
  <c r="P553" i="28"/>
  <c r="Q553" i="28"/>
  <c r="R567" i="28"/>
  <c r="P567" i="28"/>
  <c r="Q567" i="28"/>
  <c r="R45" i="28"/>
  <c r="Q45" i="28"/>
  <c r="P45" i="28"/>
  <c r="R48" i="28"/>
  <c r="Q48" i="28"/>
  <c r="P48" i="28"/>
  <c r="R101" i="28"/>
  <c r="Q101" i="28"/>
  <c r="P101" i="28"/>
  <c r="R163" i="28"/>
  <c r="Q163" i="28"/>
  <c r="P163" i="28"/>
  <c r="R269" i="28"/>
  <c r="P269" i="28"/>
  <c r="Q269" i="28"/>
  <c r="R325" i="28"/>
  <c r="P325" i="28"/>
  <c r="Q325" i="28"/>
  <c r="R291" i="28"/>
  <c r="P291" i="28"/>
  <c r="Q291" i="28"/>
  <c r="R566" i="28"/>
  <c r="Q566" i="28"/>
  <c r="P566" i="28"/>
  <c r="R143" i="28"/>
  <c r="Q143" i="28"/>
  <c r="P143" i="28"/>
  <c r="R338" i="28"/>
  <c r="Q338" i="28"/>
  <c r="P338" i="28"/>
  <c r="R601" i="28"/>
  <c r="P601" i="28"/>
  <c r="Q601" i="28"/>
  <c r="R381" i="28"/>
  <c r="P381" i="28"/>
  <c r="Q381" i="28"/>
  <c r="R41" i="28"/>
  <c r="Q41" i="28"/>
  <c r="P41" i="28"/>
  <c r="R532" i="28"/>
  <c r="P532" i="28"/>
  <c r="Q532" i="28"/>
  <c r="R596" i="28"/>
  <c r="P596" i="28"/>
  <c r="Q596" i="28"/>
  <c r="R52" i="28"/>
  <c r="Q52" i="28"/>
  <c r="P52" i="28"/>
  <c r="R88" i="28"/>
  <c r="Q88" i="28"/>
  <c r="P88" i="28"/>
  <c r="R95" i="28"/>
  <c r="Q95" i="28"/>
  <c r="P95" i="28"/>
  <c r="R47" i="28"/>
  <c r="Q47" i="28"/>
  <c r="P47" i="28"/>
  <c r="R292" i="28"/>
  <c r="P292" i="28"/>
  <c r="Q292" i="28"/>
  <c r="R411" i="28"/>
  <c r="P411" i="28"/>
  <c r="Q411" i="28"/>
  <c r="R328" i="28"/>
  <c r="P328" i="28"/>
  <c r="Q328" i="28"/>
  <c r="R303" i="28"/>
  <c r="P303" i="28"/>
  <c r="Q303" i="28"/>
  <c r="R270" i="28"/>
  <c r="Q270" i="28"/>
  <c r="P270" i="28"/>
  <c r="R267" i="28"/>
  <c r="P267" i="28"/>
  <c r="Q267" i="28"/>
  <c r="R49" i="28"/>
  <c r="Q49" i="28"/>
  <c r="P49" i="28"/>
  <c r="R298" i="28"/>
  <c r="Q298" i="28"/>
  <c r="P298" i="28"/>
  <c r="R472" i="28"/>
  <c r="P472" i="28"/>
  <c r="Q472" i="28"/>
  <c r="R330" i="28"/>
  <c r="Q330" i="28"/>
  <c r="P330" i="28"/>
  <c r="R214" i="28"/>
  <c r="Q214" i="28"/>
  <c r="P214" i="28"/>
  <c r="R72" i="28"/>
  <c r="Q72" i="28"/>
  <c r="P72" i="28"/>
  <c r="R260" i="28"/>
  <c r="P260" i="28"/>
  <c r="Q260" i="28"/>
  <c r="R263" i="28"/>
  <c r="P263" i="28"/>
  <c r="Q263" i="28"/>
  <c r="R531" i="28"/>
  <c r="P531" i="28"/>
  <c r="Q531" i="28"/>
  <c r="R99" i="28"/>
  <c r="Q99" i="28"/>
  <c r="P99" i="28"/>
  <c r="R33" i="28"/>
  <c r="Q33" i="28"/>
  <c r="P33" i="28"/>
  <c r="R313" i="28"/>
  <c r="P313" i="28"/>
  <c r="Q313" i="28"/>
  <c r="R164" i="28"/>
  <c r="Q164" i="28"/>
  <c r="P164" i="28"/>
  <c r="R139" i="28"/>
  <c r="Q139" i="28"/>
  <c r="P139" i="28"/>
  <c r="R506" i="28"/>
  <c r="Q506" i="28"/>
  <c r="P506" i="28"/>
  <c r="R265" i="28"/>
  <c r="P265" i="28"/>
  <c r="Q265" i="28"/>
  <c r="R470" i="28"/>
  <c r="Q470" i="28"/>
  <c r="P470" i="28"/>
  <c r="R50" i="28"/>
  <c r="Q50" i="28"/>
  <c r="P50" i="28"/>
  <c r="R351" i="28"/>
  <c r="P351" i="28"/>
  <c r="Q351" i="28"/>
  <c r="R7" i="28"/>
  <c r="Q7" i="28"/>
  <c r="P7" i="28"/>
  <c r="R91" i="28"/>
  <c r="Q91" i="28"/>
  <c r="P91" i="28"/>
  <c r="R359" i="28"/>
  <c r="P359" i="28"/>
  <c r="Q359" i="28"/>
  <c r="R76" i="28"/>
  <c r="Q76" i="28"/>
  <c r="P76" i="28"/>
  <c r="R399" i="28"/>
  <c r="P399" i="28"/>
  <c r="Q399" i="28"/>
  <c r="R34" i="28"/>
  <c r="Q34" i="28"/>
  <c r="P34" i="28"/>
  <c r="R572" i="28"/>
  <c r="P572" i="28"/>
  <c r="Q572" i="28"/>
  <c r="R319" i="28"/>
  <c r="P319" i="28"/>
  <c r="Q319" i="28"/>
  <c r="R29" i="28"/>
  <c r="Q29" i="28"/>
  <c r="P29" i="28"/>
  <c r="R464" i="28"/>
  <c r="P464" i="28"/>
  <c r="Q464" i="28"/>
  <c r="R15" i="28"/>
  <c r="Q15" i="28"/>
  <c r="P15" i="28"/>
  <c r="R251" i="28"/>
  <c r="Q251" i="28"/>
  <c r="P251" i="28"/>
  <c r="R362" i="28"/>
  <c r="Q362" i="28"/>
  <c r="P362" i="28"/>
  <c r="R608" i="28"/>
  <c r="P608" i="28"/>
  <c r="Q608" i="28"/>
  <c r="R557" i="28"/>
  <c r="P557" i="28"/>
  <c r="Q557" i="28"/>
  <c r="R349" i="28"/>
  <c r="P349" i="28"/>
  <c r="Q349" i="28"/>
  <c r="R3" i="28"/>
  <c r="Q3" i="28"/>
  <c r="P3" i="28"/>
  <c r="R346" i="28"/>
  <c r="Q346" i="28"/>
  <c r="P346" i="28"/>
  <c r="R556" i="28"/>
  <c r="P556" i="28"/>
  <c r="Q556" i="28"/>
  <c r="R551" i="28"/>
  <c r="P551" i="28"/>
  <c r="Q551" i="28"/>
  <c r="R226" i="28"/>
  <c r="Q226" i="28"/>
  <c r="P226" i="28"/>
  <c r="R13" i="28"/>
  <c r="Q13" i="28"/>
  <c r="P13" i="28"/>
  <c r="R290" i="28"/>
  <c r="Q290" i="28"/>
  <c r="P290" i="28"/>
  <c r="R184" i="28"/>
  <c r="Q184" i="28"/>
  <c r="P184" i="28"/>
  <c r="R509" i="28"/>
  <c r="P509" i="28"/>
  <c r="Q509" i="28"/>
  <c r="R432" i="28"/>
  <c r="P432" i="28"/>
  <c r="Q432" i="28"/>
  <c r="R65" i="28"/>
  <c r="Q65" i="28"/>
  <c r="P65" i="28"/>
  <c r="R275" i="28"/>
  <c r="P275" i="28"/>
  <c r="Q275" i="28"/>
  <c r="R25" i="28"/>
  <c r="Q25" i="28"/>
  <c r="P25" i="28"/>
  <c r="R311" i="28"/>
  <c r="P311" i="28"/>
  <c r="Q311" i="28"/>
  <c r="R87" i="28"/>
  <c r="Q87" i="28"/>
  <c r="P87" i="28"/>
  <c r="R600" i="28"/>
  <c r="P600" i="28"/>
  <c r="Q600" i="28"/>
  <c r="R419" i="28"/>
  <c r="P419" i="28"/>
  <c r="Q419" i="28"/>
  <c r="R233" i="28"/>
  <c r="Q233" i="28"/>
  <c r="P233" i="28"/>
  <c r="R6" i="28"/>
  <c r="Q6" i="28"/>
  <c r="P6" i="28"/>
  <c r="R336" i="28"/>
  <c r="P336" i="28"/>
  <c r="Q336" i="28"/>
  <c r="R426" i="28"/>
  <c r="Q426" i="28"/>
  <c r="P426" i="28"/>
  <c r="R326" i="28"/>
  <c r="Q326" i="28"/>
  <c r="P326" i="28"/>
  <c r="R279" i="28"/>
  <c r="P279" i="28"/>
  <c r="Q279" i="28"/>
  <c r="R528" i="28"/>
  <c r="P528" i="28"/>
  <c r="Q528" i="28"/>
  <c r="R365" i="28"/>
  <c r="P365" i="28"/>
  <c r="Q365" i="28"/>
  <c r="R70" i="28"/>
  <c r="Q70" i="28"/>
  <c r="P70" i="28"/>
  <c r="R200" i="28"/>
  <c r="Q200" i="28"/>
  <c r="P200" i="28"/>
  <c r="R519" i="28"/>
  <c r="P519" i="28"/>
  <c r="Q519" i="28"/>
  <c r="R443" i="28"/>
  <c r="P443" i="28"/>
  <c r="Q443" i="28"/>
  <c r="R288" i="28"/>
  <c r="P288" i="28"/>
  <c r="Q288" i="28"/>
  <c r="R574" i="28"/>
  <c r="Q574" i="28"/>
  <c r="P574" i="28"/>
  <c r="R414" i="28"/>
  <c r="Q414" i="28"/>
  <c r="P414" i="28"/>
  <c r="R563" i="28"/>
  <c r="P563" i="28"/>
  <c r="Q563" i="28"/>
  <c r="R327" i="28"/>
  <c r="P327" i="28"/>
  <c r="Q327" i="28"/>
  <c r="R469" i="28"/>
  <c r="P469" i="28"/>
  <c r="Q469" i="28"/>
  <c r="R8" i="28"/>
  <c r="Q8" i="28"/>
  <c r="P8" i="28"/>
  <c r="R173" i="28"/>
  <c r="Q173" i="28"/>
  <c r="P173" i="28"/>
  <c r="R16" i="28"/>
  <c r="Q16" i="28"/>
  <c r="P16" i="28"/>
  <c r="R446" i="28"/>
  <c r="Q446" i="28"/>
  <c r="P446" i="28"/>
  <c r="R467" i="28"/>
  <c r="P467" i="28"/>
  <c r="Q467" i="28"/>
  <c r="R329" i="28"/>
  <c r="P329" i="28"/>
  <c r="Q329" i="28"/>
  <c r="R223" i="28"/>
  <c r="Q223" i="28"/>
  <c r="P223" i="28"/>
  <c r="R14" i="28"/>
  <c r="Q14" i="28"/>
  <c r="P14" i="28"/>
  <c r="R555" i="28"/>
  <c r="P555" i="28"/>
  <c r="Q555" i="28"/>
  <c r="R136" i="28"/>
  <c r="Q136" i="28"/>
  <c r="P136" i="28"/>
  <c r="R321" i="28"/>
  <c r="P321" i="28"/>
  <c r="Q321" i="28"/>
  <c r="R525" i="28"/>
  <c r="P525" i="28"/>
  <c r="Q525" i="28"/>
  <c r="R543" i="28"/>
  <c r="P543" i="28"/>
  <c r="Q543" i="28"/>
  <c r="R59" i="28"/>
  <c r="Q59" i="28"/>
  <c r="P59" i="28"/>
  <c r="R388" i="28"/>
  <c r="P388" i="28"/>
  <c r="Q388" i="28"/>
  <c r="R412" i="28"/>
  <c r="P412" i="28"/>
  <c r="Q412" i="28"/>
  <c r="R312" i="28"/>
  <c r="P312" i="28"/>
  <c r="Q312" i="28"/>
  <c r="R252" i="28"/>
  <c r="P252" i="28"/>
  <c r="Q252" i="28"/>
  <c r="R250" i="28"/>
  <c r="Q250" i="28"/>
  <c r="P250" i="28"/>
  <c r="R353" i="28"/>
  <c r="P353" i="28"/>
  <c r="Q353" i="28"/>
  <c r="R53" i="28"/>
  <c r="Q53" i="28"/>
  <c r="P53" i="28"/>
  <c r="R286" i="28"/>
  <c r="Q286" i="28"/>
  <c r="P286" i="28"/>
  <c r="R424" i="28"/>
  <c r="P424" i="28"/>
  <c r="Q424" i="28"/>
  <c r="R459" i="28"/>
  <c r="P459" i="28"/>
  <c r="Q459" i="28"/>
  <c r="R390" i="28"/>
  <c r="Q390" i="28"/>
  <c r="P390" i="28"/>
  <c r="R188" i="28"/>
  <c r="Q188" i="28"/>
  <c r="P188" i="28"/>
  <c r="R402" i="28"/>
  <c r="Q402" i="28"/>
  <c r="P402" i="28"/>
  <c r="R602" i="28"/>
  <c r="Q602" i="28"/>
  <c r="P602" i="28"/>
  <c r="R118" i="28"/>
  <c r="Q118" i="28"/>
  <c r="P118" i="28"/>
  <c r="R458" i="28"/>
  <c r="Q458" i="28"/>
  <c r="P458" i="28"/>
  <c r="R178" i="28"/>
  <c r="Q178" i="28"/>
  <c r="P178" i="28"/>
  <c r="R81" i="28"/>
  <c r="Q81" i="28"/>
  <c r="P81" i="28"/>
  <c r="R604" i="28"/>
  <c r="P604" i="28"/>
  <c r="Q604" i="28"/>
  <c r="R80" i="28"/>
  <c r="Q80" i="28"/>
  <c r="P80" i="28"/>
  <c r="R36" i="28"/>
  <c r="Q36" i="28"/>
  <c r="P36" i="28"/>
  <c r="R151" i="28"/>
  <c r="Q151" i="28"/>
  <c r="P151" i="28"/>
  <c r="R530" i="28"/>
  <c r="Q530" i="28"/>
  <c r="P530" i="28"/>
  <c r="R111" i="28"/>
  <c r="Q111" i="28"/>
  <c r="P111" i="28"/>
  <c r="R85" i="28"/>
  <c r="Q85" i="28"/>
  <c r="P85" i="28"/>
  <c r="R554" i="28"/>
  <c r="Q554" i="28"/>
  <c r="P554" i="28"/>
  <c r="R584" i="28"/>
  <c r="P584" i="28"/>
  <c r="Q584" i="28"/>
  <c r="R213" i="28"/>
  <c r="Q213" i="28"/>
  <c r="P213" i="28"/>
  <c r="R332" i="28"/>
  <c r="P332" i="28"/>
  <c r="Q332" i="28"/>
  <c r="R587" i="28"/>
  <c r="P587" i="28"/>
  <c r="Q587" i="28"/>
  <c r="R484" i="28"/>
  <c r="P484" i="28"/>
  <c r="Q484" i="28"/>
  <c r="R386" i="28"/>
  <c r="Q386" i="28"/>
  <c r="P386" i="28"/>
  <c r="R21" i="28"/>
  <c r="Q21" i="28"/>
  <c r="P21" i="28"/>
  <c r="R347" i="28"/>
  <c r="P347" i="28"/>
  <c r="Q347" i="28"/>
  <c r="R299" i="28"/>
  <c r="P299" i="28"/>
  <c r="Q299" i="28"/>
  <c r="R578" i="28"/>
  <c r="Q578" i="28"/>
  <c r="P578" i="28"/>
  <c r="R297" i="28"/>
  <c r="P297" i="28"/>
  <c r="Q297" i="28"/>
  <c r="R150" i="28"/>
  <c r="Q150" i="28"/>
  <c r="P150" i="28"/>
  <c r="R521" i="28"/>
  <c r="P521" i="28"/>
  <c r="Q521" i="28"/>
  <c r="R538" i="28"/>
  <c r="Q538" i="28"/>
  <c r="P538" i="28"/>
  <c r="R380" i="28"/>
  <c r="P380" i="28"/>
  <c r="Q380" i="28"/>
  <c r="R74" i="28"/>
  <c r="Q74" i="28"/>
  <c r="P74" i="28"/>
  <c r="R192" i="28"/>
  <c r="Q192" i="28"/>
  <c r="P192" i="28"/>
  <c r="R218" i="28"/>
  <c r="Q218" i="28"/>
  <c r="P218" i="28"/>
  <c r="R107" i="28"/>
  <c r="Q107" i="28"/>
  <c r="P107" i="28"/>
  <c r="R413" i="28"/>
  <c r="P413" i="28"/>
  <c r="Q413" i="28"/>
  <c r="R166" i="28"/>
  <c r="Q166" i="28"/>
  <c r="P166" i="28"/>
  <c r="R378" i="28"/>
  <c r="Q378" i="28"/>
  <c r="P378" i="28"/>
  <c r="R498" i="28"/>
  <c r="Q498" i="28"/>
  <c r="P498" i="28"/>
  <c r="R176" i="28"/>
  <c r="Q176" i="28"/>
  <c r="P176" i="28"/>
  <c r="R406" i="28"/>
  <c r="Q406" i="28"/>
  <c r="P406" i="28"/>
  <c r="R527" i="28"/>
  <c r="P527" i="28"/>
  <c r="Q527" i="28"/>
  <c r="R314" i="28"/>
  <c r="Q314" i="28"/>
  <c r="P314" i="28"/>
  <c r="R423" i="28"/>
  <c r="P423" i="28"/>
  <c r="Q423" i="28"/>
  <c r="R310" i="28"/>
  <c r="Q310" i="28"/>
  <c r="P310" i="28"/>
  <c r="R324" i="28"/>
  <c r="P324" i="28"/>
  <c r="Q324" i="28"/>
  <c r="R110" i="28"/>
  <c r="Q110" i="28"/>
  <c r="P110" i="28"/>
  <c r="R278" i="28"/>
  <c r="Q278" i="28"/>
  <c r="P278" i="28"/>
  <c r="R575" i="28"/>
  <c r="P575" i="28"/>
  <c r="Q575" i="28"/>
  <c r="R142" i="28"/>
  <c r="Q142" i="28"/>
  <c r="P142" i="28"/>
  <c r="R115" i="28"/>
  <c r="Q115" i="28"/>
  <c r="P115" i="28"/>
  <c r="R542" i="28"/>
  <c r="Q542" i="28"/>
  <c r="P542" i="28"/>
  <c r="R520" i="28"/>
  <c r="P520" i="28"/>
  <c r="Q520" i="28"/>
  <c r="R274" i="28"/>
  <c r="Q274" i="28"/>
  <c r="P274" i="28"/>
  <c r="R227" i="28"/>
  <c r="Q227" i="28"/>
  <c r="P227" i="28"/>
  <c r="R487" i="28"/>
  <c r="P487" i="28"/>
  <c r="Q487" i="28"/>
  <c r="R148" i="28"/>
  <c r="Q148" i="28"/>
  <c r="P148" i="28"/>
  <c r="R302" i="28"/>
  <c r="Q302" i="28"/>
  <c r="P302" i="28"/>
  <c r="R455" i="28"/>
  <c r="P455" i="28"/>
  <c r="Q455" i="28"/>
  <c r="R125" i="28"/>
  <c r="Q125" i="28"/>
  <c r="P125" i="28"/>
  <c r="R116" i="28"/>
  <c r="Q116" i="28"/>
  <c r="P116" i="28"/>
  <c r="R544" i="28"/>
  <c r="P544" i="28"/>
  <c r="Q544" i="28"/>
  <c r="R339" i="28"/>
  <c r="P339" i="28"/>
  <c r="Q339" i="28"/>
  <c r="R273" i="28"/>
  <c r="P273" i="28"/>
  <c r="Q273" i="28"/>
  <c r="R5" i="28"/>
  <c r="Q5" i="28"/>
  <c r="P5" i="28"/>
  <c r="R526" i="28"/>
  <c r="Q526" i="28"/>
  <c r="P526" i="28"/>
  <c r="R383" i="28"/>
  <c r="P383" i="28"/>
  <c r="Q383" i="28"/>
  <c r="R348" i="28"/>
  <c r="P348" i="28"/>
  <c r="Q348" i="28"/>
  <c r="R304" i="28"/>
  <c r="P304" i="28"/>
  <c r="Q304" i="28"/>
  <c r="R282" i="28"/>
  <c r="Q282" i="28"/>
  <c r="P282" i="28"/>
  <c r="R577" i="28"/>
  <c r="P577" i="28"/>
  <c r="Q577" i="28"/>
  <c r="R258" i="28"/>
  <c r="Q258" i="28"/>
  <c r="P258" i="28"/>
  <c r="R468" i="28"/>
  <c r="P468" i="28"/>
  <c r="Q468" i="28"/>
  <c r="R179" i="28"/>
  <c r="Q179" i="28"/>
  <c r="P179" i="28"/>
  <c r="R503" i="28"/>
  <c r="P503" i="28"/>
  <c r="Q503" i="28"/>
  <c r="R421" i="28"/>
  <c r="P421" i="28"/>
  <c r="Q421" i="28"/>
  <c r="R129" i="28"/>
  <c r="Q129" i="28"/>
  <c r="P129" i="28"/>
  <c r="R180" i="28"/>
  <c r="Q180" i="28"/>
  <c r="P180" i="28"/>
  <c r="R372" i="28"/>
  <c r="P372" i="28"/>
  <c r="Q372" i="28"/>
  <c r="R474" i="28"/>
  <c r="Q474" i="28"/>
  <c r="P474" i="28"/>
  <c r="R452" i="28"/>
  <c r="P452" i="28"/>
  <c r="Q452" i="28"/>
  <c r="R32" i="28"/>
  <c r="Q32" i="28"/>
  <c r="P32" i="28"/>
  <c r="R497" i="28"/>
  <c r="P497" i="28"/>
  <c r="Q497" i="28"/>
  <c r="R350" i="28"/>
  <c r="Q350" i="28"/>
  <c r="P350" i="28"/>
  <c r="R102" i="28"/>
  <c r="Q102" i="28"/>
  <c r="P102" i="28"/>
  <c r="R387" i="28"/>
  <c r="P387" i="28"/>
  <c r="Q387" i="28"/>
  <c r="R549" i="28"/>
  <c r="P549" i="28"/>
  <c r="Q549" i="28"/>
  <c r="R170" i="28"/>
  <c r="Q170" i="28"/>
  <c r="P170" i="28"/>
  <c r="R456" i="28"/>
  <c r="P456" i="28"/>
  <c r="Q456" i="28"/>
  <c r="R465" i="28"/>
  <c r="P465" i="28"/>
  <c r="Q465" i="28"/>
  <c r="R216" i="28"/>
  <c r="Q216" i="28"/>
  <c r="P216" i="28"/>
  <c r="R337" i="28"/>
  <c r="P337" i="28"/>
  <c r="Q337" i="28"/>
  <c r="R9" i="28"/>
  <c r="Q9" i="28"/>
  <c r="P9" i="28"/>
  <c r="R183" i="28"/>
  <c r="Q183" i="28"/>
  <c r="P183" i="28"/>
  <c r="R371" i="28"/>
  <c r="P371" i="28"/>
  <c r="Q371" i="28"/>
  <c r="R240" i="28"/>
  <c r="Q240" i="28"/>
  <c r="P240" i="28"/>
  <c r="R345" i="28"/>
  <c r="P345" i="28"/>
  <c r="Q345" i="28"/>
  <c r="R595" i="28"/>
  <c r="P595" i="28"/>
  <c r="Q595" i="28"/>
  <c r="R210" i="28"/>
  <c r="Q210" i="28"/>
  <c r="P210" i="28"/>
  <c r="R356" i="28"/>
  <c r="P356" i="28"/>
  <c r="Q356" i="28"/>
  <c r="R75" i="28"/>
  <c r="Q75" i="28"/>
  <c r="P75" i="28"/>
  <c r="R565" i="28"/>
  <c r="P565" i="28"/>
  <c r="Q565" i="28"/>
  <c r="R534" i="28"/>
  <c r="Q534" i="28"/>
  <c r="P534" i="28"/>
  <c r="R594" i="28"/>
  <c r="Q594" i="28"/>
  <c r="P594" i="28"/>
  <c r="R208" i="28"/>
  <c r="Q208" i="28"/>
  <c r="P208" i="28"/>
  <c r="R507" i="28"/>
  <c r="P507" i="28"/>
  <c r="Q507" i="28"/>
  <c r="R171" i="28"/>
  <c r="Q171" i="28"/>
  <c r="P171" i="28"/>
  <c r="R79" i="28"/>
  <c r="Q79" i="28"/>
  <c r="P79" i="28"/>
  <c r="R415" i="28"/>
  <c r="P415" i="28"/>
  <c r="Q415" i="28"/>
  <c r="R331" i="28"/>
  <c r="P331" i="28"/>
  <c r="Q331" i="28"/>
  <c r="R82" i="28"/>
  <c r="Q82" i="28"/>
  <c r="P82" i="28"/>
  <c r="R158" i="28"/>
  <c r="Q158" i="28"/>
  <c r="P158" i="28"/>
  <c r="R439" i="28"/>
  <c r="P439" i="28"/>
  <c r="Q439" i="28"/>
  <c r="R486" i="28"/>
  <c r="Q486" i="28"/>
  <c r="P486" i="28"/>
  <c r="R27" i="28"/>
  <c r="Q27" i="28"/>
  <c r="P27" i="28"/>
  <c r="R68" i="28"/>
  <c r="Q68" i="28"/>
  <c r="R435" i="28"/>
  <c r="P435" i="28"/>
  <c r="Q435" i="28"/>
  <c r="R333" i="28"/>
  <c r="P333" i="28"/>
  <c r="Q333" i="28"/>
  <c r="R583" i="28"/>
  <c r="P583" i="28"/>
  <c r="Q583" i="28"/>
  <c r="R235" i="28"/>
  <c r="Q235" i="28"/>
  <c r="P235" i="28"/>
  <c r="R133" i="28"/>
  <c r="Q133" i="28"/>
  <c r="P133" i="28"/>
  <c r="R172" i="28"/>
  <c r="Q172" i="28"/>
  <c r="P172" i="28"/>
  <c r="R599" i="28"/>
  <c r="P599" i="28"/>
  <c r="Q599" i="28"/>
  <c r="R579" i="28"/>
  <c r="P579" i="28"/>
  <c r="Q579" i="28"/>
  <c r="R165" i="28"/>
  <c r="Q165" i="28"/>
  <c r="P165" i="28"/>
  <c r="R537" i="28"/>
  <c r="P537" i="28"/>
  <c r="Q537" i="28"/>
  <c r="R284" i="28"/>
  <c r="P284" i="28"/>
  <c r="Q284" i="28"/>
  <c r="R392" i="28"/>
  <c r="P392" i="28"/>
  <c r="Q392" i="28"/>
  <c r="R123" i="28"/>
  <c r="Q123" i="28"/>
  <c r="P123" i="28"/>
  <c r="R122" i="28"/>
  <c r="Q122" i="28"/>
  <c r="P122" i="28"/>
  <c r="R491" i="28"/>
  <c r="P491" i="28"/>
  <c r="Q491" i="28"/>
  <c r="R471" i="28"/>
  <c r="P471" i="28"/>
  <c r="Q471" i="28"/>
  <c r="R246" i="28"/>
  <c r="Q246" i="28"/>
  <c r="P246" i="28"/>
  <c r="R431" i="28"/>
  <c r="P431" i="28"/>
  <c r="Q431" i="28"/>
  <c r="R364" i="28"/>
  <c r="P364" i="28"/>
  <c r="Q364" i="28"/>
  <c r="R461" i="28"/>
  <c r="P461" i="28"/>
  <c r="Q461" i="28"/>
  <c r="R56" i="28"/>
  <c r="Q56" i="28"/>
  <c r="P56" i="28"/>
  <c r="R416" i="28"/>
  <c r="P416" i="28"/>
  <c r="Q416" i="28"/>
  <c r="R43" i="28"/>
  <c r="Q43" i="28"/>
  <c r="P43" i="28"/>
  <c r="R174" i="28"/>
  <c r="Q174" i="28"/>
  <c r="P174" i="28"/>
  <c r="R69" i="28"/>
  <c r="Q69" i="28"/>
  <c r="P69" i="28"/>
  <c r="R222" i="28"/>
  <c r="Q222" i="28"/>
  <c r="P222" i="28"/>
  <c r="R305" i="28"/>
  <c r="P305" i="28"/>
  <c r="Q305" i="28"/>
  <c r="R253" i="28"/>
  <c r="P253" i="28"/>
  <c r="Q253" i="28"/>
  <c r="R124" i="28"/>
  <c r="Q124" i="28"/>
  <c r="P124" i="28"/>
  <c r="R295" i="28"/>
  <c r="P295" i="28"/>
  <c r="Q295" i="28"/>
  <c r="R344" i="28"/>
  <c r="P344" i="28"/>
  <c r="Q344" i="28"/>
  <c r="R376" i="28"/>
  <c r="P376" i="28"/>
  <c r="Q376" i="28"/>
  <c r="R127" i="28"/>
  <c r="Q127" i="28"/>
  <c r="P127" i="28"/>
  <c r="R385" i="28"/>
  <c r="P385" i="28"/>
  <c r="Q385" i="28"/>
  <c r="R197" i="28"/>
  <c r="Q197" i="28"/>
  <c r="P197" i="28"/>
  <c r="R511" i="28"/>
  <c r="P511" i="28"/>
  <c r="Q511" i="28"/>
  <c r="R114" i="28"/>
  <c r="Q114" i="28"/>
  <c r="P114" i="28"/>
  <c r="R134" i="28"/>
  <c r="Q134" i="28"/>
  <c r="P134" i="28"/>
  <c r="R460" i="28"/>
  <c r="P460" i="28"/>
  <c r="Q460" i="28"/>
  <c r="R453" i="28"/>
  <c r="P453" i="28"/>
  <c r="Q453" i="28"/>
  <c r="R293" i="28"/>
  <c r="P293" i="28"/>
  <c r="Q293" i="28"/>
  <c r="R524" i="28"/>
  <c r="P524" i="28"/>
  <c r="Q524" i="28"/>
  <c r="R244" i="28"/>
  <c r="Q244" i="28"/>
  <c r="P244" i="28"/>
  <c r="R199" i="28"/>
  <c r="Q199" i="28"/>
  <c r="P199" i="28"/>
  <c r="R522" i="28"/>
  <c r="Q522" i="28"/>
  <c r="P522" i="28"/>
  <c r="R217" i="28"/>
  <c r="Q217" i="28"/>
  <c r="P217" i="28"/>
  <c r="R155" i="28"/>
  <c r="Q155" i="28"/>
  <c r="P155" i="28"/>
  <c r="R309" i="28"/>
  <c r="P309" i="28"/>
  <c r="Q309" i="28"/>
  <c r="R323" i="28"/>
  <c r="P323" i="28"/>
  <c r="Q323" i="28"/>
  <c r="R126" i="28"/>
  <c r="Q126" i="28"/>
  <c r="P126" i="28"/>
  <c r="R64" i="28"/>
  <c r="Q64" i="28"/>
  <c r="P64" i="28"/>
  <c r="R569" i="28"/>
  <c r="P569" i="28"/>
  <c r="Q569" i="28"/>
  <c r="R272" i="28"/>
  <c r="P272" i="28"/>
  <c r="Q272" i="28"/>
  <c r="R307" i="28"/>
  <c r="P307" i="28"/>
  <c r="Q307" i="28"/>
  <c r="R466" i="28"/>
  <c r="Q466" i="28"/>
  <c r="P466" i="28"/>
  <c r="R389" i="28"/>
  <c r="P389" i="28"/>
  <c r="Q389" i="28"/>
  <c r="R457" i="28"/>
  <c r="P457" i="28"/>
  <c r="Q457" i="28"/>
  <c r="R194" i="28"/>
  <c r="Q194" i="28"/>
  <c r="P194" i="28"/>
  <c r="R257" i="28"/>
  <c r="P257" i="28"/>
  <c r="Q257" i="28"/>
  <c r="R540" i="28"/>
  <c r="P540" i="28"/>
  <c r="Q540" i="28"/>
  <c r="R320" i="28"/>
  <c r="P320" i="28"/>
  <c r="Q320" i="28"/>
  <c r="R203" i="28"/>
  <c r="Q203" i="28"/>
  <c r="P203" i="28"/>
  <c r="R377" i="28"/>
  <c r="P377" i="28"/>
  <c r="Q377" i="28"/>
  <c r="R220" i="28"/>
  <c r="Q220" i="28"/>
  <c r="P220" i="28"/>
  <c r="R44" i="28"/>
  <c r="Q44" i="28"/>
  <c r="P44" i="28"/>
  <c r="R153" i="28"/>
  <c r="Q153" i="28"/>
  <c r="P153" i="28"/>
  <c r="R62" i="28"/>
  <c r="Q62" i="28"/>
  <c r="P62" i="28"/>
  <c r="R204" i="28"/>
  <c r="Q204" i="28"/>
  <c r="P204" i="28"/>
  <c r="R132" i="28"/>
  <c r="Q132" i="28"/>
  <c r="P132" i="28"/>
  <c r="R433" i="28"/>
  <c r="P433" i="28"/>
  <c r="Q433" i="28"/>
  <c r="R112" i="28"/>
  <c r="Q112" i="28"/>
  <c r="P112" i="28"/>
  <c r="R494" i="28"/>
  <c r="Q494" i="28"/>
  <c r="P494" i="28"/>
  <c r="R598" i="28"/>
  <c r="Q598" i="28"/>
  <c r="P598" i="28"/>
  <c r="R78" i="28"/>
  <c r="Q78" i="28"/>
  <c r="P78" i="28"/>
  <c r="R189" i="28"/>
  <c r="Q189" i="28"/>
  <c r="P189" i="28"/>
  <c r="R454" i="28"/>
  <c r="Q454" i="28"/>
  <c r="P454" i="28"/>
  <c r="R206" i="28"/>
  <c r="Q206" i="28"/>
  <c r="P206" i="28"/>
  <c r="R384" i="28"/>
  <c r="P384" i="28"/>
  <c r="Q384" i="28"/>
  <c r="R285" i="28"/>
  <c r="P285" i="28"/>
  <c r="Q285" i="28"/>
  <c r="R187" i="28"/>
  <c r="Q187" i="28"/>
  <c r="P187" i="28"/>
  <c r="R4" i="28"/>
  <c r="Q4" i="28"/>
  <c r="P4" i="28"/>
  <c r="R404" i="28"/>
  <c r="P404" i="28"/>
  <c r="Q404" i="28"/>
  <c r="R518" i="28"/>
  <c r="Q518" i="28"/>
  <c r="P518" i="28"/>
  <c r="R552" i="28"/>
  <c r="P552" i="28"/>
  <c r="Q552" i="28"/>
  <c r="R495" i="28"/>
  <c r="P495" i="28"/>
  <c r="Q495" i="28"/>
  <c r="R463" i="28"/>
  <c r="P463" i="28"/>
  <c r="Q463" i="28"/>
  <c r="R261" i="28"/>
  <c r="P261" i="28"/>
  <c r="Q261" i="28"/>
  <c r="R370" i="28"/>
  <c r="Q370" i="28"/>
  <c r="P370" i="28"/>
  <c r="R480" i="28"/>
  <c r="P480" i="28"/>
  <c r="Q480" i="28"/>
  <c r="R100" i="28"/>
  <c r="Q100" i="28"/>
  <c r="P100" i="28"/>
  <c r="R382" i="28"/>
  <c r="Q382" i="28"/>
  <c r="P382" i="28"/>
  <c r="R541" i="28"/>
  <c r="P541" i="28"/>
  <c r="Q541" i="28"/>
  <c r="R340" i="28"/>
  <c r="P340" i="28"/>
  <c r="Q340" i="28"/>
  <c r="R104" i="28"/>
  <c r="Q104" i="28"/>
  <c r="P104" i="28"/>
  <c r="R363" i="28"/>
  <c r="P363" i="28"/>
  <c r="Q363" i="28"/>
  <c r="R140" i="28"/>
  <c r="Q140" i="28"/>
  <c r="P140" i="28"/>
  <c r="R306" i="28"/>
  <c r="Q306" i="28"/>
  <c r="P306" i="28"/>
  <c r="R367" i="28"/>
  <c r="P367" i="28"/>
  <c r="Q367" i="28"/>
  <c r="R547" i="28"/>
  <c r="P547" i="28"/>
  <c r="Q547" i="28"/>
  <c r="R58" i="28"/>
  <c r="Q58" i="28"/>
  <c r="P58" i="28"/>
  <c r="R198" i="28"/>
  <c r="Q198" i="28"/>
  <c r="P198" i="28"/>
  <c r="R18" i="28"/>
  <c r="Q18" i="28"/>
  <c r="P18" i="28"/>
  <c r="R51" i="28"/>
  <c r="Q51" i="28"/>
  <c r="P51" i="28"/>
  <c r="R39" i="28"/>
  <c r="Q39" i="28"/>
  <c r="P39" i="28"/>
  <c r="R408" i="28"/>
  <c r="P408" i="28"/>
  <c r="Q408" i="28"/>
  <c r="R582" i="28"/>
  <c r="Q582" i="28"/>
  <c r="P582" i="28"/>
  <c r="R94" i="28"/>
  <c r="Q94" i="28"/>
  <c r="P94" i="28"/>
  <c r="R254" i="28"/>
  <c r="Q254" i="28"/>
  <c r="P254" i="28"/>
  <c r="R354" i="28"/>
  <c r="Q354" i="28"/>
  <c r="P354" i="28"/>
  <c r="AE31" i="25"/>
  <c r="AB17" i="25"/>
  <c r="AA31" i="25"/>
  <c r="AD17" i="25"/>
  <c r="H18" i="25"/>
  <c r="AE18" i="25" s="1"/>
  <c r="AE17" i="25"/>
  <c r="AD31" i="25"/>
  <c r="AA17" i="25"/>
  <c r="P4" i="8"/>
  <c r="U4" i="7"/>
  <c r="D35" i="9" s="1"/>
  <c r="E35" i="9" s="1"/>
  <c r="D56" i="9"/>
  <c r="U37" i="27"/>
  <c r="X37" i="27" s="1"/>
  <c r="U33" i="27"/>
  <c r="X33" i="27" s="1"/>
  <c r="U39" i="27"/>
  <c r="X39" i="27" s="1"/>
  <c r="U32" i="27"/>
  <c r="X32" i="27" s="1"/>
  <c r="U31" i="27"/>
  <c r="X31" i="27" s="1"/>
  <c r="U36" i="27"/>
  <c r="X36" i="27" s="1"/>
  <c r="U30" i="27"/>
  <c r="X30" i="27" s="1"/>
  <c r="U34" i="27"/>
  <c r="X34" i="27" s="1"/>
  <c r="U38" i="27"/>
  <c r="X38" i="27" s="1"/>
  <c r="U35" i="27"/>
  <c r="X35" i="27" s="1"/>
  <c r="U29" i="27"/>
  <c r="X29" i="27" s="1"/>
  <c r="U28" i="27"/>
  <c r="X28" i="27" s="1"/>
  <c r="O607" i="28"/>
  <c r="U18" i="27"/>
  <c r="X18" i="27" s="1"/>
  <c r="U14" i="27"/>
  <c r="X14" i="27" s="1"/>
  <c r="U25" i="27"/>
  <c r="X25" i="27" s="1"/>
  <c r="U15" i="27"/>
  <c r="X15" i="27" s="1"/>
  <c r="U6" i="27"/>
  <c r="X6" i="27" s="1"/>
  <c r="U16" i="27"/>
  <c r="X16" i="27" s="1"/>
  <c r="U22" i="27"/>
  <c r="X22" i="27" s="1"/>
  <c r="U9" i="27"/>
  <c r="X9" i="27" s="1"/>
  <c r="U10" i="27"/>
  <c r="X10" i="27" s="1"/>
  <c r="U23" i="27"/>
  <c r="X23" i="27" s="1"/>
  <c r="U19" i="27"/>
  <c r="X19" i="27" s="1"/>
  <c r="U8" i="27"/>
  <c r="X8" i="27" s="1"/>
  <c r="U4" i="27"/>
  <c r="X4" i="27" s="1"/>
  <c r="U12" i="27"/>
  <c r="X12" i="27" s="1"/>
  <c r="U24" i="27"/>
  <c r="X24" i="27" s="1"/>
  <c r="U27" i="27"/>
  <c r="X27" i="27" s="1"/>
  <c r="U20" i="27"/>
  <c r="X20" i="27" s="1"/>
  <c r="U26" i="27"/>
  <c r="X26" i="27" s="1"/>
  <c r="O109" i="28"/>
  <c r="U13" i="27"/>
  <c r="X13" i="27" s="1"/>
  <c r="U11" i="27"/>
  <c r="X11" i="27" s="1"/>
  <c r="U17" i="27"/>
  <c r="X17" i="27" s="1"/>
  <c r="U21" i="27"/>
  <c r="X21" i="27" s="1"/>
  <c r="U7" i="27"/>
  <c r="X7" i="27" s="1"/>
  <c r="U3" i="27"/>
  <c r="X3" i="27" s="1"/>
  <c r="U5" i="27"/>
  <c r="X5" i="27" s="1"/>
  <c r="AG5" i="22"/>
  <c r="AK5" i="22"/>
  <c r="AJ5" i="22"/>
  <c r="AH5" i="22"/>
  <c r="AI5" i="22"/>
  <c r="AF5" i="22"/>
  <c r="AL5" i="22"/>
  <c r="Q18" i="25"/>
  <c r="AB18" i="25" s="1"/>
  <c r="AB31" i="25"/>
  <c r="C18" i="25"/>
  <c r="AD18" i="25" s="1"/>
  <c r="B18" i="25"/>
  <c r="AA18" i="25" s="1"/>
  <c r="S18" i="25"/>
  <c r="AC18" i="25" s="1"/>
  <c r="I11" i="9"/>
  <c r="K12" i="9"/>
  <c r="I12" i="9"/>
  <c r="K11" i="9"/>
  <c r="O536" i="28" l="1"/>
  <c r="O283" i="28"/>
  <c r="O334" i="28"/>
  <c r="O570" i="28"/>
  <c r="O502" i="28"/>
  <c r="O224" i="28"/>
  <c r="O167" i="28"/>
  <c r="O405" i="28"/>
  <c r="O447" i="28"/>
  <c r="O120" i="28"/>
  <c r="O22" i="28"/>
  <c r="O71" i="28"/>
  <c r="O564" i="28"/>
  <c r="O294" i="28"/>
  <c r="O430" i="28"/>
  <c r="O54" i="28"/>
  <c r="O55" i="28"/>
  <c r="O230" i="28"/>
  <c r="O592" i="28"/>
  <c r="O559" i="28"/>
  <c r="O477" i="28"/>
  <c r="O417" i="28"/>
  <c r="O529" i="28"/>
  <c r="O144" i="28"/>
  <c r="O242" i="28"/>
  <c r="O481" i="28"/>
  <c r="O264" i="28"/>
  <c r="O571" i="28"/>
  <c r="O496" i="28"/>
  <c r="O287" i="28"/>
  <c r="O45" i="28"/>
  <c r="O130" i="28"/>
  <c r="O37" i="28"/>
  <c r="O239" i="28"/>
  <c r="O245" i="28"/>
  <c r="O492" i="28"/>
  <c r="O441" i="28"/>
  <c r="O483" i="28"/>
  <c r="O91" i="28"/>
  <c r="O450" i="28"/>
  <c r="O241" i="28"/>
  <c r="O154" i="28"/>
  <c r="O196" i="28"/>
  <c r="O160" i="28"/>
  <c r="O10" i="28"/>
  <c r="O362" i="28"/>
  <c r="O86" i="28"/>
  <c r="O335" i="28"/>
  <c r="O182" i="28"/>
  <c r="O590" i="28"/>
  <c r="O296" i="28"/>
  <c r="O580" i="28"/>
  <c r="O478" i="28"/>
  <c r="O234" i="28"/>
  <c r="O113" i="28"/>
  <c r="O193" i="28"/>
  <c r="O505" i="28"/>
  <c r="O251" i="28"/>
  <c r="O260" i="28"/>
  <c r="O228" i="28"/>
  <c r="O368" i="28"/>
  <c r="O108" i="28"/>
  <c r="O313" i="28"/>
  <c r="O397" i="28"/>
  <c r="O498" i="28"/>
  <c r="O458" i="28"/>
  <c r="O414" i="28"/>
  <c r="O6" i="28"/>
  <c r="O152" i="28"/>
  <c r="O157" i="28"/>
  <c r="O462" i="28"/>
  <c r="O219" i="28"/>
  <c r="O262" i="28"/>
  <c r="O190" i="28"/>
  <c r="O106" i="28"/>
  <c r="O19" i="28"/>
  <c r="O472" i="28"/>
  <c r="O292" i="28"/>
  <c r="O396" i="28"/>
  <c r="O343" i="28"/>
  <c r="O268" i="28"/>
  <c r="O428" i="28"/>
  <c r="O369" i="28"/>
  <c r="O499" i="28"/>
  <c r="O561" i="28"/>
  <c r="O355" i="28"/>
  <c r="O603" i="28"/>
  <c r="O318" i="28"/>
  <c r="O232" i="28"/>
  <c r="O514" i="28"/>
  <c r="O249" i="28"/>
  <c r="O271" i="28"/>
  <c r="O444" i="28"/>
  <c r="O407" i="28"/>
  <c r="O248" i="28"/>
  <c r="O398" i="28"/>
  <c r="O159" i="28"/>
  <c r="O131" i="28"/>
  <c r="O365" i="28"/>
  <c r="O479" i="28"/>
  <c r="O380" i="28"/>
  <c r="O604" i="28"/>
  <c r="O519" i="28"/>
  <c r="O25" i="28"/>
  <c r="O432" i="28"/>
  <c r="O3" i="28"/>
  <c r="O608" i="28"/>
  <c r="O29" i="28"/>
  <c r="O34" i="28"/>
  <c r="O7" i="28"/>
  <c r="O50" i="28"/>
  <c r="O506" i="28"/>
  <c r="O164" i="28"/>
  <c r="O330" i="28"/>
  <c r="O49" i="28"/>
  <c r="O47" i="28"/>
  <c r="O88" i="28"/>
  <c r="O532" i="28"/>
  <c r="O601" i="28"/>
  <c r="O566" i="28"/>
  <c r="O325" i="28"/>
  <c r="O163" i="28"/>
  <c r="O591" i="28"/>
  <c r="O40" i="28"/>
  <c r="O195" i="28"/>
  <c r="O149" i="28"/>
  <c r="O105" i="28"/>
  <c r="O451" i="28"/>
  <c r="O238" i="28"/>
  <c r="O342" i="28"/>
  <c r="O585" i="28"/>
  <c r="O11" i="28"/>
  <c r="O440" i="28"/>
  <c r="O202" i="28"/>
  <c r="O156" i="28"/>
  <c r="O61" i="28"/>
  <c r="O185" i="28"/>
  <c r="O256" i="28"/>
  <c r="O361" i="28"/>
  <c r="O416" i="28"/>
  <c r="O578" i="28"/>
  <c r="O347" i="28"/>
  <c r="O587" i="28"/>
  <c r="O402" i="28"/>
  <c r="O136" i="28"/>
  <c r="O311" i="28"/>
  <c r="O184" i="28"/>
  <c r="O319" i="28"/>
  <c r="O33" i="28"/>
  <c r="O119" i="28"/>
  <c r="O23" i="28"/>
  <c r="O211" i="28"/>
  <c r="O66" i="28"/>
  <c r="O277" i="28"/>
  <c r="O421" i="28"/>
  <c r="O383" i="28"/>
  <c r="O324" i="28"/>
  <c r="O286" i="28"/>
  <c r="O223" i="28"/>
  <c r="O8" i="28"/>
  <c r="O70" i="28"/>
  <c r="O426" i="28"/>
  <c r="O226" i="28"/>
  <c r="O346" i="28"/>
  <c r="O470" i="28"/>
  <c r="O139" i="28"/>
  <c r="O99" i="28"/>
  <c r="O270" i="28"/>
  <c r="O95" i="28"/>
  <c r="O562" i="28"/>
  <c r="O92" i="28"/>
  <c r="O225" i="28"/>
  <c r="O161" i="28"/>
  <c r="O550" i="28"/>
  <c r="O229" i="28"/>
  <c r="O418" i="28"/>
  <c r="O546" i="28"/>
  <c r="O96" i="28"/>
  <c r="O322" i="28"/>
  <c r="O442" i="28"/>
  <c r="O98" i="28"/>
  <c r="O17" i="28"/>
  <c r="O31" i="28"/>
  <c r="O177" i="28"/>
  <c r="O434" i="28"/>
  <c r="O201" i="28"/>
  <c r="O38" i="28"/>
  <c r="O558" i="28"/>
  <c r="O221" i="28"/>
  <c r="O137" i="28"/>
  <c r="O27" i="28"/>
  <c r="O183" i="28"/>
  <c r="O452" i="28"/>
  <c r="O544" i="28"/>
  <c r="O166" i="28"/>
  <c r="O297" i="28"/>
  <c r="O484" i="28"/>
  <c r="O554" i="28"/>
  <c r="O118" i="28"/>
  <c r="O459" i="28"/>
  <c r="O312" i="28"/>
  <c r="O59" i="28"/>
  <c r="O14" i="28"/>
  <c r="O399" i="28"/>
  <c r="O567" i="28"/>
  <c r="O490" i="28"/>
  <c r="O212" i="28"/>
  <c r="O162" i="28"/>
  <c r="O83" i="28"/>
  <c r="O168" i="28"/>
  <c r="O121" i="28"/>
  <c r="O394" i="28"/>
  <c r="O67" i="28"/>
  <c r="O46" i="28"/>
  <c r="O146" i="28"/>
  <c r="O425" i="28"/>
  <c r="O609" i="28"/>
  <c r="O117" i="28"/>
  <c r="O30" i="28"/>
  <c r="O358" i="28"/>
  <c r="O63" i="28"/>
  <c r="O138" i="28"/>
  <c r="O141" i="28"/>
  <c r="O90" i="28"/>
  <c r="O354" i="28"/>
  <c r="O594" i="28"/>
  <c r="O350" i="28"/>
  <c r="O32" i="28"/>
  <c r="O116" i="28"/>
  <c r="O148" i="28"/>
  <c r="O115" i="28"/>
  <c r="O110" i="28"/>
  <c r="O314" i="28"/>
  <c r="O176" i="28"/>
  <c r="O107" i="28"/>
  <c r="O74" i="28"/>
  <c r="O150" i="28"/>
  <c r="O386" i="28"/>
  <c r="O530" i="28"/>
  <c r="O80" i="28"/>
  <c r="O178" i="28"/>
  <c r="O390" i="28"/>
  <c r="O53" i="28"/>
  <c r="O65" i="28"/>
  <c r="O93" i="28"/>
  <c r="O266" i="28"/>
  <c r="O26" i="28"/>
  <c r="O236" i="28"/>
  <c r="O89" i="28"/>
  <c r="O209" i="28"/>
  <c r="O169" i="28"/>
  <c r="O215" i="28"/>
  <c r="O186" i="28"/>
  <c r="O57" i="28"/>
  <c r="O237" i="28"/>
  <c r="O482" i="28"/>
  <c r="O73" i="28"/>
  <c r="O205" i="28"/>
  <c r="O366" i="28"/>
  <c r="O280" i="28"/>
  <c r="O352" i="28"/>
  <c r="O410" i="28"/>
  <c r="O422" i="28"/>
  <c r="O231" i="28"/>
  <c r="O379" i="28"/>
  <c r="O488" i="28"/>
  <c r="O300" i="28"/>
  <c r="O438" i="28"/>
  <c r="O97" i="28"/>
  <c r="O35" i="28"/>
  <c r="O243" i="28"/>
  <c r="O247" i="28"/>
  <c r="O175" i="28"/>
  <c r="O281" i="28"/>
  <c r="O191" i="28"/>
  <c r="O393" i="28"/>
  <c r="O291" i="28"/>
  <c r="O513" i="28"/>
  <c r="O560" i="28"/>
  <c r="O485" i="28"/>
  <c r="O373" i="28"/>
  <c r="O317" i="28"/>
  <c r="O395" i="28"/>
  <c r="O473" i="28"/>
  <c r="O436" i="28"/>
  <c r="O535" i="28"/>
  <c r="O516" i="28"/>
  <c r="O15" i="28"/>
  <c r="O60" i="28"/>
  <c r="O51" i="28"/>
  <c r="O518" i="28"/>
  <c r="O187" i="28"/>
  <c r="O204" i="28"/>
  <c r="O220" i="28"/>
  <c r="O217" i="28"/>
  <c r="O199" i="28"/>
  <c r="O134" i="28"/>
  <c r="O197" i="28"/>
  <c r="O124" i="28"/>
  <c r="O174" i="28"/>
  <c r="O123" i="28"/>
  <c r="O165" i="28"/>
  <c r="O235" i="28"/>
  <c r="O171" i="28"/>
  <c r="O208" i="28"/>
  <c r="O75" i="28"/>
  <c r="O290" i="28"/>
  <c r="O13" i="28"/>
  <c r="O76" i="28"/>
  <c r="O72" i="28"/>
  <c r="O298" i="28"/>
  <c r="O52" i="28"/>
  <c r="O41" i="28"/>
  <c r="O338" i="28"/>
  <c r="O101" i="28"/>
  <c r="O48" i="28"/>
  <c r="O210" i="28"/>
  <c r="O583" i="28"/>
  <c r="O435" i="28"/>
  <c r="O415" i="28"/>
  <c r="O371" i="28"/>
  <c r="O339" i="28"/>
  <c r="O520" i="28"/>
  <c r="O575" i="28"/>
  <c r="O443" i="28"/>
  <c r="O419" i="28"/>
  <c r="O509" i="28"/>
  <c r="O349" i="28"/>
  <c r="O464" i="28"/>
  <c r="O359" i="28"/>
  <c r="O265" i="28"/>
  <c r="O263" i="28"/>
  <c r="O411" i="28"/>
  <c r="O381" i="28"/>
  <c r="O517" i="28"/>
  <c r="O400" i="28"/>
  <c r="O512" i="28"/>
  <c r="O316" i="28"/>
  <c r="O375" i="28"/>
  <c r="O132" i="28"/>
  <c r="O153" i="28"/>
  <c r="O64" i="28"/>
  <c r="O69" i="28"/>
  <c r="O122" i="28"/>
  <c r="O133" i="28"/>
  <c r="O158" i="28"/>
  <c r="O79" i="28"/>
  <c r="O170" i="28"/>
  <c r="O278" i="28"/>
  <c r="O125" i="28"/>
  <c r="O142" i="28"/>
  <c r="O348" i="28"/>
  <c r="O273" i="28"/>
  <c r="O252" i="28"/>
  <c r="O412" i="28"/>
  <c r="O525" i="28"/>
  <c r="O555" i="28"/>
  <c r="O563" i="28"/>
  <c r="O336" i="28"/>
  <c r="O576" i="28"/>
  <c r="O475" i="28"/>
  <c r="O568" i="28"/>
  <c r="O431" i="28"/>
  <c r="O468" i="28"/>
  <c r="O5" i="28"/>
  <c r="O584" i="28"/>
  <c r="O147" i="28"/>
  <c r="O295" i="28"/>
  <c r="O180" i="28"/>
  <c r="O258" i="28"/>
  <c r="O577" i="28"/>
  <c r="O304" i="28"/>
  <c r="O455" i="28"/>
  <c r="O218" i="28"/>
  <c r="O192" i="28"/>
  <c r="O250" i="28"/>
  <c r="O467" i="28"/>
  <c r="O495" i="28"/>
  <c r="O392" i="28"/>
  <c r="O337" i="28"/>
  <c r="O549" i="28"/>
  <c r="O423" i="28"/>
  <c r="O521" i="28"/>
  <c r="O299" i="28"/>
  <c r="O388" i="28"/>
  <c r="O321" i="28"/>
  <c r="O327" i="28"/>
  <c r="O279" i="28"/>
  <c r="O556" i="28"/>
  <c r="O557" i="28"/>
  <c r="O572" i="28"/>
  <c r="O351" i="28"/>
  <c r="O214" i="28"/>
  <c r="O267" i="28"/>
  <c r="O328" i="28"/>
  <c r="O143" i="28"/>
  <c r="O269" i="28"/>
  <c r="O553" i="28"/>
  <c r="O420" i="28"/>
  <c r="O341" i="28"/>
  <c r="O545" i="28"/>
  <c r="O548" i="28"/>
  <c r="O586" i="28"/>
  <c r="O429" i="28"/>
  <c r="O135" i="28"/>
  <c r="O523" i="28"/>
  <c r="O12" i="28"/>
  <c r="O84" i="28"/>
  <c r="O445" i="28"/>
  <c r="O476" i="28"/>
  <c r="O573" i="28"/>
  <c r="O391" i="28"/>
  <c r="O427" i="28"/>
  <c r="O508" i="28"/>
  <c r="O500" i="28"/>
  <c r="O360" i="28"/>
  <c r="O581" i="28"/>
  <c r="O489" i="28"/>
  <c r="O357" i="28"/>
  <c r="O448" i="28"/>
  <c r="O539" i="28"/>
  <c r="O308" i="28"/>
  <c r="O140" i="28"/>
  <c r="O189" i="28"/>
  <c r="O155" i="28"/>
  <c r="O127" i="28"/>
  <c r="O486" i="28"/>
  <c r="O534" i="28"/>
  <c r="O9" i="28"/>
  <c r="O102" i="28"/>
  <c r="O474" i="28"/>
  <c r="O302" i="28"/>
  <c r="O227" i="28"/>
  <c r="O378" i="28"/>
  <c r="O538" i="28"/>
  <c r="O213" i="28"/>
  <c r="O81" i="28"/>
  <c r="O16" i="28"/>
  <c r="O326" i="28"/>
  <c r="O233" i="28"/>
  <c r="O531" i="28"/>
  <c r="O303" i="28"/>
  <c r="O596" i="28"/>
  <c r="O588" i="28"/>
  <c r="O385" i="28"/>
  <c r="O537" i="28"/>
  <c r="O333" i="28"/>
  <c r="O507" i="28"/>
  <c r="O356" i="28"/>
  <c r="O345" i="28"/>
  <c r="O456" i="28"/>
  <c r="O387" i="28"/>
  <c r="O497" i="28"/>
  <c r="O487" i="28"/>
  <c r="O527" i="28"/>
  <c r="O413" i="28"/>
  <c r="O332" i="28"/>
  <c r="O329" i="28"/>
  <c r="O94" i="28"/>
  <c r="O4" i="28"/>
  <c r="N4" i="8"/>
  <c r="D24" i="9" s="1"/>
  <c r="E24" i="9" s="1"/>
  <c r="O367" i="28"/>
  <c r="O363" i="28"/>
  <c r="O541" i="28"/>
  <c r="O480" i="28"/>
  <c r="O261" i="28"/>
  <c r="O433" i="28"/>
  <c r="O198" i="28"/>
  <c r="O454" i="28"/>
  <c r="O598" i="28"/>
  <c r="O309" i="28"/>
  <c r="O453" i="28"/>
  <c r="O344" i="28"/>
  <c r="O579" i="28"/>
  <c r="O293" i="28"/>
  <c r="O253" i="28"/>
  <c r="O540" i="28"/>
  <c r="O389" i="28"/>
  <c r="O307" i="28"/>
  <c r="O323" i="28"/>
  <c r="O460" i="28"/>
  <c r="O305" i="28"/>
  <c r="O461" i="28"/>
  <c r="O491" i="28"/>
  <c r="O284" i="28"/>
  <c r="O503" i="28"/>
  <c r="O85" i="28"/>
  <c r="O353" i="28"/>
  <c r="O469" i="28"/>
  <c r="O288" i="28"/>
  <c r="O528" i="28"/>
  <c r="O600" i="28"/>
  <c r="O275" i="28"/>
  <c r="O551" i="28"/>
  <c r="O533" i="28"/>
  <c r="O409" i="28"/>
  <c r="O504" i="28"/>
  <c r="O77" i="28"/>
  <c r="O374" i="28"/>
  <c r="O282" i="28"/>
  <c r="O526" i="28"/>
  <c r="O310" i="28"/>
  <c r="O151" i="28"/>
  <c r="O112" i="28"/>
  <c r="O44" i="28"/>
  <c r="O240" i="28"/>
  <c r="O216" i="28"/>
  <c r="O129" i="28"/>
  <c r="O179" i="28"/>
  <c r="O274" i="28"/>
  <c r="O542" i="28"/>
  <c r="O406" i="28"/>
  <c r="O21" i="28"/>
  <c r="O111" i="28"/>
  <c r="O36" i="28"/>
  <c r="O602" i="28"/>
  <c r="O188" i="28"/>
  <c r="O446" i="28"/>
  <c r="O173" i="28"/>
  <c r="O574" i="28"/>
  <c r="O200" i="28"/>
  <c r="O87" i="28"/>
  <c r="O28" i="28"/>
  <c r="O2" i="28"/>
  <c r="O20" i="28"/>
  <c r="O207" i="28"/>
  <c r="J4" i="8"/>
  <c r="D21" i="9" s="1"/>
  <c r="E21" i="9" s="1"/>
  <c r="O424" i="28"/>
  <c r="O259" i="28"/>
  <c r="O276" i="28"/>
  <c r="O606" i="28"/>
  <c r="O437" i="28"/>
  <c r="O315" i="28"/>
  <c r="O289" i="28"/>
  <c r="O42" i="28"/>
  <c r="O401" i="28"/>
  <c r="O589" i="28"/>
  <c r="O501" i="28"/>
  <c r="O403" i="28"/>
  <c r="O605" i="28"/>
  <c r="O493" i="28"/>
  <c r="O593" i="28"/>
  <c r="O510" i="28"/>
  <c r="O515" i="28"/>
  <c r="O145" i="28"/>
  <c r="O103" i="28"/>
  <c r="O597" i="28"/>
  <c r="O301" i="28"/>
  <c r="O582" i="28"/>
  <c r="O39" i="28"/>
  <c r="O58" i="28"/>
  <c r="O104" i="28"/>
  <c r="O100" i="28"/>
  <c r="O370" i="28"/>
  <c r="O126" i="28"/>
  <c r="O244" i="28"/>
  <c r="O114" i="28"/>
  <c r="O68" i="28"/>
  <c r="O82" i="28"/>
  <c r="O384" i="28"/>
  <c r="O457" i="28"/>
  <c r="O272" i="28"/>
  <c r="O511" i="28"/>
  <c r="O24" i="28"/>
  <c r="J4" i="7"/>
  <c r="D20" i="9" s="1"/>
  <c r="E20" i="9" s="1"/>
  <c r="J11" i="7"/>
  <c r="O547" i="28"/>
  <c r="O463" i="28"/>
  <c r="O340" i="28"/>
  <c r="O382" i="28"/>
  <c r="O569" i="28"/>
  <c r="O471" i="28"/>
  <c r="O439" i="28"/>
  <c r="O331" i="28"/>
  <c r="O565" i="28"/>
  <c r="O595" i="28"/>
  <c r="O465" i="28"/>
  <c r="O372" i="28"/>
  <c r="O543" i="28"/>
  <c r="O306" i="28"/>
  <c r="O206" i="28"/>
  <c r="O522" i="28"/>
  <c r="L4" i="8"/>
  <c r="D18" i="9" s="1"/>
  <c r="O320" i="28"/>
  <c r="O257" i="28"/>
  <c r="O524" i="28"/>
  <c r="O376" i="28"/>
  <c r="O599" i="28"/>
  <c r="L11" i="7"/>
  <c r="L4" i="7"/>
  <c r="D17" i="9" s="1"/>
  <c r="E17" i="9" s="1"/>
  <c r="O408" i="28"/>
  <c r="O404" i="28"/>
  <c r="O254" i="28"/>
  <c r="O285" i="28"/>
  <c r="O78" i="28"/>
  <c r="O494" i="28"/>
  <c r="O62" i="28"/>
  <c r="O377" i="28"/>
  <c r="O203" i="28"/>
  <c r="O194" i="28"/>
  <c r="O466" i="28"/>
  <c r="O222" i="28"/>
  <c r="O43" i="28"/>
  <c r="O56" i="28"/>
  <c r="O364" i="28"/>
  <c r="O246" i="28"/>
  <c r="O172" i="28"/>
  <c r="O552" i="28"/>
  <c r="N11" i="7"/>
  <c r="N4" i="7"/>
  <c r="D23" i="9" s="1"/>
  <c r="E23" i="9" s="1"/>
  <c r="O18" i="28"/>
  <c r="Q4" i="8"/>
  <c r="D12" i="9" s="1"/>
  <c r="V31" i="27"/>
  <c r="Y31" i="27" s="1"/>
  <c r="V32" i="27"/>
  <c r="Y32" i="27" s="1"/>
  <c r="V33" i="27"/>
  <c r="Y33" i="27" s="1"/>
  <c r="V34" i="27"/>
  <c r="Y34" i="27" s="1"/>
  <c r="V35" i="27"/>
  <c r="Y35" i="27" s="1"/>
  <c r="V36" i="27"/>
  <c r="Y36" i="27" s="1"/>
  <c r="V37" i="27"/>
  <c r="Y37" i="27" s="1"/>
  <c r="V38" i="27"/>
  <c r="Y38" i="27" s="1"/>
  <c r="V39" i="27"/>
  <c r="Y39" i="27" s="1"/>
  <c r="V28" i="27"/>
  <c r="Y28" i="27" s="1"/>
  <c r="V29" i="27"/>
  <c r="Y29" i="27" s="1"/>
  <c r="V30" i="27"/>
  <c r="Y30" i="27" s="1"/>
  <c r="V26" i="27"/>
  <c r="Y26" i="27" s="1"/>
  <c r="V27" i="27"/>
  <c r="D53" i="9"/>
  <c r="V24" i="27"/>
  <c r="Y24" i="27" s="1"/>
  <c r="V25" i="27"/>
  <c r="Y25" i="27" s="1"/>
  <c r="V14" i="27"/>
  <c r="Y14" i="27" s="1"/>
  <c r="V19" i="27"/>
  <c r="Y19" i="27" s="1"/>
  <c r="V15" i="27"/>
  <c r="Y15" i="27" s="1"/>
  <c r="V20" i="27"/>
  <c r="Y20" i="27" s="1"/>
  <c r="V16" i="27"/>
  <c r="Y16" i="27" s="1"/>
  <c r="V21" i="27"/>
  <c r="Y21" i="27" s="1"/>
  <c r="V23" i="27"/>
  <c r="Y23" i="27" s="1"/>
  <c r="V17" i="27"/>
  <c r="Y17" i="27" s="1"/>
  <c r="V22" i="27"/>
  <c r="Y22" i="27" s="1"/>
  <c r="V18" i="27"/>
  <c r="Y18" i="27" s="1"/>
  <c r="V8" i="27"/>
  <c r="Y8" i="27" s="1"/>
  <c r="V9" i="27"/>
  <c r="Y9" i="27" s="1"/>
  <c r="V12" i="27"/>
  <c r="Y12" i="27" s="1"/>
  <c r="V3" i="27"/>
  <c r="Y3" i="27" s="1"/>
  <c r="V10" i="27"/>
  <c r="Y10" i="27" s="1"/>
  <c r="V7" i="27"/>
  <c r="Y7" i="27" s="1"/>
  <c r="V6" i="27"/>
  <c r="Y6" i="27" s="1"/>
  <c r="V4" i="27"/>
  <c r="Y4" i="27" s="1"/>
  <c r="V5" i="27"/>
  <c r="Y5" i="27" s="1"/>
  <c r="V11" i="27"/>
  <c r="Y11" i="27" s="1"/>
  <c r="V13" i="27"/>
  <c r="Y13" i="27" s="1"/>
  <c r="D11" i="9"/>
  <c r="E38" i="9" s="1"/>
  <c r="D55" i="9"/>
  <c r="D54" i="9"/>
  <c r="D52" i="9"/>
  <c r="L12" i="9"/>
  <c r="J11" i="9"/>
  <c r="J12" i="9"/>
  <c r="L11" i="9"/>
  <c r="D19" i="9"/>
  <c r="D16" i="9"/>
  <c r="D10" i="9"/>
  <c r="E4" i="7"/>
  <c r="D22" i="9"/>
  <c r="E37" i="9" l="1"/>
  <c r="E16" i="9"/>
  <c r="E19" i="9"/>
  <c r="C11" i="9"/>
  <c r="C26" i="9" s="1"/>
  <c r="E22" i="9"/>
  <c r="D28" i="9"/>
  <c r="E28" i="9" s="1"/>
  <c r="D30" i="9"/>
  <c r="E30" i="9" s="1"/>
  <c r="E18" i="9"/>
  <c r="D29" i="9"/>
  <c r="E29" i="9" s="1"/>
  <c r="E39" i="9"/>
  <c r="Y27" i="27"/>
  <c r="D27" i="9"/>
  <c r="E10" i="9"/>
  <c r="D26" i="9"/>
  <c r="D25" i="9"/>
  <c r="G4" i="8"/>
  <c r="G4" i="7"/>
  <c r="E4" i="8"/>
  <c r="E11" i="9" l="1"/>
  <c r="E25" i="9"/>
  <c r="C12" i="9"/>
  <c r="C27" i="9" s="1"/>
  <c r="E27" i="9" s="1"/>
  <c r="E26" i="9"/>
  <c r="E12" i="9" l="1"/>
</calcChain>
</file>

<file path=xl/sharedStrings.xml><?xml version="1.0" encoding="utf-8"?>
<sst xmlns="http://schemas.openxmlformats.org/spreadsheetml/2006/main" count="11073" uniqueCount="4685">
  <si>
    <t>Performance Summary CEPPL</t>
  </si>
  <si>
    <t xml:space="preserve">Month </t>
  </si>
  <si>
    <t xml:space="preserve">Date </t>
  </si>
  <si>
    <t>Operation Year</t>
  </si>
  <si>
    <t>Year Start Date</t>
  </si>
  <si>
    <t>Year End Date</t>
  </si>
  <si>
    <t>Sr. No.</t>
  </si>
  <si>
    <t>Particular</t>
  </si>
  <si>
    <t>Target</t>
  </si>
  <si>
    <t>Measured</t>
  </si>
  <si>
    <t>Deviation</t>
  </si>
  <si>
    <t>Remarks</t>
  </si>
  <si>
    <t>Top Generator</t>
  </si>
  <si>
    <t>Generation (MWh)</t>
  </si>
  <si>
    <t>Least Generator</t>
  </si>
  <si>
    <t>E_Grid Daily (MWh)</t>
  </si>
  <si>
    <t>E_Grid MTD(MWh)</t>
  </si>
  <si>
    <t>E_Grid YTD (MWh)</t>
  </si>
  <si>
    <t>Wind Speed Daily</t>
  </si>
  <si>
    <t>Wind Speed MTD</t>
  </si>
  <si>
    <t>Last 7 Days Performance</t>
  </si>
  <si>
    <t>Wind Speed YTD</t>
  </si>
  <si>
    <t>Energy Loss (MWh)</t>
  </si>
  <si>
    <t>MA Daily</t>
  </si>
  <si>
    <t>MA MTD</t>
  </si>
  <si>
    <t>MA YTD</t>
  </si>
  <si>
    <t>EGA Daily</t>
  </si>
  <si>
    <t>EGA MTD</t>
  </si>
  <si>
    <t>EGA YTD</t>
  </si>
  <si>
    <t>IGA Daily</t>
  </si>
  <si>
    <t>IGA MTD</t>
  </si>
  <si>
    <t>IGA YTD</t>
  </si>
  <si>
    <t>CUF Daily</t>
  </si>
  <si>
    <t>CUF MTD</t>
  </si>
  <si>
    <t>CUF YTD</t>
  </si>
  <si>
    <t>Wind PA Daily</t>
  </si>
  <si>
    <t>Wind PA MTD</t>
  </si>
  <si>
    <t>Wind PA YTD</t>
  </si>
  <si>
    <t>Performance Summary CEPPL Customer wise</t>
  </si>
  <si>
    <t>SPV</t>
  </si>
  <si>
    <t>MTD WTG Generation (MWh)</t>
  </si>
  <si>
    <t>MTD E_Grid  (MWh)</t>
  </si>
  <si>
    <t>O2R1 (KSIPL)</t>
  </si>
  <si>
    <t>O2R2 (SIL)</t>
  </si>
  <si>
    <t>O2R5 (JK)</t>
  </si>
  <si>
    <t>O2R4 (SGDCIPL)</t>
  </si>
  <si>
    <t>Till Date</t>
  </si>
  <si>
    <t>CEPL Performance Summary-YTD</t>
  </si>
  <si>
    <t>Year</t>
  </si>
  <si>
    <t>Days</t>
  </si>
  <si>
    <t>Estimated WS(m/s)</t>
  </si>
  <si>
    <t>Measured WS (m/s)</t>
  </si>
  <si>
    <t>Budgeted Energy (MWh)</t>
  </si>
  <si>
    <t>Measured Energy (MWh)</t>
  </si>
  <si>
    <t>Target CUF (%)</t>
  </si>
  <si>
    <t>Measured CUF (%)</t>
  </si>
  <si>
    <t>Target GA (%)</t>
  </si>
  <si>
    <t>Measured GA (%)</t>
  </si>
  <si>
    <t>Target MA (%)</t>
  </si>
  <si>
    <t>Measured MA (%)</t>
  </si>
  <si>
    <t>Target IGA(%)</t>
  </si>
  <si>
    <t>Measured IGA (%)</t>
  </si>
  <si>
    <t>E_Grid</t>
  </si>
  <si>
    <t>33 KV Export</t>
  </si>
  <si>
    <t>Line Loss</t>
  </si>
  <si>
    <t>CEPL Performance Summary</t>
  </si>
  <si>
    <t>Target IGA (%)</t>
  </si>
  <si>
    <t>Start Date</t>
  </si>
  <si>
    <t>End Date</t>
  </si>
  <si>
    <t>Hours</t>
  </si>
  <si>
    <t>WS Median</t>
  </si>
  <si>
    <t>o2re1</t>
  </si>
  <si>
    <t>o2re2</t>
  </si>
  <si>
    <t>o2re4</t>
  </si>
  <si>
    <t>o2re5</t>
  </si>
  <si>
    <t>WTG No.</t>
  </si>
  <si>
    <t>KUD01</t>
  </si>
  <si>
    <t>KUD02</t>
  </si>
  <si>
    <t>KUD03</t>
  </si>
  <si>
    <t>KUD04</t>
  </si>
  <si>
    <t>KUD05</t>
  </si>
  <si>
    <t>KUD06</t>
  </si>
  <si>
    <t>KUD07</t>
  </si>
  <si>
    <t>KUD08</t>
  </si>
  <si>
    <t>KUD09</t>
  </si>
  <si>
    <t>KUD10</t>
  </si>
  <si>
    <t>KUD11</t>
  </si>
  <si>
    <t>KUD12</t>
  </si>
  <si>
    <t>KUD13</t>
  </si>
  <si>
    <t>KUD14</t>
  </si>
  <si>
    <t>KUD15</t>
  </si>
  <si>
    <t>KUD16</t>
  </si>
  <si>
    <t>KUD17</t>
  </si>
  <si>
    <t>KUD18</t>
  </si>
  <si>
    <t>KUD19</t>
  </si>
  <si>
    <t>KUD20</t>
  </si>
  <si>
    <t>KUD21</t>
  </si>
  <si>
    <t>KUD22</t>
  </si>
  <si>
    <t>KUD23</t>
  </si>
  <si>
    <t>Machine Availability - MA(%)</t>
  </si>
  <si>
    <t>WTG BD Hours</t>
  </si>
  <si>
    <t>Internal Grid Availability - IGA (%)</t>
  </si>
  <si>
    <t>METERING YARD</t>
  </si>
  <si>
    <t>FEEDER</t>
  </si>
  <si>
    <t>OG</t>
  </si>
  <si>
    <t>TRANSFER</t>
  </si>
  <si>
    <t>USS</t>
  </si>
  <si>
    <t>ROW</t>
  </si>
  <si>
    <t>Major Breakdown</t>
  </si>
  <si>
    <t>Externnal Grid Availability - EGA (%)</t>
  </si>
  <si>
    <t>EGA including Curtailment order (%)</t>
  </si>
  <si>
    <t>EGA (Energy Availability) (%)</t>
  </si>
  <si>
    <t>External Grid</t>
  </si>
  <si>
    <t>Breakdown</t>
  </si>
  <si>
    <t>Curtailment Order</t>
  </si>
  <si>
    <t>Curtailment Order GA</t>
  </si>
  <si>
    <t>Shutdown</t>
  </si>
  <si>
    <t>Plant Availability - PA (%)</t>
  </si>
  <si>
    <t>Sum of BD</t>
  </si>
  <si>
    <t>Count of BD</t>
  </si>
  <si>
    <t>MTTR WTG (Hours)</t>
  </si>
  <si>
    <t>MTBF WTG (Hours)</t>
  </si>
  <si>
    <t>Wind Speed (m/s)</t>
  </si>
  <si>
    <t>CUF (%)</t>
  </si>
  <si>
    <t>Day</t>
  </si>
  <si>
    <t>MTD</t>
  </si>
  <si>
    <t>YTD</t>
  </si>
  <si>
    <t>Day Rank</t>
  </si>
  <si>
    <t>MTD Rank</t>
  </si>
  <si>
    <t>YTD Rank</t>
  </si>
  <si>
    <t>Enter Correct Hours</t>
  </si>
  <si>
    <t>Total Hours YTD</t>
  </si>
  <si>
    <t>Errors</t>
  </si>
  <si>
    <t>Sum of Breakdown Time</t>
  </si>
  <si>
    <t>Count of Error Text</t>
  </si>
  <si>
    <t>MTTR</t>
  </si>
  <si>
    <t>MTBF</t>
  </si>
  <si>
    <t>Pause pressed on keyboard</t>
  </si>
  <si>
    <t>Overtemp charging DC, ____V</t>
  </si>
  <si>
    <t>Prop Valve A Status Fault</t>
  </si>
  <si>
    <t>UPS Error</t>
  </si>
  <si>
    <t>ExEx low voltage L_: ___V</t>
  </si>
  <si>
    <t>HVCB Unknown Trip Reason</t>
  </si>
  <si>
    <t>Internal sublogic error</t>
  </si>
  <si>
    <t>Ch hardware error C_</t>
  </si>
  <si>
    <t>Thermoerror Int.Gen.Fan F___A</t>
  </si>
  <si>
    <t>HubSafty HydrPres  Low DBlk</t>
  </si>
  <si>
    <t>Grand Total</t>
  </si>
  <si>
    <t>Date</t>
  </si>
  <si>
    <t>Finacial Year</t>
  </si>
  <si>
    <t>Calendor Year</t>
  </si>
  <si>
    <t>Month Year</t>
  </si>
  <si>
    <t>O2R1</t>
  </si>
  <si>
    <t>O2R3</t>
  </si>
  <si>
    <t>O2R2</t>
  </si>
  <si>
    <t>O2R4</t>
  </si>
  <si>
    <t>O2R4_Solar</t>
  </si>
  <si>
    <t>Energy Generated by individual Turbine</t>
  </si>
  <si>
    <t>Meter Readings</t>
  </si>
  <si>
    <t>Calculated Energy Numbers</t>
  </si>
  <si>
    <t>Sunrise Time (POA&gt;20 W/m2)</t>
  </si>
  <si>
    <t>Sunset Time (POA&lt;20 W/m2)</t>
  </si>
  <si>
    <t>WS_KUD01</t>
  </si>
  <si>
    <t>WS_KUD02</t>
  </si>
  <si>
    <t>WS_KUD03</t>
  </si>
  <si>
    <t>WS_KUD04</t>
  </si>
  <si>
    <t>WS_KUD05</t>
  </si>
  <si>
    <t>WS_KUD06</t>
  </si>
  <si>
    <t>WS_KUD07</t>
  </si>
  <si>
    <t>WS_KUD08</t>
  </si>
  <si>
    <t>WS_KUD09</t>
  </si>
  <si>
    <t>WS_KUD10</t>
  </si>
  <si>
    <t>WS_KUD11</t>
  </si>
  <si>
    <t>WS_KUD12</t>
  </si>
  <si>
    <t>WS_KUD13</t>
  </si>
  <si>
    <t>WS_KUD14</t>
  </si>
  <si>
    <t>WS_KUD15</t>
  </si>
  <si>
    <t>WS_KUD16</t>
  </si>
  <si>
    <t>WS_KUD17</t>
  </si>
  <si>
    <t>WS_KUD18</t>
  </si>
  <si>
    <t>WS_KUD19</t>
  </si>
  <si>
    <t>WS_KUD20</t>
  </si>
  <si>
    <t>WS_KUD21</t>
  </si>
  <si>
    <t>WS_KUD22</t>
  </si>
  <si>
    <t>WS_KUD23</t>
  </si>
  <si>
    <t>WTG Total Gneration (MWh) O2R1</t>
  </si>
  <si>
    <t>WTG Total Gneration (MWh) O2R2</t>
  </si>
  <si>
    <t>WTG Total Gneration (MWh) O2R5</t>
  </si>
  <si>
    <t>WTG Total Gneration (MWh) O2R4</t>
  </si>
  <si>
    <t>WTG Total Gneration (MWh)</t>
  </si>
  <si>
    <t>Wind Speed Average (m/S)-O2R1</t>
  </si>
  <si>
    <t>Wind Speed Average (m/S)-O2R2</t>
  </si>
  <si>
    <t>Wind Speed Average (m/S)-O2R4</t>
  </si>
  <si>
    <t>Wind Speed Average cumulative (m/S)2</t>
  </si>
  <si>
    <t>Wind Speed Max (m/S)</t>
  </si>
  <si>
    <t>33 kV_Wind_F1_Export reading</t>
  </si>
  <si>
    <t>33 kV_Wind_F2_Export_reading</t>
  </si>
  <si>
    <t>33 kV_Wind_F4_Export Reading</t>
  </si>
  <si>
    <t>33 kV_Solar_F1_Export Reading</t>
  </si>
  <si>
    <t>33 kV_Solar_F3_Export reading</t>
  </si>
  <si>
    <t>32kV_Solar_F4_Export reading</t>
  </si>
  <si>
    <t>33kV_OG1_Export reading</t>
  </si>
  <si>
    <t>33kV_OG2_Export reading</t>
  </si>
  <si>
    <t>220kV_TX1_Export reading</t>
  </si>
  <si>
    <t>220kV_Tx2_Export reading</t>
  </si>
  <si>
    <t>220kV_TL_TVM Export Reading</t>
  </si>
  <si>
    <t>220kV_C&amp;R_PQM reading</t>
  </si>
  <si>
    <t>220KV_C&amp;R_PQM Import Reading</t>
  </si>
  <si>
    <t>33kV_Aux1 Import Reading</t>
  </si>
  <si>
    <t>33kV_Aux2_Import reading</t>
  </si>
  <si>
    <t>33 kV_Wind_F1_Energy (MWh)</t>
  </si>
  <si>
    <t>33 kV_Wind_F2_Export_reading2</t>
  </si>
  <si>
    <t>33 kV_Wind_F4_Energy (MWh)</t>
  </si>
  <si>
    <t>33 kV_Solar_F1_Energy (kWh)</t>
  </si>
  <si>
    <t>32kV_Solar_F2_Energy (MWh)</t>
  </si>
  <si>
    <t>33 kV_Solar_F3_Energy (MWh)</t>
  </si>
  <si>
    <t>32kV_Solar_F4_Energy (MWh)</t>
  </si>
  <si>
    <t>33kV_OG1_Energy (MWh)</t>
  </si>
  <si>
    <t>33kV_OG2_Energy (MWh)</t>
  </si>
  <si>
    <t>220kV_TX1_Energy (MWh)</t>
  </si>
  <si>
    <t>220kV_Tx2_Energy (MWh)</t>
  </si>
  <si>
    <t>220kV_TL_TVM Energy (MWh)</t>
  </si>
  <si>
    <t>220kV_C&amp;R_PQM xport (MWh)</t>
  </si>
  <si>
    <t>220KV_C&amp;R_PQM Import (MWh)</t>
  </si>
  <si>
    <t>33kV_Aux1 Import (MWh)</t>
  </si>
  <si>
    <t>33kV_Aux2_Import (MWh)</t>
  </si>
  <si>
    <t>33 kV Total Export (MWH)</t>
  </si>
  <si>
    <t>220 KV Net Export (MWh)</t>
  </si>
  <si>
    <t>33 kV Line Loss (%)</t>
  </si>
  <si>
    <t>Connected Wind AC Capcity(MW)</t>
  </si>
  <si>
    <t>Forecasting Data count received on Forecasting Portal</t>
  </si>
  <si>
    <t>Forecasting Penalties (INR)</t>
  </si>
  <si>
    <t>Solar Operating Hours</t>
  </si>
  <si>
    <t>Solar Export (33 KV)</t>
  </si>
  <si>
    <t>Connected DC Capcity (MWp)</t>
  </si>
  <si>
    <t>Wind Export (33 KV)</t>
  </si>
  <si>
    <t>Operating Year</t>
  </si>
  <si>
    <t>Affected WTG</t>
  </si>
  <si>
    <t>Concumaer</t>
  </si>
  <si>
    <t>Plant Equivalent Weightage</t>
  </si>
  <si>
    <t>Error Code</t>
  </si>
  <si>
    <t>Error Text</t>
  </si>
  <si>
    <t>Breakdown Description</t>
  </si>
  <si>
    <t>Fault Start TimeStamp</t>
  </si>
  <si>
    <t>Work Start TimeStamp</t>
  </si>
  <si>
    <t>Fault Clearance time</t>
  </si>
  <si>
    <t>Response Time</t>
  </si>
  <si>
    <t>Resolution Time</t>
  </si>
  <si>
    <t>Breakdown Time</t>
  </si>
  <si>
    <t>Action taken</t>
  </si>
  <si>
    <t>Status</t>
  </si>
  <si>
    <t>Plant Equivalent breakdown</t>
  </si>
  <si>
    <t>Paired WTG for Enegy based MA</t>
  </si>
  <si>
    <t>Estimated Energy Loss (kWh)</t>
  </si>
  <si>
    <t>Yaw motor thermo error</t>
  </si>
  <si>
    <t>Close</t>
  </si>
  <si>
    <t>Brake Low Pressure and Hot</t>
  </si>
  <si>
    <t>Manual Stop</t>
  </si>
  <si>
    <t xml:space="preserve">Yaw system stopped </t>
  </si>
  <si>
    <t>Yaw system error</t>
  </si>
  <si>
    <t>Signal Error</t>
  </si>
  <si>
    <t>Leakage Current</t>
  </si>
  <si>
    <t>Auto reset</t>
  </si>
  <si>
    <t xml:space="preserve">Gear box bear c temp differ </t>
  </si>
  <si>
    <t>YawUntwistCW: Code 3</t>
  </si>
  <si>
    <t>Hub panel 24V supply missing warning inspection</t>
  </si>
  <si>
    <t>Auto reclosing RTOP inspection</t>
  </si>
  <si>
    <t>YawUntwistCCW: Code 6</t>
  </si>
  <si>
    <t>YawUntwistCCW: Code 5</t>
  </si>
  <si>
    <t>Frequency error 1</t>
  </si>
  <si>
    <t>Open</t>
  </si>
  <si>
    <t>Estop button activated</t>
  </si>
  <si>
    <t>YawUntwistCCW: Code 7</t>
  </si>
  <si>
    <t>Generator Bearing  Temp 1 high 95 degree</t>
  </si>
  <si>
    <t>Extr low Voltage</t>
  </si>
  <si>
    <t>High temp gear bearing</t>
  </si>
  <si>
    <t>Yaw to cable twist</t>
  </si>
  <si>
    <t>Generator FB no response</t>
  </si>
  <si>
    <t xml:space="preserve"> Prop Valve C Status Fault </t>
  </si>
  <si>
    <t>Yaw System Stopped</t>
  </si>
  <si>
    <t>HydPressOscBlAFilt3,  15.0bar</t>
  </si>
  <si>
    <t>Blade load sensor Fault detucted</t>
  </si>
  <si>
    <t>ExEx low voltage L3</t>
  </si>
  <si>
    <t>Blade loads calib. Active</t>
  </si>
  <si>
    <t>Extreme yawerror</t>
  </si>
  <si>
    <t xml:space="preserve"> Blade loads calib. Active</t>
  </si>
  <si>
    <t xml:space="preserve"> Low oil Hydraulics</t>
  </si>
  <si>
    <t xml:space="preserve"> Extr. low voltage L3</t>
  </si>
  <si>
    <t xml:space="preserve">HighIStrikesorber </t>
  </si>
  <si>
    <t>Frequency error 3:   0.47 Hz</t>
  </si>
  <si>
    <t>Pitch valves test active</t>
  </si>
  <si>
    <t>GeneratorBreakerFBResponse</t>
  </si>
  <si>
    <t>SyncVoltMeasurementMismatch</t>
  </si>
  <si>
    <t>ArcNetReconfigMaxLimit      10</t>
  </si>
  <si>
    <t>Tow. acc. X, Alarm: 0.24 m/s^2</t>
  </si>
  <si>
    <t>Extreme yawerror 15.4m/s 45.0Â°</t>
  </si>
  <si>
    <t>EMC valves test active</t>
  </si>
  <si>
    <t>GeneratorBreakerUnexpectedFb</t>
  </si>
  <si>
    <t>High temp. Gen bearing 1: 95Â°C</t>
  </si>
  <si>
    <t>YawUntwistCCW: Code 6,    561Â°</t>
  </si>
  <si>
    <t>Yaw To Nacelle Position Reset</t>
  </si>
  <si>
    <t>Yaw To Cable Twist Reset</t>
  </si>
  <si>
    <t>YawUntwistCCW: Code 6,    540Â°</t>
  </si>
  <si>
    <t>YawUntwistCCW: Code 6,    557Â°</t>
  </si>
  <si>
    <t>Ext. low DC voltage   469V</t>
  </si>
  <si>
    <t>Low voltage L3:   2 V</t>
  </si>
  <si>
    <t>YawUntwistCCW: Code 6,    564Â°</t>
  </si>
  <si>
    <t>Prop Valve C Status Fault</t>
  </si>
  <si>
    <t>YawUntwistCCW: Code 6,    550Â°</t>
  </si>
  <si>
    <t>YawUntwistCCW: Code 6,    573Â°</t>
  </si>
  <si>
    <t>YawUntwistCCW: Code 6,    546Â°</t>
  </si>
  <si>
    <t>PitAPFBsensorunavailable</t>
  </si>
  <si>
    <t>YawUntwistCCW: Code 7,    517Â°</t>
  </si>
  <si>
    <t>YawUntwistCCW: Code 6,    555Â°</t>
  </si>
  <si>
    <t>ExEx low voltage L2:   1V</t>
  </si>
  <si>
    <t>GearOilInletPressLow 3.4 bar</t>
  </si>
  <si>
    <t>Leak current 2004A</t>
  </si>
  <si>
    <t>YawUntwistCCW: Code 6,    547Â°</t>
  </si>
  <si>
    <t>YawUntwistCCW: Code 5,    540Â°</t>
  </si>
  <si>
    <t>YawUntwistCCW: Code 6,    626Â°</t>
  </si>
  <si>
    <t>YawUntwistCCW: Code 6,    717Â°</t>
  </si>
  <si>
    <t>YawUntwistCCW: Code 7,    112Â°</t>
  </si>
  <si>
    <t>YawUntwistCCW: Code 6,    619Â°</t>
  </si>
  <si>
    <t>Ch hardware error C0</t>
  </si>
  <si>
    <t>Ext. High cur. Grid inv. L1</t>
  </si>
  <si>
    <t>ExEx low voltage L3:   1V</t>
  </si>
  <si>
    <t xml:space="preserve">Not available </t>
  </si>
  <si>
    <t>ExEx low voltage L3:   2V</t>
  </si>
  <si>
    <t>Pause over RCS 13</t>
  </si>
  <si>
    <t>YawToCableTwistResetNotAvail</t>
  </si>
  <si>
    <t>Thermoerror Waterpump</t>
  </si>
  <si>
    <t>Grid Converter CB Open</t>
  </si>
  <si>
    <t>Manually stop</t>
  </si>
  <si>
    <t>SupplyError: Min    2V phase3</t>
  </si>
  <si>
    <t>High cur.grid inv. L1:2158A</t>
  </si>
  <si>
    <t>SupplyError: Min    2V phase2</t>
  </si>
  <si>
    <t>ExEx low voltage L1:   2V</t>
  </si>
  <si>
    <t>Yaw To Nac Pos Reset Not Allwd</t>
  </si>
  <si>
    <t>Frequency error 1:   0.56 Hz</t>
  </si>
  <si>
    <t>Frequency error 1:   0.44 Hz</t>
  </si>
  <si>
    <t>ExEx low voltage L2:   4V</t>
  </si>
  <si>
    <t>Frequency error 3:   0.54 Hz</t>
  </si>
  <si>
    <t>Pause over RCS 12</t>
  </si>
  <si>
    <t>GearOilInletPressLow 1.1 bar</t>
  </si>
  <si>
    <t>Pitch accu. test active</t>
  </si>
  <si>
    <t>Pause over RCS 14</t>
  </si>
  <si>
    <t>Gen Stator CB Open</t>
  </si>
  <si>
    <t>Low oil-level, hydraulic</t>
  </si>
  <si>
    <t>Too many auto-restarts:  116</t>
  </si>
  <si>
    <t>Too many auto-restarts: 5470</t>
  </si>
  <si>
    <t>Low voltage L3:   1 V</t>
  </si>
  <si>
    <t>BrakeHotLowBrakePressure  0bar</t>
  </si>
  <si>
    <t>Manual stopped</t>
  </si>
  <si>
    <t>YawSignals Invalid</t>
  </si>
  <si>
    <t>pitch pos Cmeans signal fault</t>
  </si>
  <si>
    <t>ArcNetReconfigMaxLimit      12</t>
  </si>
  <si>
    <t>ArcNetReconfigMaxLimit      11</t>
  </si>
  <si>
    <t>Pitch pos A meas. signal fault</t>
  </si>
  <si>
    <t>Low voltage L3:   3 V</t>
  </si>
  <si>
    <t>SupplyError: Min    1V phase1</t>
  </si>
  <si>
    <t>Too many auto-restarts:   80</t>
  </si>
  <si>
    <t>PowerSupplyLowFreq: Min 47 Hz</t>
  </si>
  <si>
    <t>Too many auto-restarts:   83</t>
  </si>
  <si>
    <t>Internal subLogic error</t>
  </si>
  <si>
    <t>Prop Valve B Status Fault</t>
  </si>
  <si>
    <t>Pitch pos C meas. signal fault</t>
  </si>
  <si>
    <t>Pitch pos B meas. signal fault</t>
  </si>
  <si>
    <t>GridInverterContactorFBError</t>
  </si>
  <si>
    <t>Ext. High I sum Grd inv.</t>
  </si>
  <si>
    <t>HubSafty HydrPres Low BldA</t>
  </si>
  <si>
    <t>GeneratorBreakerTripped</t>
  </si>
  <si>
    <t>Tow. acc. X, Alarm:__.__ m/s^2</t>
  </si>
  <si>
    <t>Ch High res. load C_ Load:___%</t>
  </si>
  <si>
    <t>Ext. High I sum Rotinv.ChanX</t>
  </si>
  <si>
    <t>TripHVButtonActivated__</t>
  </si>
  <si>
    <t>WatchdogReboot</t>
  </si>
  <si>
    <t>Error on all wind sensors</t>
  </si>
  <si>
    <t>OutOfMemory</t>
  </si>
  <si>
    <t>YawUntwistCW: Code__,_______°</t>
  </si>
  <si>
    <t>GenBreakerOpen,US12___UL12___</t>
  </si>
  <si>
    <t>Hub BallValve B Open</t>
  </si>
  <si>
    <t>HubSafetySystem Batt.Charg.Err</t>
  </si>
  <si>
    <t>Str_Typ1(540*29)</t>
  </si>
  <si>
    <t>Module</t>
  </si>
  <si>
    <t>NA</t>
  </si>
  <si>
    <t xml:space="preserve">Affected Feeder </t>
  </si>
  <si>
    <t>MCR_MVP_SolarF1</t>
  </si>
  <si>
    <t>Wind_F1</t>
  </si>
  <si>
    <t>Tripped on EFR</t>
  </si>
  <si>
    <t>Tripped on OCR</t>
  </si>
  <si>
    <t>Wind_F2</t>
  </si>
  <si>
    <t>TX2</t>
  </si>
  <si>
    <t>TX1</t>
  </si>
  <si>
    <t>Breakdown Type</t>
  </si>
  <si>
    <t>Curtailment Order imit.</t>
  </si>
  <si>
    <t>EGA_Including_CurtailmentOrder</t>
  </si>
  <si>
    <t>Line1</t>
  </si>
  <si>
    <t xml:space="preserve">Grid failure from GSS </t>
  </si>
  <si>
    <t>Location No.</t>
  </si>
  <si>
    <t>Location Type</t>
  </si>
  <si>
    <t>FY</t>
  </si>
  <si>
    <t>CY</t>
  </si>
  <si>
    <t>Cycle No.</t>
  </si>
  <si>
    <t>Frequency</t>
  </si>
  <si>
    <t>PM Title</t>
  </si>
  <si>
    <t>Planned Maintenance Date</t>
  </si>
  <si>
    <t>Actual Maintenance Date</t>
  </si>
  <si>
    <t>Delay</t>
  </si>
  <si>
    <t>Remark</t>
  </si>
  <si>
    <t>2023-24</t>
  </si>
  <si>
    <t>A-Service</t>
  </si>
  <si>
    <t>IGA</t>
  </si>
  <si>
    <t>No</t>
  </si>
  <si>
    <t>Description</t>
  </si>
  <si>
    <t>Inverter Station</t>
  </si>
  <si>
    <t>Inverter</t>
  </si>
  <si>
    <t>SCB</t>
  </si>
  <si>
    <t>String Type</t>
  </si>
  <si>
    <t>Equipment</t>
  </si>
  <si>
    <t>WTG NO.</t>
  </si>
  <si>
    <t>Generator</t>
  </si>
  <si>
    <t>Consumer</t>
  </si>
  <si>
    <t>Capacity</t>
  </si>
  <si>
    <t>% Plant Equiva. Weightage</t>
  </si>
  <si>
    <t>USS YARD</t>
  </si>
  <si>
    <t>Fault Category Plant BD sheet</t>
  </si>
  <si>
    <t>Turbine OK</t>
  </si>
  <si>
    <t>IS1</t>
  </si>
  <si>
    <t>Inv1</t>
  </si>
  <si>
    <t>M1</t>
  </si>
  <si>
    <t>SCB1</t>
  </si>
  <si>
    <t>Tx</t>
  </si>
  <si>
    <t>IS1Inv1M1</t>
  </si>
  <si>
    <t>SGDCIPL</t>
  </si>
  <si>
    <t>MY1_Solar</t>
  </si>
  <si>
    <t>Solar_F1</t>
  </si>
  <si>
    <t>KSIPL</t>
  </si>
  <si>
    <t>MY1</t>
  </si>
  <si>
    <t>Total WInd Capacity</t>
  </si>
  <si>
    <t>Illegal InitVal data in PROM</t>
  </si>
  <si>
    <t>IS2</t>
  </si>
  <si>
    <t>Inv2</t>
  </si>
  <si>
    <t>M2</t>
  </si>
  <si>
    <t>SCB2</t>
  </si>
  <si>
    <t>Str_Typ2(545*29)</t>
  </si>
  <si>
    <t>MVP</t>
  </si>
  <si>
    <t>IS1Inv1M2</t>
  </si>
  <si>
    <t>Cables</t>
  </si>
  <si>
    <t>JK</t>
  </si>
  <si>
    <t>MY6</t>
  </si>
  <si>
    <t>Total Solar Capacity</t>
  </si>
  <si>
    <t>Conflict: Rack/Turbinetype</t>
  </si>
  <si>
    <t>Energy (MWh)</t>
  </si>
  <si>
    <t>IS3</t>
  </si>
  <si>
    <t>Inv3</t>
  </si>
  <si>
    <t>SCB3</t>
  </si>
  <si>
    <t>Str_Typ3(550*29)</t>
  </si>
  <si>
    <t>Aux_Tx</t>
  </si>
  <si>
    <t>IS2Inv2M1</t>
  </si>
  <si>
    <t xml:space="preserve">String Fuses </t>
  </si>
  <si>
    <t>Hub CT____ missing (pos.__)</t>
  </si>
  <si>
    <t>Wind (m/s)</t>
  </si>
  <si>
    <t>IS4</t>
  </si>
  <si>
    <t>Inv4</t>
  </si>
  <si>
    <t>SCB4</t>
  </si>
  <si>
    <t>Str_Typ4(540*58)</t>
  </si>
  <si>
    <t>IS2Inv2M2</t>
  </si>
  <si>
    <t>MY3</t>
  </si>
  <si>
    <t>Top CT____ missing (pos.__)</t>
  </si>
  <si>
    <t>IS5</t>
  </si>
  <si>
    <t>Inv5</t>
  </si>
  <si>
    <t>SCB5</t>
  </si>
  <si>
    <t>Str_Typ5(545*58)</t>
  </si>
  <si>
    <t>MCR_MVP_SolarF2</t>
  </si>
  <si>
    <t>IS2Inv3M1</t>
  </si>
  <si>
    <t>Wrong ARCNet node no.</t>
  </si>
  <si>
    <t>Inv6</t>
  </si>
  <si>
    <t>SCB6</t>
  </si>
  <si>
    <t>Str_Typ6(550*58)</t>
  </si>
  <si>
    <t>MCR_MVP_SolarF3</t>
  </si>
  <si>
    <t>IS2Inv3M2</t>
  </si>
  <si>
    <t>IDT</t>
  </si>
  <si>
    <t>MY7</t>
  </si>
  <si>
    <t>Serial communication not init.</t>
  </si>
  <si>
    <t>Inv7</t>
  </si>
  <si>
    <t>SCB7</t>
  </si>
  <si>
    <t>MCR_MVP_SolarF4</t>
  </si>
  <si>
    <t>IS3Inv4M1</t>
  </si>
  <si>
    <t>PTR</t>
  </si>
  <si>
    <t>MY4</t>
  </si>
  <si>
    <t>CT3218 initialization error</t>
  </si>
  <si>
    <t>Inv8</t>
  </si>
  <si>
    <t>SCB8</t>
  </si>
  <si>
    <t>Power_Tx1</t>
  </si>
  <si>
    <t>IS3Inv4M2</t>
  </si>
  <si>
    <t>MV Panel</t>
  </si>
  <si>
    <t>MY5</t>
  </si>
  <si>
    <t>CT3220 initial. error pos.__</t>
  </si>
  <si>
    <t>SCB9</t>
  </si>
  <si>
    <t>Power_Tx2</t>
  </si>
  <si>
    <t>IS4Inv5M1</t>
  </si>
  <si>
    <t>Metering System Plant</t>
  </si>
  <si>
    <t>Initialisation of ArcNet</t>
  </si>
  <si>
    <t>SCB10</t>
  </si>
  <si>
    <t>Line_Bay1</t>
  </si>
  <si>
    <t>IS4Inv5M2</t>
  </si>
  <si>
    <t>Grid System</t>
  </si>
  <si>
    <t>CT3232 initialization error</t>
  </si>
  <si>
    <t>SCB11</t>
  </si>
  <si>
    <t>IS4Inv6M1</t>
  </si>
  <si>
    <t>Metering System Grid</t>
  </si>
  <si>
    <t>Unexpected interrupt</t>
  </si>
  <si>
    <t>SCB12</t>
  </si>
  <si>
    <t>IS4Inv6M2</t>
  </si>
  <si>
    <t>WMS</t>
  </si>
  <si>
    <t>Too many digital filters</t>
  </si>
  <si>
    <t>SCB13</t>
  </si>
  <si>
    <t>IS5Inv7M1</t>
  </si>
  <si>
    <t>MMS</t>
  </si>
  <si>
    <t>Too many subLogics</t>
  </si>
  <si>
    <t>SCB14</t>
  </si>
  <si>
    <t>IS5Inv7M2</t>
  </si>
  <si>
    <t>Battery Charger_MCR</t>
  </si>
  <si>
    <t>Too many DecOpState routines</t>
  </si>
  <si>
    <t>SCB15</t>
  </si>
  <si>
    <t>IS5Inv8M1</t>
  </si>
  <si>
    <t>IC_UPS</t>
  </si>
  <si>
    <t>Too many IncOpState routines</t>
  </si>
  <si>
    <t>SCB16</t>
  </si>
  <si>
    <t>IS5Inv8M2</t>
  </si>
  <si>
    <t>IC_Auxiliary Tranformer</t>
  </si>
  <si>
    <t>SIL</t>
  </si>
  <si>
    <t>MY2</t>
  </si>
  <si>
    <t>Too many WriteProLog routines</t>
  </si>
  <si>
    <t>SCB17</t>
  </si>
  <si>
    <t>IS1INV1M1SCB1</t>
  </si>
  <si>
    <t>IC_Auxiliary DB</t>
  </si>
  <si>
    <t>Too many interval timers</t>
  </si>
  <si>
    <t>SCB18</t>
  </si>
  <si>
    <t>IS1INV1M1SCB2</t>
  </si>
  <si>
    <t>IC_SCADA Panel</t>
  </si>
  <si>
    <t>MY8</t>
  </si>
  <si>
    <t>Too many sec timers</t>
  </si>
  <si>
    <t>SCB19</t>
  </si>
  <si>
    <t>IS1INV1M1SCB3</t>
  </si>
  <si>
    <t>Connectors</t>
  </si>
  <si>
    <t>Too many msec timers</t>
  </si>
  <si>
    <t>SCB20</t>
  </si>
  <si>
    <t>IS1INV1M1SCB4</t>
  </si>
  <si>
    <t>Too many event timers</t>
  </si>
  <si>
    <t>SCB21</t>
  </si>
  <si>
    <t>IS1INV1M1SCB5</t>
  </si>
  <si>
    <t>Interval timer not initialized</t>
  </si>
  <si>
    <t>SCB22</t>
  </si>
  <si>
    <t>IS1INV1M1SCB6</t>
  </si>
  <si>
    <t>Sec timer not initialized</t>
  </si>
  <si>
    <t>IS1INV1M1SCB7</t>
  </si>
  <si>
    <t>mSec timer not initialized</t>
  </si>
  <si>
    <t>IS1INV1M1SCB8</t>
  </si>
  <si>
    <t>Event timer not initialized</t>
  </si>
  <si>
    <t>IS1INV1M1SCB9</t>
  </si>
  <si>
    <t>Error Parameter Checksum</t>
  </si>
  <si>
    <t>IS1INV1M1SCB10</t>
  </si>
  <si>
    <t>Wind_F3</t>
  </si>
  <si>
    <t>Illegal parameter group</t>
  </si>
  <si>
    <t>IS1INV1M2SCB1</t>
  </si>
  <si>
    <t>Wind_F4</t>
  </si>
  <si>
    <t>Illegal text no.:______,__</t>
  </si>
  <si>
    <t>IS1INV1M2SCB2</t>
  </si>
  <si>
    <t>Q16 breaker open</t>
  </si>
  <si>
    <t>IS1INV1M2SCB3</t>
  </si>
  <si>
    <t>Solar_F2</t>
  </si>
  <si>
    <t>Too many square filters</t>
  </si>
  <si>
    <t>IS1INV1M2SCB4</t>
  </si>
  <si>
    <t>Solar_F3</t>
  </si>
  <si>
    <t>IS1INV1M2SCB5</t>
  </si>
  <si>
    <t>Solar_F4</t>
  </si>
  <si>
    <t>OpSt change: Run -&gt; Run</t>
  </si>
  <si>
    <t>IS1INV1M2SCB6</t>
  </si>
  <si>
    <t>BC</t>
  </si>
  <si>
    <t>Out of ArcNet xmit pools</t>
  </si>
  <si>
    <t>IS1INV1M2SCB7</t>
  </si>
  <si>
    <t>OG1</t>
  </si>
  <si>
    <t>TelegramRcv resource too small</t>
  </si>
  <si>
    <t>IS1INV1M2SCB8</t>
  </si>
  <si>
    <t>OG2</t>
  </si>
  <si>
    <t>Bad telegram xmit format</t>
  </si>
  <si>
    <t>IS1INV1M2SCB9</t>
  </si>
  <si>
    <t>Bad ArcNet sub address</t>
  </si>
  <si>
    <t>IS1INV1M2SCB10</t>
  </si>
  <si>
    <t>No communication with Top _</t>
  </si>
  <si>
    <t>IS1Tx</t>
  </si>
  <si>
    <t>No communication with VCPM _</t>
  </si>
  <si>
    <t>IS2Tx</t>
  </si>
  <si>
    <t>No comm. with Hub _</t>
  </si>
  <si>
    <t>IS3Tx</t>
  </si>
  <si>
    <t>Too many Log slaves</t>
  </si>
  <si>
    <t>IS4Tx</t>
  </si>
  <si>
    <t>SW versionconflict GND/HUB</t>
  </si>
  <si>
    <t>IS5Tx</t>
  </si>
  <si>
    <t>BladeLubr Oil Low</t>
  </si>
  <si>
    <t>IS1MVP</t>
  </si>
  <si>
    <t>Aviation light error</t>
  </si>
  <si>
    <t>IS2MVP</t>
  </si>
  <si>
    <t>Ground:ServiceHandler called</t>
  </si>
  <si>
    <t>IS3MVP</t>
  </si>
  <si>
    <t>SW versionconflict GND/TOP</t>
  </si>
  <si>
    <t>IS4MVP</t>
  </si>
  <si>
    <t>SW versionconflict GND/VCPM</t>
  </si>
  <si>
    <t>IS5MVP</t>
  </si>
  <si>
    <t>CT____ illegal version __.__</t>
  </si>
  <si>
    <t>IS1AuxTx</t>
  </si>
  <si>
    <t>CT 3218 data error _,__</t>
  </si>
  <si>
    <t>IS2AuxTx</t>
  </si>
  <si>
    <t>Too many ArcNet retransmiss.</t>
  </si>
  <si>
    <t>IS3AuxTx</t>
  </si>
  <si>
    <t>Too many ArcNet reconf._____</t>
  </si>
  <si>
    <t>IS4AuxTx</t>
  </si>
  <si>
    <t>No communication with CT3251</t>
  </si>
  <si>
    <t>IS5AuxTx</t>
  </si>
  <si>
    <t>Feedback table full</t>
  </si>
  <si>
    <t>ZeroCross interrupt missing _</t>
  </si>
  <si>
    <t>Error in CT3232</t>
  </si>
  <si>
    <t>VDI telegram xmit error</t>
  </si>
  <si>
    <t>Telegram lost during reception</t>
  </si>
  <si>
    <t>Telegram lost during xmission</t>
  </si>
  <si>
    <t>ArcNet reconfiguration</t>
  </si>
  <si>
    <t>Time constant (thau) is zero</t>
  </si>
  <si>
    <t>Top fan__, Temp:___°C</t>
  </si>
  <si>
    <t>VDI telegram format error</t>
  </si>
  <si>
    <t>Illegal VDI subscription</t>
  </si>
  <si>
    <t>Ground status report timeout</t>
  </si>
  <si>
    <t>Power telegraph timeout</t>
  </si>
  <si>
    <t>VCPMstate queue overflow</t>
  </si>
  <si>
    <t>Unused Opcode</t>
  </si>
  <si>
    <t>Hub fan__, Temp:___°C</t>
  </si>
  <si>
    <t>Gen. ext. vent. _, temp:___°C</t>
  </si>
  <si>
    <t>HV Trafo. vent. _, temp:___°C</t>
  </si>
  <si>
    <t>Gen. int. vent. _, temp:___°C</t>
  </si>
  <si>
    <t>Nacelle position reset: ___._°</t>
  </si>
  <si>
    <t>Feedback=_, Int.Gen.Fan S___A</t>
  </si>
  <si>
    <t>Feedback=_, Int.Gen.Fan S___B</t>
  </si>
  <si>
    <t>Feedback=_, Ext.Gen.Fan S____</t>
  </si>
  <si>
    <t>PitchA pos:__._° vel:___._°/s</t>
  </si>
  <si>
    <t>PitchB pos:__._° vel:___._°/s</t>
  </si>
  <si>
    <t>PitchC pos:__._° vel:___._°/s</t>
  </si>
  <si>
    <t>Low processor temp. in Nacelle</t>
  </si>
  <si>
    <t>Low processor temp. in Hub</t>
  </si>
  <si>
    <t>Max. Yaw error: ___._°</t>
  </si>
  <si>
    <t>Low oil pressure:____RPM/___°C</t>
  </si>
  <si>
    <t>Pitch B ref:__._°, Act.:__._°</t>
  </si>
  <si>
    <t>Pitch C ref:__._°, Act.:__._°</t>
  </si>
  <si>
    <t>B Ctrl:___.__V P.Vel:___._°/s</t>
  </si>
  <si>
    <t>C Ctrl:___.__V P.Vel:___._°/s</t>
  </si>
  <si>
    <t>B CtrlV.STD__._V B CtrlV__._V</t>
  </si>
  <si>
    <t>C CtrlV.STD__._V C CtrlV__._V</t>
  </si>
  <si>
    <t>Pitch dev. min:__._° max:__._°</t>
  </si>
  <si>
    <t>Hydr. temperature low: ___°C</t>
  </si>
  <si>
    <t>Trip F60 L_: ___ °C</t>
  </si>
  <si>
    <t>System error (1)</t>
  </si>
  <si>
    <t>System error (2)</t>
  </si>
  <si>
    <t>System error (3)</t>
  </si>
  <si>
    <t>Low supply voltage CT3503</t>
  </si>
  <si>
    <t>Frequency reg: __.__Hz _____kW</t>
  </si>
  <si>
    <t>Com.err: Address ____:____</t>
  </si>
  <si>
    <t>Crash no. 0</t>
  </si>
  <si>
    <t>Gnd.err. Address______:______</t>
  </si>
  <si>
    <t>Top.err. Address______:______</t>
  </si>
  <si>
    <t>VCPM.err. Address______:______</t>
  </si>
  <si>
    <t>Too many auto-restarts:_____</t>
  </si>
  <si>
    <t>Emerg.-&gt; Stop, EMC not conn.</t>
  </si>
  <si>
    <t>Emergency circuit open</t>
  </si>
  <si>
    <t>PhaseSequence error</t>
  </si>
  <si>
    <t>Phasesequence not measured</t>
  </si>
  <si>
    <t>Phase sequence check timed out</t>
  </si>
  <si>
    <t>Top OpSt.change timeout (_)</t>
  </si>
  <si>
    <t>VCPM OpSt.change timeout (_)</t>
  </si>
  <si>
    <t>Illegal gen.cmd.: _ in state _</t>
  </si>
  <si>
    <t>Thermerr. offlin:____RPM/___°C</t>
  </si>
  <si>
    <t>High pres offlin:____RPM/___°C</t>
  </si>
  <si>
    <t>No offline filtrat. For__days</t>
  </si>
  <si>
    <t>Max DP filt. A: ____RPM/___°C</t>
  </si>
  <si>
    <t>Error Smoke Detector</t>
  </si>
  <si>
    <t>Gen _ in,LastProdCtrlState __</t>
  </si>
  <si>
    <t>Generator out</t>
  </si>
  <si>
    <t>Emerg. --&gt; Stop, Output active</t>
  </si>
  <si>
    <t>Anemom.error:__._m/s,____._RPM</t>
  </si>
  <si>
    <t>Anemom.error:__._m/s,____._kW</t>
  </si>
  <si>
    <t>Extrem frequency: ___.__ Hz</t>
  </si>
  <si>
    <t>Low curr.L1:____A,Others:____A</t>
  </si>
  <si>
    <t>Low curr.L2:____A,Others:____A</t>
  </si>
  <si>
    <t>Low curr.L3:____A,Others:____A</t>
  </si>
  <si>
    <t>High curr Gen0 L_: ____ A</t>
  </si>
  <si>
    <t>Extr.high curr.Gen1 L_: ____ A</t>
  </si>
  <si>
    <t>Extr.high curr.Gen2 L_: ____ A</t>
  </si>
  <si>
    <t>Extr. high volt. L_: ___ V</t>
  </si>
  <si>
    <t>Extr. low voltage L_: ___V</t>
  </si>
  <si>
    <t>Trip Q8 L_: ___ V</t>
  </si>
  <si>
    <t>Frequency error: ___.__ Hz</t>
  </si>
  <si>
    <t>Max power Gen_: ____._ kW</t>
  </si>
  <si>
    <t>Negative power Gen_: ____._ kW</t>
  </si>
  <si>
    <t>Leak current ____A</t>
  </si>
  <si>
    <t>Power: ____._ kW, OpSt&lt;Run</t>
  </si>
  <si>
    <t>High voltage L_: ___ V</t>
  </si>
  <si>
    <t>Low voltage L_: ___ V</t>
  </si>
  <si>
    <t>Asym.currL1:____A,Others:____A</t>
  </si>
  <si>
    <t>Asym.currL2:____A,Others:____A</t>
  </si>
  <si>
    <t>Asym.currL3:____A,Others:____A</t>
  </si>
  <si>
    <t>Asym.voltL1:____V,Others:____V</t>
  </si>
  <si>
    <t>Asym.voltL2:____V,Others:____V</t>
  </si>
  <si>
    <t>Asym.voltL3:____V,Others:____V</t>
  </si>
  <si>
    <t>High curr Gen1 L_: ____ A</t>
  </si>
  <si>
    <t>High curr Gen2 L_: ____ A</t>
  </si>
  <si>
    <t>High windspeed: __._ m/s</t>
  </si>
  <si>
    <t>Low processor temp. in top</t>
  </si>
  <si>
    <t>Ambient temperature low: ___°C</t>
  </si>
  <si>
    <t>High gear temp:___°C/air:___°C</t>
  </si>
  <si>
    <t>High temperature Gen_: ___°C</t>
  </si>
  <si>
    <t>High temperature T53: ___°C L_</t>
  </si>
  <si>
    <t>High temp.Gear bearing _:___°C</t>
  </si>
  <si>
    <t>High temp. Gen bearing _:___°C</t>
  </si>
  <si>
    <t>Emerg. --&gt; Stop,Rot:___._ RPM</t>
  </si>
  <si>
    <t>Max generator RPM: ____._ RPM</t>
  </si>
  <si>
    <t>Max rotor RPM: __._ RPM</t>
  </si>
  <si>
    <t>High Gen.SlipRTemp:___°C ____A</t>
  </si>
  <si>
    <t>Chock sensor trigged:____._RPM</t>
  </si>
  <si>
    <t>Gen.RPM: ____._ RPM, OpSt&lt;Run</t>
  </si>
  <si>
    <t>Rotor:__._RPM, Gen.:____._ RPM</t>
  </si>
  <si>
    <t>Ext. RPM guard, ____ RPM S_</t>
  </si>
  <si>
    <t>High temperature brake disc</t>
  </si>
  <si>
    <t>Hydr max time:___sec, ___bar</t>
  </si>
  <si>
    <t>Safety-pressostat brake</t>
  </si>
  <si>
    <t>Low workingpressure: ___._ bar</t>
  </si>
  <si>
    <t>Press.drop hydr. filter ___°C</t>
  </si>
  <si>
    <t>Thermoerror hydraulicmotor</t>
  </si>
  <si>
    <t>Hydr. temperature high: ___°C</t>
  </si>
  <si>
    <t>High temp top ctrl.: ___°C</t>
  </si>
  <si>
    <t>Thermoerr. Nac. fan F___/___°C</t>
  </si>
  <si>
    <t>Thermoerr. oil pump F___/___°C</t>
  </si>
  <si>
    <t>Max no of pitchconnect cmd</t>
  </si>
  <si>
    <t>Feedback=_, Nacelle fan S___</t>
  </si>
  <si>
    <t>Feedback=_, Gearoil cool S___</t>
  </si>
  <si>
    <t>Feedback = _,:Hydraulicmotor</t>
  </si>
  <si>
    <t>High temp. bus bar section</t>
  </si>
  <si>
    <t>Low processor temp. in ground</t>
  </si>
  <si>
    <t>Def. fuse,lightn. prot.(F9-11)</t>
  </si>
  <si>
    <t>Error, yawcontrol: _____ (_)</t>
  </si>
  <si>
    <t>No yawpulses _____, ____ s</t>
  </si>
  <si>
    <t>Feedback = _, yawing CW _</t>
  </si>
  <si>
    <t>Feedback = _, yawing CCW _</t>
  </si>
  <si>
    <t>Max autoyawtime ____ sec.</t>
  </si>
  <si>
    <t>Max outyawtime superceeded</t>
  </si>
  <si>
    <t>Outyawing too much, S___ activ</t>
  </si>
  <si>
    <t>Thermoerror yawmotor F___</t>
  </si>
  <si>
    <t>External 24 V power supply</t>
  </si>
  <si>
    <t>External 24 V power supply eq.</t>
  </si>
  <si>
    <t>Feedback = _, Brake</t>
  </si>
  <si>
    <t>Pitch A ref:__._°, Act.:__._°</t>
  </si>
  <si>
    <t>A Ctrl:___.__V P.Vel:___._°/s</t>
  </si>
  <si>
    <t>A CtrlV.STD__._V A CtrlV__._V</t>
  </si>
  <si>
    <t>PowerSTD____._kW MEAN____._kW</t>
  </si>
  <si>
    <t>Pitch A too low:__._° &lt; __._°</t>
  </si>
  <si>
    <t>PowerError ____._ kW</t>
  </si>
  <si>
    <t>Yaw activity not detected</t>
  </si>
  <si>
    <t>Yaw position is changed</t>
  </si>
  <si>
    <t>Thermo table full</t>
  </si>
  <si>
    <t>Yaw speed error ___._° in __ s</t>
  </si>
  <si>
    <t>Low temperature Gen_:___°C</t>
  </si>
  <si>
    <t>Frequency error 1: ___.__ Hz</t>
  </si>
  <si>
    <t>Frequency error 2: ___.__ Hz</t>
  </si>
  <si>
    <t>Frequency error 3: ___.__ Hz</t>
  </si>
  <si>
    <t>Frequency error 4: ___.__ Hz</t>
  </si>
  <si>
    <t>Feedback=_, Hydroilcool S___</t>
  </si>
  <si>
    <t>Division by zero</t>
  </si>
  <si>
    <t>Lubr Error Blade _</t>
  </si>
  <si>
    <t>Missing VAMS permission _</t>
  </si>
  <si>
    <t>Low gear temp:___°C/nac:___°C</t>
  </si>
  <si>
    <t>Metal chip detec:____RPM/___°C</t>
  </si>
  <si>
    <t>Error temp.sensor R___, ____°C</t>
  </si>
  <si>
    <t>Error temp.sensor R___ blade _</t>
  </si>
  <si>
    <t>Low oil level, ____RPM/___°C</t>
  </si>
  <si>
    <t>Press.drop hydr.filt.Hub ___°C</t>
  </si>
  <si>
    <t>Oil leakage in Hub</t>
  </si>
  <si>
    <t>Thermoerror Int.Gen.Fan F___B</t>
  </si>
  <si>
    <t>Thermoerror Ext.Gen.Fan F____</t>
  </si>
  <si>
    <t>New SERVICE state: _, ____</t>
  </si>
  <si>
    <t>ERROR:</t>
  </si>
  <si>
    <t>Emergency  ____._kW  ____RPM</t>
  </si>
  <si>
    <t>Stop ____._kW  ____RPM</t>
  </si>
  <si>
    <t>Pause ____._kW  ____RPM</t>
  </si>
  <si>
    <t>Run</t>
  </si>
  <si>
    <t>Power cutout</t>
  </si>
  <si>
    <t>Power cutin</t>
  </si>
  <si>
    <t>SysState   _.___ set to ______</t>
  </si>
  <si>
    <t>Parameter __.___ set to ______</t>
  </si>
  <si>
    <t>Auto-restart after ____ sec</t>
  </si>
  <si>
    <t>Restart not possible</t>
  </si>
  <si>
    <t>WATCHDOG trigging disabled</t>
  </si>
  <si>
    <t>Miss. error ack.before restart</t>
  </si>
  <si>
    <t>Error ___ ackd. over RCS</t>
  </si>
  <si>
    <t>Error ___ acknowledged manual.</t>
  </si>
  <si>
    <t>WATCHDOG was not trigged</t>
  </si>
  <si>
    <t>Busbarvent._, Power: ____._kW</t>
  </si>
  <si>
    <t>Lightning blade _: ___ kA</t>
  </si>
  <si>
    <t>GPS reciever out of order</t>
  </si>
  <si>
    <t>Light. det. error ___ ___</t>
  </si>
  <si>
    <t>Hot generator ___°C ______kW</t>
  </si>
  <si>
    <t>Hot gear___°C ______kW</t>
  </si>
  <si>
    <t>Hot HV trafo ___°C ______kW</t>
  </si>
  <si>
    <t>High voltage ___V ______kW</t>
  </si>
  <si>
    <t>Wind:__._m/s derate to:_____kW</t>
  </si>
  <si>
    <t>User power setpoint _____kW</t>
  </si>
  <si>
    <t>Too many Warnings in queue _</t>
  </si>
  <si>
    <t>No space in Warning Log</t>
  </si>
  <si>
    <t>Low oil flow: _.__bar/ ____RPM</t>
  </si>
  <si>
    <t>Low oil flow: ____RPM/ ___°C</t>
  </si>
  <si>
    <t>Max DP filt. A:_.__bar/____RPM</t>
  </si>
  <si>
    <t>Max DP filt. A: ____RPM/ ___°C</t>
  </si>
  <si>
    <t>Manual, signal:___,chg.:_</t>
  </si>
  <si>
    <t>Too low nacel temp ____°C</t>
  </si>
  <si>
    <t>Start hydr. motor, ___._ bar</t>
  </si>
  <si>
    <t>Stop hydr. motor, ___._ bar</t>
  </si>
  <si>
    <t>SW versionconflict GND/GRID</t>
  </si>
  <si>
    <t>Log reset by user</t>
  </si>
  <si>
    <t>AlarmLog reset by user</t>
  </si>
  <si>
    <t>GndSystemState reset by user</t>
  </si>
  <si>
    <t>TopSystemState reset by user</t>
  </si>
  <si>
    <t>VCPMSystemState reset by user</t>
  </si>
  <si>
    <t>Wind:___._ m/s  Gen:____._ RPM</t>
  </si>
  <si>
    <t>Pitch: __._° Power: ____._ kW</t>
  </si>
  <si>
    <t>ComSystemState reset by user</t>
  </si>
  <si>
    <t>Pitchtest nr. __ param.:______</t>
  </si>
  <si>
    <t>Pitchtest nr. __</t>
  </si>
  <si>
    <t>Nac.vent.0, nac/gear:___/___°C</t>
  </si>
  <si>
    <t>Nac.vent.1, nac/gear:___/___°C</t>
  </si>
  <si>
    <t>Nac.vent.2, nac/gear:___/___°C</t>
  </si>
  <si>
    <t>E.Wind:__._m/s Nac.Dir:____._°</t>
  </si>
  <si>
    <t>Nac.vent.3, nac/gear:___/___°C</t>
  </si>
  <si>
    <t>Start auto-outyawing CW</t>
  </si>
  <si>
    <t>Start auto-outyawing CCW</t>
  </si>
  <si>
    <t>Start autoyawing CW</t>
  </si>
  <si>
    <t>Start autoyawing CCW</t>
  </si>
  <si>
    <t>Stop autoyawing</t>
  </si>
  <si>
    <t>Yawcontr. from:_____ to:_____</t>
  </si>
  <si>
    <t>Start manual yawing CCW</t>
  </si>
  <si>
    <t>Yawing manually stopped</t>
  </si>
  <si>
    <t>Start manual yawing CW</t>
  </si>
  <si>
    <t>Stop auto-outyawing</t>
  </si>
  <si>
    <t>Stop yawing at twiststop(S104)</t>
  </si>
  <si>
    <t>Max DP filt. B:_.__bar/____RPM</t>
  </si>
  <si>
    <t>Max DP filt. B: ____RPM/ ___°C</t>
  </si>
  <si>
    <t>Standby heating _, gen: ___°C</t>
  </si>
  <si>
    <t>Gearoilheater _, gear: ___°C</t>
  </si>
  <si>
    <t>VDF data lost. Code_____,_____</t>
  </si>
  <si>
    <t>CT3251 OpSt.change timeout (_)</t>
  </si>
  <si>
    <t>GearoilCooler _, gear: ___°C</t>
  </si>
  <si>
    <t>Frequency controller started</t>
  </si>
  <si>
    <t>Frequency controller stopped</t>
  </si>
  <si>
    <t>VMP halted: Program upload</t>
  </si>
  <si>
    <t>Tow. acc. Y, Alarm:__.__ m/s^2</t>
  </si>
  <si>
    <t>Tow. acc. X, Warn.:__.__ m/s^2</t>
  </si>
  <si>
    <t>Tow. acc. Y, Warn.:__.__ m/s^2</t>
  </si>
  <si>
    <t>Aviation Lamp error</t>
  </si>
  <si>
    <t>Aviation Lamp shift</t>
  </si>
  <si>
    <t>Thermo error, hydr. oilcooler</t>
  </si>
  <si>
    <t>Marine Lamp error</t>
  </si>
  <si>
    <t>Marine Lamp shift</t>
  </si>
  <si>
    <t>Timeout comm. Tower acc.</t>
  </si>
  <si>
    <t>Operation Log reestablished</t>
  </si>
  <si>
    <t>Alarm Log reestablished</t>
  </si>
  <si>
    <t>System Log reestablished</t>
  </si>
  <si>
    <t>Pause over RCS __0</t>
  </si>
  <si>
    <t>Pause over RCS __1</t>
  </si>
  <si>
    <t>Pause over RCS __2</t>
  </si>
  <si>
    <t>Pause over RCS __3</t>
  </si>
  <si>
    <t>Pause over RCS __4 (Power Manager)</t>
  </si>
  <si>
    <t xml:space="preserve">Pause over RCS __5 (Curtailment) </t>
  </si>
  <si>
    <t>Pause over RCS __6</t>
  </si>
  <si>
    <t>Pause over RCS __10</t>
  </si>
  <si>
    <t>Pause over RCS __12 (Remote – VOB Client)</t>
  </si>
  <si>
    <t>Pause over RCS __13 (Remote – VOB Client)</t>
  </si>
  <si>
    <t>Pause over RCS __14 (Remote – VOB Client)</t>
  </si>
  <si>
    <t>Pause over RCS __15 (Remote – VOB Client)</t>
  </si>
  <si>
    <t>Run over RCS __</t>
  </si>
  <si>
    <t>Trip Q8 Feedback error</t>
  </si>
  <si>
    <t>Transformer Thermo Fault</t>
  </si>
  <si>
    <t>Ambient temperature high: __°C</t>
  </si>
  <si>
    <t>Trip Q8 high current L_ ____ A</t>
  </si>
  <si>
    <t>Cont.=___ Feedback s.failed: _</t>
  </si>
  <si>
    <t>Cont.=___ Feedback r.failed: _</t>
  </si>
  <si>
    <t>Cannot syncronize____ RPM,st__</t>
  </si>
  <si>
    <t>Long DC charge time ___s ____V</t>
  </si>
  <si>
    <t>High temp. Rotor Inv.L_:___°C</t>
  </si>
  <si>
    <t>Ext. high temp. RInv.L_:___°C</t>
  </si>
  <si>
    <t>High temp. Grid Inv.L_:___°C</t>
  </si>
  <si>
    <t>Ext. high temp. GInv.L_:___°C</t>
  </si>
  <si>
    <t>High temp. VCP Board ___°C</t>
  </si>
  <si>
    <t>High temp. VCS System ___°C</t>
  </si>
  <si>
    <t>High temp. Aux. ___°C</t>
  </si>
  <si>
    <t>Grid inv. HW error L_</t>
  </si>
  <si>
    <t>Rotor inv. HW error L_</t>
  </si>
  <si>
    <t>DC Overvolt: ____V state __</t>
  </si>
  <si>
    <t>Ext. high DC voltage ____V</t>
  </si>
  <si>
    <t>DC Undervoltage: ____V</t>
  </si>
  <si>
    <t>Ext. low DC voltage  ____V</t>
  </si>
  <si>
    <t>High cur.rotor inv. L_:____A</t>
  </si>
  <si>
    <t>High cur.grid inv. L_:____A</t>
  </si>
  <si>
    <t>ExtHighIRotorInv phase: _</t>
  </si>
  <si>
    <t>Ext. High cur. Grid inv. L_</t>
  </si>
  <si>
    <t>Slip:____ above limits _</t>
  </si>
  <si>
    <t>Phase L:_ failure</t>
  </si>
  <si>
    <t>OVP active UDC_____V state __</t>
  </si>
  <si>
    <t>OVPHwErr UDC _____V  state __</t>
  </si>
  <si>
    <t>Encoder hardware error</t>
  </si>
  <si>
    <t>Encoder signal error _:_____</t>
  </si>
  <si>
    <t>MDSP to VCPM Comm. timeout</t>
  </si>
  <si>
    <t>VCPM to MDSP Comm. timeout</t>
  </si>
  <si>
    <t>DSP _ checksum err.</t>
  </si>
  <si>
    <t>DSP _mat. overflow</t>
  </si>
  <si>
    <t>DSP _internal error ____</t>
  </si>
  <si>
    <t>Error in Cal Val on VCPM</t>
  </si>
  <si>
    <t>PFC breaker open</t>
  </si>
  <si>
    <t>VCS Low  water level</t>
  </si>
  <si>
    <t>Q7 breaker open</t>
  </si>
  <si>
    <t>Q8 breaker open</t>
  </si>
  <si>
    <t>Par. __.___ set to ______ rem.</t>
  </si>
  <si>
    <t>WS1 Dir Frozen __._m/s ___._°</t>
  </si>
  <si>
    <t>Extreme yawerror __._m/s___._°</t>
  </si>
  <si>
    <t>Lightning detected</t>
  </si>
  <si>
    <t>Lightn. detect. power supplied</t>
  </si>
  <si>
    <t>Lightn. det. emergency suppl.</t>
  </si>
  <si>
    <t>Warning Log reestablished</t>
  </si>
  <si>
    <t>Pending Warning in Log</t>
  </si>
  <si>
    <t>De-Ice System overtemp _-_</t>
  </si>
  <si>
    <t>De-Ice System timeout</t>
  </si>
  <si>
    <t>De-Ice curr.dev. _, ____A</t>
  </si>
  <si>
    <t>De-Ice feedback=0  _-_</t>
  </si>
  <si>
    <t>De-Ice feedback=1  _-_</t>
  </si>
  <si>
    <t>De-Ice temp. feedback _-_</t>
  </si>
  <si>
    <t>Ice sensor error</t>
  </si>
  <si>
    <t>De-ice event: System ON</t>
  </si>
  <si>
    <t>De-ice event: System OFF</t>
  </si>
  <si>
    <t>De-ice event: Ice detected</t>
  </si>
  <si>
    <t>De-ice event: Mass unbalance</t>
  </si>
  <si>
    <t>De-ice event: Power loss</t>
  </si>
  <si>
    <t>De-ice event: Ice climate</t>
  </si>
  <si>
    <t>Ice safety stop</t>
  </si>
  <si>
    <t>Lightning detected (stopped)</t>
  </si>
  <si>
    <t>Error on US, change to 0/90°</t>
  </si>
  <si>
    <t>De-Ice: Feedback = _, K1064</t>
  </si>
  <si>
    <t>No comm. with DeIce</t>
  </si>
  <si>
    <t>WS1 invalid data: _</t>
  </si>
  <si>
    <t>WS1 timeout err.</t>
  </si>
  <si>
    <t>SlipR ext. fan__, Temp:___°C</t>
  </si>
  <si>
    <t>Gen SlipR. Fan: __, Temp:___°C</t>
  </si>
  <si>
    <t>Thermo error Gen.Slip Ring Fan</t>
  </si>
  <si>
    <t>Feedback = _,:SlipR fan S____</t>
  </si>
  <si>
    <t>Feedback = _,:VCS fan S____</t>
  </si>
  <si>
    <t>VCS water pump ON</t>
  </si>
  <si>
    <t>VCS water pump OFF</t>
  </si>
  <si>
    <t>IGBT pump ON    Top:___ Wa:___</t>
  </si>
  <si>
    <t>IGBT pump OFF   Top:___ Wa:___</t>
  </si>
  <si>
    <t>VCS int.fan ON  Nac:___ Wa:___</t>
  </si>
  <si>
    <t>VCS int.fan OFF Nac:___ Wa:___</t>
  </si>
  <si>
    <t>VCS external vent. ON</t>
  </si>
  <si>
    <t>VCS external vent. OFF</t>
  </si>
  <si>
    <t>IGBT fan ON     Nac:___ Am:___</t>
  </si>
  <si>
    <t>IGBT fan OFF    Nac:___ Am:___</t>
  </si>
  <si>
    <t>Thermoerror Int. VCS Fan F____</t>
  </si>
  <si>
    <t>Thermoerror ext. VCS Fan F____</t>
  </si>
  <si>
    <t>Thermoerror IGBT pump F___</t>
  </si>
  <si>
    <t>Thermoerror IGBT fan F____</t>
  </si>
  <si>
    <t>Smoke detected</t>
  </si>
  <si>
    <t>NRMS sector __, wind: __._m/s</t>
  </si>
  <si>
    <t>RCS disconnected due to ___</t>
  </si>
  <si>
    <t>RCS reconnected</t>
  </si>
  <si>
    <t>Gen SlipR. Heat: __, t:____°C</t>
  </si>
  <si>
    <t>Low temp. slipring: ___°C</t>
  </si>
  <si>
    <t>Low delta temp. slipr: ___°C</t>
  </si>
  <si>
    <t>User defined alarm 1</t>
  </si>
  <si>
    <t>User defined alarm 2</t>
  </si>
  <si>
    <t>CT3234 init error     P__ S___</t>
  </si>
  <si>
    <t>Feedback = _, SlipR heat S___</t>
  </si>
  <si>
    <t>WS2 invalid data: _</t>
  </si>
  <si>
    <t>WS2 timeout err.</t>
  </si>
  <si>
    <t>PistonAVel:__._m/s,Ang:__._°</t>
  </si>
  <si>
    <t>PistonBVel:__._m/s,Ang:__._°</t>
  </si>
  <si>
    <t>PistonCVel:__._m/s,Ang:__._°</t>
  </si>
  <si>
    <t>EMCV. Pitch min:__._°max:__._°</t>
  </si>
  <si>
    <t>Timeout generator reconnecting</t>
  </si>
  <si>
    <t>VDI Transmit resource Low</t>
  </si>
  <si>
    <t>High hydr. pressure ___._ bar</t>
  </si>
  <si>
    <t>Yaw Curve Error point _._=_._</t>
  </si>
  <si>
    <t>Too low nacelle temp. ___°C</t>
  </si>
  <si>
    <t>Blocking run, nacelle ___°C</t>
  </si>
  <si>
    <t>CT3223 init error</t>
  </si>
  <si>
    <t>Event __ in ConvCtrl state __</t>
  </si>
  <si>
    <t>Event __ in KxxCtrl state __</t>
  </si>
  <si>
    <t>Event __ in StDlCtrl state __</t>
  </si>
  <si>
    <t>Max Warnings gen-_ reconnects</t>
  </si>
  <si>
    <t>Transm. osc. ____ RPM, __ m/s</t>
  </si>
  <si>
    <t>MDSP-SDSP Comm. timeout</t>
  </si>
  <si>
    <t>Wrong LSI Version: _____</t>
  </si>
  <si>
    <t>Noise setting changed to: _</t>
  </si>
  <si>
    <t>WarningLog reset by user</t>
  </si>
  <si>
    <t>Start yawing to reset CW</t>
  </si>
  <si>
    <t>Start yawing to reset CCW</t>
  </si>
  <si>
    <t>Hot bearing ___°C ______kW</t>
  </si>
  <si>
    <t>Hot top ctrl. ___°C ______kW</t>
  </si>
  <si>
    <t>Hot IGBTs ___°C ______kW</t>
  </si>
  <si>
    <t>Hot VRCC water ___°C ______kW</t>
  </si>
  <si>
    <t>Derated at __°C ambi by __</t>
  </si>
  <si>
    <t>Remote power setpoint _____kW</t>
  </si>
  <si>
    <t>EMF Acc _ Press Low, ___._ bar</t>
  </si>
  <si>
    <t>Hydr Pilot Press Diff</t>
  </si>
  <si>
    <t>Trafo Temp Diff</t>
  </si>
  <si>
    <t>Remote Stop</t>
  </si>
  <si>
    <t>Ext. High I sum Rotinv.ChanY</t>
  </si>
  <si>
    <t>RInv GInv PWM out of Sync</t>
  </si>
  <si>
    <t>VPC Signal error, auto __,__</t>
  </si>
  <si>
    <t>Nom DCVolt failed  ____V</t>
  </si>
  <si>
    <t>Generator Disc timeout</t>
  </si>
  <si>
    <t>VPC board IntSW Warning __:__</t>
  </si>
  <si>
    <t>VPC board IntSW Disc __:__</t>
  </si>
  <si>
    <t>VPC board IntSW Q8Stop __:__</t>
  </si>
  <si>
    <t>VPC board IntSW DCharge __:__</t>
  </si>
  <si>
    <t>VPC board IntSW Stop __:__</t>
  </si>
  <si>
    <t>StopCmd failed. __:__</t>
  </si>
  <si>
    <t>VPC board crashed</t>
  </si>
  <si>
    <t>Loadcal.A Offset ___Gain ____</t>
  </si>
  <si>
    <t>Loadcal.B Offset ___Gain ____</t>
  </si>
  <si>
    <t>Loadcal.C Offset ___Gain ____</t>
  </si>
  <si>
    <t>Feedback error, Preheater S557</t>
  </si>
  <si>
    <t>VCMS: Net error</t>
  </si>
  <si>
    <t>VCMS:Node___ Initialize error</t>
  </si>
  <si>
    <t>VCMS:Node___ Comm. error</t>
  </si>
  <si>
    <t>VCMS:Node___ Selftest error</t>
  </si>
  <si>
    <t>VCMS:Node___ Acc. Low level</t>
  </si>
  <si>
    <t>VCMS:Node___ Ping error</t>
  </si>
  <si>
    <t>VCMS:Node___ Warn. :Temp=___°C</t>
  </si>
  <si>
    <t>VCMS:Node___ Alarm :Temp=___°C</t>
  </si>
  <si>
    <t>VCMS:SEW11 V=_____um/s, ____kW</t>
  </si>
  <si>
    <t>VCMS:SEW11 A=_____mm/s2,____kW</t>
  </si>
  <si>
    <t>VCMS:SEA11 V=_____um/s, ____kW</t>
  </si>
  <si>
    <t>VCMS:SEA11 A=_____mm/s2,____kW</t>
  </si>
  <si>
    <t>VCMS:FEW11 V=_____um/s, ____kW</t>
  </si>
  <si>
    <t>VCMS:FEW11 A=_____mm/s2,____kW</t>
  </si>
  <si>
    <t>VCMS:FEA11 V=_____um/s, ____kW</t>
  </si>
  <si>
    <t>VCMS:FEA11 A=_____mm/s2,____kW</t>
  </si>
  <si>
    <t>VCMS:AMA11 A=_____mm/s2,____kW</t>
  </si>
  <si>
    <t>VCMS:SEW12 V=_____um/s, ____kW</t>
  </si>
  <si>
    <t>VCMS:SEW12 A=_____mm/s2,____kW</t>
  </si>
  <si>
    <t>VCMS:SEA12 V=_____um/s, ____kW</t>
  </si>
  <si>
    <t>VCMS:SEA12 A=_____mm/s2,____kW</t>
  </si>
  <si>
    <t>VCMS:FEW12 V=_____um/s, ____kW</t>
  </si>
  <si>
    <t>VCMS:FEW12 A=_____mm/s2,____kW</t>
  </si>
  <si>
    <t>VCMS:FEA12 V=_____um/s, ____kW</t>
  </si>
  <si>
    <t>VCMS:FEA12 A=_____mm/s2,____kW</t>
  </si>
  <si>
    <t>VCMS:AMA12 A=_____mm/s2,____kW</t>
  </si>
  <si>
    <t>VCMS:SEW13 V=_____um/s, ____kW</t>
  </si>
  <si>
    <t>VCMS:SEW13 A=_____mm/s2,____kW</t>
  </si>
  <si>
    <t>VCMS:SEA13 V=_____um/s, ____kW</t>
  </si>
  <si>
    <t>VCMS:SEA13 A=_____mm/s2,____kW</t>
  </si>
  <si>
    <t>VCMS:FEW13 V=_____um/s, ____kW</t>
  </si>
  <si>
    <t>VCMS:FEW13 A=_____mm/s2,____kW</t>
  </si>
  <si>
    <t>VCMS:FEA13 V=_____um/s, ____kW</t>
  </si>
  <si>
    <t>VCMS:FEA13 A=_____mm/s2,____kW</t>
  </si>
  <si>
    <t>VCMS:AMA13 A=_____mm/s2,____kW</t>
  </si>
  <si>
    <t>VCMS:SEW14 V=_____um/s, ____kW</t>
  </si>
  <si>
    <t>VCMS:SEW14 A=_____mm/s2,____kW</t>
  </si>
  <si>
    <t>VCMS:SEA14 V=_____um/s, ____kW</t>
  </si>
  <si>
    <t>VCMS:SEA14 A=_____mm/s2,____kW</t>
  </si>
  <si>
    <t>VCMS:FEW14 V=_____um/s, ____kW</t>
  </si>
  <si>
    <t>VCMS:FEW14 A=_____mm/s2,____kW</t>
  </si>
  <si>
    <t>VCMS:FEA14 V=_____um/s, ____kW</t>
  </si>
  <si>
    <t>VCMS:FEA14 A=_____mm/s2,____kW</t>
  </si>
  <si>
    <t>VCMS:AMA14 A=_____mm/s2,____kW</t>
  </si>
  <si>
    <t>VCMS:SEW15 V=_____um/s, ____kW</t>
  </si>
  <si>
    <t>VCMS:SEW15 A=_____mm/s2,____kW</t>
  </si>
  <si>
    <t>VCMS:SEA15 V=_____um/s, ____kW</t>
  </si>
  <si>
    <t>VCMS:SEA15 A=_____mm/s2,____kW</t>
  </si>
  <si>
    <t>VCMS:FEW15 V=_____um/s, ____kW</t>
  </si>
  <si>
    <t>VCMS:FEW15 A=_____mm/s2,____kW</t>
  </si>
  <si>
    <t>VCMS:FEA15 V=_____um/s, ____kW</t>
  </si>
  <si>
    <t>VCMS:FEA15 A=_____mm/s2,____kW</t>
  </si>
  <si>
    <t>VCMS:AMA15 A=_____mm/s2,____kW</t>
  </si>
  <si>
    <t>VCMS:SEW31 V=_____um/s, ____kW</t>
  </si>
  <si>
    <t>VCMS:SEW31 A=_____mm/s2,____kW</t>
  </si>
  <si>
    <t>VCMS:SEA31 V=_____um/s, ____kW</t>
  </si>
  <si>
    <t>VCMS:SEA31 A=_____mm/s2,____kW</t>
  </si>
  <si>
    <t>VCMS:FEW31 V=_____um/s, ____kW</t>
  </si>
  <si>
    <t>VCMS:FEW31 A=_____mm/s2,____kW</t>
  </si>
  <si>
    <t>VCMS:FEA31 V=_____um/s, ____kW</t>
  </si>
  <si>
    <t>VCMS:FEA31 A=_____mm/s2,____kW</t>
  </si>
  <si>
    <t>VCMS:AMA31 V=_____um/s, ____kW</t>
  </si>
  <si>
    <t>VCMS:SEW32 V=_____um/s, ____kW</t>
  </si>
  <si>
    <t>VCMS:SEW32 A=_____mm/s2,____kW</t>
  </si>
  <si>
    <t>VCMS:SEA32 V=_____um/s, ____kW</t>
  </si>
  <si>
    <t>VCMS:SEA32 A=_____mm/s2,____kW</t>
  </si>
  <si>
    <t>VCMS:FEW32 V=_____um/s, ____kW</t>
  </si>
  <si>
    <t>VCMS:FEW32 A=_____mm/s2,____kW</t>
  </si>
  <si>
    <t>VCMS:FEA32 V=_____um/s, ____kW</t>
  </si>
  <si>
    <t>VCMS:FEA32 A=_____mm/s2,____kW</t>
  </si>
  <si>
    <t>VCMS:AMA32 V=_____um/s, ____kW</t>
  </si>
  <si>
    <t>VCMS:Element warn. bearing #__</t>
  </si>
  <si>
    <t>VCMS:Element alarm bearing #__</t>
  </si>
  <si>
    <t>VCMS:Undefined error code</t>
  </si>
  <si>
    <t>VCMS:Unknown Command received</t>
  </si>
  <si>
    <t>VCMS:Error in INI file</t>
  </si>
  <si>
    <t>VCMS:Timer is inactive</t>
  </si>
  <si>
    <t>Grid inverter Filter: Overload</t>
  </si>
  <si>
    <t>RT activation no. exceeded:___</t>
  </si>
  <si>
    <t>VCMS:File open error</t>
  </si>
  <si>
    <t>Memory allocation failed</t>
  </si>
  <si>
    <t>SW versionconflict GND/VCMS</t>
  </si>
  <si>
    <t>No communication with VCMS</t>
  </si>
  <si>
    <t>Shortcircuitindicator1 Active</t>
  </si>
  <si>
    <t>Shortcircuitindicator2 Active</t>
  </si>
  <si>
    <t>SF6 Pressure low</t>
  </si>
  <si>
    <t>Close Gridbreaker 1</t>
  </si>
  <si>
    <t>Gridbreaker 1 closed</t>
  </si>
  <si>
    <t>Open Gridbreaker 1</t>
  </si>
  <si>
    <t>Gridbreaker 1 open</t>
  </si>
  <si>
    <t>Gridbreaker 1 grounded</t>
  </si>
  <si>
    <t>Close Gridbreaker 2</t>
  </si>
  <si>
    <t>Gridbreaker 2 closed</t>
  </si>
  <si>
    <t>Open Gridbreaker 2</t>
  </si>
  <si>
    <t>Gridbreaker 2 open</t>
  </si>
  <si>
    <t>Gridbreaker 2 grounded</t>
  </si>
  <si>
    <t>Current Limiter Feedback error</t>
  </si>
  <si>
    <t>CL.active ____ms ____kJ/O</t>
  </si>
  <si>
    <t>CL.time exceeded____ms____kJ/O</t>
  </si>
  <si>
    <t>Current Limiter Voltage inval.</t>
  </si>
  <si>
    <t>Current Limiter temp. high R</t>
  </si>
  <si>
    <t>Current Limiter Run Error</t>
  </si>
  <si>
    <t>Current Limiter Timeout</t>
  </si>
  <si>
    <t>CL Capacitor under voltage</t>
  </si>
  <si>
    <t>Q7 Close via RCS</t>
  </si>
  <si>
    <t>Q8 Close via RCS</t>
  </si>
  <si>
    <t>Q16 Close via RCS</t>
  </si>
  <si>
    <t>User ____ primary access</t>
  </si>
  <si>
    <t>Obsolete</t>
  </si>
  <si>
    <t>User ____ Access denied</t>
  </si>
  <si>
    <t>New global account</t>
  </si>
  <si>
    <t>New local account</t>
  </si>
  <si>
    <t>Hoist mode failure</t>
  </si>
  <si>
    <t>Help button activated</t>
  </si>
  <si>
    <t>Hoist mode active</t>
  </si>
  <si>
    <t>Reverse Yaw</t>
  </si>
  <si>
    <t>Circuit breaker open</t>
  </si>
  <si>
    <t>Error in UPS</t>
  </si>
  <si>
    <t>UPS battery activated</t>
  </si>
  <si>
    <t>Wind estimate dev. __._m/s</t>
  </si>
  <si>
    <t>Error in ColdBoot file</t>
  </si>
  <si>
    <t>3218.bin File missing</t>
  </si>
  <si>
    <t>Remote Reboot</t>
  </si>
  <si>
    <t>Brush on gen.slip ring is worn</t>
  </si>
  <si>
    <t>Item_____ Updated by user_____</t>
  </si>
  <si>
    <t>Control of LT blocked</t>
  </si>
  <si>
    <t>STOP through RCS</t>
  </si>
  <si>
    <t>Auto Yaw blocked</t>
  </si>
  <si>
    <t>Error Slip Ring Fan Diff:___°C</t>
  </si>
  <si>
    <t>External error : __, ___</t>
  </si>
  <si>
    <t>Contactor switching, max</t>
  </si>
  <si>
    <t>Err_____ Rem. Ack by user_____</t>
  </si>
  <si>
    <t>Bypass miss. before phasecomp_</t>
  </si>
  <si>
    <t>Feedback = _, Phasecomp__</t>
  </si>
  <si>
    <t>Fuse phasecomp + Gen2 cut</t>
  </si>
  <si>
    <t>Logic error phase compensation</t>
  </si>
  <si>
    <t>Phasecomp.:__ in</t>
  </si>
  <si>
    <t>Phasecomp.:__ out</t>
  </si>
  <si>
    <t>Phasecomp temp.disconn.:____ V</t>
  </si>
  <si>
    <t>Awaiting delay in phasecomp:_</t>
  </si>
  <si>
    <t>PComp. dis. avr____ step ____V</t>
  </si>
  <si>
    <t>Command to VCMS failed</t>
  </si>
  <si>
    <t>RCC CRC error</t>
  </si>
  <si>
    <t>RCC Timeout</t>
  </si>
  <si>
    <t>CRC/Timeout error to RCC</t>
  </si>
  <si>
    <t>RCC status error:______</t>
  </si>
  <si>
    <t>RCC header error</t>
  </si>
  <si>
    <t>RCC IVCE error _</t>
  </si>
  <si>
    <t>RCC ILIM error _</t>
  </si>
  <si>
    <t>RCC temperature error _</t>
  </si>
  <si>
    <t>RCC voltage error ___</t>
  </si>
  <si>
    <t>RCC RAM error</t>
  </si>
  <si>
    <t>RCC communication error</t>
  </si>
  <si>
    <t>RCC error in master prom _</t>
  </si>
  <si>
    <t>RCC NAK during upload.</t>
  </si>
  <si>
    <t>RCC NAK start appl._____,_____</t>
  </si>
  <si>
    <t>Unknown RCC Log message ___</t>
  </si>
  <si>
    <t>RCC upload _. Result: _</t>
  </si>
  <si>
    <t>RCC CE overvoltage:  ____ V</t>
  </si>
  <si>
    <t>RCC OVP active: ____  V</t>
  </si>
  <si>
    <t>RCC high temperature _</t>
  </si>
  <si>
    <t>RCC low temperature _</t>
  </si>
  <si>
    <t>RCC high voltage ___</t>
  </si>
  <si>
    <t>RCC low voltage ___</t>
  </si>
  <si>
    <t>Illegal RCCState</t>
  </si>
  <si>
    <t>VRCC.bin File missing</t>
  </si>
  <si>
    <t>No satelites tracked</t>
  </si>
  <si>
    <t>One satelite tracked</t>
  </si>
  <si>
    <t>Current Limiter temp. high Thy</t>
  </si>
  <si>
    <t>CL VMP Timeout</t>
  </si>
  <si>
    <t>VCMS:theApp is suspended</t>
  </si>
  <si>
    <t>FeedBack = _, VRCC Pump S___</t>
  </si>
  <si>
    <t>FeedBack = _, VRCC Fan S___A</t>
  </si>
  <si>
    <t>FeedBack = _, VRCC Fan S___B</t>
  </si>
  <si>
    <t>Low level VRCC cool water</t>
  </si>
  <si>
    <t>High temp.VRCC coolwater:___°C</t>
  </si>
  <si>
    <t>Thermoerror VRCC Pump F___</t>
  </si>
  <si>
    <t>Thermoerror VRCC fan low F___A</t>
  </si>
  <si>
    <t>Thermoerr. VRCC fan High F___B</t>
  </si>
  <si>
    <t>VCMS, error in historic DB</t>
  </si>
  <si>
    <t>VCMS, historic DB disabled</t>
  </si>
  <si>
    <t>Feedback = _, Bypass contactor</t>
  </si>
  <si>
    <t>Feedback = _, Generator_</t>
  </si>
  <si>
    <t>Stop error during thyr. firing</t>
  </si>
  <si>
    <t>Commencing thyristor-in</t>
  </si>
  <si>
    <t>Commencing thyristor-out</t>
  </si>
  <si>
    <t>Thyristors stopped</t>
  </si>
  <si>
    <t>Thyristor firing interrupted</t>
  </si>
  <si>
    <t>Commence thyristor test Gen_</t>
  </si>
  <si>
    <t>End thyristor test Gen_</t>
  </si>
  <si>
    <t>Commence motorstart Gen_</t>
  </si>
  <si>
    <t>End motorstart Gen_</t>
  </si>
  <si>
    <t>Bypass missing before gen_</t>
  </si>
  <si>
    <t>Generatorbreaker open</t>
  </si>
  <si>
    <t>Illegal GenLogicState</t>
  </si>
  <si>
    <t>CT316 driver fail</t>
  </si>
  <si>
    <t>VCMS: No top communication</t>
  </si>
  <si>
    <t>VCMS: No gnd communication</t>
  </si>
  <si>
    <t>VCMS: No hub communication</t>
  </si>
  <si>
    <t>VCMS: No VCPM communication</t>
  </si>
  <si>
    <t>VCMS: Parameter mismatch</t>
  </si>
  <si>
    <t>RCCPRM.bin File missing</t>
  </si>
  <si>
    <t>RCC.bin File missing</t>
  </si>
  <si>
    <t>Hub Top Sync timeout</t>
  </si>
  <si>
    <t>VCMS:Error in RS INI file</t>
  </si>
  <si>
    <t>Remote AP Crash</t>
  </si>
  <si>
    <t>Signal operatinal.</t>
  </si>
  <si>
    <t>SignalError. _____,_____</t>
  </si>
  <si>
    <t>SignalError-PAU(a) _____,_____</t>
  </si>
  <si>
    <t>SignalError-PAUSE _____,_____</t>
  </si>
  <si>
    <t>SignalError-STOP _____,_____</t>
  </si>
  <si>
    <t>SignalError-EMERG _____,_____</t>
  </si>
  <si>
    <t>CAN API error.</t>
  </si>
  <si>
    <t>CAN SDO error.</t>
  </si>
  <si>
    <t>CAN emergency error.</t>
  </si>
  <si>
    <t>Low Battery Ground</t>
  </si>
  <si>
    <t>Low Battery Nacelle</t>
  </si>
  <si>
    <t>Low Battery Hub</t>
  </si>
  <si>
    <t>VCP detects Q8 feedback missin</t>
  </si>
  <si>
    <t>RT Dip exc.lim.:___%:_____e-2s</t>
  </si>
  <si>
    <t>Ch High IGBT load C_ Load:___%</t>
  </si>
  <si>
    <t>Ch High res. dev. C_ R:_.__Ohm</t>
  </si>
  <si>
    <t>RT High Rotor Current L_:____A</t>
  </si>
  <si>
    <t>RT Ext. High Rot.Cur. L_:____A</t>
  </si>
  <si>
    <t>RT Rotor HW Error     L_:____A</t>
  </si>
  <si>
    <t>RT Number:__,LastRT time_____s</t>
  </si>
  <si>
    <t>Ch active D Load C1___% C2___%</t>
  </si>
  <si>
    <t>Preheater, thermal cutout</t>
  </si>
  <si>
    <t>Preheating timeout in run mode</t>
  </si>
  <si>
    <t>Possible Humidity sensor err.</t>
  </si>
  <si>
    <t>Hoist failure -low brake press</t>
  </si>
  <si>
    <t>SMTP client failed</t>
  </si>
  <si>
    <t>Hoist failure - max gen. rpm</t>
  </si>
  <si>
    <t>Close Gridbreaker 3</t>
  </si>
  <si>
    <t>Gridbreaker 3 closed</t>
  </si>
  <si>
    <t>Open Gridbreaker 3</t>
  </si>
  <si>
    <t>Gridbreaker 3 open</t>
  </si>
  <si>
    <t>No RT, High Rotor Cur L_:____A</t>
  </si>
  <si>
    <t>No RT, Ex.Hig.Rot.Cur L_:____A</t>
  </si>
  <si>
    <t>No RT, Rotor HW.Error L_:____A</t>
  </si>
  <si>
    <t>Dip detec. V:___%,t:_____e-2s</t>
  </si>
  <si>
    <t>Timeout EMCPitchSelfTest ___s</t>
  </si>
  <si>
    <t>High wind EMC Pitchtest ___m/s</t>
  </si>
  <si>
    <t>_ EMC pitchAccu failed __°</t>
  </si>
  <si>
    <t>EMC pitchtest deviation __°</t>
  </si>
  <si>
    <t>Blade _ EMC pitchSystem Err. _</t>
  </si>
  <si>
    <t>Error EMC pitch blade _ ___°</t>
  </si>
  <si>
    <t>Long EMCpitch time bladeX_ __s</t>
  </si>
  <si>
    <t>Blade _ pitch react. time___s</t>
  </si>
  <si>
    <t>Close F60</t>
  </si>
  <si>
    <t>F60 closed</t>
  </si>
  <si>
    <t>Fog horn inactive</t>
  </si>
  <si>
    <t>Fog horn active</t>
  </si>
  <si>
    <t>Ext. 24V persistent in Hub</t>
  </si>
  <si>
    <t>Test:__________, __________</t>
  </si>
  <si>
    <t>EMC Pitch Accu Test Started</t>
  </si>
  <si>
    <t>EMC Pitch Accu Test Stopped</t>
  </si>
  <si>
    <t>EMC Pitch Accu Test Blade _</t>
  </si>
  <si>
    <t>EMC Pitch Accu Test Aborted</t>
  </si>
  <si>
    <t>EMC Pitch Accu Test Failed</t>
  </si>
  <si>
    <t>Too many contactor supervis.</t>
  </si>
  <si>
    <t>Extra info. Err:___ P:____._kW</t>
  </si>
  <si>
    <t>Coldboot parameters lost</t>
  </si>
  <si>
    <t>Parameters not recovered</t>
  </si>
  <si>
    <t>Automatic reestablish failed</t>
  </si>
  <si>
    <t>Automatic reestablish OK</t>
  </si>
  <si>
    <t>no RT, Dip no __,___e-2</t>
  </si>
  <si>
    <t>VCMS:AMA11 V=_____um/s, ____kW</t>
  </si>
  <si>
    <t>VCMS:AMA12 V=_____um/s, ____kW</t>
  </si>
  <si>
    <t>VCMS:AMA13 V=_____um/s, ____kW</t>
  </si>
  <si>
    <t>VCMS:AMA14 V=_____um/s, ____kW</t>
  </si>
  <si>
    <t>VCMS:AMA15 V=_____um/s, ____kW</t>
  </si>
  <si>
    <t>VCMS:AMA31 A=_____mm/s2,____kW</t>
  </si>
  <si>
    <t>VCMS:AMA32 A=_____mm/s2,____kW</t>
  </si>
  <si>
    <t>VCMS:SEW51 V=_____um/s, ____kW</t>
  </si>
  <si>
    <t>VCMS:SEW51 A=_____mm/s2,____kW</t>
  </si>
  <si>
    <t>VCMS:SEA51 V=_____um/s, ____kW</t>
  </si>
  <si>
    <t>VCMS:SEA51 A=_____mm/s2,____kW</t>
  </si>
  <si>
    <t>VCMS:FEW51 V=_____um/s, ____kW</t>
  </si>
  <si>
    <t>VCMS:FEW51 A=_____mm/s2,____kW</t>
  </si>
  <si>
    <t>VCMS:FEA51 V=_____um/s, ____kW</t>
  </si>
  <si>
    <t>VCMS:FEA51 A=_____mm/s2,____kW</t>
  </si>
  <si>
    <t>VCMS:AMA51 A=_____mm/s2,____kW</t>
  </si>
  <si>
    <t>VCMS:AMA51 V=_____um/s, ____kW</t>
  </si>
  <si>
    <t>VCMS:SEW52 V=_____um/s, ____kW</t>
  </si>
  <si>
    <t>VCMS:SEW52 A=_____mm/s2,____kW</t>
  </si>
  <si>
    <t>VCMS:SEA52 V=_____um/s, ____kW</t>
  </si>
  <si>
    <t>VCMS:SEA52 A=_____mm/s2,____kW</t>
  </si>
  <si>
    <t>VCMS:FEW52 V=_____um/s, ____kW</t>
  </si>
  <si>
    <t>VCMS:FEW52 A=_____mm/s2,____kW</t>
  </si>
  <si>
    <t>VCMS:FEA52 V=_____um/s, ____kW</t>
  </si>
  <si>
    <t>VCMS:FEA52 A=_____mm/s2,____kW</t>
  </si>
  <si>
    <t>VCMS:AMA52 A=_____mm/s2,____kW</t>
  </si>
  <si>
    <t>VCMS:AMA52 V=_____um/s, ____kW</t>
  </si>
  <si>
    <t>VCMS:SEW53 V=_____um/s, ____kW</t>
  </si>
  <si>
    <t>VCMS:SEW53 A=_____mm/s2,____kW</t>
  </si>
  <si>
    <t>VCMS:SEA53 V=_____um/s, ____kW</t>
  </si>
  <si>
    <t>VCMS:SEA53 A=_____mm/s2,____kW</t>
  </si>
  <si>
    <t>VCMS:FEW53 V=_____um/s, ____kW</t>
  </si>
  <si>
    <t>VCMS:FEW53 A=_____mm/s2,____kW</t>
  </si>
  <si>
    <t>VCMS:FEA53 V=_____um/s, ____kW</t>
  </si>
  <si>
    <t>VCMS:FEA53 A=_____mm/s2,____kW</t>
  </si>
  <si>
    <t>VCMS:AMA53 A=_____mm/s2,____kW</t>
  </si>
  <si>
    <t>VCMS:AMA53 V=_____um/s, ____kW</t>
  </si>
  <si>
    <t>VCMS:Node __ overload error</t>
  </si>
  <si>
    <t>VCMS:Node __ reset error</t>
  </si>
  <si>
    <t>VCMS:Assertion failure</t>
  </si>
  <si>
    <t>VCMS:Socket error</t>
  </si>
  <si>
    <t>VCMS:Start client __ error</t>
  </si>
  <si>
    <t>RT,NotReady during next __min.</t>
  </si>
  <si>
    <t>Phasecomp temp.disc.:___.__ Hz</t>
  </si>
  <si>
    <t>PComp. dis. avr____ step ____A</t>
  </si>
  <si>
    <t>PComp. dis. step__.__/__.__Hz</t>
  </si>
  <si>
    <t>Thermoerror Hydr. cool F___</t>
  </si>
  <si>
    <t>Pitch Lubricate Motion ___._ °</t>
  </si>
  <si>
    <t>GenRpm error measurem. ____rpm</t>
  </si>
  <si>
    <t>Invalid Turbine ID-number</t>
  </si>
  <si>
    <t>VCMS:Node __ defect</t>
  </si>
  <si>
    <t>Time changed more than __sec,_</t>
  </si>
  <si>
    <t>Too many interval usec timers</t>
  </si>
  <si>
    <t>Interval usec timer not init.</t>
  </si>
  <si>
    <t>VCMS:__ nodes not responding</t>
  </si>
  <si>
    <t>VCMS:Net jammed</t>
  </si>
  <si>
    <t>RT not allowed. Dip no __</t>
  </si>
  <si>
    <t>Feedback = _, Phasecomp. 1</t>
  </si>
  <si>
    <t>Feedback = _, Phasecomp. 2</t>
  </si>
  <si>
    <t>Feedback = _, Phasecomp. 3</t>
  </si>
  <si>
    <t>Feedback = _, Phasecomp. 4</t>
  </si>
  <si>
    <t>Feedback = _, Phasecomp. 5</t>
  </si>
  <si>
    <t>Feedback = _, Phasecomp. 6</t>
  </si>
  <si>
    <t>Feedback = _, Phasecomp. 7</t>
  </si>
  <si>
    <t>Feedback = _, Phasecomp. 8</t>
  </si>
  <si>
    <t>Feedback = _, Phasecomp. 9</t>
  </si>
  <si>
    <t>Feedback = _, Phasecomp. 10</t>
  </si>
  <si>
    <t>Feedback = _, Phasecomp. 11</t>
  </si>
  <si>
    <t>Feedback = _, Phasecomp. 12</t>
  </si>
  <si>
    <t>Max. Ph. Comp. FB. Warnings</t>
  </si>
  <si>
    <t>Ph. C. low reac. pow _____hVAr</t>
  </si>
  <si>
    <t>Gridstate queue overflow</t>
  </si>
  <si>
    <t>Nac Heaters __, Temp:___°C</t>
  </si>
  <si>
    <t>Start Frequency error:___.__Hz</t>
  </si>
  <si>
    <t>Timeout Start Frequency error</t>
  </si>
  <si>
    <t>External power ref.:____kW</t>
  </si>
  <si>
    <t>SWDS High Wind:__._m/s dir:___</t>
  </si>
  <si>
    <t>Remote service panel taken _ _</t>
  </si>
  <si>
    <t>Main WS switch from WS_ to WS_</t>
  </si>
  <si>
    <t>Remote service panel free _ _</t>
  </si>
  <si>
    <t>RT, UnexpAGO2Event C__ S __</t>
  </si>
  <si>
    <t>RT, IntAGO2CtrlErr C__ S __</t>
  </si>
  <si>
    <t>RT AGO2Sta.Cyc. Count_,____V</t>
  </si>
  <si>
    <t>Q8 contactor in state: ___</t>
  </si>
  <si>
    <t>VCS/VCRS dummy alarm1 ____ ___</t>
  </si>
  <si>
    <t>VCS/VCRS dummy alarm2 ____ ___</t>
  </si>
  <si>
    <t>VCS/VCRS dummy alarm3 ____ ___</t>
  </si>
  <si>
    <t>VCS/VCRS dummy alarm4 ____ ___</t>
  </si>
  <si>
    <t>VCS/VCRS dummy alarm5 ____ ___</t>
  </si>
  <si>
    <t>VCS/VCRS dummy warn1 ____ ____</t>
  </si>
  <si>
    <t>VCS/VCRS dummy warn2 ____ ____</t>
  </si>
  <si>
    <t>VCS/VCRS dummy warn3 ____ ____</t>
  </si>
  <si>
    <t>VCS/VCRS dummy warn4 ____ ____</t>
  </si>
  <si>
    <t>VCS/VCRS dummy warn5 ____ ____</t>
  </si>
  <si>
    <t>RT DC Undervoltage: ____V</t>
  </si>
  <si>
    <t>No RT, DC Undervoltage: ____V</t>
  </si>
  <si>
    <t>Low temp. Gen bearing _:___°C</t>
  </si>
  <si>
    <t>Extr Extr high volt. L_: ___ V</t>
  </si>
  <si>
    <t>Puls Pause on:___°C/air:___°C</t>
  </si>
  <si>
    <t>Puls Pause off:___°C/air:___°C</t>
  </si>
  <si>
    <t>Nacelle reset not found</t>
  </si>
  <si>
    <t>No ParameterDefinition file</t>
  </si>
  <si>
    <t>SW/Param def. vers. conflict</t>
  </si>
  <si>
    <t>Error in ParameterDef. file</t>
  </si>
  <si>
    <t>Error in Param. def. parser</t>
  </si>
  <si>
    <t>No ParameterValues file</t>
  </si>
  <si>
    <t>SW/Param value vers. conflict</t>
  </si>
  <si>
    <t>Error in ParameterValue. file</t>
  </si>
  <si>
    <t>Error in Param. Value parser</t>
  </si>
  <si>
    <t>Cmd scan suspended ____ ____</t>
  </si>
  <si>
    <t>WS2 Dir Frozen __._m/s ___._°</t>
  </si>
  <si>
    <t>WS1 checksum err.</t>
  </si>
  <si>
    <t>WS2 checksum err.</t>
  </si>
  <si>
    <t>Gear temp. diff. ___°C  ___°C</t>
  </si>
  <si>
    <t>PrepReconTimeout,__m/s____rpm</t>
  </si>
  <si>
    <t>Gen_ Speed Control Connect</t>
  </si>
  <si>
    <t>LSO Timeout State __</t>
  </si>
  <si>
    <t>RunningUpTimeout,__m/s____rpm</t>
  </si>
  <si>
    <t>Instable CtrlState operation</t>
  </si>
  <si>
    <t>RCC not ready at gen. connect</t>
  </si>
  <si>
    <t>AGO timeout state:__ * ______</t>
  </si>
  <si>
    <t>Power drop: _____ -&gt; _____ kW</t>
  </si>
  <si>
    <t>SSL Time to Gen. Disc. ___._s</t>
  </si>
  <si>
    <t>SSL Power ____kW Min: _____kW</t>
  </si>
  <si>
    <t>SSL RPM ____ to &lt;200 in ___._s</t>
  </si>
  <si>
    <t>SSL Max. pitch vel. ___._°/s</t>
  </si>
  <si>
    <t>Hub heating</t>
  </si>
  <si>
    <t>Power Curve __._m/s ______kW</t>
  </si>
  <si>
    <t>P Curve Ice __._m/s ______kW</t>
  </si>
  <si>
    <t>Feedback = _, Bypass L1</t>
  </si>
  <si>
    <t>Feedback = _, Bypass L2</t>
  </si>
  <si>
    <t>Feedback = _, Bypass L3</t>
  </si>
  <si>
    <t>UTC time changed _____ min</t>
  </si>
  <si>
    <t>External RPM not Reset</t>
  </si>
  <si>
    <t>Peak Gen.:____RPM Rot.:__._RPM</t>
  </si>
  <si>
    <t>Yaw prot.__.__m/s2 Wdir____._°</t>
  </si>
  <si>
    <t>Yaw gear protection stop</t>
  </si>
  <si>
    <t>Heating slipring (H=0/PH=1) _</t>
  </si>
  <si>
    <t>Heating nacelle and gear oil</t>
  </si>
  <si>
    <t>Heating nacelle ___°C</t>
  </si>
  <si>
    <t>Heating Hydraulic oil ___°C</t>
  </si>
  <si>
    <t>Heating valve block (pause)</t>
  </si>
  <si>
    <t>Heating valve block (stop)</t>
  </si>
  <si>
    <t>Grid volt above stop lim ___%</t>
  </si>
  <si>
    <t>DC Overvolt stop:____V state__</t>
  </si>
  <si>
    <t>Accumulator test done -&gt; OK</t>
  </si>
  <si>
    <t>Pitch accu fail _ 1Z14/ _ 3Z2</t>
  </si>
  <si>
    <t>EMF accu fail: 5Z01 axis _</t>
  </si>
  <si>
    <t>Brake accu fail:_ 2Z01/_ 2Z05</t>
  </si>
  <si>
    <t>Accumulator fail Solenoid</t>
  </si>
  <si>
    <t>Heating slipring time ____ Sec</t>
  </si>
  <si>
    <t>Tow. acc. X Fault:__.__ m/s^2</t>
  </si>
  <si>
    <t>Tow. acc. Y Fault:__.__ m/s^2</t>
  </si>
  <si>
    <t>Supply error: ___.__ Hz ___ V</t>
  </si>
  <si>
    <t>Shutdown timeout Pause Slow</t>
  </si>
  <si>
    <t>Shutdown timeout Pause Fast</t>
  </si>
  <si>
    <t>Shutdown timeout Stop Slow</t>
  </si>
  <si>
    <t>Shutdown timeout Stop Fast</t>
  </si>
  <si>
    <t>High temp. Gen bear. DE:___°C</t>
  </si>
  <si>
    <t>Low temp. Gen bear. DE:___°C</t>
  </si>
  <si>
    <t>High temp. Gen bear. NDE:___°C</t>
  </si>
  <si>
    <t>Low temp. Gen bear. NDE:___°C</t>
  </si>
  <si>
    <t>Too many Tow. acc. X Warnings</t>
  </si>
  <si>
    <t>Tow. acc. X-dead</t>
  </si>
  <si>
    <t>Accumulator fail Mechanical</t>
  </si>
  <si>
    <t>Accu test not completed</t>
  </si>
  <si>
    <t>EMF accumulator failures: _</t>
  </si>
  <si>
    <t>Disc brake accumulator failure</t>
  </si>
  <si>
    <t>High Delta Gearbear :___°C</t>
  </si>
  <si>
    <t>Disconnect High Freq ___.__ Hz</t>
  </si>
  <si>
    <t>No Pitch Hydraulic Power</t>
  </si>
  <si>
    <t>High temp. main bear. :___°C</t>
  </si>
  <si>
    <t>Arc light detected</t>
  </si>
  <si>
    <t>Gear oil bypass:____RPM/___°C</t>
  </si>
  <si>
    <t>Hi Gear sys pres:____RPM/___°C</t>
  </si>
  <si>
    <t>DP Gear oil fltr:____RPM/___°C</t>
  </si>
  <si>
    <t>Hi DP inlin fltr:____RPM/___°C</t>
  </si>
  <si>
    <t>Lo DP inlin fltr:____RPM/___°C</t>
  </si>
  <si>
    <t>Insp inline fltr:____RPM/___°C</t>
  </si>
  <si>
    <t>Yaw direction incorrect</t>
  </si>
  <si>
    <t>Blade bearing Act.:__._° St.:_</t>
  </si>
  <si>
    <t>BBCM: Err:__._° Windsp:__._m/s</t>
  </si>
  <si>
    <t>TripQ8 extr high HydTemp:___°C</t>
  </si>
  <si>
    <t>Failure in Anemometer</t>
  </si>
  <si>
    <t>WS1 Anemometer Frozen</t>
  </si>
  <si>
    <t>Failure in Wind Vane Sensor</t>
  </si>
  <si>
    <t>VOG Test timed out</t>
  </si>
  <si>
    <t>NRMS NoiseMode:__,HourPeriod:_</t>
  </si>
  <si>
    <t>NRMS NoiseMode:__,Wind:__._m/s</t>
  </si>
  <si>
    <t>NRMS NoiseMode:__,Dir.:___deg</t>
  </si>
  <si>
    <t>NRMS NoiseMode:0,Deactivated</t>
  </si>
  <si>
    <t>WS1 Vane Frozen __._m/s ___._°</t>
  </si>
  <si>
    <t>WS1 Vane in Turbulence/Frozen</t>
  </si>
  <si>
    <t>WS1 Wind Speed Out of Range</t>
  </si>
  <si>
    <t>Key switch: Remote control</t>
  </si>
  <si>
    <t>Key switch: Local/Remote</t>
  </si>
  <si>
    <t>Key switch: Local control</t>
  </si>
  <si>
    <t>pause after power cut out</t>
  </si>
  <si>
    <t>Yaw Lubrication Failed</t>
  </si>
  <si>
    <t>pause after grid drop</t>
  </si>
  <si>
    <t>Transformer Hatch Fb _</t>
  </si>
  <si>
    <t>WaterCoolLiquidLow</t>
  </si>
  <si>
    <t>SWDS Low Wind:__._m/s dir:___</t>
  </si>
  <si>
    <t>OptiStop Internal Fault</t>
  </si>
  <si>
    <t>OptiStop Communication Fault</t>
  </si>
  <si>
    <t>OptiStop Alive Fault</t>
  </si>
  <si>
    <t>OptiStop Rotor Speed Fault</t>
  </si>
  <si>
    <t>OptiStop Rotor Speed Std Dev</t>
  </si>
  <si>
    <t>OptiStop Plug Mounted Fault</t>
  </si>
  <si>
    <t>OptiStop Int Battery Fault</t>
  </si>
  <si>
    <t>OptiStop Ups1 Battery Fault</t>
  </si>
  <si>
    <t>OptiStop Ups2 Battery Fault</t>
  </si>
  <si>
    <t>VCP upload failed</t>
  </si>
  <si>
    <t>High temp RE main bear:___°C</t>
  </si>
  <si>
    <t>High temp NRE main bear:___°C</t>
  </si>
  <si>
    <t>SlipRTemp Diff T___°C B___°C</t>
  </si>
  <si>
    <t>Yaw activity is not dectected</t>
  </si>
  <si>
    <t>YawSpeedFault:__ Pos:___°</t>
  </si>
  <si>
    <t>Yaw Speed Exc:___° Rate:__sec</t>
  </si>
  <si>
    <t>Yaw Position is changed:___°</t>
  </si>
  <si>
    <t>Load sensor not calibrated</t>
  </si>
  <si>
    <t>Loadsensor A error</t>
  </si>
  <si>
    <t>Loadsensor B error</t>
  </si>
  <si>
    <t>Loadsensor C error</t>
  </si>
  <si>
    <t>TowerAccY SignalDead __m/s^2</t>
  </si>
  <si>
    <t>TowerAccY NoZeroCross __m/s^2</t>
  </si>
  <si>
    <t>NRMS NoiseMode:__,ClockHour:_</t>
  </si>
  <si>
    <t>OverFreq:__.__ Hz Ref:__.__ Hz</t>
  </si>
  <si>
    <t>WS1 ConstSpeed:__._m/s ActWS_</t>
  </si>
  <si>
    <t>WS1 ConstDir.: ___._°  ActWS_</t>
  </si>
  <si>
    <t>WS2 ConstSpeed:__._m/s ActWS_</t>
  </si>
  <si>
    <t>WS2 ConstDir.: ___._°  ActWS_</t>
  </si>
  <si>
    <t>Pitch error on all blades</t>
  </si>
  <si>
    <t>Last ArcNet reconfig count:__</t>
  </si>
  <si>
    <t>Curtailed  1. ____kW  2. __%</t>
  </si>
  <si>
    <t>Curtailed  1. __%  2. ____kW</t>
  </si>
  <si>
    <t>Grid volt under stop lim ___%</t>
  </si>
  <si>
    <t>Extended Yaw Status _</t>
  </si>
  <si>
    <t>Power Backup Status _</t>
  </si>
  <si>
    <t>Alarms Ignored Dur Ext Yaw _</t>
  </si>
  <si>
    <t>Extended Yaw Current Status _</t>
  </si>
  <si>
    <t>WS2 Anemometer Frozen</t>
  </si>
  <si>
    <t>WS2 Vane Frozen __._m/s ___._°</t>
  </si>
  <si>
    <t>WS2 Vane in Turbulence/Frozen</t>
  </si>
  <si>
    <t>High Q7 current   ____A   L_</t>
  </si>
  <si>
    <t>Extr High Q7 current ____A L_</t>
  </si>
  <si>
    <t>Asym. Q7 current  ____A  L_</t>
  </si>
  <si>
    <t>Ground Q7 current  ____A</t>
  </si>
  <si>
    <t>TYC Const Load Sig A Detected</t>
  </si>
  <si>
    <t>TYC Const Load Sig B Detected</t>
  </si>
  <si>
    <t>TYC Const Load Sig C Detected</t>
  </si>
  <si>
    <t>TYC Gain Hyst Err Detected</t>
  </si>
  <si>
    <t>TYC Load Sensor Status A Err</t>
  </si>
  <si>
    <t>TYC Load Sensor Status B Err</t>
  </si>
  <si>
    <t>TYC Load Sensor Status C Err</t>
  </si>
  <si>
    <t>TYC Azim Sensor Status Err</t>
  </si>
  <si>
    <t>TYC Load Sensor Calib Err</t>
  </si>
  <si>
    <t>TYC Rotor Azim Err Detected</t>
  </si>
  <si>
    <t>Safety System Fault</t>
  </si>
  <si>
    <t>Grid Breaker Trip Q8</t>
  </si>
  <si>
    <t>Grid Breaker Trip F60</t>
  </si>
  <si>
    <t>Write Access Taken: _</t>
  </si>
  <si>
    <t>Write Access Release: _</t>
  </si>
  <si>
    <t>Session Login: _</t>
  </si>
  <si>
    <t>Session Logout: _</t>
  </si>
  <si>
    <t>TransTempExtHigh:Ph_Temp___°C</t>
  </si>
  <si>
    <t>Hot gear derate active_,___°C</t>
  </si>
  <si>
    <t>AuxTransformer Temp High ___°C</t>
  </si>
  <si>
    <t>OfflineFilt High Press __._bar</t>
  </si>
  <si>
    <t>OfflineFilt Low Press __._bar</t>
  </si>
  <si>
    <t>OfflineFilt Sensors</t>
  </si>
  <si>
    <t>OfflineFiltPressTooHigh__._bar</t>
  </si>
  <si>
    <t>Overspeed Guard Activated</t>
  </si>
  <si>
    <t>UPS Battery Error</t>
  </si>
  <si>
    <t>UPS On Battery</t>
  </si>
  <si>
    <t>YawCW Pos Fb</t>
  </si>
  <si>
    <t>YawCW Neg Fb</t>
  </si>
  <si>
    <t>YawCW Signal Err</t>
  </si>
  <si>
    <t>YawCCW Pos Fb</t>
  </si>
  <si>
    <t>YawCCW Neg Fb</t>
  </si>
  <si>
    <t>YawCCW Signal Err</t>
  </si>
  <si>
    <t>Yaw Thermo 1 Fault</t>
  </si>
  <si>
    <t>Yaw Thermo 2 Fault</t>
  </si>
  <si>
    <t>Yaw Thermo 3 Fault</t>
  </si>
  <si>
    <t>Yaw Thermo 4 Fault</t>
  </si>
  <si>
    <t>Yaw Thermo 5 Fault</t>
  </si>
  <si>
    <t>Yaw Thermo 6 Fault</t>
  </si>
  <si>
    <t>Yaw Thermo 7 Fault</t>
  </si>
  <si>
    <t>Yaw Thermo 8 Fault</t>
  </si>
  <si>
    <t>Yaw Thermo 1 Signal Err</t>
  </si>
  <si>
    <t>Yaw Thermo 2 Signal Err</t>
  </si>
  <si>
    <t>Yaw Thermo 3 Signal Err</t>
  </si>
  <si>
    <t>Yaw Thermo 4 Signal Err</t>
  </si>
  <si>
    <t>Yaw Thermo 5 Signal Err</t>
  </si>
  <si>
    <t>Yaw Thermo 6 Signal Err</t>
  </si>
  <si>
    <t>Yaw Thermo 7 Signal Err</t>
  </si>
  <si>
    <t>Yaw Thermo 8 Signal Err</t>
  </si>
  <si>
    <t>Yaw Ciruitbreaker Fb Err</t>
  </si>
  <si>
    <t>Nacellle Hatch Fb _</t>
  </si>
  <si>
    <t>YawLubr Completed Req:__</t>
  </si>
  <si>
    <t>BypsPressHigh:___°C,___l/min</t>
  </si>
  <si>
    <t>BypsPressTooHigh___°C,___l/min</t>
  </si>
  <si>
    <t>DiffPressHigh___°C,___l/min</t>
  </si>
  <si>
    <t>DiffPressTooHigh___°C,___l/min</t>
  </si>
  <si>
    <t>InlDiffPressLow:___°C,___l/min</t>
  </si>
  <si>
    <t>PreSensorErr:Bef___After___bar</t>
  </si>
  <si>
    <t>ConvWaterCoolPressLow__.__bar</t>
  </si>
  <si>
    <t>ConvWaterCoolWatLevelLow_____l</t>
  </si>
  <si>
    <t>ConvWatCoolTempSlopeExceeded</t>
  </si>
  <si>
    <t>BrakeApplyPressureLow___bar</t>
  </si>
  <si>
    <t>BrakeReleasedPressHigh___bar</t>
  </si>
  <si>
    <t>BrakeReleasedPressTooHigh__bar</t>
  </si>
  <si>
    <t>BrakeApplyValve1CBActivated</t>
  </si>
  <si>
    <t>BrakeApplyValve2CBActivated</t>
  </si>
  <si>
    <t>BrakeDrainValveCBActivated</t>
  </si>
  <si>
    <t>BrakeAccumulatorPressLow___bar</t>
  </si>
  <si>
    <t>BrakeAccPressLowManInNac___bar</t>
  </si>
  <si>
    <t>BrakeHotLowBrakePressure___bar</t>
  </si>
  <si>
    <t>BrakeHotHighBrakePress___bar</t>
  </si>
  <si>
    <t>Brake Worn</t>
  </si>
  <si>
    <t>PitA Sys: ___bar Aside: ___bar</t>
  </si>
  <si>
    <t>PitB Sys: ___bar Aside: ___bar</t>
  </si>
  <si>
    <t>PitC Sys: ___bar Aside: ___bar</t>
  </si>
  <si>
    <t>VibrShockAct X _.__Y _.__m/s^2</t>
  </si>
  <si>
    <t>HighCyclicPitch</t>
  </si>
  <si>
    <t>PB OilDiffHigh Main___ A___bar</t>
  </si>
  <si>
    <t>PB OilDiffHigh Main___ B___bar</t>
  </si>
  <si>
    <t>PB OilDiffHigh Main___ C___bar</t>
  </si>
  <si>
    <t>PitA: PFB max: ___ min:__</t>
  </si>
  <si>
    <t>PitB: PFB max: ___ min:__</t>
  </si>
  <si>
    <t>PitC: PFB max: ___ min:__</t>
  </si>
  <si>
    <t>Pitch A: PFB indi open : ___</t>
  </si>
  <si>
    <t>Pitch B: PFB indi open : ___</t>
  </si>
  <si>
    <t>Pitch C: PFB indi open : ___</t>
  </si>
  <si>
    <t>PitA Not lock C: __.__ W:__.__</t>
  </si>
  <si>
    <t>PitB Not lock C: __.__ W:__.__</t>
  </si>
  <si>
    <t>PitC Not lock C: __.__ W:__.__</t>
  </si>
  <si>
    <t>Pitch A BL unlock WarningN= __</t>
  </si>
  <si>
    <t>Pitch B BL unlock WarningN= __</t>
  </si>
  <si>
    <t>Pitch C BL unlock WarningN= __</t>
  </si>
  <si>
    <t>Pitch A BL unlock alarm N= ___</t>
  </si>
  <si>
    <t>Pitch B BL unlock alarm N= ___</t>
  </si>
  <si>
    <t>Pitch C BL unlock alarm N= ___</t>
  </si>
  <si>
    <t>NegFB = _,:SupplyContHydrMotor</t>
  </si>
  <si>
    <t>PosFB = _,:SupplyContHydrMotor</t>
  </si>
  <si>
    <t>InvFB = _,:SupplyContHydrMotor</t>
  </si>
  <si>
    <t>NegFB = _,:SupplyContYawMotor</t>
  </si>
  <si>
    <t>PosFB = _,:SupplyContYawMotor</t>
  </si>
  <si>
    <t>InvFB = _,:SupplyContYawMotor</t>
  </si>
  <si>
    <t>NegFB = _,:SupplyContOtherMot</t>
  </si>
  <si>
    <t>PosFB = _,:SupplyContOtherMot</t>
  </si>
  <si>
    <t>InvFB = _,:SupplyContOtherMot</t>
  </si>
  <si>
    <t>GearLubrGravityTankFault</t>
  </si>
  <si>
    <t>SpareCanBeUsed</t>
  </si>
  <si>
    <t>DrySump Lev G:___l M:____l</t>
  </si>
  <si>
    <t>WetSump Lev G:___l M:____l</t>
  </si>
  <si>
    <t>GearLeak:MainTankVol____.__m^3</t>
  </si>
  <si>
    <t>Gear Leak: Flow __.__ l/min</t>
  </si>
  <si>
    <t>Gear Oil Contaminated Drain A</t>
  </si>
  <si>
    <t>Gear Oil Contaminated Drain B</t>
  </si>
  <si>
    <t>Gear Oil Contaminated Drain C</t>
  </si>
  <si>
    <t>GearboxOilLevelHigh M:____l</t>
  </si>
  <si>
    <t>Gear Oil Level High M:____l</t>
  </si>
  <si>
    <t>GearOilLevelTooLow M:____l</t>
  </si>
  <si>
    <t>GearOilLevelTooHigh M:____l</t>
  </si>
  <si>
    <t>GearOilTempHigh ___°C</t>
  </si>
  <si>
    <t>GearOilInletPressLow _._ bar</t>
  </si>
  <si>
    <t>Thermoerror gear oil pump</t>
  </si>
  <si>
    <t>Feedback = _,:GearOilHeater</t>
  </si>
  <si>
    <t>GearOilSumpWet: MainTank___°C</t>
  </si>
  <si>
    <t>GearOilSumpDry: MainTank___°C</t>
  </si>
  <si>
    <t>GearOilPressMissing: Derate</t>
  </si>
  <si>
    <t>GearOilPressMissing: No Derate</t>
  </si>
  <si>
    <t>GenWarmPhaseTmp:Min___Max___°C</t>
  </si>
  <si>
    <t>GenLowPhaseTemp:Min___Max__°C</t>
  </si>
  <si>
    <t>GenHighPhaseTemp:Min___Max__°C</t>
  </si>
  <si>
    <t>GenLowBearTemp:DE__NonDE__°C</t>
  </si>
  <si>
    <t>GenHighBearTemp:DE__NonDE__°C</t>
  </si>
  <si>
    <t>PowerSupplyLowFreq: Min___ Hz</t>
  </si>
  <si>
    <t>PowerSupplyHighFreq: Max___ Hz</t>
  </si>
  <si>
    <t>UPS Battery Low</t>
  </si>
  <si>
    <t>SupplyError: Min ____V phase_</t>
  </si>
  <si>
    <t>UPS DC1 Battery Error</t>
  </si>
  <si>
    <t>UPS DC2 Battery Error</t>
  </si>
  <si>
    <t>UPS DC Power Supply Missing</t>
  </si>
  <si>
    <t>UPS DC1 Error</t>
  </si>
  <si>
    <t>UPS DC2 Error</t>
  </si>
  <si>
    <t>GenCold:MinTemp___EnvTemp___°C</t>
  </si>
  <si>
    <t>GenColdDeratePowerNotActive</t>
  </si>
  <si>
    <t>GenWarm:MaxTemp___EnvTemp___°C</t>
  </si>
  <si>
    <t>GenWarmDeratePowerNotActive</t>
  </si>
  <si>
    <t>SupplyError: Max ____V phase_</t>
  </si>
  <si>
    <t>Supply Aux Main CB Opened</t>
  </si>
  <si>
    <t>Supply CommonCB Nacelle Opened</t>
  </si>
  <si>
    <t>PanelPowerSupplyHub24VError</t>
  </si>
  <si>
    <t>PanelPowerSupplyNacelle24VErr</t>
  </si>
  <si>
    <t>PanelPowerSupplyTower24VError</t>
  </si>
  <si>
    <t>YawMotorLowVol:____V, phase_</t>
  </si>
  <si>
    <t>HV TrafoFanState __</t>
  </si>
  <si>
    <t>MainBearLubrErr: NacTemp___°C</t>
  </si>
  <si>
    <t>MainBearLubrReservoirLevelLow</t>
  </si>
  <si>
    <t>MainBearingLubrCompleted</t>
  </si>
  <si>
    <t>GearHydrWatPumpPressLow___bar</t>
  </si>
  <si>
    <t>GearHydrWatPumpLevelLow___m^3</t>
  </si>
  <si>
    <t>GearHydWaterPumpSignalInvalid</t>
  </si>
  <si>
    <t>GearHydWaterPumpThermoError</t>
  </si>
  <si>
    <t>GearHydWaterPumpThermoInvalid</t>
  </si>
  <si>
    <t>GearHydWaterPumpPositiveFB</t>
  </si>
  <si>
    <t>GearHydWaterPumpNegativeFB</t>
  </si>
  <si>
    <t>GearHydWaterPumpFBInvalid</t>
  </si>
  <si>
    <t>KeySwitchCommRights______</t>
  </si>
  <si>
    <t>HydrHighPressPump1ThermoErr__</t>
  </si>
  <si>
    <t>HydrHighPressPump2ThermoErr__</t>
  </si>
  <si>
    <t>HydrHighPressPumpNotFunctional</t>
  </si>
  <si>
    <t>NacelleTemp:___PanelTemp:___°C</t>
  </si>
  <si>
    <t>NacelleCtrlPanelFan__Temp___°C</t>
  </si>
  <si>
    <t>HubPanelTempHigh:___Hub:___°C</t>
  </si>
  <si>
    <t>HubPanelTempLow:___Hub:___°C</t>
  </si>
  <si>
    <t>GndPanelTempHigh:___Env:___°C</t>
  </si>
  <si>
    <t>GndPanelTempLow:___Env:___°C</t>
  </si>
  <si>
    <t>HydrMainPressLow:____bar____°C</t>
  </si>
  <si>
    <t>HydrMainPressHigh:____bar___°C</t>
  </si>
  <si>
    <t>HydrInitPressMissing___bar__°C</t>
  </si>
  <si>
    <t>HydrFiltOilPressDiffHigh___bar</t>
  </si>
  <si>
    <t>HydrFiltOilPressDiffTooH___bar</t>
  </si>
  <si>
    <t>HydrOilTempHigh___°C</t>
  </si>
  <si>
    <t>HydrStartupProcedure___</t>
  </si>
  <si>
    <t>HydrHighPressPump1NegFBError</t>
  </si>
  <si>
    <t>HydrHighPressPump1PosFBError</t>
  </si>
  <si>
    <t>HydrHighPressPump2NegFBError</t>
  </si>
  <si>
    <t>HydrHighPressPump2PosFBError</t>
  </si>
  <si>
    <t>HydrHighPressPump__NewState__</t>
  </si>
  <si>
    <t>Load/PowerMode invalid winddir</t>
  </si>
  <si>
    <t>Load/PowerMode invalid config.</t>
  </si>
  <si>
    <t>Load/PowerMode windsector __</t>
  </si>
  <si>
    <t>GndControllerProcessorBattLow</t>
  </si>
  <si>
    <t>HubControllerProcessorBattLow</t>
  </si>
  <si>
    <t>NacelleControllerProcBattLow</t>
  </si>
  <si>
    <t>ConvControllerProcessorBattLow</t>
  </si>
  <si>
    <t>ArcNetReconfigMaxLimit________</t>
  </si>
  <si>
    <t>GndArcNetRec1LightErr___.__dBm</t>
  </si>
  <si>
    <t>GndArcNetRec2LightErr___.__dBm</t>
  </si>
  <si>
    <t>GndArcNetRec3LightErr___.__dBm</t>
  </si>
  <si>
    <t>GndArcNetRec4LightErr___.__dBm</t>
  </si>
  <si>
    <t>GndArcNetRec5LightErr___.__dBm</t>
  </si>
  <si>
    <t>NacArcNetRec1LightErr___.__dBm</t>
  </si>
  <si>
    <t>NacArcNetRec2LightErr___.__dBm</t>
  </si>
  <si>
    <t>NacArcNetRec3LightErr___.__dBm</t>
  </si>
  <si>
    <t>NacArcNetRec4LightErr___.__dBm</t>
  </si>
  <si>
    <t>NacArcNetRec5LightErr___.__dBm</t>
  </si>
  <si>
    <t>HubArcNetRec1LightErr___.__dBm</t>
  </si>
  <si>
    <t>HubArcNetRec2LightErr___.__dBm</t>
  </si>
  <si>
    <t>HubArcNetRec3LightErr___.__dBm</t>
  </si>
  <si>
    <t>HubArcNetRec4LightErr___.__dBm</t>
  </si>
  <si>
    <t>HubArcNetRec5LightErr___.__dBm</t>
  </si>
  <si>
    <t>ConvArcNetRc3LightErr___.__dBm</t>
  </si>
  <si>
    <t>ConvArcNetRc4LightErr___.__dBm</t>
  </si>
  <si>
    <t>AccTestInitPressMissing____bar</t>
  </si>
  <si>
    <t>BrakeAccTestMinTimeErr____sec</t>
  </si>
  <si>
    <t>BrakeAccTestMaxTimeErr____sec</t>
  </si>
  <si>
    <t>BrakeApplyValve1ErrPress___bar</t>
  </si>
  <si>
    <t>BrakeDrainValveFailed</t>
  </si>
  <si>
    <t>DrainTestInitialPressMissing</t>
  </si>
  <si>
    <t>BrakeApplyValve2ErrPress___bar</t>
  </si>
  <si>
    <t>BrakeAccTestNotPerformed</t>
  </si>
  <si>
    <t>BrakeAccumulatorTestPerformed</t>
  </si>
  <si>
    <t>BrakeApplyValve1TestNotPerform</t>
  </si>
  <si>
    <t>BrakeApplyValve1TestPerformed</t>
  </si>
  <si>
    <t>BrakeDrainValveTestNotPerform</t>
  </si>
  <si>
    <t>BrakeDrainValveTestPerformed</t>
  </si>
  <si>
    <t>BrakeApplyValve2TestNotPerform</t>
  </si>
  <si>
    <t>BrakeApplyValve2TestPerformed</t>
  </si>
  <si>
    <t>FRBPowerReference___kW</t>
  </si>
  <si>
    <t>PowerStop1Error</t>
  </si>
  <si>
    <t>PowerStop2Error</t>
  </si>
  <si>
    <t>PowerStop3Error</t>
  </si>
  <si>
    <t>PowerStop4Error</t>
  </si>
  <si>
    <t>SafetySystemErr:Nacelle__Hub__</t>
  </si>
  <si>
    <t>EmergStopButtonActivated__</t>
  </si>
  <si>
    <t>HVCBTripError</t>
  </si>
  <si>
    <t>HVCBNotReconnected</t>
  </si>
  <si>
    <t>HVCBTripCircuitError</t>
  </si>
  <si>
    <t>ProtectionSystemActivated</t>
  </si>
  <si>
    <t>HVCBOpened</t>
  </si>
  <si>
    <t>HVCBReconnected</t>
  </si>
  <si>
    <t>YawLubrUntwistRequested</t>
  </si>
  <si>
    <t>YawLubrUntwistRequired</t>
  </si>
  <si>
    <t>ModeSelectorTowerSignalError</t>
  </si>
  <si>
    <t>ModeSelectorNacelleSignalError</t>
  </si>
  <si>
    <t>ModeSelectorOperationErr__</t>
  </si>
  <si>
    <t>TowerModeSelPos__Tow__Nacelle</t>
  </si>
  <si>
    <t>NacelleModeSelPos__Tower__Nac</t>
  </si>
  <si>
    <t>ModeSelector__Pos__CommRights</t>
  </si>
  <si>
    <t>ManBladeSelectorSignalMismatch</t>
  </si>
  <si>
    <t>Hub In Safe Mode Enter</t>
  </si>
  <si>
    <t>Hub In Safe Mode Leave</t>
  </si>
  <si>
    <t>Hub In SafeMode While Rotating</t>
  </si>
  <si>
    <t>StatorFilter Thermo Fault</t>
  </si>
  <si>
    <t>StatorFilter Fuse,Contac Fail</t>
  </si>
  <si>
    <t>StatorFilterSignal Err</t>
  </si>
  <si>
    <t>StatorFilterFuseSig Err</t>
  </si>
  <si>
    <t>BrakeAccPressTooHigh___bar</t>
  </si>
  <si>
    <t>BrakePressureTooHigh___bar</t>
  </si>
  <si>
    <t>BrakeApplied:_Safety_Control</t>
  </si>
  <si>
    <t>BrakeReleased:_Safety_Control</t>
  </si>
  <si>
    <t>BrakeAppliedInProduction</t>
  </si>
  <si>
    <t>CMSGearVibrSignal1High____mm/s</t>
  </si>
  <si>
    <t>CMSGearVibrSignal2High____mm/s</t>
  </si>
  <si>
    <t>CMSGearVibrSignal3High____mm/s</t>
  </si>
  <si>
    <t>CMSGearVibrSignal4High____mm/s</t>
  </si>
  <si>
    <t>CMSGearVibrSignal5High____mm/s</t>
  </si>
  <si>
    <t>CMSGearVibrSignal6High____mm/s</t>
  </si>
  <si>
    <t>CMSGearVibrSignal7High____mm/s</t>
  </si>
  <si>
    <t>CMSGearVibr1TooHigh_____mm/s</t>
  </si>
  <si>
    <t>CMSGearVibr2TooHigh_____mm/s</t>
  </si>
  <si>
    <t>CMSGearVibr3TooHigh_____mm/s</t>
  </si>
  <si>
    <t>CMSGearVibr4TooHigh_____mm/s</t>
  </si>
  <si>
    <t>CMSGearVibr5TooHigh_____mm/s</t>
  </si>
  <si>
    <t>CMSGearVibr6TooHigh_____mm/s</t>
  </si>
  <si>
    <t>CMSGearVibr7TooHigh_____mm/s</t>
  </si>
  <si>
    <t>CMSGenVibrSignal1High____mm/s</t>
  </si>
  <si>
    <t>CMSGenVibrSignal2High____mm/s</t>
  </si>
  <si>
    <t>CMSGenerVibr1TooHigh____mm/s</t>
  </si>
  <si>
    <t>CMSGenerVibr2TooHigh____mm/s</t>
  </si>
  <si>
    <t>CMSMainBearingVibrHigh____mm/s</t>
  </si>
  <si>
    <t>CMSMainBearVibrTooHigh____mm/s</t>
  </si>
  <si>
    <t>PtchValAErr,VeloctyA___._mm/s</t>
  </si>
  <si>
    <t>PtchValBErr,VeloctyB___._mm/s</t>
  </si>
  <si>
    <t>PtchValCErr,VeloctyC___._mm/s</t>
  </si>
  <si>
    <t>PitchVelocityDiffExceed___mm/s</t>
  </si>
  <si>
    <t>EMCPitchValvesTestPerformed</t>
  </si>
  <si>
    <t>Pitch Valves Test Failure</t>
  </si>
  <si>
    <t>FlushTestErr;EMCPilot___bar</t>
  </si>
  <si>
    <t>HydrPress___bar;EMCPilot___bar</t>
  </si>
  <si>
    <t>DODP Valve Failure</t>
  </si>
  <si>
    <t>MSCHWErr, ConvModID __ Par2___</t>
  </si>
  <si>
    <t>MSCHWErrInfo,ModID__, Phase _</t>
  </si>
  <si>
    <t>HighIMSC L__,MaxCurr____A</t>
  </si>
  <si>
    <t>GenSpeedOutLimLw/Hi:_, ____rpm</t>
  </si>
  <si>
    <t>Sync time out___s,SyncState___</t>
  </si>
  <si>
    <t>ConnTransTimeOut__s,MSCState__</t>
  </si>
  <si>
    <t>LckMSCTimeOut___ms,MSCState_</t>
  </si>
  <si>
    <t>DiscTransPrm___s,MainMSCState_</t>
  </si>
  <si>
    <t>LSCHWErr, ConvModule_,Par2____</t>
  </si>
  <si>
    <t>LSCHWErrInfo, ConvModule_, L_</t>
  </si>
  <si>
    <t>HighILSC,L_,MaxLSCCurr____A</t>
  </si>
  <si>
    <t>PreChTimeOut DCLink____V, ___s</t>
  </si>
  <si>
    <t>ChargeTrnsTimeout__s,LSC__</t>
  </si>
  <si>
    <t>PreDisTimeout DC:____V,_.__s</t>
  </si>
  <si>
    <t>DischTrnsTime_.___s,LSCState__</t>
  </si>
  <si>
    <t>LockLSCTimeOut_.___s,LSCState_</t>
  </si>
  <si>
    <t>DCChopperHWErr, ConvModule__</t>
  </si>
  <si>
    <t>DCChopperHWErrInfo,ConvMod__</t>
  </si>
  <si>
    <t>GridPhaseSeqErr,Par1___ Par2__</t>
  </si>
  <si>
    <t>GridFilterContErr,Par1__Par2__</t>
  </si>
  <si>
    <t>GridFiltFuseErr,___kVar,Val:_</t>
  </si>
  <si>
    <t>GridFiltNotCon,Time___s,Par2__</t>
  </si>
  <si>
    <t>DischargeSupvTimeout___s</t>
  </si>
  <si>
    <t>RundownTimeout___s,____RPM</t>
  </si>
  <si>
    <t>FrtDetect: Volt___%,Time__.__s</t>
  </si>
  <si>
    <t>DisconnPowHi:____kW Lim:__kW</t>
  </si>
  <si>
    <t>UnexpContFB:Substate_,EvntNr__</t>
  </si>
  <si>
    <t>VPCIntSWErr:Par1____Par2____</t>
  </si>
  <si>
    <t>ExtHighIMSC,ConvMod_,Par2___</t>
  </si>
  <si>
    <t>ExtMSCInfo:ConvMod_, L___</t>
  </si>
  <si>
    <t>ExtHighILSC,ConvMod_,Par2___</t>
  </si>
  <si>
    <t>ExtLSCInfo:ConvMod_, L___</t>
  </si>
  <si>
    <t>PwrStopActive,Par1____Par2____</t>
  </si>
  <si>
    <t>PSCCHWErr,ConvMod_,ErrCode____</t>
  </si>
  <si>
    <t>PSCCCANErr,ConvMod_,ErrCod____</t>
  </si>
  <si>
    <t>PowerStopHighTemp</t>
  </si>
  <si>
    <t>PowerStopOverTemp</t>
  </si>
  <si>
    <t>TransformerHighCoreTemp</t>
  </si>
  <si>
    <t>HydrOilExtremeHighTemp_____°C</t>
  </si>
  <si>
    <t>ModeSelectorInStop:Tow__Nac__</t>
  </si>
  <si>
    <t>LIDARExtremeGustDetec__._m/s^2</t>
  </si>
  <si>
    <t>Nac Temp:___Panel2Temp:___°C</t>
  </si>
  <si>
    <t>Nac PanelFan2__Temp___°C</t>
  </si>
  <si>
    <t>GrayCodeInvShift:Prev__Act__</t>
  </si>
  <si>
    <t>CamPulsMiss:Time___s,CT______°</t>
  </si>
  <si>
    <t>CTStopReached:Code__,CT______°</t>
  </si>
  <si>
    <t>Common EMC Valve Fail</t>
  </si>
  <si>
    <t>EMC valve err in pitch blockA</t>
  </si>
  <si>
    <t>EMC valve err in pitch blockB</t>
  </si>
  <si>
    <t>EMC valve err in pitch blockC</t>
  </si>
  <si>
    <t>Common accu failed test:____</t>
  </si>
  <si>
    <t>Leakage pitch accum.A:___bar</t>
  </si>
  <si>
    <t>Leakage pitch accum.B:___bar</t>
  </si>
  <si>
    <t>Leakage pitch accum.C:___bar</t>
  </si>
  <si>
    <t>Low flow tank block A:___bar</t>
  </si>
  <si>
    <t>Low flow tank block B:___bar</t>
  </si>
  <si>
    <t>Low flow tank block C:___bar</t>
  </si>
  <si>
    <t>Accu A failed in test:___bar</t>
  </si>
  <si>
    <t>Accu B failed in test:___bar</t>
  </si>
  <si>
    <t>Accu C failed in test:___bar</t>
  </si>
  <si>
    <t>PitchPress Diff Hi.A___,___</t>
  </si>
  <si>
    <t>PitchPress Diff Hi.B___,___</t>
  </si>
  <si>
    <t>PitchPress Diff Hi.C___,___</t>
  </si>
  <si>
    <t>Nacelle position err ___°</t>
  </si>
  <si>
    <t>GrayCodeShiftUnexp.Err: ___</t>
  </si>
  <si>
    <t>Nacelle pos ResetUnexp: ___._°</t>
  </si>
  <si>
    <t>Nacelle pos reset missing</t>
  </si>
  <si>
    <t>CT Est.Twist fault</t>
  </si>
  <si>
    <t>GrayCodeResetShiftUnexp.____</t>
  </si>
  <si>
    <t>GrayCodeResetShiftMiss.____</t>
  </si>
  <si>
    <t>CableTwistCodeShift:New__Old__</t>
  </si>
  <si>
    <t>NacReset Err___._ Est___._</t>
  </si>
  <si>
    <t>NacPosNoise:Est___._Nac___._</t>
  </si>
  <si>
    <t>NacPosHiFreq:Est___._Nac___._</t>
  </si>
  <si>
    <t>CableTwReset:Err___._Est:___._</t>
  </si>
  <si>
    <t>CableTwRstPa:Err___._Est:___._</t>
  </si>
  <si>
    <t>Low Battery VPC</t>
  </si>
  <si>
    <t>GrayCodeShiftMiss ____</t>
  </si>
  <si>
    <t>Yaw Speed Low ___</t>
  </si>
  <si>
    <t>NacPosSigInvalidShift Err:___</t>
  </si>
  <si>
    <t>HighTempMSC.IGBT:Mod__; ____°C</t>
  </si>
  <si>
    <t>HighTempLSC.IGBT:Mod__; ____°C</t>
  </si>
  <si>
    <t>HighTempDCChop:Mod__; ____°C</t>
  </si>
  <si>
    <t>HighTempGridChoke1:Mod__,___°C</t>
  </si>
  <si>
    <t>HighTempGridChoke2:Mod__,___°C</t>
  </si>
  <si>
    <t>HydHighPressPump1SignalInvalid</t>
  </si>
  <si>
    <t>HighPressPump1ThermoInvalid</t>
  </si>
  <si>
    <t>HighPressPump1FeedbackInvalid</t>
  </si>
  <si>
    <t>HydHighPressPump2SignalInvalid</t>
  </si>
  <si>
    <t>HighPressPump2ThermoInvalid</t>
  </si>
  <si>
    <t>HighPressPump2FeedbackInvalid</t>
  </si>
  <si>
    <t>PitchAccumulatorTestAccFailed</t>
  </si>
  <si>
    <t>PitchAccTestSysAccFail,Time__s</t>
  </si>
  <si>
    <t>PitchSystDrainValveFail____bar</t>
  </si>
  <si>
    <t>PitchManifAAccFailed,Time___s</t>
  </si>
  <si>
    <t>PitchManifADrainVlvFail____bar</t>
  </si>
  <si>
    <t>PitchManifBAccFailed,Time___s</t>
  </si>
  <si>
    <t>PitchManifBDrainVlvFail____bar</t>
  </si>
  <si>
    <t>PitchManifCAccFailed,Time___s</t>
  </si>
  <si>
    <t>PitchManifCDrainVlvFail____bar</t>
  </si>
  <si>
    <t>ConvGenWatCoolPumpSignInvalid</t>
  </si>
  <si>
    <t>ConvGenWatCoolPumpThermoFault</t>
  </si>
  <si>
    <t>ConvGenWatCoolPumpThermInvalid</t>
  </si>
  <si>
    <t>ConvGenWatCoolPumpPosFeedback</t>
  </si>
  <si>
    <t>ConvGenWatCoolPumpNegFeedback</t>
  </si>
  <si>
    <t>ConvGenWatCoolPumpFeedBInvalid</t>
  </si>
  <si>
    <t>ConvGenWatCooHeaterSignInvalid</t>
  </si>
  <si>
    <t>ConvGenWatCoolHeatPosFeedback</t>
  </si>
  <si>
    <t>ConvGenWatCoolHeatNegFeedback</t>
  </si>
  <si>
    <t>ConvGenWatCoolHeatFeedBInvalid</t>
  </si>
  <si>
    <t>HighTempPwrStopRes:Mod__,___°C</t>
  </si>
  <si>
    <t>Software Err On PSC Controller</t>
  </si>
  <si>
    <t>MSCCurrLoadShare:PSC__,Phase__</t>
  </si>
  <si>
    <t>TempSwitchdvdtFilter: Mod__</t>
  </si>
  <si>
    <t>Boot Failure PSC Module __</t>
  </si>
  <si>
    <t>LSCCurrLoadShare:Mod__,Phase__</t>
  </si>
  <si>
    <t>DCLinkFuseBlownOnPSC Module __</t>
  </si>
  <si>
    <t>TmpSwitchDCChopper:Mod_; ___°C</t>
  </si>
  <si>
    <t>TmpSwitchGridChoke1:Mod_;___°C</t>
  </si>
  <si>
    <t>TmpSwitchGridChoke2:Mod_;___°C</t>
  </si>
  <si>
    <t>WeldedContactor: ID __, PSC __</t>
  </si>
  <si>
    <t>BreakerTrip:Subst___,EvntNr___</t>
  </si>
  <si>
    <t>PitchSystemAccTestComplete</t>
  </si>
  <si>
    <t>PitchManifoldAccTestComplete</t>
  </si>
  <si>
    <t>PilotLine:EMCFlushTestComplete</t>
  </si>
  <si>
    <t>PilotValves: EMC Test Complete</t>
  </si>
  <si>
    <t>DODPValves:DODPTestComplete</t>
  </si>
  <si>
    <t>YawToCableTwistResetFailed</t>
  </si>
  <si>
    <t>YawUntwistCCW: Code__,_______°</t>
  </si>
  <si>
    <t>CTCodeResetShiftUnexp:Old_New_</t>
  </si>
  <si>
    <t>CodeResShiftMiss:Code_,______°</t>
  </si>
  <si>
    <t>Yaw Wrong Direction</t>
  </si>
  <si>
    <t>Yaw Move Unexpected</t>
  </si>
  <si>
    <t>NacellePosReset:Pos___°,Code_</t>
  </si>
  <si>
    <t>NacPosNoise:EstPos___,Pos___°</t>
  </si>
  <si>
    <t>NacPosHighFr:EstPos___,Pos___°</t>
  </si>
  <si>
    <t>NacPosShift:EstPos___,Pos___°</t>
  </si>
  <si>
    <t>CableTwistReset:Err______,___°</t>
  </si>
  <si>
    <t>Cable Twist Reset Passed</t>
  </si>
  <si>
    <t>Yaw Control Auto Yawing</t>
  </si>
  <si>
    <t>Yaw Control Manual Yawing</t>
  </si>
  <si>
    <t>StartManYawCW:CableTwist___._</t>
  </si>
  <si>
    <t>StartManYawCCW:CableTwist___._</t>
  </si>
  <si>
    <t>StopManYaw:CableTwist___._</t>
  </si>
  <si>
    <t>CableUntwistCW:CableTw___._</t>
  </si>
  <si>
    <t>CableUntwistCCW:CableTw___._</t>
  </si>
  <si>
    <t>CableUntwistPerf:CableTw___._</t>
  </si>
  <si>
    <t>StopYawDirection:Allow CW_CCW_</t>
  </si>
  <si>
    <t>YawMovUnxpSt:Slip___._Nac___._</t>
  </si>
  <si>
    <t>YawMovUnxpEn:Slip___._Nac___._</t>
  </si>
  <si>
    <t>YawToNacPositResetErr_______°</t>
  </si>
  <si>
    <t>Transf Fan Pos Feedback Error</t>
  </si>
  <si>
    <t>Transf Fan Neg Feedback Error</t>
  </si>
  <si>
    <t>PitchA step:__._°, SwHist:___</t>
  </si>
  <si>
    <t>PitchB step:__._°, SwHist:___</t>
  </si>
  <si>
    <t>PitchC step:__._°, SwHist:___</t>
  </si>
  <si>
    <t>CollPi step:__._°, SwHist:___</t>
  </si>
  <si>
    <t>OverspeedGuardConfErr:Setting_</t>
  </si>
  <si>
    <t>Max time hydr. pumping:___ sec</t>
  </si>
  <si>
    <t>GenerLubrErr:MissLubrTime___s</t>
  </si>
  <si>
    <t>GeneratorLubricationCompleted</t>
  </si>
  <si>
    <t>SafetySysCommErr:LinkEstabl___</t>
  </si>
  <si>
    <t>SafetySysCheckSumErr:_____</t>
  </si>
  <si>
    <t>DODP Leak Failure</t>
  </si>
  <si>
    <t>Brake Warning</t>
  </si>
  <si>
    <t>DCLink Contactor Feedback</t>
  </si>
  <si>
    <t>ChargeCont Fb timeout act:__</t>
  </si>
  <si>
    <t>GridFiltContFb timeout act:__</t>
  </si>
  <si>
    <t>LSCBreakerFbTimeout PSC__,act_</t>
  </si>
  <si>
    <t>StatVoltSensFbTimeout act:__</t>
  </si>
  <si>
    <t>GenBreakerFbTimeout PSC__,act_</t>
  </si>
  <si>
    <t>DischangeTimeout.____V, ____ms</t>
  </si>
  <si>
    <t>PSC Low DCVolt. PSC:__, ____V</t>
  </si>
  <si>
    <t>PSC High DCVolt. PSC:__, ____V</t>
  </si>
  <si>
    <t>Unexp DCLink Fb. PSC__,act_</t>
  </si>
  <si>
    <t>Unexp GridFilter Fb.ID:__,act_</t>
  </si>
  <si>
    <t>Unexp ChargeContFb. Act:__</t>
  </si>
  <si>
    <t>UnexpLSCBreaker Fb.PSC__,act_</t>
  </si>
  <si>
    <t>UnexpGenBreakerFb.PSC__,act _</t>
  </si>
  <si>
    <t>UnexpStatVoltContFb.act _</t>
  </si>
  <si>
    <t>ManualBladeBearingLubrDone</t>
  </si>
  <si>
    <t>PressureControlSuppressed</t>
  </si>
  <si>
    <t>GearHeat Pos Fb Err</t>
  </si>
  <si>
    <t>GearHeat Neg Fb Err</t>
  </si>
  <si>
    <t>GearHeat Signal Err</t>
  </si>
  <si>
    <t>GearLubr StartPressLow __._bar</t>
  </si>
  <si>
    <t>GearLubrPress Derate Active</t>
  </si>
  <si>
    <t>GearLubrPress Derate Inactive</t>
  </si>
  <si>
    <t>Inv. WindSig-&gt;SafeModePitch</t>
  </si>
  <si>
    <t>GenPhase Derate time ___ °C</t>
  </si>
  <si>
    <t>GenBearTempDerate __°C En:__°C</t>
  </si>
  <si>
    <t>GearDerate Time __°C</t>
  </si>
  <si>
    <t>GearHS A Temp High Derate __°C</t>
  </si>
  <si>
    <t>GearHS B Temp High Derate __°C</t>
  </si>
  <si>
    <t>GearHS C Temp High Derate __°C</t>
  </si>
  <si>
    <t>BladeLoadGainErr in VTL</t>
  </si>
  <si>
    <t>Sensor StatusOrDeadErr in VTL</t>
  </si>
  <si>
    <t>Yaw Pulse Missing</t>
  </si>
  <si>
    <t>CableTwistSens Fail</t>
  </si>
  <si>
    <t>Man Untwist Req</t>
  </si>
  <si>
    <t>WS1 Abrupt Dir Change</t>
  </si>
  <si>
    <t>WS2 Abrupt Dir Change</t>
  </si>
  <si>
    <t>WS1 Abrupt Speed Change</t>
  </si>
  <si>
    <t>WS2 Abrupt Speed Change</t>
  </si>
  <si>
    <t>WS1 Dir IO Err</t>
  </si>
  <si>
    <t>WS2 Dir IO Err</t>
  </si>
  <si>
    <t>WS1 Speed IO Err</t>
  </si>
  <si>
    <t>WS2 Speed IO Err</t>
  </si>
  <si>
    <t>WE Speed IO Err</t>
  </si>
  <si>
    <t>WE Speed Disagree ___</t>
  </si>
  <si>
    <t>WS2 Speed Disagree ___</t>
  </si>
  <si>
    <t>WS1 Speed Disagree ___</t>
  </si>
  <si>
    <t>Wind Speed Unresolved</t>
  </si>
  <si>
    <t>Wind Dir Unresolved ___</t>
  </si>
  <si>
    <t>WS1 Dir Disagree ___</t>
  </si>
  <si>
    <t>WS2 Dir Disagree ___</t>
  </si>
  <si>
    <t>TestEmergencyPitchValveFailed</t>
  </si>
  <si>
    <t>Hydr Startup Testing</t>
  </si>
  <si>
    <t>EMC Valve Testing</t>
  </si>
  <si>
    <t>Shadow Detected</t>
  </si>
  <si>
    <t>Shadow Ctrl Error</t>
  </si>
  <si>
    <t>SWDS derate: Wind __, Dir _</t>
  </si>
  <si>
    <t>SWDS OFF Wind __ m/s Dir ___d</t>
  </si>
  <si>
    <t>SwGear Conf Error</t>
  </si>
  <si>
    <t>SwGear Insul Gas Press</t>
  </si>
  <si>
    <t>SwGear WaterSys1</t>
  </si>
  <si>
    <t>SwGear WaterSys2</t>
  </si>
  <si>
    <t>SwGear ShortCiruit Fault</t>
  </si>
  <si>
    <t>SwGear OverCurr Fault</t>
  </si>
  <si>
    <t>SwGear Earth Fault</t>
  </si>
  <si>
    <t>SwGear BreakerFailProtect</t>
  </si>
  <si>
    <t>SwGear Suprv Signal</t>
  </si>
  <si>
    <t>NRMS Deactivated,dir:__</t>
  </si>
  <si>
    <t>Ext.SupplyVoltLow V:___ Ph_</t>
  </si>
  <si>
    <t>Ext.SupplyVoltHi V:___ Ph_</t>
  </si>
  <si>
    <t>Ext.SupplyFreqLow __Hz</t>
  </si>
  <si>
    <t>Ext.SupplyFreqHi __Hz</t>
  </si>
  <si>
    <t>Supply MainMotor Err</t>
  </si>
  <si>
    <t>Supply Coil Volt Err</t>
  </si>
  <si>
    <t>Supply YawMotor Err</t>
  </si>
  <si>
    <t>Supply Main Hydr Err</t>
  </si>
  <si>
    <t>Supply Aux Main CB Closed</t>
  </si>
  <si>
    <t>Supply Yaw Voltage Ok</t>
  </si>
  <si>
    <t>Supply Yaw Voltage Low</t>
  </si>
  <si>
    <t>Supply OtherMotor Err</t>
  </si>
  <si>
    <t>HighVoltageRoom SPDFuseL1Blown</t>
  </si>
  <si>
    <t>HighVoltageRoom SPDFuseL2Blown</t>
  </si>
  <si>
    <t>HighVoltageRoom SPDFuseL3Blown</t>
  </si>
  <si>
    <t>PowerBackupSupplyActive__</t>
  </si>
  <si>
    <t>DeIce Heater Group Fault</t>
  </si>
  <si>
    <t>DeIce Relay Contact Err</t>
  </si>
  <si>
    <t>DeIce Bl.Outside Shed Angles</t>
  </si>
  <si>
    <t>DeIce Safety Stop</t>
  </si>
  <si>
    <t>Gear Oil Pump Fault</t>
  </si>
  <si>
    <t>ConvPanel Humidity Err</t>
  </si>
  <si>
    <t>LineSideBreakerOpenFail Mod:__</t>
  </si>
  <si>
    <t>GenSideBreakerOpenFail Mod:__</t>
  </si>
  <si>
    <t>ChargeContactorOpenFailed</t>
  </si>
  <si>
    <t>StatVoltSensContOpenFailed</t>
  </si>
  <si>
    <t>GridFiltContOpenFail.Filter__</t>
  </si>
  <si>
    <t>LineSideBreakerTripped. Mod:__</t>
  </si>
  <si>
    <t>GenSideBreakerTripped. Mod:__</t>
  </si>
  <si>
    <t>DCChopperResistorLoad. ___°C</t>
  </si>
  <si>
    <t>LineSideBreakResetErr Module__</t>
  </si>
  <si>
    <t>GenSideBreakResetErr Module__</t>
  </si>
  <si>
    <t>DCLinkContOpenFailed Module__</t>
  </si>
  <si>
    <t>SafetySystem Reset Required</t>
  </si>
  <si>
    <t>SafetySys Not Ready For Reset</t>
  </si>
  <si>
    <t>SafetySys Converter Stopped</t>
  </si>
  <si>
    <t>GearHSBearA Diff A___°C S___°C</t>
  </si>
  <si>
    <t>GearHSBearB Diff B___°C S___°C</t>
  </si>
  <si>
    <t>GearHSBearC Diff C___°C S___°C</t>
  </si>
  <si>
    <t>GearIMBearA Diff A___°C S___°C</t>
  </si>
  <si>
    <t>GearIMBearB Diff B___°C S___°C</t>
  </si>
  <si>
    <t>GearIMBearC Diff C___°C S___°C</t>
  </si>
  <si>
    <t>GearOilDerate Time __°C</t>
  </si>
  <si>
    <t>GearOilTempLow ___°C</t>
  </si>
  <si>
    <t>GearInletTempLow ___°C</t>
  </si>
  <si>
    <t>GearInletTempHigh ___°C</t>
  </si>
  <si>
    <t>Gear HSBearA Temp:___°C</t>
  </si>
  <si>
    <t>Gear HSBearB Temp:___°C</t>
  </si>
  <si>
    <t>Gear HSBearC Temp:___°C</t>
  </si>
  <si>
    <t>Gear HSBearA Derate:___°C</t>
  </si>
  <si>
    <t>Gear HSBearB Derate:___°C</t>
  </si>
  <si>
    <t>Gear HSBearC Derate:___°C</t>
  </si>
  <si>
    <t>Gear IMBearA Temp:___°C</t>
  </si>
  <si>
    <t>Gear IMBearB Temp:___°C</t>
  </si>
  <si>
    <t>Gear IMBearC Temp:___°C</t>
  </si>
  <si>
    <t>Gear IMBearA Derate:___°C</t>
  </si>
  <si>
    <t>Gear IMBearB Derate:___°C</t>
  </si>
  <si>
    <t>Gear IMBearC Derate:___°C</t>
  </si>
  <si>
    <t>SafetySystem pending</t>
  </si>
  <si>
    <t>SafetySystem error</t>
  </si>
  <si>
    <t>NacelleHeater Pos Fb Err</t>
  </si>
  <si>
    <t>NacelleHeater Neg Fb Err</t>
  </si>
  <si>
    <t>NacelleHeater Signal Err</t>
  </si>
  <si>
    <t>Min generator RPM: ____._</t>
  </si>
  <si>
    <t>Pitch Calib Not Complete</t>
  </si>
  <si>
    <t>Fire Evolution</t>
  </si>
  <si>
    <t>FireProtection Service Done</t>
  </si>
  <si>
    <t>FireProtection Inspection Done</t>
  </si>
  <si>
    <t>FireProtection Enter Service</t>
  </si>
  <si>
    <t>FireProtection Leave Service</t>
  </si>
  <si>
    <t>FireProtection System Error</t>
  </si>
  <si>
    <t>FireProtection Config Error</t>
  </si>
  <si>
    <t>FireProtection LockForInsp _</t>
  </si>
  <si>
    <t>Fire Detected Node_</t>
  </si>
  <si>
    <t>Fire Prot Gas Low Amb:__</t>
  </si>
  <si>
    <t>Fire Prot Sensor Err</t>
  </si>
  <si>
    <t>Fire Prot Sensor Soiled</t>
  </si>
  <si>
    <t>PSCCTempExc. Mod:_ Temp:__._°C</t>
  </si>
  <si>
    <t>PitchAngleAOffset:__._°</t>
  </si>
  <si>
    <t>PitchAngleBOffset:__._°</t>
  </si>
  <si>
    <t>PitchAngleCOffset:__._°</t>
  </si>
  <si>
    <t>Drain Time___s</t>
  </si>
  <si>
    <t>Fail Reason:___</t>
  </si>
  <si>
    <t>Test Pitch Axis:___</t>
  </si>
  <si>
    <t>GearInl Be__._bar Af__._bar</t>
  </si>
  <si>
    <t>GearInlHi Be__._bar Af__._bar</t>
  </si>
  <si>
    <t>GearInlLo Be__._bar Af__._bar</t>
  </si>
  <si>
    <t>GearInline Sensor Fail</t>
  </si>
  <si>
    <t>GearBeforeInlinePres SensFail</t>
  </si>
  <si>
    <t>GearAfterInlinePres SensFail</t>
  </si>
  <si>
    <t>GearOilLevelLow</t>
  </si>
  <si>
    <t>GearOil Heater Postive Fb</t>
  </si>
  <si>
    <t>GearOil Heater Negative Fb</t>
  </si>
  <si>
    <t>GearOil Heater Sig Err</t>
  </si>
  <si>
    <t>GearOil Pump Sig Err</t>
  </si>
  <si>
    <t>GearLubr Pump Sig Err</t>
  </si>
  <si>
    <t>Overspeed Guard Error</t>
  </si>
  <si>
    <t>CableUntwistAbort:CableTw___._</t>
  </si>
  <si>
    <t>CableCalibrAbort:CableTw___._</t>
  </si>
  <si>
    <t>Extended Yaw Active</t>
  </si>
  <si>
    <t>FireProtection In Maintenence</t>
  </si>
  <si>
    <t>FireProt Prod Not Allowed</t>
  </si>
  <si>
    <t>FireProt Commis Err</t>
  </si>
  <si>
    <t>BladeAPeakLoad: ___.__ kNm</t>
  </si>
  <si>
    <t>BladeBPeakLoad: ___.__ kNm</t>
  </si>
  <si>
    <t>BladeCPeakLoad: ___.__ kNm</t>
  </si>
  <si>
    <t>MBrngTiltPeakLoad: ___.__ kNm</t>
  </si>
  <si>
    <t>MBrngYawPeakLoad: ___.__ kNm</t>
  </si>
  <si>
    <t>BlAEdgeVibration: ___.__ kNm</t>
  </si>
  <si>
    <t>BlBEdgeVibration: ___.__ kNm</t>
  </si>
  <si>
    <t>BlCEdgeVibration: ___.__ kNm</t>
  </si>
  <si>
    <t>Yaw Motors Trip Power</t>
  </si>
  <si>
    <t>High NacTilt: __._deg</t>
  </si>
  <si>
    <t>High NacRoll: __._deg</t>
  </si>
  <si>
    <t>Low PlatStat: _</t>
  </si>
  <si>
    <t>HubBallValveOpen</t>
  </si>
  <si>
    <t>ArcLightDetected __</t>
  </si>
  <si>
    <t>ArcLightDetectorError __</t>
  </si>
  <si>
    <t>Nacellle Fan Hatches Bad Fb</t>
  </si>
  <si>
    <t>Blade Load Dev Too High</t>
  </si>
  <si>
    <t>Blade Load Signal Fluctuation</t>
  </si>
  <si>
    <t>Blade Load Out Of Range</t>
  </si>
  <si>
    <t>Blade Load Common Strain High</t>
  </si>
  <si>
    <t>Blade Load Dev Upper Blade</t>
  </si>
  <si>
    <t>FireProtectnDiscoveryBusFail</t>
  </si>
  <si>
    <t>FireProtection Gas Valve Error</t>
  </si>
  <si>
    <t>SWDS Conf Invalid</t>
  </si>
  <si>
    <t>Tilt Roll Signal Fault</t>
  </si>
  <si>
    <t>HubBallValveError</t>
  </si>
  <si>
    <t>LowWind,TimePro_____s __._m/s</t>
  </si>
  <si>
    <t>PS Power Restriction Activated</t>
  </si>
  <si>
    <t>Power Restriction De Activated</t>
  </si>
  <si>
    <t>Power Save Activated</t>
  </si>
  <si>
    <t>Power Save DeActivated</t>
  </si>
  <si>
    <t>PowSuppOp:________ RiskFa:___</t>
  </si>
  <si>
    <t>PSRiskFa:________ NeedPow:___</t>
  </si>
  <si>
    <t>PowerGrantedStatus:_</t>
  </si>
  <si>
    <t>PowSupp Yaw motor Cont Opened</t>
  </si>
  <si>
    <t>PowSupp Yaw Main Cont Opened</t>
  </si>
  <si>
    <t>PowSupp Pow Back Up Mode:_</t>
  </si>
  <si>
    <t>Power Supply Contactor Error</t>
  </si>
  <si>
    <t>TNF Freq:_.___Hz Zero Cross:__</t>
  </si>
  <si>
    <t>TNF failed _.___ Hz Error:_</t>
  </si>
  <si>
    <t>Converter Disconnected In Prod</t>
  </si>
  <si>
    <t>CutIn Grid Voltage ___._V</t>
  </si>
  <si>
    <t>CutIn Grid Frequency __.___Hz</t>
  </si>
  <si>
    <t>Tower nat freq test not done</t>
  </si>
  <si>
    <t>Tow Freq _.___Hz OutsideBounds</t>
  </si>
  <si>
    <t>Yaw Motors Contactor Opened</t>
  </si>
  <si>
    <t>Main Supply Contactor Opened</t>
  </si>
  <si>
    <t>Yaw CW Signal Invalid</t>
  </si>
  <si>
    <t>Yaw CCW Signal Invalid</t>
  </si>
  <si>
    <t>PrevCabTwCode:_ CabTwCode:_</t>
  </si>
  <si>
    <t>Yaw To Reset Too Frequent</t>
  </si>
  <si>
    <t>Automatic Test Activated: ___</t>
  </si>
  <si>
    <t>SafetySys Closed Timeout</t>
  </si>
  <si>
    <t>Power Supply Trip Request</t>
  </si>
  <si>
    <t>TYC 1P Fault Detected</t>
  </si>
  <si>
    <t>TYC 2P Fault Detected</t>
  </si>
  <si>
    <t>TYC Gain Hysteresis Error</t>
  </si>
  <si>
    <t>PBOilDiffHiEMC:___ EMC ___bar</t>
  </si>
  <si>
    <t>Warning Limit Reached</t>
  </si>
  <si>
    <t>Blade Loads New Calib Data</t>
  </si>
  <si>
    <t>Blade Loads Calib Failed</t>
  </si>
  <si>
    <t>Calib Values</t>
  </si>
  <si>
    <t>Blade Loads Calib Ended</t>
  </si>
  <si>
    <t>Blade Loads Calib Started</t>
  </si>
  <si>
    <t>BrakePressRebuild Fail:Test _</t>
  </si>
  <si>
    <t>Brake SupplyValve Leak:___bar</t>
  </si>
  <si>
    <t>Rundown Stop Timeout</t>
  </si>
  <si>
    <t>Azim Ang Invalid Speed:___ RPM</t>
  </si>
  <si>
    <t>PowSavMode:___ PowResAct:__</t>
  </si>
  <si>
    <t>CabTwstInconstnt:Code_,______°</t>
  </si>
  <si>
    <t>LDO Power Speed Derate</t>
  </si>
  <si>
    <t>PSCC module lost, module id __</t>
  </si>
  <si>
    <t>Derate HiTemp.GearBear_:___°C</t>
  </si>
  <si>
    <t>Conv Charge Failed</t>
  </si>
  <si>
    <t>Conv Charge Command Failed</t>
  </si>
  <si>
    <t>Hub BallValve A Open</t>
  </si>
  <si>
    <t>Hub BallValve C Open</t>
  </si>
  <si>
    <t>TSDManEmergency:____RPM,____kW</t>
  </si>
  <si>
    <t>TSDManStopFast:____RPM,____kW</t>
  </si>
  <si>
    <t>TSDManStopSlow:____RPM,____kW</t>
  </si>
  <si>
    <t>TSDManPauseFast:____RPM,____kW</t>
  </si>
  <si>
    <t>TSDManPauseSlow:____RPM,____kW</t>
  </si>
  <si>
    <t>VPC Err Causing Rundown Stop</t>
  </si>
  <si>
    <t>Reactive pow. derated by:_.__</t>
  </si>
  <si>
    <t>Grid resonance filter temp Sw</t>
  </si>
  <si>
    <t>Grid curr harmonics exceed L1</t>
  </si>
  <si>
    <t>Grid curr harmonics exceed L2</t>
  </si>
  <si>
    <t>Grid curr harmonics exceed L3</t>
  </si>
  <si>
    <t>Gear Oil Pump Reset</t>
  </si>
  <si>
    <t>PilotPressLow:____bar____bar</t>
  </si>
  <si>
    <t>ConvArcNetRc1LightErr___.__dBm</t>
  </si>
  <si>
    <t>ConvArcNetRc2LightErr___.__dBm</t>
  </si>
  <si>
    <t>ConvArcNetRc5LightErr___.__dBm</t>
  </si>
  <si>
    <t>Missing Grid Choke Fan feedb.</t>
  </si>
  <si>
    <t>Yaw Lubrication Pump2 Failed</t>
  </si>
  <si>
    <t>YawLubr Pump2 Completed</t>
  </si>
  <si>
    <t>YawLubr Untwist Pump2 Request</t>
  </si>
  <si>
    <t>YawLubr Untwist Pump2 Required</t>
  </si>
  <si>
    <t>Generator Speed Step Detected</t>
  </si>
  <si>
    <t>Grid Voltage Low</t>
  </si>
  <si>
    <t>GenNDETempDerate __°C En:__°C</t>
  </si>
  <si>
    <t>GenDETempDerate __°C En:__°C</t>
  </si>
  <si>
    <t>BrakeActivationTestFailed</t>
  </si>
  <si>
    <t>High Chopper IGBT Temp ___°C</t>
  </si>
  <si>
    <t>High Chopper Wire Temp ___°C</t>
  </si>
  <si>
    <t>HVCBMotorError</t>
  </si>
  <si>
    <t>Grid Failure Detected</t>
  </si>
  <si>
    <t>Startup After Grid Failure</t>
  </si>
  <si>
    <t>UDC____ Low to close LSBreak</t>
  </si>
  <si>
    <t>NRMS Auto cycle new setting: _</t>
  </si>
  <si>
    <t>Pitch Pos A ___° ;Ref ___°</t>
  </si>
  <si>
    <t>Pitch Pos B ___° ;Ref ___°</t>
  </si>
  <si>
    <t>Pitch Pos C ___° ;Ref ___°</t>
  </si>
  <si>
    <t>Blade Load Not Calibrated</t>
  </si>
  <si>
    <t>GearPmpTrafoContCloseInvalid</t>
  </si>
  <si>
    <t>GearPmpTrafoContThermoFault</t>
  </si>
  <si>
    <t>GearPmpTrafoContThermoInvalid</t>
  </si>
  <si>
    <t>GearPmpTrafoContPosFBFault</t>
  </si>
  <si>
    <t>GearPmpTrafoContNegFBFault</t>
  </si>
  <si>
    <t>GearPmpTrafoContFBInvalid</t>
  </si>
  <si>
    <t>EMC Valves Unexpected Open</t>
  </si>
  <si>
    <t>RawTemp___°C,ActiveFaults___</t>
  </si>
  <si>
    <t>Temp___°C,TDPDPowRef___%</t>
  </si>
  <si>
    <t>RawPh1Temp___°C,ActivFault___</t>
  </si>
  <si>
    <t>RawPh2Temp___°C,ActivFault___</t>
  </si>
  <si>
    <t>RawPh3Temp___°C,ActivFault___</t>
  </si>
  <si>
    <t>GenMaxPhTmp___°C,TDPD Ref___%</t>
  </si>
  <si>
    <t>RawEnvTemp___°C,ActivFault___</t>
  </si>
  <si>
    <t>TowAcc X, Extreme:__.__ m/s^2</t>
  </si>
  <si>
    <t>TowAcc Y, Extreme:__.__ m/s^2</t>
  </si>
  <si>
    <t>Tow. Damp. Estimate OK: _.____</t>
  </si>
  <si>
    <t>Tower Damping estimate failed</t>
  </si>
  <si>
    <t>TimeSpentInRunningUp _____sec</t>
  </si>
  <si>
    <t>NewGenConnectionStatus___</t>
  </si>
  <si>
    <t>TimeSpentInProductionSD____</t>
  </si>
  <si>
    <t>FireProtection Pollution</t>
  </si>
  <si>
    <t>Conv Panel Temp Low:___°C</t>
  </si>
  <si>
    <t>Conv Panel Temp High:___°C</t>
  </si>
  <si>
    <t>Conv Panel Supply Volt</t>
  </si>
  <si>
    <t>Delay Start After Err:____</t>
  </si>
  <si>
    <t>AirInlet hatch state: _, ___°C</t>
  </si>
  <si>
    <t>NacAirInletHatches Pos Fb Err</t>
  </si>
  <si>
    <t>NacAirInletHatches Neg Fb Err</t>
  </si>
  <si>
    <t>Grid QU Protection</t>
  </si>
  <si>
    <t>LowWindDiscHighPow____kW__m/s</t>
  </si>
  <si>
    <t>Blade Load Signal Frozen</t>
  </si>
  <si>
    <t>HVCBDisconnectError</t>
  </si>
  <si>
    <t>HVCBNotHealthy</t>
  </si>
  <si>
    <t>HVCBError</t>
  </si>
  <si>
    <t>GenLowPh Temp:Min___Max___°C</t>
  </si>
  <si>
    <t>GenHighPh Temp:Min___Max___°C</t>
  </si>
  <si>
    <t>GenLowBearTemp:DE___NDE___°C</t>
  </si>
  <si>
    <t>GenHighBearTemp:DE___NDE___°C</t>
  </si>
  <si>
    <t>GenStatorPhaseSensorFailed</t>
  </si>
  <si>
    <t>GenGroundBrushWorn</t>
  </si>
  <si>
    <t>Yaw motors demand CW_ CCW_</t>
  </si>
  <si>
    <t>Yaw motor error</t>
  </si>
  <si>
    <t>BLCalibFailedGainRatioInvalid</t>
  </si>
  <si>
    <t>BLCalibFailGainInval:___blade</t>
  </si>
  <si>
    <t>BLCalibFailOffsInval:___blade</t>
  </si>
  <si>
    <t>BLSensorsCalibActivated</t>
  </si>
  <si>
    <t>BLCalibAbortedWindSpdExceed</t>
  </si>
  <si>
    <t>BLCalibAbortedEnviroTempExceed</t>
  </si>
  <si>
    <t>BLCalibAbortNoSensorASignal</t>
  </si>
  <si>
    <t>High temp. in Grid Panel: __</t>
  </si>
  <si>
    <t>H temp in Harm Filt Panel: __</t>
  </si>
  <si>
    <t>HydrBuildPressMiss___bar__°C</t>
  </si>
  <si>
    <t>HydrOffFilterPressDropHigh</t>
  </si>
  <si>
    <t>HydrOffFilterPressDropTooHigh</t>
  </si>
  <si>
    <t>HydraulicOilLevelLow</t>
  </si>
  <si>
    <t>HydraulicOilLevelTooLow</t>
  </si>
  <si>
    <t>HydrOilTempLow___°C</t>
  </si>
  <si>
    <t>HydrSysPressHigh:____bar____°C</t>
  </si>
  <si>
    <t>HydrSysPressLow:____bar____°C</t>
  </si>
  <si>
    <t>HydrPumpsNotFunctional</t>
  </si>
  <si>
    <t>HydrPump1NegFBError</t>
  </si>
  <si>
    <t>HydrPump2NegFBError</t>
  </si>
  <si>
    <t>HydrPump3NegFBError</t>
  </si>
  <si>
    <t>HydrPump1PosFBError</t>
  </si>
  <si>
    <t>HydrPump2PosFBError</t>
  </si>
  <si>
    <t>HydrPump3PosFBError</t>
  </si>
  <si>
    <t>HydrPump1ThermoFault</t>
  </si>
  <si>
    <t>HydrPump2ThermoFault</t>
  </si>
  <si>
    <t>HydrPump3ThermoFault</t>
  </si>
  <si>
    <t>HydrPump1SignalInvalid</t>
  </si>
  <si>
    <t>HydrPump2SignalInvalid</t>
  </si>
  <si>
    <t>HydrPump3SignalInvalid</t>
  </si>
  <si>
    <t>HydrPump1FeedbackInvalid</t>
  </si>
  <si>
    <t>HydrPump2FeedbackInvalid</t>
  </si>
  <si>
    <t>HydrPump3FeedbackInvalid</t>
  </si>
  <si>
    <t>HydrPump1ThermoInvalid</t>
  </si>
  <si>
    <t>HydrPump2ThermoInvalid</t>
  </si>
  <si>
    <t>HydrPump3ThermoInvalid</t>
  </si>
  <si>
    <t>PitchBlockPilotPressLow____bar</t>
  </si>
  <si>
    <t>PitchBlockAPressDiffHigh___bar</t>
  </si>
  <si>
    <t>PitchBlockBPressDiffHigh___bar</t>
  </si>
  <si>
    <t>PitchBlockCPressDiffHigh___bar</t>
  </si>
  <si>
    <t>HubSafetySystem EncoderA,EC:_</t>
  </si>
  <si>
    <t>HubSafetySystem EncoderB,EC:_</t>
  </si>
  <si>
    <t>HubSafetySystem EncoderC,EC:_</t>
  </si>
  <si>
    <t>HubSafetySystem Speed Err.:_</t>
  </si>
  <si>
    <t>HubSafety FastPitchValveA Err.</t>
  </si>
  <si>
    <t>HubSafety FastPitchValveB Err.</t>
  </si>
  <si>
    <t>HubSafety FastPitchValveC Err.</t>
  </si>
  <si>
    <t>HubSafety PilotValve1 Err.</t>
  </si>
  <si>
    <t>HubSafety PilotValve2 Err.</t>
  </si>
  <si>
    <t>HubSafetySystem DC Supply Err.</t>
  </si>
  <si>
    <t>HubSafetySystem Batt.Level Err</t>
  </si>
  <si>
    <t>HubSafetySystem Logic state:__</t>
  </si>
  <si>
    <t>CyclicPitchLevel:__</t>
  </si>
  <si>
    <t>RawTemp:___°C,ActFaults:____</t>
  </si>
  <si>
    <t>Temp:___°C,PowRef:__%</t>
  </si>
  <si>
    <t>RawPh1Tmp:___°C,ActFaults:____</t>
  </si>
  <si>
    <t>RawPh2Tmp:___°C,ActFaults:____</t>
  </si>
  <si>
    <t>RawPh3Tmp:___°C,ActFaults:____</t>
  </si>
  <si>
    <t>GenMaxPhTemp:___°C,PowRef:__%</t>
  </si>
  <si>
    <t>RawEnvTmp:___°C,ActFaults:____</t>
  </si>
  <si>
    <t>BLSigFrozen:__,Speed:___RPM</t>
  </si>
  <si>
    <t>CableTwistProtectionStop:___°</t>
  </si>
  <si>
    <t>YawSensorOutOfRange:___°,___°</t>
  </si>
  <si>
    <t>YawSensorCalibrationPerformed</t>
  </si>
  <si>
    <t>Gbx A1 NRE bearing hot ___ºC</t>
  </si>
  <si>
    <t>Gbx A2 RE bearing hot ___ºC</t>
  </si>
  <si>
    <t>Gbx A2 NRE bearing hot ___ºC</t>
  </si>
  <si>
    <t>Gbx A1 RE carr. bearing ___ºC</t>
  </si>
  <si>
    <t>Gbx A2B NRE carr.bearing ___ºC</t>
  </si>
  <si>
    <t>Gbx A2B RE carr. bearing ___ºC</t>
  </si>
  <si>
    <t>Gbx B NRE carr. bearing ___ºC</t>
  </si>
  <si>
    <t>Gbx A1 low press___bar</t>
  </si>
  <si>
    <t>ExtHighPwrAct:___kW,Ref:___kW</t>
  </si>
  <si>
    <t>PitA:PFBOpen:___Bar,___s</t>
  </si>
  <si>
    <t>PitB:PFBOpen:___Bar,___s</t>
  </si>
  <si>
    <t>PitC:PFBOpen:___Bar,___s</t>
  </si>
  <si>
    <t>PitA:PBLOpen:___Bar,___s</t>
  </si>
  <si>
    <t>PitB:PBLOpen:___Bar,___s</t>
  </si>
  <si>
    <t>PitC:PBLOpen:___Bar,___s</t>
  </si>
  <si>
    <t>PitBPFBsensorunavailable</t>
  </si>
  <si>
    <t>PitCPFBsensorunavailable</t>
  </si>
  <si>
    <t>PitchValAErr,FastVel.A____mm/s</t>
  </si>
  <si>
    <t>PitchValAErr,FastVel.B____mm/s</t>
  </si>
  <si>
    <t>PitchValAErr,FastVel.C____mm/s</t>
  </si>
  <si>
    <t>EMCPitchValv.FastTestPerformed</t>
  </si>
  <si>
    <t>EMCPitchValv.FastTestFailed</t>
  </si>
  <si>
    <t>SafetySysNaceleChksumErr_____</t>
  </si>
  <si>
    <t>SafetySysHub checksum err_____</t>
  </si>
  <si>
    <t>SafetySystem Nacelle Pending</t>
  </si>
  <si>
    <t>SafetySystem Nacelle Error</t>
  </si>
  <si>
    <t>SafetySystem Converter Stopped</t>
  </si>
  <si>
    <t>SafetySystNotReadyForReset</t>
  </si>
  <si>
    <t>Hub controller 24V error</t>
  </si>
  <si>
    <t>HubCtrl 24V PSU1 AC error</t>
  </si>
  <si>
    <t>HubCtrl 24V PSU2 AC error</t>
  </si>
  <si>
    <t>HubCtrl 24V PSU1 DC error</t>
  </si>
  <si>
    <t>HubCtrl 24V PSU2 DC error</t>
  </si>
  <si>
    <t>Nacelle controller 24V error</t>
  </si>
  <si>
    <t>NacelleCtrl 24V PSU1 AC error</t>
  </si>
  <si>
    <t>NacelleCtrl 24V PSU2 AC error</t>
  </si>
  <si>
    <t>NacelleCtrl 24V PSU1 DC error</t>
  </si>
  <si>
    <t>NacelleCtrl 24V PSU2 DC error</t>
  </si>
  <si>
    <t>Tower controller 24V error</t>
  </si>
  <si>
    <t>TowerCtrl 24V PSU AC error</t>
  </si>
  <si>
    <t>TowerCtrl 24V PSU1 DC error</t>
  </si>
  <si>
    <t>TowerCtrl 24V PSU2 DC error</t>
  </si>
  <si>
    <t>NacActuators 24V PSU1 DC error</t>
  </si>
  <si>
    <t>NacActuators 24V PSU2 DC error</t>
  </si>
  <si>
    <t>NacActuators 24V PSU3 DC error</t>
  </si>
  <si>
    <t>TwrConvModule1 24V error</t>
  </si>
  <si>
    <t>TwrConvModule1 24V PSU1DC err</t>
  </si>
  <si>
    <t>TwrConvModule1 24V PSU2DC err</t>
  </si>
  <si>
    <t>TwrConvModule1 24V PSU1AC err</t>
  </si>
  <si>
    <t>TwrConvModule2 24V error</t>
  </si>
  <si>
    <t>TwrConvModule2 24V PSU1DC err</t>
  </si>
  <si>
    <t>TwrConvModule2 24V PSU2DC err</t>
  </si>
  <si>
    <t>TwrConvModule2 24V PSU1AC err</t>
  </si>
  <si>
    <t>NacConvModule1 24V error</t>
  </si>
  <si>
    <t>NacConvModule1 24V PSU1DC err</t>
  </si>
  <si>
    <t>NacConvModule1 24V PSU2DC err</t>
  </si>
  <si>
    <t>NacConvModule1 24V PSU1AC err</t>
  </si>
  <si>
    <t>NacConvModule2 24V error</t>
  </si>
  <si>
    <t>NacConvModule2 24V PSU1DC err</t>
  </si>
  <si>
    <t>NacConvModule2 24V PSU2DC err</t>
  </si>
  <si>
    <t>NacConvModule2 24V PSU1AC err</t>
  </si>
  <si>
    <t>Tower 110V error</t>
  </si>
  <si>
    <t>Tower 110V PSU1 AC error</t>
  </si>
  <si>
    <t>Tower 110V PSU2 AC error</t>
  </si>
  <si>
    <t>Tower 110V PSU1 DC error</t>
  </si>
  <si>
    <t>Tower 110V PSU2 DC error</t>
  </si>
  <si>
    <t>Tower 110V PSU3 DC error</t>
  </si>
  <si>
    <t>Tower 24V error</t>
  </si>
  <si>
    <t>Tower 24V PSU1 error</t>
  </si>
  <si>
    <t>Tower 24V PSU2 error</t>
  </si>
  <si>
    <t>Estop Button Activated__</t>
  </si>
  <si>
    <t>Tower AC Aux CB Opened</t>
  </si>
  <si>
    <t>Tower AC Aux Contactor Opened</t>
  </si>
  <si>
    <t>Tower DC CB Opened</t>
  </si>
  <si>
    <t>Nacelle Main AC CB Opened</t>
  </si>
  <si>
    <t>Nacelle Main AC Disc Opened</t>
  </si>
  <si>
    <t>Nacelle AC Aux CB Opened</t>
  </si>
  <si>
    <t>Nacelle AC Aux Cont Opened</t>
  </si>
  <si>
    <t>Nacelle AC Hydr CB Opened</t>
  </si>
  <si>
    <t>Nacelle DC Cabinet CB Opened</t>
  </si>
  <si>
    <t>Main DC CB 1 Opened</t>
  </si>
  <si>
    <t>Main DC CB 2 Opened</t>
  </si>
  <si>
    <t>Main DC Rectifier 1 Error</t>
  </si>
  <si>
    <t>Main DC Rectifier 2 Error</t>
  </si>
  <si>
    <t>Yaw VFD Disc Opened</t>
  </si>
  <si>
    <t>Other VFD Disc Opened</t>
  </si>
  <si>
    <t>TwrMain DC Nac CB Opened</t>
  </si>
  <si>
    <t>TwrMain DC Nac Disc Opened</t>
  </si>
  <si>
    <t>TwrMain DC Twr CB Opened</t>
  </si>
  <si>
    <t>TwrMain DC Twr Disc Opened</t>
  </si>
  <si>
    <t>Nacelle AC CB Opened</t>
  </si>
  <si>
    <t>Tower AC CB Opened</t>
  </si>
  <si>
    <t>Aux Power Main CB Closed</t>
  </si>
  <si>
    <t>Aux Trafo Main CB Opened</t>
  </si>
  <si>
    <t>Service Gen Main CB Closed</t>
  </si>
  <si>
    <t>Service Gen Main CB Opened</t>
  </si>
  <si>
    <t>Nacelle Pwr Outlet CB Opened</t>
  </si>
  <si>
    <t>Aux Power Main CB Opened</t>
  </si>
  <si>
    <t>Aux Main Disc Opened</t>
  </si>
  <si>
    <t>Nacelle Rear Fan : ___°C</t>
  </si>
  <si>
    <t>Nacelle Rear Hatch : ___°C</t>
  </si>
  <si>
    <t>Nacelle Rear Fan Thermo Fault</t>
  </si>
  <si>
    <t>Nacelle Rear Fan Therm Sig Inv</t>
  </si>
  <si>
    <t>NacelleRearFanSignalInvalid</t>
  </si>
  <si>
    <t>Battery error in Tower UPS DC1</t>
  </si>
  <si>
    <t>Error in Tower UPS DC1</t>
  </si>
  <si>
    <t>HubInSafeModeWhileRotating</t>
  </si>
  <si>
    <t>Nacelle Rear Hatch Pos FB Err</t>
  </si>
  <si>
    <t>Nacelle Rear Hatch Neg FB Err</t>
  </si>
  <si>
    <t>Confirm leave hub in safe mode</t>
  </si>
  <si>
    <t>Hub ball valve A closed</t>
  </si>
  <si>
    <t>Hub ball valve B closed</t>
  </si>
  <si>
    <t>Hub ball valve C closed</t>
  </si>
  <si>
    <t>Hub ball valve A Hw error</t>
  </si>
  <si>
    <t>Hub ball valve B Hw error</t>
  </si>
  <si>
    <t>Hub ball valve C Hw error</t>
  </si>
  <si>
    <t>Hub service switch Hw error</t>
  </si>
  <si>
    <t>Hold To Run button Hw error</t>
  </si>
  <si>
    <t>Hub switch while rotating</t>
  </si>
  <si>
    <t>LubrInletPressValidationFailed</t>
  </si>
  <si>
    <t>LubrDrySumpValidationFailed</t>
  </si>
  <si>
    <t>GearOilInletTempHigh ___ °C</t>
  </si>
  <si>
    <t>GearOilInletTempTooHigh ___ °C</t>
  </si>
  <si>
    <t>GearOilWetSumpLevelLow</t>
  </si>
  <si>
    <t>GearFiltPressHigh __._bar</t>
  </si>
  <si>
    <t>GearFiltPressTooHigh __._bar</t>
  </si>
  <si>
    <t>GearOilPumpFault P1: _ P2: _</t>
  </si>
  <si>
    <t>GearOilPumpsAllFailed</t>
  </si>
  <si>
    <t>MBADistOilPressLow _._ bar</t>
  </si>
  <si>
    <t>MBADistOilTempHigh ___ °C</t>
  </si>
  <si>
    <t>MBADistOilTempTooHigh ___ °C</t>
  </si>
  <si>
    <t>GenOilInletPressLow _._ bar</t>
  </si>
  <si>
    <t>GenOilInletTempHigh ___ °C</t>
  </si>
  <si>
    <t>GenOilInletTempTooHigh ___ °C</t>
  </si>
  <si>
    <t>MBGFiltPressHigh __._bar</t>
  </si>
  <si>
    <t>MBGFiltPressTooHigh __._bar</t>
  </si>
  <si>
    <t>MBGOilPumpFault P1: _ P2: _</t>
  </si>
  <si>
    <t>MBGOilPumpsAllFailed</t>
  </si>
  <si>
    <t>MainTankOilLevelLow: ____mm</t>
  </si>
  <si>
    <t>MainTankOilTempLow ___°C</t>
  </si>
  <si>
    <t>MainTankOilTempHigh ___°C</t>
  </si>
  <si>
    <t>GearboxA1A2ValveCannotClose</t>
  </si>
  <si>
    <t>GearboxA1A2ValveCannotOpen</t>
  </si>
  <si>
    <t>GearboxBValveCannotClose</t>
  </si>
  <si>
    <t>GearboxBValveCannotOpen</t>
  </si>
  <si>
    <t>MainBearREValveCannotClose</t>
  </si>
  <si>
    <t>MainBearREValveCannotOpen</t>
  </si>
  <si>
    <t>MainBearNREValveCannotClose</t>
  </si>
  <si>
    <t>MainBearNREValveCannotOpen</t>
  </si>
  <si>
    <t>GeneratorDEValveCannotClose</t>
  </si>
  <si>
    <t>GeneratorDEValveCannotOpen</t>
  </si>
  <si>
    <t>GeneratorNDEValveCannotClose</t>
  </si>
  <si>
    <t>GeneratorNDEValveCannotOpen</t>
  </si>
  <si>
    <t>StatLubrOilLeak G:____ M:____</t>
  </si>
  <si>
    <t>DynLubrOilLeak M:____ l</t>
  </si>
  <si>
    <t>NacWaterCoolPumpPressLow:__bar</t>
  </si>
  <si>
    <t>NacWaterCoolPump1CBOpen</t>
  </si>
  <si>
    <t>NacWaterCoolPump2CBOpen</t>
  </si>
  <si>
    <t>NacWaterCoolHeaterCBOpen</t>
  </si>
  <si>
    <t>NacWaterCoolPump1SignalInvalid</t>
  </si>
  <si>
    <t>NacWaterCoolPump2SignalInvalid</t>
  </si>
  <si>
    <t>NacWaterCoolPump1FBInvalid</t>
  </si>
  <si>
    <t>NacWaterCoolPump2FBInvalid</t>
  </si>
  <si>
    <t>NacWaterCoolPump1ThermoInvalid</t>
  </si>
  <si>
    <t>NacWaterCoolPump2ThermoInvalid</t>
  </si>
  <si>
    <t>NacWaterCoolPump1NegFBError</t>
  </si>
  <si>
    <t>NacWaterCoolPump2NegFBError</t>
  </si>
  <si>
    <t>NacWaterCoolPump1PosFBError</t>
  </si>
  <si>
    <t>NacWaterCoolPump2PosFBError</t>
  </si>
  <si>
    <t>NacWaterCoolPump1ThermoFault</t>
  </si>
  <si>
    <t>NacWaterCoolPump2ThermoFault</t>
  </si>
  <si>
    <t>GenAirFlowReduced Fan1</t>
  </si>
  <si>
    <t>GenAirFlowReduced Fan2</t>
  </si>
  <si>
    <t>GenAirflowFault</t>
  </si>
  <si>
    <t>GenAirFan1Fault</t>
  </si>
  <si>
    <t>GenAirFan2Fault</t>
  </si>
  <si>
    <t>GenAirFansBothFailed</t>
  </si>
  <si>
    <t>SafetySystem Hub Pending</t>
  </si>
  <si>
    <t>SafetySystem Hub Error</t>
  </si>
  <si>
    <t>ExtrHighAgo2Chopper R Loading</t>
  </si>
  <si>
    <t>TestEmgPitchValvesActivated</t>
  </si>
  <si>
    <t>NacelleACHydr contactor error</t>
  </si>
  <si>
    <t>PowerTrainLubr enabler error</t>
  </si>
  <si>
    <t>YawActuators enabler error</t>
  </si>
  <si>
    <t>GenFans enabler error</t>
  </si>
  <si>
    <t>NacelleACAux contactor error</t>
  </si>
  <si>
    <t>TowerACAux contactor error</t>
  </si>
  <si>
    <t>Nacelle PSU CB Opened</t>
  </si>
  <si>
    <t>TYC SafeMode _ PowDerate:____</t>
  </si>
  <si>
    <t>PSA SafeMode _ PowDerate:____</t>
  </si>
  <si>
    <t>SupplyError: Max ____V DC</t>
  </si>
  <si>
    <t>SupplyError: Min ____V DC</t>
  </si>
  <si>
    <t>Nac AC Hydr contactor: __</t>
  </si>
  <si>
    <t>Yaw enabler: __</t>
  </si>
  <si>
    <t>Nac AC Aux contactor: __</t>
  </si>
  <si>
    <t>Tower AC Aux contactor: __</t>
  </si>
  <si>
    <t>Power Train Lubr enabler: __</t>
  </si>
  <si>
    <t>Gen Fans enabler: __</t>
  </si>
  <si>
    <t>HubSafety Variant Select. Err.</t>
  </si>
  <si>
    <t>TowWaterCoolPumpPressLow:__bar</t>
  </si>
  <si>
    <t>TowerWaterCoolPumpCBOpen</t>
  </si>
  <si>
    <t>TowerWaterCoolFan1CBOpen</t>
  </si>
  <si>
    <t>TowerWaterCoolFan2CBOpen</t>
  </si>
  <si>
    <t>TowerWaterCoolHeaterCBOpen</t>
  </si>
  <si>
    <t>TowerWaterCoolPumpSigInvalid</t>
  </si>
  <si>
    <t>TowerWaterCoolFan1SigInvalid</t>
  </si>
  <si>
    <t>TowerWaterCoolFan2SigInvalid</t>
  </si>
  <si>
    <t>TowerWaterCoolPumpFBInvalid</t>
  </si>
  <si>
    <t>TowerWaterCoolFan1FBInvalid</t>
  </si>
  <si>
    <t>TowerWaterCoolFan2FBInvalid</t>
  </si>
  <si>
    <t>TowWaterCoolPumpThermoInvalid</t>
  </si>
  <si>
    <t>TowWaterCoolFan1ThermoInvalid</t>
  </si>
  <si>
    <t>TowWaterCoolFan2ThermoInvalid</t>
  </si>
  <si>
    <t>TowerWaterCoolPumpNegFBError</t>
  </si>
  <si>
    <t>TowerWaterCoolFan1NegFBError</t>
  </si>
  <si>
    <t>TowerWaterCoolFan2NegFBError</t>
  </si>
  <si>
    <t>TowerWaterCoolPumpPosFBError</t>
  </si>
  <si>
    <t>TowerWaterCoolFan1PosFBError</t>
  </si>
  <si>
    <t>TowerWaterCoolFan2PosFBError</t>
  </si>
  <si>
    <t>TowerWaterCoolPumpThermoFault</t>
  </si>
  <si>
    <t>TowerWaterCoolFan1ThermoFault</t>
  </si>
  <si>
    <t>TowerWaterCoolFan2ThermoFault</t>
  </si>
  <si>
    <t>UPS On Grid</t>
  </si>
  <si>
    <t>UPS Battery OK</t>
  </si>
  <si>
    <t>Trafo high core temp.: ___ °C</t>
  </si>
  <si>
    <t>Trafo extreme low liquid level</t>
  </si>
  <si>
    <t>Trafo high liquid temp:___ °C</t>
  </si>
  <si>
    <t>Trafo high press relief valves</t>
  </si>
  <si>
    <t>Trafo low liquid level: ___ mA</t>
  </si>
  <si>
    <t>TrafoRapidPressRiseDetected</t>
  </si>
  <si>
    <t>Safety waiting for reset</t>
  </si>
  <si>
    <t>Safety Hub unknown reset</t>
  </si>
  <si>
    <t>Safety Nac unknown reset</t>
  </si>
  <si>
    <t>Safety Twr unknown reset</t>
  </si>
  <si>
    <t>Safety TPiece unknown reset</t>
  </si>
  <si>
    <t>Safety Hub unknown pending</t>
  </si>
  <si>
    <t>Safety Nac unknown pending</t>
  </si>
  <si>
    <t>Safety Twr unknown pending</t>
  </si>
  <si>
    <t>Safety TPiece unknown pending</t>
  </si>
  <si>
    <t>Safety Hub Error, code: ___</t>
  </si>
  <si>
    <t>Safety Nac Error, code: ___</t>
  </si>
  <si>
    <t>Safety Twr Error, code: ___</t>
  </si>
  <si>
    <t>Safety TPiese Error, code: ___</t>
  </si>
  <si>
    <t>EmergStopButtonActivated __</t>
  </si>
  <si>
    <t>Yaw motor manual control</t>
  </si>
  <si>
    <t>Converter MSI error</t>
  </si>
  <si>
    <t>Converter LSI error</t>
  </si>
  <si>
    <t>ExtrHigh Grid Inv Brk Current</t>
  </si>
  <si>
    <t>High Grid Inv Breaker Current</t>
  </si>
  <si>
    <t>Asym Grid Inv Break Current</t>
  </si>
  <si>
    <t>OverSpdGuardActivatedReconfirm</t>
  </si>
  <si>
    <t>HighRotSpd SlopeToRefDisabled</t>
  </si>
  <si>
    <t>BladeA Heaters temp dif. error</t>
  </si>
  <si>
    <t>BladeA Fan1 pos feedback error</t>
  </si>
  <si>
    <t>BladeA Fan1 neg feedback error</t>
  </si>
  <si>
    <t>BladeA Fan2 pos feedback error</t>
  </si>
  <si>
    <t>BladeA Fan2 neg feedback error</t>
  </si>
  <si>
    <t>BladeA Fan3 pos feedback error</t>
  </si>
  <si>
    <t>BladeA Fan3 neg feedback error</t>
  </si>
  <si>
    <t>BladeA Fan1 is overloaded</t>
  </si>
  <si>
    <t>BladeA Fan2 is overloaded</t>
  </si>
  <si>
    <t>BladeA Fan3 is overloaded</t>
  </si>
  <si>
    <t>BladeA Heat/Out temp dif. err</t>
  </si>
  <si>
    <t>BldAFanPreheat pos feedbck err</t>
  </si>
  <si>
    <t>BldAFanPreheat neg feedbck err</t>
  </si>
  <si>
    <t>BladeA Heaters has high temp</t>
  </si>
  <si>
    <t>BladeA Heaters too high temp</t>
  </si>
  <si>
    <t>BladeA Heater1 pos feedbck err</t>
  </si>
  <si>
    <t>BladeA Heater1 neg feedbck err</t>
  </si>
  <si>
    <t>BladeA Heater2 pos feedbck err</t>
  </si>
  <si>
    <t>BladeA Heater2 neg feedbck err</t>
  </si>
  <si>
    <t>BladeA Root temperature high</t>
  </si>
  <si>
    <t>BladeB Heaters temp dif. error</t>
  </si>
  <si>
    <t>BladeB Fan1 pos feedback error</t>
  </si>
  <si>
    <t>BladeB Fan1 neg feedback error</t>
  </si>
  <si>
    <t>BladeB Fan2 pos feedback error</t>
  </si>
  <si>
    <t>BladeB Fan2 neg feedback error</t>
  </si>
  <si>
    <t>BladeB Fan3 pos feedback error</t>
  </si>
  <si>
    <t>BladeB Fan3 neg feedback error</t>
  </si>
  <si>
    <t>BladeB Fan1 is overloaded</t>
  </si>
  <si>
    <t>BladeB Fan2 is overloaded</t>
  </si>
  <si>
    <t>BladeB Fan3 is overloaded</t>
  </si>
  <si>
    <t>BladeB Heat/Out temp dif. err</t>
  </si>
  <si>
    <t>BldBFanPreheat pos feedbck err</t>
  </si>
  <si>
    <t>BldBFanPreheat neg feedbck err</t>
  </si>
  <si>
    <t>BladeB Heaters has high temp</t>
  </si>
  <si>
    <t>BladeB Heaters too high temp</t>
  </si>
  <si>
    <t>BladeB Heater1 pos feedbck err</t>
  </si>
  <si>
    <t>BladeB Heater1 neg feedbck err</t>
  </si>
  <si>
    <t>BladeB Heater2 pos feedbck err</t>
  </si>
  <si>
    <t>BladeB Heater2 neg feedbck err</t>
  </si>
  <si>
    <t>BladeB Root temperature high</t>
  </si>
  <si>
    <t>BladeC Heaters temp dif. error</t>
  </si>
  <si>
    <t>BladeC Fan1 pos feedback error</t>
  </si>
  <si>
    <t>BladeC Fan1 neg feedback error</t>
  </si>
  <si>
    <t>BladeC Fan2 pos feedback error</t>
  </si>
  <si>
    <t>BladeC Fan2 neg feedback error</t>
  </si>
  <si>
    <t>BladeC Fan3 pos feedback error</t>
  </si>
  <si>
    <t>BladeC Fan3 neg feedback error</t>
  </si>
  <si>
    <t>BladeC Fan1 is overloaded</t>
  </si>
  <si>
    <t>BladeC Fan2 is overloaded</t>
  </si>
  <si>
    <t>BladeC Fan3 is overloaded</t>
  </si>
  <si>
    <t>BladeC Heat/Out temp dif. err</t>
  </si>
  <si>
    <t>BldCFanPreheat pos feedbck err</t>
  </si>
  <si>
    <t>BldCFanPreheat neg feedbck err</t>
  </si>
  <si>
    <t>BladeC Heaters has high temp</t>
  </si>
  <si>
    <t>BladeC Heaters too high temp</t>
  </si>
  <si>
    <t>BladeC Heater1 pos feedbck err</t>
  </si>
  <si>
    <t>BladeC Heater1 neg feedbck err</t>
  </si>
  <si>
    <t>BladeC Heater2 pos feedbck err</t>
  </si>
  <si>
    <t>BladeC Heater2 neg feedbck err</t>
  </si>
  <si>
    <t>BladeC Root temperature high</t>
  </si>
  <si>
    <t>Trafo liquid pump state:___</t>
  </si>
  <si>
    <t>Trafo liquid pump CB open</t>
  </si>
  <si>
    <t>TrafoLiquidPump signal invalid</t>
  </si>
  <si>
    <t>Trafo liquid pump positive FB</t>
  </si>
  <si>
    <t>Trafo liquid pump negative FB</t>
  </si>
  <si>
    <t>TrafoLiquidPump FB Sig Invalid</t>
  </si>
  <si>
    <t>Trafo liquid pump thermo fault</t>
  </si>
  <si>
    <t>TrafoLiquidPump thermo Sig Inv</t>
  </si>
  <si>
    <t>SafetyPitchSpdNotOk</t>
  </si>
  <si>
    <t>SafetyPitchSpdNotOkForProd</t>
  </si>
  <si>
    <t>A Ctrl:__._V P.Vel:___._mm/s</t>
  </si>
  <si>
    <t>B Ctrl:__._V P.Vel:___._mm/s</t>
  </si>
  <si>
    <t>C Ctrl:__._V P.Vel:___._mm/s</t>
  </si>
  <si>
    <t>StarToDelta, TimeProd _____s</t>
  </si>
  <si>
    <t>DeltaToStar,TimeProd_____s, _</t>
  </si>
  <si>
    <t>Yaw and return completed</t>
  </si>
  <si>
    <t>Yaw and return failed</t>
  </si>
  <si>
    <t>BladeA Unexpected airflow err</t>
  </si>
  <si>
    <t>BladeB Unexpected airflow err</t>
  </si>
  <si>
    <t>BladeC Unexpected airflow err</t>
  </si>
  <si>
    <t>BladeA Missing airflow error</t>
  </si>
  <si>
    <t>BladeB Missing airflow error</t>
  </si>
  <si>
    <t>BladeC Missing airflow error</t>
  </si>
  <si>
    <t>BladeA Heaters low temperature</t>
  </si>
  <si>
    <t>BladeB Heaters low temperature</t>
  </si>
  <si>
    <t>BladeC Heaters low temperature</t>
  </si>
  <si>
    <t>EMCPitchValv.FuncTestPerformed</t>
  </si>
  <si>
    <t>TurbineNotUpwind</t>
  </si>
  <si>
    <t>Blade A : FlowTestSeq.started</t>
  </si>
  <si>
    <t>Blade B : FlowTestSeq.started</t>
  </si>
  <si>
    <t>Blade C : FlowTestSeq.started</t>
  </si>
  <si>
    <t>Ctrl:___._V,PitchRate:___._°/s</t>
  </si>
  <si>
    <t>PistV Meas:___._,Exp:___._mm/s</t>
  </si>
  <si>
    <t>TestStepFailed, Ctrl:___._V</t>
  </si>
  <si>
    <t>Blade A: Seq. TestPassed,___s</t>
  </si>
  <si>
    <t>Blade B: Seq. TestPassed,___s</t>
  </si>
  <si>
    <t>Blade C: Seq. TestPassed,___s</t>
  </si>
  <si>
    <t>Blade A: SequenceTestFailed</t>
  </si>
  <si>
    <t>Blade B: SequenceTestFailed</t>
  </si>
  <si>
    <t>Blade C: SequenceTestFailed</t>
  </si>
  <si>
    <t>PASS:_ FlowTestSeq,in__.__min</t>
  </si>
  <si>
    <t>FAIL:_ FlowTestSeq,in__.__min</t>
  </si>
  <si>
    <t>Yaw CB Feedback Fault</t>
  </si>
  <si>
    <t>Yaw Motor CB Signal Invalid</t>
  </si>
  <si>
    <t>HVCBConnected</t>
  </si>
  <si>
    <t>WaterPumpPressureLow__.__bar</t>
  </si>
  <si>
    <t>All blades deicing started</t>
  </si>
  <si>
    <t>Blade A deicing started</t>
  </si>
  <si>
    <t>Blade B deicing started</t>
  </si>
  <si>
    <t>Blade C deicing started</t>
  </si>
  <si>
    <t>TowerAccX SignalDead __m/s^2</t>
  </si>
  <si>
    <t>TowerAccX NoZeroCross __m/s^2</t>
  </si>
  <si>
    <t>All blades deicing stopped</t>
  </si>
  <si>
    <t>Blade A deicing stopped</t>
  </si>
  <si>
    <t>Blade B deicing stopped</t>
  </si>
  <si>
    <t>Blade C deicing stopped</t>
  </si>
  <si>
    <t>NoiseReductionPauseModeActive</t>
  </si>
  <si>
    <t>ECD_Detected</t>
  </si>
  <si>
    <t>ControllerCabinetSupplyCBOpen</t>
  </si>
  <si>
    <t>ManPitchAllBldHighWind__._m/s</t>
  </si>
  <si>
    <t>Grid Fast Link Is Stopped</t>
  </si>
  <si>
    <t>Machine Fast Link Is Stopped</t>
  </si>
  <si>
    <t>Missing OK Status Fan feedb.</t>
  </si>
  <si>
    <t>Ext.ConverterStopSignalActive</t>
  </si>
  <si>
    <t>ExtConverterStopArcDetected</t>
  </si>
  <si>
    <t>LSI ExtHighI X</t>
  </si>
  <si>
    <t>LSI ExtHighI Y</t>
  </si>
  <si>
    <t>LSI ExtHighI Info X</t>
  </si>
  <si>
    <t>LSI ExtHighI Info Y</t>
  </si>
  <si>
    <t>LSI HW Err X</t>
  </si>
  <si>
    <t>LSI HW Err Y</t>
  </si>
  <si>
    <t>LSI HW Err Info X</t>
  </si>
  <si>
    <t>LSI HW Err Info Y</t>
  </si>
  <si>
    <t>MoistureLevelTooHigh</t>
  </si>
  <si>
    <t>TempSwitch_GridChoke</t>
  </si>
  <si>
    <t>LSI High Temp PWR Sect Air1</t>
  </si>
  <si>
    <t>LSI High Temp PWR Sect Air2</t>
  </si>
  <si>
    <t>High Temp Grid Choke</t>
  </si>
  <si>
    <t>High Temp Fil Sect Air</t>
  </si>
  <si>
    <t>High Temp LSI X IGBT</t>
  </si>
  <si>
    <t>High Temp LSI Y IGBT</t>
  </si>
  <si>
    <t>HighDCCurrentDiff</t>
  </si>
  <si>
    <t>IDC Estimate To IDC Deviation</t>
  </si>
  <si>
    <t>LSI Inv Current Load Share</t>
  </si>
  <si>
    <t>HighICenterLine</t>
  </si>
  <si>
    <t>HighIDCLeak</t>
  </si>
  <si>
    <t>Invt.PosToNegOutOffPWMSync</t>
  </si>
  <si>
    <t>AsymStatorVoltage</t>
  </si>
  <si>
    <t>MachineInvNegLoadShareError</t>
  </si>
  <si>
    <t>TooLowStatorVoltage</t>
  </si>
  <si>
    <t>StatorPhaseSequenceErr</t>
  </si>
  <si>
    <t>LSI HighTemp CabinetAir</t>
  </si>
  <si>
    <t>MSI HighTemp Inv IGBT X</t>
  </si>
  <si>
    <t>MSI HighTemp Inv IGBT Y</t>
  </si>
  <si>
    <t>WrongRotationDir.OrSpeedDiff</t>
  </si>
  <si>
    <t>HPC Contactor opened</t>
  </si>
  <si>
    <t>HPC Contactor closed</t>
  </si>
  <si>
    <t>HPC disconnected</t>
  </si>
  <si>
    <t>HPC ready for power</t>
  </si>
  <si>
    <t>HPC heater pos feedback err</t>
  </si>
  <si>
    <t>HPC heater neg feedback err</t>
  </si>
  <si>
    <t>HPC actuator extend error</t>
  </si>
  <si>
    <t>HPC actuator retract error</t>
  </si>
  <si>
    <t>HPC CB opened err</t>
  </si>
  <si>
    <t>HPC CB closed err</t>
  </si>
  <si>
    <t>HPC pos sensor off</t>
  </si>
  <si>
    <t>HPC rotor position error</t>
  </si>
  <si>
    <t>CabinetFanContactorFBError</t>
  </si>
  <si>
    <t>BLCalibAbortedAutoYawDisabled</t>
  </si>
  <si>
    <t>ResFilterContOpenFailed</t>
  </si>
  <si>
    <t>ResFilterContFeedBackResponse</t>
  </si>
  <si>
    <t>UnexpecGridResFiltContFeedb</t>
  </si>
  <si>
    <t>GridResFilterNotPresent</t>
  </si>
  <si>
    <t>DCChopperX_HWErr, ConvModule__</t>
  </si>
  <si>
    <t>DCChopperY_HWErr, ConvModule__</t>
  </si>
  <si>
    <t>MSI HW Err Info X</t>
  </si>
  <si>
    <t>MSI HW Err Info Y</t>
  </si>
  <si>
    <t>TempSwitch_GridFilter</t>
  </si>
  <si>
    <t>HighTemp_DCChopperRes_X</t>
  </si>
  <si>
    <t>HighTemp_DCChopperRes_Y</t>
  </si>
  <si>
    <t>HighTempDVDTFilter_X</t>
  </si>
  <si>
    <t>HighTempDVDTFilter_Y</t>
  </si>
  <si>
    <t>MSIStringLoadShareError</t>
  </si>
  <si>
    <t>MSI High Temp PWR Sect Air1</t>
  </si>
  <si>
    <t>MSI High Temp PWR Sect Air2</t>
  </si>
  <si>
    <t>MSI HW Err X</t>
  </si>
  <si>
    <t>MSI HW Err Y</t>
  </si>
  <si>
    <t>BLCalibCompletedSuccessfully</t>
  </si>
  <si>
    <t>Rotor positioning started</t>
  </si>
  <si>
    <t>Rotor positioning stopped</t>
  </si>
  <si>
    <t>RotorStoppedAtPosition __.__°</t>
  </si>
  <si>
    <t>Rotor positioning succeeded</t>
  </si>
  <si>
    <t>Rotor positioning failed: __</t>
  </si>
  <si>
    <t>MSI ExtHighI Info X</t>
  </si>
  <si>
    <t>MSI ExtHighI Info Y</t>
  </si>
  <si>
    <t>MSI ExtHighI X</t>
  </si>
  <si>
    <t>MSI ExtHighI Y</t>
  </si>
  <si>
    <t>MSI HighTemp CabinetAir</t>
  </si>
  <si>
    <t>PitchOffsetCycle test started</t>
  </si>
  <si>
    <t>PitchOffsetCycleTest next step</t>
  </si>
  <si>
    <t>PitchOffsetCycleTest finalized</t>
  </si>
  <si>
    <t>Watchdog Application Reboot</t>
  </si>
  <si>
    <t>De-icing TestFunctionSucceeded</t>
  </si>
  <si>
    <t>De-icing aborted: __</t>
  </si>
  <si>
    <t>PwrBkup voltage sensor 1 error</t>
  </si>
  <si>
    <t>PwrBkup voltage sensor 2 error</t>
  </si>
  <si>
    <t>PwrBkup voltage deviation err</t>
  </si>
  <si>
    <t>PwrBkup state</t>
  </si>
  <si>
    <t>PwrBkup draining batteries</t>
  </si>
  <si>
    <t>PwrBkup system error</t>
  </si>
  <si>
    <t>PwrBkup charger 1 error</t>
  </si>
  <si>
    <t>PwrBkup charger 2 error</t>
  </si>
  <si>
    <t>PwrBkup charging system ok</t>
  </si>
  <si>
    <t>PwrBkup charging system error</t>
  </si>
  <si>
    <t>PwrBkup battery test</t>
  </si>
  <si>
    <t>PwrBkup battery bank ok</t>
  </si>
  <si>
    <t>PwrBkup battery bank error</t>
  </si>
  <si>
    <t>PwrBkup string 1 status</t>
  </si>
  <si>
    <t>PwrBkup string 2 status</t>
  </si>
  <si>
    <t>PwrBkup string 3 status</t>
  </si>
  <si>
    <t>PwrBkup string 4 status</t>
  </si>
  <si>
    <t>PwrBkup recharge time</t>
  </si>
  <si>
    <t>PwrBkup converter 1 error</t>
  </si>
  <si>
    <t>PwrBkup converter 2 error</t>
  </si>
  <si>
    <t>PwrBkup converter 3 error</t>
  </si>
  <si>
    <t>PwrBkup converter 4 error</t>
  </si>
  <si>
    <t>PwrBkup converter 5 error</t>
  </si>
  <si>
    <t>PwrBkup converter 6 error</t>
  </si>
  <si>
    <t>PwrBkup DCDC converter error</t>
  </si>
  <si>
    <t>Pitch Common A accu failed</t>
  </si>
  <si>
    <t>Pitch EMF A accu 1 failed</t>
  </si>
  <si>
    <t>Pitch EMF A accu 2 one failed</t>
  </si>
  <si>
    <t>Pitch EMF A accu 2 two failed</t>
  </si>
  <si>
    <t>Pitch Com. A accu drain failed</t>
  </si>
  <si>
    <t>PitchEMF A accu 1 drain failed</t>
  </si>
  <si>
    <t>PitchEMF A accu 2 drain failed</t>
  </si>
  <si>
    <t>Pitch Common B accu failed</t>
  </si>
  <si>
    <t>Pitch EMF B accu 1 failed</t>
  </si>
  <si>
    <t>Pitch EMF B accu 2 one failed</t>
  </si>
  <si>
    <t>Pitch EMF B accu 2 two failed</t>
  </si>
  <si>
    <t>Pitch Com. B accu drain failed</t>
  </si>
  <si>
    <t>PitchEMF B accu 1 drain failed</t>
  </si>
  <si>
    <t>PitchEMF B accu 2 drain failed</t>
  </si>
  <si>
    <t>Pitch Common C accu failed</t>
  </si>
  <si>
    <t>Pitch EMF C accu 1 failed</t>
  </si>
  <si>
    <t>Pitch EMF C accu 2 one failed</t>
  </si>
  <si>
    <t>Pitch EMF C accu 2 two failed</t>
  </si>
  <si>
    <t>Pitch Com. C accu drain failed</t>
  </si>
  <si>
    <t>PitchEMF C accu 1 drain failed</t>
  </si>
  <si>
    <t>PitchEMF C accu 2 drain failed</t>
  </si>
  <si>
    <t>Pitch accumulator failure</t>
  </si>
  <si>
    <t>Accu Test Initial Press Failed</t>
  </si>
  <si>
    <t>GearOilQualityErr:___RPM___°C</t>
  </si>
  <si>
    <t>Act Pwr Remote tmt P=____ M=__</t>
  </si>
  <si>
    <t>DeIcing Requested</t>
  </si>
  <si>
    <t>DeIcing In Progress</t>
  </si>
  <si>
    <t>DeIcing Cooling</t>
  </si>
  <si>
    <t>DeIce Finished-Turbine paused</t>
  </si>
  <si>
    <t>Rct Pwr Remote tmt P=____ M=__</t>
  </si>
  <si>
    <t>MSI InvCurrentLoadShare</t>
  </si>
  <si>
    <t>StringStateTransitionTimeout</t>
  </si>
  <si>
    <t>MSIStateTransitionTimeout</t>
  </si>
  <si>
    <t>TempSwitchdvdtFilterX: Mod__</t>
  </si>
  <si>
    <t>TempSwitchdvdtFilterY: Mod__</t>
  </si>
  <si>
    <t>PowerDev(SlowFilt):____._ kW</t>
  </si>
  <si>
    <t>SafetySystemNotReadyForReset</t>
  </si>
  <si>
    <t>Grid Inv Breaker Open</t>
  </si>
  <si>
    <t>MSI, arc detected __</t>
  </si>
  <si>
    <t>MSI, arc detector error __</t>
  </si>
  <si>
    <t>MSI, arc detected</t>
  </si>
  <si>
    <t>MSI, arc detector error</t>
  </si>
  <si>
    <t>LSI, arc detected __</t>
  </si>
  <si>
    <t>LSI, arc detector error __</t>
  </si>
  <si>
    <t>LSI, arc detected</t>
  </si>
  <si>
    <t>LSI, arc detector error</t>
  </si>
  <si>
    <t>Switchgear, arc detected __</t>
  </si>
  <si>
    <t>Switchgear arc detector err__</t>
  </si>
  <si>
    <t>Switchgear, arc detected</t>
  </si>
  <si>
    <t>Switchgear, arc detector error</t>
  </si>
  <si>
    <t>TripHVButtonActivated __</t>
  </si>
  <si>
    <t>PilotValvesTestP1V1Failure</t>
  </si>
  <si>
    <t>PilotValvesTestP1V2Failure</t>
  </si>
  <si>
    <t>PilotValvesTestPilotSystemFail</t>
  </si>
  <si>
    <t>DODP InitialPressFailure</t>
  </si>
  <si>
    <t>DODP Valve A Failure</t>
  </si>
  <si>
    <t>DODP Valve B Failure</t>
  </si>
  <si>
    <t>DODP Valve C Failure</t>
  </si>
  <si>
    <t>EMF Accu A Leakage Fail</t>
  </si>
  <si>
    <t>EMF Accu B Leakage Fail</t>
  </si>
  <si>
    <t>EMF Accu C Leakage Fail</t>
  </si>
  <si>
    <t>PilotValvesTestCompleted</t>
  </si>
  <si>
    <t>DODPValvesTestCompleted</t>
  </si>
  <si>
    <t>Blade Locking Timeout Error</t>
  </si>
  <si>
    <t>Accu Test Blade Locking Failed</t>
  </si>
  <si>
    <t>Active pow. derated by:_.__</t>
  </si>
  <si>
    <t>Grid volt harmonics exceed L1</t>
  </si>
  <si>
    <t>Grid volt harmonics exceed L2</t>
  </si>
  <si>
    <t>Grid volt harmonics exceed L3</t>
  </si>
  <si>
    <t>Hydr Mode Selector In Manual</t>
  </si>
  <si>
    <t>VTL ConstLoad Signal Detected</t>
  </si>
  <si>
    <t>VTL Wind Sensor Status Error</t>
  </si>
  <si>
    <t>VTL Load Sensor Status Error</t>
  </si>
  <si>
    <t>VTL Gain Hyst Err Detected</t>
  </si>
  <si>
    <t>High wind TYCNotOk : __._ m/s</t>
  </si>
  <si>
    <t>High windspeed fast: __._ m/s</t>
  </si>
  <si>
    <t>HighWindSpd,FlowTestSeqAborted</t>
  </si>
  <si>
    <t>BladeB: HighWindSpdTestAborted</t>
  </si>
  <si>
    <t>BladeC: HighWindSpdTestAborted</t>
  </si>
  <si>
    <t>Nacelle temp too low: ___ °C</t>
  </si>
  <si>
    <t>NacelleHeating fan1 neg FB err</t>
  </si>
  <si>
    <t>NacelleHeating fan2 neg FB err</t>
  </si>
  <si>
    <t>NacelleHeating fan1 pos FB err</t>
  </si>
  <si>
    <t>NacelleHeating fan2 pos FB err</t>
  </si>
  <si>
    <t>Tower cooling fan 1 error</t>
  </si>
  <si>
    <t>Tower cooling fan 2 error</t>
  </si>
  <si>
    <t>Tower cooling fan 3 error</t>
  </si>
  <si>
    <t>Tower cooling fan 4 error</t>
  </si>
  <si>
    <t>Tower cooling fan 5 error</t>
  </si>
  <si>
    <t>Tower cooling fan 6 error</t>
  </si>
  <si>
    <t>TowerAirFilter1 PartialCLogged</t>
  </si>
  <si>
    <t>TowerAirFilter2 PartialCLogged</t>
  </si>
  <si>
    <t>TowerAirFilter1 cLogged</t>
  </si>
  <si>
    <t>TowerAirFilter2 cLogged</t>
  </si>
  <si>
    <t>TowerAirFilter1 fully cLogged</t>
  </si>
  <si>
    <t>TowerAirFilter2 fully cLogged</t>
  </si>
  <si>
    <t>Nacelle hatch open error</t>
  </si>
  <si>
    <t>Nacelle hatch close error</t>
  </si>
  <si>
    <t>Tower hatch1 open error</t>
  </si>
  <si>
    <t>Tower hatch1 close error</t>
  </si>
  <si>
    <t>Tower hatch2 open error</t>
  </si>
  <si>
    <t>Tower hatch2 close error</t>
  </si>
  <si>
    <t>Nacelle heating fan1 CB opened</t>
  </si>
  <si>
    <t>Nacelle heating fan2 CB opened</t>
  </si>
  <si>
    <t>Tower cooling fan1 CB opened</t>
  </si>
  <si>
    <t>Tower cooling fan2 CB opened</t>
  </si>
  <si>
    <t>Tower cooling fan3 CB opened</t>
  </si>
  <si>
    <t>Tower cooling fan4 CB opened</t>
  </si>
  <si>
    <t>Tower cooling fan5 CB opened</t>
  </si>
  <si>
    <t>Tower cooling fan6 CB opened</t>
  </si>
  <si>
    <t>TurbineHeatingState: __</t>
  </si>
  <si>
    <t>TurbineCoolingState: __</t>
  </si>
  <si>
    <t>SafetyCircuit Unexpected Open</t>
  </si>
  <si>
    <t>PitA: PBL max: ___ min:__</t>
  </si>
  <si>
    <t>PitB: PBL max: ___ min:__</t>
  </si>
  <si>
    <t>PitC: PBL max: ___ min:__</t>
  </si>
  <si>
    <t>Pitch B too low: __._° &lt; __._°</t>
  </si>
  <si>
    <t>Pitch C too low: __._° &lt; __._°</t>
  </si>
  <si>
    <t>PitA:PFBOpen:_CountEnabl,__._°</t>
  </si>
  <si>
    <t>PitB:PFBOpen:_CountEnabl,__._°</t>
  </si>
  <si>
    <t>PitC:PFBOpen:_CountEnabl,__._°</t>
  </si>
  <si>
    <t>PitA:PBLOpen:_CountEnabl,__._°</t>
  </si>
  <si>
    <t>PitB:PBLOpen:_CountEnabl,__._°</t>
  </si>
  <si>
    <t>PitC:PBLOpen:_CountEnabl,__._°</t>
  </si>
  <si>
    <t>HubSafty Saf Pitch Req I/P Err</t>
  </si>
  <si>
    <t>HubSafty EmgStpHubIO I/P Err.</t>
  </si>
  <si>
    <t>HubSafty EmgStpHubPnl I/P Err.</t>
  </si>
  <si>
    <t>HubSafty HubServ Req I/P Err.</t>
  </si>
  <si>
    <t>HubSafty HydrPres Draind-BldA</t>
  </si>
  <si>
    <t>HubSafty HydrPres Draind-BldB</t>
  </si>
  <si>
    <t>HubSafty HydrPres Draind-BldC</t>
  </si>
  <si>
    <t>HubSafty HydrPres Draind DBlk</t>
  </si>
  <si>
    <t>HubSafty HydrPres Low BldB</t>
  </si>
  <si>
    <t>HubSafty HydrPres Low BldC</t>
  </si>
  <si>
    <t>HubSafty Ball Vlv A Open Err.</t>
  </si>
  <si>
    <t>HubSafty Ball Vlv A Close Err.</t>
  </si>
  <si>
    <t>HubSafty Ball Vlv B Open Err.</t>
  </si>
  <si>
    <t>HubSafty Ball Vlv B Close Err.</t>
  </si>
  <si>
    <t>HubSafty Ball Vlv C Open Err.</t>
  </si>
  <si>
    <t>HubSafty Ball Vlv C Close Err.</t>
  </si>
  <si>
    <t>FEXLowPressure or bypassed</t>
  </si>
  <si>
    <t>OvrspdGuardRotorSpeedExtrHigh</t>
  </si>
  <si>
    <t>OvrspdGuardExpectedActivated</t>
  </si>
  <si>
    <t>SafetySysProt. Stop SignalFail</t>
  </si>
  <si>
    <t>Converter LSI insulation error</t>
  </si>
  <si>
    <t>Conv. LSI Pos SPD fuse L1 trip</t>
  </si>
  <si>
    <t>Conv. LSI Neg SPD fuse L1 trip</t>
  </si>
  <si>
    <t>Conv. LSI Pos SPD fuse L2 trip</t>
  </si>
  <si>
    <t>Conv. LSI Neg SPD fuse L2 trip</t>
  </si>
  <si>
    <t>Conv. LSI Pos SPD fuse L3 trip</t>
  </si>
  <si>
    <t>Conv. LSI Neg SPD fuse L3 trip</t>
  </si>
  <si>
    <t>SafetySystem waiting for reset</t>
  </si>
  <si>
    <t>SafetySysHubUnknownResetRsn</t>
  </si>
  <si>
    <t>SafetySysNaceleUnknwnResetRsn</t>
  </si>
  <si>
    <t>LSI High Chopper IGBT Temp.</t>
  </si>
  <si>
    <t>MSI High Chopper IGBT Temp.</t>
  </si>
  <si>
    <t>LSITmpSwitchDCChopX:Mod_;___°C</t>
  </si>
  <si>
    <t>LSITmpSwitchDCChopY:Mod_;___°C</t>
  </si>
  <si>
    <t>LSI High Chopper Resistor Load</t>
  </si>
  <si>
    <t>MSI High Chopper Resistor Load</t>
  </si>
  <si>
    <t>Safety nac1 checksum:_____</t>
  </si>
  <si>
    <t>Safety nac2 checksum:_____</t>
  </si>
  <si>
    <t>Safety hub checksum:_____</t>
  </si>
  <si>
    <t>SafetySysNac1 comm link error</t>
  </si>
  <si>
    <t>SafetySysNac2 comm link error</t>
  </si>
  <si>
    <t>SafetySysHub comm link error</t>
  </si>
  <si>
    <t>Conv Disconnect Failed</t>
  </si>
  <si>
    <t>BladeAEdgePeakLoad: ___.__ kNm</t>
  </si>
  <si>
    <t>BladeBEdgePeakLoad: ___.__ kNm</t>
  </si>
  <si>
    <t>BladeCEdgePeakLoad: ___.__ kNm</t>
  </si>
  <si>
    <t>MSI Hi Chopper Wire Temp ___°C</t>
  </si>
  <si>
    <t>LSI Hi Chopper Wire Temp ___°C</t>
  </si>
  <si>
    <t>Deicing cycle aborted by SCADA</t>
  </si>
  <si>
    <t>Lubr offline pump neg. FB err</t>
  </si>
  <si>
    <t>Lubr offline pump pos. FB err</t>
  </si>
  <si>
    <t>PTR ODM pump1 neg. FB err</t>
  </si>
  <si>
    <t>PTR ODM pump1 pos. FB err</t>
  </si>
  <si>
    <t>PTR ODM pump2 neg. FB err</t>
  </si>
  <si>
    <t>PTR ODM pump2 pos. FB err</t>
  </si>
  <si>
    <t>Lubr. oil heater neg. FB err</t>
  </si>
  <si>
    <t>Lubr. oil heater pos. FB err</t>
  </si>
  <si>
    <t>Lubr offline pump thermo fault</t>
  </si>
  <si>
    <t>PTR ODM pump1 thermo fault</t>
  </si>
  <si>
    <t>PTR ODM pump2 thermo fault</t>
  </si>
  <si>
    <t>Lubr. offline pump CB opened</t>
  </si>
  <si>
    <t>PTR ODM pump1 CB opened</t>
  </si>
  <si>
    <t>PTR ODM pump2 CB opened</t>
  </si>
  <si>
    <t>Lubr. oil heater CB opened</t>
  </si>
  <si>
    <t>Conv MSI Neutral SPD fuse trip</t>
  </si>
  <si>
    <t>ValidateEMCPitchValvesTestFail</t>
  </si>
  <si>
    <t>GenSideBreakerWindUpFailed</t>
  </si>
  <si>
    <t>LineSideBreakerWindUpFailed</t>
  </si>
  <si>
    <t>UDC ____ LowToClose GenBreaker</t>
  </si>
  <si>
    <t>YawBrakesCBOpen</t>
  </si>
  <si>
    <t>Yaw Brake Resistor Overheated</t>
  </si>
  <si>
    <t>Remote Pow=0,Reactive possible</t>
  </si>
  <si>
    <t>PrepReconLSOtime,__m/s____rpm</t>
  </si>
  <si>
    <t>RunUpLSOtimeout,__m/s ____rpm</t>
  </si>
  <si>
    <t>PrepProdEntry, Derate ____rpm</t>
  </si>
  <si>
    <t>PrepProdExit, InState _____s</t>
  </si>
  <si>
    <t>UDC Discharge Failed</t>
  </si>
  <si>
    <t>TNF Test Interrupted</t>
  </si>
  <si>
    <t>Tower Frequency Test Activated</t>
  </si>
  <si>
    <t>GenMainContactorFBError</t>
  </si>
  <si>
    <t>GenDeltaModeContactFBError</t>
  </si>
  <si>
    <t>GenStarModeContactFBError</t>
  </si>
  <si>
    <t>ChargeContactorFBError</t>
  </si>
  <si>
    <t>EMCPitchValvesTestFailed</t>
  </si>
  <si>
    <t>YawLubr bearing pump 1</t>
  </si>
  <si>
    <t>YawLubr bearing pump 2</t>
  </si>
  <si>
    <t>YawLubr bearing error</t>
  </si>
  <si>
    <t>YawLubrBearing Req:_ OkPumps:_</t>
  </si>
  <si>
    <t>YawLubr ring pump 1</t>
  </si>
  <si>
    <t>YawLubr ring pump 2</t>
  </si>
  <si>
    <t>YawLubr ring error</t>
  </si>
  <si>
    <t>YawLubrRing Req:_ OkPumps:_</t>
  </si>
  <si>
    <t>LSI_InverterRI_GIOutOffPWMSync</t>
  </si>
  <si>
    <t>MSI_InverterRI_GIOutOffPWMSync</t>
  </si>
  <si>
    <t>MSI HighTempGradient InvIGBT X</t>
  </si>
  <si>
    <t>MSI HighTempGradient InvIGBT Y</t>
  </si>
  <si>
    <t>LSI HighTempGradient InvIGBT X</t>
  </si>
  <si>
    <t>LSI HighTempGradient InvIGBT Y</t>
  </si>
  <si>
    <t>MSI Low Rotor Flux</t>
  </si>
  <si>
    <t>LSI High DC Cable Impedance</t>
  </si>
  <si>
    <t>MSI High Current Generator</t>
  </si>
  <si>
    <t>PowerBackupChargerDisconnected</t>
  </si>
  <si>
    <t>PowerBackupCharger CapacityLow</t>
  </si>
  <si>
    <t>PowerBackupCharger Error</t>
  </si>
  <si>
    <t>PowerBackupCharger State</t>
  </si>
  <si>
    <t>SmokeDetectorErrDuringService</t>
  </si>
  <si>
    <t>ConvLSI InsulationDetectorErr</t>
  </si>
  <si>
    <t>TowerWaterCoolLiquidLo___l</t>
  </si>
  <si>
    <t>BladeVibrSigStatus Low_ High_</t>
  </si>
  <si>
    <t>BladeVibrationHigh</t>
  </si>
  <si>
    <t>NacWaterCoolPumpsNotFunctional</t>
  </si>
  <si>
    <t>NacWaterCoolLiquidLo___l</t>
  </si>
  <si>
    <t>MFun TerminateTimeout, Seq:__</t>
  </si>
  <si>
    <t>SafetySysNac checksum err_____</t>
  </si>
  <si>
    <t>SafetSysTransPieceCsumErr_____</t>
  </si>
  <si>
    <t>SafetySysNac comm error</t>
  </si>
  <si>
    <t>SafetySysHub comm error</t>
  </si>
  <si>
    <t>SafetySysTower comm error</t>
  </si>
  <si>
    <t>SafetySysTransPiece comm error</t>
  </si>
  <si>
    <t>HighMSCPowerDeviation</t>
  </si>
  <si>
    <t>HydrPilotPressDiffHigh:___ bar</t>
  </si>
  <si>
    <t>PitchBlockACommonLow: ___ bar</t>
  </si>
  <si>
    <t>PitchBlockBCommonLow: ___ bar</t>
  </si>
  <si>
    <t>PitchBlockCCommonLow: ___ bar</t>
  </si>
  <si>
    <t>PitchBlockACylinderLeak:___bar</t>
  </si>
  <si>
    <t>PitchBlockBCylinderLeak:___bar</t>
  </si>
  <si>
    <t>PitchBlockCCylinderLeak:___bar</t>
  </si>
  <si>
    <t>FastRelTrans:__MaxRotSpd__RPM</t>
  </si>
  <si>
    <t>PitchAlignTrans___,Monitor___</t>
  </si>
  <si>
    <t>CabinetTowerAuxPowerTemp High</t>
  </si>
  <si>
    <t>CabinetTowerAuxPowerTemp Low</t>
  </si>
  <si>
    <t>CabinetNacAuxDCPowerTempHigh</t>
  </si>
  <si>
    <t>CabinetNacAuxDCPowerTempLow</t>
  </si>
  <si>
    <t>CabinetTowerControllerTempHigh</t>
  </si>
  <si>
    <t>CabinetTowerControllerTemp Low</t>
  </si>
  <si>
    <t>CabinetTowTransPieceCtrTmpHigh</t>
  </si>
  <si>
    <t>CabinetTowTransPieceCtrlTmpLow</t>
  </si>
  <si>
    <t>CabinetNacControllerTemp High</t>
  </si>
  <si>
    <t>CabinetNacControllerTemp Low</t>
  </si>
  <si>
    <t>CabinetHubControllerTemp High</t>
  </si>
  <si>
    <t>CabinetHubControllerTemp Low</t>
  </si>
  <si>
    <t>PistonPosAPreset:___mm</t>
  </si>
  <si>
    <t>PistonPosBPreset:___mm</t>
  </si>
  <si>
    <t>PistonPosCPreset:___mm</t>
  </si>
  <si>
    <t>LowTemp_DCChopperRes_X</t>
  </si>
  <si>
    <t>LowTemp_DCChopperRes_Y</t>
  </si>
  <si>
    <t>LSI_LowTemp_GridChoke</t>
  </si>
  <si>
    <t>LSI_LowTemp_GridFilSectAir</t>
  </si>
  <si>
    <t>Tower cooling M1 fan CB opened</t>
  </si>
  <si>
    <t>Tower cooling M2 fan CB opened</t>
  </si>
  <si>
    <t>Tower cooling M3 fan CB opened</t>
  </si>
  <si>
    <t>Tower cooling M4 fan CB opened</t>
  </si>
  <si>
    <t>Tower cooling M1 fan error</t>
  </si>
  <si>
    <t>Tower cooling M2 fan error</t>
  </si>
  <si>
    <t>Tower cooling M3 fan error</t>
  </si>
  <si>
    <t>Tower cooling M4 fan error</t>
  </si>
  <si>
    <t>TwrCool M1 filter cLogged</t>
  </si>
  <si>
    <t>TwrCool M2 filter cLogged</t>
  </si>
  <si>
    <t>TwrCool M3 filter cLogged</t>
  </si>
  <si>
    <t>TwrCool M4 filter cLogged</t>
  </si>
  <si>
    <t>TwrCool M1 filter PartialCLog</t>
  </si>
  <si>
    <t>TwrCool M2 filter PartialCLog</t>
  </si>
  <si>
    <t>TwrCool M3 filter PartialCLog</t>
  </si>
  <si>
    <t>TwrCool M4 filter PartialCLog</t>
  </si>
  <si>
    <t>Twr cooling M1 hatch close err</t>
  </si>
  <si>
    <t>Twr cooling M2 hatch close err</t>
  </si>
  <si>
    <t>Twr cooling M3 hatch close err</t>
  </si>
  <si>
    <t>Twr cooling M4 hatch close err</t>
  </si>
  <si>
    <t>Twr cooling M1 hatch open err</t>
  </si>
  <si>
    <t>Twr cooling M2 hatch open err</t>
  </si>
  <si>
    <t>Twr cooling M3 hatch open err</t>
  </si>
  <si>
    <t>Twr cooling M4 hatch open err</t>
  </si>
  <si>
    <t>AutoTNFReachedMaxRetry</t>
  </si>
  <si>
    <t>BladeLoads calibrated manually</t>
  </si>
  <si>
    <t>BladeLoads calib pitching fail</t>
  </si>
  <si>
    <t>BladeLoads calibration started</t>
  </si>
  <si>
    <t>BladeLoads calibration stopped</t>
  </si>
  <si>
    <t>IceDetectPostCycleRun</t>
  </si>
  <si>
    <t>OperatorPostCycleRun</t>
  </si>
  <si>
    <t>IceDetectPostCyclePause</t>
  </si>
  <si>
    <t>OperatorPostCyclePause</t>
  </si>
  <si>
    <t>PilotValvesTestP2V1Failure</t>
  </si>
  <si>
    <t>PilotValvesTestP2V2Failure</t>
  </si>
  <si>
    <t>PilotValvesTestPilot1Fail</t>
  </si>
  <si>
    <t>PilotValvesTestPilot2Fail</t>
  </si>
  <si>
    <t>HydrSystemPressSensorFail</t>
  </si>
  <si>
    <t>HydrPilotPressSensor1Fail</t>
  </si>
  <si>
    <t>HydrPilotPressSensor2Fail</t>
  </si>
  <si>
    <t>LSI FanThermoRelayError</t>
  </si>
  <si>
    <t>MSI FanThermoRelayError</t>
  </si>
  <si>
    <t>Pwr backup charger module err</t>
  </si>
  <si>
    <t>Pwr backup charger err</t>
  </si>
  <si>
    <t>PwrBkup charger test started</t>
  </si>
  <si>
    <t>PwrBkup charger test finish</t>
  </si>
  <si>
    <t>Aviation equipment error</t>
  </si>
  <si>
    <t>Marine equipment error</t>
  </si>
  <si>
    <t>Quantification b__ PitchDist__</t>
  </si>
  <si>
    <t>ExternFastGridDisconnectAlarm</t>
  </si>
  <si>
    <t>NtpSyncError</t>
  </si>
  <si>
    <t>SafetySysHub chksum error_____</t>
  </si>
  <si>
    <t>SafetySysTower chksum err_____</t>
  </si>
  <si>
    <t>SafetySystemNac comm error</t>
  </si>
  <si>
    <t>Trafo leakage ___ °C ___mbar</t>
  </si>
  <si>
    <t>Estop Button Hub Activated__</t>
  </si>
  <si>
    <t>Nac1ControllerProcessorBattLow</t>
  </si>
  <si>
    <t>Nac2ControllerProcessorBattLow</t>
  </si>
  <si>
    <t>Hub1ControllerProcessorBattLow</t>
  </si>
  <si>
    <t>Hub2ControllerProcessorBattLow</t>
  </si>
  <si>
    <t>ConMSINegContrProcessorBattLow</t>
  </si>
  <si>
    <t>ConMSIPosContrProcessorBattLow</t>
  </si>
  <si>
    <t>ConLSINegContrProcessorBattLow</t>
  </si>
  <si>
    <t>ConLSIPosContrProcessorBattLow</t>
  </si>
  <si>
    <t>Smoke Detector Version</t>
  </si>
  <si>
    <t>Smoke Detector Evolution</t>
  </si>
  <si>
    <t>SmokeDetectServiceInspPrformed</t>
  </si>
  <si>
    <t>SmokeDetectSmokeInspPerformed</t>
  </si>
  <si>
    <t>SmokeDetectMaintenancModeEnter</t>
  </si>
  <si>
    <t>SmokeDetectMaintenancModeLeave</t>
  </si>
  <si>
    <t>Smoke Detector System Error</t>
  </si>
  <si>
    <t>SmokeDetectorConfigurationErr</t>
  </si>
  <si>
    <t>Smoke Detector In Maintenance</t>
  </si>
  <si>
    <t>SmokeDetectCommissioningErr</t>
  </si>
  <si>
    <t>SmokeDetectLockedForInspect _</t>
  </si>
  <si>
    <t>SmokeDetectProdNotAllowed</t>
  </si>
  <si>
    <t>Smoke Detected</t>
  </si>
  <si>
    <t>SmokeDetectorDiscoveryBusFail</t>
  </si>
  <si>
    <t>Smoke Detector Sensor Error</t>
  </si>
  <si>
    <t>Smoke Detector Sensor Soiled</t>
  </si>
  <si>
    <t>Smoke Detector Pollution</t>
  </si>
  <si>
    <t>SafetySysHubChecksumError_____</t>
  </si>
  <si>
    <t>SafetySysTowChecksumError_____</t>
  </si>
  <si>
    <t>HydrPump1Failing</t>
  </si>
  <si>
    <t>HydrPump2Failing</t>
  </si>
  <si>
    <t>HydrPump3Failing</t>
  </si>
  <si>
    <t>HydrPump1Leakage</t>
  </si>
  <si>
    <t>HydrPump2Leakage</t>
  </si>
  <si>
    <t>HydrPump3Leakage</t>
  </si>
  <si>
    <t>SafetySysNac1 comm error</t>
  </si>
  <si>
    <t>SafetySysNac1 ChksumError_____</t>
  </si>
  <si>
    <t>SafetySysNac2 comm error</t>
  </si>
  <si>
    <t>SafetySysNac2 ChksumError_____</t>
  </si>
  <si>
    <t>SubSyncResonance</t>
  </si>
  <si>
    <t>PFB A azim state _, count ___</t>
  </si>
  <si>
    <t>PFB B azim state _, count ___</t>
  </si>
  <si>
    <t>PFB C azim state _, count ___</t>
  </si>
  <si>
    <t>Prop valves unavailable A</t>
  </si>
  <si>
    <t>Prop valves unavailable B</t>
  </si>
  <si>
    <t>Prop valves unavailable C</t>
  </si>
  <si>
    <t>Prop Valve Status Error A1</t>
  </si>
  <si>
    <t>Prop Valve Status Error A2</t>
  </si>
  <si>
    <t>Prop Valve Status Error B1</t>
  </si>
  <si>
    <t>Prop Valve Status Error B2</t>
  </si>
  <si>
    <t>Prop Valve Status Error C1</t>
  </si>
  <si>
    <t>Prop Valve Status Error C2</t>
  </si>
  <si>
    <t>PValve A1 Act:_.___Ref:_.___</t>
  </si>
  <si>
    <t>PValve A2 Act:_.___Ref:_.___</t>
  </si>
  <si>
    <t>PValve B1 Act:_.___Ref:_.___</t>
  </si>
  <si>
    <t>PValve B2 Act:_.___Ref:_.___</t>
  </si>
  <si>
    <t>PValve C1 Act:_.___Ref:_.___</t>
  </si>
  <si>
    <t>PValve C2 Act:_.___Ref:_.___</t>
  </si>
  <si>
    <t>High OVRT VoltageLimitDetected</t>
  </si>
  <si>
    <t>WarnRiseDetected</t>
  </si>
  <si>
    <t>ConvLSIPos InsulationLevel2Err</t>
  </si>
  <si>
    <t>ConvLSINeg InsulationLevel2Err</t>
  </si>
  <si>
    <t>RotorAzimuthAngle Invalid</t>
  </si>
  <si>
    <t>BLCalibAbortNoSensorBSignal</t>
  </si>
  <si>
    <t>BLCalibAbortNoSensorCSignal</t>
  </si>
  <si>
    <t>BLCalibCompletedWithFailure</t>
  </si>
  <si>
    <t>DCOnTimeOut</t>
  </si>
  <si>
    <t>Towr cool ducted fan CB opened</t>
  </si>
  <si>
    <t>Tower cooling ducted fan error</t>
  </si>
  <si>
    <t>Tower cool M1 fan neg. FB err.</t>
  </si>
  <si>
    <t>Tower cool M1 fan pos. FB err.</t>
  </si>
  <si>
    <t>Tower cool M2 fan neg. FB err.</t>
  </si>
  <si>
    <t>Tower cool M2 fan pos. FB err.</t>
  </si>
  <si>
    <t>Tower cool M3 fan neg. FB err.</t>
  </si>
  <si>
    <t>Tower cool M3 fan pos. FB err.</t>
  </si>
  <si>
    <t>Tower cool M4 fan neg. FB err.</t>
  </si>
  <si>
    <t>Tower cool M4 fan pos. FB err.</t>
  </si>
  <si>
    <t>TowerCool DuctedFan neg FB err</t>
  </si>
  <si>
    <t>TowerCool DuctedFan pos FB err</t>
  </si>
  <si>
    <t>BLS Frozen IO Signal</t>
  </si>
  <si>
    <t>BLS IO Signal Out of Range</t>
  </si>
  <si>
    <t>BLS High IO Signal Fluctuation</t>
  </si>
  <si>
    <t>BLS Axial Force Deviation</t>
  </si>
  <si>
    <t>BLS All Sensors Not Calibrated</t>
  </si>
  <si>
    <t>BLS BladeA Edge Not Calibrated</t>
  </si>
  <si>
    <t>BLS BladeA Flap Not Calibrated</t>
  </si>
  <si>
    <t>BLS BladeB Edge Not Calibrated</t>
  </si>
  <si>
    <t>BLS BladeB Flap Not Calibrated</t>
  </si>
  <si>
    <t>BLS BladeC Edge Not Calibrated</t>
  </si>
  <si>
    <t>BLS BladeC Flap Not Calibrated</t>
  </si>
  <si>
    <t>BLS Azimuth Error</t>
  </si>
  <si>
    <t>BladeRingPosAOffset:___mm</t>
  </si>
  <si>
    <t>BladeRingPosBOffset:___mm</t>
  </si>
  <si>
    <t>BladeRingPosCOffset:___mm</t>
  </si>
  <si>
    <t>PitchRingAngleAOffset:__._°</t>
  </si>
  <si>
    <t>PitchRingAngleBOffset:__._°</t>
  </si>
  <si>
    <t>PitchRingAngleCOffset:__._°</t>
  </si>
  <si>
    <t>BladeRingPosAPreset:___mm</t>
  </si>
  <si>
    <t>BladeRingPosBPreset:___mm</t>
  </si>
  <si>
    <t>BladeRingPosCPreset:___mm</t>
  </si>
  <si>
    <t>HVCB tripped by SCADA</t>
  </si>
  <si>
    <t>SaftySystem Nacelle Comm Err.</t>
  </si>
  <si>
    <t>SaftySystem Hub Comm Err.</t>
  </si>
  <si>
    <t>Derate&lt;MinStatSpd: ____rpm, _</t>
  </si>
  <si>
    <t>TurnerGearEngaged:Pos1:_Pos2:_</t>
  </si>
  <si>
    <t>TurnerGearPosSensorMismatch</t>
  </si>
  <si>
    <t>NacWaterCoolPump1Failing:__bar</t>
  </si>
  <si>
    <t>NacWaterCoolPump2Failing:__bar</t>
  </si>
  <si>
    <t>Pitch A Pist:__._°,Ring:__._°</t>
  </si>
  <si>
    <t>Pitch B Pist:__._°,Ring:__._°</t>
  </si>
  <si>
    <t>Pitch C Pist:__._°,Ring:__._°</t>
  </si>
  <si>
    <t>SafetSysBladeEncCalibActiveEC_</t>
  </si>
  <si>
    <t>Yaw lubr bear pump1 completed</t>
  </si>
  <si>
    <t>Yaw lubr bear pump2 completed</t>
  </si>
  <si>
    <t>Yaw lubr ring pump1 completed</t>
  </si>
  <si>
    <t>Yaw lubr ring pump2 completed</t>
  </si>
  <si>
    <t>StarDeltaTimeout,__m/s____rpm</t>
  </si>
  <si>
    <t>BladeA Heaters are Over Heated</t>
  </si>
  <si>
    <t>BladeB Heaters are Over Heated</t>
  </si>
  <si>
    <t>BladeC Heaters are Over Heated</t>
  </si>
  <si>
    <t>Yaw SignalError. _____,_____</t>
  </si>
  <si>
    <t>Gen SignalError. _____,_____</t>
  </si>
  <si>
    <t>Gear SignalError. _____,_____</t>
  </si>
  <si>
    <t>Conv SignalError. _____,_____</t>
  </si>
  <si>
    <t>Hydr SignalError. _____,_____</t>
  </si>
  <si>
    <t>WatrCoolingSigErr._____,_____</t>
  </si>
  <si>
    <t>NacelleSignalError._____,_____</t>
  </si>
  <si>
    <t>Wind SignalError. _____,_____</t>
  </si>
  <si>
    <t>Trafo SignalError. _____,_____</t>
  </si>
  <si>
    <t>SafetySignalError. _____,_____</t>
  </si>
  <si>
    <t>ArcLightDetSigErr._____,_____</t>
  </si>
  <si>
    <t>GenRPM SigError._____,_____</t>
  </si>
  <si>
    <t>GenSlipRingSigError_____,_____</t>
  </si>
  <si>
    <t>MainShaftSigError._____,_____</t>
  </si>
  <si>
    <t>HydrPressSigError._____,_____</t>
  </si>
  <si>
    <t>Yaw Lubr SigError._____,_____</t>
  </si>
  <si>
    <t>RotorTachSpdSigErr._____,_____</t>
  </si>
  <si>
    <t>ShockSensorSigErr._____,_____</t>
  </si>
  <si>
    <t>ProdCtrlPwrSigErr._____,_____</t>
  </si>
  <si>
    <t>Helihoist active</t>
  </si>
  <si>
    <t>Helihoist mode inactive</t>
  </si>
  <si>
    <t>Helihoist mode prepare</t>
  </si>
  <si>
    <t>Helihoist mode active</t>
  </si>
  <si>
    <t>User defined alarm 2__</t>
  </si>
  <si>
    <t>User defined alarm 1__</t>
  </si>
  <si>
    <t>CPR Node ____ disconnected</t>
  </si>
  <si>
    <t>HighRotSpd FreezeInact Valves</t>
  </si>
  <si>
    <t>UserDefined IO invalid conf __</t>
  </si>
  <si>
    <t>Yaw speed high __.__ °/sec</t>
  </si>
  <si>
    <t>Yaw speed too high</t>
  </si>
  <si>
    <t>NoCcommunicationToVID Alarm</t>
  </si>
  <si>
    <t>NoCcommunicationToVID Warning</t>
  </si>
  <si>
    <t>AliveSignal Alarm Error</t>
  </si>
  <si>
    <t>AliveSignal Warning Error</t>
  </si>
  <si>
    <t>EvaluationSignal Alarm Error</t>
  </si>
  <si>
    <t>EvaluationSignal Warning Error</t>
  </si>
  <si>
    <t>WrongCommissioningInVID Alarm</t>
  </si>
  <si>
    <t>WrongCommissioningInVIDWarning</t>
  </si>
  <si>
    <t>Calibration Warning</t>
  </si>
  <si>
    <t>IceDetectedInBladeAutoAckAlarm</t>
  </si>
  <si>
    <t>IceDetectedInBlade Warning</t>
  </si>
  <si>
    <t>IceDetectedByVID</t>
  </si>
  <si>
    <t>IceDetectedBySCADA</t>
  </si>
  <si>
    <t>PitchCommonAccuPressLow</t>
  </si>
  <si>
    <t>EMFAccuPressLow: Blade _</t>
  </si>
  <si>
    <t>Yaw movement while stopped</t>
  </si>
  <si>
    <t>Gen. magnet temp high___°C</t>
  </si>
  <si>
    <t>MPC max number of lost samples</t>
  </si>
  <si>
    <t>Yaw position sensor not moving</t>
  </si>
  <si>
    <t>Yaw direction wrong</t>
  </si>
  <si>
    <t>Cable twist signal error</t>
  </si>
  <si>
    <t>LSI_LOW_TEMP_IGBTX:Mod__,___°C</t>
  </si>
  <si>
    <t>LSI_LOW_TEMP_IGBTY:Mod__,___°C</t>
  </si>
  <si>
    <t>MSI_LOW_TEMP_IGBTX:Mod__,___°C</t>
  </si>
  <si>
    <t>MSI_LOW_TEMP_IGBTY:Mod__,___°C</t>
  </si>
  <si>
    <t>GenSpd:__._RPM, Ref:____._ RPM</t>
  </si>
  <si>
    <t>GenLubrRetValve Error</t>
  </si>
  <si>
    <t>GeneratorLubrCompleted</t>
  </si>
  <si>
    <t>GridFilterCap thermo sw open</t>
  </si>
  <si>
    <t>GridDrossel thermo sw open</t>
  </si>
  <si>
    <t>Blade loads calibration failed</t>
  </si>
  <si>
    <t>BladeLoadsCalib attempt failed</t>
  </si>
  <si>
    <t>ReplacePowerSurgeProtectorWarn</t>
  </si>
  <si>
    <t>IceDetected</t>
  </si>
  <si>
    <t>PowerDerateTimeExceeded</t>
  </si>
  <si>
    <t>SpeedDerateTimeExceeded</t>
  </si>
  <si>
    <t>BladeLoads auto calib. failed</t>
  </si>
  <si>
    <t>BladeLoadSensorFaultDetected</t>
  </si>
  <si>
    <t>BladeLoadFaultDetected</t>
  </si>
  <si>
    <t>BladeLoadSystemNotCalibrated</t>
  </si>
  <si>
    <t>BladeLoadCalibrationExpired</t>
  </si>
  <si>
    <t>BladeLoadSensorSaturaDetected</t>
  </si>
  <si>
    <t>BladeLoadFrozenSensorDetected</t>
  </si>
  <si>
    <t>BladeLoadHighSensFluctuaDetect</t>
  </si>
  <si>
    <t>BladeALoadSensorNotCalibrated</t>
  </si>
  <si>
    <t>BladeBLoadSensorNotCalibrated</t>
  </si>
  <si>
    <t>BladeCLoadSensorNotCalibrated</t>
  </si>
  <si>
    <t>BladeLoadSensorCalibraExpired</t>
  </si>
  <si>
    <t>BladeLoadHardwareChangeDetect</t>
  </si>
  <si>
    <t>BladeLoadEstimatorDeviatDetect</t>
  </si>
  <si>
    <t>BladeLoadCalibratStateChange</t>
  </si>
  <si>
    <t>BladeLoadCalibrationFailReason</t>
  </si>
  <si>
    <t>BladeLoadCalibratManuallyReset</t>
  </si>
  <si>
    <t>BladeLoadCalibratManuallySet</t>
  </si>
  <si>
    <t>SideSideTwrDampTwrAccSenErr</t>
  </si>
  <si>
    <t>Aviation Equipment UPS Error</t>
  </si>
  <si>
    <t>SAR Light Feedback Error</t>
  </si>
  <si>
    <t>NacelleInletHatch open error</t>
  </si>
  <si>
    <t>NacelleInletHatch close error</t>
  </si>
  <si>
    <t>NacelleOutletHatch open error</t>
  </si>
  <si>
    <t>NacelleOutletHatch close error</t>
  </si>
  <si>
    <t>Nacelle fan error</t>
  </si>
  <si>
    <t>SideSideTwrDampRotPosSenErr</t>
  </si>
  <si>
    <t>Tower Conv 24V DC error</t>
  </si>
  <si>
    <t>Tower Conv 24V AC error</t>
  </si>
  <si>
    <t>Nacelle Conv 24V DC error</t>
  </si>
  <si>
    <t>Nacelle Conv 24V AC error</t>
  </si>
  <si>
    <t>External Noise Mode: __</t>
  </si>
  <si>
    <t>Noise Mode Not Supported: __</t>
  </si>
  <si>
    <t>External Noise Comm Status : _</t>
  </si>
  <si>
    <t>NacSafeSysHydrPressReq I/P Err</t>
  </si>
  <si>
    <t>Pwr backup battery string err</t>
  </si>
  <si>
    <t>Pwr backup battery bank err</t>
  </si>
  <si>
    <t>TowAcc Whirl Frq P _.__ N _.__</t>
  </si>
  <si>
    <t>Commanded pause slow</t>
  </si>
  <si>
    <t>Commanded pause fast</t>
  </si>
  <si>
    <t>Commanded stop slow</t>
  </si>
  <si>
    <t>Commanded stop fast</t>
  </si>
  <si>
    <t>Commanded emc alarm</t>
  </si>
  <si>
    <t>SideSideTowerDampingTestStart</t>
  </si>
  <si>
    <t>SideSideTowerDampingTestStop</t>
  </si>
  <si>
    <t>PowerBackupChargerStartError</t>
  </si>
  <si>
    <t>PowerBackupChargerStopError</t>
  </si>
  <si>
    <t>SafetySysTowerChksumErr_____</t>
  </si>
  <si>
    <t>SafetySysTowerChksumError_____</t>
  </si>
  <si>
    <t>Rotor Left Locked</t>
  </si>
  <si>
    <t>SaftySystem Tower Comm Err.</t>
  </si>
  <si>
    <t>BladeLoadCalibrationDataSaved</t>
  </si>
  <si>
    <t>Azimuth Reset Miss: Rev __</t>
  </si>
  <si>
    <t>SSTD TestState:__ TestSeq:__</t>
  </si>
  <si>
    <t>Transformer fan error</t>
  </si>
  <si>
    <t>TransfHatchActuator1OpenErr</t>
  </si>
  <si>
    <t>TransfHatchActuator1CloseErr</t>
  </si>
  <si>
    <t>BladeLoadHighTxCurrent</t>
  </si>
  <si>
    <t>BladeLoadHighTxCurrentDetected</t>
  </si>
  <si>
    <t>ConvGenWaterCoolingPumpState</t>
  </si>
  <si>
    <t>ConvGenWaterCoolingHeaterState</t>
  </si>
  <si>
    <t>WaterLevelTooLowAlarm Error</t>
  </si>
  <si>
    <t>PumpCBOpened Warning Error</t>
  </si>
  <si>
    <t>HeaterCBOpened Warning Error</t>
  </si>
  <si>
    <t>SSTDpitchDisabledOnLowPress</t>
  </si>
  <si>
    <t>VCS Fan Reset</t>
  </si>
  <si>
    <t>BladeLoadDeviationDetected</t>
  </si>
  <si>
    <t>ConvChargeTrafo_Temp_switch</t>
  </si>
  <si>
    <t>ConvChargeSupervTimeout</t>
  </si>
  <si>
    <t>ConvConnectMMSupervTimeout</t>
  </si>
  <si>
    <t>ConvConnectSupervTimeout</t>
  </si>
  <si>
    <t>ConvCoolWaterHighTemp: ____°C</t>
  </si>
  <si>
    <t>ConvChargetrafoHiTemp: ____°C</t>
  </si>
  <si>
    <t>HiTempChokeWind:Mod__; ____°C</t>
  </si>
  <si>
    <t>LSCCircuitBreakHiTemp: ____°C</t>
  </si>
  <si>
    <t>LSCControlCabAirHiTemp: ____°C</t>
  </si>
  <si>
    <t>LSCControlCabAirLoTemp: ____°C</t>
  </si>
  <si>
    <t>LSC_DVDTFilt_TempSwitch:Mod__</t>
  </si>
  <si>
    <t>LSC_Choke_TempSwitch:Mod__</t>
  </si>
  <si>
    <t>MSC_DVDTFilt_TempSwitch:Mod__</t>
  </si>
  <si>
    <t>MSC_Chopper_TempSwitch:Mod__</t>
  </si>
  <si>
    <t>ConvDisconnectSupervTimeout</t>
  </si>
  <si>
    <t>DisableLSCCTRL__s,LSCState_</t>
  </si>
  <si>
    <t>EnableLSCCTRL__s,LSCState_</t>
  </si>
  <si>
    <t>ConvPrechargeSupervTimeout</t>
  </si>
  <si>
    <t>ConvPreconnectSupervTimeout</t>
  </si>
  <si>
    <t>ConvRundownStopSupervTimeout</t>
  </si>
  <si>
    <t>ConvRundownSupervTimeout</t>
  </si>
  <si>
    <t>SyncGridFilt__s,ScanLSCState_</t>
  </si>
  <si>
    <t>DCLinkPrechargeErr___v,__s</t>
  </si>
  <si>
    <t>PrechargeVoltTimeout___v,__s</t>
  </si>
  <si>
    <t>Ext_SumCurrentILSC,Mod__</t>
  </si>
  <si>
    <t>Ext_SumCurrentIMSC,Mod__</t>
  </si>
  <si>
    <t>HiTempPrevCharge,Trafo___°C</t>
  </si>
  <si>
    <t>LowCurrGridFiltCheck:Mod__L_</t>
  </si>
  <si>
    <t>LSCHarmFilterHiTemp:___°C</t>
  </si>
  <si>
    <t>LSCWTGAmbientHiTemp:___°C</t>
  </si>
  <si>
    <t>MSCChopResHiTemp:___°C</t>
  </si>
  <si>
    <t>LSCChopIGBTHiTemp:Mod_,__°C</t>
  </si>
  <si>
    <t>LSCIGBTGradHiTemp:Mod_,__°C</t>
  </si>
  <si>
    <t>LSCIGBTHiTemp:Mod_,___°C</t>
  </si>
  <si>
    <t>LSCIGBTLowTemp:Mod_,___°C</t>
  </si>
  <si>
    <t>LSCStackAirHiTemp:Mod_,___°C</t>
  </si>
  <si>
    <t>LSCTempSensorFail:id__,Mod_</t>
  </si>
  <si>
    <t>LSC_ChopIGBT_HWError:Mod_</t>
  </si>
  <si>
    <t>LSC_IGBT_HWError:Mod_</t>
  </si>
  <si>
    <t>MSCChopIGBTHiTemp:Mod_,__°C</t>
  </si>
  <si>
    <t>MSCIGBTGradHiTemp:Mod_,__°C</t>
  </si>
  <si>
    <t>MSCIGBTHiTemp:Mod_,___°C</t>
  </si>
  <si>
    <t>MSCIGBTLowTemp:Mod_,___°C</t>
  </si>
  <si>
    <t>MSCStackAirHiTemp:Mod_,___°C</t>
  </si>
  <si>
    <t>MSCTempSensorFail:id__,Mod_</t>
  </si>
  <si>
    <t>MSC_ChopIGBT_HWError:Mod_</t>
  </si>
  <si>
    <t>MSC_IGBT_HWError:Mod_</t>
  </si>
  <si>
    <t>GearHydrWaterCoolingPumpState</t>
  </si>
  <si>
    <t>GenBearingTempSensorsFailed</t>
  </si>
  <si>
    <t>BladeLoadsCalibrAttemptFinish</t>
  </si>
  <si>
    <t>BladeLoadsCalibrAttemptStart</t>
  </si>
  <si>
    <t>GearOilHeaterCBOpened</t>
  </si>
  <si>
    <t>RI/GI Cheksum error once</t>
  </si>
  <si>
    <t>RI/GI Cheksum error persistent</t>
  </si>
  <si>
    <t>RI/GI Frozen communication</t>
  </si>
  <si>
    <t>NacelleFan1 Pos Fb Err</t>
  </si>
  <si>
    <t>NacelleFan1 Neg Fb Err</t>
  </si>
  <si>
    <t>NacelleFan2 Pos Fb Err</t>
  </si>
  <si>
    <t>NacelleFan2 Neg Fb Err</t>
  </si>
  <si>
    <t>NacelleFan1 Thermo Err</t>
  </si>
  <si>
    <t>NacelleFan2 Thermo Err</t>
  </si>
  <si>
    <t>HydrHighPressPmp1CB open err</t>
  </si>
  <si>
    <t>HydrHighPressPmp2CB open err</t>
  </si>
  <si>
    <t>Invalid Tower Sticker Checksum</t>
  </si>
  <si>
    <t>Wind Direction Change Detected</t>
  </si>
  <si>
    <t>Low Press A TYC Off, ___._ bar</t>
  </si>
  <si>
    <t>Low Press B TYC Off, ___._ bar</t>
  </si>
  <si>
    <t>Low Press C TYC Off, ___._ bar</t>
  </si>
  <si>
    <t>PitchDevAtStop __._deg __._deg</t>
  </si>
  <si>
    <t>HubSafetyOptiStopConfig.Err __</t>
  </si>
  <si>
    <t>Ext.ConverterRundownActive</t>
  </si>
  <si>
    <t>Rotor positioning released</t>
  </si>
  <si>
    <t>AutoDeicingMaxCountReached</t>
  </si>
  <si>
    <t>Fire Suppress prepare active</t>
  </si>
  <si>
    <t>Fire Suppress agent ignore</t>
  </si>
  <si>
    <t>Fire suppress agent release</t>
  </si>
  <si>
    <t>Fire cylinder1 gas level low</t>
  </si>
  <si>
    <t>Fire cylinder2 gas level low</t>
  </si>
  <si>
    <t>Fire cylinder3 gas level low</t>
  </si>
  <si>
    <t>Fire cylinder4 gas level low</t>
  </si>
  <si>
    <t>Fire cylinder5 gas level low</t>
  </si>
  <si>
    <t>Fire suppression cylinder1 err</t>
  </si>
  <si>
    <t>Fire suppression cylinder2 err</t>
  </si>
  <si>
    <t>Fire suppression cylinder3 err</t>
  </si>
  <si>
    <t>Fire suppression cylinder4 err</t>
  </si>
  <si>
    <t>Fire suppression cylinder5 err</t>
  </si>
  <si>
    <t>Fire suppression C1 discharged</t>
  </si>
  <si>
    <t>Fire suppression C2 discharged</t>
  </si>
  <si>
    <t>Fire suppression C3 discharged</t>
  </si>
  <si>
    <t>Fire suppression C4 discharged</t>
  </si>
  <si>
    <t>Fire suppression C5 discharged</t>
  </si>
  <si>
    <t>Auto Yaw Disabled</t>
  </si>
  <si>
    <t>Chopper capacity error</t>
  </si>
  <si>
    <t>Nacelle Temperature___°C</t>
  </si>
  <si>
    <t>VID calibrating</t>
  </si>
  <si>
    <t>Ice detected</t>
  </si>
  <si>
    <t>Ice detector system error</t>
  </si>
  <si>
    <t>Ice detector sensor error</t>
  </si>
  <si>
    <t>VID MkVersion Mismatch</t>
  </si>
  <si>
    <t>VID MaxPower Mismatch</t>
  </si>
  <si>
    <t>VID TurbineType Mismatch</t>
  </si>
  <si>
    <t>Blade loads rotor speed low</t>
  </si>
  <si>
    <t>Yaw Cont Feedback Error</t>
  </si>
  <si>
    <t>Other Cont Feedback Error</t>
  </si>
  <si>
    <t>Hydr Cont Feedback Error</t>
  </si>
  <si>
    <t>Conv Gen WCool Cont Fb Err</t>
  </si>
  <si>
    <t>Yaw Main Switch Opened</t>
  </si>
  <si>
    <t>Yaw Cabinet CB Opened</t>
  </si>
  <si>
    <t>Tower Cabinet CB Opened</t>
  </si>
  <si>
    <t>Other CB Opened</t>
  </si>
  <si>
    <t>Nacelle Cabinet Main CB Opened</t>
  </si>
  <si>
    <t>Hydr CB Opened</t>
  </si>
  <si>
    <t>DeIcing Main Supply CB Opened</t>
  </si>
  <si>
    <t>Conv Gen WCool CB Opened</t>
  </si>
  <si>
    <t>Nacelle 24V Error</t>
  </si>
  <si>
    <t>Aux Trafo Main CB Closed</t>
  </si>
  <si>
    <t>BLS Calibration Status</t>
  </si>
  <si>
    <t>Edge Vib. Detected In Service</t>
  </si>
  <si>
    <t>Edge Vibrations In Service</t>
  </si>
  <si>
    <t>NacelleRearHatch open error</t>
  </si>
  <si>
    <t>NacelleRearHatch close error</t>
  </si>
  <si>
    <t>NacelleRearFanOverloaded error</t>
  </si>
  <si>
    <t>Tower Sticker Data Updated</t>
  </si>
  <si>
    <t>ConverterPanelExternalFanError</t>
  </si>
  <si>
    <t>ConverterAirFilterCLogged</t>
  </si>
  <si>
    <t>High env. temp NRMS enabled</t>
  </si>
  <si>
    <t>Low env. temp. NRMS disabled</t>
  </si>
  <si>
    <t>ExtrHigh Generator Brk Current</t>
  </si>
  <si>
    <t>High Generator Breaker Current</t>
  </si>
  <si>
    <t>Pitch Sys Disabled Man In Turb</t>
  </si>
  <si>
    <t>Trafo Temp Sensor Fault</t>
  </si>
  <si>
    <t>Generator SlipRing Suction Fan</t>
  </si>
  <si>
    <t>Generator SlipRing Heater</t>
  </si>
  <si>
    <t>Generator SlipRing Fan</t>
  </si>
  <si>
    <t>Gen SlipR Conditioning State</t>
  </si>
  <si>
    <t>Gen SlipR CondensationTime</t>
  </si>
  <si>
    <t>Gen SlipRingPreheatTime</t>
  </si>
  <si>
    <t>GenSlipR SuctionFanFB pos err</t>
  </si>
  <si>
    <t>GenSlipR SuctionFanFB neg err</t>
  </si>
  <si>
    <t>GenSlipR SuctionFanOverloaded</t>
  </si>
  <si>
    <t>GenSlipR Fan Overloaded</t>
  </si>
  <si>
    <t>HydrSysPressUnex:____bar____°C</t>
  </si>
  <si>
    <t>Nacelle heater</t>
  </si>
  <si>
    <t>Nacelle fan 1</t>
  </si>
  <si>
    <t>Nacelle fan 2</t>
  </si>
  <si>
    <t>Nacelle hatch right side</t>
  </si>
  <si>
    <t>Nacelle hatch left side</t>
  </si>
  <si>
    <t>Nac inlet hatch right open err</t>
  </si>
  <si>
    <t>Nac inlet hatch right clos err</t>
  </si>
  <si>
    <t>Nac inlet hatch left open err</t>
  </si>
  <si>
    <t>Nac inlet hatch left clos err</t>
  </si>
  <si>
    <t>Nac HeatRightSpeed PosFB Err</t>
  </si>
  <si>
    <t>Nac HeatRightSpeed NegFB Err</t>
  </si>
  <si>
    <t>Nac HeatingLeftSpeed PosFB Err</t>
  </si>
  <si>
    <t>Nac HeatingLeftSpeed NegFB Err</t>
  </si>
  <si>
    <t>Nac Fan2LowSpeed PosFB Err</t>
  </si>
  <si>
    <t>Nac. Fan2LowSpeed Overloaded</t>
  </si>
  <si>
    <t>Nac Fan2LowSpeed NegFB Err</t>
  </si>
  <si>
    <t>Nac Fan2HighSpeed PosFB Err</t>
  </si>
  <si>
    <t>Nac. Fan2HighSpeed Overloaded</t>
  </si>
  <si>
    <t>Nac Fan2HighSpeed NegFB Err</t>
  </si>
  <si>
    <t>Nac Fan1LowSpeed PosFB Err</t>
  </si>
  <si>
    <t>Nac. Fan1LowSpeed Overloaded</t>
  </si>
  <si>
    <t>Nac Fan1LowSpeed NegFB Err</t>
  </si>
  <si>
    <t>Nac Fan1HighSpeed PosFB Err</t>
  </si>
  <si>
    <t>Nac. Fan1HighSpeed Overloaded</t>
  </si>
  <si>
    <t>Nac Fan1HighSpeed NegFB Err</t>
  </si>
  <si>
    <t>TrafoFan HighSpeed PosFB Error</t>
  </si>
  <si>
    <t>Trafo Fan LowSpeed PosFB Error</t>
  </si>
  <si>
    <t>TrafoFan HighSpeed NegFB Error</t>
  </si>
  <si>
    <t>Trafo Fan LowSpeed NegFB Error</t>
  </si>
  <si>
    <t>TrafoFan HighSpeed ThermoFault</t>
  </si>
  <si>
    <t>TrafoFan LowSpeed ThermoFault</t>
  </si>
  <si>
    <t>Transformer Fan</t>
  </si>
  <si>
    <t>SSR detect Freq:___Hz,Ind:___</t>
  </si>
  <si>
    <t>TooFrequentAccuRechargLevel1</t>
  </si>
  <si>
    <t>TooFrequentAccuRechargLevel2</t>
  </si>
  <si>
    <t>Grid volt harmonics exceeded</t>
  </si>
  <si>
    <t>BladeA heating, fuse blown</t>
  </si>
  <si>
    <t>BladeB heating, fuse blown</t>
  </si>
  <si>
    <t>BladeC heating, fuse blown</t>
  </si>
  <si>
    <t>BladeAHeatingLWE1E2FuseBlown</t>
  </si>
  <si>
    <t>BladeAHeatingLWE3E4FuseBlown</t>
  </si>
  <si>
    <t>BladeAHeatingLWE5E6FuseBlown</t>
  </si>
  <si>
    <t>BladeAHeatingLWE7E8FuseBlown</t>
  </si>
  <si>
    <t>BladeAHeatingLWE9E10FuseBlown</t>
  </si>
  <si>
    <t>BladeAHeatingLWE11E12FuseBlown</t>
  </si>
  <si>
    <t>BladeBHeatingLWE1E2FuseBlown</t>
  </si>
  <si>
    <t>BladeBHeatingLWE3E4FuseBlown</t>
  </si>
  <si>
    <t>BladeBHeatingLWE5E6FuseBlown</t>
  </si>
  <si>
    <t>BladeBHeatingLWE7E8FuseBlown</t>
  </si>
  <si>
    <t>BladeBHeatingLWE9E10FuseBlown</t>
  </si>
  <si>
    <t>BladeBHeatingLWE11E12FuseBlown</t>
  </si>
  <si>
    <t>BladeCHeatingLWE1E2FuseBlown</t>
  </si>
  <si>
    <t>BladeCHeatingLWE3E4FuseBlown</t>
  </si>
  <si>
    <t>BladeCHeatingLWE5E6FuseBlown</t>
  </si>
  <si>
    <t>BladeCHeatingLWE7E8FuseBlown</t>
  </si>
  <si>
    <t>BladeCHeatingLWE9E10FuseBlown</t>
  </si>
  <si>
    <t>BladeCHeatingLWE11E12FuseBlown</t>
  </si>
  <si>
    <t>BladeAHeatingWWE1E2FuseBlown</t>
  </si>
  <si>
    <t>BladeAHeatingWWE3E4FuseBlown</t>
  </si>
  <si>
    <t>BladeAHeatingWWE5E6FuseBlown</t>
  </si>
  <si>
    <t>BladeAHeatingWWE7E8FuseBlown</t>
  </si>
  <si>
    <t>BladeAHeatingWWE9E10FuseBlown</t>
  </si>
  <si>
    <t>BladeAHeatingWWE11E12FuseBlown</t>
  </si>
  <si>
    <t>BladeBHeatingWWE1E2FuseBlown</t>
  </si>
  <si>
    <t>BladeBHeatingWWE3E4FuseBlown</t>
  </si>
  <si>
    <t>BladeBHeatingWWE5E6FuseBlown</t>
  </si>
  <si>
    <t>BladeBHeatingWWE7E8FuseBlown</t>
  </si>
  <si>
    <t>BladeBHeatingWWE9E10FuseBlown</t>
  </si>
  <si>
    <t>BladeBHeatingWWE11E12FuseBlown</t>
  </si>
  <si>
    <t>BladeCHeatingWWE1E2FuseBlown</t>
  </si>
  <si>
    <t>BladeCHeatingWWE3E4FuseBlown</t>
  </si>
  <si>
    <t>BladeCHeatingWWE5E6FuseBlown</t>
  </si>
  <si>
    <t>BladeCHeatingWWE7E8FuseBlown</t>
  </si>
  <si>
    <t>BladeCHeatingWWE9E10FuseBlown</t>
  </si>
  <si>
    <t>BladeCHeatingWWE11E12FuseBlown</t>
  </si>
  <si>
    <t>BladeA heating current error</t>
  </si>
  <si>
    <t>BladeB heating current error</t>
  </si>
  <si>
    <t>BladeC heating current error</t>
  </si>
  <si>
    <t>AntiIcing heating level</t>
  </si>
  <si>
    <t>DeIcing heating level</t>
  </si>
  <si>
    <t>DeIcingStarted - ByOwner</t>
  </si>
  <si>
    <t>DeIcingStarted - ByManufact</t>
  </si>
  <si>
    <t>DeIce finished-turbine idling</t>
  </si>
  <si>
    <t>Bld heat SCADA Comm timeout</t>
  </si>
  <si>
    <t>Blade heating info</t>
  </si>
  <si>
    <t>De-icing started</t>
  </si>
  <si>
    <t>De-icing stopped</t>
  </si>
  <si>
    <t>De-icing succeeded</t>
  </si>
  <si>
    <t>De-icing failed</t>
  </si>
  <si>
    <t>Anti-icing started</t>
  </si>
  <si>
    <t>Anti-icing stopped</t>
  </si>
  <si>
    <t>Anti-icing failed</t>
  </si>
  <si>
    <t>PitchAccTestSysAccLowPress</t>
  </si>
  <si>
    <t>LORC testbench shutdown</t>
  </si>
  <si>
    <t>Awaiting safety reset pressed</t>
  </si>
  <si>
    <t>HubSafty EmgStpNacPnl I/P Err.</t>
  </si>
  <si>
    <t>HubSafty HoldToRunErr.</t>
  </si>
  <si>
    <t>Safety AbnormalCableTwist Err</t>
  </si>
  <si>
    <t>Safety ExcessiveVibration Err</t>
  </si>
  <si>
    <t>Safety TripHVButtonNac Err</t>
  </si>
  <si>
    <t>Safety TripHVButtonTow Err</t>
  </si>
  <si>
    <t>GearODMSensorCommFault</t>
  </si>
  <si>
    <t>GearODMSensorBITFault</t>
  </si>
  <si>
    <t>ConverterNotReady ____°C ___%</t>
  </si>
  <si>
    <t>ModeSelTowerSignalMismatch</t>
  </si>
  <si>
    <t>ModeSelNacelleSignalMismatch</t>
  </si>
  <si>
    <t>ModeSelectorInStopMode</t>
  </si>
  <si>
    <t>ModeSelectorHWError</t>
  </si>
  <si>
    <t>ModeSel - PointOfOpr changed</t>
  </si>
  <si>
    <t>Brake hydraulic leakage</t>
  </si>
  <si>
    <t>Brake hydraulic leakage high</t>
  </si>
  <si>
    <t>ArcLightDetected 2</t>
  </si>
  <si>
    <t>ArcLightDetectorError</t>
  </si>
  <si>
    <t>ArcDetectorTestStart</t>
  </si>
  <si>
    <t>ArcDetectorTestStop</t>
  </si>
  <si>
    <t>ArcLightDetector2Error</t>
  </si>
  <si>
    <t>McpGracePeriod</t>
  </si>
  <si>
    <t>BrakeApplied</t>
  </si>
  <si>
    <t>BrakeReleased</t>
  </si>
  <si>
    <t>BrakeHydrPump</t>
  </si>
  <si>
    <t>BrakeDrainValve</t>
  </si>
  <si>
    <t>LowBrakeHydraulicPressure</t>
  </si>
  <si>
    <t>Brake worn</t>
  </si>
  <si>
    <t>BrakeHydraulicPressLeak</t>
  </si>
  <si>
    <t>BrakeNotApplied</t>
  </si>
  <si>
    <t>BrakeNotReleased</t>
  </si>
  <si>
    <t>BrakeHydrPumpPosFbErr</t>
  </si>
  <si>
    <t>BrakeHydrPumpNegFbErr</t>
  </si>
  <si>
    <t>BrakeHydrPumpThermoErr</t>
  </si>
  <si>
    <t>YawCam1StateErr:_ CTwist:___°</t>
  </si>
  <si>
    <t>YawCam2StateErr:_ CTwist:___°</t>
  </si>
  <si>
    <t>YawCam3StateErr:_ CTwist:___°</t>
  </si>
  <si>
    <t>YawCam1RequiresActivation</t>
  </si>
  <si>
    <t>YawCam2RequiresActivation</t>
  </si>
  <si>
    <t>YawCam3RequiresActivation</t>
  </si>
  <si>
    <t>YawCam1Act.State_.CTwist___°</t>
  </si>
  <si>
    <t>YawCam2Act.State_.CTwist___°</t>
  </si>
  <si>
    <t>YawCam3Act.State_.CTwist___°</t>
  </si>
  <si>
    <t>GearOilCold</t>
  </si>
  <si>
    <t>GearOilTooCold</t>
  </si>
  <si>
    <t>GearBearingsCold</t>
  </si>
  <si>
    <t>HSSBearRETempHigh ___°C</t>
  </si>
  <si>
    <t>HSSBearRETempTooHigh ___°C</t>
  </si>
  <si>
    <t>HSSBrNREInnerTempHigh ___°C</t>
  </si>
  <si>
    <t>HSSBrNREInnerTempTooHigh___°C</t>
  </si>
  <si>
    <t>HSBrNREOuterTempHigh ___°C</t>
  </si>
  <si>
    <t>HSBrNREOuterTempTooHigh ___°C</t>
  </si>
  <si>
    <t>LSSBearRETempHigh ___°C</t>
  </si>
  <si>
    <t>LSSBearRETempTooHigh ___°C</t>
  </si>
  <si>
    <t>LSBearNRETempHigh ___°C</t>
  </si>
  <si>
    <t>LSSBearNRETempTooHigh ___°C</t>
  </si>
  <si>
    <t>YawCW1StartSignalInvalid</t>
  </si>
  <si>
    <t>YawCW2StartSignalInvalid</t>
  </si>
  <si>
    <t>YawCW3StartSignalInvalid</t>
  </si>
  <si>
    <t>YawCCW1StartSignalInvalid</t>
  </si>
  <si>
    <t>YawCCW2StartSignalInvalid</t>
  </si>
  <si>
    <t>YawCCW3StartSignalInvalid</t>
  </si>
  <si>
    <t>SwitchgearActiveCoilTripTest</t>
  </si>
  <si>
    <t>SwitchgearUVoltageCoilTripTest</t>
  </si>
  <si>
    <t>Switchgear SC/OC/EF fault</t>
  </si>
  <si>
    <t>McpAlarm</t>
  </si>
  <si>
    <t>Q8 Close not possible</t>
  </si>
  <si>
    <t>Q7 breaker closed</t>
  </si>
  <si>
    <t>Q7 Tripped</t>
  </si>
  <si>
    <t>Over Voltage Fuse Open</t>
  </si>
  <si>
    <t>Other motors CB Opened</t>
  </si>
  <si>
    <t>Grid Breaker Q8 Reconnected</t>
  </si>
  <si>
    <t>Grid Breaker Q8 Reconnecting</t>
  </si>
  <si>
    <t>Trip Nacelle Common Contactor</t>
  </si>
  <si>
    <t>Frequency error 5: ___.__ Hz</t>
  </si>
  <si>
    <t>High temp. grid choke ___°C</t>
  </si>
  <si>
    <t>High temp. polygon trans ___°C</t>
  </si>
  <si>
    <t>HydrHPFilterPresDrpHigh____°C</t>
  </si>
  <si>
    <t>HydrHPFltrPresDrpTooHgh____°C</t>
  </si>
  <si>
    <t>HydrOilTempTooHigh___°C</t>
  </si>
  <si>
    <t>HydraulicOilUnderSludge</t>
  </si>
  <si>
    <t>HydrOffFltrPresDrpHigh____°C</t>
  </si>
  <si>
    <t>HydrHPPumpNegativeFeedbackErr</t>
  </si>
  <si>
    <t>HydrHPPumpPositiveFeedbackErr</t>
  </si>
  <si>
    <t>HydrHighPressPumpThermoError</t>
  </si>
  <si>
    <t>HydrOLPumpNegativeFeedbackErr</t>
  </si>
  <si>
    <t>HydrOLPumpPositiveFeedbackErr</t>
  </si>
  <si>
    <t>HydrOfflinePumpThermoError</t>
  </si>
  <si>
    <t>HydrHighPressPumpState</t>
  </si>
  <si>
    <t>HydrHeatingValveState</t>
  </si>
  <si>
    <t>HydrCoolingValveState</t>
  </si>
  <si>
    <t>HydrOfflinePumpState</t>
  </si>
  <si>
    <t>YawCableTwistDetMuteStart</t>
  </si>
  <si>
    <t>YawCableTwistDetMuteStop</t>
  </si>
  <si>
    <t>GeneratorBreakerOpenFail</t>
  </si>
  <si>
    <t>Power supply on grid</t>
  </si>
  <si>
    <t>Power supply off grid</t>
  </si>
  <si>
    <t>Converter requests a reboot</t>
  </si>
  <si>
    <t>Smoke Detector Sensor Info</t>
  </si>
  <si>
    <t>WindSensor WindDirRelDisagree</t>
  </si>
  <si>
    <t>ConvGen WCool liquid temp high</t>
  </si>
  <si>
    <t>ConvGen WCool liquid level low</t>
  </si>
  <si>
    <t>ConvGen WCool Pump NegFB</t>
  </si>
  <si>
    <t>ConvGen WCool pump Overloaded</t>
  </si>
  <si>
    <t>ConvGen WCool Pump PosFB</t>
  </si>
  <si>
    <t>ConvGen WCool Preheat NegFB</t>
  </si>
  <si>
    <t>ConvGen WCool preheat OLoaded</t>
  </si>
  <si>
    <t>ConvGen WCool Preheat PosFB</t>
  </si>
  <si>
    <t>ConvGen WCool Fan1Low NegFB</t>
  </si>
  <si>
    <t>ConvGen WCool Fan1Low OLoaded</t>
  </si>
  <si>
    <t>ConvGen WCool Fan1Low PosFB</t>
  </si>
  <si>
    <t>ConvGen WCool Fan1High NegFB</t>
  </si>
  <si>
    <t>ConvGen WCool Fan1High OLoaded</t>
  </si>
  <si>
    <t>ConvGen WCool Fan1High PosFB</t>
  </si>
  <si>
    <t>ConvGen WCool Fan2Low NegFB</t>
  </si>
  <si>
    <t>ConvGen WCool Fan2Low OLoaded</t>
  </si>
  <si>
    <t>ConvGen WCool Fan2Low PosFB</t>
  </si>
  <si>
    <t>ConvGen WCool Fan2High NegFB</t>
  </si>
  <si>
    <t>ConvGen WCool Fan2High OLoaded</t>
  </si>
  <si>
    <t>ConvGen WCool Fan2High PosFB</t>
  </si>
  <si>
    <t>ConvGen WCool State</t>
  </si>
  <si>
    <t>ConvGen WCool Fan1 State</t>
  </si>
  <si>
    <t>ConvGen WCool Fan2 State</t>
  </si>
  <si>
    <t>ConvGen WCool Pump State</t>
  </si>
  <si>
    <t>ConvGen WCool Preheater State</t>
  </si>
  <si>
    <t>UPS AC Grd Mismatch</t>
  </si>
  <si>
    <t>UPS AC Await disconn pwr</t>
  </si>
  <si>
    <t>LDO Validation Toggling Active</t>
  </si>
  <si>
    <t>ConvCheckHumidityAndTemp</t>
  </si>
  <si>
    <t>ConvCoolingWaterTooCold</t>
  </si>
  <si>
    <t>Conv Est. DryOut time:__.__</t>
  </si>
  <si>
    <t>ConvHeaterTurnOffFailed</t>
  </si>
  <si>
    <t>HighTempPreventCharging:___</t>
  </si>
  <si>
    <t>StartingConverterafterPreCond</t>
  </si>
  <si>
    <t>TimeWithoutPowerNotAcc : __</t>
  </si>
  <si>
    <t>ConvUnableToReachAcptCond : _</t>
  </si>
  <si>
    <t>GenHeater: _, temp:___°C</t>
  </si>
  <si>
    <t>UPS DC Error</t>
  </si>
  <si>
    <t>UPS DC Battery Error</t>
  </si>
  <si>
    <t>UPS DC battery level low</t>
  </si>
  <si>
    <t>UPS DC OnGrid signal mismatch</t>
  </si>
  <si>
    <t>ConvGen WCool Fan Error</t>
  </si>
  <si>
    <t>Safety, waiting for reset</t>
  </si>
  <si>
    <t>SftyNac, UnknownResetReason</t>
  </si>
  <si>
    <t>SftyHub, UnknownResetReason</t>
  </si>
  <si>
    <t>SftyTow, UnknownResetReason</t>
  </si>
  <si>
    <t>SftyNac, UnknownPendingReason</t>
  </si>
  <si>
    <t>SftyHub, UnknownPendingReason</t>
  </si>
  <si>
    <t>SftyTow, UnknownPendingReason</t>
  </si>
  <si>
    <t>EmergStopButtonActivated: __</t>
  </si>
  <si>
    <t>EStopButtonIOCabinet HwError</t>
  </si>
  <si>
    <t>EStopButtonHubCabinet HwError</t>
  </si>
  <si>
    <t>EStopBtnHighSpeedShaft HwError</t>
  </si>
  <si>
    <t>EStopBtnLowSpeedShaft HwError</t>
  </si>
  <si>
    <t>EStopBtnNacelleCabinet HwError</t>
  </si>
  <si>
    <t>EStopBtnTowerCabinet HwError</t>
  </si>
  <si>
    <t>EStopBtnTowerTop HwError</t>
  </si>
  <si>
    <t>EStopBtnYaw HwError</t>
  </si>
  <si>
    <t>EStopBtnConvCabinet HwError</t>
  </si>
  <si>
    <t>HubServiceSwitch HwError</t>
  </si>
  <si>
    <t>BallValveAOpen HwError</t>
  </si>
  <si>
    <t>BallValveAClosed HwError</t>
  </si>
  <si>
    <t>BallValveBOpen HwError</t>
  </si>
  <si>
    <t>BallValveBClosed HwError</t>
  </si>
  <si>
    <t>BallValveCOpen HwError</t>
  </si>
  <si>
    <t>BallValveCClosed HwError</t>
  </si>
  <si>
    <t>HoldToRun HwError</t>
  </si>
  <si>
    <t>ExcessiveVibration HwError</t>
  </si>
  <si>
    <t>AbnormalCableTwist HwError</t>
  </si>
  <si>
    <t>SafetyNac1 SwVers Error</t>
  </si>
  <si>
    <t>SafetyNac1 SwVers Temp Error</t>
  </si>
  <si>
    <t>SafetyNac2 SwVers Error</t>
  </si>
  <si>
    <t>SafetyNac2 SwVers Temp Error</t>
  </si>
  <si>
    <t>SafetyNac3 SwVers Error</t>
  </si>
  <si>
    <t>SafetyNac3 SwVers Temp Error</t>
  </si>
  <si>
    <t>SafetyHub1 SwVers Error</t>
  </si>
  <si>
    <t>SafetyHub1 SwVers Temp Error</t>
  </si>
  <si>
    <t>SafetyTow1 SwVers Error</t>
  </si>
  <si>
    <t>SafetyTow1 SwVers Temp Error</t>
  </si>
  <si>
    <t>SafetyNac1 Communication Error</t>
  </si>
  <si>
    <t>SafetyNac2 Communication Error</t>
  </si>
  <si>
    <t>SafetyNac3 Communication Error</t>
  </si>
  <si>
    <t>SafetyHub1 Communication Error</t>
  </si>
  <si>
    <t>SafetyTow1 Communication Error</t>
  </si>
  <si>
    <t>SafetySystemCriticalCommError</t>
  </si>
  <si>
    <t>SafetyNac1 EKey Error</t>
  </si>
  <si>
    <t>SafetyNac2 EKey Error</t>
  </si>
  <si>
    <t>SafetyNac3 EKey Error</t>
  </si>
  <si>
    <t>SafetyHub1 EKey Error</t>
  </si>
  <si>
    <t>SafetyTow1 EKey Error</t>
  </si>
  <si>
    <t>SafetyNac1 Operational Error</t>
  </si>
  <si>
    <t>SafetyNac2 Operational Error</t>
  </si>
  <si>
    <t>SafetyNac3 Operational Error</t>
  </si>
  <si>
    <t>SafetyHub1 Operational Error</t>
  </si>
  <si>
    <t>SafetyTow1 Operational Error</t>
  </si>
  <si>
    <t>Protection System Activated</t>
  </si>
  <si>
    <t>TripHVButtonNacelle HwError</t>
  </si>
  <si>
    <t>TripHVButtonTower HwError</t>
  </si>
  <si>
    <t>ConvGen WCool Fans State</t>
  </si>
  <si>
    <t>GearHydr WCool liquid level lo</t>
  </si>
  <si>
    <t>GearHydr WCool Pump NegFB</t>
  </si>
  <si>
    <t>GearHydr WCool pump Overloaded</t>
  </si>
  <si>
    <t>GearHydr WCool Pump PosFB</t>
  </si>
  <si>
    <t>GearHydr WCool Fan1Low NegFB</t>
  </si>
  <si>
    <t>GearHydr WCool Fan1Low OLoaded</t>
  </si>
  <si>
    <t>GearHydr WCool Fan1Low PosFB</t>
  </si>
  <si>
    <t>GearHydr WCool Fan1High NegFB</t>
  </si>
  <si>
    <t>GearHydr WCool Fan1High OLoad</t>
  </si>
  <si>
    <t>GearHydr WCool Fan1High PosFB</t>
  </si>
  <si>
    <t>GearHydr WCool Fan2Low NegFB</t>
  </si>
  <si>
    <t>GearHydr WCool Fan2Low OLoaded</t>
  </si>
  <si>
    <t>GearHydr WCool Fan2Low PosFB</t>
  </si>
  <si>
    <t>GearHydr WCool Fan2High NegFB</t>
  </si>
  <si>
    <t>GearHydr WCool Fan2High OLoad</t>
  </si>
  <si>
    <t>GearHydr WCool Fan2High PosFB</t>
  </si>
  <si>
    <t>GearHydr WCool State</t>
  </si>
  <si>
    <t>GearHydr WCool Fan1 State</t>
  </si>
  <si>
    <t>GearHydr WCool Fan2 State</t>
  </si>
  <si>
    <t>GearHydr WCool Pump State</t>
  </si>
  <si>
    <t>GearHydr WCool Fan Error</t>
  </si>
  <si>
    <t>GearHydr WCool Fans State</t>
  </si>
  <si>
    <t>GenShaftCurrent1High: __,_A</t>
  </si>
  <si>
    <t>GenShaftCurrent2High: __,_A</t>
  </si>
  <si>
    <t>GenShaftCurrent1TooHigh: __,_A</t>
  </si>
  <si>
    <t>GenShaftCurrent2TooHigh: __,_A</t>
  </si>
  <si>
    <t>ShaftCurrent1ChargeHigh: __._C</t>
  </si>
  <si>
    <t>ShaftCurrent2ChargeHigh: __._C</t>
  </si>
  <si>
    <t>GenShaftCurrentSystemFault</t>
  </si>
  <si>
    <t>ConvPanelAirCoolingExtFanNegFB</t>
  </si>
  <si>
    <t>ConvPanelAirCoolingExtFanPosFB</t>
  </si>
  <si>
    <t>ConvAirCoolingIntFanOverloaded</t>
  </si>
  <si>
    <t>ConvAirCoolingHumiditySnsrErr</t>
  </si>
  <si>
    <t>ConvAirCoolingIntFanState</t>
  </si>
  <si>
    <t>ConvAirCoolingExtFanState</t>
  </si>
  <si>
    <t>ConvAirCoolingHeaterState</t>
  </si>
  <si>
    <t>ConvChopper FanLow NegFB</t>
  </si>
  <si>
    <t>ConvChopper FanLow Overloaded</t>
  </si>
  <si>
    <t>ConvChopper FanLow PosFB</t>
  </si>
  <si>
    <t>ConvChopper FanHigh NegFB</t>
  </si>
  <si>
    <t>ConvChopper FanHigh Overloaded</t>
  </si>
  <si>
    <t>ConvChopper FanHigh PosFB</t>
  </si>
  <si>
    <t>ConvChopper Temp High</t>
  </si>
  <si>
    <t>ConvChopper Cooling State</t>
  </si>
  <si>
    <t>ConvChopper Cooling Fan State</t>
  </si>
  <si>
    <t>CtrlPwr DCNHub1 RailA Err</t>
  </si>
  <si>
    <t>CtrlPwr DCNHub1 RailB Err</t>
  </si>
  <si>
    <t>CtrlPwr DCNHub1 Test Err</t>
  </si>
  <si>
    <t>CtrlPwr DCNHub1 Test Missing</t>
  </si>
  <si>
    <t>HubInSafeMode BallValvePosErr</t>
  </si>
  <si>
    <t>Load/PowerMode setmode__.__.__</t>
  </si>
  <si>
    <t>GearOilInitialPressLow___._bar</t>
  </si>
  <si>
    <t>GearOilLevelHigh:___._ mm</t>
  </si>
  <si>
    <t>GearOilLevelLow: ___._ mm</t>
  </si>
  <si>
    <t>GearOilLevelTooLow: ___._ mm</t>
  </si>
  <si>
    <t>GearFiltPressLow __._bar</t>
  </si>
  <si>
    <t>GearOilInletPressLow __._ bar</t>
  </si>
  <si>
    <t>Warm gearoil temp :____°C</t>
  </si>
  <si>
    <t>GearOilInletPressSensorFailed</t>
  </si>
  <si>
    <t>BeforeInlinePressSensorFailed</t>
  </si>
  <si>
    <t>AfterInlinePressSensorFailed</t>
  </si>
  <si>
    <t>GearOilMainBearSwarfErr</t>
  </si>
  <si>
    <t>GearOilStage1SwarfErr</t>
  </si>
  <si>
    <t>GearOilStage2SwarfErr</t>
  </si>
  <si>
    <t>GearOilStage3SwarfErr</t>
  </si>
  <si>
    <t>GenInitialOilPressLow</t>
  </si>
  <si>
    <t>GenOilPressLow</t>
  </si>
  <si>
    <t>GearboxOfflinePumpThermoError</t>
  </si>
  <si>
    <t>OfflineFiltDiffPressHigh</t>
  </si>
  <si>
    <t>OfflineFiltDiffPressLow</t>
  </si>
  <si>
    <t>GenLeakageDetected</t>
  </si>
  <si>
    <t>OfflinePumpPositiveFeedback</t>
  </si>
  <si>
    <t>OfflinePumpNegativeFeedback</t>
  </si>
  <si>
    <t>GearOilHeaterPositiveFeedback</t>
  </si>
  <si>
    <t>GearOilHeaterNegativeFeedback</t>
  </si>
  <si>
    <t>Emergency lubrication active</t>
  </si>
  <si>
    <t>EmergencyLubrSystemError</t>
  </si>
  <si>
    <t>KeySwitchPosErr Nac: _, Twr: _</t>
  </si>
  <si>
    <t>Hub cabinet cooling state _</t>
  </si>
  <si>
    <t>Nac cabinet cooling state _</t>
  </si>
  <si>
    <t>EmcLubrSystemActive: _</t>
  </si>
  <si>
    <t>GearOilPumpStart: _</t>
  </si>
  <si>
    <t>OfflineOilPumpStart: _</t>
  </si>
  <si>
    <t>GearboxOilHeater: _</t>
  </si>
  <si>
    <t>No Deicing - Temp out of range</t>
  </si>
  <si>
    <t>No Deicing - Wind out of range</t>
  </si>
  <si>
    <t>Deicing started cooling phase</t>
  </si>
  <si>
    <t>Cold generator ___°C ______kW</t>
  </si>
  <si>
    <t>ColdGeneratorDerateNotActive</t>
  </si>
  <si>
    <t>MKversionMismatchK500Feedback</t>
  </si>
  <si>
    <t>StatorStrikesorbFuses</t>
  </si>
  <si>
    <t>HighUStrikesorber____V</t>
  </si>
  <si>
    <t>HighIStrikesorber____A</t>
  </si>
  <si>
    <t>Yaw Lubrication Error</t>
  </si>
  <si>
    <t>Yaw lubrication _</t>
  </si>
  <si>
    <t>Fast Pause Activated. Src: __</t>
  </si>
  <si>
    <t>ConvPanelAirCoolingIntFanNegFB</t>
  </si>
  <si>
    <t>ConvPanelAirCoolingIntFanPosFB</t>
  </si>
  <si>
    <t>ConvAirCoolingIntFanThermoErr</t>
  </si>
  <si>
    <t>ConvAirCoolingExtFanThermoErr</t>
  </si>
  <si>
    <t>PowerSupply VDS Sensor Error</t>
  </si>
  <si>
    <t>Grid Filter Thermo Fault</t>
  </si>
  <si>
    <t>DCLinkPrechargeEstErr___v</t>
  </si>
  <si>
    <t>BrakeApplyValve1Faulty</t>
  </si>
  <si>
    <t>BrakeApplyValve2Faulty</t>
  </si>
  <si>
    <t>BrakeDrainValveFaulty</t>
  </si>
  <si>
    <t>BldAFanSpaceHeater pos fb err</t>
  </si>
  <si>
    <t>BldAFanSpaceHeater neg fb err</t>
  </si>
  <si>
    <t>BladeA short circuit error</t>
  </si>
  <si>
    <t>BldBFanSpaceHeater pos fb err</t>
  </si>
  <si>
    <t>BldBFanSpaceHeater neg fb err</t>
  </si>
  <si>
    <t>BladeB short circuit error</t>
  </si>
  <si>
    <t>BldCFanSpaceHeater pos fb err</t>
  </si>
  <si>
    <t>BldCFanSpaceHeater neg fb err</t>
  </si>
  <si>
    <t>BladeC short circuit error</t>
  </si>
  <si>
    <t>DeIcing switch opened err</t>
  </si>
  <si>
    <t>DeIcing switch closed err</t>
  </si>
  <si>
    <t>YawSensorCommunicationError</t>
  </si>
  <si>
    <t>DeIcing Start Cmd: __ : __</t>
  </si>
  <si>
    <t>WaterCoolingRequestTimeout</t>
  </si>
  <si>
    <t>WaterCoolingTripped</t>
  </si>
  <si>
    <t>HydraulicOilLeakage</t>
  </si>
  <si>
    <t>Brake release error</t>
  </si>
  <si>
    <t>Brake apply error</t>
  </si>
  <si>
    <t>Safety Nac EStop HSS I/P Err</t>
  </si>
  <si>
    <t>Safety Nac EStop Yaw I/P Err</t>
  </si>
  <si>
    <t>Safety Nac EStop LSS I/P Err</t>
  </si>
  <si>
    <t>Safty Nac EStop TwrTop I/P Err</t>
  </si>
  <si>
    <t>Safty Nac EStop TwrCab I/P Err</t>
  </si>
  <si>
    <t>Safty Nac EStop NacCab I/P Err</t>
  </si>
  <si>
    <t>Safety Nac EStop Hub I/P Err</t>
  </si>
  <si>
    <t>Safety Nac HVCB Trip I/P Err</t>
  </si>
  <si>
    <t>Safety Tower HVCB Trip I/P Err</t>
  </si>
  <si>
    <t>Safty Nac HydrPressReq I/P Err</t>
  </si>
  <si>
    <t>Safety Hub EPitch I/P Err</t>
  </si>
  <si>
    <t>SaftyHub HydrMainPress I/P Err</t>
  </si>
  <si>
    <t>SafetyHub PitchBlockA I/P Err</t>
  </si>
  <si>
    <t>SafetyHub PitchBlockB I/P Err</t>
  </si>
  <si>
    <t>SafetyHub PitchBlockC I/P Err</t>
  </si>
  <si>
    <t>WaterCoolLiquidLo___ l</t>
  </si>
  <si>
    <t>AviationLightLampShortLifetime</t>
  </si>
  <si>
    <t>Tower Door Opened</t>
  </si>
  <si>
    <t>Tower Door Closed</t>
  </si>
  <si>
    <t>Tower/SwG DC supply error</t>
  </si>
  <si>
    <t>Converter Off</t>
  </si>
  <si>
    <t>Converter Standby</t>
  </si>
  <si>
    <t>Converter Q Production</t>
  </si>
  <si>
    <t>Converter Q and P Production</t>
  </si>
  <si>
    <t>Lightning data blade A  ___ kA</t>
  </si>
  <si>
    <t>Lightning data blade B  ___ kA</t>
  </si>
  <si>
    <t>Lightning data blade C  ___ kA</t>
  </si>
  <si>
    <t>ExtExt High Volt L_: ___ V</t>
  </si>
  <si>
    <t>Lightning blade A</t>
  </si>
  <si>
    <t>Lightning blade B</t>
  </si>
  <si>
    <t>Lightning blade C</t>
  </si>
  <si>
    <t>Lightning data blade A missing</t>
  </si>
  <si>
    <t>Lightning data blade B missing</t>
  </si>
  <si>
    <t>Lightning data blade C missing</t>
  </si>
  <si>
    <t>LowWindInHWO,T:_____s __._m/s</t>
  </si>
  <si>
    <t>Blade Load Calibration Data</t>
  </si>
  <si>
    <t>BladeLoadCalibrationSuccessful</t>
  </si>
  <si>
    <t>ConverterEstAirHumidityHigh</t>
  </si>
  <si>
    <t>PSCStateChange From __ To __</t>
  </si>
  <si>
    <t>BladeLoadHardwareChange</t>
  </si>
  <si>
    <t>Lightning det. BldA sensor err</t>
  </si>
  <si>
    <t>Lightning det. BldB sensor err</t>
  </si>
  <si>
    <t>Lightning det. BldC sensor err</t>
  </si>
  <si>
    <t>Lightning det. system error</t>
  </si>
  <si>
    <t>Lightning det. comm. error</t>
  </si>
  <si>
    <t>Illegal picture no.</t>
  </si>
  <si>
    <t>VCMSCrashErrorLx</t>
  </si>
  <si>
    <t>Hub crash error</t>
  </si>
  <si>
    <t>Ground crash error</t>
  </si>
  <si>
    <t>Nacelle crash error</t>
  </si>
  <si>
    <t>Invalid data US. ID:3</t>
  </si>
  <si>
    <t>Timeout/Checksum err. US.ID:3</t>
  </si>
  <si>
    <t>High gen speed at low gear tmp</t>
  </si>
  <si>
    <t>CPS DltPRefA</t>
  </si>
  <si>
    <t>CPS DltPRefB</t>
  </si>
  <si>
    <t>CPS DltPRefC</t>
  </si>
  <si>
    <t>CPS DltPRefM</t>
  </si>
  <si>
    <t>HighGridFreq</t>
  </si>
  <si>
    <t>B407 open loop</t>
  </si>
  <si>
    <t>B549 open loop</t>
  </si>
  <si>
    <t>All US in error,Turb. in stop</t>
  </si>
  <si>
    <t>Pin Rotation AB</t>
  </si>
  <si>
    <t>Pin Rotation BC</t>
  </si>
  <si>
    <t>Pin Rotation CA</t>
  </si>
  <si>
    <t>Remote timeout p</t>
  </si>
  <si>
    <t>Remote timeout q</t>
  </si>
  <si>
    <t>Signal error, swarf</t>
  </si>
  <si>
    <t>Yaw in stop Diesel Supply</t>
  </si>
  <si>
    <t>CAN node fault. PAUSE</t>
  </si>
  <si>
    <t>Extd. High Wind Op</t>
  </si>
  <si>
    <t>LaPM, derate</t>
  </si>
  <si>
    <t>CT6234</t>
  </si>
  <si>
    <t>EMC Push button FB Error</t>
  </si>
  <si>
    <t>NRMS power derate</t>
  </si>
  <si>
    <t>VDF System Corrupted</t>
  </si>
  <si>
    <t>Windvaneerror</t>
  </si>
  <si>
    <t>High voltage THD</t>
  </si>
  <si>
    <t>Hub OpSt.change timeout</t>
  </si>
  <si>
    <t>CT6118 init. error</t>
  </si>
  <si>
    <t>Blade is not ready for lock</t>
  </si>
  <si>
    <t>Blade realese not detected</t>
  </si>
  <si>
    <t>Actuator do not run, blade</t>
  </si>
  <si>
    <t>Reser. full with oil and water</t>
  </si>
  <si>
    <t>Feedback,gear oil pump</t>
  </si>
  <si>
    <t>Disconnect Timeout</t>
  </si>
  <si>
    <t>High hub slipring temp</t>
  </si>
  <si>
    <t>Thermo error, oil vent. F</t>
  </si>
  <si>
    <t>Data error from blade</t>
  </si>
  <si>
    <t>Yaw CW to absolute yaw stop</t>
  </si>
  <si>
    <t>Yaw CCW to absolute yaw stop</t>
  </si>
  <si>
    <t>Error, Yawcontrol:</t>
  </si>
  <si>
    <t>Schnorkel is displaced</t>
  </si>
  <si>
    <t>S248 Error no signal 2 rounds</t>
  </si>
  <si>
    <t>Feedback=_,Hydr ventilator</t>
  </si>
  <si>
    <t>Thermoerror hydr. Vent. motor</t>
  </si>
  <si>
    <t>CAN InitError node</t>
  </si>
  <si>
    <t>SignalManager error in node</t>
  </si>
  <si>
    <t>Rotor counter error</t>
  </si>
  <si>
    <t>Generator tacho ch. is lost</t>
  </si>
  <si>
    <t>Generator counter error</t>
  </si>
  <si>
    <t>Feedback, GearGen</t>
  </si>
  <si>
    <t>GearGenTest fail, S561</t>
  </si>
  <si>
    <t>User, Logged on</t>
  </si>
  <si>
    <t>User, Logged off</t>
  </si>
  <si>
    <t>High OutLet Temp Diff Error</t>
  </si>
  <si>
    <t>Signal error EMC-valve</t>
  </si>
  <si>
    <t>Signal not ready</t>
  </si>
  <si>
    <t>OS supervision error</t>
  </si>
  <si>
    <t>Thermoerror gen. slipring fan</t>
  </si>
  <si>
    <t>Warm gear bearing:</t>
  </si>
  <si>
    <t>ArcNet event</t>
  </si>
  <si>
    <t>Active Tower Damp. Active</t>
  </si>
  <si>
    <t>Active Tower Damp. deactivated</t>
  </si>
  <si>
    <t>Active Tower Damp. Max.Contrib</t>
  </si>
  <si>
    <t>Max flapwise load, blade</t>
  </si>
  <si>
    <t>Max edgewise load, blade</t>
  </si>
  <si>
    <t>Low rpm setpoint</t>
  </si>
  <si>
    <t>Pitch com error</t>
  </si>
  <si>
    <t>Error azimuth orientation</t>
  </si>
  <si>
    <t>Individual pitch enabled</t>
  </si>
  <si>
    <t>Individual pitch disabled</t>
  </si>
  <si>
    <t>No signal loadsensor</t>
  </si>
  <si>
    <t>Signal error PosTransducer</t>
  </si>
  <si>
    <t>Signal error PropValve</t>
  </si>
  <si>
    <t>Manual, signal:B</t>
  </si>
  <si>
    <t>Manual, signal:S</t>
  </si>
  <si>
    <t>Manual, signal:F</t>
  </si>
  <si>
    <t>Manual, signal:K</t>
  </si>
  <si>
    <t>Manual, unknown signal chg</t>
  </si>
  <si>
    <t>Manual control canceled</t>
  </si>
  <si>
    <t>Blade load gain level</t>
  </si>
  <si>
    <t>IPC sync error</t>
  </si>
  <si>
    <t>Frequency error 5</t>
  </si>
  <si>
    <t>Error on press. sensor S439</t>
  </si>
  <si>
    <t>IPC derate</t>
  </si>
  <si>
    <t>PC max wind derate</t>
  </si>
  <si>
    <t>Pitch data error</t>
  </si>
  <si>
    <t>EMERGENCY after signal error</t>
  </si>
  <si>
    <t>GearOil pressure not stable</t>
  </si>
  <si>
    <t>Turbine cold, test not allowed</t>
  </si>
  <si>
    <t>Gen. slipring heater</t>
  </si>
  <si>
    <t>Startup without VCP board</t>
  </si>
  <si>
    <t>Reboot to enable VCP board</t>
  </si>
  <si>
    <t>Coil supply active in EMC</t>
  </si>
  <si>
    <t>1P RBM Level</t>
  </si>
  <si>
    <t>2P RBM Level</t>
  </si>
  <si>
    <t>RCPL FiltError</t>
  </si>
  <si>
    <t>RCPL Max Error</t>
  </si>
  <si>
    <t>Accu _ low prechg. press</t>
  </si>
  <si>
    <t>User Def Input __ Pause Slow</t>
  </si>
  <si>
    <t>User Def Input __ Pause Fast</t>
  </si>
  <si>
    <t>Extreme tilt moment:</t>
  </si>
  <si>
    <t>Extreme yaw moment:</t>
  </si>
  <si>
    <t>TYCOutOfOrder,deactivated</t>
  </si>
  <si>
    <t>RT activation no. exceeded:</t>
  </si>
  <si>
    <t>BldA Fan_ Press Diff NotOk</t>
  </si>
  <si>
    <t>BldB Fan_ Press Diff NotOk</t>
  </si>
  <si>
    <t>Ch.high res.loadC_Load:</t>
  </si>
  <si>
    <t>Lightning detected ____ _</t>
  </si>
  <si>
    <t>ModeSel Enter OverrideStopMode</t>
  </si>
  <si>
    <t>ModeSel Leave OverrideStopMode</t>
  </si>
  <si>
    <t>Lightning det. SN:__________</t>
  </si>
  <si>
    <t>Cabinet conv. DC voltage fail</t>
  </si>
  <si>
    <t>BladeAAzimOffs: ___._ r2:_.__</t>
  </si>
  <si>
    <t>BladeBAzimOffs: ___._ r2:_.__</t>
  </si>
  <si>
    <t>BladeCAzimOffs: ___._ r2:_.__</t>
  </si>
  <si>
    <t>GenSpdHighReverse: _____ RPM</t>
  </si>
  <si>
    <t>DcLinkCupper_HighTemp: ____ ¸°C</t>
  </si>
  <si>
    <t>ExtAirOutlet_HighTemp: ____ ¸°C</t>
  </si>
  <si>
    <t>WindSensor1 Failure</t>
  </si>
  <si>
    <t>WindSensor2 Failure</t>
  </si>
  <si>
    <t>Swg VDS Low voltage detected</t>
  </si>
  <si>
    <t>Swg VDS or HV fault</t>
  </si>
  <si>
    <t>Swg VDS fault</t>
  </si>
  <si>
    <t>Switchgear is open</t>
  </si>
  <si>
    <t>Swg open due to voltage fault</t>
  </si>
  <si>
    <t>Swg opened manually by pendant</t>
  </si>
  <si>
    <t>Conv. grid CBs safety FB error</t>
  </si>
  <si>
    <t>BrakeDrainingDurationError</t>
  </si>
  <si>
    <t>BrakeAccDrainingTooOfte:___</t>
  </si>
  <si>
    <t>AGOStateTimeOut</t>
  </si>
  <si>
    <t>DeIcing safety swversion error</t>
  </si>
  <si>
    <t>SmokeDetector LockForInspect</t>
  </si>
  <si>
    <t>SmokeDetector Com. Error</t>
  </si>
  <si>
    <t>Deicing maincontactor fb error</t>
  </si>
  <si>
    <t>Deicing power unavailable</t>
  </si>
  <si>
    <t>Deicing mode selector no power</t>
  </si>
  <si>
    <t>Deicing cooling active</t>
  </si>
  <si>
    <t>Deicing main contactor test</t>
  </si>
  <si>
    <t>Pitch Oscillation in Blade A</t>
  </si>
  <si>
    <t>Pitch Oscillation in Blade B</t>
  </si>
  <si>
    <t>Pitch Oscillation in Blade C</t>
  </si>
  <si>
    <t>Diagnostics Available</t>
  </si>
  <si>
    <t>High Energy in Harm Filt ___J</t>
  </si>
  <si>
    <t>Modulation idx ___ Avg ___</t>
  </si>
  <si>
    <t>MSI, arc detector no protocol</t>
  </si>
  <si>
    <t>LSI, arc detector no protocol</t>
  </si>
  <si>
    <t>Sw.gear, arc det. no protocol</t>
  </si>
  <si>
    <t>MSI, arc det. internal fault</t>
  </si>
  <si>
    <t>Sw.gear, arc det. int. fault</t>
  </si>
  <si>
    <t>Pitch Osc High in Blade A</t>
  </si>
  <si>
    <t>Pitch Osc High in Blade B</t>
  </si>
  <si>
    <t>Pitch Osc High in Blade C</t>
  </si>
  <si>
    <t>HubSafetySystem Batt.Serv.Req</t>
  </si>
  <si>
    <t>Converter MotorMode</t>
  </si>
  <si>
    <t>BladeLoadCalibrationNegAxial</t>
  </si>
  <si>
    <t>ConvIntFanMissingFB</t>
  </si>
  <si>
    <t>ConvExtLiquidCoolingNotOK</t>
  </si>
  <si>
    <t>ConvExtFanCoolingNotOK</t>
  </si>
  <si>
    <t>PowerBackupChargerNotStarted</t>
  </si>
  <si>
    <t>Backup power volt low</t>
  </si>
  <si>
    <t>Backup power volt very low</t>
  </si>
  <si>
    <t>Backup power volt critical low</t>
  </si>
  <si>
    <t>SafetyNac4 SwVers Error</t>
  </si>
  <si>
    <t>SafetyNac4 SwVers Temp Error</t>
  </si>
  <si>
    <t>SafetyNac4 Communication Error</t>
  </si>
  <si>
    <t>SafetyNac4 EKey Error</t>
  </si>
  <si>
    <t>SafetyNac4 Operational Error</t>
  </si>
  <si>
    <t>Pwr backup charger fuse error</t>
  </si>
  <si>
    <t>Pwr backup charger err on Ext</t>
  </si>
  <si>
    <t>GearHydrWaterCoolTempLow ___°C</t>
  </si>
  <si>
    <t>Smoke Detector Hub Error</t>
  </si>
  <si>
    <t>SmokeDetectorHubSmokeDetected</t>
  </si>
  <si>
    <t>SmokeDetetorHubMaintenanceMode</t>
  </si>
  <si>
    <t>SmokeDetector SwG HVCB blocked</t>
  </si>
  <si>
    <t>Power Backup AUX CB mismatch</t>
  </si>
  <si>
    <t>Power Backup Ext CB mismatch</t>
  </si>
  <si>
    <t>HubSafetyPowerSupply HwError</t>
  </si>
  <si>
    <t>AzimuthOffsetCorrectionChanged</t>
  </si>
  <si>
    <t>RtoP Reboot</t>
  </si>
  <si>
    <t>BladeA heat cont.secondary err</t>
  </si>
  <si>
    <t>BladeB heat cont.secondary err</t>
  </si>
  <si>
    <t>BladeC heat cont.secondary err</t>
  </si>
  <si>
    <t>Blade Heating Imbalance Error</t>
  </si>
  <si>
    <t>Cold Climate Trafo Temp High</t>
  </si>
  <si>
    <t>BldA heat elm.__ current:__._A</t>
  </si>
  <si>
    <t>BldB heat elm.__ current:__._A</t>
  </si>
  <si>
    <t>BldC heat elm.__ current:__._A</t>
  </si>
  <si>
    <t>Blade heat.pow.avg:___._ kW</t>
  </si>
  <si>
    <t>BladeA Heat Safety Err: _____</t>
  </si>
  <si>
    <t>BladeB Heat Safety Err: _____</t>
  </si>
  <si>
    <t>BladeC Heat Safety Err: _____</t>
  </si>
  <si>
    <t>Bld.Heat Env.Temp.Err:___Â°C</t>
  </si>
  <si>
    <t>BladeA Heat. Leak Curr. Error</t>
  </si>
  <si>
    <t>BladeB Heat. Leak Curr. Error</t>
  </si>
  <si>
    <t>BladeC Heat. Leak Curr. Error</t>
  </si>
  <si>
    <t>Hub in safe mode pending</t>
  </si>
  <si>
    <t>IceDetectedInBladeAutoAckWarn</t>
  </si>
  <si>
    <t>SwappedWindSensors</t>
  </si>
  <si>
    <t>SafetySystemConvProtectionStop</t>
  </si>
  <si>
    <t>Safety Sw Version Acknowledged</t>
  </si>
  <si>
    <t>Unknown Log Number</t>
  </si>
  <si>
    <t>Month</t>
  </si>
  <si>
    <t>WS MTD</t>
  </si>
  <si>
    <t>WS YTD</t>
  </si>
  <si>
    <t>May</t>
  </si>
  <si>
    <t>Remote reset done</t>
  </si>
  <si>
    <t>CE100001</t>
  </si>
  <si>
    <t>CE100002</t>
  </si>
  <si>
    <t>Major BD - Blade</t>
  </si>
  <si>
    <t>CE100003</t>
  </si>
  <si>
    <t>Major BD - Transformer</t>
  </si>
  <si>
    <t>CE100004</t>
  </si>
  <si>
    <t>Major BD - Generator</t>
  </si>
  <si>
    <t>CE100005</t>
  </si>
  <si>
    <t>Major BD - Gearbox</t>
  </si>
  <si>
    <t>CE100006</t>
  </si>
  <si>
    <t>Major BD - Main Bearing</t>
  </si>
  <si>
    <t>CE100007</t>
  </si>
  <si>
    <t>Transmission Line Related work</t>
  </si>
  <si>
    <t>CE100008</t>
  </si>
  <si>
    <t>General Work Stoppage</t>
  </si>
  <si>
    <t>CE100009</t>
  </si>
  <si>
    <t>Major BD - Power Cable</t>
  </si>
  <si>
    <t>CE100011</t>
  </si>
  <si>
    <t>Major BD - DFIG</t>
  </si>
  <si>
    <t>CE100012</t>
  </si>
  <si>
    <t>Major BD - Foundation</t>
  </si>
  <si>
    <t>CE100013</t>
  </si>
  <si>
    <t>Theft</t>
  </si>
  <si>
    <t>CE100010</t>
  </si>
  <si>
    <t>Manual Stop - Preventive Maintenance Activity</t>
  </si>
  <si>
    <t>CE100014</t>
  </si>
  <si>
    <t>Manual Stop - Audit</t>
  </si>
  <si>
    <t>CE100015</t>
  </si>
  <si>
    <t>Manual Stop - Safety Related</t>
  </si>
  <si>
    <t>Test Charge taken and line stood ok</t>
  </si>
  <si>
    <t xml:space="preserve"> </t>
  </si>
  <si>
    <t>b</t>
  </si>
  <si>
    <t>YawUntwistCW: Code 3,-000540Â°</t>
  </si>
  <si>
    <t>PA(%)</t>
  </si>
  <si>
    <t>Pitch valves test acitve</t>
  </si>
  <si>
    <t>Pitch Accu. Test active</t>
  </si>
  <si>
    <t>CE100016</t>
  </si>
  <si>
    <t>Manual Stop - Blade Cleaning</t>
  </si>
  <si>
    <t>CE100017</t>
  </si>
  <si>
    <t>UPS breakdown</t>
  </si>
  <si>
    <t>Year_2</t>
  </si>
  <si>
    <t>Calendar Year</t>
  </si>
  <si>
    <t>YawUntwistCCW: Code 6,    613Â°</t>
  </si>
  <si>
    <t>YawUntwistCCW: Code 6,    603Â°</t>
  </si>
  <si>
    <t>UPS reboot done</t>
  </si>
  <si>
    <t>Charged after Grid Resume</t>
  </si>
  <si>
    <t>220 KV Grid failure from GSS due to DC failure at GSS</t>
  </si>
  <si>
    <t>After the rectification work done  grid resumed and charged the line</t>
  </si>
  <si>
    <t>Ch High res. load C2 Load:100%</t>
  </si>
  <si>
    <t xml:space="preserve">Tripped on EFR </t>
  </si>
  <si>
    <t/>
  </si>
  <si>
    <t>F#02 Line inspection and Metering points inspection under progress</t>
  </si>
  <si>
    <t>WTG Rectification work in progress</t>
  </si>
  <si>
    <t>Auto start after battery fully charged.</t>
  </si>
  <si>
    <t>Auto cable twist</t>
  </si>
  <si>
    <t>HydPressOscBlBFilt2,   8.3bar</t>
  </si>
  <si>
    <t>Manually charge HVCB</t>
  </si>
  <si>
    <t>WTG can not attend because ROW issue.</t>
  </si>
  <si>
    <t>33kV_Solar_F2_Export Reading</t>
  </si>
  <si>
    <t>HVCB Manual charged done.</t>
  </si>
  <si>
    <t>Manual stop for CMS alert inspection work.</t>
  </si>
  <si>
    <t>E_WS_Corrected</t>
  </si>
  <si>
    <t>manual reset done.</t>
  </si>
  <si>
    <t>UPS Reboot done</t>
  </si>
  <si>
    <t>Ch High res. load C1 Load:100%</t>
  </si>
  <si>
    <t>During the Line inspection Found R-phase fuse failure at JK metering point</t>
  </si>
  <si>
    <t>LC taken for KUD-18 JK metering R phase fuse replacement.</t>
  </si>
  <si>
    <t xml:space="preserve"> KUD-18 JK metering R phase fuse replacement done.</t>
  </si>
  <si>
    <t>33 kV_Wind_F3_Export_Reading</t>
  </si>
  <si>
    <t>33 kV_Wind_F3_Export_Reading3</t>
  </si>
  <si>
    <t>Manual stop for 2 years service Day-2</t>
  </si>
  <si>
    <t>[</t>
  </si>
  <si>
    <t>Reactive Power</t>
  </si>
  <si>
    <t>Expected Energy</t>
  </si>
  <si>
    <t>Month Name</t>
  </si>
  <si>
    <t>Month Number</t>
  </si>
  <si>
    <t>No. of Days in Month</t>
  </si>
  <si>
    <t>GHI</t>
  </si>
  <si>
    <t>POA</t>
  </si>
  <si>
    <t>WS</t>
  </si>
  <si>
    <t>Tamb</t>
  </si>
  <si>
    <t>Tmod</t>
  </si>
  <si>
    <t>Egrid (MWh)</t>
  </si>
  <si>
    <t>Bugt_Capacity</t>
  </si>
  <si>
    <t>PR</t>
  </si>
  <si>
    <t>Daily POA</t>
  </si>
  <si>
    <t>Days Operated</t>
  </si>
  <si>
    <t>MTD POA</t>
  </si>
  <si>
    <t>YTD POA</t>
  </si>
  <si>
    <t>Daily Energy (MWh)</t>
  </si>
  <si>
    <t>MTD Energy (MWh)</t>
  </si>
  <si>
    <t>YTD Energy (MWh)</t>
  </si>
  <si>
    <t>Bugt CUF (%)</t>
  </si>
  <si>
    <t>Bugt CUF (%) MTD</t>
  </si>
  <si>
    <t>Bugt CUF (%)YTD</t>
  </si>
  <si>
    <t>Ave. Cap MTD</t>
  </si>
  <si>
    <t>Ave. Cap YTD</t>
  </si>
  <si>
    <t>CC Energy MTD</t>
  </si>
  <si>
    <t>Bugt PA</t>
  </si>
  <si>
    <t>Bugt EGA</t>
  </si>
  <si>
    <t>Bugt TA</t>
  </si>
  <si>
    <t>Bugt MA</t>
  </si>
  <si>
    <t>Bugt IGA</t>
  </si>
  <si>
    <t>Corelation</t>
  </si>
  <si>
    <t>Bugt Line loss</t>
  </si>
  <si>
    <t>Bugt Reactive Power</t>
  </si>
  <si>
    <t>April</t>
  </si>
  <si>
    <t>FY23</t>
  </si>
  <si>
    <t>June</t>
  </si>
  <si>
    <t>July</t>
  </si>
  <si>
    <t>August</t>
  </si>
  <si>
    <t>September</t>
  </si>
  <si>
    <t>October</t>
  </si>
  <si>
    <t>November</t>
  </si>
  <si>
    <t>December</t>
  </si>
  <si>
    <t>January</t>
  </si>
  <si>
    <t>February</t>
  </si>
  <si>
    <t>March</t>
  </si>
  <si>
    <t>FY24</t>
  </si>
  <si>
    <t>Financial Year</t>
  </si>
  <si>
    <t>Operating Hours</t>
  </si>
  <si>
    <t>GHI-UP (KWh/m2)</t>
  </si>
  <si>
    <t>GHI-Down(KWh/m2)</t>
  </si>
  <si>
    <t>POA-UP(KWh/m2)</t>
  </si>
  <si>
    <t>POA-Down(KWh/m2)</t>
  </si>
  <si>
    <t>Amb_Temp(°C)</t>
  </si>
  <si>
    <t>Mod_Temp(°C)</t>
  </si>
  <si>
    <t>WS_Avg(m/s)</t>
  </si>
  <si>
    <t>WS_Max(m/s)</t>
  </si>
  <si>
    <t>MA (%)</t>
  </si>
  <si>
    <t>IGA (%)</t>
  </si>
  <si>
    <t>EGA(%)</t>
  </si>
  <si>
    <t>EMA (%)</t>
  </si>
  <si>
    <t>TA (%)</t>
  </si>
  <si>
    <t>PR(%)</t>
  </si>
  <si>
    <t>WPR(%)</t>
  </si>
  <si>
    <t>CUF(%)</t>
  </si>
  <si>
    <t>Gen_Exp (kWh)</t>
  </si>
  <si>
    <t>Mtr_Export (kWh)</t>
  </si>
  <si>
    <t>Mtr_Import (kWh)</t>
  </si>
  <si>
    <t>Mtr_Net_Exp (KWh)</t>
  </si>
  <si>
    <t>Operational Capacity (MW)</t>
  </si>
  <si>
    <t>Bugt_Resource</t>
  </si>
  <si>
    <t>Bugt_Energy</t>
  </si>
  <si>
    <t>Bugt PR</t>
  </si>
  <si>
    <t>Bugt CUF</t>
  </si>
  <si>
    <t>Bugt_PA</t>
  </si>
  <si>
    <t>Bugt_EGA</t>
  </si>
  <si>
    <t>Actual Energy WPR</t>
  </si>
  <si>
    <t>RA (%)</t>
  </si>
  <si>
    <t>Mod Clean Dry (Num)</t>
  </si>
  <si>
    <t>Mod Clean Wet (Num)</t>
  </si>
  <si>
    <t>Line Loss(%)</t>
  </si>
  <si>
    <t>Reactive Power (%)</t>
  </si>
  <si>
    <t>Bugt Line loss (%) (Wind)</t>
  </si>
  <si>
    <t>Bugt Reactive Power (%) (Wind)</t>
  </si>
  <si>
    <t xml:space="preserve"> Capacity</t>
  </si>
  <si>
    <t>Expected Energy as per power curve. (MWh)</t>
  </si>
  <si>
    <t>Reactive Energy (MVArH)</t>
  </si>
  <si>
    <t xml:space="preserve"> Reactive Power WTG1</t>
  </si>
  <si>
    <t xml:space="preserve"> Reactive Power WTG2</t>
  </si>
  <si>
    <t xml:space="preserve"> Reactive Power WTG3</t>
  </si>
  <si>
    <t xml:space="preserve"> Reactive Power WTG4</t>
  </si>
  <si>
    <t xml:space="preserve"> Reactive Power WTG5</t>
  </si>
  <si>
    <t xml:space="preserve"> Reactive Power WTG6</t>
  </si>
  <si>
    <t xml:space="preserve"> Reactive Power WTG7</t>
  </si>
  <si>
    <t xml:space="preserve"> Reactive Power WTG8</t>
  </si>
  <si>
    <t xml:space="preserve"> Reactive Power WTG9</t>
  </si>
  <si>
    <t xml:space="preserve"> Reactive Power WTG10</t>
  </si>
  <si>
    <t xml:space="preserve"> Reactive Power WTG11</t>
  </si>
  <si>
    <t xml:space="preserve"> Reactive Power WTG12</t>
  </si>
  <si>
    <t xml:space="preserve"> Reactive Power WTG13</t>
  </si>
  <si>
    <t xml:space="preserve"> Reactive Power WTG14</t>
  </si>
  <si>
    <t xml:space="preserve"> Reactive Power WTG15</t>
  </si>
  <si>
    <t xml:space="preserve"> Reactive Power WTG16</t>
  </si>
  <si>
    <t xml:space="preserve"> Reactive Power WTG17</t>
  </si>
  <si>
    <t xml:space="preserve"> Reactive Power WTG18</t>
  </si>
  <si>
    <t xml:space="preserve"> Reactive Power WTG19</t>
  </si>
  <si>
    <t xml:space="preserve"> Reactive Power WTG20</t>
  </si>
  <si>
    <t xml:space="preserve"> Reactive Power WTG21</t>
  </si>
  <si>
    <t xml:space="preserve"> Reactive Power WTG22</t>
  </si>
  <si>
    <t xml:space="preserve"> Reactive Power WTG23</t>
  </si>
  <si>
    <t>Line loss (%)</t>
  </si>
  <si>
    <t>Corelation (%)</t>
  </si>
  <si>
    <t>Line Loss MTD</t>
  </si>
  <si>
    <t>Line Loss YTD</t>
  </si>
  <si>
    <t>Reactive Power Daily</t>
  </si>
  <si>
    <t>Reactive Power MTD</t>
  </si>
  <si>
    <t>Reactive Power YTD</t>
  </si>
  <si>
    <t>Expected Energy Daily</t>
  </si>
  <si>
    <t>Expected Energy MTD</t>
  </si>
  <si>
    <t>Expected Energy YTD</t>
  </si>
  <si>
    <t>FY25</t>
  </si>
  <si>
    <t>Line Loss Daily</t>
  </si>
  <si>
    <t>Loss (%)</t>
  </si>
  <si>
    <t>Manual stop for 2 years service Day-1</t>
  </si>
  <si>
    <t>Manual stop for Yaw claw re torquing work.</t>
  </si>
  <si>
    <t>Attend and HUB CT6061 Module changed.</t>
  </si>
  <si>
    <t>Manual stop for Yearly generator Aligment work.</t>
  </si>
  <si>
    <t>Year-3</t>
  </si>
  <si>
    <t>Ups reboot done.</t>
  </si>
  <si>
    <t>we checked and found that PT100 sensor was malfunctioning so once rebooted system and found temp normal.</t>
  </si>
  <si>
    <t>YawUntwistCCW: Code 6,    651Â°</t>
  </si>
  <si>
    <t>Rotor: 1.5RPM, Gen.:-172.4 RPM</t>
  </si>
  <si>
    <t>YawUntwistCCW: Code 6,    578Â°</t>
  </si>
  <si>
    <t>YawUntwistCCW: Code 6,    664Â°</t>
  </si>
  <si>
    <t>YawUntwistCCW: Code 6,    643Â°</t>
  </si>
  <si>
    <t>Rotor: 1.7RPM, Gen.:-186.3 RPM</t>
  </si>
  <si>
    <t>o2re16</t>
  </si>
  <si>
    <t>Year_3</t>
  </si>
  <si>
    <t>remote reboot done</t>
  </si>
  <si>
    <t>Manual stop for 2 years service das-01</t>
  </si>
  <si>
    <t>F#4 CP-11(KUD14 to KUD19) B-Phase pin insulator &amp; SP-02(KUD12 to KUD20) R-Phase pin insulator replacement done &amp; charge the Feeder</t>
  </si>
  <si>
    <t xml:space="preserve">DCOH line F2 SP-94 R-Phase Suspension insualtor &amp; DP-97 B-Phase pin insulator replacement done&amp; Charge the line </t>
  </si>
  <si>
    <t>LC taken fo DCOH line F2 SP-94 &amp;DP- 97 insulator replacement work</t>
  </si>
  <si>
    <t>LC taken for F2 Pin &amp; Suspension insulator replcement work at DCOH SP-94 &amp; DP-97</t>
  </si>
  <si>
    <t>Manual stop for 2 years service das-02</t>
  </si>
  <si>
    <t>WTG attend late because of ROW issue</t>
  </si>
  <si>
    <t>Attend and change hub battery</t>
  </si>
  <si>
    <t>Wind Speed Average (m/S)-O2R5</t>
  </si>
  <si>
    <t>WTG Total Gneration (MWh) O2R16</t>
  </si>
  <si>
    <t>O2R16 (Jubilant)</t>
  </si>
  <si>
    <t>Hourly reactive power bugt</t>
  </si>
  <si>
    <t>Total Reactive Power (kVArh)</t>
  </si>
  <si>
    <t>Manual stop for 2 years service day-01</t>
  </si>
  <si>
    <t>Manual stop for 2 years service day-02</t>
  </si>
  <si>
    <t>After feeder charged Vamp activated inspection work in progress..</t>
  </si>
  <si>
    <t>Incorrect Error Code</t>
  </si>
  <si>
    <t>Attend check related CT and Temp sensor found CT Malfuction so once reboot nacelle supply and restored.</t>
  </si>
  <si>
    <t>After grid drop Trfo room arc sensor activated so attend found Y phase to B phase connecting Delta bus bar failed so replaced and Trafo inspection and magering so found all normal and then charged Trafo.</t>
  </si>
  <si>
    <t>Attend found A blade all cable rubbing to hub frame so cable routing done and and restored</t>
  </si>
  <si>
    <t>After jumer connection removed charge the feeder</t>
  </si>
  <si>
    <t>LC taken for tap to KUD08 insulator replacement work</t>
  </si>
  <si>
    <t>Inslator replacent work done upto 14 poles(tap to KUD08)</t>
  </si>
  <si>
    <t>LC taken for jumper tapping connection at DCOH KUD-03</t>
  </si>
  <si>
    <t>After jumper connection done charge the feeder</t>
  </si>
  <si>
    <t>After grid restored generator CB not closed so checked found coil malfunctioned so once reboot and restored</t>
  </si>
  <si>
    <t>LC taken for DCOH tap to KUD08 insulator replacement work(At tap jumper connection opening purpose)</t>
  </si>
  <si>
    <t>Inslator replacent work done upto 23 poles(tap to KUD08)</t>
  </si>
  <si>
    <t>Bugt Capacity</t>
  </si>
  <si>
    <t>CC*Bugt</t>
  </si>
  <si>
    <t>Inslator replacent work done upto 67 poles(tap to KUD08)</t>
  </si>
  <si>
    <t>Inslator replacent work done upto 43 poles(tap to KUD08)</t>
  </si>
  <si>
    <t>Inslator replacent work done upto 51 poles(tap to KUD08)</t>
  </si>
  <si>
    <t>Inslator replacent work done upto 71 poles(tap to KUD08)</t>
  </si>
  <si>
    <t>LC taken for KUD06 tap KUD07 insulator replacement work(At tap jumper connection opening purpose)</t>
  </si>
  <si>
    <t>LC taken for KUD06 tap to KUD07 insulator replacement work</t>
  </si>
  <si>
    <t>Inslator replacent work done upto 12 poles(tap to KUD07)</t>
  </si>
  <si>
    <t>After jumper connection done &amp; at KUD06  metering point R Phase pin insulator replacement done &amp; charge the feeder</t>
  </si>
  <si>
    <t>Manual stop for Oil leakage inspection found Accumulator O ring got failure so replaced and restored</t>
  </si>
  <si>
    <t>After grid drop Trafo room VAMP activated so trafo inspection done found all ok then charged and restored</t>
  </si>
  <si>
    <t>Attend found generator high speed fan fuse 2 nos  got failure so replaced and restored</t>
  </si>
  <si>
    <t xml:space="preserve">Manual charged HVCB </t>
  </si>
  <si>
    <t>UPS battery changed and charged HVCB</t>
  </si>
  <si>
    <t>Inslator replacent work done upto 12 poles(tap to KUD06)</t>
  </si>
  <si>
    <t>LC taken for DCOH tap to KUD06 insulator replacement work</t>
  </si>
  <si>
    <t>LC taken for DCOH tap.to KUD06 jumper connection Closeing purpose</t>
  </si>
  <si>
    <t>LC taken for DCOH tap.to KUD06 jumper connection opening purpose</t>
  </si>
  <si>
    <t>LC taken for KUD-01 tap.to KUD-15 jumper connection opening purpose</t>
  </si>
  <si>
    <t>LC taken for KUD-01 tap to KUD-15 insulator replacement work</t>
  </si>
  <si>
    <t>LC taken for KUD-01 tap.to KUD-15 jumper connection Closeing purpose</t>
  </si>
  <si>
    <t>Inslator replacent work done upto 16 poles(tap to KUD-15)</t>
  </si>
  <si>
    <t>Year_4</t>
  </si>
  <si>
    <t>Rectification in progress.</t>
  </si>
  <si>
    <t>LC taken for KUD-10 tap.to KUD-01 jumper connection opening purpose</t>
  </si>
  <si>
    <t>LC taken for KUD-10 tap to KUD-01 insulator replacement work</t>
  </si>
  <si>
    <t>LC taken for KUD-10 tap.to KUD-01 jumper connection Closeing purpose</t>
  </si>
  <si>
    <t>Inslator replacent work done upto 11 poles(tap to KUD-01)</t>
  </si>
  <si>
    <t>Inslator replacent work done (tap to KUD-01)</t>
  </si>
  <si>
    <t>Inslator replacent work done upto 16 poles(KUD-10 tap to KUD-01)</t>
  </si>
  <si>
    <t>Inslator replacent work done (KUD-10 tap to KUD-01)</t>
  </si>
  <si>
    <t>Inslator replacent work done upto 19 poles(KUD-10 tap to KUD-01)</t>
  </si>
  <si>
    <t>UPS reset done.</t>
  </si>
  <si>
    <t>Found hub inside main accumulator connected oil hose pipe O-ring failure then replaced after restored</t>
  </si>
  <si>
    <t>LC taken for DCOH tap.to KUD-10 jumper connection opening purpose</t>
  </si>
  <si>
    <t>LC taken for DCOH tap.to KUD-10 jumper connection Closeing purpose</t>
  </si>
  <si>
    <t>Tripped on OCR due to 33kv Outdoor B-phase UG cable puncher</t>
  </si>
  <si>
    <t>LC taken for DCOH tap.to KUD-10  insulator replacement work</t>
  </si>
  <si>
    <t>Inslator replacent work done (DCOH tap.to KUD-10)</t>
  </si>
  <si>
    <t>Inslator replacent work done upto 25 poles(DCOH tap.to KUD-10)</t>
  </si>
  <si>
    <t xml:space="preserve"> Cable Jointing Work in Progress</t>
  </si>
  <si>
    <t>Rectification work in progress</t>
  </si>
  <si>
    <t>Inslator replacent work done upto 16 poles(DCOH tap.to KUD-10)</t>
  </si>
  <si>
    <t xml:space="preserve"> Cable Jointing Work done,chagre the feeder</t>
  </si>
  <si>
    <t>Generator Coli supply reboot done</t>
  </si>
  <si>
    <t>LC taken for DCOH tap.to KUD-10 jumper connection Closeing purpose &amp; At the same time DCOH tap to KUD-11 jumper connection removing purpose</t>
  </si>
  <si>
    <t>LC taken for DCOH tap.to KUD-11  insulator replacement work</t>
  </si>
  <si>
    <t>LC taken for DCOH tap.to KUD-11 jumper connection Closeing purpose</t>
  </si>
  <si>
    <t>Insulator replacent work done (DCOH tap.to KUD-10)</t>
  </si>
  <si>
    <t>Insulator replacent work done (DCOH tap.to KUD-11)</t>
  </si>
  <si>
    <t>LC taken for KUD-12 tap.to KUD-20 insulator replacement work</t>
  </si>
  <si>
    <t>LC taken for KUD-12 tap.to KUD-20 insulator replacement work(At tap jumper connection opening purpose)</t>
  </si>
  <si>
    <t>Inslator replacent work done (KUD-12 tap. to KUD-20)</t>
  </si>
  <si>
    <t>LC taken for KUD-12 tap.to KUD-20  jumper connection Closeing purpose</t>
  </si>
  <si>
    <t>WTG Stop because of HUB power supply DC error , But cannot attend because of Local ROW issue</t>
  </si>
  <si>
    <t>Wind Speed Average (m/S)-O2R16</t>
  </si>
  <si>
    <t>Attend and replaced HUB 24V power supply along with C blade prop valve 'o' ring</t>
  </si>
  <si>
    <t>PTW No.</t>
  </si>
  <si>
    <t>Job Card No.</t>
  </si>
  <si>
    <t>Pass@123</t>
  </si>
  <si>
    <t>Found generator slipring brush one  o got failure so replaced.</t>
  </si>
  <si>
    <t>Found converter L2,L3 IGBT got failure so replaced</t>
  </si>
  <si>
    <t>After jumper  connection removed charge the feeder</t>
  </si>
  <si>
    <t>Afterjumper  connection removed charge the feeder</t>
  </si>
  <si>
    <t>Afte  jumper connection closeing charge the feeder</t>
  </si>
  <si>
    <t>After jumper  connection closeing charge the feeder</t>
  </si>
  <si>
    <t>After jumper connection closeing charge the feeder</t>
  </si>
  <si>
    <t>After jumper   connection closeing charge the feeder</t>
  </si>
  <si>
    <t>Annual testing work in progress</t>
  </si>
  <si>
    <t xml:space="preserve">Annual testing work done and TRF-02 charged </t>
  </si>
  <si>
    <t>we found Blade A proportional valve to Pitch position sensor cable was loose connection during pitching time so we retighted and restored WTG.</t>
  </si>
  <si>
    <t xml:space="preserve">DCOH line F2 SP-98 B-Phase Suspension insualtor replacement done&amp; Charge the line </t>
  </si>
  <si>
    <t>LC taken for DCOH line F2 SP-98 B-Ph suspension insulator replacement work</t>
  </si>
  <si>
    <t>LC taken for DCOH line F4 DP-140 Y-Ph Tension insulator replacement work</t>
  </si>
  <si>
    <t xml:space="preserve">DCOH line DP -140 F-4 Y-Phase tension insualtor replacement done&amp; Charge the line </t>
  </si>
  <si>
    <t>After rain stop,Test Charge taken and line stood ok</t>
  </si>
  <si>
    <t>we inspected the transformer room found normal then restored wtg.</t>
  </si>
  <si>
    <t xml:space="preserve">Manually shutdown taken for PSS equipments  annual  testing  </t>
  </si>
  <si>
    <t xml:space="preserve">Annual testing work done and Line1 charged </t>
  </si>
  <si>
    <t>SP-36 Y-Phase (KUD14-KUD19 Line)pin insulator replacement work done and test charge taken line stood ok</t>
  </si>
  <si>
    <t xml:space="preserve">PTR-02 manually shutdown taken for PSS  equipments  annual  testing  </t>
  </si>
  <si>
    <t xml:space="preserve">PTR-02 manually shutdown taken for PSS equipments annual  testing  </t>
  </si>
  <si>
    <t>we found ACB TUV tripped condition once rebooted and restored wtg.</t>
  </si>
  <si>
    <t>we checked the Yaw position sensor cable found normal then restored wtg.</t>
  </si>
  <si>
    <t>Auto Reset</t>
  </si>
  <si>
    <t>we checked the balde C proportional valve cable connector was loose condition due to these  pitching time error was trigged so retighten done and restored wtg.</t>
  </si>
  <si>
    <t xml:space="preserve"> V120 2.2MW</t>
  </si>
  <si>
    <t>Day-1</t>
  </si>
  <si>
    <t>50Hz</t>
  </si>
  <si>
    <t>Day-2</t>
  </si>
  <si>
    <t>B-Service</t>
  </si>
  <si>
    <t>C-Service</t>
  </si>
  <si>
    <t>2024-25</t>
  </si>
  <si>
    <t>2025-26</t>
  </si>
  <si>
    <t>KUD/2025/523</t>
  </si>
  <si>
    <t>ExEx low voltage L1:   1V</t>
  </si>
  <si>
    <t>Preventive action taken for gearoil inlet temp high checked Found GB inlet thermostat valve malfunction so replaced to new one.</t>
  </si>
  <si>
    <t>After feeder charged generator breaker FB response error came wtg under ROW issue..</t>
  </si>
  <si>
    <t>Found ACB not closing then TU reset outside came after normalised restored done.</t>
  </si>
  <si>
    <t>Tripped on EFR  due to heavy rain and Lighting</t>
  </si>
  <si>
    <t>checked gearbox and hydraulic unit all are good condition there is no leakage then restored the wtg</t>
  </si>
  <si>
    <t>Manual stop for Tower flange inspection work.</t>
  </si>
  <si>
    <t>Found hub safety 24v cable loose condition then tighten after restored</t>
  </si>
  <si>
    <t>Tap to KUD-18 line SP 74 B phase Suspension insulator replacement work</t>
  </si>
  <si>
    <t>Tap to KUD-18 line SP 74 B phase Suspension insulator replacement work done</t>
  </si>
  <si>
    <t>Manual stop for Stiffener plate fixing work.</t>
  </si>
  <si>
    <t>Fault Category</t>
  </si>
  <si>
    <t>WTG</t>
  </si>
  <si>
    <t>IG</t>
  </si>
  <si>
    <t>EG</t>
  </si>
  <si>
    <t>WTG Unscheduled Maintenance</t>
  </si>
  <si>
    <t>IG Unscheduled Maintenance</t>
  </si>
  <si>
    <t>EG Unscheduled Maintenance</t>
  </si>
  <si>
    <t>WTG Breakdown Maintenance</t>
  </si>
  <si>
    <t>IG Breakdown Maintenance</t>
  </si>
  <si>
    <t>EG Breakdown Maintenance</t>
  </si>
  <si>
    <t>WTG Scheduled Maintenance</t>
  </si>
  <si>
    <t>IG Scheduled Maintenance</t>
  </si>
  <si>
    <t>EG Scheduled Maintenance</t>
  </si>
  <si>
    <t xml:space="preserve">WTG Environmental </t>
  </si>
  <si>
    <t>IG Force Majeure</t>
  </si>
  <si>
    <t>EG Force Majeure</t>
  </si>
  <si>
    <t>WTG Force Majeure</t>
  </si>
  <si>
    <t>we found HUB controller communication not available then rebooted once and restored.</t>
  </si>
  <si>
    <t>F#02 LC taken for tree trimming work</t>
  </si>
  <si>
    <t xml:space="preserve"> Tree trimming work completed &amp; charge the feeder</t>
  </si>
  <si>
    <t>Manual stop for Tower flange inspection work during operation Blade C Position encoder error triggered so we found blade  C Encoder cable was loosen due to these signal was mismatching and alarm was triggered continuously retighten done and restored WTG.</t>
  </si>
  <si>
    <t>KUD-17 to KUD-16 CP=19 B phase Tension insulator Replacement work done &amp; after feeder charger line stood ok</t>
  </si>
  <si>
    <t>RT activation no. exceeded: 15</t>
  </si>
  <si>
    <t>YawUntwistCCW: Code 6,    553Â°</t>
  </si>
  <si>
    <t>KUD-17 to KUD-16 CP-19 B phase Tension insulator Replacement work</t>
  </si>
  <si>
    <t>Manual stop for Generator Alignment work.</t>
  </si>
  <si>
    <t>Kud01</t>
  </si>
  <si>
    <t>Kud04</t>
  </si>
  <si>
    <t>KUD-17 to KUD-02 TP=47  Y &amp; B Tension insulator Replacement work completed</t>
  </si>
  <si>
    <t>Remote reboot done</t>
  </si>
  <si>
    <t>LC taken for KUD17 to KUD02 line TP-47 Y &amp; B Phase tension insulator replacement work</t>
  </si>
  <si>
    <t>ROW issue</t>
  </si>
  <si>
    <t>Work under process..</t>
  </si>
  <si>
    <t>Found ACB not closing then TU reset done.</t>
  </si>
  <si>
    <t>Found ACB closing coil malfunction then reboot done</t>
  </si>
  <si>
    <t>Manual stop for Load Curtailment purpose</t>
  </si>
  <si>
    <t>Stoppage Type</t>
  </si>
  <si>
    <t>Paired WTG Generation for loss calculation</t>
  </si>
  <si>
    <t>Special Remarks</t>
  </si>
  <si>
    <t>Scope</t>
  </si>
  <si>
    <t>Loss of KWH</t>
  </si>
  <si>
    <t>Line2</t>
  </si>
  <si>
    <t>Line3</t>
  </si>
  <si>
    <t>After grid restored Trafo room arc sensor activated so Trafo inspection done and found all normal and then restored.</t>
  </si>
  <si>
    <t xml:space="preserve">Feeder #04 Shutdown for f#02 cable replacement work </t>
  </si>
  <si>
    <t xml:space="preserve">Spare feeder cable connected to the  H pole and chrged </t>
  </si>
  <si>
    <t>F#01 cable connected to the DP yard F#01 and F#4 cable conneted to  DP yard F#02</t>
  </si>
  <si>
    <t>Tripped on EFR found  33kv  B-phase UG cable insulation faliure and cable puncher</t>
  </si>
  <si>
    <t>Estop Button Activated 7</t>
  </si>
  <si>
    <t>Wtg pathway ROW issue..</t>
  </si>
  <si>
    <t>during running time error came checked found slipring track was damaged so we replaced 4 nos slip ring brush and 1nos  slipring unit changed</t>
  </si>
  <si>
    <t>work inprogress..</t>
  </si>
  <si>
    <t>Tripped on OCR found fuse failure at jk metering point</t>
  </si>
  <si>
    <t>Troubleshooting carried out safety pilz malfunction out and software update done</t>
  </si>
  <si>
    <t>Slip:-027 above limits 1</t>
  </si>
  <si>
    <t>Max rotor RPM: 17.3 RPM</t>
  </si>
  <si>
    <t>We checked found Hydraulics motor 1 bearing was failiure so replaced new motor then restart the wtg.</t>
  </si>
  <si>
    <t>Manual stop for VPC temp high inspection workFound VPC internal fan got failure, So replacement done.</t>
  </si>
  <si>
    <t>LC taken for KUD-18 JK metering point  fuse replacement.</t>
  </si>
  <si>
    <t>During the Line inspection Found R &amp; B-phase fuse failure at JK metering point</t>
  </si>
  <si>
    <t xml:space="preserve"> KUD-18 JK metering point R &amp; B- phase fuse replacement done.</t>
  </si>
  <si>
    <t>We checked the Slip ring unit found Spindle insulator crack condition so replaced with new one</t>
  </si>
  <si>
    <t>F4  LC taken for insulator replacement work</t>
  </si>
  <si>
    <t>KUD-04 line CP11 Y&amp;B ph tension insulator and CP-7 B ph pin insulator replacement work done</t>
  </si>
  <si>
    <t>Tripped on EFR  found fuse failure at jk metering point</t>
  </si>
  <si>
    <t>During routine monitoring, a temperature deviation was observed at KUD-19 NRE main bearing, 
Today we have Taken the inspection and observed  Grease leakage through the seal and It was corrected by properly fixing the seal and performing a grease top-up to compensate for the leaked quantity. The PT100 sensor was checked and confirmed to be functioning correctly. Post-correction, the turbine was run and no abnormal noise, vibration. The main bearing seems normal operation</t>
  </si>
  <si>
    <t>During the Line inspection Found B-phase fuse failure at JK metering point</t>
  </si>
  <si>
    <t xml:space="preserve"> KUD-18 JK metering point B - phase fuse replacement done.</t>
  </si>
  <si>
    <t>M/S for CMS alert inspection work.</t>
  </si>
  <si>
    <t>M/S for VCP temp high so we found External fan MCB in trip condition so normalised and checked the fan operation found normal then restored wtg.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</si>
</sst>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_(* #,##0.00_);_(* \(#,##0.00\);_(* &quot;-&quot;??_);_(@_)"/>
    <numFmt numFmtId="165" formatCode="0.0"/>
    <numFmt numFmtId="166" formatCode="0.0%"/>
    <numFmt numFmtId="167" formatCode="_ * #,##0_ ;_ * \-#,##0_ ;_ * &quot;-&quot;??_ ;_ @_ "/>
    <numFmt numFmtId="168" formatCode="_ * #,##0.0_ ;_ * \-#,##0.0_ ;_ * &quot;-&quot;??_ ;_ @_ "/>
    <numFmt numFmtId="169" formatCode="[$-409]d/mmm/yy;@"/>
    <numFmt numFmtId="170" formatCode="0.000"/>
    <numFmt numFmtId="171" formatCode="[$-409]mmm/yy;@"/>
    <numFmt numFmtId="172" formatCode="[$-409]d\-mmm\-yy;@"/>
    <numFmt numFmtId="173" formatCode="[$-F400]h:mm:ss\ AM/PM"/>
  </numFmts>
  <fonts count="11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9"/>
      <color theme="0"/>
      <name val="Calibri"/>
      <family val="2"/>
      <scheme val="minor"/>
    </font>
    <font>
      <sz val="11"/>
      <name val="Calibri"/>
      <family val="2"/>
      <scheme val="minor"/>
    </font>
    <font>
      <u/>
      <sz val="11"/>
      <color theme="10"/>
      <name val="Calibri"/>
      <family val="2"/>
      <scheme val="minor"/>
    </font>
    <font>
      <sz val="11"/>
      <color rgb="FF000000"/>
      <name val="Calibri"/>
      <family val="2"/>
    </font>
    <font>
      <b/>
      <sz val="11"/>
      <color theme="1"/>
      <name val="Cambria"/>
      <family val="1"/>
    </font>
    <font>
      <sz val="11"/>
      <color theme="1"/>
      <name val="Cambria"/>
      <family val="1"/>
    </font>
    <font>
      <sz val="11"/>
      <color theme="1"/>
      <name val="Helvetica Neue"/>
      <family val="2"/>
    </font>
    <font>
      <sz val="10"/>
      <name val="Palatino Linotype"/>
      <family val="1"/>
    </font>
    <font>
      <sz val="11"/>
      <color theme="0"/>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b/>
      <sz val="16"/>
      <color theme="0"/>
      <name val="Calibri"/>
      <family val="2"/>
      <scheme val="minor"/>
    </font>
    <font>
      <b/>
      <sz val="11"/>
      <color theme="0"/>
      <name val="Calibri"/>
      <family val="2"/>
      <scheme val="minor"/>
    </font>
    <font>
      <b/>
      <sz val="12"/>
      <color theme="0"/>
      <name val="Hadassah Friedlaender"/>
      <family val="1"/>
      <charset val="177"/>
    </font>
    <font>
      <b/>
      <sz val="10"/>
      <color theme="0"/>
      <name val="Hadassah Friedlaender"/>
      <family val="1"/>
      <charset val="177"/>
    </font>
    <font>
      <sz val="10"/>
      <name val="Hadassah Friedlaender"/>
      <family val="1"/>
      <charset val="177"/>
    </font>
    <font>
      <sz val="8"/>
      <name val="Calibri"/>
      <family val="2"/>
      <scheme val="minor"/>
    </font>
    <font>
      <sz val="10"/>
      <color theme="1"/>
      <name val="Hadassah Friedlaender"/>
      <family val="1"/>
      <charset val="177"/>
    </font>
    <font>
      <b/>
      <sz val="10"/>
      <name val="Hadassah Friedlaender"/>
      <family val="1"/>
      <charset val="177"/>
    </font>
    <font>
      <sz val="10"/>
      <name val="Arial"/>
      <family val="2"/>
    </font>
    <font>
      <sz val="11"/>
      <color indexed="8"/>
      <name val="Calibri"/>
      <family val="2"/>
    </font>
    <font>
      <sz val="11"/>
      <color theme="1"/>
      <name val="Calibri"/>
      <family val="2"/>
      <scheme val="minor"/>
    </font>
    <font>
      <sz val="10"/>
      <name val="Palatino Linotype"/>
      <family val="1"/>
      <charset val="134"/>
    </font>
    <font>
      <sz val="8"/>
      <name val="Calibri"/>
      <family val="2"/>
      <scheme val="minor"/>
    </font>
    <font>
      <sz val="11"/>
      <color indexed="8"/>
      <name val="Calibri"/>
      <family val="2"/>
      <charset val="134"/>
    </font>
    <font>
      <sz val="11"/>
      <color theme="1"/>
      <name val="Calibri"/>
      <family val="2"/>
    </font>
    <font>
      <sz val="8"/>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name val="Calibri"/>
      <family val="2"/>
      <scheme val="minor"/>
    </font>
    <font>
      <sz val="10"/>
      <name val="Palatino Linotype"/>
      <family val="1"/>
    </font>
    <font>
      <sz val="11"/>
      <name val="Calibri"/>
      <family val="2"/>
    </font>
    <font>
      <sz val="8"/>
      <name val="Calibri"/>
      <family val="2"/>
      <scheme val="minor"/>
    </font>
    <font>
      <sz val="10"/>
      <name val="Palatino Linotype"/>
      <family val="1"/>
    </font>
    <font>
      <sz val="11"/>
      <name val="Calibri"/>
      <family val="2"/>
    </font>
    <font>
      <b/>
      <sz val="9"/>
      <color theme="0"/>
      <name val="Calibri"/>
      <family val="2"/>
      <scheme val="minor"/>
    </font>
    <font>
      <sz val="8"/>
      <name val="Calibri"/>
      <family val="2"/>
      <scheme val="minor"/>
    </font>
    <font>
      <sz val="11"/>
      <color theme="1"/>
      <name val="Calibri"/>
      <family val="2"/>
    </font>
    <font>
      <sz val="10"/>
      <name val="Palatino Linotype"/>
      <family val="1"/>
    </font>
    <font>
      <sz val="11"/>
      <name val="Calibri"/>
      <family val="2"/>
    </font>
    <font>
      <sz val="8"/>
      <name val="Calibri"/>
      <family val="2"/>
      <scheme val="minor"/>
    </font>
    <font>
      <sz val="12"/>
      <color theme="1"/>
      <name val="Calibri"/>
      <family val="2"/>
      <scheme val="minor"/>
    </font>
    <font>
      <sz val="10"/>
      <name val="Palatino Linotype"/>
      <family val="1"/>
    </font>
    <font>
      <sz val="10"/>
      <name val="Palatino Linotype"/>
      <family val="1"/>
    </font>
    <font>
      <sz val="10"/>
      <name val="Palatino Linotype"/>
      <family val="1"/>
    </font>
    <font>
      <sz val="11"/>
      <name val="Calibri"/>
      <family val="2"/>
    </font>
    <font>
      <sz val="10"/>
      <name val="Palatino Linotype"/>
      <family val="1"/>
    </font>
    <font>
      <sz val="11"/>
      <color theme="1"/>
      <name val="Calibri"/>
      <family val="2"/>
      <charset val="134"/>
      <scheme val="minor"/>
    </font>
  </fonts>
  <fills count="54">
    <fill>
      <patternFill patternType="none"/>
    </fill>
    <fill>
      <patternFill patternType="gray125"/>
    </fill>
    <fill>
      <patternFill patternType="solid">
        <fgColor theme="9"/>
        <bgColor indexed="64"/>
      </patternFill>
    </fill>
    <fill>
      <patternFill patternType="solid">
        <fgColor theme="5" tint="0.59999389629810485"/>
        <bgColor indexed="64"/>
      </patternFill>
    </fill>
    <fill>
      <patternFill patternType="solid">
        <fgColor theme="6"/>
        <bgColor indexed="64"/>
      </patternFill>
    </fill>
    <fill>
      <patternFill patternType="solid">
        <fgColor rgb="FFFFFF00"/>
        <bgColor indexed="64"/>
      </patternFill>
    </fill>
    <fill>
      <patternFill patternType="solid">
        <fgColor theme="9" tint="0.59999389629810485"/>
        <bgColor theme="9" tint="0.59999389629810485"/>
      </patternFill>
    </fill>
    <fill>
      <patternFill patternType="solid">
        <fgColor theme="9" tint="0.59999389629810485"/>
        <bgColor indexed="64"/>
      </patternFill>
    </fill>
    <fill>
      <patternFill patternType="solid">
        <fgColor theme="9" tint="0.79995117038483843"/>
        <bgColor indexed="64"/>
      </patternFill>
    </fill>
    <fill>
      <patternFill patternType="solid">
        <fgColor theme="0"/>
        <bgColor indexed="64"/>
      </patternFill>
    </fill>
    <fill>
      <patternFill patternType="solid">
        <fgColor theme="7" tint="0.79995117038483843"/>
        <bgColor indexed="64"/>
      </patternFill>
    </fill>
    <fill>
      <patternFill patternType="solid">
        <fgColor theme="8" tint="0.79995117038483843"/>
        <bgColor indexed="64"/>
      </patternFill>
    </fill>
    <fill>
      <patternFill patternType="solid">
        <fgColor theme="2"/>
        <bgColor indexed="64"/>
      </patternFill>
    </fill>
    <fill>
      <patternFill patternType="solid">
        <fgColor theme="7" tint="0.79995117038483843"/>
        <bgColor indexed="64"/>
      </patternFill>
    </fill>
    <fill>
      <patternFill patternType="solid">
        <fgColor theme="7"/>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theme="4" tint="0.79995117038483843"/>
        <bgColor theme="4" tint="0.79995117038483843"/>
      </patternFill>
    </fill>
    <fill>
      <patternFill patternType="solid">
        <fgColor theme="5"/>
        <bgColor indexed="64"/>
      </patternFill>
    </fill>
    <fill>
      <patternFill patternType="solid">
        <fgColor theme="8"/>
        <bgColor indexed="64"/>
      </patternFill>
    </fill>
    <fill>
      <patternFill patternType="solid">
        <fgColor theme="8" tint="-0.249977111117893"/>
        <bgColor indexed="64"/>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theme="9" tint="0.79998168889431442"/>
      </patternFill>
    </fill>
  </fills>
  <borders count="8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theme="0"/>
      </right>
      <top style="thin">
        <color theme="0"/>
      </top>
      <bottom style="thin">
        <color theme="0"/>
      </bottom>
      <diagonal/>
    </border>
    <border>
      <left/>
      <right style="thin">
        <color theme="0"/>
      </right>
      <top style="thin">
        <color theme="0"/>
      </top>
      <bottom/>
      <diagonal/>
    </border>
    <border>
      <left style="hair">
        <color auto="1"/>
      </left>
      <right style="hair">
        <color auto="1"/>
      </right>
      <top/>
      <bottom style="hair">
        <color auto="1"/>
      </bottom>
      <diagonal/>
    </border>
    <border>
      <left/>
      <right style="thin">
        <color theme="2" tint="-9.9917600024414813E-2"/>
      </right>
      <top/>
      <bottom style="thin">
        <color theme="2" tint="-9.9917600024414813E-2"/>
      </bottom>
      <diagonal/>
    </border>
    <border>
      <left style="thin">
        <color theme="2" tint="-9.9917600024414813E-2"/>
      </left>
      <right style="thin">
        <color theme="2" tint="-9.9917600024414813E-2"/>
      </right>
      <top/>
      <bottom style="thin">
        <color theme="2" tint="-9.9917600024414813E-2"/>
      </bottom>
      <diagonal/>
    </border>
    <border>
      <left style="thin">
        <color theme="2" tint="-9.9917600024414813E-2"/>
      </left>
      <right style="thin">
        <color theme="2" tint="-9.9917600024414813E-2"/>
      </right>
      <top style="thin">
        <color theme="2" tint="-9.9917600024414813E-2"/>
      </top>
      <bottom style="thin">
        <color theme="2" tint="-9.9917600024414813E-2"/>
      </bottom>
      <diagonal/>
    </border>
    <border>
      <left style="thin">
        <color theme="2" tint="-9.9917600024414813E-2"/>
      </left>
      <right/>
      <top/>
      <bottom style="thin">
        <color theme="2" tint="-9.9917600024414813E-2"/>
      </bottom>
      <diagonal/>
    </border>
    <border>
      <left style="thin">
        <color theme="2" tint="-9.9917600024414813E-2"/>
      </left>
      <right style="thin">
        <color theme="2" tint="-9.9917600024414813E-2"/>
      </right>
      <top style="thin">
        <color theme="2" tint="-9.9917600024414813E-2"/>
      </top>
      <bottom/>
      <diagonal/>
    </border>
    <border>
      <left/>
      <right style="thin">
        <color theme="2" tint="-9.9917600024414813E-2"/>
      </right>
      <top style="thin">
        <color theme="2" tint="-9.9917600024414813E-2"/>
      </top>
      <bottom style="thin">
        <color theme="2" tint="-9.9917600024414813E-2"/>
      </bottom>
      <diagonal/>
    </border>
    <border>
      <left/>
      <right style="thin">
        <color theme="2" tint="-9.9917600024414813E-2"/>
      </right>
      <top/>
      <bottom/>
      <diagonal/>
    </border>
    <border>
      <left/>
      <right/>
      <top style="thin">
        <color theme="2" tint="-9.9917600024414813E-2"/>
      </top>
      <bottom style="thin">
        <color theme="2" tint="-9.9917600024414813E-2"/>
      </bottom>
      <diagonal/>
    </border>
    <border>
      <left style="thin">
        <color theme="2" tint="-9.9917600024414813E-2"/>
      </left>
      <right style="thin">
        <color theme="2" tint="-9.9917600024414813E-2"/>
      </right>
      <top style="thin">
        <color theme="2" tint="-9.9917600024414813E-2"/>
      </top>
      <bottom style="thin">
        <color theme="2" tint="-9.9917600024414813E-2"/>
      </bottom>
      <diagonal/>
    </border>
    <border>
      <left style="thin">
        <color theme="2" tint="-9.9917600024414813E-2"/>
      </left>
      <right style="thin">
        <color theme="2" tint="-9.9917600024414813E-2"/>
      </right>
      <top/>
      <bottom/>
      <diagonal/>
    </border>
    <border>
      <left/>
      <right style="thin">
        <color theme="2" tint="-9.9917600024414813E-2"/>
      </right>
      <top style="thin">
        <color theme="2" tint="-9.9917600024414813E-2"/>
      </top>
      <bottom/>
      <diagonal/>
    </border>
    <border>
      <left/>
      <right/>
      <top style="thin">
        <color theme="2" tint="-9.9917600024414813E-2"/>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hair">
        <color theme="5"/>
      </top>
      <bottom style="hair">
        <color theme="5"/>
      </bottom>
      <diagonal/>
    </border>
    <border>
      <left/>
      <right/>
      <top style="hair">
        <color theme="5"/>
      </top>
      <bottom style="hair">
        <color theme="5"/>
      </bottom>
      <diagonal/>
    </border>
    <border>
      <left/>
      <right style="medium">
        <color auto="1"/>
      </right>
      <top style="hair">
        <color theme="5"/>
      </top>
      <bottom style="hair">
        <color theme="5"/>
      </bottom>
      <diagonal/>
    </border>
    <border>
      <left style="medium">
        <color auto="1"/>
      </left>
      <right style="double">
        <color theme="5" tint="0.59996337778862885"/>
      </right>
      <top/>
      <bottom style="medium">
        <color auto="1"/>
      </bottom>
      <diagonal/>
    </border>
    <border>
      <left style="double">
        <color theme="5" tint="0.59996337778862885"/>
      </left>
      <right/>
      <top/>
      <bottom style="medium">
        <color auto="1"/>
      </bottom>
      <diagonal/>
    </border>
    <border>
      <left/>
      <right/>
      <top/>
      <bottom style="medium">
        <color auto="1"/>
      </bottom>
      <diagonal/>
    </border>
    <border>
      <left/>
      <right style="medium">
        <color auto="1"/>
      </right>
      <top/>
      <bottom style="medium">
        <color auto="1"/>
      </bottom>
      <diagonal/>
    </border>
    <border>
      <left style="double">
        <color theme="5" tint="0.59996337778862885"/>
      </left>
      <right style="double">
        <color theme="5" tint="0.59996337778862885"/>
      </right>
      <top/>
      <bottom/>
      <diagonal/>
    </border>
    <border>
      <left style="medium">
        <color auto="1"/>
      </left>
      <right style="hair">
        <color theme="5"/>
      </right>
      <top style="medium">
        <color auto="1"/>
      </top>
      <bottom style="medium">
        <color auto="1"/>
      </bottom>
      <diagonal/>
    </border>
    <border>
      <left style="hair">
        <color theme="5"/>
      </left>
      <right style="hair">
        <color theme="5"/>
      </right>
      <top style="medium">
        <color auto="1"/>
      </top>
      <bottom style="medium">
        <color auto="1"/>
      </bottom>
      <diagonal/>
    </border>
    <border>
      <left style="hair">
        <color theme="5"/>
      </left>
      <right style="medium">
        <color auto="1"/>
      </right>
      <top style="medium">
        <color auto="1"/>
      </top>
      <bottom style="medium">
        <color auto="1"/>
      </bottom>
      <diagonal/>
    </border>
    <border>
      <left style="medium">
        <color auto="1"/>
      </left>
      <right style="hair">
        <color theme="5"/>
      </right>
      <top style="medium">
        <color auto="1"/>
      </top>
      <bottom style="hair">
        <color theme="5"/>
      </bottom>
      <diagonal/>
    </border>
    <border>
      <left style="hair">
        <color theme="5"/>
      </left>
      <right style="hair">
        <color theme="5"/>
      </right>
      <top style="medium">
        <color auto="1"/>
      </top>
      <bottom style="hair">
        <color theme="5"/>
      </bottom>
      <diagonal/>
    </border>
    <border>
      <left style="hair">
        <color theme="5"/>
      </left>
      <right style="medium">
        <color auto="1"/>
      </right>
      <top style="medium">
        <color auto="1"/>
      </top>
      <bottom style="hair">
        <color theme="5"/>
      </bottom>
      <diagonal/>
    </border>
    <border>
      <left style="medium">
        <color auto="1"/>
      </left>
      <right style="hair">
        <color theme="5"/>
      </right>
      <top style="hair">
        <color theme="5"/>
      </top>
      <bottom style="hair">
        <color theme="5"/>
      </bottom>
      <diagonal/>
    </border>
    <border>
      <left style="hair">
        <color theme="5"/>
      </left>
      <right style="hair">
        <color theme="5"/>
      </right>
      <top style="hair">
        <color theme="5"/>
      </top>
      <bottom style="hair">
        <color theme="5"/>
      </bottom>
      <diagonal/>
    </border>
    <border>
      <left style="hair">
        <color theme="5"/>
      </left>
      <right style="medium">
        <color auto="1"/>
      </right>
      <top style="hair">
        <color theme="5"/>
      </top>
      <bottom style="hair">
        <color theme="5"/>
      </bottom>
      <diagonal/>
    </border>
    <border>
      <left style="medium">
        <color auto="1"/>
      </left>
      <right style="hair">
        <color theme="5"/>
      </right>
      <top style="hair">
        <color theme="5"/>
      </top>
      <bottom style="medium">
        <color auto="1"/>
      </bottom>
      <diagonal/>
    </border>
    <border>
      <left style="hair">
        <color theme="5"/>
      </left>
      <right style="hair">
        <color theme="5"/>
      </right>
      <top style="hair">
        <color theme="5"/>
      </top>
      <bottom style="medium">
        <color auto="1"/>
      </bottom>
      <diagonal/>
    </border>
    <border>
      <left style="hair">
        <color theme="5"/>
      </left>
      <right style="medium">
        <color auto="1"/>
      </right>
      <top style="hair">
        <color theme="5"/>
      </top>
      <bottom style="medium">
        <color auto="1"/>
      </bottom>
      <diagonal/>
    </border>
    <border>
      <left style="hair">
        <color theme="5"/>
      </left>
      <right/>
      <top style="medium">
        <color auto="1"/>
      </top>
      <bottom style="medium">
        <color auto="1"/>
      </bottom>
      <diagonal/>
    </border>
    <border>
      <left/>
      <right style="medium">
        <color auto="1"/>
      </right>
      <top style="medium">
        <color auto="1"/>
      </top>
      <bottom style="medium">
        <color auto="1"/>
      </bottom>
      <diagonal/>
    </border>
    <border>
      <left style="hair">
        <color theme="5"/>
      </left>
      <right/>
      <top style="medium">
        <color auto="1"/>
      </top>
      <bottom style="hair">
        <color theme="5"/>
      </bottom>
      <diagonal/>
    </border>
    <border>
      <left/>
      <right style="hair">
        <color theme="5"/>
      </right>
      <top style="medium">
        <color auto="1"/>
      </top>
      <bottom style="hair">
        <color theme="5"/>
      </bottom>
      <diagonal/>
    </border>
    <border>
      <left style="hair">
        <color theme="5"/>
      </left>
      <right/>
      <top style="hair">
        <color theme="5"/>
      </top>
      <bottom style="hair">
        <color theme="5"/>
      </bottom>
      <diagonal/>
    </border>
    <border>
      <left/>
      <right style="hair">
        <color theme="5"/>
      </right>
      <top style="hair">
        <color theme="5"/>
      </top>
      <bottom style="hair">
        <color theme="5"/>
      </bottom>
      <diagonal/>
    </border>
    <border>
      <left style="medium">
        <color auto="1"/>
      </left>
      <right style="medium">
        <color auto="1"/>
      </right>
      <top style="medium">
        <color auto="1"/>
      </top>
      <bottom style="hair">
        <color theme="5"/>
      </bottom>
      <diagonal/>
    </border>
    <border>
      <left style="medium">
        <color auto="1"/>
      </left>
      <right style="medium">
        <color auto="1"/>
      </right>
      <top style="hair">
        <color theme="5"/>
      </top>
      <bottom style="hair">
        <color theme="5"/>
      </bottom>
      <diagonal/>
    </border>
    <border>
      <left style="medium">
        <color auto="1"/>
      </left>
      <right style="medium">
        <color auto="1"/>
      </right>
      <top style="hair">
        <color theme="5"/>
      </top>
      <bottom style="medium">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top/>
      <bottom/>
      <diagonal/>
    </border>
    <border>
      <left/>
      <right/>
      <top/>
      <bottom style="thin">
        <color theme="2" tint="-9.9917600024414813E-2"/>
      </bottom>
      <diagonal/>
    </border>
    <border>
      <left style="thin">
        <color theme="0"/>
      </left>
      <right style="thin">
        <color theme="0"/>
      </right>
      <top style="thin">
        <color theme="0"/>
      </top>
      <bottom style="thin">
        <color theme="0"/>
      </bottom>
      <diagonal/>
    </border>
    <border>
      <left/>
      <right/>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dotted">
        <color auto="1"/>
      </left>
      <right style="dotted">
        <color auto="1"/>
      </right>
      <top/>
      <bottom style="dotted">
        <color auto="1"/>
      </bottom>
      <diagonal/>
    </border>
    <border>
      <left style="dotted">
        <color theme="2" tint="-9.9917600024414813E-2"/>
      </left>
      <right style="dotted">
        <color theme="2" tint="-9.9917600024414813E-2"/>
      </right>
      <top/>
      <bottom style="dotted">
        <color theme="2" tint="-9.9917600024414813E-2"/>
      </bottom>
      <diagonal/>
    </border>
    <border>
      <left/>
      <right style="dotted">
        <color auto="1"/>
      </right>
      <top/>
      <bottom style="dotted">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dotted">
        <color theme="2" tint="-9.9948118533890809E-2"/>
      </left>
      <right style="dotted">
        <color theme="2" tint="-9.9948118533890809E-2"/>
      </right>
      <top/>
      <bottom style="dotted">
        <color theme="2" tint="-9.9948118533890809E-2"/>
      </bottom>
      <diagonal/>
    </border>
    <border>
      <left style="dotted">
        <color theme="2" tint="-9.9948118533890809E-2"/>
      </left>
      <right style="dotted">
        <color theme="2" tint="-9.9948118533890809E-2"/>
      </right>
      <top/>
      <bottom/>
      <diagonal/>
    </border>
  </borders>
  <cellStyleXfs count="63995">
    <xf numFmtId="0" fontId="0" fillId="0" borderId="0"/>
    <xf numFmtId="43" fontId="76" fillId="0" borderId="0" applyFont="0" applyFill="0" applyBorder="0" applyAlignment="0" applyProtection="0"/>
    <xf numFmtId="9" fontId="76" fillId="0" borderId="0" applyFont="0" applyFill="0" applyBorder="0" applyAlignment="0" applyProtection="0"/>
    <xf numFmtId="0" fontId="56" fillId="0" borderId="0" applyNumberFormat="0" applyFill="0" applyBorder="0" applyAlignment="0" applyProtection="0"/>
    <xf numFmtId="43" fontId="76" fillId="0" borderId="0" applyFont="0" applyFill="0" applyBorder="0" applyAlignment="0" applyProtection="0"/>
    <xf numFmtId="0" fontId="76" fillId="0" borderId="0"/>
    <xf numFmtId="0" fontId="74" fillId="0" borderId="0"/>
    <xf numFmtId="0" fontId="76" fillId="0" borderId="0"/>
    <xf numFmtId="0" fontId="76" fillId="0" borderId="0"/>
    <xf numFmtId="0" fontId="76" fillId="0" borderId="0"/>
    <xf numFmtId="0" fontId="75" fillId="0" borderId="0">
      <alignment vertical="center"/>
    </xf>
    <xf numFmtId="0" fontId="60" fillId="0" borderId="0"/>
    <xf numFmtId="0" fontId="76" fillId="0" borderId="0"/>
    <xf numFmtId="9" fontId="75" fillId="0" borderId="0" applyFont="0" applyFill="0" applyBorder="0" applyAlignment="0" applyProtection="0"/>
    <xf numFmtId="9" fontId="76" fillId="0" borderId="0" applyFont="0" applyFill="0" applyBorder="0" applyAlignment="0" applyProtection="0"/>
    <xf numFmtId="9" fontId="75" fillId="0" borderId="0" applyFont="0" applyFill="0" applyBorder="0" applyAlignment="0" applyProtection="0">
      <alignment vertical="center"/>
    </xf>
    <xf numFmtId="0" fontId="53" fillId="0" borderId="0"/>
    <xf numFmtId="0" fontId="79" fillId="0" borderId="0">
      <alignment vertical="center"/>
    </xf>
    <xf numFmtId="9" fontId="79" fillId="0" borderId="0" applyFont="0" applyFill="0" applyBorder="0" applyAlignment="0" applyProtection="0">
      <alignment vertical="center"/>
    </xf>
    <xf numFmtId="0" fontId="53" fillId="0" borderId="0"/>
    <xf numFmtId="43"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43" fontId="53" fillId="0" borderId="0" applyFont="0" applyFill="0" applyBorder="0" applyAlignment="0" applyProtection="0"/>
    <xf numFmtId="9" fontId="53" fillId="0" borderId="0" applyFont="0" applyFill="0" applyBorder="0" applyAlignment="0" applyProtection="0"/>
    <xf numFmtId="0" fontId="53" fillId="0" borderId="0"/>
    <xf numFmtId="0" fontId="52" fillId="0" borderId="0"/>
    <xf numFmtId="0" fontId="52" fillId="0" borderId="0"/>
    <xf numFmtId="43" fontId="52" fillId="0" borderId="0" applyFont="0" applyFill="0" applyBorder="0" applyAlignment="0" applyProtection="0"/>
    <xf numFmtId="9" fontId="52" fillId="0" borderId="0" applyFont="0" applyFill="0" applyBorder="0" applyAlignment="0" applyProtection="0"/>
    <xf numFmtId="0" fontId="52" fillId="0" borderId="0"/>
    <xf numFmtId="0" fontId="52" fillId="0" borderId="0"/>
    <xf numFmtId="43" fontId="52" fillId="0" borderId="0" applyFont="0" applyFill="0" applyBorder="0" applyAlignment="0" applyProtection="0"/>
    <xf numFmtId="9" fontId="52" fillId="0" borderId="0" applyFont="0" applyFill="0" applyBorder="0" applyAlignment="0" applyProtection="0"/>
    <xf numFmtId="0" fontId="52" fillId="0" borderId="0"/>
    <xf numFmtId="0" fontId="51" fillId="0" borderId="0"/>
    <xf numFmtId="0" fontId="51" fillId="0" borderId="0"/>
    <xf numFmtId="43" fontId="51" fillId="0" borderId="0" applyFont="0" applyFill="0" applyBorder="0" applyAlignment="0" applyProtection="0"/>
    <xf numFmtId="9" fontId="51" fillId="0" borderId="0" applyFont="0" applyFill="0" applyBorder="0" applyAlignment="0" applyProtection="0"/>
    <xf numFmtId="0" fontId="51" fillId="0" borderId="0"/>
    <xf numFmtId="0" fontId="51" fillId="0" borderId="0"/>
    <xf numFmtId="43" fontId="51" fillId="0" borderId="0" applyFont="0" applyFill="0" applyBorder="0" applyAlignment="0" applyProtection="0"/>
    <xf numFmtId="9" fontId="51" fillId="0" borderId="0" applyFont="0" applyFill="0" applyBorder="0" applyAlignment="0" applyProtection="0"/>
    <xf numFmtId="0" fontId="51" fillId="0" borderId="0"/>
    <xf numFmtId="0" fontId="50" fillId="0" borderId="0"/>
    <xf numFmtId="0" fontId="50" fillId="0" borderId="0"/>
    <xf numFmtId="43" fontId="50" fillId="0" borderId="0" applyFont="0" applyFill="0" applyBorder="0" applyAlignment="0" applyProtection="0"/>
    <xf numFmtId="9" fontId="50" fillId="0" borderId="0" applyFont="0" applyFill="0" applyBorder="0" applyAlignment="0" applyProtection="0"/>
    <xf numFmtId="0" fontId="50" fillId="0" borderId="0"/>
    <xf numFmtId="0" fontId="50" fillId="0" borderId="0"/>
    <xf numFmtId="43" fontId="50" fillId="0" borderId="0" applyFont="0" applyFill="0" applyBorder="0" applyAlignment="0" applyProtection="0"/>
    <xf numFmtId="9" fontId="50" fillId="0" borderId="0" applyFont="0" applyFill="0" applyBorder="0" applyAlignment="0" applyProtection="0"/>
    <xf numFmtId="0" fontId="50" fillId="0" borderId="0"/>
    <xf numFmtId="0" fontId="82" fillId="0" borderId="0" applyNumberFormat="0" applyFill="0" applyBorder="0" applyAlignment="0" applyProtection="0"/>
    <xf numFmtId="0" fontId="83" fillId="0" borderId="54" applyNumberFormat="0" applyFill="0" applyAlignment="0" applyProtection="0"/>
    <xf numFmtId="0" fontId="84" fillId="0" borderId="55" applyNumberFormat="0" applyFill="0" applyAlignment="0" applyProtection="0"/>
    <xf numFmtId="0" fontId="85" fillId="0" borderId="56" applyNumberFormat="0" applyFill="0" applyAlignment="0" applyProtection="0"/>
    <xf numFmtId="0" fontId="85" fillId="0" borderId="0" applyNumberFormat="0" applyFill="0" applyBorder="0" applyAlignment="0" applyProtection="0"/>
    <xf numFmtId="0" fontId="86" fillId="22" borderId="0" applyNumberFormat="0" applyBorder="0" applyAlignment="0" applyProtection="0"/>
    <xf numFmtId="0" fontId="87" fillId="23" borderId="0" applyNumberFormat="0" applyBorder="0" applyAlignment="0" applyProtection="0"/>
    <xf numFmtId="0" fontId="88" fillId="24" borderId="0" applyNumberFormat="0" applyBorder="0" applyAlignment="0" applyProtection="0"/>
    <xf numFmtId="0" fontId="89" fillId="25" borderId="57" applyNumberFormat="0" applyAlignment="0" applyProtection="0"/>
    <xf numFmtId="0" fontId="90" fillId="26" borderId="58" applyNumberFormat="0" applyAlignment="0" applyProtection="0"/>
    <xf numFmtId="0" fontId="91" fillId="26" borderId="57" applyNumberFormat="0" applyAlignment="0" applyProtection="0"/>
    <xf numFmtId="0" fontId="92" fillId="0" borderId="59" applyNumberFormat="0" applyFill="0" applyAlignment="0" applyProtection="0"/>
    <xf numFmtId="0" fontId="67" fillId="27" borderId="60" applyNumberFormat="0" applyAlignment="0" applyProtection="0"/>
    <xf numFmtId="0" fontId="93" fillId="0" borderId="0" applyNumberFormat="0" applyFill="0" applyBorder="0" applyAlignment="0" applyProtection="0"/>
    <xf numFmtId="0" fontId="94" fillId="0" borderId="0" applyNumberFormat="0" applyFill="0" applyBorder="0" applyAlignment="0" applyProtection="0"/>
    <xf numFmtId="0" fontId="95" fillId="0" borderId="62" applyNumberFormat="0" applyFill="0" applyAlignment="0" applyProtection="0"/>
    <xf numFmtId="0" fontId="62" fillId="29" borderId="0" applyNumberFormat="0" applyBorder="0" applyAlignment="0" applyProtection="0"/>
    <xf numFmtId="0" fontId="49" fillId="30" borderId="0" applyNumberFormat="0" applyBorder="0" applyAlignment="0" applyProtection="0"/>
    <xf numFmtId="0" fontId="49" fillId="31" borderId="0" applyNumberFormat="0" applyBorder="0" applyAlignment="0" applyProtection="0"/>
    <xf numFmtId="0" fontId="49" fillId="32" borderId="0" applyNumberFormat="0" applyBorder="0" applyAlignment="0" applyProtection="0"/>
    <xf numFmtId="0" fontId="62" fillId="33" borderId="0" applyNumberFormat="0" applyBorder="0" applyAlignment="0" applyProtection="0"/>
    <xf numFmtId="0" fontId="49" fillId="34" borderId="0" applyNumberFormat="0" applyBorder="0" applyAlignment="0" applyProtection="0"/>
    <xf numFmtId="0" fontId="49" fillId="35" borderId="0" applyNumberFormat="0" applyBorder="0" applyAlignment="0" applyProtection="0"/>
    <xf numFmtId="0" fontId="49" fillId="36" borderId="0" applyNumberFormat="0" applyBorder="0" applyAlignment="0" applyProtection="0"/>
    <xf numFmtId="0" fontId="62" fillId="37" borderId="0" applyNumberFormat="0" applyBorder="0" applyAlignment="0" applyProtection="0"/>
    <xf numFmtId="0" fontId="49" fillId="38" borderId="0" applyNumberFormat="0" applyBorder="0" applyAlignment="0" applyProtection="0"/>
    <xf numFmtId="0" fontId="49" fillId="39" borderId="0" applyNumberFormat="0" applyBorder="0" applyAlignment="0" applyProtection="0"/>
    <xf numFmtId="0" fontId="49" fillId="40" borderId="0" applyNumberFormat="0" applyBorder="0" applyAlignment="0" applyProtection="0"/>
    <xf numFmtId="0" fontId="62" fillId="41" borderId="0" applyNumberFormat="0" applyBorder="0" applyAlignment="0" applyProtection="0"/>
    <xf numFmtId="0" fontId="49" fillId="42" borderId="0" applyNumberFormat="0" applyBorder="0" applyAlignment="0" applyProtection="0"/>
    <xf numFmtId="0" fontId="49" fillId="43" borderId="0" applyNumberFormat="0" applyBorder="0" applyAlignment="0" applyProtection="0"/>
    <xf numFmtId="0" fontId="49" fillId="44" borderId="0" applyNumberFormat="0" applyBorder="0" applyAlignment="0" applyProtection="0"/>
    <xf numFmtId="0" fontId="62" fillId="45" borderId="0" applyNumberFormat="0" applyBorder="0" applyAlignment="0" applyProtection="0"/>
    <xf numFmtId="0" fontId="49" fillId="46" borderId="0" applyNumberFormat="0" applyBorder="0" applyAlignment="0" applyProtection="0"/>
    <xf numFmtId="0" fontId="49" fillId="47" borderId="0" applyNumberFormat="0" applyBorder="0" applyAlignment="0" applyProtection="0"/>
    <xf numFmtId="0" fontId="49" fillId="48" borderId="0" applyNumberFormat="0" applyBorder="0" applyAlignment="0" applyProtection="0"/>
    <xf numFmtId="0" fontId="62" fillId="49" borderId="0" applyNumberFormat="0" applyBorder="0" applyAlignment="0" applyProtection="0"/>
    <xf numFmtId="0" fontId="49" fillId="50" borderId="0" applyNumberFormat="0" applyBorder="0" applyAlignment="0" applyProtection="0"/>
    <xf numFmtId="0" fontId="49" fillId="51" borderId="0" applyNumberFormat="0" applyBorder="0" applyAlignment="0" applyProtection="0"/>
    <xf numFmtId="0" fontId="49" fillId="52" borderId="0" applyNumberFormat="0" applyBorder="0" applyAlignment="0" applyProtection="0"/>
    <xf numFmtId="0" fontId="49" fillId="0" borderId="0"/>
    <xf numFmtId="0" fontId="49" fillId="28" borderId="61" applyNumberFormat="0" applyFont="0" applyAlignment="0" applyProtection="0"/>
    <xf numFmtId="0" fontId="48" fillId="0" borderId="0"/>
    <xf numFmtId="0" fontId="48" fillId="28" borderId="61" applyNumberFormat="0" applyFont="0" applyAlignment="0" applyProtection="0"/>
    <xf numFmtId="0" fontId="48" fillId="30" borderId="0" applyNumberFormat="0" applyBorder="0" applyAlignment="0" applyProtection="0"/>
    <xf numFmtId="0" fontId="48" fillId="31" borderId="0" applyNumberFormat="0" applyBorder="0" applyAlignment="0" applyProtection="0"/>
    <xf numFmtId="0" fontId="48" fillId="32" borderId="0" applyNumberFormat="0" applyBorder="0" applyAlignment="0" applyProtection="0"/>
    <xf numFmtId="0" fontId="48" fillId="34" borderId="0" applyNumberFormat="0" applyBorder="0" applyAlignment="0" applyProtection="0"/>
    <xf numFmtId="0" fontId="48" fillId="35" borderId="0" applyNumberFormat="0" applyBorder="0" applyAlignment="0" applyProtection="0"/>
    <xf numFmtId="0" fontId="48" fillId="36" borderId="0" applyNumberFormat="0" applyBorder="0" applyAlignment="0" applyProtection="0"/>
    <xf numFmtId="0" fontId="48" fillId="38" borderId="0" applyNumberFormat="0" applyBorder="0" applyAlignment="0" applyProtection="0"/>
    <xf numFmtId="0" fontId="48" fillId="39" borderId="0" applyNumberFormat="0" applyBorder="0" applyAlignment="0" applyProtection="0"/>
    <xf numFmtId="0" fontId="48" fillId="40" borderId="0" applyNumberFormat="0" applyBorder="0" applyAlignment="0" applyProtection="0"/>
    <xf numFmtId="0" fontId="48" fillId="42" borderId="0" applyNumberFormat="0" applyBorder="0" applyAlignment="0" applyProtection="0"/>
    <xf numFmtId="0" fontId="48" fillId="43" borderId="0" applyNumberFormat="0" applyBorder="0" applyAlignment="0" applyProtection="0"/>
    <xf numFmtId="0" fontId="48" fillId="44" borderId="0" applyNumberFormat="0" applyBorder="0" applyAlignment="0" applyProtection="0"/>
    <xf numFmtId="0" fontId="48" fillId="46" borderId="0" applyNumberFormat="0" applyBorder="0" applyAlignment="0" applyProtection="0"/>
    <xf numFmtId="0" fontId="48" fillId="47" borderId="0" applyNumberFormat="0" applyBorder="0" applyAlignment="0" applyProtection="0"/>
    <xf numFmtId="0" fontId="48" fillId="48" borderId="0" applyNumberFormat="0" applyBorder="0" applyAlignment="0" applyProtection="0"/>
    <xf numFmtId="0" fontId="48" fillId="50" borderId="0" applyNumberFormat="0" applyBorder="0" applyAlignment="0" applyProtection="0"/>
    <xf numFmtId="0" fontId="48" fillId="51" borderId="0" applyNumberFormat="0" applyBorder="0" applyAlignment="0" applyProtection="0"/>
    <xf numFmtId="0" fontId="48" fillId="52" borderId="0" applyNumberFormat="0" applyBorder="0" applyAlignment="0" applyProtection="0"/>
    <xf numFmtId="0" fontId="47" fillId="0" borderId="0"/>
    <xf numFmtId="0" fontId="47" fillId="28" borderId="61" applyNumberFormat="0" applyFont="0" applyAlignment="0" applyProtection="0"/>
    <xf numFmtId="0" fontId="47" fillId="30" borderId="0" applyNumberFormat="0" applyBorder="0" applyAlignment="0" applyProtection="0"/>
    <xf numFmtId="0" fontId="47" fillId="31" borderId="0" applyNumberFormat="0" applyBorder="0" applyAlignment="0" applyProtection="0"/>
    <xf numFmtId="0" fontId="47" fillId="32" borderId="0" applyNumberFormat="0" applyBorder="0" applyAlignment="0" applyProtection="0"/>
    <xf numFmtId="0" fontId="47" fillId="34" borderId="0" applyNumberFormat="0" applyBorder="0" applyAlignment="0" applyProtection="0"/>
    <xf numFmtId="0" fontId="47" fillId="35" borderId="0" applyNumberFormat="0" applyBorder="0" applyAlignment="0" applyProtection="0"/>
    <xf numFmtId="0" fontId="47" fillId="36" borderId="0" applyNumberFormat="0" applyBorder="0" applyAlignment="0" applyProtection="0"/>
    <xf numFmtId="0" fontId="47" fillId="38" borderId="0" applyNumberFormat="0" applyBorder="0" applyAlignment="0" applyProtection="0"/>
    <xf numFmtId="0" fontId="47" fillId="39" borderId="0" applyNumberFormat="0" applyBorder="0" applyAlignment="0" applyProtection="0"/>
    <xf numFmtId="0" fontId="47" fillId="40" borderId="0" applyNumberFormat="0" applyBorder="0" applyAlignment="0" applyProtection="0"/>
    <xf numFmtId="0" fontId="47" fillId="42" borderId="0" applyNumberFormat="0" applyBorder="0" applyAlignment="0" applyProtection="0"/>
    <xf numFmtId="0" fontId="47" fillId="43" borderId="0" applyNumberFormat="0" applyBorder="0" applyAlignment="0" applyProtection="0"/>
    <xf numFmtId="0" fontId="47" fillId="44" borderId="0" applyNumberFormat="0" applyBorder="0" applyAlignment="0" applyProtection="0"/>
    <xf numFmtId="0" fontId="47" fillId="46" borderId="0" applyNumberFormat="0" applyBorder="0" applyAlignment="0" applyProtection="0"/>
    <xf numFmtId="0" fontId="47" fillId="47" borderId="0" applyNumberFormat="0" applyBorder="0" applyAlignment="0" applyProtection="0"/>
    <xf numFmtId="0" fontId="47" fillId="48" borderId="0" applyNumberFormat="0" applyBorder="0" applyAlignment="0" applyProtection="0"/>
    <xf numFmtId="0" fontId="47" fillId="50" borderId="0" applyNumberFormat="0" applyBorder="0" applyAlignment="0" applyProtection="0"/>
    <xf numFmtId="0" fontId="47" fillId="51" borderId="0" applyNumberFormat="0" applyBorder="0" applyAlignment="0" applyProtection="0"/>
    <xf numFmtId="0" fontId="47" fillId="52" borderId="0" applyNumberFormat="0" applyBorder="0" applyAlignment="0" applyProtection="0"/>
    <xf numFmtId="43" fontId="46" fillId="0" borderId="0" applyFont="0" applyFill="0" applyBorder="0" applyAlignment="0" applyProtection="0"/>
    <xf numFmtId="9" fontId="46" fillId="0" borderId="0" applyFont="0" applyFill="0" applyBorder="0" applyAlignment="0" applyProtection="0"/>
    <xf numFmtId="43" fontId="46" fillId="0" borderId="0" applyFont="0" applyFill="0" applyBorder="0" applyAlignment="0" applyProtection="0"/>
    <xf numFmtId="0" fontId="46" fillId="0" borderId="0"/>
    <xf numFmtId="0" fontId="46" fillId="0" borderId="0"/>
    <xf numFmtId="0" fontId="46" fillId="0" borderId="0"/>
    <xf numFmtId="0" fontId="46" fillId="0" borderId="0"/>
    <xf numFmtId="0" fontId="46" fillId="0" borderId="0"/>
    <xf numFmtId="9" fontId="46" fillId="0" borderId="0" applyFont="0" applyFill="0" applyBorder="0" applyAlignment="0" applyProtection="0"/>
    <xf numFmtId="0" fontId="46" fillId="0" borderId="0"/>
    <xf numFmtId="0" fontId="46" fillId="0" borderId="0"/>
    <xf numFmtId="43" fontId="46" fillId="0" borderId="0" applyFont="0" applyFill="0" applyBorder="0" applyAlignment="0" applyProtection="0"/>
    <xf numFmtId="9" fontId="46" fillId="0" borderId="0" applyFont="0" applyFill="0" applyBorder="0" applyAlignment="0" applyProtection="0"/>
    <xf numFmtId="0" fontId="46" fillId="0" borderId="0"/>
    <xf numFmtId="0" fontId="46" fillId="0" borderId="0"/>
    <xf numFmtId="43" fontId="46" fillId="0" borderId="0" applyFont="0" applyFill="0" applyBorder="0" applyAlignment="0" applyProtection="0"/>
    <xf numFmtId="9" fontId="46" fillId="0" borderId="0" applyFont="0" applyFill="0" applyBorder="0" applyAlignment="0" applyProtection="0"/>
    <xf numFmtId="0" fontId="46" fillId="0" borderId="0"/>
    <xf numFmtId="0" fontId="46" fillId="0" borderId="0"/>
    <xf numFmtId="0" fontId="46" fillId="0" borderId="0"/>
    <xf numFmtId="43" fontId="46" fillId="0" borderId="0" applyFont="0" applyFill="0" applyBorder="0" applyAlignment="0" applyProtection="0"/>
    <xf numFmtId="9" fontId="46" fillId="0" borderId="0" applyFont="0" applyFill="0" applyBorder="0" applyAlignment="0" applyProtection="0"/>
    <xf numFmtId="0" fontId="46" fillId="0" borderId="0"/>
    <xf numFmtId="0" fontId="46" fillId="0" borderId="0"/>
    <xf numFmtId="43" fontId="46" fillId="0" borderId="0" applyFont="0" applyFill="0" applyBorder="0" applyAlignment="0" applyProtection="0"/>
    <xf numFmtId="9" fontId="46" fillId="0" borderId="0" applyFont="0" applyFill="0" applyBorder="0" applyAlignment="0" applyProtection="0"/>
    <xf numFmtId="0" fontId="46" fillId="0" borderId="0"/>
    <xf numFmtId="0" fontId="46" fillId="0" borderId="0"/>
    <xf numFmtId="0" fontId="46" fillId="0" borderId="0"/>
    <xf numFmtId="43" fontId="46" fillId="0" borderId="0" applyFont="0" applyFill="0" applyBorder="0" applyAlignment="0" applyProtection="0"/>
    <xf numFmtId="9" fontId="46" fillId="0" borderId="0" applyFont="0" applyFill="0" applyBorder="0" applyAlignment="0" applyProtection="0"/>
    <xf numFmtId="0" fontId="46" fillId="0" borderId="0"/>
    <xf numFmtId="0" fontId="46" fillId="0" borderId="0"/>
    <xf numFmtId="43" fontId="46" fillId="0" borderId="0" applyFont="0" applyFill="0" applyBorder="0" applyAlignment="0" applyProtection="0"/>
    <xf numFmtId="9" fontId="46" fillId="0" borderId="0" applyFont="0" applyFill="0" applyBorder="0" applyAlignment="0" applyProtection="0"/>
    <xf numFmtId="0" fontId="46" fillId="0" borderId="0"/>
    <xf numFmtId="0" fontId="46" fillId="0" borderId="0"/>
    <xf numFmtId="0" fontId="46" fillId="0" borderId="0"/>
    <xf numFmtId="43" fontId="46" fillId="0" borderId="0" applyFont="0" applyFill="0" applyBorder="0" applyAlignment="0" applyProtection="0"/>
    <xf numFmtId="9" fontId="46" fillId="0" borderId="0" applyFont="0" applyFill="0" applyBorder="0" applyAlignment="0" applyProtection="0"/>
    <xf numFmtId="0" fontId="46" fillId="0" borderId="0"/>
    <xf numFmtId="0" fontId="46" fillId="0" borderId="0"/>
    <xf numFmtId="43" fontId="46" fillId="0" borderId="0" applyFont="0" applyFill="0" applyBorder="0" applyAlignment="0" applyProtection="0"/>
    <xf numFmtId="9" fontId="46" fillId="0" borderId="0" applyFont="0" applyFill="0" applyBorder="0" applyAlignment="0" applyProtection="0"/>
    <xf numFmtId="0" fontId="46" fillId="0" borderId="0"/>
    <xf numFmtId="0" fontId="46" fillId="30" borderId="0" applyNumberFormat="0" applyBorder="0" applyAlignment="0" applyProtection="0"/>
    <xf numFmtId="0" fontId="46" fillId="31" borderId="0" applyNumberFormat="0" applyBorder="0" applyAlignment="0" applyProtection="0"/>
    <xf numFmtId="0" fontId="46" fillId="32"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46" fillId="36"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46" fillId="40"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46" fillId="48"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6" fillId="0" borderId="0"/>
    <xf numFmtId="0" fontId="46" fillId="28" borderId="61" applyNumberFormat="0" applyFont="0" applyAlignment="0" applyProtection="0"/>
    <xf numFmtId="0" fontId="46" fillId="0" borderId="0"/>
    <xf numFmtId="0" fontId="46" fillId="28" borderId="61" applyNumberFormat="0" applyFont="0" applyAlignment="0" applyProtection="0"/>
    <xf numFmtId="0" fontId="46" fillId="30" borderId="0" applyNumberFormat="0" applyBorder="0" applyAlignment="0" applyProtection="0"/>
    <xf numFmtId="0" fontId="46" fillId="31" borderId="0" applyNumberFormat="0" applyBorder="0" applyAlignment="0" applyProtection="0"/>
    <xf numFmtId="0" fontId="46" fillId="32"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46" fillId="36"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46" fillId="40"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46" fillId="48"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6" fillId="0" borderId="0"/>
    <xf numFmtId="0" fontId="46" fillId="28" borderId="61" applyNumberFormat="0" applyFont="0" applyAlignment="0" applyProtection="0"/>
    <xf numFmtId="0" fontId="46" fillId="30" borderId="0" applyNumberFormat="0" applyBorder="0" applyAlignment="0" applyProtection="0"/>
    <xf numFmtId="0" fontId="46" fillId="31" borderId="0" applyNumberFormat="0" applyBorder="0" applyAlignment="0" applyProtection="0"/>
    <xf numFmtId="0" fontId="46" fillId="32"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46" fillId="36"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46" fillId="40"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46" fillId="48"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43" fontId="45" fillId="0" borderId="0" applyFont="0" applyFill="0" applyBorder="0" applyAlignment="0" applyProtection="0"/>
    <xf numFmtId="9" fontId="45" fillId="0" borderId="0" applyFont="0" applyFill="0" applyBorder="0" applyAlignment="0" applyProtection="0"/>
    <xf numFmtId="43" fontId="45"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9" fontId="45" fillId="0" borderId="0" applyFont="0" applyFill="0" applyBorder="0" applyAlignment="0" applyProtection="0"/>
    <xf numFmtId="0" fontId="45" fillId="0" borderId="0"/>
    <xf numFmtId="0" fontId="45" fillId="0" borderId="0"/>
    <xf numFmtId="43" fontId="45" fillId="0" borderId="0" applyFont="0" applyFill="0" applyBorder="0" applyAlignment="0" applyProtection="0"/>
    <xf numFmtId="9" fontId="45" fillId="0" borderId="0" applyFont="0" applyFill="0" applyBorder="0" applyAlignment="0" applyProtection="0"/>
    <xf numFmtId="0" fontId="45" fillId="0" borderId="0"/>
    <xf numFmtId="0" fontId="45" fillId="0" borderId="0"/>
    <xf numFmtId="43" fontId="45" fillId="0" borderId="0" applyFont="0" applyFill="0" applyBorder="0" applyAlignment="0" applyProtection="0"/>
    <xf numFmtId="9" fontId="45" fillId="0" borderId="0" applyFont="0" applyFill="0" applyBorder="0" applyAlignment="0" applyProtection="0"/>
    <xf numFmtId="0" fontId="45" fillId="0" borderId="0"/>
    <xf numFmtId="0" fontId="45" fillId="0" borderId="0"/>
    <xf numFmtId="0" fontId="45" fillId="0" borderId="0"/>
    <xf numFmtId="43" fontId="45" fillId="0" borderId="0" applyFont="0" applyFill="0" applyBorder="0" applyAlignment="0" applyProtection="0"/>
    <xf numFmtId="9" fontId="45" fillId="0" borderId="0" applyFont="0" applyFill="0" applyBorder="0" applyAlignment="0" applyProtection="0"/>
    <xf numFmtId="0" fontId="45" fillId="0" borderId="0"/>
    <xf numFmtId="0" fontId="45" fillId="0" borderId="0"/>
    <xf numFmtId="43" fontId="45" fillId="0" borderId="0" applyFont="0" applyFill="0" applyBorder="0" applyAlignment="0" applyProtection="0"/>
    <xf numFmtId="9" fontId="45" fillId="0" borderId="0" applyFont="0" applyFill="0" applyBorder="0" applyAlignment="0" applyProtection="0"/>
    <xf numFmtId="0" fontId="45" fillId="0" borderId="0"/>
    <xf numFmtId="0" fontId="45" fillId="0" borderId="0"/>
    <xf numFmtId="0" fontId="45" fillId="0" borderId="0"/>
    <xf numFmtId="43" fontId="45" fillId="0" borderId="0" applyFont="0" applyFill="0" applyBorder="0" applyAlignment="0" applyProtection="0"/>
    <xf numFmtId="9" fontId="45" fillId="0" borderId="0" applyFont="0" applyFill="0" applyBorder="0" applyAlignment="0" applyProtection="0"/>
    <xf numFmtId="0" fontId="45" fillId="0" borderId="0"/>
    <xf numFmtId="0" fontId="45" fillId="0" borderId="0"/>
    <xf numFmtId="43" fontId="45" fillId="0" borderId="0" applyFont="0" applyFill="0" applyBorder="0" applyAlignment="0" applyProtection="0"/>
    <xf numFmtId="9" fontId="45" fillId="0" borderId="0" applyFont="0" applyFill="0" applyBorder="0" applyAlignment="0" applyProtection="0"/>
    <xf numFmtId="0" fontId="45" fillId="0" borderId="0"/>
    <xf numFmtId="0" fontId="45" fillId="0" borderId="0"/>
    <xf numFmtId="0" fontId="45" fillId="0" borderId="0"/>
    <xf numFmtId="43" fontId="45" fillId="0" borderId="0" applyFont="0" applyFill="0" applyBorder="0" applyAlignment="0" applyProtection="0"/>
    <xf numFmtId="9" fontId="45" fillId="0" borderId="0" applyFont="0" applyFill="0" applyBorder="0" applyAlignment="0" applyProtection="0"/>
    <xf numFmtId="0" fontId="45" fillId="0" borderId="0"/>
    <xf numFmtId="0" fontId="45" fillId="0" borderId="0"/>
    <xf numFmtId="43" fontId="45" fillId="0" borderId="0" applyFont="0" applyFill="0" applyBorder="0" applyAlignment="0" applyProtection="0"/>
    <xf numFmtId="9" fontId="45" fillId="0" borderId="0" applyFont="0" applyFill="0" applyBorder="0" applyAlignment="0" applyProtection="0"/>
    <xf numFmtId="0" fontId="45" fillId="0" borderId="0"/>
    <xf numFmtId="0" fontId="45" fillId="30"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40"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45" fillId="44"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45" fillId="48" borderId="0" applyNumberFormat="0" applyBorder="0" applyAlignment="0" applyProtection="0"/>
    <xf numFmtId="0" fontId="45" fillId="50" borderId="0" applyNumberFormat="0" applyBorder="0" applyAlignment="0" applyProtection="0"/>
    <xf numFmtId="0" fontId="45" fillId="51" borderId="0" applyNumberFormat="0" applyBorder="0" applyAlignment="0" applyProtection="0"/>
    <xf numFmtId="0" fontId="45" fillId="52" borderId="0" applyNumberFormat="0" applyBorder="0" applyAlignment="0" applyProtection="0"/>
    <xf numFmtId="0" fontId="45" fillId="0" borderId="0"/>
    <xf numFmtId="0" fontId="45" fillId="28" borderId="61" applyNumberFormat="0" applyFont="0" applyAlignment="0" applyProtection="0"/>
    <xf numFmtId="0" fontId="45" fillId="0" borderId="0"/>
    <xf numFmtId="0" fontId="45" fillId="28" borderId="61" applyNumberFormat="0" applyFont="0" applyAlignment="0" applyProtection="0"/>
    <xf numFmtId="0" fontId="45" fillId="30"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40"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45" fillId="44"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45" fillId="48" borderId="0" applyNumberFormat="0" applyBorder="0" applyAlignment="0" applyProtection="0"/>
    <xf numFmtId="0" fontId="45" fillId="50" borderId="0" applyNumberFormat="0" applyBorder="0" applyAlignment="0" applyProtection="0"/>
    <xf numFmtId="0" fontId="45" fillId="51" borderId="0" applyNumberFormat="0" applyBorder="0" applyAlignment="0" applyProtection="0"/>
    <xf numFmtId="0" fontId="45" fillId="52" borderId="0" applyNumberFormat="0" applyBorder="0" applyAlignment="0" applyProtection="0"/>
    <xf numFmtId="0" fontId="45" fillId="0" borderId="0"/>
    <xf numFmtId="0" fontId="45" fillId="28" borderId="61" applyNumberFormat="0" applyFont="0" applyAlignment="0" applyProtection="0"/>
    <xf numFmtId="0" fontId="45" fillId="30"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40"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45" fillId="44"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45" fillId="48" borderId="0" applyNumberFormat="0" applyBorder="0" applyAlignment="0" applyProtection="0"/>
    <xf numFmtId="0" fontId="45" fillId="50" borderId="0" applyNumberFormat="0" applyBorder="0" applyAlignment="0" applyProtection="0"/>
    <xf numFmtId="0" fontId="45" fillId="51" borderId="0" applyNumberFormat="0" applyBorder="0" applyAlignment="0" applyProtection="0"/>
    <xf numFmtId="0" fontId="45" fillId="52" borderId="0" applyNumberFormat="0" applyBorder="0" applyAlignment="0" applyProtection="0"/>
    <xf numFmtId="43" fontId="45" fillId="0" borderId="0" applyFont="0" applyFill="0" applyBorder="0" applyAlignment="0" applyProtection="0"/>
    <xf numFmtId="9" fontId="45" fillId="0" borderId="0" applyFont="0" applyFill="0" applyBorder="0" applyAlignment="0" applyProtection="0"/>
    <xf numFmtId="43" fontId="45"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9" fontId="45" fillId="0" borderId="0" applyFont="0" applyFill="0" applyBorder="0" applyAlignment="0" applyProtection="0"/>
    <xf numFmtId="0" fontId="45" fillId="0" borderId="0"/>
    <xf numFmtId="0" fontId="45" fillId="0" borderId="0"/>
    <xf numFmtId="43" fontId="45" fillId="0" borderId="0" applyFont="0" applyFill="0" applyBorder="0" applyAlignment="0" applyProtection="0"/>
    <xf numFmtId="9" fontId="45" fillId="0" borderId="0" applyFont="0" applyFill="0" applyBorder="0" applyAlignment="0" applyProtection="0"/>
    <xf numFmtId="0" fontId="45" fillId="0" borderId="0"/>
    <xf numFmtId="0" fontId="45" fillId="0" borderId="0"/>
    <xf numFmtId="43" fontId="45" fillId="0" borderId="0" applyFont="0" applyFill="0" applyBorder="0" applyAlignment="0" applyProtection="0"/>
    <xf numFmtId="9" fontId="45" fillId="0" borderId="0" applyFont="0" applyFill="0" applyBorder="0" applyAlignment="0" applyProtection="0"/>
    <xf numFmtId="0" fontId="45" fillId="0" borderId="0"/>
    <xf numFmtId="0" fontId="45" fillId="0" borderId="0"/>
    <xf numFmtId="0" fontId="45" fillId="0" borderId="0"/>
    <xf numFmtId="43" fontId="45" fillId="0" borderId="0" applyFont="0" applyFill="0" applyBorder="0" applyAlignment="0" applyProtection="0"/>
    <xf numFmtId="9" fontId="45" fillId="0" borderId="0" applyFont="0" applyFill="0" applyBorder="0" applyAlignment="0" applyProtection="0"/>
    <xf numFmtId="0" fontId="45" fillId="0" borderId="0"/>
    <xf numFmtId="0" fontId="45" fillId="0" borderId="0"/>
    <xf numFmtId="43" fontId="45" fillId="0" borderId="0" applyFont="0" applyFill="0" applyBorder="0" applyAlignment="0" applyProtection="0"/>
    <xf numFmtId="9" fontId="45" fillId="0" borderId="0" applyFont="0" applyFill="0" applyBorder="0" applyAlignment="0" applyProtection="0"/>
    <xf numFmtId="0" fontId="45" fillId="0" borderId="0"/>
    <xf numFmtId="0" fontId="45" fillId="0" borderId="0"/>
    <xf numFmtId="0" fontId="45" fillId="0" borderId="0"/>
    <xf numFmtId="43" fontId="45" fillId="0" borderId="0" applyFont="0" applyFill="0" applyBorder="0" applyAlignment="0" applyProtection="0"/>
    <xf numFmtId="9" fontId="45" fillId="0" borderId="0" applyFont="0" applyFill="0" applyBorder="0" applyAlignment="0" applyProtection="0"/>
    <xf numFmtId="0" fontId="45" fillId="0" borderId="0"/>
    <xf numFmtId="0" fontId="45" fillId="0" borderId="0"/>
    <xf numFmtId="43" fontId="45" fillId="0" borderId="0" applyFont="0" applyFill="0" applyBorder="0" applyAlignment="0" applyProtection="0"/>
    <xf numFmtId="9" fontId="45" fillId="0" borderId="0" applyFont="0" applyFill="0" applyBorder="0" applyAlignment="0" applyProtection="0"/>
    <xf numFmtId="0" fontId="45" fillId="0" borderId="0"/>
    <xf numFmtId="0" fontId="45" fillId="0" borderId="0"/>
    <xf numFmtId="0" fontId="45" fillId="0" borderId="0"/>
    <xf numFmtId="43" fontId="45" fillId="0" borderId="0" applyFont="0" applyFill="0" applyBorder="0" applyAlignment="0" applyProtection="0"/>
    <xf numFmtId="9" fontId="45" fillId="0" borderId="0" applyFont="0" applyFill="0" applyBorder="0" applyAlignment="0" applyProtection="0"/>
    <xf numFmtId="0" fontId="45" fillId="0" borderId="0"/>
    <xf numFmtId="0" fontId="45" fillId="0" borderId="0"/>
    <xf numFmtId="43" fontId="45" fillId="0" borderId="0" applyFont="0" applyFill="0" applyBorder="0" applyAlignment="0" applyProtection="0"/>
    <xf numFmtId="9" fontId="45" fillId="0" borderId="0" applyFont="0" applyFill="0" applyBorder="0" applyAlignment="0" applyProtection="0"/>
    <xf numFmtId="0" fontId="45" fillId="0" borderId="0"/>
    <xf numFmtId="0" fontId="45" fillId="30"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40"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45" fillId="44"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45" fillId="48" borderId="0" applyNumberFormat="0" applyBorder="0" applyAlignment="0" applyProtection="0"/>
    <xf numFmtId="0" fontId="45" fillId="50" borderId="0" applyNumberFormat="0" applyBorder="0" applyAlignment="0" applyProtection="0"/>
    <xf numFmtId="0" fontId="45" fillId="51" borderId="0" applyNumberFormat="0" applyBorder="0" applyAlignment="0" applyProtection="0"/>
    <xf numFmtId="0" fontId="45" fillId="52" borderId="0" applyNumberFormat="0" applyBorder="0" applyAlignment="0" applyProtection="0"/>
    <xf numFmtId="0" fontId="45" fillId="0" borderId="0"/>
    <xf numFmtId="0" fontId="45" fillId="28" borderId="61" applyNumberFormat="0" applyFont="0" applyAlignment="0" applyProtection="0"/>
    <xf numFmtId="0" fontId="45" fillId="0" borderId="0"/>
    <xf numFmtId="0" fontId="45" fillId="28" borderId="61" applyNumberFormat="0" applyFont="0" applyAlignment="0" applyProtection="0"/>
    <xf numFmtId="0" fontId="45" fillId="30"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40"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45" fillId="44"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45" fillId="48" borderId="0" applyNumberFormat="0" applyBorder="0" applyAlignment="0" applyProtection="0"/>
    <xf numFmtId="0" fontId="45" fillId="50" borderId="0" applyNumberFormat="0" applyBorder="0" applyAlignment="0" applyProtection="0"/>
    <xf numFmtId="0" fontId="45" fillId="51" borderId="0" applyNumberFormat="0" applyBorder="0" applyAlignment="0" applyProtection="0"/>
    <xf numFmtId="0" fontId="45" fillId="52" borderId="0" applyNumberFormat="0" applyBorder="0" applyAlignment="0" applyProtection="0"/>
    <xf numFmtId="0" fontId="45" fillId="0" borderId="0"/>
    <xf numFmtId="0" fontId="45" fillId="28" borderId="61" applyNumberFormat="0" applyFont="0" applyAlignment="0" applyProtection="0"/>
    <xf numFmtId="0" fontId="45" fillId="30"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40"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45" fillId="44"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45" fillId="48" borderId="0" applyNumberFormat="0" applyBorder="0" applyAlignment="0" applyProtection="0"/>
    <xf numFmtId="0" fontId="45" fillId="50" borderId="0" applyNumberFormat="0" applyBorder="0" applyAlignment="0" applyProtection="0"/>
    <xf numFmtId="0" fontId="45" fillId="51" borderId="0" applyNumberFormat="0" applyBorder="0" applyAlignment="0" applyProtection="0"/>
    <xf numFmtId="0" fontId="45" fillId="52" borderId="0" applyNumberFormat="0" applyBorder="0" applyAlignment="0" applyProtection="0"/>
    <xf numFmtId="43" fontId="44" fillId="0" borderId="0" applyFont="0" applyFill="0" applyBorder="0" applyAlignment="0" applyProtection="0"/>
    <xf numFmtId="9" fontId="44" fillId="0" borderId="0" applyFont="0" applyFill="0" applyBorder="0" applyAlignment="0" applyProtection="0"/>
    <xf numFmtId="43"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9" fontId="44" fillId="0" borderId="0" applyFont="0" applyFill="0" applyBorder="0" applyAlignment="0" applyProtection="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44" fillId="34" borderId="0" applyNumberFormat="0" applyBorder="0" applyAlignment="0" applyProtection="0"/>
    <xf numFmtId="0" fontId="44" fillId="35" borderId="0" applyNumberFormat="0" applyBorder="0" applyAlignment="0" applyProtection="0"/>
    <xf numFmtId="0" fontId="44" fillId="36" borderId="0" applyNumberFormat="0" applyBorder="0" applyAlignment="0" applyProtection="0"/>
    <xf numFmtId="0" fontId="44" fillId="38" borderId="0" applyNumberFormat="0" applyBorder="0" applyAlignment="0" applyProtection="0"/>
    <xf numFmtId="0" fontId="44" fillId="39" borderId="0" applyNumberFormat="0" applyBorder="0" applyAlignment="0" applyProtection="0"/>
    <xf numFmtId="0" fontId="44" fillId="40" borderId="0" applyNumberFormat="0" applyBorder="0" applyAlignment="0" applyProtection="0"/>
    <xf numFmtId="0" fontId="44" fillId="42" borderId="0" applyNumberFormat="0" applyBorder="0" applyAlignment="0" applyProtection="0"/>
    <xf numFmtId="0" fontId="44" fillId="43" borderId="0" applyNumberFormat="0" applyBorder="0" applyAlignment="0" applyProtection="0"/>
    <xf numFmtId="0" fontId="44" fillId="44" borderId="0" applyNumberFormat="0" applyBorder="0" applyAlignment="0" applyProtection="0"/>
    <xf numFmtId="0" fontId="44" fillId="46" borderId="0" applyNumberFormat="0" applyBorder="0" applyAlignment="0" applyProtection="0"/>
    <xf numFmtId="0" fontId="44" fillId="47" borderId="0" applyNumberFormat="0" applyBorder="0" applyAlignment="0" applyProtection="0"/>
    <xf numFmtId="0" fontId="44" fillId="48" borderId="0" applyNumberFormat="0" applyBorder="0" applyAlignment="0" applyProtection="0"/>
    <xf numFmtId="0" fontId="44" fillId="50" borderId="0" applyNumberFormat="0" applyBorder="0" applyAlignment="0" applyProtection="0"/>
    <xf numFmtId="0" fontId="44" fillId="51" borderId="0" applyNumberFormat="0" applyBorder="0" applyAlignment="0" applyProtection="0"/>
    <xf numFmtId="0" fontId="44" fillId="52" borderId="0" applyNumberFormat="0" applyBorder="0" applyAlignment="0" applyProtection="0"/>
    <xf numFmtId="0" fontId="44" fillId="0" borderId="0"/>
    <xf numFmtId="0" fontId="44" fillId="28" borderId="61" applyNumberFormat="0" applyFont="0" applyAlignment="0" applyProtection="0"/>
    <xf numFmtId="0" fontId="44" fillId="0" borderId="0"/>
    <xf numFmtId="0" fontId="44" fillId="28" borderId="61" applyNumberFormat="0" applyFont="0" applyAlignment="0" applyProtection="0"/>
    <xf numFmtId="0" fontId="44"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44" fillId="34" borderId="0" applyNumberFormat="0" applyBorder="0" applyAlignment="0" applyProtection="0"/>
    <xf numFmtId="0" fontId="44" fillId="35" borderId="0" applyNumberFormat="0" applyBorder="0" applyAlignment="0" applyProtection="0"/>
    <xf numFmtId="0" fontId="44" fillId="36" borderId="0" applyNumberFormat="0" applyBorder="0" applyAlignment="0" applyProtection="0"/>
    <xf numFmtId="0" fontId="44" fillId="38" borderId="0" applyNumberFormat="0" applyBorder="0" applyAlignment="0" applyProtection="0"/>
    <xf numFmtId="0" fontId="44" fillId="39" borderId="0" applyNumberFormat="0" applyBorder="0" applyAlignment="0" applyProtection="0"/>
    <xf numFmtId="0" fontId="44" fillId="40" borderId="0" applyNumberFormat="0" applyBorder="0" applyAlignment="0" applyProtection="0"/>
    <xf numFmtId="0" fontId="44" fillId="42" borderId="0" applyNumberFormat="0" applyBorder="0" applyAlignment="0" applyProtection="0"/>
    <xf numFmtId="0" fontId="44" fillId="43" borderId="0" applyNumberFormat="0" applyBorder="0" applyAlignment="0" applyProtection="0"/>
    <xf numFmtId="0" fontId="44" fillId="44" borderId="0" applyNumberFormat="0" applyBorder="0" applyAlignment="0" applyProtection="0"/>
    <xf numFmtId="0" fontId="44" fillId="46" borderId="0" applyNumberFormat="0" applyBorder="0" applyAlignment="0" applyProtection="0"/>
    <xf numFmtId="0" fontId="44" fillId="47" borderId="0" applyNumberFormat="0" applyBorder="0" applyAlignment="0" applyProtection="0"/>
    <xf numFmtId="0" fontId="44" fillId="48" borderId="0" applyNumberFormat="0" applyBorder="0" applyAlignment="0" applyProtection="0"/>
    <xf numFmtId="0" fontId="44" fillId="50" borderId="0" applyNumberFormat="0" applyBorder="0" applyAlignment="0" applyProtection="0"/>
    <xf numFmtId="0" fontId="44" fillId="51" borderId="0" applyNumberFormat="0" applyBorder="0" applyAlignment="0" applyProtection="0"/>
    <xf numFmtId="0" fontId="44" fillId="52" borderId="0" applyNumberFormat="0" applyBorder="0" applyAlignment="0" applyProtection="0"/>
    <xf numFmtId="0" fontId="44" fillId="0" borderId="0"/>
    <xf numFmtId="0" fontId="44" fillId="28" borderId="61" applyNumberFormat="0" applyFont="0" applyAlignment="0" applyProtection="0"/>
    <xf numFmtId="0" fontId="44"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44" fillId="34" borderId="0" applyNumberFormat="0" applyBorder="0" applyAlignment="0" applyProtection="0"/>
    <xf numFmtId="0" fontId="44" fillId="35" borderId="0" applyNumberFormat="0" applyBorder="0" applyAlignment="0" applyProtection="0"/>
    <xf numFmtId="0" fontId="44" fillId="36" borderId="0" applyNumberFormat="0" applyBorder="0" applyAlignment="0" applyProtection="0"/>
    <xf numFmtId="0" fontId="44" fillId="38" borderId="0" applyNumberFormat="0" applyBorder="0" applyAlignment="0" applyProtection="0"/>
    <xf numFmtId="0" fontId="44" fillId="39" borderId="0" applyNumberFormat="0" applyBorder="0" applyAlignment="0" applyProtection="0"/>
    <xf numFmtId="0" fontId="44" fillId="40" borderId="0" applyNumberFormat="0" applyBorder="0" applyAlignment="0" applyProtection="0"/>
    <xf numFmtId="0" fontId="44" fillId="42" borderId="0" applyNumberFormat="0" applyBorder="0" applyAlignment="0" applyProtection="0"/>
    <xf numFmtId="0" fontId="44" fillId="43" borderId="0" applyNumberFormat="0" applyBorder="0" applyAlignment="0" applyProtection="0"/>
    <xf numFmtId="0" fontId="44" fillId="44" borderId="0" applyNumberFormat="0" applyBorder="0" applyAlignment="0" applyProtection="0"/>
    <xf numFmtId="0" fontId="44" fillId="46" borderId="0" applyNumberFormat="0" applyBorder="0" applyAlignment="0" applyProtection="0"/>
    <xf numFmtId="0" fontId="44" fillId="47" borderId="0" applyNumberFormat="0" applyBorder="0" applyAlignment="0" applyProtection="0"/>
    <xf numFmtId="0" fontId="44" fillId="48" borderId="0" applyNumberFormat="0" applyBorder="0" applyAlignment="0" applyProtection="0"/>
    <xf numFmtId="0" fontId="44" fillId="50" borderId="0" applyNumberFormat="0" applyBorder="0" applyAlignment="0" applyProtection="0"/>
    <xf numFmtId="0" fontId="44" fillId="51" borderId="0" applyNumberFormat="0" applyBorder="0" applyAlignment="0" applyProtection="0"/>
    <xf numFmtId="0" fontId="44" fillId="52" borderId="0" applyNumberFormat="0" applyBorder="0" applyAlignment="0" applyProtection="0"/>
    <xf numFmtId="43" fontId="44" fillId="0" borderId="0" applyFont="0" applyFill="0" applyBorder="0" applyAlignment="0" applyProtection="0"/>
    <xf numFmtId="9" fontId="44" fillId="0" borderId="0" applyFont="0" applyFill="0" applyBorder="0" applyAlignment="0" applyProtection="0"/>
    <xf numFmtId="43"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9" fontId="44" fillId="0" borderId="0" applyFont="0" applyFill="0" applyBorder="0" applyAlignment="0" applyProtection="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44" fillId="34" borderId="0" applyNumberFormat="0" applyBorder="0" applyAlignment="0" applyProtection="0"/>
    <xf numFmtId="0" fontId="44" fillId="35" borderId="0" applyNumberFormat="0" applyBorder="0" applyAlignment="0" applyProtection="0"/>
    <xf numFmtId="0" fontId="44" fillId="36" borderId="0" applyNumberFormat="0" applyBorder="0" applyAlignment="0" applyProtection="0"/>
    <xf numFmtId="0" fontId="44" fillId="38" borderId="0" applyNumberFormat="0" applyBorder="0" applyAlignment="0" applyProtection="0"/>
    <xf numFmtId="0" fontId="44" fillId="39" borderId="0" applyNumberFormat="0" applyBorder="0" applyAlignment="0" applyProtection="0"/>
    <xf numFmtId="0" fontId="44" fillId="40" borderId="0" applyNumberFormat="0" applyBorder="0" applyAlignment="0" applyProtection="0"/>
    <xf numFmtId="0" fontId="44" fillId="42" borderId="0" applyNumberFormat="0" applyBorder="0" applyAlignment="0" applyProtection="0"/>
    <xf numFmtId="0" fontId="44" fillId="43" borderId="0" applyNumberFormat="0" applyBorder="0" applyAlignment="0" applyProtection="0"/>
    <xf numFmtId="0" fontId="44" fillId="44" borderId="0" applyNumberFormat="0" applyBorder="0" applyAlignment="0" applyProtection="0"/>
    <xf numFmtId="0" fontId="44" fillId="46" borderId="0" applyNumberFormat="0" applyBorder="0" applyAlignment="0" applyProtection="0"/>
    <xf numFmtId="0" fontId="44" fillId="47" borderId="0" applyNumberFormat="0" applyBorder="0" applyAlignment="0" applyProtection="0"/>
    <xf numFmtId="0" fontId="44" fillId="48" borderId="0" applyNumberFormat="0" applyBorder="0" applyAlignment="0" applyProtection="0"/>
    <xf numFmtId="0" fontId="44" fillId="50" borderId="0" applyNumberFormat="0" applyBorder="0" applyAlignment="0" applyProtection="0"/>
    <xf numFmtId="0" fontId="44" fillId="51" borderId="0" applyNumberFormat="0" applyBorder="0" applyAlignment="0" applyProtection="0"/>
    <xf numFmtId="0" fontId="44" fillId="52" borderId="0" applyNumberFormat="0" applyBorder="0" applyAlignment="0" applyProtection="0"/>
    <xf numFmtId="0" fontId="44" fillId="0" borderId="0"/>
    <xf numFmtId="0" fontId="44" fillId="28" borderId="61" applyNumberFormat="0" applyFont="0" applyAlignment="0" applyProtection="0"/>
    <xf numFmtId="0" fontId="44" fillId="0" borderId="0"/>
    <xf numFmtId="0" fontId="44" fillId="28" borderId="61" applyNumberFormat="0" applyFont="0" applyAlignment="0" applyProtection="0"/>
    <xf numFmtId="0" fontId="44"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44" fillId="34" borderId="0" applyNumberFormat="0" applyBorder="0" applyAlignment="0" applyProtection="0"/>
    <xf numFmtId="0" fontId="44" fillId="35" borderId="0" applyNumberFormat="0" applyBorder="0" applyAlignment="0" applyProtection="0"/>
    <xf numFmtId="0" fontId="44" fillId="36" borderId="0" applyNumberFormat="0" applyBorder="0" applyAlignment="0" applyProtection="0"/>
    <xf numFmtId="0" fontId="44" fillId="38" borderId="0" applyNumberFormat="0" applyBorder="0" applyAlignment="0" applyProtection="0"/>
    <xf numFmtId="0" fontId="44" fillId="39" borderId="0" applyNumberFormat="0" applyBorder="0" applyAlignment="0" applyProtection="0"/>
    <xf numFmtId="0" fontId="44" fillId="40" borderId="0" applyNumberFormat="0" applyBorder="0" applyAlignment="0" applyProtection="0"/>
    <xf numFmtId="0" fontId="44" fillId="42" borderId="0" applyNumberFormat="0" applyBorder="0" applyAlignment="0" applyProtection="0"/>
    <xf numFmtId="0" fontId="44" fillId="43" borderId="0" applyNumberFormat="0" applyBorder="0" applyAlignment="0" applyProtection="0"/>
    <xf numFmtId="0" fontId="44" fillId="44" borderId="0" applyNumberFormat="0" applyBorder="0" applyAlignment="0" applyProtection="0"/>
    <xf numFmtId="0" fontId="44" fillId="46" borderId="0" applyNumberFormat="0" applyBorder="0" applyAlignment="0" applyProtection="0"/>
    <xf numFmtId="0" fontId="44" fillId="47" borderId="0" applyNumberFormat="0" applyBorder="0" applyAlignment="0" applyProtection="0"/>
    <xf numFmtId="0" fontId="44" fillId="48" borderId="0" applyNumberFormat="0" applyBorder="0" applyAlignment="0" applyProtection="0"/>
    <xf numFmtId="0" fontId="44" fillId="50" borderId="0" applyNumberFormat="0" applyBorder="0" applyAlignment="0" applyProtection="0"/>
    <xf numFmtId="0" fontId="44" fillId="51" borderId="0" applyNumberFormat="0" applyBorder="0" applyAlignment="0" applyProtection="0"/>
    <xf numFmtId="0" fontId="44" fillId="52" borderId="0" applyNumberFormat="0" applyBorder="0" applyAlignment="0" applyProtection="0"/>
    <xf numFmtId="0" fontId="44" fillId="0" borderId="0"/>
    <xf numFmtId="0" fontId="44" fillId="28" borderId="61" applyNumberFormat="0" applyFont="0" applyAlignment="0" applyProtection="0"/>
    <xf numFmtId="0" fontId="44"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44" fillId="34" borderId="0" applyNumberFormat="0" applyBorder="0" applyAlignment="0" applyProtection="0"/>
    <xf numFmtId="0" fontId="44" fillId="35" borderId="0" applyNumberFormat="0" applyBorder="0" applyAlignment="0" applyProtection="0"/>
    <xf numFmtId="0" fontId="44" fillId="36" borderId="0" applyNumberFormat="0" applyBorder="0" applyAlignment="0" applyProtection="0"/>
    <xf numFmtId="0" fontId="44" fillId="38" borderId="0" applyNumberFormat="0" applyBorder="0" applyAlignment="0" applyProtection="0"/>
    <xf numFmtId="0" fontId="44" fillId="39" borderId="0" applyNumberFormat="0" applyBorder="0" applyAlignment="0" applyProtection="0"/>
    <xf numFmtId="0" fontId="44" fillId="40" borderId="0" applyNumberFormat="0" applyBorder="0" applyAlignment="0" applyProtection="0"/>
    <xf numFmtId="0" fontId="44" fillId="42" borderId="0" applyNumberFormat="0" applyBorder="0" applyAlignment="0" applyProtection="0"/>
    <xf numFmtId="0" fontId="44" fillId="43" borderId="0" applyNumberFormat="0" applyBorder="0" applyAlignment="0" applyProtection="0"/>
    <xf numFmtId="0" fontId="44" fillId="44" borderId="0" applyNumberFormat="0" applyBorder="0" applyAlignment="0" applyProtection="0"/>
    <xf numFmtId="0" fontId="44" fillId="46" borderId="0" applyNumberFormat="0" applyBorder="0" applyAlignment="0" applyProtection="0"/>
    <xf numFmtId="0" fontId="44" fillId="47" borderId="0" applyNumberFormat="0" applyBorder="0" applyAlignment="0" applyProtection="0"/>
    <xf numFmtId="0" fontId="44" fillId="48" borderId="0" applyNumberFormat="0" applyBorder="0" applyAlignment="0" applyProtection="0"/>
    <xf numFmtId="0" fontId="44" fillId="50" borderId="0" applyNumberFormat="0" applyBorder="0" applyAlignment="0" applyProtection="0"/>
    <xf numFmtId="0" fontId="44" fillId="51" borderId="0" applyNumberFormat="0" applyBorder="0" applyAlignment="0" applyProtection="0"/>
    <xf numFmtId="0" fontId="44" fillId="52" borderId="0" applyNumberFormat="0" applyBorder="0" applyAlignment="0" applyProtection="0"/>
    <xf numFmtId="43" fontId="44" fillId="0" borderId="0" applyFont="0" applyFill="0" applyBorder="0" applyAlignment="0" applyProtection="0"/>
    <xf numFmtId="9" fontId="44" fillId="0" borderId="0" applyFont="0" applyFill="0" applyBorder="0" applyAlignment="0" applyProtection="0"/>
    <xf numFmtId="43"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9" fontId="44" fillId="0" borderId="0" applyFont="0" applyFill="0" applyBorder="0" applyAlignment="0" applyProtection="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44" fillId="34" borderId="0" applyNumberFormat="0" applyBorder="0" applyAlignment="0" applyProtection="0"/>
    <xf numFmtId="0" fontId="44" fillId="35" borderId="0" applyNumberFormat="0" applyBorder="0" applyAlignment="0" applyProtection="0"/>
    <xf numFmtId="0" fontId="44" fillId="36" borderId="0" applyNumberFormat="0" applyBorder="0" applyAlignment="0" applyProtection="0"/>
    <xf numFmtId="0" fontId="44" fillId="38" borderId="0" applyNumberFormat="0" applyBorder="0" applyAlignment="0" applyProtection="0"/>
    <xf numFmtId="0" fontId="44" fillId="39" borderId="0" applyNumberFormat="0" applyBorder="0" applyAlignment="0" applyProtection="0"/>
    <xf numFmtId="0" fontId="44" fillId="40" borderId="0" applyNumberFormat="0" applyBorder="0" applyAlignment="0" applyProtection="0"/>
    <xf numFmtId="0" fontId="44" fillId="42" borderId="0" applyNumberFormat="0" applyBorder="0" applyAlignment="0" applyProtection="0"/>
    <xf numFmtId="0" fontId="44" fillId="43" borderId="0" applyNumberFormat="0" applyBorder="0" applyAlignment="0" applyProtection="0"/>
    <xf numFmtId="0" fontId="44" fillId="44" borderId="0" applyNumberFormat="0" applyBorder="0" applyAlignment="0" applyProtection="0"/>
    <xf numFmtId="0" fontId="44" fillId="46" borderId="0" applyNumberFormat="0" applyBorder="0" applyAlignment="0" applyProtection="0"/>
    <xf numFmtId="0" fontId="44" fillId="47" borderId="0" applyNumberFormat="0" applyBorder="0" applyAlignment="0" applyProtection="0"/>
    <xf numFmtId="0" fontId="44" fillId="48" borderId="0" applyNumberFormat="0" applyBorder="0" applyAlignment="0" applyProtection="0"/>
    <xf numFmtId="0" fontId="44" fillId="50" borderId="0" applyNumberFormat="0" applyBorder="0" applyAlignment="0" applyProtection="0"/>
    <xf numFmtId="0" fontId="44" fillId="51" borderId="0" applyNumberFormat="0" applyBorder="0" applyAlignment="0" applyProtection="0"/>
    <xf numFmtId="0" fontId="44" fillId="52" borderId="0" applyNumberFormat="0" applyBorder="0" applyAlignment="0" applyProtection="0"/>
    <xf numFmtId="0" fontId="44" fillId="0" borderId="0"/>
    <xf numFmtId="0" fontId="44" fillId="28" borderId="61" applyNumberFormat="0" applyFont="0" applyAlignment="0" applyProtection="0"/>
    <xf numFmtId="0" fontId="44" fillId="0" borderId="0"/>
    <xf numFmtId="0" fontId="44" fillId="28" borderId="61" applyNumberFormat="0" applyFont="0" applyAlignment="0" applyProtection="0"/>
    <xf numFmtId="0" fontId="44"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44" fillId="34" borderId="0" applyNumberFormat="0" applyBorder="0" applyAlignment="0" applyProtection="0"/>
    <xf numFmtId="0" fontId="44" fillId="35" borderId="0" applyNumberFormat="0" applyBorder="0" applyAlignment="0" applyProtection="0"/>
    <xf numFmtId="0" fontId="44" fillId="36" borderId="0" applyNumberFormat="0" applyBorder="0" applyAlignment="0" applyProtection="0"/>
    <xf numFmtId="0" fontId="44" fillId="38" borderId="0" applyNumberFormat="0" applyBorder="0" applyAlignment="0" applyProtection="0"/>
    <xf numFmtId="0" fontId="44" fillId="39" borderId="0" applyNumberFormat="0" applyBorder="0" applyAlignment="0" applyProtection="0"/>
    <xf numFmtId="0" fontId="44" fillId="40" borderId="0" applyNumberFormat="0" applyBorder="0" applyAlignment="0" applyProtection="0"/>
    <xf numFmtId="0" fontId="44" fillId="42" borderId="0" applyNumberFormat="0" applyBorder="0" applyAlignment="0" applyProtection="0"/>
    <xf numFmtId="0" fontId="44" fillId="43" borderId="0" applyNumberFormat="0" applyBorder="0" applyAlignment="0" applyProtection="0"/>
    <xf numFmtId="0" fontId="44" fillId="44" borderId="0" applyNumberFormat="0" applyBorder="0" applyAlignment="0" applyProtection="0"/>
    <xf numFmtId="0" fontId="44" fillId="46" borderId="0" applyNumberFormat="0" applyBorder="0" applyAlignment="0" applyProtection="0"/>
    <xf numFmtId="0" fontId="44" fillId="47" borderId="0" applyNumberFormat="0" applyBorder="0" applyAlignment="0" applyProtection="0"/>
    <xf numFmtId="0" fontId="44" fillId="48" borderId="0" applyNumberFormat="0" applyBorder="0" applyAlignment="0" applyProtection="0"/>
    <xf numFmtId="0" fontId="44" fillId="50" borderId="0" applyNumberFormat="0" applyBorder="0" applyAlignment="0" applyProtection="0"/>
    <xf numFmtId="0" fontId="44" fillId="51" borderId="0" applyNumberFormat="0" applyBorder="0" applyAlignment="0" applyProtection="0"/>
    <xf numFmtId="0" fontId="44" fillId="52" borderId="0" applyNumberFormat="0" applyBorder="0" applyAlignment="0" applyProtection="0"/>
    <xf numFmtId="0" fontId="44" fillId="0" borderId="0"/>
    <xf numFmtId="0" fontId="44" fillId="28" borderId="61" applyNumberFormat="0" applyFont="0" applyAlignment="0" applyProtection="0"/>
    <xf numFmtId="0" fontId="44"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44" fillId="34" borderId="0" applyNumberFormat="0" applyBorder="0" applyAlignment="0" applyProtection="0"/>
    <xf numFmtId="0" fontId="44" fillId="35" borderId="0" applyNumberFormat="0" applyBorder="0" applyAlignment="0" applyProtection="0"/>
    <xf numFmtId="0" fontId="44" fillId="36" borderId="0" applyNumberFormat="0" applyBorder="0" applyAlignment="0" applyProtection="0"/>
    <xf numFmtId="0" fontId="44" fillId="38" borderId="0" applyNumberFormat="0" applyBorder="0" applyAlignment="0" applyProtection="0"/>
    <xf numFmtId="0" fontId="44" fillId="39" borderId="0" applyNumberFormat="0" applyBorder="0" applyAlignment="0" applyProtection="0"/>
    <xf numFmtId="0" fontId="44" fillId="40" borderId="0" applyNumberFormat="0" applyBorder="0" applyAlignment="0" applyProtection="0"/>
    <xf numFmtId="0" fontId="44" fillId="42" borderId="0" applyNumberFormat="0" applyBorder="0" applyAlignment="0" applyProtection="0"/>
    <xf numFmtId="0" fontId="44" fillId="43" borderId="0" applyNumberFormat="0" applyBorder="0" applyAlignment="0" applyProtection="0"/>
    <xf numFmtId="0" fontId="44" fillId="44" borderId="0" applyNumberFormat="0" applyBorder="0" applyAlignment="0" applyProtection="0"/>
    <xf numFmtId="0" fontId="44" fillId="46" borderId="0" applyNumberFormat="0" applyBorder="0" applyAlignment="0" applyProtection="0"/>
    <xf numFmtId="0" fontId="44" fillId="47" borderId="0" applyNumberFormat="0" applyBorder="0" applyAlignment="0" applyProtection="0"/>
    <xf numFmtId="0" fontId="44" fillId="48" borderId="0" applyNumberFormat="0" applyBorder="0" applyAlignment="0" applyProtection="0"/>
    <xf numFmtId="0" fontId="44" fillId="50" borderId="0" applyNumberFormat="0" applyBorder="0" applyAlignment="0" applyProtection="0"/>
    <xf numFmtId="0" fontId="44" fillId="51" borderId="0" applyNumberFormat="0" applyBorder="0" applyAlignment="0" applyProtection="0"/>
    <xf numFmtId="0" fontId="44" fillId="52" borderId="0" applyNumberFormat="0" applyBorder="0" applyAlignment="0" applyProtection="0"/>
    <xf numFmtId="43" fontId="44" fillId="0" borderId="0" applyFont="0" applyFill="0" applyBorder="0" applyAlignment="0" applyProtection="0"/>
    <xf numFmtId="9" fontId="44" fillId="0" borderId="0" applyFont="0" applyFill="0" applyBorder="0" applyAlignment="0" applyProtection="0"/>
    <xf numFmtId="43"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9" fontId="44" fillId="0" borderId="0" applyFont="0" applyFill="0" applyBorder="0" applyAlignment="0" applyProtection="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0" borderId="0"/>
    <xf numFmtId="43" fontId="44" fillId="0" borderId="0" applyFont="0" applyFill="0" applyBorder="0" applyAlignment="0" applyProtection="0"/>
    <xf numFmtId="9" fontId="44" fillId="0" borderId="0" applyFont="0" applyFill="0" applyBorder="0" applyAlignment="0" applyProtection="0"/>
    <xf numFmtId="0" fontId="44" fillId="0" borderId="0"/>
    <xf numFmtId="0" fontId="44"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44" fillId="34" borderId="0" applyNumberFormat="0" applyBorder="0" applyAlignment="0" applyProtection="0"/>
    <xf numFmtId="0" fontId="44" fillId="35" borderId="0" applyNumberFormat="0" applyBorder="0" applyAlignment="0" applyProtection="0"/>
    <xf numFmtId="0" fontId="44" fillId="36" borderId="0" applyNumberFormat="0" applyBorder="0" applyAlignment="0" applyProtection="0"/>
    <xf numFmtId="0" fontId="44" fillId="38" borderId="0" applyNumberFormat="0" applyBorder="0" applyAlignment="0" applyProtection="0"/>
    <xf numFmtId="0" fontId="44" fillId="39" borderId="0" applyNumberFormat="0" applyBorder="0" applyAlignment="0" applyProtection="0"/>
    <xf numFmtId="0" fontId="44" fillId="40" borderId="0" applyNumberFormat="0" applyBorder="0" applyAlignment="0" applyProtection="0"/>
    <xf numFmtId="0" fontId="44" fillId="42" borderId="0" applyNumberFormat="0" applyBorder="0" applyAlignment="0" applyProtection="0"/>
    <xf numFmtId="0" fontId="44" fillId="43" borderId="0" applyNumberFormat="0" applyBorder="0" applyAlignment="0" applyProtection="0"/>
    <xf numFmtId="0" fontId="44" fillId="44" borderId="0" applyNumberFormat="0" applyBorder="0" applyAlignment="0" applyProtection="0"/>
    <xf numFmtId="0" fontId="44" fillId="46" borderId="0" applyNumberFormat="0" applyBorder="0" applyAlignment="0" applyProtection="0"/>
    <xf numFmtId="0" fontId="44" fillId="47" borderId="0" applyNumberFormat="0" applyBorder="0" applyAlignment="0" applyProtection="0"/>
    <xf numFmtId="0" fontId="44" fillId="48" borderId="0" applyNumberFormat="0" applyBorder="0" applyAlignment="0" applyProtection="0"/>
    <xf numFmtId="0" fontId="44" fillId="50" borderId="0" applyNumberFormat="0" applyBorder="0" applyAlignment="0" applyProtection="0"/>
    <xf numFmtId="0" fontId="44" fillId="51" borderId="0" applyNumberFormat="0" applyBorder="0" applyAlignment="0" applyProtection="0"/>
    <xf numFmtId="0" fontId="44" fillId="52" borderId="0" applyNumberFormat="0" applyBorder="0" applyAlignment="0" applyProtection="0"/>
    <xf numFmtId="0" fontId="44" fillId="0" borderId="0"/>
    <xf numFmtId="0" fontId="44" fillId="28" borderId="61" applyNumberFormat="0" applyFont="0" applyAlignment="0" applyProtection="0"/>
    <xf numFmtId="0" fontId="44" fillId="0" borderId="0"/>
    <xf numFmtId="0" fontId="44" fillId="28" borderId="61" applyNumberFormat="0" applyFont="0" applyAlignment="0" applyProtection="0"/>
    <xf numFmtId="0" fontId="44"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44" fillId="34" borderId="0" applyNumberFormat="0" applyBorder="0" applyAlignment="0" applyProtection="0"/>
    <xf numFmtId="0" fontId="44" fillId="35" borderId="0" applyNumberFormat="0" applyBorder="0" applyAlignment="0" applyProtection="0"/>
    <xf numFmtId="0" fontId="44" fillId="36" borderId="0" applyNumberFormat="0" applyBorder="0" applyAlignment="0" applyProtection="0"/>
    <xf numFmtId="0" fontId="44" fillId="38" borderId="0" applyNumberFormat="0" applyBorder="0" applyAlignment="0" applyProtection="0"/>
    <xf numFmtId="0" fontId="44" fillId="39" borderId="0" applyNumberFormat="0" applyBorder="0" applyAlignment="0" applyProtection="0"/>
    <xf numFmtId="0" fontId="44" fillId="40" borderId="0" applyNumberFormat="0" applyBorder="0" applyAlignment="0" applyProtection="0"/>
    <xf numFmtId="0" fontId="44" fillId="42" borderId="0" applyNumberFormat="0" applyBorder="0" applyAlignment="0" applyProtection="0"/>
    <xf numFmtId="0" fontId="44" fillId="43" borderId="0" applyNumberFormat="0" applyBorder="0" applyAlignment="0" applyProtection="0"/>
    <xf numFmtId="0" fontId="44" fillId="44" borderId="0" applyNumberFormat="0" applyBorder="0" applyAlignment="0" applyProtection="0"/>
    <xf numFmtId="0" fontId="44" fillId="46" borderId="0" applyNumberFormat="0" applyBorder="0" applyAlignment="0" applyProtection="0"/>
    <xf numFmtId="0" fontId="44" fillId="47" borderId="0" applyNumberFormat="0" applyBorder="0" applyAlignment="0" applyProtection="0"/>
    <xf numFmtId="0" fontId="44" fillId="48" borderId="0" applyNumberFormat="0" applyBorder="0" applyAlignment="0" applyProtection="0"/>
    <xf numFmtId="0" fontId="44" fillId="50" borderId="0" applyNumberFormat="0" applyBorder="0" applyAlignment="0" applyProtection="0"/>
    <xf numFmtId="0" fontId="44" fillId="51" borderId="0" applyNumberFormat="0" applyBorder="0" applyAlignment="0" applyProtection="0"/>
    <xf numFmtId="0" fontId="44" fillId="52" borderId="0" applyNumberFormat="0" applyBorder="0" applyAlignment="0" applyProtection="0"/>
    <xf numFmtId="0" fontId="44" fillId="0" borderId="0"/>
    <xf numFmtId="0" fontId="44" fillId="28" borderId="61" applyNumberFormat="0" applyFont="0" applyAlignment="0" applyProtection="0"/>
    <xf numFmtId="0" fontId="44"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44" fillId="34" borderId="0" applyNumberFormat="0" applyBorder="0" applyAlignment="0" applyProtection="0"/>
    <xf numFmtId="0" fontId="44" fillId="35" borderId="0" applyNumberFormat="0" applyBorder="0" applyAlignment="0" applyProtection="0"/>
    <xf numFmtId="0" fontId="44" fillId="36" borderId="0" applyNumberFormat="0" applyBorder="0" applyAlignment="0" applyProtection="0"/>
    <xf numFmtId="0" fontId="44" fillId="38" borderId="0" applyNumberFormat="0" applyBorder="0" applyAlignment="0" applyProtection="0"/>
    <xf numFmtId="0" fontId="44" fillId="39" borderId="0" applyNumberFormat="0" applyBorder="0" applyAlignment="0" applyProtection="0"/>
    <xf numFmtId="0" fontId="44" fillId="40" borderId="0" applyNumberFormat="0" applyBorder="0" applyAlignment="0" applyProtection="0"/>
    <xf numFmtId="0" fontId="44" fillId="42" borderId="0" applyNumberFormat="0" applyBorder="0" applyAlignment="0" applyProtection="0"/>
    <xf numFmtId="0" fontId="44" fillId="43" borderId="0" applyNumberFormat="0" applyBorder="0" applyAlignment="0" applyProtection="0"/>
    <xf numFmtId="0" fontId="44" fillId="44" borderId="0" applyNumberFormat="0" applyBorder="0" applyAlignment="0" applyProtection="0"/>
    <xf numFmtId="0" fontId="44" fillId="46" borderId="0" applyNumberFormat="0" applyBorder="0" applyAlignment="0" applyProtection="0"/>
    <xf numFmtId="0" fontId="44" fillId="47" borderId="0" applyNumberFormat="0" applyBorder="0" applyAlignment="0" applyProtection="0"/>
    <xf numFmtId="0" fontId="44" fillId="48" borderId="0" applyNumberFormat="0" applyBorder="0" applyAlignment="0" applyProtection="0"/>
    <xf numFmtId="0" fontId="44" fillId="50" borderId="0" applyNumberFormat="0" applyBorder="0" applyAlignment="0" applyProtection="0"/>
    <xf numFmtId="0" fontId="44" fillId="51" borderId="0" applyNumberFormat="0" applyBorder="0" applyAlignment="0" applyProtection="0"/>
    <xf numFmtId="0" fontId="44" fillId="52" borderId="0" applyNumberFormat="0" applyBorder="0" applyAlignment="0" applyProtection="0"/>
    <xf numFmtId="0" fontId="44" fillId="0" borderId="0"/>
    <xf numFmtId="43" fontId="43" fillId="0" borderId="0" applyFont="0" applyFill="0" applyBorder="0" applyAlignment="0" applyProtection="0"/>
    <xf numFmtId="9" fontId="43" fillId="0" borderId="0" applyFont="0" applyFill="0" applyBorder="0" applyAlignment="0" applyProtection="0"/>
    <xf numFmtId="43"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9" fontId="43" fillId="0" borderId="0" applyFont="0" applyFill="0" applyBorder="0" applyAlignment="0" applyProtection="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30" borderId="0" applyNumberFormat="0" applyBorder="0" applyAlignment="0" applyProtection="0"/>
    <xf numFmtId="0" fontId="43" fillId="31" borderId="0" applyNumberFormat="0" applyBorder="0" applyAlignment="0" applyProtection="0"/>
    <xf numFmtId="0" fontId="43" fillId="32" borderId="0" applyNumberFormat="0" applyBorder="0" applyAlignment="0" applyProtection="0"/>
    <xf numFmtId="0" fontId="43" fillId="34" borderId="0" applyNumberFormat="0" applyBorder="0" applyAlignment="0" applyProtection="0"/>
    <xf numFmtId="0" fontId="43" fillId="35" borderId="0" applyNumberFormat="0" applyBorder="0" applyAlignment="0" applyProtection="0"/>
    <xf numFmtId="0" fontId="43" fillId="36" borderId="0" applyNumberFormat="0" applyBorder="0" applyAlignment="0" applyProtection="0"/>
    <xf numFmtId="0" fontId="43" fillId="38" borderId="0" applyNumberFormat="0" applyBorder="0" applyAlignment="0" applyProtection="0"/>
    <xf numFmtId="0" fontId="43" fillId="39" borderId="0" applyNumberFormat="0" applyBorder="0" applyAlignment="0" applyProtection="0"/>
    <xf numFmtId="0" fontId="43" fillId="40" borderId="0" applyNumberFormat="0" applyBorder="0" applyAlignment="0" applyProtection="0"/>
    <xf numFmtId="0" fontId="43" fillId="42" borderId="0" applyNumberFormat="0" applyBorder="0" applyAlignment="0" applyProtection="0"/>
    <xf numFmtId="0" fontId="43" fillId="43" borderId="0" applyNumberFormat="0" applyBorder="0" applyAlignment="0" applyProtection="0"/>
    <xf numFmtId="0" fontId="43" fillId="44" borderId="0" applyNumberFormat="0" applyBorder="0" applyAlignment="0" applyProtection="0"/>
    <xf numFmtId="0" fontId="43" fillId="46" borderId="0" applyNumberFormat="0" applyBorder="0" applyAlignment="0" applyProtection="0"/>
    <xf numFmtId="0" fontId="43" fillId="47" borderId="0" applyNumberFormat="0" applyBorder="0" applyAlignment="0" applyProtection="0"/>
    <xf numFmtId="0" fontId="43" fillId="48" borderId="0" applyNumberFormat="0" applyBorder="0" applyAlignment="0" applyProtection="0"/>
    <xf numFmtId="0" fontId="43" fillId="50" borderId="0" applyNumberFormat="0" applyBorder="0" applyAlignment="0" applyProtection="0"/>
    <xf numFmtId="0" fontId="43" fillId="51" borderId="0" applyNumberFormat="0" applyBorder="0" applyAlignment="0" applyProtection="0"/>
    <xf numFmtId="0" fontId="43" fillId="52" borderId="0" applyNumberFormat="0" applyBorder="0" applyAlignment="0" applyProtection="0"/>
    <xf numFmtId="0" fontId="43" fillId="0" borderId="0"/>
    <xf numFmtId="0" fontId="43" fillId="28" borderId="61" applyNumberFormat="0" applyFont="0" applyAlignment="0" applyProtection="0"/>
    <xf numFmtId="0" fontId="43" fillId="0" borderId="0"/>
    <xf numFmtId="0" fontId="43" fillId="28" borderId="61" applyNumberFormat="0" applyFont="0" applyAlignment="0" applyProtection="0"/>
    <xf numFmtId="0" fontId="43" fillId="30" borderId="0" applyNumberFormat="0" applyBorder="0" applyAlignment="0" applyProtection="0"/>
    <xf numFmtId="0" fontId="43" fillId="31" borderId="0" applyNumberFormat="0" applyBorder="0" applyAlignment="0" applyProtection="0"/>
    <xf numFmtId="0" fontId="43" fillId="32" borderId="0" applyNumberFormat="0" applyBorder="0" applyAlignment="0" applyProtection="0"/>
    <xf numFmtId="0" fontId="43" fillId="34" borderId="0" applyNumberFormat="0" applyBorder="0" applyAlignment="0" applyProtection="0"/>
    <xf numFmtId="0" fontId="43" fillId="35" borderId="0" applyNumberFormat="0" applyBorder="0" applyAlignment="0" applyProtection="0"/>
    <xf numFmtId="0" fontId="43" fillId="36" borderId="0" applyNumberFormat="0" applyBorder="0" applyAlignment="0" applyProtection="0"/>
    <xf numFmtId="0" fontId="43" fillId="38" borderId="0" applyNumberFormat="0" applyBorder="0" applyAlignment="0" applyProtection="0"/>
    <xf numFmtId="0" fontId="43" fillId="39" borderId="0" applyNumberFormat="0" applyBorder="0" applyAlignment="0" applyProtection="0"/>
    <xf numFmtId="0" fontId="43" fillId="40" borderId="0" applyNumberFormat="0" applyBorder="0" applyAlignment="0" applyProtection="0"/>
    <xf numFmtId="0" fontId="43" fillId="42" borderId="0" applyNumberFormat="0" applyBorder="0" applyAlignment="0" applyProtection="0"/>
    <xf numFmtId="0" fontId="43" fillId="43" borderId="0" applyNumberFormat="0" applyBorder="0" applyAlignment="0" applyProtection="0"/>
    <xf numFmtId="0" fontId="43" fillId="44" borderId="0" applyNumberFormat="0" applyBorder="0" applyAlignment="0" applyProtection="0"/>
    <xf numFmtId="0" fontId="43" fillId="46" borderId="0" applyNumberFormat="0" applyBorder="0" applyAlignment="0" applyProtection="0"/>
    <xf numFmtId="0" fontId="43" fillId="47" borderId="0" applyNumberFormat="0" applyBorder="0" applyAlignment="0" applyProtection="0"/>
    <xf numFmtId="0" fontId="43" fillId="48" borderId="0" applyNumberFormat="0" applyBorder="0" applyAlignment="0" applyProtection="0"/>
    <xf numFmtId="0" fontId="43" fillId="50" borderId="0" applyNumberFormat="0" applyBorder="0" applyAlignment="0" applyProtection="0"/>
    <xf numFmtId="0" fontId="43" fillId="51" borderId="0" applyNumberFormat="0" applyBorder="0" applyAlignment="0" applyProtection="0"/>
    <xf numFmtId="0" fontId="43" fillId="52" borderId="0" applyNumberFormat="0" applyBorder="0" applyAlignment="0" applyProtection="0"/>
    <xf numFmtId="0" fontId="43" fillId="0" borderId="0"/>
    <xf numFmtId="0" fontId="43" fillId="28" borderId="61" applyNumberFormat="0" applyFont="0" applyAlignment="0" applyProtection="0"/>
    <xf numFmtId="0" fontId="43" fillId="30" borderId="0" applyNumberFormat="0" applyBorder="0" applyAlignment="0" applyProtection="0"/>
    <xf numFmtId="0" fontId="43" fillId="31" borderId="0" applyNumberFormat="0" applyBorder="0" applyAlignment="0" applyProtection="0"/>
    <xf numFmtId="0" fontId="43" fillId="32" borderId="0" applyNumberFormat="0" applyBorder="0" applyAlignment="0" applyProtection="0"/>
    <xf numFmtId="0" fontId="43" fillId="34" borderId="0" applyNumberFormat="0" applyBorder="0" applyAlignment="0" applyProtection="0"/>
    <xf numFmtId="0" fontId="43" fillId="35" borderId="0" applyNumberFormat="0" applyBorder="0" applyAlignment="0" applyProtection="0"/>
    <xf numFmtId="0" fontId="43" fillId="36" borderId="0" applyNumberFormat="0" applyBorder="0" applyAlignment="0" applyProtection="0"/>
    <xf numFmtId="0" fontId="43" fillId="38" borderId="0" applyNumberFormat="0" applyBorder="0" applyAlignment="0" applyProtection="0"/>
    <xf numFmtId="0" fontId="43" fillId="39" borderId="0" applyNumberFormat="0" applyBorder="0" applyAlignment="0" applyProtection="0"/>
    <xf numFmtId="0" fontId="43" fillId="40" borderId="0" applyNumberFormat="0" applyBorder="0" applyAlignment="0" applyProtection="0"/>
    <xf numFmtId="0" fontId="43" fillId="42" borderId="0" applyNumberFormat="0" applyBorder="0" applyAlignment="0" applyProtection="0"/>
    <xf numFmtId="0" fontId="43" fillId="43" borderId="0" applyNumberFormat="0" applyBorder="0" applyAlignment="0" applyProtection="0"/>
    <xf numFmtId="0" fontId="43" fillId="44" borderId="0" applyNumberFormat="0" applyBorder="0" applyAlignment="0" applyProtection="0"/>
    <xf numFmtId="0" fontId="43" fillId="46" borderId="0" applyNumberFormat="0" applyBorder="0" applyAlignment="0" applyProtection="0"/>
    <xf numFmtId="0" fontId="43" fillId="47" borderId="0" applyNumberFormat="0" applyBorder="0" applyAlignment="0" applyProtection="0"/>
    <xf numFmtId="0" fontId="43" fillId="48" borderId="0" applyNumberFormat="0" applyBorder="0" applyAlignment="0" applyProtection="0"/>
    <xf numFmtId="0" fontId="43" fillId="50" borderId="0" applyNumberFormat="0" applyBorder="0" applyAlignment="0" applyProtection="0"/>
    <xf numFmtId="0" fontId="43" fillId="51" borderId="0" applyNumberFormat="0" applyBorder="0" applyAlignment="0" applyProtection="0"/>
    <xf numFmtId="0" fontId="43" fillId="52" borderId="0" applyNumberFormat="0" applyBorder="0" applyAlignment="0" applyProtection="0"/>
    <xf numFmtId="43" fontId="43" fillId="0" borderId="0" applyFont="0" applyFill="0" applyBorder="0" applyAlignment="0" applyProtection="0"/>
    <xf numFmtId="9" fontId="43" fillId="0" borderId="0" applyFont="0" applyFill="0" applyBorder="0" applyAlignment="0" applyProtection="0"/>
    <xf numFmtId="43"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9" fontId="43" fillId="0" borderId="0" applyFont="0" applyFill="0" applyBorder="0" applyAlignment="0" applyProtection="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30" borderId="0" applyNumberFormat="0" applyBorder="0" applyAlignment="0" applyProtection="0"/>
    <xf numFmtId="0" fontId="43" fillId="31" borderId="0" applyNumberFormat="0" applyBorder="0" applyAlignment="0" applyProtection="0"/>
    <xf numFmtId="0" fontId="43" fillId="32" borderId="0" applyNumberFormat="0" applyBorder="0" applyAlignment="0" applyProtection="0"/>
    <xf numFmtId="0" fontId="43" fillId="34" borderId="0" applyNumberFormat="0" applyBorder="0" applyAlignment="0" applyProtection="0"/>
    <xf numFmtId="0" fontId="43" fillId="35" borderId="0" applyNumberFormat="0" applyBorder="0" applyAlignment="0" applyProtection="0"/>
    <xf numFmtId="0" fontId="43" fillId="36" borderId="0" applyNumberFormat="0" applyBorder="0" applyAlignment="0" applyProtection="0"/>
    <xf numFmtId="0" fontId="43" fillId="38" borderId="0" applyNumberFormat="0" applyBorder="0" applyAlignment="0" applyProtection="0"/>
    <xf numFmtId="0" fontId="43" fillId="39" borderId="0" applyNumberFormat="0" applyBorder="0" applyAlignment="0" applyProtection="0"/>
    <xf numFmtId="0" fontId="43" fillId="40" borderId="0" applyNumberFormat="0" applyBorder="0" applyAlignment="0" applyProtection="0"/>
    <xf numFmtId="0" fontId="43" fillId="42" borderId="0" applyNumberFormat="0" applyBorder="0" applyAlignment="0" applyProtection="0"/>
    <xf numFmtId="0" fontId="43" fillId="43" borderId="0" applyNumberFormat="0" applyBorder="0" applyAlignment="0" applyProtection="0"/>
    <xf numFmtId="0" fontId="43" fillId="44" borderId="0" applyNumberFormat="0" applyBorder="0" applyAlignment="0" applyProtection="0"/>
    <xf numFmtId="0" fontId="43" fillId="46" borderId="0" applyNumberFormat="0" applyBorder="0" applyAlignment="0" applyProtection="0"/>
    <xf numFmtId="0" fontId="43" fillId="47" borderId="0" applyNumberFormat="0" applyBorder="0" applyAlignment="0" applyProtection="0"/>
    <xf numFmtId="0" fontId="43" fillId="48" borderId="0" applyNumberFormat="0" applyBorder="0" applyAlignment="0" applyProtection="0"/>
    <xf numFmtId="0" fontId="43" fillId="50" borderId="0" applyNumberFormat="0" applyBorder="0" applyAlignment="0" applyProtection="0"/>
    <xf numFmtId="0" fontId="43" fillId="51" borderId="0" applyNumberFormat="0" applyBorder="0" applyAlignment="0" applyProtection="0"/>
    <xf numFmtId="0" fontId="43" fillId="52" borderId="0" applyNumberFormat="0" applyBorder="0" applyAlignment="0" applyProtection="0"/>
    <xf numFmtId="0" fontId="43" fillId="0" borderId="0"/>
    <xf numFmtId="0" fontId="43" fillId="28" borderId="61" applyNumberFormat="0" applyFont="0" applyAlignment="0" applyProtection="0"/>
    <xf numFmtId="0" fontId="43" fillId="0" borderId="0"/>
    <xf numFmtId="0" fontId="43" fillId="28" borderId="61" applyNumberFormat="0" applyFont="0" applyAlignment="0" applyProtection="0"/>
    <xf numFmtId="0" fontId="43" fillId="30" borderId="0" applyNumberFormat="0" applyBorder="0" applyAlignment="0" applyProtection="0"/>
    <xf numFmtId="0" fontId="43" fillId="31" borderId="0" applyNumberFormat="0" applyBorder="0" applyAlignment="0" applyProtection="0"/>
    <xf numFmtId="0" fontId="43" fillId="32" borderId="0" applyNumberFormat="0" applyBorder="0" applyAlignment="0" applyProtection="0"/>
    <xf numFmtId="0" fontId="43" fillId="34" borderId="0" applyNumberFormat="0" applyBorder="0" applyAlignment="0" applyProtection="0"/>
    <xf numFmtId="0" fontId="43" fillId="35" borderId="0" applyNumberFormat="0" applyBorder="0" applyAlignment="0" applyProtection="0"/>
    <xf numFmtId="0" fontId="43" fillId="36" borderId="0" applyNumberFormat="0" applyBorder="0" applyAlignment="0" applyProtection="0"/>
    <xf numFmtId="0" fontId="43" fillId="38" borderId="0" applyNumberFormat="0" applyBorder="0" applyAlignment="0" applyProtection="0"/>
    <xf numFmtId="0" fontId="43" fillId="39" borderId="0" applyNumberFormat="0" applyBorder="0" applyAlignment="0" applyProtection="0"/>
    <xf numFmtId="0" fontId="43" fillId="40" borderId="0" applyNumberFormat="0" applyBorder="0" applyAlignment="0" applyProtection="0"/>
    <xf numFmtId="0" fontId="43" fillId="42" borderId="0" applyNumberFormat="0" applyBorder="0" applyAlignment="0" applyProtection="0"/>
    <xf numFmtId="0" fontId="43" fillId="43" borderId="0" applyNumberFormat="0" applyBorder="0" applyAlignment="0" applyProtection="0"/>
    <xf numFmtId="0" fontId="43" fillId="44" borderId="0" applyNumberFormat="0" applyBorder="0" applyAlignment="0" applyProtection="0"/>
    <xf numFmtId="0" fontId="43" fillId="46" borderId="0" applyNumberFormat="0" applyBorder="0" applyAlignment="0" applyProtection="0"/>
    <xf numFmtId="0" fontId="43" fillId="47" borderId="0" applyNumberFormat="0" applyBorder="0" applyAlignment="0" applyProtection="0"/>
    <xf numFmtId="0" fontId="43" fillId="48" borderId="0" applyNumberFormat="0" applyBorder="0" applyAlignment="0" applyProtection="0"/>
    <xf numFmtId="0" fontId="43" fillId="50" borderId="0" applyNumberFormat="0" applyBorder="0" applyAlignment="0" applyProtection="0"/>
    <xf numFmtId="0" fontId="43" fillId="51" borderId="0" applyNumberFormat="0" applyBorder="0" applyAlignment="0" applyProtection="0"/>
    <xf numFmtId="0" fontId="43" fillId="52" borderId="0" applyNumberFormat="0" applyBorder="0" applyAlignment="0" applyProtection="0"/>
    <xf numFmtId="0" fontId="43" fillId="0" borderId="0"/>
    <xf numFmtId="0" fontId="43" fillId="28" borderId="61" applyNumberFormat="0" applyFont="0" applyAlignment="0" applyProtection="0"/>
    <xf numFmtId="0" fontId="43" fillId="30" borderId="0" applyNumberFormat="0" applyBorder="0" applyAlignment="0" applyProtection="0"/>
    <xf numFmtId="0" fontId="43" fillId="31" borderId="0" applyNumberFormat="0" applyBorder="0" applyAlignment="0" applyProtection="0"/>
    <xf numFmtId="0" fontId="43" fillId="32" borderId="0" applyNumberFormat="0" applyBorder="0" applyAlignment="0" applyProtection="0"/>
    <xf numFmtId="0" fontId="43" fillId="34" borderId="0" applyNumberFormat="0" applyBorder="0" applyAlignment="0" applyProtection="0"/>
    <xf numFmtId="0" fontId="43" fillId="35" borderId="0" applyNumberFormat="0" applyBorder="0" applyAlignment="0" applyProtection="0"/>
    <xf numFmtId="0" fontId="43" fillId="36" borderId="0" applyNumberFormat="0" applyBorder="0" applyAlignment="0" applyProtection="0"/>
    <xf numFmtId="0" fontId="43" fillId="38" borderId="0" applyNumberFormat="0" applyBorder="0" applyAlignment="0" applyProtection="0"/>
    <xf numFmtId="0" fontId="43" fillId="39" borderId="0" applyNumberFormat="0" applyBorder="0" applyAlignment="0" applyProtection="0"/>
    <xf numFmtId="0" fontId="43" fillId="40" borderId="0" applyNumberFormat="0" applyBorder="0" applyAlignment="0" applyProtection="0"/>
    <xf numFmtId="0" fontId="43" fillId="42" borderId="0" applyNumberFormat="0" applyBorder="0" applyAlignment="0" applyProtection="0"/>
    <xf numFmtId="0" fontId="43" fillId="43" borderId="0" applyNumberFormat="0" applyBorder="0" applyAlignment="0" applyProtection="0"/>
    <xf numFmtId="0" fontId="43" fillId="44" borderId="0" applyNumberFormat="0" applyBorder="0" applyAlignment="0" applyProtection="0"/>
    <xf numFmtId="0" fontId="43" fillId="46" borderId="0" applyNumberFormat="0" applyBorder="0" applyAlignment="0" applyProtection="0"/>
    <xf numFmtId="0" fontId="43" fillId="47" borderId="0" applyNumberFormat="0" applyBorder="0" applyAlignment="0" applyProtection="0"/>
    <xf numFmtId="0" fontId="43" fillId="48" borderId="0" applyNumberFormat="0" applyBorder="0" applyAlignment="0" applyProtection="0"/>
    <xf numFmtId="0" fontId="43" fillId="50" borderId="0" applyNumberFormat="0" applyBorder="0" applyAlignment="0" applyProtection="0"/>
    <xf numFmtId="0" fontId="43" fillId="51" borderId="0" applyNumberFormat="0" applyBorder="0" applyAlignment="0" applyProtection="0"/>
    <xf numFmtId="0" fontId="43" fillId="52" borderId="0" applyNumberFormat="0" applyBorder="0" applyAlignment="0" applyProtection="0"/>
    <xf numFmtId="43" fontId="43" fillId="0" borderId="0" applyFont="0" applyFill="0" applyBorder="0" applyAlignment="0" applyProtection="0"/>
    <xf numFmtId="9" fontId="43" fillId="0" borderId="0" applyFont="0" applyFill="0" applyBorder="0" applyAlignment="0" applyProtection="0"/>
    <xf numFmtId="43"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9" fontId="43" fillId="0" borderId="0" applyFont="0" applyFill="0" applyBorder="0" applyAlignment="0" applyProtection="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30" borderId="0" applyNumberFormat="0" applyBorder="0" applyAlignment="0" applyProtection="0"/>
    <xf numFmtId="0" fontId="43" fillId="31" borderId="0" applyNumberFormat="0" applyBorder="0" applyAlignment="0" applyProtection="0"/>
    <xf numFmtId="0" fontId="43" fillId="32" borderId="0" applyNumberFormat="0" applyBorder="0" applyAlignment="0" applyProtection="0"/>
    <xf numFmtId="0" fontId="43" fillId="34" borderId="0" applyNumberFormat="0" applyBorder="0" applyAlignment="0" applyProtection="0"/>
    <xf numFmtId="0" fontId="43" fillId="35" borderId="0" applyNumberFormat="0" applyBorder="0" applyAlignment="0" applyProtection="0"/>
    <xf numFmtId="0" fontId="43" fillId="36" borderId="0" applyNumberFormat="0" applyBorder="0" applyAlignment="0" applyProtection="0"/>
    <xf numFmtId="0" fontId="43" fillId="38" borderId="0" applyNumberFormat="0" applyBorder="0" applyAlignment="0" applyProtection="0"/>
    <xf numFmtId="0" fontId="43" fillId="39" borderId="0" applyNumberFormat="0" applyBorder="0" applyAlignment="0" applyProtection="0"/>
    <xf numFmtId="0" fontId="43" fillId="40" borderId="0" applyNumberFormat="0" applyBorder="0" applyAlignment="0" applyProtection="0"/>
    <xf numFmtId="0" fontId="43" fillId="42" borderId="0" applyNumberFormat="0" applyBorder="0" applyAlignment="0" applyProtection="0"/>
    <xf numFmtId="0" fontId="43" fillId="43" borderId="0" applyNumberFormat="0" applyBorder="0" applyAlignment="0" applyProtection="0"/>
    <xf numFmtId="0" fontId="43" fillId="44" borderId="0" applyNumberFormat="0" applyBorder="0" applyAlignment="0" applyProtection="0"/>
    <xf numFmtId="0" fontId="43" fillId="46" borderId="0" applyNumberFormat="0" applyBorder="0" applyAlignment="0" applyProtection="0"/>
    <xf numFmtId="0" fontId="43" fillId="47" borderId="0" applyNumberFormat="0" applyBorder="0" applyAlignment="0" applyProtection="0"/>
    <xf numFmtId="0" fontId="43" fillId="48" borderId="0" applyNumberFormat="0" applyBorder="0" applyAlignment="0" applyProtection="0"/>
    <xf numFmtId="0" fontId="43" fillId="50" borderId="0" applyNumberFormat="0" applyBorder="0" applyAlignment="0" applyProtection="0"/>
    <xf numFmtId="0" fontId="43" fillId="51" borderId="0" applyNumberFormat="0" applyBorder="0" applyAlignment="0" applyProtection="0"/>
    <xf numFmtId="0" fontId="43" fillId="52" borderId="0" applyNumberFormat="0" applyBorder="0" applyAlignment="0" applyProtection="0"/>
    <xf numFmtId="0" fontId="43" fillId="0" borderId="0"/>
    <xf numFmtId="0" fontId="43" fillId="28" borderId="61" applyNumberFormat="0" applyFont="0" applyAlignment="0" applyProtection="0"/>
    <xf numFmtId="0" fontId="43" fillId="0" borderId="0"/>
    <xf numFmtId="0" fontId="43" fillId="28" borderId="61" applyNumberFormat="0" applyFont="0" applyAlignment="0" applyProtection="0"/>
    <xf numFmtId="0" fontId="43" fillId="30" borderId="0" applyNumberFormat="0" applyBorder="0" applyAlignment="0" applyProtection="0"/>
    <xf numFmtId="0" fontId="43" fillId="31" borderId="0" applyNumberFormat="0" applyBorder="0" applyAlignment="0" applyProtection="0"/>
    <xf numFmtId="0" fontId="43" fillId="32" borderId="0" applyNumberFormat="0" applyBorder="0" applyAlignment="0" applyProtection="0"/>
    <xf numFmtId="0" fontId="43" fillId="34" borderId="0" applyNumberFormat="0" applyBorder="0" applyAlignment="0" applyProtection="0"/>
    <xf numFmtId="0" fontId="43" fillId="35" borderId="0" applyNumberFormat="0" applyBorder="0" applyAlignment="0" applyProtection="0"/>
    <xf numFmtId="0" fontId="43" fillId="36" borderId="0" applyNumberFormat="0" applyBorder="0" applyAlignment="0" applyProtection="0"/>
    <xf numFmtId="0" fontId="43" fillId="38" borderId="0" applyNumberFormat="0" applyBorder="0" applyAlignment="0" applyProtection="0"/>
    <xf numFmtId="0" fontId="43" fillId="39" borderId="0" applyNumberFormat="0" applyBorder="0" applyAlignment="0" applyProtection="0"/>
    <xf numFmtId="0" fontId="43" fillId="40" borderId="0" applyNumberFormat="0" applyBorder="0" applyAlignment="0" applyProtection="0"/>
    <xf numFmtId="0" fontId="43" fillId="42" borderId="0" applyNumberFormat="0" applyBorder="0" applyAlignment="0" applyProtection="0"/>
    <xf numFmtId="0" fontId="43" fillId="43" borderId="0" applyNumberFormat="0" applyBorder="0" applyAlignment="0" applyProtection="0"/>
    <xf numFmtId="0" fontId="43" fillId="44" borderId="0" applyNumberFormat="0" applyBorder="0" applyAlignment="0" applyProtection="0"/>
    <xf numFmtId="0" fontId="43" fillId="46" borderId="0" applyNumberFormat="0" applyBorder="0" applyAlignment="0" applyProtection="0"/>
    <xf numFmtId="0" fontId="43" fillId="47" borderId="0" applyNumberFormat="0" applyBorder="0" applyAlignment="0" applyProtection="0"/>
    <xf numFmtId="0" fontId="43" fillId="48" borderId="0" applyNumberFormat="0" applyBorder="0" applyAlignment="0" applyProtection="0"/>
    <xf numFmtId="0" fontId="43" fillId="50" borderId="0" applyNumberFormat="0" applyBorder="0" applyAlignment="0" applyProtection="0"/>
    <xf numFmtId="0" fontId="43" fillId="51" borderId="0" applyNumberFormat="0" applyBorder="0" applyAlignment="0" applyProtection="0"/>
    <xf numFmtId="0" fontId="43" fillId="52" borderId="0" applyNumberFormat="0" applyBorder="0" applyAlignment="0" applyProtection="0"/>
    <xf numFmtId="0" fontId="43" fillId="0" borderId="0"/>
    <xf numFmtId="0" fontId="43" fillId="28" borderId="61" applyNumberFormat="0" applyFont="0" applyAlignment="0" applyProtection="0"/>
    <xf numFmtId="0" fontId="43" fillId="30" borderId="0" applyNumberFormat="0" applyBorder="0" applyAlignment="0" applyProtection="0"/>
    <xf numFmtId="0" fontId="43" fillId="31" borderId="0" applyNumberFormat="0" applyBorder="0" applyAlignment="0" applyProtection="0"/>
    <xf numFmtId="0" fontId="43" fillId="32" borderId="0" applyNumberFormat="0" applyBorder="0" applyAlignment="0" applyProtection="0"/>
    <xf numFmtId="0" fontId="43" fillId="34" borderId="0" applyNumberFormat="0" applyBorder="0" applyAlignment="0" applyProtection="0"/>
    <xf numFmtId="0" fontId="43" fillId="35" borderId="0" applyNumberFormat="0" applyBorder="0" applyAlignment="0" applyProtection="0"/>
    <xf numFmtId="0" fontId="43" fillId="36" borderId="0" applyNumberFormat="0" applyBorder="0" applyAlignment="0" applyProtection="0"/>
    <xf numFmtId="0" fontId="43" fillId="38" borderId="0" applyNumberFormat="0" applyBorder="0" applyAlignment="0" applyProtection="0"/>
    <xf numFmtId="0" fontId="43" fillId="39" borderId="0" applyNumberFormat="0" applyBorder="0" applyAlignment="0" applyProtection="0"/>
    <xf numFmtId="0" fontId="43" fillId="40" borderId="0" applyNumberFormat="0" applyBorder="0" applyAlignment="0" applyProtection="0"/>
    <xf numFmtId="0" fontId="43" fillId="42" borderId="0" applyNumberFormat="0" applyBorder="0" applyAlignment="0" applyProtection="0"/>
    <xf numFmtId="0" fontId="43" fillId="43" borderId="0" applyNumberFormat="0" applyBorder="0" applyAlignment="0" applyProtection="0"/>
    <xf numFmtId="0" fontId="43" fillId="44" borderId="0" applyNumberFormat="0" applyBorder="0" applyAlignment="0" applyProtection="0"/>
    <xf numFmtId="0" fontId="43" fillId="46" borderId="0" applyNumberFormat="0" applyBorder="0" applyAlignment="0" applyProtection="0"/>
    <xf numFmtId="0" fontId="43" fillId="47" borderId="0" applyNumberFormat="0" applyBorder="0" applyAlignment="0" applyProtection="0"/>
    <xf numFmtId="0" fontId="43" fillId="48" borderId="0" applyNumberFormat="0" applyBorder="0" applyAlignment="0" applyProtection="0"/>
    <xf numFmtId="0" fontId="43" fillId="50" borderId="0" applyNumberFormat="0" applyBorder="0" applyAlignment="0" applyProtection="0"/>
    <xf numFmtId="0" fontId="43" fillId="51" borderId="0" applyNumberFormat="0" applyBorder="0" applyAlignment="0" applyProtection="0"/>
    <xf numFmtId="0" fontId="43" fillId="52" borderId="0" applyNumberFormat="0" applyBorder="0" applyAlignment="0" applyProtection="0"/>
    <xf numFmtId="43" fontId="43" fillId="0" borderId="0" applyFont="0" applyFill="0" applyBorder="0" applyAlignment="0" applyProtection="0"/>
    <xf numFmtId="9" fontId="43" fillId="0" borderId="0" applyFont="0" applyFill="0" applyBorder="0" applyAlignment="0" applyProtection="0"/>
    <xf numFmtId="43"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9" fontId="43" fillId="0" borderId="0" applyFont="0" applyFill="0" applyBorder="0" applyAlignment="0" applyProtection="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43" fontId="43" fillId="0" borderId="0" applyFont="0" applyFill="0" applyBorder="0" applyAlignment="0" applyProtection="0"/>
    <xf numFmtId="9" fontId="43" fillId="0" borderId="0" applyFont="0" applyFill="0" applyBorder="0" applyAlignment="0" applyProtection="0"/>
    <xf numFmtId="0" fontId="43" fillId="0" borderId="0"/>
    <xf numFmtId="0" fontId="43" fillId="30" borderId="0" applyNumberFormat="0" applyBorder="0" applyAlignment="0" applyProtection="0"/>
    <xf numFmtId="0" fontId="43" fillId="31" borderId="0" applyNumberFormat="0" applyBorder="0" applyAlignment="0" applyProtection="0"/>
    <xf numFmtId="0" fontId="43" fillId="32" borderId="0" applyNumberFormat="0" applyBorder="0" applyAlignment="0" applyProtection="0"/>
    <xf numFmtId="0" fontId="43" fillId="34" borderId="0" applyNumberFormat="0" applyBorder="0" applyAlignment="0" applyProtection="0"/>
    <xf numFmtId="0" fontId="43" fillId="35" borderId="0" applyNumberFormat="0" applyBorder="0" applyAlignment="0" applyProtection="0"/>
    <xf numFmtId="0" fontId="43" fillId="36" borderId="0" applyNumberFormat="0" applyBorder="0" applyAlignment="0" applyProtection="0"/>
    <xf numFmtId="0" fontId="43" fillId="38" borderId="0" applyNumberFormat="0" applyBorder="0" applyAlignment="0" applyProtection="0"/>
    <xf numFmtId="0" fontId="43" fillId="39" borderId="0" applyNumberFormat="0" applyBorder="0" applyAlignment="0" applyProtection="0"/>
    <xf numFmtId="0" fontId="43" fillId="40" borderId="0" applyNumberFormat="0" applyBorder="0" applyAlignment="0" applyProtection="0"/>
    <xf numFmtId="0" fontId="43" fillId="42" borderId="0" applyNumberFormat="0" applyBorder="0" applyAlignment="0" applyProtection="0"/>
    <xf numFmtId="0" fontId="43" fillId="43" borderId="0" applyNumberFormat="0" applyBorder="0" applyAlignment="0" applyProtection="0"/>
    <xf numFmtId="0" fontId="43" fillId="44" borderId="0" applyNumberFormat="0" applyBorder="0" applyAlignment="0" applyProtection="0"/>
    <xf numFmtId="0" fontId="43" fillId="46" borderId="0" applyNumberFormat="0" applyBorder="0" applyAlignment="0" applyProtection="0"/>
    <xf numFmtId="0" fontId="43" fillId="47" borderId="0" applyNumberFormat="0" applyBorder="0" applyAlignment="0" applyProtection="0"/>
    <xf numFmtId="0" fontId="43" fillId="48" borderId="0" applyNumberFormat="0" applyBorder="0" applyAlignment="0" applyProtection="0"/>
    <xf numFmtId="0" fontId="43" fillId="50" borderId="0" applyNumberFormat="0" applyBorder="0" applyAlignment="0" applyProtection="0"/>
    <xf numFmtId="0" fontId="43" fillId="51" borderId="0" applyNumberFormat="0" applyBorder="0" applyAlignment="0" applyProtection="0"/>
    <xf numFmtId="0" fontId="43" fillId="52" borderId="0" applyNumberFormat="0" applyBorder="0" applyAlignment="0" applyProtection="0"/>
    <xf numFmtId="0" fontId="43" fillId="0" borderId="0"/>
    <xf numFmtId="0" fontId="43" fillId="28" borderId="61" applyNumberFormat="0" applyFont="0" applyAlignment="0" applyProtection="0"/>
    <xf numFmtId="0" fontId="43" fillId="0" borderId="0"/>
    <xf numFmtId="0" fontId="43" fillId="28" borderId="61" applyNumberFormat="0" applyFont="0" applyAlignment="0" applyProtection="0"/>
    <xf numFmtId="0" fontId="43" fillId="30" borderId="0" applyNumberFormat="0" applyBorder="0" applyAlignment="0" applyProtection="0"/>
    <xf numFmtId="0" fontId="43" fillId="31" borderId="0" applyNumberFormat="0" applyBorder="0" applyAlignment="0" applyProtection="0"/>
    <xf numFmtId="0" fontId="43" fillId="32" borderId="0" applyNumberFormat="0" applyBorder="0" applyAlignment="0" applyProtection="0"/>
    <xf numFmtId="0" fontId="43" fillId="34" borderId="0" applyNumberFormat="0" applyBorder="0" applyAlignment="0" applyProtection="0"/>
    <xf numFmtId="0" fontId="43" fillId="35" borderId="0" applyNumberFormat="0" applyBorder="0" applyAlignment="0" applyProtection="0"/>
    <xf numFmtId="0" fontId="43" fillId="36" borderId="0" applyNumberFormat="0" applyBorder="0" applyAlignment="0" applyProtection="0"/>
    <xf numFmtId="0" fontId="43" fillId="38" borderId="0" applyNumberFormat="0" applyBorder="0" applyAlignment="0" applyProtection="0"/>
    <xf numFmtId="0" fontId="43" fillId="39" borderId="0" applyNumberFormat="0" applyBorder="0" applyAlignment="0" applyProtection="0"/>
    <xf numFmtId="0" fontId="43" fillId="40" borderId="0" applyNumberFormat="0" applyBorder="0" applyAlignment="0" applyProtection="0"/>
    <xf numFmtId="0" fontId="43" fillId="42" borderId="0" applyNumberFormat="0" applyBorder="0" applyAlignment="0" applyProtection="0"/>
    <xf numFmtId="0" fontId="43" fillId="43" borderId="0" applyNumberFormat="0" applyBorder="0" applyAlignment="0" applyProtection="0"/>
    <xf numFmtId="0" fontId="43" fillId="44" borderId="0" applyNumberFormat="0" applyBorder="0" applyAlignment="0" applyProtection="0"/>
    <xf numFmtId="0" fontId="43" fillId="46" borderId="0" applyNumberFormat="0" applyBorder="0" applyAlignment="0" applyProtection="0"/>
    <xf numFmtId="0" fontId="43" fillId="47" borderId="0" applyNumberFormat="0" applyBorder="0" applyAlignment="0" applyProtection="0"/>
    <xf numFmtId="0" fontId="43" fillId="48" borderId="0" applyNumberFormat="0" applyBorder="0" applyAlignment="0" applyProtection="0"/>
    <xf numFmtId="0" fontId="43" fillId="50" borderId="0" applyNumberFormat="0" applyBorder="0" applyAlignment="0" applyProtection="0"/>
    <xf numFmtId="0" fontId="43" fillId="51" borderId="0" applyNumberFormat="0" applyBorder="0" applyAlignment="0" applyProtection="0"/>
    <xf numFmtId="0" fontId="43" fillId="52" borderId="0" applyNumberFormat="0" applyBorder="0" applyAlignment="0" applyProtection="0"/>
    <xf numFmtId="0" fontId="43" fillId="0" borderId="0"/>
    <xf numFmtId="0" fontId="43" fillId="28" borderId="61" applyNumberFormat="0" applyFont="0" applyAlignment="0" applyProtection="0"/>
    <xf numFmtId="0" fontId="43" fillId="30" borderId="0" applyNumberFormat="0" applyBorder="0" applyAlignment="0" applyProtection="0"/>
    <xf numFmtId="0" fontId="43" fillId="31" borderId="0" applyNumberFormat="0" applyBorder="0" applyAlignment="0" applyProtection="0"/>
    <xf numFmtId="0" fontId="43" fillId="32" borderId="0" applyNumberFormat="0" applyBorder="0" applyAlignment="0" applyProtection="0"/>
    <xf numFmtId="0" fontId="43" fillId="34" borderId="0" applyNumberFormat="0" applyBorder="0" applyAlignment="0" applyProtection="0"/>
    <xf numFmtId="0" fontId="43" fillId="35" borderId="0" applyNumberFormat="0" applyBorder="0" applyAlignment="0" applyProtection="0"/>
    <xf numFmtId="0" fontId="43" fillId="36" borderId="0" applyNumberFormat="0" applyBorder="0" applyAlignment="0" applyProtection="0"/>
    <xf numFmtId="0" fontId="43" fillId="38" borderId="0" applyNumberFormat="0" applyBorder="0" applyAlignment="0" applyProtection="0"/>
    <xf numFmtId="0" fontId="43" fillId="39" borderId="0" applyNumberFormat="0" applyBorder="0" applyAlignment="0" applyProtection="0"/>
    <xf numFmtId="0" fontId="43" fillId="40" borderId="0" applyNumberFormat="0" applyBorder="0" applyAlignment="0" applyProtection="0"/>
    <xf numFmtId="0" fontId="43" fillId="42" borderId="0" applyNumberFormat="0" applyBorder="0" applyAlignment="0" applyProtection="0"/>
    <xf numFmtId="0" fontId="43" fillId="43" borderId="0" applyNumberFormat="0" applyBorder="0" applyAlignment="0" applyProtection="0"/>
    <xf numFmtId="0" fontId="43" fillId="44" borderId="0" applyNumberFormat="0" applyBorder="0" applyAlignment="0" applyProtection="0"/>
    <xf numFmtId="0" fontId="43" fillId="46" borderId="0" applyNumberFormat="0" applyBorder="0" applyAlignment="0" applyProtection="0"/>
    <xf numFmtId="0" fontId="43" fillId="47" borderId="0" applyNumberFormat="0" applyBorder="0" applyAlignment="0" applyProtection="0"/>
    <xf numFmtId="0" fontId="43" fillId="48" borderId="0" applyNumberFormat="0" applyBorder="0" applyAlignment="0" applyProtection="0"/>
    <xf numFmtId="0" fontId="43" fillId="50" borderId="0" applyNumberFormat="0" applyBorder="0" applyAlignment="0" applyProtection="0"/>
    <xf numFmtId="0" fontId="43" fillId="51" borderId="0" applyNumberFormat="0" applyBorder="0" applyAlignment="0" applyProtection="0"/>
    <xf numFmtId="0" fontId="43" fillId="52" borderId="0" applyNumberFormat="0" applyBorder="0" applyAlignment="0" applyProtection="0"/>
    <xf numFmtId="0" fontId="43" fillId="0" borderId="0"/>
    <xf numFmtId="43" fontId="42" fillId="0" borderId="0" applyFont="0" applyFill="0" applyBorder="0" applyAlignment="0" applyProtection="0"/>
    <xf numFmtId="9" fontId="42" fillId="0" borderId="0" applyFont="0" applyFill="0" applyBorder="0" applyAlignment="0" applyProtection="0"/>
    <xf numFmtId="43" fontId="42"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9" fontId="42" fillId="0" borderId="0" applyFont="0" applyFill="0" applyBorder="0" applyAlignment="0" applyProtection="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30" borderId="0" applyNumberFormat="0" applyBorder="0" applyAlignment="0" applyProtection="0"/>
    <xf numFmtId="0" fontId="42" fillId="31" borderId="0" applyNumberFormat="0" applyBorder="0" applyAlignment="0" applyProtection="0"/>
    <xf numFmtId="0" fontId="42" fillId="32" borderId="0" applyNumberFormat="0" applyBorder="0" applyAlignment="0" applyProtection="0"/>
    <xf numFmtId="0" fontId="42" fillId="34" borderId="0" applyNumberFormat="0" applyBorder="0" applyAlignment="0" applyProtection="0"/>
    <xf numFmtId="0" fontId="42" fillId="35" borderId="0" applyNumberFormat="0" applyBorder="0" applyAlignment="0" applyProtection="0"/>
    <xf numFmtId="0" fontId="42" fillId="36" borderId="0" applyNumberFormat="0" applyBorder="0" applyAlignment="0" applyProtection="0"/>
    <xf numFmtId="0" fontId="42" fillId="38" borderId="0" applyNumberFormat="0" applyBorder="0" applyAlignment="0" applyProtection="0"/>
    <xf numFmtId="0" fontId="42" fillId="39" borderId="0" applyNumberFormat="0" applyBorder="0" applyAlignment="0" applyProtection="0"/>
    <xf numFmtId="0" fontId="42" fillId="40" borderId="0" applyNumberFormat="0" applyBorder="0" applyAlignment="0" applyProtection="0"/>
    <xf numFmtId="0" fontId="42" fillId="42"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42" fillId="52" borderId="0" applyNumberFormat="0" applyBorder="0" applyAlignment="0" applyProtection="0"/>
    <xf numFmtId="0" fontId="42" fillId="0" borderId="0"/>
    <xf numFmtId="0" fontId="42" fillId="28" borderId="61" applyNumberFormat="0" applyFont="0" applyAlignment="0" applyProtection="0"/>
    <xf numFmtId="0" fontId="42" fillId="0" borderId="0"/>
    <xf numFmtId="0" fontId="42" fillId="28" borderId="61" applyNumberFormat="0" applyFont="0" applyAlignment="0" applyProtection="0"/>
    <xf numFmtId="0" fontId="42" fillId="30" borderId="0" applyNumberFormat="0" applyBorder="0" applyAlignment="0" applyProtection="0"/>
    <xf numFmtId="0" fontId="42" fillId="31" borderId="0" applyNumberFormat="0" applyBorder="0" applyAlignment="0" applyProtection="0"/>
    <xf numFmtId="0" fontId="42" fillId="32" borderId="0" applyNumberFormat="0" applyBorder="0" applyAlignment="0" applyProtection="0"/>
    <xf numFmtId="0" fontId="42" fillId="34" borderId="0" applyNumberFormat="0" applyBorder="0" applyAlignment="0" applyProtection="0"/>
    <xf numFmtId="0" fontId="42" fillId="35" borderId="0" applyNumberFormat="0" applyBorder="0" applyAlignment="0" applyProtection="0"/>
    <xf numFmtId="0" fontId="42" fillId="36" borderId="0" applyNumberFormat="0" applyBorder="0" applyAlignment="0" applyProtection="0"/>
    <xf numFmtId="0" fontId="42" fillId="38" borderId="0" applyNumberFormat="0" applyBorder="0" applyAlignment="0" applyProtection="0"/>
    <xf numFmtId="0" fontId="42" fillId="39" borderId="0" applyNumberFormat="0" applyBorder="0" applyAlignment="0" applyProtection="0"/>
    <xf numFmtId="0" fontId="42" fillId="40" borderId="0" applyNumberFormat="0" applyBorder="0" applyAlignment="0" applyProtection="0"/>
    <xf numFmtId="0" fontId="42" fillId="42"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42" fillId="52" borderId="0" applyNumberFormat="0" applyBorder="0" applyAlignment="0" applyProtection="0"/>
    <xf numFmtId="0" fontId="42" fillId="0" borderId="0"/>
    <xf numFmtId="0" fontId="42" fillId="28" borderId="61" applyNumberFormat="0" applyFont="0" applyAlignment="0" applyProtection="0"/>
    <xf numFmtId="0" fontId="42" fillId="30" borderId="0" applyNumberFormat="0" applyBorder="0" applyAlignment="0" applyProtection="0"/>
    <xf numFmtId="0" fontId="42" fillId="31" borderId="0" applyNumberFormat="0" applyBorder="0" applyAlignment="0" applyProtection="0"/>
    <xf numFmtId="0" fontId="42" fillId="32" borderId="0" applyNumberFormat="0" applyBorder="0" applyAlignment="0" applyProtection="0"/>
    <xf numFmtId="0" fontId="42" fillId="34" borderId="0" applyNumberFormat="0" applyBorder="0" applyAlignment="0" applyProtection="0"/>
    <xf numFmtId="0" fontId="42" fillId="35" borderId="0" applyNumberFormat="0" applyBorder="0" applyAlignment="0" applyProtection="0"/>
    <xf numFmtId="0" fontId="42" fillId="36" borderId="0" applyNumberFormat="0" applyBorder="0" applyAlignment="0" applyProtection="0"/>
    <xf numFmtId="0" fontId="42" fillId="38" borderId="0" applyNumberFormat="0" applyBorder="0" applyAlignment="0" applyProtection="0"/>
    <xf numFmtId="0" fontId="42" fillId="39" borderId="0" applyNumberFormat="0" applyBorder="0" applyAlignment="0" applyProtection="0"/>
    <xf numFmtId="0" fontId="42" fillId="40" borderId="0" applyNumberFormat="0" applyBorder="0" applyAlignment="0" applyProtection="0"/>
    <xf numFmtId="0" fontId="42" fillId="42"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42" fillId="52" borderId="0" applyNumberFormat="0" applyBorder="0" applyAlignment="0" applyProtection="0"/>
    <xf numFmtId="43" fontId="42" fillId="0" borderId="0" applyFont="0" applyFill="0" applyBorder="0" applyAlignment="0" applyProtection="0"/>
    <xf numFmtId="9" fontId="42" fillId="0" borderId="0" applyFont="0" applyFill="0" applyBorder="0" applyAlignment="0" applyProtection="0"/>
    <xf numFmtId="43" fontId="42"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9" fontId="42" fillId="0" borderId="0" applyFont="0" applyFill="0" applyBorder="0" applyAlignment="0" applyProtection="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30" borderId="0" applyNumberFormat="0" applyBorder="0" applyAlignment="0" applyProtection="0"/>
    <xf numFmtId="0" fontId="42" fillId="31" borderId="0" applyNumberFormat="0" applyBorder="0" applyAlignment="0" applyProtection="0"/>
    <xf numFmtId="0" fontId="42" fillId="32" borderId="0" applyNumberFormat="0" applyBorder="0" applyAlignment="0" applyProtection="0"/>
    <xf numFmtId="0" fontId="42" fillId="34" borderId="0" applyNumberFormat="0" applyBorder="0" applyAlignment="0" applyProtection="0"/>
    <xf numFmtId="0" fontId="42" fillId="35" borderId="0" applyNumberFormat="0" applyBorder="0" applyAlignment="0" applyProtection="0"/>
    <xf numFmtId="0" fontId="42" fillId="36" borderId="0" applyNumberFormat="0" applyBorder="0" applyAlignment="0" applyProtection="0"/>
    <xf numFmtId="0" fontId="42" fillId="38" borderId="0" applyNumberFormat="0" applyBorder="0" applyAlignment="0" applyProtection="0"/>
    <xf numFmtId="0" fontId="42" fillId="39" borderId="0" applyNumberFormat="0" applyBorder="0" applyAlignment="0" applyProtection="0"/>
    <xf numFmtId="0" fontId="42" fillId="40" borderId="0" applyNumberFormat="0" applyBorder="0" applyAlignment="0" applyProtection="0"/>
    <xf numFmtId="0" fontId="42" fillId="42"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42" fillId="52" borderId="0" applyNumberFormat="0" applyBorder="0" applyAlignment="0" applyProtection="0"/>
    <xf numFmtId="0" fontId="42" fillId="0" borderId="0"/>
    <xf numFmtId="0" fontId="42" fillId="28" borderId="61" applyNumberFormat="0" applyFont="0" applyAlignment="0" applyProtection="0"/>
    <xf numFmtId="0" fontId="42" fillId="0" borderId="0"/>
    <xf numFmtId="0" fontId="42" fillId="28" borderId="61" applyNumberFormat="0" applyFont="0" applyAlignment="0" applyProtection="0"/>
    <xf numFmtId="0" fontId="42" fillId="30" borderId="0" applyNumberFormat="0" applyBorder="0" applyAlignment="0" applyProtection="0"/>
    <xf numFmtId="0" fontId="42" fillId="31" borderId="0" applyNumberFormat="0" applyBorder="0" applyAlignment="0" applyProtection="0"/>
    <xf numFmtId="0" fontId="42" fillId="32" borderId="0" applyNumberFormat="0" applyBorder="0" applyAlignment="0" applyProtection="0"/>
    <xf numFmtId="0" fontId="42" fillId="34" borderId="0" applyNumberFormat="0" applyBorder="0" applyAlignment="0" applyProtection="0"/>
    <xf numFmtId="0" fontId="42" fillId="35" borderId="0" applyNumberFormat="0" applyBorder="0" applyAlignment="0" applyProtection="0"/>
    <xf numFmtId="0" fontId="42" fillId="36" borderId="0" applyNumberFormat="0" applyBorder="0" applyAlignment="0" applyProtection="0"/>
    <xf numFmtId="0" fontId="42" fillId="38" borderId="0" applyNumberFormat="0" applyBorder="0" applyAlignment="0" applyProtection="0"/>
    <xf numFmtId="0" fontId="42" fillId="39" borderId="0" applyNumberFormat="0" applyBorder="0" applyAlignment="0" applyProtection="0"/>
    <xf numFmtId="0" fontId="42" fillId="40" borderId="0" applyNumberFormat="0" applyBorder="0" applyAlignment="0" applyProtection="0"/>
    <xf numFmtId="0" fontId="42" fillId="42"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42" fillId="52" borderId="0" applyNumberFormat="0" applyBorder="0" applyAlignment="0" applyProtection="0"/>
    <xf numFmtId="0" fontId="42" fillId="0" borderId="0"/>
    <xf numFmtId="0" fontId="42" fillId="28" borderId="61" applyNumberFormat="0" applyFont="0" applyAlignment="0" applyProtection="0"/>
    <xf numFmtId="0" fontId="42" fillId="30" borderId="0" applyNumberFormat="0" applyBorder="0" applyAlignment="0" applyProtection="0"/>
    <xf numFmtId="0" fontId="42" fillId="31" borderId="0" applyNumberFormat="0" applyBorder="0" applyAlignment="0" applyProtection="0"/>
    <xf numFmtId="0" fontId="42" fillId="32" borderId="0" applyNumberFormat="0" applyBorder="0" applyAlignment="0" applyProtection="0"/>
    <xf numFmtId="0" fontId="42" fillId="34" borderId="0" applyNumberFormat="0" applyBorder="0" applyAlignment="0" applyProtection="0"/>
    <xf numFmtId="0" fontId="42" fillId="35" borderId="0" applyNumberFormat="0" applyBorder="0" applyAlignment="0" applyProtection="0"/>
    <xf numFmtId="0" fontId="42" fillId="36" borderId="0" applyNumberFormat="0" applyBorder="0" applyAlignment="0" applyProtection="0"/>
    <xf numFmtId="0" fontId="42" fillId="38" borderId="0" applyNumberFormat="0" applyBorder="0" applyAlignment="0" applyProtection="0"/>
    <xf numFmtId="0" fontId="42" fillId="39" borderId="0" applyNumberFormat="0" applyBorder="0" applyAlignment="0" applyProtection="0"/>
    <xf numFmtId="0" fontId="42" fillId="40" borderId="0" applyNumberFormat="0" applyBorder="0" applyAlignment="0" applyProtection="0"/>
    <xf numFmtId="0" fontId="42" fillId="42"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42" fillId="52" borderId="0" applyNumberFormat="0" applyBorder="0" applyAlignment="0" applyProtection="0"/>
    <xf numFmtId="43" fontId="42" fillId="0" borderId="0" applyFont="0" applyFill="0" applyBorder="0" applyAlignment="0" applyProtection="0"/>
    <xf numFmtId="9" fontId="42" fillId="0" borderId="0" applyFont="0" applyFill="0" applyBorder="0" applyAlignment="0" applyProtection="0"/>
    <xf numFmtId="43" fontId="42"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9" fontId="42" fillId="0" borderId="0" applyFont="0" applyFill="0" applyBorder="0" applyAlignment="0" applyProtection="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30" borderId="0" applyNumberFormat="0" applyBorder="0" applyAlignment="0" applyProtection="0"/>
    <xf numFmtId="0" fontId="42" fillId="31" borderId="0" applyNumberFormat="0" applyBorder="0" applyAlignment="0" applyProtection="0"/>
    <xf numFmtId="0" fontId="42" fillId="32" borderId="0" applyNumberFormat="0" applyBorder="0" applyAlignment="0" applyProtection="0"/>
    <xf numFmtId="0" fontId="42" fillId="34" borderId="0" applyNumberFormat="0" applyBorder="0" applyAlignment="0" applyProtection="0"/>
    <xf numFmtId="0" fontId="42" fillId="35" borderId="0" applyNumberFormat="0" applyBorder="0" applyAlignment="0" applyProtection="0"/>
    <xf numFmtId="0" fontId="42" fillId="36" borderId="0" applyNumberFormat="0" applyBorder="0" applyAlignment="0" applyProtection="0"/>
    <xf numFmtId="0" fontId="42" fillId="38" borderId="0" applyNumberFormat="0" applyBorder="0" applyAlignment="0" applyProtection="0"/>
    <xf numFmtId="0" fontId="42" fillId="39" borderId="0" applyNumberFormat="0" applyBorder="0" applyAlignment="0" applyProtection="0"/>
    <xf numFmtId="0" fontId="42" fillId="40" borderId="0" applyNumberFormat="0" applyBorder="0" applyAlignment="0" applyProtection="0"/>
    <xf numFmtId="0" fontId="42" fillId="42"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42" fillId="52" borderId="0" applyNumberFormat="0" applyBorder="0" applyAlignment="0" applyProtection="0"/>
    <xf numFmtId="0" fontId="42" fillId="0" borderId="0"/>
    <xf numFmtId="0" fontId="42" fillId="28" borderId="61" applyNumberFormat="0" applyFont="0" applyAlignment="0" applyProtection="0"/>
    <xf numFmtId="0" fontId="42" fillId="0" borderId="0"/>
    <xf numFmtId="0" fontId="42" fillId="28" borderId="61" applyNumberFormat="0" applyFont="0" applyAlignment="0" applyProtection="0"/>
    <xf numFmtId="0" fontId="42" fillId="30" borderId="0" applyNumberFormat="0" applyBorder="0" applyAlignment="0" applyProtection="0"/>
    <xf numFmtId="0" fontId="42" fillId="31" borderId="0" applyNumberFormat="0" applyBorder="0" applyAlignment="0" applyProtection="0"/>
    <xf numFmtId="0" fontId="42" fillId="32" borderId="0" applyNumberFormat="0" applyBorder="0" applyAlignment="0" applyProtection="0"/>
    <xf numFmtId="0" fontId="42" fillId="34" borderId="0" applyNumberFormat="0" applyBorder="0" applyAlignment="0" applyProtection="0"/>
    <xf numFmtId="0" fontId="42" fillId="35" borderId="0" applyNumberFormat="0" applyBorder="0" applyAlignment="0" applyProtection="0"/>
    <xf numFmtId="0" fontId="42" fillId="36" borderId="0" applyNumberFormat="0" applyBorder="0" applyAlignment="0" applyProtection="0"/>
    <xf numFmtId="0" fontId="42" fillId="38" borderId="0" applyNumberFormat="0" applyBorder="0" applyAlignment="0" applyProtection="0"/>
    <xf numFmtId="0" fontId="42" fillId="39" borderId="0" applyNumberFormat="0" applyBorder="0" applyAlignment="0" applyProtection="0"/>
    <xf numFmtId="0" fontId="42" fillId="40" borderId="0" applyNumberFormat="0" applyBorder="0" applyAlignment="0" applyProtection="0"/>
    <xf numFmtId="0" fontId="42" fillId="42"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42" fillId="52" borderId="0" applyNumberFormat="0" applyBorder="0" applyAlignment="0" applyProtection="0"/>
    <xf numFmtId="0" fontId="42" fillId="0" borderId="0"/>
    <xf numFmtId="0" fontId="42" fillId="28" borderId="61" applyNumberFormat="0" applyFont="0" applyAlignment="0" applyProtection="0"/>
    <xf numFmtId="0" fontId="42" fillId="30" borderId="0" applyNumberFormat="0" applyBorder="0" applyAlignment="0" applyProtection="0"/>
    <xf numFmtId="0" fontId="42" fillId="31" borderId="0" applyNumberFormat="0" applyBorder="0" applyAlignment="0" applyProtection="0"/>
    <xf numFmtId="0" fontId="42" fillId="32" borderId="0" applyNumberFormat="0" applyBorder="0" applyAlignment="0" applyProtection="0"/>
    <xf numFmtId="0" fontId="42" fillId="34" borderId="0" applyNumberFormat="0" applyBorder="0" applyAlignment="0" applyProtection="0"/>
    <xf numFmtId="0" fontId="42" fillId="35" borderId="0" applyNumberFormat="0" applyBorder="0" applyAlignment="0" applyProtection="0"/>
    <xf numFmtId="0" fontId="42" fillId="36" borderId="0" applyNumberFormat="0" applyBorder="0" applyAlignment="0" applyProtection="0"/>
    <xf numFmtId="0" fontId="42" fillId="38" borderId="0" applyNumberFormat="0" applyBorder="0" applyAlignment="0" applyProtection="0"/>
    <xf numFmtId="0" fontId="42" fillId="39" borderId="0" applyNumberFormat="0" applyBorder="0" applyAlignment="0" applyProtection="0"/>
    <xf numFmtId="0" fontId="42" fillId="40" borderId="0" applyNumberFormat="0" applyBorder="0" applyAlignment="0" applyProtection="0"/>
    <xf numFmtId="0" fontId="42" fillId="42"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42" fillId="52" borderId="0" applyNumberFormat="0" applyBorder="0" applyAlignment="0" applyProtection="0"/>
    <xf numFmtId="43" fontId="42" fillId="0" borderId="0" applyFont="0" applyFill="0" applyBorder="0" applyAlignment="0" applyProtection="0"/>
    <xf numFmtId="9" fontId="42" fillId="0" borderId="0" applyFont="0" applyFill="0" applyBorder="0" applyAlignment="0" applyProtection="0"/>
    <xf numFmtId="43" fontId="42"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9" fontId="42" fillId="0" borderId="0" applyFont="0" applyFill="0" applyBorder="0" applyAlignment="0" applyProtection="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0" borderId="0"/>
    <xf numFmtId="43" fontId="42" fillId="0" borderId="0" applyFont="0" applyFill="0" applyBorder="0" applyAlignment="0" applyProtection="0"/>
    <xf numFmtId="9" fontId="42" fillId="0" borderId="0" applyFont="0" applyFill="0" applyBorder="0" applyAlignment="0" applyProtection="0"/>
    <xf numFmtId="0" fontId="42" fillId="0" borderId="0"/>
    <xf numFmtId="0" fontId="42" fillId="30" borderId="0" applyNumberFormat="0" applyBorder="0" applyAlignment="0" applyProtection="0"/>
    <xf numFmtId="0" fontId="42" fillId="31" borderId="0" applyNumberFormat="0" applyBorder="0" applyAlignment="0" applyProtection="0"/>
    <xf numFmtId="0" fontId="42" fillId="32" borderId="0" applyNumberFormat="0" applyBorder="0" applyAlignment="0" applyProtection="0"/>
    <xf numFmtId="0" fontId="42" fillId="34" borderId="0" applyNumberFormat="0" applyBorder="0" applyAlignment="0" applyProtection="0"/>
    <xf numFmtId="0" fontId="42" fillId="35" borderId="0" applyNumberFormat="0" applyBorder="0" applyAlignment="0" applyProtection="0"/>
    <xf numFmtId="0" fontId="42" fillId="36" borderId="0" applyNumberFormat="0" applyBorder="0" applyAlignment="0" applyProtection="0"/>
    <xf numFmtId="0" fontId="42" fillId="38" borderId="0" applyNumberFormat="0" applyBorder="0" applyAlignment="0" applyProtection="0"/>
    <xf numFmtId="0" fontId="42" fillId="39" borderId="0" applyNumberFormat="0" applyBorder="0" applyAlignment="0" applyProtection="0"/>
    <xf numFmtId="0" fontId="42" fillId="40" borderId="0" applyNumberFormat="0" applyBorder="0" applyAlignment="0" applyProtection="0"/>
    <xf numFmtId="0" fontId="42" fillId="42"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42" fillId="52" borderId="0" applyNumberFormat="0" applyBorder="0" applyAlignment="0" applyProtection="0"/>
    <xf numFmtId="0" fontId="42" fillId="0" borderId="0"/>
    <xf numFmtId="0" fontId="42" fillId="28" borderId="61" applyNumberFormat="0" applyFont="0" applyAlignment="0" applyProtection="0"/>
    <xf numFmtId="0" fontId="42" fillId="0" borderId="0"/>
    <xf numFmtId="0" fontId="42" fillId="28" borderId="61" applyNumberFormat="0" applyFont="0" applyAlignment="0" applyProtection="0"/>
    <xf numFmtId="0" fontId="42" fillId="30" borderId="0" applyNumberFormat="0" applyBorder="0" applyAlignment="0" applyProtection="0"/>
    <xf numFmtId="0" fontId="42" fillId="31" borderId="0" applyNumberFormat="0" applyBorder="0" applyAlignment="0" applyProtection="0"/>
    <xf numFmtId="0" fontId="42" fillId="32" borderId="0" applyNumberFormat="0" applyBorder="0" applyAlignment="0" applyProtection="0"/>
    <xf numFmtId="0" fontId="42" fillId="34" borderId="0" applyNumberFormat="0" applyBorder="0" applyAlignment="0" applyProtection="0"/>
    <xf numFmtId="0" fontId="42" fillId="35" borderId="0" applyNumberFormat="0" applyBorder="0" applyAlignment="0" applyProtection="0"/>
    <xf numFmtId="0" fontId="42" fillId="36" borderId="0" applyNumberFormat="0" applyBorder="0" applyAlignment="0" applyProtection="0"/>
    <xf numFmtId="0" fontId="42" fillId="38" borderId="0" applyNumberFormat="0" applyBorder="0" applyAlignment="0" applyProtection="0"/>
    <xf numFmtId="0" fontId="42" fillId="39" borderId="0" applyNumberFormat="0" applyBorder="0" applyAlignment="0" applyProtection="0"/>
    <xf numFmtId="0" fontId="42" fillId="40" borderId="0" applyNumberFormat="0" applyBorder="0" applyAlignment="0" applyProtection="0"/>
    <xf numFmtId="0" fontId="42" fillId="42"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42" fillId="52" borderId="0" applyNumberFormat="0" applyBorder="0" applyAlignment="0" applyProtection="0"/>
    <xf numFmtId="0" fontId="42" fillId="0" borderId="0"/>
    <xf numFmtId="0" fontId="42" fillId="28" borderId="61" applyNumberFormat="0" applyFont="0" applyAlignment="0" applyProtection="0"/>
    <xf numFmtId="0" fontId="42" fillId="30" borderId="0" applyNumberFormat="0" applyBorder="0" applyAlignment="0" applyProtection="0"/>
    <xf numFmtId="0" fontId="42" fillId="31" borderId="0" applyNumberFormat="0" applyBorder="0" applyAlignment="0" applyProtection="0"/>
    <xf numFmtId="0" fontId="42" fillId="32" borderId="0" applyNumberFormat="0" applyBorder="0" applyAlignment="0" applyProtection="0"/>
    <xf numFmtId="0" fontId="42" fillId="34" borderId="0" applyNumberFormat="0" applyBorder="0" applyAlignment="0" applyProtection="0"/>
    <xf numFmtId="0" fontId="42" fillId="35" borderId="0" applyNumberFormat="0" applyBorder="0" applyAlignment="0" applyProtection="0"/>
    <xf numFmtId="0" fontId="42" fillId="36" borderId="0" applyNumberFormat="0" applyBorder="0" applyAlignment="0" applyProtection="0"/>
    <xf numFmtId="0" fontId="42" fillId="38" borderId="0" applyNumberFormat="0" applyBorder="0" applyAlignment="0" applyProtection="0"/>
    <xf numFmtId="0" fontId="42" fillId="39" borderId="0" applyNumberFormat="0" applyBorder="0" applyAlignment="0" applyProtection="0"/>
    <xf numFmtId="0" fontId="42" fillId="40" borderId="0" applyNumberFormat="0" applyBorder="0" applyAlignment="0" applyProtection="0"/>
    <xf numFmtId="0" fontId="42" fillId="42"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42" fillId="52" borderId="0" applyNumberFormat="0" applyBorder="0" applyAlignment="0" applyProtection="0"/>
    <xf numFmtId="0" fontId="42" fillId="0" borderId="0"/>
    <xf numFmtId="43" fontId="41" fillId="0" borderId="0" applyFont="0" applyFill="0" applyBorder="0" applyAlignment="0" applyProtection="0"/>
    <xf numFmtId="9" fontId="41" fillId="0" borderId="0" applyFont="0" applyFill="0" applyBorder="0" applyAlignment="0" applyProtection="0"/>
    <xf numFmtId="43" fontId="41"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43" fontId="41" fillId="0" borderId="0" applyFont="0" applyFill="0" applyBorder="0" applyAlignment="0" applyProtection="0"/>
    <xf numFmtId="9" fontId="41" fillId="0" borderId="0" applyFont="0" applyFill="0" applyBorder="0" applyAlignment="0" applyProtection="0"/>
    <xf numFmtId="43" fontId="41"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43" fontId="41" fillId="0" borderId="0" applyFont="0" applyFill="0" applyBorder="0" applyAlignment="0" applyProtection="0"/>
    <xf numFmtId="9" fontId="41" fillId="0" borderId="0" applyFont="0" applyFill="0" applyBorder="0" applyAlignment="0" applyProtection="0"/>
    <xf numFmtId="43" fontId="41"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43" fontId="41" fillId="0" borderId="0" applyFont="0" applyFill="0" applyBorder="0" applyAlignment="0" applyProtection="0"/>
    <xf numFmtId="9" fontId="41" fillId="0" borderId="0" applyFont="0" applyFill="0" applyBorder="0" applyAlignment="0" applyProtection="0"/>
    <xf numFmtId="43" fontId="41"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43" fontId="41" fillId="0" borderId="0" applyFont="0" applyFill="0" applyBorder="0" applyAlignment="0" applyProtection="0"/>
    <xf numFmtId="9" fontId="41" fillId="0" borderId="0" applyFont="0" applyFill="0" applyBorder="0" applyAlignment="0" applyProtection="0"/>
    <xf numFmtId="43" fontId="41"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43" fontId="41" fillId="0" borderId="0" applyFont="0" applyFill="0" applyBorder="0" applyAlignment="0" applyProtection="0"/>
    <xf numFmtId="9" fontId="41" fillId="0" borderId="0" applyFont="0" applyFill="0" applyBorder="0" applyAlignment="0" applyProtection="0"/>
    <xf numFmtId="43" fontId="41"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43" fontId="41" fillId="0" borderId="0" applyFont="0" applyFill="0" applyBorder="0" applyAlignment="0" applyProtection="0"/>
    <xf numFmtId="9" fontId="41" fillId="0" borderId="0" applyFont="0" applyFill="0" applyBorder="0" applyAlignment="0" applyProtection="0"/>
    <xf numFmtId="43" fontId="41"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43" fontId="41" fillId="0" borderId="0" applyFont="0" applyFill="0" applyBorder="0" applyAlignment="0" applyProtection="0"/>
    <xf numFmtId="9" fontId="41" fillId="0" borderId="0" applyFont="0" applyFill="0" applyBorder="0" applyAlignment="0" applyProtection="0"/>
    <xf numFmtId="43" fontId="41"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43" fontId="41" fillId="0" borderId="0" applyFont="0" applyFill="0" applyBorder="0" applyAlignment="0" applyProtection="0"/>
    <xf numFmtId="9" fontId="41" fillId="0" borderId="0" applyFont="0" applyFill="0" applyBorder="0" applyAlignment="0" applyProtection="0"/>
    <xf numFmtId="43" fontId="41"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43" fontId="41" fillId="0" borderId="0" applyFont="0" applyFill="0" applyBorder="0" applyAlignment="0" applyProtection="0"/>
    <xf numFmtId="9" fontId="41" fillId="0" borderId="0" applyFont="0" applyFill="0" applyBorder="0" applyAlignment="0" applyProtection="0"/>
    <xf numFmtId="43" fontId="41"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43" fontId="41" fillId="0" borderId="0" applyFont="0" applyFill="0" applyBorder="0" applyAlignment="0" applyProtection="0"/>
    <xf numFmtId="9" fontId="41" fillId="0" borderId="0" applyFont="0" applyFill="0" applyBorder="0" applyAlignment="0" applyProtection="0"/>
    <xf numFmtId="43" fontId="41"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43" fontId="41" fillId="0" borderId="0" applyFont="0" applyFill="0" applyBorder="0" applyAlignment="0" applyProtection="0"/>
    <xf numFmtId="9" fontId="41" fillId="0" borderId="0" applyFont="0" applyFill="0" applyBorder="0" applyAlignment="0" applyProtection="0"/>
    <xf numFmtId="43" fontId="41"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43" fontId="41" fillId="0" borderId="0" applyFont="0" applyFill="0" applyBorder="0" applyAlignment="0" applyProtection="0"/>
    <xf numFmtId="9" fontId="41" fillId="0" borderId="0" applyFont="0" applyFill="0" applyBorder="0" applyAlignment="0" applyProtection="0"/>
    <xf numFmtId="43" fontId="41"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43" fontId="41" fillId="0" borderId="0" applyFont="0" applyFill="0" applyBorder="0" applyAlignment="0" applyProtection="0"/>
    <xf numFmtId="9" fontId="41" fillId="0" borderId="0" applyFont="0" applyFill="0" applyBorder="0" applyAlignment="0" applyProtection="0"/>
    <xf numFmtId="43" fontId="41"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43" fontId="41" fillId="0" borderId="0" applyFont="0" applyFill="0" applyBorder="0" applyAlignment="0" applyProtection="0"/>
    <xf numFmtId="9" fontId="41" fillId="0" borderId="0" applyFont="0" applyFill="0" applyBorder="0" applyAlignment="0" applyProtection="0"/>
    <xf numFmtId="43" fontId="41"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43" fontId="41" fillId="0" borderId="0" applyFont="0" applyFill="0" applyBorder="0" applyAlignment="0" applyProtection="0"/>
    <xf numFmtId="9" fontId="41" fillId="0" borderId="0" applyFont="0" applyFill="0" applyBorder="0" applyAlignment="0" applyProtection="0"/>
    <xf numFmtId="43" fontId="41"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0" borderId="0"/>
    <xf numFmtId="43" fontId="41" fillId="0" borderId="0" applyFont="0" applyFill="0" applyBorder="0" applyAlignment="0" applyProtection="0"/>
    <xf numFmtId="9" fontId="41" fillId="0" borderId="0" applyFont="0" applyFill="0" applyBorder="0" applyAlignment="0" applyProtection="0"/>
    <xf numFmtId="0" fontId="41" fillId="0" borderId="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1" fillId="28" borderId="61" applyNumberFormat="0" applyFont="0" applyAlignment="0" applyProtection="0"/>
    <xf numFmtId="0" fontId="4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4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43" fontId="40" fillId="0" borderId="0" applyFont="0" applyFill="0" applyBorder="0" applyAlignment="0" applyProtection="0"/>
    <xf numFmtId="0" fontId="40" fillId="0" borderId="0"/>
    <xf numFmtId="0" fontId="40" fillId="0" borderId="0"/>
    <xf numFmtId="0" fontId="40" fillId="0" borderId="0"/>
    <xf numFmtId="0" fontId="40" fillId="0" borderId="0"/>
    <xf numFmtId="0" fontId="40" fillId="0" borderId="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43" fontId="40" fillId="0" borderId="0" applyFont="0" applyFill="0" applyBorder="0" applyAlignment="0" applyProtection="0"/>
    <xf numFmtId="9" fontId="40" fillId="0" borderId="0" applyFont="0" applyFill="0" applyBorder="0" applyAlignment="0" applyProtection="0"/>
    <xf numFmtId="43" fontId="40" fillId="0" borderId="0" applyFont="0" applyFill="0" applyBorder="0" applyAlignment="0" applyProtection="0"/>
    <xf numFmtId="0" fontId="40" fillId="0" borderId="0"/>
    <xf numFmtId="0" fontId="40" fillId="0" borderId="0"/>
    <xf numFmtId="0" fontId="40" fillId="0" borderId="0"/>
    <xf numFmtId="0" fontId="40" fillId="0" borderId="0"/>
    <xf numFmtId="0" fontId="40" fillId="0" borderId="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43" fontId="40" fillId="0" borderId="0" applyFont="0" applyFill="0" applyBorder="0" applyAlignment="0" applyProtection="0"/>
    <xf numFmtId="9" fontId="40" fillId="0" borderId="0" applyFont="0" applyFill="0" applyBorder="0" applyAlignment="0" applyProtection="0"/>
    <xf numFmtId="43" fontId="40" fillId="0" borderId="0" applyFont="0" applyFill="0" applyBorder="0" applyAlignment="0" applyProtection="0"/>
    <xf numFmtId="0" fontId="40" fillId="0" borderId="0"/>
    <xf numFmtId="0" fontId="40" fillId="0" borderId="0"/>
    <xf numFmtId="0" fontId="40" fillId="0" borderId="0"/>
    <xf numFmtId="0" fontId="40" fillId="0" borderId="0"/>
    <xf numFmtId="0" fontId="40" fillId="0" borderId="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43" fontId="40" fillId="0" borderId="0" applyFont="0" applyFill="0" applyBorder="0" applyAlignment="0" applyProtection="0"/>
    <xf numFmtId="9" fontId="40" fillId="0" borderId="0" applyFont="0" applyFill="0" applyBorder="0" applyAlignment="0" applyProtection="0"/>
    <xf numFmtId="43" fontId="40" fillId="0" borderId="0" applyFont="0" applyFill="0" applyBorder="0" applyAlignment="0" applyProtection="0"/>
    <xf numFmtId="0" fontId="40" fillId="0" borderId="0"/>
    <xf numFmtId="0" fontId="40" fillId="0" borderId="0"/>
    <xf numFmtId="0" fontId="40" fillId="0" borderId="0"/>
    <xf numFmtId="0" fontId="40" fillId="0" borderId="0"/>
    <xf numFmtId="0" fontId="40" fillId="0" borderId="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43" fontId="40" fillId="0" borderId="0" applyFont="0" applyFill="0" applyBorder="0" applyAlignment="0" applyProtection="0"/>
    <xf numFmtId="9" fontId="40" fillId="0" borderId="0" applyFont="0" applyFill="0" applyBorder="0" applyAlignment="0" applyProtection="0"/>
    <xf numFmtId="43" fontId="40" fillId="0" borderId="0" applyFont="0" applyFill="0" applyBorder="0" applyAlignment="0" applyProtection="0"/>
    <xf numFmtId="0" fontId="40" fillId="0" borderId="0"/>
    <xf numFmtId="0" fontId="40" fillId="0" borderId="0"/>
    <xf numFmtId="0" fontId="40" fillId="0" borderId="0"/>
    <xf numFmtId="0" fontId="40" fillId="0" borderId="0"/>
    <xf numFmtId="0" fontId="40" fillId="0" borderId="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43" fontId="40" fillId="0" borderId="0" applyFont="0" applyFill="0" applyBorder="0" applyAlignment="0" applyProtection="0"/>
    <xf numFmtId="9" fontId="40" fillId="0" borderId="0" applyFont="0" applyFill="0" applyBorder="0" applyAlignment="0" applyProtection="0"/>
    <xf numFmtId="43" fontId="40" fillId="0" borderId="0" applyFont="0" applyFill="0" applyBorder="0" applyAlignment="0" applyProtection="0"/>
    <xf numFmtId="0" fontId="40" fillId="0" borderId="0"/>
    <xf numFmtId="0" fontId="40" fillId="0" borderId="0"/>
    <xf numFmtId="0" fontId="40" fillId="0" borderId="0"/>
    <xf numFmtId="0" fontId="40" fillId="0" borderId="0"/>
    <xf numFmtId="0" fontId="40" fillId="0" borderId="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43" fontId="40" fillId="0" borderId="0" applyFont="0" applyFill="0" applyBorder="0" applyAlignment="0" applyProtection="0"/>
    <xf numFmtId="9" fontId="40" fillId="0" borderId="0" applyFont="0" applyFill="0" applyBorder="0" applyAlignment="0" applyProtection="0"/>
    <xf numFmtId="43" fontId="40" fillId="0" borderId="0" applyFont="0" applyFill="0" applyBorder="0" applyAlignment="0" applyProtection="0"/>
    <xf numFmtId="0" fontId="40" fillId="0" borderId="0"/>
    <xf numFmtId="0" fontId="40" fillId="0" borderId="0"/>
    <xf numFmtId="0" fontId="40" fillId="0" borderId="0"/>
    <xf numFmtId="0" fontId="40" fillId="0" borderId="0"/>
    <xf numFmtId="0" fontId="40" fillId="0" borderId="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43" fontId="40" fillId="0" borderId="0" applyFont="0" applyFill="0" applyBorder="0" applyAlignment="0" applyProtection="0"/>
    <xf numFmtId="9" fontId="40" fillId="0" borderId="0" applyFont="0" applyFill="0" applyBorder="0" applyAlignment="0" applyProtection="0"/>
    <xf numFmtId="43" fontId="40" fillId="0" borderId="0" applyFont="0" applyFill="0" applyBorder="0" applyAlignment="0" applyProtection="0"/>
    <xf numFmtId="0" fontId="40" fillId="0" borderId="0"/>
    <xf numFmtId="0" fontId="40" fillId="0" borderId="0"/>
    <xf numFmtId="0" fontId="40" fillId="0" borderId="0"/>
    <xf numFmtId="0" fontId="40" fillId="0" borderId="0"/>
    <xf numFmtId="0" fontId="40" fillId="0" borderId="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43" fontId="40" fillId="0" borderId="0" applyFont="0" applyFill="0" applyBorder="0" applyAlignment="0" applyProtection="0"/>
    <xf numFmtId="9" fontId="40" fillId="0" borderId="0" applyFont="0" applyFill="0" applyBorder="0" applyAlignment="0" applyProtection="0"/>
    <xf numFmtId="43" fontId="40" fillId="0" borderId="0" applyFont="0" applyFill="0" applyBorder="0" applyAlignment="0" applyProtection="0"/>
    <xf numFmtId="0" fontId="40" fillId="0" borderId="0"/>
    <xf numFmtId="0" fontId="40" fillId="0" borderId="0"/>
    <xf numFmtId="0" fontId="40" fillId="0" borderId="0"/>
    <xf numFmtId="0" fontId="40" fillId="0" borderId="0"/>
    <xf numFmtId="0" fontId="40" fillId="0" borderId="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43" fontId="40" fillId="0" borderId="0" applyFont="0" applyFill="0" applyBorder="0" applyAlignment="0" applyProtection="0"/>
    <xf numFmtId="9" fontId="40" fillId="0" borderId="0" applyFont="0" applyFill="0" applyBorder="0" applyAlignment="0" applyProtection="0"/>
    <xf numFmtId="43" fontId="40" fillId="0" borderId="0" applyFont="0" applyFill="0" applyBorder="0" applyAlignment="0" applyProtection="0"/>
    <xf numFmtId="0" fontId="40" fillId="0" borderId="0"/>
    <xf numFmtId="0" fontId="40" fillId="0" borderId="0"/>
    <xf numFmtId="0" fontId="40" fillId="0" borderId="0"/>
    <xf numFmtId="0" fontId="40" fillId="0" borderId="0"/>
    <xf numFmtId="0" fontId="40" fillId="0" borderId="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43" fontId="40" fillId="0" borderId="0" applyFont="0" applyFill="0" applyBorder="0" applyAlignment="0" applyProtection="0"/>
    <xf numFmtId="9" fontId="40" fillId="0" borderId="0" applyFont="0" applyFill="0" applyBorder="0" applyAlignment="0" applyProtection="0"/>
    <xf numFmtId="43" fontId="40" fillId="0" borderId="0" applyFont="0" applyFill="0" applyBorder="0" applyAlignment="0" applyProtection="0"/>
    <xf numFmtId="0" fontId="40" fillId="0" borderId="0"/>
    <xf numFmtId="0" fontId="40" fillId="0" borderId="0"/>
    <xf numFmtId="0" fontId="40" fillId="0" borderId="0"/>
    <xf numFmtId="0" fontId="40" fillId="0" borderId="0"/>
    <xf numFmtId="0" fontId="40" fillId="0" borderId="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43" fontId="40" fillId="0" borderId="0" applyFont="0" applyFill="0" applyBorder="0" applyAlignment="0" applyProtection="0"/>
    <xf numFmtId="9" fontId="40" fillId="0" borderId="0" applyFont="0" applyFill="0" applyBorder="0" applyAlignment="0" applyProtection="0"/>
    <xf numFmtId="43" fontId="40" fillId="0" borderId="0" applyFont="0" applyFill="0" applyBorder="0" applyAlignment="0" applyProtection="0"/>
    <xf numFmtId="0" fontId="40" fillId="0" borderId="0"/>
    <xf numFmtId="0" fontId="40" fillId="0" borderId="0"/>
    <xf numFmtId="0" fontId="40" fillId="0" borderId="0"/>
    <xf numFmtId="0" fontId="40" fillId="0" borderId="0"/>
    <xf numFmtId="0" fontId="40" fillId="0" borderId="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43" fontId="40" fillId="0" borderId="0" applyFont="0" applyFill="0" applyBorder="0" applyAlignment="0" applyProtection="0"/>
    <xf numFmtId="9" fontId="40" fillId="0" borderId="0" applyFont="0" applyFill="0" applyBorder="0" applyAlignment="0" applyProtection="0"/>
    <xf numFmtId="43" fontId="40" fillId="0" borderId="0" applyFont="0" applyFill="0" applyBorder="0" applyAlignment="0" applyProtection="0"/>
    <xf numFmtId="0" fontId="40" fillId="0" borderId="0"/>
    <xf numFmtId="0" fontId="40" fillId="0" borderId="0"/>
    <xf numFmtId="0" fontId="40" fillId="0" borderId="0"/>
    <xf numFmtId="0" fontId="40" fillId="0" borderId="0"/>
    <xf numFmtId="0" fontId="40" fillId="0" borderId="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43" fontId="40" fillId="0" borderId="0" applyFont="0" applyFill="0" applyBorder="0" applyAlignment="0" applyProtection="0"/>
    <xf numFmtId="9" fontId="40" fillId="0" borderId="0" applyFont="0" applyFill="0" applyBorder="0" applyAlignment="0" applyProtection="0"/>
    <xf numFmtId="43" fontId="40" fillId="0" borderId="0" applyFont="0" applyFill="0" applyBorder="0" applyAlignment="0" applyProtection="0"/>
    <xf numFmtId="0" fontId="40" fillId="0" borderId="0"/>
    <xf numFmtId="0" fontId="40" fillId="0" borderId="0"/>
    <xf numFmtId="0" fontId="40" fillId="0" borderId="0"/>
    <xf numFmtId="0" fontId="40" fillId="0" borderId="0"/>
    <xf numFmtId="0" fontId="40" fillId="0" borderId="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43" fontId="40" fillId="0" borderId="0" applyFont="0" applyFill="0" applyBorder="0" applyAlignment="0" applyProtection="0"/>
    <xf numFmtId="9" fontId="40" fillId="0" borderId="0" applyFont="0" applyFill="0" applyBorder="0" applyAlignment="0" applyProtection="0"/>
    <xf numFmtId="43" fontId="40" fillId="0" borderId="0" applyFont="0" applyFill="0" applyBorder="0" applyAlignment="0" applyProtection="0"/>
    <xf numFmtId="0" fontId="40" fillId="0" borderId="0"/>
    <xf numFmtId="0" fontId="40" fillId="0" borderId="0"/>
    <xf numFmtId="0" fontId="40" fillId="0" borderId="0"/>
    <xf numFmtId="0" fontId="40" fillId="0" borderId="0"/>
    <xf numFmtId="0" fontId="40" fillId="0" borderId="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43" fontId="40" fillId="0" borderId="0" applyFont="0" applyFill="0" applyBorder="0" applyAlignment="0" applyProtection="0"/>
    <xf numFmtId="9" fontId="40" fillId="0" borderId="0" applyFont="0" applyFill="0" applyBorder="0" applyAlignment="0" applyProtection="0"/>
    <xf numFmtId="43" fontId="40" fillId="0" borderId="0" applyFont="0" applyFill="0" applyBorder="0" applyAlignment="0" applyProtection="0"/>
    <xf numFmtId="0" fontId="40" fillId="0" borderId="0"/>
    <xf numFmtId="0" fontId="40" fillId="0" borderId="0"/>
    <xf numFmtId="0" fontId="40" fillId="0" borderId="0"/>
    <xf numFmtId="0" fontId="40" fillId="0" borderId="0"/>
    <xf numFmtId="0" fontId="40" fillId="0" borderId="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0" borderId="0"/>
    <xf numFmtId="43" fontId="40" fillId="0" borderId="0" applyFont="0" applyFill="0" applyBorder="0" applyAlignment="0" applyProtection="0"/>
    <xf numFmtId="9" fontId="40" fillId="0" borderId="0" applyFont="0" applyFill="0" applyBorder="0" applyAlignment="0" applyProtection="0"/>
    <xf numFmtId="0" fontId="40" fillId="0" borderId="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0" fontId="40" fillId="28" borderId="61" applyNumberFormat="0" applyFont="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4" borderId="0" applyNumberFormat="0" applyBorder="0" applyAlignment="0" applyProtection="0"/>
    <xf numFmtId="0" fontId="40" fillId="35" borderId="0" applyNumberFormat="0" applyBorder="0" applyAlignment="0" applyProtection="0"/>
    <xf numFmtId="0" fontId="40" fillId="36"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6" borderId="0" applyNumberFormat="0" applyBorder="0" applyAlignment="0" applyProtection="0"/>
    <xf numFmtId="0" fontId="40" fillId="47" borderId="0" applyNumberFormat="0" applyBorder="0" applyAlignment="0" applyProtection="0"/>
    <xf numFmtId="0" fontId="40" fillId="48"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0" borderId="0"/>
    <xf numFmtId="43" fontId="39" fillId="0" borderId="0" applyFont="0" applyFill="0" applyBorder="0" applyAlignment="0" applyProtection="0"/>
    <xf numFmtId="9" fontId="39" fillId="0" borderId="0" applyFont="0" applyFill="0" applyBorder="0" applyAlignment="0" applyProtection="0"/>
    <xf numFmtId="43" fontId="39"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43" fontId="39" fillId="0" borderId="0" applyFont="0" applyFill="0" applyBorder="0" applyAlignment="0" applyProtection="0"/>
    <xf numFmtId="9" fontId="39" fillId="0" borderId="0" applyFont="0" applyFill="0" applyBorder="0" applyAlignment="0" applyProtection="0"/>
    <xf numFmtId="43" fontId="39"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43" fontId="39" fillId="0" borderId="0" applyFont="0" applyFill="0" applyBorder="0" applyAlignment="0" applyProtection="0"/>
    <xf numFmtId="9" fontId="39" fillId="0" borderId="0" applyFont="0" applyFill="0" applyBorder="0" applyAlignment="0" applyProtection="0"/>
    <xf numFmtId="43" fontId="39"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43" fontId="39" fillId="0" borderId="0" applyFont="0" applyFill="0" applyBorder="0" applyAlignment="0" applyProtection="0"/>
    <xf numFmtId="9" fontId="39" fillId="0" borderId="0" applyFont="0" applyFill="0" applyBorder="0" applyAlignment="0" applyProtection="0"/>
    <xf numFmtId="43" fontId="39"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43" fontId="39" fillId="0" borderId="0" applyFont="0" applyFill="0" applyBorder="0" applyAlignment="0" applyProtection="0"/>
    <xf numFmtId="9" fontId="39" fillId="0" borderId="0" applyFont="0" applyFill="0" applyBorder="0" applyAlignment="0" applyProtection="0"/>
    <xf numFmtId="43" fontId="39"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43" fontId="39" fillId="0" borderId="0" applyFont="0" applyFill="0" applyBorder="0" applyAlignment="0" applyProtection="0"/>
    <xf numFmtId="9" fontId="39" fillId="0" borderId="0" applyFont="0" applyFill="0" applyBorder="0" applyAlignment="0" applyProtection="0"/>
    <xf numFmtId="43" fontId="39"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43" fontId="39" fillId="0" borderId="0" applyFont="0" applyFill="0" applyBorder="0" applyAlignment="0" applyProtection="0"/>
    <xf numFmtId="9" fontId="39" fillId="0" borderId="0" applyFont="0" applyFill="0" applyBorder="0" applyAlignment="0" applyProtection="0"/>
    <xf numFmtId="43" fontId="39"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43" fontId="39" fillId="0" borderId="0" applyFont="0" applyFill="0" applyBorder="0" applyAlignment="0" applyProtection="0"/>
    <xf numFmtId="9" fontId="39" fillId="0" borderId="0" applyFont="0" applyFill="0" applyBorder="0" applyAlignment="0" applyProtection="0"/>
    <xf numFmtId="43" fontId="39"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43" fontId="39" fillId="0" borderId="0" applyFont="0" applyFill="0" applyBorder="0" applyAlignment="0" applyProtection="0"/>
    <xf numFmtId="9" fontId="39" fillId="0" borderId="0" applyFont="0" applyFill="0" applyBorder="0" applyAlignment="0" applyProtection="0"/>
    <xf numFmtId="43" fontId="39"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43" fontId="39" fillId="0" borderId="0" applyFont="0" applyFill="0" applyBorder="0" applyAlignment="0" applyProtection="0"/>
    <xf numFmtId="9" fontId="39" fillId="0" borderId="0" applyFont="0" applyFill="0" applyBorder="0" applyAlignment="0" applyProtection="0"/>
    <xf numFmtId="43" fontId="39"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43" fontId="39" fillId="0" borderId="0" applyFont="0" applyFill="0" applyBorder="0" applyAlignment="0" applyProtection="0"/>
    <xf numFmtId="9" fontId="39" fillId="0" borderId="0" applyFont="0" applyFill="0" applyBorder="0" applyAlignment="0" applyProtection="0"/>
    <xf numFmtId="43" fontId="39"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43" fontId="39" fillId="0" borderId="0" applyFont="0" applyFill="0" applyBorder="0" applyAlignment="0" applyProtection="0"/>
    <xf numFmtId="9" fontId="39" fillId="0" borderId="0" applyFont="0" applyFill="0" applyBorder="0" applyAlignment="0" applyProtection="0"/>
    <xf numFmtId="43" fontId="39"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43" fontId="39" fillId="0" borderId="0" applyFont="0" applyFill="0" applyBorder="0" applyAlignment="0" applyProtection="0"/>
    <xf numFmtId="9" fontId="39" fillId="0" borderId="0" applyFont="0" applyFill="0" applyBorder="0" applyAlignment="0" applyProtection="0"/>
    <xf numFmtId="43" fontId="39"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43" fontId="39" fillId="0" borderId="0" applyFont="0" applyFill="0" applyBorder="0" applyAlignment="0" applyProtection="0"/>
    <xf numFmtId="9" fontId="39" fillId="0" borderId="0" applyFont="0" applyFill="0" applyBorder="0" applyAlignment="0" applyProtection="0"/>
    <xf numFmtId="43" fontId="39"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43" fontId="39" fillId="0" borderId="0" applyFont="0" applyFill="0" applyBorder="0" applyAlignment="0" applyProtection="0"/>
    <xf numFmtId="9" fontId="39" fillId="0" borderId="0" applyFont="0" applyFill="0" applyBorder="0" applyAlignment="0" applyProtection="0"/>
    <xf numFmtId="43" fontId="39"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43" fontId="39" fillId="0" borderId="0" applyFont="0" applyFill="0" applyBorder="0" applyAlignment="0" applyProtection="0"/>
    <xf numFmtId="9" fontId="39" fillId="0" borderId="0" applyFont="0" applyFill="0" applyBorder="0" applyAlignment="0" applyProtection="0"/>
    <xf numFmtId="43" fontId="39"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0" borderId="0"/>
    <xf numFmtId="43" fontId="39" fillId="0" borderId="0" applyFont="0" applyFill="0" applyBorder="0" applyAlignment="0" applyProtection="0"/>
    <xf numFmtId="9" fontId="39" fillId="0" borderId="0" applyFont="0" applyFill="0" applyBorder="0" applyAlignment="0" applyProtection="0"/>
    <xf numFmtId="0" fontId="39" fillId="0" borderId="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0" fontId="39" fillId="28" borderId="61" applyNumberFormat="0" applyFont="0" applyAlignment="0" applyProtection="0"/>
    <xf numFmtId="0" fontId="39" fillId="30" borderId="0" applyNumberFormat="0" applyBorder="0" applyAlignment="0" applyProtection="0"/>
    <xf numFmtId="0" fontId="39" fillId="31" borderId="0" applyNumberFormat="0" applyBorder="0" applyAlignment="0" applyProtection="0"/>
    <xf numFmtId="0" fontId="39" fillId="32" borderId="0" applyNumberFormat="0" applyBorder="0" applyAlignment="0" applyProtection="0"/>
    <xf numFmtId="0" fontId="39" fillId="34" borderId="0" applyNumberFormat="0" applyBorder="0" applyAlignment="0" applyProtection="0"/>
    <xf numFmtId="0" fontId="39" fillId="35" borderId="0" applyNumberFormat="0" applyBorder="0" applyAlignment="0" applyProtection="0"/>
    <xf numFmtId="0" fontId="39" fillId="36" borderId="0" applyNumberFormat="0" applyBorder="0" applyAlignment="0" applyProtection="0"/>
    <xf numFmtId="0" fontId="39" fillId="38" borderId="0" applyNumberFormat="0" applyBorder="0" applyAlignment="0" applyProtection="0"/>
    <xf numFmtId="0" fontId="39" fillId="39" borderId="0" applyNumberFormat="0" applyBorder="0" applyAlignment="0" applyProtection="0"/>
    <xf numFmtId="0" fontId="39" fillId="40"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52" borderId="0" applyNumberFormat="0" applyBorder="0" applyAlignment="0" applyProtection="0"/>
    <xf numFmtId="0" fontId="39" fillId="0" borderId="0"/>
    <xf numFmtId="43" fontId="38" fillId="0" borderId="0" applyFont="0" applyFill="0" applyBorder="0" applyAlignment="0" applyProtection="0"/>
    <xf numFmtId="9" fontId="38" fillId="0" borderId="0" applyFont="0" applyFill="0" applyBorder="0" applyAlignment="0" applyProtection="0"/>
    <xf numFmtId="43"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43" fontId="38" fillId="0" borderId="0" applyFont="0" applyFill="0" applyBorder="0" applyAlignment="0" applyProtection="0"/>
    <xf numFmtId="9" fontId="38" fillId="0" borderId="0" applyFont="0" applyFill="0" applyBorder="0" applyAlignment="0" applyProtection="0"/>
    <xf numFmtId="43"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43" fontId="38" fillId="0" borderId="0" applyFont="0" applyFill="0" applyBorder="0" applyAlignment="0" applyProtection="0"/>
    <xf numFmtId="9" fontId="38" fillId="0" borderId="0" applyFont="0" applyFill="0" applyBorder="0" applyAlignment="0" applyProtection="0"/>
    <xf numFmtId="43"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43" fontId="38" fillId="0" borderId="0" applyFont="0" applyFill="0" applyBorder="0" applyAlignment="0" applyProtection="0"/>
    <xf numFmtId="9" fontId="38" fillId="0" borderId="0" applyFont="0" applyFill="0" applyBorder="0" applyAlignment="0" applyProtection="0"/>
    <xf numFmtId="43"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43" fontId="38" fillId="0" borderId="0" applyFont="0" applyFill="0" applyBorder="0" applyAlignment="0" applyProtection="0"/>
    <xf numFmtId="9" fontId="38" fillId="0" borderId="0" applyFont="0" applyFill="0" applyBorder="0" applyAlignment="0" applyProtection="0"/>
    <xf numFmtId="43"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43" fontId="38" fillId="0" borderId="0" applyFont="0" applyFill="0" applyBorder="0" applyAlignment="0" applyProtection="0"/>
    <xf numFmtId="9" fontId="38" fillId="0" borderId="0" applyFont="0" applyFill="0" applyBorder="0" applyAlignment="0" applyProtection="0"/>
    <xf numFmtId="43"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43" fontId="38" fillId="0" borderId="0" applyFont="0" applyFill="0" applyBorder="0" applyAlignment="0" applyProtection="0"/>
    <xf numFmtId="9" fontId="38" fillId="0" borderId="0" applyFont="0" applyFill="0" applyBorder="0" applyAlignment="0" applyProtection="0"/>
    <xf numFmtId="43"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43" fontId="38" fillId="0" borderId="0" applyFont="0" applyFill="0" applyBorder="0" applyAlignment="0" applyProtection="0"/>
    <xf numFmtId="9" fontId="38" fillId="0" borderId="0" applyFont="0" applyFill="0" applyBorder="0" applyAlignment="0" applyProtection="0"/>
    <xf numFmtId="43"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43" fontId="38" fillId="0" borderId="0" applyFont="0" applyFill="0" applyBorder="0" applyAlignment="0" applyProtection="0"/>
    <xf numFmtId="9" fontId="38" fillId="0" borderId="0" applyFont="0" applyFill="0" applyBorder="0" applyAlignment="0" applyProtection="0"/>
    <xf numFmtId="43"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43" fontId="38" fillId="0" borderId="0" applyFont="0" applyFill="0" applyBorder="0" applyAlignment="0" applyProtection="0"/>
    <xf numFmtId="9" fontId="38" fillId="0" borderId="0" applyFont="0" applyFill="0" applyBorder="0" applyAlignment="0" applyProtection="0"/>
    <xf numFmtId="43"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43" fontId="38" fillId="0" borderId="0" applyFont="0" applyFill="0" applyBorder="0" applyAlignment="0" applyProtection="0"/>
    <xf numFmtId="9" fontId="38" fillId="0" borderId="0" applyFont="0" applyFill="0" applyBorder="0" applyAlignment="0" applyProtection="0"/>
    <xf numFmtId="43"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43" fontId="38" fillId="0" borderId="0" applyFont="0" applyFill="0" applyBorder="0" applyAlignment="0" applyProtection="0"/>
    <xf numFmtId="9" fontId="38" fillId="0" borderId="0" applyFont="0" applyFill="0" applyBorder="0" applyAlignment="0" applyProtection="0"/>
    <xf numFmtId="43"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43" fontId="38" fillId="0" borderId="0" applyFont="0" applyFill="0" applyBorder="0" applyAlignment="0" applyProtection="0"/>
    <xf numFmtId="9" fontId="38" fillId="0" borderId="0" applyFont="0" applyFill="0" applyBorder="0" applyAlignment="0" applyProtection="0"/>
    <xf numFmtId="43"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43" fontId="38" fillId="0" borderId="0" applyFont="0" applyFill="0" applyBorder="0" applyAlignment="0" applyProtection="0"/>
    <xf numFmtId="9" fontId="38" fillId="0" borderId="0" applyFont="0" applyFill="0" applyBorder="0" applyAlignment="0" applyProtection="0"/>
    <xf numFmtId="43"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43" fontId="38" fillId="0" borderId="0" applyFont="0" applyFill="0" applyBorder="0" applyAlignment="0" applyProtection="0"/>
    <xf numFmtId="9" fontId="38" fillId="0" borderId="0" applyFont="0" applyFill="0" applyBorder="0" applyAlignment="0" applyProtection="0"/>
    <xf numFmtId="43"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43" fontId="38" fillId="0" borderId="0" applyFont="0" applyFill="0" applyBorder="0" applyAlignment="0" applyProtection="0"/>
    <xf numFmtId="9" fontId="38" fillId="0" borderId="0" applyFont="0" applyFill="0" applyBorder="0" applyAlignment="0" applyProtection="0"/>
    <xf numFmtId="43"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0" borderId="0"/>
    <xf numFmtId="43" fontId="38" fillId="0" borderId="0" applyFont="0" applyFill="0" applyBorder="0" applyAlignment="0" applyProtection="0"/>
    <xf numFmtId="9" fontId="38" fillId="0" borderId="0" applyFont="0" applyFill="0" applyBorder="0" applyAlignment="0" applyProtection="0"/>
    <xf numFmtId="0" fontId="38" fillId="0" borderId="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0" fontId="38" fillId="28" borderId="61" applyNumberFormat="0" applyFont="0" applyAlignment="0" applyProtection="0"/>
    <xf numFmtId="0" fontId="38" fillId="30" borderId="0" applyNumberFormat="0" applyBorder="0" applyAlignment="0" applyProtection="0"/>
    <xf numFmtId="0" fontId="38" fillId="31" borderId="0" applyNumberFormat="0" applyBorder="0" applyAlignment="0" applyProtection="0"/>
    <xf numFmtId="0" fontId="38"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6"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50" borderId="0" applyNumberFormat="0" applyBorder="0" applyAlignment="0" applyProtection="0"/>
    <xf numFmtId="0" fontId="38" fillId="51" borderId="0" applyNumberFormat="0" applyBorder="0" applyAlignment="0" applyProtection="0"/>
    <xf numFmtId="0" fontId="38" fillId="52" borderId="0" applyNumberFormat="0" applyBorder="0" applyAlignment="0" applyProtection="0"/>
    <xf numFmtId="0" fontId="38" fillId="0" borderId="0"/>
    <xf numFmtId="43" fontId="37" fillId="0" borderId="0" applyFont="0" applyFill="0" applyBorder="0" applyAlignment="0" applyProtection="0"/>
    <xf numFmtId="9" fontId="37" fillId="0" borderId="0" applyFont="0" applyFill="0" applyBorder="0" applyAlignment="0" applyProtection="0"/>
    <xf numFmtId="43" fontId="37"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43" fontId="37" fillId="0" borderId="0" applyFont="0" applyFill="0" applyBorder="0" applyAlignment="0" applyProtection="0"/>
    <xf numFmtId="9" fontId="37" fillId="0" borderId="0" applyFont="0" applyFill="0" applyBorder="0" applyAlignment="0" applyProtection="0"/>
    <xf numFmtId="43" fontId="37"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43" fontId="37" fillId="0" borderId="0" applyFont="0" applyFill="0" applyBorder="0" applyAlignment="0" applyProtection="0"/>
    <xf numFmtId="9" fontId="37" fillId="0" borderId="0" applyFont="0" applyFill="0" applyBorder="0" applyAlignment="0" applyProtection="0"/>
    <xf numFmtId="43" fontId="37"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43" fontId="37" fillId="0" borderId="0" applyFont="0" applyFill="0" applyBorder="0" applyAlignment="0" applyProtection="0"/>
    <xf numFmtId="9" fontId="37" fillId="0" borderId="0" applyFont="0" applyFill="0" applyBorder="0" applyAlignment="0" applyProtection="0"/>
    <xf numFmtId="43" fontId="37"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43" fontId="37" fillId="0" borderId="0" applyFont="0" applyFill="0" applyBorder="0" applyAlignment="0" applyProtection="0"/>
    <xf numFmtId="9" fontId="37" fillId="0" borderId="0" applyFont="0" applyFill="0" applyBorder="0" applyAlignment="0" applyProtection="0"/>
    <xf numFmtId="43" fontId="37"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43" fontId="37" fillId="0" borderId="0" applyFont="0" applyFill="0" applyBorder="0" applyAlignment="0" applyProtection="0"/>
    <xf numFmtId="9" fontId="37" fillId="0" borderId="0" applyFont="0" applyFill="0" applyBorder="0" applyAlignment="0" applyProtection="0"/>
    <xf numFmtId="43" fontId="37"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43" fontId="37" fillId="0" borderId="0" applyFont="0" applyFill="0" applyBorder="0" applyAlignment="0" applyProtection="0"/>
    <xf numFmtId="9" fontId="37" fillId="0" borderId="0" applyFont="0" applyFill="0" applyBorder="0" applyAlignment="0" applyProtection="0"/>
    <xf numFmtId="43" fontId="37"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43" fontId="37" fillId="0" borderId="0" applyFont="0" applyFill="0" applyBorder="0" applyAlignment="0" applyProtection="0"/>
    <xf numFmtId="9" fontId="37" fillId="0" borderId="0" applyFont="0" applyFill="0" applyBorder="0" applyAlignment="0" applyProtection="0"/>
    <xf numFmtId="43" fontId="37"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43" fontId="37" fillId="0" borderId="0" applyFont="0" applyFill="0" applyBorder="0" applyAlignment="0" applyProtection="0"/>
    <xf numFmtId="9" fontId="37" fillId="0" borderId="0" applyFont="0" applyFill="0" applyBorder="0" applyAlignment="0" applyProtection="0"/>
    <xf numFmtId="43" fontId="37"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43" fontId="37" fillId="0" borderId="0" applyFont="0" applyFill="0" applyBorder="0" applyAlignment="0" applyProtection="0"/>
    <xf numFmtId="9" fontId="37" fillId="0" borderId="0" applyFont="0" applyFill="0" applyBorder="0" applyAlignment="0" applyProtection="0"/>
    <xf numFmtId="43" fontId="37"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43" fontId="37" fillId="0" borderId="0" applyFont="0" applyFill="0" applyBorder="0" applyAlignment="0" applyProtection="0"/>
    <xf numFmtId="9" fontId="37" fillId="0" borderId="0" applyFont="0" applyFill="0" applyBorder="0" applyAlignment="0" applyProtection="0"/>
    <xf numFmtId="43" fontId="37"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43" fontId="37" fillId="0" borderId="0" applyFont="0" applyFill="0" applyBorder="0" applyAlignment="0" applyProtection="0"/>
    <xf numFmtId="9" fontId="37" fillId="0" borderId="0" applyFont="0" applyFill="0" applyBorder="0" applyAlignment="0" applyProtection="0"/>
    <xf numFmtId="43" fontId="37"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43" fontId="37" fillId="0" borderId="0" applyFont="0" applyFill="0" applyBorder="0" applyAlignment="0" applyProtection="0"/>
    <xf numFmtId="9" fontId="37" fillId="0" borderId="0" applyFont="0" applyFill="0" applyBorder="0" applyAlignment="0" applyProtection="0"/>
    <xf numFmtId="43" fontId="37"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43" fontId="37" fillId="0" borderId="0" applyFont="0" applyFill="0" applyBorder="0" applyAlignment="0" applyProtection="0"/>
    <xf numFmtId="9" fontId="37" fillId="0" borderId="0" applyFont="0" applyFill="0" applyBorder="0" applyAlignment="0" applyProtection="0"/>
    <xf numFmtId="43" fontId="37"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43" fontId="37" fillId="0" borderId="0" applyFont="0" applyFill="0" applyBorder="0" applyAlignment="0" applyProtection="0"/>
    <xf numFmtId="9" fontId="37" fillId="0" borderId="0" applyFont="0" applyFill="0" applyBorder="0" applyAlignment="0" applyProtection="0"/>
    <xf numFmtId="43" fontId="37"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43" fontId="37" fillId="0" borderId="0" applyFont="0" applyFill="0" applyBorder="0" applyAlignment="0" applyProtection="0"/>
    <xf numFmtId="9" fontId="37" fillId="0" borderId="0" applyFont="0" applyFill="0" applyBorder="0" applyAlignment="0" applyProtection="0"/>
    <xf numFmtId="43" fontId="37"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0" borderId="0"/>
    <xf numFmtId="43" fontId="37" fillId="0" borderId="0" applyFont="0" applyFill="0" applyBorder="0" applyAlignment="0" applyProtection="0"/>
    <xf numFmtId="9" fontId="37" fillId="0" borderId="0" applyFont="0" applyFill="0" applyBorder="0" applyAlignment="0" applyProtection="0"/>
    <xf numFmtId="0" fontId="37" fillId="0" borderId="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0" fontId="37" fillId="28" borderId="61" applyNumberFormat="0" applyFont="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4" borderId="0" applyNumberFormat="0" applyBorder="0" applyAlignment="0" applyProtection="0"/>
    <xf numFmtId="0" fontId="37" fillId="35" borderId="0" applyNumberFormat="0" applyBorder="0" applyAlignment="0" applyProtection="0"/>
    <xf numFmtId="0" fontId="37" fillId="36"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6" borderId="0" applyNumberFormat="0" applyBorder="0" applyAlignment="0" applyProtection="0"/>
    <xf numFmtId="0" fontId="37" fillId="47" borderId="0" applyNumberFormat="0" applyBorder="0" applyAlignment="0" applyProtection="0"/>
    <xf numFmtId="0" fontId="37" fillId="48" borderId="0" applyNumberFormat="0" applyBorder="0" applyAlignment="0" applyProtection="0"/>
    <xf numFmtId="0" fontId="37" fillId="50" borderId="0" applyNumberFormat="0" applyBorder="0" applyAlignment="0" applyProtection="0"/>
    <xf numFmtId="0" fontId="37" fillId="51" borderId="0" applyNumberFormat="0" applyBorder="0" applyAlignment="0" applyProtection="0"/>
    <xf numFmtId="0" fontId="37" fillId="52" borderId="0" applyNumberFormat="0" applyBorder="0" applyAlignment="0" applyProtection="0"/>
    <xf numFmtId="0" fontId="37" fillId="0" borderId="0"/>
    <xf numFmtId="43" fontId="36" fillId="0" borderId="0" applyFont="0" applyFill="0" applyBorder="0" applyAlignment="0" applyProtection="0"/>
    <xf numFmtId="9" fontId="36"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43" fontId="36" fillId="0" borderId="0" applyFont="0" applyFill="0" applyBorder="0" applyAlignment="0" applyProtection="0"/>
    <xf numFmtId="9" fontId="36"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43" fontId="36" fillId="0" borderId="0" applyFont="0" applyFill="0" applyBorder="0" applyAlignment="0" applyProtection="0"/>
    <xf numFmtId="9" fontId="36"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43" fontId="36" fillId="0" borderId="0" applyFont="0" applyFill="0" applyBorder="0" applyAlignment="0" applyProtection="0"/>
    <xf numFmtId="9" fontId="36"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43" fontId="36" fillId="0" borderId="0" applyFont="0" applyFill="0" applyBorder="0" applyAlignment="0" applyProtection="0"/>
    <xf numFmtId="9" fontId="36"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43" fontId="36" fillId="0" borderId="0" applyFont="0" applyFill="0" applyBorder="0" applyAlignment="0" applyProtection="0"/>
    <xf numFmtId="9" fontId="36"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43" fontId="36" fillId="0" borderId="0" applyFont="0" applyFill="0" applyBorder="0" applyAlignment="0" applyProtection="0"/>
    <xf numFmtId="9" fontId="36"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43" fontId="36" fillId="0" borderId="0" applyFont="0" applyFill="0" applyBorder="0" applyAlignment="0" applyProtection="0"/>
    <xf numFmtId="9" fontId="36"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43" fontId="36" fillId="0" borderId="0" applyFont="0" applyFill="0" applyBorder="0" applyAlignment="0" applyProtection="0"/>
    <xf numFmtId="9" fontId="36"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43" fontId="36" fillId="0" borderId="0" applyFont="0" applyFill="0" applyBorder="0" applyAlignment="0" applyProtection="0"/>
    <xf numFmtId="9" fontId="36"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43" fontId="36" fillId="0" borderId="0" applyFont="0" applyFill="0" applyBorder="0" applyAlignment="0" applyProtection="0"/>
    <xf numFmtId="9" fontId="36"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43" fontId="36" fillId="0" borderId="0" applyFont="0" applyFill="0" applyBorder="0" applyAlignment="0" applyProtection="0"/>
    <xf numFmtId="9" fontId="36"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43" fontId="36" fillId="0" borderId="0" applyFont="0" applyFill="0" applyBorder="0" applyAlignment="0" applyProtection="0"/>
    <xf numFmtId="9" fontId="36"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43" fontId="36" fillId="0" borderId="0" applyFont="0" applyFill="0" applyBorder="0" applyAlignment="0" applyProtection="0"/>
    <xf numFmtId="9" fontId="36"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43" fontId="36" fillId="0" borderId="0" applyFont="0" applyFill="0" applyBorder="0" applyAlignment="0" applyProtection="0"/>
    <xf numFmtId="9" fontId="36"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43" fontId="36" fillId="0" borderId="0" applyFont="0" applyFill="0" applyBorder="0" applyAlignment="0" applyProtection="0"/>
    <xf numFmtId="9" fontId="36"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43" fontId="36" fillId="0" borderId="0" applyFont="0" applyFill="0" applyBorder="0" applyAlignment="0" applyProtection="0"/>
    <xf numFmtId="9" fontId="36" fillId="0" borderId="0" applyFont="0" applyFill="0" applyBorder="0" applyAlignment="0" applyProtection="0"/>
    <xf numFmtId="0" fontId="36" fillId="0" borderId="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6" fillId="28" borderId="61" applyNumberFormat="0" applyFont="0" applyAlignment="0" applyProtection="0"/>
    <xf numFmtId="0" fontId="36" fillId="30" borderId="0" applyNumberFormat="0" applyBorder="0" applyAlignment="0" applyProtection="0"/>
    <xf numFmtId="0" fontId="36" fillId="31" borderId="0" applyNumberFormat="0" applyBorder="0" applyAlignment="0" applyProtection="0"/>
    <xf numFmtId="0" fontId="36" fillId="32"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8"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2" borderId="0" applyNumberFormat="0" applyBorder="0" applyAlignment="0" applyProtection="0"/>
    <xf numFmtId="0" fontId="36" fillId="43" borderId="0" applyNumberFormat="0" applyBorder="0" applyAlignment="0" applyProtection="0"/>
    <xf numFmtId="0" fontId="36" fillId="44"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50" borderId="0" applyNumberFormat="0" applyBorder="0" applyAlignment="0" applyProtection="0"/>
    <xf numFmtId="0" fontId="36" fillId="51" borderId="0" applyNumberFormat="0" applyBorder="0" applyAlignment="0" applyProtection="0"/>
    <xf numFmtId="0" fontId="36" fillId="52" borderId="0" applyNumberFormat="0" applyBorder="0" applyAlignment="0" applyProtection="0"/>
    <xf numFmtId="0" fontId="36"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43" fontId="35" fillId="0" borderId="0" applyFont="0" applyFill="0" applyBorder="0" applyAlignment="0" applyProtection="0"/>
    <xf numFmtId="0" fontId="35" fillId="0" borderId="0"/>
    <xf numFmtId="0" fontId="35" fillId="0" borderId="0"/>
    <xf numFmtId="0" fontId="35" fillId="0" borderId="0"/>
    <xf numFmtId="0" fontId="35" fillId="0" borderId="0"/>
    <xf numFmtId="0" fontId="35" fillId="0" borderId="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43" fontId="35" fillId="0" borderId="0" applyFont="0" applyFill="0" applyBorder="0" applyAlignment="0" applyProtection="0"/>
    <xf numFmtId="9" fontId="35" fillId="0" borderId="0" applyFont="0" applyFill="0" applyBorder="0" applyAlignment="0" applyProtection="0"/>
    <xf numFmtId="43" fontId="35" fillId="0" borderId="0" applyFont="0" applyFill="0" applyBorder="0" applyAlignment="0" applyProtection="0"/>
    <xf numFmtId="0" fontId="35" fillId="0" borderId="0"/>
    <xf numFmtId="0" fontId="35" fillId="0" borderId="0"/>
    <xf numFmtId="0" fontId="35" fillId="0" borderId="0"/>
    <xf numFmtId="0" fontId="35" fillId="0" borderId="0"/>
    <xf numFmtId="0" fontId="35" fillId="0" borderId="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43" fontId="35" fillId="0" borderId="0" applyFont="0" applyFill="0" applyBorder="0" applyAlignment="0" applyProtection="0"/>
    <xf numFmtId="9" fontId="35" fillId="0" borderId="0" applyFont="0" applyFill="0" applyBorder="0" applyAlignment="0" applyProtection="0"/>
    <xf numFmtId="43" fontId="35" fillId="0" borderId="0" applyFont="0" applyFill="0" applyBorder="0" applyAlignment="0" applyProtection="0"/>
    <xf numFmtId="0" fontId="35" fillId="0" borderId="0"/>
    <xf numFmtId="0" fontId="35" fillId="0" borderId="0"/>
    <xf numFmtId="0" fontId="35" fillId="0" borderId="0"/>
    <xf numFmtId="0" fontId="35" fillId="0" borderId="0"/>
    <xf numFmtId="0" fontId="35" fillId="0" borderId="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43" fontId="35" fillId="0" borderId="0" applyFont="0" applyFill="0" applyBorder="0" applyAlignment="0" applyProtection="0"/>
    <xf numFmtId="9" fontId="35" fillId="0" borderId="0" applyFont="0" applyFill="0" applyBorder="0" applyAlignment="0" applyProtection="0"/>
    <xf numFmtId="43" fontId="35" fillId="0" borderId="0" applyFont="0" applyFill="0" applyBorder="0" applyAlignment="0" applyProtection="0"/>
    <xf numFmtId="0" fontId="35" fillId="0" borderId="0"/>
    <xf numFmtId="0" fontId="35" fillId="0" borderId="0"/>
    <xf numFmtId="0" fontId="35" fillId="0" borderId="0"/>
    <xf numFmtId="0" fontId="35" fillId="0" borderId="0"/>
    <xf numFmtId="0" fontId="35" fillId="0" borderId="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43" fontId="35" fillId="0" borderId="0" applyFont="0" applyFill="0" applyBorder="0" applyAlignment="0" applyProtection="0"/>
    <xf numFmtId="9" fontId="35" fillId="0" borderId="0" applyFont="0" applyFill="0" applyBorder="0" applyAlignment="0" applyProtection="0"/>
    <xf numFmtId="43" fontId="35" fillId="0" borderId="0" applyFont="0" applyFill="0" applyBorder="0" applyAlignment="0" applyProtection="0"/>
    <xf numFmtId="0" fontId="35" fillId="0" borderId="0"/>
    <xf numFmtId="0" fontId="35" fillId="0" borderId="0"/>
    <xf numFmtId="0" fontId="35" fillId="0" borderId="0"/>
    <xf numFmtId="0" fontId="35" fillId="0" borderId="0"/>
    <xf numFmtId="0" fontId="35" fillId="0" borderId="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43" fontId="35" fillId="0" borderId="0" applyFont="0" applyFill="0" applyBorder="0" applyAlignment="0" applyProtection="0"/>
    <xf numFmtId="9" fontId="35" fillId="0" borderId="0" applyFont="0" applyFill="0" applyBorder="0" applyAlignment="0" applyProtection="0"/>
    <xf numFmtId="43" fontId="35" fillId="0" borderId="0" applyFont="0" applyFill="0" applyBorder="0" applyAlignment="0" applyProtection="0"/>
    <xf numFmtId="0" fontId="35" fillId="0" borderId="0"/>
    <xf numFmtId="0" fontId="35" fillId="0" borderId="0"/>
    <xf numFmtId="0" fontId="35" fillId="0" borderId="0"/>
    <xf numFmtId="0" fontId="35" fillId="0" borderId="0"/>
    <xf numFmtId="0" fontId="35" fillId="0" borderId="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43" fontId="35" fillId="0" borderId="0" applyFont="0" applyFill="0" applyBorder="0" applyAlignment="0" applyProtection="0"/>
    <xf numFmtId="9" fontId="35" fillId="0" borderId="0" applyFont="0" applyFill="0" applyBorder="0" applyAlignment="0" applyProtection="0"/>
    <xf numFmtId="43" fontId="35" fillId="0" borderId="0" applyFont="0" applyFill="0" applyBorder="0" applyAlignment="0" applyProtection="0"/>
    <xf numFmtId="0" fontId="35" fillId="0" borderId="0"/>
    <xf numFmtId="0" fontId="35" fillId="0" borderId="0"/>
    <xf numFmtId="0" fontId="35" fillId="0" borderId="0"/>
    <xf numFmtId="0" fontId="35" fillId="0" borderId="0"/>
    <xf numFmtId="0" fontId="35" fillId="0" borderId="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43" fontId="35" fillId="0" borderId="0" applyFont="0" applyFill="0" applyBorder="0" applyAlignment="0" applyProtection="0"/>
    <xf numFmtId="9" fontId="35" fillId="0" borderId="0" applyFont="0" applyFill="0" applyBorder="0" applyAlignment="0" applyProtection="0"/>
    <xf numFmtId="43" fontId="35" fillId="0" borderId="0" applyFont="0" applyFill="0" applyBorder="0" applyAlignment="0" applyProtection="0"/>
    <xf numFmtId="0" fontId="35" fillId="0" borderId="0"/>
    <xf numFmtId="0" fontId="35" fillId="0" borderId="0"/>
    <xf numFmtId="0" fontId="35" fillId="0" borderId="0"/>
    <xf numFmtId="0" fontId="35" fillId="0" borderId="0"/>
    <xf numFmtId="0" fontId="35" fillId="0" borderId="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43" fontId="35" fillId="0" borderId="0" applyFont="0" applyFill="0" applyBorder="0" applyAlignment="0" applyProtection="0"/>
    <xf numFmtId="9" fontId="35" fillId="0" borderId="0" applyFont="0" applyFill="0" applyBorder="0" applyAlignment="0" applyProtection="0"/>
    <xf numFmtId="43" fontId="35" fillId="0" borderId="0" applyFont="0" applyFill="0" applyBorder="0" applyAlignment="0" applyProtection="0"/>
    <xf numFmtId="0" fontId="35" fillId="0" borderId="0"/>
    <xf numFmtId="0" fontId="35" fillId="0" borderId="0"/>
    <xf numFmtId="0" fontId="35" fillId="0" borderId="0"/>
    <xf numFmtId="0" fontId="35" fillId="0" borderId="0"/>
    <xf numFmtId="0" fontId="35" fillId="0" borderId="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43" fontId="35" fillId="0" borderId="0" applyFont="0" applyFill="0" applyBorder="0" applyAlignment="0" applyProtection="0"/>
    <xf numFmtId="9" fontId="35" fillId="0" borderId="0" applyFont="0" applyFill="0" applyBorder="0" applyAlignment="0" applyProtection="0"/>
    <xf numFmtId="43" fontId="35" fillId="0" borderId="0" applyFont="0" applyFill="0" applyBorder="0" applyAlignment="0" applyProtection="0"/>
    <xf numFmtId="0" fontId="35" fillId="0" borderId="0"/>
    <xf numFmtId="0" fontId="35" fillId="0" borderId="0"/>
    <xf numFmtId="0" fontId="35" fillId="0" borderId="0"/>
    <xf numFmtId="0" fontId="35" fillId="0" borderId="0"/>
    <xf numFmtId="0" fontId="35" fillId="0" borderId="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43" fontId="35" fillId="0" borderId="0" applyFont="0" applyFill="0" applyBorder="0" applyAlignment="0" applyProtection="0"/>
    <xf numFmtId="9" fontId="35" fillId="0" borderId="0" applyFont="0" applyFill="0" applyBorder="0" applyAlignment="0" applyProtection="0"/>
    <xf numFmtId="43" fontId="35" fillId="0" borderId="0" applyFont="0" applyFill="0" applyBorder="0" applyAlignment="0" applyProtection="0"/>
    <xf numFmtId="0" fontId="35" fillId="0" borderId="0"/>
    <xf numFmtId="0" fontId="35" fillId="0" borderId="0"/>
    <xf numFmtId="0" fontId="35" fillId="0" borderId="0"/>
    <xf numFmtId="0" fontId="35" fillId="0" borderId="0"/>
    <xf numFmtId="0" fontId="35" fillId="0" borderId="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43" fontId="35" fillId="0" borderId="0" applyFont="0" applyFill="0" applyBorder="0" applyAlignment="0" applyProtection="0"/>
    <xf numFmtId="9" fontId="35" fillId="0" borderId="0" applyFont="0" applyFill="0" applyBorder="0" applyAlignment="0" applyProtection="0"/>
    <xf numFmtId="43" fontId="35" fillId="0" borderId="0" applyFont="0" applyFill="0" applyBorder="0" applyAlignment="0" applyProtection="0"/>
    <xf numFmtId="0" fontId="35" fillId="0" borderId="0"/>
    <xf numFmtId="0" fontId="35" fillId="0" borderId="0"/>
    <xf numFmtId="0" fontId="35" fillId="0" borderId="0"/>
    <xf numFmtId="0" fontId="35" fillId="0" borderId="0"/>
    <xf numFmtId="0" fontId="35" fillId="0" borderId="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43" fontId="35" fillId="0" borderId="0" applyFont="0" applyFill="0" applyBorder="0" applyAlignment="0" applyProtection="0"/>
    <xf numFmtId="9" fontId="35" fillId="0" borderId="0" applyFont="0" applyFill="0" applyBorder="0" applyAlignment="0" applyProtection="0"/>
    <xf numFmtId="43" fontId="35" fillId="0" borderId="0" applyFont="0" applyFill="0" applyBorder="0" applyAlignment="0" applyProtection="0"/>
    <xf numFmtId="0" fontId="35" fillId="0" borderId="0"/>
    <xf numFmtId="0" fontId="35" fillId="0" borderId="0"/>
    <xf numFmtId="0" fontId="35" fillId="0" borderId="0"/>
    <xf numFmtId="0" fontId="35" fillId="0" borderId="0"/>
    <xf numFmtId="0" fontId="35" fillId="0" borderId="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43" fontId="35" fillId="0" borderId="0" applyFont="0" applyFill="0" applyBorder="0" applyAlignment="0" applyProtection="0"/>
    <xf numFmtId="9" fontId="35" fillId="0" borderId="0" applyFont="0" applyFill="0" applyBorder="0" applyAlignment="0" applyProtection="0"/>
    <xf numFmtId="43" fontId="35" fillId="0" borderId="0" applyFont="0" applyFill="0" applyBorder="0" applyAlignment="0" applyProtection="0"/>
    <xf numFmtId="0" fontId="35" fillId="0" borderId="0"/>
    <xf numFmtId="0" fontId="35" fillId="0" borderId="0"/>
    <xf numFmtId="0" fontId="35" fillId="0" borderId="0"/>
    <xf numFmtId="0" fontId="35" fillId="0" borderId="0"/>
    <xf numFmtId="0" fontId="35" fillId="0" borderId="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43" fontId="35" fillId="0" borderId="0" applyFont="0" applyFill="0" applyBorder="0" applyAlignment="0" applyProtection="0"/>
    <xf numFmtId="9" fontId="35" fillId="0" borderId="0" applyFont="0" applyFill="0" applyBorder="0" applyAlignment="0" applyProtection="0"/>
    <xf numFmtId="43" fontId="35" fillId="0" borderId="0" applyFont="0" applyFill="0" applyBorder="0" applyAlignment="0" applyProtection="0"/>
    <xf numFmtId="0" fontId="35" fillId="0" borderId="0"/>
    <xf numFmtId="0" fontId="35" fillId="0" borderId="0"/>
    <xf numFmtId="0" fontId="35" fillId="0" borderId="0"/>
    <xf numFmtId="0" fontId="35" fillId="0" borderId="0"/>
    <xf numFmtId="0" fontId="35" fillId="0" borderId="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43" fontId="35" fillId="0" borderId="0" applyFont="0" applyFill="0" applyBorder="0" applyAlignment="0" applyProtection="0"/>
    <xf numFmtId="9" fontId="35" fillId="0" borderId="0" applyFont="0" applyFill="0" applyBorder="0" applyAlignment="0" applyProtection="0"/>
    <xf numFmtId="43" fontId="35" fillId="0" borderId="0" applyFont="0" applyFill="0" applyBorder="0" applyAlignment="0" applyProtection="0"/>
    <xf numFmtId="0" fontId="35" fillId="0" borderId="0"/>
    <xf numFmtId="0" fontId="35" fillId="0" borderId="0"/>
    <xf numFmtId="0" fontId="35" fillId="0" borderId="0"/>
    <xf numFmtId="0" fontId="35" fillId="0" borderId="0"/>
    <xf numFmtId="0" fontId="35" fillId="0" borderId="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0" borderId="0"/>
    <xf numFmtId="43" fontId="35" fillId="0" borderId="0" applyFont="0" applyFill="0" applyBorder="0" applyAlignment="0" applyProtection="0"/>
    <xf numFmtId="9" fontId="35" fillId="0" borderId="0" applyFont="0" applyFill="0" applyBorder="0" applyAlignment="0" applyProtection="0"/>
    <xf numFmtId="0" fontId="35" fillId="0" borderId="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0" fontId="35" fillId="28" borderId="61" applyNumberFormat="0" applyFont="0" applyAlignment="0" applyProtection="0"/>
    <xf numFmtId="0" fontId="35" fillId="30" borderId="0" applyNumberFormat="0" applyBorder="0" applyAlignment="0" applyProtection="0"/>
    <xf numFmtId="0" fontId="35" fillId="31" borderId="0" applyNumberFormat="0" applyBorder="0" applyAlignment="0" applyProtection="0"/>
    <xf numFmtId="0" fontId="35" fillId="32"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2" borderId="0" applyNumberFormat="0" applyBorder="0" applyAlignment="0" applyProtection="0"/>
    <xf numFmtId="0" fontId="35" fillId="43" borderId="0" applyNumberFormat="0" applyBorder="0" applyAlignment="0" applyProtection="0"/>
    <xf numFmtId="0" fontId="35" fillId="44" borderId="0" applyNumberFormat="0" applyBorder="0" applyAlignment="0" applyProtection="0"/>
    <xf numFmtId="0" fontId="35" fillId="46" borderId="0" applyNumberFormat="0" applyBorder="0" applyAlignment="0" applyProtection="0"/>
    <xf numFmtId="0" fontId="35" fillId="47" borderId="0" applyNumberFormat="0" applyBorder="0" applyAlignment="0" applyProtection="0"/>
    <xf numFmtId="0" fontId="35" fillId="48" borderId="0" applyNumberFormat="0" applyBorder="0" applyAlignment="0" applyProtection="0"/>
    <xf numFmtId="0" fontId="35" fillId="50" borderId="0" applyNumberFormat="0" applyBorder="0" applyAlignment="0" applyProtection="0"/>
    <xf numFmtId="0" fontId="35" fillId="51" borderId="0" applyNumberFormat="0" applyBorder="0" applyAlignment="0" applyProtection="0"/>
    <xf numFmtId="0" fontId="35" fillId="52" borderId="0" applyNumberFormat="0" applyBorder="0" applyAlignment="0" applyProtection="0"/>
    <xf numFmtId="0" fontId="35" fillId="0" borderId="0"/>
    <xf numFmtId="43" fontId="34" fillId="0" borderId="0" applyFont="0" applyFill="0" applyBorder="0" applyAlignment="0" applyProtection="0"/>
    <xf numFmtId="9" fontId="34" fillId="0" borderId="0" applyFont="0" applyFill="0" applyBorder="0" applyAlignment="0" applyProtection="0"/>
    <xf numFmtId="43" fontId="34"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43" fontId="34" fillId="0" borderId="0" applyFont="0" applyFill="0" applyBorder="0" applyAlignment="0" applyProtection="0"/>
    <xf numFmtId="9" fontId="34" fillId="0" borderId="0" applyFont="0" applyFill="0" applyBorder="0" applyAlignment="0" applyProtection="0"/>
    <xf numFmtId="43" fontId="34"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43" fontId="34" fillId="0" borderId="0" applyFont="0" applyFill="0" applyBorder="0" applyAlignment="0" applyProtection="0"/>
    <xf numFmtId="9" fontId="34" fillId="0" borderId="0" applyFont="0" applyFill="0" applyBorder="0" applyAlignment="0" applyProtection="0"/>
    <xf numFmtId="43" fontId="34"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43" fontId="34" fillId="0" borderId="0" applyFont="0" applyFill="0" applyBorder="0" applyAlignment="0" applyProtection="0"/>
    <xf numFmtId="9" fontId="34" fillId="0" borderId="0" applyFont="0" applyFill="0" applyBorder="0" applyAlignment="0" applyProtection="0"/>
    <xf numFmtId="43" fontId="34"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43" fontId="34" fillId="0" borderId="0" applyFont="0" applyFill="0" applyBorder="0" applyAlignment="0" applyProtection="0"/>
    <xf numFmtId="9" fontId="34" fillId="0" borderId="0" applyFont="0" applyFill="0" applyBorder="0" applyAlignment="0" applyProtection="0"/>
    <xf numFmtId="43" fontId="34"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43" fontId="34" fillId="0" borderId="0" applyFont="0" applyFill="0" applyBorder="0" applyAlignment="0" applyProtection="0"/>
    <xf numFmtId="9" fontId="34" fillId="0" borderId="0" applyFont="0" applyFill="0" applyBorder="0" applyAlignment="0" applyProtection="0"/>
    <xf numFmtId="43" fontId="34"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43" fontId="34" fillId="0" borderId="0" applyFont="0" applyFill="0" applyBorder="0" applyAlignment="0" applyProtection="0"/>
    <xf numFmtId="9" fontId="34" fillId="0" borderId="0" applyFont="0" applyFill="0" applyBorder="0" applyAlignment="0" applyProtection="0"/>
    <xf numFmtId="43" fontId="34"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43" fontId="34" fillId="0" borderId="0" applyFont="0" applyFill="0" applyBorder="0" applyAlignment="0" applyProtection="0"/>
    <xf numFmtId="9" fontId="34" fillId="0" borderId="0" applyFont="0" applyFill="0" applyBorder="0" applyAlignment="0" applyProtection="0"/>
    <xf numFmtId="43" fontId="34"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43" fontId="34" fillId="0" borderId="0" applyFont="0" applyFill="0" applyBorder="0" applyAlignment="0" applyProtection="0"/>
    <xf numFmtId="9" fontId="34" fillId="0" borderId="0" applyFont="0" applyFill="0" applyBorder="0" applyAlignment="0" applyProtection="0"/>
    <xf numFmtId="43" fontId="34"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43" fontId="34" fillId="0" borderId="0" applyFont="0" applyFill="0" applyBorder="0" applyAlignment="0" applyProtection="0"/>
    <xf numFmtId="9" fontId="34" fillId="0" borderId="0" applyFont="0" applyFill="0" applyBorder="0" applyAlignment="0" applyProtection="0"/>
    <xf numFmtId="43" fontId="34"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43" fontId="34" fillId="0" borderId="0" applyFont="0" applyFill="0" applyBorder="0" applyAlignment="0" applyProtection="0"/>
    <xf numFmtId="9" fontId="34" fillId="0" borderId="0" applyFont="0" applyFill="0" applyBorder="0" applyAlignment="0" applyProtection="0"/>
    <xf numFmtId="43" fontId="34"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43" fontId="34" fillId="0" borderId="0" applyFont="0" applyFill="0" applyBorder="0" applyAlignment="0" applyProtection="0"/>
    <xf numFmtId="9" fontId="34" fillId="0" borderId="0" applyFont="0" applyFill="0" applyBorder="0" applyAlignment="0" applyProtection="0"/>
    <xf numFmtId="43" fontId="34"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43" fontId="34" fillId="0" borderId="0" applyFont="0" applyFill="0" applyBorder="0" applyAlignment="0" applyProtection="0"/>
    <xf numFmtId="9" fontId="34" fillId="0" borderId="0" applyFont="0" applyFill="0" applyBorder="0" applyAlignment="0" applyProtection="0"/>
    <xf numFmtId="43" fontId="34"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43" fontId="34" fillId="0" borderId="0" applyFont="0" applyFill="0" applyBorder="0" applyAlignment="0" applyProtection="0"/>
    <xf numFmtId="9" fontId="34" fillId="0" borderId="0" applyFont="0" applyFill="0" applyBorder="0" applyAlignment="0" applyProtection="0"/>
    <xf numFmtId="43" fontId="34"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43" fontId="34" fillId="0" borderId="0" applyFont="0" applyFill="0" applyBorder="0" applyAlignment="0" applyProtection="0"/>
    <xf numFmtId="9" fontId="34" fillId="0" borderId="0" applyFont="0" applyFill="0" applyBorder="0" applyAlignment="0" applyProtection="0"/>
    <xf numFmtId="43" fontId="34"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43" fontId="34" fillId="0" borderId="0" applyFont="0" applyFill="0" applyBorder="0" applyAlignment="0" applyProtection="0"/>
    <xf numFmtId="9" fontId="34" fillId="0" borderId="0" applyFont="0" applyFill="0" applyBorder="0" applyAlignment="0" applyProtection="0"/>
    <xf numFmtId="43" fontId="34"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0" borderId="0"/>
    <xf numFmtId="43" fontId="34" fillId="0" borderId="0" applyFont="0" applyFill="0" applyBorder="0" applyAlignment="0" applyProtection="0"/>
    <xf numFmtId="9" fontId="34" fillId="0" borderId="0" applyFont="0" applyFill="0" applyBorder="0" applyAlignment="0" applyProtection="0"/>
    <xf numFmtId="0" fontId="34" fillId="0" borderId="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0" fontId="34" fillId="28" borderId="61" applyNumberFormat="0" applyFont="0" applyAlignment="0" applyProtection="0"/>
    <xf numFmtId="0" fontId="34" fillId="30" borderId="0" applyNumberFormat="0" applyBorder="0" applyAlignment="0" applyProtection="0"/>
    <xf numFmtId="0" fontId="34" fillId="31" borderId="0" applyNumberFormat="0" applyBorder="0" applyAlignment="0" applyProtection="0"/>
    <xf numFmtId="0" fontId="34" fillId="32" borderId="0" applyNumberFormat="0" applyBorder="0" applyAlignment="0" applyProtection="0"/>
    <xf numFmtId="0" fontId="34" fillId="34" borderId="0" applyNumberFormat="0" applyBorder="0" applyAlignment="0" applyProtection="0"/>
    <xf numFmtId="0" fontId="34" fillId="35" borderId="0" applyNumberFormat="0" applyBorder="0" applyAlignment="0" applyProtection="0"/>
    <xf numFmtId="0" fontId="34" fillId="36" borderId="0" applyNumberFormat="0" applyBorder="0" applyAlignment="0" applyProtection="0"/>
    <xf numFmtId="0" fontId="34" fillId="38"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4" fillId="52" borderId="0" applyNumberFormat="0" applyBorder="0" applyAlignment="0" applyProtection="0"/>
    <xf numFmtId="0" fontId="34"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43" fontId="33"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0" fontId="33" fillId="0" borderId="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0" fontId="33" fillId="28" borderId="61" applyNumberFormat="0" applyFont="0" applyAlignment="0" applyProtection="0"/>
    <xf numFmtId="0" fontId="33"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0" borderId="0"/>
    <xf numFmtId="43" fontId="32" fillId="0" borderId="0" applyFont="0" applyFill="0" applyBorder="0" applyAlignment="0" applyProtection="0"/>
    <xf numFmtId="9" fontId="32" fillId="0" borderId="0" applyFont="0" applyFill="0" applyBorder="0" applyAlignment="0" applyProtection="0"/>
    <xf numFmtId="43"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43" fontId="32" fillId="0" borderId="0" applyFont="0" applyFill="0" applyBorder="0" applyAlignment="0" applyProtection="0"/>
    <xf numFmtId="9" fontId="32" fillId="0" borderId="0" applyFont="0" applyFill="0" applyBorder="0" applyAlignment="0" applyProtection="0"/>
    <xf numFmtId="43"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43" fontId="32" fillId="0" borderId="0" applyFont="0" applyFill="0" applyBorder="0" applyAlignment="0" applyProtection="0"/>
    <xf numFmtId="9" fontId="32" fillId="0" borderId="0" applyFont="0" applyFill="0" applyBorder="0" applyAlignment="0" applyProtection="0"/>
    <xf numFmtId="43"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43" fontId="32" fillId="0" borderId="0" applyFont="0" applyFill="0" applyBorder="0" applyAlignment="0" applyProtection="0"/>
    <xf numFmtId="9" fontId="32" fillId="0" borderId="0" applyFont="0" applyFill="0" applyBorder="0" applyAlignment="0" applyProtection="0"/>
    <xf numFmtId="43"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43" fontId="32" fillId="0" borderId="0" applyFont="0" applyFill="0" applyBorder="0" applyAlignment="0" applyProtection="0"/>
    <xf numFmtId="9" fontId="32" fillId="0" borderId="0" applyFont="0" applyFill="0" applyBorder="0" applyAlignment="0" applyProtection="0"/>
    <xf numFmtId="43"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43" fontId="32" fillId="0" borderId="0" applyFont="0" applyFill="0" applyBorder="0" applyAlignment="0" applyProtection="0"/>
    <xf numFmtId="9" fontId="32" fillId="0" borderId="0" applyFont="0" applyFill="0" applyBorder="0" applyAlignment="0" applyProtection="0"/>
    <xf numFmtId="43"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43" fontId="32" fillId="0" borderId="0" applyFont="0" applyFill="0" applyBorder="0" applyAlignment="0" applyProtection="0"/>
    <xf numFmtId="9" fontId="32" fillId="0" borderId="0" applyFont="0" applyFill="0" applyBorder="0" applyAlignment="0" applyProtection="0"/>
    <xf numFmtId="43"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43" fontId="32" fillId="0" borderId="0" applyFont="0" applyFill="0" applyBorder="0" applyAlignment="0" applyProtection="0"/>
    <xf numFmtId="9" fontId="32" fillId="0" borderId="0" applyFont="0" applyFill="0" applyBorder="0" applyAlignment="0" applyProtection="0"/>
    <xf numFmtId="43"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43" fontId="32" fillId="0" borderId="0" applyFont="0" applyFill="0" applyBorder="0" applyAlignment="0" applyProtection="0"/>
    <xf numFmtId="9" fontId="32" fillId="0" borderId="0" applyFont="0" applyFill="0" applyBorder="0" applyAlignment="0" applyProtection="0"/>
    <xf numFmtId="43"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43" fontId="32" fillId="0" borderId="0" applyFont="0" applyFill="0" applyBorder="0" applyAlignment="0" applyProtection="0"/>
    <xf numFmtId="9" fontId="32" fillId="0" borderId="0" applyFont="0" applyFill="0" applyBorder="0" applyAlignment="0" applyProtection="0"/>
    <xf numFmtId="43"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43" fontId="32" fillId="0" borderId="0" applyFont="0" applyFill="0" applyBorder="0" applyAlignment="0" applyProtection="0"/>
    <xf numFmtId="9" fontId="32" fillId="0" borderId="0" applyFont="0" applyFill="0" applyBorder="0" applyAlignment="0" applyProtection="0"/>
    <xf numFmtId="43"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43" fontId="32" fillId="0" borderId="0" applyFont="0" applyFill="0" applyBorder="0" applyAlignment="0" applyProtection="0"/>
    <xf numFmtId="9" fontId="32" fillId="0" borderId="0" applyFont="0" applyFill="0" applyBorder="0" applyAlignment="0" applyProtection="0"/>
    <xf numFmtId="43"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43" fontId="32" fillId="0" borderId="0" applyFont="0" applyFill="0" applyBorder="0" applyAlignment="0" applyProtection="0"/>
    <xf numFmtId="9" fontId="32" fillId="0" borderId="0" applyFont="0" applyFill="0" applyBorder="0" applyAlignment="0" applyProtection="0"/>
    <xf numFmtId="43"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43" fontId="32" fillId="0" borderId="0" applyFont="0" applyFill="0" applyBorder="0" applyAlignment="0" applyProtection="0"/>
    <xf numFmtId="9" fontId="32" fillId="0" borderId="0" applyFont="0" applyFill="0" applyBorder="0" applyAlignment="0" applyProtection="0"/>
    <xf numFmtId="43"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43" fontId="32" fillId="0" borderId="0" applyFont="0" applyFill="0" applyBorder="0" applyAlignment="0" applyProtection="0"/>
    <xf numFmtId="9" fontId="32" fillId="0" borderId="0" applyFont="0" applyFill="0" applyBorder="0" applyAlignment="0" applyProtection="0"/>
    <xf numFmtId="43"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43" fontId="32" fillId="0" borderId="0" applyFont="0" applyFill="0" applyBorder="0" applyAlignment="0" applyProtection="0"/>
    <xf numFmtId="9" fontId="32" fillId="0" borderId="0" applyFont="0" applyFill="0" applyBorder="0" applyAlignment="0" applyProtection="0"/>
    <xf numFmtId="43"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32" fillId="0" borderId="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0" fontId="32" fillId="28" borderId="61" applyNumberFormat="0" applyFont="0" applyAlignment="0" applyProtection="0"/>
    <xf numFmtId="0" fontId="32" fillId="30"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50" borderId="0" applyNumberFormat="0" applyBorder="0" applyAlignment="0" applyProtection="0"/>
    <xf numFmtId="0" fontId="32" fillId="51" borderId="0" applyNumberFormat="0" applyBorder="0" applyAlignment="0" applyProtection="0"/>
    <xf numFmtId="0" fontId="32" fillId="52" borderId="0" applyNumberFormat="0" applyBorder="0" applyAlignment="0" applyProtection="0"/>
    <xf numFmtId="0" fontId="32" fillId="0" borderId="0"/>
    <xf numFmtId="43" fontId="31" fillId="0" borderId="0" applyFont="0" applyFill="0" applyBorder="0" applyAlignment="0" applyProtection="0"/>
    <xf numFmtId="9" fontId="31"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43" fontId="31" fillId="0" borderId="0" applyFont="0" applyFill="0" applyBorder="0" applyAlignment="0" applyProtection="0"/>
    <xf numFmtId="9" fontId="31"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43" fontId="31" fillId="0" borderId="0" applyFont="0" applyFill="0" applyBorder="0" applyAlignment="0" applyProtection="0"/>
    <xf numFmtId="9" fontId="31"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43" fontId="31" fillId="0" borderId="0" applyFont="0" applyFill="0" applyBorder="0" applyAlignment="0" applyProtection="0"/>
    <xf numFmtId="9" fontId="31"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43" fontId="31" fillId="0" borderId="0" applyFont="0" applyFill="0" applyBorder="0" applyAlignment="0" applyProtection="0"/>
    <xf numFmtId="9" fontId="31"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43" fontId="31" fillId="0" borderId="0" applyFont="0" applyFill="0" applyBorder="0" applyAlignment="0" applyProtection="0"/>
    <xf numFmtId="9" fontId="31"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43" fontId="31" fillId="0" borderId="0" applyFont="0" applyFill="0" applyBorder="0" applyAlignment="0" applyProtection="0"/>
    <xf numFmtId="9" fontId="31"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43" fontId="31" fillId="0" borderId="0" applyFont="0" applyFill="0" applyBorder="0" applyAlignment="0" applyProtection="0"/>
    <xf numFmtId="9" fontId="31"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43" fontId="31" fillId="0" borderId="0" applyFont="0" applyFill="0" applyBorder="0" applyAlignment="0" applyProtection="0"/>
    <xf numFmtId="9" fontId="31"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43" fontId="31" fillId="0" borderId="0" applyFont="0" applyFill="0" applyBorder="0" applyAlignment="0" applyProtection="0"/>
    <xf numFmtId="9" fontId="31"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43" fontId="31" fillId="0" borderId="0" applyFont="0" applyFill="0" applyBorder="0" applyAlignment="0" applyProtection="0"/>
    <xf numFmtId="9" fontId="31"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43" fontId="31" fillId="0" borderId="0" applyFont="0" applyFill="0" applyBorder="0" applyAlignment="0" applyProtection="0"/>
    <xf numFmtId="9" fontId="31"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43" fontId="31" fillId="0" borderId="0" applyFont="0" applyFill="0" applyBorder="0" applyAlignment="0" applyProtection="0"/>
    <xf numFmtId="9" fontId="31"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43" fontId="31" fillId="0" borderId="0" applyFont="0" applyFill="0" applyBorder="0" applyAlignment="0" applyProtection="0"/>
    <xf numFmtId="9" fontId="31"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43" fontId="31" fillId="0" borderId="0" applyFont="0" applyFill="0" applyBorder="0" applyAlignment="0" applyProtection="0"/>
    <xf numFmtId="9" fontId="31"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43" fontId="31" fillId="0" borderId="0" applyFont="0" applyFill="0" applyBorder="0" applyAlignment="0" applyProtection="0"/>
    <xf numFmtId="9" fontId="31"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0" borderId="0"/>
    <xf numFmtId="43" fontId="31" fillId="0" borderId="0" applyFont="0" applyFill="0" applyBorder="0" applyAlignment="0" applyProtection="0"/>
    <xf numFmtId="9" fontId="31" fillId="0" borderId="0" applyFont="0" applyFill="0" applyBorder="0" applyAlignment="0" applyProtection="0"/>
    <xf numFmtId="0" fontId="31" fillId="0" borderId="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0" fontId="31" fillId="28" borderId="61" applyNumberFormat="0" applyFont="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8" borderId="0" applyNumberFormat="0" applyBorder="0" applyAlignment="0" applyProtection="0"/>
    <xf numFmtId="0" fontId="31" fillId="50"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xf numFmtId="0" fontId="31" fillId="0" borderId="0"/>
    <xf numFmtId="43" fontId="30" fillId="0" borderId="0" applyFont="0" applyFill="0" applyBorder="0" applyAlignment="0" applyProtection="0"/>
    <xf numFmtId="9" fontId="30" fillId="0" borderId="0" applyFont="0" applyFill="0" applyBorder="0" applyAlignment="0" applyProtection="0"/>
    <xf numFmtId="43"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43" fontId="30" fillId="0" borderId="0" applyFont="0" applyFill="0" applyBorder="0" applyAlignment="0" applyProtection="0"/>
    <xf numFmtId="9" fontId="30" fillId="0" borderId="0" applyFont="0" applyFill="0" applyBorder="0" applyAlignment="0" applyProtection="0"/>
    <xf numFmtId="43"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43" fontId="30" fillId="0" borderId="0" applyFont="0" applyFill="0" applyBorder="0" applyAlignment="0" applyProtection="0"/>
    <xf numFmtId="9" fontId="30" fillId="0" borderId="0" applyFont="0" applyFill="0" applyBorder="0" applyAlignment="0" applyProtection="0"/>
    <xf numFmtId="43"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43" fontId="30" fillId="0" borderId="0" applyFont="0" applyFill="0" applyBorder="0" applyAlignment="0" applyProtection="0"/>
    <xf numFmtId="9" fontId="30" fillId="0" borderId="0" applyFont="0" applyFill="0" applyBorder="0" applyAlignment="0" applyProtection="0"/>
    <xf numFmtId="43"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43" fontId="30" fillId="0" borderId="0" applyFont="0" applyFill="0" applyBorder="0" applyAlignment="0" applyProtection="0"/>
    <xf numFmtId="9" fontId="30" fillId="0" borderId="0" applyFont="0" applyFill="0" applyBorder="0" applyAlignment="0" applyProtection="0"/>
    <xf numFmtId="43"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43" fontId="30" fillId="0" borderId="0" applyFont="0" applyFill="0" applyBorder="0" applyAlignment="0" applyProtection="0"/>
    <xf numFmtId="9" fontId="30" fillId="0" borderId="0" applyFont="0" applyFill="0" applyBorder="0" applyAlignment="0" applyProtection="0"/>
    <xf numFmtId="43"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43" fontId="30" fillId="0" borderId="0" applyFont="0" applyFill="0" applyBorder="0" applyAlignment="0" applyProtection="0"/>
    <xf numFmtId="9" fontId="30" fillId="0" borderId="0" applyFont="0" applyFill="0" applyBorder="0" applyAlignment="0" applyProtection="0"/>
    <xf numFmtId="43"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43" fontId="30" fillId="0" borderId="0" applyFont="0" applyFill="0" applyBorder="0" applyAlignment="0" applyProtection="0"/>
    <xf numFmtId="9" fontId="30" fillId="0" borderId="0" applyFont="0" applyFill="0" applyBorder="0" applyAlignment="0" applyProtection="0"/>
    <xf numFmtId="43"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43" fontId="30" fillId="0" borderId="0" applyFont="0" applyFill="0" applyBorder="0" applyAlignment="0" applyProtection="0"/>
    <xf numFmtId="9" fontId="30" fillId="0" borderId="0" applyFont="0" applyFill="0" applyBorder="0" applyAlignment="0" applyProtection="0"/>
    <xf numFmtId="43"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43" fontId="30" fillId="0" borderId="0" applyFont="0" applyFill="0" applyBorder="0" applyAlignment="0" applyProtection="0"/>
    <xf numFmtId="9" fontId="30" fillId="0" borderId="0" applyFont="0" applyFill="0" applyBorder="0" applyAlignment="0" applyProtection="0"/>
    <xf numFmtId="43"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43" fontId="30" fillId="0" borderId="0" applyFont="0" applyFill="0" applyBorder="0" applyAlignment="0" applyProtection="0"/>
    <xf numFmtId="9" fontId="30" fillId="0" borderId="0" applyFont="0" applyFill="0" applyBorder="0" applyAlignment="0" applyProtection="0"/>
    <xf numFmtId="43"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43" fontId="30" fillId="0" borderId="0" applyFont="0" applyFill="0" applyBorder="0" applyAlignment="0" applyProtection="0"/>
    <xf numFmtId="9" fontId="30" fillId="0" borderId="0" applyFont="0" applyFill="0" applyBorder="0" applyAlignment="0" applyProtection="0"/>
    <xf numFmtId="43"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43" fontId="30" fillId="0" borderId="0" applyFont="0" applyFill="0" applyBorder="0" applyAlignment="0" applyProtection="0"/>
    <xf numFmtId="9" fontId="30" fillId="0" borderId="0" applyFont="0" applyFill="0" applyBorder="0" applyAlignment="0" applyProtection="0"/>
    <xf numFmtId="43"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43" fontId="30" fillId="0" borderId="0" applyFont="0" applyFill="0" applyBorder="0" applyAlignment="0" applyProtection="0"/>
    <xf numFmtId="9" fontId="30" fillId="0" borderId="0" applyFont="0" applyFill="0" applyBorder="0" applyAlignment="0" applyProtection="0"/>
    <xf numFmtId="43"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43" fontId="30" fillId="0" borderId="0" applyFont="0" applyFill="0" applyBorder="0" applyAlignment="0" applyProtection="0"/>
    <xf numFmtId="9" fontId="30" fillId="0" borderId="0" applyFont="0" applyFill="0" applyBorder="0" applyAlignment="0" applyProtection="0"/>
    <xf numFmtId="43"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43" fontId="30" fillId="0" borderId="0" applyFont="0" applyFill="0" applyBorder="0" applyAlignment="0" applyProtection="0"/>
    <xf numFmtId="9" fontId="30" fillId="0" borderId="0" applyFont="0" applyFill="0" applyBorder="0" applyAlignment="0" applyProtection="0"/>
    <xf numFmtId="43"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0" borderId="0"/>
    <xf numFmtId="43" fontId="30" fillId="0" borderId="0" applyFont="0" applyFill="0" applyBorder="0" applyAlignment="0" applyProtection="0"/>
    <xf numFmtId="9" fontId="30" fillId="0" borderId="0" applyFont="0" applyFill="0" applyBorder="0" applyAlignment="0" applyProtection="0"/>
    <xf numFmtId="0" fontId="30" fillId="0" borderId="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0" fontId="30" fillId="28" borderId="61" applyNumberFormat="0" applyFont="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8" borderId="0" applyNumberFormat="0" applyBorder="0" applyAlignment="0" applyProtection="0"/>
    <xf numFmtId="0" fontId="30" fillId="39"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3" borderId="0" applyNumberFormat="0" applyBorder="0" applyAlignment="0" applyProtection="0"/>
    <xf numFmtId="0" fontId="30" fillId="44" borderId="0" applyNumberFormat="0" applyBorder="0" applyAlignment="0" applyProtection="0"/>
    <xf numFmtId="0" fontId="30" fillId="46" borderId="0" applyNumberFormat="0" applyBorder="0" applyAlignment="0" applyProtection="0"/>
    <xf numFmtId="0" fontId="30" fillId="47" borderId="0" applyNumberFormat="0" applyBorder="0" applyAlignment="0" applyProtection="0"/>
    <xf numFmtId="0" fontId="30" fillId="48" borderId="0" applyNumberFormat="0" applyBorder="0" applyAlignment="0" applyProtection="0"/>
    <xf numFmtId="0" fontId="30" fillId="50" borderId="0" applyNumberFormat="0" applyBorder="0" applyAlignment="0" applyProtection="0"/>
    <xf numFmtId="0" fontId="30" fillId="51" borderId="0" applyNumberFormat="0" applyBorder="0" applyAlignment="0" applyProtection="0"/>
    <xf numFmtId="0" fontId="30" fillId="52" borderId="0" applyNumberFormat="0" applyBorder="0" applyAlignment="0" applyProtection="0"/>
    <xf numFmtId="0" fontId="30" fillId="0" borderId="0"/>
    <xf numFmtId="43" fontId="29" fillId="0" borderId="0" applyFont="0" applyFill="0" applyBorder="0" applyAlignment="0" applyProtection="0"/>
    <xf numFmtId="9" fontId="29" fillId="0" borderId="0" applyFont="0" applyFill="0" applyBorder="0" applyAlignment="0" applyProtection="0"/>
    <xf numFmtId="43"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43" fontId="29" fillId="0" borderId="0" applyFont="0" applyFill="0" applyBorder="0" applyAlignment="0" applyProtection="0"/>
    <xf numFmtId="9" fontId="29" fillId="0" borderId="0" applyFont="0" applyFill="0" applyBorder="0" applyAlignment="0" applyProtection="0"/>
    <xf numFmtId="43"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43" fontId="29" fillId="0" borderId="0" applyFont="0" applyFill="0" applyBorder="0" applyAlignment="0" applyProtection="0"/>
    <xf numFmtId="9" fontId="29" fillId="0" borderId="0" applyFont="0" applyFill="0" applyBorder="0" applyAlignment="0" applyProtection="0"/>
    <xf numFmtId="43"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43" fontId="29" fillId="0" borderId="0" applyFont="0" applyFill="0" applyBorder="0" applyAlignment="0" applyProtection="0"/>
    <xf numFmtId="9" fontId="29" fillId="0" borderId="0" applyFont="0" applyFill="0" applyBorder="0" applyAlignment="0" applyProtection="0"/>
    <xf numFmtId="43"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43" fontId="29" fillId="0" borderId="0" applyFont="0" applyFill="0" applyBorder="0" applyAlignment="0" applyProtection="0"/>
    <xf numFmtId="9" fontId="29" fillId="0" borderId="0" applyFont="0" applyFill="0" applyBorder="0" applyAlignment="0" applyProtection="0"/>
    <xf numFmtId="43"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43" fontId="29" fillId="0" borderId="0" applyFont="0" applyFill="0" applyBorder="0" applyAlignment="0" applyProtection="0"/>
    <xf numFmtId="9" fontId="29" fillId="0" borderId="0" applyFont="0" applyFill="0" applyBorder="0" applyAlignment="0" applyProtection="0"/>
    <xf numFmtId="43"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43" fontId="29" fillId="0" borderId="0" applyFont="0" applyFill="0" applyBorder="0" applyAlignment="0" applyProtection="0"/>
    <xf numFmtId="9" fontId="29" fillId="0" borderId="0" applyFont="0" applyFill="0" applyBorder="0" applyAlignment="0" applyProtection="0"/>
    <xf numFmtId="43"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43" fontId="29" fillId="0" borderId="0" applyFont="0" applyFill="0" applyBorder="0" applyAlignment="0" applyProtection="0"/>
    <xf numFmtId="9" fontId="29" fillId="0" borderId="0" applyFont="0" applyFill="0" applyBorder="0" applyAlignment="0" applyProtection="0"/>
    <xf numFmtId="43"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43" fontId="29" fillId="0" borderId="0" applyFont="0" applyFill="0" applyBorder="0" applyAlignment="0" applyProtection="0"/>
    <xf numFmtId="9" fontId="29" fillId="0" borderId="0" applyFont="0" applyFill="0" applyBorder="0" applyAlignment="0" applyProtection="0"/>
    <xf numFmtId="43"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43" fontId="29" fillId="0" borderId="0" applyFont="0" applyFill="0" applyBorder="0" applyAlignment="0" applyProtection="0"/>
    <xf numFmtId="9" fontId="29" fillId="0" borderId="0" applyFont="0" applyFill="0" applyBorder="0" applyAlignment="0" applyProtection="0"/>
    <xf numFmtId="43"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43" fontId="29" fillId="0" borderId="0" applyFont="0" applyFill="0" applyBorder="0" applyAlignment="0" applyProtection="0"/>
    <xf numFmtId="9" fontId="29" fillId="0" borderId="0" applyFont="0" applyFill="0" applyBorder="0" applyAlignment="0" applyProtection="0"/>
    <xf numFmtId="43"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43" fontId="29" fillId="0" borderId="0" applyFont="0" applyFill="0" applyBorder="0" applyAlignment="0" applyProtection="0"/>
    <xf numFmtId="9" fontId="29" fillId="0" borderId="0" applyFont="0" applyFill="0" applyBorder="0" applyAlignment="0" applyProtection="0"/>
    <xf numFmtId="43"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43" fontId="29" fillId="0" borderId="0" applyFont="0" applyFill="0" applyBorder="0" applyAlignment="0" applyProtection="0"/>
    <xf numFmtId="9" fontId="29" fillId="0" borderId="0" applyFont="0" applyFill="0" applyBorder="0" applyAlignment="0" applyProtection="0"/>
    <xf numFmtId="43"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43" fontId="29" fillId="0" borderId="0" applyFont="0" applyFill="0" applyBorder="0" applyAlignment="0" applyProtection="0"/>
    <xf numFmtId="9" fontId="29" fillId="0" borderId="0" applyFont="0" applyFill="0" applyBorder="0" applyAlignment="0" applyProtection="0"/>
    <xf numFmtId="43"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43" fontId="29" fillId="0" borderId="0" applyFont="0" applyFill="0" applyBorder="0" applyAlignment="0" applyProtection="0"/>
    <xf numFmtId="9" fontId="29" fillId="0" borderId="0" applyFont="0" applyFill="0" applyBorder="0" applyAlignment="0" applyProtection="0"/>
    <xf numFmtId="43"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43" fontId="29" fillId="0" borderId="0" applyFont="0" applyFill="0" applyBorder="0" applyAlignment="0" applyProtection="0"/>
    <xf numFmtId="9" fontId="29" fillId="0" borderId="0" applyFont="0" applyFill="0" applyBorder="0" applyAlignment="0" applyProtection="0"/>
    <xf numFmtId="43"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0" fontId="29" fillId="28" borderId="61" applyNumberFormat="0" applyFont="0" applyAlignment="0" applyProtection="0"/>
    <xf numFmtId="0" fontId="29" fillId="30" borderId="0" applyNumberFormat="0" applyBorder="0" applyAlignment="0" applyProtection="0"/>
    <xf numFmtId="0" fontId="29" fillId="31" borderId="0" applyNumberFormat="0" applyBorder="0" applyAlignment="0" applyProtection="0"/>
    <xf numFmtId="0" fontId="29" fillId="32"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29" fillId="36"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2" borderId="0" applyNumberFormat="0" applyBorder="0" applyAlignment="0" applyProtection="0"/>
    <xf numFmtId="0" fontId="29" fillId="0" borderId="0"/>
    <xf numFmtId="43" fontId="28" fillId="0" borderId="0" applyFont="0" applyFill="0" applyBorder="0" applyAlignment="0" applyProtection="0"/>
    <xf numFmtId="9" fontId="28" fillId="0" borderId="0" applyFont="0" applyFill="0" applyBorder="0" applyAlignment="0" applyProtection="0"/>
    <xf numFmtId="43"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43" fontId="28" fillId="0" borderId="0" applyFont="0" applyFill="0" applyBorder="0" applyAlignment="0" applyProtection="0"/>
    <xf numFmtId="9" fontId="28" fillId="0" borderId="0" applyFont="0" applyFill="0" applyBorder="0" applyAlignment="0" applyProtection="0"/>
    <xf numFmtId="43"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43" fontId="28" fillId="0" borderId="0" applyFont="0" applyFill="0" applyBorder="0" applyAlignment="0" applyProtection="0"/>
    <xf numFmtId="9" fontId="28" fillId="0" borderId="0" applyFont="0" applyFill="0" applyBorder="0" applyAlignment="0" applyProtection="0"/>
    <xf numFmtId="43"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43" fontId="28" fillId="0" borderId="0" applyFont="0" applyFill="0" applyBorder="0" applyAlignment="0" applyProtection="0"/>
    <xf numFmtId="9" fontId="28" fillId="0" borderId="0" applyFont="0" applyFill="0" applyBorder="0" applyAlignment="0" applyProtection="0"/>
    <xf numFmtId="43"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43" fontId="28" fillId="0" borderId="0" applyFont="0" applyFill="0" applyBorder="0" applyAlignment="0" applyProtection="0"/>
    <xf numFmtId="9" fontId="28" fillId="0" borderId="0" applyFont="0" applyFill="0" applyBorder="0" applyAlignment="0" applyProtection="0"/>
    <xf numFmtId="43"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43" fontId="28" fillId="0" borderId="0" applyFont="0" applyFill="0" applyBorder="0" applyAlignment="0" applyProtection="0"/>
    <xf numFmtId="9" fontId="28" fillId="0" borderId="0" applyFont="0" applyFill="0" applyBorder="0" applyAlignment="0" applyProtection="0"/>
    <xf numFmtId="43"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43" fontId="28" fillId="0" borderId="0" applyFont="0" applyFill="0" applyBorder="0" applyAlignment="0" applyProtection="0"/>
    <xf numFmtId="9" fontId="28" fillId="0" borderId="0" applyFont="0" applyFill="0" applyBorder="0" applyAlignment="0" applyProtection="0"/>
    <xf numFmtId="43"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43" fontId="28" fillId="0" borderId="0" applyFont="0" applyFill="0" applyBorder="0" applyAlignment="0" applyProtection="0"/>
    <xf numFmtId="9" fontId="28" fillId="0" borderId="0" applyFont="0" applyFill="0" applyBorder="0" applyAlignment="0" applyProtection="0"/>
    <xf numFmtId="43"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43" fontId="28" fillId="0" borderId="0" applyFont="0" applyFill="0" applyBorder="0" applyAlignment="0" applyProtection="0"/>
    <xf numFmtId="9" fontId="28" fillId="0" borderId="0" applyFont="0" applyFill="0" applyBorder="0" applyAlignment="0" applyProtection="0"/>
    <xf numFmtId="43"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43" fontId="28" fillId="0" borderId="0" applyFont="0" applyFill="0" applyBorder="0" applyAlignment="0" applyProtection="0"/>
    <xf numFmtId="9" fontId="28" fillId="0" borderId="0" applyFont="0" applyFill="0" applyBorder="0" applyAlignment="0" applyProtection="0"/>
    <xf numFmtId="43"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43" fontId="28" fillId="0" borderId="0" applyFont="0" applyFill="0" applyBorder="0" applyAlignment="0" applyProtection="0"/>
    <xf numFmtId="9" fontId="28" fillId="0" borderId="0" applyFont="0" applyFill="0" applyBorder="0" applyAlignment="0" applyProtection="0"/>
    <xf numFmtId="43"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43" fontId="28" fillId="0" borderId="0" applyFont="0" applyFill="0" applyBorder="0" applyAlignment="0" applyProtection="0"/>
    <xf numFmtId="9" fontId="28" fillId="0" borderId="0" applyFont="0" applyFill="0" applyBorder="0" applyAlignment="0" applyProtection="0"/>
    <xf numFmtId="43"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43" fontId="28" fillId="0" borderId="0" applyFont="0" applyFill="0" applyBorder="0" applyAlignment="0" applyProtection="0"/>
    <xf numFmtId="9" fontId="28" fillId="0" borderId="0" applyFont="0" applyFill="0" applyBorder="0" applyAlignment="0" applyProtection="0"/>
    <xf numFmtId="43"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43" fontId="28" fillId="0" borderId="0" applyFont="0" applyFill="0" applyBorder="0" applyAlignment="0" applyProtection="0"/>
    <xf numFmtId="9" fontId="28" fillId="0" borderId="0" applyFont="0" applyFill="0" applyBorder="0" applyAlignment="0" applyProtection="0"/>
    <xf numFmtId="43"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43" fontId="28" fillId="0" borderId="0" applyFont="0" applyFill="0" applyBorder="0" applyAlignment="0" applyProtection="0"/>
    <xf numFmtId="9" fontId="28" fillId="0" borderId="0" applyFont="0" applyFill="0" applyBorder="0" applyAlignment="0" applyProtection="0"/>
    <xf numFmtId="43"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43" fontId="28" fillId="0" borderId="0" applyFont="0" applyFill="0" applyBorder="0" applyAlignment="0" applyProtection="0"/>
    <xf numFmtId="9" fontId="28" fillId="0" borderId="0" applyFont="0" applyFill="0" applyBorder="0" applyAlignment="0" applyProtection="0"/>
    <xf numFmtId="43"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43" fontId="28" fillId="0" borderId="0" applyFont="0" applyFill="0" applyBorder="0" applyAlignment="0" applyProtection="0"/>
    <xf numFmtId="9" fontId="28" fillId="0" borderId="0" applyFont="0" applyFill="0" applyBorder="0" applyAlignment="0" applyProtection="0"/>
    <xf numFmtId="0" fontId="28" fillId="0" borderId="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0" fontId="28" fillId="28" borderId="61" applyNumberFormat="0" applyFont="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0" borderId="0"/>
    <xf numFmtId="43" fontId="27" fillId="0" borderId="0" applyFont="0" applyFill="0" applyBorder="0" applyAlignment="0" applyProtection="0"/>
    <xf numFmtId="9" fontId="27"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43" fontId="27" fillId="0" borderId="0" applyFont="0" applyFill="0" applyBorder="0" applyAlignment="0" applyProtection="0"/>
    <xf numFmtId="9" fontId="27"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43" fontId="27" fillId="0" borderId="0" applyFont="0" applyFill="0" applyBorder="0" applyAlignment="0" applyProtection="0"/>
    <xf numFmtId="9" fontId="27"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43" fontId="27" fillId="0" borderId="0" applyFont="0" applyFill="0" applyBorder="0" applyAlignment="0" applyProtection="0"/>
    <xf numFmtId="9" fontId="27"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43" fontId="27" fillId="0" borderId="0" applyFont="0" applyFill="0" applyBorder="0" applyAlignment="0" applyProtection="0"/>
    <xf numFmtId="9" fontId="27"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43" fontId="27" fillId="0" borderId="0" applyFont="0" applyFill="0" applyBorder="0" applyAlignment="0" applyProtection="0"/>
    <xf numFmtId="9" fontId="27"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43" fontId="27" fillId="0" borderId="0" applyFont="0" applyFill="0" applyBorder="0" applyAlignment="0" applyProtection="0"/>
    <xf numFmtId="9" fontId="27"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43" fontId="27" fillId="0" borderId="0" applyFont="0" applyFill="0" applyBorder="0" applyAlignment="0" applyProtection="0"/>
    <xf numFmtId="9" fontId="27"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43" fontId="27" fillId="0" borderId="0" applyFont="0" applyFill="0" applyBorder="0" applyAlignment="0" applyProtection="0"/>
    <xf numFmtId="9" fontId="27"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43" fontId="27" fillId="0" borderId="0" applyFont="0" applyFill="0" applyBorder="0" applyAlignment="0" applyProtection="0"/>
    <xf numFmtId="9" fontId="27"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43" fontId="27" fillId="0" borderId="0" applyFont="0" applyFill="0" applyBorder="0" applyAlignment="0" applyProtection="0"/>
    <xf numFmtId="9" fontId="27"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43" fontId="27" fillId="0" borderId="0" applyFont="0" applyFill="0" applyBorder="0" applyAlignment="0" applyProtection="0"/>
    <xf numFmtId="9" fontId="27"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43" fontId="27" fillId="0" borderId="0" applyFont="0" applyFill="0" applyBorder="0" applyAlignment="0" applyProtection="0"/>
    <xf numFmtId="9" fontId="27"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43" fontId="27" fillId="0" borderId="0" applyFont="0" applyFill="0" applyBorder="0" applyAlignment="0" applyProtection="0"/>
    <xf numFmtId="9" fontId="27"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43" fontId="27" fillId="0" borderId="0" applyFont="0" applyFill="0" applyBorder="0" applyAlignment="0" applyProtection="0"/>
    <xf numFmtId="9" fontId="27"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43" fontId="27" fillId="0" borderId="0" applyFont="0" applyFill="0" applyBorder="0" applyAlignment="0" applyProtection="0"/>
    <xf numFmtId="9" fontId="27"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0" borderId="0"/>
    <xf numFmtId="43" fontId="27" fillId="0" borderId="0" applyFont="0" applyFill="0" applyBorder="0" applyAlignment="0" applyProtection="0"/>
    <xf numFmtId="9" fontId="27" fillId="0" borderId="0" applyFont="0" applyFill="0" applyBorder="0" applyAlignment="0" applyProtection="0"/>
    <xf numFmtId="0" fontId="27" fillId="0" borderId="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0" fontId="27" fillId="28" borderId="61" applyNumberFormat="0" applyFont="0" applyAlignment="0" applyProtection="0"/>
    <xf numFmtId="0" fontId="27" fillId="30"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0" borderId="0"/>
    <xf numFmtId="43" fontId="26" fillId="0" borderId="0" applyFont="0" applyFill="0" applyBorder="0" applyAlignment="0" applyProtection="0"/>
    <xf numFmtId="9"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43" fontId="26" fillId="0" borderId="0" applyFont="0" applyFill="0" applyBorder="0" applyAlignment="0" applyProtection="0"/>
    <xf numFmtId="9"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43" fontId="26" fillId="0" borderId="0" applyFont="0" applyFill="0" applyBorder="0" applyAlignment="0" applyProtection="0"/>
    <xf numFmtId="9"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43" fontId="26" fillId="0" borderId="0" applyFont="0" applyFill="0" applyBorder="0" applyAlignment="0" applyProtection="0"/>
    <xf numFmtId="9"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43" fontId="26" fillId="0" borderId="0" applyFont="0" applyFill="0" applyBorder="0" applyAlignment="0" applyProtection="0"/>
    <xf numFmtId="9"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43" fontId="26" fillId="0" borderId="0" applyFont="0" applyFill="0" applyBorder="0" applyAlignment="0" applyProtection="0"/>
    <xf numFmtId="9"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43" fontId="26" fillId="0" borderId="0" applyFont="0" applyFill="0" applyBorder="0" applyAlignment="0" applyProtection="0"/>
    <xf numFmtId="9"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43" fontId="26" fillId="0" borderId="0" applyFont="0" applyFill="0" applyBorder="0" applyAlignment="0" applyProtection="0"/>
    <xf numFmtId="9"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43" fontId="26" fillId="0" borderId="0" applyFont="0" applyFill="0" applyBorder="0" applyAlignment="0" applyProtection="0"/>
    <xf numFmtId="9"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43" fontId="26" fillId="0" borderId="0" applyFont="0" applyFill="0" applyBorder="0" applyAlignment="0" applyProtection="0"/>
    <xf numFmtId="9"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43" fontId="26" fillId="0" borderId="0" applyFont="0" applyFill="0" applyBorder="0" applyAlignment="0" applyProtection="0"/>
    <xf numFmtId="9"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43" fontId="26" fillId="0" borderId="0" applyFont="0" applyFill="0" applyBorder="0" applyAlignment="0" applyProtection="0"/>
    <xf numFmtId="9"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43" fontId="26" fillId="0" borderId="0" applyFont="0" applyFill="0" applyBorder="0" applyAlignment="0" applyProtection="0"/>
    <xf numFmtId="9"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43" fontId="26" fillId="0" borderId="0" applyFont="0" applyFill="0" applyBorder="0" applyAlignment="0" applyProtection="0"/>
    <xf numFmtId="9"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43" fontId="26" fillId="0" borderId="0" applyFont="0" applyFill="0" applyBorder="0" applyAlignment="0" applyProtection="0"/>
    <xf numFmtId="9"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43" fontId="26" fillId="0" borderId="0" applyFont="0" applyFill="0" applyBorder="0" applyAlignment="0" applyProtection="0"/>
    <xf numFmtId="9"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26" fillId="0" borderId="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0" fontId="26" fillId="28" borderId="61" applyNumberFormat="0" applyFont="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48"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2" borderId="0" applyNumberFormat="0" applyBorder="0" applyAlignment="0" applyProtection="0"/>
    <xf numFmtId="0" fontId="26" fillId="0" borderId="0"/>
    <xf numFmtId="43" fontId="25" fillId="0" borderId="0" applyFont="0" applyFill="0" applyBorder="0" applyAlignment="0" applyProtection="0"/>
    <xf numFmtId="9" fontId="25" fillId="0" borderId="0" applyFont="0" applyFill="0" applyBorder="0" applyAlignment="0" applyProtection="0"/>
    <xf numFmtId="43" fontId="25"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43" fontId="25" fillId="0" borderId="0" applyFont="0" applyFill="0" applyBorder="0" applyAlignment="0" applyProtection="0"/>
    <xf numFmtId="9" fontId="25" fillId="0" borderId="0" applyFont="0" applyFill="0" applyBorder="0" applyAlignment="0" applyProtection="0"/>
    <xf numFmtId="43" fontId="25"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43" fontId="25" fillId="0" borderId="0" applyFont="0" applyFill="0" applyBorder="0" applyAlignment="0" applyProtection="0"/>
    <xf numFmtId="9" fontId="25" fillId="0" borderId="0" applyFont="0" applyFill="0" applyBorder="0" applyAlignment="0" applyProtection="0"/>
    <xf numFmtId="43" fontId="25"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43" fontId="25" fillId="0" borderId="0" applyFont="0" applyFill="0" applyBorder="0" applyAlignment="0" applyProtection="0"/>
    <xf numFmtId="9" fontId="25" fillId="0" borderId="0" applyFont="0" applyFill="0" applyBorder="0" applyAlignment="0" applyProtection="0"/>
    <xf numFmtId="43" fontId="25"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43" fontId="25" fillId="0" borderId="0" applyFont="0" applyFill="0" applyBorder="0" applyAlignment="0" applyProtection="0"/>
    <xf numFmtId="9" fontId="25" fillId="0" borderId="0" applyFont="0" applyFill="0" applyBorder="0" applyAlignment="0" applyProtection="0"/>
    <xf numFmtId="43" fontId="25"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43" fontId="25" fillId="0" borderId="0" applyFont="0" applyFill="0" applyBorder="0" applyAlignment="0" applyProtection="0"/>
    <xf numFmtId="9" fontId="25" fillId="0" borderId="0" applyFont="0" applyFill="0" applyBorder="0" applyAlignment="0" applyProtection="0"/>
    <xf numFmtId="43" fontId="25"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43" fontId="25" fillId="0" borderId="0" applyFont="0" applyFill="0" applyBorder="0" applyAlignment="0" applyProtection="0"/>
    <xf numFmtId="9" fontId="25" fillId="0" borderId="0" applyFont="0" applyFill="0" applyBorder="0" applyAlignment="0" applyProtection="0"/>
    <xf numFmtId="43" fontId="25"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43" fontId="25" fillId="0" borderId="0" applyFont="0" applyFill="0" applyBorder="0" applyAlignment="0" applyProtection="0"/>
    <xf numFmtId="9" fontId="25" fillId="0" borderId="0" applyFont="0" applyFill="0" applyBorder="0" applyAlignment="0" applyProtection="0"/>
    <xf numFmtId="43" fontId="25"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43" fontId="25" fillId="0" borderId="0" applyFont="0" applyFill="0" applyBorder="0" applyAlignment="0" applyProtection="0"/>
    <xf numFmtId="9" fontId="25" fillId="0" borderId="0" applyFont="0" applyFill="0" applyBorder="0" applyAlignment="0" applyProtection="0"/>
    <xf numFmtId="43" fontId="25"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43" fontId="25" fillId="0" borderId="0" applyFont="0" applyFill="0" applyBorder="0" applyAlignment="0" applyProtection="0"/>
    <xf numFmtId="9" fontId="25" fillId="0" borderId="0" applyFont="0" applyFill="0" applyBorder="0" applyAlignment="0" applyProtection="0"/>
    <xf numFmtId="43" fontId="25"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43" fontId="25" fillId="0" borderId="0" applyFont="0" applyFill="0" applyBorder="0" applyAlignment="0" applyProtection="0"/>
    <xf numFmtId="9" fontId="25" fillId="0" borderId="0" applyFont="0" applyFill="0" applyBorder="0" applyAlignment="0" applyProtection="0"/>
    <xf numFmtId="43" fontId="25"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43" fontId="25" fillId="0" borderId="0" applyFont="0" applyFill="0" applyBorder="0" applyAlignment="0" applyProtection="0"/>
    <xf numFmtId="9" fontId="25" fillId="0" borderId="0" applyFont="0" applyFill="0" applyBorder="0" applyAlignment="0" applyProtection="0"/>
    <xf numFmtId="43" fontId="25"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43" fontId="25" fillId="0" borderId="0" applyFont="0" applyFill="0" applyBorder="0" applyAlignment="0" applyProtection="0"/>
    <xf numFmtId="9" fontId="25" fillId="0" borderId="0" applyFont="0" applyFill="0" applyBorder="0" applyAlignment="0" applyProtection="0"/>
    <xf numFmtId="43" fontId="25"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43" fontId="25" fillId="0" borderId="0" applyFont="0" applyFill="0" applyBorder="0" applyAlignment="0" applyProtection="0"/>
    <xf numFmtId="9" fontId="25" fillId="0" borderId="0" applyFont="0" applyFill="0" applyBorder="0" applyAlignment="0" applyProtection="0"/>
    <xf numFmtId="43" fontId="25"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43" fontId="25" fillId="0" borderId="0" applyFont="0" applyFill="0" applyBorder="0" applyAlignment="0" applyProtection="0"/>
    <xf numFmtId="9" fontId="25" fillId="0" borderId="0" applyFont="0" applyFill="0" applyBorder="0" applyAlignment="0" applyProtection="0"/>
    <xf numFmtId="43" fontId="25"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43" fontId="25" fillId="0" borderId="0" applyFont="0" applyFill="0" applyBorder="0" applyAlignment="0" applyProtection="0"/>
    <xf numFmtId="9" fontId="25" fillId="0" borderId="0" applyFont="0" applyFill="0" applyBorder="0" applyAlignment="0" applyProtection="0"/>
    <xf numFmtId="43" fontId="25"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9" fontId="25" fillId="0" borderId="0" applyFont="0" applyFill="0" applyBorder="0" applyAlignment="0" applyProtection="0"/>
    <xf numFmtId="0" fontId="25" fillId="0" borderId="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0" fontId="25" fillId="28" borderId="61" applyNumberFormat="0" applyFont="0" applyAlignment="0" applyProtection="0"/>
    <xf numFmtId="0" fontId="25"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44" borderId="0" applyNumberFormat="0" applyBorder="0" applyAlignment="0" applyProtection="0"/>
    <xf numFmtId="0" fontId="25" fillId="46" borderId="0" applyNumberFormat="0" applyBorder="0" applyAlignment="0" applyProtection="0"/>
    <xf numFmtId="0" fontId="25" fillId="47" borderId="0" applyNumberFormat="0" applyBorder="0" applyAlignment="0" applyProtection="0"/>
    <xf numFmtId="0" fontId="25" fillId="48" borderId="0" applyNumberFormat="0" applyBorder="0" applyAlignment="0" applyProtection="0"/>
    <xf numFmtId="0" fontId="25" fillId="50" borderId="0" applyNumberFormat="0" applyBorder="0" applyAlignment="0" applyProtection="0"/>
    <xf numFmtId="0" fontId="25" fillId="51" borderId="0" applyNumberFormat="0" applyBorder="0" applyAlignment="0" applyProtection="0"/>
    <xf numFmtId="0" fontId="25" fillId="52" borderId="0" applyNumberFormat="0" applyBorder="0" applyAlignment="0" applyProtection="0"/>
    <xf numFmtId="0" fontId="25" fillId="0" borderId="0"/>
    <xf numFmtId="43" fontId="24" fillId="0" borderId="0" applyFont="0" applyFill="0" applyBorder="0" applyAlignment="0" applyProtection="0"/>
    <xf numFmtId="9" fontId="24" fillId="0" borderId="0" applyFont="0" applyFill="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43" fontId="24" fillId="0" borderId="0" applyFont="0" applyFill="0" applyBorder="0" applyAlignment="0" applyProtection="0"/>
    <xf numFmtId="9" fontId="24" fillId="0" borderId="0" applyFont="0" applyFill="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43" fontId="24" fillId="0" borderId="0" applyFont="0" applyFill="0" applyBorder="0" applyAlignment="0" applyProtection="0"/>
    <xf numFmtId="9" fontId="24" fillId="0" borderId="0" applyFont="0" applyFill="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43" fontId="24" fillId="0" borderId="0" applyFont="0" applyFill="0" applyBorder="0" applyAlignment="0" applyProtection="0"/>
    <xf numFmtId="9" fontId="24" fillId="0" borderId="0" applyFont="0" applyFill="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43" fontId="24" fillId="0" borderId="0" applyFont="0" applyFill="0" applyBorder="0" applyAlignment="0" applyProtection="0"/>
    <xf numFmtId="9" fontId="24" fillId="0" borderId="0" applyFont="0" applyFill="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43" fontId="24" fillId="0" borderId="0" applyFont="0" applyFill="0" applyBorder="0" applyAlignment="0" applyProtection="0"/>
    <xf numFmtId="9" fontId="24" fillId="0" borderId="0" applyFont="0" applyFill="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43" fontId="24" fillId="0" borderId="0" applyFont="0" applyFill="0" applyBorder="0" applyAlignment="0" applyProtection="0"/>
    <xf numFmtId="9" fontId="24" fillId="0" borderId="0" applyFont="0" applyFill="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43" fontId="24" fillId="0" borderId="0" applyFont="0" applyFill="0" applyBorder="0" applyAlignment="0" applyProtection="0"/>
    <xf numFmtId="9" fontId="24" fillId="0" borderId="0" applyFont="0" applyFill="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43" fontId="24" fillId="0" borderId="0" applyFont="0" applyFill="0" applyBorder="0" applyAlignment="0" applyProtection="0"/>
    <xf numFmtId="9" fontId="24" fillId="0" borderId="0" applyFont="0" applyFill="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43" fontId="24" fillId="0" borderId="0" applyFont="0" applyFill="0" applyBorder="0" applyAlignment="0" applyProtection="0"/>
    <xf numFmtId="9" fontId="24" fillId="0" borderId="0" applyFont="0" applyFill="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43" fontId="24" fillId="0" borderId="0" applyFont="0" applyFill="0" applyBorder="0" applyAlignment="0" applyProtection="0"/>
    <xf numFmtId="9" fontId="24" fillId="0" borderId="0" applyFont="0" applyFill="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43" fontId="24" fillId="0" borderId="0" applyFont="0" applyFill="0" applyBorder="0" applyAlignment="0" applyProtection="0"/>
    <xf numFmtId="9" fontId="24" fillId="0" borderId="0" applyFont="0" applyFill="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43" fontId="24" fillId="0" borderId="0" applyFont="0" applyFill="0" applyBorder="0" applyAlignment="0" applyProtection="0"/>
    <xf numFmtId="9" fontId="24" fillId="0" borderId="0" applyFont="0" applyFill="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43" fontId="24" fillId="0" borderId="0" applyFont="0" applyFill="0" applyBorder="0" applyAlignment="0" applyProtection="0"/>
    <xf numFmtId="9" fontId="24" fillId="0" borderId="0" applyFont="0" applyFill="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43" fontId="24" fillId="0" borderId="0" applyFont="0" applyFill="0" applyBorder="0" applyAlignment="0" applyProtection="0"/>
    <xf numFmtId="9" fontId="24" fillId="0" borderId="0" applyFont="0" applyFill="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43" fontId="24" fillId="0" borderId="0" applyFont="0" applyFill="0" applyBorder="0" applyAlignment="0" applyProtection="0"/>
    <xf numFmtId="9" fontId="24" fillId="0" borderId="0" applyFont="0" applyFill="0" applyBorder="0" applyAlignment="0" applyProtection="0"/>
    <xf numFmtId="43"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0" borderId="0"/>
    <xf numFmtId="43" fontId="24" fillId="0" borderId="0" applyFont="0" applyFill="0" applyBorder="0" applyAlignment="0" applyProtection="0"/>
    <xf numFmtId="9" fontId="24" fillId="0" borderId="0" applyFont="0" applyFill="0" applyBorder="0" applyAlignment="0" applyProtection="0"/>
    <xf numFmtId="0" fontId="24" fillId="0" borderId="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0" fontId="24" fillId="28" borderId="61" applyNumberFormat="0" applyFont="0" applyAlignment="0" applyProtection="0"/>
    <xf numFmtId="0" fontId="24"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0" borderId="0"/>
    <xf numFmtId="43" fontId="23" fillId="0" borderId="0" applyFont="0" applyFill="0" applyBorder="0" applyAlignment="0" applyProtection="0"/>
    <xf numFmtId="9" fontId="23" fillId="0" borderId="0" applyFont="0" applyFill="0" applyBorder="0" applyAlignment="0" applyProtection="0"/>
    <xf numFmtId="43"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43" fontId="23" fillId="0" borderId="0" applyFont="0" applyFill="0" applyBorder="0" applyAlignment="0" applyProtection="0"/>
    <xf numFmtId="9" fontId="23" fillId="0" borderId="0" applyFont="0" applyFill="0" applyBorder="0" applyAlignment="0" applyProtection="0"/>
    <xf numFmtId="43"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43" fontId="23" fillId="0" borderId="0" applyFont="0" applyFill="0" applyBorder="0" applyAlignment="0" applyProtection="0"/>
    <xf numFmtId="9" fontId="23" fillId="0" borderId="0" applyFont="0" applyFill="0" applyBorder="0" applyAlignment="0" applyProtection="0"/>
    <xf numFmtId="43"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43" fontId="23" fillId="0" borderId="0" applyFont="0" applyFill="0" applyBorder="0" applyAlignment="0" applyProtection="0"/>
    <xf numFmtId="9" fontId="23" fillId="0" borderId="0" applyFont="0" applyFill="0" applyBorder="0" applyAlignment="0" applyProtection="0"/>
    <xf numFmtId="43"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43" fontId="23" fillId="0" borderId="0" applyFont="0" applyFill="0" applyBorder="0" applyAlignment="0" applyProtection="0"/>
    <xf numFmtId="9" fontId="23" fillId="0" borderId="0" applyFont="0" applyFill="0" applyBorder="0" applyAlignment="0" applyProtection="0"/>
    <xf numFmtId="43"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43" fontId="23" fillId="0" borderId="0" applyFont="0" applyFill="0" applyBorder="0" applyAlignment="0" applyProtection="0"/>
    <xf numFmtId="9" fontId="23" fillId="0" borderId="0" applyFont="0" applyFill="0" applyBorder="0" applyAlignment="0" applyProtection="0"/>
    <xf numFmtId="43"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43" fontId="23" fillId="0" borderId="0" applyFont="0" applyFill="0" applyBorder="0" applyAlignment="0" applyProtection="0"/>
    <xf numFmtId="9" fontId="23" fillId="0" borderId="0" applyFont="0" applyFill="0" applyBorder="0" applyAlignment="0" applyProtection="0"/>
    <xf numFmtId="43"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43" fontId="23" fillId="0" borderId="0" applyFont="0" applyFill="0" applyBorder="0" applyAlignment="0" applyProtection="0"/>
    <xf numFmtId="9" fontId="23" fillId="0" borderId="0" applyFont="0" applyFill="0" applyBorder="0" applyAlignment="0" applyProtection="0"/>
    <xf numFmtId="43"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43" fontId="23" fillId="0" borderId="0" applyFont="0" applyFill="0" applyBorder="0" applyAlignment="0" applyProtection="0"/>
    <xf numFmtId="9" fontId="23" fillId="0" borderId="0" applyFont="0" applyFill="0" applyBorder="0" applyAlignment="0" applyProtection="0"/>
    <xf numFmtId="43"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43" fontId="23" fillId="0" borderId="0" applyFont="0" applyFill="0" applyBorder="0" applyAlignment="0" applyProtection="0"/>
    <xf numFmtId="9" fontId="23" fillId="0" borderId="0" applyFont="0" applyFill="0" applyBorder="0" applyAlignment="0" applyProtection="0"/>
    <xf numFmtId="43"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43" fontId="23" fillId="0" borderId="0" applyFont="0" applyFill="0" applyBorder="0" applyAlignment="0" applyProtection="0"/>
    <xf numFmtId="9" fontId="23" fillId="0" borderId="0" applyFont="0" applyFill="0" applyBorder="0" applyAlignment="0" applyProtection="0"/>
    <xf numFmtId="43"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43" fontId="23" fillId="0" borderId="0" applyFont="0" applyFill="0" applyBorder="0" applyAlignment="0" applyProtection="0"/>
    <xf numFmtId="9" fontId="23" fillId="0" borderId="0" applyFont="0" applyFill="0" applyBorder="0" applyAlignment="0" applyProtection="0"/>
    <xf numFmtId="43"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43" fontId="23" fillId="0" borderId="0" applyFont="0" applyFill="0" applyBorder="0" applyAlignment="0" applyProtection="0"/>
    <xf numFmtId="9" fontId="23" fillId="0" borderId="0" applyFont="0" applyFill="0" applyBorder="0" applyAlignment="0" applyProtection="0"/>
    <xf numFmtId="43"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43" fontId="23" fillId="0" borderId="0" applyFont="0" applyFill="0" applyBorder="0" applyAlignment="0" applyProtection="0"/>
    <xf numFmtId="9" fontId="23" fillId="0" borderId="0" applyFont="0" applyFill="0" applyBorder="0" applyAlignment="0" applyProtection="0"/>
    <xf numFmtId="43"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43" fontId="23" fillId="0" borderId="0" applyFont="0" applyFill="0" applyBorder="0" applyAlignment="0" applyProtection="0"/>
    <xf numFmtId="9" fontId="23" fillId="0" borderId="0" applyFont="0" applyFill="0" applyBorder="0" applyAlignment="0" applyProtection="0"/>
    <xf numFmtId="43"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43" fontId="23" fillId="0" borderId="0" applyFont="0" applyFill="0" applyBorder="0" applyAlignment="0" applyProtection="0"/>
    <xf numFmtId="9" fontId="23" fillId="0" borderId="0" applyFont="0" applyFill="0" applyBorder="0" applyAlignment="0" applyProtection="0"/>
    <xf numFmtId="43"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3" fontId="23" fillId="0" borderId="0" applyFont="0" applyFill="0" applyBorder="0" applyAlignment="0" applyProtection="0"/>
    <xf numFmtId="9" fontId="23" fillId="0" borderId="0" applyFont="0" applyFill="0" applyBorder="0" applyAlignment="0" applyProtection="0"/>
    <xf numFmtId="0" fontId="23" fillId="0" borderId="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0" fontId="23" fillId="28" borderId="61" applyNumberFormat="0" applyFont="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36"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48"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0" borderId="0"/>
    <xf numFmtId="43" fontId="22" fillId="0" borderId="0" applyFont="0" applyFill="0" applyBorder="0" applyAlignment="0" applyProtection="0"/>
    <xf numFmtId="9" fontId="22"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43" fontId="22" fillId="0" borderId="0" applyFont="0" applyFill="0" applyBorder="0" applyAlignment="0" applyProtection="0"/>
    <xf numFmtId="9" fontId="22"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43" fontId="22" fillId="0" borderId="0" applyFont="0" applyFill="0" applyBorder="0" applyAlignment="0" applyProtection="0"/>
    <xf numFmtId="9" fontId="22"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43" fontId="22" fillId="0" borderId="0" applyFont="0" applyFill="0" applyBorder="0" applyAlignment="0" applyProtection="0"/>
    <xf numFmtId="9" fontId="22"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43" fontId="22" fillId="0" borderId="0" applyFont="0" applyFill="0" applyBorder="0" applyAlignment="0" applyProtection="0"/>
    <xf numFmtId="9" fontId="22"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43" fontId="22" fillId="0" borderId="0" applyFont="0" applyFill="0" applyBorder="0" applyAlignment="0" applyProtection="0"/>
    <xf numFmtId="9" fontId="22"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43" fontId="22" fillId="0" borderId="0" applyFont="0" applyFill="0" applyBorder="0" applyAlignment="0" applyProtection="0"/>
    <xf numFmtId="9" fontId="22"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43" fontId="22" fillId="0" borderId="0" applyFont="0" applyFill="0" applyBorder="0" applyAlignment="0" applyProtection="0"/>
    <xf numFmtId="9" fontId="22"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43" fontId="22" fillId="0" borderId="0" applyFont="0" applyFill="0" applyBorder="0" applyAlignment="0" applyProtection="0"/>
    <xf numFmtId="9" fontId="22"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43" fontId="22" fillId="0" borderId="0" applyFont="0" applyFill="0" applyBorder="0" applyAlignment="0" applyProtection="0"/>
    <xf numFmtId="9" fontId="22"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43" fontId="22" fillId="0" borderId="0" applyFont="0" applyFill="0" applyBorder="0" applyAlignment="0" applyProtection="0"/>
    <xf numFmtId="9" fontId="22"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43" fontId="22" fillId="0" borderId="0" applyFont="0" applyFill="0" applyBorder="0" applyAlignment="0" applyProtection="0"/>
    <xf numFmtId="9" fontId="22"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43" fontId="22" fillId="0" borderId="0" applyFont="0" applyFill="0" applyBorder="0" applyAlignment="0" applyProtection="0"/>
    <xf numFmtId="9" fontId="22"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43" fontId="22" fillId="0" borderId="0" applyFont="0" applyFill="0" applyBorder="0" applyAlignment="0" applyProtection="0"/>
    <xf numFmtId="9" fontId="22"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43" fontId="22" fillId="0" borderId="0" applyFont="0" applyFill="0" applyBorder="0" applyAlignment="0" applyProtection="0"/>
    <xf numFmtId="9" fontId="22"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43" fontId="22" fillId="0" borderId="0" applyFont="0" applyFill="0" applyBorder="0" applyAlignment="0" applyProtection="0"/>
    <xf numFmtId="9" fontId="22"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22" fillId="0" borderId="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0" fontId="22" fillId="28" borderId="61" applyNumberFormat="0" applyFont="0" applyAlignment="0" applyProtection="0"/>
    <xf numFmtId="0" fontId="22"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6" borderId="0" applyNumberFormat="0" applyBorder="0" applyAlignment="0" applyProtection="0"/>
    <xf numFmtId="0" fontId="22" fillId="47" borderId="0" applyNumberFormat="0" applyBorder="0" applyAlignment="0" applyProtection="0"/>
    <xf numFmtId="0" fontId="22" fillId="48" borderId="0" applyNumberFormat="0" applyBorder="0" applyAlignment="0" applyProtection="0"/>
    <xf numFmtId="0" fontId="22" fillId="50" borderId="0" applyNumberFormat="0" applyBorder="0" applyAlignment="0" applyProtection="0"/>
    <xf numFmtId="0" fontId="22" fillId="51" borderId="0" applyNumberFormat="0" applyBorder="0" applyAlignment="0" applyProtection="0"/>
    <xf numFmtId="0" fontId="22" fillId="52" borderId="0" applyNumberFormat="0" applyBorder="0" applyAlignment="0" applyProtection="0"/>
    <xf numFmtId="0" fontId="22" fillId="0" borderId="0"/>
    <xf numFmtId="43" fontId="21" fillId="0" borderId="0" applyFont="0" applyFill="0" applyBorder="0" applyAlignment="0" applyProtection="0"/>
    <xf numFmtId="9" fontId="21" fillId="0" borderId="0" applyFont="0" applyFill="0" applyBorder="0" applyAlignment="0" applyProtection="0"/>
    <xf numFmtId="43"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43" fontId="21" fillId="0" borderId="0" applyFont="0" applyFill="0" applyBorder="0" applyAlignment="0" applyProtection="0"/>
    <xf numFmtId="9" fontId="21" fillId="0" borderId="0" applyFont="0" applyFill="0" applyBorder="0" applyAlignment="0" applyProtection="0"/>
    <xf numFmtId="43"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43" fontId="21" fillId="0" borderId="0" applyFont="0" applyFill="0" applyBorder="0" applyAlignment="0" applyProtection="0"/>
    <xf numFmtId="9" fontId="21" fillId="0" borderId="0" applyFont="0" applyFill="0" applyBorder="0" applyAlignment="0" applyProtection="0"/>
    <xf numFmtId="43"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43" fontId="21" fillId="0" borderId="0" applyFont="0" applyFill="0" applyBorder="0" applyAlignment="0" applyProtection="0"/>
    <xf numFmtId="9" fontId="21" fillId="0" borderId="0" applyFont="0" applyFill="0" applyBorder="0" applyAlignment="0" applyProtection="0"/>
    <xf numFmtId="43"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43" fontId="21" fillId="0" borderId="0" applyFont="0" applyFill="0" applyBorder="0" applyAlignment="0" applyProtection="0"/>
    <xf numFmtId="9" fontId="21" fillId="0" borderId="0" applyFont="0" applyFill="0" applyBorder="0" applyAlignment="0" applyProtection="0"/>
    <xf numFmtId="43"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43" fontId="21" fillId="0" borderId="0" applyFont="0" applyFill="0" applyBorder="0" applyAlignment="0" applyProtection="0"/>
    <xf numFmtId="9" fontId="21" fillId="0" borderId="0" applyFont="0" applyFill="0" applyBorder="0" applyAlignment="0" applyProtection="0"/>
    <xf numFmtId="43"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43" fontId="21" fillId="0" borderId="0" applyFont="0" applyFill="0" applyBorder="0" applyAlignment="0" applyProtection="0"/>
    <xf numFmtId="9" fontId="21" fillId="0" borderId="0" applyFont="0" applyFill="0" applyBorder="0" applyAlignment="0" applyProtection="0"/>
    <xf numFmtId="43"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43" fontId="21" fillId="0" borderId="0" applyFont="0" applyFill="0" applyBorder="0" applyAlignment="0" applyProtection="0"/>
    <xf numFmtId="9" fontId="21" fillId="0" borderId="0" applyFont="0" applyFill="0" applyBorder="0" applyAlignment="0" applyProtection="0"/>
    <xf numFmtId="43"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43" fontId="21" fillId="0" borderId="0" applyFont="0" applyFill="0" applyBorder="0" applyAlignment="0" applyProtection="0"/>
    <xf numFmtId="9" fontId="21" fillId="0" borderId="0" applyFont="0" applyFill="0" applyBorder="0" applyAlignment="0" applyProtection="0"/>
    <xf numFmtId="43"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43" fontId="21" fillId="0" borderId="0" applyFont="0" applyFill="0" applyBorder="0" applyAlignment="0" applyProtection="0"/>
    <xf numFmtId="9" fontId="21" fillId="0" borderId="0" applyFont="0" applyFill="0" applyBorder="0" applyAlignment="0" applyProtection="0"/>
    <xf numFmtId="43"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43" fontId="21" fillId="0" borderId="0" applyFont="0" applyFill="0" applyBorder="0" applyAlignment="0" applyProtection="0"/>
    <xf numFmtId="9" fontId="21" fillId="0" borderId="0" applyFont="0" applyFill="0" applyBorder="0" applyAlignment="0" applyProtection="0"/>
    <xf numFmtId="43"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43" fontId="21" fillId="0" borderId="0" applyFont="0" applyFill="0" applyBorder="0" applyAlignment="0" applyProtection="0"/>
    <xf numFmtId="9" fontId="21" fillId="0" borderId="0" applyFont="0" applyFill="0" applyBorder="0" applyAlignment="0" applyProtection="0"/>
    <xf numFmtId="43"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43" fontId="21" fillId="0" borderId="0" applyFont="0" applyFill="0" applyBorder="0" applyAlignment="0" applyProtection="0"/>
    <xf numFmtId="9" fontId="21" fillId="0" borderId="0" applyFont="0" applyFill="0" applyBorder="0" applyAlignment="0" applyProtection="0"/>
    <xf numFmtId="43"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43" fontId="21" fillId="0" borderId="0" applyFont="0" applyFill="0" applyBorder="0" applyAlignment="0" applyProtection="0"/>
    <xf numFmtId="9" fontId="21" fillId="0" borderId="0" applyFont="0" applyFill="0" applyBorder="0" applyAlignment="0" applyProtection="0"/>
    <xf numFmtId="43"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43" fontId="21" fillId="0" borderId="0" applyFont="0" applyFill="0" applyBorder="0" applyAlignment="0" applyProtection="0"/>
    <xf numFmtId="9" fontId="21" fillId="0" borderId="0" applyFont="0" applyFill="0" applyBorder="0" applyAlignment="0" applyProtection="0"/>
    <xf numFmtId="43"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43" fontId="21" fillId="0" borderId="0" applyFont="0" applyFill="0" applyBorder="0" applyAlignment="0" applyProtection="0"/>
    <xf numFmtId="9" fontId="21" fillId="0" borderId="0" applyFont="0" applyFill="0" applyBorder="0" applyAlignment="0" applyProtection="0"/>
    <xf numFmtId="43"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0" fontId="21" fillId="0" borderId="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0" fontId="21" fillId="28" borderId="61" applyNumberFormat="0" applyFont="0" applyAlignment="0" applyProtection="0"/>
    <xf numFmtId="0" fontId="21" fillId="30" borderId="0" applyNumberFormat="0" applyBorder="0" applyAlignment="0" applyProtection="0"/>
    <xf numFmtId="0" fontId="21" fillId="31" borderId="0" applyNumberFormat="0" applyBorder="0" applyAlignment="0" applyProtection="0"/>
    <xf numFmtId="0" fontId="21" fillId="32" borderId="0"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6"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0"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0" borderId="0"/>
    <xf numFmtId="43" fontId="20" fillId="0" borderId="0" applyFont="0" applyFill="0" applyBorder="0" applyAlignment="0" applyProtection="0"/>
    <xf numFmtId="9" fontId="20" fillId="0" borderId="0" applyFont="0" applyFill="0" applyBorder="0" applyAlignment="0" applyProtection="0"/>
    <xf numFmtId="43"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43" fontId="20" fillId="0" borderId="0" applyFont="0" applyFill="0" applyBorder="0" applyAlignment="0" applyProtection="0"/>
    <xf numFmtId="9" fontId="20" fillId="0" borderId="0" applyFont="0" applyFill="0" applyBorder="0" applyAlignment="0" applyProtection="0"/>
    <xf numFmtId="43"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43" fontId="20" fillId="0" borderId="0" applyFont="0" applyFill="0" applyBorder="0" applyAlignment="0" applyProtection="0"/>
    <xf numFmtId="9" fontId="20" fillId="0" borderId="0" applyFont="0" applyFill="0" applyBorder="0" applyAlignment="0" applyProtection="0"/>
    <xf numFmtId="43"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43" fontId="20" fillId="0" borderId="0" applyFont="0" applyFill="0" applyBorder="0" applyAlignment="0" applyProtection="0"/>
    <xf numFmtId="9" fontId="20" fillId="0" borderId="0" applyFont="0" applyFill="0" applyBorder="0" applyAlignment="0" applyProtection="0"/>
    <xf numFmtId="43"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43" fontId="20" fillId="0" borderId="0" applyFont="0" applyFill="0" applyBorder="0" applyAlignment="0" applyProtection="0"/>
    <xf numFmtId="9" fontId="20" fillId="0" borderId="0" applyFont="0" applyFill="0" applyBorder="0" applyAlignment="0" applyProtection="0"/>
    <xf numFmtId="43"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43" fontId="20" fillId="0" borderId="0" applyFont="0" applyFill="0" applyBorder="0" applyAlignment="0" applyProtection="0"/>
    <xf numFmtId="9" fontId="20" fillId="0" borderId="0" applyFont="0" applyFill="0" applyBorder="0" applyAlignment="0" applyProtection="0"/>
    <xf numFmtId="43"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43" fontId="20" fillId="0" borderId="0" applyFont="0" applyFill="0" applyBorder="0" applyAlignment="0" applyProtection="0"/>
    <xf numFmtId="9" fontId="20" fillId="0" borderId="0" applyFont="0" applyFill="0" applyBorder="0" applyAlignment="0" applyProtection="0"/>
    <xf numFmtId="43"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43" fontId="20" fillId="0" borderId="0" applyFont="0" applyFill="0" applyBorder="0" applyAlignment="0" applyProtection="0"/>
    <xf numFmtId="9" fontId="20" fillId="0" borderId="0" applyFont="0" applyFill="0" applyBorder="0" applyAlignment="0" applyProtection="0"/>
    <xf numFmtId="43"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43" fontId="20" fillId="0" borderId="0" applyFont="0" applyFill="0" applyBorder="0" applyAlignment="0" applyProtection="0"/>
    <xf numFmtId="9" fontId="20" fillId="0" borderId="0" applyFont="0" applyFill="0" applyBorder="0" applyAlignment="0" applyProtection="0"/>
    <xf numFmtId="43"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43" fontId="20" fillId="0" borderId="0" applyFont="0" applyFill="0" applyBorder="0" applyAlignment="0" applyProtection="0"/>
    <xf numFmtId="9" fontId="20" fillId="0" borderId="0" applyFont="0" applyFill="0" applyBorder="0" applyAlignment="0" applyProtection="0"/>
    <xf numFmtId="43"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43" fontId="20" fillId="0" borderId="0" applyFont="0" applyFill="0" applyBorder="0" applyAlignment="0" applyProtection="0"/>
    <xf numFmtId="9" fontId="20" fillId="0" borderId="0" applyFont="0" applyFill="0" applyBorder="0" applyAlignment="0" applyProtection="0"/>
    <xf numFmtId="43"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43" fontId="20" fillId="0" borderId="0" applyFont="0" applyFill="0" applyBorder="0" applyAlignment="0" applyProtection="0"/>
    <xf numFmtId="9" fontId="20" fillId="0" borderId="0" applyFont="0" applyFill="0" applyBorder="0" applyAlignment="0" applyProtection="0"/>
    <xf numFmtId="43"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43" fontId="20" fillId="0" borderId="0" applyFont="0" applyFill="0" applyBorder="0" applyAlignment="0" applyProtection="0"/>
    <xf numFmtId="9" fontId="20" fillId="0" borderId="0" applyFont="0" applyFill="0" applyBorder="0" applyAlignment="0" applyProtection="0"/>
    <xf numFmtId="43"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43" fontId="20" fillId="0" borderId="0" applyFont="0" applyFill="0" applyBorder="0" applyAlignment="0" applyProtection="0"/>
    <xf numFmtId="9" fontId="20" fillId="0" borderId="0" applyFont="0" applyFill="0" applyBorder="0" applyAlignment="0" applyProtection="0"/>
    <xf numFmtId="43"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43" fontId="20" fillId="0" borderId="0" applyFont="0" applyFill="0" applyBorder="0" applyAlignment="0" applyProtection="0"/>
    <xf numFmtId="9" fontId="20" fillId="0" borderId="0" applyFont="0" applyFill="0" applyBorder="0" applyAlignment="0" applyProtection="0"/>
    <xf numFmtId="43"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43" fontId="20" fillId="0" borderId="0" applyFont="0" applyFill="0" applyBorder="0" applyAlignment="0" applyProtection="0"/>
    <xf numFmtId="9" fontId="20" fillId="0" borderId="0" applyFont="0" applyFill="0" applyBorder="0" applyAlignment="0" applyProtection="0"/>
    <xf numFmtId="43"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9" fontId="20" fillId="0" borderId="0" applyFont="0" applyFill="0" applyBorder="0" applyAlignment="0" applyProtection="0"/>
    <xf numFmtId="0" fontId="20" fillId="0" borderId="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0" fontId="20" fillId="28" borderId="61" applyNumberFormat="0" applyFont="0" applyAlignment="0" applyProtection="0"/>
    <xf numFmtId="0" fontId="20"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2" borderId="0" applyNumberFormat="0" applyBorder="0" applyAlignment="0" applyProtection="0"/>
    <xf numFmtId="0" fontId="20" fillId="0" borderId="0"/>
    <xf numFmtId="43"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43"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43"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43"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43"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43"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43"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43"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43"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43"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43"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43"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43"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43"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43"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43"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9" fontId="19" fillId="0" borderId="0" applyFont="0" applyFill="0" applyBorder="0" applyAlignment="0" applyProtection="0"/>
    <xf numFmtId="0" fontId="19" fillId="0" borderId="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0" fontId="19" fillId="28" borderId="61" applyNumberFormat="0" applyFont="0" applyAlignment="0" applyProtection="0"/>
    <xf numFmtId="0" fontId="19"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6"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19" fillId="0" borderId="0"/>
    <xf numFmtId="43" fontId="18" fillId="0" borderId="0" applyFont="0" applyFill="0" applyBorder="0" applyAlignment="0" applyProtection="0"/>
    <xf numFmtId="9"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43" fontId="18" fillId="0" borderId="0" applyFont="0" applyFill="0" applyBorder="0" applyAlignment="0" applyProtection="0"/>
    <xf numFmtId="9"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43" fontId="18" fillId="0" borderId="0" applyFont="0" applyFill="0" applyBorder="0" applyAlignment="0" applyProtection="0"/>
    <xf numFmtId="9"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43" fontId="18" fillId="0" borderId="0" applyFont="0" applyFill="0" applyBorder="0" applyAlignment="0" applyProtection="0"/>
    <xf numFmtId="9"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43" fontId="18" fillId="0" borderId="0" applyFont="0" applyFill="0" applyBorder="0" applyAlignment="0" applyProtection="0"/>
    <xf numFmtId="9"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43" fontId="18" fillId="0" borderId="0" applyFont="0" applyFill="0" applyBorder="0" applyAlignment="0" applyProtection="0"/>
    <xf numFmtId="9"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43" fontId="18" fillId="0" borderId="0" applyFont="0" applyFill="0" applyBorder="0" applyAlignment="0" applyProtection="0"/>
    <xf numFmtId="9"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43" fontId="18" fillId="0" borderId="0" applyFont="0" applyFill="0" applyBorder="0" applyAlignment="0" applyProtection="0"/>
    <xf numFmtId="9"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43" fontId="18" fillId="0" borderId="0" applyFont="0" applyFill="0" applyBorder="0" applyAlignment="0" applyProtection="0"/>
    <xf numFmtId="9"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43" fontId="18" fillId="0" borderId="0" applyFont="0" applyFill="0" applyBorder="0" applyAlignment="0" applyProtection="0"/>
    <xf numFmtId="9"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43" fontId="18" fillId="0" borderId="0" applyFont="0" applyFill="0" applyBorder="0" applyAlignment="0" applyProtection="0"/>
    <xf numFmtId="9"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43" fontId="18" fillId="0" borderId="0" applyFont="0" applyFill="0" applyBorder="0" applyAlignment="0" applyProtection="0"/>
    <xf numFmtId="9"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43" fontId="18" fillId="0" borderId="0" applyFont="0" applyFill="0" applyBorder="0" applyAlignment="0" applyProtection="0"/>
    <xf numFmtId="9"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43" fontId="18" fillId="0" borderId="0" applyFont="0" applyFill="0" applyBorder="0" applyAlignment="0" applyProtection="0"/>
    <xf numFmtId="9"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43" fontId="18" fillId="0" borderId="0" applyFont="0" applyFill="0" applyBorder="0" applyAlignment="0" applyProtection="0"/>
    <xf numFmtId="9"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43" fontId="18" fillId="0" borderId="0" applyFont="0" applyFill="0" applyBorder="0" applyAlignment="0" applyProtection="0"/>
    <xf numFmtId="9"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8" fillId="0" borderId="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0" fontId="18" fillId="28" borderId="61" applyNumberFormat="0" applyFont="0" applyAlignment="0" applyProtection="0"/>
    <xf numFmtId="0" fontId="18" fillId="30"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8" fillId="36"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0"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4"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0" borderId="0"/>
    <xf numFmtId="43" fontId="17" fillId="0" borderId="0" applyFont="0" applyFill="0" applyBorder="0" applyAlignment="0" applyProtection="0"/>
    <xf numFmtId="9" fontId="17" fillId="0" borderId="0" applyFont="0" applyFill="0" applyBorder="0" applyAlignment="0" applyProtection="0"/>
    <xf numFmtId="43"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43" fontId="17" fillId="0" borderId="0" applyFont="0" applyFill="0" applyBorder="0" applyAlignment="0" applyProtection="0"/>
    <xf numFmtId="9" fontId="17" fillId="0" borderId="0" applyFont="0" applyFill="0" applyBorder="0" applyAlignment="0" applyProtection="0"/>
    <xf numFmtId="43"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43" fontId="17" fillId="0" borderId="0" applyFont="0" applyFill="0" applyBorder="0" applyAlignment="0" applyProtection="0"/>
    <xf numFmtId="9" fontId="17" fillId="0" borderId="0" applyFont="0" applyFill="0" applyBorder="0" applyAlignment="0" applyProtection="0"/>
    <xf numFmtId="43"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43" fontId="17" fillId="0" borderId="0" applyFont="0" applyFill="0" applyBorder="0" applyAlignment="0" applyProtection="0"/>
    <xf numFmtId="9" fontId="17" fillId="0" borderId="0" applyFont="0" applyFill="0" applyBorder="0" applyAlignment="0" applyProtection="0"/>
    <xf numFmtId="43"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43" fontId="17" fillId="0" borderId="0" applyFont="0" applyFill="0" applyBorder="0" applyAlignment="0" applyProtection="0"/>
    <xf numFmtId="9" fontId="17" fillId="0" borderId="0" applyFont="0" applyFill="0" applyBorder="0" applyAlignment="0" applyProtection="0"/>
    <xf numFmtId="43"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43" fontId="17" fillId="0" borderId="0" applyFont="0" applyFill="0" applyBorder="0" applyAlignment="0" applyProtection="0"/>
    <xf numFmtId="9" fontId="17" fillId="0" borderId="0" applyFont="0" applyFill="0" applyBorder="0" applyAlignment="0" applyProtection="0"/>
    <xf numFmtId="43"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43" fontId="17" fillId="0" borderId="0" applyFont="0" applyFill="0" applyBorder="0" applyAlignment="0" applyProtection="0"/>
    <xf numFmtId="9" fontId="17" fillId="0" borderId="0" applyFont="0" applyFill="0" applyBorder="0" applyAlignment="0" applyProtection="0"/>
    <xf numFmtId="43"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43" fontId="17" fillId="0" borderId="0" applyFont="0" applyFill="0" applyBorder="0" applyAlignment="0" applyProtection="0"/>
    <xf numFmtId="9" fontId="17" fillId="0" borderId="0" applyFont="0" applyFill="0" applyBorder="0" applyAlignment="0" applyProtection="0"/>
    <xf numFmtId="43"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43"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43" fontId="17" fillId="0" borderId="0" applyFont="0" applyFill="0" applyBorder="0" applyAlignment="0" applyProtection="0"/>
    <xf numFmtId="9" fontId="17" fillId="0" borderId="0" applyFont="0" applyFill="0" applyBorder="0" applyAlignment="0" applyProtection="0"/>
    <xf numFmtId="43"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43" fontId="17" fillId="0" borderId="0" applyFont="0" applyFill="0" applyBorder="0" applyAlignment="0" applyProtection="0"/>
    <xf numFmtId="9" fontId="17" fillId="0" borderId="0" applyFont="0" applyFill="0" applyBorder="0" applyAlignment="0" applyProtection="0"/>
    <xf numFmtId="43"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43" fontId="17" fillId="0" borderId="0" applyFont="0" applyFill="0" applyBorder="0" applyAlignment="0" applyProtection="0"/>
    <xf numFmtId="9" fontId="17" fillId="0" borderId="0" applyFont="0" applyFill="0" applyBorder="0" applyAlignment="0" applyProtection="0"/>
    <xf numFmtId="43"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43"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43" fontId="17" fillId="0" borderId="0" applyFont="0" applyFill="0" applyBorder="0" applyAlignment="0" applyProtection="0"/>
    <xf numFmtId="9" fontId="17" fillId="0" borderId="0" applyFont="0" applyFill="0" applyBorder="0" applyAlignment="0" applyProtection="0"/>
    <xf numFmtId="43"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43" fontId="17" fillId="0" borderId="0" applyFont="0" applyFill="0" applyBorder="0" applyAlignment="0" applyProtection="0"/>
    <xf numFmtId="9" fontId="17" fillId="0" borderId="0" applyFont="0" applyFill="0" applyBorder="0" applyAlignment="0" applyProtection="0"/>
    <xf numFmtId="43"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43" fontId="17" fillId="0" borderId="0" applyFont="0" applyFill="0" applyBorder="0" applyAlignment="0" applyProtection="0"/>
    <xf numFmtId="9" fontId="17" fillId="0" borderId="0" applyFont="0" applyFill="0" applyBorder="0" applyAlignment="0" applyProtection="0"/>
    <xf numFmtId="43"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0" fontId="17" fillId="28" borderId="61" applyNumberFormat="0" applyFont="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2" borderId="0" applyNumberFormat="0" applyBorder="0" applyAlignment="0" applyProtection="0"/>
    <xf numFmtId="0" fontId="17" fillId="0" borderId="0"/>
    <xf numFmtId="43" fontId="16"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43" fontId="16"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43" fontId="16"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43" fontId="16"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43" fontId="16"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43" fontId="16"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43" fontId="16"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43" fontId="16"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43" fontId="16"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43" fontId="16"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43" fontId="16"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43" fontId="16"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43" fontId="16"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43" fontId="16"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43" fontId="16"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43" fontId="16"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0" borderId="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0" fontId="16" fillId="28" borderId="61" applyNumberFormat="0" applyFont="0" applyAlignment="0" applyProtection="0"/>
    <xf numFmtId="0" fontId="16" fillId="30"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4"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2" borderId="0" applyNumberFormat="0" applyBorder="0" applyAlignment="0" applyProtection="0"/>
    <xf numFmtId="0" fontId="16" fillId="0" borderId="0"/>
    <xf numFmtId="43" fontId="15"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43" fontId="15"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43" fontId="15"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43" fontId="15"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43" fontId="15"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43" fontId="15"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43" fontId="15"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43" fontId="15"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43" fontId="15"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43" fontId="15"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43" fontId="15"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43" fontId="15"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43" fontId="15"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43" fontId="15"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9" fontId="15" fillId="0" borderId="0" applyFont="0" applyFill="0" applyBorder="0" applyAlignment="0" applyProtection="0"/>
    <xf numFmtId="0" fontId="15" fillId="0" borderId="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0" fontId="15" fillId="28" borderId="61" applyNumberFormat="0" applyFont="0" applyAlignment="0" applyProtection="0"/>
    <xf numFmtId="0" fontId="15" fillId="30" borderId="0" applyNumberFormat="0" applyBorder="0" applyAlignment="0" applyProtection="0"/>
    <xf numFmtId="0" fontId="15" fillId="31" borderId="0" applyNumberFormat="0" applyBorder="0" applyAlignment="0" applyProtection="0"/>
    <xf numFmtId="0" fontId="15" fillId="32"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15" fillId="36"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0"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4"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0" borderId="0"/>
    <xf numFmtId="43"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43"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43"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43"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43"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43"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43"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43"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43"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43"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43"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43"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43"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43"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43"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43"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9" fontId="14" fillId="0" borderId="0" applyFont="0" applyFill="0" applyBorder="0" applyAlignment="0" applyProtection="0"/>
    <xf numFmtId="0" fontId="14" fillId="0" borderId="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0" fontId="14" fillId="28" borderId="61" applyNumberFormat="0" applyFont="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0" borderId="0"/>
    <xf numFmtId="43" fontId="13" fillId="0" borderId="0" applyFont="0" applyFill="0" applyBorder="0" applyAlignment="0" applyProtection="0"/>
    <xf numFmtId="9"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43" fontId="13" fillId="0" borderId="0" applyFont="0" applyFill="0" applyBorder="0" applyAlignment="0" applyProtection="0"/>
    <xf numFmtId="9"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43" fontId="13" fillId="0" borderId="0" applyFont="0" applyFill="0" applyBorder="0" applyAlignment="0" applyProtection="0"/>
    <xf numFmtId="9"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43" fontId="13" fillId="0" borderId="0" applyFont="0" applyFill="0" applyBorder="0" applyAlignment="0" applyProtection="0"/>
    <xf numFmtId="9"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43" fontId="13" fillId="0" borderId="0" applyFont="0" applyFill="0" applyBorder="0" applyAlignment="0" applyProtection="0"/>
    <xf numFmtId="9"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43" fontId="13" fillId="0" borderId="0" applyFont="0" applyFill="0" applyBorder="0" applyAlignment="0" applyProtection="0"/>
    <xf numFmtId="9"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43" fontId="13" fillId="0" borderId="0" applyFont="0" applyFill="0" applyBorder="0" applyAlignment="0" applyProtection="0"/>
    <xf numFmtId="9"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43" fontId="13" fillId="0" borderId="0" applyFont="0" applyFill="0" applyBorder="0" applyAlignment="0" applyProtection="0"/>
    <xf numFmtId="9"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43" fontId="13" fillId="0" borderId="0" applyFont="0" applyFill="0" applyBorder="0" applyAlignment="0" applyProtection="0"/>
    <xf numFmtId="9"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43" fontId="13" fillId="0" borderId="0" applyFont="0" applyFill="0" applyBorder="0" applyAlignment="0" applyProtection="0"/>
    <xf numFmtId="9"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43" fontId="13" fillId="0" borderId="0" applyFont="0" applyFill="0" applyBorder="0" applyAlignment="0" applyProtection="0"/>
    <xf numFmtId="9"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43" fontId="13" fillId="0" borderId="0" applyFont="0" applyFill="0" applyBorder="0" applyAlignment="0" applyProtection="0"/>
    <xf numFmtId="9"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43" fontId="13" fillId="0" borderId="0" applyFont="0" applyFill="0" applyBorder="0" applyAlignment="0" applyProtection="0"/>
    <xf numFmtId="9"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43" fontId="13" fillId="0" borderId="0" applyFont="0" applyFill="0" applyBorder="0" applyAlignment="0" applyProtection="0"/>
    <xf numFmtId="9"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43" fontId="13" fillId="0" borderId="0" applyFont="0" applyFill="0" applyBorder="0" applyAlignment="0" applyProtection="0"/>
    <xf numFmtId="9"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43" fontId="13" fillId="0" borderId="0" applyFont="0" applyFill="0" applyBorder="0" applyAlignment="0" applyProtection="0"/>
    <xf numFmtId="9"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9" fontId="13" fillId="0" borderId="0" applyFont="0" applyFill="0" applyBorder="0" applyAlignment="0" applyProtection="0"/>
    <xf numFmtId="0" fontId="13" fillId="0" borderId="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3" fillId="28" borderId="61" applyNumberFormat="0" applyFont="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0"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4"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48"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2" borderId="0" applyNumberFormat="0" applyBorder="0" applyAlignment="0" applyProtection="0"/>
    <xf numFmtId="0" fontId="13"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389">
    <xf numFmtId="0" fontId="0" fillId="0" borderId="0" xfId="0"/>
    <xf numFmtId="0" fontId="0" fillId="0" borderId="1" xfId="0" applyBorder="1" applyAlignment="1">
      <alignment horizontal="center"/>
    </xf>
    <xf numFmtId="0" fontId="0" fillId="0" borderId="1" xfId="0" applyBorder="1"/>
    <xf numFmtId="10" fontId="0" fillId="0" borderId="0" xfId="0" applyNumberFormat="1"/>
    <xf numFmtId="0" fontId="0" fillId="0" borderId="0" xfId="0" applyAlignment="1">
      <alignment horizontal="center"/>
    </xf>
    <xf numFmtId="0" fontId="0" fillId="0" borderId="1" xfId="0" applyBorder="1" applyAlignment="1">
      <alignment horizontal="center" vertical="center"/>
    </xf>
    <xf numFmtId="2" fontId="0" fillId="0" borderId="0" xfId="0" applyNumberFormat="1" applyAlignment="1">
      <alignment horizontal="center"/>
    </xf>
    <xf numFmtId="165" fontId="0" fillId="0" borderId="0" xfId="0" applyNumberFormat="1" applyAlignment="1">
      <alignment horizontal="center"/>
    </xf>
    <xf numFmtId="166" fontId="0" fillId="0" borderId="0" xfId="2" applyNumberFormat="1" applyFont="1" applyFill="1" applyBorder="1" applyAlignment="1">
      <alignment horizontal="center"/>
    </xf>
    <xf numFmtId="166" fontId="0" fillId="0" borderId="0" xfId="0" applyNumberFormat="1" applyAlignment="1">
      <alignment horizontal="center"/>
    </xf>
    <xf numFmtId="0" fontId="0" fillId="0" borderId="0" xfId="0" applyAlignment="1">
      <alignment horizontal="center" vertical="center"/>
    </xf>
    <xf numFmtId="0" fontId="56" fillId="0" borderId="1" xfId="3" applyBorder="1"/>
    <xf numFmtId="10" fontId="0" fillId="0" borderId="1" xfId="2" applyNumberFormat="1" applyFont="1" applyBorder="1" applyAlignment="1">
      <alignment horizontal="center"/>
    </xf>
    <xf numFmtId="0" fontId="57" fillId="0" borderId="1" xfId="0" applyFont="1" applyBorder="1" applyAlignment="1">
      <alignment horizontal="center"/>
    </xf>
    <xf numFmtId="10" fontId="0" fillId="0" borderId="0" xfId="2" applyNumberFormat="1" applyFont="1" applyAlignment="1">
      <alignment horizontal="center"/>
    </xf>
    <xf numFmtId="0" fontId="58" fillId="3" borderId="4" xfId="0" applyFont="1" applyFill="1" applyBorder="1" applyAlignment="1">
      <alignment horizontal="left" vertical="center"/>
    </xf>
    <xf numFmtId="0" fontId="59" fillId="0" borderId="1" xfId="0" applyFont="1" applyBorder="1" applyAlignment="1">
      <alignment horizontal="left"/>
    </xf>
    <xf numFmtId="167" fontId="0" fillId="0" borderId="0" xfId="1" applyNumberFormat="1" applyFont="1"/>
    <xf numFmtId="0" fontId="57" fillId="0" borderId="0" xfId="0" applyFont="1"/>
    <xf numFmtId="0" fontId="56" fillId="0" borderId="0" xfId="3"/>
    <xf numFmtId="10" fontId="57" fillId="0" borderId="0" xfId="0" applyNumberFormat="1" applyFont="1"/>
    <xf numFmtId="15" fontId="0" fillId="0" borderId="0" xfId="0" applyNumberFormat="1"/>
    <xf numFmtId="168" fontId="0" fillId="0" borderId="0" xfId="1" applyNumberFormat="1" applyFont="1"/>
    <xf numFmtId="0" fontId="0" fillId="4" borderId="0" xfId="0" applyFill="1"/>
    <xf numFmtId="0" fontId="0" fillId="4" borderId="1" xfId="0" applyFill="1" applyBorder="1"/>
    <xf numFmtId="0" fontId="0" fillId="0" borderId="5" xfId="0" applyBorder="1"/>
    <xf numFmtId="0" fontId="59" fillId="5" borderId="1" xfId="0" applyFont="1" applyFill="1" applyBorder="1" applyAlignment="1">
      <alignment horizontal="left"/>
    </xf>
    <xf numFmtId="0" fontId="60" fillId="0" borderId="0" xfId="11" applyAlignment="1">
      <alignment horizontal="center" vertical="center"/>
    </xf>
    <xf numFmtId="0" fontId="60" fillId="0" borderId="0" xfId="11"/>
    <xf numFmtId="43" fontId="0" fillId="0" borderId="0" xfId="1" applyFont="1"/>
    <xf numFmtId="0" fontId="54" fillId="2" borderId="0" xfId="8" applyFont="1" applyFill="1" applyAlignment="1">
      <alignment horizontal="center" vertical="center" wrapText="1"/>
    </xf>
    <xf numFmtId="169" fontId="54" fillId="2" borderId="0" xfId="8" applyNumberFormat="1" applyFont="1" applyFill="1" applyAlignment="1">
      <alignment horizontal="center" vertical="center" wrapText="1"/>
    </xf>
    <xf numFmtId="15" fontId="0" fillId="0" borderId="0" xfId="0" applyNumberFormat="1" applyAlignment="1">
      <alignment horizontal="center" vertical="center"/>
    </xf>
    <xf numFmtId="0" fontId="0" fillId="0" borderId="0" xfId="0" applyAlignment="1">
      <alignment horizontal="left"/>
    </xf>
    <xf numFmtId="2" fontId="59" fillId="0" borderId="0" xfId="0" applyNumberFormat="1" applyFont="1" applyAlignment="1">
      <alignment horizontal="center"/>
    </xf>
    <xf numFmtId="20" fontId="0" fillId="0" borderId="0" xfId="0" applyNumberFormat="1" applyAlignment="1">
      <alignment horizontal="center"/>
    </xf>
    <xf numFmtId="43" fontId="54" fillId="2" borderId="0" xfId="1" applyFont="1" applyFill="1" applyAlignment="1">
      <alignment horizontal="center" vertical="center" wrapText="1"/>
    </xf>
    <xf numFmtId="0" fontId="54" fillId="2" borderId="5" xfId="0" applyFont="1" applyFill="1" applyBorder="1" applyAlignment="1">
      <alignment horizontal="center" vertical="center" wrapText="1"/>
    </xf>
    <xf numFmtId="0" fontId="59" fillId="0" borderId="0" xfId="0" applyFont="1" applyAlignment="1">
      <alignment horizontal="left"/>
    </xf>
    <xf numFmtId="43" fontId="0" fillId="0" borderId="0" xfId="1" applyFont="1" applyAlignment="1">
      <alignment horizontal="center"/>
    </xf>
    <xf numFmtId="10" fontId="0" fillId="0" borderId="0" xfId="2" applyNumberFormat="1" applyFont="1"/>
    <xf numFmtId="9" fontId="0" fillId="0" borderId="0" xfId="2" applyFont="1"/>
    <xf numFmtId="15" fontId="0" fillId="6" borderId="6" xfId="0" applyNumberFormat="1" applyFill="1" applyBorder="1" applyAlignment="1">
      <alignment horizontal="center" vertical="center"/>
    </xf>
    <xf numFmtId="1" fontId="0" fillId="0" borderId="0" xfId="0" applyNumberFormat="1" applyAlignment="1">
      <alignment horizontal="center" vertical="center"/>
    </xf>
    <xf numFmtId="0" fontId="54" fillId="2" borderId="8" xfId="9" applyFont="1" applyFill="1" applyBorder="1" applyAlignment="1">
      <alignment horizontal="center" vertical="center" wrapText="1"/>
    </xf>
    <xf numFmtId="0" fontId="0" fillId="0" borderId="0" xfId="0" applyAlignment="1">
      <alignment vertical="center"/>
    </xf>
    <xf numFmtId="0" fontId="0" fillId="0" borderId="0" xfId="0" applyAlignment="1">
      <alignment horizontal="left" vertical="center"/>
    </xf>
    <xf numFmtId="166" fontId="0" fillId="0" borderId="0" xfId="0" applyNumberFormat="1" applyAlignment="1">
      <alignment horizontal="center" vertical="center"/>
    </xf>
    <xf numFmtId="20" fontId="0" fillId="0" borderId="0" xfId="0" applyNumberFormat="1" applyAlignment="1">
      <alignment horizontal="center" vertical="center"/>
    </xf>
    <xf numFmtId="1" fontId="0" fillId="0" borderId="0" xfId="0" applyNumberFormat="1"/>
    <xf numFmtId="43" fontId="0" fillId="0" borderId="0" xfId="1" applyFont="1" applyFill="1" applyAlignment="1">
      <alignment horizontal="center"/>
    </xf>
    <xf numFmtId="43" fontId="0" fillId="0" borderId="0" xfId="1" applyFont="1" applyFill="1" applyBorder="1" applyAlignment="1">
      <alignment horizontal="center"/>
    </xf>
    <xf numFmtId="20" fontId="0" fillId="0" borderId="0" xfId="0" applyNumberFormat="1"/>
    <xf numFmtId="165" fontId="0" fillId="0" borderId="0" xfId="0" applyNumberFormat="1"/>
    <xf numFmtId="0" fontId="0" fillId="8" borderId="0" xfId="0" applyFill="1"/>
    <xf numFmtId="0" fontId="54" fillId="2" borderId="9" xfId="8" applyFont="1" applyFill="1" applyBorder="1" applyAlignment="1">
      <alignment horizontal="center" vertical="center" wrapText="1"/>
    </xf>
    <xf numFmtId="0" fontId="54" fillId="2" borderId="10" xfId="8" applyFont="1" applyFill="1" applyBorder="1" applyAlignment="1">
      <alignment horizontal="center" vertical="center" wrapText="1"/>
    </xf>
    <xf numFmtId="169" fontId="54" fillId="2" borderId="10" xfId="8" applyNumberFormat="1" applyFont="1" applyFill="1" applyBorder="1" applyAlignment="1">
      <alignment horizontal="center" vertical="center" wrapText="1"/>
    </xf>
    <xf numFmtId="10" fontId="54" fillId="2" borderId="10" xfId="13" applyNumberFormat="1" applyFont="1" applyFill="1" applyBorder="1" applyAlignment="1">
      <alignment horizontal="center" vertical="center" wrapText="1"/>
    </xf>
    <xf numFmtId="10" fontId="54" fillId="2" borderId="12" xfId="13" applyNumberFormat="1" applyFont="1" applyFill="1" applyBorder="1" applyAlignment="1">
      <alignment horizontal="center" vertical="center" wrapText="1"/>
    </xf>
    <xf numFmtId="0" fontId="62" fillId="2" borderId="0" xfId="0" applyFont="1" applyFill="1" applyAlignment="1">
      <alignment horizontal="center"/>
    </xf>
    <xf numFmtId="168" fontId="55" fillId="9" borderId="12" xfId="1" applyNumberFormat="1" applyFont="1" applyFill="1" applyBorder="1" applyAlignment="1">
      <alignment horizontal="center"/>
    </xf>
    <xf numFmtId="0" fontId="0" fillId="2" borderId="0" xfId="0" applyFill="1" applyAlignment="1">
      <alignment horizontal="center"/>
    </xf>
    <xf numFmtId="1" fontId="55" fillId="0" borderId="10" xfId="13" applyNumberFormat="1" applyFont="1" applyFill="1" applyBorder="1" applyAlignment="1">
      <alignment horizontal="center"/>
    </xf>
    <xf numFmtId="1" fontId="55" fillId="0" borderId="11" xfId="13" applyNumberFormat="1" applyFont="1" applyFill="1" applyBorder="1" applyAlignment="1">
      <alignment horizontal="center"/>
    </xf>
    <xf numFmtId="165" fontId="54" fillId="2" borderId="10" xfId="13" applyNumberFormat="1" applyFont="1" applyFill="1" applyBorder="1" applyAlignment="1">
      <alignment horizontal="center" vertical="center" wrapText="1"/>
    </xf>
    <xf numFmtId="43" fontId="54" fillId="2" borderId="10" xfId="1" applyFont="1" applyFill="1" applyBorder="1" applyAlignment="1">
      <alignment horizontal="center" vertical="center" wrapText="1"/>
    </xf>
    <xf numFmtId="10" fontId="54" fillId="2" borderId="10" xfId="0" applyNumberFormat="1" applyFont="1" applyFill="1" applyBorder="1" applyAlignment="1">
      <alignment horizontal="center" vertical="center" wrapText="1"/>
    </xf>
    <xf numFmtId="2" fontId="55" fillId="0" borderId="0" xfId="0" applyNumberFormat="1" applyFont="1" applyAlignment="1">
      <alignment horizontal="center"/>
    </xf>
    <xf numFmtId="0" fontId="54" fillId="2" borderId="10" xfId="0" applyFont="1" applyFill="1" applyBorder="1" applyAlignment="1">
      <alignment horizontal="center" vertical="center" wrapText="1"/>
    </xf>
    <xf numFmtId="43" fontId="55" fillId="0" borderId="0" xfId="1" applyFont="1" applyFill="1" applyAlignment="1">
      <alignment horizontal="center"/>
    </xf>
    <xf numFmtId="170" fontId="55" fillId="11" borderId="11" xfId="0" applyNumberFormat="1" applyFont="1" applyFill="1" applyBorder="1" applyAlignment="1">
      <alignment horizontal="center"/>
    </xf>
    <xf numFmtId="2" fontId="55" fillId="0" borderId="13" xfId="13" applyNumberFormat="1" applyFont="1" applyFill="1" applyBorder="1" applyAlignment="1">
      <alignment horizontal="center"/>
    </xf>
    <xf numFmtId="170" fontId="55" fillId="10" borderId="11" xfId="0" applyNumberFormat="1" applyFont="1" applyFill="1" applyBorder="1" applyAlignment="1">
      <alignment horizontal="center"/>
    </xf>
    <xf numFmtId="1" fontId="55" fillId="0" borderId="11" xfId="0" applyNumberFormat="1" applyFont="1" applyBorder="1" applyAlignment="1">
      <alignment horizontal="center"/>
    </xf>
    <xf numFmtId="0" fontId="63" fillId="0" borderId="0" xfId="0" applyFont="1" applyAlignment="1">
      <alignment vertical="center"/>
    </xf>
    <xf numFmtId="0" fontId="63" fillId="14" borderId="1" xfId="0" applyFont="1" applyFill="1" applyBorder="1" applyAlignment="1">
      <alignment vertical="center"/>
    </xf>
    <xf numFmtId="15" fontId="63" fillId="15" borderId="1" xfId="0" applyNumberFormat="1" applyFont="1" applyFill="1" applyBorder="1" applyAlignment="1">
      <alignment horizontal="center" vertical="center"/>
    </xf>
    <xf numFmtId="0" fontId="63" fillId="14" borderId="1" xfId="0" applyFont="1" applyFill="1" applyBorder="1" applyAlignment="1">
      <alignment horizontal="center" vertical="center"/>
    </xf>
    <xf numFmtId="0" fontId="63" fillId="0" borderId="1" xfId="0" applyFont="1" applyBorder="1" applyAlignment="1">
      <alignment horizontal="center" vertical="center"/>
    </xf>
    <xf numFmtId="43" fontId="63" fillId="0" borderId="1" xfId="0" applyNumberFormat="1" applyFont="1" applyBorder="1" applyAlignment="1">
      <alignment horizontal="center" vertical="center"/>
    </xf>
    <xf numFmtId="0" fontId="63" fillId="0" borderId="1" xfId="0" applyFont="1" applyBorder="1" applyAlignment="1">
      <alignment horizontal="left" vertical="center"/>
    </xf>
    <xf numFmtId="10" fontId="64" fillId="2" borderId="1" xfId="13" applyNumberFormat="1" applyFont="1" applyFill="1" applyBorder="1" applyAlignment="1">
      <alignment horizontal="center" vertical="center" wrapText="1"/>
    </xf>
    <xf numFmtId="10" fontId="63" fillId="0" borderId="1" xfId="2" applyNumberFormat="1" applyFont="1" applyFill="1" applyBorder="1" applyAlignment="1">
      <alignment horizontal="right" vertical="center"/>
    </xf>
    <xf numFmtId="0" fontId="63" fillId="5" borderId="1" xfId="0" applyFont="1" applyFill="1" applyBorder="1" applyAlignment="1">
      <alignment horizontal="left" vertical="center"/>
    </xf>
    <xf numFmtId="43" fontId="63" fillId="0" borderId="1" xfId="1" applyFont="1" applyFill="1" applyBorder="1" applyAlignment="1">
      <alignment horizontal="right" vertical="center"/>
    </xf>
    <xf numFmtId="9" fontId="63" fillId="0" borderId="1" xfId="2" applyFont="1" applyFill="1" applyBorder="1" applyAlignment="1">
      <alignment horizontal="right" vertical="center"/>
    </xf>
    <xf numFmtId="167" fontId="63" fillId="0" borderId="1" xfId="1" applyNumberFormat="1" applyFont="1" applyFill="1" applyBorder="1" applyAlignment="1">
      <alignment horizontal="right" vertical="center"/>
    </xf>
    <xf numFmtId="164" fontId="63" fillId="0" borderId="1" xfId="0" applyNumberFormat="1" applyFont="1" applyBorder="1" applyAlignment="1">
      <alignment horizontal="right" vertical="center"/>
    </xf>
    <xf numFmtId="10" fontId="63" fillId="0" borderId="1" xfId="2" applyNumberFormat="1" applyFont="1" applyBorder="1" applyAlignment="1">
      <alignment vertical="center"/>
    </xf>
    <xf numFmtId="0" fontId="63" fillId="0" borderId="1" xfId="0" applyFont="1" applyBorder="1" applyAlignment="1">
      <alignment vertical="center"/>
    </xf>
    <xf numFmtId="0" fontId="63" fillId="0" borderId="0" xfId="0" applyFont="1" applyAlignment="1">
      <alignment horizontal="left" vertical="center"/>
    </xf>
    <xf numFmtId="0" fontId="63" fillId="16" borderId="1" xfId="0" applyFont="1" applyFill="1" applyBorder="1" applyAlignment="1">
      <alignment vertical="center"/>
    </xf>
    <xf numFmtId="0" fontId="65" fillId="17" borderId="1" xfId="0" applyFont="1" applyFill="1" applyBorder="1" applyAlignment="1">
      <alignment vertical="center"/>
    </xf>
    <xf numFmtId="43" fontId="63" fillId="0" borderId="1" xfId="1" applyFont="1" applyBorder="1" applyAlignment="1">
      <alignment vertical="center"/>
    </xf>
    <xf numFmtId="10" fontId="63" fillId="0" borderId="0" xfId="0" applyNumberFormat="1" applyFont="1" applyAlignment="1">
      <alignment vertical="center"/>
    </xf>
    <xf numFmtId="43" fontId="63" fillId="0" borderId="0" xfId="0" applyNumberFormat="1" applyFont="1" applyAlignment="1">
      <alignment vertical="center"/>
    </xf>
    <xf numFmtId="2" fontId="63" fillId="0" borderId="0" xfId="0" applyNumberFormat="1" applyFont="1" applyAlignment="1">
      <alignment vertical="center"/>
    </xf>
    <xf numFmtId="0" fontId="0" fillId="14" borderId="0" xfId="0" applyFill="1" applyAlignment="1">
      <alignment vertical="center"/>
    </xf>
    <xf numFmtId="15" fontId="0" fillId="15" borderId="0" xfId="0" applyNumberFormat="1" applyFill="1" applyAlignment="1">
      <alignment horizontal="center" vertical="center"/>
    </xf>
    <xf numFmtId="0" fontId="62" fillId="0" borderId="0" xfId="0" applyFont="1"/>
    <xf numFmtId="0" fontId="66" fillId="18" borderId="3" xfId="0" applyFont="1" applyFill="1" applyBorder="1" applyAlignment="1">
      <alignment vertical="center"/>
    </xf>
    <xf numFmtId="0" fontId="66" fillId="18" borderId="21" xfId="0" applyFont="1" applyFill="1" applyBorder="1" applyAlignment="1">
      <alignment vertical="center"/>
    </xf>
    <xf numFmtId="0" fontId="67" fillId="19" borderId="1" xfId="0" applyFont="1" applyFill="1" applyBorder="1" applyAlignment="1">
      <alignment vertical="center"/>
    </xf>
    <xf numFmtId="0" fontId="67" fillId="19" borderId="1" xfId="0" applyFont="1" applyFill="1" applyBorder="1" applyAlignment="1">
      <alignment horizontal="center" vertical="center" wrapText="1"/>
    </xf>
    <xf numFmtId="17" fontId="62" fillId="19" borderId="1" xfId="0" applyNumberFormat="1" applyFont="1" applyFill="1" applyBorder="1" applyAlignment="1">
      <alignment horizontal="center" vertical="center"/>
    </xf>
    <xf numFmtId="1" fontId="0" fillId="3" borderId="1" xfId="0" applyNumberFormat="1" applyFill="1" applyBorder="1" applyAlignment="1">
      <alignment horizontal="center" vertical="center"/>
    </xf>
    <xf numFmtId="2" fontId="0" fillId="3" borderId="1" xfId="0" applyNumberFormat="1" applyFill="1" applyBorder="1" applyAlignment="1">
      <alignment horizontal="center" vertical="center"/>
    </xf>
    <xf numFmtId="2" fontId="0" fillId="7" borderId="1" xfId="0" applyNumberFormat="1" applyFill="1" applyBorder="1" applyAlignment="1">
      <alignment horizontal="center" vertical="center"/>
    </xf>
    <xf numFmtId="1" fontId="0" fillId="7" borderId="1" xfId="0" applyNumberFormat="1" applyFill="1" applyBorder="1" applyAlignment="1">
      <alignment horizontal="center" vertical="center"/>
    </xf>
    <xf numFmtId="166" fontId="0" fillId="3" borderId="1" xfId="2" applyNumberFormat="1" applyFont="1" applyFill="1" applyBorder="1" applyAlignment="1">
      <alignment horizontal="center" vertical="center"/>
    </xf>
    <xf numFmtId="166" fontId="0" fillId="7" borderId="1" xfId="2" applyNumberFormat="1" applyFont="1" applyFill="1" applyBorder="1" applyAlignment="1">
      <alignment horizontal="center" vertical="center"/>
    </xf>
    <xf numFmtId="1" fontId="0" fillId="7" borderId="1" xfId="2" applyNumberFormat="1" applyFont="1" applyFill="1" applyBorder="1" applyAlignment="1">
      <alignment horizontal="center" vertical="center"/>
    </xf>
    <xf numFmtId="10" fontId="0" fillId="7" borderId="1" xfId="2" applyNumberFormat="1" applyFont="1" applyFill="1" applyBorder="1" applyAlignment="1">
      <alignment horizontal="center" vertical="center"/>
    </xf>
    <xf numFmtId="0" fontId="67" fillId="19" borderId="5" xfId="0" applyFont="1" applyFill="1" applyBorder="1" applyAlignment="1">
      <alignment horizontal="center" vertical="center" wrapText="1"/>
    </xf>
    <xf numFmtId="10" fontId="0" fillId="0" borderId="0" xfId="2" applyNumberFormat="1" applyFont="1" applyAlignment="1">
      <alignment vertical="center"/>
    </xf>
    <xf numFmtId="0" fontId="67" fillId="19" borderId="1" xfId="0" applyFont="1" applyFill="1" applyBorder="1" applyAlignment="1">
      <alignment horizontal="center" vertical="center"/>
    </xf>
    <xf numFmtId="0" fontId="76" fillId="0" borderId="0" xfId="5" applyAlignment="1">
      <alignment vertical="center"/>
    </xf>
    <xf numFmtId="0" fontId="76" fillId="0" borderId="0" xfId="5" applyAlignment="1">
      <alignment horizontal="center"/>
    </xf>
    <xf numFmtId="0" fontId="76" fillId="0" borderId="0" xfId="5"/>
    <xf numFmtId="0" fontId="76" fillId="0" borderId="0" xfId="5" applyAlignment="1">
      <alignment horizontal="right"/>
    </xf>
    <xf numFmtId="0" fontId="69" fillId="20" borderId="25" xfId="0" applyFont="1" applyFill="1" applyBorder="1"/>
    <xf numFmtId="171" fontId="70" fillId="9" borderId="26" xfId="6" applyNumberFormat="1" applyFont="1" applyFill="1" applyBorder="1" applyAlignment="1">
      <alignment horizontal="left" vertical="center"/>
    </xf>
    <xf numFmtId="171" fontId="70" fillId="9" borderId="26" xfId="6" applyNumberFormat="1" applyFont="1" applyFill="1" applyBorder="1" applyAlignment="1">
      <alignment vertical="center"/>
    </xf>
    <xf numFmtId="171" fontId="70" fillId="9" borderId="27" xfId="6" applyNumberFormat="1" applyFont="1" applyFill="1" applyBorder="1" applyAlignment="1">
      <alignment vertical="center"/>
    </xf>
    <xf numFmtId="169" fontId="70" fillId="9" borderId="26" xfId="6" applyNumberFormat="1" applyFont="1" applyFill="1" applyBorder="1" applyAlignment="1">
      <alignment horizontal="left" vertical="center"/>
    </xf>
    <xf numFmtId="0" fontId="71" fillId="0" borderId="0" xfId="6" applyFont="1" applyAlignment="1">
      <alignment horizontal="center" vertical="center"/>
    </xf>
    <xf numFmtId="0" fontId="69" fillId="20" borderId="28" xfId="0" applyFont="1" applyFill="1" applyBorder="1"/>
    <xf numFmtId="169" fontId="70" fillId="9" borderId="29" xfId="6" applyNumberFormat="1" applyFont="1" applyFill="1" applyBorder="1" applyAlignment="1">
      <alignment horizontal="left" vertical="center"/>
    </xf>
    <xf numFmtId="171" fontId="70" fillId="9" borderId="30" xfId="6" applyNumberFormat="1" applyFont="1" applyFill="1" applyBorder="1" applyAlignment="1">
      <alignment vertical="center"/>
    </xf>
    <xf numFmtId="171" fontId="70" fillId="9" borderId="31" xfId="6" applyNumberFormat="1" applyFont="1" applyFill="1" applyBorder="1" applyAlignment="1">
      <alignment vertical="center"/>
    </xf>
    <xf numFmtId="0" fontId="72" fillId="9" borderId="32" xfId="0" applyFont="1" applyFill="1" applyBorder="1"/>
    <xf numFmtId="169" fontId="73" fillId="9" borderId="32" xfId="6" applyNumberFormat="1" applyFont="1" applyFill="1" applyBorder="1" applyAlignment="1">
      <alignment horizontal="left" vertical="center"/>
    </xf>
    <xf numFmtId="0" fontId="69" fillId="20" borderId="33" xfId="0" applyFont="1" applyFill="1" applyBorder="1" applyAlignment="1">
      <alignment horizontal="center" vertical="center" wrapText="1"/>
    </xf>
    <xf numFmtId="0" fontId="69" fillId="20" borderId="34" xfId="0" applyFont="1" applyFill="1" applyBorder="1" applyAlignment="1">
      <alignment horizontal="center" vertical="center" wrapText="1"/>
    </xf>
    <xf numFmtId="0" fontId="69" fillId="20" borderId="35" xfId="0" applyFont="1" applyFill="1" applyBorder="1" applyAlignment="1">
      <alignment horizontal="center" vertical="center" wrapText="1"/>
    </xf>
    <xf numFmtId="0" fontId="72" fillId="9" borderId="37" xfId="0" applyFont="1" applyFill="1" applyBorder="1"/>
    <xf numFmtId="1" fontId="72" fillId="9" borderId="37" xfId="2" applyNumberFormat="1" applyFont="1" applyFill="1" applyBorder="1" applyAlignment="1">
      <alignment horizontal="center"/>
    </xf>
    <xf numFmtId="1" fontId="72" fillId="9" borderId="38" xfId="0" applyNumberFormat="1" applyFont="1" applyFill="1" applyBorder="1"/>
    <xf numFmtId="0" fontId="72" fillId="9" borderId="40" xfId="0" applyFont="1" applyFill="1" applyBorder="1"/>
    <xf numFmtId="1" fontId="70" fillId="9" borderId="40" xfId="2" applyNumberFormat="1" applyFont="1" applyFill="1" applyBorder="1" applyAlignment="1">
      <alignment horizontal="center" vertical="center"/>
    </xf>
    <xf numFmtId="1" fontId="72" fillId="9" borderId="40" xfId="2" applyNumberFormat="1" applyFont="1" applyFill="1" applyBorder="1" applyAlignment="1">
      <alignment horizontal="center"/>
    </xf>
    <xf numFmtId="0" fontId="72" fillId="9" borderId="41" xfId="0" applyFont="1" applyFill="1" applyBorder="1"/>
    <xf numFmtId="0" fontId="72" fillId="9" borderId="43" xfId="0" applyFont="1" applyFill="1" applyBorder="1"/>
    <xf numFmtId="1" fontId="70" fillId="9" borderId="43" xfId="2" applyNumberFormat="1" applyFont="1" applyFill="1" applyBorder="1" applyAlignment="1">
      <alignment horizontal="center" vertical="center"/>
    </xf>
    <xf numFmtId="1" fontId="72" fillId="9" borderId="43" xfId="2" applyNumberFormat="1" applyFont="1" applyFill="1" applyBorder="1" applyAlignment="1">
      <alignment horizontal="center"/>
    </xf>
    <xf numFmtId="0" fontId="72" fillId="9" borderId="44" xfId="0" applyFont="1" applyFill="1" applyBorder="1"/>
    <xf numFmtId="165" fontId="72" fillId="9" borderId="37" xfId="2" applyNumberFormat="1" applyFont="1" applyFill="1" applyBorder="1" applyAlignment="1">
      <alignment horizontal="center"/>
    </xf>
    <xf numFmtId="165" fontId="72" fillId="9" borderId="40" xfId="2" applyNumberFormat="1" applyFont="1" applyFill="1" applyBorder="1" applyAlignment="1">
      <alignment horizontal="center"/>
    </xf>
    <xf numFmtId="165" fontId="72" fillId="9" borderId="43" xfId="2" applyNumberFormat="1" applyFont="1" applyFill="1" applyBorder="1" applyAlignment="1">
      <alignment horizontal="center"/>
    </xf>
    <xf numFmtId="166" fontId="70" fillId="9" borderId="37" xfId="2" applyNumberFormat="1" applyFont="1" applyFill="1" applyBorder="1" applyAlignment="1">
      <alignment horizontal="center" vertical="center"/>
    </xf>
    <xf numFmtId="166" fontId="72" fillId="9" borderId="37" xfId="2" applyNumberFormat="1" applyFont="1" applyFill="1" applyBorder="1" applyAlignment="1">
      <alignment horizontal="center"/>
    </xf>
    <xf numFmtId="166" fontId="70" fillId="9" borderId="40" xfId="2" applyNumberFormat="1" applyFont="1" applyFill="1" applyBorder="1" applyAlignment="1">
      <alignment horizontal="center" vertical="center"/>
    </xf>
    <xf numFmtId="166" fontId="72" fillId="9" borderId="40" xfId="2" applyNumberFormat="1" applyFont="1" applyFill="1" applyBorder="1" applyAlignment="1">
      <alignment horizontal="center"/>
    </xf>
    <xf numFmtId="166" fontId="70" fillId="9" borderId="43" xfId="2" applyNumberFormat="1" applyFont="1" applyFill="1" applyBorder="1" applyAlignment="1">
      <alignment horizontal="center" vertical="center"/>
    </xf>
    <xf numFmtId="166" fontId="72" fillId="9" borderId="43" xfId="2" applyNumberFormat="1" applyFont="1" applyFill="1" applyBorder="1" applyAlignment="1">
      <alignment horizontal="center"/>
    </xf>
    <xf numFmtId="10" fontId="72" fillId="9" borderId="37" xfId="2" applyNumberFormat="1" applyFont="1" applyFill="1" applyBorder="1" applyAlignment="1">
      <alignment horizontal="center"/>
    </xf>
    <xf numFmtId="0" fontId="69" fillId="20" borderId="46" xfId="0" applyFont="1" applyFill="1" applyBorder="1" applyAlignment="1">
      <alignment horizontal="center" vertical="center" wrapText="1"/>
    </xf>
    <xf numFmtId="0" fontId="72" fillId="9" borderId="40" xfId="0" applyFont="1" applyFill="1" applyBorder="1" applyAlignment="1">
      <alignment horizontal="center"/>
    </xf>
    <xf numFmtId="166" fontId="70" fillId="9" borderId="40" xfId="2" applyNumberFormat="1" applyFont="1" applyFill="1" applyBorder="1" applyAlignment="1">
      <alignment horizontal="left" vertical="center"/>
    </xf>
    <xf numFmtId="1" fontId="72" fillId="9" borderId="40" xfId="1" applyNumberFormat="1" applyFont="1" applyFill="1" applyBorder="1" applyAlignment="1">
      <alignment horizontal="center"/>
    </xf>
    <xf numFmtId="0" fontId="76" fillId="0" borderId="2" xfId="5" applyBorder="1"/>
    <xf numFmtId="43" fontId="0" fillId="0" borderId="1" xfId="1" applyFont="1" applyBorder="1"/>
    <xf numFmtId="0" fontId="76" fillId="0" borderId="1" xfId="5" applyBorder="1"/>
    <xf numFmtId="43" fontId="72" fillId="9" borderId="51" xfId="1" applyFont="1" applyFill="1" applyBorder="1" applyAlignment="1">
      <alignment horizontal="center"/>
    </xf>
    <xf numFmtId="43" fontId="72" fillId="9" borderId="52" xfId="1" applyFont="1" applyFill="1" applyBorder="1" applyAlignment="1">
      <alignment horizontal="center"/>
    </xf>
    <xf numFmtId="43" fontId="72" fillId="9" borderId="53" xfId="1" applyFont="1" applyFill="1" applyBorder="1" applyAlignment="1">
      <alignment horizontal="center"/>
    </xf>
    <xf numFmtId="2" fontId="63" fillId="0" borderId="0" xfId="2" applyNumberFormat="1" applyFont="1" applyAlignment="1">
      <alignment vertical="center"/>
    </xf>
    <xf numFmtId="20" fontId="80" fillId="0" borderId="0" xfId="0" applyNumberFormat="1" applyFont="1" applyAlignment="1">
      <alignment horizontal="center"/>
    </xf>
    <xf numFmtId="170" fontId="55" fillId="11" borderId="17" xfId="0" applyNumberFormat="1" applyFont="1" applyFill="1" applyBorder="1" applyAlignment="1">
      <alignment horizontal="center"/>
    </xf>
    <xf numFmtId="10" fontId="72" fillId="9" borderId="40" xfId="2" applyNumberFormat="1" applyFont="1" applyFill="1" applyBorder="1" applyAlignment="1">
      <alignment horizontal="center"/>
    </xf>
    <xf numFmtId="1" fontId="70" fillId="9" borderId="37" xfId="2" applyNumberFormat="1" applyFont="1" applyFill="1" applyBorder="1" applyAlignment="1">
      <alignment horizontal="center" vertical="center"/>
    </xf>
    <xf numFmtId="170" fontId="55" fillId="13" borderId="17" xfId="0" applyNumberFormat="1" applyFont="1" applyFill="1" applyBorder="1" applyAlignment="1">
      <alignment horizontal="center"/>
    </xf>
    <xf numFmtId="0" fontId="96" fillId="9" borderId="17" xfId="0" applyFont="1" applyFill="1" applyBorder="1" applyAlignment="1">
      <alignment horizontal="center"/>
    </xf>
    <xf numFmtId="171" fontId="96" fillId="9" borderId="17" xfId="0" applyNumberFormat="1" applyFont="1" applyFill="1" applyBorder="1" applyAlignment="1">
      <alignment horizontal="center"/>
    </xf>
    <xf numFmtId="172" fontId="97" fillId="13" borderId="17" xfId="0" applyNumberFormat="1" applyFont="1" applyFill="1" applyBorder="1" applyAlignment="1">
      <alignment horizontal="center" vertical="center"/>
    </xf>
    <xf numFmtId="173" fontId="97" fillId="13" borderId="17" xfId="0" applyNumberFormat="1" applyFont="1" applyFill="1" applyBorder="1" applyAlignment="1">
      <alignment horizontal="center" vertical="center"/>
    </xf>
    <xf numFmtId="1" fontId="98" fillId="8" borderId="17" xfId="0" applyNumberFormat="1" applyFont="1" applyFill="1" applyBorder="1" applyAlignment="1">
      <alignment horizontal="center"/>
    </xf>
    <xf numFmtId="167" fontId="98" fillId="9" borderId="18" xfId="0" applyNumberFormat="1" applyFont="1" applyFill="1" applyBorder="1" applyAlignment="1">
      <alignment horizontal="center"/>
    </xf>
    <xf numFmtId="167" fontId="98" fillId="9" borderId="14" xfId="0" applyNumberFormat="1" applyFont="1" applyFill="1" applyBorder="1" applyAlignment="1">
      <alignment horizontal="center"/>
    </xf>
    <xf numFmtId="167" fontId="98" fillId="9" borderId="15" xfId="0" applyNumberFormat="1" applyFont="1" applyFill="1" applyBorder="1" applyAlignment="1">
      <alignment horizontal="center"/>
    </xf>
    <xf numFmtId="168" fontId="98" fillId="9" borderId="18" xfId="0" applyNumberFormat="1" applyFont="1" applyFill="1" applyBorder="1" applyAlignment="1">
      <alignment horizontal="center"/>
    </xf>
    <xf numFmtId="168" fontId="98" fillId="9" borderId="15" xfId="0" applyNumberFormat="1" applyFont="1" applyFill="1" applyBorder="1" applyAlignment="1">
      <alignment horizontal="center"/>
    </xf>
    <xf numFmtId="168" fontId="98" fillId="9" borderId="0" xfId="0" applyNumberFormat="1" applyFont="1" applyFill="1" applyAlignment="1">
      <alignment horizontal="center"/>
    </xf>
    <xf numFmtId="165" fontId="98" fillId="9" borderId="16" xfId="0" applyNumberFormat="1" applyFont="1" applyFill="1" applyBorder="1" applyAlignment="1">
      <alignment horizontal="center"/>
    </xf>
    <xf numFmtId="165" fontId="98" fillId="11" borderId="16" xfId="0" applyNumberFormat="1" applyFont="1" applyFill="1" applyBorder="1" applyAlignment="1">
      <alignment horizontal="center"/>
    </xf>
    <xf numFmtId="1" fontId="98" fillId="0" borderId="17" xfId="0" applyNumberFormat="1" applyFont="1" applyBorder="1" applyAlignment="1">
      <alignment horizontal="center"/>
    </xf>
    <xf numFmtId="10" fontId="98" fillId="0" borderId="17" xfId="0" applyNumberFormat="1" applyFont="1" applyBorder="1" applyAlignment="1">
      <alignment horizontal="center"/>
    </xf>
    <xf numFmtId="165" fontId="98" fillId="0" borderId="17" xfId="0" applyNumberFormat="1" applyFont="1" applyBorder="1" applyAlignment="1">
      <alignment horizontal="center"/>
    </xf>
    <xf numFmtId="43" fontId="98" fillId="0" borderId="0" xfId="1" applyFont="1" applyFill="1" applyAlignment="1">
      <alignment horizontal="center"/>
    </xf>
    <xf numFmtId="10" fontId="98" fillId="0" borderId="0" xfId="0" applyNumberFormat="1" applyFont="1" applyAlignment="1">
      <alignment horizontal="center"/>
    </xf>
    <xf numFmtId="0" fontId="96" fillId="9" borderId="13" xfId="0" applyFont="1" applyFill="1" applyBorder="1" applyAlignment="1">
      <alignment horizontal="center"/>
    </xf>
    <xf numFmtId="171" fontId="96" fillId="9" borderId="13" xfId="0" applyNumberFormat="1" applyFont="1" applyFill="1" applyBorder="1" applyAlignment="1">
      <alignment horizontal="center"/>
    </xf>
    <xf numFmtId="172" fontId="97" fillId="13" borderId="13" xfId="0" applyNumberFormat="1" applyFont="1" applyFill="1" applyBorder="1" applyAlignment="1">
      <alignment horizontal="center" vertical="center"/>
    </xf>
    <xf numFmtId="173" fontId="97" fillId="13" borderId="13" xfId="0" applyNumberFormat="1" applyFont="1" applyFill="1" applyBorder="1" applyAlignment="1">
      <alignment horizontal="center" vertical="center"/>
    </xf>
    <xf numFmtId="1" fontId="98" fillId="8" borderId="13" xfId="0" applyNumberFormat="1" applyFont="1" applyFill="1" applyBorder="1" applyAlignment="1">
      <alignment horizontal="center"/>
    </xf>
    <xf numFmtId="167" fontId="98" fillId="9" borderId="19" xfId="0" applyNumberFormat="1" applyFont="1" applyFill="1" applyBorder="1" applyAlignment="1">
      <alignment horizontal="center"/>
    </xf>
    <xf numFmtId="165" fontId="98" fillId="9" borderId="20" xfId="0" applyNumberFormat="1" applyFont="1" applyFill="1" applyBorder="1" applyAlignment="1">
      <alignment horizontal="center"/>
    </xf>
    <xf numFmtId="165" fontId="98" fillId="11" borderId="20" xfId="0" applyNumberFormat="1" applyFont="1" applyFill="1" applyBorder="1" applyAlignment="1">
      <alignment horizontal="center"/>
    </xf>
    <xf numFmtId="1" fontId="98" fillId="0" borderId="13" xfId="0" applyNumberFormat="1" applyFont="1" applyBorder="1" applyAlignment="1">
      <alignment horizontal="center"/>
    </xf>
    <xf numFmtId="10" fontId="98" fillId="0" borderId="13" xfId="0" applyNumberFormat="1" applyFont="1" applyBorder="1" applyAlignment="1">
      <alignment horizontal="center"/>
    </xf>
    <xf numFmtId="165" fontId="98" fillId="0" borderId="13" xfId="0" applyNumberFormat="1" applyFont="1" applyBorder="1" applyAlignment="1">
      <alignment horizontal="center"/>
    </xf>
    <xf numFmtId="10" fontId="72" fillId="9" borderId="43" xfId="2" applyNumberFormat="1" applyFont="1" applyFill="1" applyBorder="1" applyAlignment="1">
      <alignment horizontal="center"/>
    </xf>
    <xf numFmtId="173" fontId="77" fillId="13" borderId="17" xfId="0" applyNumberFormat="1" applyFont="1" applyFill="1" applyBorder="1" applyAlignment="1">
      <alignment horizontal="center" vertical="center"/>
    </xf>
    <xf numFmtId="173" fontId="61" fillId="13" borderId="17" xfId="0" applyNumberFormat="1" applyFont="1" applyFill="1" applyBorder="1" applyAlignment="1">
      <alignment horizontal="center" vertical="center"/>
    </xf>
    <xf numFmtId="9" fontId="0" fillId="0" borderId="0" xfId="0" applyNumberFormat="1" applyAlignment="1">
      <alignment horizontal="center"/>
    </xf>
    <xf numFmtId="173" fontId="100" fillId="13" borderId="17" xfId="0" applyNumberFormat="1" applyFont="1" applyFill="1" applyBorder="1" applyAlignment="1">
      <alignment horizontal="center" vertical="center"/>
    </xf>
    <xf numFmtId="10" fontId="0" fillId="0" borderId="0" xfId="0" applyNumberFormat="1" applyAlignment="1">
      <alignment horizontal="center" vertical="center"/>
    </xf>
    <xf numFmtId="0" fontId="0" fillId="21" borderId="0" xfId="0" applyFill="1"/>
    <xf numFmtId="1" fontId="101" fillId="0" borderId="17" xfId="0" applyNumberFormat="1" applyFont="1" applyBorder="1" applyAlignment="1">
      <alignment horizontal="center"/>
    </xf>
    <xf numFmtId="0" fontId="55" fillId="9" borderId="17" xfId="0" applyFont="1" applyFill="1" applyBorder="1" applyAlignment="1">
      <alignment horizontal="center"/>
    </xf>
    <xf numFmtId="171" fontId="55" fillId="9" borderId="17" xfId="0" applyNumberFormat="1" applyFont="1" applyFill="1" applyBorder="1" applyAlignment="1">
      <alignment horizontal="center"/>
    </xf>
    <xf numFmtId="172" fontId="100" fillId="13" borderId="17" xfId="0" applyNumberFormat="1" applyFont="1" applyFill="1" applyBorder="1" applyAlignment="1">
      <alignment horizontal="center" vertical="center"/>
    </xf>
    <xf numFmtId="1" fontId="101" fillId="8" borderId="17" xfId="0" applyNumberFormat="1" applyFont="1" applyFill="1" applyBorder="1" applyAlignment="1">
      <alignment horizontal="center"/>
    </xf>
    <xf numFmtId="167" fontId="101" fillId="9" borderId="18" xfId="0" applyNumberFormat="1" applyFont="1" applyFill="1" applyBorder="1" applyAlignment="1">
      <alignment horizontal="center"/>
    </xf>
    <xf numFmtId="167" fontId="101" fillId="9" borderId="10" xfId="0" applyNumberFormat="1" applyFont="1" applyFill="1" applyBorder="1" applyAlignment="1">
      <alignment horizontal="center"/>
    </xf>
    <xf numFmtId="167" fontId="101" fillId="9" borderId="14" xfId="0" applyNumberFormat="1" applyFont="1" applyFill="1" applyBorder="1" applyAlignment="1">
      <alignment horizontal="center"/>
    </xf>
    <xf numFmtId="168" fontId="101" fillId="9" borderId="18" xfId="0" applyNumberFormat="1" applyFont="1" applyFill="1" applyBorder="1" applyAlignment="1">
      <alignment horizontal="center"/>
    </xf>
    <xf numFmtId="168" fontId="101" fillId="9" borderId="10" xfId="0" applyNumberFormat="1" applyFont="1" applyFill="1" applyBorder="1" applyAlignment="1">
      <alignment horizontal="center"/>
    </xf>
    <xf numFmtId="168" fontId="101" fillId="9" borderId="15" xfId="0" applyNumberFormat="1" applyFont="1" applyFill="1" applyBorder="1" applyAlignment="1">
      <alignment horizontal="center"/>
    </xf>
    <xf numFmtId="168" fontId="101" fillId="9" borderId="9" xfId="0" applyNumberFormat="1" applyFont="1" applyFill="1" applyBorder="1" applyAlignment="1">
      <alignment horizontal="center"/>
    </xf>
    <xf numFmtId="168" fontId="101" fillId="9" borderId="0" xfId="0" applyNumberFormat="1" applyFont="1" applyFill="1" applyAlignment="1">
      <alignment horizontal="center"/>
    </xf>
    <xf numFmtId="168" fontId="101" fillId="9" borderId="64" xfId="0" applyNumberFormat="1" applyFont="1" applyFill="1" applyBorder="1" applyAlignment="1">
      <alignment horizontal="center"/>
    </xf>
    <xf numFmtId="165" fontId="101" fillId="9" borderId="16" xfId="0" applyNumberFormat="1" applyFont="1" applyFill="1" applyBorder="1" applyAlignment="1">
      <alignment horizontal="center"/>
    </xf>
    <xf numFmtId="165" fontId="101" fillId="11" borderId="16" xfId="0" applyNumberFormat="1" applyFont="1" applyFill="1" applyBorder="1" applyAlignment="1">
      <alignment horizontal="center"/>
    </xf>
    <xf numFmtId="10" fontId="101" fillId="13" borderId="17" xfId="0" applyNumberFormat="1" applyFont="1" applyFill="1" applyBorder="1" applyAlignment="1">
      <alignment horizontal="center"/>
    </xf>
    <xf numFmtId="2" fontId="101" fillId="0" borderId="17" xfId="13" applyNumberFormat="1" applyFont="1" applyFill="1" applyBorder="1" applyAlignment="1">
      <alignment horizontal="center"/>
    </xf>
    <xf numFmtId="1" fontId="101" fillId="0" borderId="17" xfId="13" applyNumberFormat="1" applyFont="1" applyFill="1" applyBorder="1" applyAlignment="1">
      <alignment horizontal="center"/>
    </xf>
    <xf numFmtId="10" fontId="101" fillId="0" borderId="17" xfId="0" applyNumberFormat="1" applyFont="1" applyBorder="1" applyAlignment="1">
      <alignment horizontal="center"/>
    </xf>
    <xf numFmtId="165" fontId="101" fillId="0" borderId="17" xfId="0" applyNumberFormat="1" applyFont="1" applyBorder="1" applyAlignment="1">
      <alignment horizontal="center"/>
    </xf>
    <xf numFmtId="43" fontId="101" fillId="0" borderId="0" xfId="1" applyFont="1" applyFill="1" applyAlignment="1">
      <alignment horizontal="center"/>
    </xf>
    <xf numFmtId="10" fontId="101" fillId="0" borderId="0" xfId="0" applyNumberFormat="1" applyFont="1" applyAlignment="1">
      <alignment horizontal="center"/>
    </xf>
    <xf numFmtId="2" fontId="101" fillId="0" borderId="0" xfId="0" applyNumberFormat="1" applyFont="1" applyAlignment="1">
      <alignment horizontal="center"/>
    </xf>
    <xf numFmtId="0" fontId="101" fillId="0" borderId="0" xfId="0" applyFont="1" applyAlignment="1">
      <alignment horizontal="center"/>
    </xf>
    <xf numFmtId="0" fontId="38" fillId="0" borderId="0" xfId="0" applyFont="1" applyAlignment="1">
      <alignment horizontal="center"/>
    </xf>
    <xf numFmtId="0" fontId="0" fillId="0" borderId="0" xfId="0" applyAlignment="1">
      <alignment horizontal="left" vertical="top"/>
    </xf>
    <xf numFmtId="2" fontId="0" fillId="0" borderId="0" xfId="0" applyNumberFormat="1" applyAlignment="1">
      <alignment horizontal="center" vertical="center"/>
    </xf>
    <xf numFmtId="0" fontId="95" fillId="0" borderId="0" xfId="0" applyFont="1" applyAlignment="1">
      <alignment horizontal="center"/>
    </xf>
    <xf numFmtId="10" fontId="54" fillId="2" borderId="0" xfId="0" applyNumberFormat="1" applyFont="1" applyFill="1" applyAlignment="1">
      <alignment horizontal="center" vertical="center" wrapText="1"/>
    </xf>
    <xf numFmtId="0" fontId="11" fillId="0" borderId="0" xfId="5" applyFont="1"/>
    <xf numFmtId="0" fontId="54" fillId="2" borderId="69" xfId="63994" applyFont="1" applyFill="1" applyBorder="1" applyAlignment="1">
      <alignment horizontal="center" vertical="center" wrapText="1"/>
    </xf>
    <xf numFmtId="2" fontId="0" fillId="0" borderId="0" xfId="63993" applyNumberFormat="1" applyFont="1" applyFill="1" applyAlignment="1">
      <alignment horizontal="center" vertical="center"/>
    </xf>
    <xf numFmtId="165" fontId="0" fillId="0" borderId="0" xfId="63993" applyNumberFormat="1" applyFont="1" applyFill="1" applyBorder="1" applyAlignment="1">
      <alignment horizontal="center" vertical="center"/>
    </xf>
    <xf numFmtId="2" fontId="0" fillId="0" borderId="0" xfId="63993" applyNumberFormat="1" applyFont="1" applyFill="1" applyBorder="1" applyAlignment="1">
      <alignment horizontal="center" vertical="center"/>
    </xf>
    <xf numFmtId="10" fontId="102" fillId="2" borderId="70" xfId="0" applyNumberFormat="1" applyFont="1" applyFill="1" applyBorder="1" applyAlignment="1">
      <alignment horizontal="center" vertical="center" wrapText="1"/>
    </xf>
    <xf numFmtId="1" fontId="0" fillId="6" borderId="65" xfId="0" applyNumberFormat="1" applyFill="1" applyBorder="1" applyAlignment="1">
      <alignment horizontal="center" vertical="center"/>
    </xf>
    <xf numFmtId="0" fontId="0" fillId="6" borderId="65" xfId="0" applyFill="1" applyBorder="1" applyAlignment="1">
      <alignment horizontal="center" vertical="center"/>
    </xf>
    <xf numFmtId="17" fontId="0" fillId="6" borderId="65" xfId="0" applyNumberFormat="1" applyFill="1" applyBorder="1" applyAlignment="1">
      <alignment horizontal="center" vertical="center"/>
    </xf>
    <xf numFmtId="1" fontId="0" fillId="53" borderId="65" xfId="0" applyNumberFormat="1" applyFill="1" applyBorder="1" applyAlignment="1">
      <alignment horizontal="center" vertical="center"/>
    </xf>
    <xf numFmtId="0" fontId="0" fillId="53" borderId="65" xfId="0" applyFill="1" applyBorder="1" applyAlignment="1">
      <alignment horizontal="center" vertical="center"/>
    </xf>
    <xf numFmtId="17" fontId="0" fillId="53" borderId="65" xfId="0" applyNumberFormat="1" applyFill="1" applyBorder="1" applyAlignment="1">
      <alignment horizontal="center" vertical="center"/>
    </xf>
    <xf numFmtId="15" fontId="0" fillId="53" borderId="6" xfId="0" applyNumberFormat="1" applyFill="1" applyBorder="1" applyAlignment="1">
      <alignment horizontal="center" vertical="center"/>
    </xf>
    <xf numFmtId="169" fontId="54" fillId="2" borderId="71" xfId="63994" applyNumberFormat="1" applyFont="1" applyFill="1" applyBorder="1" applyAlignment="1">
      <alignment horizontal="center" vertical="center" wrapText="1"/>
    </xf>
    <xf numFmtId="10" fontId="63" fillId="0" borderId="0" xfId="2" applyNumberFormat="1" applyFont="1" applyBorder="1" applyAlignment="1">
      <alignment vertical="center"/>
    </xf>
    <xf numFmtId="10" fontId="0" fillId="3" borderId="1" xfId="2" applyNumberFormat="1" applyFont="1" applyFill="1" applyBorder="1" applyAlignment="1">
      <alignment horizontal="center" vertical="center"/>
    </xf>
    <xf numFmtId="0" fontId="67" fillId="0" borderId="66" xfId="0" applyFont="1" applyBorder="1" applyAlignment="1">
      <alignment horizontal="center" vertical="center" wrapText="1"/>
    </xf>
    <xf numFmtId="0" fontId="0" fillId="0" borderId="67" xfId="0" applyBorder="1" applyAlignment="1">
      <alignment horizontal="center" vertical="center"/>
    </xf>
    <xf numFmtId="17" fontId="0" fillId="0" borderId="67" xfId="63992" applyNumberFormat="1" applyFont="1" applyFill="1" applyBorder="1" applyAlignment="1">
      <alignment horizontal="center" vertical="center"/>
    </xf>
    <xf numFmtId="0" fontId="0" fillId="0" borderId="68" xfId="0" applyBorder="1" applyAlignment="1">
      <alignment horizontal="center" vertical="center"/>
    </xf>
    <xf numFmtId="0" fontId="0" fillId="0" borderId="67" xfId="63992" applyNumberFormat="1" applyFont="1" applyFill="1" applyBorder="1" applyAlignment="1">
      <alignment horizontal="center" vertical="center"/>
    </xf>
    <xf numFmtId="2" fontId="0" fillId="0" borderId="67" xfId="0" applyNumberFormat="1" applyBorder="1" applyAlignment="1">
      <alignment horizontal="center" vertical="center"/>
    </xf>
    <xf numFmtId="165" fontId="0" fillId="0" borderId="67" xfId="0" applyNumberFormat="1" applyBorder="1" applyAlignment="1">
      <alignment horizontal="center" vertical="center"/>
    </xf>
    <xf numFmtId="1" fontId="0" fillId="0" borderId="67" xfId="0" applyNumberFormat="1" applyBorder="1" applyAlignment="1">
      <alignment horizontal="center" vertical="center"/>
    </xf>
    <xf numFmtId="10" fontId="0" fillId="0" borderId="67" xfId="63993" applyNumberFormat="1" applyFont="1" applyFill="1" applyBorder="1" applyAlignment="1">
      <alignment horizontal="center" vertical="center"/>
    </xf>
    <xf numFmtId="17" fontId="0" fillId="0" borderId="68" xfId="63992" applyNumberFormat="1" applyFont="1" applyFill="1" applyBorder="1" applyAlignment="1">
      <alignment horizontal="center" vertical="center"/>
    </xf>
    <xf numFmtId="0" fontId="0" fillId="0" borderId="68" xfId="63992" applyNumberFormat="1" applyFont="1" applyFill="1" applyBorder="1" applyAlignment="1">
      <alignment horizontal="center" vertical="center"/>
    </xf>
    <xf numFmtId="2" fontId="0" fillId="0" borderId="68" xfId="0" applyNumberFormat="1" applyBorder="1" applyAlignment="1">
      <alignment horizontal="center" vertical="center"/>
    </xf>
    <xf numFmtId="165" fontId="0" fillId="0" borderId="68" xfId="0" applyNumberFormat="1" applyBorder="1" applyAlignment="1">
      <alignment horizontal="center" vertical="center"/>
    </xf>
    <xf numFmtId="1" fontId="0" fillId="0" borderId="68" xfId="0" applyNumberFormat="1" applyBorder="1" applyAlignment="1">
      <alignment horizontal="center" vertical="center"/>
    </xf>
    <xf numFmtId="10" fontId="0" fillId="0" borderId="68" xfId="63993" applyNumberFormat="1" applyFont="1" applyFill="1" applyBorder="1" applyAlignment="1">
      <alignment horizontal="center" vertical="center"/>
    </xf>
    <xf numFmtId="20" fontId="104" fillId="0" borderId="0" xfId="0" applyNumberFormat="1" applyFont="1" applyAlignment="1">
      <alignment horizontal="center"/>
    </xf>
    <xf numFmtId="173" fontId="105" fillId="13" borderId="17" xfId="0" applyNumberFormat="1" applyFont="1" applyFill="1" applyBorder="1" applyAlignment="1">
      <alignment horizontal="center" vertical="center"/>
    </xf>
    <xf numFmtId="170" fontId="106" fillId="13" borderId="17" xfId="0" applyNumberFormat="1" applyFont="1" applyFill="1" applyBorder="1" applyAlignment="1">
      <alignment horizontal="center"/>
    </xf>
    <xf numFmtId="167" fontId="63" fillId="0" borderId="0" xfId="0" applyNumberFormat="1" applyFont="1" applyAlignment="1">
      <alignment vertical="center"/>
    </xf>
    <xf numFmtId="164" fontId="63" fillId="0" borderId="0" xfId="0" applyNumberFormat="1" applyFont="1" applyAlignment="1">
      <alignment vertical="center"/>
    </xf>
    <xf numFmtId="2" fontId="106" fillId="13" borderId="17" xfId="0" applyNumberFormat="1" applyFont="1" applyFill="1" applyBorder="1" applyAlignment="1">
      <alignment horizontal="center"/>
    </xf>
    <xf numFmtId="166" fontId="10" fillId="6" borderId="7" xfId="0" applyNumberFormat="1" applyFont="1" applyFill="1" applyBorder="1" applyAlignment="1">
      <alignment horizontal="center"/>
    </xf>
    <xf numFmtId="0" fontId="44" fillId="0" borderId="0" xfId="871" applyAlignment="1">
      <alignment horizontal="center" vertical="center"/>
    </xf>
    <xf numFmtId="10" fontId="72" fillId="9" borderId="37" xfId="18" applyNumberFormat="1" applyFont="1" applyFill="1" applyBorder="1" applyAlignment="1">
      <alignment horizontal="center"/>
    </xf>
    <xf numFmtId="10" fontId="72" fillId="9" borderId="40" xfId="18" applyNumberFormat="1" applyFont="1" applyFill="1" applyBorder="1" applyAlignment="1">
      <alignment horizontal="center"/>
    </xf>
    <xf numFmtId="10" fontId="72" fillId="9" borderId="43" xfId="18" applyNumberFormat="1" applyFont="1" applyFill="1" applyBorder="1" applyAlignment="1">
      <alignment horizontal="center"/>
    </xf>
    <xf numFmtId="1" fontId="0" fillId="6" borderId="6" xfId="0" applyNumberFormat="1" applyFill="1" applyBorder="1" applyAlignment="1">
      <alignment horizontal="left" vertical="center"/>
    </xf>
    <xf numFmtId="0" fontId="108" fillId="0" borderId="72" xfId="0" pivotButton="1" applyFont="1" applyBorder="1" applyAlignment="1">
      <alignment vertical="center"/>
    </xf>
    <xf numFmtId="0" fontId="108" fillId="0" borderId="63" xfId="0" applyFont="1" applyBorder="1" applyAlignment="1">
      <alignment horizontal="left" vertical="center"/>
    </xf>
    <xf numFmtId="0" fontId="108" fillId="0" borderId="74" xfId="0" applyFont="1" applyBorder="1" applyAlignment="1">
      <alignment vertical="center"/>
    </xf>
    <xf numFmtId="0" fontId="108" fillId="0" borderId="75" xfId="0" applyFont="1" applyBorder="1" applyAlignment="1">
      <alignment vertical="center"/>
    </xf>
    <xf numFmtId="0" fontId="108" fillId="0" borderId="72" xfId="0" applyFont="1" applyBorder="1" applyAlignment="1">
      <alignment vertical="center"/>
    </xf>
    <xf numFmtId="0" fontId="108" fillId="0" borderId="73" xfId="0" applyFont="1" applyBorder="1" applyAlignment="1">
      <alignment vertical="center"/>
    </xf>
    <xf numFmtId="0" fontId="108" fillId="0" borderId="63" xfId="0" applyFont="1" applyBorder="1" applyAlignment="1">
      <alignment vertical="center"/>
    </xf>
    <xf numFmtId="0" fontId="108" fillId="0" borderId="3" xfId="0" applyFont="1" applyBorder="1" applyAlignment="1">
      <alignment vertical="center"/>
    </xf>
    <xf numFmtId="0" fontId="108" fillId="0" borderId="1" xfId="0" applyFont="1" applyBorder="1" applyAlignment="1">
      <alignment horizontal="left" vertical="center"/>
    </xf>
    <xf numFmtId="0" fontId="108" fillId="0" borderId="4" xfId="0" applyFont="1" applyBorder="1" applyAlignment="1">
      <alignment horizontal="left" vertical="center"/>
    </xf>
    <xf numFmtId="0" fontId="108" fillId="0" borderId="2" xfId="0" applyFont="1" applyBorder="1" applyAlignment="1">
      <alignment horizontal="left" vertical="center"/>
    </xf>
    <xf numFmtId="0" fontId="108" fillId="0" borderId="5" xfId="0" applyFont="1" applyBorder="1" applyAlignment="1">
      <alignment horizontal="left" vertical="center"/>
    </xf>
    <xf numFmtId="0" fontId="108" fillId="0" borderId="76" xfId="0" applyFont="1" applyBorder="1" applyAlignment="1">
      <alignment vertical="center"/>
    </xf>
    <xf numFmtId="0" fontId="108" fillId="0" borderId="77" xfId="0" applyFont="1" applyBorder="1" applyAlignment="1">
      <alignment vertical="center"/>
    </xf>
    <xf numFmtId="173" fontId="109" fillId="13" borderId="17" xfId="0" applyNumberFormat="1" applyFont="1" applyFill="1" applyBorder="1" applyAlignment="1">
      <alignment horizontal="center" vertical="center"/>
    </xf>
    <xf numFmtId="0" fontId="9" fillId="0" borderId="0" xfId="0" applyFont="1"/>
    <xf numFmtId="20" fontId="9" fillId="0" borderId="0" xfId="0" applyNumberFormat="1" applyFont="1" applyAlignment="1">
      <alignment horizontal="center"/>
    </xf>
    <xf numFmtId="2" fontId="9" fillId="0" borderId="0" xfId="0" applyNumberFormat="1" applyFont="1" applyAlignment="1">
      <alignment horizontal="center"/>
    </xf>
    <xf numFmtId="166" fontId="9" fillId="0" borderId="0" xfId="0" applyNumberFormat="1" applyFont="1" applyAlignment="1">
      <alignment horizontal="center"/>
    </xf>
    <xf numFmtId="2" fontId="9" fillId="0" borderId="0" xfId="0" applyNumberFormat="1" applyFont="1" applyAlignment="1">
      <alignment horizontal="right"/>
    </xf>
    <xf numFmtId="2" fontId="0" fillId="0" borderId="0" xfId="0" applyNumberFormat="1" applyAlignment="1">
      <alignment horizontal="right"/>
    </xf>
    <xf numFmtId="0" fontId="8" fillId="0" borderId="0" xfId="0" applyFont="1"/>
    <xf numFmtId="0" fontId="7" fillId="0" borderId="0" xfId="0" applyFont="1"/>
    <xf numFmtId="169" fontId="54" fillId="0" borderId="69" xfId="63994" applyNumberFormat="1" applyFont="1" applyBorder="1" applyAlignment="1">
      <alignment horizontal="center" vertical="center" wrapText="1"/>
    </xf>
    <xf numFmtId="0" fontId="54" fillId="0" borderId="69" xfId="63994" applyFont="1" applyBorder="1" applyAlignment="1">
      <alignment horizontal="center" vertical="center" wrapText="1"/>
    </xf>
    <xf numFmtId="0" fontId="67" fillId="0" borderId="69" xfId="0" applyFont="1" applyBorder="1" applyAlignment="1">
      <alignment horizontal="center" vertical="center" wrapText="1"/>
    </xf>
    <xf numFmtId="9" fontId="67" fillId="0" borderId="69" xfId="2" applyFont="1" applyFill="1" applyBorder="1" applyAlignment="1">
      <alignment horizontal="center" vertical="center" wrapText="1"/>
    </xf>
    <xf numFmtId="17" fontId="0" fillId="0" borderId="0" xfId="0" applyNumberFormat="1" applyAlignment="1">
      <alignment horizontal="center" vertical="center"/>
    </xf>
    <xf numFmtId="10" fontId="80" fillId="0" borderId="0" xfId="63993" applyNumberFormat="1" applyFont="1" applyFill="1" applyAlignment="1">
      <alignment horizontal="center" vertical="center"/>
    </xf>
    <xf numFmtId="166" fontId="0" fillId="0" borderId="0" xfId="63993" applyNumberFormat="1" applyFont="1" applyFill="1" applyAlignment="1">
      <alignment horizontal="center" vertical="center"/>
    </xf>
    <xf numFmtId="10" fontId="0" fillId="0" borderId="0" xfId="63993" applyNumberFormat="1" applyFont="1" applyFill="1" applyAlignment="1">
      <alignment horizontal="center" vertical="center"/>
    </xf>
    <xf numFmtId="165" fontId="0" fillId="0" borderId="0" xfId="0" applyNumberFormat="1" applyAlignment="1">
      <alignment horizontal="center" vertical="center"/>
    </xf>
    <xf numFmtId="9" fontId="0" fillId="0" borderId="0" xfId="2" applyFont="1" applyFill="1" applyAlignment="1">
      <alignment horizontal="center" vertical="center"/>
    </xf>
    <xf numFmtId="10" fontId="67" fillId="0" borderId="67" xfId="2" applyNumberFormat="1" applyFont="1" applyFill="1" applyBorder="1" applyAlignment="1">
      <alignment horizontal="center" vertical="center"/>
    </xf>
    <xf numFmtId="10" fontId="67" fillId="0" borderId="66" xfId="2" applyNumberFormat="1" applyFont="1" applyFill="1" applyBorder="1" applyAlignment="1">
      <alignment horizontal="center" vertical="center"/>
    </xf>
    <xf numFmtId="10" fontId="67" fillId="0" borderId="68" xfId="2" applyNumberFormat="1" applyFont="1" applyFill="1" applyBorder="1" applyAlignment="1">
      <alignment horizontal="center" vertical="center"/>
    </xf>
    <xf numFmtId="0" fontId="6" fillId="0" borderId="0" xfId="0" applyFont="1"/>
    <xf numFmtId="170" fontId="0" fillId="0" borderId="0" xfId="0" applyNumberFormat="1" applyAlignment="1">
      <alignment horizontal="center" vertical="center"/>
    </xf>
    <xf numFmtId="173" fontId="110" fillId="13" borderId="17" xfId="0" applyNumberFormat="1" applyFont="1" applyFill="1" applyBorder="1" applyAlignment="1">
      <alignment horizontal="center" vertical="center"/>
    </xf>
    <xf numFmtId="0" fontId="4" fillId="0" borderId="0" xfId="0" applyFont="1"/>
    <xf numFmtId="0" fontId="3" fillId="0" borderId="0" xfId="0" applyFont="1"/>
    <xf numFmtId="0" fontId="5" fillId="0" borderId="0" xfId="0" applyFont="1"/>
    <xf numFmtId="10" fontId="0" fillId="0" borderId="1" xfId="2" applyNumberFormat="1" applyFont="1" applyBorder="1" applyAlignment="1">
      <alignment vertical="center"/>
    </xf>
    <xf numFmtId="0" fontId="55" fillId="0" borderId="0" xfId="0" applyFont="1" applyAlignment="1">
      <alignment horizontal="center" vertical="center"/>
    </xf>
    <xf numFmtId="173" fontId="111" fillId="13" borderId="17" xfId="0" applyNumberFormat="1" applyFont="1" applyFill="1" applyBorder="1" applyAlignment="1">
      <alignment horizontal="center" vertical="center"/>
    </xf>
    <xf numFmtId="0" fontId="2" fillId="0" borderId="0" xfId="0" applyFont="1"/>
    <xf numFmtId="166" fontId="80" fillId="0" borderId="0" xfId="63993" applyNumberFormat="1" applyFont="1" applyFill="1" applyAlignment="1">
      <alignment horizontal="center" vertical="center"/>
    </xf>
    <xf numFmtId="10" fontId="0" fillId="0" borderId="0" xfId="2" applyNumberFormat="1" applyFont="1" applyAlignment="1">
      <alignment horizontal="center" vertical="center"/>
    </xf>
    <xf numFmtId="0" fontId="62" fillId="19" borderId="1" xfId="0" applyFont="1" applyFill="1" applyBorder="1" applyAlignment="1">
      <alignment horizontal="center" vertical="center"/>
    </xf>
    <xf numFmtId="0" fontId="56" fillId="0" borderId="0" xfId="3" applyAlignment="1">
      <alignment horizontal="center" vertical="center"/>
    </xf>
    <xf numFmtId="0" fontId="1" fillId="0" borderId="0" xfId="0" applyFont="1"/>
    <xf numFmtId="0" fontId="0" fillId="0" borderId="0" xfId="0" applyAlignment="1">
      <alignment horizontal="right"/>
    </xf>
    <xf numFmtId="0" fontId="0" fillId="0" borderId="0" xfId="0" applyAlignment="1">
      <alignment wrapText="1"/>
    </xf>
    <xf numFmtId="0" fontId="112" fillId="13" borderId="17" xfId="0" applyFont="1" applyFill="1" applyBorder="1" applyAlignment="1">
      <alignment horizontal="center"/>
    </xf>
    <xf numFmtId="173" fontId="113" fillId="13" borderId="17" xfId="0" applyNumberFormat="1" applyFont="1" applyFill="1" applyBorder="1" applyAlignment="1">
      <alignment horizontal="center" vertical="center"/>
    </xf>
    <xf numFmtId="0" fontId="60" fillId="0" borderId="0" xfId="11" applyAlignment="1">
      <alignment horizontal="center"/>
    </xf>
    <xf numFmtId="172" fontId="60" fillId="0" borderId="0" xfId="11" applyNumberFormat="1" applyAlignment="1">
      <alignment horizontal="center"/>
    </xf>
    <xf numFmtId="1" fontId="60" fillId="0" borderId="0" xfId="11" applyNumberFormat="1" applyAlignment="1">
      <alignment horizontal="center"/>
    </xf>
    <xf numFmtId="0" fontId="60" fillId="14" borderId="0" xfId="11" applyFill="1" applyAlignment="1">
      <alignment horizontal="center"/>
    </xf>
    <xf numFmtId="172" fontId="60" fillId="14" borderId="0" xfId="11" applyNumberFormat="1" applyFill="1" applyAlignment="1">
      <alignment horizontal="center"/>
    </xf>
    <xf numFmtId="1" fontId="60" fillId="14" borderId="0" xfId="11" applyNumberFormat="1" applyFill="1" applyAlignment="1">
      <alignment horizontal="center"/>
    </xf>
    <xf numFmtId="3" fontId="0" fillId="0" borderId="0" xfId="0" applyNumberFormat="1" applyAlignment="1">
      <alignment horizontal="center"/>
    </xf>
    <xf numFmtId="170" fontId="112" fillId="13" borderId="17" xfId="0" applyNumberFormat="1" applyFont="1" applyFill="1" applyBorder="1" applyAlignment="1">
      <alignment horizontal="center"/>
    </xf>
    <xf numFmtId="10" fontId="112" fillId="13" borderId="13" xfId="0" applyNumberFormat="1" applyFont="1" applyFill="1" applyBorder="1" applyAlignment="1">
      <alignment horizontal="center"/>
    </xf>
    <xf numFmtId="0" fontId="101" fillId="8" borderId="17" xfId="0" applyFont="1" applyFill="1" applyBorder="1" applyAlignment="1">
      <alignment horizontal="center"/>
    </xf>
    <xf numFmtId="170" fontId="98" fillId="11" borderId="17" xfId="0" applyNumberFormat="1" applyFont="1" applyFill="1" applyBorder="1" applyAlignment="1">
      <alignment horizontal="center"/>
    </xf>
    <xf numFmtId="170" fontId="101" fillId="13" borderId="17" xfId="0" applyNumberFormat="1" applyFont="1" applyFill="1" applyBorder="1" applyAlignment="1">
      <alignment horizontal="center"/>
    </xf>
    <xf numFmtId="0" fontId="101" fillId="13" borderId="17" xfId="0" applyFont="1" applyFill="1" applyBorder="1" applyAlignment="1">
      <alignment horizontal="center"/>
    </xf>
    <xf numFmtId="170" fontId="101" fillId="11" borderId="17" xfId="0" applyNumberFormat="1" applyFont="1" applyFill="1" applyBorder="1" applyAlignment="1">
      <alignment horizontal="center"/>
    </xf>
    <xf numFmtId="0" fontId="114" fillId="0" borderId="0" xfId="0" applyFont="1"/>
    <xf numFmtId="0" fontId="54" fillId="2" borderId="1" xfId="0" applyFont="1" applyFill="1" applyBorder="1" applyAlignment="1">
      <alignment horizontal="center" vertical="center" wrapText="1"/>
    </xf>
    <xf numFmtId="0" fontId="54" fillId="2" borderId="78" xfId="8" applyFont="1" applyFill="1" applyBorder="1" applyAlignment="1">
      <alignment horizontal="center" vertical="center" wrapText="1"/>
    </xf>
    <xf numFmtId="0" fontId="54" fillId="2" borderId="79" xfId="8" applyFont="1" applyFill="1" applyBorder="1" applyAlignment="1">
      <alignment horizontal="center" vertical="center" wrapText="1"/>
    </xf>
    <xf numFmtId="9" fontId="0" fillId="0" borderId="0" xfId="2" applyFont="1" applyAlignment="1">
      <alignment horizontal="center"/>
    </xf>
    <xf numFmtId="2" fontId="0" fillId="0" borderId="0" xfId="0" applyNumberFormat="1"/>
    <xf numFmtId="0" fontId="0" fillId="6" borderId="6" xfId="0" applyFill="1" applyBorder="1" applyAlignment="1">
      <alignment horizontal="center" vertical="center"/>
    </xf>
    <xf numFmtId="20" fontId="80" fillId="0" borderId="0" xfId="0" applyNumberFormat="1" applyFont="1" applyAlignment="1">
      <alignment horizontal="center" vertical="center"/>
    </xf>
    <xf numFmtId="170" fontId="98" fillId="13" borderId="17" xfId="0" applyNumberFormat="1" applyFont="1" applyFill="1" applyBorder="1" applyAlignment="1">
      <alignment horizontal="center"/>
    </xf>
    <xf numFmtId="0" fontId="101" fillId="0" borderId="17" xfId="13" applyNumberFormat="1" applyFont="1" applyFill="1" applyBorder="1" applyAlignment="1">
      <alignment horizontal="center"/>
    </xf>
    <xf numFmtId="9" fontId="0" fillId="0" borderId="0" xfId="2" applyFont="1" applyAlignment="1">
      <alignment horizontal="center" vertical="center"/>
    </xf>
    <xf numFmtId="2" fontId="59" fillId="0" borderId="0" xfId="0" applyNumberFormat="1" applyFont="1" applyAlignment="1">
      <alignment horizontal="center" vertical="center"/>
    </xf>
    <xf numFmtId="43" fontId="0" fillId="0" borderId="0" xfId="1" applyFont="1" applyFill="1" applyAlignment="1">
      <alignment horizontal="center" vertical="center"/>
    </xf>
    <xf numFmtId="9" fontId="0" fillId="0" borderId="0" xfId="0" applyNumberFormat="1" applyAlignment="1">
      <alignment horizontal="center" vertical="center"/>
    </xf>
    <xf numFmtId="2" fontId="0" fillId="0" borderId="0" xfId="0" applyNumberFormat="1" applyAlignment="1">
      <alignment horizontal="right" vertical="center"/>
    </xf>
    <xf numFmtId="0" fontId="38" fillId="0" borderId="0" xfId="0" applyFont="1" applyAlignment="1">
      <alignment horizontal="center" vertical="center"/>
    </xf>
    <xf numFmtId="10" fontId="72" fillId="9" borderId="49" xfId="15" applyNumberFormat="1" applyFont="1" applyFill="1" applyBorder="1" applyAlignment="1">
      <alignment horizontal="center"/>
    </xf>
    <xf numFmtId="10" fontId="72" fillId="9" borderId="50" xfId="15" applyNumberFormat="1" applyFont="1" applyFill="1" applyBorder="1" applyAlignment="1">
      <alignment horizontal="center"/>
    </xf>
    <xf numFmtId="0" fontId="69" fillId="20" borderId="45" xfId="0" applyFont="1" applyFill="1" applyBorder="1" applyAlignment="1">
      <alignment horizontal="center" vertical="center" wrapText="1"/>
    </xf>
    <xf numFmtId="0" fontId="69" fillId="20" borderId="46" xfId="0" applyFont="1" applyFill="1" applyBorder="1" applyAlignment="1">
      <alignment horizontal="center" vertical="center" wrapText="1"/>
    </xf>
    <xf numFmtId="0" fontId="68" fillId="20" borderId="22" xfId="0" applyFont="1" applyFill="1" applyBorder="1" applyAlignment="1">
      <alignment horizontal="center" vertical="center"/>
    </xf>
    <xf numFmtId="0" fontId="68" fillId="20" borderId="23" xfId="0" applyFont="1" applyFill="1" applyBorder="1" applyAlignment="1">
      <alignment horizontal="center" vertical="center"/>
    </xf>
    <xf numFmtId="0" fontId="68" fillId="20" borderId="24" xfId="0" applyFont="1" applyFill="1" applyBorder="1" applyAlignment="1">
      <alignment horizontal="center" vertical="center"/>
    </xf>
    <xf numFmtId="0" fontId="68" fillId="0" borderId="22" xfId="0" applyFont="1" applyBorder="1" applyAlignment="1">
      <alignment horizontal="center" vertical="center"/>
    </xf>
    <xf numFmtId="0" fontId="68" fillId="0" borderId="23" xfId="0" applyFont="1" applyBorder="1" applyAlignment="1">
      <alignment horizontal="center" vertical="center"/>
    </xf>
    <xf numFmtId="0" fontId="68" fillId="0" borderId="24" xfId="0" applyFont="1" applyBorder="1" applyAlignment="1">
      <alignment horizontal="center" vertical="center"/>
    </xf>
    <xf numFmtId="0" fontId="72" fillId="9" borderId="36" xfId="0" applyFont="1" applyFill="1" applyBorder="1" applyAlignment="1">
      <alignment horizontal="center" vertical="center"/>
    </xf>
    <xf numFmtId="0" fontId="72" fillId="9" borderId="39" xfId="0" applyFont="1" applyFill="1" applyBorder="1" applyAlignment="1">
      <alignment horizontal="center" vertical="center"/>
    </xf>
    <xf numFmtId="0" fontId="72" fillId="9" borderId="42" xfId="0" applyFont="1" applyFill="1" applyBorder="1" applyAlignment="1">
      <alignment horizontal="center" vertical="center"/>
    </xf>
    <xf numFmtId="10" fontId="72" fillId="9" borderId="47" xfId="15" applyNumberFormat="1" applyFont="1" applyFill="1" applyBorder="1" applyAlignment="1">
      <alignment horizontal="center"/>
    </xf>
    <xf numFmtId="10" fontId="72" fillId="9" borderId="48" xfId="15" applyNumberFormat="1" applyFont="1" applyFill="1" applyBorder="1" applyAlignment="1">
      <alignment horizontal="center"/>
    </xf>
    <xf numFmtId="0" fontId="66" fillId="18" borderId="63" xfId="0" applyFont="1" applyFill="1" applyBorder="1" applyAlignment="1">
      <alignment horizontal="center" vertical="center"/>
    </xf>
    <xf numFmtId="0" fontId="66" fillId="18" borderId="0" xfId="0" applyFont="1" applyFill="1" applyAlignment="1">
      <alignment horizontal="center" vertical="center"/>
    </xf>
    <xf numFmtId="0" fontId="66" fillId="18" borderId="3" xfId="0" applyFont="1" applyFill="1" applyBorder="1" applyAlignment="1">
      <alignment horizontal="center" vertical="center"/>
    </xf>
    <xf numFmtId="0" fontId="66" fillId="18" borderId="21" xfId="0" applyFont="1" applyFill="1" applyBorder="1" applyAlignment="1">
      <alignment horizontal="center" vertical="center"/>
    </xf>
    <xf numFmtId="0" fontId="0" fillId="12" borderId="0" xfId="0" applyFill="1" applyAlignment="1">
      <alignment horizontal="left"/>
    </xf>
    <xf numFmtId="0" fontId="0" fillId="4" borderId="63" xfId="0" applyFill="1" applyBorder="1" applyAlignment="1">
      <alignment horizontal="center" vertical="center"/>
    </xf>
    <xf numFmtId="0" fontId="0" fillId="4" borderId="0" xfId="0" applyFill="1" applyAlignment="1">
      <alignment horizontal="center" vertical="center"/>
    </xf>
  </cellXfs>
  <cellStyles count="63995">
    <cellStyle name="20% - Accent1" xfId="71" builtinId="30" customBuiltin="1"/>
    <cellStyle name="20% - Accent1 10" xfId="3443" xr:uid="{00000000-0005-0000-0000-000001000000}"/>
    <cellStyle name="20% - Accent1 10 2" xfId="18592" xr:uid="{00000000-0005-0000-0000-000002000000}"/>
    <cellStyle name="20% - Accent1 11" xfId="5126" xr:uid="{00000000-0005-0000-0000-000003000000}"/>
    <cellStyle name="20% - Accent1 11 2" xfId="20275" xr:uid="{00000000-0005-0000-0000-000004000000}"/>
    <cellStyle name="20% - Accent1 12" xfId="6809" xr:uid="{00000000-0005-0000-0000-000005000000}"/>
    <cellStyle name="20% - Accent1 12 2" xfId="21958" xr:uid="{00000000-0005-0000-0000-000006000000}"/>
    <cellStyle name="20% - Accent1 13" xfId="8492" xr:uid="{00000000-0005-0000-0000-000007000000}"/>
    <cellStyle name="20% - Accent1 13 2" xfId="23641" xr:uid="{00000000-0005-0000-0000-000008000000}"/>
    <cellStyle name="20% - Accent1 14" xfId="10175" xr:uid="{00000000-0005-0000-0000-000009000000}"/>
    <cellStyle name="20% - Accent1 14 2" xfId="25324" xr:uid="{00000000-0005-0000-0000-00000A000000}"/>
    <cellStyle name="20% - Accent1 15" xfId="11859" xr:uid="{00000000-0005-0000-0000-00000B000000}"/>
    <cellStyle name="20% - Accent1 15 2" xfId="27008" xr:uid="{00000000-0005-0000-0000-00000C000000}"/>
    <cellStyle name="20% - Accent1 16" xfId="13542" xr:uid="{00000000-0005-0000-0000-00000D000000}"/>
    <cellStyle name="20% - Accent1 16 2" xfId="28691" xr:uid="{00000000-0005-0000-0000-00000E000000}"/>
    <cellStyle name="20% - Accent1 17" xfId="15225" xr:uid="{00000000-0005-0000-0000-00000F000000}"/>
    <cellStyle name="20% - Accent1 18" xfId="30374" xr:uid="{00000000-0005-0000-0000-000010000000}"/>
    <cellStyle name="20% - Accent1 19" xfId="32057" xr:uid="{00000000-0005-0000-0000-000011000000}"/>
    <cellStyle name="20% - Accent1 2" xfId="98" xr:uid="{00000000-0005-0000-0000-000012000000}"/>
    <cellStyle name="20% - Accent1 2 10" xfId="6831" xr:uid="{00000000-0005-0000-0000-000013000000}"/>
    <cellStyle name="20% - Accent1 2 10 2" xfId="21980" xr:uid="{00000000-0005-0000-0000-000014000000}"/>
    <cellStyle name="20% - Accent1 2 11" xfId="8514" xr:uid="{00000000-0005-0000-0000-000015000000}"/>
    <cellStyle name="20% - Accent1 2 11 2" xfId="23663" xr:uid="{00000000-0005-0000-0000-000016000000}"/>
    <cellStyle name="20% - Accent1 2 12" xfId="10197" xr:uid="{00000000-0005-0000-0000-000017000000}"/>
    <cellStyle name="20% - Accent1 2 12 2" xfId="25346" xr:uid="{00000000-0005-0000-0000-000018000000}"/>
    <cellStyle name="20% - Accent1 2 13" xfId="11881" xr:uid="{00000000-0005-0000-0000-000019000000}"/>
    <cellStyle name="20% - Accent1 2 13 2" xfId="27030" xr:uid="{00000000-0005-0000-0000-00001A000000}"/>
    <cellStyle name="20% - Accent1 2 14" xfId="13564" xr:uid="{00000000-0005-0000-0000-00001B000000}"/>
    <cellStyle name="20% - Accent1 2 14 2" xfId="28713" xr:uid="{00000000-0005-0000-0000-00001C000000}"/>
    <cellStyle name="20% - Accent1 2 15" xfId="15247" xr:uid="{00000000-0005-0000-0000-00001D000000}"/>
    <cellStyle name="20% - Accent1 2 16" xfId="30396" xr:uid="{00000000-0005-0000-0000-00001E000000}"/>
    <cellStyle name="20% - Accent1 2 17" xfId="32079" xr:uid="{00000000-0005-0000-0000-00001F000000}"/>
    <cellStyle name="20% - Accent1 2 18" xfId="33762" xr:uid="{00000000-0005-0000-0000-000020000000}"/>
    <cellStyle name="20% - Accent1 2 19" xfId="35445" xr:uid="{00000000-0005-0000-0000-000021000000}"/>
    <cellStyle name="20% - Accent1 2 2" xfId="203" xr:uid="{00000000-0005-0000-0000-000022000000}"/>
    <cellStyle name="20% - Accent1 2 2 10" xfId="8619" xr:uid="{00000000-0005-0000-0000-000023000000}"/>
    <cellStyle name="20% - Accent1 2 2 10 2" xfId="23768" xr:uid="{00000000-0005-0000-0000-000024000000}"/>
    <cellStyle name="20% - Accent1 2 2 11" xfId="10302" xr:uid="{00000000-0005-0000-0000-000025000000}"/>
    <cellStyle name="20% - Accent1 2 2 11 2" xfId="25451" xr:uid="{00000000-0005-0000-0000-000026000000}"/>
    <cellStyle name="20% - Accent1 2 2 12" xfId="11986" xr:uid="{00000000-0005-0000-0000-000027000000}"/>
    <cellStyle name="20% - Accent1 2 2 12 2" xfId="27135" xr:uid="{00000000-0005-0000-0000-000028000000}"/>
    <cellStyle name="20% - Accent1 2 2 13" xfId="13669" xr:uid="{00000000-0005-0000-0000-000029000000}"/>
    <cellStyle name="20% - Accent1 2 2 13 2" xfId="28818" xr:uid="{00000000-0005-0000-0000-00002A000000}"/>
    <cellStyle name="20% - Accent1 2 2 14" xfId="15352" xr:uid="{00000000-0005-0000-0000-00002B000000}"/>
    <cellStyle name="20% - Accent1 2 2 15" xfId="30501" xr:uid="{00000000-0005-0000-0000-00002C000000}"/>
    <cellStyle name="20% - Accent1 2 2 16" xfId="32184" xr:uid="{00000000-0005-0000-0000-00002D000000}"/>
    <cellStyle name="20% - Accent1 2 2 17" xfId="33867" xr:uid="{00000000-0005-0000-0000-00002E000000}"/>
    <cellStyle name="20% - Accent1 2 2 18" xfId="35550" xr:uid="{00000000-0005-0000-0000-00002F000000}"/>
    <cellStyle name="20% - Accent1 2 2 19" xfId="37233" xr:uid="{00000000-0005-0000-0000-000030000000}"/>
    <cellStyle name="20% - Accent1 2 2 2" xfId="413" xr:uid="{00000000-0005-0000-0000-000031000000}"/>
    <cellStyle name="20% - Accent1 2 2 2 10" xfId="10512" xr:uid="{00000000-0005-0000-0000-000032000000}"/>
    <cellStyle name="20% - Accent1 2 2 2 10 2" xfId="25661" xr:uid="{00000000-0005-0000-0000-000033000000}"/>
    <cellStyle name="20% - Accent1 2 2 2 11" xfId="12196" xr:uid="{00000000-0005-0000-0000-000034000000}"/>
    <cellStyle name="20% - Accent1 2 2 2 11 2" xfId="27345" xr:uid="{00000000-0005-0000-0000-000035000000}"/>
    <cellStyle name="20% - Accent1 2 2 2 12" xfId="13879" xr:uid="{00000000-0005-0000-0000-000036000000}"/>
    <cellStyle name="20% - Accent1 2 2 2 12 2" xfId="29028" xr:uid="{00000000-0005-0000-0000-000037000000}"/>
    <cellStyle name="20% - Accent1 2 2 2 13" xfId="15562" xr:uid="{00000000-0005-0000-0000-000038000000}"/>
    <cellStyle name="20% - Accent1 2 2 2 14" xfId="30711" xr:uid="{00000000-0005-0000-0000-000039000000}"/>
    <cellStyle name="20% - Accent1 2 2 2 15" xfId="32394" xr:uid="{00000000-0005-0000-0000-00003A000000}"/>
    <cellStyle name="20% - Accent1 2 2 2 16" xfId="34077" xr:uid="{00000000-0005-0000-0000-00003B000000}"/>
    <cellStyle name="20% - Accent1 2 2 2 17" xfId="35760" xr:uid="{00000000-0005-0000-0000-00003C000000}"/>
    <cellStyle name="20% - Accent1 2 2 2 18" xfId="37443" xr:uid="{00000000-0005-0000-0000-00003D000000}"/>
    <cellStyle name="20% - Accent1 2 2 2 19" xfId="39126" xr:uid="{00000000-0005-0000-0000-00003E000000}"/>
    <cellStyle name="20% - Accent1 2 2 2 2" xfId="833" xr:uid="{00000000-0005-0000-0000-00003F000000}"/>
    <cellStyle name="20% - Accent1 2 2 2 2 10" xfId="15982" xr:uid="{00000000-0005-0000-0000-000040000000}"/>
    <cellStyle name="20% - Accent1 2 2 2 2 11" xfId="31131" xr:uid="{00000000-0005-0000-0000-000041000000}"/>
    <cellStyle name="20% - Accent1 2 2 2 2 12" xfId="32814" xr:uid="{00000000-0005-0000-0000-000042000000}"/>
    <cellStyle name="20% - Accent1 2 2 2 2 13" xfId="34497" xr:uid="{00000000-0005-0000-0000-000043000000}"/>
    <cellStyle name="20% - Accent1 2 2 2 2 14" xfId="36180" xr:uid="{00000000-0005-0000-0000-000044000000}"/>
    <cellStyle name="20% - Accent1 2 2 2 2 15" xfId="37863" xr:uid="{00000000-0005-0000-0000-000045000000}"/>
    <cellStyle name="20% - Accent1 2 2 2 2 16" xfId="39546" xr:uid="{00000000-0005-0000-0000-000046000000}"/>
    <cellStyle name="20% - Accent1 2 2 2 2 17" xfId="41229" xr:uid="{00000000-0005-0000-0000-000047000000}"/>
    <cellStyle name="20% - Accent1 2 2 2 2 18" xfId="42912" xr:uid="{00000000-0005-0000-0000-000048000000}"/>
    <cellStyle name="20% - Accent1 2 2 2 2 19" xfId="44595" xr:uid="{00000000-0005-0000-0000-000049000000}"/>
    <cellStyle name="20% - Accent1 2 2 2 2 2" xfId="2516" xr:uid="{00000000-0005-0000-0000-00004A000000}"/>
    <cellStyle name="20% - Accent1 2 2 2 2 2 2" xfId="17665" xr:uid="{00000000-0005-0000-0000-00004B000000}"/>
    <cellStyle name="20% - Accent1 2 2 2 2 20" xfId="46278" xr:uid="{00000000-0005-0000-0000-00004C000000}"/>
    <cellStyle name="20% - Accent1 2 2 2 2 21" xfId="47961" xr:uid="{00000000-0005-0000-0000-00004D000000}"/>
    <cellStyle name="20% - Accent1 2 2 2 2 22" xfId="49644" xr:uid="{00000000-0005-0000-0000-00004E000000}"/>
    <cellStyle name="20% - Accent1 2 2 2 2 23" xfId="51327" xr:uid="{00000000-0005-0000-0000-00004F000000}"/>
    <cellStyle name="20% - Accent1 2 2 2 2 24" xfId="53010" xr:uid="{00000000-0005-0000-0000-000050000000}"/>
    <cellStyle name="20% - Accent1 2 2 2 2 25" xfId="54693" xr:uid="{00000000-0005-0000-0000-000051000000}"/>
    <cellStyle name="20% - Accent1 2 2 2 2 26" xfId="56376" xr:uid="{00000000-0005-0000-0000-000052000000}"/>
    <cellStyle name="20% - Accent1 2 2 2 2 27" xfId="58059" xr:uid="{00000000-0005-0000-0000-000053000000}"/>
    <cellStyle name="20% - Accent1 2 2 2 2 28" xfId="59742" xr:uid="{00000000-0005-0000-0000-000054000000}"/>
    <cellStyle name="20% - Accent1 2 2 2 2 29" xfId="61425" xr:uid="{00000000-0005-0000-0000-000055000000}"/>
    <cellStyle name="20% - Accent1 2 2 2 2 3" xfId="4200" xr:uid="{00000000-0005-0000-0000-000056000000}"/>
    <cellStyle name="20% - Accent1 2 2 2 2 3 2" xfId="19349" xr:uid="{00000000-0005-0000-0000-000057000000}"/>
    <cellStyle name="20% - Accent1 2 2 2 2 30" xfId="63108" xr:uid="{00000000-0005-0000-0000-000058000000}"/>
    <cellStyle name="20% - Accent1 2 2 2 2 4" xfId="5883" xr:uid="{00000000-0005-0000-0000-000059000000}"/>
    <cellStyle name="20% - Accent1 2 2 2 2 4 2" xfId="21032" xr:uid="{00000000-0005-0000-0000-00005A000000}"/>
    <cellStyle name="20% - Accent1 2 2 2 2 5" xfId="7566" xr:uid="{00000000-0005-0000-0000-00005B000000}"/>
    <cellStyle name="20% - Accent1 2 2 2 2 5 2" xfId="22715" xr:uid="{00000000-0005-0000-0000-00005C000000}"/>
    <cellStyle name="20% - Accent1 2 2 2 2 6" xfId="9249" xr:uid="{00000000-0005-0000-0000-00005D000000}"/>
    <cellStyle name="20% - Accent1 2 2 2 2 6 2" xfId="24398" xr:uid="{00000000-0005-0000-0000-00005E000000}"/>
    <cellStyle name="20% - Accent1 2 2 2 2 7" xfId="10932" xr:uid="{00000000-0005-0000-0000-00005F000000}"/>
    <cellStyle name="20% - Accent1 2 2 2 2 7 2" xfId="26081" xr:uid="{00000000-0005-0000-0000-000060000000}"/>
    <cellStyle name="20% - Accent1 2 2 2 2 8" xfId="12616" xr:uid="{00000000-0005-0000-0000-000061000000}"/>
    <cellStyle name="20% - Accent1 2 2 2 2 8 2" xfId="27765" xr:uid="{00000000-0005-0000-0000-000062000000}"/>
    <cellStyle name="20% - Accent1 2 2 2 2 9" xfId="14299" xr:uid="{00000000-0005-0000-0000-000063000000}"/>
    <cellStyle name="20% - Accent1 2 2 2 2 9 2" xfId="29448" xr:uid="{00000000-0005-0000-0000-000064000000}"/>
    <cellStyle name="20% - Accent1 2 2 2 20" xfId="40809" xr:uid="{00000000-0005-0000-0000-000065000000}"/>
    <cellStyle name="20% - Accent1 2 2 2 21" xfId="42492" xr:uid="{00000000-0005-0000-0000-000066000000}"/>
    <cellStyle name="20% - Accent1 2 2 2 22" xfId="44175" xr:uid="{00000000-0005-0000-0000-000067000000}"/>
    <cellStyle name="20% - Accent1 2 2 2 23" xfId="45858" xr:uid="{00000000-0005-0000-0000-000068000000}"/>
    <cellStyle name="20% - Accent1 2 2 2 24" xfId="47541" xr:uid="{00000000-0005-0000-0000-000069000000}"/>
    <cellStyle name="20% - Accent1 2 2 2 25" xfId="49224" xr:uid="{00000000-0005-0000-0000-00006A000000}"/>
    <cellStyle name="20% - Accent1 2 2 2 26" xfId="50907" xr:uid="{00000000-0005-0000-0000-00006B000000}"/>
    <cellStyle name="20% - Accent1 2 2 2 27" xfId="52590" xr:uid="{00000000-0005-0000-0000-00006C000000}"/>
    <cellStyle name="20% - Accent1 2 2 2 28" xfId="54273" xr:uid="{00000000-0005-0000-0000-00006D000000}"/>
    <cellStyle name="20% - Accent1 2 2 2 29" xfId="55956" xr:uid="{00000000-0005-0000-0000-00006E000000}"/>
    <cellStyle name="20% - Accent1 2 2 2 3" xfId="1254" xr:uid="{00000000-0005-0000-0000-00006F000000}"/>
    <cellStyle name="20% - Accent1 2 2 2 3 10" xfId="16403" xr:uid="{00000000-0005-0000-0000-000070000000}"/>
    <cellStyle name="20% - Accent1 2 2 2 3 11" xfId="31552" xr:uid="{00000000-0005-0000-0000-000071000000}"/>
    <cellStyle name="20% - Accent1 2 2 2 3 12" xfId="33235" xr:uid="{00000000-0005-0000-0000-000072000000}"/>
    <cellStyle name="20% - Accent1 2 2 2 3 13" xfId="34918" xr:uid="{00000000-0005-0000-0000-000073000000}"/>
    <cellStyle name="20% - Accent1 2 2 2 3 14" xfId="36601" xr:uid="{00000000-0005-0000-0000-000074000000}"/>
    <cellStyle name="20% - Accent1 2 2 2 3 15" xfId="38284" xr:uid="{00000000-0005-0000-0000-000075000000}"/>
    <cellStyle name="20% - Accent1 2 2 2 3 16" xfId="39967" xr:uid="{00000000-0005-0000-0000-000076000000}"/>
    <cellStyle name="20% - Accent1 2 2 2 3 17" xfId="41650" xr:uid="{00000000-0005-0000-0000-000077000000}"/>
    <cellStyle name="20% - Accent1 2 2 2 3 18" xfId="43333" xr:uid="{00000000-0005-0000-0000-000078000000}"/>
    <cellStyle name="20% - Accent1 2 2 2 3 19" xfId="45016" xr:uid="{00000000-0005-0000-0000-000079000000}"/>
    <cellStyle name="20% - Accent1 2 2 2 3 2" xfId="2937" xr:uid="{00000000-0005-0000-0000-00007A000000}"/>
    <cellStyle name="20% - Accent1 2 2 2 3 2 2" xfId="18086" xr:uid="{00000000-0005-0000-0000-00007B000000}"/>
    <cellStyle name="20% - Accent1 2 2 2 3 20" xfId="46699" xr:uid="{00000000-0005-0000-0000-00007C000000}"/>
    <cellStyle name="20% - Accent1 2 2 2 3 21" xfId="48382" xr:uid="{00000000-0005-0000-0000-00007D000000}"/>
    <cellStyle name="20% - Accent1 2 2 2 3 22" xfId="50065" xr:uid="{00000000-0005-0000-0000-00007E000000}"/>
    <cellStyle name="20% - Accent1 2 2 2 3 23" xfId="51748" xr:uid="{00000000-0005-0000-0000-00007F000000}"/>
    <cellStyle name="20% - Accent1 2 2 2 3 24" xfId="53431" xr:uid="{00000000-0005-0000-0000-000080000000}"/>
    <cellStyle name="20% - Accent1 2 2 2 3 25" xfId="55114" xr:uid="{00000000-0005-0000-0000-000081000000}"/>
    <cellStyle name="20% - Accent1 2 2 2 3 26" xfId="56797" xr:uid="{00000000-0005-0000-0000-000082000000}"/>
    <cellStyle name="20% - Accent1 2 2 2 3 27" xfId="58480" xr:uid="{00000000-0005-0000-0000-000083000000}"/>
    <cellStyle name="20% - Accent1 2 2 2 3 28" xfId="60163" xr:uid="{00000000-0005-0000-0000-000084000000}"/>
    <cellStyle name="20% - Accent1 2 2 2 3 29" xfId="61846" xr:uid="{00000000-0005-0000-0000-000085000000}"/>
    <cellStyle name="20% - Accent1 2 2 2 3 3" xfId="4621" xr:uid="{00000000-0005-0000-0000-000086000000}"/>
    <cellStyle name="20% - Accent1 2 2 2 3 3 2" xfId="19770" xr:uid="{00000000-0005-0000-0000-000087000000}"/>
    <cellStyle name="20% - Accent1 2 2 2 3 30" xfId="63529" xr:uid="{00000000-0005-0000-0000-000088000000}"/>
    <cellStyle name="20% - Accent1 2 2 2 3 4" xfId="6304" xr:uid="{00000000-0005-0000-0000-000089000000}"/>
    <cellStyle name="20% - Accent1 2 2 2 3 4 2" xfId="21453" xr:uid="{00000000-0005-0000-0000-00008A000000}"/>
    <cellStyle name="20% - Accent1 2 2 2 3 5" xfId="7987" xr:uid="{00000000-0005-0000-0000-00008B000000}"/>
    <cellStyle name="20% - Accent1 2 2 2 3 5 2" xfId="23136" xr:uid="{00000000-0005-0000-0000-00008C000000}"/>
    <cellStyle name="20% - Accent1 2 2 2 3 6" xfId="9670" xr:uid="{00000000-0005-0000-0000-00008D000000}"/>
    <cellStyle name="20% - Accent1 2 2 2 3 6 2" xfId="24819" xr:uid="{00000000-0005-0000-0000-00008E000000}"/>
    <cellStyle name="20% - Accent1 2 2 2 3 7" xfId="11353" xr:uid="{00000000-0005-0000-0000-00008F000000}"/>
    <cellStyle name="20% - Accent1 2 2 2 3 7 2" xfId="26502" xr:uid="{00000000-0005-0000-0000-000090000000}"/>
    <cellStyle name="20% - Accent1 2 2 2 3 8" xfId="13037" xr:uid="{00000000-0005-0000-0000-000091000000}"/>
    <cellStyle name="20% - Accent1 2 2 2 3 8 2" xfId="28186" xr:uid="{00000000-0005-0000-0000-000092000000}"/>
    <cellStyle name="20% - Accent1 2 2 2 3 9" xfId="14720" xr:uid="{00000000-0005-0000-0000-000093000000}"/>
    <cellStyle name="20% - Accent1 2 2 2 3 9 2" xfId="29869" xr:uid="{00000000-0005-0000-0000-000094000000}"/>
    <cellStyle name="20% - Accent1 2 2 2 30" xfId="57639" xr:uid="{00000000-0005-0000-0000-000095000000}"/>
    <cellStyle name="20% - Accent1 2 2 2 31" xfId="59322" xr:uid="{00000000-0005-0000-0000-000096000000}"/>
    <cellStyle name="20% - Accent1 2 2 2 32" xfId="61005" xr:uid="{00000000-0005-0000-0000-000097000000}"/>
    <cellStyle name="20% - Accent1 2 2 2 33" xfId="62688" xr:uid="{00000000-0005-0000-0000-000098000000}"/>
    <cellStyle name="20% - Accent1 2 2 2 4" xfId="1675" xr:uid="{00000000-0005-0000-0000-000099000000}"/>
    <cellStyle name="20% - Accent1 2 2 2 4 10" xfId="16824" xr:uid="{00000000-0005-0000-0000-00009A000000}"/>
    <cellStyle name="20% - Accent1 2 2 2 4 11" xfId="31973" xr:uid="{00000000-0005-0000-0000-00009B000000}"/>
    <cellStyle name="20% - Accent1 2 2 2 4 12" xfId="33656" xr:uid="{00000000-0005-0000-0000-00009C000000}"/>
    <cellStyle name="20% - Accent1 2 2 2 4 13" xfId="35339" xr:uid="{00000000-0005-0000-0000-00009D000000}"/>
    <cellStyle name="20% - Accent1 2 2 2 4 14" xfId="37022" xr:uid="{00000000-0005-0000-0000-00009E000000}"/>
    <cellStyle name="20% - Accent1 2 2 2 4 15" xfId="38705" xr:uid="{00000000-0005-0000-0000-00009F000000}"/>
    <cellStyle name="20% - Accent1 2 2 2 4 16" xfId="40388" xr:uid="{00000000-0005-0000-0000-0000A0000000}"/>
    <cellStyle name="20% - Accent1 2 2 2 4 17" xfId="42071" xr:uid="{00000000-0005-0000-0000-0000A1000000}"/>
    <cellStyle name="20% - Accent1 2 2 2 4 18" xfId="43754" xr:uid="{00000000-0005-0000-0000-0000A2000000}"/>
    <cellStyle name="20% - Accent1 2 2 2 4 19" xfId="45437" xr:uid="{00000000-0005-0000-0000-0000A3000000}"/>
    <cellStyle name="20% - Accent1 2 2 2 4 2" xfId="3358" xr:uid="{00000000-0005-0000-0000-0000A4000000}"/>
    <cellStyle name="20% - Accent1 2 2 2 4 2 2" xfId="18507" xr:uid="{00000000-0005-0000-0000-0000A5000000}"/>
    <cellStyle name="20% - Accent1 2 2 2 4 20" xfId="47120" xr:uid="{00000000-0005-0000-0000-0000A6000000}"/>
    <cellStyle name="20% - Accent1 2 2 2 4 21" xfId="48803" xr:uid="{00000000-0005-0000-0000-0000A7000000}"/>
    <cellStyle name="20% - Accent1 2 2 2 4 22" xfId="50486" xr:uid="{00000000-0005-0000-0000-0000A8000000}"/>
    <cellStyle name="20% - Accent1 2 2 2 4 23" xfId="52169" xr:uid="{00000000-0005-0000-0000-0000A9000000}"/>
    <cellStyle name="20% - Accent1 2 2 2 4 24" xfId="53852" xr:uid="{00000000-0005-0000-0000-0000AA000000}"/>
    <cellStyle name="20% - Accent1 2 2 2 4 25" xfId="55535" xr:uid="{00000000-0005-0000-0000-0000AB000000}"/>
    <cellStyle name="20% - Accent1 2 2 2 4 26" xfId="57218" xr:uid="{00000000-0005-0000-0000-0000AC000000}"/>
    <cellStyle name="20% - Accent1 2 2 2 4 27" xfId="58901" xr:uid="{00000000-0005-0000-0000-0000AD000000}"/>
    <cellStyle name="20% - Accent1 2 2 2 4 28" xfId="60584" xr:uid="{00000000-0005-0000-0000-0000AE000000}"/>
    <cellStyle name="20% - Accent1 2 2 2 4 29" xfId="62267" xr:uid="{00000000-0005-0000-0000-0000AF000000}"/>
    <cellStyle name="20% - Accent1 2 2 2 4 3" xfId="5042" xr:uid="{00000000-0005-0000-0000-0000B0000000}"/>
    <cellStyle name="20% - Accent1 2 2 2 4 3 2" xfId="20191" xr:uid="{00000000-0005-0000-0000-0000B1000000}"/>
    <cellStyle name="20% - Accent1 2 2 2 4 30" xfId="63950" xr:uid="{00000000-0005-0000-0000-0000B2000000}"/>
    <cellStyle name="20% - Accent1 2 2 2 4 4" xfId="6725" xr:uid="{00000000-0005-0000-0000-0000B3000000}"/>
    <cellStyle name="20% - Accent1 2 2 2 4 4 2" xfId="21874" xr:uid="{00000000-0005-0000-0000-0000B4000000}"/>
    <cellStyle name="20% - Accent1 2 2 2 4 5" xfId="8408" xr:uid="{00000000-0005-0000-0000-0000B5000000}"/>
    <cellStyle name="20% - Accent1 2 2 2 4 5 2" xfId="23557" xr:uid="{00000000-0005-0000-0000-0000B6000000}"/>
    <cellStyle name="20% - Accent1 2 2 2 4 6" xfId="10091" xr:uid="{00000000-0005-0000-0000-0000B7000000}"/>
    <cellStyle name="20% - Accent1 2 2 2 4 6 2" xfId="25240" xr:uid="{00000000-0005-0000-0000-0000B8000000}"/>
    <cellStyle name="20% - Accent1 2 2 2 4 7" xfId="11774" xr:uid="{00000000-0005-0000-0000-0000B9000000}"/>
    <cellStyle name="20% - Accent1 2 2 2 4 7 2" xfId="26923" xr:uid="{00000000-0005-0000-0000-0000BA000000}"/>
    <cellStyle name="20% - Accent1 2 2 2 4 8" xfId="13458" xr:uid="{00000000-0005-0000-0000-0000BB000000}"/>
    <cellStyle name="20% - Accent1 2 2 2 4 8 2" xfId="28607" xr:uid="{00000000-0005-0000-0000-0000BC000000}"/>
    <cellStyle name="20% - Accent1 2 2 2 4 9" xfId="15141" xr:uid="{00000000-0005-0000-0000-0000BD000000}"/>
    <cellStyle name="20% - Accent1 2 2 2 4 9 2" xfId="30290" xr:uid="{00000000-0005-0000-0000-0000BE000000}"/>
    <cellStyle name="20% - Accent1 2 2 2 5" xfId="2096" xr:uid="{00000000-0005-0000-0000-0000BF000000}"/>
    <cellStyle name="20% - Accent1 2 2 2 5 2" xfId="17245" xr:uid="{00000000-0005-0000-0000-0000C0000000}"/>
    <cellStyle name="20% - Accent1 2 2 2 6" xfId="3780" xr:uid="{00000000-0005-0000-0000-0000C1000000}"/>
    <cellStyle name="20% - Accent1 2 2 2 6 2" xfId="18929" xr:uid="{00000000-0005-0000-0000-0000C2000000}"/>
    <cellStyle name="20% - Accent1 2 2 2 7" xfId="5463" xr:uid="{00000000-0005-0000-0000-0000C3000000}"/>
    <cellStyle name="20% - Accent1 2 2 2 7 2" xfId="20612" xr:uid="{00000000-0005-0000-0000-0000C4000000}"/>
    <cellStyle name="20% - Accent1 2 2 2 8" xfId="7146" xr:uid="{00000000-0005-0000-0000-0000C5000000}"/>
    <cellStyle name="20% - Accent1 2 2 2 8 2" xfId="22295" xr:uid="{00000000-0005-0000-0000-0000C6000000}"/>
    <cellStyle name="20% - Accent1 2 2 2 9" xfId="8829" xr:uid="{00000000-0005-0000-0000-0000C7000000}"/>
    <cellStyle name="20% - Accent1 2 2 2 9 2" xfId="23978" xr:uid="{00000000-0005-0000-0000-0000C8000000}"/>
    <cellStyle name="20% - Accent1 2 2 20" xfId="38916" xr:uid="{00000000-0005-0000-0000-0000C9000000}"/>
    <cellStyle name="20% - Accent1 2 2 21" xfId="40599" xr:uid="{00000000-0005-0000-0000-0000CA000000}"/>
    <cellStyle name="20% - Accent1 2 2 22" xfId="42282" xr:uid="{00000000-0005-0000-0000-0000CB000000}"/>
    <cellStyle name="20% - Accent1 2 2 23" xfId="43965" xr:uid="{00000000-0005-0000-0000-0000CC000000}"/>
    <cellStyle name="20% - Accent1 2 2 24" xfId="45648" xr:uid="{00000000-0005-0000-0000-0000CD000000}"/>
    <cellStyle name="20% - Accent1 2 2 25" xfId="47331" xr:uid="{00000000-0005-0000-0000-0000CE000000}"/>
    <cellStyle name="20% - Accent1 2 2 26" xfId="49014" xr:uid="{00000000-0005-0000-0000-0000CF000000}"/>
    <cellStyle name="20% - Accent1 2 2 27" xfId="50697" xr:uid="{00000000-0005-0000-0000-0000D0000000}"/>
    <cellStyle name="20% - Accent1 2 2 28" xfId="52380" xr:uid="{00000000-0005-0000-0000-0000D1000000}"/>
    <cellStyle name="20% - Accent1 2 2 29" xfId="54063" xr:uid="{00000000-0005-0000-0000-0000D2000000}"/>
    <cellStyle name="20% - Accent1 2 2 3" xfId="623" xr:uid="{00000000-0005-0000-0000-0000D3000000}"/>
    <cellStyle name="20% - Accent1 2 2 3 10" xfId="15772" xr:uid="{00000000-0005-0000-0000-0000D4000000}"/>
    <cellStyle name="20% - Accent1 2 2 3 11" xfId="30921" xr:uid="{00000000-0005-0000-0000-0000D5000000}"/>
    <cellStyle name="20% - Accent1 2 2 3 12" xfId="32604" xr:uid="{00000000-0005-0000-0000-0000D6000000}"/>
    <cellStyle name="20% - Accent1 2 2 3 13" xfId="34287" xr:uid="{00000000-0005-0000-0000-0000D7000000}"/>
    <cellStyle name="20% - Accent1 2 2 3 14" xfId="35970" xr:uid="{00000000-0005-0000-0000-0000D8000000}"/>
    <cellStyle name="20% - Accent1 2 2 3 15" xfId="37653" xr:uid="{00000000-0005-0000-0000-0000D9000000}"/>
    <cellStyle name="20% - Accent1 2 2 3 16" xfId="39336" xr:uid="{00000000-0005-0000-0000-0000DA000000}"/>
    <cellStyle name="20% - Accent1 2 2 3 17" xfId="41019" xr:uid="{00000000-0005-0000-0000-0000DB000000}"/>
    <cellStyle name="20% - Accent1 2 2 3 18" xfId="42702" xr:uid="{00000000-0005-0000-0000-0000DC000000}"/>
    <cellStyle name="20% - Accent1 2 2 3 19" xfId="44385" xr:uid="{00000000-0005-0000-0000-0000DD000000}"/>
    <cellStyle name="20% - Accent1 2 2 3 2" xfId="2306" xr:uid="{00000000-0005-0000-0000-0000DE000000}"/>
    <cellStyle name="20% - Accent1 2 2 3 2 2" xfId="17455" xr:uid="{00000000-0005-0000-0000-0000DF000000}"/>
    <cellStyle name="20% - Accent1 2 2 3 20" xfId="46068" xr:uid="{00000000-0005-0000-0000-0000E0000000}"/>
    <cellStyle name="20% - Accent1 2 2 3 21" xfId="47751" xr:uid="{00000000-0005-0000-0000-0000E1000000}"/>
    <cellStyle name="20% - Accent1 2 2 3 22" xfId="49434" xr:uid="{00000000-0005-0000-0000-0000E2000000}"/>
    <cellStyle name="20% - Accent1 2 2 3 23" xfId="51117" xr:uid="{00000000-0005-0000-0000-0000E3000000}"/>
    <cellStyle name="20% - Accent1 2 2 3 24" xfId="52800" xr:uid="{00000000-0005-0000-0000-0000E4000000}"/>
    <cellStyle name="20% - Accent1 2 2 3 25" xfId="54483" xr:uid="{00000000-0005-0000-0000-0000E5000000}"/>
    <cellStyle name="20% - Accent1 2 2 3 26" xfId="56166" xr:uid="{00000000-0005-0000-0000-0000E6000000}"/>
    <cellStyle name="20% - Accent1 2 2 3 27" xfId="57849" xr:uid="{00000000-0005-0000-0000-0000E7000000}"/>
    <cellStyle name="20% - Accent1 2 2 3 28" xfId="59532" xr:uid="{00000000-0005-0000-0000-0000E8000000}"/>
    <cellStyle name="20% - Accent1 2 2 3 29" xfId="61215" xr:uid="{00000000-0005-0000-0000-0000E9000000}"/>
    <cellStyle name="20% - Accent1 2 2 3 3" xfId="3990" xr:uid="{00000000-0005-0000-0000-0000EA000000}"/>
    <cellStyle name="20% - Accent1 2 2 3 3 2" xfId="19139" xr:uid="{00000000-0005-0000-0000-0000EB000000}"/>
    <cellStyle name="20% - Accent1 2 2 3 30" xfId="62898" xr:uid="{00000000-0005-0000-0000-0000EC000000}"/>
    <cellStyle name="20% - Accent1 2 2 3 4" xfId="5673" xr:uid="{00000000-0005-0000-0000-0000ED000000}"/>
    <cellStyle name="20% - Accent1 2 2 3 4 2" xfId="20822" xr:uid="{00000000-0005-0000-0000-0000EE000000}"/>
    <cellStyle name="20% - Accent1 2 2 3 5" xfId="7356" xr:uid="{00000000-0005-0000-0000-0000EF000000}"/>
    <cellStyle name="20% - Accent1 2 2 3 5 2" xfId="22505" xr:uid="{00000000-0005-0000-0000-0000F0000000}"/>
    <cellStyle name="20% - Accent1 2 2 3 6" xfId="9039" xr:uid="{00000000-0005-0000-0000-0000F1000000}"/>
    <cellStyle name="20% - Accent1 2 2 3 6 2" xfId="24188" xr:uid="{00000000-0005-0000-0000-0000F2000000}"/>
    <cellStyle name="20% - Accent1 2 2 3 7" xfId="10722" xr:uid="{00000000-0005-0000-0000-0000F3000000}"/>
    <cellStyle name="20% - Accent1 2 2 3 7 2" xfId="25871" xr:uid="{00000000-0005-0000-0000-0000F4000000}"/>
    <cellStyle name="20% - Accent1 2 2 3 8" xfId="12406" xr:uid="{00000000-0005-0000-0000-0000F5000000}"/>
    <cellStyle name="20% - Accent1 2 2 3 8 2" xfId="27555" xr:uid="{00000000-0005-0000-0000-0000F6000000}"/>
    <cellStyle name="20% - Accent1 2 2 3 9" xfId="14089" xr:uid="{00000000-0005-0000-0000-0000F7000000}"/>
    <cellStyle name="20% - Accent1 2 2 3 9 2" xfId="29238" xr:uid="{00000000-0005-0000-0000-0000F8000000}"/>
    <cellStyle name="20% - Accent1 2 2 30" xfId="55746" xr:uid="{00000000-0005-0000-0000-0000F9000000}"/>
    <cellStyle name="20% - Accent1 2 2 31" xfId="57429" xr:uid="{00000000-0005-0000-0000-0000FA000000}"/>
    <cellStyle name="20% - Accent1 2 2 32" xfId="59112" xr:uid="{00000000-0005-0000-0000-0000FB000000}"/>
    <cellStyle name="20% - Accent1 2 2 33" xfId="60795" xr:uid="{00000000-0005-0000-0000-0000FC000000}"/>
    <cellStyle name="20% - Accent1 2 2 34" xfId="62478" xr:uid="{00000000-0005-0000-0000-0000FD000000}"/>
    <cellStyle name="20% - Accent1 2 2 4" xfId="1044" xr:uid="{00000000-0005-0000-0000-0000FE000000}"/>
    <cellStyle name="20% - Accent1 2 2 4 10" xfId="16193" xr:uid="{00000000-0005-0000-0000-0000FF000000}"/>
    <cellStyle name="20% - Accent1 2 2 4 11" xfId="31342" xr:uid="{00000000-0005-0000-0000-000000010000}"/>
    <cellStyle name="20% - Accent1 2 2 4 12" xfId="33025" xr:uid="{00000000-0005-0000-0000-000001010000}"/>
    <cellStyle name="20% - Accent1 2 2 4 13" xfId="34708" xr:uid="{00000000-0005-0000-0000-000002010000}"/>
    <cellStyle name="20% - Accent1 2 2 4 14" xfId="36391" xr:uid="{00000000-0005-0000-0000-000003010000}"/>
    <cellStyle name="20% - Accent1 2 2 4 15" xfId="38074" xr:uid="{00000000-0005-0000-0000-000004010000}"/>
    <cellStyle name="20% - Accent1 2 2 4 16" xfId="39757" xr:uid="{00000000-0005-0000-0000-000005010000}"/>
    <cellStyle name="20% - Accent1 2 2 4 17" xfId="41440" xr:uid="{00000000-0005-0000-0000-000006010000}"/>
    <cellStyle name="20% - Accent1 2 2 4 18" xfId="43123" xr:uid="{00000000-0005-0000-0000-000007010000}"/>
    <cellStyle name="20% - Accent1 2 2 4 19" xfId="44806" xr:uid="{00000000-0005-0000-0000-000008010000}"/>
    <cellStyle name="20% - Accent1 2 2 4 2" xfId="2727" xr:uid="{00000000-0005-0000-0000-000009010000}"/>
    <cellStyle name="20% - Accent1 2 2 4 2 2" xfId="17876" xr:uid="{00000000-0005-0000-0000-00000A010000}"/>
    <cellStyle name="20% - Accent1 2 2 4 20" xfId="46489" xr:uid="{00000000-0005-0000-0000-00000B010000}"/>
    <cellStyle name="20% - Accent1 2 2 4 21" xfId="48172" xr:uid="{00000000-0005-0000-0000-00000C010000}"/>
    <cellStyle name="20% - Accent1 2 2 4 22" xfId="49855" xr:uid="{00000000-0005-0000-0000-00000D010000}"/>
    <cellStyle name="20% - Accent1 2 2 4 23" xfId="51538" xr:uid="{00000000-0005-0000-0000-00000E010000}"/>
    <cellStyle name="20% - Accent1 2 2 4 24" xfId="53221" xr:uid="{00000000-0005-0000-0000-00000F010000}"/>
    <cellStyle name="20% - Accent1 2 2 4 25" xfId="54904" xr:uid="{00000000-0005-0000-0000-000010010000}"/>
    <cellStyle name="20% - Accent1 2 2 4 26" xfId="56587" xr:uid="{00000000-0005-0000-0000-000011010000}"/>
    <cellStyle name="20% - Accent1 2 2 4 27" xfId="58270" xr:uid="{00000000-0005-0000-0000-000012010000}"/>
    <cellStyle name="20% - Accent1 2 2 4 28" xfId="59953" xr:uid="{00000000-0005-0000-0000-000013010000}"/>
    <cellStyle name="20% - Accent1 2 2 4 29" xfId="61636" xr:uid="{00000000-0005-0000-0000-000014010000}"/>
    <cellStyle name="20% - Accent1 2 2 4 3" xfId="4411" xr:uid="{00000000-0005-0000-0000-000015010000}"/>
    <cellStyle name="20% - Accent1 2 2 4 3 2" xfId="19560" xr:uid="{00000000-0005-0000-0000-000016010000}"/>
    <cellStyle name="20% - Accent1 2 2 4 30" xfId="63319" xr:uid="{00000000-0005-0000-0000-000017010000}"/>
    <cellStyle name="20% - Accent1 2 2 4 4" xfId="6094" xr:uid="{00000000-0005-0000-0000-000018010000}"/>
    <cellStyle name="20% - Accent1 2 2 4 4 2" xfId="21243" xr:uid="{00000000-0005-0000-0000-000019010000}"/>
    <cellStyle name="20% - Accent1 2 2 4 5" xfId="7777" xr:uid="{00000000-0005-0000-0000-00001A010000}"/>
    <cellStyle name="20% - Accent1 2 2 4 5 2" xfId="22926" xr:uid="{00000000-0005-0000-0000-00001B010000}"/>
    <cellStyle name="20% - Accent1 2 2 4 6" xfId="9460" xr:uid="{00000000-0005-0000-0000-00001C010000}"/>
    <cellStyle name="20% - Accent1 2 2 4 6 2" xfId="24609" xr:uid="{00000000-0005-0000-0000-00001D010000}"/>
    <cellStyle name="20% - Accent1 2 2 4 7" xfId="11143" xr:uid="{00000000-0005-0000-0000-00001E010000}"/>
    <cellStyle name="20% - Accent1 2 2 4 7 2" xfId="26292" xr:uid="{00000000-0005-0000-0000-00001F010000}"/>
    <cellStyle name="20% - Accent1 2 2 4 8" xfId="12827" xr:uid="{00000000-0005-0000-0000-000020010000}"/>
    <cellStyle name="20% - Accent1 2 2 4 8 2" xfId="27976" xr:uid="{00000000-0005-0000-0000-000021010000}"/>
    <cellStyle name="20% - Accent1 2 2 4 9" xfId="14510" xr:uid="{00000000-0005-0000-0000-000022010000}"/>
    <cellStyle name="20% - Accent1 2 2 4 9 2" xfId="29659" xr:uid="{00000000-0005-0000-0000-000023010000}"/>
    <cellStyle name="20% - Accent1 2 2 5" xfId="1465" xr:uid="{00000000-0005-0000-0000-000024010000}"/>
    <cellStyle name="20% - Accent1 2 2 5 10" xfId="16614" xr:uid="{00000000-0005-0000-0000-000025010000}"/>
    <cellStyle name="20% - Accent1 2 2 5 11" xfId="31763" xr:uid="{00000000-0005-0000-0000-000026010000}"/>
    <cellStyle name="20% - Accent1 2 2 5 12" xfId="33446" xr:uid="{00000000-0005-0000-0000-000027010000}"/>
    <cellStyle name="20% - Accent1 2 2 5 13" xfId="35129" xr:uid="{00000000-0005-0000-0000-000028010000}"/>
    <cellStyle name="20% - Accent1 2 2 5 14" xfId="36812" xr:uid="{00000000-0005-0000-0000-000029010000}"/>
    <cellStyle name="20% - Accent1 2 2 5 15" xfId="38495" xr:uid="{00000000-0005-0000-0000-00002A010000}"/>
    <cellStyle name="20% - Accent1 2 2 5 16" xfId="40178" xr:uid="{00000000-0005-0000-0000-00002B010000}"/>
    <cellStyle name="20% - Accent1 2 2 5 17" xfId="41861" xr:uid="{00000000-0005-0000-0000-00002C010000}"/>
    <cellStyle name="20% - Accent1 2 2 5 18" xfId="43544" xr:uid="{00000000-0005-0000-0000-00002D010000}"/>
    <cellStyle name="20% - Accent1 2 2 5 19" xfId="45227" xr:uid="{00000000-0005-0000-0000-00002E010000}"/>
    <cellStyle name="20% - Accent1 2 2 5 2" xfId="3148" xr:uid="{00000000-0005-0000-0000-00002F010000}"/>
    <cellStyle name="20% - Accent1 2 2 5 2 2" xfId="18297" xr:uid="{00000000-0005-0000-0000-000030010000}"/>
    <cellStyle name="20% - Accent1 2 2 5 20" xfId="46910" xr:uid="{00000000-0005-0000-0000-000031010000}"/>
    <cellStyle name="20% - Accent1 2 2 5 21" xfId="48593" xr:uid="{00000000-0005-0000-0000-000032010000}"/>
    <cellStyle name="20% - Accent1 2 2 5 22" xfId="50276" xr:uid="{00000000-0005-0000-0000-000033010000}"/>
    <cellStyle name="20% - Accent1 2 2 5 23" xfId="51959" xr:uid="{00000000-0005-0000-0000-000034010000}"/>
    <cellStyle name="20% - Accent1 2 2 5 24" xfId="53642" xr:uid="{00000000-0005-0000-0000-000035010000}"/>
    <cellStyle name="20% - Accent1 2 2 5 25" xfId="55325" xr:uid="{00000000-0005-0000-0000-000036010000}"/>
    <cellStyle name="20% - Accent1 2 2 5 26" xfId="57008" xr:uid="{00000000-0005-0000-0000-000037010000}"/>
    <cellStyle name="20% - Accent1 2 2 5 27" xfId="58691" xr:uid="{00000000-0005-0000-0000-000038010000}"/>
    <cellStyle name="20% - Accent1 2 2 5 28" xfId="60374" xr:uid="{00000000-0005-0000-0000-000039010000}"/>
    <cellStyle name="20% - Accent1 2 2 5 29" xfId="62057" xr:uid="{00000000-0005-0000-0000-00003A010000}"/>
    <cellStyle name="20% - Accent1 2 2 5 3" xfId="4832" xr:uid="{00000000-0005-0000-0000-00003B010000}"/>
    <cellStyle name="20% - Accent1 2 2 5 3 2" xfId="19981" xr:uid="{00000000-0005-0000-0000-00003C010000}"/>
    <cellStyle name="20% - Accent1 2 2 5 30" xfId="63740" xr:uid="{00000000-0005-0000-0000-00003D010000}"/>
    <cellStyle name="20% - Accent1 2 2 5 4" xfId="6515" xr:uid="{00000000-0005-0000-0000-00003E010000}"/>
    <cellStyle name="20% - Accent1 2 2 5 4 2" xfId="21664" xr:uid="{00000000-0005-0000-0000-00003F010000}"/>
    <cellStyle name="20% - Accent1 2 2 5 5" xfId="8198" xr:uid="{00000000-0005-0000-0000-000040010000}"/>
    <cellStyle name="20% - Accent1 2 2 5 5 2" xfId="23347" xr:uid="{00000000-0005-0000-0000-000041010000}"/>
    <cellStyle name="20% - Accent1 2 2 5 6" xfId="9881" xr:uid="{00000000-0005-0000-0000-000042010000}"/>
    <cellStyle name="20% - Accent1 2 2 5 6 2" xfId="25030" xr:uid="{00000000-0005-0000-0000-000043010000}"/>
    <cellStyle name="20% - Accent1 2 2 5 7" xfId="11564" xr:uid="{00000000-0005-0000-0000-000044010000}"/>
    <cellStyle name="20% - Accent1 2 2 5 7 2" xfId="26713" xr:uid="{00000000-0005-0000-0000-000045010000}"/>
    <cellStyle name="20% - Accent1 2 2 5 8" xfId="13248" xr:uid="{00000000-0005-0000-0000-000046010000}"/>
    <cellStyle name="20% - Accent1 2 2 5 8 2" xfId="28397" xr:uid="{00000000-0005-0000-0000-000047010000}"/>
    <cellStyle name="20% - Accent1 2 2 5 9" xfId="14931" xr:uid="{00000000-0005-0000-0000-000048010000}"/>
    <cellStyle name="20% - Accent1 2 2 5 9 2" xfId="30080" xr:uid="{00000000-0005-0000-0000-000049010000}"/>
    <cellStyle name="20% - Accent1 2 2 6" xfId="1886" xr:uid="{00000000-0005-0000-0000-00004A010000}"/>
    <cellStyle name="20% - Accent1 2 2 6 2" xfId="17035" xr:uid="{00000000-0005-0000-0000-00004B010000}"/>
    <cellStyle name="20% - Accent1 2 2 7" xfId="3570" xr:uid="{00000000-0005-0000-0000-00004C010000}"/>
    <cellStyle name="20% - Accent1 2 2 7 2" xfId="18719" xr:uid="{00000000-0005-0000-0000-00004D010000}"/>
    <cellStyle name="20% - Accent1 2 2 8" xfId="5253" xr:uid="{00000000-0005-0000-0000-00004E010000}"/>
    <cellStyle name="20% - Accent1 2 2 8 2" xfId="20402" xr:uid="{00000000-0005-0000-0000-00004F010000}"/>
    <cellStyle name="20% - Accent1 2 2 9" xfId="6936" xr:uid="{00000000-0005-0000-0000-000050010000}"/>
    <cellStyle name="20% - Accent1 2 2 9 2" xfId="22085" xr:uid="{00000000-0005-0000-0000-000051010000}"/>
    <cellStyle name="20% - Accent1 2 20" xfId="37128" xr:uid="{00000000-0005-0000-0000-000052010000}"/>
    <cellStyle name="20% - Accent1 2 21" xfId="38811" xr:uid="{00000000-0005-0000-0000-000053010000}"/>
    <cellStyle name="20% - Accent1 2 22" xfId="40494" xr:uid="{00000000-0005-0000-0000-000054010000}"/>
    <cellStyle name="20% - Accent1 2 23" xfId="42177" xr:uid="{00000000-0005-0000-0000-000055010000}"/>
    <cellStyle name="20% - Accent1 2 24" xfId="43860" xr:uid="{00000000-0005-0000-0000-000056010000}"/>
    <cellStyle name="20% - Accent1 2 25" xfId="45543" xr:uid="{00000000-0005-0000-0000-000057010000}"/>
    <cellStyle name="20% - Accent1 2 26" xfId="47226" xr:uid="{00000000-0005-0000-0000-000058010000}"/>
    <cellStyle name="20% - Accent1 2 27" xfId="48909" xr:uid="{00000000-0005-0000-0000-000059010000}"/>
    <cellStyle name="20% - Accent1 2 28" xfId="50592" xr:uid="{00000000-0005-0000-0000-00005A010000}"/>
    <cellStyle name="20% - Accent1 2 29" xfId="52275" xr:uid="{00000000-0005-0000-0000-00005B010000}"/>
    <cellStyle name="20% - Accent1 2 3" xfId="308" xr:uid="{00000000-0005-0000-0000-00005C010000}"/>
    <cellStyle name="20% - Accent1 2 3 10" xfId="10407" xr:uid="{00000000-0005-0000-0000-00005D010000}"/>
    <cellStyle name="20% - Accent1 2 3 10 2" xfId="25556" xr:uid="{00000000-0005-0000-0000-00005E010000}"/>
    <cellStyle name="20% - Accent1 2 3 11" xfId="12091" xr:uid="{00000000-0005-0000-0000-00005F010000}"/>
    <cellStyle name="20% - Accent1 2 3 11 2" xfId="27240" xr:uid="{00000000-0005-0000-0000-000060010000}"/>
    <cellStyle name="20% - Accent1 2 3 12" xfId="13774" xr:uid="{00000000-0005-0000-0000-000061010000}"/>
    <cellStyle name="20% - Accent1 2 3 12 2" xfId="28923" xr:uid="{00000000-0005-0000-0000-000062010000}"/>
    <cellStyle name="20% - Accent1 2 3 13" xfId="15457" xr:uid="{00000000-0005-0000-0000-000063010000}"/>
    <cellStyle name="20% - Accent1 2 3 14" xfId="30606" xr:uid="{00000000-0005-0000-0000-000064010000}"/>
    <cellStyle name="20% - Accent1 2 3 15" xfId="32289" xr:uid="{00000000-0005-0000-0000-000065010000}"/>
    <cellStyle name="20% - Accent1 2 3 16" xfId="33972" xr:uid="{00000000-0005-0000-0000-000066010000}"/>
    <cellStyle name="20% - Accent1 2 3 17" xfId="35655" xr:uid="{00000000-0005-0000-0000-000067010000}"/>
    <cellStyle name="20% - Accent1 2 3 18" xfId="37338" xr:uid="{00000000-0005-0000-0000-000068010000}"/>
    <cellStyle name="20% - Accent1 2 3 19" xfId="39021" xr:uid="{00000000-0005-0000-0000-000069010000}"/>
    <cellStyle name="20% - Accent1 2 3 2" xfId="728" xr:uid="{00000000-0005-0000-0000-00006A010000}"/>
    <cellStyle name="20% - Accent1 2 3 2 10" xfId="15877" xr:uid="{00000000-0005-0000-0000-00006B010000}"/>
    <cellStyle name="20% - Accent1 2 3 2 11" xfId="31026" xr:uid="{00000000-0005-0000-0000-00006C010000}"/>
    <cellStyle name="20% - Accent1 2 3 2 12" xfId="32709" xr:uid="{00000000-0005-0000-0000-00006D010000}"/>
    <cellStyle name="20% - Accent1 2 3 2 13" xfId="34392" xr:uid="{00000000-0005-0000-0000-00006E010000}"/>
    <cellStyle name="20% - Accent1 2 3 2 14" xfId="36075" xr:uid="{00000000-0005-0000-0000-00006F010000}"/>
    <cellStyle name="20% - Accent1 2 3 2 15" xfId="37758" xr:uid="{00000000-0005-0000-0000-000070010000}"/>
    <cellStyle name="20% - Accent1 2 3 2 16" xfId="39441" xr:uid="{00000000-0005-0000-0000-000071010000}"/>
    <cellStyle name="20% - Accent1 2 3 2 17" xfId="41124" xr:uid="{00000000-0005-0000-0000-000072010000}"/>
    <cellStyle name="20% - Accent1 2 3 2 18" xfId="42807" xr:uid="{00000000-0005-0000-0000-000073010000}"/>
    <cellStyle name="20% - Accent1 2 3 2 19" xfId="44490" xr:uid="{00000000-0005-0000-0000-000074010000}"/>
    <cellStyle name="20% - Accent1 2 3 2 2" xfId="2411" xr:uid="{00000000-0005-0000-0000-000075010000}"/>
    <cellStyle name="20% - Accent1 2 3 2 2 2" xfId="17560" xr:uid="{00000000-0005-0000-0000-000076010000}"/>
    <cellStyle name="20% - Accent1 2 3 2 20" xfId="46173" xr:uid="{00000000-0005-0000-0000-000077010000}"/>
    <cellStyle name="20% - Accent1 2 3 2 21" xfId="47856" xr:uid="{00000000-0005-0000-0000-000078010000}"/>
    <cellStyle name="20% - Accent1 2 3 2 22" xfId="49539" xr:uid="{00000000-0005-0000-0000-000079010000}"/>
    <cellStyle name="20% - Accent1 2 3 2 23" xfId="51222" xr:uid="{00000000-0005-0000-0000-00007A010000}"/>
    <cellStyle name="20% - Accent1 2 3 2 24" xfId="52905" xr:uid="{00000000-0005-0000-0000-00007B010000}"/>
    <cellStyle name="20% - Accent1 2 3 2 25" xfId="54588" xr:uid="{00000000-0005-0000-0000-00007C010000}"/>
    <cellStyle name="20% - Accent1 2 3 2 26" xfId="56271" xr:uid="{00000000-0005-0000-0000-00007D010000}"/>
    <cellStyle name="20% - Accent1 2 3 2 27" xfId="57954" xr:uid="{00000000-0005-0000-0000-00007E010000}"/>
    <cellStyle name="20% - Accent1 2 3 2 28" xfId="59637" xr:uid="{00000000-0005-0000-0000-00007F010000}"/>
    <cellStyle name="20% - Accent1 2 3 2 29" xfId="61320" xr:uid="{00000000-0005-0000-0000-000080010000}"/>
    <cellStyle name="20% - Accent1 2 3 2 3" xfId="4095" xr:uid="{00000000-0005-0000-0000-000081010000}"/>
    <cellStyle name="20% - Accent1 2 3 2 3 2" xfId="19244" xr:uid="{00000000-0005-0000-0000-000082010000}"/>
    <cellStyle name="20% - Accent1 2 3 2 30" xfId="63003" xr:uid="{00000000-0005-0000-0000-000083010000}"/>
    <cellStyle name="20% - Accent1 2 3 2 4" xfId="5778" xr:uid="{00000000-0005-0000-0000-000084010000}"/>
    <cellStyle name="20% - Accent1 2 3 2 4 2" xfId="20927" xr:uid="{00000000-0005-0000-0000-000085010000}"/>
    <cellStyle name="20% - Accent1 2 3 2 5" xfId="7461" xr:uid="{00000000-0005-0000-0000-000086010000}"/>
    <cellStyle name="20% - Accent1 2 3 2 5 2" xfId="22610" xr:uid="{00000000-0005-0000-0000-000087010000}"/>
    <cellStyle name="20% - Accent1 2 3 2 6" xfId="9144" xr:uid="{00000000-0005-0000-0000-000088010000}"/>
    <cellStyle name="20% - Accent1 2 3 2 6 2" xfId="24293" xr:uid="{00000000-0005-0000-0000-000089010000}"/>
    <cellStyle name="20% - Accent1 2 3 2 7" xfId="10827" xr:uid="{00000000-0005-0000-0000-00008A010000}"/>
    <cellStyle name="20% - Accent1 2 3 2 7 2" xfId="25976" xr:uid="{00000000-0005-0000-0000-00008B010000}"/>
    <cellStyle name="20% - Accent1 2 3 2 8" xfId="12511" xr:uid="{00000000-0005-0000-0000-00008C010000}"/>
    <cellStyle name="20% - Accent1 2 3 2 8 2" xfId="27660" xr:uid="{00000000-0005-0000-0000-00008D010000}"/>
    <cellStyle name="20% - Accent1 2 3 2 9" xfId="14194" xr:uid="{00000000-0005-0000-0000-00008E010000}"/>
    <cellStyle name="20% - Accent1 2 3 2 9 2" xfId="29343" xr:uid="{00000000-0005-0000-0000-00008F010000}"/>
    <cellStyle name="20% - Accent1 2 3 20" xfId="40704" xr:uid="{00000000-0005-0000-0000-000090010000}"/>
    <cellStyle name="20% - Accent1 2 3 21" xfId="42387" xr:uid="{00000000-0005-0000-0000-000091010000}"/>
    <cellStyle name="20% - Accent1 2 3 22" xfId="44070" xr:uid="{00000000-0005-0000-0000-000092010000}"/>
    <cellStyle name="20% - Accent1 2 3 23" xfId="45753" xr:uid="{00000000-0005-0000-0000-000093010000}"/>
    <cellStyle name="20% - Accent1 2 3 24" xfId="47436" xr:uid="{00000000-0005-0000-0000-000094010000}"/>
    <cellStyle name="20% - Accent1 2 3 25" xfId="49119" xr:uid="{00000000-0005-0000-0000-000095010000}"/>
    <cellStyle name="20% - Accent1 2 3 26" xfId="50802" xr:uid="{00000000-0005-0000-0000-000096010000}"/>
    <cellStyle name="20% - Accent1 2 3 27" xfId="52485" xr:uid="{00000000-0005-0000-0000-000097010000}"/>
    <cellStyle name="20% - Accent1 2 3 28" xfId="54168" xr:uid="{00000000-0005-0000-0000-000098010000}"/>
    <cellStyle name="20% - Accent1 2 3 29" xfId="55851" xr:uid="{00000000-0005-0000-0000-000099010000}"/>
    <cellStyle name="20% - Accent1 2 3 3" xfId="1149" xr:uid="{00000000-0005-0000-0000-00009A010000}"/>
    <cellStyle name="20% - Accent1 2 3 3 10" xfId="16298" xr:uid="{00000000-0005-0000-0000-00009B010000}"/>
    <cellStyle name="20% - Accent1 2 3 3 11" xfId="31447" xr:uid="{00000000-0005-0000-0000-00009C010000}"/>
    <cellStyle name="20% - Accent1 2 3 3 12" xfId="33130" xr:uid="{00000000-0005-0000-0000-00009D010000}"/>
    <cellStyle name="20% - Accent1 2 3 3 13" xfId="34813" xr:uid="{00000000-0005-0000-0000-00009E010000}"/>
    <cellStyle name="20% - Accent1 2 3 3 14" xfId="36496" xr:uid="{00000000-0005-0000-0000-00009F010000}"/>
    <cellStyle name="20% - Accent1 2 3 3 15" xfId="38179" xr:uid="{00000000-0005-0000-0000-0000A0010000}"/>
    <cellStyle name="20% - Accent1 2 3 3 16" xfId="39862" xr:uid="{00000000-0005-0000-0000-0000A1010000}"/>
    <cellStyle name="20% - Accent1 2 3 3 17" xfId="41545" xr:uid="{00000000-0005-0000-0000-0000A2010000}"/>
    <cellStyle name="20% - Accent1 2 3 3 18" xfId="43228" xr:uid="{00000000-0005-0000-0000-0000A3010000}"/>
    <cellStyle name="20% - Accent1 2 3 3 19" xfId="44911" xr:uid="{00000000-0005-0000-0000-0000A4010000}"/>
    <cellStyle name="20% - Accent1 2 3 3 2" xfId="2832" xr:uid="{00000000-0005-0000-0000-0000A5010000}"/>
    <cellStyle name="20% - Accent1 2 3 3 2 2" xfId="17981" xr:uid="{00000000-0005-0000-0000-0000A6010000}"/>
    <cellStyle name="20% - Accent1 2 3 3 20" xfId="46594" xr:uid="{00000000-0005-0000-0000-0000A7010000}"/>
    <cellStyle name="20% - Accent1 2 3 3 21" xfId="48277" xr:uid="{00000000-0005-0000-0000-0000A8010000}"/>
    <cellStyle name="20% - Accent1 2 3 3 22" xfId="49960" xr:uid="{00000000-0005-0000-0000-0000A9010000}"/>
    <cellStyle name="20% - Accent1 2 3 3 23" xfId="51643" xr:uid="{00000000-0005-0000-0000-0000AA010000}"/>
    <cellStyle name="20% - Accent1 2 3 3 24" xfId="53326" xr:uid="{00000000-0005-0000-0000-0000AB010000}"/>
    <cellStyle name="20% - Accent1 2 3 3 25" xfId="55009" xr:uid="{00000000-0005-0000-0000-0000AC010000}"/>
    <cellStyle name="20% - Accent1 2 3 3 26" xfId="56692" xr:uid="{00000000-0005-0000-0000-0000AD010000}"/>
    <cellStyle name="20% - Accent1 2 3 3 27" xfId="58375" xr:uid="{00000000-0005-0000-0000-0000AE010000}"/>
    <cellStyle name="20% - Accent1 2 3 3 28" xfId="60058" xr:uid="{00000000-0005-0000-0000-0000AF010000}"/>
    <cellStyle name="20% - Accent1 2 3 3 29" xfId="61741" xr:uid="{00000000-0005-0000-0000-0000B0010000}"/>
    <cellStyle name="20% - Accent1 2 3 3 3" xfId="4516" xr:uid="{00000000-0005-0000-0000-0000B1010000}"/>
    <cellStyle name="20% - Accent1 2 3 3 3 2" xfId="19665" xr:uid="{00000000-0005-0000-0000-0000B2010000}"/>
    <cellStyle name="20% - Accent1 2 3 3 30" xfId="63424" xr:uid="{00000000-0005-0000-0000-0000B3010000}"/>
    <cellStyle name="20% - Accent1 2 3 3 4" xfId="6199" xr:uid="{00000000-0005-0000-0000-0000B4010000}"/>
    <cellStyle name="20% - Accent1 2 3 3 4 2" xfId="21348" xr:uid="{00000000-0005-0000-0000-0000B5010000}"/>
    <cellStyle name="20% - Accent1 2 3 3 5" xfId="7882" xr:uid="{00000000-0005-0000-0000-0000B6010000}"/>
    <cellStyle name="20% - Accent1 2 3 3 5 2" xfId="23031" xr:uid="{00000000-0005-0000-0000-0000B7010000}"/>
    <cellStyle name="20% - Accent1 2 3 3 6" xfId="9565" xr:uid="{00000000-0005-0000-0000-0000B8010000}"/>
    <cellStyle name="20% - Accent1 2 3 3 6 2" xfId="24714" xr:uid="{00000000-0005-0000-0000-0000B9010000}"/>
    <cellStyle name="20% - Accent1 2 3 3 7" xfId="11248" xr:uid="{00000000-0005-0000-0000-0000BA010000}"/>
    <cellStyle name="20% - Accent1 2 3 3 7 2" xfId="26397" xr:uid="{00000000-0005-0000-0000-0000BB010000}"/>
    <cellStyle name="20% - Accent1 2 3 3 8" xfId="12932" xr:uid="{00000000-0005-0000-0000-0000BC010000}"/>
    <cellStyle name="20% - Accent1 2 3 3 8 2" xfId="28081" xr:uid="{00000000-0005-0000-0000-0000BD010000}"/>
    <cellStyle name="20% - Accent1 2 3 3 9" xfId="14615" xr:uid="{00000000-0005-0000-0000-0000BE010000}"/>
    <cellStyle name="20% - Accent1 2 3 3 9 2" xfId="29764" xr:uid="{00000000-0005-0000-0000-0000BF010000}"/>
    <cellStyle name="20% - Accent1 2 3 30" xfId="57534" xr:uid="{00000000-0005-0000-0000-0000C0010000}"/>
    <cellStyle name="20% - Accent1 2 3 31" xfId="59217" xr:uid="{00000000-0005-0000-0000-0000C1010000}"/>
    <cellStyle name="20% - Accent1 2 3 32" xfId="60900" xr:uid="{00000000-0005-0000-0000-0000C2010000}"/>
    <cellStyle name="20% - Accent1 2 3 33" xfId="62583" xr:uid="{00000000-0005-0000-0000-0000C3010000}"/>
    <cellStyle name="20% - Accent1 2 3 4" xfId="1570" xr:uid="{00000000-0005-0000-0000-0000C4010000}"/>
    <cellStyle name="20% - Accent1 2 3 4 10" xfId="16719" xr:uid="{00000000-0005-0000-0000-0000C5010000}"/>
    <cellStyle name="20% - Accent1 2 3 4 11" xfId="31868" xr:uid="{00000000-0005-0000-0000-0000C6010000}"/>
    <cellStyle name="20% - Accent1 2 3 4 12" xfId="33551" xr:uid="{00000000-0005-0000-0000-0000C7010000}"/>
    <cellStyle name="20% - Accent1 2 3 4 13" xfId="35234" xr:uid="{00000000-0005-0000-0000-0000C8010000}"/>
    <cellStyle name="20% - Accent1 2 3 4 14" xfId="36917" xr:uid="{00000000-0005-0000-0000-0000C9010000}"/>
    <cellStyle name="20% - Accent1 2 3 4 15" xfId="38600" xr:uid="{00000000-0005-0000-0000-0000CA010000}"/>
    <cellStyle name="20% - Accent1 2 3 4 16" xfId="40283" xr:uid="{00000000-0005-0000-0000-0000CB010000}"/>
    <cellStyle name="20% - Accent1 2 3 4 17" xfId="41966" xr:uid="{00000000-0005-0000-0000-0000CC010000}"/>
    <cellStyle name="20% - Accent1 2 3 4 18" xfId="43649" xr:uid="{00000000-0005-0000-0000-0000CD010000}"/>
    <cellStyle name="20% - Accent1 2 3 4 19" xfId="45332" xr:uid="{00000000-0005-0000-0000-0000CE010000}"/>
    <cellStyle name="20% - Accent1 2 3 4 2" xfId="3253" xr:uid="{00000000-0005-0000-0000-0000CF010000}"/>
    <cellStyle name="20% - Accent1 2 3 4 2 2" xfId="18402" xr:uid="{00000000-0005-0000-0000-0000D0010000}"/>
    <cellStyle name="20% - Accent1 2 3 4 20" xfId="47015" xr:uid="{00000000-0005-0000-0000-0000D1010000}"/>
    <cellStyle name="20% - Accent1 2 3 4 21" xfId="48698" xr:uid="{00000000-0005-0000-0000-0000D2010000}"/>
    <cellStyle name="20% - Accent1 2 3 4 22" xfId="50381" xr:uid="{00000000-0005-0000-0000-0000D3010000}"/>
    <cellStyle name="20% - Accent1 2 3 4 23" xfId="52064" xr:uid="{00000000-0005-0000-0000-0000D4010000}"/>
    <cellStyle name="20% - Accent1 2 3 4 24" xfId="53747" xr:uid="{00000000-0005-0000-0000-0000D5010000}"/>
    <cellStyle name="20% - Accent1 2 3 4 25" xfId="55430" xr:uid="{00000000-0005-0000-0000-0000D6010000}"/>
    <cellStyle name="20% - Accent1 2 3 4 26" xfId="57113" xr:uid="{00000000-0005-0000-0000-0000D7010000}"/>
    <cellStyle name="20% - Accent1 2 3 4 27" xfId="58796" xr:uid="{00000000-0005-0000-0000-0000D8010000}"/>
    <cellStyle name="20% - Accent1 2 3 4 28" xfId="60479" xr:uid="{00000000-0005-0000-0000-0000D9010000}"/>
    <cellStyle name="20% - Accent1 2 3 4 29" xfId="62162" xr:uid="{00000000-0005-0000-0000-0000DA010000}"/>
    <cellStyle name="20% - Accent1 2 3 4 3" xfId="4937" xr:uid="{00000000-0005-0000-0000-0000DB010000}"/>
    <cellStyle name="20% - Accent1 2 3 4 3 2" xfId="20086" xr:uid="{00000000-0005-0000-0000-0000DC010000}"/>
    <cellStyle name="20% - Accent1 2 3 4 30" xfId="63845" xr:uid="{00000000-0005-0000-0000-0000DD010000}"/>
    <cellStyle name="20% - Accent1 2 3 4 4" xfId="6620" xr:uid="{00000000-0005-0000-0000-0000DE010000}"/>
    <cellStyle name="20% - Accent1 2 3 4 4 2" xfId="21769" xr:uid="{00000000-0005-0000-0000-0000DF010000}"/>
    <cellStyle name="20% - Accent1 2 3 4 5" xfId="8303" xr:uid="{00000000-0005-0000-0000-0000E0010000}"/>
    <cellStyle name="20% - Accent1 2 3 4 5 2" xfId="23452" xr:uid="{00000000-0005-0000-0000-0000E1010000}"/>
    <cellStyle name="20% - Accent1 2 3 4 6" xfId="9986" xr:uid="{00000000-0005-0000-0000-0000E2010000}"/>
    <cellStyle name="20% - Accent1 2 3 4 6 2" xfId="25135" xr:uid="{00000000-0005-0000-0000-0000E3010000}"/>
    <cellStyle name="20% - Accent1 2 3 4 7" xfId="11669" xr:uid="{00000000-0005-0000-0000-0000E4010000}"/>
    <cellStyle name="20% - Accent1 2 3 4 7 2" xfId="26818" xr:uid="{00000000-0005-0000-0000-0000E5010000}"/>
    <cellStyle name="20% - Accent1 2 3 4 8" xfId="13353" xr:uid="{00000000-0005-0000-0000-0000E6010000}"/>
    <cellStyle name="20% - Accent1 2 3 4 8 2" xfId="28502" xr:uid="{00000000-0005-0000-0000-0000E7010000}"/>
    <cellStyle name="20% - Accent1 2 3 4 9" xfId="15036" xr:uid="{00000000-0005-0000-0000-0000E8010000}"/>
    <cellStyle name="20% - Accent1 2 3 4 9 2" xfId="30185" xr:uid="{00000000-0005-0000-0000-0000E9010000}"/>
    <cellStyle name="20% - Accent1 2 3 5" xfId="1991" xr:uid="{00000000-0005-0000-0000-0000EA010000}"/>
    <cellStyle name="20% - Accent1 2 3 5 2" xfId="17140" xr:uid="{00000000-0005-0000-0000-0000EB010000}"/>
    <cellStyle name="20% - Accent1 2 3 6" xfId="3675" xr:uid="{00000000-0005-0000-0000-0000EC010000}"/>
    <cellStyle name="20% - Accent1 2 3 6 2" xfId="18824" xr:uid="{00000000-0005-0000-0000-0000ED010000}"/>
    <cellStyle name="20% - Accent1 2 3 7" xfId="5358" xr:uid="{00000000-0005-0000-0000-0000EE010000}"/>
    <cellStyle name="20% - Accent1 2 3 7 2" xfId="20507" xr:uid="{00000000-0005-0000-0000-0000EF010000}"/>
    <cellStyle name="20% - Accent1 2 3 8" xfId="7041" xr:uid="{00000000-0005-0000-0000-0000F0010000}"/>
    <cellStyle name="20% - Accent1 2 3 8 2" xfId="22190" xr:uid="{00000000-0005-0000-0000-0000F1010000}"/>
    <cellStyle name="20% - Accent1 2 3 9" xfId="8724" xr:uid="{00000000-0005-0000-0000-0000F2010000}"/>
    <cellStyle name="20% - Accent1 2 3 9 2" xfId="23873" xr:uid="{00000000-0005-0000-0000-0000F3010000}"/>
    <cellStyle name="20% - Accent1 2 30" xfId="53958" xr:uid="{00000000-0005-0000-0000-0000F4010000}"/>
    <cellStyle name="20% - Accent1 2 31" xfId="55641" xr:uid="{00000000-0005-0000-0000-0000F5010000}"/>
    <cellStyle name="20% - Accent1 2 32" xfId="57324" xr:uid="{00000000-0005-0000-0000-0000F6010000}"/>
    <cellStyle name="20% - Accent1 2 33" xfId="59007" xr:uid="{00000000-0005-0000-0000-0000F7010000}"/>
    <cellStyle name="20% - Accent1 2 34" xfId="60690" xr:uid="{00000000-0005-0000-0000-0000F8010000}"/>
    <cellStyle name="20% - Accent1 2 35" xfId="62373" xr:uid="{00000000-0005-0000-0000-0000F9010000}"/>
    <cellStyle name="20% - Accent1 2 4" xfId="518" xr:uid="{00000000-0005-0000-0000-0000FA010000}"/>
    <cellStyle name="20% - Accent1 2 4 10" xfId="15667" xr:uid="{00000000-0005-0000-0000-0000FB010000}"/>
    <cellStyle name="20% - Accent1 2 4 11" xfId="30816" xr:uid="{00000000-0005-0000-0000-0000FC010000}"/>
    <cellStyle name="20% - Accent1 2 4 12" xfId="32499" xr:uid="{00000000-0005-0000-0000-0000FD010000}"/>
    <cellStyle name="20% - Accent1 2 4 13" xfId="34182" xr:uid="{00000000-0005-0000-0000-0000FE010000}"/>
    <cellStyle name="20% - Accent1 2 4 14" xfId="35865" xr:uid="{00000000-0005-0000-0000-0000FF010000}"/>
    <cellStyle name="20% - Accent1 2 4 15" xfId="37548" xr:uid="{00000000-0005-0000-0000-000000020000}"/>
    <cellStyle name="20% - Accent1 2 4 16" xfId="39231" xr:uid="{00000000-0005-0000-0000-000001020000}"/>
    <cellStyle name="20% - Accent1 2 4 17" xfId="40914" xr:uid="{00000000-0005-0000-0000-000002020000}"/>
    <cellStyle name="20% - Accent1 2 4 18" xfId="42597" xr:uid="{00000000-0005-0000-0000-000003020000}"/>
    <cellStyle name="20% - Accent1 2 4 19" xfId="44280" xr:uid="{00000000-0005-0000-0000-000004020000}"/>
    <cellStyle name="20% - Accent1 2 4 2" xfId="2201" xr:uid="{00000000-0005-0000-0000-000005020000}"/>
    <cellStyle name="20% - Accent1 2 4 2 2" xfId="17350" xr:uid="{00000000-0005-0000-0000-000006020000}"/>
    <cellStyle name="20% - Accent1 2 4 20" xfId="45963" xr:uid="{00000000-0005-0000-0000-000007020000}"/>
    <cellStyle name="20% - Accent1 2 4 21" xfId="47646" xr:uid="{00000000-0005-0000-0000-000008020000}"/>
    <cellStyle name="20% - Accent1 2 4 22" xfId="49329" xr:uid="{00000000-0005-0000-0000-000009020000}"/>
    <cellStyle name="20% - Accent1 2 4 23" xfId="51012" xr:uid="{00000000-0005-0000-0000-00000A020000}"/>
    <cellStyle name="20% - Accent1 2 4 24" xfId="52695" xr:uid="{00000000-0005-0000-0000-00000B020000}"/>
    <cellStyle name="20% - Accent1 2 4 25" xfId="54378" xr:uid="{00000000-0005-0000-0000-00000C020000}"/>
    <cellStyle name="20% - Accent1 2 4 26" xfId="56061" xr:uid="{00000000-0005-0000-0000-00000D020000}"/>
    <cellStyle name="20% - Accent1 2 4 27" xfId="57744" xr:uid="{00000000-0005-0000-0000-00000E020000}"/>
    <cellStyle name="20% - Accent1 2 4 28" xfId="59427" xr:uid="{00000000-0005-0000-0000-00000F020000}"/>
    <cellStyle name="20% - Accent1 2 4 29" xfId="61110" xr:uid="{00000000-0005-0000-0000-000010020000}"/>
    <cellStyle name="20% - Accent1 2 4 3" xfId="3885" xr:uid="{00000000-0005-0000-0000-000011020000}"/>
    <cellStyle name="20% - Accent1 2 4 3 2" xfId="19034" xr:uid="{00000000-0005-0000-0000-000012020000}"/>
    <cellStyle name="20% - Accent1 2 4 30" xfId="62793" xr:uid="{00000000-0005-0000-0000-000013020000}"/>
    <cellStyle name="20% - Accent1 2 4 4" xfId="5568" xr:uid="{00000000-0005-0000-0000-000014020000}"/>
    <cellStyle name="20% - Accent1 2 4 4 2" xfId="20717" xr:uid="{00000000-0005-0000-0000-000015020000}"/>
    <cellStyle name="20% - Accent1 2 4 5" xfId="7251" xr:uid="{00000000-0005-0000-0000-000016020000}"/>
    <cellStyle name="20% - Accent1 2 4 5 2" xfId="22400" xr:uid="{00000000-0005-0000-0000-000017020000}"/>
    <cellStyle name="20% - Accent1 2 4 6" xfId="8934" xr:uid="{00000000-0005-0000-0000-000018020000}"/>
    <cellStyle name="20% - Accent1 2 4 6 2" xfId="24083" xr:uid="{00000000-0005-0000-0000-000019020000}"/>
    <cellStyle name="20% - Accent1 2 4 7" xfId="10617" xr:uid="{00000000-0005-0000-0000-00001A020000}"/>
    <cellStyle name="20% - Accent1 2 4 7 2" xfId="25766" xr:uid="{00000000-0005-0000-0000-00001B020000}"/>
    <cellStyle name="20% - Accent1 2 4 8" xfId="12301" xr:uid="{00000000-0005-0000-0000-00001C020000}"/>
    <cellStyle name="20% - Accent1 2 4 8 2" xfId="27450" xr:uid="{00000000-0005-0000-0000-00001D020000}"/>
    <cellStyle name="20% - Accent1 2 4 9" xfId="13984" xr:uid="{00000000-0005-0000-0000-00001E020000}"/>
    <cellStyle name="20% - Accent1 2 4 9 2" xfId="29133" xr:uid="{00000000-0005-0000-0000-00001F020000}"/>
    <cellStyle name="20% - Accent1 2 5" xfId="939" xr:uid="{00000000-0005-0000-0000-000020020000}"/>
    <cellStyle name="20% - Accent1 2 5 10" xfId="16088" xr:uid="{00000000-0005-0000-0000-000021020000}"/>
    <cellStyle name="20% - Accent1 2 5 11" xfId="31237" xr:uid="{00000000-0005-0000-0000-000022020000}"/>
    <cellStyle name="20% - Accent1 2 5 12" xfId="32920" xr:uid="{00000000-0005-0000-0000-000023020000}"/>
    <cellStyle name="20% - Accent1 2 5 13" xfId="34603" xr:uid="{00000000-0005-0000-0000-000024020000}"/>
    <cellStyle name="20% - Accent1 2 5 14" xfId="36286" xr:uid="{00000000-0005-0000-0000-000025020000}"/>
    <cellStyle name="20% - Accent1 2 5 15" xfId="37969" xr:uid="{00000000-0005-0000-0000-000026020000}"/>
    <cellStyle name="20% - Accent1 2 5 16" xfId="39652" xr:uid="{00000000-0005-0000-0000-000027020000}"/>
    <cellStyle name="20% - Accent1 2 5 17" xfId="41335" xr:uid="{00000000-0005-0000-0000-000028020000}"/>
    <cellStyle name="20% - Accent1 2 5 18" xfId="43018" xr:uid="{00000000-0005-0000-0000-000029020000}"/>
    <cellStyle name="20% - Accent1 2 5 19" xfId="44701" xr:uid="{00000000-0005-0000-0000-00002A020000}"/>
    <cellStyle name="20% - Accent1 2 5 2" xfId="2622" xr:uid="{00000000-0005-0000-0000-00002B020000}"/>
    <cellStyle name="20% - Accent1 2 5 2 2" xfId="17771" xr:uid="{00000000-0005-0000-0000-00002C020000}"/>
    <cellStyle name="20% - Accent1 2 5 20" xfId="46384" xr:uid="{00000000-0005-0000-0000-00002D020000}"/>
    <cellStyle name="20% - Accent1 2 5 21" xfId="48067" xr:uid="{00000000-0005-0000-0000-00002E020000}"/>
    <cellStyle name="20% - Accent1 2 5 22" xfId="49750" xr:uid="{00000000-0005-0000-0000-00002F020000}"/>
    <cellStyle name="20% - Accent1 2 5 23" xfId="51433" xr:uid="{00000000-0005-0000-0000-000030020000}"/>
    <cellStyle name="20% - Accent1 2 5 24" xfId="53116" xr:uid="{00000000-0005-0000-0000-000031020000}"/>
    <cellStyle name="20% - Accent1 2 5 25" xfId="54799" xr:uid="{00000000-0005-0000-0000-000032020000}"/>
    <cellStyle name="20% - Accent1 2 5 26" xfId="56482" xr:uid="{00000000-0005-0000-0000-000033020000}"/>
    <cellStyle name="20% - Accent1 2 5 27" xfId="58165" xr:uid="{00000000-0005-0000-0000-000034020000}"/>
    <cellStyle name="20% - Accent1 2 5 28" xfId="59848" xr:uid="{00000000-0005-0000-0000-000035020000}"/>
    <cellStyle name="20% - Accent1 2 5 29" xfId="61531" xr:uid="{00000000-0005-0000-0000-000036020000}"/>
    <cellStyle name="20% - Accent1 2 5 3" xfId="4306" xr:uid="{00000000-0005-0000-0000-000037020000}"/>
    <cellStyle name="20% - Accent1 2 5 3 2" xfId="19455" xr:uid="{00000000-0005-0000-0000-000038020000}"/>
    <cellStyle name="20% - Accent1 2 5 30" xfId="63214" xr:uid="{00000000-0005-0000-0000-000039020000}"/>
    <cellStyle name="20% - Accent1 2 5 4" xfId="5989" xr:uid="{00000000-0005-0000-0000-00003A020000}"/>
    <cellStyle name="20% - Accent1 2 5 4 2" xfId="21138" xr:uid="{00000000-0005-0000-0000-00003B020000}"/>
    <cellStyle name="20% - Accent1 2 5 5" xfId="7672" xr:uid="{00000000-0005-0000-0000-00003C020000}"/>
    <cellStyle name="20% - Accent1 2 5 5 2" xfId="22821" xr:uid="{00000000-0005-0000-0000-00003D020000}"/>
    <cellStyle name="20% - Accent1 2 5 6" xfId="9355" xr:uid="{00000000-0005-0000-0000-00003E020000}"/>
    <cellStyle name="20% - Accent1 2 5 6 2" xfId="24504" xr:uid="{00000000-0005-0000-0000-00003F020000}"/>
    <cellStyle name="20% - Accent1 2 5 7" xfId="11038" xr:uid="{00000000-0005-0000-0000-000040020000}"/>
    <cellStyle name="20% - Accent1 2 5 7 2" xfId="26187" xr:uid="{00000000-0005-0000-0000-000041020000}"/>
    <cellStyle name="20% - Accent1 2 5 8" xfId="12722" xr:uid="{00000000-0005-0000-0000-000042020000}"/>
    <cellStyle name="20% - Accent1 2 5 8 2" xfId="27871" xr:uid="{00000000-0005-0000-0000-000043020000}"/>
    <cellStyle name="20% - Accent1 2 5 9" xfId="14405" xr:uid="{00000000-0005-0000-0000-000044020000}"/>
    <cellStyle name="20% - Accent1 2 5 9 2" xfId="29554" xr:uid="{00000000-0005-0000-0000-000045020000}"/>
    <cellStyle name="20% - Accent1 2 6" xfId="1360" xr:uid="{00000000-0005-0000-0000-000046020000}"/>
    <cellStyle name="20% - Accent1 2 6 10" xfId="16509" xr:uid="{00000000-0005-0000-0000-000047020000}"/>
    <cellStyle name="20% - Accent1 2 6 11" xfId="31658" xr:uid="{00000000-0005-0000-0000-000048020000}"/>
    <cellStyle name="20% - Accent1 2 6 12" xfId="33341" xr:uid="{00000000-0005-0000-0000-000049020000}"/>
    <cellStyle name="20% - Accent1 2 6 13" xfId="35024" xr:uid="{00000000-0005-0000-0000-00004A020000}"/>
    <cellStyle name="20% - Accent1 2 6 14" xfId="36707" xr:uid="{00000000-0005-0000-0000-00004B020000}"/>
    <cellStyle name="20% - Accent1 2 6 15" xfId="38390" xr:uid="{00000000-0005-0000-0000-00004C020000}"/>
    <cellStyle name="20% - Accent1 2 6 16" xfId="40073" xr:uid="{00000000-0005-0000-0000-00004D020000}"/>
    <cellStyle name="20% - Accent1 2 6 17" xfId="41756" xr:uid="{00000000-0005-0000-0000-00004E020000}"/>
    <cellStyle name="20% - Accent1 2 6 18" xfId="43439" xr:uid="{00000000-0005-0000-0000-00004F020000}"/>
    <cellStyle name="20% - Accent1 2 6 19" xfId="45122" xr:uid="{00000000-0005-0000-0000-000050020000}"/>
    <cellStyle name="20% - Accent1 2 6 2" xfId="3043" xr:uid="{00000000-0005-0000-0000-000051020000}"/>
    <cellStyle name="20% - Accent1 2 6 2 2" xfId="18192" xr:uid="{00000000-0005-0000-0000-000052020000}"/>
    <cellStyle name="20% - Accent1 2 6 20" xfId="46805" xr:uid="{00000000-0005-0000-0000-000053020000}"/>
    <cellStyle name="20% - Accent1 2 6 21" xfId="48488" xr:uid="{00000000-0005-0000-0000-000054020000}"/>
    <cellStyle name="20% - Accent1 2 6 22" xfId="50171" xr:uid="{00000000-0005-0000-0000-000055020000}"/>
    <cellStyle name="20% - Accent1 2 6 23" xfId="51854" xr:uid="{00000000-0005-0000-0000-000056020000}"/>
    <cellStyle name="20% - Accent1 2 6 24" xfId="53537" xr:uid="{00000000-0005-0000-0000-000057020000}"/>
    <cellStyle name="20% - Accent1 2 6 25" xfId="55220" xr:uid="{00000000-0005-0000-0000-000058020000}"/>
    <cellStyle name="20% - Accent1 2 6 26" xfId="56903" xr:uid="{00000000-0005-0000-0000-000059020000}"/>
    <cellStyle name="20% - Accent1 2 6 27" xfId="58586" xr:uid="{00000000-0005-0000-0000-00005A020000}"/>
    <cellStyle name="20% - Accent1 2 6 28" xfId="60269" xr:uid="{00000000-0005-0000-0000-00005B020000}"/>
    <cellStyle name="20% - Accent1 2 6 29" xfId="61952" xr:uid="{00000000-0005-0000-0000-00005C020000}"/>
    <cellStyle name="20% - Accent1 2 6 3" xfId="4727" xr:uid="{00000000-0005-0000-0000-00005D020000}"/>
    <cellStyle name="20% - Accent1 2 6 3 2" xfId="19876" xr:uid="{00000000-0005-0000-0000-00005E020000}"/>
    <cellStyle name="20% - Accent1 2 6 30" xfId="63635" xr:uid="{00000000-0005-0000-0000-00005F020000}"/>
    <cellStyle name="20% - Accent1 2 6 4" xfId="6410" xr:uid="{00000000-0005-0000-0000-000060020000}"/>
    <cellStyle name="20% - Accent1 2 6 4 2" xfId="21559" xr:uid="{00000000-0005-0000-0000-000061020000}"/>
    <cellStyle name="20% - Accent1 2 6 5" xfId="8093" xr:uid="{00000000-0005-0000-0000-000062020000}"/>
    <cellStyle name="20% - Accent1 2 6 5 2" xfId="23242" xr:uid="{00000000-0005-0000-0000-000063020000}"/>
    <cellStyle name="20% - Accent1 2 6 6" xfId="9776" xr:uid="{00000000-0005-0000-0000-000064020000}"/>
    <cellStyle name="20% - Accent1 2 6 6 2" xfId="24925" xr:uid="{00000000-0005-0000-0000-000065020000}"/>
    <cellStyle name="20% - Accent1 2 6 7" xfId="11459" xr:uid="{00000000-0005-0000-0000-000066020000}"/>
    <cellStyle name="20% - Accent1 2 6 7 2" xfId="26608" xr:uid="{00000000-0005-0000-0000-000067020000}"/>
    <cellStyle name="20% - Accent1 2 6 8" xfId="13143" xr:uid="{00000000-0005-0000-0000-000068020000}"/>
    <cellStyle name="20% - Accent1 2 6 8 2" xfId="28292" xr:uid="{00000000-0005-0000-0000-000069020000}"/>
    <cellStyle name="20% - Accent1 2 6 9" xfId="14826" xr:uid="{00000000-0005-0000-0000-00006A020000}"/>
    <cellStyle name="20% - Accent1 2 6 9 2" xfId="29975" xr:uid="{00000000-0005-0000-0000-00006B020000}"/>
    <cellStyle name="20% - Accent1 2 7" xfId="1781" xr:uid="{00000000-0005-0000-0000-00006C020000}"/>
    <cellStyle name="20% - Accent1 2 7 2" xfId="16930" xr:uid="{00000000-0005-0000-0000-00006D020000}"/>
    <cellStyle name="20% - Accent1 2 8" xfId="3465" xr:uid="{00000000-0005-0000-0000-00006E020000}"/>
    <cellStyle name="20% - Accent1 2 8 2" xfId="18614" xr:uid="{00000000-0005-0000-0000-00006F020000}"/>
    <cellStyle name="20% - Accent1 2 9" xfId="5148" xr:uid="{00000000-0005-0000-0000-000070020000}"/>
    <cellStyle name="20% - Accent1 2 9 2" xfId="20297" xr:uid="{00000000-0005-0000-0000-000071020000}"/>
    <cellStyle name="20% - Accent1 20" xfId="33740" xr:uid="{00000000-0005-0000-0000-000072020000}"/>
    <cellStyle name="20% - Accent1 21" xfId="35423" xr:uid="{00000000-0005-0000-0000-000073020000}"/>
    <cellStyle name="20% - Accent1 22" xfId="37106" xr:uid="{00000000-0005-0000-0000-000074020000}"/>
    <cellStyle name="20% - Accent1 23" xfId="38789" xr:uid="{00000000-0005-0000-0000-000075020000}"/>
    <cellStyle name="20% - Accent1 24" xfId="40472" xr:uid="{00000000-0005-0000-0000-000076020000}"/>
    <cellStyle name="20% - Accent1 25" xfId="42155" xr:uid="{00000000-0005-0000-0000-000077020000}"/>
    <cellStyle name="20% - Accent1 26" xfId="43838" xr:uid="{00000000-0005-0000-0000-000078020000}"/>
    <cellStyle name="20% - Accent1 27" xfId="45521" xr:uid="{00000000-0005-0000-0000-000079020000}"/>
    <cellStyle name="20% - Accent1 28" xfId="47204" xr:uid="{00000000-0005-0000-0000-00007A020000}"/>
    <cellStyle name="20% - Accent1 29" xfId="48887" xr:uid="{00000000-0005-0000-0000-00007B020000}"/>
    <cellStyle name="20% - Accent1 3" xfId="118" xr:uid="{00000000-0005-0000-0000-00007C020000}"/>
    <cellStyle name="20% - Accent1 3 10" xfId="6851" xr:uid="{00000000-0005-0000-0000-00007D020000}"/>
    <cellStyle name="20% - Accent1 3 10 2" xfId="22000" xr:uid="{00000000-0005-0000-0000-00007E020000}"/>
    <cellStyle name="20% - Accent1 3 11" xfId="8534" xr:uid="{00000000-0005-0000-0000-00007F020000}"/>
    <cellStyle name="20% - Accent1 3 11 2" xfId="23683" xr:uid="{00000000-0005-0000-0000-000080020000}"/>
    <cellStyle name="20% - Accent1 3 12" xfId="10217" xr:uid="{00000000-0005-0000-0000-000081020000}"/>
    <cellStyle name="20% - Accent1 3 12 2" xfId="25366" xr:uid="{00000000-0005-0000-0000-000082020000}"/>
    <cellStyle name="20% - Accent1 3 13" xfId="11901" xr:uid="{00000000-0005-0000-0000-000083020000}"/>
    <cellStyle name="20% - Accent1 3 13 2" xfId="27050" xr:uid="{00000000-0005-0000-0000-000084020000}"/>
    <cellStyle name="20% - Accent1 3 14" xfId="13584" xr:uid="{00000000-0005-0000-0000-000085020000}"/>
    <cellStyle name="20% - Accent1 3 14 2" xfId="28733" xr:uid="{00000000-0005-0000-0000-000086020000}"/>
    <cellStyle name="20% - Accent1 3 15" xfId="15267" xr:uid="{00000000-0005-0000-0000-000087020000}"/>
    <cellStyle name="20% - Accent1 3 16" xfId="30416" xr:uid="{00000000-0005-0000-0000-000088020000}"/>
    <cellStyle name="20% - Accent1 3 17" xfId="32099" xr:uid="{00000000-0005-0000-0000-000089020000}"/>
    <cellStyle name="20% - Accent1 3 18" xfId="33782" xr:uid="{00000000-0005-0000-0000-00008A020000}"/>
    <cellStyle name="20% - Accent1 3 19" xfId="35465" xr:uid="{00000000-0005-0000-0000-00008B020000}"/>
    <cellStyle name="20% - Accent1 3 2" xfId="223" xr:uid="{00000000-0005-0000-0000-00008C020000}"/>
    <cellStyle name="20% - Accent1 3 2 10" xfId="8639" xr:uid="{00000000-0005-0000-0000-00008D020000}"/>
    <cellStyle name="20% - Accent1 3 2 10 2" xfId="23788" xr:uid="{00000000-0005-0000-0000-00008E020000}"/>
    <cellStyle name="20% - Accent1 3 2 11" xfId="10322" xr:uid="{00000000-0005-0000-0000-00008F020000}"/>
    <cellStyle name="20% - Accent1 3 2 11 2" xfId="25471" xr:uid="{00000000-0005-0000-0000-000090020000}"/>
    <cellStyle name="20% - Accent1 3 2 12" xfId="12006" xr:uid="{00000000-0005-0000-0000-000091020000}"/>
    <cellStyle name="20% - Accent1 3 2 12 2" xfId="27155" xr:uid="{00000000-0005-0000-0000-000092020000}"/>
    <cellStyle name="20% - Accent1 3 2 13" xfId="13689" xr:uid="{00000000-0005-0000-0000-000093020000}"/>
    <cellStyle name="20% - Accent1 3 2 13 2" xfId="28838" xr:uid="{00000000-0005-0000-0000-000094020000}"/>
    <cellStyle name="20% - Accent1 3 2 14" xfId="15372" xr:uid="{00000000-0005-0000-0000-000095020000}"/>
    <cellStyle name="20% - Accent1 3 2 15" xfId="30521" xr:uid="{00000000-0005-0000-0000-000096020000}"/>
    <cellStyle name="20% - Accent1 3 2 16" xfId="32204" xr:uid="{00000000-0005-0000-0000-000097020000}"/>
    <cellStyle name="20% - Accent1 3 2 17" xfId="33887" xr:uid="{00000000-0005-0000-0000-000098020000}"/>
    <cellStyle name="20% - Accent1 3 2 18" xfId="35570" xr:uid="{00000000-0005-0000-0000-000099020000}"/>
    <cellStyle name="20% - Accent1 3 2 19" xfId="37253" xr:uid="{00000000-0005-0000-0000-00009A020000}"/>
    <cellStyle name="20% - Accent1 3 2 2" xfId="433" xr:uid="{00000000-0005-0000-0000-00009B020000}"/>
    <cellStyle name="20% - Accent1 3 2 2 10" xfId="10532" xr:uid="{00000000-0005-0000-0000-00009C020000}"/>
    <cellStyle name="20% - Accent1 3 2 2 10 2" xfId="25681" xr:uid="{00000000-0005-0000-0000-00009D020000}"/>
    <cellStyle name="20% - Accent1 3 2 2 11" xfId="12216" xr:uid="{00000000-0005-0000-0000-00009E020000}"/>
    <cellStyle name="20% - Accent1 3 2 2 11 2" xfId="27365" xr:uid="{00000000-0005-0000-0000-00009F020000}"/>
    <cellStyle name="20% - Accent1 3 2 2 12" xfId="13899" xr:uid="{00000000-0005-0000-0000-0000A0020000}"/>
    <cellStyle name="20% - Accent1 3 2 2 12 2" xfId="29048" xr:uid="{00000000-0005-0000-0000-0000A1020000}"/>
    <cellStyle name="20% - Accent1 3 2 2 13" xfId="15582" xr:uid="{00000000-0005-0000-0000-0000A2020000}"/>
    <cellStyle name="20% - Accent1 3 2 2 14" xfId="30731" xr:uid="{00000000-0005-0000-0000-0000A3020000}"/>
    <cellStyle name="20% - Accent1 3 2 2 15" xfId="32414" xr:uid="{00000000-0005-0000-0000-0000A4020000}"/>
    <cellStyle name="20% - Accent1 3 2 2 16" xfId="34097" xr:uid="{00000000-0005-0000-0000-0000A5020000}"/>
    <cellStyle name="20% - Accent1 3 2 2 17" xfId="35780" xr:uid="{00000000-0005-0000-0000-0000A6020000}"/>
    <cellStyle name="20% - Accent1 3 2 2 18" xfId="37463" xr:uid="{00000000-0005-0000-0000-0000A7020000}"/>
    <cellStyle name="20% - Accent1 3 2 2 19" xfId="39146" xr:uid="{00000000-0005-0000-0000-0000A8020000}"/>
    <cellStyle name="20% - Accent1 3 2 2 2" xfId="853" xr:uid="{00000000-0005-0000-0000-0000A9020000}"/>
    <cellStyle name="20% - Accent1 3 2 2 2 10" xfId="16002" xr:uid="{00000000-0005-0000-0000-0000AA020000}"/>
    <cellStyle name="20% - Accent1 3 2 2 2 11" xfId="31151" xr:uid="{00000000-0005-0000-0000-0000AB020000}"/>
    <cellStyle name="20% - Accent1 3 2 2 2 12" xfId="32834" xr:uid="{00000000-0005-0000-0000-0000AC020000}"/>
    <cellStyle name="20% - Accent1 3 2 2 2 13" xfId="34517" xr:uid="{00000000-0005-0000-0000-0000AD020000}"/>
    <cellStyle name="20% - Accent1 3 2 2 2 14" xfId="36200" xr:uid="{00000000-0005-0000-0000-0000AE020000}"/>
    <cellStyle name="20% - Accent1 3 2 2 2 15" xfId="37883" xr:uid="{00000000-0005-0000-0000-0000AF020000}"/>
    <cellStyle name="20% - Accent1 3 2 2 2 16" xfId="39566" xr:uid="{00000000-0005-0000-0000-0000B0020000}"/>
    <cellStyle name="20% - Accent1 3 2 2 2 17" xfId="41249" xr:uid="{00000000-0005-0000-0000-0000B1020000}"/>
    <cellStyle name="20% - Accent1 3 2 2 2 18" xfId="42932" xr:uid="{00000000-0005-0000-0000-0000B2020000}"/>
    <cellStyle name="20% - Accent1 3 2 2 2 19" xfId="44615" xr:uid="{00000000-0005-0000-0000-0000B3020000}"/>
    <cellStyle name="20% - Accent1 3 2 2 2 2" xfId="2536" xr:uid="{00000000-0005-0000-0000-0000B4020000}"/>
    <cellStyle name="20% - Accent1 3 2 2 2 2 2" xfId="17685" xr:uid="{00000000-0005-0000-0000-0000B5020000}"/>
    <cellStyle name="20% - Accent1 3 2 2 2 20" xfId="46298" xr:uid="{00000000-0005-0000-0000-0000B6020000}"/>
    <cellStyle name="20% - Accent1 3 2 2 2 21" xfId="47981" xr:uid="{00000000-0005-0000-0000-0000B7020000}"/>
    <cellStyle name="20% - Accent1 3 2 2 2 22" xfId="49664" xr:uid="{00000000-0005-0000-0000-0000B8020000}"/>
    <cellStyle name="20% - Accent1 3 2 2 2 23" xfId="51347" xr:uid="{00000000-0005-0000-0000-0000B9020000}"/>
    <cellStyle name="20% - Accent1 3 2 2 2 24" xfId="53030" xr:uid="{00000000-0005-0000-0000-0000BA020000}"/>
    <cellStyle name="20% - Accent1 3 2 2 2 25" xfId="54713" xr:uid="{00000000-0005-0000-0000-0000BB020000}"/>
    <cellStyle name="20% - Accent1 3 2 2 2 26" xfId="56396" xr:uid="{00000000-0005-0000-0000-0000BC020000}"/>
    <cellStyle name="20% - Accent1 3 2 2 2 27" xfId="58079" xr:uid="{00000000-0005-0000-0000-0000BD020000}"/>
    <cellStyle name="20% - Accent1 3 2 2 2 28" xfId="59762" xr:uid="{00000000-0005-0000-0000-0000BE020000}"/>
    <cellStyle name="20% - Accent1 3 2 2 2 29" xfId="61445" xr:uid="{00000000-0005-0000-0000-0000BF020000}"/>
    <cellStyle name="20% - Accent1 3 2 2 2 3" xfId="4220" xr:uid="{00000000-0005-0000-0000-0000C0020000}"/>
    <cellStyle name="20% - Accent1 3 2 2 2 3 2" xfId="19369" xr:uid="{00000000-0005-0000-0000-0000C1020000}"/>
    <cellStyle name="20% - Accent1 3 2 2 2 30" xfId="63128" xr:uid="{00000000-0005-0000-0000-0000C2020000}"/>
    <cellStyle name="20% - Accent1 3 2 2 2 4" xfId="5903" xr:uid="{00000000-0005-0000-0000-0000C3020000}"/>
    <cellStyle name="20% - Accent1 3 2 2 2 4 2" xfId="21052" xr:uid="{00000000-0005-0000-0000-0000C4020000}"/>
    <cellStyle name="20% - Accent1 3 2 2 2 5" xfId="7586" xr:uid="{00000000-0005-0000-0000-0000C5020000}"/>
    <cellStyle name="20% - Accent1 3 2 2 2 5 2" xfId="22735" xr:uid="{00000000-0005-0000-0000-0000C6020000}"/>
    <cellStyle name="20% - Accent1 3 2 2 2 6" xfId="9269" xr:uid="{00000000-0005-0000-0000-0000C7020000}"/>
    <cellStyle name="20% - Accent1 3 2 2 2 6 2" xfId="24418" xr:uid="{00000000-0005-0000-0000-0000C8020000}"/>
    <cellStyle name="20% - Accent1 3 2 2 2 7" xfId="10952" xr:uid="{00000000-0005-0000-0000-0000C9020000}"/>
    <cellStyle name="20% - Accent1 3 2 2 2 7 2" xfId="26101" xr:uid="{00000000-0005-0000-0000-0000CA020000}"/>
    <cellStyle name="20% - Accent1 3 2 2 2 8" xfId="12636" xr:uid="{00000000-0005-0000-0000-0000CB020000}"/>
    <cellStyle name="20% - Accent1 3 2 2 2 8 2" xfId="27785" xr:uid="{00000000-0005-0000-0000-0000CC020000}"/>
    <cellStyle name="20% - Accent1 3 2 2 2 9" xfId="14319" xr:uid="{00000000-0005-0000-0000-0000CD020000}"/>
    <cellStyle name="20% - Accent1 3 2 2 2 9 2" xfId="29468" xr:uid="{00000000-0005-0000-0000-0000CE020000}"/>
    <cellStyle name="20% - Accent1 3 2 2 20" xfId="40829" xr:uid="{00000000-0005-0000-0000-0000CF020000}"/>
    <cellStyle name="20% - Accent1 3 2 2 21" xfId="42512" xr:uid="{00000000-0005-0000-0000-0000D0020000}"/>
    <cellStyle name="20% - Accent1 3 2 2 22" xfId="44195" xr:uid="{00000000-0005-0000-0000-0000D1020000}"/>
    <cellStyle name="20% - Accent1 3 2 2 23" xfId="45878" xr:uid="{00000000-0005-0000-0000-0000D2020000}"/>
    <cellStyle name="20% - Accent1 3 2 2 24" xfId="47561" xr:uid="{00000000-0005-0000-0000-0000D3020000}"/>
    <cellStyle name="20% - Accent1 3 2 2 25" xfId="49244" xr:uid="{00000000-0005-0000-0000-0000D4020000}"/>
    <cellStyle name="20% - Accent1 3 2 2 26" xfId="50927" xr:uid="{00000000-0005-0000-0000-0000D5020000}"/>
    <cellStyle name="20% - Accent1 3 2 2 27" xfId="52610" xr:uid="{00000000-0005-0000-0000-0000D6020000}"/>
    <cellStyle name="20% - Accent1 3 2 2 28" xfId="54293" xr:uid="{00000000-0005-0000-0000-0000D7020000}"/>
    <cellStyle name="20% - Accent1 3 2 2 29" xfId="55976" xr:uid="{00000000-0005-0000-0000-0000D8020000}"/>
    <cellStyle name="20% - Accent1 3 2 2 3" xfId="1274" xr:uid="{00000000-0005-0000-0000-0000D9020000}"/>
    <cellStyle name="20% - Accent1 3 2 2 3 10" xfId="16423" xr:uid="{00000000-0005-0000-0000-0000DA020000}"/>
    <cellStyle name="20% - Accent1 3 2 2 3 11" xfId="31572" xr:uid="{00000000-0005-0000-0000-0000DB020000}"/>
    <cellStyle name="20% - Accent1 3 2 2 3 12" xfId="33255" xr:uid="{00000000-0005-0000-0000-0000DC020000}"/>
    <cellStyle name="20% - Accent1 3 2 2 3 13" xfId="34938" xr:uid="{00000000-0005-0000-0000-0000DD020000}"/>
    <cellStyle name="20% - Accent1 3 2 2 3 14" xfId="36621" xr:uid="{00000000-0005-0000-0000-0000DE020000}"/>
    <cellStyle name="20% - Accent1 3 2 2 3 15" xfId="38304" xr:uid="{00000000-0005-0000-0000-0000DF020000}"/>
    <cellStyle name="20% - Accent1 3 2 2 3 16" xfId="39987" xr:uid="{00000000-0005-0000-0000-0000E0020000}"/>
    <cellStyle name="20% - Accent1 3 2 2 3 17" xfId="41670" xr:uid="{00000000-0005-0000-0000-0000E1020000}"/>
    <cellStyle name="20% - Accent1 3 2 2 3 18" xfId="43353" xr:uid="{00000000-0005-0000-0000-0000E2020000}"/>
    <cellStyle name="20% - Accent1 3 2 2 3 19" xfId="45036" xr:uid="{00000000-0005-0000-0000-0000E3020000}"/>
    <cellStyle name="20% - Accent1 3 2 2 3 2" xfId="2957" xr:uid="{00000000-0005-0000-0000-0000E4020000}"/>
    <cellStyle name="20% - Accent1 3 2 2 3 2 2" xfId="18106" xr:uid="{00000000-0005-0000-0000-0000E5020000}"/>
    <cellStyle name="20% - Accent1 3 2 2 3 20" xfId="46719" xr:uid="{00000000-0005-0000-0000-0000E6020000}"/>
    <cellStyle name="20% - Accent1 3 2 2 3 21" xfId="48402" xr:uid="{00000000-0005-0000-0000-0000E7020000}"/>
    <cellStyle name="20% - Accent1 3 2 2 3 22" xfId="50085" xr:uid="{00000000-0005-0000-0000-0000E8020000}"/>
    <cellStyle name="20% - Accent1 3 2 2 3 23" xfId="51768" xr:uid="{00000000-0005-0000-0000-0000E9020000}"/>
    <cellStyle name="20% - Accent1 3 2 2 3 24" xfId="53451" xr:uid="{00000000-0005-0000-0000-0000EA020000}"/>
    <cellStyle name="20% - Accent1 3 2 2 3 25" xfId="55134" xr:uid="{00000000-0005-0000-0000-0000EB020000}"/>
    <cellStyle name="20% - Accent1 3 2 2 3 26" xfId="56817" xr:uid="{00000000-0005-0000-0000-0000EC020000}"/>
    <cellStyle name="20% - Accent1 3 2 2 3 27" xfId="58500" xr:uid="{00000000-0005-0000-0000-0000ED020000}"/>
    <cellStyle name="20% - Accent1 3 2 2 3 28" xfId="60183" xr:uid="{00000000-0005-0000-0000-0000EE020000}"/>
    <cellStyle name="20% - Accent1 3 2 2 3 29" xfId="61866" xr:uid="{00000000-0005-0000-0000-0000EF020000}"/>
    <cellStyle name="20% - Accent1 3 2 2 3 3" xfId="4641" xr:uid="{00000000-0005-0000-0000-0000F0020000}"/>
    <cellStyle name="20% - Accent1 3 2 2 3 3 2" xfId="19790" xr:uid="{00000000-0005-0000-0000-0000F1020000}"/>
    <cellStyle name="20% - Accent1 3 2 2 3 30" xfId="63549" xr:uid="{00000000-0005-0000-0000-0000F2020000}"/>
    <cellStyle name="20% - Accent1 3 2 2 3 4" xfId="6324" xr:uid="{00000000-0005-0000-0000-0000F3020000}"/>
    <cellStyle name="20% - Accent1 3 2 2 3 4 2" xfId="21473" xr:uid="{00000000-0005-0000-0000-0000F4020000}"/>
    <cellStyle name="20% - Accent1 3 2 2 3 5" xfId="8007" xr:uid="{00000000-0005-0000-0000-0000F5020000}"/>
    <cellStyle name="20% - Accent1 3 2 2 3 5 2" xfId="23156" xr:uid="{00000000-0005-0000-0000-0000F6020000}"/>
    <cellStyle name="20% - Accent1 3 2 2 3 6" xfId="9690" xr:uid="{00000000-0005-0000-0000-0000F7020000}"/>
    <cellStyle name="20% - Accent1 3 2 2 3 6 2" xfId="24839" xr:uid="{00000000-0005-0000-0000-0000F8020000}"/>
    <cellStyle name="20% - Accent1 3 2 2 3 7" xfId="11373" xr:uid="{00000000-0005-0000-0000-0000F9020000}"/>
    <cellStyle name="20% - Accent1 3 2 2 3 7 2" xfId="26522" xr:uid="{00000000-0005-0000-0000-0000FA020000}"/>
    <cellStyle name="20% - Accent1 3 2 2 3 8" xfId="13057" xr:uid="{00000000-0005-0000-0000-0000FB020000}"/>
    <cellStyle name="20% - Accent1 3 2 2 3 8 2" xfId="28206" xr:uid="{00000000-0005-0000-0000-0000FC020000}"/>
    <cellStyle name="20% - Accent1 3 2 2 3 9" xfId="14740" xr:uid="{00000000-0005-0000-0000-0000FD020000}"/>
    <cellStyle name="20% - Accent1 3 2 2 3 9 2" xfId="29889" xr:uid="{00000000-0005-0000-0000-0000FE020000}"/>
    <cellStyle name="20% - Accent1 3 2 2 30" xfId="57659" xr:uid="{00000000-0005-0000-0000-0000FF020000}"/>
    <cellStyle name="20% - Accent1 3 2 2 31" xfId="59342" xr:uid="{00000000-0005-0000-0000-000000030000}"/>
    <cellStyle name="20% - Accent1 3 2 2 32" xfId="61025" xr:uid="{00000000-0005-0000-0000-000001030000}"/>
    <cellStyle name="20% - Accent1 3 2 2 33" xfId="62708" xr:uid="{00000000-0005-0000-0000-000002030000}"/>
    <cellStyle name="20% - Accent1 3 2 2 4" xfId="1695" xr:uid="{00000000-0005-0000-0000-000003030000}"/>
    <cellStyle name="20% - Accent1 3 2 2 4 10" xfId="16844" xr:uid="{00000000-0005-0000-0000-000004030000}"/>
    <cellStyle name="20% - Accent1 3 2 2 4 11" xfId="31993" xr:uid="{00000000-0005-0000-0000-000005030000}"/>
    <cellStyle name="20% - Accent1 3 2 2 4 12" xfId="33676" xr:uid="{00000000-0005-0000-0000-000006030000}"/>
    <cellStyle name="20% - Accent1 3 2 2 4 13" xfId="35359" xr:uid="{00000000-0005-0000-0000-000007030000}"/>
    <cellStyle name="20% - Accent1 3 2 2 4 14" xfId="37042" xr:uid="{00000000-0005-0000-0000-000008030000}"/>
    <cellStyle name="20% - Accent1 3 2 2 4 15" xfId="38725" xr:uid="{00000000-0005-0000-0000-000009030000}"/>
    <cellStyle name="20% - Accent1 3 2 2 4 16" xfId="40408" xr:uid="{00000000-0005-0000-0000-00000A030000}"/>
    <cellStyle name="20% - Accent1 3 2 2 4 17" xfId="42091" xr:uid="{00000000-0005-0000-0000-00000B030000}"/>
    <cellStyle name="20% - Accent1 3 2 2 4 18" xfId="43774" xr:uid="{00000000-0005-0000-0000-00000C030000}"/>
    <cellStyle name="20% - Accent1 3 2 2 4 19" xfId="45457" xr:uid="{00000000-0005-0000-0000-00000D030000}"/>
    <cellStyle name="20% - Accent1 3 2 2 4 2" xfId="3378" xr:uid="{00000000-0005-0000-0000-00000E030000}"/>
    <cellStyle name="20% - Accent1 3 2 2 4 2 2" xfId="18527" xr:uid="{00000000-0005-0000-0000-00000F030000}"/>
    <cellStyle name="20% - Accent1 3 2 2 4 20" xfId="47140" xr:uid="{00000000-0005-0000-0000-000010030000}"/>
    <cellStyle name="20% - Accent1 3 2 2 4 21" xfId="48823" xr:uid="{00000000-0005-0000-0000-000011030000}"/>
    <cellStyle name="20% - Accent1 3 2 2 4 22" xfId="50506" xr:uid="{00000000-0005-0000-0000-000012030000}"/>
    <cellStyle name="20% - Accent1 3 2 2 4 23" xfId="52189" xr:uid="{00000000-0005-0000-0000-000013030000}"/>
    <cellStyle name="20% - Accent1 3 2 2 4 24" xfId="53872" xr:uid="{00000000-0005-0000-0000-000014030000}"/>
    <cellStyle name="20% - Accent1 3 2 2 4 25" xfId="55555" xr:uid="{00000000-0005-0000-0000-000015030000}"/>
    <cellStyle name="20% - Accent1 3 2 2 4 26" xfId="57238" xr:uid="{00000000-0005-0000-0000-000016030000}"/>
    <cellStyle name="20% - Accent1 3 2 2 4 27" xfId="58921" xr:uid="{00000000-0005-0000-0000-000017030000}"/>
    <cellStyle name="20% - Accent1 3 2 2 4 28" xfId="60604" xr:uid="{00000000-0005-0000-0000-000018030000}"/>
    <cellStyle name="20% - Accent1 3 2 2 4 29" xfId="62287" xr:uid="{00000000-0005-0000-0000-000019030000}"/>
    <cellStyle name="20% - Accent1 3 2 2 4 3" xfId="5062" xr:uid="{00000000-0005-0000-0000-00001A030000}"/>
    <cellStyle name="20% - Accent1 3 2 2 4 3 2" xfId="20211" xr:uid="{00000000-0005-0000-0000-00001B030000}"/>
    <cellStyle name="20% - Accent1 3 2 2 4 30" xfId="63970" xr:uid="{00000000-0005-0000-0000-00001C030000}"/>
    <cellStyle name="20% - Accent1 3 2 2 4 4" xfId="6745" xr:uid="{00000000-0005-0000-0000-00001D030000}"/>
    <cellStyle name="20% - Accent1 3 2 2 4 4 2" xfId="21894" xr:uid="{00000000-0005-0000-0000-00001E030000}"/>
    <cellStyle name="20% - Accent1 3 2 2 4 5" xfId="8428" xr:uid="{00000000-0005-0000-0000-00001F030000}"/>
    <cellStyle name="20% - Accent1 3 2 2 4 5 2" xfId="23577" xr:uid="{00000000-0005-0000-0000-000020030000}"/>
    <cellStyle name="20% - Accent1 3 2 2 4 6" xfId="10111" xr:uid="{00000000-0005-0000-0000-000021030000}"/>
    <cellStyle name="20% - Accent1 3 2 2 4 6 2" xfId="25260" xr:uid="{00000000-0005-0000-0000-000022030000}"/>
    <cellStyle name="20% - Accent1 3 2 2 4 7" xfId="11794" xr:uid="{00000000-0005-0000-0000-000023030000}"/>
    <cellStyle name="20% - Accent1 3 2 2 4 7 2" xfId="26943" xr:uid="{00000000-0005-0000-0000-000024030000}"/>
    <cellStyle name="20% - Accent1 3 2 2 4 8" xfId="13478" xr:uid="{00000000-0005-0000-0000-000025030000}"/>
    <cellStyle name="20% - Accent1 3 2 2 4 8 2" xfId="28627" xr:uid="{00000000-0005-0000-0000-000026030000}"/>
    <cellStyle name="20% - Accent1 3 2 2 4 9" xfId="15161" xr:uid="{00000000-0005-0000-0000-000027030000}"/>
    <cellStyle name="20% - Accent1 3 2 2 4 9 2" xfId="30310" xr:uid="{00000000-0005-0000-0000-000028030000}"/>
    <cellStyle name="20% - Accent1 3 2 2 5" xfId="2116" xr:uid="{00000000-0005-0000-0000-000029030000}"/>
    <cellStyle name="20% - Accent1 3 2 2 5 2" xfId="17265" xr:uid="{00000000-0005-0000-0000-00002A030000}"/>
    <cellStyle name="20% - Accent1 3 2 2 6" xfId="3800" xr:uid="{00000000-0005-0000-0000-00002B030000}"/>
    <cellStyle name="20% - Accent1 3 2 2 6 2" xfId="18949" xr:uid="{00000000-0005-0000-0000-00002C030000}"/>
    <cellStyle name="20% - Accent1 3 2 2 7" xfId="5483" xr:uid="{00000000-0005-0000-0000-00002D030000}"/>
    <cellStyle name="20% - Accent1 3 2 2 7 2" xfId="20632" xr:uid="{00000000-0005-0000-0000-00002E030000}"/>
    <cellStyle name="20% - Accent1 3 2 2 8" xfId="7166" xr:uid="{00000000-0005-0000-0000-00002F030000}"/>
    <cellStyle name="20% - Accent1 3 2 2 8 2" xfId="22315" xr:uid="{00000000-0005-0000-0000-000030030000}"/>
    <cellStyle name="20% - Accent1 3 2 2 9" xfId="8849" xr:uid="{00000000-0005-0000-0000-000031030000}"/>
    <cellStyle name="20% - Accent1 3 2 2 9 2" xfId="23998" xr:uid="{00000000-0005-0000-0000-000032030000}"/>
    <cellStyle name="20% - Accent1 3 2 20" xfId="38936" xr:uid="{00000000-0005-0000-0000-000033030000}"/>
    <cellStyle name="20% - Accent1 3 2 21" xfId="40619" xr:uid="{00000000-0005-0000-0000-000034030000}"/>
    <cellStyle name="20% - Accent1 3 2 22" xfId="42302" xr:uid="{00000000-0005-0000-0000-000035030000}"/>
    <cellStyle name="20% - Accent1 3 2 23" xfId="43985" xr:uid="{00000000-0005-0000-0000-000036030000}"/>
    <cellStyle name="20% - Accent1 3 2 24" xfId="45668" xr:uid="{00000000-0005-0000-0000-000037030000}"/>
    <cellStyle name="20% - Accent1 3 2 25" xfId="47351" xr:uid="{00000000-0005-0000-0000-000038030000}"/>
    <cellStyle name="20% - Accent1 3 2 26" xfId="49034" xr:uid="{00000000-0005-0000-0000-000039030000}"/>
    <cellStyle name="20% - Accent1 3 2 27" xfId="50717" xr:uid="{00000000-0005-0000-0000-00003A030000}"/>
    <cellStyle name="20% - Accent1 3 2 28" xfId="52400" xr:uid="{00000000-0005-0000-0000-00003B030000}"/>
    <cellStyle name="20% - Accent1 3 2 29" xfId="54083" xr:uid="{00000000-0005-0000-0000-00003C030000}"/>
    <cellStyle name="20% - Accent1 3 2 3" xfId="643" xr:uid="{00000000-0005-0000-0000-00003D030000}"/>
    <cellStyle name="20% - Accent1 3 2 3 10" xfId="15792" xr:uid="{00000000-0005-0000-0000-00003E030000}"/>
    <cellStyle name="20% - Accent1 3 2 3 11" xfId="30941" xr:uid="{00000000-0005-0000-0000-00003F030000}"/>
    <cellStyle name="20% - Accent1 3 2 3 12" xfId="32624" xr:uid="{00000000-0005-0000-0000-000040030000}"/>
    <cellStyle name="20% - Accent1 3 2 3 13" xfId="34307" xr:uid="{00000000-0005-0000-0000-000041030000}"/>
    <cellStyle name="20% - Accent1 3 2 3 14" xfId="35990" xr:uid="{00000000-0005-0000-0000-000042030000}"/>
    <cellStyle name="20% - Accent1 3 2 3 15" xfId="37673" xr:uid="{00000000-0005-0000-0000-000043030000}"/>
    <cellStyle name="20% - Accent1 3 2 3 16" xfId="39356" xr:uid="{00000000-0005-0000-0000-000044030000}"/>
    <cellStyle name="20% - Accent1 3 2 3 17" xfId="41039" xr:uid="{00000000-0005-0000-0000-000045030000}"/>
    <cellStyle name="20% - Accent1 3 2 3 18" xfId="42722" xr:uid="{00000000-0005-0000-0000-000046030000}"/>
    <cellStyle name="20% - Accent1 3 2 3 19" xfId="44405" xr:uid="{00000000-0005-0000-0000-000047030000}"/>
    <cellStyle name="20% - Accent1 3 2 3 2" xfId="2326" xr:uid="{00000000-0005-0000-0000-000048030000}"/>
    <cellStyle name="20% - Accent1 3 2 3 2 2" xfId="17475" xr:uid="{00000000-0005-0000-0000-000049030000}"/>
    <cellStyle name="20% - Accent1 3 2 3 20" xfId="46088" xr:uid="{00000000-0005-0000-0000-00004A030000}"/>
    <cellStyle name="20% - Accent1 3 2 3 21" xfId="47771" xr:uid="{00000000-0005-0000-0000-00004B030000}"/>
    <cellStyle name="20% - Accent1 3 2 3 22" xfId="49454" xr:uid="{00000000-0005-0000-0000-00004C030000}"/>
    <cellStyle name="20% - Accent1 3 2 3 23" xfId="51137" xr:uid="{00000000-0005-0000-0000-00004D030000}"/>
    <cellStyle name="20% - Accent1 3 2 3 24" xfId="52820" xr:uid="{00000000-0005-0000-0000-00004E030000}"/>
    <cellStyle name="20% - Accent1 3 2 3 25" xfId="54503" xr:uid="{00000000-0005-0000-0000-00004F030000}"/>
    <cellStyle name="20% - Accent1 3 2 3 26" xfId="56186" xr:uid="{00000000-0005-0000-0000-000050030000}"/>
    <cellStyle name="20% - Accent1 3 2 3 27" xfId="57869" xr:uid="{00000000-0005-0000-0000-000051030000}"/>
    <cellStyle name="20% - Accent1 3 2 3 28" xfId="59552" xr:uid="{00000000-0005-0000-0000-000052030000}"/>
    <cellStyle name="20% - Accent1 3 2 3 29" xfId="61235" xr:uid="{00000000-0005-0000-0000-000053030000}"/>
    <cellStyle name="20% - Accent1 3 2 3 3" xfId="4010" xr:uid="{00000000-0005-0000-0000-000054030000}"/>
    <cellStyle name="20% - Accent1 3 2 3 3 2" xfId="19159" xr:uid="{00000000-0005-0000-0000-000055030000}"/>
    <cellStyle name="20% - Accent1 3 2 3 30" xfId="62918" xr:uid="{00000000-0005-0000-0000-000056030000}"/>
    <cellStyle name="20% - Accent1 3 2 3 4" xfId="5693" xr:uid="{00000000-0005-0000-0000-000057030000}"/>
    <cellStyle name="20% - Accent1 3 2 3 4 2" xfId="20842" xr:uid="{00000000-0005-0000-0000-000058030000}"/>
    <cellStyle name="20% - Accent1 3 2 3 5" xfId="7376" xr:uid="{00000000-0005-0000-0000-000059030000}"/>
    <cellStyle name="20% - Accent1 3 2 3 5 2" xfId="22525" xr:uid="{00000000-0005-0000-0000-00005A030000}"/>
    <cellStyle name="20% - Accent1 3 2 3 6" xfId="9059" xr:uid="{00000000-0005-0000-0000-00005B030000}"/>
    <cellStyle name="20% - Accent1 3 2 3 6 2" xfId="24208" xr:uid="{00000000-0005-0000-0000-00005C030000}"/>
    <cellStyle name="20% - Accent1 3 2 3 7" xfId="10742" xr:uid="{00000000-0005-0000-0000-00005D030000}"/>
    <cellStyle name="20% - Accent1 3 2 3 7 2" xfId="25891" xr:uid="{00000000-0005-0000-0000-00005E030000}"/>
    <cellStyle name="20% - Accent1 3 2 3 8" xfId="12426" xr:uid="{00000000-0005-0000-0000-00005F030000}"/>
    <cellStyle name="20% - Accent1 3 2 3 8 2" xfId="27575" xr:uid="{00000000-0005-0000-0000-000060030000}"/>
    <cellStyle name="20% - Accent1 3 2 3 9" xfId="14109" xr:uid="{00000000-0005-0000-0000-000061030000}"/>
    <cellStyle name="20% - Accent1 3 2 3 9 2" xfId="29258" xr:uid="{00000000-0005-0000-0000-000062030000}"/>
    <cellStyle name="20% - Accent1 3 2 30" xfId="55766" xr:uid="{00000000-0005-0000-0000-000063030000}"/>
    <cellStyle name="20% - Accent1 3 2 31" xfId="57449" xr:uid="{00000000-0005-0000-0000-000064030000}"/>
    <cellStyle name="20% - Accent1 3 2 32" xfId="59132" xr:uid="{00000000-0005-0000-0000-000065030000}"/>
    <cellStyle name="20% - Accent1 3 2 33" xfId="60815" xr:uid="{00000000-0005-0000-0000-000066030000}"/>
    <cellStyle name="20% - Accent1 3 2 34" xfId="62498" xr:uid="{00000000-0005-0000-0000-000067030000}"/>
    <cellStyle name="20% - Accent1 3 2 4" xfId="1064" xr:uid="{00000000-0005-0000-0000-000068030000}"/>
    <cellStyle name="20% - Accent1 3 2 4 10" xfId="16213" xr:uid="{00000000-0005-0000-0000-000069030000}"/>
    <cellStyle name="20% - Accent1 3 2 4 11" xfId="31362" xr:uid="{00000000-0005-0000-0000-00006A030000}"/>
    <cellStyle name="20% - Accent1 3 2 4 12" xfId="33045" xr:uid="{00000000-0005-0000-0000-00006B030000}"/>
    <cellStyle name="20% - Accent1 3 2 4 13" xfId="34728" xr:uid="{00000000-0005-0000-0000-00006C030000}"/>
    <cellStyle name="20% - Accent1 3 2 4 14" xfId="36411" xr:uid="{00000000-0005-0000-0000-00006D030000}"/>
    <cellStyle name="20% - Accent1 3 2 4 15" xfId="38094" xr:uid="{00000000-0005-0000-0000-00006E030000}"/>
    <cellStyle name="20% - Accent1 3 2 4 16" xfId="39777" xr:uid="{00000000-0005-0000-0000-00006F030000}"/>
    <cellStyle name="20% - Accent1 3 2 4 17" xfId="41460" xr:uid="{00000000-0005-0000-0000-000070030000}"/>
    <cellStyle name="20% - Accent1 3 2 4 18" xfId="43143" xr:uid="{00000000-0005-0000-0000-000071030000}"/>
    <cellStyle name="20% - Accent1 3 2 4 19" xfId="44826" xr:uid="{00000000-0005-0000-0000-000072030000}"/>
    <cellStyle name="20% - Accent1 3 2 4 2" xfId="2747" xr:uid="{00000000-0005-0000-0000-000073030000}"/>
    <cellStyle name="20% - Accent1 3 2 4 2 2" xfId="17896" xr:uid="{00000000-0005-0000-0000-000074030000}"/>
    <cellStyle name="20% - Accent1 3 2 4 20" xfId="46509" xr:uid="{00000000-0005-0000-0000-000075030000}"/>
    <cellStyle name="20% - Accent1 3 2 4 21" xfId="48192" xr:uid="{00000000-0005-0000-0000-000076030000}"/>
    <cellStyle name="20% - Accent1 3 2 4 22" xfId="49875" xr:uid="{00000000-0005-0000-0000-000077030000}"/>
    <cellStyle name="20% - Accent1 3 2 4 23" xfId="51558" xr:uid="{00000000-0005-0000-0000-000078030000}"/>
    <cellStyle name="20% - Accent1 3 2 4 24" xfId="53241" xr:uid="{00000000-0005-0000-0000-000079030000}"/>
    <cellStyle name="20% - Accent1 3 2 4 25" xfId="54924" xr:uid="{00000000-0005-0000-0000-00007A030000}"/>
    <cellStyle name="20% - Accent1 3 2 4 26" xfId="56607" xr:uid="{00000000-0005-0000-0000-00007B030000}"/>
    <cellStyle name="20% - Accent1 3 2 4 27" xfId="58290" xr:uid="{00000000-0005-0000-0000-00007C030000}"/>
    <cellStyle name="20% - Accent1 3 2 4 28" xfId="59973" xr:uid="{00000000-0005-0000-0000-00007D030000}"/>
    <cellStyle name="20% - Accent1 3 2 4 29" xfId="61656" xr:uid="{00000000-0005-0000-0000-00007E030000}"/>
    <cellStyle name="20% - Accent1 3 2 4 3" xfId="4431" xr:uid="{00000000-0005-0000-0000-00007F030000}"/>
    <cellStyle name="20% - Accent1 3 2 4 3 2" xfId="19580" xr:uid="{00000000-0005-0000-0000-000080030000}"/>
    <cellStyle name="20% - Accent1 3 2 4 30" xfId="63339" xr:uid="{00000000-0005-0000-0000-000081030000}"/>
    <cellStyle name="20% - Accent1 3 2 4 4" xfId="6114" xr:uid="{00000000-0005-0000-0000-000082030000}"/>
    <cellStyle name="20% - Accent1 3 2 4 4 2" xfId="21263" xr:uid="{00000000-0005-0000-0000-000083030000}"/>
    <cellStyle name="20% - Accent1 3 2 4 5" xfId="7797" xr:uid="{00000000-0005-0000-0000-000084030000}"/>
    <cellStyle name="20% - Accent1 3 2 4 5 2" xfId="22946" xr:uid="{00000000-0005-0000-0000-000085030000}"/>
    <cellStyle name="20% - Accent1 3 2 4 6" xfId="9480" xr:uid="{00000000-0005-0000-0000-000086030000}"/>
    <cellStyle name="20% - Accent1 3 2 4 6 2" xfId="24629" xr:uid="{00000000-0005-0000-0000-000087030000}"/>
    <cellStyle name="20% - Accent1 3 2 4 7" xfId="11163" xr:uid="{00000000-0005-0000-0000-000088030000}"/>
    <cellStyle name="20% - Accent1 3 2 4 7 2" xfId="26312" xr:uid="{00000000-0005-0000-0000-000089030000}"/>
    <cellStyle name="20% - Accent1 3 2 4 8" xfId="12847" xr:uid="{00000000-0005-0000-0000-00008A030000}"/>
    <cellStyle name="20% - Accent1 3 2 4 8 2" xfId="27996" xr:uid="{00000000-0005-0000-0000-00008B030000}"/>
    <cellStyle name="20% - Accent1 3 2 4 9" xfId="14530" xr:uid="{00000000-0005-0000-0000-00008C030000}"/>
    <cellStyle name="20% - Accent1 3 2 4 9 2" xfId="29679" xr:uid="{00000000-0005-0000-0000-00008D030000}"/>
    <cellStyle name="20% - Accent1 3 2 5" xfId="1485" xr:uid="{00000000-0005-0000-0000-00008E030000}"/>
    <cellStyle name="20% - Accent1 3 2 5 10" xfId="16634" xr:uid="{00000000-0005-0000-0000-00008F030000}"/>
    <cellStyle name="20% - Accent1 3 2 5 11" xfId="31783" xr:uid="{00000000-0005-0000-0000-000090030000}"/>
    <cellStyle name="20% - Accent1 3 2 5 12" xfId="33466" xr:uid="{00000000-0005-0000-0000-000091030000}"/>
    <cellStyle name="20% - Accent1 3 2 5 13" xfId="35149" xr:uid="{00000000-0005-0000-0000-000092030000}"/>
    <cellStyle name="20% - Accent1 3 2 5 14" xfId="36832" xr:uid="{00000000-0005-0000-0000-000093030000}"/>
    <cellStyle name="20% - Accent1 3 2 5 15" xfId="38515" xr:uid="{00000000-0005-0000-0000-000094030000}"/>
    <cellStyle name="20% - Accent1 3 2 5 16" xfId="40198" xr:uid="{00000000-0005-0000-0000-000095030000}"/>
    <cellStyle name="20% - Accent1 3 2 5 17" xfId="41881" xr:uid="{00000000-0005-0000-0000-000096030000}"/>
    <cellStyle name="20% - Accent1 3 2 5 18" xfId="43564" xr:uid="{00000000-0005-0000-0000-000097030000}"/>
    <cellStyle name="20% - Accent1 3 2 5 19" xfId="45247" xr:uid="{00000000-0005-0000-0000-000098030000}"/>
    <cellStyle name="20% - Accent1 3 2 5 2" xfId="3168" xr:uid="{00000000-0005-0000-0000-000099030000}"/>
    <cellStyle name="20% - Accent1 3 2 5 2 2" xfId="18317" xr:uid="{00000000-0005-0000-0000-00009A030000}"/>
    <cellStyle name="20% - Accent1 3 2 5 20" xfId="46930" xr:uid="{00000000-0005-0000-0000-00009B030000}"/>
    <cellStyle name="20% - Accent1 3 2 5 21" xfId="48613" xr:uid="{00000000-0005-0000-0000-00009C030000}"/>
    <cellStyle name="20% - Accent1 3 2 5 22" xfId="50296" xr:uid="{00000000-0005-0000-0000-00009D030000}"/>
    <cellStyle name="20% - Accent1 3 2 5 23" xfId="51979" xr:uid="{00000000-0005-0000-0000-00009E030000}"/>
    <cellStyle name="20% - Accent1 3 2 5 24" xfId="53662" xr:uid="{00000000-0005-0000-0000-00009F030000}"/>
    <cellStyle name="20% - Accent1 3 2 5 25" xfId="55345" xr:uid="{00000000-0005-0000-0000-0000A0030000}"/>
    <cellStyle name="20% - Accent1 3 2 5 26" xfId="57028" xr:uid="{00000000-0005-0000-0000-0000A1030000}"/>
    <cellStyle name="20% - Accent1 3 2 5 27" xfId="58711" xr:uid="{00000000-0005-0000-0000-0000A2030000}"/>
    <cellStyle name="20% - Accent1 3 2 5 28" xfId="60394" xr:uid="{00000000-0005-0000-0000-0000A3030000}"/>
    <cellStyle name="20% - Accent1 3 2 5 29" xfId="62077" xr:uid="{00000000-0005-0000-0000-0000A4030000}"/>
    <cellStyle name="20% - Accent1 3 2 5 3" xfId="4852" xr:uid="{00000000-0005-0000-0000-0000A5030000}"/>
    <cellStyle name="20% - Accent1 3 2 5 3 2" xfId="20001" xr:uid="{00000000-0005-0000-0000-0000A6030000}"/>
    <cellStyle name="20% - Accent1 3 2 5 30" xfId="63760" xr:uid="{00000000-0005-0000-0000-0000A7030000}"/>
    <cellStyle name="20% - Accent1 3 2 5 4" xfId="6535" xr:uid="{00000000-0005-0000-0000-0000A8030000}"/>
    <cellStyle name="20% - Accent1 3 2 5 4 2" xfId="21684" xr:uid="{00000000-0005-0000-0000-0000A9030000}"/>
    <cellStyle name="20% - Accent1 3 2 5 5" xfId="8218" xr:uid="{00000000-0005-0000-0000-0000AA030000}"/>
    <cellStyle name="20% - Accent1 3 2 5 5 2" xfId="23367" xr:uid="{00000000-0005-0000-0000-0000AB030000}"/>
    <cellStyle name="20% - Accent1 3 2 5 6" xfId="9901" xr:uid="{00000000-0005-0000-0000-0000AC030000}"/>
    <cellStyle name="20% - Accent1 3 2 5 6 2" xfId="25050" xr:uid="{00000000-0005-0000-0000-0000AD030000}"/>
    <cellStyle name="20% - Accent1 3 2 5 7" xfId="11584" xr:uid="{00000000-0005-0000-0000-0000AE030000}"/>
    <cellStyle name="20% - Accent1 3 2 5 7 2" xfId="26733" xr:uid="{00000000-0005-0000-0000-0000AF030000}"/>
    <cellStyle name="20% - Accent1 3 2 5 8" xfId="13268" xr:uid="{00000000-0005-0000-0000-0000B0030000}"/>
    <cellStyle name="20% - Accent1 3 2 5 8 2" xfId="28417" xr:uid="{00000000-0005-0000-0000-0000B1030000}"/>
    <cellStyle name="20% - Accent1 3 2 5 9" xfId="14951" xr:uid="{00000000-0005-0000-0000-0000B2030000}"/>
    <cellStyle name="20% - Accent1 3 2 5 9 2" xfId="30100" xr:uid="{00000000-0005-0000-0000-0000B3030000}"/>
    <cellStyle name="20% - Accent1 3 2 6" xfId="1906" xr:uid="{00000000-0005-0000-0000-0000B4030000}"/>
    <cellStyle name="20% - Accent1 3 2 6 2" xfId="17055" xr:uid="{00000000-0005-0000-0000-0000B5030000}"/>
    <cellStyle name="20% - Accent1 3 2 7" xfId="3590" xr:uid="{00000000-0005-0000-0000-0000B6030000}"/>
    <cellStyle name="20% - Accent1 3 2 7 2" xfId="18739" xr:uid="{00000000-0005-0000-0000-0000B7030000}"/>
    <cellStyle name="20% - Accent1 3 2 8" xfId="5273" xr:uid="{00000000-0005-0000-0000-0000B8030000}"/>
    <cellStyle name="20% - Accent1 3 2 8 2" xfId="20422" xr:uid="{00000000-0005-0000-0000-0000B9030000}"/>
    <cellStyle name="20% - Accent1 3 2 9" xfId="6956" xr:uid="{00000000-0005-0000-0000-0000BA030000}"/>
    <cellStyle name="20% - Accent1 3 2 9 2" xfId="22105" xr:uid="{00000000-0005-0000-0000-0000BB030000}"/>
    <cellStyle name="20% - Accent1 3 20" xfId="37148" xr:uid="{00000000-0005-0000-0000-0000BC030000}"/>
    <cellStyle name="20% - Accent1 3 21" xfId="38831" xr:uid="{00000000-0005-0000-0000-0000BD030000}"/>
    <cellStyle name="20% - Accent1 3 22" xfId="40514" xr:uid="{00000000-0005-0000-0000-0000BE030000}"/>
    <cellStyle name="20% - Accent1 3 23" xfId="42197" xr:uid="{00000000-0005-0000-0000-0000BF030000}"/>
    <cellStyle name="20% - Accent1 3 24" xfId="43880" xr:uid="{00000000-0005-0000-0000-0000C0030000}"/>
    <cellStyle name="20% - Accent1 3 25" xfId="45563" xr:uid="{00000000-0005-0000-0000-0000C1030000}"/>
    <cellStyle name="20% - Accent1 3 26" xfId="47246" xr:uid="{00000000-0005-0000-0000-0000C2030000}"/>
    <cellStyle name="20% - Accent1 3 27" xfId="48929" xr:uid="{00000000-0005-0000-0000-0000C3030000}"/>
    <cellStyle name="20% - Accent1 3 28" xfId="50612" xr:uid="{00000000-0005-0000-0000-0000C4030000}"/>
    <cellStyle name="20% - Accent1 3 29" xfId="52295" xr:uid="{00000000-0005-0000-0000-0000C5030000}"/>
    <cellStyle name="20% - Accent1 3 3" xfId="328" xr:uid="{00000000-0005-0000-0000-0000C6030000}"/>
    <cellStyle name="20% - Accent1 3 3 10" xfId="10427" xr:uid="{00000000-0005-0000-0000-0000C7030000}"/>
    <cellStyle name="20% - Accent1 3 3 10 2" xfId="25576" xr:uid="{00000000-0005-0000-0000-0000C8030000}"/>
    <cellStyle name="20% - Accent1 3 3 11" xfId="12111" xr:uid="{00000000-0005-0000-0000-0000C9030000}"/>
    <cellStyle name="20% - Accent1 3 3 11 2" xfId="27260" xr:uid="{00000000-0005-0000-0000-0000CA030000}"/>
    <cellStyle name="20% - Accent1 3 3 12" xfId="13794" xr:uid="{00000000-0005-0000-0000-0000CB030000}"/>
    <cellStyle name="20% - Accent1 3 3 12 2" xfId="28943" xr:uid="{00000000-0005-0000-0000-0000CC030000}"/>
    <cellStyle name="20% - Accent1 3 3 13" xfId="15477" xr:uid="{00000000-0005-0000-0000-0000CD030000}"/>
    <cellStyle name="20% - Accent1 3 3 14" xfId="30626" xr:uid="{00000000-0005-0000-0000-0000CE030000}"/>
    <cellStyle name="20% - Accent1 3 3 15" xfId="32309" xr:uid="{00000000-0005-0000-0000-0000CF030000}"/>
    <cellStyle name="20% - Accent1 3 3 16" xfId="33992" xr:uid="{00000000-0005-0000-0000-0000D0030000}"/>
    <cellStyle name="20% - Accent1 3 3 17" xfId="35675" xr:uid="{00000000-0005-0000-0000-0000D1030000}"/>
    <cellStyle name="20% - Accent1 3 3 18" xfId="37358" xr:uid="{00000000-0005-0000-0000-0000D2030000}"/>
    <cellStyle name="20% - Accent1 3 3 19" xfId="39041" xr:uid="{00000000-0005-0000-0000-0000D3030000}"/>
    <cellStyle name="20% - Accent1 3 3 2" xfId="748" xr:uid="{00000000-0005-0000-0000-0000D4030000}"/>
    <cellStyle name="20% - Accent1 3 3 2 10" xfId="15897" xr:uid="{00000000-0005-0000-0000-0000D5030000}"/>
    <cellStyle name="20% - Accent1 3 3 2 11" xfId="31046" xr:uid="{00000000-0005-0000-0000-0000D6030000}"/>
    <cellStyle name="20% - Accent1 3 3 2 12" xfId="32729" xr:uid="{00000000-0005-0000-0000-0000D7030000}"/>
    <cellStyle name="20% - Accent1 3 3 2 13" xfId="34412" xr:uid="{00000000-0005-0000-0000-0000D8030000}"/>
    <cellStyle name="20% - Accent1 3 3 2 14" xfId="36095" xr:uid="{00000000-0005-0000-0000-0000D9030000}"/>
    <cellStyle name="20% - Accent1 3 3 2 15" xfId="37778" xr:uid="{00000000-0005-0000-0000-0000DA030000}"/>
    <cellStyle name="20% - Accent1 3 3 2 16" xfId="39461" xr:uid="{00000000-0005-0000-0000-0000DB030000}"/>
    <cellStyle name="20% - Accent1 3 3 2 17" xfId="41144" xr:uid="{00000000-0005-0000-0000-0000DC030000}"/>
    <cellStyle name="20% - Accent1 3 3 2 18" xfId="42827" xr:uid="{00000000-0005-0000-0000-0000DD030000}"/>
    <cellStyle name="20% - Accent1 3 3 2 19" xfId="44510" xr:uid="{00000000-0005-0000-0000-0000DE030000}"/>
    <cellStyle name="20% - Accent1 3 3 2 2" xfId="2431" xr:uid="{00000000-0005-0000-0000-0000DF030000}"/>
    <cellStyle name="20% - Accent1 3 3 2 2 2" xfId="17580" xr:uid="{00000000-0005-0000-0000-0000E0030000}"/>
    <cellStyle name="20% - Accent1 3 3 2 20" xfId="46193" xr:uid="{00000000-0005-0000-0000-0000E1030000}"/>
    <cellStyle name="20% - Accent1 3 3 2 21" xfId="47876" xr:uid="{00000000-0005-0000-0000-0000E2030000}"/>
    <cellStyle name="20% - Accent1 3 3 2 22" xfId="49559" xr:uid="{00000000-0005-0000-0000-0000E3030000}"/>
    <cellStyle name="20% - Accent1 3 3 2 23" xfId="51242" xr:uid="{00000000-0005-0000-0000-0000E4030000}"/>
    <cellStyle name="20% - Accent1 3 3 2 24" xfId="52925" xr:uid="{00000000-0005-0000-0000-0000E5030000}"/>
    <cellStyle name="20% - Accent1 3 3 2 25" xfId="54608" xr:uid="{00000000-0005-0000-0000-0000E6030000}"/>
    <cellStyle name="20% - Accent1 3 3 2 26" xfId="56291" xr:uid="{00000000-0005-0000-0000-0000E7030000}"/>
    <cellStyle name="20% - Accent1 3 3 2 27" xfId="57974" xr:uid="{00000000-0005-0000-0000-0000E8030000}"/>
    <cellStyle name="20% - Accent1 3 3 2 28" xfId="59657" xr:uid="{00000000-0005-0000-0000-0000E9030000}"/>
    <cellStyle name="20% - Accent1 3 3 2 29" xfId="61340" xr:uid="{00000000-0005-0000-0000-0000EA030000}"/>
    <cellStyle name="20% - Accent1 3 3 2 3" xfId="4115" xr:uid="{00000000-0005-0000-0000-0000EB030000}"/>
    <cellStyle name="20% - Accent1 3 3 2 3 2" xfId="19264" xr:uid="{00000000-0005-0000-0000-0000EC030000}"/>
    <cellStyle name="20% - Accent1 3 3 2 30" xfId="63023" xr:uid="{00000000-0005-0000-0000-0000ED030000}"/>
    <cellStyle name="20% - Accent1 3 3 2 4" xfId="5798" xr:uid="{00000000-0005-0000-0000-0000EE030000}"/>
    <cellStyle name="20% - Accent1 3 3 2 4 2" xfId="20947" xr:uid="{00000000-0005-0000-0000-0000EF030000}"/>
    <cellStyle name="20% - Accent1 3 3 2 5" xfId="7481" xr:uid="{00000000-0005-0000-0000-0000F0030000}"/>
    <cellStyle name="20% - Accent1 3 3 2 5 2" xfId="22630" xr:uid="{00000000-0005-0000-0000-0000F1030000}"/>
    <cellStyle name="20% - Accent1 3 3 2 6" xfId="9164" xr:uid="{00000000-0005-0000-0000-0000F2030000}"/>
    <cellStyle name="20% - Accent1 3 3 2 6 2" xfId="24313" xr:uid="{00000000-0005-0000-0000-0000F3030000}"/>
    <cellStyle name="20% - Accent1 3 3 2 7" xfId="10847" xr:uid="{00000000-0005-0000-0000-0000F4030000}"/>
    <cellStyle name="20% - Accent1 3 3 2 7 2" xfId="25996" xr:uid="{00000000-0005-0000-0000-0000F5030000}"/>
    <cellStyle name="20% - Accent1 3 3 2 8" xfId="12531" xr:uid="{00000000-0005-0000-0000-0000F6030000}"/>
    <cellStyle name="20% - Accent1 3 3 2 8 2" xfId="27680" xr:uid="{00000000-0005-0000-0000-0000F7030000}"/>
    <cellStyle name="20% - Accent1 3 3 2 9" xfId="14214" xr:uid="{00000000-0005-0000-0000-0000F8030000}"/>
    <cellStyle name="20% - Accent1 3 3 2 9 2" xfId="29363" xr:uid="{00000000-0005-0000-0000-0000F9030000}"/>
    <cellStyle name="20% - Accent1 3 3 20" xfId="40724" xr:uid="{00000000-0005-0000-0000-0000FA030000}"/>
    <cellStyle name="20% - Accent1 3 3 21" xfId="42407" xr:uid="{00000000-0005-0000-0000-0000FB030000}"/>
    <cellStyle name="20% - Accent1 3 3 22" xfId="44090" xr:uid="{00000000-0005-0000-0000-0000FC030000}"/>
    <cellStyle name="20% - Accent1 3 3 23" xfId="45773" xr:uid="{00000000-0005-0000-0000-0000FD030000}"/>
    <cellStyle name="20% - Accent1 3 3 24" xfId="47456" xr:uid="{00000000-0005-0000-0000-0000FE030000}"/>
    <cellStyle name="20% - Accent1 3 3 25" xfId="49139" xr:uid="{00000000-0005-0000-0000-0000FF030000}"/>
    <cellStyle name="20% - Accent1 3 3 26" xfId="50822" xr:uid="{00000000-0005-0000-0000-000000040000}"/>
    <cellStyle name="20% - Accent1 3 3 27" xfId="52505" xr:uid="{00000000-0005-0000-0000-000001040000}"/>
    <cellStyle name="20% - Accent1 3 3 28" xfId="54188" xr:uid="{00000000-0005-0000-0000-000002040000}"/>
    <cellStyle name="20% - Accent1 3 3 29" xfId="55871" xr:uid="{00000000-0005-0000-0000-000003040000}"/>
    <cellStyle name="20% - Accent1 3 3 3" xfId="1169" xr:uid="{00000000-0005-0000-0000-000004040000}"/>
    <cellStyle name="20% - Accent1 3 3 3 10" xfId="16318" xr:uid="{00000000-0005-0000-0000-000005040000}"/>
    <cellStyle name="20% - Accent1 3 3 3 11" xfId="31467" xr:uid="{00000000-0005-0000-0000-000006040000}"/>
    <cellStyle name="20% - Accent1 3 3 3 12" xfId="33150" xr:uid="{00000000-0005-0000-0000-000007040000}"/>
    <cellStyle name="20% - Accent1 3 3 3 13" xfId="34833" xr:uid="{00000000-0005-0000-0000-000008040000}"/>
    <cellStyle name="20% - Accent1 3 3 3 14" xfId="36516" xr:uid="{00000000-0005-0000-0000-000009040000}"/>
    <cellStyle name="20% - Accent1 3 3 3 15" xfId="38199" xr:uid="{00000000-0005-0000-0000-00000A040000}"/>
    <cellStyle name="20% - Accent1 3 3 3 16" xfId="39882" xr:uid="{00000000-0005-0000-0000-00000B040000}"/>
    <cellStyle name="20% - Accent1 3 3 3 17" xfId="41565" xr:uid="{00000000-0005-0000-0000-00000C040000}"/>
    <cellStyle name="20% - Accent1 3 3 3 18" xfId="43248" xr:uid="{00000000-0005-0000-0000-00000D040000}"/>
    <cellStyle name="20% - Accent1 3 3 3 19" xfId="44931" xr:uid="{00000000-0005-0000-0000-00000E040000}"/>
    <cellStyle name="20% - Accent1 3 3 3 2" xfId="2852" xr:uid="{00000000-0005-0000-0000-00000F040000}"/>
    <cellStyle name="20% - Accent1 3 3 3 2 2" xfId="18001" xr:uid="{00000000-0005-0000-0000-000010040000}"/>
    <cellStyle name="20% - Accent1 3 3 3 20" xfId="46614" xr:uid="{00000000-0005-0000-0000-000011040000}"/>
    <cellStyle name="20% - Accent1 3 3 3 21" xfId="48297" xr:uid="{00000000-0005-0000-0000-000012040000}"/>
    <cellStyle name="20% - Accent1 3 3 3 22" xfId="49980" xr:uid="{00000000-0005-0000-0000-000013040000}"/>
    <cellStyle name="20% - Accent1 3 3 3 23" xfId="51663" xr:uid="{00000000-0005-0000-0000-000014040000}"/>
    <cellStyle name="20% - Accent1 3 3 3 24" xfId="53346" xr:uid="{00000000-0005-0000-0000-000015040000}"/>
    <cellStyle name="20% - Accent1 3 3 3 25" xfId="55029" xr:uid="{00000000-0005-0000-0000-000016040000}"/>
    <cellStyle name="20% - Accent1 3 3 3 26" xfId="56712" xr:uid="{00000000-0005-0000-0000-000017040000}"/>
    <cellStyle name="20% - Accent1 3 3 3 27" xfId="58395" xr:uid="{00000000-0005-0000-0000-000018040000}"/>
    <cellStyle name="20% - Accent1 3 3 3 28" xfId="60078" xr:uid="{00000000-0005-0000-0000-000019040000}"/>
    <cellStyle name="20% - Accent1 3 3 3 29" xfId="61761" xr:uid="{00000000-0005-0000-0000-00001A040000}"/>
    <cellStyle name="20% - Accent1 3 3 3 3" xfId="4536" xr:uid="{00000000-0005-0000-0000-00001B040000}"/>
    <cellStyle name="20% - Accent1 3 3 3 3 2" xfId="19685" xr:uid="{00000000-0005-0000-0000-00001C040000}"/>
    <cellStyle name="20% - Accent1 3 3 3 30" xfId="63444" xr:uid="{00000000-0005-0000-0000-00001D040000}"/>
    <cellStyle name="20% - Accent1 3 3 3 4" xfId="6219" xr:uid="{00000000-0005-0000-0000-00001E040000}"/>
    <cellStyle name="20% - Accent1 3 3 3 4 2" xfId="21368" xr:uid="{00000000-0005-0000-0000-00001F040000}"/>
    <cellStyle name="20% - Accent1 3 3 3 5" xfId="7902" xr:uid="{00000000-0005-0000-0000-000020040000}"/>
    <cellStyle name="20% - Accent1 3 3 3 5 2" xfId="23051" xr:uid="{00000000-0005-0000-0000-000021040000}"/>
    <cellStyle name="20% - Accent1 3 3 3 6" xfId="9585" xr:uid="{00000000-0005-0000-0000-000022040000}"/>
    <cellStyle name="20% - Accent1 3 3 3 6 2" xfId="24734" xr:uid="{00000000-0005-0000-0000-000023040000}"/>
    <cellStyle name="20% - Accent1 3 3 3 7" xfId="11268" xr:uid="{00000000-0005-0000-0000-000024040000}"/>
    <cellStyle name="20% - Accent1 3 3 3 7 2" xfId="26417" xr:uid="{00000000-0005-0000-0000-000025040000}"/>
    <cellStyle name="20% - Accent1 3 3 3 8" xfId="12952" xr:uid="{00000000-0005-0000-0000-000026040000}"/>
    <cellStyle name="20% - Accent1 3 3 3 8 2" xfId="28101" xr:uid="{00000000-0005-0000-0000-000027040000}"/>
    <cellStyle name="20% - Accent1 3 3 3 9" xfId="14635" xr:uid="{00000000-0005-0000-0000-000028040000}"/>
    <cellStyle name="20% - Accent1 3 3 3 9 2" xfId="29784" xr:uid="{00000000-0005-0000-0000-000029040000}"/>
    <cellStyle name="20% - Accent1 3 3 30" xfId="57554" xr:uid="{00000000-0005-0000-0000-00002A040000}"/>
    <cellStyle name="20% - Accent1 3 3 31" xfId="59237" xr:uid="{00000000-0005-0000-0000-00002B040000}"/>
    <cellStyle name="20% - Accent1 3 3 32" xfId="60920" xr:uid="{00000000-0005-0000-0000-00002C040000}"/>
    <cellStyle name="20% - Accent1 3 3 33" xfId="62603" xr:uid="{00000000-0005-0000-0000-00002D040000}"/>
    <cellStyle name="20% - Accent1 3 3 4" xfId="1590" xr:uid="{00000000-0005-0000-0000-00002E040000}"/>
    <cellStyle name="20% - Accent1 3 3 4 10" xfId="16739" xr:uid="{00000000-0005-0000-0000-00002F040000}"/>
    <cellStyle name="20% - Accent1 3 3 4 11" xfId="31888" xr:uid="{00000000-0005-0000-0000-000030040000}"/>
    <cellStyle name="20% - Accent1 3 3 4 12" xfId="33571" xr:uid="{00000000-0005-0000-0000-000031040000}"/>
    <cellStyle name="20% - Accent1 3 3 4 13" xfId="35254" xr:uid="{00000000-0005-0000-0000-000032040000}"/>
    <cellStyle name="20% - Accent1 3 3 4 14" xfId="36937" xr:uid="{00000000-0005-0000-0000-000033040000}"/>
    <cellStyle name="20% - Accent1 3 3 4 15" xfId="38620" xr:uid="{00000000-0005-0000-0000-000034040000}"/>
    <cellStyle name="20% - Accent1 3 3 4 16" xfId="40303" xr:uid="{00000000-0005-0000-0000-000035040000}"/>
    <cellStyle name="20% - Accent1 3 3 4 17" xfId="41986" xr:uid="{00000000-0005-0000-0000-000036040000}"/>
    <cellStyle name="20% - Accent1 3 3 4 18" xfId="43669" xr:uid="{00000000-0005-0000-0000-000037040000}"/>
    <cellStyle name="20% - Accent1 3 3 4 19" xfId="45352" xr:uid="{00000000-0005-0000-0000-000038040000}"/>
    <cellStyle name="20% - Accent1 3 3 4 2" xfId="3273" xr:uid="{00000000-0005-0000-0000-000039040000}"/>
    <cellStyle name="20% - Accent1 3 3 4 2 2" xfId="18422" xr:uid="{00000000-0005-0000-0000-00003A040000}"/>
    <cellStyle name="20% - Accent1 3 3 4 20" xfId="47035" xr:uid="{00000000-0005-0000-0000-00003B040000}"/>
    <cellStyle name="20% - Accent1 3 3 4 21" xfId="48718" xr:uid="{00000000-0005-0000-0000-00003C040000}"/>
    <cellStyle name="20% - Accent1 3 3 4 22" xfId="50401" xr:uid="{00000000-0005-0000-0000-00003D040000}"/>
    <cellStyle name="20% - Accent1 3 3 4 23" xfId="52084" xr:uid="{00000000-0005-0000-0000-00003E040000}"/>
    <cellStyle name="20% - Accent1 3 3 4 24" xfId="53767" xr:uid="{00000000-0005-0000-0000-00003F040000}"/>
    <cellStyle name="20% - Accent1 3 3 4 25" xfId="55450" xr:uid="{00000000-0005-0000-0000-000040040000}"/>
    <cellStyle name="20% - Accent1 3 3 4 26" xfId="57133" xr:uid="{00000000-0005-0000-0000-000041040000}"/>
    <cellStyle name="20% - Accent1 3 3 4 27" xfId="58816" xr:uid="{00000000-0005-0000-0000-000042040000}"/>
    <cellStyle name="20% - Accent1 3 3 4 28" xfId="60499" xr:uid="{00000000-0005-0000-0000-000043040000}"/>
    <cellStyle name="20% - Accent1 3 3 4 29" xfId="62182" xr:uid="{00000000-0005-0000-0000-000044040000}"/>
    <cellStyle name="20% - Accent1 3 3 4 3" xfId="4957" xr:uid="{00000000-0005-0000-0000-000045040000}"/>
    <cellStyle name="20% - Accent1 3 3 4 3 2" xfId="20106" xr:uid="{00000000-0005-0000-0000-000046040000}"/>
    <cellStyle name="20% - Accent1 3 3 4 30" xfId="63865" xr:uid="{00000000-0005-0000-0000-000047040000}"/>
    <cellStyle name="20% - Accent1 3 3 4 4" xfId="6640" xr:uid="{00000000-0005-0000-0000-000048040000}"/>
    <cellStyle name="20% - Accent1 3 3 4 4 2" xfId="21789" xr:uid="{00000000-0005-0000-0000-000049040000}"/>
    <cellStyle name="20% - Accent1 3 3 4 5" xfId="8323" xr:uid="{00000000-0005-0000-0000-00004A040000}"/>
    <cellStyle name="20% - Accent1 3 3 4 5 2" xfId="23472" xr:uid="{00000000-0005-0000-0000-00004B040000}"/>
    <cellStyle name="20% - Accent1 3 3 4 6" xfId="10006" xr:uid="{00000000-0005-0000-0000-00004C040000}"/>
    <cellStyle name="20% - Accent1 3 3 4 6 2" xfId="25155" xr:uid="{00000000-0005-0000-0000-00004D040000}"/>
    <cellStyle name="20% - Accent1 3 3 4 7" xfId="11689" xr:uid="{00000000-0005-0000-0000-00004E040000}"/>
    <cellStyle name="20% - Accent1 3 3 4 7 2" xfId="26838" xr:uid="{00000000-0005-0000-0000-00004F040000}"/>
    <cellStyle name="20% - Accent1 3 3 4 8" xfId="13373" xr:uid="{00000000-0005-0000-0000-000050040000}"/>
    <cellStyle name="20% - Accent1 3 3 4 8 2" xfId="28522" xr:uid="{00000000-0005-0000-0000-000051040000}"/>
    <cellStyle name="20% - Accent1 3 3 4 9" xfId="15056" xr:uid="{00000000-0005-0000-0000-000052040000}"/>
    <cellStyle name="20% - Accent1 3 3 4 9 2" xfId="30205" xr:uid="{00000000-0005-0000-0000-000053040000}"/>
    <cellStyle name="20% - Accent1 3 3 5" xfId="2011" xr:uid="{00000000-0005-0000-0000-000054040000}"/>
    <cellStyle name="20% - Accent1 3 3 5 2" xfId="17160" xr:uid="{00000000-0005-0000-0000-000055040000}"/>
    <cellStyle name="20% - Accent1 3 3 6" xfId="3695" xr:uid="{00000000-0005-0000-0000-000056040000}"/>
    <cellStyle name="20% - Accent1 3 3 6 2" xfId="18844" xr:uid="{00000000-0005-0000-0000-000057040000}"/>
    <cellStyle name="20% - Accent1 3 3 7" xfId="5378" xr:uid="{00000000-0005-0000-0000-000058040000}"/>
    <cellStyle name="20% - Accent1 3 3 7 2" xfId="20527" xr:uid="{00000000-0005-0000-0000-000059040000}"/>
    <cellStyle name="20% - Accent1 3 3 8" xfId="7061" xr:uid="{00000000-0005-0000-0000-00005A040000}"/>
    <cellStyle name="20% - Accent1 3 3 8 2" xfId="22210" xr:uid="{00000000-0005-0000-0000-00005B040000}"/>
    <cellStyle name="20% - Accent1 3 3 9" xfId="8744" xr:uid="{00000000-0005-0000-0000-00005C040000}"/>
    <cellStyle name="20% - Accent1 3 3 9 2" xfId="23893" xr:uid="{00000000-0005-0000-0000-00005D040000}"/>
    <cellStyle name="20% - Accent1 3 30" xfId="53978" xr:uid="{00000000-0005-0000-0000-00005E040000}"/>
    <cellStyle name="20% - Accent1 3 31" xfId="55661" xr:uid="{00000000-0005-0000-0000-00005F040000}"/>
    <cellStyle name="20% - Accent1 3 32" xfId="57344" xr:uid="{00000000-0005-0000-0000-000060040000}"/>
    <cellStyle name="20% - Accent1 3 33" xfId="59027" xr:uid="{00000000-0005-0000-0000-000061040000}"/>
    <cellStyle name="20% - Accent1 3 34" xfId="60710" xr:uid="{00000000-0005-0000-0000-000062040000}"/>
    <cellStyle name="20% - Accent1 3 35" xfId="62393" xr:uid="{00000000-0005-0000-0000-000063040000}"/>
    <cellStyle name="20% - Accent1 3 4" xfId="538" xr:uid="{00000000-0005-0000-0000-000064040000}"/>
    <cellStyle name="20% - Accent1 3 4 10" xfId="15687" xr:uid="{00000000-0005-0000-0000-000065040000}"/>
    <cellStyle name="20% - Accent1 3 4 11" xfId="30836" xr:uid="{00000000-0005-0000-0000-000066040000}"/>
    <cellStyle name="20% - Accent1 3 4 12" xfId="32519" xr:uid="{00000000-0005-0000-0000-000067040000}"/>
    <cellStyle name="20% - Accent1 3 4 13" xfId="34202" xr:uid="{00000000-0005-0000-0000-000068040000}"/>
    <cellStyle name="20% - Accent1 3 4 14" xfId="35885" xr:uid="{00000000-0005-0000-0000-000069040000}"/>
    <cellStyle name="20% - Accent1 3 4 15" xfId="37568" xr:uid="{00000000-0005-0000-0000-00006A040000}"/>
    <cellStyle name="20% - Accent1 3 4 16" xfId="39251" xr:uid="{00000000-0005-0000-0000-00006B040000}"/>
    <cellStyle name="20% - Accent1 3 4 17" xfId="40934" xr:uid="{00000000-0005-0000-0000-00006C040000}"/>
    <cellStyle name="20% - Accent1 3 4 18" xfId="42617" xr:uid="{00000000-0005-0000-0000-00006D040000}"/>
    <cellStyle name="20% - Accent1 3 4 19" xfId="44300" xr:uid="{00000000-0005-0000-0000-00006E040000}"/>
    <cellStyle name="20% - Accent1 3 4 2" xfId="2221" xr:uid="{00000000-0005-0000-0000-00006F040000}"/>
    <cellStyle name="20% - Accent1 3 4 2 2" xfId="17370" xr:uid="{00000000-0005-0000-0000-000070040000}"/>
    <cellStyle name="20% - Accent1 3 4 20" xfId="45983" xr:uid="{00000000-0005-0000-0000-000071040000}"/>
    <cellStyle name="20% - Accent1 3 4 21" xfId="47666" xr:uid="{00000000-0005-0000-0000-000072040000}"/>
    <cellStyle name="20% - Accent1 3 4 22" xfId="49349" xr:uid="{00000000-0005-0000-0000-000073040000}"/>
    <cellStyle name="20% - Accent1 3 4 23" xfId="51032" xr:uid="{00000000-0005-0000-0000-000074040000}"/>
    <cellStyle name="20% - Accent1 3 4 24" xfId="52715" xr:uid="{00000000-0005-0000-0000-000075040000}"/>
    <cellStyle name="20% - Accent1 3 4 25" xfId="54398" xr:uid="{00000000-0005-0000-0000-000076040000}"/>
    <cellStyle name="20% - Accent1 3 4 26" xfId="56081" xr:uid="{00000000-0005-0000-0000-000077040000}"/>
    <cellStyle name="20% - Accent1 3 4 27" xfId="57764" xr:uid="{00000000-0005-0000-0000-000078040000}"/>
    <cellStyle name="20% - Accent1 3 4 28" xfId="59447" xr:uid="{00000000-0005-0000-0000-000079040000}"/>
    <cellStyle name="20% - Accent1 3 4 29" xfId="61130" xr:uid="{00000000-0005-0000-0000-00007A040000}"/>
    <cellStyle name="20% - Accent1 3 4 3" xfId="3905" xr:uid="{00000000-0005-0000-0000-00007B040000}"/>
    <cellStyle name="20% - Accent1 3 4 3 2" xfId="19054" xr:uid="{00000000-0005-0000-0000-00007C040000}"/>
    <cellStyle name="20% - Accent1 3 4 30" xfId="62813" xr:uid="{00000000-0005-0000-0000-00007D040000}"/>
    <cellStyle name="20% - Accent1 3 4 4" xfId="5588" xr:uid="{00000000-0005-0000-0000-00007E040000}"/>
    <cellStyle name="20% - Accent1 3 4 4 2" xfId="20737" xr:uid="{00000000-0005-0000-0000-00007F040000}"/>
    <cellStyle name="20% - Accent1 3 4 5" xfId="7271" xr:uid="{00000000-0005-0000-0000-000080040000}"/>
    <cellStyle name="20% - Accent1 3 4 5 2" xfId="22420" xr:uid="{00000000-0005-0000-0000-000081040000}"/>
    <cellStyle name="20% - Accent1 3 4 6" xfId="8954" xr:uid="{00000000-0005-0000-0000-000082040000}"/>
    <cellStyle name="20% - Accent1 3 4 6 2" xfId="24103" xr:uid="{00000000-0005-0000-0000-000083040000}"/>
    <cellStyle name="20% - Accent1 3 4 7" xfId="10637" xr:uid="{00000000-0005-0000-0000-000084040000}"/>
    <cellStyle name="20% - Accent1 3 4 7 2" xfId="25786" xr:uid="{00000000-0005-0000-0000-000085040000}"/>
    <cellStyle name="20% - Accent1 3 4 8" xfId="12321" xr:uid="{00000000-0005-0000-0000-000086040000}"/>
    <cellStyle name="20% - Accent1 3 4 8 2" xfId="27470" xr:uid="{00000000-0005-0000-0000-000087040000}"/>
    <cellStyle name="20% - Accent1 3 4 9" xfId="14004" xr:uid="{00000000-0005-0000-0000-000088040000}"/>
    <cellStyle name="20% - Accent1 3 4 9 2" xfId="29153" xr:uid="{00000000-0005-0000-0000-000089040000}"/>
    <cellStyle name="20% - Accent1 3 5" xfId="959" xr:uid="{00000000-0005-0000-0000-00008A040000}"/>
    <cellStyle name="20% - Accent1 3 5 10" xfId="16108" xr:uid="{00000000-0005-0000-0000-00008B040000}"/>
    <cellStyle name="20% - Accent1 3 5 11" xfId="31257" xr:uid="{00000000-0005-0000-0000-00008C040000}"/>
    <cellStyle name="20% - Accent1 3 5 12" xfId="32940" xr:uid="{00000000-0005-0000-0000-00008D040000}"/>
    <cellStyle name="20% - Accent1 3 5 13" xfId="34623" xr:uid="{00000000-0005-0000-0000-00008E040000}"/>
    <cellStyle name="20% - Accent1 3 5 14" xfId="36306" xr:uid="{00000000-0005-0000-0000-00008F040000}"/>
    <cellStyle name="20% - Accent1 3 5 15" xfId="37989" xr:uid="{00000000-0005-0000-0000-000090040000}"/>
    <cellStyle name="20% - Accent1 3 5 16" xfId="39672" xr:uid="{00000000-0005-0000-0000-000091040000}"/>
    <cellStyle name="20% - Accent1 3 5 17" xfId="41355" xr:uid="{00000000-0005-0000-0000-000092040000}"/>
    <cellStyle name="20% - Accent1 3 5 18" xfId="43038" xr:uid="{00000000-0005-0000-0000-000093040000}"/>
    <cellStyle name="20% - Accent1 3 5 19" xfId="44721" xr:uid="{00000000-0005-0000-0000-000094040000}"/>
    <cellStyle name="20% - Accent1 3 5 2" xfId="2642" xr:uid="{00000000-0005-0000-0000-000095040000}"/>
    <cellStyle name="20% - Accent1 3 5 2 2" xfId="17791" xr:uid="{00000000-0005-0000-0000-000096040000}"/>
    <cellStyle name="20% - Accent1 3 5 20" xfId="46404" xr:uid="{00000000-0005-0000-0000-000097040000}"/>
    <cellStyle name="20% - Accent1 3 5 21" xfId="48087" xr:uid="{00000000-0005-0000-0000-000098040000}"/>
    <cellStyle name="20% - Accent1 3 5 22" xfId="49770" xr:uid="{00000000-0005-0000-0000-000099040000}"/>
    <cellStyle name="20% - Accent1 3 5 23" xfId="51453" xr:uid="{00000000-0005-0000-0000-00009A040000}"/>
    <cellStyle name="20% - Accent1 3 5 24" xfId="53136" xr:uid="{00000000-0005-0000-0000-00009B040000}"/>
    <cellStyle name="20% - Accent1 3 5 25" xfId="54819" xr:uid="{00000000-0005-0000-0000-00009C040000}"/>
    <cellStyle name="20% - Accent1 3 5 26" xfId="56502" xr:uid="{00000000-0005-0000-0000-00009D040000}"/>
    <cellStyle name="20% - Accent1 3 5 27" xfId="58185" xr:uid="{00000000-0005-0000-0000-00009E040000}"/>
    <cellStyle name="20% - Accent1 3 5 28" xfId="59868" xr:uid="{00000000-0005-0000-0000-00009F040000}"/>
    <cellStyle name="20% - Accent1 3 5 29" xfId="61551" xr:uid="{00000000-0005-0000-0000-0000A0040000}"/>
    <cellStyle name="20% - Accent1 3 5 3" xfId="4326" xr:uid="{00000000-0005-0000-0000-0000A1040000}"/>
    <cellStyle name="20% - Accent1 3 5 3 2" xfId="19475" xr:uid="{00000000-0005-0000-0000-0000A2040000}"/>
    <cellStyle name="20% - Accent1 3 5 30" xfId="63234" xr:uid="{00000000-0005-0000-0000-0000A3040000}"/>
    <cellStyle name="20% - Accent1 3 5 4" xfId="6009" xr:uid="{00000000-0005-0000-0000-0000A4040000}"/>
    <cellStyle name="20% - Accent1 3 5 4 2" xfId="21158" xr:uid="{00000000-0005-0000-0000-0000A5040000}"/>
    <cellStyle name="20% - Accent1 3 5 5" xfId="7692" xr:uid="{00000000-0005-0000-0000-0000A6040000}"/>
    <cellStyle name="20% - Accent1 3 5 5 2" xfId="22841" xr:uid="{00000000-0005-0000-0000-0000A7040000}"/>
    <cellStyle name="20% - Accent1 3 5 6" xfId="9375" xr:uid="{00000000-0005-0000-0000-0000A8040000}"/>
    <cellStyle name="20% - Accent1 3 5 6 2" xfId="24524" xr:uid="{00000000-0005-0000-0000-0000A9040000}"/>
    <cellStyle name="20% - Accent1 3 5 7" xfId="11058" xr:uid="{00000000-0005-0000-0000-0000AA040000}"/>
    <cellStyle name="20% - Accent1 3 5 7 2" xfId="26207" xr:uid="{00000000-0005-0000-0000-0000AB040000}"/>
    <cellStyle name="20% - Accent1 3 5 8" xfId="12742" xr:uid="{00000000-0005-0000-0000-0000AC040000}"/>
    <cellStyle name="20% - Accent1 3 5 8 2" xfId="27891" xr:uid="{00000000-0005-0000-0000-0000AD040000}"/>
    <cellStyle name="20% - Accent1 3 5 9" xfId="14425" xr:uid="{00000000-0005-0000-0000-0000AE040000}"/>
    <cellStyle name="20% - Accent1 3 5 9 2" xfId="29574" xr:uid="{00000000-0005-0000-0000-0000AF040000}"/>
    <cellStyle name="20% - Accent1 3 6" xfId="1380" xr:uid="{00000000-0005-0000-0000-0000B0040000}"/>
    <cellStyle name="20% - Accent1 3 6 10" xfId="16529" xr:uid="{00000000-0005-0000-0000-0000B1040000}"/>
    <cellStyle name="20% - Accent1 3 6 11" xfId="31678" xr:uid="{00000000-0005-0000-0000-0000B2040000}"/>
    <cellStyle name="20% - Accent1 3 6 12" xfId="33361" xr:uid="{00000000-0005-0000-0000-0000B3040000}"/>
    <cellStyle name="20% - Accent1 3 6 13" xfId="35044" xr:uid="{00000000-0005-0000-0000-0000B4040000}"/>
    <cellStyle name="20% - Accent1 3 6 14" xfId="36727" xr:uid="{00000000-0005-0000-0000-0000B5040000}"/>
    <cellStyle name="20% - Accent1 3 6 15" xfId="38410" xr:uid="{00000000-0005-0000-0000-0000B6040000}"/>
    <cellStyle name="20% - Accent1 3 6 16" xfId="40093" xr:uid="{00000000-0005-0000-0000-0000B7040000}"/>
    <cellStyle name="20% - Accent1 3 6 17" xfId="41776" xr:uid="{00000000-0005-0000-0000-0000B8040000}"/>
    <cellStyle name="20% - Accent1 3 6 18" xfId="43459" xr:uid="{00000000-0005-0000-0000-0000B9040000}"/>
    <cellStyle name="20% - Accent1 3 6 19" xfId="45142" xr:uid="{00000000-0005-0000-0000-0000BA040000}"/>
    <cellStyle name="20% - Accent1 3 6 2" xfId="3063" xr:uid="{00000000-0005-0000-0000-0000BB040000}"/>
    <cellStyle name="20% - Accent1 3 6 2 2" xfId="18212" xr:uid="{00000000-0005-0000-0000-0000BC040000}"/>
    <cellStyle name="20% - Accent1 3 6 20" xfId="46825" xr:uid="{00000000-0005-0000-0000-0000BD040000}"/>
    <cellStyle name="20% - Accent1 3 6 21" xfId="48508" xr:uid="{00000000-0005-0000-0000-0000BE040000}"/>
    <cellStyle name="20% - Accent1 3 6 22" xfId="50191" xr:uid="{00000000-0005-0000-0000-0000BF040000}"/>
    <cellStyle name="20% - Accent1 3 6 23" xfId="51874" xr:uid="{00000000-0005-0000-0000-0000C0040000}"/>
    <cellStyle name="20% - Accent1 3 6 24" xfId="53557" xr:uid="{00000000-0005-0000-0000-0000C1040000}"/>
    <cellStyle name="20% - Accent1 3 6 25" xfId="55240" xr:uid="{00000000-0005-0000-0000-0000C2040000}"/>
    <cellStyle name="20% - Accent1 3 6 26" xfId="56923" xr:uid="{00000000-0005-0000-0000-0000C3040000}"/>
    <cellStyle name="20% - Accent1 3 6 27" xfId="58606" xr:uid="{00000000-0005-0000-0000-0000C4040000}"/>
    <cellStyle name="20% - Accent1 3 6 28" xfId="60289" xr:uid="{00000000-0005-0000-0000-0000C5040000}"/>
    <cellStyle name="20% - Accent1 3 6 29" xfId="61972" xr:uid="{00000000-0005-0000-0000-0000C6040000}"/>
    <cellStyle name="20% - Accent1 3 6 3" xfId="4747" xr:uid="{00000000-0005-0000-0000-0000C7040000}"/>
    <cellStyle name="20% - Accent1 3 6 3 2" xfId="19896" xr:uid="{00000000-0005-0000-0000-0000C8040000}"/>
    <cellStyle name="20% - Accent1 3 6 30" xfId="63655" xr:uid="{00000000-0005-0000-0000-0000C9040000}"/>
    <cellStyle name="20% - Accent1 3 6 4" xfId="6430" xr:uid="{00000000-0005-0000-0000-0000CA040000}"/>
    <cellStyle name="20% - Accent1 3 6 4 2" xfId="21579" xr:uid="{00000000-0005-0000-0000-0000CB040000}"/>
    <cellStyle name="20% - Accent1 3 6 5" xfId="8113" xr:uid="{00000000-0005-0000-0000-0000CC040000}"/>
    <cellStyle name="20% - Accent1 3 6 5 2" xfId="23262" xr:uid="{00000000-0005-0000-0000-0000CD040000}"/>
    <cellStyle name="20% - Accent1 3 6 6" xfId="9796" xr:uid="{00000000-0005-0000-0000-0000CE040000}"/>
    <cellStyle name="20% - Accent1 3 6 6 2" xfId="24945" xr:uid="{00000000-0005-0000-0000-0000CF040000}"/>
    <cellStyle name="20% - Accent1 3 6 7" xfId="11479" xr:uid="{00000000-0005-0000-0000-0000D0040000}"/>
    <cellStyle name="20% - Accent1 3 6 7 2" xfId="26628" xr:uid="{00000000-0005-0000-0000-0000D1040000}"/>
    <cellStyle name="20% - Accent1 3 6 8" xfId="13163" xr:uid="{00000000-0005-0000-0000-0000D2040000}"/>
    <cellStyle name="20% - Accent1 3 6 8 2" xfId="28312" xr:uid="{00000000-0005-0000-0000-0000D3040000}"/>
    <cellStyle name="20% - Accent1 3 6 9" xfId="14846" xr:uid="{00000000-0005-0000-0000-0000D4040000}"/>
    <cellStyle name="20% - Accent1 3 6 9 2" xfId="29995" xr:uid="{00000000-0005-0000-0000-0000D5040000}"/>
    <cellStyle name="20% - Accent1 3 7" xfId="1801" xr:uid="{00000000-0005-0000-0000-0000D6040000}"/>
    <cellStyle name="20% - Accent1 3 7 2" xfId="16950" xr:uid="{00000000-0005-0000-0000-0000D7040000}"/>
    <cellStyle name="20% - Accent1 3 8" xfId="3485" xr:uid="{00000000-0005-0000-0000-0000D8040000}"/>
    <cellStyle name="20% - Accent1 3 8 2" xfId="18634" xr:uid="{00000000-0005-0000-0000-0000D9040000}"/>
    <cellStyle name="20% - Accent1 3 9" xfId="5168" xr:uid="{00000000-0005-0000-0000-0000DA040000}"/>
    <cellStyle name="20% - Accent1 3 9 2" xfId="20317" xr:uid="{00000000-0005-0000-0000-0000DB040000}"/>
    <cellStyle name="20% - Accent1 30" xfId="50570" xr:uid="{00000000-0005-0000-0000-0000DC040000}"/>
    <cellStyle name="20% - Accent1 31" xfId="52253" xr:uid="{00000000-0005-0000-0000-0000DD040000}"/>
    <cellStyle name="20% - Accent1 32" xfId="53936" xr:uid="{00000000-0005-0000-0000-0000DE040000}"/>
    <cellStyle name="20% - Accent1 33" xfId="55619" xr:uid="{00000000-0005-0000-0000-0000DF040000}"/>
    <cellStyle name="20% - Accent1 34" xfId="57302" xr:uid="{00000000-0005-0000-0000-0000E0040000}"/>
    <cellStyle name="20% - Accent1 35" xfId="58985" xr:uid="{00000000-0005-0000-0000-0000E1040000}"/>
    <cellStyle name="20% - Accent1 36" xfId="60668" xr:uid="{00000000-0005-0000-0000-0000E2040000}"/>
    <cellStyle name="20% - Accent1 37" xfId="62351" xr:uid="{00000000-0005-0000-0000-0000E3040000}"/>
    <cellStyle name="20% - Accent1 4" xfId="181" xr:uid="{00000000-0005-0000-0000-0000E4040000}"/>
    <cellStyle name="20% - Accent1 4 10" xfId="8597" xr:uid="{00000000-0005-0000-0000-0000E5040000}"/>
    <cellStyle name="20% - Accent1 4 10 2" xfId="23746" xr:uid="{00000000-0005-0000-0000-0000E6040000}"/>
    <cellStyle name="20% - Accent1 4 11" xfId="10280" xr:uid="{00000000-0005-0000-0000-0000E7040000}"/>
    <cellStyle name="20% - Accent1 4 11 2" xfId="25429" xr:uid="{00000000-0005-0000-0000-0000E8040000}"/>
    <cellStyle name="20% - Accent1 4 12" xfId="11964" xr:uid="{00000000-0005-0000-0000-0000E9040000}"/>
    <cellStyle name="20% - Accent1 4 12 2" xfId="27113" xr:uid="{00000000-0005-0000-0000-0000EA040000}"/>
    <cellStyle name="20% - Accent1 4 13" xfId="13647" xr:uid="{00000000-0005-0000-0000-0000EB040000}"/>
    <cellStyle name="20% - Accent1 4 13 2" xfId="28796" xr:uid="{00000000-0005-0000-0000-0000EC040000}"/>
    <cellStyle name="20% - Accent1 4 14" xfId="15330" xr:uid="{00000000-0005-0000-0000-0000ED040000}"/>
    <cellStyle name="20% - Accent1 4 15" xfId="30479" xr:uid="{00000000-0005-0000-0000-0000EE040000}"/>
    <cellStyle name="20% - Accent1 4 16" xfId="32162" xr:uid="{00000000-0005-0000-0000-0000EF040000}"/>
    <cellStyle name="20% - Accent1 4 17" xfId="33845" xr:uid="{00000000-0005-0000-0000-0000F0040000}"/>
    <cellStyle name="20% - Accent1 4 18" xfId="35528" xr:uid="{00000000-0005-0000-0000-0000F1040000}"/>
    <cellStyle name="20% - Accent1 4 19" xfId="37211" xr:uid="{00000000-0005-0000-0000-0000F2040000}"/>
    <cellStyle name="20% - Accent1 4 2" xfId="391" xr:uid="{00000000-0005-0000-0000-0000F3040000}"/>
    <cellStyle name="20% - Accent1 4 2 10" xfId="10490" xr:uid="{00000000-0005-0000-0000-0000F4040000}"/>
    <cellStyle name="20% - Accent1 4 2 10 2" xfId="25639" xr:uid="{00000000-0005-0000-0000-0000F5040000}"/>
    <cellStyle name="20% - Accent1 4 2 11" xfId="12174" xr:uid="{00000000-0005-0000-0000-0000F6040000}"/>
    <cellStyle name="20% - Accent1 4 2 11 2" xfId="27323" xr:uid="{00000000-0005-0000-0000-0000F7040000}"/>
    <cellStyle name="20% - Accent1 4 2 12" xfId="13857" xr:uid="{00000000-0005-0000-0000-0000F8040000}"/>
    <cellStyle name="20% - Accent1 4 2 12 2" xfId="29006" xr:uid="{00000000-0005-0000-0000-0000F9040000}"/>
    <cellStyle name="20% - Accent1 4 2 13" xfId="15540" xr:uid="{00000000-0005-0000-0000-0000FA040000}"/>
    <cellStyle name="20% - Accent1 4 2 14" xfId="30689" xr:uid="{00000000-0005-0000-0000-0000FB040000}"/>
    <cellStyle name="20% - Accent1 4 2 15" xfId="32372" xr:uid="{00000000-0005-0000-0000-0000FC040000}"/>
    <cellStyle name="20% - Accent1 4 2 16" xfId="34055" xr:uid="{00000000-0005-0000-0000-0000FD040000}"/>
    <cellStyle name="20% - Accent1 4 2 17" xfId="35738" xr:uid="{00000000-0005-0000-0000-0000FE040000}"/>
    <cellStyle name="20% - Accent1 4 2 18" xfId="37421" xr:uid="{00000000-0005-0000-0000-0000FF040000}"/>
    <cellStyle name="20% - Accent1 4 2 19" xfId="39104" xr:uid="{00000000-0005-0000-0000-000000050000}"/>
    <cellStyle name="20% - Accent1 4 2 2" xfId="811" xr:uid="{00000000-0005-0000-0000-000001050000}"/>
    <cellStyle name="20% - Accent1 4 2 2 10" xfId="15960" xr:uid="{00000000-0005-0000-0000-000002050000}"/>
    <cellStyle name="20% - Accent1 4 2 2 11" xfId="31109" xr:uid="{00000000-0005-0000-0000-000003050000}"/>
    <cellStyle name="20% - Accent1 4 2 2 12" xfId="32792" xr:uid="{00000000-0005-0000-0000-000004050000}"/>
    <cellStyle name="20% - Accent1 4 2 2 13" xfId="34475" xr:uid="{00000000-0005-0000-0000-000005050000}"/>
    <cellStyle name="20% - Accent1 4 2 2 14" xfId="36158" xr:uid="{00000000-0005-0000-0000-000006050000}"/>
    <cellStyle name="20% - Accent1 4 2 2 15" xfId="37841" xr:uid="{00000000-0005-0000-0000-000007050000}"/>
    <cellStyle name="20% - Accent1 4 2 2 16" xfId="39524" xr:uid="{00000000-0005-0000-0000-000008050000}"/>
    <cellStyle name="20% - Accent1 4 2 2 17" xfId="41207" xr:uid="{00000000-0005-0000-0000-000009050000}"/>
    <cellStyle name="20% - Accent1 4 2 2 18" xfId="42890" xr:uid="{00000000-0005-0000-0000-00000A050000}"/>
    <cellStyle name="20% - Accent1 4 2 2 19" xfId="44573" xr:uid="{00000000-0005-0000-0000-00000B050000}"/>
    <cellStyle name="20% - Accent1 4 2 2 2" xfId="2494" xr:uid="{00000000-0005-0000-0000-00000C050000}"/>
    <cellStyle name="20% - Accent1 4 2 2 2 2" xfId="17643" xr:uid="{00000000-0005-0000-0000-00000D050000}"/>
    <cellStyle name="20% - Accent1 4 2 2 20" xfId="46256" xr:uid="{00000000-0005-0000-0000-00000E050000}"/>
    <cellStyle name="20% - Accent1 4 2 2 21" xfId="47939" xr:uid="{00000000-0005-0000-0000-00000F050000}"/>
    <cellStyle name="20% - Accent1 4 2 2 22" xfId="49622" xr:uid="{00000000-0005-0000-0000-000010050000}"/>
    <cellStyle name="20% - Accent1 4 2 2 23" xfId="51305" xr:uid="{00000000-0005-0000-0000-000011050000}"/>
    <cellStyle name="20% - Accent1 4 2 2 24" xfId="52988" xr:uid="{00000000-0005-0000-0000-000012050000}"/>
    <cellStyle name="20% - Accent1 4 2 2 25" xfId="54671" xr:uid="{00000000-0005-0000-0000-000013050000}"/>
    <cellStyle name="20% - Accent1 4 2 2 26" xfId="56354" xr:uid="{00000000-0005-0000-0000-000014050000}"/>
    <cellStyle name="20% - Accent1 4 2 2 27" xfId="58037" xr:uid="{00000000-0005-0000-0000-000015050000}"/>
    <cellStyle name="20% - Accent1 4 2 2 28" xfId="59720" xr:uid="{00000000-0005-0000-0000-000016050000}"/>
    <cellStyle name="20% - Accent1 4 2 2 29" xfId="61403" xr:uid="{00000000-0005-0000-0000-000017050000}"/>
    <cellStyle name="20% - Accent1 4 2 2 3" xfId="4178" xr:uid="{00000000-0005-0000-0000-000018050000}"/>
    <cellStyle name="20% - Accent1 4 2 2 3 2" xfId="19327" xr:uid="{00000000-0005-0000-0000-000019050000}"/>
    <cellStyle name="20% - Accent1 4 2 2 30" xfId="63086" xr:uid="{00000000-0005-0000-0000-00001A050000}"/>
    <cellStyle name="20% - Accent1 4 2 2 4" xfId="5861" xr:uid="{00000000-0005-0000-0000-00001B050000}"/>
    <cellStyle name="20% - Accent1 4 2 2 4 2" xfId="21010" xr:uid="{00000000-0005-0000-0000-00001C050000}"/>
    <cellStyle name="20% - Accent1 4 2 2 5" xfId="7544" xr:uid="{00000000-0005-0000-0000-00001D050000}"/>
    <cellStyle name="20% - Accent1 4 2 2 5 2" xfId="22693" xr:uid="{00000000-0005-0000-0000-00001E050000}"/>
    <cellStyle name="20% - Accent1 4 2 2 6" xfId="9227" xr:uid="{00000000-0005-0000-0000-00001F050000}"/>
    <cellStyle name="20% - Accent1 4 2 2 6 2" xfId="24376" xr:uid="{00000000-0005-0000-0000-000020050000}"/>
    <cellStyle name="20% - Accent1 4 2 2 7" xfId="10910" xr:uid="{00000000-0005-0000-0000-000021050000}"/>
    <cellStyle name="20% - Accent1 4 2 2 7 2" xfId="26059" xr:uid="{00000000-0005-0000-0000-000022050000}"/>
    <cellStyle name="20% - Accent1 4 2 2 8" xfId="12594" xr:uid="{00000000-0005-0000-0000-000023050000}"/>
    <cellStyle name="20% - Accent1 4 2 2 8 2" xfId="27743" xr:uid="{00000000-0005-0000-0000-000024050000}"/>
    <cellStyle name="20% - Accent1 4 2 2 9" xfId="14277" xr:uid="{00000000-0005-0000-0000-000025050000}"/>
    <cellStyle name="20% - Accent1 4 2 2 9 2" xfId="29426" xr:uid="{00000000-0005-0000-0000-000026050000}"/>
    <cellStyle name="20% - Accent1 4 2 20" xfId="40787" xr:uid="{00000000-0005-0000-0000-000027050000}"/>
    <cellStyle name="20% - Accent1 4 2 21" xfId="42470" xr:uid="{00000000-0005-0000-0000-000028050000}"/>
    <cellStyle name="20% - Accent1 4 2 22" xfId="44153" xr:uid="{00000000-0005-0000-0000-000029050000}"/>
    <cellStyle name="20% - Accent1 4 2 23" xfId="45836" xr:uid="{00000000-0005-0000-0000-00002A050000}"/>
    <cellStyle name="20% - Accent1 4 2 24" xfId="47519" xr:uid="{00000000-0005-0000-0000-00002B050000}"/>
    <cellStyle name="20% - Accent1 4 2 25" xfId="49202" xr:uid="{00000000-0005-0000-0000-00002C050000}"/>
    <cellStyle name="20% - Accent1 4 2 26" xfId="50885" xr:uid="{00000000-0005-0000-0000-00002D050000}"/>
    <cellStyle name="20% - Accent1 4 2 27" xfId="52568" xr:uid="{00000000-0005-0000-0000-00002E050000}"/>
    <cellStyle name="20% - Accent1 4 2 28" xfId="54251" xr:uid="{00000000-0005-0000-0000-00002F050000}"/>
    <cellStyle name="20% - Accent1 4 2 29" xfId="55934" xr:uid="{00000000-0005-0000-0000-000030050000}"/>
    <cellStyle name="20% - Accent1 4 2 3" xfId="1232" xr:uid="{00000000-0005-0000-0000-000031050000}"/>
    <cellStyle name="20% - Accent1 4 2 3 10" xfId="16381" xr:uid="{00000000-0005-0000-0000-000032050000}"/>
    <cellStyle name="20% - Accent1 4 2 3 11" xfId="31530" xr:uid="{00000000-0005-0000-0000-000033050000}"/>
    <cellStyle name="20% - Accent1 4 2 3 12" xfId="33213" xr:uid="{00000000-0005-0000-0000-000034050000}"/>
    <cellStyle name="20% - Accent1 4 2 3 13" xfId="34896" xr:uid="{00000000-0005-0000-0000-000035050000}"/>
    <cellStyle name="20% - Accent1 4 2 3 14" xfId="36579" xr:uid="{00000000-0005-0000-0000-000036050000}"/>
    <cellStyle name="20% - Accent1 4 2 3 15" xfId="38262" xr:uid="{00000000-0005-0000-0000-000037050000}"/>
    <cellStyle name="20% - Accent1 4 2 3 16" xfId="39945" xr:uid="{00000000-0005-0000-0000-000038050000}"/>
    <cellStyle name="20% - Accent1 4 2 3 17" xfId="41628" xr:uid="{00000000-0005-0000-0000-000039050000}"/>
    <cellStyle name="20% - Accent1 4 2 3 18" xfId="43311" xr:uid="{00000000-0005-0000-0000-00003A050000}"/>
    <cellStyle name="20% - Accent1 4 2 3 19" xfId="44994" xr:uid="{00000000-0005-0000-0000-00003B050000}"/>
    <cellStyle name="20% - Accent1 4 2 3 2" xfId="2915" xr:uid="{00000000-0005-0000-0000-00003C050000}"/>
    <cellStyle name="20% - Accent1 4 2 3 2 2" xfId="18064" xr:uid="{00000000-0005-0000-0000-00003D050000}"/>
    <cellStyle name="20% - Accent1 4 2 3 20" xfId="46677" xr:uid="{00000000-0005-0000-0000-00003E050000}"/>
    <cellStyle name="20% - Accent1 4 2 3 21" xfId="48360" xr:uid="{00000000-0005-0000-0000-00003F050000}"/>
    <cellStyle name="20% - Accent1 4 2 3 22" xfId="50043" xr:uid="{00000000-0005-0000-0000-000040050000}"/>
    <cellStyle name="20% - Accent1 4 2 3 23" xfId="51726" xr:uid="{00000000-0005-0000-0000-000041050000}"/>
    <cellStyle name="20% - Accent1 4 2 3 24" xfId="53409" xr:uid="{00000000-0005-0000-0000-000042050000}"/>
    <cellStyle name="20% - Accent1 4 2 3 25" xfId="55092" xr:uid="{00000000-0005-0000-0000-000043050000}"/>
    <cellStyle name="20% - Accent1 4 2 3 26" xfId="56775" xr:uid="{00000000-0005-0000-0000-000044050000}"/>
    <cellStyle name="20% - Accent1 4 2 3 27" xfId="58458" xr:uid="{00000000-0005-0000-0000-000045050000}"/>
    <cellStyle name="20% - Accent1 4 2 3 28" xfId="60141" xr:uid="{00000000-0005-0000-0000-000046050000}"/>
    <cellStyle name="20% - Accent1 4 2 3 29" xfId="61824" xr:uid="{00000000-0005-0000-0000-000047050000}"/>
    <cellStyle name="20% - Accent1 4 2 3 3" xfId="4599" xr:uid="{00000000-0005-0000-0000-000048050000}"/>
    <cellStyle name="20% - Accent1 4 2 3 3 2" xfId="19748" xr:uid="{00000000-0005-0000-0000-000049050000}"/>
    <cellStyle name="20% - Accent1 4 2 3 30" xfId="63507" xr:uid="{00000000-0005-0000-0000-00004A050000}"/>
    <cellStyle name="20% - Accent1 4 2 3 4" xfId="6282" xr:uid="{00000000-0005-0000-0000-00004B050000}"/>
    <cellStyle name="20% - Accent1 4 2 3 4 2" xfId="21431" xr:uid="{00000000-0005-0000-0000-00004C050000}"/>
    <cellStyle name="20% - Accent1 4 2 3 5" xfId="7965" xr:uid="{00000000-0005-0000-0000-00004D050000}"/>
    <cellStyle name="20% - Accent1 4 2 3 5 2" xfId="23114" xr:uid="{00000000-0005-0000-0000-00004E050000}"/>
    <cellStyle name="20% - Accent1 4 2 3 6" xfId="9648" xr:uid="{00000000-0005-0000-0000-00004F050000}"/>
    <cellStyle name="20% - Accent1 4 2 3 6 2" xfId="24797" xr:uid="{00000000-0005-0000-0000-000050050000}"/>
    <cellStyle name="20% - Accent1 4 2 3 7" xfId="11331" xr:uid="{00000000-0005-0000-0000-000051050000}"/>
    <cellStyle name="20% - Accent1 4 2 3 7 2" xfId="26480" xr:uid="{00000000-0005-0000-0000-000052050000}"/>
    <cellStyle name="20% - Accent1 4 2 3 8" xfId="13015" xr:uid="{00000000-0005-0000-0000-000053050000}"/>
    <cellStyle name="20% - Accent1 4 2 3 8 2" xfId="28164" xr:uid="{00000000-0005-0000-0000-000054050000}"/>
    <cellStyle name="20% - Accent1 4 2 3 9" xfId="14698" xr:uid="{00000000-0005-0000-0000-000055050000}"/>
    <cellStyle name="20% - Accent1 4 2 3 9 2" xfId="29847" xr:uid="{00000000-0005-0000-0000-000056050000}"/>
    <cellStyle name="20% - Accent1 4 2 30" xfId="57617" xr:uid="{00000000-0005-0000-0000-000057050000}"/>
    <cellStyle name="20% - Accent1 4 2 31" xfId="59300" xr:uid="{00000000-0005-0000-0000-000058050000}"/>
    <cellStyle name="20% - Accent1 4 2 32" xfId="60983" xr:uid="{00000000-0005-0000-0000-000059050000}"/>
    <cellStyle name="20% - Accent1 4 2 33" xfId="62666" xr:uid="{00000000-0005-0000-0000-00005A050000}"/>
    <cellStyle name="20% - Accent1 4 2 4" xfId="1653" xr:uid="{00000000-0005-0000-0000-00005B050000}"/>
    <cellStyle name="20% - Accent1 4 2 4 10" xfId="16802" xr:uid="{00000000-0005-0000-0000-00005C050000}"/>
    <cellStyle name="20% - Accent1 4 2 4 11" xfId="31951" xr:uid="{00000000-0005-0000-0000-00005D050000}"/>
    <cellStyle name="20% - Accent1 4 2 4 12" xfId="33634" xr:uid="{00000000-0005-0000-0000-00005E050000}"/>
    <cellStyle name="20% - Accent1 4 2 4 13" xfId="35317" xr:uid="{00000000-0005-0000-0000-00005F050000}"/>
    <cellStyle name="20% - Accent1 4 2 4 14" xfId="37000" xr:uid="{00000000-0005-0000-0000-000060050000}"/>
    <cellStyle name="20% - Accent1 4 2 4 15" xfId="38683" xr:uid="{00000000-0005-0000-0000-000061050000}"/>
    <cellStyle name="20% - Accent1 4 2 4 16" xfId="40366" xr:uid="{00000000-0005-0000-0000-000062050000}"/>
    <cellStyle name="20% - Accent1 4 2 4 17" xfId="42049" xr:uid="{00000000-0005-0000-0000-000063050000}"/>
    <cellStyle name="20% - Accent1 4 2 4 18" xfId="43732" xr:uid="{00000000-0005-0000-0000-000064050000}"/>
    <cellStyle name="20% - Accent1 4 2 4 19" xfId="45415" xr:uid="{00000000-0005-0000-0000-000065050000}"/>
    <cellStyle name="20% - Accent1 4 2 4 2" xfId="3336" xr:uid="{00000000-0005-0000-0000-000066050000}"/>
    <cellStyle name="20% - Accent1 4 2 4 2 2" xfId="18485" xr:uid="{00000000-0005-0000-0000-000067050000}"/>
    <cellStyle name="20% - Accent1 4 2 4 20" xfId="47098" xr:uid="{00000000-0005-0000-0000-000068050000}"/>
    <cellStyle name="20% - Accent1 4 2 4 21" xfId="48781" xr:uid="{00000000-0005-0000-0000-000069050000}"/>
    <cellStyle name="20% - Accent1 4 2 4 22" xfId="50464" xr:uid="{00000000-0005-0000-0000-00006A050000}"/>
    <cellStyle name="20% - Accent1 4 2 4 23" xfId="52147" xr:uid="{00000000-0005-0000-0000-00006B050000}"/>
    <cellStyle name="20% - Accent1 4 2 4 24" xfId="53830" xr:uid="{00000000-0005-0000-0000-00006C050000}"/>
    <cellStyle name="20% - Accent1 4 2 4 25" xfId="55513" xr:uid="{00000000-0005-0000-0000-00006D050000}"/>
    <cellStyle name="20% - Accent1 4 2 4 26" xfId="57196" xr:uid="{00000000-0005-0000-0000-00006E050000}"/>
    <cellStyle name="20% - Accent1 4 2 4 27" xfId="58879" xr:uid="{00000000-0005-0000-0000-00006F050000}"/>
    <cellStyle name="20% - Accent1 4 2 4 28" xfId="60562" xr:uid="{00000000-0005-0000-0000-000070050000}"/>
    <cellStyle name="20% - Accent1 4 2 4 29" xfId="62245" xr:uid="{00000000-0005-0000-0000-000071050000}"/>
    <cellStyle name="20% - Accent1 4 2 4 3" xfId="5020" xr:uid="{00000000-0005-0000-0000-000072050000}"/>
    <cellStyle name="20% - Accent1 4 2 4 3 2" xfId="20169" xr:uid="{00000000-0005-0000-0000-000073050000}"/>
    <cellStyle name="20% - Accent1 4 2 4 30" xfId="63928" xr:uid="{00000000-0005-0000-0000-000074050000}"/>
    <cellStyle name="20% - Accent1 4 2 4 4" xfId="6703" xr:uid="{00000000-0005-0000-0000-000075050000}"/>
    <cellStyle name="20% - Accent1 4 2 4 4 2" xfId="21852" xr:uid="{00000000-0005-0000-0000-000076050000}"/>
    <cellStyle name="20% - Accent1 4 2 4 5" xfId="8386" xr:uid="{00000000-0005-0000-0000-000077050000}"/>
    <cellStyle name="20% - Accent1 4 2 4 5 2" xfId="23535" xr:uid="{00000000-0005-0000-0000-000078050000}"/>
    <cellStyle name="20% - Accent1 4 2 4 6" xfId="10069" xr:uid="{00000000-0005-0000-0000-000079050000}"/>
    <cellStyle name="20% - Accent1 4 2 4 6 2" xfId="25218" xr:uid="{00000000-0005-0000-0000-00007A050000}"/>
    <cellStyle name="20% - Accent1 4 2 4 7" xfId="11752" xr:uid="{00000000-0005-0000-0000-00007B050000}"/>
    <cellStyle name="20% - Accent1 4 2 4 7 2" xfId="26901" xr:uid="{00000000-0005-0000-0000-00007C050000}"/>
    <cellStyle name="20% - Accent1 4 2 4 8" xfId="13436" xr:uid="{00000000-0005-0000-0000-00007D050000}"/>
    <cellStyle name="20% - Accent1 4 2 4 8 2" xfId="28585" xr:uid="{00000000-0005-0000-0000-00007E050000}"/>
    <cellStyle name="20% - Accent1 4 2 4 9" xfId="15119" xr:uid="{00000000-0005-0000-0000-00007F050000}"/>
    <cellStyle name="20% - Accent1 4 2 4 9 2" xfId="30268" xr:uid="{00000000-0005-0000-0000-000080050000}"/>
    <cellStyle name="20% - Accent1 4 2 5" xfId="2074" xr:uid="{00000000-0005-0000-0000-000081050000}"/>
    <cellStyle name="20% - Accent1 4 2 5 2" xfId="17223" xr:uid="{00000000-0005-0000-0000-000082050000}"/>
    <cellStyle name="20% - Accent1 4 2 6" xfId="3758" xr:uid="{00000000-0005-0000-0000-000083050000}"/>
    <cellStyle name="20% - Accent1 4 2 6 2" xfId="18907" xr:uid="{00000000-0005-0000-0000-000084050000}"/>
    <cellStyle name="20% - Accent1 4 2 7" xfId="5441" xr:uid="{00000000-0005-0000-0000-000085050000}"/>
    <cellStyle name="20% - Accent1 4 2 7 2" xfId="20590" xr:uid="{00000000-0005-0000-0000-000086050000}"/>
    <cellStyle name="20% - Accent1 4 2 8" xfId="7124" xr:uid="{00000000-0005-0000-0000-000087050000}"/>
    <cellStyle name="20% - Accent1 4 2 8 2" xfId="22273" xr:uid="{00000000-0005-0000-0000-000088050000}"/>
    <cellStyle name="20% - Accent1 4 2 9" xfId="8807" xr:uid="{00000000-0005-0000-0000-000089050000}"/>
    <cellStyle name="20% - Accent1 4 2 9 2" xfId="23956" xr:uid="{00000000-0005-0000-0000-00008A050000}"/>
    <cellStyle name="20% - Accent1 4 20" xfId="38894" xr:uid="{00000000-0005-0000-0000-00008B050000}"/>
    <cellStyle name="20% - Accent1 4 21" xfId="40577" xr:uid="{00000000-0005-0000-0000-00008C050000}"/>
    <cellStyle name="20% - Accent1 4 22" xfId="42260" xr:uid="{00000000-0005-0000-0000-00008D050000}"/>
    <cellStyle name="20% - Accent1 4 23" xfId="43943" xr:uid="{00000000-0005-0000-0000-00008E050000}"/>
    <cellStyle name="20% - Accent1 4 24" xfId="45626" xr:uid="{00000000-0005-0000-0000-00008F050000}"/>
    <cellStyle name="20% - Accent1 4 25" xfId="47309" xr:uid="{00000000-0005-0000-0000-000090050000}"/>
    <cellStyle name="20% - Accent1 4 26" xfId="48992" xr:uid="{00000000-0005-0000-0000-000091050000}"/>
    <cellStyle name="20% - Accent1 4 27" xfId="50675" xr:uid="{00000000-0005-0000-0000-000092050000}"/>
    <cellStyle name="20% - Accent1 4 28" xfId="52358" xr:uid="{00000000-0005-0000-0000-000093050000}"/>
    <cellStyle name="20% - Accent1 4 29" xfId="54041" xr:uid="{00000000-0005-0000-0000-000094050000}"/>
    <cellStyle name="20% - Accent1 4 3" xfId="601" xr:uid="{00000000-0005-0000-0000-000095050000}"/>
    <cellStyle name="20% - Accent1 4 3 10" xfId="15750" xr:uid="{00000000-0005-0000-0000-000096050000}"/>
    <cellStyle name="20% - Accent1 4 3 11" xfId="30899" xr:uid="{00000000-0005-0000-0000-000097050000}"/>
    <cellStyle name="20% - Accent1 4 3 12" xfId="32582" xr:uid="{00000000-0005-0000-0000-000098050000}"/>
    <cellStyle name="20% - Accent1 4 3 13" xfId="34265" xr:uid="{00000000-0005-0000-0000-000099050000}"/>
    <cellStyle name="20% - Accent1 4 3 14" xfId="35948" xr:uid="{00000000-0005-0000-0000-00009A050000}"/>
    <cellStyle name="20% - Accent1 4 3 15" xfId="37631" xr:uid="{00000000-0005-0000-0000-00009B050000}"/>
    <cellStyle name="20% - Accent1 4 3 16" xfId="39314" xr:uid="{00000000-0005-0000-0000-00009C050000}"/>
    <cellStyle name="20% - Accent1 4 3 17" xfId="40997" xr:uid="{00000000-0005-0000-0000-00009D050000}"/>
    <cellStyle name="20% - Accent1 4 3 18" xfId="42680" xr:uid="{00000000-0005-0000-0000-00009E050000}"/>
    <cellStyle name="20% - Accent1 4 3 19" xfId="44363" xr:uid="{00000000-0005-0000-0000-00009F050000}"/>
    <cellStyle name="20% - Accent1 4 3 2" xfId="2284" xr:uid="{00000000-0005-0000-0000-0000A0050000}"/>
    <cellStyle name="20% - Accent1 4 3 2 2" xfId="17433" xr:uid="{00000000-0005-0000-0000-0000A1050000}"/>
    <cellStyle name="20% - Accent1 4 3 20" xfId="46046" xr:uid="{00000000-0005-0000-0000-0000A2050000}"/>
    <cellStyle name="20% - Accent1 4 3 21" xfId="47729" xr:uid="{00000000-0005-0000-0000-0000A3050000}"/>
    <cellStyle name="20% - Accent1 4 3 22" xfId="49412" xr:uid="{00000000-0005-0000-0000-0000A4050000}"/>
    <cellStyle name="20% - Accent1 4 3 23" xfId="51095" xr:uid="{00000000-0005-0000-0000-0000A5050000}"/>
    <cellStyle name="20% - Accent1 4 3 24" xfId="52778" xr:uid="{00000000-0005-0000-0000-0000A6050000}"/>
    <cellStyle name="20% - Accent1 4 3 25" xfId="54461" xr:uid="{00000000-0005-0000-0000-0000A7050000}"/>
    <cellStyle name="20% - Accent1 4 3 26" xfId="56144" xr:uid="{00000000-0005-0000-0000-0000A8050000}"/>
    <cellStyle name="20% - Accent1 4 3 27" xfId="57827" xr:uid="{00000000-0005-0000-0000-0000A9050000}"/>
    <cellStyle name="20% - Accent1 4 3 28" xfId="59510" xr:uid="{00000000-0005-0000-0000-0000AA050000}"/>
    <cellStyle name="20% - Accent1 4 3 29" xfId="61193" xr:uid="{00000000-0005-0000-0000-0000AB050000}"/>
    <cellStyle name="20% - Accent1 4 3 3" xfId="3968" xr:uid="{00000000-0005-0000-0000-0000AC050000}"/>
    <cellStyle name="20% - Accent1 4 3 3 2" xfId="19117" xr:uid="{00000000-0005-0000-0000-0000AD050000}"/>
    <cellStyle name="20% - Accent1 4 3 30" xfId="62876" xr:uid="{00000000-0005-0000-0000-0000AE050000}"/>
    <cellStyle name="20% - Accent1 4 3 4" xfId="5651" xr:uid="{00000000-0005-0000-0000-0000AF050000}"/>
    <cellStyle name="20% - Accent1 4 3 4 2" xfId="20800" xr:uid="{00000000-0005-0000-0000-0000B0050000}"/>
    <cellStyle name="20% - Accent1 4 3 5" xfId="7334" xr:uid="{00000000-0005-0000-0000-0000B1050000}"/>
    <cellStyle name="20% - Accent1 4 3 5 2" xfId="22483" xr:uid="{00000000-0005-0000-0000-0000B2050000}"/>
    <cellStyle name="20% - Accent1 4 3 6" xfId="9017" xr:uid="{00000000-0005-0000-0000-0000B3050000}"/>
    <cellStyle name="20% - Accent1 4 3 6 2" xfId="24166" xr:uid="{00000000-0005-0000-0000-0000B4050000}"/>
    <cellStyle name="20% - Accent1 4 3 7" xfId="10700" xr:uid="{00000000-0005-0000-0000-0000B5050000}"/>
    <cellStyle name="20% - Accent1 4 3 7 2" xfId="25849" xr:uid="{00000000-0005-0000-0000-0000B6050000}"/>
    <cellStyle name="20% - Accent1 4 3 8" xfId="12384" xr:uid="{00000000-0005-0000-0000-0000B7050000}"/>
    <cellStyle name="20% - Accent1 4 3 8 2" xfId="27533" xr:uid="{00000000-0005-0000-0000-0000B8050000}"/>
    <cellStyle name="20% - Accent1 4 3 9" xfId="14067" xr:uid="{00000000-0005-0000-0000-0000B9050000}"/>
    <cellStyle name="20% - Accent1 4 3 9 2" xfId="29216" xr:uid="{00000000-0005-0000-0000-0000BA050000}"/>
    <cellStyle name="20% - Accent1 4 30" xfId="55724" xr:uid="{00000000-0005-0000-0000-0000BB050000}"/>
    <cellStyle name="20% - Accent1 4 31" xfId="57407" xr:uid="{00000000-0005-0000-0000-0000BC050000}"/>
    <cellStyle name="20% - Accent1 4 32" xfId="59090" xr:uid="{00000000-0005-0000-0000-0000BD050000}"/>
    <cellStyle name="20% - Accent1 4 33" xfId="60773" xr:uid="{00000000-0005-0000-0000-0000BE050000}"/>
    <cellStyle name="20% - Accent1 4 34" xfId="62456" xr:uid="{00000000-0005-0000-0000-0000BF050000}"/>
    <cellStyle name="20% - Accent1 4 4" xfId="1022" xr:uid="{00000000-0005-0000-0000-0000C0050000}"/>
    <cellStyle name="20% - Accent1 4 4 10" xfId="16171" xr:uid="{00000000-0005-0000-0000-0000C1050000}"/>
    <cellStyle name="20% - Accent1 4 4 11" xfId="31320" xr:uid="{00000000-0005-0000-0000-0000C2050000}"/>
    <cellStyle name="20% - Accent1 4 4 12" xfId="33003" xr:uid="{00000000-0005-0000-0000-0000C3050000}"/>
    <cellStyle name="20% - Accent1 4 4 13" xfId="34686" xr:uid="{00000000-0005-0000-0000-0000C4050000}"/>
    <cellStyle name="20% - Accent1 4 4 14" xfId="36369" xr:uid="{00000000-0005-0000-0000-0000C5050000}"/>
    <cellStyle name="20% - Accent1 4 4 15" xfId="38052" xr:uid="{00000000-0005-0000-0000-0000C6050000}"/>
    <cellStyle name="20% - Accent1 4 4 16" xfId="39735" xr:uid="{00000000-0005-0000-0000-0000C7050000}"/>
    <cellStyle name="20% - Accent1 4 4 17" xfId="41418" xr:uid="{00000000-0005-0000-0000-0000C8050000}"/>
    <cellStyle name="20% - Accent1 4 4 18" xfId="43101" xr:uid="{00000000-0005-0000-0000-0000C9050000}"/>
    <cellStyle name="20% - Accent1 4 4 19" xfId="44784" xr:uid="{00000000-0005-0000-0000-0000CA050000}"/>
    <cellStyle name="20% - Accent1 4 4 2" xfId="2705" xr:uid="{00000000-0005-0000-0000-0000CB050000}"/>
    <cellStyle name="20% - Accent1 4 4 2 2" xfId="17854" xr:uid="{00000000-0005-0000-0000-0000CC050000}"/>
    <cellStyle name="20% - Accent1 4 4 20" xfId="46467" xr:uid="{00000000-0005-0000-0000-0000CD050000}"/>
    <cellStyle name="20% - Accent1 4 4 21" xfId="48150" xr:uid="{00000000-0005-0000-0000-0000CE050000}"/>
    <cellStyle name="20% - Accent1 4 4 22" xfId="49833" xr:uid="{00000000-0005-0000-0000-0000CF050000}"/>
    <cellStyle name="20% - Accent1 4 4 23" xfId="51516" xr:uid="{00000000-0005-0000-0000-0000D0050000}"/>
    <cellStyle name="20% - Accent1 4 4 24" xfId="53199" xr:uid="{00000000-0005-0000-0000-0000D1050000}"/>
    <cellStyle name="20% - Accent1 4 4 25" xfId="54882" xr:uid="{00000000-0005-0000-0000-0000D2050000}"/>
    <cellStyle name="20% - Accent1 4 4 26" xfId="56565" xr:uid="{00000000-0005-0000-0000-0000D3050000}"/>
    <cellStyle name="20% - Accent1 4 4 27" xfId="58248" xr:uid="{00000000-0005-0000-0000-0000D4050000}"/>
    <cellStyle name="20% - Accent1 4 4 28" xfId="59931" xr:uid="{00000000-0005-0000-0000-0000D5050000}"/>
    <cellStyle name="20% - Accent1 4 4 29" xfId="61614" xr:uid="{00000000-0005-0000-0000-0000D6050000}"/>
    <cellStyle name="20% - Accent1 4 4 3" xfId="4389" xr:uid="{00000000-0005-0000-0000-0000D7050000}"/>
    <cellStyle name="20% - Accent1 4 4 3 2" xfId="19538" xr:uid="{00000000-0005-0000-0000-0000D8050000}"/>
    <cellStyle name="20% - Accent1 4 4 30" xfId="63297" xr:uid="{00000000-0005-0000-0000-0000D9050000}"/>
    <cellStyle name="20% - Accent1 4 4 4" xfId="6072" xr:uid="{00000000-0005-0000-0000-0000DA050000}"/>
    <cellStyle name="20% - Accent1 4 4 4 2" xfId="21221" xr:uid="{00000000-0005-0000-0000-0000DB050000}"/>
    <cellStyle name="20% - Accent1 4 4 5" xfId="7755" xr:uid="{00000000-0005-0000-0000-0000DC050000}"/>
    <cellStyle name="20% - Accent1 4 4 5 2" xfId="22904" xr:uid="{00000000-0005-0000-0000-0000DD050000}"/>
    <cellStyle name="20% - Accent1 4 4 6" xfId="9438" xr:uid="{00000000-0005-0000-0000-0000DE050000}"/>
    <cellStyle name="20% - Accent1 4 4 6 2" xfId="24587" xr:uid="{00000000-0005-0000-0000-0000DF050000}"/>
    <cellStyle name="20% - Accent1 4 4 7" xfId="11121" xr:uid="{00000000-0005-0000-0000-0000E0050000}"/>
    <cellStyle name="20% - Accent1 4 4 7 2" xfId="26270" xr:uid="{00000000-0005-0000-0000-0000E1050000}"/>
    <cellStyle name="20% - Accent1 4 4 8" xfId="12805" xr:uid="{00000000-0005-0000-0000-0000E2050000}"/>
    <cellStyle name="20% - Accent1 4 4 8 2" xfId="27954" xr:uid="{00000000-0005-0000-0000-0000E3050000}"/>
    <cellStyle name="20% - Accent1 4 4 9" xfId="14488" xr:uid="{00000000-0005-0000-0000-0000E4050000}"/>
    <cellStyle name="20% - Accent1 4 4 9 2" xfId="29637" xr:uid="{00000000-0005-0000-0000-0000E5050000}"/>
    <cellStyle name="20% - Accent1 4 5" xfId="1443" xr:uid="{00000000-0005-0000-0000-0000E6050000}"/>
    <cellStyle name="20% - Accent1 4 5 10" xfId="16592" xr:uid="{00000000-0005-0000-0000-0000E7050000}"/>
    <cellStyle name="20% - Accent1 4 5 11" xfId="31741" xr:uid="{00000000-0005-0000-0000-0000E8050000}"/>
    <cellStyle name="20% - Accent1 4 5 12" xfId="33424" xr:uid="{00000000-0005-0000-0000-0000E9050000}"/>
    <cellStyle name="20% - Accent1 4 5 13" xfId="35107" xr:uid="{00000000-0005-0000-0000-0000EA050000}"/>
    <cellStyle name="20% - Accent1 4 5 14" xfId="36790" xr:uid="{00000000-0005-0000-0000-0000EB050000}"/>
    <cellStyle name="20% - Accent1 4 5 15" xfId="38473" xr:uid="{00000000-0005-0000-0000-0000EC050000}"/>
    <cellStyle name="20% - Accent1 4 5 16" xfId="40156" xr:uid="{00000000-0005-0000-0000-0000ED050000}"/>
    <cellStyle name="20% - Accent1 4 5 17" xfId="41839" xr:uid="{00000000-0005-0000-0000-0000EE050000}"/>
    <cellStyle name="20% - Accent1 4 5 18" xfId="43522" xr:uid="{00000000-0005-0000-0000-0000EF050000}"/>
    <cellStyle name="20% - Accent1 4 5 19" xfId="45205" xr:uid="{00000000-0005-0000-0000-0000F0050000}"/>
    <cellStyle name="20% - Accent1 4 5 2" xfId="3126" xr:uid="{00000000-0005-0000-0000-0000F1050000}"/>
    <cellStyle name="20% - Accent1 4 5 2 2" xfId="18275" xr:uid="{00000000-0005-0000-0000-0000F2050000}"/>
    <cellStyle name="20% - Accent1 4 5 20" xfId="46888" xr:uid="{00000000-0005-0000-0000-0000F3050000}"/>
    <cellStyle name="20% - Accent1 4 5 21" xfId="48571" xr:uid="{00000000-0005-0000-0000-0000F4050000}"/>
    <cellStyle name="20% - Accent1 4 5 22" xfId="50254" xr:uid="{00000000-0005-0000-0000-0000F5050000}"/>
    <cellStyle name="20% - Accent1 4 5 23" xfId="51937" xr:uid="{00000000-0005-0000-0000-0000F6050000}"/>
    <cellStyle name="20% - Accent1 4 5 24" xfId="53620" xr:uid="{00000000-0005-0000-0000-0000F7050000}"/>
    <cellStyle name="20% - Accent1 4 5 25" xfId="55303" xr:uid="{00000000-0005-0000-0000-0000F8050000}"/>
    <cellStyle name="20% - Accent1 4 5 26" xfId="56986" xr:uid="{00000000-0005-0000-0000-0000F9050000}"/>
    <cellStyle name="20% - Accent1 4 5 27" xfId="58669" xr:uid="{00000000-0005-0000-0000-0000FA050000}"/>
    <cellStyle name="20% - Accent1 4 5 28" xfId="60352" xr:uid="{00000000-0005-0000-0000-0000FB050000}"/>
    <cellStyle name="20% - Accent1 4 5 29" xfId="62035" xr:uid="{00000000-0005-0000-0000-0000FC050000}"/>
    <cellStyle name="20% - Accent1 4 5 3" xfId="4810" xr:uid="{00000000-0005-0000-0000-0000FD050000}"/>
    <cellStyle name="20% - Accent1 4 5 3 2" xfId="19959" xr:uid="{00000000-0005-0000-0000-0000FE050000}"/>
    <cellStyle name="20% - Accent1 4 5 30" xfId="63718" xr:uid="{00000000-0005-0000-0000-0000FF050000}"/>
    <cellStyle name="20% - Accent1 4 5 4" xfId="6493" xr:uid="{00000000-0005-0000-0000-000000060000}"/>
    <cellStyle name="20% - Accent1 4 5 4 2" xfId="21642" xr:uid="{00000000-0005-0000-0000-000001060000}"/>
    <cellStyle name="20% - Accent1 4 5 5" xfId="8176" xr:uid="{00000000-0005-0000-0000-000002060000}"/>
    <cellStyle name="20% - Accent1 4 5 5 2" xfId="23325" xr:uid="{00000000-0005-0000-0000-000003060000}"/>
    <cellStyle name="20% - Accent1 4 5 6" xfId="9859" xr:uid="{00000000-0005-0000-0000-000004060000}"/>
    <cellStyle name="20% - Accent1 4 5 6 2" xfId="25008" xr:uid="{00000000-0005-0000-0000-000005060000}"/>
    <cellStyle name="20% - Accent1 4 5 7" xfId="11542" xr:uid="{00000000-0005-0000-0000-000006060000}"/>
    <cellStyle name="20% - Accent1 4 5 7 2" xfId="26691" xr:uid="{00000000-0005-0000-0000-000007060000}"/>
    <cellStyle name="20% - Accent1 4 5 8" xfId="13226" xr:uid="{00000000-0005-0000-0000-000008060000}"/>
    <cellStyle name="20% - Accent1 4 5 8 2" xfId="28375" xr:uid="{00000000-0005-0000-0000-000009060000}"/>
    <cellStyle name="20% - Accent1 4 5 9" xfId="14909" xr:uid="{00000000-0005-0000-0000-00000A060000}"/>
    <cellStyle name="20% - Accent1 4 5 9 2" xfId="30058" xr:uid="{00000000-0005-0000-0000-00000B060000}"/>
    <cellStyle name="20% - Accent1 4 6" xfId="1864" xr:uid="{00000000-0005-0000-0000-00000C060000}"/>
    <cellStyle name="20% - Accent1 4 6 2" xfId="17013" xr:uid="{00000000-0005-0000-0000-00000D060000}"/>
    <cellStyle name="20% - Accent1 4 7" xfId="3548" xr:uid="{00000000-0005-0000-0000-00000E060000}"/>
    <cellStyle name="20% - Accent1 4 7 2" xfId="18697" xr:uid="{00000000-0005-0000-0000-00000F060000}"/>
    <cellStyle name="20% - Accent1 4 8" xfId="5231" xr:uid="{00000000-0005-0000-0000-000010060000}"/>
    <cellStyle name="20% - Accent1 4 8 2" xfId="20380" xr:uid="{00000000-0005-0000-0000-000011060000}"/>
    <cellStyle name="20% - Accent1 4 9" xfId="6914" xr:uid="{00000000-0005-0000-0000-000012060000}"/>
    <cellStyle name="20% - Accent1 4 9 2" xfId="22063" xr:uid="{00000000-0005-0000-0000-000013060000}"/>
    <cellStyle name="20% - Accent1 5" xfId="286" xr:uid="{00000000-0005-0000-0000-000014060000}"/>
    <cellStyle name="20% - Accent1 5 10" xfId="10385" xr:uid="{00000000-0005-0000-0000-000015060000}"/>
    <cellStyle name="20% - Accent1 5 10 2" xfId="25534" xr:uid="{00000000-0005-0000-0000-000016060000}"/>
    <cellStyle name="20% - Accent1 5 11" xfId="12069" xr:uid="{00000000-0005-0000-0000-000017060000}"/>
    <cellStyle name="20% - Accent1 5 11 2" xfId="27218" xr:uid="{00000000-0005-0000-0000-000018060000}"/>
    <cellStyle name="20% - Accent1 5 12" xfId="13752" xr:uid="{00000000-0005-0000-0000-000019060000}"/>
    <cellStyle name="20% - Accent1 5 12 2" xfId="28901" xr:uid="{00000000-0005-0000-0000-00001A060000}"/>
    <cellStyle name="20% - Accent1 5 13" xfId="15435" xr:uid="{00000000-0005-0000-0000-00001B060000}"/>
    <cellStyle name="20% - Accent1 5 14" xfId="30584" xr:uid="{00000000-0005-0000-0000-00001C060000}"/>
    <cellStyle name="20% - Accent1 5 15" xfId="32267" xr:uid="{00000000-0005-0000-0000-00001D060000}"/>
    <cellStyle name="20% - Accent1 5 16" xfId="33950" xr:uid="{00000000-0005-0000-0000-00001E060000}"/>
    <cellStyle name="20% - Accent1 5 17" xfId="35633" xr:uid="{00000000-0005-0000-0000-00001F060000}"/>
    <cellStyle name="20% - Accent1 5 18" xfId="37316" xr:uid="{00000000-0005-0000-0000-000020060000}"/>
    <cellStyle name="20% - Accent1 5 19" xfId="38999" xr:uid="{00000000-0005-0000-0000-000021060000}"/>
    <cellStyle name="20% - Accent1 5 2" xfId="706" xr:uid="{00000000-0005-0000-0000-000022060000}"/>
    <cellStyle name="20% - Accent1 5 2 10" xfId="15855" xr:uid="{00000000-0005-0000-0000-000023060000}"/>
    <cellStyle name="20% - Accent1 5 2 11" xfId="31004" xr:uid="{00000000-0005-0000-0000-000024060000}"/>
    <cellStyle name="20% - Accent1 5 2 12" xfId="32687" xr:uid="{00000000-0005-0000-0000-000025060000}"/>
    <cellStyle name="20% - Accent1 5 2 13" xfId="34370" xr:uid="{00000000-0005-0000-0000-000026060000}"/>
    <cellStyle name="20% - Accent1 5 2 14" xfId="36053" xr:uid="{00000000-0005-0000-0000-000027060000}"/>
    <cellStyle name="20% - Accent1 5 2 15" xfId="37736" xr:uid="{00000000-0005-0000-0000-000028060000}"/>
    <cellStyle name="20% - Accent1 5 2 16" xfId="39419" xr:uid="{00000000-0005-0000-0000-000029060000}"/>
    <cellStyle name="20% - Accent1 5 2 17" xfId="41102" xr:uid="{00000000-0005-0000-0000-00002A060000}"/>
    <cellStyle name="20% - Accent1 5 2 18" xfId="42785" xr:uid="{00000000-0005-0000-0000-00002B060000}"/>
    <cellStyle name="20% - Accent1 5 2 19" xfId="44468" xr:uid="{00000000-0005-0000-0000-00002C060000}"/>
    <cellStyle name="20% - Accent1 5 2 2" xfId="2389" xr:uid="{00000000-0005-0000-0000-00002D060000}"/>
    <cellStyle name="20% - Accent1 5 2 2 2" xfId="17538" xr:uid="{00000000-0005-0000-0000-00002E060000}"/>
    <cellStyle name="20% - Accent1 5 2 20" xfId="46151" xr:uid="{00000000-0005-0000-0000-00002F060000}"/>
    <cellStyle name="20% - Accent1 5 2 21" xfId="47834" xr:uid="{00000000-0005-0000-0000-000030060000}"/>
    <cellStyle name="20% - Accent1 5 2 22" xfId="49517" xr:uid="{00000000-0005-0000-0000-000031060000}"/>
    <cellStyle name="20% - Accent1 5 2 23" xfId="51200" xr:uid="{00000000-0005-0000-0000-000032060000}"/>
    <cellStyle name="20% - Accent1 5 2 24" xfId="52883" xr:uid="{00000000-0005-0000-0000-000033060000}"/>
    <cellStyle name="20% - Accent1 5 2 25" xfId="54566" xr:uid="{00000000-0005-0000-0000-000034060000}"/>
    <cellStyle name="20% - Accent1 5 2 26" xfId="56249" xr:uid="{00000000-0005-0000-0000-000035060000}"/>
    <cellStyle name="20% - Accent1 5 2 27" xfId="57932" xr:uid="{00000000-0005-0000-0000-000036060000}"/>
    <cellStyle name="20% - Accent1 5 2 28" xfId="59615" xr:uid="{00000000-0005-0000-0000-000037060000}"/>
    <cellStyle name="20% - Accent1 5 2 29" xfId="61298" xr:uid="{00000000-0005-0000-0000-000038060000}"/>
    <cellStyle name="20% - Accent1 5 2 3" xfId="4073" xr:uid="{00000000-0005-0000-0000-000039060000}"/>
    <cellStyle name="20% - Accent1 5 2 3 2" xfId="19222" xr:uid="{00000000-0005-0000-0000-00003A060000}"/>
    <cellStyle name="20% - Accent1 5 2 30" xfId="62981" xr:uid="{00000000-0005-0000-0000-00003B060000}"/>
    <cellStyle name="20% - Accent1 5 2 4" xfId="5756" xr:uid="{00000000-0005-0000-0000-00003C060000}"/>
    <cellStyle name="20% - Accent1 5 2 4 2" xfId="20905" xr:uid="{00000000-0005-0000-0000-00003D060000}"/>
    <cellStyle name="20% - Accent1 5 2 5" xfId="7439" xr:uid="{00000000-0005-0000-0000-00003E060000}"/>
    <cellStyle name="20% - Accent1 5 2 5 2" xfId="22588" xr:uid="{00000000-0005-0000-0000-00003F060000}"/>
    <cellStyle name="20% - Accent1 5 2 6" xfId="9122" xr:uid="{00000000-0005-0000-0000-000040060000}"/>
    <cellStyle name="20% - Accent1 5 2 6 2" xfId="24271" xr:uid="{00000000-0005-0000-0000-000041060000}"/>
    <cellStyle name="20% - Accent1 5 2 7" xfId="10805" xr:uid="{00000000-0005-0000-0000-000042060000}"/>
    <cellStyle name="20% - Accent1 5 2 7 2" xfId="25954" xr:uid="{00000000-0005-0000-0000-000043060000}"/>
    <cellStyle name="20% - Accent1 5 2 8" xfId="12489" xr:uid="{00000000-0005-0000-0000-000044060000}"/>
    <cellStyle name="20% - Accent1 5 2 8 2" xfId="27638" xr:uid="{00000000-0005-0000-0000-000045060000}"/>
    <cellStyle name="20% - Accent1 5 2 9" xfId="14172" xr:uid="{00000000-0005-0000-0000-000046060000}"/>
    <cellStyle name="20% - Accent1 5 2 9 2" xfId="29321" xr:uid="{00000000-0005-0000-0000-000047060000}"/>
    <cellStyle name="20% - Accent1 5 20" xfId="40682" xr:uid="{00000000-0005-0000-0000-000048060000}"/>
    <cellStyle name="20% - Accent1 5 21" xfId="42365" xr:uid="{00000000-0005-0000-0000-000049060000}"/>
    <cellStyle name="20% - Accent1 5 22" xfId="44048" xr:uid="{00000000-0005-0000-0000-00004A060000}"/>
    <cellStyle name="20% - Accent1 5 23" xfId="45731" xr:uid="{00000000-0005-0000-0000-00004B060000}"/>
    <cellStyle name="20% - Accent1 5 24" xfId="47414" xr:uid="{00000000-0005-0000-0000-00004C060000}"/>
    <cellStyle name="20% - Accent1 5 25" xfId="49097" xr:uid="{00000000-0005-0000-0000-00004D060000}"/>
    <cellStyle name="20% - Accent1 5 26" xfId="50780" xr:uid="{00000000-0005-0000-0000-00004E060000}"/>
    <cellStyle name="20% - Accent1 5 27" xfId="52463" xr:uid="{00000000-0005-0000-0000-00004F060000}"/>
    <cellStyle name="20% - Accent1 5 28" xfId="54146" xr:uid="{00000000-0005-0000-0000-000050060000}"/>
    <cellStyle name="20% - Accent1 5 29" xfId="55829" xr:uid="{00000000-0005-0000-0000-000051060000}"/>
    <cellStyle name="20% - Accent1 5 3" xfId="1127" xr:uid="{00000000-0005-0000-0000-000052060000}"/>
    <cellStyle name="20% - Accent1 5 3 10" xfId="16276" xr:uid="{00000000-0005-0000-0000-000053060000}"/>
    <cellStyle name="20% - Accent1 5 3 11" xfId="31425" xr:uid="{00000000-0005-0000-0000-000054060000}"/>
    <cellStyle name="20% - Accent1 5 3 12" xfId="33108" xr:uid="{00000000-0005-0000-0000-000055060000}"/>
    <cellStyle name="20% - Accent1 5 3 13" xfId="34791" xr:uid="{00000000-0005-0000-0000-000056060000}"/>
    <cellStyle name="20% - Accent1 5 3 14" xfId="36474" xr:uid="{00000000-0005-0000-0000-000057060000}"/>
    <cellStyle name="20% - Accent1 5 3 15" xfId="38157" xr:uid="{00000000-0005-0000-0000-000058060000}"/>
    <cellStyle name="20% - Accent1 5 3 16" xfId="39840" xr:uid="{00000000-0005-0000-0000-000059060000}"/>
    <cellStyle name="20% - Accent1 5 3 17" xfId="41523" xr:uid="{00000000-0005-0000-0000-00005A060000}"/>
    <cellStyle name="20% - Accent1 5 3 18" xfId="43206" xr:uid="{00000000-0005-0000-0000-00005B060000}"/>
    <cellStyle name="20% - Accent1 5 3 19" xfId="44889" xr:uid="{00000000-0005-0000-0000-00005C060000}"/>
    <cellStyle name="20% - Accent1 5 3 2" xfId="2810" xr:uid="{00000000-0005-0000-0000-00005D060000}"/>
    <cellStyle name="20% - Accent1 5 3 2 2" xfId="17959" xr:uid="{00000000-0005-0000-0000-00005E060000}"/>
    <cellStyle name="20% - Accent1 5 3 20" xfId="46572" xr:uid="{00000000-0005-0000-0000-00005F060000}"/>
    <cellStyle name="20% - Accent1 5 3 21" xfId="48255" xr:uid="{00000000-0005-0000-0000-000060060000}"/>
    <cellStyle name="20% - Accent1 5 3 22" xfId="49938" xr:uid="{00000000-0005-0000-0000-000061060000}"/>
    <cellStyle name="20% - Accent1 5 3 23" xfId="51621" xr:uid="{00000000-0005-0000-0000-000062060000}"/>
    <cellStyle name="20% - Accent1 5 3 24" xfId="53304" xr:uid="{00000000-0005-0000-0000-000063060000}"/>
    <cellStyle name="20% - Accent1 5 3 25" xfId="54987" xr:uid="{00000000-0005-0000-0000-000064060000}"/>
    <cellStyle name="20% - Accent1 5 3 26" xfId="56670" xr:uid="{00000000-0005-0000-0000-000065060000}"/>
    <cellStyle name="20% - Accent1 5 3 27" xfId="58353" xr:uid="{00000000-0005-0000-0000-000066060000}"/>
    <cellStyle name="20% - Accent1 5 3 28" xfId="60036" xr:uid="{00000000-0005-0000-0000-000067060000}"/>
    <cellStyle name="20% - Accent1 5 3 29" xfId="61719" xr:uid="{00000000-0005-0000-0000-000068060000}"/>
    <cellStyle name="20% - Accent1 5 3 3" xfId="4494" xr:uid="{00000000-0005-0000-0000-000069060000}"/>
    <cellStyle name="20% - Accent1 5 3 3 2" xfId="19643" xr:uid="{00000000-0005-0000-0000-00006A060000}"/>
    <cellStyle name="20% - Accent1 5 3 30" xfId="63402" xr:uid="{00000000-0005-0000-0000-00006B060000}"/>
    <cellStyle name="20% - Accent1 5 3 4" xfId="6177" xr:uid="{00000000-0005-0000-0000-00006C060000}"/>
    <cellStyle name="20% - Accent1 5 3 4 2" xfId="21326" xr:uid="{00000000-0005-0000-0000-00006D060000}"/>
    <cellStyle name="20% - Accent1 5 3 5" xfId="7860" xr:uid="{00000000-0005-0000-0000-00006E060000}"/>
    <cellStyle name="20% - Accent1 5 3 5 2" xfId="23009" xr:uid="{00000000-0005-0000-0000-00006F060000}"/>
    <cellStyle name="20% - Accent1 5 3 6" xfId="9543" xr:uid="{00000000-0005-0000-0000-000070060000}"/>
    <cellStyle name="20% - Accent1 5 3 6 2" xfId="24692" xr:uid="{00000000-0005-0000-0000-000071060000}"/>
    <cellStyle name="20% - Accent1 5 3 7" xfId="11226" xr:uid="{00000000-0005-0000-0000-000072060000}"/>
    <cellStyle name="20% - Accent1 5 3 7 2" xfId="26375" xr:uid="{00000000-0005-0000-0000-000073060000}"/>
    <cellStyle name="20% - Accent1 5 3 8" xfId="12910" xr:uid="{00000000-0005-0000-0000-000074060000}"/>
    <cellStyle name="20% - Accent1 5 3 8 2" xfId="28059" xr:uid="{00000000-0005-0000-0000-000075060000}"/>
    <cellStyle name="20% - Accent1 5 3 9" xfId="14593" xr:uid="{00000000-0005-0000-0000-000076060000}"/>
    <cellStyle name="20% - Accent1 5 3 9 2" xfId="29742" xr:uid="{00000000-0005-0000-0000-000077060000}"/>
    <cellStyle name="20% - Accent1 5 30" xfId="57512" xr:uid="{00000000-0005-0000-0000-000078060000}"/>
    <cellStyle name="20% - Accent1 5 31" xfId="59195" xr:uid="{00000000-0005-0000-0000-000079060000}"/>
    <cellStyle name="20% - Accent1 5 32" xfId="60878" xr:uid="{00000000-0005-0000-0000-00007A060000}"/>
    <cellStyle name="20% - Accent1 5 33" xfId="62561" xr:uid="{00000000-0005-0000-0000-00007B060000}"/>
    <cellStyle name="20% - Accent1 5 4" xfId="1548" xr:uid="{00000000-0005-0000-0000-00007C060000}"/>
    <cellStyle name="20% - Accent1 5 4 10" xfId="16697" xr:uid="{00000000-0005-0000-0000-00007D060000}"/>
    <cellStyle name="20% - Accent1 5 4 11" xfId="31846" xr:uid="{00000000-0005-0000-0000-00007E060000}"/>
    <cellStyle name="20% - Accent1 5 4 12" xfId="33529" xr:uid="{00000000-0005-0000-0000-00007F060000}"/>
    <cellStyle name="20% - Accent1 5 4 13" xfId="35212" xr:uid="{00000000-0005-0000-0000-000080060000}"/>
    <cellStyle name="20% - Accent1 5 4 14" xfId="36895" xr:uid="{00000000-0005-0000-0000-000081060000}"/>
    <cellStyle name="20% - Accent1 5 4 15" xfId="38578" xr:uid="{00000000-0005-0000-0000-000082060000}"/>
    <cellStyle name="20% - Accent1 5 4 16" xfId="40261" xr:uid="{00000000-0005-0000-0000-000083060000}"/>
    <cellStyle name="20% - Accent1 5 4 17" xfId="41944" xr:uid="{00000000-0005-0000-0000-000084060000}"/>
    <cellStyle name="20% - Accent1 5 4 18" xfId="43627" xr:uid="{00000000-0005-0000-0000-000085060000}"/>
    <cellStyle name="20% - Accent1 5 4 19" xfId="45310" xr:uid="{00000000-0005-0000-0000-000086060000}"/>
    <cellStyle name="20% - Accent1 5 4 2" xfId="3231" xr:uid="{00000000-0005-0000-0000-000087060000}"/>
    <cellStyle name="20% - Accent1 5 4 2 2" xfId="18380" xr:uid="{00000000-0005-0000-0000-000088060000}"/>
    <cellStyle name="20% - Accent1 5 4 20" xfId="46993" xr:uid="{00000000-0005-0000-0000-000089060000}"/>
    <cellStyle name="20% - Accent1 5 4 21" xfId="48676" xr:uid="{00000000-0005-0000-0000-00008A060000}"/>
    <cellStyle name="20% - Accent1 5 4 22" xfId="50359" xr:uid="{00000000-0005-0000-0000-00008B060000}"/>
    <cellStyle name="20% - Accent1 5 4 23" xfId="52042" xr:uid="{00000000-0005-0000-0000-00008C060000}"/>
    <cellStyle name="20% - Accent1 5 4 24" xfId="53725" xr:uid="{00000000-0005-0000-0000-00008D060000}"/>
    <cellStyle name="20% - Accent1 5 4 25" xfId="55408" xr:uid="{00000000-0005-0000-0000-00008E060000}"/>
    <cellStyle name="20% - Accent1 5 4 26" xfId="57091" xr:uid="{00000000-0005-0000-0000-00008F060000}"/>
    <cellStyle name="20% - Accent1 5 4 27" xfId="58774" xr:uid="{00000000-0005-0000-0000-000090060000}"/>
    <cellStyle name="20% - Accent1 5 4 28" xfId="60457" xr:uid="{00000000-0005-0000-0000-000091060000}"/>
    <cellStyle name="20% - Accent1 5 4 29" xfId="62140" xr:uid="{00000000-0005-0000-0000-000092060000}"/>
    <cellStyle name="20% - Accent1 5 4 3" xfId="4915" xr:uid="{00000000-0005-0000-0000-000093060000}"/>
    <cellStyle name="20% - Accent1 5 4 3 2" xfId="20064" xr:uid="{00000000-0005-0000-0000-000094060000}"/>
    <cellStyle name="20% - Accent1 5 4 30" xfId="63823" xr:uid="{00000000-0005-0000-0000-000095060000}"/>
    <cellStyle name="20% - Accent1 5 4 4" xfId="6598" xr:uid="{00000000-0005-0000-0000-000096060000}"/>
    <cellStyle name="20% - Accent1 5 4 4 2" xfId="21747" xr:uid="{00000000-0005-0000-0000-000097060000}"/>
    <cellStyle name="20% - Accent1 5 4 5" xfId="8281" xr:uid="{00000000-0005-0000-0000-000098060000}"/>
    <cellStyle name="20% - Accent1 5 4 5 2" xfId="23430" xr:uid="{00000000-0005-0000-0000-000099060000}"/>
    <cellStyle name="20% - Accent1 5 4 6" xfId="9964" xr:uid="{00000000-0005-0000-0000-00009A060000}"/>
    <cellStyle name="20% - Accent1 5 4 6 2" xfId="25113" xr:uid="{00000000-0005-0000-0000-00009B060000}"/>
    <cellStyle name="20% - Accent1 5 4 7" xfId="11647" xr:uid="{00000000-0005-0000-0000-00009C060000}"/>
    <cellStyle name="20% - Accent1 5 4 7 2" xfId="26796" xr:uid="{00000000-0005-0000-0000-00009D060000}"/>
    <cellStyle name="20% - Accent1 5 4 8" xfId="13331" xr:uid="{00000000-0005-0000-0000-00009E060000}"/>
    <cellStyle name="20% - Accent1 5 4 8 2" xfId="28480" xr:uid="{00000000-0005-0000-0000-00009F060000}"/>
    <cellStyle name="20% - Accent1 5 4 9" xfId="15014" xr:uid="{00000000-0005-0000-0000-0000A0060000}"/>
    <cellStyle name="20% - Accent1 5 4 9 2" xfId="30163" xr:uid="{00000000-0005-0000-0000-0000A1060000}"/>
    <cellStyle name="20% - Accent1 5 5" xfId="1969" xr:uid="{00000000-0005-0000-0000-0000A2060000}"/>
    <cellStyle name="20% - Accent1 5 5 2" xfId="17118" xr:uid="{00000000-0005-0000-0000-0000A3060000}"/>
    <cellStyle name="20% - Accent1 5 6" xfId="3653" xr:uid="{00000000-0005-0000-0000-0000A4060000}"/>
    <cellStyle name="20% - Accent1 5 6 2" xfId="18802" xr:uid="{00000000-0005-0000-0000-0000A5060000}"/>
    <cellStyle name="20% - Accent1 5 7" xfId="5336" xr:uid="{00000000-0005-0000-0000-0000A6060000}"/>
    <cellStyle name="20% - Accent1 5 7 2" xfId="20485" xr:uid="{00000000-0005-0000-0000-0000A7060000}"/>
    <cellStyle name="20% - Accent1 5 8" xfId="7019" xr:uid="{00000000-0005-0000-0000-0000A8060000}"/>
    <cellStyle name="20% - Accent1 5 8 2" xfId="22168" xr:uid="{00000000-0005-0000-0000-0000A9060000}"/>
    <cellStyle name="20% - Accent1 5 9" xfId="8702" xr:uid="{00000000-0005-0000-0000-0000AA060000}"/>
    <cellStyle name="20% - Accent1 5 9 2" xfId="23851" xr:uid="{00000000-0005-0000-0000-0000AB060000}"/>
    <cellStyle name="20% - Accent1 6" xfId="496" xr:uid="{00000000-0005-0000-0000-0000AC060000}"/>
    <cellStyle name="20% - Accent1 6 10" xfId="15645" xr:uid="{00000000-0005-0000-0000-0000AD060000}"/>
    <cellStyle name="20% - Accent1 6 11" xfId="30794" xr:uid="{00000000-0005-0000-0000-0000AE060000}"/>
    <cellStyle name="20% - Accent1 6 12" xfId="32477" xr:uid="{00000000-0005-0000-0000-0000AF060000}"/>
    <cellStyle name="20% - Accent1 6 13" xfId="34160" xr:uid="{00000000-0005-0000-0000-0000B0060000}"/>
    <cellStyle name="20% - Accent1 6 14" xfId="35843" xr:uid="{00000000-0005-0000-0000-0000B1060000}"/>
    <cellStyle name="20% - Accent1 6 15" xfId="37526" xr:uid="{00000000-0005-0000-0000-0000B2060000}"/>
    <cellStyle name="20% - Accent1 6 16" xfId="39209" xr:uid="{00000000-0005-0000-0000-0000B3060000}"/>
    <cellStyle name="20% - Accent1 6 17" xfId="40892" xr:uid="{00000000-0005-0000-0000-0000B4060000}"/>
    <cellStyle name="20% - Accent1 6 18" xfId="42575" xr:uid="{00000000-0005-0000-0000-0000B5060000}"/>
    <cellStyle name="20% - Accent1 6 19" xfId="44258" xr:uid="{00000000-0005-0000-0000-0000B6060000}"/>
    <cellStyle name="20% - Accent1 6 2" xfId="2179" xr:uid="{00000000-0005-0000-0000-0000B7060000}"/>
    <cellStyle name="20% - Accent1 6 2 2" xfId="17328" xr:uid="{00000000-0005-0000-0000-0000B8060000}"/>
    <cellStyle name="20% - Accent1 6 20" xfId="45941" xr:uid="{00000000-0005-0000-0000-0000B9060000}"/>
    <cellStyle name="20% - Accent1 6 21" xfId="47624" xr:uid="{00000000-0005-0000-0000-0000BA060000}"/>
    <cellStyle name="20% - Accent1 6 22" xfId="49307" xr:uid="{00000000-0005-0000-0000-0000BB060000}"/>
    <cellStyle name="20% - Accent1 6 23" xfId="50990" xr:uid="{00000000-0005-0000-0000-0000BC060000}"/>
    <cellStyle name="20% - Accent1 6 24" xfId="52673" xr:uid="{00000000-0005-0000-0000-0000BD060000}"/>
    <cellStyle name="20% - Accent1 6 25" xfId="54356" xr:uid="{00000000-0005-0000-0000-0000BE060000}"/>
    <cellStyle name="20% - Accent1 6 26" xfId="56039" xr:uid="{00000000-0005-0000-0000-0000BF060000}"/>
    <cellStyle name="20% - Accent1 6 27" xfId="57722" xr:uid="{00000000-0005-0000-0000-0000C0060000}"/>
    <cellStyle name="20% - Accent1 6 28" xfId="59405" xr:uid="{00000000-0005-0000-0000-0000C1060000}"/>
    <cellStyle name="20% - Accent1 6 29" xfId="61088" xr:uid="{00000000-0005-0000-0000-0000C2060000}"/>
    <cellStyle name="20% - Accent1 6 3" xfId="3863" xr:uid="{00000000-0005-0000-0000-0000C3060000}"/>
    <cellStyle name="20% - Accent1 6 3 2" xfId="19012" xr:uid="{00000000-0005-0000-0000-0000C4060000}"/>
    <cellStyle name="20% - Accent1 6 30" xfId="62771" xr:uid="{00000000-0005-0000-0000-0000C5060000}"/>
    <cellStyle name="20% - Accent1 6 4" xfId="5546" xr:uid="{00000000-0005-0000-0000-0000C6060000}"/>
    <cellStyle name="20% - Accent1 6 4 2" xfId="20695" xr:uid="{00000000-0005-0000-0000-0000C7060000}"/>
    <cellStyle name="20% - Accent1 6 5" xfId="7229" xr:uid="{00000000-0005-0000-0000-0000C8060000}"/>
    <cellStyle name="20% - Accent1 6 5 2" xfId="22378" xr:uid="{00000000-0005-0000-0000-0000C9060000}"/>
    <cellStyle name="20% - Accent1 6 6" xfId="8912" xr:uid="{00000000-0005-0000-0000-0000CA060000}"/>
    <cellStyle name="20% - Accent1 6 6 2" xfId="24061" xr:uid="{00000000-0005-0000-0000-0000CB060000}"/>
    <cellStyle name="20% - Accent1 6 7" xfId="10595" xr:uid="{00000000-0005-0000-0000-0000CC060000}"/>
    <cellStyle name="20% - Accent1 6 7 2" xfId="25744" xr:uid="{00000000-0005-0000-0000-0000CD060000}"/>
    <cellStyle name="20% - Accent1 6 8" xfId="12279" xr:uid="{00000000-0005-0000-0000-0000CE060000}"/>
    <cellStyle name="20% - Accent1 6 8 2" xfId="27428" xr:uid="{00000000-0005-0000-0000-0000CF060000}"/>
    <cellStyle name="20% - Accent1 6 9" xfId="13962" xr:uid="{00000000-0005-0000-0000-0000D0060000}"/>
    <cellStyle name="20% - Accent1 6 9 2" xfId="29111" xr:uid="{00000000-0005-0000-0000-0000D1060000}"/>
    <cellStyle name="20% - Accent1 7" xfId="917" xr:uid="{00000000-0005-0000-0000-0000D2060000}"/>
    <cellStyle name="20% - Accent1 7 10" xfId="16066" xr:uid="{00000000-0005-0000-0000-0000D3060000}"/>
    <cellStyle name="20% - Accent1 7 11" xfId="31215" xr:uid="{00000000-0005-0000-0000-0000D4060000}"/>
    <cellStyle name="20% - Accent1 7 12" xfId="32898" xr:uid="{00000000-0005-0000-0000-0000D5060000}"/>
    <cellStyle name="20% - Accent1 7 13" xfId="34581" xr:uid="{00000000-0005-0000-0000-0000D6060000}"/>
    <cellStyle name="20% - Accent1 7 14" xfId="36264" xr:uid="{00000000-0005-0000-0000-0000D7060000}"/>
    <cellStyle name="20% - Accent1 7 15" xfId="37947" xr:uid="{00000000-0005-0000-0000-0000D8060000}"/>
    <cellStyle name="20% - Accent1 7 16" xfId="39630" xr:uid="{00000000-0005-0000-0000-0000D9060000}"/>
    <cellStyle name="20% - Accent1 7 17" xfId="41313" xr:uid="{00000000-0005-0000-0000-0000DA060000}"/>
    <cellStyle name="20% - Accent1 7 18" xfId="42996" xr:uid="{00000000-0005-0000-0000-0000DB060000}"/>
    <cellStyle name="20% - Accent1 7 19" xfId="44679" xr:uid="{00000000-0005-0000-0000-0000DC060000}"/>
    <cellStyle name="20% - Accent1 7 2" xfId="2600" xr:uid="{00000000-0005-0000-0000-0000DD060000}"/>
    <cellStyle name="20% - Accent1 7 2 2" xfId="17749" xr:uid="{00000000-0005-0000-0000-0000DE060000}"/>
    <cellStyle name="20% - Accent1 7 20" xfId="46362" xr:uid="{00000000-0005-0000-0000-0000DF060000}"/>
    <cellStyle name="20% - Accent1 7 21" xfId="48045" xr:uid="{00000000-0005-0000-0000-0000E0060000}"/>
    <cellStyle name="20% - Accent1 7 22" xfId="49728" xr:uid="{00000000-0005-0000-0000-0000E1060000}"/>
    <cellStyle name="20% - Accent1 7 23" xfId="51411" xr:uid="{00000000-0005-0000-0000-0000E2060000}"/>
    <cellStyle name="20% - Accent1 7 24" xfId="53094" xr:uid="{00000000-0005-0000-0000-0000E3060000}"/>
    <cellStyle name="20% - Accent1 7 25" xfId="54777" xr:uid="{00000000-0005-0000-0000-0000E4060000}"/>
    <cellStyle name="20% - Accent1 7 26" xfId="56460" xr:uid="{00000000-0005-0000-0000-0000E5060000}"/>
    <cellStyle name="20% - Accent1 7 27" xfId="58143" xr:uid="{00000000-0005-0000-0000-0000E6060000}"/>
    <cellStyle name="20% - Accent1 7 28" xfId="59826" xr:uid="{00000000-0005-0000-0000-0000E7060000}"/>
    <cellStyle name="20% - Accent1 7 29" xfId="61509" xr:uid="{00000000-0005-0000-0000-0000E8060000}"/>
    <cellStyle name="20% - Accent1 7 3" xfId="4284" xr:uid="{00000000-0005-0000-0000-0000E9060000}"/>
    <cellStyle name="20% - Accent1 7 3 2" xfId="19433" xr:uid="{00000000-0005-0000-0000-0000EA060000}"/>
    <cellStyle name="20% - Accent1 7 30" xfId="63192" xr:uid="{00000000-0005-0000-0000-0000EB060000}"/>
    <cellStyle name="20% - Accent1 7 4" xfId="5967" xr:uid="{00000000-0005-0000-0000-0000EC060000}"/>
    <cellStyle name="20% - Accent1 7 4 2" xfId="21116" xr:uid="{00000000-0005-0000-0000-0000ED060000}"/>
    <cellStyle name="20% - Accent1 7 5" xfId="7650" xr:uid="{00000000-0005-0000-0000-0000EE060000}"/>
    <cellStyle name="20% - Accent1 7 5 2" xfId="22799" xr:uid="{00000000-0005-0000-0000-0000EF060000}"/>
    <cellStyle name="20% - Accent1 7 6" xfId="9333" xr:uid="{00000000-0005-0000-0000-0000F0060000}"/>
    <cellStyle name="20% - Accent1 7 6 2" xfId="24482" xr:uid="{00000000-0005-0000-0000-0000F1060000}"/>
    <cellStyle name="20% - Accent1 7 7" xfId="11016" xr:uid="{00000000-0005-0000-0000-0000F2060000}"/>
    <cellStyle name="20% - Accent1 7 7 2" xfId="26165" xr:uid="{00000000-0005-0000-0000-0000F3060000}"/>
    <cellStyle name="20% - Accent1 7 8" xfId="12700" xr:uid="{00000000-0005-0000-0000-0000F4060000}"/>
    <cellStyle name="20% - Accent1 7 8 2" xfId="27849" xr:uid="{00000000-0005-0000-0000-0000F5060000}"/>
    <cellStyle name="20% - Accent1 7 9" xfId="14383" xr:uid="{00000000-0005-0000-0000-0000F6060000}"/>
    <cellStyle name="20% - Accent1 7 9 2" xfId="29532" xr:uid="{00000000-0005-0000-0000-0000F7060000}"/>
    <cellStyle name="20% - Accent1 8" xfId="1338" xr:uid="{00000000-0005-0000-0000-0000F8060000}"/>
    <cellStyle name="20% - Accent1 8 10" xfId="16487" xr:uid="{00000000-0005-0000-0000-0000F9060000}"/>
    <cellStyle name="20% - Accent1 8 11" xfId="31636" xr:uid="{00000000-0005-0000-0000-0000FA060000}"/>
    <cellStyle name="20% - Accent1 8 12" xfId="33319" xr:uid="{00000000-0005-0000-0000-0000FB060000}"/>
    <cellStyle name="20% - Accent1 8 13" xfId="35002" xr:uid="{00000000-0005-0000-0000-0000FC060000}"/>
    <cellStyle name="20% - Accent1 8 14" xfId="36685" xr:uid="{00000000-0005-0000-0000-0000FD060000}"/>
    <cellStyle name="20% - Accent1 8 15" xfId="38368" xr:uid="{00000000-0005-0000-0000-0000FE060000}"/>
    <cellStyle name="20% - Accent1 8 16" xfId="40051" xr:uid="{00000000-0005-0000-0000-0000FF060000}"/>
    <cellStyle name="20% - Accent1 8 17" xfId="41734" xr:uid="{00000000-0005-0000-0000-000000070000}"/>
    <cellStyle name="20% - Accent1 8 18" xfId="43417" xr:uid="{00000000-0005-0000-0000-000001070000}"/>
    <cellStyle name="20% - Accent1 8 19" xfId="45100" xr:uid="{00000000-0005-0000-0000-000002070000}"/>
    <cellStyle name="20% - Accent1 8 2" xfId="3021" xr:uid="{00000000-0005-0000-0000-000003070000}"/>
    <cellStyle name="20% - Accent1 8 2 2" xfId="18170" xr:uid="{00000000-0005-0000-0000-000004070000}"/>
    <cellStyle name="20% - Accent1 8 20" xfId="46783" xr:uid="{00000000-0005-0000-0000-000005070000}"/>
    <cellStyle name="20% - Accent1 8 21" xfId="48466" xr:uid="{00000000-0005-0000-0000-000006070000}"/>
    <cellStyle name="20% - Accent1 8 22" xfId="50149" xr:uid="{00000000-0005-0000-0000-000007070000}"/>
    <cellStyle name="20% - Accent1 8 23" xfId="51832" xr:uid="{00000000-0005-0000-0000-000008070000}"/>
    <cellStyle name="20% - Accent1 8 24" xfId="53515" xr:uid="{00000000-0005-0000-0000-000009070000}"/>
    <cellStyle name="20% - Accent1 8 25" xfId="55198" xr:uid="{00000000-0005-0000-0000-00000A070000}"/>
    <cellStyle name="20% - Accent1 8 26" xfId="56881" xr:uid="{00000000-0005-0000-0000-00000B070000}"/>
    <cellStyle name="20% - Accent1 8 27" xfId="58564" xr:uid="{00000000-0005-0000-0000-00000C070000}"/>
    <cellStyle name="20% - Accent1 8 28" xfId="60247" xr:uid="{00000000-0005-0000-0000-00000D070000}"/>
    <cellStyle name="20% - Accent1 8 29" xfId="61930" xr:uid="{00000000-0005-0000-0000-00000E070000}"/>
    <cellStyle name="20% - Accent1 8 3" xfId="4705" xr:uid="{00000000-0005-0000-0000-00000F070000}"/>
    <cellStyle name="20% - Accent1 8 3 2" xfId="19854" xr:uid="{00000000-0005-0000-0000-000010070000}"/>
    <cellStyle name="20% - Accent1 8 30" xfId="63613" xr:uid="{00000000-0005-0000-0000-000011070000}"/>
    <cellStyle name="20% - Accent1 8 4" xfId="6388" xr:uid="{00000000-0005-0000-0000-000012070000}"/>
    <cellStyle name="20% - Accent1 8 4 2" xfId="21537" xr:uid="{00000000-0005-0000-0000-000013070000}"/>
    <cellStyle name="20% - Accent1 8 5" xfId="8071" xr:uid="{00000000-0005-0000-0000-000014070000}"/>
    <cellStyle name="20% - Accent1 8 5 2" xfId="23220" xr:uid="{00000000-0005-0000-0000-000015070000}"/>
    <cellStyle name="20% - Accent1 8 6" xfId="9754" xr:uid="{00000000-0005-0000-0000-000016070000}"/>
    <cellStyle name="20% - Accent1 8 6 2" xfId="24903" xr:uid="{00000000-0005-0000-0000-000017070000}"/>
    <cellStyle name="20% - Accent1 8 7" xfId="11437" xr:uid="{00000000-0005-0000-0000-000018070000}"/>
    <cellStyle name="20% - Accent1 8 7 2" xfId="26586" xr:uid="{00000000-0005-0000-0000-000019070000}"/>
    <cellStyle name="20% - Accent1 8 8" xfId="13121" xr:uid="{00000000-0005-0000-0000-00001A070000}"/>
    <cellStyle name="20% - Accent1 8 8 2" xfId="28270" xr:uid="{00000000-0005-0000-0000-00001B070000}"/>
    <cellStyle name="20% - Accent1 8 9" xfId="14804" xr:uid="{00000000-0005-0000-0000-00001C070000}"/>
    <cellStyle name="20% - Accent1 8 9 2" xfId="29953" xr:uid="{00000000-0005-0000-0000-00001D070000}"/>
    <cellStyle name="20% - Accent1 9" xfId="1759" xr:uid="{00000000-0005-0000-0000-00001E070000}"/>
    <cellStyle name="20% - Accent1 9 2" xfId="16908" xr:uid="{00000000-0005-0000-0000-00001F070000}"/>
    <cellStyle name="20% - Accent2" xfId="75" builtinId="34" customBuiltin="1"/>
    <cellStyle name="20% - Accent2 10" xfId="3446" xr:uid="{00000000-0005-0000-0000-000021070000}"/>
    <cellStyle name="20% - Accent2 10 2" xfId="18595" xr:uid="{00000000-0005-0000-0000-000022070000}"/>
    <cellStyle name="20% - Accent2 11" xfId="5129" xr:uid="{00000000-0005-0000-0000-000023070000}"/>
    <cellStyle name="20% - Accent2 11 2" xfId="20278" xr:uid="{00000000-0005-0000-0000-000024070000}"/>
    <cellStyle name="20% - Accent2 12" xfId="6812" xr:uid="{00000000-0005-0000-0000-000025070000}"/>
    <cellStyle name="20% - Accent2 12 2" xfId="21961" xr:uid="{00000000-0005-0000-0000-000026070000}"/>
    <cellStyle name="20% - Accent2 13" xfId="8495" xr:uid="{00000000-0005-0000-0000-000027070000}"/>
    <cellStyle name="20% - Accent2 13 2" xfId="23644" xr:uid="{00000000-0005-0000-0000-000028070000}"/>
    <cellStyle name="20% - Accent2 14" xfId="10178" xr:uid="{00000000-0005-0000-0000-000029070000}"/>
    <cellStyle name="20% - Accent2 14 2" xfId="25327" xr:uid="{00000000-0005-0000-0000-00002A070000}"/>
    <cellStyle name="20% - Accent2 15" xfId="11862" xr:uid="{00000000-0005-0000-0000-00002B070000}"/>
    <cellStyle name="20% - Accent2 15 2" xfId="27011" xr:uid="{00000000-0005-0000-0000-00002C070000}"/>
    <cellStyle name="20% - Accent2 16" xfId="13545" xr:uid="{00000000-0005-0000-0000-00002D070000}"/>
    <cellStyle name="20% - Accent2 16 2" xfId="28694" xr:uid="{00000000-0005-0000-0000-00002E070000}"/>
    <cellStyle name="20% - Accent2 17" xfId="15228" xr:uid="{00000000-0005-0000-0000-00002F070000}"/>
    <cellStyle name="20% - Accent2 18" xfId="30377" xr:uid="{00000000-0005-0000-0000-000030070000}"/>
    <cellStyle name="20% - Accent2 19" xfId="32060" xr:uid="{00000000-0005-0000-0000-000031070000}"/>
    <cellStyle name="20% - Accent2 2" xfId="101" xr:uid="{00000000-0005-0000-0000-000032070000}"/>
    <cellStyle name="20% - Accent2 2 10" xfId="6834" xr:uid="{00000000-0005-0000-0000-000033070000}"/>
    <cellStyle name="20% - Accent2 2 10 2" xfId="21983" xr:uid="{00000000-0005-0000-0000-000034070000}"/>
    <cellStyle name="20% - Accent2 2 11" xfId="8517" xr:uid="{00000000-0005-0000-0000-000035070000}"/>
    <cellStyle name="20% - Accent2 2 11 2" xfId="23666" xr:uid="{00000000-0005-0000-0000-000036070000}"/>
    <cellStyle name="20% - Accent2 2 12" xfId="10200" xr:uid="{00000000-0005-0000-0000-000037070000}"/>
    <cellStyle name="20% - Accent2 2 12 2" xfId="25349" xr:uid="{00000000-0005-0000-0000-000038070000}"/>
    <cellStyle name="20% - Accent2 2 13" xfId="11884" xr:uid="{00000000-0005-0000-0000-000039070000}"/>
    <cellStyle name="20% - Accent2 2 13 2" xfId="27033" xr:uid="{00000000-0005-0000-0000-00003A070000}"/>
    <cellStyle name="20% - Accent2 2 14" xfId="13567" xr:uid="{00000000-0005-0000-0000-00003B070000}"/>
    <cellStyle name="20% - Accent2 2 14 2" xfId="28716" xr:uid="{00000000-0005-0000-0000-00003C070000}"/>
    <cellStyle name="20% - Accent2 2 15" xfId="15250" xr:uid="{00000000-0005-0000-0000-00003D070000}"/>
    <cellStyle name="20% - Accent2 2 16" xfId="30399" xr:uid="{00000000-0005-0000-0000-00003E070000}"/>
    <cellStyle name="20% - Accent2 2 17" xfId="32082" xr:uid="{00000000-0005-0000-0000-00003F070000}"/>
    <cellStyle name="20% - Accent2 2 18" xfId="33765" xr:uid="{00000000-0005-0000-0000-000040070000}"/>
    <cellStyle name="20% - Accent2 2 19" xfId="35448" xr:uid="{00000000-0005-0000-0000-000041070000}"/>
    <cellStyle name="20% - Accent2 2 2" xfId="206" xr:uid="{00000000-0005-0000-0000-000042070000}"/>
    <cellStyle name="20% - Accent2 2 2 10" xfId="8622" xr:uid="{00000000-0005-0000-0000-000043070000}"/>
    <cellStyle name="20% - Accent2 2 2 10 2" xfId="23771" xr:uid="{00000000-0005-0000-0000-000044070000}"/>
    <cellStyle name="20% - Accent2 2 2 11" xfId="10305" xr:uid="{00000000-0005-0000-0000-000045070000}"/>
    <cellStyle name="20% - Accent2 2 2 11 2" xfId="25454" xr:uid="{00000000-0005-0000-0000-000046070000}"/>
    <cellStyle name="20% - Accent2 2 2 12" xfId="11989" xr:uid="{00000000-0005-0000-0000-000047070000}"/>
    <cellStyle name="20% - Accent2 2 2 12 2" xfId="27138" xr:uid="{00000000-0005-0000-0000-000048070000}"/>
    <cellStyle name="20% - Accent2 2 2 13" xfId="13672" xr:uid="{00000000-0005-0000-0000-000049070000}"/>
    <cellStyle name="20% - Accent2 2 2 13 2" xfId="28821" xr:uid="{00000000-0005-0000-0000-00004A070000}"/>
    <cellStyle name="20% - Accent2 2 2 14" xfId="15355" xr:uid="{00000000-0005-0000-0000-00004B070000}"/>
    <cellStyle name="20% - Accent2 2 2 15" xfId="30504" xr:uid="{00000000-0005-0000-0000-00004C070000}"/>
    <cellStyle name="20% - Accent2 2 2 16" xfId="32187" xr:uid="{00000000-0005-0000-0000-00004D070000}"/>
    <cellStyle name="20% - Accent2 2 2 17" xfId="33870" xr:uid="{00000000-0005-0000-0000-00004E070000}"/>
    <cellStyle name="20% - Accent2 2 2 18" xfId="35553" xr:uid="{00000000-0005-0000-0000-00004F070000}"/>
    <cellStyle name="20% - Accent2 2 2 19" xfId="37236" xr:uid="{00000000-0005-0000-0000-000050070000}"/>
    <cellStyle name="20% - Accent2 2 2 2" xfId="416" xr:uid="{00000000-0005-0000-0000-000051070000}"/>
    <cellStyle name="20% - Accent2 2 2 2 10" xfId="10515" xr:uid="{00000000-0005-0000-0000-000052070000}"/>
    <cellStyle name="20% - Accent2 2 2 2 10 2" xfId="25664" xr:uid="{00000000-0005-0000-0000-000053070000}"/>
    <cellStyle name="20% - Accent2 2 2 2 11" xfId="12199" xr:uid="{00000000-0005-0000-0000-000054070000}"/>
    <cellStyle name="20% - Accent2 2 2 2 11 2" xfId="27348" xr:uid="{00000000-0005-0000-0000-000055070000}"/>
    <cellStyle name="20% - Accent2 2 2 2 12" xfId="13882" xr:uid="{00000000-0005-0000-0000-000056070000}"/>
    <cellStyle name="20% - Accent2 2 2 2 12 2" xfId="29031" xr:uid="{00000000-0005-0000-0000-000057070000}"/>
    <cellStyle name="20% - Accent2 2 2 2 13" xfId="15565" xr:uid="{00000000-0005-0000-0000-000058070000}"/>
    <cellStyle name="20% - Accent2 2 2 2 14" xfId="30714" xr:uid="{00000000-0005-0000-0000-000059070000}"/>
    <cellStyle name="20% - Accent2 2 2 2 15" xfId="32397" xr:uid="{00000000-0005-0000-0000-00005A070000}"/>
    <cellStyle name="20% - Accent2 2 2 2 16" xfId="34080" xr:uid="{00000000-0005-0000-0000-00005B070000}"/>
    <cellStyle name="20% - Accent2 2 2 2 17" xfId="35763" xr:uid="{00000000-0005-0000-0000-00005C070000}"/>
    <cellStyle name="20% - Accent2 2 2 2 18" xfId="37446" xr:uid="{00000000-0005-0000-0000-00005D070000}"/>
    <cellStyle name="20% - Accent2 2 2 2 19" xfId="39129" xr:uid="{00000000-0005-0000-0000-00005E070000}"/>
    <cellStyle name="20% - Accent2 2 2 2 2" xfId="836" xr:uid="{00000000-0005-0000-0000-00005F070000}"/>
    <cellStyle name="20% - Accent2 2 2 2 2 10" xfId="15985" xr:uid="{00000000-0005-0000-0000-000060070000}"/>
    <cellStyle name="20% - Accent2 2 2 2 2 11" xfId="31134" xr:uid="{00000000-0005-0000-0000-000061070000}"/>
    <cellStyle name="20% - Accent2 2 2 2 2 12" xfId="32817" xr:uid="{00000000-0005-0000-0000-000062070000}"/>
    <cellStyle name="20% - Accent2 2 2 2 2 13" xfId="34500" xr:uid="{00000000-0005-0000-0000-000063070000}"/>
    <cellStyle name="20% - Accent2 2 2 2 2 14" xfId="36183" xr:uid="{00000000-0005-0000-0000-000064070000}"/>
    <cellStyle name="20% - Accent2 2 2 2 2 15" xfId="37866" xr:uid="{00000000-0005-0000-0000-000065070000}"/>
    <cellStyle name="20% - Accent2 2 2 2 2 16" xfId="39549" xr:uid="{00000000-0005-0000-0000-000066070000}"/>
    <cellStyle name="20% - Accent2 2 2 2 2 17" xfId="41232" xr:uid="{00000000-0005-0000-0000-000067070000}"/>
    <cellStyle name="20% - Accent2 2 2 2 2 18" xfId="42915" xr:uid="{00000000-0005-0000-0000-000068070000}"/>
    <cellStyle name="20% - Accent2 2 2 2 2 19" xfId="44598" xr:uid="{00000000-0005-0000-0000-000069070000}"/>
    <cellStyle name="20% - Accent2 2 2 2 2 2" xfId="2519" xr:uid="{00000000-0005-0000-0000-00006A070000}"/>
    <cellStyle name="20% - Accent2 2 2 2 2 2 2" xfId="17668" xr:uid="{00000000-0005-0000-0000-00006B070000}"/>
    <cellStyle name="20% - Accent2 2 2 2 2 20" xfId="46281" xr:uid="{00000000-0005-0000-0000-00006C070000}"/>
    <cellStyle name="20% - Accent2 2 2 2 2 21" xfId="47964" xr:uid="{00000000-0005-0000-0000-00006D070000}"/>
    <cellStyle name="20% - Accent2 2 2 2 2 22" xfId="49647" xr:uid="{00000000-0005-0000-0000-00006E070000}"/>
    <cellStyle name="20% - Accent2 2 2 2 2 23" xfId="51330" xr:uid="{00000000-0005-0000-0000-00006F070000}"/>
    <cellStyle name="20% - Accent2 2 2 2 2 24" xfId="53013" xr:uid="{00000000-0005-0000-0000-000070070000}"/>
    <cellStyle name="20% - Accent2 2 2 2 2 25" xfId="54696" xr:uid="{00000000-0005-0000-0000-000071070000}"/>
    <cellStyle name="20% - Accent2 2 2 2 2 26" xfId="56379" xr:uid="{00000000-0005-0000-0000-000072070000}"/>
    <cellStyle name="20% - Accent2 2 2 2 2 27" xfId="58062" xr:uid="{00000000-0005-0000-0000-000073070000}"/>
    <cellStyle name="20% - Accent2 2 2 2 2 28" xfId="59745" xr:uid="{00000000-0005-0000-0000-000074070000}"/>
    <cellStyle name="20% - Accent2 2 2 2 2 29" xfId="61428" xr:uid="{00000000-0005-0000-0000-000075070000}"/>
    <cellStyle name="20% - Accent2 2 2 2 2 3" xfId="4203" xr:uid="{00000000-0005-0000-0000-000076070000}"/>
    <cellStyle name="20% - Accent2 2 2 2 2 3 2" xfId="19352" xr:uid="{00000000-0005-0000-0000-000077070000}"/>
    <cellStyle name="20% - Accent2 2 2 2 2 30" xfId="63111" xr:uid="{00000000-0005-0000-0000-000078070000}"/>
    <cellStyle name="20% - Accent2 2 2 2 2 4" xfId="5886" xr:uid="{00000000-0005-0000-0000-000079070000}"/>
    <cellStyle name="20% - Accent2 2 2 2 2 4 2" xfId="21035" xr:uid="{00000000-0005-0000-0000-00007A070000}"/>
    <cellStyle name="20% - Accent2 2 2 2 2 5" xfId="7569" xr:uid="{00000000-0005-0000-0000-00007B070000}"/>
    <cellStyle name="20% - Accent2 2 2 2 2 5 2" xfId="22718" xr:uid="{00000000-0005-0000-0000-00007C070000}"/>
    <cellStyle name="20% - Accent2 2 2 2 2 6" xfId="9252" xr:uid="{00000000-0005-0000-0000-00007D070000}"/>
    <cellStyle name="20% - Accent2 2 2 2 2 6 2" xfId="24401" xr:uid="{00000000-0005-0000-0000-00007E070000}"/>
    <cellStyle name="20% - Accent2 2 2 2 2 7" xfId="10935" xr:uid="{00000000-0005-0000-0000-00007F070000}"/>
    <cellStyle name="20% - Accent2 2 2 2 2 7 2" xfId="26084" xr:uid="{00000000-0005-0000-0000-000080070000}"/>
    <cellStyle name="20% - Accent2 2 2 2 2 8" xfId="12619" xr:uid="{00000000-0005-0000-0000-000081070000}"/>
    <cellStyle name="20% - Accent2 2 2 2 2 8 2" xfId="27768" xr:uid="{00000000-0005-0000-0000-000082070000}"/>
    <cellStyle name="20% - Accent2 2 2 2 2 9" xfId="14302" xr:uid="{00000000-0005-0000-0000-000083070000}"/>
    <cellStyle name="20% - Accent2 2 2 2 2 9 2" xfId="29451" xr:uid="{00000000-0005-0000-0000-000084070000}"/>
    <cellStyle name="20% - Accent2 2 2 2 20" xfId="40812" xr:uid="{00000000-0005-0000-0000-000085070000}"/>
    <cellStyle name="20% - Accent2 2 2 2 21" xfId="42495" xr:uid="{00000000-0005-0000-0000-000086070000}"/>
    <cellStyle name="20% - Accent2 2 2 2 22" xfId="44178" xr:uid="{00000000-0005-0000-0000-000087070000}"/>
    <cellStyle name="20% - Accent2 2 2 2 23" xfId="45861" xr:uid="{00000000-0005-0000-0000-000088070000}"/>
    <cellStyle name="20% - Accent2 2 2 2 24" xfId="47544" xr:uid="{00000000-0005-0000-0000-000089070000}"/>
    <cellStyle name="20% - Accent2 2 2 2 25" xfId="49227" xr:uid="{00000000-0005-0000-0000-00008A070000}"/>
    <cellStyle name="20% - Accent2 2 2 2 26" xfId="50910" xr:uid="{00000000-0005-0000-0000-00008B070000}"/>
    <cellStyle name="20% - Accent2 2 2 2 27" xfId="52593" xr:uid="{00000000-0005-0000-0000-00008C070000}"/>
    <cellStyle name="20% - Accent2 2 2 2 28" xfId="54276" xr:uid="{00000000-0005-0000-0000-00008D070000}"/>
    <cellStyle name="20% - Accent2 2 2 2 29" xfId="55959" xr:uid="{00000000-0005-0000-0000-00008E070000}"/>
    <cellStyle name="20% - Accent2 2 2 2 3" xfId="1257" xr:uid="{00000000-0005-0000-0000-00008F070000}"/>
    <cellStyle name="20% - Accent2 2 2 2 3 10" xfId="16406" xr:uid="{00000000-0005-0000-0000-000090070000}"/>
    <cellStyle name="20% - Accent2 2 2 2 3 11" xfId="31555" xr:uid="{00000000-0005-0000-0000-000091070000}"/>
    <cellStyle name="20% - Accent2 2 2 2 3 12" xfId="33238" xr:uid="{00000000-0005-0000-0000-000092070000}"/>
    <cellStyle name="20% - Accent2 2 2 2 3 13" xfId="34921" xr:uid="{00000000-0005-0000-0000-000093070000}"/>
    <cellStyle name="20% - Accent2 2 2 2 3 14" xfId="36604" xr:uid="{00000000-0005-0000-0000-000094070000}"/>
    <cellStyle name="20% - Accent2 2 2 2 3 15" xfId="38287" xr:uid="{00000000-0005-0000-0000-000095070000}"/>
    <cellStyle name="20% - Accent2 2 2 2 3 16" xfId="39970" xr:uid="{00000000-0005-0000-0000-000096070000}"/>
    <cellStyle name="20% - Accent2 2 2 2 3 17" xfId="41653" xr:uid="{00000000-0005-0000-0000-000097070000}"/>
    <cellStyle name="20% - Accent2 2 2 2 3 18" xfId="43336" xr:uid="{00000000-0005-0000-0000-000098070000}"/>
    <cellStyle name="20% - Accent2 2 2 2 3 19" xfId="45019" xr:uid="{00000000-0005-0000-0000-000099070000}"/>
    <cellStyle name="20% - Accent2 2 2 2 3 2" xfId="2940" xr:uid="{00000000-0005-0000-0000-00009A070000}"/>
    <cellStyle name="20% - Accent2 2 2 2 3 2 2" xfId="18089" xr:uid="{00000000-0005-0000-0000-00009B070000}"/>
    <cellStyle name="20% - Accent2 2 2 2 3 20" xfId="46702" xr:uid="{00000000-0005-0000-0000-00009C070000}"/>
    <cellStyle name="20% - Accent2 2 2 2 3 21" xfId="48385" xr:uid="{00000000-0005-0000-0000-00009D070000}"/>
    <cellStyle name="20% - Accent2 2 2 2 3 22" xfId="50068" xr:uid="{00000000-0005-0000-0000-00009E070000}"/>
    <cellStyle name="20% - Accent2 2 2 2 3 23" xfId="51751" xr:uid="{00000000-0005-0000-0000-00009F070000}"/>
    <cellStyle name="20% - Accent2 2 2 2 3 24" xfId="53434" xr:uid="{00000000-0005-0000-0000-0000A0070000}"/>
    <cellStyle name="20% - Accent2 2 2 2 3 25" xfId="55117" xr:uid="{00000000-0005-0000-0000-0000A1070000}"/>
    <cellStyle name="20% - Accent2 2 2 2 3 26" xfId="56800" xr:uid="{00000000-0005-0000-0000-0000A2070000}"/>
    <cellStyle name="20% - Accent2 2 2 2 3 27" xfId="58483" xr:uid="{00000000-0005-0000-0000-0000A3070000}"/>
    <cellStyle name="20% - Accent2 2 2 2 3 28" xfId="60166" xr:uid="{00000000-0005-0000-0000-0000A4070000}"/>
    <cellStyle name="20% - Accent2 2 2 2 3 29" xfId="61849" xr:uid="{00000000-0005-0000-0000-0000A5070000}"/>
    <cellStyle name="20% - Accent2 2 2 2 3 3" xfId="4624" xr:uid="{00000000-0005-0000-0000-0000A6070000}"/>
    <cellStyle name="20% - Accent2 2 2 2 3 3 2" xfId="19773" xr:uid="{00000000-0005-0000-0000-0000A7070000}"/>
    <cellStyle name="20% - Accent2 2 2 2 3 30" xfId="63532" xr:uid="{00000000-0005-0000-0000-0000A8070000}"/>
    <cellStyle name="20% - Accent2 2 2 2 3 4" xfId="6307" xr:uid="{00000000-0005-0000-0000-0000A9070000}"/>
    <cellStyle name="20% - Accent2 2 2 2 3 4 2" xfId="21456" xr:uid="{00000000-0005-0000-0000-0000AA070000}"/>
    <cellStyle name="20% - Accent2 2 2 2 3 5" xfId="7990" xr:uid="{00000000-0005-0000-0000-0000AB070000}"/>
    <cellStyle name="20% - Accent2 2 2 2 3 5 2" xfId="23139" xr:uid="{00000000-0005-0000-0000-0000AC070000}"/>
    <cellStyle name="20% - Accent2 2 2 2 3 6" xfId="9673" xr:uid="{00000000-0005-0000-0000-0000AD070000}"/>
    <cellStyle name="20% - Accent2 2 2 2 3 6 2" xfId="24822" xr:uid="{00000000-0005-0000-0000-0000AE070000}"/>
    <cellStyle name="20% - Accent2 2 2 2 3 7" xfId="11356" xr:uid="{00000000-0005-0000-0000-0000AF070000}"/>
    <cellStyle name="20% - Accent2 2 2 2 3 7 2" xfId="26505" xr:uid="{00000000-0005-0000-0000-0000B0070000}"/>
    <cellStyle name="20% - Accent2 2 2 2 3 8" xfId="13040" xr:uid="{00000000-0005-0000-0000-0000B1070000}"/>
    <cellStyle name="20% - Accent2 2 2 2 3 8 2" xfId="28189" xr:uid="{00000000-0005-0000-0000-0000B2070000}"/>
    <cellStyle name="20% - Accent2 2 2 2 3 9" xfId="14723" xr:uid="{00000000-0005-0000-0000-0000B3070000}"/>
    <cellStyle name="20% - Accent2 2 2 2 3 9 2" xfId="29872" xr:uid="{00000000-0005-0000-0000-0000B4070000}"/>
    <cellStyle name="20% - Accent2 2 2 2 30" xfId="57642" xr:uid="{00000000-0005-0000-0000-0000B5070000}"/>
    <cellStyle name="20% - Accent2 2 2 2 31" xfId="59325" xr:uid="{00000000-0005-0000-0000-0000B6070000}"/>
    <cellStyle name="20% - Accent2 2 2 2 32" xfId="61008" xr:uid="{00000000-0005-0000-0000-0000B7070000}"/>
    <cellStyle name="20% - Accent2 2 2 2 33" xfId="62691" xr:uid="{00000000-0005-0000-0000-0000B8070000}"/>
    <cellStyle name="20% - Accent2 2 2 2 4" xfId="1678" xr:uid="{00000000-0005-0000-0000-0000B9070000}"/>
    <cellStyle name="20% - Accent2 2 2 2 4 10" xfId="16827" xr:uid="{00000000-0005-0000-0000-0000BA070000}"/>
    <cellStyle name="20% - Accent2 2 2 2 4 11" xfId="31976" xr:uid="{00000000-0005-0000-0000-0000BB070000}"/>
    <cellStyle name="20% - Accent2 2 2 2 4 12" xfId="33659" xr:uid="{00000000-0005-0000-0000-0000BC070000}"/>
    <cellStyle name="20% - Accent2 2 2 2 4 13" xfId="35342" xr:uid="{00000000-0005-0000-0000-0000BD070000}"/>
    <cellStyle name="20% - Accent2 2 2 2 4 14" xfId="37025" xr:uid="{00000000-0005-0000-0000-0000BE070000}"/>
    <cellStyle name="20% - Accent2 2 2 2 4 15" xfId="38708" xr:uid="{00000000-0005-0000-0000-0000BF070000}"/>
    <cellStyle name="20% - Accent2 2 2 2 4 16" xfId="40391" xr:uid="{00000000-0005-0000-0000-0000C0070000}"/>
    <cellStyle name="20% - Accent2 2 2 2 4 17" xfId="42074" xr:uid="{00000000-0005-0000-0000-0000C1070000}"/>
    <cellStyle name="20% - Accent2 2 2 2 4 18" xfId="43757" xr:uid="{00000000-0005-0000-0000-0000C2070000}"/>
    <cellStyle name="20% - Accent2 2 2 2 4 19" xfId="45440" xr:uid="{00000000-0005-0000-0000-0000C3070000}"/>
    <cellStyle name="20% - Accent2 2 2 2 4 2" xfId="3361" xr:uid="{00000000-0005-0000-0000-0000C4070000}"/>
    <cellStyle name="20% - Accent2 2 2 2 4 2 2" xfId="18510" xr:uid="{00000000-0005-0000-0000-0000C5070000}"/>
    <cellStyle name="20% - Accent2 2 2 2 4 20" xfId="47123" xr:uid="{00000000-0005-0000-0000-0000C6070000}"/>
    <cellStyle name="20% - Accent2 2 2 2 4 21" xfId="48806" xr:uid="{00000000-0005-0000-0000-0000C7070000}"/>
    <cellStyle name="20% - Accent2 2 2 2 4 22" xfId="50489" xr:uid="{00000000-0005-0000-0000-0000C8070000}"/>
    <cellStyle name="20% - Accent2 2 2 2 4 23" xfId="52172" xr:uid="{00000000-0005-0000-0000-0000C9070000}"/>
    <cellStyle name="20% - Accent2 2 2 2 4 24" xfId="53855" xr:uid="{00000000-0005-0000-0000-0000CA070000}"/>
    <cellStyle name="20% - Accent2 2 2 2 4 25" xfId="55538" xr:uid="{00000000-0005-0000-0000-0000CB070000}"/>
    <cellStyle name="20% - Accent2 2 2 2 4 26" xfId="57221" xr:uid="{00000000-0005-0000-0000-0000CC070000}"/>
    <cellStyle name="20% - Accent2 2 2 2 4 27" xfId="58904" xr:uid="{00000000-0005-0000-0000-0000CD070000}"/>
    <cellStyle name="20% - Accent2 2 2 2 4 28" xfId="60587" xr:uid="{00000000-0005-0000-0000-0000CE070000}"/>
    <cellStyle name="20% - Accent2 2 2 2 4 29" xfId="62270" xr:uid="{00000000-0005-0000-0000-0000CF070000}"/>
    <cellStyle name="20% - Accent2 2 2 2 4 3" xfId="5045" xr:uid="{00000000-0005-0000-0000-0000D0070000}"/>
    <cellStyle name="20% - Accent2 2 2 2 4 3 2" xfId="20194" xr:uid="{00000000-0005-0000-0000-0000D1070000}"/>
    <cellStyle name="20% - Accent2 2 2 2 4 30" xfId="63953" xr:uid="{00000000-0005-0000-0000-0000D2070000}"/>
    <cellStyle name="20% - Accent2 2 2 2 4 4" xfId="6728" xr:uid="{00000000-0005-0000-0000-0000D3070000}"/>
    <cellStyle name="20% - Accent2 2 2 2 4 4 2" xfId="21877" xr:uid="{00000000-0005-0000-0000-0000D4070000}"/>
    <cellStyle name="20% - Accent2 2 2 2 4 5" xfId="8411" xr:uid="{00000000-0005-0000-0000-0000D5070000}"/>
    <cellStyle name="20% - Accent2 2 2 2 4 5 2" xfId="23560" xr:uid="{00000000-0005-0000-0000-0000D6070000}"/>
    <cellStyle name="20% - Accent2 2 2 2 4 6" xfId="10094" xr:uid="{00000000-0005-0000-0000-0000D7070000}"/>
    <cellStyle name="20% - Accent2 2 2 2 4 6 2" xfId="25243" xr:uid="{00000000-0005-0000-0000-0000D8070000}"/>
    <cellStyle name="20% - Accent2 2 2 2 4 7" xfId="11777" xr:uid="{00000000-0005-0000-0000-0000D9070000}"/>
    <cellStyle name="20% - Accent2 2 2 2 4 7 2" xfId="26926" xr:uid="{00000000-0005-0000-0000-0000DA070000}"/>
    <cellStyle name="20% - Accent2 2 2 2 4 8" xfId="13461" xr:uid="{00000000-0005-0000-0000-0000DB070000}"/>
    <cellStyle name="20% - Accent2 2 2 2 4 8 2" xfId="28610" xr:uid="{00000000-0005-0000-0000-0000DC070000}"/>
    <cellStyle name="20% - Accent2 2 2 2 4 9" xfId="15144" xr:uid="{00000000-0005-0000-0000-0000DD070000}"/>
    <cellStyle name="20% - Accent2 2 2 2 4 9 2" xfId="30293" xr:uid="{00000000-0005-0000-0000-0000DE070000}"/>
    <cellStyle name="20% - Accent2 2 2 2 5" xfId="2099" xr:uid="{00000000-0005-0000-0000-0000DF070000}"/>
    <cellStyle name="20% - Accent2 2 2 2 5 2" xfId="17248" xr:uid="{00000000-0005-0000-0000-0000E0070000}"/>
    <cellStyle name="20% - Accent2 2 2 2 6" xfId="3783" xr:uid="{00000000-0005-0000-0000-0000E1070000}"/>
    <cellStyle name="20% - Accent2 2 2 2 6 2" xfId="18932" xr:uid="{00000000-0005-0000-0000-0000E2070000}"/>
    <cellStyle name="20% - Accent2 2 2 2 7" xfId="5466" xr:uid="{00000000-0005-0000-0000-0000E3070000}"/>
    <cellStyle name="20% - Accent2 2 2 2 7 2" xfId="20615" xr:uid="{00000000-0005-0000-0000-0000E4070000}"/>
    <cellStyle name="20% - Accent2 2 2 2 8" xfId="7149" xr:uid="{00000000-0005-0000-0000-0000E5070000}"/>
    <cellStyle name="20% - Accent2 2 2 2 8 2" xfId="22298" xr:uid="{00000000-0005-0000-0000-0000E6070000}"/>
    <cellStyle name="20% - Accent2 2 2 2 9" xfId="8832" xr:uid="{00000000-0005-0000-0000-0000E7070000}"/>
    <cellStyle name="20% - Accent2 2 2 2 9 2" xfId="23981" xr:uid="{00000000-0005-0000-0000-0000E8070000}"/>
    <cellStyle name="20% - Accent2 2 2 20" xfId="38919" xr:uid="{00000000-0005-0000-0000-0000E9070000}"/>
    <cellStyle name="20% - Accent2 2 2 21" xfId="40602" xr:uid="{00000000-0005-0000-0000-0000EA070000}"/>
    <cellStyle name="20% - Accent2 2 2 22" xfId="42285" xr:uid="{00000000-0005-0000-0000-0000EB070000}"/>
    <cellStyle name="20% - Accent2 2 2 23" xfId="43968" xr:uid="{00000000-0005-0000-0000-0000EC070000}"/>
    <cellStyle name="20% - Accent2 2 2 24" xfId="45651" xr:uid="{00000000-0005-0000-0000-0000ED070000}"/>
    <cellStyle name="20% - Accent2 2 2 25" xfId="47334" xr:uid="{00000000-0005-0000-0000-0000EE070000}"/>
    <cellStyle name="20% - Accent2 2 2 26" xfId="49017" xr:uid="{00000000-0005-0000-0000-0000EF070000}"/>
    <cellStyle name="20% - Accent2 2 2 27" xfId="50700" xr:uid="{00000000-0005-0000-0000-0000F0070000}"/>
    <cellStyle name="20% - Accent2 2 2 28" xfId="52383" xr:uid="{00000000-0005-0000-0000-0000F1070000}"/>
    <cellStyle name="20% - Accent2 2 2 29" xfId="54066" xr:uid="{00000000-0005-0000-0000-0000F2070000}"/>
    <cellStyle name="20% - Accent2 2 2 3" xfId="626" xr:uid="{00000000-0005-0000-0000-0000F3070000}"/>
    <cellStyle name="20% - Accent2 2 2 3 10" xfId="15775" xr:uid="{00000000-0005-0000-0000-0000F4070000}"/>
    <cellStyle name="20% - Accent2 2 2 3 11" xfId="30924" xr:uid="{00000000-0005-0000-0000-0000F5070000}"/>
    <cellStyle name="20% - Accent2 2 2 3 12" xfId="32607" xr:uid="{00000000-0005-0000-0000-0000F6070000}"/>
    <cellStyle name="20% - Accent2 2 2 3 13" xfId="34290" xr:uid="{00000000-0005-0000-0000-0000F7070000}"/>
    <cellStyle name="20% - Accent2 2 2 3 14" xfId="35973" xr:uid="{00000000-0005-0000-0000-0000F8070000}"/>
    <cellStyle name="20% - Accent2 2 2 3 15" xfId="37656" xr:uid="{00000000-0005-0000-0000-0000F9070000}"/>
    <cellStyle name="20% - Accent2 2 2 3 16" xfId="39339" xr:uid="{00000000-0005-0000-0000-0000FA070000}"/>
    <cellStyle name="20% - Accent2 2 2 3 17" xfId="41022" xr:uid="{00000000-0005-0000-0000-0000FB070000}"/>
    <cellStyle name="20% - Accent2 2 2 3 18" xfId="42705" xr:uid="{00000000-0005-0000-0000-0000FC070000}"/>
    <cellStyle name="20% - Accent2 2 2 3 19" xfId="44388" xr:uid="{00000000-0005-0000-0000-0000FD070000}"/>
    <cellStyle name="20% - Accent2 2 2 3 2" xfId="2309" xr:uid="{00000000-0005-0000-0000-0000FE070000}"/>
    <cellStyle name="20% - Accent2 2 2 3 2 2" xfId="17458" xr:uid="{00000000-0005-0000-0000-0000FF070000}"/>
    <cellStyle name="20% - Accent2 2 2 3 20" xfId="46071" xr:uid="{00000000-0005-0000-0000-000000080000}"/>
    <cellStyle name="20% - Accent2 2 2 3 21" xfId="47754" xr:uid="{00000000-0005-0000-0000-000001080000}"/>
    <cellStyle name="20% - Accent2 2 2 3 22" xfId="49437" xr:uid="{00000000-0005-0000-0000-000002080000}"/>
    <cellStyle name="20% - Accent2 2 2 3 23" xfId="51120" xr:uid="{00000000-0005-0000-0000-000003080000}"/>
    <cellStyle name="20% - Accent2 2 2 3 24" xfId="52803" xr:uid="{00000000-0005-0000-0000-000004080000}"/>
    <cellStyle name="20% - Accent2 2 2 3 25" xfId="54486" xr:uid="{00000000-0005-0000-0000-000005080000}"/>
    <cellStyle name="20% - Accent2 2 2 3 26" xfId="56169" xr:uid="{00000000-0005-0000-0000-000006080000}"/>
    <cellStyle name="20% - Accent2 2 2 3 27" xfId="57852" xr:uid="{00000000-0005-0000-0000-000007080000}"/>
    <cellStyle name="20% - Accent2 2 2 3 28" xfId="59535" xr:uid="{00000000-0005-0000-0000-000008080000}"/>
    <cellStyle name="20% - Accent2 2 2 3 29" xfId="61218" xr:uid="{00000000-0005-0000-0000-000009080000}"/>
    <cellStyle name="20% - Accent2 2 2 3 3" xfId="3993" xr:uid="{00000000-0005-0000-0000-00000A080000}"/>
    <cellStyle name="20% - Accent2 2 2 3 3 2" xfId="19142" xr:uid="{00000000-0005-0000-0000-00000B080000}"/>
    <cellStyle name="20% - Accent2 2 2 3 30" xfId="62901" xr:uid="{00000000-0005-0000-0000-00000C080000}"/>
    <cellStyle name="20% - Accent2 2 2 3 4" xfId="5676" xr:uid="{00000000-0005-0000-0000-00000D080000}"/>
    <cellStyle name="20% - Accent2 2 2 3 4 2" xfId="20825" xr:uid="{00000000-0005-0000-0000-00000E080000}"/>
    <cellStyle name="20% - Accent2 2 2 3 5" xfId="7359" xr:uid="{00000000-0005-0000-0000-00000F080000}"/>
    <cellStyle name="20% - Accent2 2 2 3 5 2" xfId="22508" xr:uid="{00000000-0005-0000-0000-000010080000}"/>
    <cellStyle name="20% - Accent2 2 2 3 6" xfId="9042" xr:uid="{00000000-0005-0000-0000-000011080000}"/>
    <cellStyle name="20% - Accent2 2 2 3 6 2" xfId="24191" xr:uid="{00000000-0005-0000-0000-000012080000}"/>
    <cellStyle name="20% - Accent2 2 2 3 7" xfId="10725" xr:uid="{00000000-0005-0000-0000-000013080000}"/>
    <cellStyle name="20% - Accent2 2 2 3 7 2" xfId="25874" xr:uid="{00000000-0005-0000-0000-000014080000}"/>
    <cellStyle name="20% - Accent2 2 2 3 8" xfId="12409" xr:uid="{00000000-0005-0000-0000-000015080000}"/>
    <cellStyle name="20% - Accent2 2 2 3 8 2" xfId="27558" xr:uid="{00000000-0005-0000-0000-000016080000}"/>
    <cellStyle name="20% - Accent2 2 2 3 9" xfId="14092" xr:uid="{00000000-0005-0000-0000-000017080000}"/>
    <cellStyle name="20% - Accent2 2 2 3 9 2" xfId="29241" xr:uid="{00000000-0005-0000-0000-000018080000}"/>
    <cellStyle name="20% - Accent2 2 2 30" xfId="55749" xr:uid="{00000000-0005-0000-0000-000019080000}"/>
    <cellStyle name="20% - Accent2 2 2 31" xfId="57432" xr:uid="{00000000-0005-0000-0000-00001A080000}"/>
    <cellStyle name="20% - Accent2 2 2 32" xfId="59115" xr:uid="{00000000-0005-0000-0000-00001B080000}"/>
    <cellStyle name="20% - Accent2 2 2 33" xfId="60798" xr:uid="{00000000-0005-0000-0000-00001C080000}"/>
    <cellStyle name="20% - Accent2 2 2 34" xfId="62481" xr:uid="{00000000-0005-0000-0000-00001D080000}"/>
    <cellStyle name="20% - Accent2 2 2 4" xfId="1047" xr:uid="{00000000-0005-0000-0000-00001E080000}"/>
    <cellStyle name="20% - Accent2 2 2 4 10" xfId="16196" xr:uid="{00000000-0005-0000-0000-00001F080000}"/>
    <cellStyle name="20% - Accent2 2 2 4 11" xfId="31345" xr:uid="{00000000-0005-0000-0000-000020080000}"/>
    <cellStyle name="20% - Accent2 2 2 4 12" xfId="33028" xr:uid="{00000000-0005-0000-0000-000021080000}"/>
    <cellStyle name="20% - Accent2 2 2 4 13" xfId="34711" xr:uid="{00000000-0005-0000-0000-000022080000}"/>
    <cellStyle name="20% - Accent2 2 2 4 14" xfId="36394" xr:uid="{00000000-0005-0000-0000-000023080000}"/>
    <cellStyle name="20% - Accent2 2 2 4 15" xfId="38077" xr:uid="{00000000-0005-0000-0000-000024080000}"/>
    <cellStyle name="20% - Accent2 2 2 4 16" xfId="39760" xr:uid="{00000000-0005-0000-0000-000025080000}"/>
    <cellStyle name="20% - Accent2 2 2 4 17" xfId="41443" xr:uid="{00000000-0005-0000-0000-000026080000}"/>
    <cellStyle name="20% - Accent2 2 2 4 18" xfId="43126" xr:uid="{00000000-0005-0000-0000-000027080000}"/>
    <cellStyle name="20% - Accent2 2 2 4 19" xfId="44809" xr:uid="{00000000-0005-0000-0000-000028080000}"/>
    <cellStyle name="20% - Accent2 2 2 4 2" xfId="2730" xr:uid="{00000000-0005-0000-0000-000029080000}"/>
    <cellStyle name="20% - Accent2 2 2 4 2 2" xfId="17879" xr:uid="{00000000-0005-0000-0000-00002A080000}"/>
    <cellStyle name="20% - Accent2 2 2 4 20" xfId="46492" xr:uid="{00000000-0005-0000-0000-00002B080000}"/>
    <cellStyle name="20% - Accent2 2 2 4 21" xfId="48175" xr:uid="{00000000-0005-0000-0000-00002C080000}"/>
    <cellStyle name="20% - Accent2 2 2 4 22" xfId="49858" xr:uid="{00000000-0005-0000-0000-00002D080000}"/>
    <cellStyle name="20% - Accent2 2 2 4 23" xfId="51541" xr:uid="{00000000-0005-0000-0000-00002E080000}"/>
    <cellStyle name="20% - Accent2 2 2 4 24" xfId="53224" xr:uid="{00000000-0005-0000-0000-00002F080000}"/>
    <cellStyle name="20% - Accent2 2 2 4 25" xfId="54907" xr:uid="{00000000-0005-0000-0000-000030080000}"/>
    <cellStyle name="20% - Accent2 2 2 4 26" xfId="56590" xr:uid="{00000000-0005-0000-0000-000031080000}"/>
    <cellStyle name="20% - Accent2 2 2 4 27" xfId="58273" xr:uid="{00000000-0005-0000-0000-000032080000}"/>
    <cellStyle name="20% - Accent2 2 2 4 28" xfId="59956" xr:uid="{00000000-0005-0000-0000-000033080000}"/>
    <cellStyle name="20% - Accent2 2 2 4 29" xfId="61639" xr:uid="{00000000-0005-0000-0000-000034080000}"/>
    <cellStyle name="20% - Accent2 2 2 4 3" xfId="4414" xr:uid="{00000000-0005-0000-0000-000035080000}"/>
    <cellStyle name="20% - Accent2 2 2 4 3 2" xfId="19563" xr:uid="{00000000-0005-0000-0000-000036080000}"/>
    <cellStyle name="20% - Accent2 2 2 4 30" xfId="63322" xr:uid="{00000000-0005-0000-0000-000037080000}"/>
    <cellStyle name="20% - Accent2 2 2 4 4" xfId="6097" xr:uid="{00000000-0005-0000-0000-000038080000}"/>
    <cellStyle name="20% - Accent2 2 2 4 4 2" xfId="21246" xr:uid="{00000000-0005-0000-0000-000039080000}"/>
    <cellStyle name="20% - Accent2 2 2 4 5" xfId="7780" xr:uid="{00000000-0005-0000-0000-00003A080000}"/>
    <cellStyle name="20% - Accent2 2 2 4 5 2" xfId="22929" xr:uid="{00000000-0005-0000-0000-00003B080000}"/>
    <cellStyle name="20% - Accent2 2 2 4 6" xfId="9463" xr:uid="{00000000-0005-0000-0000-00003C080000}"/>
    <cellStyle name="20% - Accent2 2 2 4 6 2" xfId="24612" xr:uid="{00000000-0005-0000-0000-00003D080000}"/>
    <cellStyle name="20% - Accent2 2 2 4 7" xfId="11146" xr:uid="{00000000-0005-0000-0000-00003E080000}"/>
    <cellStyle name="20% - Accent2 2 2 4 7 2" xfId="26295" xr:uid="{00000000-0005-0000-0000-00003F080000}"/>
    <cellStyle name="20% - Accent2 2 2 4 8" xfId="12830" xr:uid="{00000000-0005-0000-0000-000040080000}"/>
    <cellStyle name="20% - Accent2 2 2 4 8 2" xfId="27979" xr:uid="{00000000-0005-0000-0000-000041080000}"/>
    <cellStyle name="20% - Accent2 2 2 4 9" xfId="14513" xr:uid="{00000000-0005-0000-0000-000042080000}"/>
    <cellStyle name="20% - Accent2 2 2 4 9 2" xfId="29662" xr:uid="{00000000-0005-0000-0000-000043080000}"/>
    <cellStyle name="20% - Accent2 2 2 5" xfId="1468" xr:uid="{00000000-0005-0000-0000-000044080000}"/>
    <cellStyle name="20% - Accent2 2 2 5 10" xfId="16617" xr:uid="{00000000-0005-0000-0000-000045080000}"/>
    <cellStyle name="20% - Accent2 2 2 5 11" xfId="31766" xr:uid="{00000000-0005-0000-0000-000046080000}"/>
    <cellStyle name="20% - Accent2 2 2 5 12" xfId="33449" xr:uid="{00000000-0005-0000-0000-000047080000}"/>
    <cellStyle name="20% - Accent2 2 2 5 13" xfId="35132" xr:uid="{00000000-0005-0000-0000-000048080000}"/>
    <cellStyle name="20% - Accent2 2 2 5 14" xfId="36815" xr:uid="{00000000-0005-0000-0000-000049080000}"/>
    <cellStyle name="20% - Accent2 2 2 5 15" xfId="38498" xr:uid="{00000000-0005-0000-0000-00004A080000}"/>
    <cellStyle name="20% - Accent2 2 2 5 16" xfId="40181" xr:uid="{00000000-0005-0000-0000-00004B080000}"/>
    <cellStyle name="20% - Accent2 2 2 5 17" xfId="41864" xr:uid="{00000000-0005-0000-0000-00004C080000}"/>
    <cellStyle name="20% - Accent2 2 2 5 18" xfId="43547" xr:uid="{00000000-0005-0000-0000-00004D080000}"/>
    <cellStyle name="20% - Accent2 2 2 5 19" xfId="45230" xr:uid="{00000000-0005-0000-0000-00004E080000}"/>
    <cellStyle name="20% - Accent2 2 2 5 2" xfId="3151" xr:uid="{00000000-0005-0000-0000-00004F080000}"/>
    <cellStyle name="20% - Accent2 2 2 5 2 2" xfId="18300" xr:uid="{00000000-0005-0000-0000-000050080000}"/>
    <cellStyle name="20% - Accent2 2 2 5 20" xfId="46913" xr:uid="{00000000-0005-0000-0000-000051080000}"/>
    <cellStyle name="20% - Accent2 2 2 5 21" xfId="48596" xr:uid="{00000000-0005-0000-0000-000052080000}"/>
    <cellStyle name="20% - Accent2 2 2 5 22" xfId="50279" xr:uid="{00000000-0005-0000-0000-000053080000}"/>
    <cellStyle name="20% - Accent2 2 2 5 23" xfId="51962" xr:uid="{00000000-0005-0000-0000-000054080000}"/>
    <cellStyle name="20% - Accent2 2 2 5 24" xfId="53645" xr:uid="{00000000-0005-0000-0000-000055080000}"/>
    <cellStyle name="20% - Accent2 2 2 5 25" xfId="55328" xr:uid="{00000000-0005-0000-0000-000056080000}"/>
    <cellStyle name="20% - Accent2 2 2 5 26" xfId="57011" xr:uid="{00000000-0005-0000-0000-000057080000}"/>
    <cellStyle name="20% - Accent2 2 2 5 27" xfId="58694" xr:uid="{00000000-0005-0000-0000-000058080000}"/>
    <cellStyle name="20% - Accent2 2 2 5 28" xfId="60377" xr:uid="{00000000-0005-0000-0000-000059080000}"/>
    <cellStyle name="20% - Accent2 2 2 5 29" xfId="62060" xr:uid="{00000000-0005-0000-0000-00005A080000}"/>
    <cellStyle name="20% - Accent2 2 2 5 3" xfId="4835" xr:uid="{00000000-0005-0000-0000-00005B080000}"/>
    <cellStyle name="20% - Accent2 2 2 5 3 2" xfId="19984" xr:uid="{00000000-0005-0000-0000-00005C080000}"/>
    <cellStyle name="20% - Accent2 2 2 5 30" xfId="63743" xr:uid="{00000000-0005-0000-0000-00005D080000}"/>
    <cellStyle name="20% - Accent2 2 2 5 4" xfId="6518" xr:uid="{00000000-0005-0000-0000-00005E080000}"/>
    <cellStyle name="20% - Accent2 2 2 5 4 2" xfId="21667" xr:uid="{00000000-0005-0000-0000-00005F080000}"/>
    <cellStyle name="20% - Accent2 2 2 5 5" xfId="8201" xr:uid="{00000000-0005-0000-0000-000060080000}"/>
    <cellStyle name="20% - Accent2 2 2 5 5 2" xfId="23350" xr:uid="{00000000-0005-0000-0000-000061080000}"/>
    <cellStyle name="20% - Accent2 2 2 5 6" xfId="9884" xr:uid="{00000000-0005-0000-0000-000062080000}"/>
    <cellStyle name="20% - Accent2 2 2 5 6 2" xfId="25033" xr:uid="{00000000-0005-0000-0000-000063080000}"/>
    <cellStyle name="20% - Accent2 2 2 5 7" xfId="11567" xr:uid="{00000000-0005-0000-0000-000064080000}"/>
    <cellStyle name="20% - Accent2 2 2 5 7 2" xfId="26716" xr:uid="{00000000-0005-0000-0000-000065080000}"/>
    <cellStyle name="20% - Accent2 2 2 5 8" xfId="13251" xr:uid="{00000000-0005-0000-0000-000066080000}"/>
    <cellStyle name="20% - Accent2 2 2 5 8 2" xfId="28400" xr:uid="{00000000-0005-0000-0000-000067080000}"/>
    <cellStyle name="20% - Accent2 2 2 5 9" xfId="14934" xr:uid="{00000000-0005-0000-0000-000068080000}"/>
    <cellStyle name="20% - Accent2 2 2 5 9 2" xfId="30083" xr:uid="{00000000-0005-0000-0000-000069080000}"/>
    <cellStyle name="20% - Accent2 2 2 6" xfId="1889" xr:uid="{00000000-0005-0000-0000-00006A080000}"/>
    <cellStyle name="20% - Accent2 2 2 6 2" xfId="17038" xr:uid="{00000000-0005-0000-0000-00006B080000}"/>
    <cellStyle name="20% - Accent2 2 2 7" xfId="3573" xr:uid="{00000000-0005-0000-0000-00006C080000}"/>
    <cellStyle name="20% - Accent2 2 2 7 2" xfId="18722" xr:uid="{00000000-0005-0000-0000-00006D080000}"/>
    <cellStyle name="20% - Accent2 2 2 8" xfId="5256" xr:uid="{00000000-0005-0000-0000-00006E080000}"/>
    <cellStyle name="20% - Accent2 2 2 8 2" xfId="20405" xr:uid="{00000000-0005-0000-0000-00006F080000}"/>
    <cellStyle name="20% - Accent2 2 2 9" xfId="6939" xr:uid="{00000000-0005-0000-0000-000070080000}"/>
    <cellStyle name="20% - Accent2 2 2 9 2" xfId="22088" xr:uid="{00000000-0005-0000-0000-000071080000}"/>
    <cellStyle name="20% - Accent2 2 20" xfId="37131" xr:uid="{00000000-0005-0000-0000-000072080000}"/>
    <cellStyle name="20% - Accent2 2 21" xfId="38814" xr:uid="{00000000-0005-0000-0000-000073080000}"/>
    <cellStyle name="20% - Accent2 2 22" xfId="40497" xr:uid="{00000000-0005-0000-0000-000074080000}"/>
    <cellStyle name="20% - Accent2 2 23" xfId="42180" xr:uid="{00000000-0005-0000-0000-000075080000}"/>
    <cellStyle name="20% - Accent2 2 24" xfId="43863" xr:uid="{00000000-0005-0000-0000-000076080000}"/>
    <cellStyle name="20% - Accent2 2 25" xfId="45546" xr:uid="{00000000-0005-0000-0000-000077080000}"/>
    <cellStyle name="20% - Accent2 2 26" xfId="47229" xr:uid="{00000000-0005-0000-0000-000078080000}"/>
    <cellStyle name="20% - Accent2 2 27" xfId="48912" xr:uid="{00000000-0005-0000-0000-000079080000}"/>
    <cellStyle name="20% - Accent2 2 28" xfId="50595" xr:uid="{00000000-0005-0000-0000-00007A080000}"/>
    <cellStyle name="20% - Accent2 2 29" xfId="52278" xr:uid="{00000000-0005-0000-0000-00007B080000}"/>
    <cellStyle name="20% - Accent2 2 3" xfId="311" xr:uid="{00000000-0005-0000-0000-00007C080000}"/>
    <cellStyle name="20% - Accent2 2 3 10" xfId="10410" xr:uid="{00000000-0005-0000-0000-00007D080000}"/>
    <cellStyle name="20% - Accent2 2 3 10 2" xfId="25559" xr:uid="{00000000-0005-0000-0000-00007E080000}"/>
    <cellStyle name="20% - Accent2 2 3 11" xfId="12094" xr:uid="{00000000-0005-0000-0000-00007F080000}"/>
    <cellStyle name="20% - Accent2 2 3 11 2" xfId="27243" xr:uid="{00000000-0005-0000-0000-000080080000}"/>
    <cellStyle name="20% - Accent2 2 3 12" xfId="13777" xr:uid="{00000000-0005-0000-0000-000081080000}"/>
    <cellStyle name="20% - Accent2 2 3 12 2" xfId="28926" xr:uid="{00000000-0005-0000-0000-000082080000}"/>
    <cellStyle name="20% - Accent2 2 3 13" xfId="15460" xr:uid="{00000000-0005-0000-0000-000083080000}"/>
    <cellStyle name="20% - Accent2 2 3 14" xfId="30609" xr:uid="{00000000-0005-0000-0000-000084080000}"/>
    <cellStyle name="20% - Accent2 2 3 15" xfId="32292" xr:uid="{00000000-0005-0000-0000-000085080000}"/>
    <cellStyle name="20% - Accent2 2 3 16" xfId="33975" xr:uid="{00000000-0005-0000-0000-000086080000}"/>
    <cellStyle name="20% - Accent2 2 3 17" xfId="35658" xr:uid="{00000000-0005-0000-0000-000087080000}"/>
    <cellStyle name="20% - Accent2 2 3 18" xfId="37341" xr:uid="{00000000-0005-0000-0000-000088080000}"/>
    <cellStyle name="20% - Accent2 2 3 19" xfId="39024" xr:uid="{00000000-0005-0000-0000-000089080000}"/>
    <cellStyle name="20% - Accent2 2 3 2" xfId="731" xr:uid="{00000000-0005-0000-0000-00008A080000}"/>
    <cellStyle name="20% - Accent2 2 3 2 10" xfId="15880" xr:uid="{00000000-0005-0000-0000-00008B080000}"/>
    <cellStyle name="20% - Accent2 2 3 2 11" xfId="31029" xr:uid="{00000000-0005-0000-0000-00008C080000}"/>
    <cellStyle name="20% - Accent2 2 3 2 12" xfId="32712" xr:uid="{00000000-0005-0000-0000-00008D080000}"/>
    <cellStyle name="20% - Accent2 2 3 2 13" xfId="34395" xr:uid="{00000000-0005-0000-0000-00008E080000}"/>
    <cellStyle name="20% - Accent2 2 3 2 14" xfId="36078" xr:uid="{00000000-0005-0000-0000-00008F080000}"/>
    <cellStyle name="20% - Accent2 2 3 2 15" xfId="37761" xr:uid="{00000000-0005-0000-0000-000090080000}"/>
    <cellStyle name="20% - Accent2 2 3 2 16" xfId="39444" xr:uid="{00000000-0005-0000-0000-000091080000}"/>
    <cellStyle name="20% - Accent2 2 3 2 17" xfId="41127" xr:uid="{00000000-0005-0000-0000-000092080000}"/>
    <cellStyle name="20% - Accent2 2 3 2 18" xfId="42810" xr:uid="{00000000-0005-0000-0000-000093080000}"/>
    <cellStyle name="20% - Accent2 2 3 2 19" xfId="44493" xr:uid="{00000000-0005-0000-0000-000094080000}"/>
    <cellStyle name="20% - Accent2 2 3 2 2" xfId="2414" xr:uid="{00000000-0005-0000-0000-000095080000}"/>
    <cellStyle name="20% - Accent2 2 3 2 2 2" xfId="17563" xr:uid="{00000000-0005-0000-0000-000096080000}"/>
    <cellStyle name="20% - Accent2 2 3 2 20" xfId="46176" xr:uid="{00000000-0005-0000-0000-000097080000}"/>
    <cellStyle name="20% - Accent2 2 3 2 21" xfId="47859" xr:uid="{00000000-0005-0000-0000-000098080000}"/>
    <cellStyle name="20% - Accent2 2 3 2 22" xfId="49542" xr:uid="{00000000-0005-0000-0000-000099080000}"/>
    <cellStyle name="20% - Accent2 2 3 2 23" xfId="51225" xr:uid="{00000000-0005-0000-0000-00009A080000}"/>
    <cellStyle name="20% - Accent2 2 3 2 24" xfId="52908" xr:uid="{00000000-0005-0000-0000-00009B080000}"/>
    <cellStyle name="20% - Accent2 2 3 2 25" xfId="54591" xr:uid="{00000000-0005-0000-0000-00009C080000}"/>
    <cellStyle name="20% - Accent2 2 3 2 26" xfId="56274" xr:uid="{00000000-0005-0000-0000-00009D080000}"/>
    <cellStyle name="20% - Accent2 2 3 2 27" xfId="57957" xr:uid="{00000000-0005-0000-0000-00009E080000}"/>
    <cellStyle name="20% - Accent2 2 3 2 28" xfId="59640" xr:uid="{00000000-0005-0000-0000-00009F080000}"/>
    <cellStyle name="20% - Accent2 2 3 2 29" xfId="61323" xr:uid="{00000000-0005-0000-0000-0000A0080000}"/>
    <cellStyle name="20% - Accent2 2 3 2 3" xfId="4098" xr:uid="{00000000-0005-0000-0000-0000A1080000}"/>
    <cellStyle name="20% - Accent2 2 3 2 3 2" xfId="19247" xr:uid="{00000000-0005-0000-0000-0000A2080000}"/>
    <cellStyle name="20% - Accent2 2 3 2 30" xfId="63006" xr:uid="{00000000-0005-0000-0000-0000A3080000}"/>
    <cellStyle name="20% - Accent2 2 3 2 4" xfId="5781" xr:uid="{00000000-0005-0000-0000-0000A4080000}"/>
    <cellStyle name="20% - Accent2 2 3 2 4 2" xfId="20930" xr:uid="{00000000-0005-0000-0000-0000A5080000}"/>
    <cellStyle name="20% - Accent2 2 3 2 5" xfId="7464" xr:uid="{00000000-0005-0000-0000-0000A6080000}"/>
    <cellStyle name="20% - Accent2 2 3 2 5 2" xfId="22613" xr:uid="{00000000-0005-0000-0000-0000A7080000}"/>
    <cellStyle name="20% - Accent2 2 3 2 6" xfId="9147" xr:uid="{00000000-0005-0000-0000-0000A8080000}"/>
    <cellStyle name="20% - Accent2 2 3 2 6 2" xfId="24296" xr:uid="{00000000-0005-0000-0000-0000A9080000}"/>
    <cellStyle name="20% - Accent2 2 3 2 7" xfId="10830" xr:uid="{00000000-0005-0000-0000-0000AA080000}"/>
    <cellStyle name="20% - Accent2 2 3 2 7 2" xfId="25979" xr:uid="{00000000-0005-0000-0000-0000AB080000}"/>
    <cellStyle name="20% - Accent2 2 3 2 8" xfId="12514" xr:uid="{00000000-0005-0000-0000-0000AC080000}"/>
    <cellStyle name="20% - Accent2 2 3 2 8 2" xfId="27663" xr:uid="{00000000-0005-0000-0000-0000AD080000}"/>
    <cellStyle name="20% - Accent2 2 3 2 9" xfId="14197" xr:uid="{00000000-0005-0000-0000-0000AE080000}"/>
    <cellStyle name="20% - Accent2 2 3 2 9 2" xfId="29346" xr:uid="{00000000-0005-0000-0000-0000AF080000}"/>
    <cellStyle name="20% - Accent2 2 3 20" xfId="40707" xr:uid="{00000000-0005-0000-0000-0000B0080000}"/>
    <cellStyle name="20% - Accent2 2 3 21" xfId="42390" xr:uid="{00000000-0005-0000-0000-0000B1080000}"/>
    <cellStyle name="20% - Accent2 2 3 22" xfId="44073" xr:uid="{00000000-0005-0000-0000-0000B2080000}"/>
    <cellStyle name="20% - Accent2 2 3 23" xfId="45756" xr:uid="{00000000-0005-0000-0000-0000B3080000}"/>
    <cellStyle name="20% - Accent2 2 3 24" xfId="47439" xr:uid="{00000000-0005-0000-0000-0000B4080000}"/>
    <cellStyle name="20% - Accent2 2 3 25" xfId="49122" xr:uid="{00000000-0005-0000-0000-0000B5080000}"/>
    <cellStyle name="20% - Accent2 2 3 26" xfId="50805" xr:uid="{00000000-0005-0000-0000-0000B6080000}"/>
    <cellStyle name="20% - Accent2 2 3 27" xfId="52488" xr:uid="{00000000-0005-0000-0000-0000B7080000}"/>
    <cellStyle name="20% - Accent2 2 3 28" xfId="54171" xr:uid="{00000000-0005-0000-0000-0000B8080000}"/>
    <cellStyle name="20% - Accent2 2 3 29" xfId="55854" xr:uid="{00000000-0005-0000-0000-0000B9080000}"/>
    <cellStyle name="20% - Accent2 2 3 3" xfId="1152" xr:uid="{00000000-0005-0000-0000-0000BA080000}"/>
    <cellStyle name="20% - Accent2 2 3 3 10" xfId="16301" xr:uid="{00000000-0005-0000-0000-0000BB080000}"/>
    <cellStyle name="20% - Accent2 2 3 3 11" xfId="31450" xr:uid="{00000000-0005-0000-0000-0000BC080000}"/>
    <cellStyle name="20% - Accent2 2 3 3 12" xfId="33133" xr:uid="{00000000-0005-0000-0000-0000BD080000}"/>
    <cellStyle name="20% - Accent2 2 3 3 13" xfId="34816" xr:uid="{00000000-0005-0000-0000-0000BE080000}"/>
    <cellStyle name="20% - Accent2 2 3 3 14" xfId="36499" xr:uid="{00000000-0005-0000-0000-0000BF080000}"/>
    <cellStyle name="20% - Accent2 2 3 3 15" xfId="38182" xr:uid="{00000000-0005-0000-0000-0000C0080000}"/>
    <cellStyle name="20% - Accent2 2 3 3 16" xfId="39865" xr:uid="{00000000-0005-0000-0000-0000C1080000}"/>
    <cellStyle name="20% - Accent2 2 3 3 17" xfId="41548" xr:uid="{00000000-0005-0000-0000-0000C2080000}"/>
    <cellStyle name="20% - Accent2 2 3 3 18" xfId="43231" xr:uid="{00000000-0005-0000-0000-0000C3080000}"/>
    <cellStyle name="20% - Accent2 2 3 3 19" xfId="44914" xr:uid="{00000000-0005-0000-0000-0000C4080000}"/>
    <cellStyle name="20% - Accent2 2 3 3 2" xfId="2835" xr:uid="{00000000-0005-0000-0000-0000C5080000}"/>
    <cellStyle name="20% - Accent2 2 3 3 2 2" xfId="17984" xr:uid="{00000000-0005-0000-0000-0000C6080000}"/>
    <cellStyle name="20% - Accent2 2 3 3 20" xfId="46597" xr:uid="{00000000-0005-0000-0000-0000C7080000}"/>
    <cellStyle name="20% - Accent2 2 3 3 21" xfId="48280" xr:uid="{00000000-0005-0000-0000-0000C8080000}"/>
    <cellStyle name="20% - Accent2 2 3 3 22" xfId="49963" xr:uid="{00000000-0005-0000-0000-0000C9080000}"/>
    <cellStyle name="20% - Accent2 2 3 3 23" xfId="51646" xr:uid="{00000000-0005-0000-0000-0000CA080000}"/>
    <cellStyle name="20% - Accent2 2 3 3 24" xfId="53329" xr:uid="{00000000-0005-0000-0000-0000CB080000}"/>
    <cellStyle name="20% - Accent2 2 3 3 25" xfId="55012" xr:uid="{00000000-0005-0000-0000-0000CC080000}"/>
    <cellStyle name="20% - Accent2 2 3 3 26" xfId="56695" xr:uid="{00000000-0005-0000-0000-0000CD080000}"/>
    <cellStyle name="20% - Accent2 2 3 3 27" xfId="58378" xr:uid="{00000000-0005-0000-0000-0000CE080000}"/>
    <cellStyle name="20% - Accent2 2 3 3 28" xfId="60061" xr:uid="{00000000-0005-0000-0000-0000CF080000}"/>
    <cellStyle name="20% - Accent2 2 3 3 29" xfId="61744" xr:uid="{00000000-0005-0000-0000-0000D0080000}"/>
    <cellStyle name="20% - Accent2 2 3 3 3" xfId="4519" xr:uid="{00000000-0005-0000-0000-0000D1080000}"/>
    <cellStyle name="20% - Accent2 2 3 3 3 2" xfId="19668" xr:uid="{00000000-0005-0000-0000-0000D2080000}"/>
    <cellStyle name="20% - Accent2 2 3 3 30" xfId="63427" xr:uid="{00000000-0005-0000-0000-0000D3080000}"/>
    <cellStyle name="20% - Accent2 2 3 3 4" xfId="6202" xr:uid="{00000000-0005-0000-0000-0000D4080000}"/>
    <cellStyle name="20% - Accent2 2 3 3 4 2" xfId="21351" xr:uid="{00000000-0005-0000-0000-0000D5080000}"/>
    <cellStyle name="20% - Accent2 2 3 3 5" xfId="7885" xr:uid="{00000000-0005-0000-0000-0000D6080000}"/>
    <cellStyle name="20% - Accent2 2 3 3 5 2" xfId="23034" xr:uid="{00000000-0005-0000-0000-0000D7080000}"/>
    <cellStyle name="20% - Accent2 2 3 3 6" xfId="9568" xr:uid="{00000000-0005-0000-0000-0000D8080000}"/>
    <cellStyle name="20% - Accent2 2 3 3 6 2" xfId="24717" xr:uid="{00000000-0005-0000-0000-0000D9080000}"/>
    <cellStyle name="20% - Accent2 2 3 3 7" xfId="11251" xr:uid="{00000000-0005-0000-0000-0000DA080000}"/>
    <cellStyle name="20% - Accent2 2 3 3 7 2" xfId="26400" xr:uid="{00000000-0005-0000-0000-0000DB080000}"/>
    <cellStyle name="20% - Accent2 2 3 3 8" xfId="12935" xr:uid="{00000000-0005-0000-0000-0000DC080000}"/>
    <cellStyle name="20% - Accent2 2 3 3 8 2" xfId="28084" xr:uid="{00000000-0005-0000-0000-0000DD080000}"/>
    <cellStyle name="20% - Accent2 2 3 3 9" xfId="14618" xr:uid="{00000000-0005-0000-0000-0000DE080000}"/>
    <cellStyle name="20% - Accent2 2 3 3 9 2" xfId="29767" xr:uid="{00000000-0005-0000-0000-0000DF080000}"/>
    <cellStyle name="20% - Accent2 2 3 30" xfId="57537" xr:uid="{00000000-0005-0000-0000-0000E0080000}"/>
    <cellStyle name="20% - Accent2 2 3 31" xfId="59220" xr:uid="{00000000-0005-0000-0000-0000E1080000}"/>
    <cellStyle name="20% - Accent2 2 3 32" xfId="60903" xr:uid="{00000000-0005-0000-0000-0000E2080000}"/>
    <cellStyle name="20% - Accent2 2 3 33" xfId="62586" xr:uid="{00000000-0005-0000-0000-0000E3080000}"/>
    <cellStyle name="20% - Accent2 2 3 4" xfId="1573" xr:uid="{00000000-0005-0000-0000-0000E4080000}"/>
    <cellStyle name="20% - Accent2 2 3 4 10" xfId="16722" xr:uid="{00000000-0005-0000-0000-0000E5080000}"/>
    <cellStyle name="20% - Accent2 2 3 4 11" xfId="31871" xr:uid="{00000000-0005-0000-0000-0000E6080000}"/>
    <cellStyle name="20% - Accent2 2 3 4 12" xfId="33554" xr:uid="{00000000-0005-0000-0000-0000E7080000}"/>
    <cellStyle name="20% - Accent2 2 3 4 13" xfId="35237" xr:uid="{00000000-0005-0000-0000-0000E8080000}"/>
    <cellStyle name="20% - Accent2 2 3 4 14" xfId="36920" xr:uid="{00000000-0005-0000-0000-0000E9080000}"/>
    <cellStyle name="20% - Accent2 2 3 4 15" xfId="38603" xr:uid="{00000000-0005-0000-0000-0000EA080000}"/>
    <cellStyle name="20% - Accent2 2 3 4 16" xfId="40286" xr:uid="{00000000-0005-0000-0000-0000EB080000}"/>
    <cellStyle name="20% - Accent2 2 3 4 17" xfId="41969" xr:uid="{00000000-0005-0000-0000-0000EC080000}"/>
    <cellStyle name="20% - Accent2 2 3 4 18" xfId="43652" xr:uid="{00000000-0005-0000-0000-0000ED080000}"/>
    <cellStyle name="20% - Accent2 2 3 4 19" xfId="45335" xr:uid="{00000000-0005-0000-0000-0000EE080000}"/>
    <cellStyle name="20% - Accent2 2 3 4 2" xfId="3256" xr:uid="{00000000-0005-0000-0000-0000EF080000}"/>
    <cellStyle name="20% - Accent2 2 3 4 2 2" xfId="18405" xr:uid="{00000000-0005-0000-0000-0000F0080000}"/>
    <cellStyle name="20% - Accent2 2 3 4 20" xfId="47018" xr:uid="{00000000-0005-0000-0000-0000F1080000}"/>
    <cellStyle name="20% - Accent2 2 3 4 21" xfId="48701" xr:uid="{00000000-0005-0000-0000-0000F2080000}"/>
    <cellStyle name="20% - Accent2 2 3 4 22" xfId="50384" xr:uid="{00000000-0005-0000-0000-0000F3080000}"/>
    <cellStyle name="20% - Accent2 2 3 4 23" xfId="52067" xr:uid="{00000000-0005-0000-0000-0000F4080000}"/>
    <cellStyle name="20% - Accent2 2 3 4 24" xfId="53750" xr:uid="{00000000-0005-0000-0000-0000F5080000}"/>
    <cellStyle name="20% - Accent2 2 3 4 25" xfId="55433" xr:uid="{00000000-0005-0000-0000-0000F6080000}"/>
    <cellStyle name="20% - Accent2 2 3 4 26" xfId="57116" xr:uid="{00000000-0005-0000-0000-0000F7080000}"/>
    <cellStyle name="20% - Accent2 2 3 4 27" xfId="58799" xr:uid="{00000000-0005-0000-0000-0000F8080000}"/>
    <cellStyle name="20% - Accent2 2 3 4 28" xfId="60482" xr:uid="{00000000-0005-0000-0000-0000F9080000}"/>
    <cellStyle name="20% - Accent2 2 3 4 29" xfId="62165" xr:uid="{00000000-0005-0000-0000-0000FA080000}"/>
    <cellStyle name="20% - Accent2 2 3 4 3" xfId="4940" xr:uid="{00000000-0005-0000-0000-0000FB080000}"/>
    <cellStyle name="20% - Accent2 2 3 4 3 2" xfId="20089" xr:uid="{00000000-0005-0000-0000-0000FC080000}"/>
    <cellStyle name="20% - Accent2 2 3 4 30" xfId="63848" xr:uid="{00000000-0005-0000-0000-0000FD080000}"/>
    <cellStyle name="20% - Accent2 2 3 4 4" xfId="6623" xr:uid="{00000000-0005-0000-0000-0000FE080000}"/>
    <cellStyle name="20% - Accent2 2 3 4 4 2" xfId="21772" xr:uid="{00000000-0005-0000-0000-0000FF080000}"/>
    <cellStyle name="20% - Accent2 2 3 4 5" xfId="8306" xr:uid="{00000000-0005-0000-0000-000000090000}"/>
    <cellStyle name="20% - Accent2 2 3 4 5 2" xfId="23455" xr:uid="{00000000-0005-0000-0000-000001090000}"/>
    <cellStyle name="20% - Accent2 2 3 4 6" xfId="9989" xr:uid="{00000000-0005-0000-0000-000002090000}"/>
    <cellStyle name="20% - Accent2 2 3 4 6 2" xfId="25138" xr:uid="{00000000-0005-0000-0000-000003090000}"/>
    <cellStyle name="20% - Accent2 2 3 4 7" xfId="11672" xr:uid="{00000000-0005-0000-0000-000004090000}"/>
    <cellStyle name="20% - Accent2 2 3 4 7 2" xfId="26821" xr:uid="{00000000-0005-0000-0000-000005090000}"/>
    <cellStyle name="20% - Accent2 2 3 4 8" xfId="13356" xr:uid="{00000000-0005-0000-0000-000006090000}"/>
    <cellStyle name="20% - Accent2 2 3 4 8 2" xfId="28505" xr:uid="{00000000-0005-0000-0000-000007090000}"/>
    <cellStyle name="20% - Accent2 2 3 4 9" xfId="15039" xr:uid="{00000000-0005-0000-0000-000008090000}"/>
    <cellStyle name="20% - Accent2 2 3 4 9 2" xfId="30188" xr:uid="{00000000-0005-0000-0000-000009090000}"/>
    <cellStyle name="20% - Accent2 2 3 5" xfId="1994" xr:uid="{00000000-0005-0000-0000-00000A090000}"/>
    <cellStyle name="20% - Accent2 2 3 5 2" xfId="17143" xr:uid="{00000000-0005-0000-0000-00000B090000}"/>
    <cellStyle name="20% - Accent2 2 3 6" xfId="3678" xr:uid="{00000000-0005-0000-0000-00000C090000}"/>
    <cellStyle name="20% - Accent2 2 3 6 2" xfId="18827" xr:uid="{00000000-0005-0000-0000-00000D090000}"/>
    <cellStyle name="20% - Accent2 2 3 7" xfId="5361" xr:uid="{00000000-0005-0000-0000-00000E090000}"/>
    <cellStyle name="20% - Accent2 2 3 7 2" xfId="20510" xr:uid="{00000000-0005-0000-0000-00000F090000}"/>
    <cellStyle name="20% - Accent2 2 3 8" xfId="7044" xr:uid="{00000000-0005-0000-0000-000010090000}"/>
    <cellStyle name="20% - Accent2 2 3 8 2" xfId="22193" xr:uid="{00000000-0005-0000-0000-000011090000}"/>
    <cellStyle name="20% - Accent2 2 3 9" xfId="8727" xr:uid="{00000000-0005-0000-0000-000012090000}"/>
    <cellStyle name="20% - Accent2 2 3 9 2" xfId="23876" xr:uid="{00000000-0005-0000-0000-000013090000}"/>
    <cellStyle name="20% - Accent2 2 30" xfId="53961" xr:uid="{00000000-0005-0000-0000-000014090000}"/>
    <cellStyle name="20% - Accent2 2 31" xfId="55644" xr:uid="{00000000-0005-0000-0000-000015090000}"/>
    <cellStyle name="20% - Accent2 2 32" xfId="57327" xr:uid="{00000000-0005-0000-0000-000016090000}"/>
    <cellStyle name="20% - Accent2 2 33" xfId="59010" xr:uid="{00000000-0005-0000-0000-000017090000}"/>
    <cellStyle name="20% - Accent2 2 34" xfId="60693" xr:uid="{00000000-0005-0000-0000-000018090000}"/>
    <cellStyle name="20% - Accent2 2 35" xfId="62376" xr:uid="{00000000-0005-0000-0000-000019090000}"/>
    <cellStyle name="20% - Accent2 2 4" xfId="521" xr:uid="{00000000-0005-0000-0000-00001A090000}"/>
    <cellStyle name="20% - Accent2 2 4 10" xfId="15670" xr:uid="{00000000-0005-0000-0000-00001B090000}"/>
    <cellStyle name="20% - Accent2 2 4 11" xfId="30819" xr:uid="{00000000-0005-0000-0000-00001C090000}"/>
    <cellStyle name="20% - Accent2 2 4 12" xfId="32502" xr:uid="{00000000-0005-0000-0000-00001D090000}"/>
    <cellStyle name="20% - Accent2 2 4 13" xfId="34185" xr:uid="{00000000-0005-0000-0000-00001E090000}"/>
    <cellStyle name="20% - Accent2 2 4 14" xfId="35868" xr:uid="{00000000-0005-0000-0000-00001F090000}"/>
    <cellStyle name="20% - Accent2 2 4 15" xfId="37551" xr:uid="{00000000-0005-0000-0000-000020090000}"/>
    <cellStyle name="20% - Accent2 2 4 16" xfId="39234" xr:uid="{00000000-0005-0000-0000-000021090000}"/>
    <cellStyle name="20% - Accent2 2 4 17" xfId="40917" xr:uid="{00000000-0005-0000-0000-000022090000}"/>
    <cellStyle name="20% - Accent2 2 4 18" xfId="42600" xr:uid="{00000000-0005-0000-0000-000023090000}"/>
    <cellStyle name="20% - Accent2 2 4 19" xfId="44283" xr:uid="{00000000-0005-0000-0000-000024090000}"/>
    <cellStyle name="20% - Accent2 2 4 2" xfId="2204" xr:uid="{00000000-0005-0000-0000-000025090000}"/>
    <cellStyle name="20% - Accent2 2 4 2 2" xfId="17353" xr:uid="{00000000-0005-0000-0000-000026090000}"/>
    <cellStyle name="20% - Accent2 2 4 20" xfId="45966" xr:uid="{00000000-0005-0000-0000-000027090000}"/>
    <cellStyle name="20% - Accent2 2 4 21" xfId="47649" xr:uid="{00000000-0005-0000-0000-000028090000}"/>
    <cellStyle name="20% - Accent2 2 4 22" xfId="49332" xr:uid="{00000000-0005-0000-0000-000029090000}"/>
    <cellStyle name="20% - Accent2 2 4 23" xfId="51015" xr:uid="{00000000-0005-0000-0000-00002A090000}"/>
    <cellStyle name="20% - Accent2 2 4 24" xfId="52698" xr:uid="{00000000-0005-0000-0000-00002B090000}"/>
    <cellStyle name="20% - Accent2 2 4 25" xfId="54381" xr:uid="{00000000-0005-0000-0000-00002C090000}"/>
    <cellStyle name="20% - Accent2 2 4 26" xfId="56064" xr:uid="{00000000-0005-0000-0000-00002D090000}"/>
    <cellStyle name="20% - Accent2 2 4 27" xfId="57747" xr:uid="{00000000-0005-0000-0000-00002E090000}"/>
    <cellStyle name="20% - Accent2 2 4 28" xfId="59430" xr:uid="{00000000-0005-0000-0000-00002F090000}"/>
    <cellStyle name="20% - Accent2 2 4 29" xfId="61113" xr:uid="{00000000-0005-0000-0000-000030090000}"/>
    <cellStyle name="20% - Accent2 2 4 3" xfId="3888" xr:uid="{00000000-0005-0000-0000-000031090000}"/>
    <cellStyle name="20% - Accent2 2 4 3 2" xfId="19037" xr:uid="{00000000-0005-0000-0000-000032090000}"/>
    <cellStyle name="20% - Accent2 2 4 30" xfId="62796" xr:uid="{00000000-0005-0000-0000-000033090000}"/>
    <cellStyle name="20% - Accent2 2 4 4" xfId="5571" xr:uid="{00000000-0005-0000-0000-000034090000}"/>
    <cellStyle name="20% - Accent2 2 4 4 2" xfId="20720" xr:uid="{00000000-0005-0000-0000-000035090000}"/>
    <cellStyle name="20% - Accent2 2 4 5" xfId="7254" xr:uid="{00000000-0005-0000-0000-000036090000}"/>
    <cellStyle name="20% - Accent2 2 4 5 2" xfId="22403" xr:uid="{00000000-0005-0000-0000-000037090000}"/>
    <cellStyle name="20% - Accent2 2 4 6" xfId="8937" xr:uid="{00000000-0005-0000-0000-000038090000}"/>
    <cellStyle name="20% - Accent2 2 4 6 2" xfId="24086" xr:uid="{00000000-0005-0000-0000-000039090000}"/>
    <cellStyle name="20% - Accent2 2 4 7" xfId="10620" xr:uid="{00000000-0005-0000-0000-00003A090000}"/>
    <cellStyle name="20% - Accent2 2 4 7 2" xfId="25769" xr:uid="{00000000-0005-0000-0000-00003B090000}"/>
    <cellStyle name="20% - Accent2 2 4 8" xfId="12304" xr:uid="{00000000-0005-0000-0000-00003C090000}"/>
    <cellStyle name="20% - Accent2 2 4 8 2" xfId="27453" xr:uid="{00000000-0005-0000-0000-00003D090000}"/>
    <cellStyle name="20% - Accent2 2 4 9" xfId="13987" xr:uid="{00000000-0005-0000-0000-00003E090000}"/>
    <cellStyle name="20% - Accent2 2 4 9 2" xfId="29136" xr:uid="{00000000-0005-0000-0000-00003F090000}"/>
    <cellStyle name="20% - Accent2 2 5" xfId="942" xr:uid="{00000000-0005-0000-0000-000040090000}"/>
    <cellStyle name="20% - Accent2 2 5 10" xfId="16091" xr:uid="{00000000-0005-0000-0000-000041090000}"/>
    <cellStyle name="20% - Accent2 2 5 11" xfId="31240" xr:uid="{00000000-0005-0000-0000-000042090000}"/>
    <cellStyle name="20% - Accent2 2 5 12" xfId="32923" xr:uid="{00000000-0005-0000-0000-000043090000}"/>
    <cellStyle name="20% - Accent2 2 5 13" xfId="34606" xr:uid="{00000000-0005-0000-0000-000044090000}"/>
    <cellStyle name="20% - Accent2 2 5 14" xfId="36289" xr:uid="{00000000-0005-0000-0000-000045090000}"/>
    <cellStyle name="20% - Accent2 2 5 15" xfId="37972" xr:uid="{00000000-0005-0000-0000-000046090000}"/>
    <cellStyle name="20% - Accent2 2 5 16" xfId="39655" xr:uid="{00000000-0005-0000-0000-000047090000}"/>
    <cellStyle name="20% - Accent2 2 5 17" xfId="41338" xr:uid="{00000000-0005-0000-0000-000048090000}"/>
    <cellStyle name="20% - Accent2 2 5 18" xfId="43021" xr:uid="{00000000-0005-0000-0000-000049090000}"/>
    <cellStyle name="20% - Accent2 2 5 19" xfId="44704" xr:uid="{00000000-0005-0000-0000-00004A090000}"/>
    <cellStyle name="20% - Accent2 2 5 2" xfId="2625" xr:uid="{00000000-0005-0000-0000-00004B090000}"/>
    <cellStyle name="20% - Accent2 2 5 2 2" xfId="17774" xr:uid="{00000000-0005-0000-0000-00004C090000}"/>
    <cellStyle name="20% - Accent2 2 5 20" xfId="46387" xr:uid="{00000000-0005-0000-0000-00004D090000}"/>
    <cellStyle name="20% - Accent2 2 5 21" xfId="48070" xr:uid="{00000000-0005-0000-0000-00004E090000}"/>
    <cellStyle name="20% - Accent2 2 5 22" xfId="49753" xr:uid="{00000000-0005-0000-0000-00004F090000}"/>
    <cellStyle name="20% - Accent2 2 5 23" xfId="51436" xr:uid="{00000000-0005-0000-0000-000050090000}"/>
    <cellStyle name="20% - Accent2 2 5 24" xfId="53119" xr:uid="{00000000-0005-0000-0000-000051090000}"/>
    <cellStyle name="20% - Accent2 2 5 25" xfId="54802" xr:uid="{00000000-0005-0000-0000-000052090000}"/>
    <cellStyle name="20% - Accent2 2 5 26" xfId="56485" xr:uid="{00000000-0005-0000-0000-000053090000}"/>
    <cellStyle name="20% - Accent2 2 5 27" xfId="58168" xr:uid="{00000000-0005-0000-0000-000054090000}"/>
    <cellStyle name="20% - Accent2 2 5 28" xfId="59851" xr:uid="{00000000-0005-0000-0000-000055090000}"/>
    <cellStyle name="20% - Accent2 2 5 29" xfId="61534" xr:uid="{00000000-0005-0000-0000-000056090000}"/>
    <cellStyle name="20% - Accent2 2 5 3" xfId="4309" xr:uid="{00000000-0005-0000-0000-000057090000}"/>
    <cellStyle name="20% - Accent2 2 5 3 2" xfId="19458" xr:uid="{00000000-0005-0000-0000-000058090000}"/>
    <cellStyle name="20% - Accent2 2 5 30" xfId="63217" xr:uid="{00000000-0005-0000-0000-000059090000}"/>
    <cellStyle name="20% - Accent2 2 5 4" xfId="5992" xr:uid="{00000000-0005-0000-0000-00005A090000}"/>
    <cellStyle name="20% - Accent2 2 5 4 2" xfId="21141" xr:uid="{00000000-0005-0000-0000-00005B090000}"/>
    <cellStyle name="20% - Accent2 2 5 5" xfId="7675" xr:uid="{00000000-0005-0000-0000-00005C090000}"/>
    <cellStyle name="20% - Accent2 2 5 5 2" xfId="22824" xr:uid="{00000000-0005-0000-0000-00005D090000}"/>
    <cellStyle name="20% - Accent2 2 5 6" xfId="9358" xr:uid="{00000000-0005-0000-0000-00005E090000}"/>
    <cellStyle name="20% - Accent2 2 5 6 2" xfId="24507" xr:uid="{00000000-0005-0000-0000-00005F090000}"/>
    <cellStyle name="20% - Accent2 2 5 7" xfId="11041" xr:uid="{00000000-0005-0000-0000-000060090000}"/>
    <cellStyle name="20% - Accent2 2 5 7 2" xfId="26190" xr:uid="{00000000-0005-0000-0000-000061090000}"/>
    <cellStyle name="20% - Accent2 2 5 8" xfId="12725" xr:uid="{00000000-0005-0000-0000-000062090000}"/>
    <cellStyle name="20% - Accent2 2 5 8 2" xfId="27874" xr:uid="{00000000-0005-0000-0000-000063090000}"/>
    <cellStyle name="20% - Accent2 2 5 9" xfId="14408" xr:uid="{00000000-0005-0000-0000-000064090000}"/>
    <cellStyle name="20% - Accent2 2 5 9 2" xfId="29557" xr:uid="{00000000-0005-0000-0000-000065090000}"/>
    <cellStyle name="20% - Accent2 2 6" xfId="1363" xr:uid="{00000000-0005-0000-0000-000066090000}"/>
    <cellStyle name="20% - Accent2 2 6 10" xfId="16512" xr:uid="{00000000-0005-0000-0000-000067090000}"/>
    <cellStyle name="20% - Accent2 2 6 11" xfId="31661" xr:uid="{00000000-0005-0000-0000-000068090000}"/>
    <cellStyle name="20% - Accent2 2 6 12" xfId="33344" xr:uid="{00000000-0005-0000-0000-000069090000}"/>
    <cellStyle name="20% - Accent2 2 6 13" xfId="35027" xr:uid="{00000000-0005-0000-0000-00006A090000}"/>
    <cellStyle name="20% - Accent2 2 6 14" xfId="36710" xr:uid="{00000000-0005-0000-0000-00006B090000}"/>
    <cellStyle name="20% - Accent2 2 6 15" xfId="38393" xr:uid="{00000000-0005-0000-0000-00006C090000}"/>
    <cellStyle name="20% - Accent2 2 6 16" xfId="40076" xr:uid="{00000000-0005-0000-0000-00006D090000}"/>
    <cellStyle name="20% - Accent2 2 6 17" xfId="41759" xr:uid="{00000000-0005-0000-0000-00006E090000}"/>
    <cellStyle name="20% - Accent2 2 6 18" xfId="43442" xr:uid="{00000000-0005-0000-0000-00006F090000}"/>
    <cellStyle name="20% - Accent2 2 6 19" xfId="45125" xr:uid="{00000000-0005-0000-0000-000070090000}"/>
    <cellStyle name="20% - Accent2 2 6 2" xfId="3046" xr:uid="{00000000-0005-0000-0000-000071090000}"/>
    <cellStyle name="20% - Accent2 2 6 2 2" xfId="18195" xr:uid="{00000000-0005-0000-0000-000072090000}"/>
    <cellStyle name="20% - Accent2 2 6 20" xfId="46808" xr:uid="{00000000-0005-0000-0000-000073090000}"/>
    <cellStyle name="20% - Accent2 2 6 21" xfId="48491" xr:uid="{00000000-0005-0000-0000-000074090000}"/>
    <cellStyle name="20% - Accent2 2 6 22" xfId="50174" xr:uid="{00000000-0005-0000-0000-000075090000}"/>
    <cellStyle name="20% - Accent2 2 6 23" xfId="51857" xr:uid="{00000000-0005-0000-0000-000076090000}"/>
    <cellStyle name="20% - Accent2 2 6 24" xfId="53540" xr:uid="{00000000-0005-0000-0000-000077090000}"/>
    <cellStyle name="20% - Accent2 2 6 25" xfId="55223" xr:uid="{00000000-0005-0000-0000-000078090000}"/>
    <cellStyle name="20% - Accent2 2 6 26" xfId="56906" xr:uid="{00000000-0005-0000-0000-000079090000}"/>
    <cellStyle name="20% - Accent2 2 6 27" xfId="58589" xr:uid="{00000000-0005-0000-0000-00007A090000}"/>
    <cellStyle name="20% - Accent2 2 6 28" xfId="60272" xr:uid="{00000000-0005-0000-0000-00007B090000}"/>
    <cellStyle name="20% - Accent2 2 6 29" xfId="61955" xr:uid="{00000000-0005-0000-0000-00007C090000}"/>
    <cellStyle name="20% - Accent2 2 6 3" xfId="4730" xr:uid="{00000000-0005-0000-0000-00007D090000}"/>
    <cellStyle name="20% - Accent2 2 6 3 2" xfId="19879" xr:uid="{00000000-0005-0000-0000-00007E090000}"/>
    <cellStyle name="20% - Accent2 2 6 30" xfId="63638" xr:uid="{00000000-0005-0000-0000-00007F090000}"/>
    <cellStyle name="20% - Accent2 2 6 4" xfId="6413" xr:uid="{00000000-0005-0000-0000-000080090000}"/>
    <cellStyle name="20% - Accent2 2 6 4 2" xfId="21562" xr:uid="{00000000-0005-0000-0000-000081090000}"/>
    <cellStyle name="20% - Accent2 2 6 5" xfId="8096" xr:uid="{00000000-0005-0000-0000-000082090000}"/>
    <cellStyle name="20% - Accent2 2 6 5 2" xfId="23245" xr:uid="{00000000-0005-0000-0000-000083090000}"/>
    <cellStyle name="20% - Accent2 2 6 6" xfId="9779" xr:uid="{00000000-0005-0000-0000-000084090000}"/>
    <cellStyle name="20% - Accent2 2 6 6 2" xfId="24928" xr:uid="{00000000-0005-0000-0000-000085090000}"/>
    <cellStyle name="20% - Accent2 2 6 7" xfId="11462" xr:uid="{00000000-0005-0000-0000-000086090000}"/>
    <cellStyle name="20% - Accent2 2 6 7 2" xfId="26611" xr:uid="{00000000-0005-0000-0000-000087090000}"/>
    <cellStyle name="20% - Accent2 2 6 8" xfId="13146" xr:uid="{00000000-0005-0000-0000-000088090000}"/>
    <cellStyle name="20% - Accent2 2 6 8 2" xfId="28295" xr:uid="{00000000-0005-0000-0000-000089090000}"/>
    <cellStyle name="20% - Accent2 2 6 9" xfId="14829" xr:uid="{00000000-0005-0000-0000-00008A090000}"/>
    <cellStyle name="20% - Accent2 2 6 9 2" xfId="29978" xr:uid="{00000000-0005-0000-0000-00008B090000}"/>
    <cellStyle name="20% - Accent2 2 7" xfId="1784" xr:uid="{00000000-0005-0000-0000-00008C090000}"/>
    <cellStyle name="20% - Accent2 2 7 2" xfId="16933" xr:uid="{00000000-0005-0000-0000-00008D090000}"/>
    <cellStyle name="20% - Accent2 2 8" xfId="3468" xr:uid="{00000000-0005-0000-0000-00008E090000}"/>
    <cellStyle name="20% - Accent2 2 8 2" xfId="18617" xr:uid="{00000000-0005-0000-0000-00008F090000}"/>
    <cellStyle name="20% - Accent2 2 9" xfId="5151" xr:uid="{00000000-0005-0000-0000-000090090000}"/>
    <cellStyle name="20% - Accent2 2 9 2" xfId="20300" xr:uid="{00000000-0005-0000-0000-000091090000}"/>
    <cellStyle name="20% - Accent2 20" xfId="33743" xr:uid="{00000000-0005-0000-0000-000092090000}"/>
    <cellStyle name="20% - Accent2 21" xfId="35426" xr:uid="{00000000-0005-0000-0000-000093090000}"/>
    <cellStyle name="20% - Accent2 22" xfId="37109" xr:uid="{00000000-0005-0000-0000-000094090000}"/>
    <cellStyle name="20% - Accent2 23" xfId="38792" xr:uid="{00000000-0005-0000-0000-000095090000}"/>
    <cellStyle name="20% - Accent2 24" xfId="40475" xr:uid="{00000000-0005-0000-0000-000096090000}"/>
    <cellStyle name="20% - Accent2 25" xfId="42158" xr:uid="{00000000-0005-0000-0000-000097090000}"/>
    <cellStyle name="20% - Accent2 26" xfId="43841" xr:uid="{00000000-0005-0000-0000-000098090000}"/>
    <cellStyle name="20% - Accent2 27" xfId="45524" xr:uid="{00000000-0005-0000-0000-000099090000}"/>
    <cellStyle name="20% - Accent2 28" xfId="47207" xr:uid="{00000000-0005-0000-0000-00009A090000}"/>
    <cellStyle name="20% - Accent2 29" xfId="48890" xr:uid="{00000000-0005-0000-0000-00009B090000}"/>
    <cellStyle name="20% - Accent2 3" xfId="121" xr:uid="{00000000-0005-0000-0000-00009C090000}"/>
    <cellStyle name="20% - Accent2 3 10" xfId="6854" xr:uid="{00000000-0005-0000-0000-00009D090000}"/>
    <cellStyle name="20% - Accent2 3 10 2" xfId="22003" xr:uid="{00000000-0005-0000-0000-00009E090000}"/>
    <cellStyle name="20% - Accent2 3 11" xfId="8537" xr:uid="{00000000-0005-0000-0000-00009F090000}"/>
    <cellStyle name="20% - Accent2 3 11 2" xfId="23686" xr:uid="{00000000-0005-0000-0000-0000A0090000}"/>
    <cellStyle name="20% - Accent2 3 12" xfId="10220" xr:uid="{00000000-0005-0000-0000-0000A1090000}"/>
    <cellStyle name="20% - Accent2 3 12 2" xfId="25369" xr:uid="{00000000-0005-0000-0000-0000A2090000}"/>
    <cellStyle name="20% - Accent2 3 13" xfId="11904" xr:uid="{00000000-0005-0000-0000-0000A3090000}"/>
    <cellStyle name="20% - Accent2 3 13 2" xfId="27053" xr:uid="{00000000-0005-0000-0000-0000A4090000}"/>
    <cellStyle name="20% - Accent2 3 14" xfId="13587" xr:uid="{00000000-0005-0000-0000-0000A5090000}"/>
    <cellStyle name="20% - Accent2 3 14 2" xfId="28736" xr:uid="{00000000-0005-0000-0000-0000A6090000}"/>
    <cellStyle name="20% - Accent2 3 15" xfId="15270" xr:uid="{00000000-0005-0000-0000-0000A7090000}"/>
    <cellStyle name="20% - Accent2 3 16" xfId="30419" xr:uid="{00000000-0005-0000-0000-0000A8090000}"/>
    <cellStyle name="20% - Accent2 3 17" xfId="32102" xr:uid="{00000000-0005-0000-0000-0000A9090000}"/>
    <cellStyle name="20% - Accent2 3 18" xfId="33785" xr:uid="{00000000-0005-0000-0000-0000AA090000}"/>
    <cellStyle name="20% - Accent2 3 19" xfId="35468" xr:uid="{00000000-0005-0000-0000-0000AB090000}"/>
    <cellStyle name="20% - Accent2 3 2" xfId="226" xr:uid="{00000000-0005-0000-0000-0000AC090000}"/>
    <cellStyle name="20% - Accent2 3 2 10" xfId="8642" xr:uid="{00000000-0005-0000-0000-0000AD090000}"/>
    <cellStyle name="20% - Accent2 3 2 10 2" xfId="23791" xr:uid="{00000000-0005-0000-0000-0000AE090000}"/>
    <cellStyle name="20% - Accent2 3 2 11" xfId="10325" xr:uid="{00000000-0005-0000-0000-0000AF090000}"/>
    <cellStyle name="20% - Accent2 3 2 11 2" xfId="25474" xr:uid="{00000000-0005-0000-0000-0000B0090000}"/>
    <cellStyle name="20% - Accent2 3 2 12" xfId="12009" xr:uid="{00000000-0005-0000-0000-0000B1090000}"/>
    <cellStyle name="20% - Accent2 3 2 12 2" xfId="27158" xr:uid="{00000000-0005-0000-0000-0000B2090000}"/>
    <cellStyle name="20% - Accent2 3 2 13" xfId="13692" xr:uid="{00000000-0005-0000-0000-0000B3090000}"/>
    <cellStyle name="20% - Accent2 3 2 13 2" xfId="28841" xr:uid="{00000000-0005-0000-0000-0000B4090000}"/>
    <cellStyle name="20% - Accent2 3 2 14" xfId="15375" xr:uid="{00000000-0005-0000-0000-0000B5090000}"/>
    <cellStyle name="20% - Accent2 3 2 15" xfId="30524" xr:uid="{00000000-0005-0000-0000-0000B6090000}"/>
    <cellStyle name="20% - Accent2 3 2 16" xfId="32207" xr:uid="{00000000-0005-0000-0000-0000B7090000}"/>
    <cellStyle name="20% - Accent2 3 2 17" xfId="33890" xr:uid="{00000000-0005-0000-0000-0000B8090000}"/>
    <cellStyle name="20% - Accent2 3 2 18" xfId="35573" xr:uid="{00000000-0005-0000-0000-0000B9090000}"/>
    <cellStyle name="20% - Accent2 3 2 19" xfId="37256" xr:uid="{00000000-0005-0000-0000-0000BA090000}"/>
    <cellStyle name="20% - Accent2 3 2 2" xfId="436" xr:uid="{00000000-0005-0000-0000-0000BB090000}"/>
    <cellStyle name="20% - Accent2 3 2 2 10" xfId="10535" xr:uid="{00000000-0005-0000-0000-0000BC090000}"/>
    <cellStyle name="20% - Accent2 3 2 2 10 2" xfId="25684" xr:uid="{00000000-0005-0000-0000-0000BD090000}"/>
    <cellStyle name="20% - Accent2 3 2 2 11" xfId="12219" xr:uid="{00000000-0005-0000-0000-0000BE090000}"/>
    <cellStyle name="20% - Accent2 3 2 2 11 2" xfId="27368" xr:uid="{00000000-0005-0000-0000-0000BF090000}"/>
    <cellStyle name="20% - Accent2 3 2 2 12" xfId="13902" xr:uid="{00000000-0005-0000-0000-0000C0090000}"/>
    <cellStyle name="20% - Accent2 3 2 2 12 2" xfId="29051" xr:uid="{00000000-0005-0000-0000-0000C1090000}"/>
    <cellStyle name="20% - Accent2 3 2 2 13" xfId="15585" xr:uid="{00000000-0005-0000-0000-0000C2090000}"/>
    <cellStyle name="20% - Accent2 3 2 2 14" xfId="30734" xr:uid="{00000000-0005-0000-0000-0000C3090000}"/>
    <cellStyle name="20% - Accent2 3 2 2 15" xfId="32417" xr:uid="{00000000-0005-0000-0000-0000C4090000}"/>
    <cellStyle name="20% - Accent2 3 2 2 16" xfId="34100" xr:uid="{00000000-0005-0000-0000-0000C5090000}"/>
    <cellStyle name="20% - Accent2 3 2 2 17" xfId="35783" xr:uid="{00000000-0005-0000-0000-0000C6090000}"/>
    <cellStyle name="20% - Accent2 3 2 2 18" xfId="37466" xr:uid="{00000000-0005-0000-0000-0000C7090000}"/>
    <cellStyle name="20% - Accent2 3 2 2 19" xfId="39149" xr:uid="{00000000-0005-0000-0000-0000C8090000}"/>
    <cellStyle name="20% - Accent2 3 2 2 2" xfId="856" xr:uid="{00000000-0005-0000-0000-0000C9090000}"/>
    <cellStyle name="20% - Accent2 3 2 2 2 10" xfId="16005" xr:uid="{00000000-0005-0000-0000-0000CA090000}"/>
    <cellStyle name="20% - Accent2 3 2 2 2 11" xfId="31154" xr:uid="{00000000-0005-0000-0000-0000CB090000}"/>
    <cellStyle name="20% - Accent2 3 2 2 2 12" xfId="32837" xr:uid="{00000000-0005-0000-0000-0000CC090000}"/>
    <cellStyle name="20% - Accent2 3 2 2 2 13" xfId="34520" xr:uid="{00000000-0005-0000-0000-0000CD090000}"/>
    <cellStyle name="20% - Accent2 3 2 2 2 14" xfId="36203" xr:uid="{00000000-0005-0000-0000-0000CE090000}"/>
    <cellStyle name="20% - Accent2 3 2 2 2 15" xfId="37886" xr:uid="{00000000-0005-0000-0000-0000CF090000}"/>
    <cellStyle name="20% - Accent2 3 2 2 2 16" xfId="39569" xr:uid="{00000000-0005-0000-0000-0000D0090000}"/>
    <cellStyle name="20% - Accent2 3 2 2 2 17" xfId="41252" xr:uid="{00000000-0005-0000-0000-0000D1090000}"/>
    <cellStyle name="20% - Accent2 3 2 2 2 18" xfId="42935" xr:uid="{00000000-0005-0000-0000-0000D2090000}"/>
    <cellStyle name="20% - Accent2 3 2 2 2 19" xfId="44618" xr:uid="{00000000-0005-0000-0000-0000D3090000}"/>
    <cellStyle name="20% - Accent2 3 2 2 2 2" xfId="2539" xr:uid="{00000000-0005-0000-0000-0000D4090000}"/>
    <cellStyle name="20% - Accent2 3 2 2 2 2 2" xfId="17688" xr:uid="{00000000-0005-0000-0000-0000D5090000}"/>
    <cellStyle name="20% - Accent2 3 2 2 2 20" xfId="46301" xr:uid="{00000000-0005-0000-0000-0000D6090000}"/>
    <cellStyle name="20% - Accent2 3 2 2 2 21" xfId="47984" xr:uid="{00000000-0005-0000-0000-0000D7090000}"/>
    <cellStyle name="20% - Accent2 3 2 2 2 22" xfId="49667" xr:uid="{00000000-0005-0000-0000-0000D8090000}"/>
    <cellStyle name="20% - Accent2 3 2 2 2 23" xfId="51350" xr:uid="{00000000-0005-0000-0000-0000D9090000}"/>
    <cellStyle name="20% - Accent2 3 2 2 2 24" xfId="53033" xr:uid="{00000000-0005-0000-0000-0000DA090000}"/>
    <cellStyle name="20% - Accent2 3 2 2 2 25" xfId="54716" xr:uid="{00000000-0005-0000-0000-0000DB090000}"/>
    <cellStyle name="20% - Accent2 3 2 2 2 26" xfId="56399" xr:uid="{00000000-0005-0000-0000-0000DC090000}"/>
    <cellStyle name="20% - Accent2 3 2 2 2 27" xfId="58082" xr:uid="{00000000-0005-0000-0000-0000DD090000}"/>
    <cellStyle name="20% - Accent2 3 2 2 2 28" xfId="59765" xr:uid="{00000000-0005-0000-0000-0000DE090000}"/>
    <cellStyle name="20% - Accent2 3 2 2 2 29" xfId="61448" xr:uid="{00000000-0005-0000-0000-0000DF090000}"/>
    <cellStyle name="20% - Accent2 3 2 2 2 3" xfId="4223" xr:uid="{00000000-0005-0000-0000-0000E0090000}"/>
    <cellStyle name="20% - Accent2 3 2 2 2 3 2" xfId="19372" xr:uid="{00000000-0005-0000-0000-0000E1090000}"/>
    <cellStyle name="20% - Accent2 3 2 2 2 30" xfId="63131" xr:uid="{00000000-0005-0000-0000-0000E2090000}"/>
    <cellStyle name="20% - Accent2 3 2 2 2 4" xfId="5906" xr:uid="{00000000-0005-0000-0000-0000E3090000}"/>
    <cellStyle name="20% - Accent2 3 2 2 2 4 2" xfId="21055" xr:uid="{00000000-0005-0000-0000-0000E4090000}"/>
    <cellStyle name="20% - Accent2 3 2 2 2 5" xfId="7589" xr:uid="{00000000-0005-0000-0000-0000E5090000}"/>
    <cellStyle name="20% - Accent2 3 2 2 2 5 2" xfId="22738" xr:uid="{00000000-0005-0000-0000-0000E6090000}"/>
    <cellStyle name="20% - Accent2 3 2 2 2 6" xfId="9272" xr:uid="{00000000-0005-0000-0000-0000E7090000}"/>
    <cellStyle name="20% - Accent2 3 2 2 2 6 2" xfId="24421" xr:uid="{00000000-0005-0000-0000-0000E8090000}"/>
    <cellStyle name="20% - Accent2 3 2 2 2 7" xfId="10955" xr:uid="{00000000-0005-0000-0000-0000E9090000}"/>
    <cellStyle name="20% - Accent2 3 2 2 2 7 2" xfId="26104" xr:uid="{00000000-0005-0000-0000-0000EA090000}"/>
    <cellStyle name="20% - Accent2 3 2 2 2 8" xfId="12639" xr:uid="{00000000-0005-0000-0000-0000EB090000}"/>
    <cellStyle name="20% - Accent2 3 2 2 2 8 2" xfId="27788" xr:uid="{00000000-0005-0000-0000-0000EC090000}"/>
    <cellStyle name="20% - Accent2 3 2 2 2 9" xfId="14322" xr:uid="{00000000-0005-0000-0000-0000ED090000}"/>
    <cellStyle name="20% - Accent2 3 2 2 2 9 2" xfId="29471" xr:uid="{00000000-0005-0000-0000-0000EE090000}"/>
    <cellStyle name="20% - Accent2 3 2 2 20" xfId="40832" xr:uid="{00000000-0005-0000-0000-0000EF090000}"/>
    <cellStyle name="20% - Accent2 3 2 2 21" xfId="42515" xr:uid="{00000000-0005-0000-0000-0000F0090000}"/>
    <cellStyle name="20% - Accent2 3 2 2 22" xfId="44198" xr:uid="{00000000-0005-0000-0000-0000F1090000}"/>
    <cellStyle name="20% - Accent2 3 2 2 23" xfId="45881" xr:uid="{00000000-0005-0000-0000-0000F2090000}"/>
    <cellStyle name="20% - Accent2 3 2 2 24" xfId="47564" xr:uid="{00000000-0005-0000-0000-0000F3090000}"/>
    <cellStyle name="20% - Accent2 3 2 2 25" xfId="49247" xr:uid="{00000000-0005-0000-0000-0000F4090000}"/>
    <cellStyle name="20% - Accent2 3 2 2 26" xfId="50930" xr:uid="{00000000-0005-0000-0000-0000F5090000}"/>
    <cellStyle name="20% - Accent2 3 2 2 27" xfId="52613" xr:uid="{00000000-0005-0000-0000-0000F6090000}"/>
    <cellStyle name="20% - Accent2 3 2 2 28" xfId="54296" xr:uid="{00000000-0005-0000-0000-0000F7090000}"/>
    <cellStyle name="20% - Accent2 3 2 2 29" xfId="55979" xr:uid="{00000000-0005-0000-0000-0000F8090000}"/>
    <cellStyle name="20% - Accent2 3 2 2 3" xfId="1277" xr:uid="{00000000-0005-0000-0000-0000F9090000}"/>
    <cellStyle name="20% - Accent2 3 2 2 3 10" xfId="16426" xr:uid="{00000000-0005-0000-0000-0000FA090000}"/>
    <cellStyle name="20% - Accent2 3 2 2 3 11" xfId="31575" xr:uid="{00000000-0005-0000-0000-0000FB090000}"/>
    <cellStyle name="20% - Accent2 3 2 2 3 12" xfId="33258" xr:uid="{00000000-0005-0000-0000-0000FC090000}"/>
    <cellStyle name="20% - Accent2 3 2 2 3 13" xfId="34941" xr:uid="{00000000-0005-0000-0000-0000FD090000}"/>
    <cellStyle name="20% - Accent2 3 2 2 3 14" xfId="36624" xr:uid="{00000000-0005-0000-0000-0000FE090000}"/>
    <cellStyle name="20% - Accent2 3 2 2 3 15" xfId="38307" xr:uid="{00000000-0005-0000-0000-0000FF090000}"/>
    <cellStyle name="20% - Accent2 3 2 2 3 16" xfId="39990" xr:uid="{00000000-0005-0000-0000-0000000A0000}"/>
    <cellStyle name="20% - Accent2 3 2 2 3 17" xfId="41673" xr:uid="{00000000-0005-0000-0000-0000010A0000}"/>
    <cellStyle name="20% - Accent2 3 2 2 3 18" xfId="43356" xr:uid="{00000000-0005-0000-0000-0000020A0000}"/>
    <cellStyle name="20% - Accent2 3 2 2 3 19" xfId="45039" xr:uid="{00000000-0005-0000-0000-0000030A0000}"/>
    <cellStyle name="20% - Accent2 3 2 2 3 2" xfId="2960" xr:uid="{00000000-0005-0000-0000-0000040A0000}"/>
    <cellStyle name="20% - Accent2 3 2 2 3 2 2" xfId="18109" xr:uid="{00000000-0005-0000-0000-0000050A0000}"/>
    <cellStyle name="20% - Accent2 3 2 2 3 20" xfId="46722" xr:uid="{00000000-0005-0000-0000-0000060A0000}"/>
    <cellStyle name="20% - Accent2 3 2 2 3 21" xfId="48405" xr:uid="{00000000-0005-0000-0000-0000070A0000}"/>
    <cellStyle name="20% - Accent2 3 2 2 3 22" xfId="50088" xr:uid="{00000000-0005-0000-0000-0000080A0000}"/>
    <cellStyle name="20% - Accent2 3 2 2 3 23" xfId="51771" xr:uid="{00000000-0005-0000-0000-0000090A0000}"/>
    <cellStyle name="20% - Accent2 3 2 2 3 24" xfId="53454" xr:uid="{00000000-0005-0000-0000-00000A0A0000}"/>
    <cellStyle name="20% - Accent2 3 2 2 3 25" xfId="55137" xr:uid="{00000000-0005-0000-0000-00000B0A0000}"/>
    <cellStyle name="20% - Accent2 3 2 2 3 26" xfId="56820" xr:uid="{00000000-0005-0000-0000-00000C0A0000}"/>
    <cellStyle name="20% - Accent2 3 2 2 3 27" xfId="58503" xr:uid="{00000000-0005-0000-0000-00000D0A0000}"/>
    <cellStyle name="20% - Accent2 3 2 2 3 28" xfId="60186" xr:uid="{00000000-0005-0000-0000-00000E0A0000}"/>
    <cellStyle name="20% - Accent2 3 2 2 3 29" xfId="61869" xr:uid="{00000000-0005-0000-0000-00000F0A0000}"/>
    <cellStyle name="20% - Accent2 3 2 2 3 3" xfId="4644" xr:uid="{00000000-0005-0000-0000-0000100A0000}"/>
    <cellStyle name="20% - Accent2 3 2 2 3 3 2" xfId="19793" xr:uid="{00000000-0005-0000-0000-0000110A0000}"/>
    <cellStyle name="20% - Accent2 3 2 2 3 30" xfId="63552" xr:uid="{00000000-0005-0000-0000-0000120A0000}"/>
    <cellStyle name="20% - Accent2 3 2 2 3 4" xfId="6327" xr:uid="{00000000-0005-0000-0000-0000130A0000}"/>
    <cellStyle name="20% - Accent2 3 2 2 3 4 2" xfId="21476" xr:uid="{00000000-0005-0000-0000-0000140A0000}"/>
    <cellStyle name="20% - Accent2 3 2 2 3 5" xfId="8010" xr:uid="{00000000-0005-0000-0000-0000150A0000}"/>
    <cellStyle name="20% - Accent2 3 2 2 3 5 2" xfId="23159" xr:uid="{00000000-0005-0000-0000-0000160A0000}"/>
    <cellStyle name="20% - Accent2 3 2 2 3 6" xfId="9693" xr:uid="{00000000-0005-0000-0000-0000170A0000}"/>
    <cellStyle name="20% - Accent2 3 2 2 3 6 2" xfId="24842" xr:uid="{00000000-0005-0000-0000-0000180A0000}"/>
    <cellStyle name="20% - Accent2 3 2 2 3 7" xfId="11376" xr:uid="{00000000-0005-0000-0000-0000190A0000}"/>
    <cellStyle name="20% - Accent2 3 2 2 3 7 2" xfId="26525" xr:uid="{00000000-0005-0000-0000-00001A0A0000}"/>
    <cellStyle name="20% - Accent2 3 2 2 3 8" xfId="13060" xr:uid="{00000000-0005-0000-0000-00001B0A0000}"/>
    <cellStyle name="20% - Accent2 3 2 2 3 8 2" xfId="28209" xr:uid="{00000000-0005-0000-0000-00001C0A0000}"/>
    <cellStyle name="20% - Accent2 3 2 2 3 9" xfId="14743" xr:uid="{00000000-0005-0000-0000-00001D0A0000}"/>
    <cellStyle name="20% - Accent2 3 2 2 3 9 2" xfId="29892" xr:uid="{00000000-0005-0000-0000-00001E0A0000}"/>
    <cellStyle name="20% - Accent2 3 2 2 30" xfId="57662" xr:uid="{00000000-0005-0000-0000-00001F0A0000}"/>
    <cellStyle name="20% - Accent2 3 2 2 31" xfId="59345" xr:uid="{00000000-0005-0000-0000-0000200A0000}"/>
    <cellStyle name="20% - Accent2 3 2 2 32" xfId="61028" xr:uid="{00000000-0005-0000-0000-0000210A0000}"/>
    <cellStyle name="20% - Accent2 3 2 2 33" xfId="62711" xr:uid="{00000000-0005-0000-0000-0000220A0000}"/>
    <cellStyle name="20% - Accent2 3 2 2 4" xfId="1698" xr:uid="{00000000-0005-0000-0000-0000230A0000}"/>
    <cellStyle name="20% - Accent2 3 2 2 4 10" xfId="16847" xr:uid="{00000000-0005-0000-0000-0000240A0000}"/>
    <cellStyle name="20% - Accent2 3 2 2 4 11" xfId="31996" xr:uid="{00000000-0005-0000-0000-0000250A0000}"/>
    <cellStyle name="20% - Accent2 3 2 2 4 12" xfId="33679" xr:uid="{00000000-0005-0000-0000-0000260A0000}"/>
    <cellStyle name="20% - Accent2 3 2 2 4 13" xfId="35362" xr:uid="{00000000-0005-0000-0000-0000270A0000}"/>
    <cellStyle name="20% - Accent2 3 2 2 4 14" xfId="37045" xr:uid="{00000000-0005-0000-0000-0000280A0000}"/>
    <cellStyle name="20% - Accent2 3 2 2 4 15" xfId="38728" xr:uid="{00000000-0005-0000-0000-0000290A0000}"/>
    <cellStyle name="20% - Accent2 3 2 2 4 16" xfId="40411" xr:uid="{00000000-0005-0000-0000-00002A0A0000}"/>
    <cellStyle name="20% - Accent2 3 2 2 4 17" xfId="42094" xr:uid="{00000000-0005-0000-0000-00002B0A0000}"/>
    <cellStyle name="20% - Accent2 3 2 2 4 18" xfId="43777" xr:uid="{00000000-0005-0000-0000-00002C0A0000}"/>
    <cellStyle name="20% - Accent2 3 2 2 4 19" xfId="45460" xr:uid="{00000000-0005-0000-0000-00002D0A0000}"/>
    <cellStyle name="20% - Accent2 3 2 2 4 2" xfId="3381" xr:uid="{00000000-0005-0000-0000-00002E0A0000}"/>
    <cellStyle name="20% - Accent2 3 2 2 4 2 2" xfId="18530" xr:uid="{00000000-0005-0000-0000-00002F0A0000}"/>
    <cellStyle name="20% - Accent2 3 2 2 4 20" xfId="47143" xr:uid="{00000000-0005-0000-0000-0000300A0000}"/>
    <cellStyle name="20% - Accent2 3 2 2 4 21" xfId="48826" xr:uid="{00000000-0005-0000-0000-0000310A0000}"/>
    <cellStyle name="20% - Accent2 3 2 2 4 22" xfId="50509" xr:uid="{00000000-0005-0000-0000-0000320A0000}"/>
    <cellStyle name="20% - Accent2 3 2 2 4 23" xfId="52192" xr:uid="{00000000-0005-0000-0000-0000330A0000}"/>
    <cellStyle name="20% - Accent2 3 2 2 4 24" xfId="53875" xr:uid="{00000000-0005-0000-0000-0000340A0000}"/>
    <cellStyle name="20% - Accent2 3 2 2 4 25" xfId="55558" xr:uid="{00000000-0005-0000-0000-0000350A0000}"/>
    <cellStyle name="20% - Accent2 3 2 2 4 26" xfId="57241" xr:uid="{00000000-0005-0000-0000-0000360A0000}"/>
    <cellStyle name="20% - Accent2 3 2 2 4 27" xfId="58924" xr:uid="{00000000-0005-0000-0000-0000370A0000}"/>
    <cellStyle name="20% - Accent2 3 2 2 4 28" xfId="60607" xr:uid="{00000000-0005-0000-0000-0000380A0000}"/>
    <cellStyle name="20% - Accent2 3 2 2 4 29" xfId="62290" xr:uid="{00000000-0005-0000-0000-0000390A0000}"/>
    <cellStyle name="20% - Accent2 3 2 2 4 3" xfId="5065" xr:uid="{00000000-0005-0000-0000-00003A0A0000}"/>
    <cellStyle name="20% - Accent2 3 2 2 4 3 2" xfId="20214" xr:uid="{00000000-0005-0000-0000-00003B0A0000}"/>
    <cellStyle name="20% - Accent2 3 2 2 4 30" xfId="63973" xr:uid="{00000000-0005-0000-0000-00003C0A0000}"/>
    <cellStyle name="20% - Accent2 3 2 2 4 4" xfId="6748" xr:uid="{00000000-0005-0000-0000-00003D0A0000}"/>
    <cellStyle name="20% - Accent2 3 2 2 4 4 2" xfId="21897" xr:uid="{00000000-0005-0000-0000-00003E0A0000}"/>
    <cellStyle name="20% - Accent2 3 2 2 4 5" xfId="8431" xr:uid="{00000000-0005-0000-0000-00003F0A0000}"/>
    <cellStyle name="20% - Accent2 3 2 2 4 5 2" xfId="23580" xr:uid="{00000000-0005-0000-0000-0000400A0000}"/>
    <cellStyle name="20% - Accent2 3 2 2 4 6" xfId="10114" xr:uid="{00000000-0005-0000-0000-0000410A0000}"/>
    <cellStyle name="20% - Accent2 3 2 2 4 6 2" xfId="25263" xr:uid="{00000000-0005-0000-0000-0000420A0000}"/>
    <cellStyle name="20% - Accent2 3 2 2 4 7" xfId="11797" xr:uid="{00000000-0005-0000-0000-0000430A0000}"/>
    <cellStyle name="20% - Accent2 3 2 2 4 7 2" xfId="26946" xr:uid="{00000000-0005-0000-0000-0000440A0000}"/>
    <cellStyle name="20% - Accent2 3 2 2 4 8" xfId="13481" xr:uid="{00000000-0005-0000-0000-0000450A0000}"/>
    <cellStyle name="20% - Accent2 3 2 2 4 8 2" xfId="28630" xr:uid="{00000000-0005-0000-0000-0000460A0000}"/>
    <cellStyle name="20% - Accent2 3 2 2 4 9" xfId="15164" xr:uid="{00000000-0005-0000-0000-0000470A0000}"/>
    <cellStyle name="20% - Accent2 3 2 2 4 9 2" xfId="30313" xr:uid="{00000000-0005-0000-0000-0000480A0000}"/>
    <cellStyle name="20% - Accent2 3 2 2 5" xfId="2119" xr:uid="{00000000-0005-0000-0000-0000490A0000}"/>
    <cellStyle name="20% - Accent2 3 2 2 5 2" xfId="17268" xr:uid="{00000000-0005-0000-0000-00004A0A0000}"/>
    <cellStyle name="20% - Accent2 3 2 2 6" xfId="3803" xr:uid="{00000000-0005-0000-0000-00004B0A0000}"/>
    <cellStyle name="20% - Accent2 3 2 2 6 2" xfId="18952" xr:uid="{00000000-0005-0000-0000-00004C0A0000}"/>
    <cellStyle name="20% - Accent2 3 2 2 7" xfId="5486" xr:uid="{00000000-0005-0000-0000-00004D0A0000}"/>
    <cellStyle name="20% - Accent2 3 2 2 7 2" xfId="20635" xr:uid="{00000000-0005-0000-0000-00004E0A0000}"/>
    <cellStyle name="20% - Accent2 3 2 2 8" xfId="7169" xr:uid="{00000000-0005-0000-0000-00004F0A0000}"/>
    <cellStyle name="20% - Accent2 3 2 2 8 2" xfId="22318" xr:uid="{00000000-0005-0000-0000-0000500A0000}"/>
    <cellStyle name="20% - Accent2 3 2 2 9" xfId="8852" xr:uid="{00000000-0005-0000-0000-0000510A0000}"/>
    <cellStyle name="20% - Accent2 3 2 2 9 2" xfId="24001" xr:uid="{00000000-0005-0000-0000-0000520A0000}"/>
    <cellStyle name="20% - Accent2 3 2 20" xfId="38939" xr:uid="{00000000-0005-0000-0000-0000530A0000}"/>
    <cellStyle name="20% - Accent2 3 2 21" xfId="40622" xr:uid="{00000000-0005-0000-0000-0000540A0000}"/>
    <cellStyle name="20% - Accent2 3 2 22" xfId="42305" xr:uid="{00000000-0005-0000-0000-0000550A0000}"/>
    <cellStyle name="20% - Accent2 3 2 23" xfId="43988" xr:uid="{00000000-0005-0000-0000-0000560A0000}"/>
    <cellStyle name="20% - Accent2 3 2 24" xfId="45671" xr:uid="{00000000-0005-0000-0000-0000570A0000}"/>
    <cellStyle name="20% - Accent2 3 2 25" xfId="47354" xr:uid="{00000000-0005-0000-0000-0000580A0000}"/>
    <cellStyle name="20% - Accent2 3 2 26" xfId="49037" xr:uid="{00000000-0005-0000-0000-0000590A0000}"/>
    <cellStyle name="20% - Accent2 3 2 27" xfId="50720" xr:uid="{00000000-0005-0000-0000-00005A0A0000}"/>
    <cellStyle name="20% - Accent2 3 2 28" xfId="52403" xr:uid="{00000000-0005-0000-0000-00005B0A0000}"/>
    <cellStyle name="20% - Accent2 3 2 29" xfId="54086" xr:uid="{00000000-0005-0000-0000-00005C0A0000}"/>
    <cellStyle name="20% - Accent2 3 2 3" xfId="646" xr:uid="{00000000-0005-0000-0000-00005D0A0000}"/>
    <cellStyle name="20% - Accent2 3 2 3 10" xfId="15795" xr:uid="{00000000-0005-0000-0000-00005E0A0000}"/>
    <cellStyle name="20% - Accent2 3 2 3 11" xfId="30944" xr:uid="{00000000-0005-0000-0000-00005F0A0000}"/>
    <cellStyle name="20% - Accent2 3 2 3 12" xfId="32627" xr:uid="{00000000-0005-0000-0000-0000600A0000}"/>
    <cellStyle name="20% - Accent2 3 2 3 13" xfId="34310" xr:uid="{00000000-0005-0000-0000-0000610A0000}"/>
    <cellStyle name="20% - Accent2 3 2 3 14" xfId="35993" xr:uid="{00000000-0005-0000-0000-0000620A0000}"/>
    <cellStyle name="20% - Accent2 3 2 3 15" xfId="37676" xr:uid="{00000000-0005-0000-0000-0000630A0000}"/>
    <cellStyle name="20% - Accent2 3 2 3 16" xfId="39359" xr:uid="{00000000-0005-0000-0000-0000640A0000}"/>
    <cellStyle name="20% - Accent2 3 2 3 17" xfId="41042" xr:uid="{00000000-0005-0000-0000-0000650A0000}"/>
    <cellStyle name="20% - Accent2 3 2 3 18" xfId="42725" xr:uid="{00000000-0005-0000-0000-0000660A0000}"/>
    <cellStyle name="20% - Accent2 3 2 3 19" xfId="44408" xr:uid="{00000000-0005-0000-0000-0000670A0000}"/>
    <cellStyle name="20% - Accent2 3 2 3 2" xfId="2329" xr:uid="{00000000-0005-0000-0000-0000680A0000}"/>
    <cellStyle name="20% - Accent2 3 2 3 2 2" xfId="17478" xr:uid="{00000000-0005-0000-0000-0000690A0000}"/>
    <cellStyle name="20% - Accent2 3 2 3 20" xfId="46091" xr:uid="{00000000-0005-0000-0000-00006A0A0000}"/>
    <cellStyle name="20% - Accent2 3 2 3 21" xfId="47774" xr:uid="{00000000-0005-0000-0000-00006B0A0000}"/>
    <cellStyle name="20% - Accent2 3 2 3 22" xfId="49457" xr:uid="{00000000-0005-0000-0000-00006C0A0000}"/>
    <cellStyle name="20% - Accent2 3 2 3 23" xfId="51140" xr:uid="{00000000-0005-0000-0000-00006D0A0000}"/>
    <cellStyle name="20% - Accent2 3 2 3 24" xfId="52823" xr:uid="{00000000-0005-0000-0000-00006E0A0000}"/>
    <cellStyle name="20% - Accent2 3 2 3 25" xfId="54506" xr:uid="{00000000-0005-0000-0000-00006F0A0000}"/>
    <cellStyle name="20% - Accent2 3 2 3 26" xfId="56189" xr:uid="{00000000-0005-0000-0000-0000700A0000}"/>
    <cellStyle name="20% - Accent2 3 2 3 27" xfId="57872" xr:uid="{00000000-0005-0000-0000-0000710A0000}"/>
    <cellStyle name="20% - Accent2 3 2 3 28" xfId="59555" xr:uid="{00000000-0005-0000-0000-0000720A0000}"/>
    <cellStyle name="20% - Accent2 3 2 3 29" xfId="61238" xr:uid="{00000000-0005-0000-0000-0000730A0000}"/>
    <cellStyle name="20% - Accent2 3 2 3 3" xfId="4013" xr:uid="{00000000-0005-0000-0000-0000740A0000}"/>
    <cellStyle name="20% - Accent2 3 2 3 3 2" xfId="19162" xr:uid="{00000000-0005-0000-0000-0000750A0000}"/>
    <cellStyle name="20% - Accent2 3 2 3 30" xfId="62921" xr:uid="{00000000-0005-0000-0000-0000760A0000}"/>
    <cellStyle name="20% - Accent2 3 2 3 4" xfId="5696" xr:uid="{00000000-0005-0000-0000-0000770A0000}"/>
    <cellStyle name="20% - Accent2 3 2 3 4 2" xfId="20845" xr:uid="{00000000-0005-0000-0000-0000780A0000}"/>
    <cellStyle name="20% - Accent2 3 2 3 5" xfId="7379" xr:uid="{00000000-0005-0000-0000-0000790A0000}"/>
    <cellStyle name="20% - Accent2 3 2 3 5 2" xfId="22528" xr:uid="{00000000-0005-0000-0000-00007A0A0000}"/>
    <cellStyle name="20% - Accent2 3 2 3 6" xfId="9062" xr:uid="{00000000-0005-0000-0000-00007B0A0000}"/>
    <cellStyle name="20% - Accent2 3 2 3 6 2" xfId="24211" xr:uid="{00000000-0005-0000-0000-00007C0A0000}"/>
    <cellStyle name="20% - Accent2 3 2 3 7" xfId="10745" xr:uid="{00000000-0005-0000-0000-00007D0A0000}"/>
    <cellStyle name="20% - Accent2 3 2 3 7 2" xfId="25894" xr:uid="{00000000-0005-0000-0000-00007E0A0000}"/>
    <cellStyle name="20% - Accent2 3 2 3 8" xfId="12429" xr:uid="{00000000-0005-0000-0000-00007F0A0000}"/>
    <cellStyle name="20% - Accent2 3 2 3 8 2" xfId="27578" xr:uid="{00000000-0005-0000-0000-0000800A0000}"/>
    <cellStyle name="20% - Accent2 3 2 3 9" xfId="14112" xr:uid="{00000000-0005-0000-0000-0000810A0000}"/>
    <cellStyle name="20% - Accent2 3 2 3 9 2" xfId="29261" xr:uid="{00000000-0005-0000-0000-0000820A0000}"/>
    <cellStyle name="20% - Accent2 3 2 30" xfId="55769" xr:uid="{00000000-0005-0000-0000-0000830A0000}"/>
    <cellStyle name="20% - Accent2 3 2 31" xfId="57452" xr:uid="{00000000-0005-0000-0000-0000840A0000}"/>
    <cellStyle name="20% - Accent2 3 2 32" xfId="59135" xr:uid="{00000000-0005-0000-0000-0000850A0000}"/>
    <cellStyle name="20% - Accent2 3 2 33" xfId="60818" xr:uid="{00000000-0005-0000-0000-0000860A0000}"/>
    <cellStyle name="20% - Accent2 3 2 34" xfId="62501" xr:uid="{00000000-0005-0000-0000-0000870A0000}"/>
    <cellStyle name="20% - Accent2 3 2 4" xfId="1067" xr:uid="{00000000-0005-0000-0000-0000880A0000}"/>
    <cellStyle name="20% - Accent2 3 2 4 10" xfId="16216" xr:uid="{00000000-0005-0000-0000-0000890A0000}"/>
    <cellStyle name="20% - Accent2 3 2 4 11" xfId="31365" xr:uid="{00000000-0005-0000-0000-00008A0A0000}"/>
    <cellStyle name="20% - Accent2 3 2 4 12" xfId="33048" xr:uid="{00000000-0005-0000-0000-00008B0A0000}"/>
    <cellStyle name="20% - Accent2 3 2 4 13" xfId="34731" xr:uid="{00000000-0005-0000-0000-00008C0A0000}"/>
    <cellStyle name="20% - Accent2 3 2 4 14" xfId="36414" xr:uid="{00000000-0005-0000-0000-00008D0A0000}"/>
    <cellStyle name="20% - Accent2 3 2 4 15" xfId="38097" xr:uid="{00000000-0005-0000-0000-00008E0A0000}"/>
    <cellStyle name="20% - Accent2 3 2 4 16" xfId="39780" xr:uid="{00000000-0005-0000-0000-00008F0A0000}"/>
    <cellStyle name="20% - Accent2 3 2 4 17" xfId="41463" xr:uid="{00000000-0005-0000-0000-0000900A0000}"/>
    <cellStyle name="20% - Accent2 3 2 4 18" xfId="43146" xr:uid="{00000000-0005-0000-0000-0000910A0000}"/>
    <cellStyle name="20% - Accent2 3 2 4 19" xfId="44829" xr:uid="{00000000-0005-0000-0000-0000920A0000}"/>
    <cellStyle name="20% - Accent2 3 2 4 2" xfId="2750" xr:uid="{00000000-0005-0000-0000-0000930A0000}"/>
    <cellStyle name="20% - Accent2 3 2 4 2 2" xfId="17899" xr:uid="{00000000-0005-0000-0000-0000940A0000}"/>
    <cellStyle name="20% - Accent2 3 2 4 20" xfId="46512" xr:uid="{00000000-0005-0000-0000-0000950A0000}"/>
    <cellStyle name="20% - Accent2 3 2 4 21" xfId="48195" xr:uid="{00000000-0005-0000-0000-0000960A0000}"/>
    <cellStyle name="20% - Accent2 3 2 4 22" xfId="49878" xr:uid="{00000000-0005-0000-0000-0000970A0000}"/>
    <cellStyle name="20% - Accent2 3 2 4 23" xfId="51561" xr:uid="{00000000-0005-0000-0000-0000980A0000}"/>
    <cellStyle name="20% - Accent2 3 2 4 24" xfId="53244" xr:uid="{00000000-0005-0000-0000-0000990A0000}"/>
    <cellStyle name="20% - Accent2 3 2 4 25" xfId="54927" xr:uid="{00000000-0005-0000-0000-00009A0A0000}"/>
    <cellStyle name="20% - Accent2 3 2 4 26" xfId="56610" xr:uid="{00000000-0005-0000-0000-00009B0A0000}"/>
    <cellStyle name="20% - Accent2 3 2 4 27" xfId="58293" xr:uid="{00000000-0005-0000-0000-00009C0A0000}"/>
    <cellStyle name="20% - Accent2 3 2 4 28" xfId="59976" xr:uid="{00000000-0005-0000-0000-00009D0A0000}"/>
    <cellStyle name="20% - Accent2 3 2 4 29" xfId="61659" xr:uid="{00000000-0005-0000-0000-00009E0A0000}"/>
    <cellStyle name="20% - Accent2 3 2 4 3" xfId="4434" xr:uid="{00000000-0005-0000-0000-00009F0A0000}"/>
    <cellStyle name="20% - Accent2 3 2 4 3 2" xfId="19583" xr:uid="{00000000-0005-0000-0000-0000A00A0000}"/>
    <cellStyle name="20% - Accent2 3 2 4 30" xfId="63342" xr:uid="{00000000-0005-0000-0000-0000A10A0000}"/>
    <cellStyle name="20% - Accent2 3 2 4 4" xfId="6117" xr:uid="{00000000-0005-0000-0000-0000A20A0000}"/>
    <cellStyle name="20% - Accent2 3 2 4 4 2" xfId="21266" xr:uid="{00000000-0005-0000-0000-0000A30A0000}"/>
    <cellStyle name="20% - Accent2 3 2 4 5" xfId="7800" xr:uid="{00000000-0005-0000-0000-0000A40A0000}"/>
    <cellStyle name="20% - Accent2 3 2 4 5 2" xfId="22949" xr:uid="{00000000-0005-0000-0000-0000A50A0000}"/>
    <cellStyle name="20% - Accent2 3 2 4 6" xfId="9483" xr:uid="{00000000-0005-0000-0000-0000A60A0000}"/>
    <cellStyle name="20% - Accent2 3 2 4 6 2" xfId="24632" xr:uid="{00000000-0005-0000-0000-0000A70A0000}"/>
    <cellStyle name="20% - Accent2 3 2 4 7" xfId="11166" xr:uid="{00000000-0005-0000-0000-0000A80A0000}"/>
    <cellStyle name="20% - Accent2 3 2 4 7 2" xfId="26315" xr:uid="{00000000-0005-0000-0000-0000A90A0000}"/>
    <cellStyle name="20% - Accent2 3 2 4 8" xfId="12850" xr:uid="{00000000-0005-0000-0000-0000AA0A0000}"/>
    <cellStyle name="20% - Accent2 3 2 4 8 2" xfId="27999" xr:uid="{00000000-0005-0000-0000-0000AB0A0000}"/>
    <cellStyle name="20% - Accent2 3 2 4 9" xfId="14533" xr:uid="{00000000-0005-0000-0000-0000AC0A0000}"/>
    <cellStyle name="20% - Accent2 3 2 4 9 2" xfId="29682" xr:uid="{00000000-0005-0000-0000-0000AD0A0000}"/>
    <cellStyle name="20% - Accent2 3 2 5" xfId="1488" xr:uid="{00000000-0005-0000-0000-0000AE0A0000}"/>
    <cellStyle name="20% - Accent2 3 2 5 10" xfId="16637" xr:uid="{00000000-0005-0000-0000-0000AF0A0000}"/>
    <cellStyle name="20% - Accent2 3 2 5 11" xfId="31786" xr:uid="{00000000-0005-0000-0000-0000B00A0000}"/>
    <cellStyle name="20% - Accent2 3 2 5 12" xfId="33469" xr:uid="{00000000-0005-0000-0000-0000B10A0000}"/>
    <cellStyle name="20% - Accent2 3 2 5 13" xfId="35152" xr:uid="{00000000-0005-0000-0000-0000B20A0000}"/>
    <cellStyle name="20% - Accent2 3 2 5 14" xfId="36835" xr:uid="{00000000-0005-0000-0000-0000B30A0000}"/>
    <cellStyle name="20% - Accent2 3 2 5 15" xfId="38518" xr:uid="{00000000-0005-0000-0000-0000B40A0000}"/>
    <cellStyle name="20% - Accent2 3 2 5 16" xfId="40201" xr:uid="{00000000-0005-0000-0000-0000B50A0000}"/>
    <cellStyle name="20% - Accent2 3 2 5 17" xfId="41884" xr:uid="{00000000-0005-0000-0000-0000B60A0000}"/>
    <cellStyle name="20% - Accent2 3 2 5 18" xfId="43567" xr:uid="{00000000-0005-0000-0000-0000B70A0000}"/>
    <cellStyle name="20% - Accent2 3 2 5 19" xfId="45250" xr:uid="{00000000-0005-0000-0000-0000B80A0000}"/>
    <cellStyle name="20% - Accent2 3 2 5 2" xfId="3171" xr:uid="{00000000-0005-0000-0000-0000B90A0000}"/>
    <cellStyle name="20% - Accent2 3 2 5 2 2" xfId="18320" xr:uid="{00000000-0005-0000-0000-0000BA0A0000}"/>
    <cellStyle name="20% - Accent2 3 2 5 20" xfId="46933" xr:uid="{00000000-0005-0000-0000-0000BB0A0000}"/>
    <cellStyle name="20% - Accent2 3 2 5 21" xfId="48616" xr:uid="{00000000-0005-0000-0000-0000BC0A0000}"/>
    <cellStyle name="20% - Accent2 3 2 5 22" xfId="50299" xr:uid="{00000000-0005-0000-0000-0000BD0A0000}"/>
    <cellStyle name="20% - Accent2 3 2 5 23" xfId="51982" xr:uid="{00000000-0005-0000-0000-0000BE0A0000}"/>
    <cellStyle name="20% - Accent2 3 2 5 24" xfId="53665" xr:uid="{00000000-0005-0000-0000-0000BF0A0000}"/>
    <cellStyle name="20% - Accent2 3 2 5 25" xfId="55348" xr:uid="{00000000-0005-0000-0000-0000C00A0000}"/>
    <cellStyle name="20% - Accent2 3 2 5 26" xfId="57031" xr:uid="{00000000-0005-0000-0000-0000C10A0000}"/>
    <cellStyle name="20% - Accent2 3 2 5 27" xfId="58714" xr:uid="{00000000-0005-0000-0000-0000C20A0000}"/>
    <cellStyle name="20% - Accent2 3 2 5 28" xfId="60397" xr:uid="{00000000-0005-0000-0000-0000C30A0000}"/>
    <cellStyle name="20% - Accent2 3 2 5 29" xfId="62080" xr:uid="{00000000-0005-0000-0000-0000C40A0000}"/>
    <cellStyle name="20% - Accent2 3 2 5 3" xfId="4855" xr:uid="{00000000-0005-0000-0000-0000C50A0000}"/>
    <cellStyle name="20% - Accent2 3 2 5 3 2" xfId="20004" xr:uid="{00000000-0005-0000-0000-0000C60A0000}"/>
    <cellStyle name="20% - Accent2 3 2 5 30" xfId="63763" xr:uid="{00000000-0005-0000-0000-0000C70A0000}"/>
    <cellStyle name="20% - Accent2 3 2 5 4" xfId="6538" xr:uid="{00000000-0005-0000-0000-0000C80A0000}"/>
    <cellStyle name="20% - Accent2 3 2 5 4 2" xfId="21687" xr:uid="{00000000-0005-0000-0000-0000C90A0000}"/>
    <cellStyle name="20% - Accent2 3 2 5 5" xfId="8221" xr:uid="{00000000-0005-0000-0000-0000CA0A0000}"/>
    <cellStyle name="20% - Accent2 3 2 5 5 2" xfId="23370" xr:uid="{00000000-0005-0000-0000-0000CB0A0000}"/>
    <cellStyle name="20% - Accent2 3 2 5 6" xfId="9904" xr:uid="{00000000-0005-0000-0000-0000CC0A0000}"/>
    <cellStyle name="20% - Accent2 3 2 5 6 2" xfId="25053" xr:uid="{00000000-0005-0000-0000-0000CD0A0000}"/>
    <cellStyle name="20% - Accent2 3 2 5 7" xfId="11587" xr:uid="{00000000-0005-0000-0000-0000CE0A0000}"/>
    <cellStyle name="20% - Accent2 3 2 5 7 2" xfId="26736" xr:uid="{00000000-0005-0000-0000-0000CF0A0000}"/>
    <cellStyle name="20% - Accent2 3 2 5 8" xfId="13271" xr:uid="{00000000-0005-0000-0000-0000D00A0000}"/>
    <cellStyle name="20% - Accent2 3 2 5 8 2" xfId="28420" xr:uid="{00000000-0005-0000-0000-0000D10A0000}"/>
    <cellStyle name="20% - Accent2 3 2 5 9" xfId="14954" xr:uid="{00000000-0005-0000-0000-0000D20A0000}"/>
    <cellStyle name="20% - Accent2 3 2 5 9 2" xfId="30103" xr:uid="{00000000-0005-0000-0000-0000D30A0000}"/>
    <cellStyle name="20% - Accent2 3 2 6" xfId="1909" xr:uid="{00000000-0005-0000-0000-0000D40A0000}"/>
    <cellStyle name="20% - Accent2 3 2 6 2" xfId="17058" xr:uid="{00000000-0005-0000-0000-0000D50A0000}"/>
    <cellStyle name="20% - Accent2 3 2 7" xfId="3593" xr:uid="{00000000-0005-0000-0000-0000D60A0000}"/>
    <cellStyle name="20% - Accent2 3 2 7 2" xfId="18742" xr:uid="{00000000-0005-0000-0000-0000D70A0000}"/>
    <cellStyle name="20% - Accent2 3 2 8" xfId="5276" xr:uid="{00000000-0005-0000-0000-0000D80A0000}"/>
    <cellStyle name="20% - Accent2 3 2 8 2" xfId="20425" xr:uid="{00000000-0005-0000-0000-0000D90A0000}"/>
    <cellStyle name="20% - Accent2 3 2 9" xfId="6959" xr:uid="{00000000-0005-0000-0000-0000DA0A0000}"/>
    <cellStyle name="20% - Accent2 3 2 9 2" xfId="22108" xr:uid="{00000000-0005-0000-0000-0000DB0A0000}"/>
    <cellStyle name="20% - Accent2 3 20" xfId="37151" xr:uid="{00000000-0005-0000-0000-0000DC0A0000}"/>
    <cellStyle name="20% - Accent2 3 21" xfId="38834" xr:uid="{00000000-0005-0000-0000-0000DD0A0000}"/>
    <cellStyle name="20% - Accent2 3 22" xfId="40517" xr:uid="{00000000-0005-0000-0000-0000DE0A0000}"/>
    <cellStyle name="20% - Accent2 3 23" xfId="42200" xr:uid="{00000000-0005-0000-0000-0000DF0A0000}"/>
    <cellStyle name="20% - Accent2 3 24" xfId="43883" xr:uid="{00000000-0005-0000-0000-0000E00A0000}"/>
    <cellStyle name="20% - Accent2 3 25" xfId="45566" xr:uid="{00000000-0005-0000-0000-0000E10A0000}"/>
    <cellStyle name="20% - Accent2 3 26" xfId="47249" xr:uid="{00000000-0005-0000-0000-0000E20A0000}"/>
    <cellStyle name="20% - Accent2 3 27" xfId="48932" xr:uid="{00000000-0005-0000-0000-0000E30A0000}"/>
    <cellStyle name="20% - Accent2 3 28" xfId="50615" xr:uid="{00000000-0005-0000-0000-0000E40A0000}"/>
    <cellStyle name="20% - Accent2 3 29" xfId="52298" xr:uid="{00000000-0005-0000-0000-0000E50A0000}"/>
    <cellStyle name="20% - Accent2 3 3" xfId="331" xr:uid="{00000000-0005-0000-0000-0000E60A0000}"/>
    <cellStyle name="20% - Accent2 3 3 10" xfId="10430" xr:uid="{00000000-0005-0000-0000-0000E70A0000}"/>
    <cellStyle name="20% - Accent2 3 3 10 2" xfId="25579" xr:uid="{00000000-0005-0000-0000-0000E80A0000}"/>
    <cellStyle name="20% - Accent2 3 3 11" xfId="12114" xr:uid="{00000000-0005-0000-0000-0000E90A0000}"/>
    <cellStyle name="20% - Accent2 3 3 11 2" xfId="27263" xr:uid="{00000000-0005-0000-0000-0000EA0A0000}"/>
    <cellStyle name="20% - Accent2 3 3 12" xfId="13797" xr:uid="{00000000-0005-0000-0000-0000EB0A0000}"/>
    <cellStyle name="20% - Accent2 3 3 12 2" xfId="28946" xr:uid="{00000000-0005-0000-0000-0000EC0A0000}"/>
    <cellStyle name="20% - Accent2 3 3 13" xfId="15480" xr:uid="{00000000-0005-0000-0000-0000ED0A0000}"/>
    <cellStyle name="20% - Accent2 3 3 14" xfId="30629" xr:uid="{00000000-0005-0000-0000-0000EE0A0000}"/>
    <cellStyle name="20% - Accent2 3 3 15" xfId="32312" xr:uid="{00000000-0005-0000-0000-0000EF0A0000}"/>
    <cellStyle name="20% - Accent2 3 3 16" xfId="33995" xr:uid="{00000000-0005-0000-0000-0000F00A0000}"/>
    <cellStyle name="20% - Accent2 3 3 17" xfId="35678" xr:uid="{00000000-0005-0000-0000-0000F10A0000}"/>
    <cellStyle name="20% - Accent2 3 3 18" xfId="37361" xr:uid="{00000000-0005-0000-0000-0000F20A0000}"/>
    <cellStyle name="20% - Accent2 3 3 19" xfId="39044" xr:uid="{00000000-0005-0000-0000-0000F30A0000}"/>
    <cellStyle name="20% - Accent2 3 3 2" xfId="751" xr:uid="{00000000-0005-0000-0000-0000F40A0000}"/>
    <cellStyle name="20% - Accent2 3 3 2 10" xfId="15900" xr:uid="{00000000-0005-0000-0000-0000F50A0000}"/>
    <cellStyle name="20% - Accent2 3 3 2 11" xfId="31049" xr:uid="{00000000-0005-0000-0000-0000F60A0000}"/>
    <cellStyle name="20% - Accent2 3 3 2 12" xfId="32732" xr:uid="{00000000-0005-0000-0000-0000F70A0000}"/>
    <cellStyle name="20% - Accent2 3 3 2 13" xfId="34415" xr:uid="{00000000-0005-0000-0000-0000F80A0000}"/>
    <cellStyle name="20% - Accent2 3 3 2 14" xfId="36098" xr:uid="{00000000-0005-0000-0000-0000F90A0000}"/>
    <cellStyle name="20% - Accent2 3 3 2 15" xfId="37781" xr:uid="{00000000-0005-0000-0000-0000FA0A0000}"/>
    <cellStyle name="20% - Accent2 3 3 2 16" xfId="39464" xr:uid="{00000000-0005-0000-0000-0000FB0A0000}"/>
    <cellStyle name="20% - Accent2 3 3 2 17" xfId="41147" xr:uid="{00000000-0005-0000-0000-0000FC0A0000}"/>
    <cellStyle name="20% - Accent2 3 3 2 18" xfId="42830" xr:uid="{00000000-0005-0000-0000-0000FD0A0000}"/>
    <cellStyle name="20% - Accent2 3 3 2 19" xfId="44513" xr:uid="{00000000-0005-0000-0000-0000FE0A0000}"/>
    <cellStyle name="20% - Accent2 3 3 2 2" xfId="2434" xr:uid="{00000000-0005-0000-0000-0000FF0A0000}"/>
    <cellStyle name="20% - Accent2 3 3 2 2 2" xfId="17583" xr:uid="{00000000-0005-0000-0000-0000000B0000}"/>
    <cellStyle name="20% - Accent2 3 3 2 20" xfId="46196" xr:uid="{00000000-0005-0000-0000-0000010B0000}"/>
    <cellStyle name="20% - Accent2 3 3 2 21" xfId="47879" xr:uid="{00000000-0005-0000-0000-0000020B0000}"/>
    <cellStyle name="20% - Accent2 3 3 2 22" xfId="49562" xr:uid="{00000000-0005-0000-0000-0000030B0000}"/>
    <cellStyle name="20% - Accent2 3 3 2 23" xfId="51245" xr:uid="{00000000-0005-0000-0000-0000040B0000}"/>
    <cellStyle name="20% - Accent2 3 3 2 24" xfId="52928" xr:uid="{00000000-0005-0000-0000-0000050B0000}"/>
    <cellStyle name="20% - Accent2 3 3 2 25" xfId="54611" xr:uid="{00000000-0005-0000-0000-0000060B0000}"/>
    <cellStyle name="20% - Accent2 3 3 2 26" xfId="56294" xr:uid="{00000000-0005-0000-0000-0000070B0000}"/>
    <cellStyle name="20% - Accent2 3 3 2 27" xfId="57977" xr:uid="{00000000-0005-0000-0000-0000080B0000}"/>
    <cellStyle name="20% - Accent2 3 3 2 28" xfId="59660" xr:uid="{00000000-0005-0000-0000-0000090B0000}"/>
    <cellStyle name="20% - Accent2 3 3 2 29" xfId="61343" xr:uid="{00000000-0005-0000-0000-00000A0B0000}"/>
    <cellStyle name="20% - Accent2 3 3 2 3" xfId="4118" xr:uid="{00000000-0005-0000-0000-00000B0B0000}"/>
    <cellStyle name="20% - Accent2 3 3 2 3 2" xfId="19267" xr:uid="{00000000-0005-0000-0000-00000C0B0000}"/>
    <cellStyle name="20% - Accent2 3 3 2 30" xfId="63026" xr:uid="{00000000-0005-0000-0000-00000D0B0000}"/>
    <cellStyle name="20% - Accent2 3 3 2 4" xfId="5801" xr:uid="{00000000-0005-0000-0000-00000E0B0000}"/>
    <cellStyle name="20% - Accent2 3 3 2 4 2" xfId="20950" xr:uid="{00000000-0005-0000-0000-00000F0B0000}"/>
    <cellStyle name="20% - Accent2 3 3 2 5" xfId="7484" xr:uid="{00000000-0005-0000-0000-0000100B0000}"/>
    <cellStyle name="20% - Accent2 3 3 2 5 2" xfId="22633" xr:uid="{00000000-0005-0000-0000-0000110B0000}"/>
    <cellStyle name="20% - Accent2 3 3 2 6" xfId="9167" xr:uid="{00000000-0005-0000-0000-0000120B0000}"/>
    <cellStyle name="20% - Accent2 3 3 2 6 2" xfId="24316" xr:uid="{00000000-0005-0000-0000-0000130B0000}"/>
    <cellStyle name="20% - Accent2 3 3 2 7" xfId="10850" xr:uid="{00000000-0005-0000-0000-0000140B0000}"/>
    <cellStyle name="20% - Accent2 3 3 2 7 2" xfId="25999" xr:uid="{00000000-0005-0000-0000-0000150B0000}"/>
    <cellStyle name="20% - Accent2 3 3 2 8" xfId="12534" xr:uid="{00000000-0005-0000-0000-0000160B0000}"/>
    <cellStyle name="20% - Accent2 3 3 2 8 2" xfId="27683" xr:uid="{00000000-0005-0000-0000-0000170B0000}"/>
    <cellStyle name="20% - Accent2 3 3 2 9" xfId="14217" xr:uid="{00000000-0005-0000-0000-0000180B0000}"/>
    <cellStyle name="20% - Accent2 3 3 2 9 2" xfId="29366" xr:uid="{00000000-0005-0000-0000-0000190B0000}"/>
    <cellStyle name="20% - Accent2 3 3 20" xfId="40727" xr:uid="{00000000-0005-0000-0000-00001A0B0000}"/>
    <cellStyle name="20% - Accent2 3 3 21" xfId="42410" xr:uid="{00000000-0005-0000-0000-00001B0B0000}"/>
    <cellStyle name="20% - Accent2 3 3 22" xfId="44093" xr:uid="{00000000-0005-0000-0000-00001C0B0000}"/>
    <cellStyle name="20% - Accent2 3 3 23" xfId="45776" xr:uid="{00000000-0005-0000-0000-00001D0B0000}"/>
    <cellStyle name="20% - Accent2 3 3 24" xfId="47459" xr:uid="{00000000-0005-0000-0000-00001E0B0000}"/>
    <cellStyle name="20% - Accent2 3 3 25" xfId="49142" xr:uid="{00000000-0005-0000-0000-00001F0B0000}"/>
    <cellStyle name="20% - Accent2 3 3 26" xfId="50825" xr:uid="{00000000-0005-0000-0000-0000200B0000}"/>
    <cellStyle name="20% - Accent2 3 3 27" xfId="52508" xr:uid="{00000000-0005-0000-0000-0000210B0000}"/>
    <cellStyle name="20% - Accent2 3 3 28" xfId="54191" xr:uid="{00000000-0005-0000-0000-0000220B0000}"/>
    <cellStyle name="20% - Accent2 3 3 29" xfId="55874" xr:uid="{00000000-0005-0000-0000-0000230B0000}"/>
    <cellStyle name="20% - Accent2 3 3 3" xfId="1172" xr:uid="{00000000-0005-0000-0000-0000240B0000}"/>
    <cellStyle name="20% - Accent2 3 3 3 10" xfId="16321" xr:uid="{00000000-0005-0000-0000-0000250B0000}"/>
    <cellStyle name="20% - Accent2 3 3 3 11" xfId="31470" xr:uid="{00000000-0005-0000-0000-0000260B0000}"/>
    <cellStyle name="20% - Accent2 3 3 3 12" xfId="33153" xr:uid="{00000000-0005-0000-0000-0000270B0000}"/>
    <cellStyle name="20% - Accent2 3 3 3 13" xfId="34836" xr:uid="{00000000-0005-0000-0000-0000280B0000}"/>
    <cellStyle name="20% - Accent2 3 3 3 14" xfId="36519" xr:uid="{00000000-0005-0000-0000-0000290B0000}"/>
    <cellStyle name="20% - Accent2 3 3 3 15" xfId="38202" xr:uid="{00000000-0005-0000-0000-00002A0B0000}"/>
    <cellStyle name="20% - Accent2 3 3 3 16" xfId="39885" xr:uid="{00000000-0005-0000-0000-00002B0B0000}"/>
    <cellStyle name="20% - Accent2 3 3 3 17" xfId="41568" xr:uid="{00000000-0005-0000-0000-00002C0B0000}"/>
    <cellStyle name="20% - Accent2 3 3 3 18" xfId="43251" xr:uid="{00000000-0005-0000-0000-00002D0B0000}"/>
    <cellStyle name="20% - Accent2 3 3 3 19" xfId="44934" xr:uid="{00000000-0005-0000-0000-00002E0B0000}"/>
    <cellStyle name="20% - Accent2 3 3 3 2" xfId="2855" xr:uid="{00000000-0005-0000-0000-00002F0B0000}"/>
    <cellStyle name="20% - Accent2 3 3 3 2 2" xfId="18004" xr:uid="{00000000-0005-0000-0000-0000300B0000}"/>
    <cellStyle name="20% - Accent2 3 3 3 20" xfId="46617" xr:uid="{00000000-0005-0000-0000-0000310B0000}"/>
    <cellStyle name="20% - Accent2 3 3 3 21" xfId="48300" xr:uid="{00000000-0005-0000-0000-0000320B0000}"/>
    <cellStyle name="20% - Accent2 3 3 3 22" xfId="49983" xr:uid="{00000000-0005-0000-0000-0000330B0000}"/>
    <cellStyle name="20% - Accent2 3 3 3 23" xfId="51666" xr:uid="{00000000-0005-0000-0000-0000340B0000}"/>
    <cellStyle name="20% - Accent2 3 3 3 24" xfId="53349" xr:uid="{00000000-0005-0000-0000-0000350B0000}"/>
    <cellStyle name="20% - Accent2 3 3 3 25" xfId="55032" xr:uid="{00000000-0005-0000-0000-0000360B0000}"/>
    <cellStyle name="20% - Accent2 3 3 3 26" xfId="56715" xr:uid="{00000000-0005-0000-0000-0000370B0000}"/>
    <cellStyle name="20% - Accent2 3 3 3 27" xfId="58398" xr:uid="{00000000-0005-0000-0000-0000380B0000}"/>
    <cellStyle name="20% - Accent2 3 3 3 28" xfId="60081" xr:uid="{00000000-0005-0000-0000-0000390B0000}"/>
    <cellStyle name="20% - Accent2 3 3 3 29" xfId="61764" xr:uid="{00000000-0005-0000-0000-00003A0B0000}"/>
    <cellStyle name="20% - Accent2 3 3 3 3" xfId="4539" xr:uid="{00000000-0005-0000-0000-00003B0B0000}"/>
    <cellStyle name="20% - Accent2 3 3 3 3 2" xfId="19688" xr:uid="{00000000-0005-0000-0000-00003C0B0000}"/>
    <cellStyle name="20% - Accent2 3 3 3 30" xfId="63447" xr:uid="{00000000-0005-0000-0000-00003D0B0000}"/>
    <cellStyle name="20% - Accent2 3 3 3 4" xfId="6222" xr:uid="{00000000-0005-0000-0000-00003E0B0000}"/>
    <cellStyle name="20% - Accent2 3 3 3 4 2" xfId="21371" xr:uid="{00000000-0005-0000-0000-00003F0B0000}"/>
    <cellStyle name="20% - Accent2 3 3 3 5" xfId="7905" xr:uid="{00000000-0005-0000-0000-0000400B0000}"/>
    <cellStyle name="20% - Accent2 3 3 3 5 2" xfId="23054" xr:uid="{00000000-0005-0000-0000-0000410B0000}"/>
    <cellStyle name="20% - Accent2 3 3 3 6" xfId="9588" xr:uid="{00000000-0005-0000-0000-0000420B0000}"/>
    <cellStyle name="20% - Accent2 3 3 3 6 2" xfId="24737" xr:uid="{00000000-0005-0000-0000-0000430B0000}"/>
    <cellStyle name="20% - Accent2 3 3 3 7" xfId="11271" xr:uid="{00000000-0005-0000-0000-0000440B0000}"/>
    <cellStyle name="20% - Accent2 3 3 3 7 2" xfId="26420" xr:uid="{00000000-0005-0000-0000-0000450B0000}"/>
    <cellStyle name="20% - Accent2 3 3 3 8" xfId="12955" xr:uid="{00000000-0005-0000-0000-0000460B0000}"/>
    <cellStyle name="20% - Accent2 3 3 3 8 2" xfId="28104" xr:uid="{00000000-0005-0000-0000-0000470B0000}"/>
    <cellStyle name="20% - Accent2 3 3 3 9" xfId="14638" xr:uid="{00000000-0005-0000-0000-0000480B0000}"/>
    <cellStyle name="20% - Accent2 3 3 3 9 2" xfId="29787" xr:uid="{00000000-0005-0000-0000-0000490B0000}"/>
    <cellStyle name="20% - Accent2 3 3 30" xfId="57557" xr:uid="{00000000-0005-0000-0000-00004A0B0000}"/>
    <cellStyle name="20% - Accent2 3 3 31" xfId="59240" xr:uid="{00000000-0005-0000-0000-00004B0B0000}"/>
    <cellStyle name="20% - Accent2 3 3 32" xfId="60923" xr:uid="{00000000-0005-0000-0000-00004C0B0000}"/>
    <cellStyle name="20% - Accent2 3 3 33" xfId="62606" xr:uid="{00000000-0005-0000-0000-00004D0B0000}"/>
    <cellStyle name="20% - Accent2 3 3 4" xfId="1593" xr:uid="{00000000-0005-0000-0000-00004E0B0000}"/>
    <cellStyle name="20% - Accent2 3 3 4 10" xfId="16742" xr:uid="{00000000-0005-0000-0000-00004F0B0000}"/>
    <cellStyle name="20% - Accent2 3 3 4 11" xfId="31891" xr:uid="{00000000-0005-0000-0000-0000500B0000}"/>
    <cellStyle name="20% - Accent2 3 3 4 12" xfId="33574" xr:uid="{00000000-0005-0000-0000-0000510B0000}"/>
    <cellStyle name="20% - Accent2 3 3 4 13" xfId="35257" xr:uid="{00000000-0005-0000-0000-0000520B0000}"/>
    <cellStyle name="20% - Accent2 3 3 4 14" xfId="36940" xr:uid="{00000000-0005-0000-0000-0000530B0000}"/>
    <cellStyle name="20% - Accent2 3 3 4 15" xfId="38623" xr:uid="{00000000-0005-0000-0000-0000540B0000}"/>
    <cellStyle name="20% - Accent2 3 3 4 16" xfId="40306" xr:uid="{00000000-0005-0000-0000-0000550B0000}"/>
    <cellStyle name="20% - Accent2 3 3 4 17" xfId="41989" xr:uid="{00000000-0005-0000-0000-0000560B0000}"/>
    <cellStyle name="20% - Accent2 3 3 4 18" xfId="43672" xr:uid="{00000000-0005-0000-0000-0000570B0000}"/>
    <cellStyle name="20% - Accent2 3 3 4 19" xfId="45355" xr:uid="{00000000-0005-0000-0000-0000580B0000}"/>
    <cellStyle name="20% - Accent2 3 3 4 2" xfId="3276" xr:uid="{00000000-0005-0000-0000-0000590B0000}"/>
    <cellStyle name="20% - Accent2 3 3 4 2 2" xfId="18425" xr:uid="{00000000-0005-0000-0000-00005A0B0000}"/>
    <cellStyle name="20% - Accent2 3 3 4 20" xfId="47038" xr:uid="{00000000-0005-0000-0000-00005B0B0000}"/>
    <cellStyle name="20% - Accent2 3 3 4 21" xfId="48721" xr:uid="{00000000-0005-0000-0000-00005C0B0000}"/>
    <cellStyle name="20% - Accent2 3 3 4 22" xfId="50404" xr:uid="{00000000-0005-0000-0000-00005D0B0000}"/>
    <cellStyle name="20% - Accent2 3 3 4 23" xfId="52087" xr:uid="{00000000-0005-0000-0000-00005E0B0000}"/>
    <cellStyle name="20% - Accent2 3 3 4 24" xfId="53770" xr:uid="{00000000-0005-0000-0000-00005F0B0000}"/>
    <cellStyle name="20% - Accent2 3 3 4 25" xfId="55453" xr:uid="{00000000-0005-0000-0000-0000600B0000}"/>
    <cellStyle name="20% - Accent2 3 3 4 26" xfId="57136" xr:uid="{00000000-0005-0000-0000-0000610B0000}"/>
    <cellStyle name="20% - Accent2 3 3 4 27" xfId="58819" xr:uid="{00000000-0005-0000-0000-0000620B0000}"/>
    <cellStyle name="20% - Accent2 3 3 4 28" xfId="60502" xr:uid="{00000000-0005-0000-0000-0000630B0000}"/>
    <cellStyle name="20% - Accent2 3 3 4 29" xfId="62185" xr:uid="{00000000-0005-0000-0000-0000640B0000}"/>
    <cellStyle name="20% - Accent2 3 3 4 3" xfId="4960" xr:uid="{00000000-0005-0000-0000-0000650B0000}"/>
    <cellStyle name="20% - Accent2 3 3 4 3 2" xfId="20109" xr:uid="{00000000-0005-0000-0000-0000660B0000}"/>
    <cellStyle name="20% - Accent2 3 3 4 30" xfId="63868" xr:uid="{00000000-0005-0000-0000-0000670B0000}"/>
    <cellStyle name="20% - Accent2 3 3 4 4" xfId="6643" xr:uid="{00000000-0005-0000-0000-0000680B0000}"/>
    <cellStyle name="20% - Accent2 3 3 4 4 2" xfId="21792" xr:uid="{00000000-0005-0000-0000-0000690B0000}"/>
    <cellStyle name="20% - Accent2 3 3 4 5" xfId="8326" xr:uid="{00000000-0005-0000-0000-00006A0B0000}"/>
    <cellStyle name="20% - Accent2 3 3 4 5 2" xfId="23475" xr:uid="{00000000-0005-0000-0000-00006B0B0000}"/>
    <cellStyle name="20% - Accent2 3 3 4 6" xfId="10009" xr:uid="{00000000-0005-0000-0000-00006C0B0000}"/>
    <cellStyle name="20% - Accent2 3 3 4 6 2" xfId="25158" xr:uid="{00000000-0005-0000-0000-00006D0B0000}"/>
    <cellStyle name="20% - Accent2 3 3 4 7" xfId="11692" xr:uid="{00000000-0005-0000-0000-00006E0B0000}"/>
    <cellStyle name="20% - Accent2 3 3 4 7 2" xfId="26841" xr:uid="{00000000-0005-0000-0000-00006F0B0000}"/>
    <cellStyle name="20% - Accent2 3 3 4 8" xfId="13376" xr:uid="{00000000-0005-0000-0000-0000700B0000}"/>
    <cellStyle name="20% - Accent2 3 3 4 8 2" xfId="28525" xr:uid="{00000000-0005-0000-0000-0000710B0000}"/>
    <cellStyle name="20% - Accent2 3 3 4 9" xfId="15059" xr:uid="{00000000-0005-0000-0000-0000720B0000}"/>
    <cellStyle name="20% - Accent2 3 3 4 9 2" xfId="30208" xr:uid="{00000000-0005-0000-0000-0000730B0000}"/>
    <cellStyle name="20% - Accent2 3 3 5" xfId="2014" xr:uid="{00000000-0005-0000-0000-0000740B0000}"/>
    <cellStyle name="20% - Accent2 3 3 5 2" xfId="17163" xr:uid="{00000000-0005-0000-0000-0000750B0000}"/>
    <cellStyle name="20% - Accent2 3 3 6" xfId="3698" xr:uid="{00000000-0005-0000-0000-0000760B0000}"/>
    <cellStyle name="20% - Accent2 3 3 6 2" xfId="18847" xr:uid="{00000000-0005-0000-0000-0000770B0000}"/>
    <cellStyle name="20% - Accent2 3 3 7" xfId="5381" xr:uid="{00000000-0005-0000-0000-0000780B0000}"/>
    <cellStyle name="20% - Accent2 3 3 7 2" xfId="20530" xr:uid="{00000000-0005-0000-0000-0000790B0000}"/>
    <cellStyle name="20% - Accent2 3 3 8" xfId="7064" xr:uid="{00000000-0005-0000-0000-00007A0B0000}"/>
    <cellStyle name="20% - Accent2 3 3 8 2" xfId="22213" xr:uid="{00000000-0005-0000-0000-00007B0B0000}"/>
    <cellStyle name="20% - Accent2 3 3 9" xfId="8747" xr:uid="{00000000-0005-0000-0000-00007C0B0000}"/>
    <cellStyle name="20% - Accent2 3 3 9 2" xfId="23896" xr:uid="{00000000-0005-0000-0000-00007D0B0000}"/>
    <cellStyle name="20% - Accent2 3 30" xfId="53981" xr:uid="{00000000-0005-0000-0000-00007E0B0000}"/>
    <cellStyle name="20% - Accent2 3 31" xfId="55664" xr:uid="{00000000-0005-0000-0000-00007F0B0000}"/>
    <cellStyle name="20% - Accent2 3 32" xfId="57347" xr:uid="{00000000-0005-0000-0000-0000800B0000}"/>
    <cellStyle name="20% - Accent2 3 33" xfId="59030" xr:uid="{00000000-0005-0000-0000-0000810B0000}"/>
    <cellStyle name="20% - Accent2 3 34" xfId="60713" xr:uid="{00000000-0005-0000-0000-0000820B0000}"/>
    <cellStyle name="20% - Accent2 3 35" xfId="62396" xr:uid="{00000000-0005-0000-0000-0000830B0000}"/>
    <cellStyle name="20% - Accent2 3 4" xfId="541" xr:uid="{00000000-0005-0000-0000-0000840B0000}"/>
    <cellStyle name="20% - Accent2 3 4 10" xfId="15690" xr:uid="{00000000-0005-0000-0000-0000850B0000}"/>
    <cellStyle name="20% - Accent2 3 4 11" xfId="30839" xr:uid="{00000000-0005-0000-0000-0000860B0000}"/>
    <cellStyle name="20% - Accent2 3 4 12" xfId="32522" xr:uid="{00000000-0005-0000-0000-0000870B0000}"/>
    <cellStyle name="20% - Accent2 3 4 13" xfId="34205" xr:uid="{00000000-0005-0000-0000-0000880B0000}"/>
    <cellStyle name="20% - Accent2 3 4 14" xfId="35888" xr:uid="{00000000-0005-0000-0000-0000890B0000}"/>
    <cellStyle name="20% - Accent2 3 4 15" xfId="37571" xr:uid="{00000000-0005-0000-0000-00008A0B0000}"/>
    <cellStyle name="20% - Accent2 3 4 16" xfId="39254" xr:uid="{00000000-0005-0000-0000-00008B0B0000}"/>
    <cellStyle name="20% - Accent2 3 4 17" xfId="40937" xr:uid="{00000000-0005-0000-0000-00008C0B0000}"/>
    <cellStyle name="20% - Accent2 3 4 18" xfId="42620" xr:uid="{00000000-0005-0000-0000-00008D0B0000}"/>
    <cellStyle name="20% - Accent2 3 4 19" xfId="44303" xr:uid="{00000000-0005-0000-0000-00008E0B0000}"/>
    <cellStyle name="20% - Accent2 3 4 2" xfId="2224" xr:uid="{00000000-0005-0000-0000-00008F0B0000}"/>
    <cellStyle name="20% - Accent2 3 4 2 2" xfId="17373" xr:uid="{00000000-0005-0000-0000-0000900B0000}"/>
    <cellStyle name="20% - Accent2 3 4 20" xfId="45986" xr:uid="{00000000-0005-0000-0000-0000910B0000}"/>
    <cellStyle name="20% - Accent2 3 4 21" xfId="47669" xr:uid="{00000000-0005-0000-0000-0000920B0000}"/>
    <cellStyle name="20% - Accent2 3 4 22" xfId="49352" xr:uid="{00000000-0005-0000-0000-0000930B0000}"/>
    <cellStyle name="20% - Accent2 3 4 23" xfId="51035" xr:uid="{00000000-0005-0000-0000-0000940B0000}"/>
    <cellStyle name="20% - Accent2 3 4 24" xfId="52718" xr:uid="{00000000-0005-0000-0000-0000950B0000}"/>
    <cellStyle name="20% - Accent2 3 4 25" xfId="54401" xr:uid="{00000000-0005-0000-0000-0000960B0000}"/>
    <cellStyle name="20% - Accent2 3 4 26" xfId="56084" xr:uid="{00000000-0005-0000-0000-0000970B0000}"/>
    <cellStyle name="20% - Accent2 3 4 27" xfId="57767" xr:uid="{00000000-0005-0000-0000-0000980B0000}"/>
    <cellStyle name="20% - Accent2 3 4 28" xfId="59450" xr:uid="{00000000-0005-0000-0000-0000990B0000}"/>
    <cellStyle name="20% - Accent2 3 4 29" xfId="61133" xr:uid="{00000000-0005-0000-0000-00009A0B0000}"/>
    <cellStyle name="20% - Accent2 3 4 3" xfId="3908" xr:uid="{00000000-0005-0000-0000-00009B0B0000}"/>
    <cellStyle name="20% - Accent2 3 4 3 2" xfId="19057" xr:uid="{00000000-0005-0000-0000-00009C0B0000}"/>
    <cellStyle name="20% - Accent2 3 4 30" xfId="62816" xr:uid="{00000000-0005-0000-0000-00009D0B0000}"/>
    <cellStyle name="20% - Accent2 3 4 4" xfId="5591" xr:uid="{00000000-0005-0000-0000-00009E0B0000}"/>
    <cellStyle name="20% - Accent2 3 4 4 2" xfId="20740" xr:uid="{00000000-0005-0000-0000-00009F0B0000}"/>
    <cellStyle name="20% - Accent2 3 4 5" xfId="7274" xr:uid="{00000000-0005-0000-0000-0000A00B0000}"/>
    <cellStyle name="20% - Accent2 3 4 5 2" xfId="22423" xr:uid="{00000000-0005-0000-0000-0000A10B0000}"/>
    <cellStyle name="20% - Accent2 3 4 6" xfId="8957" xr:uid="{00000000-0005-0000-0000-0000A20B0000}"/>
    <cellStyle name="20% - Accent2 3 4 6 2" xfId="24106" xr:uid="{00000000-0005-0000-0000-0000A30B0000}"/>
    <cellStyle name="20% - Accent2 3 4 7" xfId="10640" xr:uid="{00000000-0005-0000-0000-0000A40B0000}"/>
    <cellStyle name="20% - Accent2 3 4 7 2" xfId="25789" xr:uid="{00000000-0005-0000-0000-0000A50B0000}"/>
    <cellStyle name="20% - Accent2 3 4 8" xfId="12324" xr:uid="{00000000-0005-0000-0000-0000A60B0000}"/>
    <cellStyle name="20% - Accent2 3 4 8 2" xfId="27473" xr:uid="{00000000-0005-0000-0000-0000A70B0000}"/>
    <cellStyle name="20% - Accent2 3 4 9" xfId="14007" xr:uid="{00000000-0005-0000-0000-0000A80B0000}"/>
    <cellStyle name="20% - Accent2 3 4 9 2" xfId="29156" xr:uid="{00000000-0005-0000-0000-0000A90B0000}"/>
    <cellStyle name="20% - Accent2 3 5" xfId="962" xr:uid="{00000000-0005-0000-0000-0000AA0B0000}"/>
    <cellStyle name="20% - Accent2 3 5 10" xfId="16111" xr:uid="{00000000-0005-0000-0000-0000AB0B0000}"/>
    <cellStyle name="20% - Accent2 3 5 11" xfId="31260" xr:uid="{00000000-0005-0000-0000-0000AC0B0000}"/>
    <cellStyle name="20% - Accent2 3 5 12" xfId="32943" xr:uid="{00000000-0005-0000-0000-0000AD0B0000}"/>
    <cellStyle name="20% - Accent2 3 5 13" xfId="34626" xr:uid="{00000000-0005-0000-0000-0000AE0B0000}"/>
    <cellStyle name="20% - Accent2 3 5 14" xfId="36309" xr:uid="{00000000-0005-0000-0000-0000AF0B0000}"/>
    <cellStyle name="20% - Accent2 3 5 15" xfId="37992" xr:uid="{00000000-0005-0000-0000-0000B00B0000}"/>
    <cellStyle name="20% - Accent2 3 5 16" xfId="39675" xr:uid="{00000000-0005-0000-0000-0000B10B0000}"/>
    <cellStyle name="20% - Accent2 3 5 17" xfId="41358" xr:uid="{00000000-0005-0000-0000-0000B20B0000}"/>
    <cellStyle name="20% - Accent2 3 5 18" xfId="43041" xr:uid="{00000000-0005-0000-0000-0000B30B0000}"/>
    <cellStyle name="20% - Accent2 3 5 19" xfId="44724" xr:uid="{00000000-0005-0000-0000-0000B40B0000}"/>
    <cellStyle name="20% - Accent2 3 5 2" xfId="2645" xr:uid="{00000000-0005-0000-0000-0000B50B0000}"/>
    <cellStyle name="20% - Accent2 3 5 2 2" xfId="17794" xr:uid="{00000000-0005-0000-0000-0000B60B0000}"/>
    <cellStyle name="20% - Accent2 3 5 20" xfId="46407" xr:uid="{00000000-0005-0000-0000-0000B70B0000}"/>
    <cellStyle name="20% - Accent2 3 5 21" xfId="48090" xr:uid="{00000000-0005-0000-0000-0000B80B0000}"/>
    <cellStyle name="20% - Accent2 3 5 22" xfId="49773" xr:uid="{00000000-0005-0000-0000-0000B90B0000}"/>
    <cellStyle name="20% - Accent2 3 5 23" xfId="51456" xr:uid="{00000000-0005-0000-0000-0000BA0B0000}"/>
    <cellStyle name="20% - Accent2 3 5 24" xfId="53139" xr:uid="{00000000-0005-0000-0000-0000BB0B0000}"/>
    <cellStyle name="20% - Accent2 3 5 25" xfId="54822" xr:uid="{00000000-0005-0000-0000-0000BC0B0000}"/>
    <cellStyle name="20% - Accent2 3 5 26" xfId="56505" xr:uid="{00000000-0005-0000-0000-0000BD0B0000}"/>
    <cellStyle name="20% - Accent2 3 5 27" xfId="58188" xr:uid="{00000000-0005-0000-0000-0000BE0B0000}"/>
    <cellStyle name="20% - Accent2 3 5 28" xfId="59871" xr:uid="{00000000-0005-0000-0000-0000BF0B0000}"/>
    <cellStyle name="20% - Accent2 3 5 29" xfId="61554" xr:uid="{00000000-0005-0000-0000-0000C00B0000}"/>
    <cellStyle name="20% - Accent2 3 5 3" xfId="4329" xr:uid="{00000000-0005-0000-0000-0000C10B0000}"/>
    <cellStyle name="20% - Accent2 3 5 3 2" xfId="19478" xr:uid="{00000000-0005-0000-0000-0000C20B0000}"/>
    <cellStyle name="20% - Accent2 3 5 30" xfId="63237" xr:uid="{00000000-0005-0000-0000-0000C30B0000}"/>
    <cellStyle name="20% - Accent2 3 5 4" xfId="6012" xr:uid="{00000000-0005-0000-0000-0000C40B0000}"/>
    <cellStyle name="20% - Accent2 3 5 4 2" xfId="21161" xr:uid="{00000000-0005-0000-0000-0000C50B0000}"/>
    <cellStyle name="20% - Accent2 3 5 5" xfId="7695" xr:uid="{00000000-0005-0000-0000-0000C60B0000}"/>
    <cellStyle name="20% - Accent2 3 5 5 2" xfId="22844" xr:uid="{00000000-0005-0000-0000-0000C70B0000}"/>
    <cellStyle name="20% - Accent2 3 5 6" xfId="9378" xr:uid="{00000000-0005-0000-0000-0000C80B0000}"/>
    <cellStyle name="20% - Accent2 3 5 6 2" xfId="24527" xr:uid="{00000000-0005-0000-0000-0000C90B0000}"/>
    <cellStyle name="20% - Accent2 3 5 7" xfId="11061" xr:uid="{00000000-0005-0000-0000-0000CA0B0000}"/>
    <cellStyle name="20% - Accent2 3 5 7 2" xfId="26210" xr:uid="{00000000-0005-0000-0000-0000CB0B0000}"/>
    <cellStyle name="20% - Accent2 3 5 8" xfId="12745" xr:uid="{00000000-0005-0000-0000-0000CC0B0000}"/>
    <cellStyle name="20% - Accent2 3 5 8 2" xfId="27894" xr:uid="{00000000-0005-0000-0000-0000CD0B0000}"/>
    <cellStyle name="20% - Accent2 3 5 9" xfId="14428" xr:uid="{00000000-0005-0000-0000-0000CE0B0000}"/>
    <cellStyle name="20% - Accent2 3 5 9 2" xfId="29577" xr:uid="{00000000-0005-0000-0000-0000CF0B0000}"/>
    <cellStyle name="20% - Accent2 3 6" xfId="1383" xr:uid="{00000000-0005-0000-0000-0000D00B0000}"/>
    <cellStyle name="20% - Accent2 3 6 10" xfId="16532" xr:uid="{00000000-0005-0000-0000-0000D10B0000}"/>
    <cellStyle name="20% - Accent2 3 6 11" xfId="31681" xr:uid="{00000000-0005-0000-0000-0000D20B0000}"/>
    <cellStyle name="20% - Accent2 3 6 12" xfId="33364" xr:uid="{00000000-0005-0000-0000-0000D30B0000}"/>
    <cellStyle name="20% - Accent2 3 6 13" xfId="35047" xr:uid="{00000000-0005-0000-0000-0000D40B0000}"/>
    <cellStyle name="20% - Accent2 3 6 14" xfId="36730" xr:uid="{00000000-0005-0000-0000-0000D50B0000}"/>
    <cellStyle name="20% - Accent2 3 6 15" xfId="38413" xr:uid="{00000000-0005-0000-0000-0000D60B0000}"/>
    <cellStyle name="20% - Accent2 3 6 16" xfId="40096" xr:uid="{00000000-0005-0000-0000-0000D70B0000}"/>
    <cellStyle name="20% - Accent2 3 6 17" xfId="41779" xr:uid="{00000000-0005-0000-0000-0000D80B0000}"/>
    <cellStyle name="20% - Accent2 3 6 18" xfId="43462" xr:uid="{00000000-0005-0000-0000-0000D90B0000}"/>
    <cellStyle name="20% - Accent2 3 6 19" xfId="45145" xr:uid="{00000000-0005-0000-0000-0000DA0B0000}"/>
    <cellStyle name="20% - Accent2 3 6 2" xfId="3066" xr:uid="{00000000-0005-0000-0000-0000DB0B0000}"/>
    <cellStyle name="20% - Accent2 3 6 2 2" xfId="18215" xr:uid="{00000000-0005-0000-0000-0000DC0B0000}"/>
    <cellStyle name="20% - Accent2 3 6 20" xfId="46828" xr:uid="{00000000-0005-0000-0000-0000DD0B0000}"/>
    <cellStyle name="20% - Accent2 3 6 21" xfId="48511" xr:uid="{00000000-0005-0000-0000-0000DE0B0000}"/>
    <cellStyle name="20% - Accent2 3 6 22" xfId="50194" xr:uid="{00000000-0005-0000-0000-0000DF0B0000}"/>
    <cellStyle name="20% - Accent2 3 6 23" xfId="51877" xr:uid="{00000000-0005-0000-0000-0000E00B0000}"/>
    <cellStyle name="20% - Accent2 3 6 24" xfId="53560" xr:uid="{00000000-0005-0000-0000-0000E10B0000}"/>
    <cellStyle name="20% - Accent2 3 6 25" xfId="55243" xr:uid="{00000000-0005-0000-0000-0000E20B0000}"/>
    <cellStyle name="20% - Accent2 3 6 26" xfId="56926" xr:uid="{00000000-0005-0000-0000-0000E30B0000}"/>
    <cellStyle name="20% - Accent2 3 6 27" xfId="58609" xr:uid="{00000000-0005-0000-0000-0000E40B0000}"/>
    <cellStyle name="20% - Accent2 3 6 28" xfId="60292" xr:uid="{00000000-0005-0000-0000-0000E50B0000}"/>
    <cellStyle name="20% - Accent2 3 6 29" xfId="61975" xr:uid="{00000000-0005-0000-0000-0000E60B0000}"/>
    <cellStyle name="20% - Accent2 3 6 3" xfId="4750" xr:uid="{00000000-0005-0000-0000-0000E70B0000}"/>
    <cellStyle name="20% - Accent2 3 6 3 2" xfId="19899" xr:uid="{00000000-0005-0000-0000-0000E80B0000}"/>
    <cellStyle name="20% - Accent2 3 6 30" xfId="63658" xr:uid="{00000000-0005-0000-0000-0000E90B0000}"/>
    <cellStyle name="20% - Accent2 3 6 4" xfId="6433" xr:uid="{00000000-0005-0000-0000-0000EA0B0000}"/>
    <cellStyle name="20% - Accent2 3 6 4 2" xfId="21582" xr:uid="{00000000-0005-0000-0000-0000EB0B0000}"/>
    <cellStyle name="20% - Accent2 3 6 5" xfId="8116" xr:uid="{00000000-0005-0000-0000-0000EC0B0000}"/>
    <cellStyle name="20% - Accent2 3 6 5 2" xfId="23265" xr:uid="{00000000-0005-0000-0000-0000ED0B0000}"/>
    <cellStyle name="20% - Accent2 3 6 6" xfId="9799" xr:uid="{00000000-0005-0000-0000-0000EE0B0000}"/>
    <cellStyle name="20% - Accent2 3 6 6 2" xfId="24948" xr:uid="{00000000-0005-0000-0000-0000EF0B0000}"/>
    <cellStyle name="20% - Accent2 3 6 7" xfId="11482" xr:uid="{00000000-0005-0000-0000-0000F00B0000}"/>
    <cellStyle name="20% - Accent2 3 6 7 2" xfId="26631" xr:uid="{00000000-0005-0000-0000-0000F10B0000}"/>
    <cellStyle name="20% - Accent2 3 6 8" xfId="13166" xr:uid="{00000000-0005-0000-0000-0000F20B0000}"/>
    <cellStyle name="20% - Accent2 3 6 8 2" xfId="28315" xr:uid="{00000000-0005-0000-0000-0000F30B0000}"/>
    <cellStyle name="20% - Accent2 3 6 9" xfId="14849" xr:uid="{00000000-0005-0000-0000-0000F40B0000}"/>
    <cellStyle name="20% - Accent2 3 6 9 2" xfId="29998" xr:uid="{00000000-0005-0000-0000-0000F50B0000}"/>
    <cellStyle name="20% - Accent2 3 7" xfId="1804" xr:uid="{00000000-0005-0000-0000-0000F60B0000}"/>
    <cellStyle name="20% - Accent2 3 7 2" xfId="16953" xr:uid="{00000000-0005-0000-0000-0000F70B0000}"/>
    <cellStyle name="20% - Accent2 3 8" xfId="3488" xr:uid="{00000000-0005-0000-0000-0000F80B0000}"/>
    <cellStyle name="20% - Accent2 3 8 2" xfId="18637" xr:uid="{00000000-0005-0000-0000-0000F90B0000}"/>
    <cellStyle name="20% - Accent2 3 9" xfId="5171" xr:uid="{00000000-0005-0000-0000-0000FA0B0000}"/>
    <cellStyle name="20% - Accent2 3 9 2" xfId="20320" xr:uid="{00000000-0005-0000-0000-0000FB0B0000}"/>
    <cellStyle name="20% - Accent2 30" xfId="50573" xr:uid="{00000000-0005-0000-0000-0000FC0B0000}"/>
    <cellStyle name="20% - Accent2 31" xfId="52256" xr:uid="{00000000-0005-0000-0000-0000FD0B0000}"/>
    <cellStyle name="20% - Accent2 32" xfId="53939" xr:uid="{00000000-0005-0000-0000-0000FE0B0000}"/>
    <cellStyle name="20% - Accent2 33" xfId="55622" xr:uid="{00000000-0005-0000-0000-0000FF0B0000}"/>
    <cellStyle name="20% - Accent2 34" xfId="57305" xr:uid="{00000000-0005-0000-0000-0000000C0000}"/>
    <cellStyle name="20% - Accent2 35" xfId="58988" xr:uid="{00000000-0005-0000-0000-0000010C0000}"/>
    <cellStyle name="20% - Accent2 36" xfId="60671" xr:uid="{00000000-0005-0000-0000-0000020C0000}"/>
    <cellStyle name="20% - Accent2 37" xfId="62354" xr:uid="{00000000-0005-0000-0000-0000030C0000}"/>
    <cellStyle name="20% - Accent2 4" xfId="184" xr:uid="{00000000-0005-0000-0000-0000040C0000}"/>
    <cellStyle name="20% - Accent2 4 10" xfId="8600" xr:uid="{00000000-0005-0000-0000-0000050C0000}"/>
    <cellStyle name="20% - Accent2 4 10 2" xfId="23749" xr:uid="{00000000-0005-0000-0000-0000060C0000}"/>
    <cellStyle name="20% - Accent2 4 11" xfId="10283" xr:uid="{00000000-0005-0000-0000-0000070C0000}"/>
    <cellStyle name="20% - Accent2 4 11 2" xfId="25432" xr:uid="{00000000-0005-0000-0000-0000080C0000}"/>
    <cellStyle name="20% - Accent2 4 12" xfId="11967" xr:uid="{00000000-0005-0000-0000-0000090C0000}"/>
    <cellStyle name="20% - Accent2 4 12 2" xfId="27116" xr:uid="{00000000-0005-0000-0000-00000A0C0000}"/>
    <cellStyle name="20% - Accent2 4 13" xfId="13650" xr:uid="{00000000-0005-0000-0000-00000B0C0000}"/>
    <cellStyle name="20% - Accent2 4 13 2" xfId="28799" xr:uid="{00000000-0005-0000-0000-00000C0C0000}"/>
    <cellStyle name="20% - Accent2 4 14" xfId="15333" xr:uid="{00000000-0005-0000-0000-00000D0C0000}"/>
    <cellStyle name="20% - Accent2 4 15" xfId="30482" xr:uid="{00000000-0005-0000-0000-00000E0C0000}"/>
    <cellStyle name="20% - Accent2 4 16" xfId="32165" xr:uid="{00000000-0005-0000-0000-00000F0C0000}"/>
    <cellStyle name="20% - Accent2 4 17" xfId="33848" xr:uid="{00000000-0005-0000-0000-0000100C0000}"/>
    <cellStyle name="20% - Accent2 4 18" xfId="35531" xr:uid="{00000000-0005-0000-0000-0000110C0000}"/>
    <cellStyle name="20% - Accent2 4 19" xfId="37214" xr:uid="{00000000-0005-0000-0000-0000120C0000}"/>
    <cellStyle name="20% - Accent2 4 2" xfId="394" xr:uid="{00000000-0005-0000-0000-0000130C0000}"/>
    <cellStyle name="20% - Accent2 4 2 10" xfId="10493" xr:uid="{00000000-0005-0000-0000-0000140C0000}"/>
    <cellStyle name="20% - Accent2 4 2 10 2" xfId="25642" xr:uid="{00000000-0005-0000-0000-0000150C0000}"/>
    <cellStyle name="20% - Accent2 4 2 11" xfId="12177" xr:uid="{00000000-0005-0000-0000-0000160C0000}"/>
    <cellStyle name="20% - Accent2 4 2 11 2" xfId="27326" xr:uid="{00000000-0005-0000-0000-0000170C0000}"/>
    <cellStyle name="20% - Accent2 4 2 12" xfId="13860" xr:uid="{00000000-0005-0000-0000-0000180C0000}"/>
    <cellStyle name="20% - Accent2 4 2 12 2" xfId="29009" xr:uid="{00000000-0005-0000-0000-0000190C0000}"/>
    <cellStyle name="20% - Accent2 4 2 13" xfId="15543" xr:uid="{00000000-0005-0000-0000-00001A0C0000}"/>
    <cellStyle name="20% - Accent2 4 2 14" xfId="30692" xr:uid="{00000000-0005-0000-0000-00001B0C0000}"/>
    <cellStyle name="20% - Accent2 4 2 15" xfId="32375" xr:uid="{00000000-0005-0000-0000-00001C0C0000}"/>
    <cellStyle name="20% - Accent2 4 2 16" xfId="34058" xr:uid="{00000000-0005-0000-0000-00001D0C0000}"/>
    <cellStyle name="20% - Accent2 4 2 17" xfId="35741" xr:uid="{00000000-0005-0000-0000-00001E0C0000}"/>
    <cellStyle name="20% - Accent2 4 2 18" xfId="37424" xr:uid="{00000000-0005-0000-0000-00001F0C0000}"/>
    <cellStyle name="20% - Accent2 4 2 19" xfId="39107" xr:uid="{00000000-0005-0000-0000-0000200C0000}"/>
    <cellStyle name="20% - Accent2 4 2 2" xfId="814" xr:uid="{00000000-0005-0000-0000-0000210C0000}"/>
    <cellStyle name="20% - Accent2 4 2 2 10" xfId="15963" xr:uid="{00000000-0005-0000-0000-0000220C0000}"/>
    <cellStyle name="20% - Accent2 4 2 2 11" xfId="31112" xr:uid="{00000000-0005-0000-0000-0000230C0000}"/>
    <cellStyle name="20% - Accent2 4 2 2 12" xfId="32795" xr:uid="{00000000-0005-0000-0000-0000240C0000}"/>
    <cellStyle name="20% - Accent2 4 2 2 13" xfId="34478" xr:uid="{00000000-0005-0000-0000-0000250C0000}"/>
    <cellStyle name="20% - Accent2 4 2 2 14" xfId="36161" xr:uid="{00000000-0005-0000-0000-0000260C0000}"/>
    <cellStyle name="20% - Accent2 4 2 2 15" xfId="37844" xr:uid="{00000000-0005-0000-0000-0000270C0000}"/>
    <cellStyle name="20% - Accent2 4 2 2 16" xfId="39527" xr:uid="{00000000-0005-0000-0000-0000280C0000}"/>
    <cellStyle name="20% - Accent2 4 2 2 17" xfId="41210" xr:uid="{00000000-0005-0000-0000-0000290C0000}"/>
    <cellStyle name="20% - Accent2 4 2 2 18" xfId="42893" xr:uid="{00000000-0005-0000-0000-00002A0C0000}"/>
    <cellStyle name="20% - Accent2 4 2 2 19" xfId="44576" xr:uid="{00000000-0005-0000-0000-00002B0C0000}"/>
    <cellStyle name="20% - Accent2 4 2 2 2" xfId="2497" xr:uid="{00000000-0005-0000-0000-00002C0C0000}"/>
    <cellStyle name="20% - Accent2 4 2 2 2 2" xfId="17646" xr:uid="{00000000-0005-0000-0000-00002D0C0000}"/>
    <cellStyle name="20% - Accent2 4 2 2 20" xfId="46259" xr:uid="{00000000-0005-0000-0000-00002E0C0000}"/>
    <cellStyle name="20% - Accent2 4 2 2 21" xfId="47942" xr:uid="{00000000-0005-0000-0000-00002F0C0000}"/>
    <cellStyle name="20% - Accent2 4 2 2 22" xfId="49625" xr:uid="{00000000-0005-0000-0000-0000300C0000}"/>
    <cellStyle name="20% - Accent2 4 2 2 23" xfId="51308" xr:uid="{00000000-0005-0000-0000-0000310C0000}"/>
    <cellStyle name="20% - Accent2 4 2 2 24" xfId="52991" xr:uid="{00000000-0005-0000-0000-0000320C0000}"/>
    <cellStyle name="20% - Accent2 4 2 2 25" xfId="54674" xr:uid="{00000000-0005-0000-0000-0000330C0000}"/>
    <cellStyle name="20% - Accent2 4 2 2 26" xfId="56357" xr:uid="{00000000-0005-0000-0000-0000340C0000}"/>
    <cellStyle name="20% - Accent2 4 2 2 27" xfId="58040" xr:uid="{00000000-0005-0000-0000-0000350C0000}"/>
    <cellStyle name="20% - Accent2 4 2 2 28" xfId="59723" xr:uid="{00000000-0005-0000-0000-0000360C0000}"/>
    <cellStyle name="20% - Accent2 4 2 2 29" xfId="61406" xr:uid="{00000000-0005-0000-0000-0000370C0000}"/>
    <cellStyle name="20% - Accent2 4 2 2 3" xfId="4181" xr:uid="{00000000-0005-0000-0000-0000380C0000}"/>
    <cellStyle name="20% - Accent2 4 2 2 3 2" xfId="19330" xr:uid="{00000000-0005-0000-0000-0000390C0000}"/>
    <cellStyle name="20% - Accent2 4 2 2 30" xfId="63089" xr:uid="{00000000-0005-0000-0000-00003A0C0000}"/>
    <cellStyle name="20% - Accent2 4 2 2 4" xfId="5864" xr:uid="{00000000-0005-0000-0000-00003B0C0000}"/>
    <cellStyle name="20% - Accent2 4 2 2 4 2" xfId="21013" xr:uid="{00000000-0005-0000-0000-00003C0C0000}"/>
    <cellStyle name="20% - Accent2 4 2 2 5" xfId="7547" xr:uid="{00000000-0005-0000-0000-00003D0C0000}"/>
    <cellStyle name="20% - Accent2 4 2 2 5 2" xfId="22696" xr:uid="{00000000-0005-0000-0000-00003E0C0000}"/>
    <cellStyle name="20% - Accent2 4 2 2 6" xfId="9230" xr:uid="{00000000-0005-0000-0000-00003F0C0000}"/>
    <cellStyle name="20% - Accent2 4 2 2 6 2" xfId="24379" xr:uid="{00000000-0005-0000-0000-0000400C0000}"/>
    <cellStyle name="20% - Accent2 4 2 2 7" xfId="10913" xr:uid="{00000000-0005-0000-0000-0000410C0000}"/>
    <cellStyle name="20% - Accent2 4 2 2 7 2" xfId="26062" xr:uid="{00000000-0005-0000-0000-0000420C0000}"/>
    <cellStyle name="20% - Accent2 4 2 2 8" xfId="12597" xr:uid="{00000000-0005-0000-0000-0000430C0000}"/>
    <cellStyle name="20% - Accent2 4 2 2 8 2" xfId="27746" xr:uid="{00000000-0005-0000-0000-0000440C0000}"/>
    <cellStyle name="20% - Accent2 4 2 2 9" xfId="14280" xr:uid="{00000000-0005-0000-0000-0000450C0000}"/>
    <cellStyle name="20% - Accent2 4 2 2 9 2" xfId="29429" xr:uid="{00000000-0005-0000-0000-0000460C0000}"/>
    <cellStyle name="20% - Accent2 4 2 20" xfId="40790" xr:uid="{00000000-0005-0000-0000-0000470C0000}"/>
    <cellStyle name="20% - Accent2 4 2 21" xfId="42473" xr:uid="{00000000-0005-0000-0000-0000480C0000}"/>
    <cellStyle name="20% - Accent2 4 2 22" xfId="44156" xr:uid="{00000000-0005-0000-0000-0000490C0000}"/>
    <cellStyle name="20% - Accent2 4 2 23" xfId="45839" xr:uid="{00000000-0005-0000-0000-00004A0C0000}"/>
    <cellStyle name="20% - Accent2 4 2 24" xfId="47522" xr:uid="{00000000-0005-0000-0000-00004B0C0000}"/>
    <cellStyle name="20% - Accent2 4 2 25" xfId="49205" xr:uid="{00000000-0005-0000-0000-00004C0C0000}"/>
    <cellStyle name="20% - Accent2 4 2 26" xfId="50888" xr:uid="{00000000-0005-0000-0000-00004D0C0000}"/>
    <cellStyle name="20% - Accent2 4 2 27" xfId="52571" xr:uid="{00000000-0005-0000-0000-00004E0C0000}"/>
    <cellStyle name="20% - Accent2 4 2 28" xfId="54254" xr:uid="{00000000-0005-0000-0000-00004F0C0000}"/>
    <cellStyle name="20% - Accent2 4 2 29" xfId="55937" xr:uid="{00000000-0005-0000-0000-0000500C0000}"/>
    <cellStyle name="20% - Accent2 4 2 3" xfId="1235" xr:uid="{00000000-0005-0000-0000-0000510C0000}"/>
    <cellStyle name="20% - Accent2 4 2 3 10" xfId="16384" xr:uid="{00000000-0005-0000-0000-0000520C0000}"/>
    <cellStyle name="20% - Accent2 4 2 3 11" xfId="31533" xr:uid="{00000000-0005-0000-0000-0000530C0000}"/>
    <cellStyle name="20% - Accent2 4 2 3 12" xfId="33216" xr:uid="{00000000-0005-0000-0000-0000540C0000}"/>
    <cellStyle name="20% - Accent2 4 2 3 13" xfId="34899" xr:uid="{00000000-0005-0000-0000-0000550C0000}"/>
    <cellStyle name="20% - Accent2 4 2 3 14" xfId="36582" xr:uid="{00000000-0005-0000-0000-0000560C0000}"/>
    <cellStyle name="20% - Accent2 4 2 3 15" xfId="38265" xr:uid="{00000000-0005-0000-0000-0000570C0000}"/>
    <cellStyle name="20% - Accent2 4 2 3 16" xfId="39948" xr:uid="{00000000-0005-0000-0000-0000580C0000}"/>
    <cellStyle name="20% - Accent2 4 2 3 17" xfId="41631" xr:uid="{00000000-0005-0000-0000-0000590C0000}"/>
    <cellStyle name="20% - Accent2 4 2 3 18" xfId="43314" xr:uid="{00000000-0005-0000-0000-00005A0C0000}"/>
    <cellStyle name="20% - Accent2 4 2 3 19" xfId="44997" xr:uid="{00000000-0005-0000-0000-00005B0C0000}"/>
    <cellStyle name="20% - Accent2 4 2 3 2" xfId="2918" xr:uid="{00000000-0005-0000-0000-00005C0C0000}"/>
    <cellStyle name="20% - Accent2 4 2 3 2 2" xfId="18067" xr:uid="{00000000-0005-0000-0000-00005D0C0000}"/>
    <cellStyle name="20% - Accent2 4 2 3 20" xfId="46680" xr:uid="{00000000-0005-0000-0000-00005E0C0000}"/>
    <cellStyle name="20% - Accent2 4 2 3 21" xfId="48363" xr:uid="{00000000-0005-0000-0000-00005F0C0000}"/>
    <cellStyle name="20% - Accent2 4 2 3 22" xfId="50046" xr:uid="{00000000-0005-0000-0000-0000600C0000}"/>
    <cellStyle name="20% - Accent2 4 2 3 23" xfId="51729" xr:uid="{00000000-0005-0000-0000-0000610C0000}"/>
    <cellStyle name="20% - Accent2 4 2 3 24" xfId="53412" xr:uid="{00000000-0005-0000-0000-0000620C0000}"/>
    <cellStyle name="20% - Accent2 4 2 3 25" xfId="55095" xr:uid="{00000000-0005-0000-0000-0000630C0000}"/>
    <cellStyle name="20% - Accent2 4 2 3 26" xfId="56778" xr:uid="{00000000-0005-0000-0000-0000640C0000}"/>
    <cellStyle name="20% - Accent2 4 2 3 27" xfId="58461" xr:uid="{00000000-0005-0000-0000-0000650C0000}"/>
    <cellStyle name="20% - Accent2 4 2 3 28" xfId="60144" xr:uid="{00000000-0005-0000-0000-0000660C0000}"/>
    <cellStyle name="20% - Accent2 4 2 3 29" xfId="61827" xr:uid="{00000000-0005-0000-0000-0000670C0000}"/>
    <cellStyle name="20% - Accent2 4 2 3 3" xfId="4602" xr:uid="{00000000-0005-0000-0000-0000680C0000}"/>
    <cellStyle name="20% - Accent2 4 2 3 3 2" xfId="19751" xr:uid="{00000000-0005-0000-0000-0000690C0000}"/>
    <cellStyle name="20% - Accent2 4 2 3 30" xfId="63510" xr:uid="{00000000-0005-0000-0000-00006A0C0000}"/>
    <cellStyle name="20% - Accent2 4 2 3 4" xfId="6285" xr:uid="{00000000-0005-0000-0000-00006B0C0000}"/>
    <cellStyle name="20% - Accent2 4 2 3 4 2" xfId="21434" xr:uid="{00000000-0005-0000-0000-00006C0C0000}"/>
    <cellStyle name="20% - Accent2 4 2 3 5" xfId="7968" xr:uid="{00000000-0005-0000-0000-00006D0C0000}"/>
    <cellStyle name="20% - Accent2 4 2 3 5 2" xfId="23117" xr:uid="{00000000-0005-0000-0000-00006E0C0000}"/>
    <cellStyle name="20% - Accent2 4 2 3 6" xfId="9651" xr:uid="{00000000-0005-0000-0000-00006F0C0000}"/>
    <cellStyle name="20% - Accent2 4 2 3 6 2" xfId="24800" xr:uid="{00000000-0005-0000-0000-0000700C0000}"/>
    <cellStyle name="20% - Accent2 4 2 3 7" xfId="11334" xr:uid="{00000000-0005-0000-0000-0000710C0000}"/>
    <cellStyle name="20% - Accent2 4 2 3 7 2" xfId="26483" xr:uid="{00000000-0005-0000-0000-0000720C0000}"/>
    <cellStyle name="20% - Accent2 4 2 3 8" xfId="13018" xr:uid="{00000000-0005-0000-0000-0000730C0000}"/>
    <cellStyle name="20% - Accent2 4 2 3 8 2" xfId="28167" xr:uid="{00000000-0005-0000-0000-0000740C0000}"/>
    <cellStyle name="20% - Accent2 4 2 3 9" xfId="14701" xr:uid="{00000000-0005-0000-0000-0000750C0000}"/>
    <cellStyle name="20% - Accent2 4 2 3 9 2" xfId="29850" xr:uid="{00000000-0005-0000-0000-0000760C0000}"/>
    <cellStyle name="20% - Accent2 4 2 30" xfId="57620" xr:uid="{00000000-0005-0000-0000-0000770C0000}"/>
    <cellStyle name="20% - Accent2 4 2 31" xfId="59303" xr:uid="{00000000-0005-0000-0000-0000780C0000}"/>
    <cellStyle name="20% - Accent2 4 2 32" xfId="60986" xr:uid="{00000000-0005-0000-0000-0000790C0000}"/>
    <cellStyle name="20% - Accent2 4 2 33" xfId="62669" xr:uid="{00000000-0005-0000-0000-00007A0C0000}"/>
    <cellStyle name="20% - Accent2 4 2 4" xfId="1656" xr:uid="{00000000-0005-0000-0000-00007B0C0000}"/>
    <cellStyle name="20% - Accent2 4 2 4 10" xfId="16805" xr:uid="{00000000-0005-0000-0000-00007C0C0000}"/>
    <cellStyle name="20% - Accent2 4 2 4 11" xfId="31954" xr:uid="{00000000-0005-0000-0000-00007D0C0000}"/>
    <cellStyle name="20% - Accent2 4 2 4 12" xfId="33637" xr:uid="{00000000-0005-0000-0000-00007E0C0000}"/>
    <cellStyle name="20% - Accent2 4 2 4 13" xfId="35320" xr:uid="{00000000-0005-0000-0000-00007F0C0000}"/>
    <cellStyle name="20% - Accent2 4 2 4 14" xfId="37003" xr:uid="{00000000-0005-0000-0000-0000800C0000}"/>
    <cellStyle name="20% - Accent2 4 2 4 15" xfId="38686" xr:uid="{00000000-0005-0000-0000-0000810C0000}"/>
    <cellStyle name="20% - Accent2 4 2 4 16" xfId="40369" xr:uid="{00000000-0005-0000-0000-0000820C0000}"/>
    <cellStyle name="20% - Accent2 4 2 4 17" xfId="42052" xr:uid="{00000000-0005-0000-0000-0000830C0000}"/>
    <cellStyle name="20% - Accent2 4 2 4 18" xfId="43735" xr:uid="{00000000-0005-0000-0000-0000840C0000}"/>
    <cellStyle name="20% - Accent2 4 2 4 19" xfId="45418" xr:uid="{00000000-0005-0000-0000-0000850C0000}"/>
    <cellStyle name="20% - Accent2 4 2 4 2" xfId="3339" xr:uid="{00000000-0005-0000-0000-0000860C0000}"/>
    <cellStyle name="20% - Accent2 4 2 4 2 2" xfId="18488" xr:uid="{00000000-0005-0000-0000-0000870C0000}"/>
    <cellStyle name="20% - Accent2 4 2 4 20" xfId="47101" xr:uid="{00000000-0005-0000-0000-0000880C0000}"/>
    <cellStyle name="20% - Accent2 4 2 4 21" xfId="48784" xr:uid="{00000000-0005-0000-0000-0000890C0000}"/>
    <cellStyle name="20% - Accent2 4 2 4 22" xfId="50467" xr:uid="{00000000-0005-0000-0000-00008A0C0000}"/>
    <cellStyle name="20% - Accent2 4 2 4 23" xfId="52150" xr:uid="{00000000-0005-0000-0000-00008B0C0000}"/>
    <cellStyle name="20% - Accent2 4 2 4 24" xfId="53833" xr:uid="{00000000-0005-0000-0000-00008C0C0000}"/>
    <cellStyle name="20% - Accent2 4 2 4 25" xfId="55516" xr:uid="{00000000-0005-0000-0000-00008D0C0000}"/>
    <cellStyle name="20% - Accent2 4 2 4 26" xfId="57199" xr:uid="{00000000-0005-0000-0000-00008E0C0000}"/>
    <cellStyle name="20% - Accent2 4 2 4 27" xfId="58882" xr:uid="{00000000-0005-0000-0000-00008F0C0000}"/>
    <cellStyle name="20% - Accent2 4 2 4 28" xfId="60565" xr:uid="{00000000-0005-0000-0000-0000900C0000}"/>
    <cellStyle name="20% - Accent2 4 2 4 29" xfId="62248" xr:uid="{00000000-0005-0000-0000-0000910C0000}"/>
    <cellStyle name="20% - Accent2 4 2 4 3" xfId="5023" xr:uid="{00000000-0005-0000-0000-0000920C0000}"/>
    <cellStyle name="20% - Accent2 4 2 4 3 2" xfId="20172" xr:uid="{00000000-0005-0000-0000-0000930C0000}"/>
    <cellStyle name="20% - Accent2 4 2 4 30" xfId="63931" xr:uid="{00000000-0005-0000-0000-0000940C0000}"/>
    <cellStyle name="20% - Accent2 4 2 4 4" xfId="6706" xr:uid="{00000000-0005-0000-0000-0000950C0000}"/>
    <cellStyle name="20% - Accent2 4 2 4 4 2" xfId="21855" xr:uid="{00000000-0005-0000-0000-0000960C0000}"/>
    <cellStyle name="20% - Accent2 4 2 4 5" xfId="8389" xr:uid="{00000000-0005-0000-0000-0000970C0000}"/>
    <cellStyle name="20% - Accent2 4 2 4 5 2" xfId="23538" xr:uid="{00000000-0005-0000-0000-0000980C0000}"/>
    <cellStyle name="20% - Accent2 4 2 4 6" xfId="10072" xr:uid="{00000000-0005-0000-0000-0000990C0000}"/>
    <cellStyle name="20% - Accent2 4 2 4 6 2" xfId="25221" xr:uid="{00000000-0005-0000-0000-00009A0C0000}"/>
    <cellStyle name="20% - Accent2 4 2 4 7" xfId="11755" xr:uid="{00000000-0005-0000-0000-00009B0C0000}"/>
    <cellStyle name="20% - Accent2 4 2 4 7 2" xfId="26904" xr:uid="{00000000-0005-0000-0000-00009C0C0000}"/>
    <cellStyle name="20% - Accent2 4 2 4 8" xfId="13439" xr:uid="{00000000-0005-0000-0000-00009D0C0000}"/>
    <cellStyle name="20% - Accent2 4 2 4 8 2" xfId="28588" xr:uid="{00000000-0005-0000-0000-00009E0C0000}"/>
    <cellStyle name="20% - Accent2 4 2 4 9" xfId="15122" xr:uid="{00000000-0005-0000-0000-00009F0C0000}"/>
    <cellStyle name="20% - Accent2 4 2 4 9 2" xfId="30271" xr:uid="{00000000-0005-0000-0000-0000A00C0000}"/>
    <cellStyle name="20% - Accent2 4 2 5" xfId="2077" xr:uid="{00000000-0005-0000-0000-0000A10C0000}"/>
    <cellStyle name="20% - Accent2 4 2 5 2" xfId="17226" xr:uid="{00000000-0005-0000-0000-0000A20C0000}"/>
    <cellStyle name="20% - Accent2 4 2 6" xfId="3761" xr:uid="{00000000-0005-0000-0000-0000A30C0000}"/>
    <cellStyle name="20% - Accent2 4 2 6 2" xfId="18910" xr:uid="{00000000-0005-0000-0000-0000A40C0000}"/>
    <cellStyle name="20% - Accent2 4 2 7" xfId="5444" xr:uid="{00000000-0005-0000-0000-0000A50C0000}"/>
    <cellStyle name="20% - Accent2 4 2 7 2" xfId="20593" xr:uid="{00000000-0005-0000-0000-0000A60C0000}"/>
    <cellStyle name="20% - Accent2 4 2 8" xfId="7127" xr:uid="{00000000-0005-0000-0000-0000A70C0000}"/>
    <cellStyle name="20% - Accent2 4 2 8 2" xfId="22276" xr:uid="{00000000-0005-0000-0000-0000A80C0000}"/>
    <cellStyle name="20% - Accent2 4 2 9" xfId="8810" xr:uid="{00000000-0005-0000-0000-0000A90C0000}"/>
    <cellStyle name="20% - Accent2 4 2 9 2" xfId="23959" xr:uid="{00000000-0005-0000-0000-0000AA0C0000}"/>
    <cellStyle name="20% - Accent2 4 20" xfId="38897" xr:uid="{00000000-0005-0000-0000-0000AB0C0000}"/>
    <cellStyle name="20% - Accent2 4 21" xfId="40580" xr:uid="{00000000-0005-0000-0000-0000AC0C0000}"/>
    <cellStyle name="20% - Accent2 4 22" xfId="42263" xr:uid="{00000000-0005-0000-0000-0000AD0C0000}"/>
    <cellStyle name="20% - Accent2 4 23" xfId="43946" xr:uid="{00000000-0005-0000-0000-0000AE0C0000}"/>
    <cellStyle name="20% - Accent2 4 24" xfId="45629" xr:uid="{00000000-0005-0000-0000-0000AF0C0000}"/>
    <cellStyle name="20% - Accent2 4 25" xfId="47312" xr:uid="{00000000-0005-0000-0000-0000B00C0000}"/>
    <cellStyle name="20% - Accent2 4 26" xfId="48995" xr:uid="{00000000-0005-0000-0000-0000B10C0000}"/>
    <cellStyle name="20% - Accent2 4 27" xfId="50678" xr:uid="{00000000-0005-0000-0000-0000B20C0000}"/>
    <cellStyle name="20% - Accent2 4 28" xfId="52361" xr:uid="{00000000-0005-0000-0000-0000B30C0000}"/>
    <cellStyle name="20% - Accent2 4 29" xfId="54044" xr:uid="{00000000-0005-0000-0000-0000B40C0000}"/>
    <cellStyle name="20% - Accent2 4 3" xfId="604" xr:uid="{00000000-0005-0000-0000-0000B50C0000}"/>
    <cellStyle name="20% - Accent2 4 3 10" xfId="15753" xr:uid="{00000000-0005-0000-0000-0000B60C0000}"/>
    <cellStyle name="20% - Accent2 4 3 11" xfId="30902" xr:uid="{00000000-0005-0000-0000-0000B70C0000}"/>
    <cellStyle name="20% - Accent2 4 3 12" xfId="32585" xr:uid="{00000000-0005-0000-0000-0000B80C0000}"/>
    <cellStyle name="20% - Accent2 4 3 13" xfId="34268" xr:uid="{00000000-0005-0000-0000-0000B90C0000}"/>
    <cellStyle name="20% - Accent2 4 3 14" xfId="35951" xr:uid="{00000000-0005-0000-0000-0000BA0C0000}"/>
    <cellStyle name="20% - Accent2 4 3 15" xfId="37634" xr:uid="{00000000-0005-0000-0000-0000BB0C0000}"/>
    <cellStyle name="20% - Accent2 4 3 16" xfId="39317" xr:uid="{00000000-0005-0000-0000-0000BC0C0000}"/>
    <cellStyle name="20% - Accent2 4 3 17" xfId="41000" xr:uid="{00000000-0005-0000-0000-0000BD0C0000}"/>
    <cellStyle name="20% - Accent2 4 3 18" xfId="42683" xr:uid="{00000000-0005-0000-0000-0000BE0C0000}"/>
    <cellStyle name="20% - Accent2 4 3 19" xfId="44366" xr:uid="{00000000-0005-0000-0000-0000BF0C0000}"/>
    <cellStyle name="20% - Accent2 4 3 2" xfId="2287" xr:uid="{00000000-0005-0000-0000-0000C00C0000}"/>
    <cellStyle name="20% - Accent2 4 3 2 2" xfId="17436" xr:uid="{00000000-0005-0000-0000-0000C10C0000}"/>
    <cellStyle name="20% - Accent2 4 3 20" xfId="46049" xr:uid="{00000000-0005-0000-0000-0000C20C0000}"/>
    <cellStyle name="20% - Accent2 4 3 21" xfId="47732" xr:uid="{00000000-0005-0000-0000-0000C30C0000}"/>
    <cellStyle name="20% - Accent2 4 3 22" xfId="49415" xr:uid="{00000000-0005-0000-0000-0000C40C0000}"/>
    <cellStyle name="20% - Accent2 4 3 23" xfId="51098" xr:uid="{00000000-0005-0000-0000-0000C50C0000}"/>
    <cellStyle name="20% - Accent2 4 3 24" xfId="52781" xr:uid="{00000000-0005-0000-0000-0000C60C0000}"/>
    <cellStyle name="20% - Accent2 4 3 25" xfId="54464" xr:uid="{00000000-0005-0000-0000-0000C70C0000}"/>
    <cellStyle name="20% - Accent2 4 3 26" xfId="56147" xr:uid="{00000000-0005-0000-0000-0000C80C0000}"/>
    <cellStyle name="20% - Accent2 4 3 27" xfId="57830" xr:uid="{00000000-0005-0000-0000-0000C90C0000}"/>
    <cellStyle name="20% - Accent2 4 3 28" xfId="59513" xr:uid="{00000000-0005-0000-0000-0000CA0C0000}"/>
    <cellStyle name="20% - Accent2 4 3 29" xfId="61196" xr:uid="{00000000-0005-0000-0000-0000CB0C0000}"/>
    <cellStyle name="20% - Accent2 4 3 3" xfId="3971" xr:uid="{00000000-0005-0000-0000-0000CC0C0000}"/>
    <cellStyle name="20% - Accent2 4 3 3 2" xfId="19120" xr:uid="{00000000-0005-0000-0000-0000CD0C0000}"/>
    <cellStyle name="20% - Accent2 4 3 30" xfId="62879" xr:uid="{00000000-0005-0000-0000-0000CE0C0000}"/>
    <cellStyle name="20% - Accent2 4 3 4" xfId="5654" xr:uid="{00000000-0005-0000-0000-0000CF0C0000}"/>
    <cellStyle name="20% - Accent2 4 3 4 2" xfId="20803" xr:uid="{00000000-0005-0000-0000-0000D00C0000}"/>
    <cellStyle name="20% - Accent2 4 3 5" xfId="7337" xr:uid="{00000000-0005-0000-0000-0000D10C0000}"/>
    <cellStyle name="20% - Accent2 4 3 5 2" xfId="22486" xr:uid="{00000000-0005-0000-0000-0000D20C0000}"/>
    <cellStyle name="20% - Accent2 4 3 6" xfId="9020" xr:uid="{00000000-0005-0000-0000-0000D30C0000}"/>
    <cellStyle name="20% - Accent2 4 3 6 2" xfId="24169" xr:uid="{00000000-0005-0000-0000-0000D40C0000}"/>
    <cellStyle name="20% - Accent2 4 3 7" xfId="10703" xr:uid="{00000000-0005-0000-0000-0000D50C0000}"/>
    <cellStyle name="20% - Accent2 4 3 7 2" xfId="25852" xr:uid="{00000000-0005-0000-0000-0000D60C0000}"/>
    <cellStyle name="20% - Accent2 4 3 8" xfId="12387" xr:uid="{00000000-0005-0000-0000-0000D70C0000}"/>
    <cellStyle name="20% - Accent2 4 3 8 2" xfId="27536" xr:uid="{00000000-0005-0000-0000-0000D80C0000}"/>
    <cellStyle name="20% - Accent2 4 3 9" xfId="14070" xr:uid="{00000000-0005-0000-0000-0000D90C0000}"/>
    <cellStyle name="20% - Accent2 4 3 9 2" xfId="29219" xr:uid="{00000000-0005-0000-0000-0000DA0C0000}"/>
    <cellStyle name="20% - Accent2 4 30" xfId="55727" xr:uid="{00000000-0005-0000-0000-0000DB0C0000}"/>
    <cellStyle name="20% - Accent2 4 31" xfId="57410" xr:uid="{00000000-0005-0000-0000-0000DC0C0000}"/>
    <cellStyle name="20% - Accent2 4 32" xfId="59093" xr:uid="{00000000-0005-0000-0000-0000DD0C0000}"/>
    <cellStyle name="20% - Accent2 4 33" xfId="60776" xr:uid="{00000000-0005-0000-0000-0000DE0C0000}"/>
    <cellStyle name="20% - Accent2 4 34" xfId="62459" xr:uid="{00000000-0005-0000-0000-0000DF0C0000}"/>
    <cellStyle name="20% - Accent2 4 4" xfId="1025" xr:uid="{00000000-0005-0000-0000-0000E00C0000}"/>
    <cellStyle name="20% - Accent2 4 4 10" xfId="16174" xr:uid="{00000000-0005-0000-0000-0000E10C0000}"/>
    <cellStyle name="20% - Accent2 4 4 11" xfId="31323" xr:uid="{00000000-0005-0000-0000-0000E20C0000}"/>
    <cellStyle name="20% - Accent2 4 4 12" xfId="33006" xr:uid="{00000000-0005-0000-0000-0000E30C0000}"/>
    <cellStyle name="20% - Accent2 4 4 13" xfId="34689" xr:uid="{00000000-0005-0000-0000-0000E40C0000}"/>
    <cellStyle name="20% - Accent2 4 4 14" xfId="36372" xr:uid="{00000000-0005-0000-0000-0000E50C0000}"/>
    <cellStyle name="20% - Accent2 4 4 15" xfId="38055" xr:uid="{00000000-0005-0000-0000-0000E60C0000}"/>
    <cellStyle name="20% - Accent2 4 4 16" xfId="39738" xr:uid="{00000000-0005-0000-0000-0000E70C0000}"/>
    <cellStyle name="20% - Accent2 4 4 17" xfId="41421" xr:uid="{00000000-0005-0000-0000-0000E80C0000}"/>
    <cellStyle name="20% - Accent2 4 4 18" xfId="43104" xr:uid="{00000000-0005-0000-0000-0000E90C0000}"/>
    <cellStyle name="20% - Accent2 4 4 19" xfId="44787" xr:uid="{00000000-0005-0000-0000-0000EA0C0000}"/>
    <cellStyle name="20% - Accent2 4 4 2" xfId="2708" xr:uid="{00000000-0005-0000-0000-0000EB0C0000}"/>
    <cellStyle name="20% - Accent2 4 4 2 2" xfId="17857" xr:uid="{00000000-0005-0000-0000-0000EC0C0000}"/>
    <cellStyle name="20% - Accent2 4 4 20" xfId="46470" xr:uid="{00000000-0005-0000-0000-0000ED0C0000}"/>
    <cellStyle name="20% - Accent2 4 4 21" xfId="48153" xr:uid="{00000000-0005-0000-0000-0000EE0C0000}"/>
    <cellStyle name="20% - Accent2 4 4 22" xfId="49836" xr:uid="{00000000-0005-0000-0000-0000EF0C0000}"/>
    <cellStyle name="20% - Accent2 4 4 23" xfId="51519" xr:uid="{00000000-0005-0000-0000-0000F00C0000}"/>
    <cellStyle name="20% - Accent2 4 4 24" xfId="53202" xr:uid="{00000000-0005-0000-0000-0000F10C0000}"/>
    <cellStyle name="20% - Accent2 4 4 25" xfId="54885" xr:uid="{00000000-0005-0000-0000-0000F20C0000}"/>
    <cellStyle name="20% - Accent2 4 4 26" xfId="56568" xr:uid="{00000000-0005-0000-0000-0000F30C0000}"/>
    <cellStyle name="20% - Accent2 4 4 27" xfId="58251" xr:uid="{00000000-0005-0000-0000-0000F40C0000}"/>
    <cellStyle name="20% - Accent2 4 4 28" xfId="59934" xr:uid="{00000000-0005-0000-0000-0000F50C0000}"/>
    <cellStyle name="20% - Accent2 4 4 29" xfId="61617" xr:uid="{00000000-0005-0000-0000-0000F60C0000}"/>
    <cellStyle name="20% - Accent2 4 4 3" xfId="4392" xr:uid="{00000000-0005-0000-0000-0000F70C0000}"/>
    <cellStyle name="20% - Accent2 4 4 3 2" xfId="19541" xr:uid="{00000000-0005-0000-0000-0000F80C0000}"/>
    <cellStyle name="20% - Accent2 4 4 30" xfId="63300" xr:uid="{00000000-0005-0000-0000-0000F90C0000}"/>
    <cellStyle name="20% - Accent2 4 4 4" xfId="6075" xr:uid="{00000000-0005-0000-0000-0000FA0C0000}"/>
    <cellStyle name="20% - Accent2 4 4 4 2" xfId="21224" xr:uid="{00000000-0005-0000-0000-0000FB0C0000}"/>
    <cellStyle name="20% - Accent2 4 4 5" xfId="7758" xr:uid="{00000000-0005-0000-0000-0000FC0C0000}"/>
    <cellStyle name="20% - Accent2 4 4 5 2" xfId="22907" xr:uid="{00000000-0005-0000-0000-0000FD0C0000}"/>
    <cellStyle name="20% - Accent2 4 4 6" xfId="9441" xr:uid="{00000000-0005-0000-0000-0000FE0C0000}"/>
    <cellStyle name="20% - Accent2 4 4 6 2" xfId="24590" xr:uid="{00000000-0005-0000-0000-0000FF0C0000}"/>
    <cellStyle name="20% - Accent2 4 4 7" xfId="11124" xr:uid="{00000000-0005-0000-0000-0000000D0000}"/>
    <cellStyle name="20% - Accent2 4 4 7 2" xfId="26273" xr:uid="{00000000-0005-0000-0000-0000010D0000}"/>
    <cellStyle name="20% - Accent2 4 4 8" xfId="12808" xr:uid="{00000000-0005-0000-0000-0000020D0000}"/>
    <cellStyle name="20% - Accent2 4 4 8 2" xfId="27957" xr:uid="{00000000-0005-0000-0000-0000030D0000}"/>
    <cellStyle name="20% - Accent2 4 4 9" xfId="14491" xr:uid="{00000000-0005-0000-0000-0000040D0000}"/>
    <cellStyle name="20% - Accent2 4 4 9 2" xfId="29640" xr:uid="{00000000-0005-0000-0000-0000050D0000}"/>
    <cellStyle name="20% - Accent2 4 5" xfId="1446" xr:uid="{00000000-0005-0000-0000-0000060D0000}"/>
    <cellStyle name="20% - Accent2 4 5 10" xfId="16595" xr:uid="{00000000-0005-0000-0000-0000070D0000}"/>
    <cellStyle name="20% - Accent2 4 5 11" xfId="31744" xr:uid="{00000000-0005-0000-0000-0000080D0000}"/>
    <cellStyle name="20% - Accent2 4 5 12" xfId="33427" xr:uid="{00000000-0005-0000-0000-0000090D0000}"/>
    <cellStyle name="20% - Accent2 4 5 13" xfId="35110" xr:uid="{00000000-0005-0000-0000-00000A0D0000}"/>
    <cellStyle name="20% - Accent2 4 5 14" xfId="36793" xr:uid="{00000000-0005-0000-0000-00000B0D0000}"/>
    <cellStyle name="20% - Accent2 4 5 15" xfId="38476" xr:uid="{00000000-0005-0000-0000-00000C0D0000}"/>
    <cellStyle name="20% - Accent2 4 5 16" xfId="40159" xr:uid="{00000000-0005-0000-0000-00000D0D0000}"/>
    <cellStyle name="20% - Accent2 4 5 17" xfId="41842" xr:uid="{00000000-0005-0000-0000-00000E0D0000}"/>
    <cellStyle name="20% - Accent2 4 5 18" xfId="43525" xr:uid="{00000000-0005-0000-0000-00000F0D0000}"/>
    <cellStyle name="20% - Accent2 4 5 19" xfId="45208" xr:uid="{00000000-0005-0000-0000-0000100D0000}"/>
    <cellStyle name="20% - Accent2 4 5 2" xfId="3129" xr:uid="{00000000-0005-0000-0000-0000110D0000}"/>
    <cellStyle name="20% - Accent2 4 5 2 2" xfId="18278" xr:uid="{00000000-0005-0000-0000-0000120D0000}"/>
    <cellStyle name="20% - Accent2 4 5 20" xfId="46891" xr:uid="{00000000-0005-0000-0000-0000130D0000}"/>
    <cellStyle name="20% - Accent2 4 5 21" xfId="48574" xr:uid="{00000000-0005-0000-0000-0000140D0000}"/>
    <cellStyle name="20% - Accent2 4 5 22" xfId="50257" xr:uid="{00000000-0005-0000-0000-0000150D0000}"/>
    <cellStyle name="20% - Accent2 4 5 23" xfId="51940" xr:uid="{00000000-0005-0000-0000-0000160D0000}"/>
    <cellStyle name="20% - Accent2 4 5 24" xfId="53623" xr:uid="{00000000-0005-0000-0000-0000170D0000}"/>
    <cellStyle name="20% - Accent2 4 5 25" xfId="55306" xr:uid="{00000000-0005-0000-0000-0000180D0000}"/>
    <cellStyle name="20% - Accent2 4 5 26" xfId="56989" xr:uid="{00000000-0005-0000-0000-0000190D0000}"/>
    <cellStyle name="20% - Accent2 4 5 27" xfId="58672" xr:uid="{00000000-0005-0000-0000-00001A0D0000}"/>
    <cellStyle name="20% - Accent2 4 5 28" xfId="60355" xr:uid="{00000000-0005-0000-0000-00001B0D0000}"/>
    <cellStyle name="20% - Accent2 4 5 29" xfId="62038" xr:uid="{00000000-0005-0000-0000-00001C0D0000}"/>
    <cellStyle name="20% - Accent2 4 5 3" xfId="4813" xr:uid="{00000000-0005-0000-0000-00001D0D0000}"/>
    <cellStyle name="20% - Accent2 4 5 3 2" xfId="19962" xr:uid="{00000000-0005-0000-0000-00001E0D0000}"/>
    <cellStyle name="20% - Accent2 4 5 30" xfId="63721" xr:uid="{00000000-0005-0000-0000-00001F0D0000}"/>
    <cellStyle name="20% - Accent2 4 5 4" xfId="6496" xr:uid="{00000000-0005-0000-0000-0000200D0000}"/>
    <cellStyle name="20% - Accent2 4 5 4 2" xfId="21645" xr:uid="{00000000-0005-0000-0000-0000210D0000}"/>
    <cellStyle name="20% - Accent2 4 5 5" xfId="8179" xr:uid="{00000000-0005-0000-0000-0000220D0000}"/>
    <cellStyle name="20% - Accent2 4 5 5 2" xfId="23328" xr:uid="{00000000-0005-0000-0000-0000230D0000}"/>
    <cellStyle name="20% - Accent2 4 5 6" xfId="9862" xr:uid="{00000000-0005-0000-0000-0000240D0000}"/>
    <cellStyle name="20% - Accent2 4 5 6 2" xfId="25011" xr:uid="{00000000-0005-0000-0000-0000250D0000}"/>
    <cellStyle name="20% - Accent2 4 5 7" xfId="11545" xr:uid="{00000000-0005-0000-0000-0000260D0000}"/>
    <cellStyle name="20% - Accent2 4 5 7 2" xfId="26694" xr:uid="{00000000-0005-0000-0000-0000270D0000}"/>
    <cellStyle name="20% - Accent2 4 5 8" xfId="13229" xr:uid="{00000000-0005-0000-0000-0000280D0000}"/>
    <cellStyle name="20% - Accent2 4 5 8 2" xfId="28378" xr:uid="{00000000-0005-0000-0000-0000290D0000}"/>
    <cellStyle name="20% - Accent2 4 5 9" xfId="14912" xr:uid="{00000000-0005-0000-0000-00002A0D0000}"/>
    <cellStyle name="20% - Accent2 4 5 9 2" xfId="30061" xr:uid="{00000000-0005-0000-0000-00002B0D0000}"/>
    <cellStyle name="20% - Accent2 4 6" xfId="1867" xr:uid="{00000000-0005-0000-0000-00002C0D0000}"/>
    <cellStyle name="20% - Accent2 4 6 2" xfId="17016" xr:uid="{00000000-0005-0000-0000-00002D0D0000}"/>
    <cellStyle name="20% - Accent2 4 7" xfId="3551" xr:uid="{00000000-0005-0000-0000-00002E0D0000}"/>
    <cellStyle name="20% - Accent2 4 7 2" xfId="18700" xr:uid="{00000000-0005-0000-0000-00002F0D0000}"/>
    <cellStyle name="20% - Accent2 4 8" xfId="5234" xr:uid="{00000000-0005-0000-0000-0000300D0000}"/>
    <cellStyle name="20% - Accent2 4 8 2" xfId="20383" xr:uid="{00000000-0005-0000-0000-0000310D0000}"/>
    <cellStyle name="20% - Accent2 4 9" xfId="6917" xr:uid="{00000000-0005-0000-0000-0000320D0000}"/>
    <cellStyle name="20% - Accent2 4 9 2" xfId="22066" xr:uid="{00000000-0005-0000-0000-0000330D0000}"/>
    <cellStyle name="20% - Accent2 5" xfId="289" xr:uid="{00000000-0005-0000-0000-0000340D0000}"/>
    <cellStyle name="20% - Accent2 5 10" xfId="10388" xr:uid="{00000000-0005-0000-0000-0000350D0000}"/>
    <cellStyle name="20% - Accent2 5 10 2" xfId="25537" xr:uid="{00000000-0005-0000-0000-0000360D0000}"/>
    <cellStyle name="20% - Accent2 5 11" xfId="12072" xr:uid="{00000000-0005-0000-0000-0000370D0000}"/>
    <cellStyle name="20% - Accent2 5 11 2" xfId="27221" xr:uid="{00000000-0005-0000-0000-0000380D0000}"/>
    <cellStyle name="20% - Accent2 5 12" xfId="13755" xr:uid="{00000000-0005-0000-0000-0000390D0000}"/>
    <cellStyle name="20% - Accent2 5 12 2" xfId="28904" xr:uid="{00000000-0005-0000-0000-00003A0D0000}"/>
    <cellStyle name="20% - Accent2 5 13" xfId="15438" xr:uid="{00000000-0005-0000-0000-00003B0D0000}"/>
    <cellStyle name="20% - Accent2 5 14" xfId="30587" xr:uid="{00000000-0005-0000-0000-00003C0D0000}"/>
    <cellStyle name="20% - Accent2 5 15" xfId="32270" xr:uid="{00000000-0005-0000-0000-00003D0D0000}"/>
    <cellStyle name="20% - Accent2 5 16" xfId="33953" xr:uid="{00000000-0005-0000-0000-00003E0D0000}"/>
    <cellStyle name="20% - Accent2 5 17" xfId="35636" xr:uid="{00000000-0005-0000-0000-00003F0D0000}"/>
    <cellStyle name="20% - Accent2 5 18" xfId="37319" xr:uid="{00000000-0005-0000-0000-0000400D0000}"/>
    <cellStyle name="20% - Accent2 5 19" xfId="39002" xr:uid="{00000000-0005-0000-0000-0000410D0000}"/>
    <cellStyle name="20% - Accent2 5 2" xfId="709" xr:uid="{00000000-0005-0000-0000-0000420D0000}"/>
    <cellStyle name="20% - Accent2 5 2 10" xfId="15858" xr:uid="{00000000-0005-0000-0000-0000430D0000}"/>
    <cellStyle name="20% - Accent2 5 2 11" xfId="31007" xr:uid="{00000000-0005-0000-0000-0000440D0000}"/>
    <cellStyle name="20% - Accent2 5 2 12" xfId="32690" xr:uid="{00000000-0005-0000-0000-0000450D0000}"/>
    <cellStyle name="20% - Accent2 5 2 13" xfId="34373" xr:uid="{00000000-0005-0000-0000-0000460D0000}"/>
    <cellStyle name="20% - Accent2 5 2 14" xfId="36056" xr:uid="{00000000-0005-0000-0000-0000470D0000}"/>
    <cellStyle name="20% - Accent2 5 2 15" xfId="37739" xr:uid="{00000000-0005-0000-0000-0000480D0000}"/>
    <cellStyle name="20% - Accent2 5 2 16" xfId="39422" xr:uid="{00000000-0005-0000-0000-0000490D0000}"/>
    <cellStyle name="20% - Accent2 5 2 17" xfId="41105" xr:uid="{00000000-0005-0000-0000-00004A0D0000}"/>
    <cellStyle name="20% - Accent2 5 2 18" xfId="42788" xr:uid="{00000000-0005-0000-0000-00004B0D0000}"/>
    <cellStyle name="20% - Accent2 5 2 19" xfId="44471" xr:uid="{00000000-0005-0000-0000-00004C0D0000}"/>
    <cellStyle name="20% - Accent2 5 2 2" xfId="2392" xr:uid="{00000000-0005-0000-0000-00004D0D0000}"/>
    <cellStyle name="20% - Accent2 5 2 2 2" xfId="17541" xr:uid="{00000000-0005-0000-0000-00004E0D0000}"/>
    <cellStyle name="20% - Accent2 5 2 20" xfId="46154" xr:uid="{00000000-0005-0000-0000-00004F0D0000}"/>
    <cellStyle name="20% - Accent2 5 2 21" xfId="47837" xr:uid="{00000000-0005-0000-0000-0000500D0000}"/>
    <cellStyle name="20% - Accent2 5 2 22" xfId="49520" xr:uid="{00000000-0005-0000-0000-0000510D0000}"/>
    <cellStyle name="20% - Accent2 5 2 23" xfId="51203" xr:uid="{00000000-0005-0000-0000-0000520D0000}"/>
    <cellStyle name="20% - Accent2 5 2 24" xfId="52886" xr:uid="{00000000-0005-0000-0000-0000530D0000}"/>
    <cellStyle name="20% - Accent2 5 2 25" xfId="54569" xr:uid="{00000000-0005-0000-0000-0000540D0000}"/>
    <cellStyle name="20% - Accent2 5 2 26" xfId="56252" xr:uid="{00000000-0005-0000-0000-0000550D0000}"/>
    <cellStyle name="20% - Accent2 5 2 27" xfId="57935" xr:uid="{00000000-0005-0000-0000-0000560D0000}"/>
    <cellStyle name="20% - Accent2 5 2 28" xfId="59618" xr:uid="{00000000-0005-0000-0000-0000570D0000}"/>
    <cellStyle name="20% - Accent2 5 2 29" xfId="61301" xr:uid="{00000000-0005-0000-0000-0000580D0000}"/>
    <cellStyle name="20% - Accent2 5 2 3" xfId="4076" xr:uid="{00000000-0005-0000-0000-0000590D0000}"/>
    <cellStyle name="20% - Accent2 5 2 3 2" xfId="19225" xr:uid="{00000000-0005-0000-0000-00005A0D0000}"/>
    <cellStyle name="20% - Accent2 5 2 30" xfId="62984" xr:uid="{00000000-0005-0000-0000-00005B0D0000}"/>
    <cellStyle name="20% - Accent2 5 2 4" xfId="5759" xr:uid="{00000000-0005-0000-0000-00005C0D0000}"/>
    <cellStyle name="20% - Accent2 5 2 4 2" xfId="20908" xr:uid="{00000000-0005-0000-0000-00005D0D0000}"/>
    <cellStyle name="20% - Accent2 5 2 5" xfId="7442" xr:uid="{00000000-0005-0000-0000-00005E0D0000}"/>
    <cellStyle name="20% - Accent2 5 2 5 2" xfId="22591" xr:uid="{00000000-0005-0000-0000-00005F0D0000}"/>
    <cellStyle name="20% - Accent2 5 2 6" xfId="9125" xr:uid="{00000000-0005-0000-0000-0000600D0000}"/>
    <cellStyle name="20% - Accent2 5 2 6 2" xfId="24274" xr:uid="{00000000-0005-0000-0000-0000610D0000}"/>
    <cellStyle name="20% - Accent2 5 2 7" xfId="10808" xr:uid="{00000000-0005-0000-0000-0000620D0000}"/>
    <cellStyle name="20% - Accent2 5 2 7 2" xfId="25957" xr:uid="{00000000-0005-0000-0000-0000630D0000}"/>
    <cellStyle name="20% - Accent2 5 2 8" xfId="12492" xr:uid="{00000000-0005-0000-0000-0000640D0000}"/>
    <cellStyle name="20% - Accent2 5 2 8 2" xfId="27641" xr:uid="{00000000-0005-0000-0000-0000650D0000}"/>
    <cellStyle name="20% - Accent2 5 2 9" xfId="14175" xr:uid="{00000000-0005-0000-0000-0000660D0000}"/>
    <cellStyle name="20% - Accent2 5 2 9 2" xfId="29324" xr:uid="{00000000-0005-0000-0000-0000670D0000}"/>
    <cellStyle name="20% - Accent2 5 20" xfId="40685" xr:uid="{00000000-0005-0000-0000-0000680D0000}"/>
    <cellStyle name="20% - Accent2 5 21" xfId="42368" xr:uid="{00000000-0005-0000-0000-0000690D0000}"/>
    <cellStyle name="20% - Accent2 5 22" xfId="44051" xr:uid="{00000000-0005-0000-0000-00006A0D0000}"/>
    <cellStyle name="20% - Accent2 5 23" xfId="45734" xr:uid="{00000000-0005-0000-0000-00006B0D0000}"/>
    <cellStyle name="20% - Accent2 5 24" xfId="47417" xr:uid="{00000000-0005-0000-0000-00006C0D0000}"/>
    <cellStyle name="20% - Accent2 5 25" xfId="49100" xr:uid="{00000000-0005-0000-0000-00006D0D0000}"/>
    <cellStyle name="20% - Accent2 5 26" xfId="50783" xr:uid="{00000000-0005-0000-0000-00006E0D0000}"/>
    <cellStyle name="20% - Accent2 5 27" xfId="52466" xr:uid="{00000000-0005-0000-0000-00006F0D0000}"/>
    <cellStyle name="20% - Accent2 5 28" xfId="54149" xr:uid="{00000000-0005-0000-0000-0000700D0000}"/>
    <cellStyle name="20% - Accent2 5 29" xfId="55832" xr:uid="{00000000-0005-0000-0000-0000710D0000}"/>
    <cellStyle name="20% - Accent2 5 3" xfId="1130" xr:uid="{00000000-0005-0000-0000-0000720D0000}"/>
    <cellStyle name="20% - Accent2 5 3 10" xfId="16279" xr:uid="{00000000-0005-0000-0000-0000730D0000}"/>
    <cellStyle name="20% - Accent2 5 3 11" xfId="31428" xr:uid="{00000000-0005-0000-0000-0000740D0000}"/>
    <cellStyle name="20% - Accent2 5 3 12" xfId="33111" xr:uid="{00000000-0005-0000-0000-0000750D0000}"/>
    <cellStyle name="20% - Accent2 5 3 13" xfId="34794" xr:uid="{00000000-0005-0000-0000-0000760D0000}"/>
    <cellStyle name="20% - Accent2 5 3 14" xfId="36477" xr:uid="{00000000-0005-0000-0000-0000770D0000}"/>
    <cellStyle name="20% - Accent2 5 3 15" xfId="38160" xr:uid="{00000000-0005-0000-0000-0000780D0000}"/>
    <cellStyle name="20% - Accent2 5 3 16" xfId="39843" xr:uid="{00000000-0005-0000-0000-0000790D0000}"/>
    <cellStyle name="20% - Accent2 5 3 17" xfId="41526" xr:uid="{00000000-0005-0000-0000-00007A0D0000}"/>
    <cellStyle name="20% - Accent2 5 3 18" xfId="43209" xr:uid="{00000000-0005-0000-0000-00007B0D0000}"/>
    <cellStyle name="20% - Accent2 5 3 19" xfId="44892" xr:uid="{00000000-0005-0000-0000-00007C0D0000}"/>
    <cellStyle name="20% - Accent2 5 3 2" xfId="2813" xr:uid="{00000000-0005-0000-0000-00007D0D0000}"/>
    <cellStyle name="20% - Accent2 5 3 2 2" xfId="17962" xr:uid="{00000000-0005-0000-0000-00007E0D0000}"/>
    <cellStyle name="20% - Accent2 5 3 20" xfId="46575" xr:uid="{00000000-0005-0000-0000-00007F0D0000}"/>
    <cellStyle name="20% - Accent2 5 3 21" xfId="48258" xr:uid="{00000000-0005-0000-0000-0000800D0000}"/>
    <cellStyle name="20% - Accent2 5 3 22" xfId="49941" xr:uid="{00000000-0005-0000-0000-0000810D0000}"/>
    <cellStyle name="20% - Accent2 5 3 23" xfId="51624" xr:uid="{00000000-0005-0000-0000-0000820D0000}"/>
    <cellStyle name="20% - Accent2 5 3 24" xfId="53307" xr:uid="{00000000-0005-0000-0000-0000830D0000}"/>
    <cellStyle name="20% - Accent2 5 3 25" xfId="54990" xr:uid="{00000000-0005-0000-0000-0000840D0000}"/>
    <cellStyle name="20% - Accent2 5 3 26" xfId="56673" xr:uid="{00000000-0005-0000-0000-0000850D0000}"/>
    <cellStyle name="20% - Accent2 5 3 27" xfId="58356" xr:uid="{00000000-0005-0000-0000-0000860D0000}"/>
    <cellStyle name="20% - Accent2 5 3 28" xfId="60039" xr:uid="{00000000-0005-0000-0000-0000870D0000}"/>
    <cellStyle name="20% - Accent2 5 3 29" xfId="61722" xr:uid="{00000000-0005-0000-0000-0000880D0000}"/>
    <cellStyle name="20% - Accent2 5 3 3" xfId="4497" xr:uid="{00000000-0005-0000-0000-0000890D0000}"/>
    <cellStyle name="20% - Accent2 5 3 3 2" xfId="19646" xr:uid="{00000000-0005-0000-0000-00008A0D0000}"/>
    <cellStyle name="20% - Accent2 5 3 30" xfId="63405" xr:uid="{00000000-0005-0000-0000-00008B0D0000}"/>
    <cellStyle name="20% - Accent2 5 3 4" xfId="6180" xr:uid="{00000000-0005-0000-0000-00008C0D0000}"/>
    <cellStyle name="20% - Accent2 5 3 4 2" xfId="21329" xr:uid="{00000000-0005-0000-0000-00008D0D0000}"/>
    <cellStyle name="20% - Accent2 5 3 5" xfId="7863" xr:uid="{00000000-0005-0000-0000-00008E0D0000}"/>
    <cellStyle name="20% - Accent2 5 3 5 2" xfId="23012" xr:uid="{00000000-0005-0000-0000-00008F0D0000}"/>
    <cellStyle name="20% - Accent2 5 3 6" xfId="9546" xr:uid="{00000000-0005-0000-0000-0000900D0000}"/>
    <cellStyle name="20% - Accent2 5 3 6 2" xfId="24695" xr:uid="{00000000-0005-0000-0000-0000910D0000}"/>
    <cellStyle name="20% - Accent2 5 3 7" xfId="11229" xr:uid="{00000000-0005-0000-0000-0000920D0000}"/>
    <cellStyle name="20% - Accent2 5 3 7 2" xfId="26378" xr:uid="{00000000-0005-0000-0000-0000930D0000}"/>
    <cellStyle name="20% - Accent2 5 3 8" xfId="12913" xr:uid="{00000000-0005-0000-0000-0000940D0000}"/>
    <cellStyle name="20% - Accent2 5 3 8 2" xfId="28062" xr:uid="{00000000-0005-0000-0000-0000950D0000}"/>
    <cellStyle name="20% - Accent2 5 3 9" xfId="14596" xr:uid="{00000000-0005-0000-0000-0000960D0000}"/>
    <cellStyle name="20% - Accent2 5 3 9 2" xfId="29745" xr:uid="{00000000-0005-0000-0000-0000970D0000}"/>
    <cellStyle name="20% - Accent2 5 30" xfId="57515" xr:uid="{00000000-0005-0000-0000-0000980D0000}"/>
    <cellStyle name="20% - Accent2 5 31" xfId="59198" xr:uid="{00000000-0005-0000-0000-0000990D0000}"/>
    <cellStyle name="20% - Accent2 5 32" xfId="60881" xr:uid="{00000000-0005-0000-0000-00009A0D0000}"/>
    <cellStyle name="20% - Accent2 5 33" xfId="62564" xr:uid="{00000000-0005-0000-0000-00009B0D0000}"/>
    <cellStyle name="20% - Accent2 5 4" xfId="1551" xr:uid="{00000000-0005-0000-0000-00009C0D0000}"/>
    <cellStyle name="20% - Accent2 5 4 10" xfId="16700" xr:uid="{00000000-0005-0000-0000-00009D0D0000}"/>
    <cellStyle name="20% - Accent2 5 4 11" xfId="31849" xr:uid="{00000000-0005-0000-0000-00009E0D0000}"/>
    <cellStyle name="20% - Accent2 5 4 12" xfId="33532" xr:uid="{00000000-0005-0000-0000-00009F0D0000}"/>
    <cellStyle name="20% - Accent2 5 4 13" xfId="35215" xr:uid="{00000000-0005-0000-0000-0000A00D0000}"/>
    <cellStyle name="20% - Accent2 5 4 14" xfId="36898" xr:uid="{00000000-0005-0000-0000-0000A10D0000}"/>
    <cellStyle name="20% - Accent2 5 4 15" xfId="38581" xr:uid="{00000000-0005-0000-0000-0000A20D0000}"/>
    <cellStyle name="20% - Accent2 5 4 16" xfId="40264" xr:uid="{00000000-0005-0000-0000-0000A30D0000}"/>
    <cellStyle name="20% - Accent2 5 4 17" xfId="41947" xr:uid="{00000000-0005-0000-0000-0000A40D0000}"/>
    <cellStyle name="20% - Accent2 5 4 18" xfId="43630" xr:uid="{00000000-0005-0000-0000-0000A50D0000}"/>
    <cellStyle name="20% - Accent2 5 4 19" xfId="45313" xr:uid="{00000000-0005-0000-0000-0000A60D0000}"/>
    <cellStyle name="20% - Accent2 5 4 2" xfId="3234" xr:uid="{00000000-0005-0000-0000-0000A70D0000}"/>
    <cellStyle name="20% - Accent2 5 4 2 2" xfId="18383" xr:uid="{00000000-0005-0000-0000-0000A80D0000}"/>
    <cellStyle name="20% - Accent2 5 4 20" xfId="46996" xr:uid="{00000000-0005-0000-0000-0000A90D0000}"/>
    <cellStyle name="20% - Accent2 5 4 21" xfId="48679" xr:uid="{00000000-0005-0000-0000-0000AA0D0000}"/>
    <cellStyle name="20% - Accent2 5 4 22" xfId="50362" xr:uid="{00000000-0005-0000-0000-0000AB0D0000}"/>
    <cellStyle name="20% - Accent2 5 4 23" xfId="52045" xr:uid="{00000000-0005-0000-0000-0000AC0D0000}"/>
    <cellStyle name="20% - Accent2 5 4 24" xfId="53728" xr:uid="{00000000-0005-0000-0000-0000AD0D0000}"/>
    <cellStyle name="20% - Accent2 5 4 25" xfId="55411" xr:uid="{00000000-0005-0000-0000-0000AE0D0000}"/>
    <cellStyle name="20% - Accent2 5 4 26" xfId="57094" xr:uid="{00000000-0005-0000-0000-0000AF0D0000}"/>
    <cellStyle name="20% - Accent2 5 4 27" xfId="58777" xr:uid="{00000000-0005-0000-0000-0000B00D0000}"/>
    <cellStyle name="20% - Accent2 5 4 28" xfId="60460" xr:uid="{00000000-0005-0000-0000-0000B10D0000}"/>
    <cellStyle name="20% - Accent2 5 4 29" xfId="62143" xr:uid="{00000000-0005-0000-0000-0000B20D0000}"/>
    <cellStyle name="20% - Accent2 5 4 3" xfId="4918" xr:uid="{00000000-0005-0000-0000-0000B30D0000}"/>
    <cellStyle name="20% - Accent2 5 4 3 2" xfId="20067" xr:uid="{00000000-0005-0000-0000-0000B40D0000}"/>
    <cellStyle name="20% - Accent2 5 4 30" xfId="63826" xr:uid="{00000000-0005-0000-0000-0000B50D0000}"/>
    <cellStyle name="20% - Accent2 5 4 4" xfId="6601" xr:uid="{00000000-0005-0000-0000-0000B60D0000}"/>
    <cellStyle name="20% - Accent2 5 4 4 2" xfId="21750" xr:uid="{00000000-0005-0000-0000-0000B70D0000}"/>
    <cellStyle name="20% - Accent2 5 4 5" xfId="8284" xr:uid="{00000000-0005-0000-0000-0000B80D0000}"/>
    <cellStyle name="20% - Accent2 5 4 5 2" xfId="23433" xr:uid="{00000000-0005-0000-0000-0000B90D0000}"/>
    <cellStyle name="20% - Accent2 5 4 6" xfId="9967" xr:uid="{00000000-0005-0000-0000-0000BA0D0000}"/>
    <cellStyle name="20% - Accent2 5 4 6 2" xfId="25116" xr:uid="{00000000-0005-0000-0000-0000BB0D0000}"/>
    <cellStyle name="20% - Accent2 5 4 7" xfId="11650" xr:uid="{00000000-0005-0000-0000-0000BC0D0000}"/>
    <cellStyle name="20% - Accent2 5 4 7 2" xfId="26799" xr:uid="{00000000-0005-0000-0000-0000BD0D0000}"/>
    <cellStyle name="20% - Accent2 5 4 8" xfId="13334" xr:uid="{00000000-0005-0000-0000-0000BE0D0000}"/>
    <cellStyle name="20% - Accent2 5 4 8 2" xfId="28483" xr:uid="{00000000-0005-0000-0000-0000BF0D0000}"/>
    <cellStyle name="20% - Accent2 5 4 9" xfId="15017" xr:uid="{00000000-0005-0000-0000-0000C00D0000}"/>
    <cellStyle name="20% - Accent2 5 4 9 2" xfId="30166" xr:uid="{00000000-0005-0000-0000-0000C10D0000}"/>
    <cellStyle name="20% - Accent2 5 5" xfId="1972" xr:uid="{00000000-0005-0000-0000-0000C20D0000}"/>
    <cellStyle name="20% - Accent2 5 5 2" xfId="17121" xr:uid="{00000000-0005-0000-0000-0000C30D0000}"/>
    <cellStyle name="20% - Accent2 5 6" xfId="3656" xr:uid="{00000000-0005-0000-0000-0000C40D0000}"/>
    <cellStyle name="20% - Accent2 5 6 2" xfId="18805" xr:uid="{00000000-0005-0000-0000-0000C50D0000}"/>
    <cellStyle name="20% - Accent2 5 7" xfId="5339" xr:uid="{00000000-0005-0000-0000-0000C60D0000}"/>
    <cellStyle name="20% - Accent2 5 7 2" xfId="20488" xr:uid="{00000000-0005-0000-0000-0000C70D0000}"/>
    <cellStyle name="20% - Accent2 5 8" xfId="7022" xr:uid="{00000000-0005-0000-0000-0000C80D0000}"/>
    <cellStyle name="20% - Accent2 5 8 2" xfId="22171" xr:uid="{00000000-0005-0000-0000-0000C90D0000}"/>
    <cellStyle name="20% - Accent2 5 9" xfId="8705" xr:uid="{00000000-0005-0000-0000-0000CA0D0000}"/>
    <cellStyle name="20% - Accent2 5 9 2" xfId="23854" xr:uid="{00000000-0005-0000-0000-0000CB0D0000}"/>
    <cellStyle name="20% - Accent2 6" xfId="499" xr:uid="{00000000-0005-0000-0000-0000CC0D0000}"/>
    <cellStyle name="20% - Accent2 6 10" xfId="15648" xr:uid="{00000000-0005-0000-0000-0000CD0D0000}"/>
    <cellStyle name="20% - Accent2 6 11" xfId="30797" xr:uid="{00000000-0005-0000-0000-0000CE0D0000}"/>
    <cellStyle name="20% - Accent2 6 12" xfId="32480" xr:uid="{00000000-0005-0000-0000-0000CF0D0000}"/>
    <cellStyle name="20% - Accent2 6 13" xfId="34163" xr:uid="{00000000-0005-0000-0000-0000D00D0000}"/>
    <cellStyle name="20% - Accent2 6 14" xfId="35846" xr:uid="{00000000-0005-0000-0000-0000D10D0000}"/>
    <cellStyle name="20% - Accent2 6 15" xfId="37529" xr:uid="{00000000-0005-0000-0000-0000D20D0000}"/>
    <cellStyle name="20% - Accent2 6 16" xfId="39212" xr:uid="{00000000-0005-0000-0000-0000D30D0000}"/>
    <cellStyle name="20% - Accent2 6 17" xfId="40895" xr:uid="{00000000-0005-0000-0000-0000D40D0000}"/>
    <cellStyle name="20% - Accent2 6 18" xfId="42578" xr:uid="{00000000-0005-0000-0000-0000D50D0000}"/>
    <cellStyle name="20% - Accent2 6 19" xfId="44261" xr:uid="{00000000-0005-0000-0000-0000D60D0000}"/>
    <cellStyle name="20% - Accent2 6 2" xfId="2182" xr:uid="{00000000-0005-0000-0000-0000D70D0000}"/>
    <cellStyle name="20% - Accent2 6 2 2" xfId="17331" xr:uid="{00000000-0005-0000-0000-0000D80D0000}"/>
    <cellStyle name="20% - Accent2 6 20" xfId="45944" xr:uid="{00000000-0005-0000-0000-0000D90D0000}"/>
    <cellStyle name="20% - Accent2 6 21" xfId="47627" xr:uid="{00000000-0005-0000-0000-0000DA0D0000}"/>
    <cellStyle name="20% - Accent2 6 22" xfId="49310" xr:uid="{00000000-0005-0000-0000-0000DB0D0000}"/>
    <cellStyle name="20% - Accent2 6 23" xfId="50993" xr:uid="{00000000-0005-0000-0000-0000DC0D0000}"/>
    <cellStyle name="20% - Accent2 6 24" xfId="52676" xr:uid="{00000000-0005-0000-0000-0000DD0D0000}"/>
    <cellStyle name="20% - Accent2 6 25" xfId="54359" xr:uid="{00000000-0005-0000-0000-0000DE0D0000}"/>
    <cellStyle name="20% - Accent2 6 26" xfId="56042" xr:uid="{00000000-0005-0000-0000-0000DF0D0000}"/>
    <cellStyle name="20% - Accent2 6 27" xfId="57725" xr:uid="{00000000-0005-0000-0000-0000E00D0000}"/>
    <cellStyle name="20% - Accent2 6 28" xfId="59408" xr:uid="{00000000-0005-0000-0000-0000E10D0000}"/>
    <cellStyle name="20% - Accent2 6 29" xfId="61091" xr:uid="{00000000-0005-0000-0000-0000E20D0000}"/>
    <cellStyle name="20% - Accent2 6 3" xfId="3866" xr:uid="{00000000-0005-0000-0000-0000E30D0000}"/>
    <cellStyle name="20% - Accent2 6 3 2" xfId="19015" xr:uid="{00000000-0005-0000-0000-0000E40D0000}"/>
    <cellStyle name="20% - Accent2 6 30" xfId="62774" xr:uid="{00000000-0005-0000-0000-0000E50D0000}"/>
    <cellStyle name="20% - Accent2 6 4" xfId="5549" xr:uid="{00000000-0005-0000-0000-0000E60D0000}"/>
    <cellStyle name="20% - Accent2 6 4 2" xfId="20698" xr:uid="{00000000-0005-0000-0000-0000E70D0000}"/>
    <cellStyle name="20% - Accent2 6 5" xfId="7232" xr:uid="{00000000-0005-0000-0000-0000E80D0000}"/>
    <cellStyle name="20% - Accent2 6 5 2" xfId="22381" xr:uid="{00000000-0005-0000-0000-0000E90D0000}"/>
    <cellStyle name="20% - Accent2 6 6" xfId="8915" xr:uid="{00000000-0005-0000-0000-0000EA0D0000}"/>
    <cellStyle name="20% - Accent2 6 6 2" xfId="24064" xr:uid="{00000000-0005-0000-0000-0000EB0D0000}"/>
    <cellStyle name="20% - Accent2 6 7" xfId="10598" xr:uid="{00000000-0005-0000-0000-0000EC0D0000}"/>
    <cellStyle name="20% - Accent2 6 7 2" xfId="25747" xr:uid="{00000000-0005-0000-0000-0000ED0D0000}"/>
    <cellStyle name="20% - Accent2 6 8" xfId="12282" xr:uid="{00000000-0005-0000-0000-0000EE0D0000}"/>
    <cellStyle name="20% - Accent2 6 8 2" xfId="27431" xr:uid="{00000000-0005-0000-0000-0000EF0D0000}"/>
    <cellStyle name="20% - Accent2 6 9" xfId="13965" xr:uid="{00000000-0005-0000-0000-0000F00D0000}"/>
    <cellStyle name="20% - Accent2 6 9 2" xfId="29114" xr:uid="{00000000-0005-0000-0000-0000F10D0000}"/>
    <cellStyle name="20% - Accent2 7" xfId="920" xr:uid="{00000000-0005-0000-0000-0000F20D0000}"/>
    <cellStyle name="20% - Accent2 7 10" xfId="16069" xr:uid="{00000000-0005-0000-0000-0000F30D0000}"/>
    <cellStyle name="20% - Accent2 7 11" xfId="31218" xr:uid="{00000000-0005-0000-0000-0000F40D0000}"/>
    <cellStyle name="20% - Accent2 7 12" xfId="32901" xr:uid="{00000000-0005-0000-0000-0000F50D0000}"/>
    <cellStyle name="20% - Accent2 7 13" xfId="34584" xr:uid="{00000000-0005-0000-0000-0000F60D0000}"/>
    <cellStyle name="20% - Accent2 7 14" xfId="36267" xr:uid="{00000000-0005-0000-0000-0000F70D0000}"/>
    <cellStyle name="20% - Accent2 7 15" xfId="37950" xr:uid="{00000000-0005-0000-0000-0000F80D0000}"/>
    <cellStyle name="20% - Accent2 7 16" xfId="39633" xr:uid="{00000000-0005-0000-0000-0000F90D0000}"/>
    <cellStyle name="20% - Accent2 7 17" xfId="41316" xr:uid="{00000000-0005-0000-0000-0000FA0D0000}"/>
    <cellStyle name="20% - Accent2 7 18" xfId="42999" xr:uid="{00000000-0005-0000-0000-0000FB0D0000}"/>
    <cellStyle name="20% - Accent2 7 19" xfId="44682" xr:uid="{00000000-0005-0000-0000-0000FC0D0000}"/>
    <cellStyle name="20% - Accent2 7 2" xfId="2603" xr:uid="{00000000-0005-0000-0000-0000FD0D0000}"/>
    <cellStyle name="20% - Accent2 7 2 2" xfId="17752" xr:uid="{00000000-0005-0000-0000-0000FE0D0000}"/>
    <cellStyle name="20% - Accent2 7 20" xfId="46365" xr:uid="{00000000-0005-0000-0000-0000FF0D0000}"/>
    <cellStyle name="20% - Accent2 7 21" xfId="48048" xr:uid="{00000000-0005-0000-0000-0000000E0000}"/>
    <cellStyle name="20% - Accent2 7 22" xfId="49731" xr:uid="{00000000-0005-0000-0000-0000010E0000}"/>
    <cellStyle name="20% - Accent2 7 23" xfId="51414" xr:uid="{00000000-0005-0000-0000-0000020E0000}"/>
    <cellStyle name="20% - Accent2 7 24" xfId="53097" xr:uid="{00000000-0005-0000-0000-0000030E0000}"/>
    <cellStyle name="20% - Accent2 7 25" xfId="54780" xr:uid="{00000000-0005-0000-0000-0000040E0000}"/>
    <cellStyle name="20% - Accent2 7 26" xfId="56463" xr:uid="{00000000-0005-0000-0000-0000050E0000}"/>
    <cellStyle name="20% - Accent2 7 27" xfId="58146" xr:uid="{00000000-0005-0000-0000-0000060E0000}"/>
    <cellStyle name="20% - Accent2 7 28" xfId="59829" xr:uid="{00000000-0005-0000-0000-0000070E0000}"/>
    <cellStyle name="20% - Accent2 7 29" xfId="61512" xr:uid="{00000000-0005-0000-0000-0000080E0000}"/>
    <cellStyle name="20% - Accent2 7 3" xfId="4287" xr:uid="{00000000-0005-0000-0000-0000090E0000}"/>
    <cellStyle name="20% - Accent2 7 3 2" xfId="19436" xr:uid="{00000000-0005-0000-0000-00000A0E0000}"/>
    <cellStyle name="20% - Accent2 7 30" xfId="63195" xr:uid="{00000000-0005-0000-0000-00000B0E0000}"/>
    <cellStyle name="20% - Accent2 7 4" xfId="5970" xr:uid="{00000000-0005-0000-0000-00000C0E0000}"/>
    <cellStyle name="20% - Accent2 7 4 2" xfId="21119" xr:uid="{00000000-0005-0000-0000-00000D0E0000}"/>
    <cellStyle name="20% - Accent2 7 5" xfId="7653" xr:uid="{00000000-0005-0000-0000-00000E0E0000}"/>
    <cellStyle name="20% - Accent2 7 5 2" xfId="22802" xr:uid="{00000000-0005-0000-0000-00000F0E0000}"/>
    <cellStyle name="20% - Accent2 7 6" xfId="9336" xr:uid="{00000000-0005-0000-0000-0000100E0000}"/>
    <cellStyle name="20% - Accent2 7 6 2" xfId="24485" xr:uid="{00000000-0005-0000-0000-0000110E0000}"/>
    <cellStyle name="20% - Accent2 7 7" xfId="11019" xr:uid="{00000000-0005-0000-0000-0000120E0000}"/>
    <cellStyle name="20% - Accent2 7 7 2" xfId="26168" xr:uid="{00000000-0005-0000-0000-0000130E0000}"/>
    <cellStyle name="20% - Accent2 7 8" xfId="12703" xr:uid="{00000000-0005-0000-0000-0000140E0000}"/>
    <cellStyle name="20% - Accent2 7 8 2" xfId="27852" xr:uid="{00000000-0005-0000-0000-0000150E0000}"/>
    <cellStyle name="20% - Accent2 7 9" xfId="14386" xr:uid="{00000000-0005-0000-0000-0000160E0000}"/>
    <cellStyle name="20% - Accent2 7 9 2" xfId="29535" xr:uid="{00000000-0005-0000-0000-0000170E0000}"/>
    <cellStyle name="20% - Accent2 8" xfId="1341" xr:uid="{00000000-0005-0000-0000-0000180E0000}"/>
    <cellStyle name="20% - Accent2 8 10" xfId="16490" xr:uid="{00000000-0005-0000-0000-0000190E0000}"/>
    <cellStyle name="20% - Accent2 8 11" xfId="31639" xr:uid="{00000000-0005-0000-0000-00001A0E0000}"/>
    <cellStyle name="20% - Accent2 8 12" xfId="33322" xr:uid="{00000000-0005-0000-0000-00001B0E0000}"/>
    <cellStyle name="20% - Accent2 8 13" xfId="35005" xr:uid="{00000000-0005-0000-0000-00001C0E0000}"/>
    <cellStyle name="20% - Accent2 8 14" xfId="36688" xr:uid="{00000000-0005-0000-0000-00001D0E0000}"/>
    <cellStyle name="20% - Accent2 8 15" xfId="38371" xr:uid="{00000000-0005-0000-0000-00001E0E0000}"/>
    <cellStyle name="20% - Accent2 8 16" xfId="40054" xr:uid="{00000000-0005-0000-0000-00001F0E0000}"/>
    <cellStyle name="20% - Accent2 8 17" xfId="41737" xr:uid="{00000000-0005-0000-0000-0000200E0000}"/>
    <cellStyle name="20% - Accent2 8 18" xfId="43420" xr:uid="{00000000-0005-0000-0000-0000210E0000}"/>
    <cellStyle name="20% - Accent2 8 19" xfId="45103" xr:uid="{00000000-0005-0000-0000-0000220E0000}"/>
    <cellStyle name="20% - Accent2 8 2" xfId="3024" xr:uid="{00000000-0005-0000-0000-0000230E0000}"/>
    <cellStyle name="20% - Accent2 8 2 2" xfId="18173" xr:uid="{00000000-0005-0000-0000-0000240E0000}"/>
    <cellStyle name="20% - Accent2 8 20" xfId="46786" xr:uid="{00000000-0005-0000-0000-0000250E0000}"/>
    <cellStyle name="20% - Accent2 8 21" xfId="48469" xr:uid="{00000000-0005-0000-0000-0000260E0000}"/>
    <cellStyle name="20% - Accent2 8 22" xfId="50152" xr:uid="{00000000-0005-0000-0000-0000270E0000}"/>
    <cellStyle name="20% - Accent2 8 23" xfId="51835" xr:uid="{00000000-0005-0000-0000-0000280E0000}"/>
    <cellStyle name="20% - Accent2 8 24" xfId="53518" xr:uid="{00000000-0005-0000-0000-0000290E0000}"/>
    <cellStyle name="20% - Accent2 8 25" xfId="55201" xr:uid="{00000000-0005-0000-0000-00002A0E0000}"/>
    <cellStyle name="20% - Accent2 8 26" xfId="56884" xr:uid="{00000000-0005-0000-0000-00002B0E0000}"/>
    <cellStyle name="20% - Accent2 8 27" xfId="58567" xr:uid="{00000000-0005-0000-0000-00002C0E0000}"/>
    <cellStyle name="20% - Accent2 8 28" xfId="60250" xr:uid="{00000000-0005-0000-0000-00002D0E0000}"/>
    <cellStyle name="20% - Accent2 8 29" xfId="61933" xr:uid="{00000000-0005-0000-0000-00002E0E0000}"/>
    <cellStyle name="20% - Accent2 8 3" xfId="4708" xr:uid="{00000000-0005-0000-0000-00002F0E0000}"/>
    <cellStyle name="20% - Accent2 8 3 2" xfId="19857" xr:uid="{00000000-0005-0000-0000-0000300E0000}"/>
    <cellStyle name="20% - Accent2 8 30" xfId="63616" xr:uid="{00000000-0005-0000-0000-0000310E0000}"/>
    <cellStyle name="20% - Accent2 8 4" xfId="6391" xr:uid="{00000000-0005-0000-0000-0000320E0000}"/>
    <cellStyle name="20% - Accent2 8 4 2" xfId="21540" xr:uid="{00000000-0005-0000-0000-0000330E0000}"/>
    <cellStyle name="20% - Accent2 8 5" xfId="8074" xr:uid="{00000000-0005-0000-0000-0000340E0000}"/>
    <cellStyle name="20% - Accent2 8 5 2" xfId="23223" xr:uid="{00000000-0005-0000-0000-0000350E0000}"/>
    <cellStyle name="20% - Accent2 8 6" xfId="9757" xr:uid="{00000000-0005-0000-0000-0000360E0000}"/>
    <cellStyle name="20% - Accent2 8 6 2" xfId="24906" xr:uid="{00000000-0005-0000-0000-0000370E0000}"/>
    <cellStyle name="20% - Accent2 8 7" xfId="11440" xr:uid="{00000000-0005-0000-0000-0000380E0000}"/>
    <cellStyle name="20% - Accent2 8 7 2" xfId="26589" xr:uid="{00000000-0005-0000-0000-0000390E0000}"/>
    <cellStyle name="20% - Accent2 8 8" xfId="13124" xr:uid="{00000000-0005-0000-0000-00003A0E0000}"/>
    <cellStyle name="20% - Accent2 8 8 2" xfId="28273" xr:uid="{00000000-0005-0000-0000-00003B0E0000}"/>
    <cellStyle name="20% - Accent2 8 9" xfId="14807" xr:uid="{00000000-0005-0000-0000-00003C0E0000}"/>
    <cellStyle name="20% - Accent2 8 9 2" xfId="29956" xr:uid="{00000000-0005-0000-0000-00003D0E0000}"/>
    <cellStyle name="20% - Accent2 9" xfId="1762" xr:uid="{00000000-0005-0000-0000-00003E0E0000}"/>
    <cellStyle name="20% - Accent2 9 2" xfId="16911" xr:uid="{00000000-0005-0000-0000-00003F0E0000}"/>
    <cellStyle name="20% - Accent3" xfId="79" builtinId="38" customBuiltin="1"/>
    <cellStyle name="20% - Accent3 10" xfId="3449" xr:uid="{00000000-0005-0000-0000-0000410E0000}"/>
    <cellStyle name="20% - Accent3 10 2" xfId="18598" xr:uid="{00000000-0005-0000-0000-0000420E0000}"/>
    <cellStyle name="20% - Accent3 11" xfId="5132" xr:uid="{00000000-0005-0000-0000-0000430E0000}"/>
    <cellStyle name="20% - Accent3 11 2" xfId="20281" xr:uid="{00000000-0005-0000-0000-0000440E0000}"/>
    <cellStyle name="20% - Accent3 12" xfId="6815" xr:uid="{00000000-0005-0000-0000-0000450E0000}"/>
    <cellStyle name="20% - Accent3 12 2" xfId="21964" xr:uid="{00000000-0005-0000-0000-0000460E0000}"/>
    <cellStyle name="20% - Accent3 13" xfId="8498" xr:uid="{00000000-0005-0000-0000-0000470E0000}"/>
    <cellStyle name="20% - Accent3 13 2" xfId="23647" xr:uid="{00000000-0005-0000-0000-0000480E0000}"/>
    <cellStyle name="20% - Accent3 14" xfId="10181" xr:uid="{00000000-0005-0000-0000-0000490E0000}"/>
    <cellStyle name="20% - Accent3 14 2" xfId="25330" xr:uid="{00000000-0005-0000-0000-00004A0E0000}"/>
    <cellStyle name="20% - Accent3 15" xfId="11865" xr:uid="{00000000-0005-0000-0000-00004B0E0000}"/>
    <cellStyle name="20% - Accent3 15 2" xfId="27014" xr:uid="{00000000-0005-0000-0000-00004C0E0000}"/>
    <cellStyle name="20% - Accent3 16" xfId="13548" xr:uid="{00000000-0005-0000-0000-00004D0E0000}"/>
    <cellStyle name="20% - Accent3 16 2" xfId="28697" xr:uid="{00000000-0005-0000-0000-00004E0E0000}"/>
    <cellStyle name="20% - Accent3 17" xfId="15231" xr:uid="{00000000-0005-0000-0000-00004F0E0000}"/>
    <cellStyle name="20% - Accent3 18" xfId="30380" xr:uid="{00000000-0005-0000-0000-0000500E0000}"/>
    <cellStyle name="20% - Accent3 19" xfId="32063" xr:uid="{00000000-0005-0000-0000-0000510E0000}"/>
    <cellStyle name="20% - Accent3 2" xfId="104" xr:uid="{00000000-0005-0000-0000-0000520E0000}"/>
    <cellStyle name="20% - Accent3 2 10" xfId="6837" xr:uid="{00000000-0005-0000-0000-0000530E0000}"/>
    <cellStyle name="20% - Accent3 2 10 2" xfId="21986" xr:uid="{00000000-0005-0000-0000-0000540E0000}"/>
    <cellStyle name="20% - Accent3 2 11" xfId="8520" xr:uid="{00000000-0005-0000-0000-0000550E0000}"/>
    <cellStyle name="20% - Accent3 2 11 2" xfId="23669" xr:uid="{00000000-0005-0000-0000-0000560E0000}"/>
    <cellStyle name="20% - Accent3 2 12" xfId="10203" xr:uid="{00000000-0005-0000-0000-0000570E0000}"/>
    <cellStyle name="20% - Accent3 2 12 2" xfId="25352" xr:uid="{00000000-0005-0000-0000-0000580E0000}"/>
    <cellStyle name="20% - Accent3 2 13" xfId="11887" xr:uid="{00000000-0005-0000-0000-0000590E0000}"/>
    <cellStyle name="20% - Accent3 2 13 2" xfId="27036" xr:uid="{00000000-0005-0000-0000-00005A0E0000}"/>
    <cellStyle name="20% - Accent3 2 14" xfId="13570" xr:uid="{00000000-0005-0000-0000-00005B0E0000}"/>
    <cellStyle name="20% - Accent3 2 14 2" xfId="28719" xr:uid="{00000000-0005-0000-0000-00005C0E0000}"/>
    <cellStyle name="20% - Accent3 2 15" xfId="15253" xr:uid="{00000000-0005-0000-0000-00005D0E0000}"/>
    <cellStyle name="20% - Accent3 2 16" xfId="30402" xr:uid="{00000000-0005-0000-0000-00005E0E0000}"/>
    <cellStyle name="20% - Accent3 2 17" xfId="32085" xr:uid="{00000000-0005-0000-0000-00005F0E0000}"/>
    <cellStyle name="20% - Accent3 2 18" xfId="33768" xr:uid="{00000000-0005-0000-0000-0000600E0000}"/>
    <cellStyle name="20% - Accent3 2 19" xfId="35451" xr:uid="{00000000-0005-0000-0000-0000610E0000}"/>
    <cellStyle name="20% - Accent3 2 2" xfId="209" xr:uid="{00000000-0005-0000-0000-0000620E0000}"/>
    <cellStyle name="20% - Accent3 2 2 10" xfId="8625" xr:uid="{00000000-0005-0000-0000-0000630E0000}"/>
    <cellStyle name="20% - Accent3 2 2 10 2" xfId="23774" xr:uid="{00000000-0005-0000-0000-0000640E0000}"/>
    <cellStyle name="20% - Accent3 2 2 11" xfId="10308" xr:uid="{00000000-0005-0000-0000-0000650E0000}"/>
    <cellStyle name="20% - Accent3 2 2 11 2" xfId="25457" xr:uid="{00000000-0005-0000-0000-0000660E0000}"/>
    <cellStyle name="20% - Accent3 2 2 12" xfId="11992" xr:uid="{00000000-0005-0000-0000-0000670E0000}"/>
    <cellStyle name="20% - Accent3 2 2 12 2" xfId="27141" xr:uid="{00000000-0005-0000-0000-0000680E0000}"/>
    <cellStyle name="20% - Accent3 2 2 13" xfId="13675" xr:uid="{00000000-0005-0000-0000-0000690E0000}"/>
    <cellStyle name="20% - Accent3 2 2 13 2" xfId="28824" xr:uid="{00000000-0005-0000-0000-00006A0E0000}"/>
    <cellStyle name="20% - Accent3 2 2 14" xfId="15358" xr:uid="{00000000-0005-0000-0000-00006B0E0000}"/>
    <cellStyle name="20% - Accent3 2 2 15" xfId="30507" xr:uid="{00000000-0005-0000-0000-00006C0E0000}"/>
    <cellStyle name="20% - Accent3 2 2 16" xfId="32190" xr:uid="{00000000-0005-0000-0000-00006D0E0000}"/>
    <cellStyle name="20% - Accent3 2 2 17" xfId="33873" xr:uid="{00000000-0005-0000-0000-00006E0E0000}"/>
    <cellStyle name="20% - Accent3 2 2 18" xfId="35556" xr:uid="{00000000-0005-0000-0000-00006F0E0000}"/>
    <cellStyle name="20% - Accent3 2 2 19" xfId="37239" xr:uid="{00000000-0005-0000-0000-0000700E0000}"/>
    <cellStyle name="20% - Accent3 2 2 2" xfId="419" xr:uid="{00000000-0005-0000-0000-0000710E0000}"/>
    <cellStyle name="20% - Accent3 2 2 2 10" xfId="10518" xr:uid="{00000000-0005-0000-0000-0000720E0000}"/>
    <cellStyle name="20% - Accent3 2 2 2 10 2" xfId="25667" xr:uid="{00000000-0005-0000-0000-0000730E0000}"/>
    <cellStyle name="20% - Accent3 2 2 2 11" xfId="12202" xr:uid="{00000000-0005-0000-0000-0000740E0000}"/>
    <cellStyle name="20% - Accent3 2 2 2 11 2" xfId="27351" xr:uid="{00000000-0005-0000-0000-0000750E0000}"/>
    <cellStyle name="20% - Accent3 2 2 2 12" xfId="13885" xr:uid="{00000000-0005-0000-0000-0000760E0000}"/>
    <cellStyle name="20% - Accent3 2 2 2 12 2" xfId="29034" xr:uid="{00000000-0005-0000-0000-0000770E0000}"/>
    <cellStyle name="20% - Accent3 2 2 2 13" xfId="15568" xr:uid="{00000000-0005-0000-0000-0000780E0000}"/>
    <cellStyle name="20% - Accent3 2 2 2 14" xfId="30717" xr:uid="{00000000-0005-0000-0000-0000790E0000}"/>
    <cellStyle name="20% - Accent3 2 2 2 15" xfId="32400" xr:uid="{00000000-0005-0000-0000-00007A0E0000}"/>
    <cellStyle name="20% - Accent3 2 2 2 16" xfId="34083" xr:uid="{00000000-0005-0000-0000-00007B0E0000}"/>
    <cellStyle name="20% - Accent3 2 2 2 17" xfId="35766" xr:uid="{00000000-0005-0000-0000-00007C0E0000}"/>
    <cellStyle name="20% - Accent3 2 2 2 18" xfId="37449" xr:uid="{00000000-0005-0000-0000-00007D0E0000}"/>
    <cellStyle name="20% - Accent3 2 2 2 19" xfId="39132" xr:uid="{00000000-0005-0000-0000-00007E0E0000}"/>
    <cellStyle name="20% - Accent3 2 2 2 2" xfId="839" xr:uid="{00000000-0005-0000-0000-00007F0E0000}"/>
    <cellStyle name="20% - Accent3 2 2 2 2 10" xfId="15988" xr:uid="{00000000-0005-0000-0000-0000800E0000}"/>
    <cellStyle name="20% - Accent3 2 2 2 2 11" xfId="31137" xr:uid="{00000000-0005-0000-0000-0000810E0000}"/>
    <cellStyle name="20% - Accent3 2 2 2 2 12" xfId="32820" xr:uid="{00000000-0005-0000-0000-0000820E0000}"/>
    <cellStyle name="20% - Accent3 2 2 2 2 13" xfId="34503" xr:uid="{00000000-0005-0000-0000-0000830E0000}"/>
    <cellStyle name="20% - Accent3 2 2 2 2 14" xfId="36186" xr:uid="{00000000-0005-0000-0000-0000840E0000}"/>
    <cellStyle name="20% - Accent3 2 2 2 2 15" xfId="37869" xr:uid="{00000000-0005-0000-0000-0000850E0000}"/>
    <cellStyle name="20% - Accent3 2 2 2 2 16" xfId="39552" xr:uid="{00000000-0005-0000-0000-0000860E0000}"/>
    <cellStyle name="20% - Accent3 2 2 2 2 17" xfId="41235" xr:uid="{00000000-0005-0000-0000-0000870E0000}"/>
    <cellStyle name="20% - Accent3 2 2 2 2 18" xfId="42918" xr:uid="{00000000-0005-0000-0000-0000880E0000}"/>
    <cellStyle name="20% - Accent3 2 2 2 2 19" xfId="44601" xr:uid="{00000000-0005-0000-0000-0000890E0000}"/>
    <cellStyle name="20% - Accent3 2 2 2 2 2" xfId="2522" xr:uid="{00000000-0005-0000-0000-00008A0E0000}"/>
    <cellStyle name="20% - Accent3 2 2 2 2 2 2" xfId="17671" xr:uid="{00000000-0005-0000-0000-00008B0E0000}"/>
    <cellStyle name="20% - Accent3 2 2 2 2 20" xfId="46284" xr:uid="{00000000-0005-0000-0000-00008C0E0000}"/>
    <cellStyle name="20% - Accent3 2 2 2 2 21" xfId="47967" xr:uid="{00000000-0005-0000-0000-00008D0E0000}"/>
    <cellStyle name="20% - Accent3 2 2 2 2 22" xfId="49650" xr:uid="{00000000-0005-0000-0000-00008E0E0000}"/>
    <cellStyle name="20% - Accent3 2 2 2 2 23" xfId="51333" xr:uid="{00000000-0005-0000-0000-00008F0E0000}"/>
    <cellStyle name="20% - Accent3 2 2 2 2 24" xfId="53016" xr:uid="{00000000-0005-0000-0000-0000900E0000}"/>
    <cellStyle name="20% - Accent3 2 2 2 2 25" xfId="54699" xr:uid="{00000000-0005-0000-0000-0000910E0000}"/>
    <cellStyle name="20% - Accent3 2 2 2 2 26" xfId="56382" xr:uid="{00000000-0005-0000-0000-0000920E0000}"/>
    <cellStyle name="20% - Accent3 2 2 2 2 27" xfId="58065" xr:uid="{00000000-0005-0000-0000-0000930E0000}"/>
    <cellStyle name="20% - Accent3 2 2 2 2 28" xfId="59748" xr:uid="{00000000-0005-0000-0000-0000940E0000}"/>
    <cellStyle name="20% - Accent3 2 2 2 2 29" xfId="61431" xr:uid="{00000000-0005-0000-0000-0000950E0000}"/>
    <cellStyle name="20% - Accent3 2 2 2 2 3" xfId="4206" xr:uid="{00000000-0005-0000-0000-0000960E0000}"/>
    <cellStyle name="20% - Accent3 2 2 2 2 3 2" xfId="19355" xr:uid="{00000000-0005-0000-0000-0000970E0000}"/>
    <cellStyle name="20% - Accent3 2 2 2 2 30" xfId="63114" xr:uid="{00000000-0005-0000-0000-0000980E0000}"/>
    <cellStyle name="20% - Accent3 2 2 2 2 4" xfId="5889" xr:uid="{00000000-0005-0000-0000-0000990E0000}"/>
    <cellStyle name="20% - Accent3 2 2 2 2 4 2" xfId="21038" xr:uid="{00000000-0005-0000-0000-00009A0E0000}"/>
    <cellStyle name="20% - Accent3 2 2 2 2 5" xfId="7572" xr:uid="{00000000-0005-0000-0000-00009B0E0000}"/>
    <cellStyle name="20% - Accent3 2 2 2 2 5 2" xfId="22721" xr:uid="{00000000-0005-0000-0000-00009C0E0000}"/>
    <cellStyle name="20% - Accent3 2 2 2 2 6" xfId="9255" xr:uid="{00000000-0005-0000-0000-00009D0E0000}"/>
    <cellStyle name="20% - Accent3 2 2 2 2 6 2" xfId="24404" xr:uid="{00000000-0005-0000-0000-00009E0E0000}"/>
    <cellStyle name="20% - Accent3 2 2 2 2 7" xfId="10938" xr:uid="{00000000-0005-0000-0000-00009F0E0000}"/>
    <cellStyle name="20% - Accent3 2 2 2 2 7 2" xfId="26087" xr:uid="{00000000-0005-0000-0000-0000A00E0000}"/>
    <cellStyle name="20% - Accent3 2 2 2 2 8" xfId="12622" xr:uid="{00000000-0005-0000-0000-0000A10E0000}"/>
    <cellStyle name="20% - Accent3 2 2 2 2 8 2" xfId="27771" xr:uid="{00000000-0005-0000-0000-0000A20E0000}"/>
    <cellStyle name="20% - Accent3 2 2 2 2 9" xfId="14305" xr:uid="{00000000-0005-0000-0000-0000A30E0000}"/>
    <cellStyle name="20% - Accent3 2 2 2 2 9 2" xfId="29454" xr:uid="{00000000-0005-0000-0000-0000A40E0000}"/>
    <cellStyle name="20% - Accent3 2 2 2 20" xfId="40815" xr:uid="{00000000-0005-0000-0000-0000A50E0000}"/>
    <cellStyle name="20% - Accent3 2 2 2 21" xfId="42498" xr:uid="{00000000-0005-0000-0000-0000A60E0000}"/>
    <cellStyle name="20% - Accent3 2 2 2 22" xfId="44181" xr:uid="{00000000-0005-0000-0000-0000A70E0000}"/>
    <cellStyle name="20% - Accent3 2 2 2 23" xfId="45864" xr:uid="{00000000-0005-0000-0000-0000A80E0000}"/>
    <cellStyle name="20% - Accent3 2 2 2 24" xfId="47547" xr:uid="{00000000-0005-0000-0000-0000A90E0000}"/>
    <cellStyle name="20% - Accent3 2 2 2 25" xfId="49230" xr:uid="{00000000-0005-0000-0000-0000AA0E0000}"/>
    <cellStyle name="20% - Accent3 2 2 2 26" xfId="50913" xr:uid="{00000000-0005-0000-0000-0000AB0E0000}"/>
    <cellStyle name="20% - Accent3 2 2 2 27" xfId="52596" xr:uid="{00000000-0005-0000-0000-0000AC0E0000}"/>
    <cellStyle name="20% - Accent3 2 2 2 28" xfId="54279" xr:uid="{00000000-0005-0000-0000-0000AD0E0000}"/>
    <cellStyle name="20% - Accent3 2 2 2 29" xfId="55962" xr:uid="{00000000-0005-0000-0000-0000AE0E0000}"/>
    <cellStyle name="20% - Accent3 2 2 2 3" xfId="1260" xr:uid="{00000000-0005-0000-0000-0000AF0E0000}"/>
    <cellStyle name="20% - Accent3 2 2 2 3 10" xfId="16409" xr:uid="{00000000-0005-0000-0000-0000B00E0000}"/>
    <cellStyle name="20% - Accent3 2 2 2 3 11" xfId="31558" xr:uid="{00000000-0005-0000-0000-0000B10E0000}"/>
    <cellStyle name="20% - Accent3 2 2 2 3 12" xfId="33241" xr:uid="{00000000-0005-0000-0000-0000B20E0000}"/>
    <cellStyle name="20% - Accent3 2 2 2 3 13" xfId="34924" xr:uid="{00000000-0005-0000-0000-0000B30E0000}"/>
    <cellStyle name="20% - Accent3 2 2 2 3 14" xfId="36607" xr:uid="{00000000-0005-0000-0000-0000B40E0000}"/>
    <cellStyle name="20% - Accent3 2 2 2 3 15" xfId="38290" xr:uid="{00000000-0005-0000-0000-0000B50E0000}"/>
    <cellStyle name="20% - Accent3 2 2 2 3 16" xfId="39973" xr:uid="{00000000-0005-0000-0000-0000B60E0000}"/>
    <cellStyle name="20% - Accent3 2 2 2 3 17" xfId="41656" xr:uid="{00000000-0005-0000-0000-0000B70E0000}"/>
    <cellStyle name="20% - Accent3 2 2 2 3 18" xfId="43339" xr:uid="{00000000-0005-0000-0000-0000B80E0000}"/>
    <cellStyle name="20% - Accent3 2 2 2 3 19" xfId="45022" xr:uid="{00000000-0005-0000-0000-0000B90E0000}"/>
    <cellStyle name="20% - Accent3 2 2 2 3 2" xfId="2943" xr:uid="{00000000-0005-0000-0000-0000BA0E0000}"/>
    <cellStyle name="20% - Accent3 2 2 2 3 2 2" xfId="18092" xr:uid="{00000000-0005-0000-0000-0000BB0E0000}"/>
    <cellStyle name="20% - Accent3 2 2 2 3 20" xfId="46705" xr:uid="{00000000-0005-0000-0000-0000BC0E0000}"/>
    <cellStyle name="20% - Accent3 2 2 2 3 21" xfId="48388" xr:uid="{00000000-0005-0000-0000-0000BD0E0000}"/>
    <cellStyle name="20% - Accent3 2 2 2 3 22" xfId="50071" xr:uid="{00000000-0005-0000-0000-0000BE0E0000}"/>
    <cellStyle name="20% - Accent3 2 2 2 3 23" xfId="51754" xr:uid="{00000000-0005-0000-0000-0000BF0E0000}"/>
    <cellStyle name="20% - Accent3 2 2 2 3 24" xfId="53437" xr:uid="{00000000-0005-0000-0000-0000C00E0000}"/>
    <cellStyle name="20% - Accent3 2 2 2 3 25" xfId="55120" xr:uid="{00000000-0005-0000-0000-0000C10E0000}"/>
    <cellStyle name="20% - Accent3 2 2 2 3 26" xfId="56803" xr:uid="{00000000-0005-0000-0000-0000C20E0000}"/>
    <cellStyle name="20% - Accent3 2 2 2 3 27" xfId="58486" xr:uid="{00000000-0005-0000-0000-0000C30E0000}"/>
    <cellStyle name="20% - Accent3 2 2 2 3 28" xfId="60169" xr:uid="{00000000-0005-0000-0000-0000C40E0000}"/>
    <cellStyle name="20% - Accent3 2 2 2 3 29" xfId="61852" xr:uid="{00000000-0005-0000-0000-0000C50E0000}"/>
    <cellStyle name="20% - Accent3 2 2 2 3 3" xfId="4627" xr:uid="{00000000-0005-0000-0000-0000C60E0000}"/>
    <cellStyle name="20% - Accent3 2 2 2 3 3 2" xfId="19776" xr:uid="{00000000-0005-0000-0000-0000C70E0000}"/>
    <cellStyle name="20% - Accent3 2 2 2 3 30" xfId="63535" xr:uid="{00000000-0005-0000-0000-0000C80E0000}"/>
    <cellStyle name="20% - Accent3 2 2 2 3 4" xfId="6310" xr:uid="{00000000-0005-0000-0000-0000C90E0000}"/>
    <cellStyle name="20% - Accent3 2 2 2 3 4 2" xfId="21459" xr:uid="{00000000-0005-0000-0000-0000CA0E0000}"/>
    <cellStyle name="20% - Accent3 2 2 2 3 5" xfId="7993" xr:uid="{00000000-0005-0000-0000-0000CB0E0000}"/>
    <cellStyle name="20% - Accent3 2 2 2 3 5 2" xfId="23142" xr:uid="{00000000-0005-0000-0000-0000CC0E0000}"/>
    <cellStyle name="20% - Accent3 2 2 2 3 6" xfId="9676" xr:uid="{00000000-0005-0000-0000-0000CD0E0000}"/>
    <cellStyle name="20% - Accent3 2 2 2 3 6 2" xfId="24825" xr:uid="{00000000-0005-0000-0000-0000CE0E0000}"/>
    <cellStyle name="20% - Accent3 2 2 2 3 7" xfId="11359" xr:uid="{00000000-0005-0000-0000-0000CF0E0000}"/>
    <cellStyle name="20% - Accent3 2 2 2 3 7 2" xfId="26508" xr:uid="{00000000-0005-0000-0000-0000D00E0000}"/>
    <cellStyle name="20% - Accent3 2 2 2 3 8" xfId="13043" xr:uid="{00000000-0005-0000-0000-0000D10E0000}"/>
    <cellStyle name="20% - Accent3 2 2 2 3 8 2" xfId="28192" xr:uid="{00000000-0005-0000-0000-0000D20E0000}"/>
    <cellStyle name="20% - Accent3 2 2 2 3 9" xfId="14726" xr:uid="{00000000-0005-0000-0000-0000D30E0000}"/>
    <cellStyle name="20% - Accent3 2 2 2 3 9 2" xfId="29875" xr:uid="{00000000-0005-0000-0000-0000D40E0000}"/>
    <cellStyle name="20% - Accent3 2 2 2 30" xfId="57645" xr:uid="{00000000-0005-0000-0000-0000D50E0000}"/>
    <cellStyle name="20% - Accent3 2 2 2 31" xfId="59328" xr:uid="{00000000-0005-0000-0000-0000D60E0000}"/>
    <cellStyle name="20% - Accent3 2 2 2 32" xfId="61011" xr:uid="{00000000-0005-0000-0000-0000D70E0000}"/>
    <cellStyle name="20% - Accent3 2 2 2 33" xfId="62694" xr:uid="{00000000-0005-0000-0000-0000D80E0000}"/>
    <cellStyle name="20% - Accent3 2 2 2 4" xfId="1681" xr:uid="{00000000-0005-0000-0000-0000D90E0000}"/>
    <cellStyle name="20% - Accent3 2 2 2 4 10" xfId="16830" xr:uid="{00000000-0005-0000-0000-0000DA0E0000}"/>
    <cellStyle name="20% - Accent3 2 2 2 4 11" xfId="31979" xr:uid="{00000000-0005-0000-0000-0000DB0E0000}"/>
    <cellStyle name="20% - Accent3 2 2 2 4 12" xfId="33662" xr:uid="{00000000-0005-0000-0000-0000DC0E0000}"/>
    <cellStyle name="20% - Accent3 2 2 2 4 13" xfId="35345" xr:uid="{00000000-0005-0000-0000-0000DD0E0000}"/>
    <cellStyle name="20% - Accent3 2 2 2 4 14" xfId="37028" xr:uid="{00000000-0005-0000-0000-0000DE0E0000}"/>
    <cellStyle name="20% - Accent3 2 2 2 4 15" xfId="38711" xr:uid="{00000000-0005-0000-0000-0000DF0E0000}"/>
    <cellStyle name="20% - Accent3 2 2 2 4 16" xfId="40394" xr:uid="{00000000-0005-0000-0000-0000E00E0000}"/>
    <cellStyle name="20% - Accent3 2 2 2 4 17" xfId="42077" xr:uid="{00000000-0005-0000-0000-0000E10E0000}"/>
    <cellStyle name="20% - Accent3 2 2 2 4 18" xfId="43760" xr:uid="{00000000-0005-0000-0000-0000E20E0000}"/>
    <cellStyle name="20% - Accent3 2 2 2 4 19" xfId="45443" xr:uid="{00000000-0005-0000-0000-0000E30E0000}"/>
    <cellStyle name="20% - Accent3 2 2 2 4 2" xfId="3364" xr:uid="{00000000-0005-0000-0000-0000E40E0000}"/>
    <cellStyle name="20% - Accent3 2 2 2 4 2 2" xfId="18513" xr:uid="{00000000-0005-0000-0000-0000E50E0000}"/>
    <cellStyle name="20% - Accent3 2 2 2 4 20" xfId="47126" xr:uid="{00000000-0005-0000-0000-0000E60E0000}"/>
    <cellStyle name="20% - Accent3 2 2 2 4 21" xfId="48809" xr:uid="{00000000-0005-0000-0000-0000E70E0000}"/>
    <cellStyle name="20% - Accent3 2 2 2 4 22" xfId="50492" xr:uid="{00000000-0005-0000-0000-0000E80E0000}"/>
    <cellStyle name="20% - Accent3 2 2 2 4 23" xfId="52175" xr:uid="{00000000-0005-0000-0000-0000E90E0000}"/>
    <cellStyle name="20% - Accent3 2 2 2 4 24" xfId="53858" xr:uid="{00000000-0005-0000-0000-0000EA0E0000}"/>
    <cellStyle name="20% - Accent3 2 2 2 4 25" xfId="55541" xr:uid="{00000000-0005-0000-0000-0000EB0E0000}"/>
    <cellStyle name="20% - Accent3 2 2 2 4 26" xfId="57224" xr:uid="{00000000-0005-0000-0000-0000EC0E0000}"/>
    <cellStyle name="20% - Accent3 2 2 2 4 27" xfId="58907" xr:uid="{00000000-0005-0000-0000-0000ED0E0000}"/>
    <cellStyle name="20% - Accent3 2 2 2 4 28" xfId="60590" xr:uid="{00000000-0005-0000-0000-0000EE0E0000}"/>
    <cellStyle name="20% - Accent3 2 2 2 4 29" xfId="62273" xr:uid="{00000000-0005-0000-0000-0000EF0E0000}"/>
    <cellStyle name="20% - Accent3 2 2 2 4 3" xfId="5048" xr:uid="{00000000-0005-0000-0000-0000F00E0000}"/>
    <cellStyle name="20% - Accent3 2 2 2 4 3 2" xfId="20197" xr:uid="{00000000-0005-0000-0000-0000F10E0000}"/>
    <cellStyle name="20% - Accent3 2 2 2 4 30" xfId="63956" xr:uid="{00000000-0005-0000-0000-0000F20E0000}"/>
    <cellStyle name="20% - Accent3 2 2 2 4 4" xfId="6731" xr:uid="{00000000-0005-0000-0000-0000F30E0000}"/>
    <cellStyle name="20% - Accent3 2 2 2 4 4 2" xfId="21880" xr:uid="{00000000-0005-0000-0000-0000F40E0000}"/>
    <cellStyle name="20% - Accent3 2 2 2 4 5" xfId="8414" xr:uid="{00000000-0005-0000-0000-0000F50E0000}"/>
    <cellStyle name="20% - Accent3 2 2 2 4 5 2" xfId="23563" xr:uid="{00000000-0005-0000-0000-0000F60E0000}"/>
    <cellStyle name="20% - Accent3 2 2 2 4 6" xfId="10097" xr:uid="{00000000-0005-0000-0000-0000F70E0000}"/>
    <cellStyle name="20% - Accent3 2 2 2 4 6 2" xfId="25246" xr:uid="{00000000-0005-0000-0000-0000F80E0000}"/>
    <cellStyle name="20% - Accent3 2 2 2 4 7" xfId="11780" xr:uid="{00000000-0005-0000-0000-0000F90E0000}"/>
    <cellStyle name="20% - Accent3 2 2 2 4 7 2" xfId="26929" xr:uid="{00000000-0005-0000-0000-0000FA0E0000}"/>
    <cellStyle name="20% - Accent3 2 2 2 4 8" xfId="13464" xr:uid="{00000000-0005-0000-0000-0000FB0E0000}"/>
    <cellStyle name="20% - Accent3 2 2 2 4 8 2" xfId="28613" xr:uid="{00000000-0005-0000-0000-0000FC0E0000}"/>
    <cellStyle name="20% - Accent3 2 2 2 4 9" xfId="15147" xr:uid="{00000000-0005-0000-0000-0000FD0E0000}"/>
    <cellStyle name="20% - Accent3 2 2 2 4 9 2" xfId="30296" xr:uid="{00000000-0005-0000-0000-0000FE0E0000}"/>
    <cellStyle name="20% - Accent3 2 2 2 5" xfId="2102" xr:uid="{00000000-0005-0000-0000-0000FF0E0000}"/>
    <cellStyle name="20% - Accent3 2 2 2 5 2" xfId="17251" xr:uid="{00000000-0005-0000-0000-0000000F0000}"/>
    <cellStyle name="20% - Accent3 2 2 2 6" xfId="3786" xr:uid="{00000000-0005-0000-0000-0000010F0000}"/>
    <cellStyle name="20% - Accent3 2 2 2 6 2" xfId="18935" xr:uid="{00000000-0005-0000-0000-0000020F0000}"/>
    <cellStyle name="20% - Accent3 2 2 2 7" xfId="5469" xr:uid="{00000000-0005-0000-0000-0000030F0000}"/>
    <cellStyle name="20% - Accent3 2 2 2 7 2" xfId="20618" xr:uid="{00000000-0005-0000-0000-0000040F0000}"/>
    <cellStyle name="20% - Accent3 2 2 2 8" xfId="7152" xr:uid="{00000000-0005-0000-0000-0000050F0000}"/>
    <cellStyle name="20% - Accent3 2 2 2 8 2" xfId="22301" xr:uid="{00000000-0005-0000-0000-0000060F0000}"/>
    <cellStyle name="20% - Accent3 2 2 2 9" xfId="8835" xr:uid="{00000000-0005-0000-0000-0000070F0000}"/>
    <cellStyle name="20% - Accent3 2 2 2 9 2" xfId="23984" xr:uid="{00000000-0005-0000-0000-0000080F0000}"/>
    <cellStyle name="20% - Accent3 2 2 20" xfId="38922" xr:uid="{00000000-0005-0000-0000-0000090F0000}"/>
    <cellStyle name="20% - Accent3 2 2 21" xfId="40605" xr:uid="{00000000-0005-0000-0000-00000A0F0000}"/>
    <cellStyle name="20% - Accent3 2 2 22" xfId="42288" xr:uid="{00000000-0005-0000-0000-00000B0F0000}"/>
    <cellStyle name="20% - Accent3 2 2 23" xfId="43971" xr:uid="{00000000-0005-0000-0000-00000C0F0000}"/>
    <cellStyle name="20% - Accent3 2 2 24" xfId="45654" xr:uid="{00000000-0005-0000-0000-00000D0F0000}"/>
    <cellStyle name="20% - Accent3 2 2 25" xfId="47337" xr:uid="{00000000-0005-0000-0000-00000E0F0000}"/>
    <cellStyle name="20% - Accent3 2 2 26" xfId="49020" xr:uid="{00000000-0005-0000-0000-00000F0F0000}"/>
    <cellStyle name="20% - Accent3 2 2 27" xfId="50703" xr:uid="{00000000-0005-0000-0000-0000100F0000}"/>
    <cellStyle name="20% - Accent3 2 2 28" xfId="52386" xr:uid="{00000000-0005-0000-0000-0000110F0000}"/>
    <cellStyle name="20% - Accent3 2 2 29" xfId="54069" xr:uid="{00000000-0005-0000-0000-0000120F0000}"/>
    <cellStyle name="20% - Accent3 2 2 3" xfId="629" xr:uid="{00000000-0005-0000-0000-0000130F0000}"/>
    <cellStyle name="20% - Accent3 2 2 3 10" xfId="15778" xr:uid="{00000000-0005-0000-0000-0000140F0000}"/>
    <cellStyle name="20% - Accent3 2 2 3 11" xfId="30927" xr:uid="{00000000-0005-0000-0000-0000150F0000}"/>
    <cellStyle name="20% - Accent3 2 2 3 12" xfId="32610" xr:uid="{00000000-0005-0000-0000-0000160F0000}"/>
    <cellStyle name="20% - Accent3 2 2 3 13" xfId="34293" xr:uid="{00000000-0005-0000-0000-0000170F0000}"/>
    <cellStyle name="20% - Accent3 2 2 3 14" xfId="35976" xr:uid="{00000000-0005-0000-0000-0000180F0000}"/>
    <cellStyle name="20% - Accent3 2 2 3 15" xfId="37659" xr:uid="{00000000-0005-0000-0000-0000190F0000}"/>
    <cellStyle name="20% - Accent3 2 2 3 16" xfId="39342" xr:uid="{00000000-0005-0000-0000-00001A0F0000}"/>
    <cellStyle name="20% - Accent3 2 2 3 17" xfId="41025" xr:uid="{00000000-0005-0000-0000-00001B0F0000}"/>
    <cellStyle name="20% - Accent3 2 2 3 18" xfId="42708" xr:uid="{00000000-0005-0000-0000-00001C0F0000}"/>
    <cellStyle name="20% - Accent3 2 2 3 19" xfId="44391" xr:uid="{00000000-0005-0000-0000-00001D0F0000}"/>
    <cellStyle name="20% - Accent3 2 2 3 2" xfId="2312" xr:uid="{00000000-0005-0000-0000-00001E0F0000}"/>
    <cellStyle name="20% - Accent3 2 2 3 2 2" xfId="17461" xr:uid="{00000000-0005-0000-0000-00001F0F0000}"/>
    <cellStyle name="20% - Accent3 2 2 3 20" xfId="46074" xr:uid="{00000000-0005-0000-0000-0000200F0000}"/>
    <cellStyle name="20% - Accent3 2 2 3 21" xfId="47757" xr:uid="{00000000-0005-0000-0000-0000210F0000}"/>
    <cellStyle name="20% - Accent3 2 2 3 22" xfId="49440" xr:uid="{00000000-0005-0000-0000-0000220F0000}"/>
    <cellStyle name="20% - Accent3 2 2 3 23" xfId="51123" xr:uid="{00000000-0005-0000-0000-0000230F0000}"/>
    <cellStyle name="20% - Accent3 2 2 3 24" xfId="52806" xr:uid="{00000000-0005-0000-0000-0000240F0000}"/>
    <cellStyle name="20% - Accent3 2 2 3 25" xfId="54489" xr:uid="{00000000-0005-0000-0000-0000250F0000}"/>
    <cellStyle name="20% - Accent3 2 2 3 26" xfId="56172" xr:uid="{00000000-0005-0000-0000-0000260F0000}"/>
    <cellStyle name="20% - Accent3 2 2 3 27" xfId="57855" xr:uid="{00000000-0005-0000-0000-0000270F0000}"/>
    <cellStyle name="20% - Accent3 2 2 3 28" xfId="59538" xr:uid="{00000000-0005-0000-0000-0000280F0000}"/>
    <cellStyle name="20% - Accent3 2 2 3 29" xfId="61221" xr:uid="{00000000-0005-0000-0000-0000290F0000}"/>
    <cellStyle name="20% - Accent3 2 2 3 3" xfId="3996" xr:uid="{00000000-0005-0000-0000-00002A0F0000}"/>
    <cellStyle name="20% - Accent3 2 2 3 3 2" xfId="19145" xr:uid="{00000000-0005-0000-0000-00002B0F0000}"/>
    <cellStyle name="20% - Accent3 2 2 3 30" xfId="62904" xr:uid="{00000000-0005-0000-0000-00002C0F0000}"/>
    <cellStyle name="20% - Accent3 2 2 3 4" xfId="5679" xr:uid="{00000000-0005-0000-0000-00002D0F0000}"/>
    <cellStyle name="20% - Accent3 2 2 3 4 2" xfId="20828" xr:uid="{00000000-0005-0000-0000-00002E0F0000}"/>
    <cellStyle name="20% - Accent3 2 2 3 5" xfId="7362" xr:uid="{00000000-0005-0000-0000-00002F0F0000}"/>
    <cellStyle name="20% - Accent3 2 2 3 5 2" xfId="22511" xr:uid="{00000000-0005-0000-0000-0000300F0000}"/>
    <cellStyle name="20% - Accent3 2 2 3 6" xfId="9045" xr:uid="{00000000-0005-0000-0000-0000310F0000}"/>
    <cellStyle name="20% - Accent3 2 2 3 6 2" xfId="24194" xr:uid="{00000000-0005-0000-0000-0000320F0000}"/>
    <cellStyle name="20% - Accent3 2 2 3 7" xfId="10728" xr:uid="{00000000-0005-0000-0000-0000330F0000}"/>
    <cellStyle name="20% - Accent3 2 2 3 7 2" xfId="25877" xr:uid="{00000000-0005-0000-0000-0000340F0000}"/>
    <cellStyle name="20% - Accent3 2 2 3 8" xfId="12412" xr:uid="{00000000-0005-0000-0000-0000350F0000}"/>
    <cellStyle name="20% - Accent3 2 2 3 8 2" xfId="27561" xr:uid="{00000000-0005-0000-0000-0000360F0000}"/>
    <cellStyle name="20% - Accent3 2 2 3 9" xfId="14095" xr:uid="{00000000-0005-0000-0000-0000370F0000}"/>
    <cellStyle name="20% - Accent3 2 2 3 9 2" xfId="29244" xr:uid="{00000000-0005-0000-0000-0000380F0000}"/>
    <cellStyle name="20% - Accent3 2 2 30" xfId="55752" xr:uid="{00000000-0005-0000-0000-0000390F0000}"/>
    <cellStyle name="20% - Accent3 2 2 31" xfId="57435" xr:uid="{00000000-0005-0000-0000-00003A0F0000}"/>
    <cellStyle name="20% - Accent3 2 2 32" xfId="59118" xr:uid="{00000000-0005-0000-0000-00003B0F0000}"/>
    <cellStyle name="20% - Accent3 2 2 33" xfId="60801" xr:uid="{00000000-0005-0000-0000-00003C0F0000}"/>
    <cellStyle name="20% - Accent3 2 2 34" xfId="62484" xr:uid="{00000000-0005-0000-0000-00003D0F0000}"/>
    <cellStyle name="20% - Accent3 2 2 4" xfId="1050" xr:uid="{00000000-0005-0000-0000-00003E0F0000}"/>
    <cellStyle name="20% - Accent3 2 2 4 10" xfId="16199" xr:uid="{00000000-0005-0000-0000-00003F0F0000}"/>
    <cellStyle name="20% - Accent3 2 2 4 11" xfId="31348" xr:uid="{00000000-0005-0000-0000-0000400F0000}"/>
    <cellStyle name="20% - Accent3 2 2 4 12" xfId="33031" xr:uid="{00000000-0005-0000-0000-0000410F0000}"/>
    <cellStyle name="20% - Accent3 2 2 4 13" xfId="34714" xr:uid="{00000000-0005-0000-0000-0000420F0000}"/>
    <cellStyle name="20% - Accent3 2 2 4 14" xfId="36397" xr:uid="{00000000-0005-0000-0000-0000430F0000}"/>
    <cellStyle name="20% - Accent3 2 2 4 15" xfId="38080" xr:uid="{00000000-0005-0000-0000-0000440F0000}"/>
    <cellStyle name="20% - Accent3 2 2 4 16" xfId="39763" xr:uid="{00000000-0005-0000-0000-0000450F0000}"/>
    <cellStyle name="20% - Accent3 2 2 4 17" xfId="41446" xr:uid="{00000000-0005-0000-0000-0000460F0000}"/>
    <cellStyle name="20% - Accent3 2 2 4 18" xfId="43129" xr:uid="{00000000-0005-0000-0000-0000470F0000}"/>
    <cellStyle name="20% - Accent3 2 2 4 19" xfId="44812" xr:uid="{00000000-0005-0000-0000-0000480F0000}"/>
    <cellStyle name="20% - Accent3 2 2 4 2" xfId="2733" xr:uid="{00000000-0005-0000-0000-0000490F0000}"/>
    <cellStyle name="20% - Accent3 2 2 4 2 2" xfId="17882" xr:uid="{00000000-0005-0000-0000-00004A0F0000}"/>
    <cellStyle name="20% - Accent3 2 2 4 20" xfId="46495" xr:uid="{00000000-0005-0000-0000-00004B0F0000}"/>
    <cellStyle name="20% - Accent3 2 2 4 21" xfId="48178" xr:uid="{00000000-0005-0000-0000-00004C0F0000}"/>
    <cellStyle name="20% - Accent3 2 2 4 22" xfId="49861" xr:uid="{00000000-0005-0000-0000-00004D0F0000}"/>
    <cellStyle name="20% - Accent3 2 2 4 23" xfId="51544" xr:uid="{00000000-0005-0000-0000-00004E0F0000}"/>
    <cellStyle name="20% - Accent3 2 2 4 24" xfId="53227" xr:uid="{00000000-0005-0000-0000-00004F0F0000}"/>
    <cellStyle name="20% - Accent3 2 2 4 25" xfId="54910" xr:uid="{00000000-0005-0000-0000-0000500F0000}"/>
    <cellStyle name="20% - Accent3 2 2 4 26" xfId="56593" xr:uid="{00000000-0005-0000-0000-0000510F0000}"/>
    <cellStyle name="20% - Accent3 2 2 4 27" xfId="58276" xr:uid="{00000000-0005-0000-0000-0000520F0000}"/>
    <cellStyle name="20% - Accent3 2 2 4 28" xfId="59959" xr:uid="{00000000-0005-0000-0000-0000530F0000}"/>
    <cellStyle name="20% - Accent3 2 2 4 29" xfId="61642" xr:uid="{00000000-0005-0000-0000-0000540F0000}"/>
    <cellStyle name="20% - Accent3 2 2 4 3" xfId="4417" xr:uid="{00000000-0005-0000-0000-0000550F0000}"/>
    <cellStyle name="20% - Accent3 2 2 4 3 2" xfId="19566" xr:uid="{00000000-0005-0000-0000-0000560F0000}"/>
    <cellStyle name="20% - Accent3 2 2 4 30" xfId="63325" xr:uid="{00000000-0005-0000-0000-0000570F0000}"/>
    <cellStyle name="20% - Accent3 2 2 4 4" xfId="6100" xr:uid="{00000000-0005-0000-0000-0000580F0000}"/>
    <cellStyle name="20% - Accent3 2 2 4 4 2" xfId="21249" xr:uid="{00000000-0005-0000-0000-0000590F0000}"/>
    <cellStyle name="20% - Accent3 2 2 4 5" xfId="7783" xr:uid="{00000000-0005-0000-0000-00005A0F0000}"/>
    <cellStyle name="20% - Accent3 2 2 4 5 2" xfId="22932" xr:uid="{00000000-0005-0000-0000-00005B0F0000}"/>
    <cellStyle name="20% - Accent3 2 2 4 6" xfId="9466" xr:uid="{00000000-0005-0000-0000-00005C0F0000}"/>
    <cellStyle name="20% - Accent3 2 2 4 6 2" xfId="24615" xr:uid="{00000000-0005-0000-0000-00005D0F0000}"/>
    <cellStyle name="20% - Accent3 2 2 4 7" xfId="11149" xr:uid="{00000000-0005-0000-0000-00005E0F0000}"/>
    <cellStyle name="20% - Accent3 2 2 4 7 2" xfId="26298" xr:uid="{00000000-0005-0000-0000-00005F0F0000}"/>
    <cellStyle name="20% - Accent3 2 2 4 8" xfId="12833" xr:uid="{00000000-0005-0000-0000-0000600F0000}"/>
    <cellStyle name="20% - Accent3 2 2 4 8 2" xfId="27982" xr:uid="{00000000-0005-0000-0000-0000610F0000}"/>
    <cellStyle name="20% - Accent3 2 2 4 9" xfId="14516" xr:uid="{00000000-0005-0000-0000-0000620F0000}"/>
    <cellStyle name="20% - Accent3 2 2 4 9 2" xfId="29665" xr:uid="{00000000-0005-0000-0000-0000630F0000}"/>
    <cellStyle name="20% - Accent3 2 2 5" xfId="1471" xr:uid="{00000000-0005-0000-0000-0000640F0000}"/>
    <cellStyle name="20% - Accent3 2 2 5 10" xfId="16620" xr:uid="{00000000-0005-0000-0000-0000650F0000}"/>
    <cellStyle name="20% - Accent3 2 2 5 11" xfId="31769" xr:uid="{00000000-0005-0000-0000-0000660F0000}"/>
    <cellStyle name="20% - Accent3 2 2 5 12" xfId="33452" xr:uid="{00000000-0005-0000-0000-0000670F0000}"/>
    <cellStyle name="20% - Accent3 2 2 5 13" xfId="35135" xr:uid="{00000000-0005-0000-0000-0000680F0000}"/>
    <cellStyle name="20% - Accent3 2 2 5 14" xfId="36818" xr:uid="{00000000-0005-0000-0000-0000690F0000}"/>
    <cellStyle name="20% - Accent3 2 2 5 15" xfId="38501" xr:uid="{00000000-0005-0000-0000-00006A0F0000}"/>
    <cellStyle name="20% - Accent3 2 2 5 16" xfId="40184" xr:uid="{00000000-0005-0000-0000-00006B0F0000}"/>
    <cellStyle name="20% - Accent3 2 2 5 17" xfId="41867" xr:uid="{00000000-0005-0000-0000-00006C0F0000}"/>
    <cellStyle name="20% - Accent3 2 2 5 18" xfId="43550" xr:uid="{00000000-0005-0000-0000-00006D0F0000}"/>
    <cellStyle name="20% - Accent3 2 2 5 19" xfId="45233" xr:uid="{00000000-0005-0000-0000-00006E0F0000}"/>
    <cellStyle name="20% - Accent3 2 2 5 2" xfId="3154" xr:uid="{00000000-0005-0000-0000-00006F0F0000}"/>
    <cellStyle name="20% - Accent3 2 2 5 2 2" xfId="18303" xr:uid="{00000000-0005-0000-0000-0000700F0000}"/>
    <cellStyle name="20% - Accent3 2 2 5 20" xfId="46916" xr:uid="{00000000-0005-0000-0000-0000710F0000}"/>
    <cellStyle name="20% - Accent3 2 2 5 21" xfId="48599" xr:uid="{00000000-0005-0000-0000-0000720F0000}"/>
    <cellStyle name="20% - Accent3 2 2 5 22" xfId="50282" xr:uid="{00000000-0005-0000-0000-0000730F0000}"/>
    <cellStyle name="20% - Accent3 2 2 5 23" xfId="51965" xr:uid="{00000000-0005-0000-0000-0000740F0000}"/>
    <cellStyle name="20% - Accent3 2 2 5 24" xfId="53648" xr:uid="{00000000-0005-0000-0000-0000750F0000}"/>
    <cellStyle name="20% - Accent3 2 2 5 25" xfId="55331" xr:uid="{00000000-0005-0000-0000-0000760F0000}"/>
    <cellStyle name="20% - Accent3 2 2 5 26" xfId="57014" xr:uid="{00000000-0005-0000-0000-0000770F0000}"/>
    <cellStyle name="20% - Accent3 2 2 5 27" xfId="58697" xr:uid="{00000000-0005-0000-0000-0000780F0000}"/>
    <cellStyle name="20% - Accent3 2 2 5 28" xfId="60380" xr:uid="{00000000-0005-0000-0000-0000790F0000}"/>
    <cellStyle name="20% - Accent3 2 2 5 29" xfId="62063" xr:uid="{00000000-0005-0000-0000-00007A0F0000}"/>
    <cellStyle name="20% - Accent3 2 2 5 3" xfId="4838" xr:uid="{00000000-0005-0000-0000-00007B0F0000}"/>
    <cellStyle name="20% - Accent3 2 2 5 3 2" xfId="19987" xr:uid="{00000000-0005-0000-0000-00007C0F0000}"/>
    <cellStyle name="20% - Accent3 2 2 5 30" xfId="63746" xr:uid="{00000000-0005-0000-0000-00007D0F0000}"/>
    <cellStyle name="20% - Accent3 2 2 5 4" xfId="6521" xr:uid="{00000000-0005-0000-0000-00007E0F0000}"/>
    <cellStyle name="20% - Accent3 2 2 5 4 2" xfId="21670" xr:uid="{00000000-0005-0000-0000-00007F0F0000}"/>
    <cellStyle name="20% - Accent3 2 2 5 5" xfId="8204" xr:uid="{00000000-0005-0000-0000-0000800F0000}"/>
    <cellStyle name="20% - Accent3 2 2 5 5 2" xfId="23353" xr:uid="{00000000-0005-0000-0000-0000810F0000}"/>
    <cellStyle name="20% - Accent3 2 2 5 6" xfId="9887" xr:uid="{00000000-0005-0000-0000-0000820F0000}"/>
    <cellStyle name="20% - Accent3 2 2 5 6 2" xfId="25036" xr:uid="{00000000-0005-0000-0000-0000830F0000}"/>
    <cellStyle name="20% - Accent3 2 2 5 7" xfId="11570" xr:uid="{00000000-0005-0000-0000-0000840F0000}"/>
    <cellStyle name="20% - Accent3 2 2 5 7 2" xfId="26719" xr:uid="{00000000-0005-0000-0000-0000850F0000}"/>
    <cellStyle name="20% - Accent3 2 2 5 8" xfId="13254" xr:uid="{00000000-0005-0000-0000-0000860F0000}"/>
    <cellStyle name="20% - Accent3 2 2 5 8 2" xfId="28403" xr:uid="{00000000-0005-0000-0000-0000870F0000}"/>
    <cellStyle name="20% - Accent3 2 2 5 9" xfId="14937" xr:uid="{00000000-0005-0000-0000-0000880F0000}"/>
    <cellStyle name="20% - Accent3 2 2 5 9 2" xfId="30086" xr:uid="{00000000-0005-0000-0000-0000890F0000}"/>
    <cellStyle name="20% - Accent3 2 2 6" xfId="1892" xr:uid="{00000000-0005-0000-0000-00008A0F0000}"/>
    <cellStyle name="20% - Accent3 2 2 6 2" xfId="17041" xr:uid="{00000000-0005-0000-0000-00008B0F0000}"/>
    <cellStyle name="20% - Accent3 2 2 7" xfId="3576" xr:uid="{00000000-0005-0000-0000-00008C0F0000}"/>
    <cellStyle name="20% - Accent3 2 2 7 2" xfId="18725" xr:uid="{00000000-0005-0000-0000-00008D0F0000}"/>
    <cellStyle name="20% - Accent3 2 2 8" xfId="5259" xr:uid="{00000000-0005-0000-0000-00008E0F0000}"/>
    <cellStyle name="20% - Accent3 2 2 8 2" xfId="20408" xr:uid="{00000000-0005-0000-0000-00008F0F0000}"/>
    <cellStyle name="20% - Accent3 2 2 9" xfId="6942" xr:uid="{00000000-0005-0000-0000-0000900F0000}"/>
    <cellStyle name="20% - Accent3 2 2 9 2" xfId="22091" xr:uid="{00000000-0005-0000-0000-0000910F0000}"/>
    <cellStyle name="20% - Accent3 2 20" xfId="37134" xr:uid="{00000000-0005-0000-0000-0000920F0000}"/>
    <cellStyle name="20% - Accent3 2 21" xfId="38817" xr:uid="{00000000-0005-0000-0000-0000930F0000}"/>
    <cellStyle name="20% - Accent3 2 22" xfId="40500" xr:uid="{00000000-0005-0000-0000-0000940F0000}"/>
    <cellStyle name="20% - Accent3 2 23" xfId="42183" xr:uid="{00000000-0005-0000-0000-0000950F0000}"/>
    <cellStyle name="20% - Accent3 2 24" xfId="43866" xr:uid="{00000000-0005-0000-0000-0000960F0000}"/>
    <cellStyle name="20% - Accent3 2 25" xfId="45549" xr:uid="{00000000-0005-0000-0000-0000970F0000}"/>
    <cellStyle name="20% - Accent3 2 26" xfId="47232" xr:uid="{00000000-0005-0000-0000-0000980F0000}"/>
    <cellStyle name="20% - Accent3 2 27" xfId="48915" xr:uid="{00000000-0005-0000-0000-0000990F0000}"/>
    <cellStyle name="20% - Accent3 2 28" xfId="50598" xr:uid="{00000000-0005-0000-0000-00009A0F0000}"/>
    <cellStyle name="20% - Accent3 2 29" xfId="52281" xr:uid="{00000000-0005-0000-0000-00009B0F0000}"/>
    <cellStyle name="20% - Accent3 2 3" xfId="314" xr:uid="{00000000-0005-0000-0000-00009C0F0000}"/>
    <cellStyle name="20% - Accent3 2 3 10" xfId="10413" xr:uid="{00000000-0005-0000-0000-00009D0F0000}"/>
    <cellStyle name="20% - Accent3 2 3 10 2" xfId="25562" xr:uid="{00000000-0005-0000-0000-00009E0F0000}"/>
    <cellStyle name="20% - Accent3 2 3 11" xfId="12097" xr:uid="{00000000-0005-0000-0000-00009F0F0000}"/>
    <cellStyle name="20% - Accent3 2 3 11 2" xfId="27246" xr:uid="{00000000-0005-0000-0000-0000A00F0000}"/>
    <cellStyle name="20% - Accent3 2 3 12" xfId="13780" xr:uid="{00000000-0005-0000-0000-0000A10F0000}"/>
    <cellStyle name="20% - Accent3 2 3 12 2" xfId="28929" xr:uid="{00000000-0005-0000-0000-0000A20F0000}"/>
    <cellStyle name="20% - Accent3 2 3 13" xfId="15463" xr:uid="{00000000-0005-0000-0000-0000A30F0000}"/>
    <cellStyle name="20% - Accent3 2 3 14" xfId="30612" xr:uid="{00000000-0005-0000-0000-0000A40F0000}"/>
    <cellStyle name="20% - Accent3 2 3 15" xfId="32295" xr:uid="{00000000-0005-0000-0000-0000A50F0000}"/>
    <cellStyle name="20% - Accent3 2 3 16" xfId="33978" xr:uid="{00000000-0005-0000-0000-0000A60F0000}"/>
    <cellStyle name="20% - Accent3 2 3 17" xfId="35661" xr:uid="{00000000-0005-0000-0000-0000A70F0000}"/>
    <cellStyle name="20% - Accent3 2 3 18" xfId="37344" xr:uid="{00000000-0005-0000-0000-0000A80F0000}"/>
    <cellStyle name="20% - Accent3 2 3 19" xfId="39027" xr:uid="{00000000-0005-0000-0000-0000A90F0000}"/>
    <cellStyle name="20% - Accent3 2 3 2" xfId="734" xr:uid="{00000000-0005-0000-0000-0000AA0F0000}"/>
    <cellStyle name="20% - Accent3 2 3 2 10" xfId="15883" xr:uid="{00000000-0005-0000-0000-0000AB0F0000}"/>
    <cellStyle name="20% - Accent3 2 3 2 11" xfId="31032" xr:uid="{00000000-0005-0000-0000-0000AC0F0000}"/>
    <cellStyle name="20% - Accent3 2 3 2 12" xfId="32715" xr:uid="{00000000-0005-0000-0000-0000AD0F0000}"/>
    <cellStyle name="20% - Accent3 2 3 2 13" xfId="34398" xr:uid="{00000000-0005-0000-0000-0000AE0F0000}"/>
    <cellStyle name="20% - Accent3 2 3 2 14" xfId="36081" xr:uid="{00000000-0005-0000-0000-0000AF0F0000}"/>
    <cellStyle name="20% - Accent3 2 3 2 15" xfId="37764" xr:uid="{00000000-0005-0000-0000-0000B00F0000}"/>
    <cellStyle name="20% - Accent3 2 3 2 16" xfId="39447" xr:uid="{00000000-0005-0000-0000-0000B10F0000}"/>
    <cellStyle name="20% - Accent3 2 3 2 17" xfId="41130" xr:uid="{00000000-0005-0000-0000-0000B20F0000}"/>
    <cellStyle name="20% - Accent3 2 3 2 18" xfId="42813" xr:uid="{00000000-0005-0000-0000-0000B30F0000}"/>
    <cellStyle name="20% - Accent3 2 3 2 19" xfId="44496" xr:uid="{00000000-0005-0000-0000-0000B40F0000}"/>
    <cellStyle name="20% - Accent3 2 3 2 2" xfId="2417" xr:uid="{00000000-0005-0000-0000-0000B50F0000}"/>
    <cellStyle name="20% - Accent3 2 3 2 2 2" xfId="17566" xr:uid="{00000000-0005-0000-0000-0000B60F0000}"/>
    <cellStyle name="20% - Accent3 2 3 2 20" xfId="46179" xr:uid="{00000000-0005-0000-0000-0000B70F0000}"/>
    <cellStyle name="20% - Accent3 2 3 2 21" xfId="47862" xr:uid="{00000000-0005-0000-0000-0000B80F0000}"/>
    <cellStyle name="20% - Accent3 2 3 2 22" xfId="49545" xr:uid="{00000000-0005-0000-0000-0000B90F0000}"/>
    <cellStyle name="20% - Accent3 2 3 2 23" xfId="51228" xr:uid="{00000000-0005-0000-0000-0000BA0F0000}"/>
    <cellStyle name="20% - Accent3 2 3 2 24" xfId="52911" xr:uid="{00000000-0005-0000-0000-0000BB0F0000}"/>
    <cellStyle name="20% - Accent3 2 3 2 25" xfId="54594" xr:uid="{00000000-0005-0000-0000-0000BC0F0000}"/>
    <cellStyle name="20% - Accent3 2 3 2 26" xfId="56277" xr:uid="{00000000-0005-0000-0000-0000BD0F0000}"/>
    <cellStyle name="20% - Accent3 2 3 2 27" xfId="57960" xr:uid="{00000000-0005-0000-0000-0000BE0F0000}"/>
    <cellStyle name="20% - Accent3 2 3 2 28" xfId="59643" xr:uid="{00000000-0005-0000-0000-0000BF0F0000}"/>
    <cellStyle name="20% - Accent3 2 3 2 29" xfId="61326" xr:uid="{00000000-0005-0000-0000-0000C00F0000}"/>
    <cellStyle name="20% - Accent3 2 3 2 3" xfId="4101" xr:uid="{00000000-0005-0000-0000-0000C10F0000}"/>
    <cellStyle name="20% - Accent3 2 3 2 3 2" xfId="19250" xr:uid="{00000000-0005-0000-0000-0000C20F0000}"/>
    <cellStyle name="20% - Accent3 2 3 2 30" xfId="63009" xr:uid="{00000000-0005-0000-0000-0000C30F0000}"/>
    <cellStyle name="20% - Accent3 2 3 2 4" xfId="5784" xr:uid="{00000000-0005-0000-0000-0000C40F0000}"/>
    <cellStyle name="20% - Accent3 2 3 2 4 2" xfId="20933" xr:uid="{00000000-0005-0000-0000-0000C50F0000}"/>
    <cellStyle name="20% - Accent3 2 3 2 5" xfId="7467" xr:uid="{00000000-0005-0000-0000-0000C60F0000}"/>
    <cellStyle name="20% - Accent3 2 3 2 5 2" xfId="22616" xr:uid="{00000000-0005-0000-0000-0000C70F0000}"/>
    <cellStyle name="20% - Accent3 2 3 2 6" xfId="9150" xr:uid="{00000000-0005-0000-0000-0000C80F0000}"/>
    <cellStyle name="20% - Accent3 2 3 2 6 2" xfId="24299" xr:uid="{00000000-0005-0000-0000-0000C90F0000}"/>
    <cellStyle name="20% - Accent3 2 3 2 7" xfId="10833" xr:uid="{00000000-0005-0000-0000-0000CA0F0000}"/>
    <cellStyle name="20% - Accent3 2 3 2 7 2" xfId="25982" xr:uid="{00000000-0005-0000-0000-0000CB0F0000}"/>
    <cellStyle name="20% - Accent3 2 3 2 8" xfId="12517" xr:uid="{00000000-0005-0000-0000-0000CC0F0000}"/>
    <cellStyle name="20% - Accent3 2 3 2 8 2" xfId="27666" xr:uid="{00000000-0005-0000-0000-0000CD0F0000}"/>
    <cellStyle name="20% - Accent3 2 3 2 9" xfId="14200" xr:uid="{00000000-0005-0000-0000-0000CE0F0000}"/>
    <cellStyle name="20% - Accent3 2 3 2 9 2" xfId="29349" xr:uid="{00000000-0005-0000-0000-0000CF0F0000}"/>
    <cellStyle name="20% - Accent3 2 3 20" xfId="40710" xr:uid="{00000000-0005-0000-0000-0000D00F0000}"/>
    <cellStyle name="20% - Accent3 2 3 21" xfId="42393" xr:uid="{00000000-0005-0000-0000-0000D10F0000}"/>
    <cellStyle name="20% - Accent3 2 3 22" xfId="44076" xr:uid="{00000000-0005-0000-0000-0000D20F0000}"/>
    <cellStyle name="20% - Accent3 2 3 23" xfId="45759" xr:uid="{00000000-0005-0000-0000-0000D30F0000}"/>
    <cellStyle name="20% - Accent3 2 3 24" xfId="47442" xr:uid="{00000000-0005-0000-0000-0000D40F0000}"/>
    <cellStyle name="20% - Accent3 2 3 25" xfId="49125" xr:uid="{00000000-0005-0000-0000-0000D50F0000}"/>
    <cellStyle name="20% - Accent3 2 3 26" xfId="50808" xr:uid="{00000000-0005-0000-0000-0000D60F0000}"/>
    <cellStyle name="20% - Accent3 2 3 27" xfId="52491" xr:uid="{00000000-0005-0000-0000-0000D70F0000}"/>
    <cellStyle name="20% - Accent3 2 3 28" xfId="54174" xr:uid="{00000000-0005-0000-0000-0000D80F0000}"/>
    <cellStyle name="20% - Accent3 2 3 29" xfId="55857" xr:uid="{00000000-0005-0000-0000-0000D90F0000}"/>
    <cellStyle name="20% - Accent3 2 3 3" xfId="1155" xr:uid="{00000000-0005-0000-0000-0000DA0F0000}"/>
    <cellStyle name="20% - Accent3 2 3 3 10" xfId="16304" xr:uid="{00000000-0005-0000-0000-0000DB0F0000}"/>
    <cellStyle name="20% - Accent3 2 3 3 11" xfId="31453" xr:uid="{00000000-0005-0000-0000-0000DC0F0000}"/>
    <cellStyle name="20% - Accent3 2 3 3 12" xfId="33136" xr:uid="{00000000-0005-0000-0000-0000DD0F0000}"/>
    <cellStyle name="20% - Accent3 2 3 3 13" xfId="34819" xr:uid="{00000000-0005-0000-0000-0000DE0F0000}"/>
    <cellStyle name="20% - Accent3 2 3 3 14" xfId="36502" xr:uid="{00000000-0005-0000-0000-0000DF0F0000}"/>
    <cellStyle name="20% - Accent3 2 3 3 15" xfId="38185" xr:uid="{00000000-0005-0000-0000-0000E00F0000}"/>
    <cellStyle name="20% - Accent3 2 3 3 16" xfId="39868" xr:uid="{00000000-0005-0000-0000-0000E10F0000}"/>
    <cellStyle name="20% - Accent3 2 3 3 17" xfId="41551" xr:uid="{00000000-0005-0000-0000-0000E20F0000}"/>
    <cellStyle name="20% - Accent3 2 3 3 18" xfId="43234" xr:uid="{00000000-0005-0000-0000-0000E30F0000}"/>
    <cellStyle name="20% - Accent3 2 3 3 19" xfId="44917" xr:uid="{00000000-0005-0000-0000-0000E40F0000}"/>
    <cellStyle name="20% - Accent3 2 3 3 2" xfId="2838" xr:uid="{00000000-0005-0000-0000-0000E50F0000}"/>
    <cellStyle name="20% - Accent3 2 3 3 2 2" xfId="17987" xr:uid="{00000000-0005-0000-0000-0000E60F0000}"/>
    <cellStyle name="20% - Accent3 2 3 3 20" xfId="46600" xr:uid="{00000000-0005-0000-0000-0000E70F0000}"/>
    <cellStyle name="20% - Accent3 2 3 3 21" xfId="48283" xr:uid="{00000000-0005-0000-0000-0000E80F0000}"/>
    <cellStyle name="20% - Accent3 2 3 3 22" xfId="49966" xr:uid="{00000000-0005-0000-0000-0000E90F0000}"/>
    <cellStyle name="20% - Accent3 2 3 3 23" xfId="51649" xr:uid="{00000000-0005-0000-0000-0000EA0F0000}"/>
    <cellStyle name="20% - Accent3 2 3 3 24" xfId="53332" xr:uid="{00000000-0005-0000-0000-0000EB0F0000}"/>
    <cellStyle name="20% - Accent3 2 3 3 25" xfId="55015" xr:uid="{00000000-0005-0000-0000-0000EC0F0000}"/>
    <cellStyle name="20% - Accent3 2 3 3 26" xfId="56698" xr:uid="{00000000-0005-0000-0000-0000ED0F0000}"/>
    <cellStyle name="20% - Accent3 2 3 3 27" xfId="58381" xr:uid="{00000000-0005-0000-0000-0000EE0F0000}"/>
    <cellStyle name="20% - Accent3 2 3 3 28" xfId="60064" xr:uid="{00000000-0005-0000-0000-0000EF0F0000}"/>
    <cellStyle name="20% - Accent3 2 3 3 29" xfId="61747" xr:uid="{00000000-0005-0000-0000-0000F00F0000}"/>
    <cellStyle name="20% - Accent3 2 3 3 3" xfId="4522" xr:uid="{00000000-0005-0000-0000-0000F10F0000}"/>
    <cellStyle name="20% - Accent3 2 3 3 3 2" xfId="19671" xr:uid="{00000000-0005-0000-0000-0000F20F0000}"/>
    <cellStyle name="20% - Accent3 2 3 3 30" xfId="63430" xr:uid="{00000000-0005-0000-0000-0000F30F0000}"/>
    <cellStyle name="20% - Accent3 2 3 3 4" xfId="6205" xr:uid="{00000000-0005-0000-0000-0000F40F0000}"/>
    <cellStyle name="20% - Accent3 2 3 3 4 2" xfId="21354" xr:uid="{00000000-0005-0000-0000-0000F50F0000}"/>
    <cellStyle name="20% - Accent3 2 3 3 5" xfId="7888" xr:uid="{00000000-0005-0000-0000-0000F60F0000}"/>
    <cellStyle name="20% - Accent3 2 3 3 5 2" xfId="23037" xr:uid="{00000000-0005-0000-0000-0000F70F0000}"/>
    <cellStyle name="20% - Accent3 2 3 3 6" xfId="9571" xr:uid="{00000000-0005-0000-0000-0000F80F0000}"/>
    <cellStyle name="20% - Accent3 2 3 3 6 2" xfId="24720" xr:uid="{00000000-0005-0000-0000-0000F90F0000}"/>
    <cellStyle name="20% - Accent3 2 3 3 7" xfId="11254" xr:uid="{00000000-0005-0000-0000-0000FA0F0000}"/>
    <cellStyle name="20% - Accent3 2 3 3 7 2" xfId="26403" xr:uid="{00000000-0005-0000-0000-0000FB0F0000}"/>
    <cellStyle name="20% - Accent3 2 3 3 8" xfId="12938" xr:uid="{00000000-0005-0000-0000-0000FC0F0000}"/>
    <cellStyle name="20% - Accent3 2 3 3 8 2" xfId="28087" xr:uid="{00000000-0005-0000-0000-0000FD0F0000}"/>
    <cellStyle name="20% - Accent3 2 3 3 9" xfId="14621" xr:uid="{00000000-0005-0000-0000-0000FE0F0000}"/>
    <cellStyle name="20% - Accent3 2 3 3 9 2" xfId="29770" xr:uid="{00000000-0005-0000-0000-0000FF0F0000}"/>
    <cellStyle name="20% - Accent3 2 3 30" xfId="57540" xr:uid="{00000000-0005-0000-0000-000000100000}"/>
    <cellStyle name="20% - Accent3 2 3 31" xfId="59223" xr:uid="{00000000-0005-0000-0000-000001100000}"/>
    <cellStyle name="20% - Accent3 2 3 32" xfId="60906" xr:uid="{00000000-0005-0000-0000-000002100000}"/>
    <cellStyle name="20% - Accent3 2 3 33" xfId="62589" xr:uid="{00000000-0005-0000-0000-000003100000}"/>
    <cellStyle name="20% - Accent3 2 3 4" xfId="1576" xr:uid="{00000000-0005-0000-0000-000004100000}"/>
    <cellStyle name="20% - Accent3 2 3 4 10" xfId="16725" xr:uid="{00000000-0005-0000-0000-000005100000}"/>
    <cellStyle name="20% - Accent3 2 3 4 11" xfId="31874" xr:uid="{00000000-0005-0000-0000-000006100000}"/>
    <cellStyle name="20% - Accent3 2 3 4 12" xfId="33557" xr:uid="{00000000-0005-0000-0000-000007100000}"/>
    <cellStyle name="20% - Accent3 2 3 4 13" xfId="35240" xr:uid="{00000000-0005-0000-0000-000008100000}"/>
    <cellStyle name="20% - Accent3 2 3 4 14" xfId="36923" xr:uid="{00000000-0005-0000-0000-000009100000}"/>
    <cellStyle name="20% - Accent3 2 3 4 15" xfId="38606" xr:uid="{00000000-0005-0000-0000-00000A100000}"/>
    <cellStyle name="20% - Accent3 2 3 4 16" xfId="40289" xr:uid="{00000000-0005-0000-0000-00000B100000}"/>
    <cellStyle name="20% - Accent3 2 3 4 17" xfId="41972" xr:uid="{00000000-0005-0000-0000-00000C100000}"/>
    <cellStyle name="20% - Accent3 2 3 4 18" xfId="43655" xr:uid="{00000000-0005-0000-0000-00000D100000}"/>
    <cellStyle name="20% - Accent3 2 3 4 19" xfId="45338" xr:uid="{00000000-0005-0000-0000-00000E100000}"/>
    <cellStyle name="20% - Accent3 2 3 4 2" xfId="3259" xr:uid="{00000000-0005-0000-0000-00000F100000}"/>
    <cellStyle name="20% - Accent3 2 3 4 2 2" xfId="18408" xr:uid="{00000000-0005-0000-0000-000010100000}"/>
    <cellStyle name="20% - Accent3 2 3 4 20" xfId="47021" xr:uid="{00000000-0005-0000-0000-000011100000}"/>
    <cellStyle name="20% - Accent3 2 3 4 21" xfId="48704" xr:uid="{00000000-0005-0000-0000-000012100000}"/>
    <cellStyle name="20% - Accent3 2 3 4 22" xfId="50387" xr:uid="{00000000-0005-0000-0000-000013100000}"/>
    <cellStyle name="20% - Accent3 2 3 4 23" xfId="52070" xr:uid="{00000000-0005-0000-0000-000014100000}"/>
    <cellStyle name="20% - Accent3 2 3 4 24" xfId="53753" xr:uid="{00000000-0005-0000-0000-000015100000}"/>
    <cellStyle name="20% - Accent3 2 3 4 25" xfId="55436" xr:uid="{00000000-0005-0000-0000-000016100000}"/>
    <cellStyle name="20% - Accent3 2 3 4 26" xfId="57119" xr:uid="{00000000-0005-0000-0000-000017100000}"/>
    <cellStyle name="20% - Accent3 2 3 4 27" xfId="58802" xr:uid="{00000000-0005-0000-0000-000018100000}"/>
    <cellStyle name="20% - Accent3 2 3 4 28" xfId="60485" xr:uid="{00000000-0005-0000-0000-000019100000}"/>
    <cellStyle name="20% - Accent3 2 3 4 29" xfId="62168" xr:uid="{00000000-0005-0000-0000-00001A100000}"/>
    <cellStyle name="20% - Accent3 2 3 4 3" xfId="4943" xr:uid="{00000000-0005-0000-0000-00001B100000}"/>
    <cellStyle name="20% - Accent3 2 3 4 3 2" xfId="20092" xr:uid="{00000000-0005-0000-0000-00001C100000}"/>
    <cellStyle name="20% - Accent3 2 3 4 30" xfId="63851" xr:uid="{00000000-0005-0000-0000-00001D100000}"/>
    <cellStyle name="20% - Accent3 2 3 4 4" xfId="6626" xr:uid="{00000000-0005-0000-0000-00001E100000}"/>
    <cellStyle name="20% - Accent3 2 3 4 4 2" xfId="21775" xr:uid="{00000000-0005-0000-0000-00001F100000}"/>
    <cellStyle name="20% - Accent3 2 3 4 5" xfId="8309" xr:uid="{00000000-0005-0000-0000-000020100000}"/>
    <cellStyle name="20% - Accent3 2 3 4 5 2" xfId="23458" xr:uid="{00000000-0005-0000-0000-000021100000}"/>
    <cellStyle name="20% - Accent3 2 3 4 6" xfId="9992" xr:uid="{00000000-0005-0000-0000-000022100000}"/>
    <cellStyle name="20% - Accent3 2 3 4 6 2" xfId="25141" xr:uid="{00000000-0005-0000-0000-000023100000}"/>
    <cellStyle name="20% - Accent3 2 3 4 7" xfId="11675" xr:uid="{00000000-0005-0000-0000-000024100000}"/>
    <cellStyle name="20% - Accent3 2 3 4 7 2" xfId="26824" xr:uid="{00000000-0005-0000-0000-000025100000}"/>
    <cellStyle name="20% - Accent3 2 3 4 8" xfId="13359" xr:uid="{00000000-0005-0000-0000-000026100000}"/>
    <cellStyle name="20% - Accent3 2 3 4 8 2" xfId="28508" xr:uid="{00000000-0005-0000-0000-000027100000}"/>
    <cellStyle name="20% - Accent3 2 3 4 9" xfId="15042" xr:uid="{00000000-0005-0000-0000-000028100000}"/>
    <cellStyle name="20% - Accent3 2 3 4 9 2" xfId="30191" xr:uid="{00000000-0005-0000-0000-000029100000}"/>
    <cellStyle name="20% - Accent3 2 3 5" xfId="1997" xr:uid="{00000000-0005-0000-0000-00002A100000}"/>
    <cellStyle name="20% - Accent3 2 3 5 2" xfId="17146" xr:uid="{00000000-0005-0000-0000-00002B100000}"/>
    <cellStyle name="20% - Accent3 2 3 6" xfId="3681" xr:uid="{00000000-0005-0000-0000-00002C100000}"/>
    <cellStyle name="20% - Accent3 2 3 6 2" xfId="18830" xr:uid="{00000000-0005-0000-0000-00002D100000}"/>
    <cellStyle name="20% - Accent3 2 3 7" xfId="5364" xr:uid="{00000000-0005-0000-0000-00002E100000}"/>
    <cellStyle name="20% - Accent3 2 3 7 2" xfId="20513" xr:uid="{00000000-0005-0000-0000-00002F100000}"/>
    <cellStyle name="20% - Accent3 2 3 8" xfId="7047" xr:uid="{00000000-0005-0000-0000-000030100000}"/>
    <cellStyle name="20% - Accent3 2 3 8 2" xfId="22196" xr:uid="{00000000-0005-0000-0000-000031100000}"/>
    <cellStyle name="20% - Accent3 2 3 9" xfId="8730" xr:uid="{00000000-0005-0000-0000-000032100000}"/>
    <cellStyle name="20% - Accent3 2 3 9 2" xfId="23879" xr:uid="{00000000-0005-0000-0000-000033100000}"/>
    <cellStyle name="20% - Accent3 2 30" xfId="53964" xr:uid="{00000000-0005-0000-0000-000034100000}"/>
    <cellStyle name="20% - Accent3 2 31" xfId="55647" xr:uid="{00000000-0005-0000-0000-000035100000}"/>
    <cellStyle name="20% - Accent3 2 32" xfId="57330" xr:uid="{00000000-0005-0000-0000-000036100000}"/>
    <cellStyle name="20% - Accent3 2 33" xfId="59013" xr:uid="{00000000-0005-0000-0000-000037100000}"/>
    <cellStyle name="20% - Accent3 2 34" xfId="60696" xr:uid="{00000000-0005-0000-0000-000038100000}"/>
    <cellStyle name="20% - Accent3 2 35" xfId="62379" xr:uid="{00000000-0005-0000-0000-000039100000}"/>
    <cellStyle name="20% - Accent3 2 4" xfId="524" xr:uid="{00000000-0005-0000-0000-00003A100000}"/>
    <cellStyle name="20% - Accent3 2 4 10" xfId="15673" xr:uid="{00000000-0005-0000-0000-00003B100000}"/>
    <cellStyle name="20% - Accent3 2 4 11" xfId="30822" xr:uid="{00000000-0005-0000-0000-00003C100000}"/>
    <cellStyle name="20% - Accent3 2 4 12" xfId="32505" xr:uid="{00000000-0005-0000-0000-00003D100000}"/>
    <cellStyle name="20% - Accent3 2 4 13" xfId="34188" xr:uid="{00000000-0005-0000-0000-00003E100000}"/>
    <cellStyle name="20% - Accent3 2 4 14" xfId="35871" xr:uid="{00000000-0005-0000-0000-00003F100000}"/>
    <cellStyle name="20% - Accent3 2 4 15" xfId="37554" xr:uid="{00000000-0005-0000-0000-000040100000}"/>
    <cellStyle name="20% - Accent3 2 4 16" xfId="39237" xr:uid="{00000000-0005-0000-0000-000041100000}"/>
    <cellStyle name="20% - Accent3 2 4 17" xfId="40920" xr:uid="{00000000-0005-0000-0000-000042100000}"/>
    <cellStyle name="20% - Accent3 2 4 18" xfId="42603" xr:uid="{00000000-0005-0000-0000-000043100000}"/>
    <cellStyle name="20% - Accent3 2 4 19" xfId="44286" xr:uid="{00000000-0005-0000-0000-000044100000}"/>
    <cellStyle name="20% - Accent3 2 4 2" xfId="2207" xr:uid="{00000000-0005-0000-0000-000045100000}"/>
    <cellStyle name="20% - Accent3 2 4 2 2" xfId="17356" xr:uid="{00000000-0005-0000-0000-000046100000}"/>
    <cellStyle name="20% - Accent3 2 4 20" xfId="45969" xr:uid="{00000000-0005-0000-0000-000047100000}"/>
    <cellStyle name="20% - Accent3 2 4 21" xfId="47652" xr:uid="{00000000-0005-0000-0000-000048100000}"/>
    <cellStyle name="20% - Accent3 2 4 22" xfId="49335" xr:uid="{00000000-0005-0000-0000-000049100000}"/>
    <cellStyle name="20% - Accent3 2 4 23" xfId="51018" xr:uid="{00000000-0005-0000-0000-00004A100000}"/>
    <cellStyle name="20% - Accent3 2 4 24" xfId="52701" xr:uid="{00000000-0005-0000-0000-00004B100000}"/>
    <cellStyle name="20% - Accent3 2 4 25" xfId="54384" xr:uid="{00000000-0005-0000-0000-00004C100000}"/>
    <cellStyle name="20% - Accent3 2 4 26" xfId="56067" xr:uid="{00000000-0005-0000-0000-00004D100000}"/>
    <cellStyle name="20% - Accent3 2 4 27" xfId="57750" xr:uid="{00000000-0005-0000-0000-00004E100000}"/>
    <cellStyle name="20% - Accent3 2 4 28" xfId="59433" xr:uid="{00000000-0005-0000-0000-00004F100000}"/>
    <cellStyle name="20% - Accent3 2 4 29" xfId="61116" xr:uid="{00000000-0005-0000-0000-000050100000}"/>
    <cellStyle name="20% - Accent3 2 4 3" xfId="3891" xr:uid="{00000000-0005-0000-0000-000051100000}"/>
    <cellStyle name="20% - Accent3 2 4 3 2" xfId="19040" xr:uid="{00000000-0005-0000-0000-000052100000}"/>
    <cellStyle name="20% - Accent3 2 4 30" xfId="62799" xr:uid="{00000000-0005-0000-0000-000053100000}"/>
    <cellStyle name="20% - Accent3 2 4 4" xfId="5574" xr:uid="{00000000-0005-0000-0000-000054100000}"/>
    <cellStyle name="20% - Accent3 2 4 4 2" xfId="20723" xr:uid="{00000000-0005-0000-0000-000055100000}"/>
    <cellStyle name="20% - Accent3 2 4 5" xfId="7257" xr:uid="{00000000-0005-0000-0000-000056100000}"/>
    <cellStyle name="20% - Accent3 2 4 5 2" xfId="22406" xr:uid="{00000000-0005-0000-0000-000057100000}"/>
    <cellStyle name="20% - Accent3 2 4 6" xfId="8940" xr:uid="{00000000-0005-0000-0000-000058100000}"/>
    <cellStyle name="20% - Accent3 2 4 6 2" xfId="24089" xr:uid="{00000000-0005-0000-0000-000059100000}"/>
    <cellStyle name="20% - Accent3 2 4 7" xfId="10623" xr:uid="{00000000-0005-0000-0000-00005A100000}"/>
    <cellStyle name="20% - Accent3 2 4 7 2" xfId="25772" xr:uid="{00000000-0005-0000-0000-00005B100000}"/>
    <cellStyle name="20% - Accent3 2 4 8" xfId="12307" xr:uid="{00000000-0005-0000-0000-00005C100000}"/>
    <cellStyle name="20% - Accent3 2 4 8 2" xfId="27456" xr:uid="{00000000-0005-0000-0000-00005D100000}"/>
    <cellStyle name="20% - Accent3 2 4 9" xfId="13990" xr:uid="{00000000-0005-0000-0000-00005E100000}"/>
    <cellStyle name="20% - Accent3 2 4 9 2" xfId="29139" xr:uid="{00000000-0005-0000-0000-00005F100000}"/>
    <cellStyle name="20% - Accent3 2 5" xfId="945" xr:uid="{00000000-0005-0000-0000-000060100000}"/>
    <cellStyle name="20% - Accent3 2 5 10" xfId="16094" xr:uid="{00000000-0005-0000-0000-000061100000}"/>
    <cellStyle name="20% - Accent3 2 5 11" xfId="31243" xr:uid="{00000000-0005-0000-0000-000062100000}"/>
    <cellStyle name="20% - Accent3 2 5 12" xfId="32926" xr:uid="{00000000-0005-0000-0000-000063100000}"/>
    <cellStyle name="20% - Accent3 2 5 13" xfId="34609" xr:uid="{00000000-0005-0000-0000-000064100000}"/>
    <cellStyle name="20% - Accent3 2 5 14" xfId="36292" xr:uid="{00000000-0005-0000-0000-000065100000}"/>
    <cellStyle name="20% - Accent3 2 5 15" xfId="37975" xr:uid="{00000000-0005-0000-0000-000066100000}"/>
    <cellStyle name="20% - Accent3 2 5 16" xfId="39658" xr:uid="{00000000-0005-0000-0000-000067100000}"/>
    <cellStyle name="20% - Accent3 2 5 17" xfId="41341" xr:uid="{00000000-0005-0000-0000-000068100000}"/>
    <cellStyle name="20% - Accent3 2 5 18" xfId="43024" xr:uid="{00000000-0005-0000-0000-000069100000}"/>
    <cellStyle name="20% - Accent3 2 5 19" xfId="44707" xr:uid="{00000000-0005-0000-0000-00006A100000}"/>
    <cellStyle name="20% - Accent3 2 5 2" xfId="2628" xr:uid="{00000000-0005-0000-0000-00006B100000}"/>
    <cellStyle name="20% - Accent3 2 5 2 2" xfId="17777" xr:uid="{00000000-0005-0000-0000-00006C100000}"/>
    <cellStyle name="20% - Accent3 2 5 20" xfId="46390" xr:uid="{00000000-0005-0000-0000-00006D100000}"/>
    <cellStyle name="20% - Accent3 2 5 21" xfId="48073" xr:uid="{00000000-0005-0000-0000-00006E100000}"/>
    <cellStyle name="20% - Accent3 2 5 22" xfId="49756" xr:uid="{00000000-0005-0000-0000-00006F100000}"/>
    <cellStyle name="20% - Accent3 2 5 23" xfId="51439" xr:uid="{00000000-0005-0000-0000-000070100000}"/>
    <cellStyle name="20% - Accent3 2 5 24" xfId="53122" xr:uid="{00000000-0005-0000-0000-000071100000}"/>
    <cellStyle name="20% - Accent3 2 5 25" xfId="54805" xr:uid="{00000000-0005-0000-0000-000072100000}"/>
    <cellStyle name="20% - Accent3 2 5 26" xfId="56488" xr:uid="{00000000-0005-0000-0000-000073100000}"/>
    <cellStyle name="20% - Accent3 2 5 27" xfId="58171" xr:uid="{00000000-0005-0000-0000-000074100000}"/>
    <cellStyle name="20% - Accent3 2 5 28" xfId="59854" xr:uid="{00000000-0005-0000-0000-000075100000}"/>
    <cellStyle name="20% - Accent3 2 5 29" xfId="61537" xr:uid="{00000000-0005-0000-0000-000076100000}"/>
    <cellStyle name="20% - Accent3 2 5 3" xfId="4312" xr:uid="{00000000-0005-0000-0000-000077100000}"/>
    <cellStyle name="20% - Accent3 2 5 3 2" xfId="19461" xr:uid="{00000000-0005-0000-0000-000078100000}"/>
    <cellStyle name="20% - Accent3 2 5 30" xfId="63220" xr:uid="{00000000-0005-0000-0000-000079100000}"/>
    <cellStyle name="20% - Accent3 2 5 4" xfId="5995" xr:uid="{00000000-0005-0000-0000-00007A100000}"/>
    <cellStyle name="20% - Accent3 2 5 4 2" xfId="21144" xr:uid="{00000000-0005-0000-0000-00007B100000}"/>
    <cellStyle name="20% - Accent3 2 5 5" xfId="7678" xr:uid="{00000000-0005-0000-0000-00007C100000}"/>
    <cellStyle name="20% - Accent3 2 5 5 2" xfId="22827" xr:uid="{00000000-0005-0000-0000-00007D100000}"/>
    <cellStyle name="20% - Accent3 2 5 6" xfId="9361" xr:uid="{00000000-0005-0000-0000-00007E100000}"/>
    <cellStyle name="20% - Accent3 2 5 6 2" xfId="24510" xr:uid="{00000000-0005-0000-0000-00007F100000}"/>
    <cellStyle name="20% - Accent3 2 5 7" xfId="11044" xr:uid="{00000000-0005-0000-0000-000080100000}"/>
    <cellStyle name="20% - Accent3 2 5 7 2" xfId="26193" xr:uid="{00000000-0005-0000-0000-000081100000}"/>
    <cellStyle name="20% - Accent3 2 5 8" xfId="12728" xr:uid="{00000000-0005-0000-0000-000082100000}"/>
    <cellStyle name="20% - Accent3 2 5 8 2" xfId="27877" xr:uid="{00000000-0005-0000-0000-000083100000}"/>
    <cellStyle name="20% - Accent3 2 5 9" xfId="14411" xr:uid="{00000000-0005-0000-0000-000084100000}"/>
    <cellStyle name="20% - Accent3 2 5 9 2" xfId="29560" xr:uid="{00000000-0005-0000-0000-000085100000}"/>
    <cellStyle name="20% - Accent3 2 6" xfId="1366" xr:uid="{00000000-0005-0000-0000-000086100000}"/>
    <cellStyle name="20% - Accent3 2 6 10" xfId="16515" xr:uid="{00000000-0005-0000-0000-000087100000}"/>
    <cellStyle name="20% - Accent3 2 6 11" xfId="31664" xr:uid="{00000000-0005-0000-0000-000088100000}"/>
    <cellStyle name="20% - Accent3 2 6 12" xfId="33347" xr:uid="{00000000-0005-0000-0000-000089100000}"/>
    <cellStyle name="20% - Accent3 2 6 13" xfId="35030" xr:uid="{00000000-0005-0000-0000-00008A100000}"/>
    <cellStyle name="20% - Accent3 2 6 14" xfId="36713" xr:uid="{00000000-0005-0000-0000-00008B100000}"/>
    <cellStyle name="20% - Accent3 2 6 15" xfId="38396" xr:uid="{00000000-0005-0000-0000-00008C100000}"/>
    <cellStyle name="20% - Accent3 2 6 16" xfId="40079" xr:uid="{00000000-0005-0000-0000-00008D100000}"/>
    <cellStyle name="20% - Accent3 2 6 17" xfId="41762" xr:uid="{00000000-0005-0000-0000-00008E100000}"/>
    <cellStyle name="20% - Accent3 2 6 18" xfId="43445" xr:uid="{00000000-0005-0000-0000-00008F100000}"/>
    <cellStyle name="20% - Accent3 2 6 19" xfId="45128" xr:uid="{00000000-0005-0000-0000-000090100000}"/>
    <cellStyle name="20% - Accent3 2 6 2" xfId="3049" xr:uid="{00000000-0005-0000-0000-000091100000}"/>
    <cellStyle name="20% - Accent3 2 6 2 2" xfId="18198" xr:uid="{00000000-0005-0000-0000-000092100000}"/>
    <cellStyle name="20% - Accent3 2 6 20" xfId="46811" xr:uid="{00000000-0005-0000-0000-000093100000}"/>
    <cellStyle name="20% - Accent3 2 6 21" xfId="48494" xr:uid="{00000000-0005-0000-0000-000094100000}"/>
    <cellStyle name="20% - Accent3 2 6 22" xfId="50177" xr:uid="{00000000-0005-0000-0000-000095100000}"/>
    <cellStyle name="20% - Accent3 2 6 23" xfId="51860" xr:uid="{00000000-0005-0000-0000-000096100000}"/>
    <cellStyle name="20% - Accent3 2 6 24" xfId="53543" xr:uid="{00000000-0005-0000-0000-000097100000}"/>
    <cellStyle name="20% - Accent3 2 6 25" xfId="55226" xr:uid="{00000000-0005-0000-0000-000098100000}"/>
    <cellStyle name="20% - Accent3 2 6 26" xfId="56909" xr:uid="{00000000-0005-0000-0000-000099100000}"/>
    <cellStyle name="20% - Accent3 2 6 27" xfId="58592" xr:uid="{00000000-0005-0000-0000-00009A100000}"/>
    <cellStyle name="20% - Accent3 2 6 28" xfId="60275" xr:uid="{00000000-0005-0000-0000-00009B100000}"/>
    <cellStyle name="20% - Accent3 2 6 29" xfId="61958" xr:uid="{00000000-0005-0000-0000-00009C100000}"/>
    <cellStyle name="20% - Accent3 2 6 3" xfId="4733" xr:uid="{00000000-0005-0000-0000-00009D100000}"/>
    <cellStyle name="20% - Accent3 2 6 3 2" xfId="19882" xr:uid="{00000000-0005-0000-0000-00009E100000}"/>
    <cellStyle name="20% - Accent3 2 6 30" xfId="63641" xr:uid="{00000000-0005-0000-0000-00009F100000}"/>
    <cellStyle name="20% - Accent3 2 6 4" xfId="6416" xr:uid="{00000000-0005-0000-0000-0000A0100000}"/>
    <cellStyle name="20% - Accent3 2 6 4 2" xfId="21565" xr:uid="{00000000-0005-0000-0000-0000A1100000}"/>
    <cellStyle name="20% - Accent3 2 6 5" xfId="8099" xr:uid="{00000000-0005-0000-0000-0000A2100000}"/>
    <cellStyle name="20% - Accent3 2 6 5 2" xfId="23248" xr:uid="{00000000-0005-0000-0000-0000A3100000}"/>
    <cellStyle name="20% - Accent3 2 6 6" xfId="9782" xr:uid="{00000000-0005-0000-0000-0000A4100000}"/>
    <cellStyle name="20% - Accent3 2 6 6 2" xfId="24931" xr:uid="{00000000-0005-0000-0000-0000A5100000}"/>
    <cellStyle name="20% - Accent3 2 6 7" xfId="11465" xr:uid="{00000000-0005-0000-0000-0000A6100000}"/>
    <cellStyle name="20% - Accent3 2 6 7 2" xfId="26614" xr:uid="{00000000-0005-0000-0000-0000A7100000}"/>
    <cellStyle name="20% - Accent3 2 6 8" xfId="13149" xr:uid="{00000000-0005-0000-0000-0000A8100000}"/>
    <cellStyle name="20% - Accent3 2 6 8 2" xfId="28298" xr:uid="{00000000-0005-0000-0000-0000A9100000}"/>
    <cellStyle name="20% - Accent3 2 6 9" xfId="14832" xr:uid="{00000000-0005-0000-0000-0000AA100000}"/>
    <cellStyle name="20% - Accent3 2 6 9 2" xfId="29981" xr:uid="{00000000-0005-0000-0000-0000AB100000}"/>
    <cellStyle name="20% - Accent3 2 7" xfId="1787" xr:uid="{00000000-0005-0000-0000-0000AC100000}"/>
    <cellStyle name="20% - Accent3 2 7 2" xfId="16936" xr:uid="{00000000-0005-0000-0000-0000AD100000}"/>
    <cellStyle name="20% - Accent3 2 8" xfId="3471" xr:uid="{00000000-0005-0000-0000-0000AE100000}"/>
    <cellStyle name="20% - Accent3 2 8 2" xfId="18620" xr:uid="{00000000-0005-0000-0000-0000AF100000}"/>
    <cellStyle name="20% - Accent3 2 9" xfId="5154" xr:uid="{00000000-0005-0000-0000-0000B0100000}"/>
    <cellStyle name="20% - Accent3 2 9 2" xfId="20303" xr:uid="{00000000-0005-0000-0000-0000B1100000}"/>
    <cellStyle name="20% - Accent3 20" xfId="33746" xr:uid="{00000000-0005-0000-0000-0000B2100000}"/>
    <cellStyle name="20% - Accent3 21" xfId="35429" xr:uid="{00000000-0005-0000-0000-0000B3100000}"/>
    <cellStyle name="20% - Accent3 22" xfId="37112" xr:uid="{00000000-0005-0000-0000-0000B4100000}"/>
    <cellStyle name="20% - Accent3 23" xfId="38795" xr:uid="{00000000-0005-0000-0000-0000B5100000}"/>
    <cellStyle name="20% - Accent3 24" xfId="40478" xr:uid="{00000000-0005-0000-0000-0000B6100000}"/>
    <cellStyle name="20% - Accent3 25" xfId="42161" xr:uid="{00000000-0005-0000-0000-0000B7100000}"/>
    <cellStyle name="20% - Accent3 26" xfId="43844" xr:uid="{00000000-0005-0000-0000-0000B8100000}"/>
    <cellStyle name="20% - Accent3 27" xfId="45527" xr:uid="{00000000-0005-0000-0000-0000B9100000}"/>
    <cellStyle name="20% - Accent3 28" xfId="47210" xr:uid="{00000000-0005-0000-0000-0000BA100000}"/>
    <cellStyle name="20% - Accent3 29" xfId="48893" xr:uid="{00000000-0005-0000-0000-0000BB100000}"/>
    <cellStyle name="20% - Accent3 3" xfId="124" xr:uid="{00000000-0005-0000-0000-0000BC100000}"/>
    <cellStyle name="20% - Accent3 3 10" xfId="6857" xr:uid="{00000000-0005-0000-0000-0000BD100000}"/>
    <cellStyle name="20% - Accent3 3 10 2" xfId="22006" xr:uid="{00000000-0005-0000-0000-0000BE100000}"/>
    <cellStyle name="20% - Accent3 3 11" xfId="8540" xr:uid="{00000000-0005-0000-0000-0000BF100000}"/>
    <cellStyle name="20% - Accent3 3 11 2" xfId="23689" xr:uid="{00000000-0005-0000-0000-0000C0100000}"/>
    <cellStyle name="20% - Accent3 3 12" xfId="10223" xr:uid="{00000000-0005-0000-0000-0000C1100000}"/>
    <cellStyle name="20% - Accent3 3 12 2" xfId="25372" xr:uid="{00000000-0005-0000-0000-0000C2100000}"/>
    <cellStyle name="20% - Accent3 3 13" xfId="11907" xr:uid="{00000000-0005-0000-0000-0000C3100000}"/>
    <cellStyle name="20% - Accent3 3 13 2" xfId="27056" xr:uid="{00000000-0005-0000-0000-0000C4100000}"/>
    <cellStyle name="20% - Accent3 3 14" xfId="13590" xr:uid="{00000000-0005-0000-0000-0000C5100000}"/>
    <cellStyle name="20% - Accent3 3 14 2" xfId="28739" xr:uid="{00000000-0005-0000-0000-0000C6100000}"/>
    <cellStyle name="20% - Accent3 3 15" xfId="15273" xr:uid="{00000000-0005-0000-0000-0000C7100000}"/>
    <cellStyle name="20% - Accent3 3 16" xfId="30422" xr:uid="{00000000-0005-0000-0000-0000C8100000}"/>
    <cellStyle name="20% - Accent3 3 17" xfId="32105" xr:uid="{00000000-0005-0000-0000-0000C9100000}"/>
    <cellStyle name="20% - Accent3 3 18" xfId="33788" xr:uid="{00000000-0005-0000-0000-0000CA100000}"/>
    <cellStyle name="20% - Accent3 3 19" xfId="35471" xr:uid="{00000000-0005-0000-0000-0000CB100000}"/>
    <cellStyle name="20% - Accent3 3 2" xfId="229" xr:uid="{00000000-0005-0000-0000-0000CC100000}"/>
    <cellStyle name="20% - Accent3 3 2 10" xfId="8645" xr:uid="{00000000-0005-0000-0000-0000CD100000}"/>
    <cellStyle name="20% - Accent3 3 2 10 2" xfId="23794" xr:uid="{00000000-0005-0000-0000-0000CE100000}"/>
    <cellStyle name="20% - Accent3 3 2 11" xfId="10328" xr:uid="{00000000-0005-0000-0000-0000CF100000}"/>
    <cellStyle name="20% - Accent3 3 2 11 2" xfId="25477" xr:uid="{00000000-0005-0000-0000-0000D0100000}"/>
    <cellStyle name="20% - Accent3 3 2 12" xfId="12012" xr:uid="{00000000-0005-0000-0000-0000D1100000}"/>
    <cellStyle name="20% - Accent3 3 2 12 2" xfId="27161" xr:uid="{00000000-0005-0000-0000-0000D2100000}"/>
    <cellStyle name="20% - Accent3 3 2 13" xfId="13695" xr:uid="{00000000-0005-0000-0000-0000D3100000}"/>
    <cellStyle name="20% - Accent3 3 2 13 2" xfId="28844" xr:uid="{00000000-0005-0000-0000-0000D4100000}"/>
    <cellStyle name="20% - Accent3 3 2 14" xfId="15378" xr:uid="{00000000-0005-0000-0000-0000D5100000}"/>
    <cellStyle name="20% - Accent3 3 2 15" xfId="30527" xr:uid="{00000000-0005-0000-0000-0000D6100000}"/>
    <cellStyle name="20% - Accent3 3 2 16" xfId="32210" xr:uid="{00000000-0005-0000-0000-0000D7100000}"/>
    <cellStyle name="20% - Accent3 3 2 17" xfId="33893" xr:uid="{00000000-0005-0000-0000-0000D8100000}"/>
    <cellStyle name="20% - Accent3 3 2 18" xfId="35576" xr:uid="{00000000-0005-0000-0000-0000D9100000}"/>
    <cellStyle name="20% - Accent3 3 2 19" xfId="37259" xr:uid="{00000000-0005-0000-0000-0000DA100000}"/>
    <cellStyle name="20% - Accent3 3 2 2" xfId="439" xr:uid="{00000000-0005-0000-0000-0000DB100000}"/>
    <cellStyle name="20% - Accent3 3 2 2 10" xfId="10538" xr:uid="{00000000-0005-0000-0000-0000DC100000}"/>
    <cellStyle name="20% - Accent3 3 2 2 10 2" xfId="25687" xr:uid="{00000000-0005-0000-0000-0000DD100000}"/>
    <cellStyle name="20% - Accent3 3 2 2 11" xfId="12222" xr:uid="{00000000-0005-0000-0000-0000DE100000}"/>
    <cellStyle name="20% - Accent3 3 2 2 11 2" xfId="27371" xr:uid="{00000000-0005-0000-0000-0000DF100000}"/>
    <cellStyle name="20% - Accent3 3 2 2 12" xfId="13905" xr:uid="{00000000-0005-0000-0000-0000E0100000}"/>
    <cellStyle name="20% - Accent3 3 2 2 12 2" xfId="29054" xr:uid="{00000000-0005-0000-0000-0000E1100000}"/>
    <cellStyle name="20% - Accent3 3 2 2 13" xfId="15588" xr:uid="{00000000-0005-0000-0000-0000E2100000}"/>
    <cellStyle name="20% - Accent3 3 2 2 14" xfId="30737" xr:uid="{00000000-0005-0000-0000-0000E3100000}"/>
    <cellStyle name="20% - Accent3 3 2 2 15" xfId="32420" xr:uid="{00000000-0005-0000-0000-0000E4100000}"/>
    <cellStyle name="20% - Accent3 3 2 2 16" xfId="34103" xr:uid="{00000000-0005-0000-0000-0000E5100000}"/>
    <cellStyle name="20% - Accent3 3 2 2 17" xfId="35786" xr:uid="{00000000-0005-0000-0000-0000E6100000}"/>
    <cellStyle name="20% - Accent3 3 2 2 18" xfId="37469" xr:uid="{00000000-0005-0000-0000-0000E7100000}"/>
    <cellStyle name="20% - Accent3 3 2 2 19" xfId="39152" xr:uid="{00000000-0005-0000-0000-0000E8100000}"/>
    <cellStyle name="20% - Accent3 3 2 2 2" xfId="859" xr:uid="{00000000-0005-0000-0000-0000E9100000}"/>
    <cellStyle name="20% - Accent3 3 2 2 2 10" xfId="16008" xr:uid="{00000000-0005-0000-0000-0000EA100000}"/>
    <cellStyle name="20% - Accent3 3 2 2 2 11" xfId="31157" xr:uid="{00000000-0005-0000-0000-0000EB100000}"/>
    <cellStyle name="20% - Accent3 3 2 2 2 12" xfId="32840" xr:uid="{00000000-0005-0000-0000-0000EC100000}"/>
    <cellStyle name="20% - Accent3 3 2 2 2 13" xfId="34523" xr:uid="{00000000-0005-0000-0000-0000ED100000}"/>
    <cellStyle name="20% - Accent3 3 2 2 2 14" xfId="36206" xr:uid="{00000000-0005-0000-0000-0000EE100000}"/>
    <cellStyle name="20% - Accent3 3 2 2 2 15" xfId="37889" xr:uid="{00000000-0005-0000-0000-0000EF100000}"/>
    <cellStyle name="20% - Accent3 3 2 2 2 16" xfId="39572" xr:uid="{00000000-0005-0000-0000-0000F0100000}"/>
    <cellStyle name="20% - Accent3 3 2 2 2 17" xfId="41255" xr:uid="{00000000-0005-0000-0000-0000F1100000}"/>
    <cellStyle name="20% - Accent3 3 2 2 2 18" xfId="42938" xr:uid="{00000000-0005-0000-0000-0000F2100000}"/>
    <cellStyle name="20% - Accent3 3 2 2 2 19" xfId="44621" xr:uid="{00000000-0005-0000-0000-0000F3100000}"/>
    <cellStyle name="20% - Accent3 3 2 2 2 2" xfId="2542" xr:uid="{00000000-0005-0000-0000-0000F4100000}"/>
    <cellStyle name="20% - Accent3 3 2 2 2 2 2" xfId="17691" xr:uid="{00000000-0005-0000-0000-0000F5100000}"/>
    <cellStyle name="20% - Accent3 3 2 2 2 20" xfId="46304" xr:uid="{00000000-0005-0000-0000-0000F6100000}"/>
    <cellStyle name="20% - Accent3 3 2 2 2 21" xfId="47987" xr:uid="{00000000-0005-0000-0000-0000F7100000}"/>
    <cellStyle name="20% - Accent3 3 2 2 2 22" xfId="49670" xr:uid="{00000000-0005-0000-0000-0000F8100000}"/>
    <cellStyle name="20% - Accent3 3 2 2 2 23" xfId="51353" xr:uid="{00000000-0005-0000-0000-0000F9100000}"/>
    <cellStyle name="20% - Accent3 3 2 2 2 24" xfId="53036" xr:uid="{00000000-0005-0000-0000-0000FA100000}"/>
    <cellStyle name="20% - Accent3 3 2 2 2 25" xfId="54719" xr:uid="{00000000-0005-0000-0000-0000FB100000}"/>
    <cellStyle name="20% - Accent3 3 2 2 2 26" xfId="56402" xr:uid="{00000000-0005-0000-0000-0000FC100000}"/>
    <cellStyle name="20% - Accent3 3 2 2 2 27" xfId="58085" xr:uid="{00000000-0005-0000-0000-0000FD100000}"/>
    <cellStyle name="20% - Accent3 3 2 2 2 28" xfId="59768" xr:uid="{00000000-0005-0000-0000-0000FE100000}"/>
    <cellStyle name="20% - Accent3 3 2 2 2 29" xfId="61451" xr:uid="{00000000-0005-0000-0000-0000FF100000}"/>
    <cellStyle name="20% - Accent3 3 2 2 2 3" xfId="4226" xr:uid="{00000000-0005-0000-0000-000000110000}"/>
    <cellStyle name="20% - Accent3 3 2 2 2 3 2" xfId="19375" xr:uid="{00000000-0005-0000-0000-000001110000}"/>
    <cellStyle name="20% - Accent3 3 2 2 2 30" xfId="63134" xr:uid="{00000000-0005-0000-0000-000002110000}"/>
    <cellStyle name="20% - Accent3 3 2 2 2 4" xfId="5909" xr:uid="{00000000-0005-0000-0000-000003110000}"/>
    <cellStyle name="20% - Accent3 3 2 2 2 4 2" xfId="21058" xr:uid="{00000000-0005-0000-0000-000004110000}"/>
    <cellStyle name="20% - Accent3 3 2 2 2 5" xfId="7592" xr:uid="{00000000-0005-0000-0000-000005110000}"/>
    <cellStyle name="20% - Accent3 3 2 2 2 5 2" xfId="22741" xr:uid="{00000000-0005-0000-0000-000006110000}"/>
    <cellStyle name="20% - Accent3 3 2 2 2 6" xfId="9275" xr:uid="{00000000-0005-0000-0000-000007110000}"/>
    <cellStyle name="20% - Accent3 3 2 2 2 6 2" xfId="24424" xr:uid="{00000000-0005-0000-0000-000008110000}"/>
    <cellStyle name="20% - Accent3 3 2 2 2 7" xfId="10958" xr:uid="{00000000-0005-0000-0000-000009110000}"/>
    <cellStyle name="20% - Accent3 3 2 2 2 7 2" xfId="26107" xr:uid="{00000000-0005-0000-0000-00000A110000}"/>
    <cellStyle name="20% - Accent3 3 2 2 2 8" xfId="12642" xr:uid="{00000000-0005-0000-0000-00000B110000}"/>
    <cellStyle name="20% - Accent3 3 2 2 2 8 2" xfId="27791" xr:uid="{00000000-0005-0000-0000-00000C110000}"/>
    <cellStyle name="20% - Accent3 3 2 2 2 9" xfId="14325" xr:uid="{00000000-0005-0000-0000-00000D110000}"/>
    <cellStyle name="20% - Accent3 3 2 2 2 9 2" xfId="29474" xr:uid="{00000000-0005-0000-0000-00000E110000}"/>
    <cellStyle name="20% - Accent3 3 2 2 20" xfId="40835" xr:uid="{00000000-0005-0000-0000-00000F110000}"/>
    <cellStyle name="20% - Accent3 3 2 2 21" xfId="42518" xr:uid="{00000000-0005-0000-0000-000010110000}"/>
    <cellStyle name="20% - Accent3 3 2 2 22" xfId="44201" xr:uid="{00000000-0005-0000-0000-000011110000}"/>
    <cellStyle name="20% - Accent3 3 2 2 23" xfId="45884" xr:uid="{00000000-0005-0000-0000-000012110000}"/>
    <cellStyle name="20% - Accent3 3 2 2 24" xfId="47567" xr:uid="{00000000-0005-0000-0000-000013110000}"/>
    <cellStyle name="20% - Accent3 3 2 2 25" xfId="49250" xr:uid="{00000000-0005-0000-0000-000014110000}"/>
    <cellStyle name="20% - Accent3 3 2 2 26" xfId="50933" xr:uid="{00000000-0005-0000-0000-000015110000}"/>
    <cellStyle name="20% - Accent3 3 2 2 27" xfId="52616" xr:uid="{00000000-0005-0000-0000-000016110000}"/>
    <cellStyle name="20% - Accent3 3 2 2 28" xfId="54299" xr:uid="{00000000-0005-0000-0000-000017110000}"/>
    <cellStyle name="20% - Accent3 3 2 2 29" xfId="55982" xr:uid="{00000000-0005-0000-0000-000018110000}"/>
    <cellStyle name="20% - Accent3 3 2 2 3" xfId="1280" xr:uid="{00000000-0005-0000-0000-000019110000}"/>
    <cellStyle name="20% - Accent3 3 2 2 3 10" xfId="16429" xr:uid="{00000000-0005-0000-0000-00001A110000}"/>
    <cellStyle name="20% - Accent3 3 2 2 3 11" xfId="31578" xr:uid="{00000000-0005-0000-0000-00001B110000}"/>
    <cellStyle name="20% - Accent3 3 2 2 3 12" xfId="33261" xr:uid="{00000000-0005-0000-0000-00001C110000}"/>
    <cellStyle name="20% - Accent3 3 2 2 3 13" xfId="34944" xr:uid="{00000000-0005-0000-0000-00001D110000}"/>
    <cellStyle name="20% - Accent3 3 2 2 3 14" xfId="36627" xr:uid="{00000000-0005-0000-0000-00001E110000}"/>
    <cellStyle name="20% - Accent3 3 2 2 3 15" xfId="38310" xr:uid="{00000000-0005-0000-0000-00001F110000}"/>
    <cellStyle name="20% - Accent3 3 2 2 3 16" xfId="39993" xr:uid="{00000000-0005-0000-0000-000020110000}"/>
    <cellStyle name="20% - Accent3 3 2 2 3 17" xfId="41676" xr:uid="{00000000-0005-0000-0000-000021110000}"/>
    <cellStyle name="20% - Accent3 3 2 2 3 18" xfId="43359" xr:uid="{00000000-0005-0000-0000-000022110000}"/>
    <cellStyle name="20% - Accent3 3 2 2 3 19" xfId="45042" xr:uid="{00000000-0005-0000-0000-000023110000}"/>
    <cellStyle name="20% - Accent3 3 2 2 3 2" xfId="2963" xr:uid="{00000000-0005-0000-0000-000024110000}"/>
    <cellStyle name="20% - Accent3 3 2 2 3 2 2" xfId="18112" xr:uid="{00000000-0005-0000-0000-000025110000}"/>
    <cellStyle name="20% - Accent3 3 2 2 3 20" xfId="46725" xr:uid="{00000000-0005-0000-0000-000026110000}"/>
    <cellStyle name="20% - Accent3 3 2 2 3 21" xfId="48408" xr:uid="{00000000-0005-0000-0000-000027110000}"/>
    <cellStyle name="20% - Accent3 3 2 2 3 22" xfId="50091" xr:uid="{00000000-0005-0000-0000-000028110000}"/>
    <cellStyle name="20% - Accent3 3 2 2 3 23" xfId="51774" xr:uid="{00000000-0005-0000-0000-000029110000}"/>
    <cellStyle name="20% - Accent3 3 2 2 3 24" xfId="53457" xr:uid="{00000000-0005-0000-0000-00002A110000}"/>
    <cellStyle name="20% - Accent3 3 2 2 3 25" xfId="55140" xr:uid="{00000000-0005-0000-0000-00002B110000}"/>
    <cellStyle name="20% - Accent3 3 2 2 3 26" xfId="56823" xr:uid="{00000000-0005-0000-0000-00002C110000}"/>
    <cellStyle name="20% - Accent3 3 2 2 3 27" xfId="58506" xr:uid="{00000000-0005-0000-0000-00002D110000}"/>
    <cellStyle name="20% - Accent3 3 2 2 3 28" xfId="60189" xr:uid="{00000000-0005-0000-0000-00002E110000}"/>
    <cellStyle name="20% - Accent3 3 2 2 3 29" xfId="61872" xr:uid="{00000000-0005-0000-0000-00002F110000}"/>
    <cellStyle name="20% - Accent3 3 2 2 3 3" xfId="4647" xr:uid="{00000000-0005-0000-0000-000030110000}"/>
    <cellStyle name="20% - Accent3 3 2 2 3 3 2" xfId="19796" xr:uid="{00000000-0005-0000-0000-000031110000}"/>
    <cellStyle name="20% - Accent3 3 2 2 3 30" xfId="63555" xr:uid="{00000000-0005-0000-0000-000032110000}"/>
    <cellStyle name="20% - Accent3 3 2 2 3 4" xfId="6330" xr:uid="{00000000-0005-0000-0000-000033110000}"/>
    <cellStyle name="20% - Accent3 3 2 2 3 4 2" xfId="21479" xr:uid="{00000000-0005-0000-0000-000034110000}"/>
    <cellStyle name="20% - Accent3 3 2 2 3 5" xfId="8013" xr:uid="{00000000-0005-0000-0000-000035110000}"/>
    <cellStyle name="20% - Accent3 3 2 2 3 5 2" xfId="23162" xr:uid="{00000000-0005-0000-0000-000036110000}"/>
    <cellStyle name="20% - Accent3 3 2 2 3 6" xfId="9696" xr:uid="{00000000-0005-0000-0000-000037110000}"/>
    <cellStyle name="20% - Accent3 3 2 2 3 6 2" xfId="24845" xr:uid="{00000000-0005-0000-0000-000038110000}"/>
    <cellStyle name="20% - Accent3 3 2 2 3 7" xfId="11379" xr:uid="{00000000-0005-0000-0000-000039110000}"/>
    <cellStyle name="20% - Accent3 3 2 2 3 7 2" xfId="26528" xr:uid="{00000000-0005-0000-0000-00003A110000}"/>
    <cellStyle name="20% - Accent3 3 2 2 3 8" xfId="13063" xr:uid="{00000000-0005-0000-0000-00003B110000}"/>
    <cellStyle name="20% - Accent3 3 2 2 3 8 2" xfId="28212" xr:uid="{00000000-0005-0000-0000-00003C110000}"/>
    <cellStyle name="20% - Accent3 3 2 2 3 9" xfId="14746" xr:uid="{00000000-0005-0000-0000-00003D110000}"/>
    <cellStyle name="20% - Accent3 3 2 2 3 9 2" xfId="29895" xr:uid="{00000000-0005-0000-0000-00003E110000}"/>
    <cellStyle name="20% - Accent3 3 2 2 30" xfId="57665" xr:uid="{00000000-0005-0000-0000-00003F110000}"/>
    <cellStyle name="20% - Accent3 3 2 2 31" xfId="59348" xr:uid="{00000000-0005-0000-0000-000040110000}"/>
    <cellStyle name="20% - Accent3 3 2 2 32" xfId="61031" xr:uid="{00000000-0005-0000-0000-000041110000}"/>
    <cellStyle name="20% - Accent3 3 2 2 33" xfId="62714" xr:uid="{00000000-0005-0000-0000-000042110000}"/>
    <cellStyle name="20% - Accent3 3 2 2 4" xfId="1701" xr:uid="{00000000-0005-0000-0000-000043110000}"/>
    <cellStyle name="20% - Accent3 3 2 2 4 10" xfId="16850" xr:uid="{00000000-0005-0000-0000-000044110000}"/>
    <cellStyle name="20% - Accent3 3 2 2 4 11" xfId="31999" xr:uid="{00000000-0005-0000-0000-000045110000}"/>
    <cellStyle name="20% - Accent3 3 2 2 4 12" xfId="33682" xr:uid="{00000000-0005-0000-0000-000046110000}"/>
    <cellStyle name="20% - Accent3 3 2 2 4 13" xfId="35365" xr:uid="{00000000-0005-0000-0000-000047110000}"/>
    <cellStyle name="20% - Accent3 3 2 2 4 14" xfId="37048" xr:uid="{00000000-0005-0000-0000-000048110000}"/>
    <cellStyle name="20% - Accent3 3 2 2 4 15" xfId="38731" xr:uid="{00000000-0005-0000-0000-000049110000}"/>
    <cellStyle name="20% - Accent3 3 2 2 4 16" xfId="40414" xr:uid="{00000000-0005-0000-0000-00004A110000}"/>
    <cellStyle name="20% - Accent3 3 2 2 4 17" xfId="42097" xr:uid="{00000000-0005-0000-0000-00004B110000}"/>
    <cellStyle name="20% - Accent3 3 2 2 4 18" xfId="43780" xr:uid="{00000000-0005-0000-0000-00004C110000}"/>
    <cellStyle name="20% - Accent3 3 2 2 4 19" xfId="45463" xr:uid="{00000000-0005-0000-0000-00004D110000}"/>
    <cellStyle name="20% - Accent3 3 2 2 4 2" xfId="3384" xr:uid="{00000000-0005-0000-0000-00004E110000}"/>
    <cellStyle name="20% - Accent3 3 2 2 4 2 2" xfId="18533" xr:uid="{00000000-0005-0000-0000-00004F110000}"/>
    <cellStyle name="20% - Accent3 3 2 2 4 20" xfId="47146" xr:uid="{00000000-0005-0000-0000-000050110000}"/>
    <cellStyle name="20% - Accent3 3 2 2 4 21" xfId="48829" xr:uid="{00000000-0005-0000-0000-000051110000}"/>
    <cellStyle name="20% - Accent3 3 2 2 4 22" xfId="50512" xr:uid="{00000000-0005-0000-0000-000052110000}"/>
    <cellStyle name="20% - Accent3 3 2 2 4 23" xfId="52195" xr:uid="{00000000-0005-0000-0000-000053110000}"/>
    <cellStyle name="20% - Accent3 3 2 2 4 24" xfId="53878" xr:uid="{00000000-0005-0000-0000-000054110000}"/>
    <cellStyle name="20% - Accent3 3 2 2 4 25" xfId="55561" xr:uid="{00000000-0005-0000-0000-000055110000}"/>
    <cellStyle name="20% - Accent3 3 2 2 4 26" xfId="57244" xr:uid="{00000000-0005-0000-0000-000056110000}"/>
    <cellStyle name="20% - Accent3 3 2 2 4 27" xfId="58927" xr:uid="{00000000-0005-0000-0000-000057110000}"/>
    <cellStyle name="20% - Accent3 3 2 2 4 28" xfId="60610" xr:uid="{00000000-0005-0000-0000-000058110000}"/>
    <cellStyle name="20% - Accent3 3 2 2 4 29" xfId="62293" xr:uid="{00000000-0005-0000-0000-000059110000}"/>
    <cellStyle name="20% - Accent3 3 2 2 4 3" xfId="5068" xr:uid="{00000000-0005-0000-0000-00005A110000}"/>
    <cellStyle name="20% - Accent3 3 2 2 4 3 2" xfId="20217" xr:uid="{00000000-0005-0000-0000-00005B110000}"/>
    <cellStyle name="20% - Accent3 3 2 2 4 30" xfId="63976" xr:uid="{00000000-0005-0000-0000-00005C110000}"/>
    <cellStyle name="20% - Accent3 3 2 2 4 4" xfId="6751" xr:uid="{00000000-0005-0000-0000-00005D110000}"/>
    <cellStyle name="20% - Accent3 3 2 2 4 4 2" xfId="21900" xr:uid="{00000000-0005-0000-0000-00005E110000}"/>
    <cellStyle name="20% - Accent3 3 2 2 4 5" xfId="8434" xr:uid="{00000000-0005-0000-0000-00005F110000}"/>
    <cellStyle name="20% - Accent3 3 2 2 4 5 2" xfId="23583" xr:uid="{00000000-0005-0000-0000-000060110000}"/>
    <cellStyle name="20% - Accent3 3 2 2 4 6" xfId="10117" xr:uid="{00000000-0005-0000-0000-000061110000}"/>
    <cellStyle name="20% - Accent3 3 2 2 4 6 2" xfId="25266" xr:uid="{00000000-0005-0000-0000-000062110000}"/>
    <cellStyle name="20% - Accent3 3 2 2 4 7" xfId="11800" xr:uid="{00000000-0005-0000-0000-000063110000}"/>
    <cellStyle name="20% - Accent3 3 2 2 4 7 2" xfId="26949" xr:uid="{00000000-0005-0000-0000-000064110000}"/>
    <cellStyle name="20% - Accent3 3 2 2 4 8" xfId="13484" xr:uid="{00000000-0005-0000-0000-000065110000}"/>
    <cellStyle name="20% - Accent3 3 2 2 4 8 2" xfId="28633" xr:uid="{00000000-0005-0000-0000-000066110000}"/>
    <cellStyle name="20% - Accent3 3 2 2 4 9" xfId="15167" xr:uid="{00000000-0005-0000-0000-000067110000}"/>
    <cellStyle name="20% - Accent3 3 2 2 4 9 2" xfId="30316" xr:uid="{00000000-0005-0000-0000-000068110000}"/>
    <cellStyle name="20% - Accent3 3 2 2 5" xfId="2122" xr:uid="{00000000-0005-0000-0000-000069110000}"/>
    <cellStyle name="20% - Accent3 3 2 2 5 2" xfId="17271" xr:uid="{00000000-0005-0000-0000-00006A110000}"/>
    <cellStyle name="20% - Accent3 3 2 2 6" xfId="3806" xr:uid="{00000000-0005-0000-0000-00006B110000}"/>
    <cellStyle name="20% - Accent3 3 2 2 6 2" xfId="18955" xr:uid="{00000000-0005-0000-0000-00006C110000}"/>
    <cellStyle name="20% - Accent3 3 2 2 7" xfId="5489" xr:uid="{00000000-0005-0000-0000-00006D110000}"/>
    <cellStyle name="20% - Accent3 3 2 2 7 2" xfId="20638" xr:uid="{00000000-0005-0000-0000-00006E110000}"/>
    <cellStyle name="20% - Accent3 3 2 2 8" xfId="7172" xr:uid="{00000000-0005-0000-0000-00006F110000}"/>
    <cellStyle name="20% - Accent3 3 2 2 8 2" xfId="22321" xr:uid="{00000000-0005-0000-0000-000070110000}"/>
    <cellStyle name="20% - Accent3 3 2 2 9" xfId="8855" xr:uid="{00000000-0005-0000-0000-000071110000}"/>
    <cellStyle name="20% - Accent3 3 2 2 9 2" xfId="24004" xr:uid="{00000000-0005-0000-0000-000072110000}"/>
    <cellStyle name="20% - Accent3 3 2 20" xfId="38942" xr:uid="{00000000-0005-0000-0000-000073110000}"/>
    <cellStyle name="20% - Accent3 3 2 21" xfId="40625" xr:uid="{00000000-0005-0000-0000-000074110000}"/>
    <cellStyle name="20% - Accent3 3 2 22" xfId="42308" xr:uid="{00000000-0005-0000-0000-000075110000}"/>
    <cellStyle name="20% - Accent3 3 2 23" xfId="43991" xr:uid="{00000000-0005-0000-0000-000076110000}"/>
    <cellStyle name="20% - Accent3 3 2 24" xfId="45674" xr:uid="{00000000-0005-0000-0000-000077110000}"/>
    <cellStyle name="20% - Accent3 3 2 25" xfId="47357" xr:uid="{00000000-0005-0000-0000-000078110000}"/>
    <cellStyle name="20% - Accent3 3 2 26" xfId="49040" xr:uid="{00000000-0005-0000-0000-000079110000}"/>
    <cellStyle name="20% - Accent3 3 2 27" xfId="50723" xr:uid="{00000000-0005-0000-0000-00007A110000}"/>
    <cellStyle name="20% - Accent3 3 2 28" xfId="52406" xr:uid="{00000000-0005-0000-0000-00007B110000}"/>
    <cellStyle name="20% - Accent3 3 2 29" xfId="54089" xr:uid="{00000000-0005-0000-0000-00007C110000}"/>
    <cellStyle name="20% - Accent3 3 2 3" xfId="649" xr:uid="{00000000-0005-0000-0000-00007D110000}"/>
    <cellStyle name="20% - Accent3 3 2 3 10" xfId="15798" xr:uid="{00000000-0005-0000-0000-00007E110000}"/>
    <cellStyle name="20% - Accent3 3 2 3 11" xfId="30947" xr:uid="{00000000-0005-0000-0000-00007F110000}"/>
    <cellStyle name="20% - Accent3 3 2 3 12" xfId="32630" xr:uid="{00000000-0005-0000-0000-000080110000}"/>
    <cellStyle name="20% - Accent3 3 2 3 13" xfId="34313" xr:uid="{00000000-0005-0000-0000-000081110000}"/>
    <cellStyle name="20% - Accent3 3 2 3 14" xfId="35996" xr:uid="{00000000-0005-0000-0000-000082110000}"/>
    <cellStyle name="20% - Accent3 3 2 3 15" xfId="37679" xr:uid="{00000000-0005-0000-0000-000083110000}"/>
    <cellStyle name="20% - Accent3 3 2 3 16" xfId="39362" xr:uid="{00000000-0005-0000-0000-000084110000}"/>
    <cellStyle name="20% - Accent3 3 2 3 17" xfId="41045" xr:uid="{00000000-0005-0000-0000-000085110000}"/>
    <cellStyle name="20% - Accent3 3 2 3 18" xfId="42728" xr:uid="{00000000-0005-0000-0000-000086110000}"/>
    <cellStyle name="20% - Accent3 3 2 3 19" xfId="44411" xr:uid="{00000000-0005-0000-0000-000087110000}"/>
    <cellStyle name="20% - Accent3 3 2 3 2" xfId="2332" xr:uid="{00000000-0005-0000-0000-000088110000}"/>
    <cellStyle name="20% - Accent3 3 2 3 2 2" xfId="17481" xr:uid="{00000000-0005-0000-0000-000089110000}"/>
    <cellStyle name="20% - Accent3 3 2 3 20" xfId="46094" xr:uid="{00000000-0005-0000-0000-00008A110000}"/>
    <cellStyle name="20% - Accent3 3 2 3 21" xfId="47777" xr:uid="{00000000-0005-0000-0000-00008B110000}"/>
    <cellStyle name="20% - Accent3 3 2 3 22" xfId="49460" xr:uid="{00000000-0005-0000-0000-00008C110000}"/>
    <cellStyle name="20% - Accent3 3 2 3 23" xfId="51143" xr:uid="{00000000-0005-0000-0000-00008D110000}"/>
    <cellStyle name="20% - Accent3 3 2 3 24" xfId="52826" xr:uid="{00000000-0005-0000-0000-00008E110000}"/>
    <cellStyle name="20% - Accent3 3 2 3 25" xfId="54509" xr:uid="{00000000-0005-0000-0000-00008F110000}"/>
    <cellStyle name="20% - Accent3 3 2 3 26" xfId="56192" xr:uid="{00000000-0005-0000-0000-000090110000}"/>
    <cellStyle name="20% - Accent3 3 2 3 27" xfId="57875" xr:uid="{00000000-0005-0000-0000-000091110000}"/>
    <cellStyle name="20% - Accent3 3 2 3 28" xfId="59558" xr:uid="{00000000-0005-0000-0000-000092110000}"/>
    <cellStyle name="20% - Accent3 3 2 3 29" xfId="61241" xr:uid="{00000000-0005-0000-0000-000093110000}"/>
    <cellStyle name="20% - Accent3 3 2 3 3" xfId="4016" xr:uid="{00000000-0005-0000-0000-000094110000}"/>
    <cellStyle name="20% - Accent3 3 2 3 3 2" xfId="19165" xr:uid="{00000000-0005-0000-0000-000095110000}"/>
    <cellStyle name="20% - Accent3 3 2 3 30" xfId="62924" xr:uid="{00000000-0005-0000-0000-000096110000}"/>
    <cellStyle name="20% - Accent3 3 2 3 4" xfId="5699" xr:uid="{00000000-0005-0000-0000-000097110000}"/>
    <cellStyle name="20% - Accent3 3 2 3 4 2" xfId="20848" xr:uid="{00000000-0005-0000-0000-000098110000}"/>
    <cellStyle name="20% - Accent3 3 2 3 5" xfId="7382" xr:uid="{00000000-0005-0000-0000-000099110000}"/>
    <cellStyle name="20% - Accent3 3 2 3 5 2" xfId="22531" xr:uid="{00000000-0005-0000-0000-00009A110000}"/>
    <cellStyle name="20% - Accent3 3 2 3 6" xfId="9065" xr:uid="{00000000-0005-0000-0000-00009B110000}"/>
    <cellStyle name="20% - Accent3 3 2 3 6 2" xfId="24214" xr:uid="{00000000-0005-0000-0000-00009C110000}"/>
    <cellStyle name="20% - Accent3 3 2 3 7" xfId="10748" xr:uid="{00000000-0005-0000-0000-00009D110000}"/>
    <cellStyle name="20% - Accent3 3 2 3 7 2" xfId="25897" xr:uid="{00000000-0005-0000-0000-00009E110000}"/>
    <cellStyle name="20% - Accent3 3 2 3 8" xfId="12432" xr:uid="{00000000-0005-0000-0000-00009F110000}"/>
    <cellStyle name="20% - Accent3 3 2 3 8 2" xfId="27581" xr:uid="{00000000-0005-0000-0000-0000A0110000}"/>
    <cellStyle name="20% - Accent3 3 2 3 9" xfId="14115" xr:uid="{00000000-0005-0000-0000-0000A1110000}"/>
    <cellStyle name="20% - Accent3 3 2 3 9 2" xfId="29264" xr:uid="{00000000-0005-0000-0000-0000A2110000}"/>
    <cellStyle name="20% - Accent3 3 2 30" xfId="55772" xr:uid="{00000000-0005-0000-0000-0000A3110000}"/>
    <cellStyle name="20% - Accent3 3 2 31" xfId="57455" xr:uid="{00000000-0005-0000-0000-0000A4110000}"/>
    <cellStyle name="20% - Accent3 3 2 32" xfId="59138" xr:uid="{00000000-0005-0000-0000-0000A5110000}"/>
    <cellStyle name="20% - Accent3 3 2 33" xfId="60821" xr:uid="{00000000-0005-0000-0000-0000A6110000}"/>
    <cellStyle name="20% - Accent3 3 2 34" xfId="62504" xr:uid="{00000000-0005-0000-0000-0000A7110000}"/>
    <cellStyle name="20% - Accent3 3 2 4" xfId="1070" xr:uid="{00000000-0005-0000-0000-0000A8110000}"/>
    <cellStyle name="20% - Accent3 3 2 4 10" xfId="16219" xr:uid="{00000000-0005-0000-0000-0000A9110000}"/>
    <cellStyle name="20% - Accent3 3 2 4 11" xfId="31368" xr:uid="{00000000-0005-0000-0000-0000AA110000}"/>
    <cellStyle name="20% - Accent3 3 2 4 12" xfId="33051" xr:uid="{00000000-0005-0000-0000-0000AB110000}"/>
    <cellStyle name="20% - Accent3 3 2 4 13" xfId="34734" xr:uid="{00000000-0005-0000-0000-0000AC110000}"/>
    <cellStyle name="20% - Accent3 3 2 4 14" xfId="36417" xr:uid="{00000000-0005-0000-0000-0000AD110000}"/>
    <cellStyle name="20% - Accent3 3 2 4 15" xfId="38100" xr:uid="{00000000-0005-0000-0000-0000AE110000}"/>
    <cellStyle name="20% - Accent3 3 2 4 16" xfId="39783" xr:uid="{00000000-0005-0000-0000-0000AF110000}"/>
    <cellStyle name="20% - Accent3 3 2 4 17" xfId="41466" xr:uid="{00000000-0005-0000-0000-0000B0110000}"/>
    <cellStyle name="20% - Accent3 3 2 4 18" xfId="43149" xr:uid="{00000000-0005-0000-0000-0000B1110000}"/>
    <cellStyle name="20% - Accent3 3 2 4 19" xfId="44832" xr:uid="{00000000-0005-0000-0000-0000B2110000}"/>
    <cellStyle name="20% - Accent3 3 2 4 2" xfId="2753" xr:uid="{00000000-0005-0000-0000-0000B3110000}"/>
    <cellStyle name="20% - Accent3 3 2 4 2 2" xfId="17902" xr:uid="{00000000-0005-0000-0000-0000B4110000}"/>
    <cellStyle name="20% - Accent3 3 2 4 20" xfId="46515" xr:uid="{00000000-0005-0000-0000-0000B5110000}"/>
    <cellStyle name="20% - Accent3 3 2 4 21" xfId="48198" xr:uid="{00000000-0005-0000-0000-0000B6110000}"/>
    <cellStyle name="20% - Accent3 3 2 4 22" xfId="49881" xr:uid="{00000000-0005-0000-0000-0000B7110000}"/>
    <cellStyle name="20% - Accent3 3 2 4 23" xfId="51564" xr:uid="{00000000-0005-0000-0000-0000B8110000}"/>
    <cellStyle name="20% - Accent3 3 2 4 24" xfId="53247" xr:uid="{00000000-0005-0000-0000-0000B9110000}"/>
    <cellStyle name="20% - Accent3 3 2 4 25" xfId="54930" xr:uid="{00000000-0005-0000-0000-0000BA110000}"/>
    <cellStyle name="20% - Accent3 3 2 4 26" xfId="56613" xr:uid="{00000000-0005-0000-0000-0000BB110000}"/>
    <cellStyle name="20% - Accent3 3 2 4 27" xfId="58296" xr:uid="{00000000-0005-0000-0000-0000BC110000}"/>
    <cellStyle name="20% - Accent3 3 2 4 28" xfId="59979" xr:uid="{00000000-0005-0000-0000-0000BD110000}"/>
    <cellStyle name="20% - Accent3 3 2 4 29" xfId="61662" xr:uid="{00000000-0005-0000-0000-0000BE110000}"/>
    <cellStyle name="20% - Accent3 3 2 4 3" xfId="4437" xr:uid="{00000000-0005-0000-0000-0000BF110000}"/>
    <cellStyle name="20% - Accent3 3 2 4 3 2" xfId="19586" xr:uid="{00000000-0005-0000-0000-0000C0110000}"/>
    <cellStyle name="20% - Accent3 3 2 4 30" xfId="63345" xr:uid="{00000000-0005-0000-0000-0000C1110000}"/>
    <cellStyle name="20% - Accent3 3 2 4 4" xfId="6120" xr:uid="{00000000-0005-0000-0000-0000C2110000}"/>
    <cellStyle name="20% - Accent3 3 2 4 4 2" xfId="21269" xr:uid="{00000000-0005-0000-0000-0000C3110000}"/>
    <cellStyle name="20% - Accent3 3 2 4 5" xfId="7803" xr:uid="{00000000-0005-0000-0000-0000C4110000}"/>
    <cellStyle name="20% - Accent3 3 2 4 5 2" xfId="22952" xr:uid="{00000000-0005-0000-0000-0000C5110000}"/>
    <cellStyle name="20% - Accent3 3 2 4 6" xfId="9486" xr:uid="{00000000-0005-0000-0000-0000C6110000}"/>
    <cellStyle name="20% - Accent3 3 2 4 6 2" xfId="24635" xr:uid="{00000000-0005-0000-0000-0000C7110000}"/>
    <cellStyle name="20% - Accent3 3 2 4 7" xfId="11169" xr:uid="{00000000-0005-0000-0000-0000C8110000}"/>
    <cellStyle name="20% - Accent3 3 2 4 7 2" xfId="26318" xr:uid="{00000000-0005-0000-0000-0000C9110000}"/>
    <cellStyle name="20% - Accent3 3 2 4 8" xfId="12853" xr:uid="{00000000-0005-0000-0000-0000CA110000}"/>
    <cellStyle name="20% - Accent3 3 2 4 8 2" xfId="28002" xr:uid="{00000000-0005-0000-0000-0000CB110000}"/>
    <cellStyle name="20% - Accent3 3 2 4 9" xfId="14536" xr:uid="{00000000-0005-0000-0000-0000CC110000}"/>
    <cellStyle name="20% - Accent3 3 2 4 9 2" xfId="29685" xr:uid="{00000000-0005-0000-0000-0000CD110000}"/>
    <cellStyle name="20% - Accent3 3 2 5" xfId="1491" xr:uid="{00000000-0005-0000-0000-0000CE110000}"/>
    <cellStyle name="20% - Accent3 3 2 5 10" xfId="16640" xr:uid="{00000000-0005-0000-0000-0000CF110000}"/>
    <cellStyle name="20% - Accent3 3 2 5 11" xfId="31789" xr:uid="{00000000-0005-0000-0000-0000D0110000}"/>
    <cellStyle name="20% - Accent3 3 2 5 12" xfId="33472" xr:uid="{00000000-0005-0000-0000-0000D1110000}"/>
    <cellStyle name="20% - Accent3 3 2 5 13" xfId="35155" xr:uid="{00000000-0005-0000-0000-0000D2110000}"/>
    <cellStyle name="20% - Accent3 3 2 5 14" xfId="36838" xr:uid="{00000000-0005-0000-0000-0000D3110000}"/>
    <cellStyle name="20% - Accent3 3 2 5 15" xfId="38521" xr:uid="{00000000-0005-0000-0000-0000D4110000}"/>
    <cellStyle name="20% - Accent3 3 2 5 16" xfId="40204" xr:uid="{00000000-0005-0000-0000-0000D5110000}"/>
    <cellStyle name="20% - Accent3 3 2 5 17" xfId="41887" xr:uid="{00000000-0005-0000-0000-0000D6110000}"/>
    <cellStyle name="20% - Accent3 3 2 5 18" xfId="43570" xr:uid="{00000000-0005-0000-0000-0000D7110000}"/>
    <cellStyle name="20% - Accent3 3 2 5 19" xfId="45253" xr:uid="{00000000-0005-0000-0000-0000D8110000}"/>
    <cellStyle name="20% - Accent3 3 2 5 2" xfId="3174" xr:uid="{00000000-0005-0000-0000-0000D9110000}"/>
    <cellStyle name="20% - Accent3 3 2 5 2 2" xfId="18323" xr:uid="{00000000-0005-0000-0000-0000DA110000}"/>
    <cellStyle name="20% - Accent3 3 2 5 20" xfId="46936" xr:uid="{00000000-0005-0000-0000-0000DB110000}"/>
    <cellStyle name="20% - Accent3 3 2 5 21" xfId="48619" xr:uid="{00000000-0005-0000-0000-0000DC110000}"/>
    <cellStyle name="20% - Accent3 3 2 5 22" xfId="50302" xr:uid="{00000000-0005-0000-0000-0000DD110000}"/>
    <cellStyle name="20% - Accent3 3 2 5 23" xfId="51985" xr:uid="{00000000-0005-0000-0000-0000DE110000}"/>
    <cellStyle name="20% - Accent3 3 2 5 24" xfId="53668" xr:uid="{00000000-0005-0000-0000-0000DF110000}"/>
    <cellStyle name="20% - Accent3 3 2 5 25" xfId="55351" xr:uid="{00000000-0005-0000-0000-0000E0110000}"/>
    <cellStyle name="20% - Accent3 3 2 5 26" xfId="57034" xr:uid="{00000000-0005-0000-0000-0000E1110000}"/>
    <cellStyle name="20% - Accent3 3 2 5 27" xfId="58717" xr:uid="{00000000-0005-0000-0000-0000E2110000}"/>
    <cellStyle name="20% - Accent3 3 2 5 28" xfId="60400" xr:uid="{00000000-0005-0000-0000-0000E3110000}"/>
    <cellStyle name="20% - Accent3 3 2 5 29" xfId="62083" xr:uid="{00000000-0005-0000-0000-0000E4110000}"/>
    <cellStyle name="20% - Accent3 3 2 5 3" xfId="4858" xr:uid="{00000000-0005-0000-0000-0000E5110000}"/>
    <cellStyle name="20% - Accent3 3 2 5 3 2" xfId="20007" xr:uid="{00000000-0005-0000-0000-0000E6110000}"/>
    <cellStyle name="20% - Accent3 3 2 5 30" xfId="63766" xr:uid="{00000000-0005-0000-0000-0000E7110000}"/>
    <cellStyle name="20% - Accent3 3 2 5 4" xfId="6541" xr:uid="{00000000-0005-0000-0000-0000E8110000}"/>
    <cellStyle name="20% - Accent3 3 2 5 4 2" xfId="21690" xr:uid="{00000000-0005-0000-0000-0000E9110000}"/>
    <cellStyle name="20% - Accent3 3 2 5 5" xfId="8224" xr:uid="{00000000-0005-0000-0000-0000EA110000}"/>
    <cellStyle name="20% - Accent3 3 2 5 5 2" xfId="23373" xr:uid="{00000000-0005-0000-0000-0000EB110000}"/>
    <cellStyle name="20% - Accent3 3 2 5 6" xfId="9907" xr:uid="{00000000-0005-0000-0000-0000EC110000}"/>
    <cellStyle name="20% - Accent3 3 2 5 6 2" xfId="25056" xr:uid="{00000000-0005-0000-0000-0000ED110000}"/>
    <cellStyle name="20% - Accent3 3 2 5 7" xfId="11590" xr:uid="{00000000-0005-0000-0000-0000EE110000}"/>
    <cellStyle name="20% - Accent3 3 2 5 7 2" xfId="26739" xr:uid="{00000000-0005-0000-0000-0000EF110000}"/>
    <cellStyle name="20% - Accent3 3 2 5 8" xfId="13274" xr:uid="{00000000-0005-0000-0000-0000F0110000}"/>
    <cellStyle name="20% - Accent3 3 2 5 8 2" xfId="28423" xr:uid="{00000000-0005-0000-0000-0000F1110000}"/>
    <cellStyle name="20% - Accent3 3 2 5 9" xfId="14957" xr:uid="{00000000-0005-0000-0000-0000F2110000}"/>
    <cellStyle name="20% - Accent3 3 2 5 9 2" xfId="30106" xr:uid="{00000000-0005-0000-0000-0000F3110000}"/>
    <cellStyle name="20% - Accent3 3 2 6" xfId="1912" xr:uid="{00000000-0005-0000-0000-0000F4110000}"/>
    <cellStyle name="20% - Accent3 3 2 6 2" xfId="17061" xr:uid="{00000000-0005-0000-0000-0000F5110000}"/>
    <cellStyle name="20% - Accent3 3 2 7" xfId="3596" xr:uid="{00000000-0005-0000-0000-0000F6110000}"/>
    <cellStyle name="20% - Accent3 3 2 7 2" xfId="18745" xr:uid="{00000000-0005-0000-0000-0000F7110000}"/>
    <cellStyle name="20% - Accent3 3 2 8" xfId="5279" xr:uid="{00000000-0005-0000-0000-0000F8110000}"/>
    <cellStyle name="20% - Accent3 3 2 8 2" xfId="20428" xr:uid="{00000000-0005-0000-0000-0000F9110000}"/>
    <cellStyle name="20% - Accent3 3 2 9" xfId="6962" xr:uid="{00000000-0005-0000-0000-0000FA110000}"/>
    <cellStyle name="20% - Accent3 3 2 9 2" xfId="22111" xr:uid="{00000000-0005-0000-0000-0000FB110000}"/>
    <cellStyle name="20% - Accent3 3 20" xfId="37154" xr:uid="{00000000-0005-0000-0000-0000FC110000}"/>
    <cellStyle name="20% - Accent3 3 21" xfId="38837" xr:uid="{00000000-0005-0000-0000-0000FD110000}"/>
    <cellStyle name="20% - Accent3 3 22" xfId="40520" xr:uid="{00000000-0005-0000-0000-0000FE110000}"/>
    <cellStyle name="20% - Accent3 3 23" xfId="42203" xr:uid="{00000000-0005-0000-0000-0000FF110000}"/>
    <cellStyle name="20% - Accent3 3 24" xfId="43886" xr:uid="{00000000-0005-0000-0000-000000120000}"/>
    <cellStyle name="20% - Accent3 3 25" xfId="45569" xr:uid="{00000000-0005-0000-0000-000001120000}"/>
    <cellStyle name="20% - Accent3 3 26" xfId="47252" xr:uid="{00000000-0005-0000-0000-000002120000}"/>
    <cellStyle name="20% - Accent3 3 27" xfId="48935" xr:uid="{00000000-0005-0000-0000-000003120000}"/>
    <cellStyle name="20% - Accent3 3 28" xfId="50618" xr:uid="{00000000-0005-0000-0000-000004120000}"/>
    <cellStyle name="20% - Accent3 3 29" xfId="52301" xr:uid="{00000000-0005-0000-0000-000005120000}"/>
    <cellStyle name="20% - Accent3 3 3" xfId="334" xr:uid="{00000000-0005-0000-0000-000006120000}"/>
    <cellStyle name="20% - Accent3 3 3 10" xfId="10433" xr:uid="{00000000-0005-0000-0000-000007120000}"/>
    <cellStyle name="20% - Accent3 3 3 10 2" xfId="25582" xr:uid="{00000000-0005-0000-0000-000008120000}"/>
    <cellStyle name="20% - Accent3 3 3 11" xfId="12117" xr:uid="{00000000-0005-0000-0000-000009120000}"/>
    <cellStyle name="20% - Accent3 3 3 11 2" xfId="27266" xr:uid="{00000000-0005-0000-0000-00000A120000}"/>
    <cellStyle name="20% - Accent3 3 3 12" xfId="13800" xr:uid="{00000000-0005-0000-0000-00000B120000}"/>
    <cellStyle name="20% - Accent3 3 3 12 2" xfId="28949" xr:uid="{00000000-0005-0000-0000-00000C120000}"/>
    <cellStyle name="20% - Accent3 3 3 13" xfId="15483" xr:uid="{00000000-0005-0000-0000-00000D120000}"/>
    <cellStyle name="20% - Accent3 3 3 14" xfId="30632" xr:uid="{00000000-0005-0000-0000-00000E120000}"/>
    <cellStyle name="20% - Accent3 3 3 15" xfId="32315" xr:uid="{00000000-0005-0000-0000-00000F120000}"/>
    <cellStyle name="20% - Accent3 3 3 16" xfId="33998" xr:uid="{00000000-0005-0000-0000-000010120000}"/>
    <cellStyle name="20% - Accent3 3 3 17" xfId="35681" xr:uid="{00000000-0005-0000-0000-000011120000}"/>
    <cellStyle name="20% - Accent3 3 3 18" xfId="37364" xr:uid="{00000000-0005-0000-0000-000012120000}"/>
    <cellStyle name="20% - Accent3 3 3 19" xfId="39047" xr:uid="{00000000-0005-0000-0000-000013120000}"/>
    <cellStyle name="20% - Accent3 3 3 2" xfId="754" xr:uid="{00000000-0005-0000-0000-000014120000}"/>
    <cellStyle name="20% - Accent3 3 3 2 10" xfId="15903" xr:uid="{00000000-0005-0000-0000-000015120000}"/>
    <cellStyle name="20% - Accent3 3 3 2 11" xfId="31052" xr:uid="{00000000-0005-0000-0000-000016120000}"/>
    <cellStyle name="20% - Accent3 3 3 2 12" xfId="32735" xr:uid="{00000000-0005-0000-0000-000017120000}"/>
    <cellStyle name="20% - Accent3 3 3 2 13" xfId="34418" xr:uid="{00000000-0005-0000-0000-000018120000}"/>
    <cellStyle name="20% - Accent3 3 3 2 14" xfId="36101" xr:uid="{00000000-0005-0000-0000-000019120000}"/>
    <cellStyle name="20% - Accent3 3 3 2 15" xfId="37784" xr:uid="{00000000-0005-0000-0000-00001A120000}"/>
    <cellStyle name="20% - Accent3 3 3 2 16" xfId="39467" xr:uid="{00000000-0005-0000-0000-00001B120000}"/>
    <cellStyle name="20% - Accent3 3 3 2 17" xfId="41150" xr:uid="{00000000-0005-0000-0000-00001C120000}"/>
    <cellStyle name="20% - Accent3 3 3 2 18" xfId="42833" xr:uid="{00000000-0005-0000-0000-00001D120000}"/>
    <cellStyle name="20% - Accent3 3 3 2 19" xfId="44516" xr:uid="{00000000-0005-0000-0000-00001E120000}"/>
    <cellStyle name="20% - Accent3 3 3 2 2" xfId="2437" xr:uid="{00000000-0005-0000-0000-00001F120000}"/>
    <cellStyle name="20% - Accent3 3 3 2 2 2" xfId="17586" xr:uid="{00000000-0005-0000-0000-000020120000}"/>
    <cellStyle name="20% - Accent3 3 3 2 20" xfId="46199" xr:uid="{00000000-0005-0000-0000-000021120000}"/>
    <cellStyle name="20% - Accent3 3 3 2 21" xfId="47882" xr:uid="{00000000-0005-0000-0000-000022120000}"/>
    <cellStyle name="20% - Accent3 3 3 2 22" xfId="49565" xr:uid="{00000000-0005-0000-0000-000023120000}"/>
    <cellStyle name="20% - Accent3 3 3 2 23" xfId="51248" xr:uid="{00000000-0005-0000-0000-000024120000}"/>
    <cellStyle name="20% - Accent3 3 3 2 24" xfId="52931" xr:uid="{00000000-0005-0000-0000-000025120000}"/>
    <cellStyle name="20% - Accent3 3 3 2 25" xfId="54614" xr:uid="{00000000-0005-0000-0000-000026120000}"/>
    <cellStyle name="20% - Accent3 3 3 2 26" xfId="56297" xr:uid="{00000000-0005-0000-0000-000027120000}"/>
    <cellStyle name="20% - Accent3 3 3 2 27" xfId="57980" xr:uid="{00000000-0005-0000-0000-000028120000}"/>
    <cellStyle name="20% - Accent3 3 3 2 28" xfId="59663" xr:uid="{00000000-0005-0000-0000-000029120000}"/>
    <cellStyle name="20% - Accent3 3 3 2 29" xfId="61346" xr:uid="{00000000-0005-0000-0000-00002A120000}"/>
    <cellStyle name="20% - Accent3 3 3 2 3" xfId="4121" xr:uid="{00000000-0005-0000-0000-00002B120000}"/>
    <cellStyle name="20% - Accent3 3 3 2 3 2" xfId="19270" xr:uid="{00000000-0005-0000-0000-00002C120000}"/>
    <cellStyle name="20% - Accent3 3 3 2 30" xfId="63029" xr:uid="{00000000-0005-0000-0000-00002D120000}"/>
    <cellStyle name="20% - Accent3 3 3 2 4" xfId="5804" xr:uid="{00000000-0005-0000-0000-00002E120000}"/>
    <cellStyle name="20% - Accent3 3 3 2 4 2" xfId="20953" xr:uid="{00000000-0005-0000-0000-00002F120000}"/>
    <cellStyle name="20% - Accent3 3 3 2 5" xfId="7487" xr:uid="{00000000-0005-0000-0000-000030120000}"/>
    <cellStyle name="20% - Accent3 3 3 2 5 2" xfId="22636" xr:uid="{00000000-0005-0000-0000-000031120000}"/>
    <cellStyle name="20% - Accent3 3 3 2 6" xfId="9170" xr:uid="{00000000-0005-0000-0000-000032120000}"/>
    <cellStyle name="20% - Accent3 3 3 2 6 2" xfId="24319" xr:uid="{00000000-0005-0000-0000-000033120000}"/>
    <cellStyle name="20% - Accent3 3 3 2 7" xfId="10853" xr:uid="{00000000-0005-0000-0000-000034120000}"/>
    <cellStyle name="20% - Accent3 3 3 2 7 2" xfId="26002" xr:uid="{00000000-0005-0000-0000-000035120000}"/>
    <cellStyle name="20% - Accent3 3 3 2 8" xfId="12537" xr:uid="{00000000-0005-0000-0000-000036120000}"/>
    <cellStyle name="20% - Accent3 3 3 2 8 2" xfId="27686" xr:uid="{00000000-0005-0000-0000-000037120000}"/>
    <cellStyle name="20% - Accent3 3 3 2 9" xfId="14220" xr:uid="{00000000-0005-0000-0000-000038120000}"/>
    <cellStyle name="20% - Accent3 3 3 2 9 2" xfId="29369" xr:uid="{00000000-0005-0000-0000-000039120000}"/>
    <cellStyle name="20% - Accent3 3 3 20" xfId="40730" xr:uid="{00000000-0005-0000-0000-00003A120000}"/>
    <cellStyle name="20% - Accent3 3 3 21" xfId="42413" xr:uid="{00000000-0005-0000-0000-00003B120000}"/>
    <cellStyle name="20% - Accent3 3 3 22" xfId="44096" xr:uid="{00000000-0005-0000-0000-00003C120000}"/>
    <cellStyle name="20% - Accent3 3 3 23" xfId="45779" xr:uid="{00000000-0005-0000-0000-00003D120000}"/>
    <cellStyle name="20% - Accent3 3 3 24" xfId="47462" xr:uid="{00000000-0005-0000-0000-00003E120000}"/>
    <cellStyle name="20% - Accent3 3 3 25" xfId="49145" xr:uid="{00000000-0005-0000-0000-00003F120000}"/>
    <cellStyle name="20% - Accent3 3 3 26" xfId="50828" xr:uid="{00000000-0005-0000-0000-000040120000}"/>
    <cellStyle name="20% - Accent3 3 3 27" xfId="52511" xr:uid="{00000000-0005-0000-0000-000041120000}"/>
    <cellStyle name="20% - Accent3 3 3 28" xfId="54194" xr:uid="{00000000-0005-0000-0000-000042120000}"/>
    <cellStyle name="20% - Accent3 3 3 29" xfId="55877" xr:uid="{00000000-0005-0000-0000-000043120000}"/>
    <cellStyle name="20% - Accent3 3 3 3" xfId="1175" xr:uid="{00000000-0005-0000-0000-000044120000}"/>
    <cellStyle name="20% - Accent3 3 3 3 10" xfId="16324" xr:uid="{00000000-0005-0000-0000-000045120000}"/>
    <cellStyle name="20% - Accent3 3 3 3 11" xfId="31473" xr:uid="{00000000-0005-0000-0000-000046120000}"/>
    <cellStyle name="20% - Accent3 3 3 3 12" xfId="33156" xr:uid="{00000000-0005-0000-0000-000047120000}"/>
    <cellStyle name="20% - Accent3 3 3 3 13" xfId="34839" xr:uid="{00000000-0005-0000-0000-000048120000}"/>
    <cellStyle name="20% - Accent3 3 3 3 14" xfId="36522" xr:uid="{00000000-0005-0000-0000-000049120000}"/>
    <cellStyle name="20% - Accent3 3 3 3 15" xfId="38205" xr:uid="{00000000-0005-0000-0000-00004A120000}"/>
    <cellStyle name="20% - Accent3 3 3 3 16" xfId="39888" xr:uid="{00000000-0005-0000-0000-00004B120000}"/>
    <cellStyle name="20% - Accent3 3 3 3 17" xfId="41571" xr:uid="{00000000-0005-0000-0000-00004C120000}"/>
    <cellStyle name="20% - Accent3 3 3 3 18" xfId="43254" xr:uid="{00000000-0005-0000-0000-00004D120000}"/>
    <cellStyle name="20% - Accent3 3 3 3 19" xfId="44937" xr:uid="{00000000-0005-0000-0000-00004E120000}"/>
    <cellStyle name="20% - Accent3 3 3 3 2" xfId="2858" xr:uid="{00000000-0005-0000-0000-00004F120000}"/>
    <cellStyle name="20% - Accent3 3 3 3 2 2" xfId="18007" xr:uid="{00000000-0005-0000-0000-000050120000}"/>
    <cellStyle name="20% - Accent3 3 3 3 20" xfId="46620" xr:uid="{00000000-0005-0000-0000-000051120000}"/>
    <cellStyle name="20% - Accent3 3 3 3 21" xfId="48303" xr:uid="{00000000-0005-0000-0000-000052120000}"/>
    <cellStyle name="20% - Accent3 3 3 3 22" xfId="49986" xr:uid="{00000000-0005-0000-0000-000053120000}"/>
    <cellStyle name="20% - Accent3 3 3 3 23" xfId="51669" xr:uid="{00000000-0005-0000-0000-000054120000}"/>
    <cellStyle name="20% - Accent3 3 3 3 24" xfId="53352" xr:uid="{00000000-0005-0000-0000-000055120000}"/>
    <cellStyle name="20% - Accent3 3 3 3 25" xfId="55035" xr:uid="{00000000-0005-0000-0000-000056120000}"/>
    <cellStyle name="20% - Accent3 3 3 3 26" xfId="56718" xr:uid="{00000000-0005-0000-0000-000057120000}"/>
    <cellStyle name="20% - Accent3 3 3 3 27" xfId="58401" xr:uid="{00000000-0005-0000-0000-000058120000}"/>
    <cellStyle name="20% - Accent3 3 3 3 28" xfId="60084" xr:uid="{00000000-0005-0000-0000-000059120000}"/>
    <cellStyle name="20% - Accent3 3 3 3 29" xfId="61767" xr:uid="{00000000-0005-0000-0000-00005A120000}"/>
    <cellStyle name="20% - Accent3 3 3 3 3" xfId="4542" xr:uid="{00000000-0005-0000-0000-00005B120000}"/>
    <cellStyle name="20% - Accent3 3 3 3 3 2" xfId="19691" xr:uid="{00000000-0005-0000-0000-00005C120000}"/>
    <cellStyle name="20% - Accent3 3 3 3 30" xfId="63450" xr:uid="{00000000-0005-0000-0000-00005D120000}"/>
    <cellStyle name="20% - Accent3 3 3 3 4" xfId="6225" xr:uid="{00000000-0005-0000-0000-00005E120000}"/>
    <cellStyle name="20% - Accent3 3 3 3 4 2" xfId="21374" xr:uid="{00000000-0005-0000-0000-00005F120000}"/>
    <cellStyle name="20% - Accent3 3 3 3 5" xfId="7908" xr:uid="{00000000-0005-0000-0000-000060120000}"/>
    <cellStyle name="20% - Accent3 3 3 3 5 2" xfId="23057" xr:uid="{00000000-0005-0000-0000-000061120000}"/>
    <cellStyle name="20% - Accent3 3 3 3 6" xfId="9591" xr:uid="{00000000-0005-0000-0000-000062120000}"/>
    <cellStyle name="20% - Accent3 3 3 3 6 2" xfId="24740" xr:uid="{00000000-0005-0000-0000-000063120000}"/>
    <cellStyle name="20% - Accent3 3 3 3 7" xfId="11274" xr:uid="{00000000-0005-0000-0000-000064120000}"/>
    <cellStyle name="20% - Accent3 3 3 3 7 2" xfId="26423" xr:uid="{00000000-0005-0000-0000-000065120000}"/>
    <cellStyle name="20% - Accent3 3 3 3 8" xfId="12958" xr:uid="{00000000-0005-0000-0000-000066120000}"/>
    <cellStyle name="20% - Accent3 3 3 3 8 2" xfId="28107" xr:uid="{00000000-0005-0000-0000-000067120000}"/>
    <cellStyle name="20% - Accent3 3 3 3 9" xfId="14641" xr:uid="{00000000-0005-0000-0000-000068120000}"/>
    <cellStyle name="20% - Accent3 3 3 3 9 2" xfId="29790" xr:uid="{00000000-0005-0000-0000-000069120000}"/>
    <cellStyle name="20% - Accent3 3 3 30" xfId="57560" xr:uid="{00000000-0005-0000-0000-00006A120000}"/>
    <cellStyle name="20% - Accent3 3 3 31" xfId="59243" xr:uid="{00000000-0005-0000-0000-00006B120000}"/>
    <cellStyle name="20% - Accent3 3 3 32" xfId="60926" xr:uid="{00000000-0005-0000-0000-00006C120000}"/>
    <cellStyle name="20% - Accent3 3 3 33" xfId="62609" xr:uid="{00000000-0005-0000-0000-00006D120000}"/>
    <cellStyle name="20% - Accent3 3 3 4" xfId="1596" xr:uid="{00000000-0005-0000-0000-00006E120000}"/>
    <cellStyle name="20% - Accent3 3 3 4 10" xfId="16745" xr:uid="{00000000-0005-0000-0000-00006F120000}"/>
    <cellStyle name="20% - Accent3 3 3 4 11" xfId="31894" xr:uid="{00000000-0005-0000-0000-000070120000}"/>
    <cellStyle name="20% - Accent3 3 3 4 12" xfId="33577" xr:uid="{00000000-0005-0000-0000-000071120000}"/>
    <cellStyle name="20% - Accent3 3 3 4 13" xfId="35260" xr:uid="{00000000-0005-0000-0000-000072120000}"/>
    <cellStyle name="20% - Accent3 3 3 4 14" xfId="36943" xr:uid="{00000000-0005-0000-0000-000073120000}"/>
    <cellStyle name="20% - Accent3 3 3 4 15" xfId="38626" xr:uid="{00000000-0005-0000-0000-000074120000}"/>
    <cellStyle name="20% - Accent3 3 3 4 16" xfId="40309" xr:uid="{00000000-0005-0000-0000-000075120000}"/>
    <cellStyle name="20% - Accent3 3 3 4 17" xfId="41992" xr:uid="{00000000-0005-0000-0000-000076120000}"/>
    <cellStyle name="20% - Accent3 3 3 4 18" xfId="43675" xr:uid="{00000000-0005-0000-0000-000077120000}"/>
    <cellStyle name="20% - Accent3 3 3 4 19" xfId="45358" xr:uid="{00000000-0005-0000-0000-000078120000}"/>
    <cellStyle name="20% - Accent3 3 3 4 2" xfId="3279" xr:uid="{00000000-0005-0000-0000-000079120000}"/>
    <cellStyle name="20% - Accent3 3 3 4 2 2" xfId="18428" xr:uid="{00000000-0005-0000-0000-00007A120000}"/>
    <cellStyle name="20% - Accent3 3 3 4 20" xfId="47041" xr:uid="{00000000-0005-0000-0000-00007B120000}"/>
    <cellStyle name="20% - Accent3 3 3 4 21" xfId="48724" xr:uid="{00000000-0005-0000-0000-00007C120000}"/>
    <cellStyle name="20% - Accent3 3 3 4 22" xfId="50407" xr:uid="{00000000-0005-0000-0000-00007D120000}"/>
    <cellStyle name="20% - Accent3 3 3 4 23" xfId="52090" xr:uid="{00000000-0005-0000-0000-00007E120000}"/>
    <cellStyle name="20% - Accent3 3 3 4 24" xfId="53773" xr:uid="{00000000-0005-0000-0000-00007F120000}"/>
    <cellStyle name="20% - Accent3 3 3 4 25" xfId="55456" xr:uid="{00000000-0005-0000-0000-000080120000}"/>
    <cellStyle name="20% - Accent3 3 3 4 26" xfId="57139" xr:uid="{00000000-0005-0000-0000-000081120000}"/>
    <cellStyle name="20% - Accent3 3 3 4 27" xfId="58822" xr:uid="{00000000-0005-0000-0000-000082120000}"/>
    <cellStyle name="20% - Accent3 3 3 4 28" xfId="60505" xr:uid="{00000000-0005-0000-0000-000083120000}"/>
    <cellStyle name="20% - Accent3 3 3 4 29" xfId="62188" xr:uid="{00000000-0005-0000-0000-000084120000}"/>
    <cellStyle name="20% - Accent3 3 3 4 3" xfId="4963" xr:uid="{00000000-0005-0000-0000-000085120000}"/>
    <cellStyle name="20% - Accent3 3 3 4 3 2" xfId="20112" xr:uid="{00000000-0005-0000-0000-000086120000}"/>
    <cellStyle name="20% - Accent3 3 3 4 30" xfId="63871" xr:uid="{00000000-0005-0000-0000-000087120000}"/>
    <cellStyle name="20% - Accent3 3 3 4 4" xfId="6646" xr:uid="{00000000-0005-0000-0000-000088120000}"/>
    <cellStyle name="20% - Accent3 3 3 4 4 2" xfId="21795" xr:uid="{00000000-0005-0000-0000-000089120000}"/>
    <cellStyle name="20% - Accent3 3 3 4 5" xfId="8329" xr:uid="{00000000-0005-0000-0000-00008A120000}"/>
    <cellStyle name="20% - Accent3 3 3 4 5 2" xfId="23478" xr:uid="{00000000-0005-0000-0000-00008B120000}"/>
    <cellStyle name="20% - Accent3 3 3 4 6" xfId="10012" xr:uid="{00000000-0005-0000-0000-00008C120000}"/>
    <cellStyle name="20% - Accent3 3 3 4 6 2" xfId="25161" xr:uid="{00000000-0005-0000-0000-00008D120000}"/>
    <cellStyle name="20% - Accent3 3 3 4 7" xfId="11695" xr:uid="{00000000-0005-0000-0000-00008E120000}"/>
    <cellStyle name="20% - Accent3 3 3 4 7 2" xfId="26844" xr:uid="{00000000-0005-0000-0000-00008F120000}"/>
    <cellStyle name="20% - Accent3 3 3 4 8" xfId="13379" xr:uid="{00000000-0005-0000-0000-000090120000}"/>
    <cellStyle name="20% - Accent3 3 3 4 8 2" xfId="28528" xr:uid="{00000000-0005-0000-0000-000091120000}"/>
    <cellStyle name="20% - Accent3 3 3 4 9" xfId="15062" xr:uid="{00000000-0005-0000-0000-000092120000}"/>
    <cellStyle name="20% - Accent3 3 3 4 9 2" xfId="30211" xr:uid="{00000000-0005-0000-0000-000093120000}"/>
    <cellStyle name="20% - Accent3 3 3 5" xfId="2017" xr:uid="{00000000-0005-0000-0000-000094120000}"/>
    <cellStyle name="20% - Accent3 3 3 5 2" xfId="17166" xr:uid="{00000000-0005-0000-0000-000095120000}"/>
    <cellStyle name="20% - Accent3 3 3 6" xfId="3701" xr:uid="{00000000-0005-0000-0000-000096120000}"/>
    <cellStyle name="20% - Accent3 3 3 6 2" xfId="18850" xr:uid="{00000000-0005-0000-0000-000097120000}"/>
    <cellStyle name="20% - Accent3 3 3 7" xfId="5384" xr:uid="{00000000-0005-0000-0000-000098120000}"/>
    <cellStyle name="20% - Accent3 3 3 7 2" xfId="20533" xr:uid="{00000000-0005-0000-0000-000099120000}"/>
    <cellStyle name="20% - Accent3 3 3 8" xfId="7067" xr:uid="{00000000-0005-0000-0000-00009A120000}"/>
    <cellStyle name="20% - Accent3 3 3 8 2" xfId="22216" xr:uid="{00000000-0005-0000-0000-00009B120000}"/>
    <cellStyle name="20% - Accent3 3 3 9" xfId="8750" xr:uid="{00000000-0005-0000-0000-00009C120000}"/>
    <cellStyle name="20% - Accent3 3 3 9 2" xfId="23899" xr:uid="{00000000-0005-0000-0000-00009D120000}"/>
    <cellStyle name="20% - Accent3 3 30" xfId="53984" xr:uid="{00000000-0005-0000-0000-00009E120000}"/>
    <cellStyle name="20% - Accent3 3 31" xfId="55667" xr:uid="{00000000-0005-0000-0000-00009F120000}"/>
    <cellStyle name="20% - Accent3 3 32" xfId="57350" xr:uid="{00000000-0005-0000-0000-0000A0120000}"/>
    <cellStyle name="20% - Accent3 3 33" xfId="59033" xr:uid="{00000000-0005-0000-0000-0000A1120000}"/>
    <cellStyle name="20% - Accent3 3 34" xfId="60716" xr:uid="{00000000-0005-0000-0000-0000A2120000}"/>
    <cellStyle name="20% - Accent3 3 35" xfId="62399" xr:uid="{00000000-0005-0000-0000-0000A3120000}"/>
    <cellStyle name="20% - Accent3 3 4" xfId="544" xr:uid="{00000000-0005-0000-0000-0000A4120000}"/>
    <cellStyle name="20% - Accent3 3 4 10" xfId="15693" xr:uid="{00000000-0005-0000-0000-0000A5120000}"/>
    <cellStyle name="20% - Accent3 3 4 11" xfId="30842" xr:uid="{00000000-0005-0000-0000-0000A6120000}"/>
    <cellStyle name="20% - Accent3 3 4 12" xfId="32525" xr:uid="{00000000-0005-0000-0000-0000A7120000}"/>
    <cellStyle name="20% - Accent3 3 4 13" xfId="34208" xr:uid="{00000000-0005-0000-0000-0000A8120000}"/>
    <cellStyle name="20% - Accent3 3 4 14" xfId="35891" xr:uid="{00000000-0005-0000-0000-0000A9120000}"/>
    <cellStyle name="20% - Accent3 3 4 15" xfId="37574" xr:uid="{00000000-0005-0000-0000-0000AA120000}"/>
    <cellStyle name="20% - Accent3 3 4 16" xfId="39257" xr:uid="{00000000-0005-0000-0000-0000AB120000}"/>
    <cellStyle name="20% - Accent3 3 4 17" xfId="40940" xr:uid="{00000000-0005-0000-0000-0000AC120000}"/>
    <cellStyle name="20% - Accent3 3 4 18" xfId="42623" xr:uid="{00000000-0005-0000-0000-0000AD120000}"/>
    <cellStyle name="20% - Accent3 3 4 19" xfId="44306" xr:uid="{00000000-0005-0000-0000-0000AE120000}"/>
    <cellStyle name="20% - Accent3 3 4 2" xfId="2227" xr:uid="{00000000-0005-0000-0000-0000AF120000}"/>
    <cellStyle name="20% - Accent3 3 4 2 2" xfId="17376" xr:uid="{00000000-0005-0000-0000-0000B0120000}"/>
    <cellStyle name="20% - Accent3 3 4 20" xfId="45989" xr:uid="{00000000-0005-0000-0000-0000B1120000}"/>
    <cellStyle name="20% - Accent3 3 4 21" xfId="47672" xr:uid="{00000000-0005-0000-0000-0000B2120000}"/>
    <cellStyle name="20% - Accent3 3 4 22" xfId="49355" xr:uid="{00000000-0005-0000-0000-0000B3120000}"/>
    <cellStyle name="20% - Accent3 3 4 23" xfId="51038" xr:uid="{00000000-0005-0000-0000-0000B4120000}"/>
    <cellStyle name="20% - Accent3 3 4 24" xfId="52721" xr:uid="{00000000-0005-0000-0000-0000B5120000}"/>
    <cellStyle name="20% - Accent3 3 4 25" xfId="54404" xr:uid="{00000000-0005-0000-0000-0000B6120000}"/>
    <cellStyle name="20% - Accent3 3 4 26" xfId="56087" xr:uid="{00000000-0005-0000-0000-0000B7120000}"/>
    <cellStyle name="20% - Accent3 3 4 27" xfId="57770" xr:uid="{00000000-0005-0000-0000-0000B8120000}"/>
    <cellStyle name="20% - Accent3 3 4 28" xfId="59453" xr:uid="{00000000-0005-0000-0000-0000B9120000}"/>
    <cellStyle name="20% - Accent3 3 4 29" xfId="61136" xr:uid="{00000000-0005-0000-0000-0000BA120000}"/>
    <cellStyle name="20% - Accent3 3 4 3" xfId="3911" xr:uid="{00000000-0005-0000-0000-0000BB120000}"/>
    <cellStyle name="20% - Accent3 3 4 3 2" xfId="19060" xr:uid="{00000000-0005-0000-0000-0000BC120000}"/>
    <cellStyle name="20% - Accent3 3 4 30" xfId="62819" xr:uid="{00000000-0005-0000-0000-0000BD120000}"/>
    <cellStyle name="20% - Accent3 3 4 4" xfId="5594" xr:uid="{00000000-0005-0000-0000-0000BE120000}"/>
    <cellStyle name="20% - Accent3 3 4 4 2" xfId="20743" xr:uid="{00000000-0005-0000-0000-0000BF120000}"/>
    <cellStyle name="20% - Accent3 3 4 5" xfId="7277" xr:uid="{00000000-0005-0000-0000-0000C0120000}"/>
    <cellStyle name="20% - Accent3 3 4 5 2" xfId="22426" xr:uid="{00000000-0005-0000-0000-0000C1120000}"/>
    <cellStyle name="20% - Accent3 3 4 6" xfId="8960" xr:uid="{00000000-0005-0000-0000-0000C2120000}"/>
    <cellStyle name="20% - Accent3 3 4 6 2" xfId="24109" xr:uid="{00000000-0005-0000-0000-0000C3120000}"/>
    <cellStyle name="20% - Accent3 3 4 7" xfId="10643" xr:uid="{00000000-0005-0000-0000-0000C4120000}"/>
    <cellStyle name="20% - Accent3 3 4 7 2" xfId="25792" xr:uid="{00000000-0005-0000-0000-0000C5120000}"/>
    <cellStyle name="20% - Accent3 3 4 8" xfId="12327" xr:uid="{00000000-0005-0000-0000-0000C6120000}"/>
    <cellStyle name="20% - Accent3 3 4 8 2" xfId="27476" xr:uid="{00000000-0005-0000-0000-0000C7120000}"/>
    <cellStyle name="20% - Accent3 3 4 9" xfId="14010" xr:uid="{00000000-0005-0000-0000-0000C8120000}"/>
    <cellStyle name="20% - Accent3 3 4 9 2" xfId="29159" xr:uid="{00000000-0005-0000-0000-0000C9120000}"/>
    <cellStyle name="20% - Accent3 3 5" xfId="965" xr:uid="{00000000-0005-0000-0000-0000CA120000}"/>
    <cellStyle name="20% - Accent3 3 5 10" xfId="16114" xr:uid="{00000000-0005-0000-0000-0000CB120000}"/>
    <cellStyle name="20% - Accent3 3 5 11" xfId="31263" xr:uid="{00000000-0005-0000-0000-0000CC120000}"/>
    <cellStyle name="20% - Accent3 3 5 12" xfId="32946" xr:uid="{00000000-0005-0000-0000-0000CD120000}"/>
    <cellStyle name="20% - Accent3 3 5 13" xfId="34629" xr:uid="{00000000-0005-0000-0000-0000CE120000}"/>
    <cellStyle name="20% - Accent3 3 5 14" xfId="36312" xr:uid="{00000000-0005-0000-0000-0000CF120000}"/>
    <cellStyle name="20% - Accent3 3 5 15" xfId="37995" xr:uid="{00000000-0005-0000-0000-0000D0120000}"/>
    <cellStyle name="20% - Accent3 3 5 16" xfId="39678" xr:uid="{00000000-0005-0000-0000-0000D1120000}"/>
    <cellStyle name="20% - Accent3 3 5 17" xfId="41361" xr:uid="{00000000-0005-0000-0000-0000D2120000}"/>
    <cellStyle name="20% - Accent3 3 5 18" xfId="43044" xr:uid="{00000000-0005-0000-0000-0000D3120000}"/>
    <cellStyle name="20% - Accent3 3 5 19" xfId="44727" xr:uid="{00000000-0005-0000-0000-0000D4120000}"/>
    <cellStyle name="20% - Accent3 3 5 2" xfId="2648" xr:uid="{00000000-0005-0000-0000-0000D5120000}"/>
    <cellStyle name="20% - Accent3 3 5 2 2" xfId="17797" xr:uid="{00000000-0005-0000-0000-0000D6120000}"/>
    <cellStyle name="20% - Accent3 3 5 20" xfId="46410" xr:uid="{00000000-0005-0000-0000-0000D7120000}"/>
    <cellStyle name="20% - Accent3 3 5 21" xfId="48093" xr:uid="{00000000-0005-0000-0000-0000D8120000}"/>
    <cellStyle name="20% - Accent3 3 5 22" xfId="49776" xr:uid="{00000000-0005-0000-0000-0000D9120000}"/>
    <cellStyle name="20% - Accent3 3 5 23" xfId="51459" xr:uid="{00000000-0005-0000-0000-0000DA120000}"/>
    <cellStyle name="20% - Accent3 3 5 24" xfId="53142" xr:uid="{00000000-0005-0000-0000-0000DB120000}"/>
    <cellStyle name="20% - Accent3 3 5 25" xfId="54825" xr:uid="{00000000-0005-0000-0000-0000DC120000}"/>
    <cellStyle name="20% - Accent3 3 5 26" xfId="56508" xr:uid="{00000000-0005-0000-0000-0000DD120000}"/>
    <cellStyle name="20% - Accent3 3 5 27" xfId="58191" xr:uid="{00000000-0005-0000-0000-0000DE120000}"/>
    <cellStyle name="20% - Accent3 3 5 28" xfId="59874" xr:uid="{00000000-0005-0000-0000-0000DF120000}"/>
    <cellStyle name="20% - Accent3 3 5 29" xfId="61557" xr:uid="{00000000-0005-0000-0000-0000E0120000}"/>
    <cellStyle name="20% - Accent3 3 5 3" xfId="4332" xr:uid="{00000000-0005-0000-0000-0000E1120000}"/>
    <cellStyle name="20% - Accent3 3 5 3 2" xfId="19481" xr:uid="{00000000-0005-0000-0000-0000E2120000}"/>
    <cellStyle name="20% - Accent3 3 5 30" xfId="63240" xr:uid="{00000000-0005-0000-0000-0000E3120000}"/>
    <cellStyle name="20% - Accent3 3 5 4" xfId="6015" xr:uid="{00000000-0005-0000-0000-0000E4120000}"/>
    <cellStyle name="20% - Accent3 3 5 4 2" xfId="21164" xr:uid="{00000000-0005-0000-0000-0000E5120000}"/>
    <cellStyle name="20% - Accent3 3 5 5" xfId="7698" xr:uid="{00000000-0005-0000-0000-0000E6120000}"/>
    <cellStyle name="20% - Accent3 3 5 5 2" xfId="22847" xr:uid="{00000000-0005-0000-0000-0000E7120000}"/>
    <cellStyle name="20% - Accent3 3 5 6" xfId="9381" xr:uid="{00000000-0005-0000-0000-0000E8120000}"/>
    <cellStyle name="20% - Accent3 3 5 6 2" xfId="24530" xr:uid="{00000000-0005-0000-0000-0000E9120000}"/>
    <cellStyle name="20% - Accent3 3 5 7" xfId="11064" xr:uid="{00000000-0005-0000-0000-0000EA120000}"/>
    <cellStyle name="20% - Accent3 3 5 7 2" xfId="26213" xr:uid="{00000000-0005-0000-0000-0000EB120000}"/>
    <cellStyle name="20% - Accent3 3 5 8" xfId="12748" xr:uid="{00000000-0005-0000-0000-0000EC120000}"/>
    <cellStyle name="20% - Accent3 3 5 8 2" xfId="27897" xr:uid="{00000000-0005-0000-0000-0000ED120000}"/>
    <cellStyle name="20% - Accent3 3 5 9" xfId="14431" xr:uid="{00000000-0005-0000-0000-0000EE120000}"/>
    <cellStyle name="20% - Accent3 3 5 9 2" xfId="29580" xr:uid="{00000000-0005-0000-0000-0000EF120000}"/>
    <cellStyle name="20% - Accent3 3 6" xfId="1386" xr:uid="{00000000-0005-0000-0000-0000F0120000}"/>
    <cellStyle name="20% - Accent3 3 6 10" xfId="16535" xr:uid="{00000000-0005-0000-0000-0000F1120000}"/>
    <cellStyle name="20% - Accent3 3 6 11" xfId="31684" xr:uid="{00000000-0005-0000-0000-0000F2120000}"/>
    <cellStyle name="20% - Accent3 3 6 12" xfId="33367" xr:uid="{00000000-0005-0000-0000-0000F3120000}"/>
    <cellStyle name="20% - Accent3 3 6 13" xfId="35050" xr:uid="{00000000-0005-0000-0000-0000F4120000}"/>
    <cellStyle name="20% - Accent3 3 6 14" xfId="36733" xr:uid="{00000000-0005-0000-0000-0000F5120000}"/>
    <cellStyle name="20% - Accent3 3 6 15" xfId="38416" xr:uid="{00000000-0005-0000-0000-0000F6120000}"/>
    <cellStyle name="20% - Accent3 3 6 16" xfId="40099" xr:uid="{00000000-0005-0000-0000-0000F7120000}"/>
    <cellStyle name="20% - Accent3 3 6 17" xfId="41782" xr:uid="{00000000-0005-0000-0000-0000F8120000}"/>
    <cellStyle name="20% - Accent3 3 6 18" xfId="43465" xr:uid="{00000000-0005-0000-0000-0000F9120000}"/>
    <cellStyle name="20% - Accent3 3 6 19" xfId="45148" xr:uid="{00000000-0005-0000-0000-0000FA120000}"/>
    <cellStyle name="20% - Accent3 3 6 2" xfId="3069" xr:uid="{00000000-0005-0000-0000-0000FB120000}"/>
    <cellStyle name="20% - Accent3 3 6 2 2" xfId="18218" xr:uid="{00000000-0005-0000-0000-0000FC120000}"/>
    <cellStyle name="20% - Accent3 3 6 20" xfId="46831" xr:uid="{00000000-0005-0000-0000-0000FD120000}"/>
    <cellStyle name="20% - Accent3 3 6 21" xfId="48514" xr:uid="{00000000-0005-0000-0000-0000FE120000}"/>
    <cellStyle name="20% - Accent3 3 6 22" xfId="50197" xr:uid="{00000000-0005-0000-0000-0000FF120000}"/>
    <cellStyle name="20% - Accent3 3 6 23" xfId="51880" xr:uid="{00000000-0005-0000-0000-000000130000}"/>
    <cellStyle name="20% - Accent3 3 6 24" xfId="53563" xr:uid="{00000000-0005-0000-0000-000001130000}"/>
    <cellStyle name="20% - Accent3 3 6 25" xfId="55246" xr:uid="{00000000-0005-0000-0000-000002130000}"/>
    <cellStyle name="20% - Accent3 3 6 26" xfId="56929" xr:uid="{00000000-0005-0000-0000-000003130000}"/>
    <cellStyle name="20% - Accent3 3 6 27" xfId="58612" xr:uid="{00000000-0005-0000-0000-000004130000}"/>
    <cellStyle name="20% - Accent3 3 6 28" xfId="60295" xr:uid="{00000000-0005-0000-0000-000005130000}"/>
    <cellStyle name="20% - Accent3 3 6 29" xfId="61978" xr:uid="{00000000-0005-0000-0000-000006130000}"/>
    <cellStyle name="20% - Accent3 3 6 3" xfId="4753" xr:uid="{00000000-0005-0000-0000-000007130000}"/>
    <cellStyle name="20% - Accent3 3 6 3 2" xfId="19902" xr:uid="{00000000-0005-0000-0000-000008130000}"/>
    <cellStyle name="20% - Accent3 3 6 30" xfId="63661" xr:uid="{00000000-0005-0000-0000-000009130000}"/>
    <cellStyle name="20% - Accent3 3 6 4" xfId="6436" xr:uid="{00000000-0005-0000-0000-00000A130000}"/>
    <cellStyle name="20% - Accent3 3 6 4 2" xfId="21585" xr:uid="{00000000-0005-0000-0000-00000B130000}"/>
    <cellStyle name="20% - Accent3 3 6 5" xfId="8119" xr:uid="{00000000-0005-0000-0000-00000C130000}"/>
    <cellStyle name="20% - Accent3 3 6 5 2" xfId="23268" xr:uid="{00000000-0005-0000-0000-00000D130000}"/>
    <cellStyle name="20% - Accent3 3 6 6" xfId="9802" xr:uid="{00000000-0005-0000-0000-00000E130000}"/>
    <cellStyle name="20% - Accent3 3 6 6 2" xfId="24951" xr:uid="{00000000-0005-0000-0000-00000F130000}"/>
    <cellStyle name="20% - Accent3 3 6 7" xfId="11485" xr:uid="{00000000-0005-0000-0000-000010130000}"/>
    <cellStyle name="20% - Accent3 3 6 7 2" xfId="26634" xr:uid="{00000000-0005-0000-0000-000011130000}"/>
    <cellStyle name="20% - Accent3 3 6 8" xfId="13169" xr:uid="{00000000-0005-0000-0000-000012130000}"/>
    <cellStyle name="20% - Accent3 3 6 8 2" xfId="28318" xr:uid="{00000000-0005-0000-0000-000013130000}"/>
    <cellStyle name="20% - Accent3 3 6 9" xfId="14852" xr:uid="{00000000-0005-0000-0000-000014130000}"/>
    <cellStyle name="20% - Accent3 3 6 9 2" xfId="30001" xr:uid="{00000000-0005-0000-0000-000015130000}"/>
    <cellStyle name="20% - Accent3 3 7" xfId="1807" xr:uid="{00000000-0005-0000-0000-000016130000}"/>
    <cellStyle name="20% - Accent3 3 7 2" xfId="16956" xr:uid="{00000000-0005-0000-0000-000017130000}"/>
    <cellStyle name="20% - Accent3 3 8" xfId="3491" xr:uid="{00000000-0005-0000-0000-000018130000}"/>
    <cellStyle name="20% - Accent3 3 8 2" xfId="18640" xr:uid="{00000000-0005-0000-0000-000019130000}"/>
    <cellStyle name="20% - Accent3 3 9" xfId="5174" xr:uid="{00000000-0005-0000-0000-00001A130000}"/>
    <cellStyle name="20% - Accent3 3 9 2" xfId="20323" xr:uid="{00000000-0005-0000-0000-00001B130000}"/>
    <cellStyle name="20% - Accent3 30" xfId="50576" xr:uid="{00000000-0005-0000-0000-00001C130000}"/>
    <cellStyle name="20% - Accent3 31" xfId="52259" xr:uid="{00000000-0005-0000-0000-00001D130000}"/>
    <cellStyle name="20% - Accent3 32" xfId="53942" xr:uid="{00000000-0005-0000-0000-00001E130000}"/>
    <cellStyle name="20% - Accent3 33" xfId="55625" xr:uid="{00000000-0005-0000-0000-00001F130000}"/>
    <cellStyle name="20% - Accent3 34" xfId="57308" xr:uid="{00000000-0005-0000-0000-000020130000}"/>
    <cellStyle name="20% - Accent3 35" xfId="58991" xr:uid="{00000000-0005-0000-0000-000021130000}"/>
    <cellStyle name="20% - Accent3 36" xfId="60674" xr:uid="{00000000-0005-0000-0000-000022130000}"/>
    <cellStyle name="20% - Accent3 37" xfId="62357" xr:uid="{00000000-0005-0000-0000-000023130000}"/>
    <cellStyle name="20% - Accent3 4" xfId="187" xr:uid="{00000000-0005-0000-0000-000024130000}"/>
    <cellStyle name="20% - Accent3 4 10" xfId="8603" xr:uid="{00000000-0005-0000-0000-000025130000}"/>
    <cellStyle name="20% - Accent3 4 10 2" xfId="23752" xr:uid="{00000000-0005-0000-0000-000026130000}"/>
    <cellStyle name="20% - Accent3 4 11" xfId="10286" xr:uid="{00000000-0005-0000-0000-000027130000}"/>
    <cellStyle name="20% - Accent3 4 11 2" xfId="25435" xr:uid="{00000000-0005-0000-0000-000028130000}"/>
    <cellStyle name="20% - Accent3 4 12" xfId="11970" xr:uid="{00000000-0005-0000-0000-000029130000}"/>
    <cellStyle name="20% - Accent3 4 12 2" xfId="27119" xr:uid="{00000000-0005-0000-0000-00002A130000}"/>
    <cellStyle name="20% - Accent3 4 13" xfId="13653" xr:uid="{00000000-0005-0000-0000-00002B130000}"/>
    <cellStyle name="20% - Accent3 4 13 2" xfId="28802" xr:uid="{00000000-0005-0000-0000-00002C130000}"/>
    <cellStyle name="20% - Accent3 4 14" xfId="15336" xr:uid="{00000000-0005-0000-0000-00002D130000}"/>
    <cellStyle name="20% - Accent3 4 15" xfId="30485" xr:uid="{00000000-0005-0000-0000-00002E130000}"/>
    <cellStyle name="20% - Accent3 4 16" xfId="32168" xr:uid="{00000000-0005-0000-0000-00002F130000}"/>
    <cellStyle name="20% - Accent3 4 17" xfId="33851" xr:uid="{00000000-0005-0000-0000-000030130000}"/>
    <cellStyle name="20% - Accent3 4 18" xfId="35534" xr:uid="{00000000-0005-0000-0000-000031130000}"/>
    <cellStyle name="20% - Accent3 4 19" xfId="37217" xr:uid="{00000000-0005-0000-0000-000032130000}"/>
    <cellStyle name="20% - Accent3 4 2" xfId="397" xr:uid="{00000000-0005-0000-0000-000033130000}"/>
    <cellStyle name="20% - Accent3 4 2 10" xfId="10496" xr:uid="{00000000-0005-0000-0000-000034130000}"/>
    <cellStyle name="20% - Accent3 4 2 10 2" xfId="25645" xr:uid="{00000000-0005-0000-0000-000035130000}"/>
    <cellStyle name="20% - Accent3 4 2 11" xfId="12180" xr:uid="{00000000-0005-0000-0000-000036130000}"/>
    <cellStyle name="20% - Accent3 4 2 11 2" xfId="27329" xr:uid="{00000000-0005-0000-0000-000037130000}"/>
    <cellStyle name="20% - Accent3 4 2 12" xfId="13863" xr:uid="{00000000-0005-0000-0000-000038130000}"/>
    <cellStyle name="20% - Accent3 4 2 12 2" xfId="29012" xr:uid="{00000000-0005-0000-0000-000039130000}"/>
    <cellStyle name="20% - Accent3 4 2 13" xfId="15546" xr:uid="{00000000-0005-0000-0000-00003A130000}"/>
    <cellStyle name="20% - Accent3 4 2 14" xfId="30695" xr:uid="{00000000-0005-0000-0000-00003B130000}"/>
    <cellStyle name="20% - Accent3 4 2 15" xfId="32378" xr:uid="{00000000-0005-0000-0000-00003C130000}"/>
    <cellStyle name="20% - Accent3 4 2 16" xfId="34061" xr:uid="{00000000-0005-0000-0000-00003D130000}"/>
    <cellStyle name="20% - Accent3 4 2 17" xfId="35744" xr:uid="{00000000-0005-0000-0000-00003E130000}"/>
    <cellStyle name="20% - Accent3 4 2 18" xfId="37427" xr:uid="{00000000-0005-0000-0000-00003F130000}"/>
    <cellStyle name="20% - Accent3 4 2 19" xfId="39110" xr:uid="{00000000-0005-0000-0000-000040130000}"/>
    <cellStyle name="20% - Accent3 4 2 2" xfId="817" xr:uid="{00000000-0005-0000-0000-000041130000}"/>
    <cellStyle name="20% - Accent3 4 2 2 10" xfId="15966" xr:uid="{00000000-0005-0000-0000-000042130000}"/>
    <cellStyle name="20% - Accent3 4 2 2 11" xfId="31115" xr:uid="{00000000-0005-0000-0000-000043130000}"/>
    <cellStyle name="20% - Accent3 4 2 2 12" xfId="32798" xr:uid="{00000000-0005-0000-0000-000044130000}"/>
    <cellStyle name="20% - Accent3 4 2 2 13" xfId="34481" xr:uid="{00000000-0005-0000-0000-000045130000}"/>
    <cellStyle name="20% - Accent3 4 2 2 14" xfId="36164" xr:uid="{00000000-0005-0000-0000-000046130000}"/>
    <cellStyle name="20% - Accent3 4 2 2 15" xfId="37847" xr:uid="{00000000-0005-0000-0000-000047130000}"/>
    <cellStyle name="20% - Accent3 4 2 2 16" xfId="39530" xr:uid="{00000000-0005-0000-0000-000048130000}"/>
    <cellStyle name="20% - Accent3 4 2 2 17" xfId="41213" xr:uid="{00000000-0005-0000-0000-000049130000}"/>
    <cellStyle name="20% - Accent3 4 2 2 18" xfId="42896" xr:uid="{00000000-0005-0000-0000-00004A130000}"/>
    <cellStyle name="20% - Accent3 4 2 2 19" xfId="44579" xr:uid="{00000000-0005-0000-0000-00004B130000}"/>
    <cellStyle name="20% - Accent3 4 2 2 2" xfId="2500" xr:uid="{00000000-0005-0000-0000-00004C130000}"/>
    <cellStyle name="20% - Accent3 4 2 2 2 2" xfId="17649" xr:uid="{00000000-0005-0000-0000-00004D130000}"/>
    <cellStyle name="20% - Accent3 4 2 2 20" xfId="46262" xr:uid="{00000000-0005-0000-0000-00004E130000}"/>
    <cellStyle name="20% - Accent3 4 2 2 21" xfId="47945" xr:uid="{00000000-0005-0000-0000-00004F130000}"/>
    <cellStyle name="20% - Accent3 4 2 2 22" xfId="49628" xr:uid="{00000000-0005-0000-0000-000050130000}"/>
    <cellStyle name="20% - Accent3 4 2 2 23" xfId="51311" xr:uid="{00000000-0005-0000-0000-000051130000}"/>
    <cellStyle name="20% - Accent3 4 2 2 24" xfId="52994" xr:uid="{00000000-0005-0000-0000-000052130000}"/>
    <cellStyle name="20% - Accent3 4 2 2 25" xfId="54677" xr:uid="{00000000-0005-0000-0000-000053130000}"/>
    <cellStyle name="20% - Accent3 4 2 2 26" xfId="56360" xr:uid="{00000000-0005-0000-0000-000054130000}"/>
    <cellStyle name="20% - Accent3 4 2 2 27" xfId="58043" xr:uid="{00000000-0005-0000-0000-000055130000}"/>
    <cellStyle name="20% - Accent3 4 2 2 28" xfId="59726" xr:uid="{00000000-0005-0000-0000-000056130000}"/>
    <cellStyle name="20% - Accent3 4 2 2 29" xfId="61409" xr:uid="{00000000-0005-0000-0000-000057130000}"/>
    <cellStyle name="20% - Accent3 4 2 2 3" xfId="4184" xr:uid="{00000000-0005-0000-0000-000058130000}"/>
    <cellStyle name="20% - Accent3 4 2 2 3 2" xfId="19333" xr:uid="{00000000-0005-0000-0000-000059130000}"/>
    <cellStyle name="20% - Accent3 4 2 2 30" xfId="63092" xr:uid="{00000000-0005-0000-0000-00005A130000}"/>
    <cellStyle name="20% - Accent3 4 2 2 4" xfId="5867" xr:uid="{00000000-0005-0000-0000-00005B130000}"/>
    <cellStyle name="20% - Accent3 4 2 2 4 2" xfId="21016" xr:uid="{00000000-0005-0000-0000-00005C130000}"/>
    <cellStyle name="20% - Accent3 4 2 2 5" xfId="7550" xr:uid="{00000000-0005-0000-0000-00005D130000}"/>
    <cellStyle name="20% - Accent3 4 2 2 5 2" xfId="22699" xr:uid="{00000000-0005-0000-0000-00005E130000}"/>
    <cellStyle name="20% - Accent3 4 2 2 6" xfId="9233" xr:uid="{00000000-0005-0000-0000-00005F130000}"/>
    <cellStyle name="20% - Accent3 4 2 2 6 2" xfId="24382" xr:uid="{00000000-0005-0000-0000-000060130000}"/>
    <cellStyle name="20% - Accent3 4 2 2 7" xfId="10916" xr:uid="{00000000-0005-0000-0000-000061130000}"/>
    <cellStyle name="20% - Accent3 4 2 2 7 2" xfId="26065" xr:uid="{00000000-0005-0000-0000-000062130000}"/>
    <cellStyle name="20% - Accent3 4 2 2 8" xfId="12600" xr:uid="{00000000-0005-0000-0000-000063130000}"/>
    <cellStyle name="20% - Accent3 4 2 2 8 2" xfId="27749" xr:uid="{00000000-0005-0000-0000-000064130000}"/>
    <cellStyle name="20% - Accent3 4 2 2 9" xfId="14283" xr:uid="{00000000-0005-0000-0000-000065130000}"/>
    <cellStyle name="20% - Accent3 4 2 2 9 2" xfId="29432" xr:uid="{00000000-0005-0000-0000-000066130000}"/>
    <cellStyle name="20% - Accent3 4 2 20" xfId="40793" xr:uid="{00000000-0005-0000-0000-000067130000}"/>
    <cellStyle name="20% - Accent3 4 2 21" xfId="42476" xr:uid="{00000000-0005-0000-0000-000068130000}"/>
    <cellStyle name="20% - Accent3 4 2 22" xfId="44159" xr:uid="{00000000-0005-0000-0000-000069130000}"/>
    <cellStyle name="20% - Accent3 4 2 23" xfId="45842" xr:uid="{00000000-0005-0000-0000-00006A130000}"/>
    <cellStyle name="20% - Accent3 4 2 24" xfId="47525" xr:uid="{00000000-0005-0000-0000-00006B130000}"/>
    <cellStyle name="20% - Accent3 4 2 25" xfId="49208" xr:uid="{00000000-0005-0000-0000-00006C130000}"/>
    <cellStyle name="20% - Accent3 4 2 26" xfId="50891" xr:uid="{00000000-0005-0000-0000-00006D130000}"/>
    <cellStyle name="20% - Accent3 4 2 27" xfId="52574" xr:uid="{00000000-0005-0000-0000-00006E130000}"/>
    <cellStyle name="20% - Accent3 4 2 28" xfId="54257" xr:uid="{00000000-0005-0000-0000-00006F130000}"/>
    <cellStyle name="20% - Accent3 4 2 29" xfId="55940" xr:uid="{00000000-0005-0000-0000-000070130000}"/>
    <cellStyle name="20% - Accent3 4 2 3" xfId="1238" xr:uid="{00000000-0005-0000-0000-000071130000}"/>
    <cellStyle name="20% - Accent3 4 2 3 10" xfId="16387" xr:uid="{00000000-0005-0000-0000-000072130000}"/>
    <cellStyle name="20% - Accent3 4 2 3 11" xfId="31536" xr:uid="{00000000-0005-0000-0000-000073130000}"/>
    <cellStyle name="20% - Accent3 4 2 3 12" xfId="33219" xr:uid="{00000000-0005-0000-0000-000074130000}"/>
    <cellStyle name="20% - Accent3 4 2 3 13" xfId="34902" xr:uid="{00000000-0005-0000-0000-000075130000}"/>
    <cellStyle name="20% - Accent3 4 2 3 14" xfId="36585" xr:uid="{00000000-0005-0000-0000-000076130000}"/>
    <cellStyle name="20% - Accent3 4 2 3 15" xfId="38268" xr:uid="{00000000-0005-0000-0000-000077130000}"/>
    <cellStyle name="20% - Accent3 4 2 3 16" xfId="39951" xr:uid="{00000000-0005-0000-0000-000078130000}"/>
    <cellStyle name="20% - Accent3 4 2 3 17" xfId="41634" xr:uid="{00000000-0005-0000-0000-000079130000}"/>
    <cellStyle name="20% - Accent3 4 2 3 18" xfId="43317" xr:uid="{00000000-0005-0000-0000-00007A130000}"/>
    <cellStyle name="20% - Accent3 4 2 3 19" xfId="45000" xr:uid="{00000000-0005-0000-0000-00007B130000}"/>
    <cellStyle name="20% - Accent3 4 2 3 2" xfId="2921" xr:uid="{00000000-0005-0000-0000-00007C130000}"/>
    <cellStyle name="20% - Accent3 4 2 3 2 2" xfId="18070" xr:uid="{00000000-0005-0000-0000-00007D130000}"/>
    <cellStyle name="20% - Accent3 4 2 3 20" xfId="46683" xr:uid="{00000000-0005-0000-0000-00007E130000}"/>
    <cellStyle name="20% - Accent3 4 2 3 21" xfId="48366" xr:uid="{00000000-0005-0000-0000-00007F130000}"/>
    <cellStyle name="20% - Accent3 4 2 3 22" xfId="50049" xr:uid="{00000000-0005-0000-0000-000080130000}"/>
    <cellStyle name="20% - Accent3 4 2 3 23" xfId="51732" xr:uid="{00000000-0005-0000-0000-000081130000}"/>
    <cellStyle name="20% - Accent3 4 2 3 24" xfId="53415" xr:uid="{00000000-0005-0000-0000-000082130000}"/>
    <cellStyle name="20% - Accent3 4 2 3 25" xfId="55098" xr:uid="{00000000-0005-0000-0000-000083130000}"/>
    <cellStyle name="20% - Accent3 4 2 3 26" xfId="56781" xr:uid="{00000000-0005-0000-0000-000084130000}"/>
    <cellStyle name="20% - Accent3 4 2 3 27" xfId="58464" xr:uid="{00000000-0005-0000-0000-000085130000}"/>
    <cellStyle name="20% - Accent3 4 2 3 28" xfId="60147" xr:uid="{00000000-0005-0000-0000-000086130000}"/>
    <cellStyle name="20% - Accent3 4 2 3 29" xfId="61830" xr:uid="{00000000-0005-0000-0000-000087130000}"/>
    <cellStyle name="20% - Accent3 4 2 3 3" xfId="4605" xr:uid="{00000000-0005-0000-0000-000088130000}"/>
    <cellStyle name="20% - Accent3 4 2 3 3 2" xfId="19754" xr:uid="{00000000-0005-0000-0000-000089130000}"/>
    <cellStyle name="20% - Accent3 4 2 3 30" xfId="63513" xr:uid="{00000000-0005-0000-0000-00008A130000}"/>
    <cellStyle name="20% - Accent3 4 2 3 4" xfId="6288" xr:uid="{00000000-0005-0000-0000-00008B130000}"/>
    <cellStyle name="20% - Accent3 4 2 3 4 2" xfId="21437" xr:uid="{00000000-0005-0000-0000-00008C130000}"/>
    <cellStyle name="20% - Accent3 4 2 3 5" xfId="7971" xr:uid="{00000000-0005-0000-0000-00008D130000}"/>
    <cellStyle name="20% - Accent3 4 2 3 5 2" xfId="23120" xr:uid="{00000000-0005-0000-0000-00008E130000}"/>
    <cellStyle name="20% - Accent3 4 2 3 6" xfId="9654" xr:uid="{00000000-0005-0000-0000-00008F130000}"/>
    <cellStyle name="20% - Accent3 4 2 3 6 2" xfId="24803" xr:uid="{00000000-0005-0000-0000-000090130000}"/>
    <cellStyle name="20% - Accent3 4 2 3 7" xfId="11337" xr:uid="{00000000-0005-0000-0000-000091130000}"/>
    <cellStyle name="20% - Accent3 4 2 3 7 2" xfId="26486" xr:uid="{00000000-0005-0000-0000-000092130000}"/>
    <cellStyle name="20% - Accent3 4 2 3 8" xfId="13021" xr:uid="{00000000-0005-0000-0000-000093130000}"/>
    <cellStyle name="20% - Accent3 4 2 3 8 2" xfId="28170" xr:uid="{00000000-0005-0000-0000-000094130000}"/>
    <cellStyle name="20% - Accent3 4 2 3 9" xfId="14704" xr:uid="{00000000-0005-0000-0000-000095130000}"/>
    <cellStyle name="20% - Accent3 4 2 3 9 2" xfId="29853" xr:uid="{00000000-0005-0000-0000-000096130000}"/>
    <cellStyle name="20% - Accent3 4 2 30" xfId="57623" xr:uid="{00000000-0005-0000-0000-000097130000}"/>
    <cellStyle name="20% - Accent3 4 2 31" xfId="59306" xr:uid="{00000000-0005-0000-0000-000098130000}"/>
    <cellStyle name="20% - Accent3 4 2 32" xfId="60989" xr:uid="{00000000-0005-0000-0000-000099130000}"/>
    <cellStyle name="20% - Accent3 4 2 33" xfId="62672" xr:uid="{00000000-0005-0000-0000-00009A130000}"/>
    <cellStyle name="20% - Accent3 4 2 4" xfId="1659" xr:uid="{00000000-0005-0000-0000-00009B130000}"/>
    <cellStyle name="20% - Accent3 4 2 4 10" xfId="16808" xr:uid="{00000000-0005-0000-0000-00009C130000}"/>
    <cellStyle name="20% - Accent3 4 2 4 11" xfId="31957" xr:uid="{00000000-0005-0000-0000-00009D130000}"/>
    <cellStyle name="20% - Accent3 4 2 4 12" xfId="33640" xr:uid="{00000000-0005-0000-0000-00009E130000}"/>
    <cellStyle name="20% - Accent3 4 2 4 13" xfId="35323" xr:uid="{00000000-0005-0000-0000-00009F130000}"/>
    <cellStyle name="20% - Accent3 4 2 4 14" xfId="37006" xr:uid="{00000000-0005-0000-0000-0000A0130000}"/>
    <cellStyle name="20% - Accent3 4 2 4 15" xfId="38689" xr:uid="{00000000-0005-0000-0000-0000A1130000}"/>
    <cellStyle name="20% - Accent3 4 2 4 16" xfId="40372" xr:uid="{00000000-0005-0000-0000-0000A2130000}"/>
    <cellStyle name="20% - Accent3 4 2 4 17" xfId="42055" xr:uid="{00000000-0005-0000-0000-0000A3130000}"/>
    <cellStyle name="20% - Accent3 4 2 4 18" xfId="43738" xr:uid="{00000000-0005-0000-0000-0000A4130000}"/>
    <cellStyle name="20% - Accent3 4 2 4 19" xfId="45421" xr:uid="{00000000-0005-0000-0000-0000A5130000}"/>
    <cellStyle name="20% - Accent3 4 2 4 2" xfId="3342" xr:uid="{00000000-0005-0000-0000-0000A6130000}"/>
    <cellStyle name="20% - Accent3 4 2 4 2 2" xfId="18491" xr:uid="{00000000-0005-0000-0000-0000A7130000}"/>
    <cellStyle name="20% - Accent3 4 2 4 20" xfId="47104" xr:uid="{00000000-0005-0000-0000-0000A8130000}"/>
    <cellStyle name="20% - Accent3 4 2 4 21" xfId="48787" xr:uid="{00000000-0005-0000-0000-0000A9130000}"/>
    <cellStyle name="20% - Accent3 4 2 4 22" xfId="50470" xr:uid="{00000000-0005-0000-0000-0000AA130000}"/>
    <cellStyle name="20% - Accent3 4 2 4 23" xfId="52153" xr:uid="{00000000-0005-0000-0000-0000AB130000}"/>
    <cellStyle name="20% - Accent3 4 2 4 24" xfId="53836" xr:uid="{00000000-0005-0000-0000-0000AC130000}"/>
    <cellStyle name="20% - Accent3 4 2 4 25" xfId="55519" xr:uid="{00000000-0005-0000-0000-0000AD130000}"/>
    <cellStyle name="20% - Accent3 4 2 4 26" xfId="57202" xr:uid="{00000000-0005-0000-0000-0000AE130000}"/>
    <cellStyle name="20% - Accent3 4 2 4 27" xfId="58885" xr:uid="{00000000-0005-0000-0000-0000AF130000}"/>
    <cellStyle name="20% - Accent3 4 2 4 28" xfId="60568" xr:uid="{00000000-0005-0000-0000-0000B0130000}"/>
    <cellStyle name="20% - Accent3 4 2 4 29" xfId="62251" xr:uid="{00000000-0005-0000-0000-0000B1130000}"/>
    <cellStyle name="20% - Accent3 4 2 4 3" xfId="5026" xr:uid="{00000000-0005-0000-0000-0000B2130000}"/>
    <cellStyle name="20% - Accent3 4 2 4 3 2" xfId="20175" xr:uid="{00000000-0005-0000-0000-0000B3130000}"/>
    <cellStyle name="20% - Accent3 4 2 4 30" xfId="63934" xr:uid="{00000000-0005-0000-0000-0000B4130000}"/>
    <cellStyle name="20% - Accent3 4 2 4 4" xfId="6709" xr:uid="{00000000-0005-0000-0000-0000B5130000}"/>
    <cellStyle name="20% - Accent3 4 2 4 4 2" xfId="21858" xr:uid="{00000000-0005-0000-0000-0000B6130000}"/>
    <cellStyle name="20% - Accent3 4 2 4 5" xfId="8392" xr:uid="{00000000-0005-0000-0000-0000B7130000}"/>
    <cellStyle name="20% - Accent3 4 2 4 5 2" xfId="23541" xr:uid="{00000000-0005-0000-0000-0000B8130000}"/>
    <cellStyle name="20% - Accent3 4 2 4 6" xfId="10075" xr:uid="{00000000-0005-0000-0000-0000B9130000}"/>
    <cellStyle name="20% - Accent3 4 2 4 6 2" xfId="25224" xr:uid="{00000000-0005-0000-0000-0000BA130000}"/>
    <cellStyle name="20% - Accent3 4 2 4 7" xfId="11758" xr:uid="{00000000-0005-0000-0000-0000BB130000}"/>
    <cellStyle name="20% - Accent3 4 2 4 7 2" xfId="26907" xr:uid="{00000000-0005-0000-0000-0000BC130000}"/>
    <cellStyle name="20% - Accent3 4 2 4 8" xfId="13442" xr:uid="{00000000-0005-0000-0000-0000BD130000}"/>
    <cellStyle name="20% - Accent3 4 2 4 8 2" xfId="28591" xr:uid="{00000000-0005-0000-0000-0000BE130000}"/>
    <cellStyle name="20% - Accent3 4 2 4 9" xfId="15125" xr:uid="{00000000-0005-0000-0000-0000BF130000}"/>
    <cellStyle name="20% - Accent3 4 2 4 9 2" xfId="30274" xr:uid="{00000000-0005-0000-0000-0000C0130000}"/>
    <cellStyle name="20% - Accent3 4 2 5" xfId="2080" xr:uid="{00000000-0005-0000-0000-0000C1130000}"/>
    <cellStyle name="20% - Accent3 4 2 5 2" xfId="17229" xr:uid="{00000000-0005-0000-0000-0000C2130000}"/>
    <cellStyle name="20% - Accent3 4 2 6" xfId="3764" xr:uid="{00000000-0005-0000-0000-0000C3130000}"/>
    <cellStyle name="20% - Accent3 4 2 6 2" xfId="18913" xr:uid="{00000000-0005-0000-0000-0000C4130000}"/>
    <cellStyle name="20% - Accent3 4 2 7" xfId="5447" xr:uid="{00000000-0005-0000-0000-0000C5130000}"/>
    <cellStyle name="20% - Accent3 4 2 7 2" xfId="20596" xr:uid="{00000000-0005-0000-0000-0000C6130000}"/>
    <cellStyle name="20% - Accent3 4 2 8" xfId="7130" xr:uid="{00000000-0005-0000-0000-0000C7130000}"/>
    <cellStyle name="20% - Accent3 4 2 8 2" xfId="22279" xr:uid="{00000000-0005-0000-0000-0000C8130000}"/>
    <cellStyle name="20% - Accent3 4 2 9" xfId="8813" xr:uid="{00000000-0005-0000-0000-0000C9130000}"/>
    <cellStyle name="20% - Accent3 4 2 9 2" xfId="23962" xr:uid="{00000000-0005-0000-0000-0000CA130000}"/>
    <cellStyle name="20% - Accent3 4 20" xfId="38900" xr:uid="{00000000-0005-0000-0000-0000CB130000}"/>
    <cellStyle name="20% - Accent3 4 21" xfId="40583" xr:uid="{00000000-0005-0000-0000-0000CC130000}"/>
    <cellStyle name="20% - Accent3 4 22" xfId="42266" xr:uid="{00000000-0005-0000-0000-0000CD130000}"/>
    <cellStyle name="20% - Accent3 4 23" xfId="43949" xr:uid="{00000000-0005-0000-0000-0000CE130000}"/>
    <cellStyle name="20% - Accent3 4 24" xfId="45632" xr:uid="{00000000-0005-0000-0000-0000CF130000}"/>
    <cellStyle name="20% - Accent3 4 25" xfId="47315" xr:uid="{00000000-0005-0000-0000-0000D0130000}"/>
    <cellStyle name="20% - Accent3 4 26" xfId="48998" xr:uid="{00000000-0005-0000-0000-0000D1130000}"/>
    <cellStyle name="20% - Accent3 4 27" xfId="50681" xr:uid="{00000000-0005-0000-0000-0000D2130000}"/>
    <cellStyle name="20% - Accent3 4 28" xfId="52364" xr:uid="{00000000-0005-0000-0000-0000D3130000}"/>
    <cellStyle name="20% - Accent3 4 29" xfId="54047" xr:uid="{00000000-0005-0000-0000-0000D4130000}"/>
    <cellStyle name="20% - Accent3 4 3" xfId="607" xr:uid="{00000000-0005-0000-0000-0000D5130000}"/>
    <cellStyle name="20% - Accent3 4 3 10" xfId="15756" xr:uid="{00000000-0005-0000-0000-0000D6130000}"/>
    <cellStyle name="20% - Accent3 4 3 11" xfId="30905" xr:uid="{00000000-0005-0000-0000-0000D7130000}"/>
    <cellStyle name="20% - Accent3 4 3 12" xfId="32588" xr:uid="{00000000-0005-0000-0000-0000D8130000}"/>
    <cellStyle name="20% - Accent3 4 3 13" xfId="34271" xr:uid="{00000000-0005-0000-0000-0000D9130000}"/>
    <cellStyle name="20% - Accent3 4 3 14" xfId="35954" xr:uid="{00000000-0005-0000-0000-0000DA130000}"/>
    <cellStyle name="20% - Accent3 4 3 15" xfId="37637" xr:uid="{00000000-0005-0000-0000-0000DB130000}"/>
    <cellStyle name="20% - Accent3 4 3 16" xfId="39320" xr:uid="{00000000-0005-0000-0000-0000DC130000}"/>
    <cellStyle name="20% - Accent3 4 3 17" xfId="41003" xr:uid="{00000000-0005-0000-0000-0000DD130000}"/>
    <cellStyle name="20% - Accent3 4 3 18" xfId="42686" xr:uid="{00000000-0005-0000-0000-0000DE130000}"/>
    <cellStyle name="20% - Accent3 4 3 19" xfId="44369" xr:uid="{00000000-0005-0000-0000-0000DF130000}"/>
    <cellStyle name="20% - Accent3 4 3 2" xfId="2290" xr:uid="{00000000-0005-0000-0000-0000E0130000}"/>
    <cellStyle name="20% - Accent3 4 3 2 2" xfId="17439" xr:uid="{00000000-0005-0000-0000-0000E1130000}"/>
    <cellStyle name="20% - Accent3 4 3 20" xfId="46052" xr:uid="{00000000-0005-0000-0000-0000E2130000}"/>
    <cellStyle name="20% - Accent3 4 3 21" xfId="47735" xr:uid="{00000000-0005-0000-0000-0000E3130000}"/>
    <cellStyle name="20% - Accent3 4 3 22" xfId="49418" xr:uid="{00000000-0005-0000-0000-0000E4130000}"/>
    <cellStyle name="20% - Accent3 4 3 23" xfId="51101" xr:uid="{00000000-0005-0000-0000-0000E5130000}"/>
    <cellStyle name="20% - Accent3 4 3 24" xfId="52784" xr:uid="{00000000-0005-0000-0000-0000E6130000}"/>
    <cellStyle name="20% - Accent3 4 3 25" xfId="54467" xr:uid="{00000000-0005-0000-0000-0000E7130000}"/>
    <cellStyle name="20% - Accent3 4 3 26" xfId="56150" xr:uid="{00000000-0005-0000-0000-0000E8130000}"/>
    <cellStyle name="20% - Accent3 4 3 27" xfId="57833" xr:uid="{00000000-0005-0000-0000-0000E9130000}"/>
    <cellStyle name="20% - Accent3 4 3 28" xfId="59516" xr:uid="{00000000-0005-0000-0000-0000EA130000}"/>
    <cellStyle name="20% - Accent3 4 3 29" xfId="61199" xr:uid="{00000000-0005-0000-0000-0000EB130000}"/>
    <cellStyle name="20% - Accent3 4 3 3" xfId="3974" xr:uid="{00000000-0005-0000-0000-0000EC130000}"/>
    <cellStyle name="20% - Accent3 4 3 3 2" xfId="19123" xr:uid="{00000000-0005-0000-0000-0000ED130000}"/>
    <cellStyle name="20% - Accent3 4 3 30" xfId="62882" xr:uid="{00000000-0005-0000-0000-0000EE130000}"/>
    <cellStyle name="20% - Accent3 4 3 4" xfId="5657" xr:uid="{00000000-0005-0000-0000-0000EF130000}"/>
    <cellStyle name="20% - Accent3 4 3 4 2" xfId="20806" xr:uid="{00000000-0005-0000-0000-0000F0130000}"/>
    <cellStyle name="20% - Accent3 4 3 5" xfId="7340" xr:uid="{00000000-0005-0000-0000-0000F1130000}"/>
    <cellStyle name="20% - Accent3 4 3 5 2" xfId="22489" xr:uid="{00000000-0005-0000-0000-0000F2130000}"/>
    <cellStyle name="20% - Accent3 4 3 6" xfId="9023" xr:uid="{00000000-0005-0000-0000-0000F3130000}"/>
    <cellStyle name="20% - Accent3 4 3 6 2" xfId="24172" xr:uid="{00000000-0005-0000-0000-0000F4130000}"/>
    <cellStyle name="20% - Accent3 4 3 7" xfId="10706" xr:uid="{00000000-0005-0000-0000-0000F5130000}"/>
    <cellStyle name="20% - Accent3 4 3 7 2" xfId="25855" xr:uid="{00000000-0005-0000-0000-0000F6130000}"/>
    <cellStyle name="20% - Accent3 4 3 8" xfId="12390" xr:uid="{00000000-0005-0000-0000-0000F7130000}"/>
    <cellStyle name="20% - Accent3 4 3 8 2" xfId="27539" xr:uid="{00000000-0005-0000-0000-0000F8130000}"/>
    <cellStyle name="20% - Accent3 4 3 9" xfId="14073" xr:uid="{00000000-0005-0000-0000-0000F9130000}"/>
    <cellStyle name="20% - Accent3 4 3 9 2" xfId="29222" xr:uid="{00000000-0005-0000-0000-0000FA130000}"/>
    <cellStyle name="20% - Accent3 4 30" xfId="55730" xr:uid="{00000000-0005-0000-0000-0000FB130000}"/>
    <cellStyle name="20% - Accent3 4 31" xfId="57413" xr:uid="{00000000-0005-0000-0000-0000FC130000}"/>
    <cellStyle name="20% - Accent3 4 32" xfId="59096" xr:uid="{00000000-0005-0000-0000-0000FD130000}"/>
    <cellStyle name="20% - Accent3 4 33" xfId="60779" xr:uid="{00000000-0005-0000-0000-0000FE130000}"/>
    <cellStyle name="20% - Accent3 4 34" xfId="62462" xr:uid="{00000000-0005-0000-0000-0000FF130000}"/>
    <cellStyle name="20% - Accent3 4 4" xfId="1028" xr:uid="{00000000-0005-0000-0000-000000140000}"/>
    <cellStyle name="20% - Accent3 4 4 10" xfId="16177" xr:uid="{00000000-0005-0000-0000-000001140000}"/>
    <cellStyle name="20% - Accent3 4 4 11" xfId="31326" xr:uid="{00000000-0005-0000-0000-000002140000}"/>
    <cellStyle name="20% - Accent3 4 4 12" xfId="33009" xr:uid="{00000000-0005-0000-0000-000003140000}"/>
    <cellStyle name="20% - Accent3 4 4 13" xfId="34692" xr:uid="{00000000-0005-0000-0000-000004140000}"/>
    <cellStyle name="20% - Accent3 4 4 14" xfId="36375" xr:uid="{00000000-0005-0000-0000-000005140000}"/>
    <cellStyle name="20% - Accent3 4 4 15" xfId="38058" xr:uid="{00000000-0005-0000-0000-000006140000}"/>
    <cellStyle name="20% - Accent3 4 4 16" xfId="39741" xr:uid="{00000000-0005-0000-0000-000007140000}"/>
    <cellStyle name="20% - Accent3 4 4 17" xfId="41424" xr:uid="{00000000-0005-0000-0000-000008140000}"/>
    <cellStyle name="20% - Accent3 4 4 18" xfId="43107" xr:uid="{00000000-0005-0000-0000-000009140000}"/>
    <cellStyle name="20% - Accent3 4 4 19" xfId="44790" xr:uid="{00000000-0005-0000-0000-00000A140000}"/>
    <cellStyle name="20% - Accent3 4 4 2" xfId="2711" xr:uid="{00000000-0005-0000-0000-00000B140000}"/>
    <cellStyle name="20% - Accent3 4 4 2 2" xfId="17860" xr:uid="{00000000-0005-0000-0000-00000C140000}"/>
    <cellStyle name="20% - Accent3 4 4 20" xfId="46473" xr:uid="{00000000-0005-0000-0000-00000D140000}"/>
    <cellStyle name="20% - Accent3 4 4 21" xfId="48156" xr:uid="{00000000-0005-0000-0000-00000E140000}"/>
    <cellStyle name="20% - Accent3 4 4 22" xfId="49839" xr:uid="{00000000-0005-0000-0000-00000F140000}"/>
    <cellStyle name="20% - Accent3 4 4 23" xfId="51522" xr:uid="{00000000-0005-0000-0000-000010140000}"/>
    <cellStyle name="20% - Accent3 4 4 24" xfId="53205" xr:uid="{00000000-0005-0000-0000-000011140000}"/>
    <cellStyle name="20% - Accent3 4 4 25" xfId="54888" xr:uid="{00000000-0005-0000-0000-000012140000}"/>
    <cellStyle name="20% - Accent3 4 4 26" xfId="56571" xr:uid="{00000000-0005-0000-0000-000013140000}"/>
    <cellStyle name="20% - Accent3 4 4 27" xfId="58254" xr:uid="{00000000-0005-0000-0000-000014140000}"/>
    <cellStyle name="20% - Accent3 4 4 28" xfId="59937" xr:uid="{00000000-0005-0000-0000-000015140000}"/>
    <cellStyle name="20% - Accent3 4 4 29" xfId="61620" xr:uid="{00000000-0005-0000-0000-000016140000}"/>
    <cellStyle name="20% - Accent3 4 4 3" xfId="4395" xr:uid="{00000000-0005-0000-0000-000017140000}"/>
    <cellStyle name="20% - Accent3 4 4 3 2" xfId="19544" xr:uid="{00000000-0005-0000-0000-000018140000}"/>
    <cellStyle name="20% - Accent3 4 4 30" xfId="63303" xr:uid="{00000000-0005-0000-0000-000019140000}"/>
    <cellStyle name="20% - Accent3 4 4 4" xfId="6078" xr:uid="{00000000-0005-0000-0000-00001A140000}"/>
    <cellStyle name="20% - Accent3 4 4 4 2" xfId="21227" xr:uid="{00000000-0005-0000-0000-00001B140000}"/>
    <cellStyle name="20% - Accent3 4 4 5" xfId="7761" xr:uid="{00000000-0005-0000-0000-00001C140000}"/>
    <cellStyle name="20% - Accent3 4 4 5 2" xfId="22910" xr:uid="{00000000-0005-0000-0000-00001D140000}"/>
    <cellStyle name="20% - Accent3 4 4 6" xfId="9444" xr:uid="{00000000-0005-0000-0000-00001E140000}"/>
    <cellStyle name="20% - Accent3 4 4 6 2" xfId="24593" xr:uid="{00000000-0005-0000-0000-00001F140000}"/>
    <cellStyle name="20% - Accent3 4 4 7" xfId="11127" xr:uid="{00000000-0005-0000-0000-000020140000}"/>
    <cellStyle name="20% - Accent3 4 4 7 2" xfId="26276" xr:uid="{00000000-0005-0000-0000-000021140000}"/>
    <cellStyle name="20% - Accent3 4 4 8" xfId="12811" xr:uid="{00000000-0005-0000-0000-000022140000}"/>
    <cellStyle name="20% - Accent3 4 4 8 2" xfId="27960" xr:uid="{00000000-0005-0000-0000-000023140000}"/>
    <cellStyle name="20% - Accent3 4 4 9" xfId="14494" xr:uid="{00000000-0005-0000-0000-000024140000}"/>
    <cellStyle name="20% - Accent3 4 4 9 2" xfId="29643" xr:uid="{00000000-0005-0000-0000-000025140000}"/>
    <cellStyle name="20% - Accent3 4 5" xfId="1449" xr:uid="{00000000-0005-0000-0000-000026140000}"/>
    <cellStyle name="20% - Accent3 4 5 10" xfId="16598" xr:uid="{00000000-0005-0000-0000-000027140000}"/>
    <cellStyle name="20% - Accent3 4 5 11" xfId="31747" xr:uid="{00000000-0005-0000-0000-000028140000}"/>
    <cellStyle name="20% - Accent3 4 5 12" xfId="33430" xr:uid="{00000000-0005-0000-0000-000029140000}"/>
    <cellStyle name="20% - Accent3 4 5 13" xfId="35113" xr:uid="{00000000-0005-0000-0000-00002A140000}"/>
    <cellStyle name="20% - Accent3 4 5 14" xfId="36796" xr:uid="{00000000-0005-0000-0000-00002B140000}"/>
    <cellStyle name="20% - Accent3 4 5 15" xfId="38479" xr:uid="{00000000-0005-0000-0000-00002C140000}"/>
    <cellStyle name="20% - Accent3 4 5 16" xfId="40162" xr:uid="{00000000-0005-0000-0000-00002D140000}"/>
    <cellStyle name="20% - Accent3 4 5 17" xfId="41845" xr:uid="{00000000-0005-0000-0000-00002E140000}"/>
    <cellStyle name="20% - Accent3 4 5 18" xfId="43528" xr:uid="{00000000-0005-0000-0000-00002F140000}"/>
    <cellStyle name="20% - Accent3 4 5 19" xfId="45211" xr:uid="{00000000-0005-0000-0000-000030140000}"/>
    <cellStyle name="20% - Accent3 4 5 2" xfId="3132" xr:uid="{00000000-0005-0000-0000-000031140000}"/>
    <cellStyle name="20% - Accent3 4 5 2 2" xfId="18281" xr:uid="{00000000-0005-0000-0000-000032140000}"/>
    <cellStyle name="20% - Accent3 4 5 20" xfId="46894" xr:uid="{00000000-0005-0000-0000-000033140000}"/>
    <cellStyle name="20% - Accent3 4 5 21" xfId="48577" xr:uid="{00000000-0005-0000-0000-000034140000}"/>
    <cellStyle name="20% - Accent3 4 5 22" xfId="50260" xr:uid="{00000000-0005-0000-0000-000035140000}"/>
    <cellStyle name="20% - Accent3 4 5 23" xfId="51943" xr:uid="{00000000-0005-0000-0000-000036140000}"/>
    <cellStyle name="20% - Accent3 4 5 24" xfId="53626" xr:uid="{00000000-0005-0000-0000-000037140000}"/>
    <cellStyle name="20% - Accent3 4 5 25" xfId="55309" xr:uid="{00000000-0005-0000-0000-000038140000}"/>
    <cellStyle name="20% - Accent3 4 5 26" xfId="56992" xr:uid="{00000000-0005-0000-0000-000039140000}"/>
    <cellStyle name="20% - Accent3 4 5 27" xfId="58675" xr:uid="{00000000-0005-0000-0000-00003A140000}"/>
    <cellStyle name="20% - Accent3 4 5 28" xfId="60358" xr:uid="{00000000-0005-0000-0000-00003B140000}"/>
    <cellStyle name="20% - Accent3 4 5 29" xfId="62041" xr:uid="{00000000-0005-0000-0000-00003C140000}"/>
    <cellStyle name="20% - Accent3 4 5 3" xfId="4816" xr:uid="{00000000-0005-0000-0000-00003D140000}"/>
    <cellStyle name="20% - Accent3 4 5 3 2" xfId="19965" xr:uid="{00000000-0005-0000-0000-00003E140000}"/>
    <cellStyle name="20% - Accent3 4 5 30" xfId="63724" xr:uid="{00000000-0005-0000-0000-00003F140000}"/>
    <cellStyle name="20% - Accent3 4 5 4" xfId="6499" xr:uid="{00000000-0005-0000-0000-000040140000}"/>
    <cellStyle name="20% - Accent3 4 5 4 2" xfId="21648" xr:uid="{00000000-0005-0000-0000-000041140000}"/>
    <cellStyle name="20% - Accent3 4 5 5" xfId="8182" xr:uid="{00000000-0005-0000-0000-000042140000}"/>
    <cellStyle name="20% - Accent3 4 5 5 2" xfId="23331" xr:uid="{00000000-0005-0000-0000-000043140000}"/>
    <cellStyle name="20% - Accent3 4 5 6" xfId="9865" xr:uid="{00000000-0005-0000-0000-000044140000}"/>
    <cellStyle name="20% - Accent3 4 5 6 2" xfId="25014" xr:uid="{00000000-0005-0000-0000-000045140000}"/>
    <cellStyle name="20% - Accent3 4 5 7" xfId="11548" xr:uid="{00000000-0005-0000-0000-000046140000}"/>
    <cellStyle name="20% - Accent3 4 5 7 2" xfId="26697" xr:uid="{00000000-0005-0000-0000-000047140000}"/>
    <cellStyle name="20% - Accent3 4 5 8" xfId="13232" xr:uid="{00000000-0005-0000-0000-000048140000}"/>
    <cellStyle name="20% - Accent3 4 5 8 2" xfId="28381" xr:uid="{00000000-0005-0000-0000-000049140000}"/>
    <cellStyle name="20% - Accent3 4 5 9" xfId="14915" xr:uid="{00000000-0005-0000-0000-00004A140000}"/>
    <cellStyle name="20% - Accent3 4 5 9 2" xfId="30064" xr:uid="{00000000-0005-0000-0000-00004B140000}"/>
    <cellStyle name="20% - Accent3 4 6" xfId="1870" xr:uid="{00000000-0005-0000-0000-00004C140000}"/>
    <cellStyle name="20% - Accent3 4 6 2" xfId="17019" xr:uid="{00000000-0005-0000-0000-00004D140000}"/>
    <cellStyle name="20% - Accent3 4 7" xfId="3554" xr:uid="{00000000-0005-0000-0000-00004E140000}"/>
    <cellStyle name="20% - Accent3 4 7 2" xfId="18703" xr:uid="{00000000-0005-0000-0000-00004F140000}"/>
    <cellStyle name="20% - Accent3 4 8" xfId="5237" xr:uid="{00000000-0005-0000-0000-000050140000}"/>
    <cellStyle name="20% - Accent3 4 8 2" xfId="20386" xr:uid="{00000000-0005-0000-0000-000051140000}"/>
    <cellStyle name="20% - Accent3 4 9" xfId="6920" xr:uid="{00000000-0005-0000-0000-000052140000}"/>
    <cellStyle name="20% - Accent3 4 9 2" xfId="22069" xr:uid="{00000000-0005-0000-0000-000053140000}"/>
    <cellStyle name="20% - Accent3 5" xfId="292" xr:uid="{00000000-0005-0000-0000-000054140000}"/>
    <cellStyle name="20% - Accent3 5 10" xfId="10391" xr:uid="{00000000-0005-0000-0000-000055140000}"/>
    <cellStyle name="20% - Accent3 5 10 2" xfId="25540" xr:uid="{00000000-0005-0000-0000-000056140000}"/>
    <cellStyle name="20% - Accent3 5 11" xfId="12075" xr:uid="{00000000-0005-0000-0000-000057140000}"/>
    <cellStyle name="20% - Accent3 5 11 2" xfId="27224" xr:uid="{00000000-0005-0000-0000-000058140000}"/>
    <cellStyle name="20% - Accent3 5 12" xfId="13758" xr:uid="{00000000-0005-0000-0000-000059140000}"/>
    <cellStyle name="20% - Accent3 5 12 2" xfId="28907" xr:uid="{00000000-0005-0000-0000-00005A140000}"/>
    <cellStyle name="20% - Accent3 5 13" xfId="15441" xr:uid="{00000000-0005-0000-0000-00005B140000}"/>
    <cellStyle name="20% - Accent3 5 14" xfId="30590" xr:uid="{00000000-0005-0000-0000-00005C140000}"/>
    <cellStyle name="20% - Accent3 5 15" xfId="32273" xr:uid="{00000000-0005-0000-0000-00005D140000}"/>
    <cellStyle name="20% - Accent3 5 16" xfId="33956" xr:uid="{00000000-0005-0000-0000-00005E140000}"/>
    <cellStyle name="20% - Accent3 5 17" xfId="35639" xr:uid="{00000000-0005-0000-0000-00005F140000}"/>
    <cellStyle name="20% - Accent3 5 18" xfId="37322" xr:uid="{00000000-0005-0000-0000-000060140000}"/>
    <cellStyle name="20% - Accent3 5 19" xfId="39005" xr:uid="{00000000-0005-0000-0000-000061140000}"/>
    <cellStyle name="20% - Accent3 5 2" xfId="712" xr:uid="{00000000-0005-0000-0000-000062140000}"/>
    <cellStyle name="20% - Accent3 5 2 10" xfId="15861" xr:uid="{00000000-0005-0000-0000-000063140000}"/>
    <cellStyle name="20% - Accent3 5 2 11" xfId="31010" xr:uid="{00000000-0005-0000-0000-000064140000}"/>
    <cellStyle name="20% - Accent3 5 2 12" xfId="32693" xr:uid="{00000000-0005-0000-0000-000065140000}"/>
    <cellStyle name="20% - Accent3 5 2 13" xfId="34376" xr:uid="{00000000-0005-0000-0000-000066140000}"/>
    <cellStyle name="20% - Accent3 5 2 14" xfId="36059" xr:uid="{00000000-0005-0000-0000-000067140000}"/>
    <cellStyle name="20% - Accent3 5 2 15" xfId="37742" xr:uid="{00000000-0005-0000-0000-000068140000}"/>
    <cellStyle name="20% - Accent3 5 2 16" xfId="39425" xr:uid="{00000000-0005-0000-0000-000069140000}"/>
    <cellStyle name="20% - Accent3 5 2 17" xfId="41108" xr:uid="{00000000-0005-0000-0000-00006A140000}"/>
    <cellStyle name="20% - Accent3 5 2 18" xfId="42791" xr:uid="{00000000-0005-0000-0000-00006B140000}"/>
    <cellStyle name="20% - Accent3 5 2 19" xfId="44474" xr:uid="{00000000-0005-0000-0000-00006C140000}"/>
    <cellStyle name="20% - Accent3 5 2 2" xfId="2395" xr:uid="{00000000-0005-0000-0000-00006D140000}"/>
    <cellStyle name="20% - Accent3 5 2 2 2" xfId="17544" xr:uid="{00000000-0005-0000-0000-00006E140000}"/>
    <cellStyle name="20% - Accent3 5 2 20" xfId="46157" xr:uid="{00000000-0005-0000-0000-00006F140000}"/>
    <cellStyle name="20% - Accent3 5 2 21" xfId="47840" xr:uid="{00000000-0005-0000-0000-000070140000}"/>
    <cellStyle name="20% - Accent3 5 2 22" xfId="49523" xr:uid="{00000000-0005-0000-0000-000071140000}"/>
    <cellStyle name="20% - Accent3 5 2 23" xfId="51206" xr:uid="{00000000-0005-0000-0000-000072140000}"/>
    <cellStyle name="20% - Accent3 5 2 24" xfId="52889" xr:uid="{00000000-0005-0000-0000-000073140000}"/>
    <cellStyle name="20% - Accent3 5 2 25" xfId="54572" xr:uid="{00000000-0005-0000-0000-000074140000}"/>
    <cellStyle name="20% - Accent3 5 2 26" xfId="56255" xr:uid="{00000000-0005-0000-0000-000075140000}"/>
    <cellStyle name="20% - Accent3 5 2 27" xfId="57938" xr:uid="{00000000-0005-0000-0000-000076140000}"/>
    <cellStyle name="20% - Accent3 5 2 28" xfId="59621" xr:uid="{00000000-0005-0000-0000-000077140000}"/>
    <cellStyle name="20% - Accent3 5 2 29" xfId="61304" xr:uid="{00000000-0005-0000-0000-000078140000}"/>
    <cellStyle name="20% - Accent3 5 2 3" xfId="4079" xr:uid="{00000000-0005-0000-0000-000079140000}"/>
    <cellStyle name="20% - Accent3 5 2 3 2" xfId="19228" xr:uid="{00000000-0005-0000-0000-00007A140000}"/>
    <cellStyle name="20% - Accent3 5 2 30" xfId="62987" xr:uid="{00000000-0005-0000-0000-00007B140000}"/>
    <cellStyle name="20% - Accent3 5 2 4" xfId="5762" xr:uid="{00000000-0005-0000-0000-00007C140000}"/>
    <cellStyle name="20% - Accent3 5 2 4 2" xfId="20911" xr:uid="{00000000-0005-0000-0000-00007D140000}"/>
    <cellStyle name="20% - Accent3 5 2 5" xfId="7445" xr:uid="{00000000-0005-0000-0000-00007E140000}"/>
    <cellStyle name="20% - Accent3 5 2 5 2" xfId="22594" xr:uid="{00000000-0005-0000-0000-00007F140000}"/>
    <cellStyle name="20% - Accent3 5 2 6" xfId="9128" xr:uid="{00000000-0005-0000-0000-000080140000}"/>
    <cellStyle name="20% - Accent3 5 2 6 2" xfId="24277" xr:uid="{00000000-0005-0000-0000-000081140000}"/>
    <cellStyle name="20% - Accent3 5 2 7" xfId="10811" xr:uid="{00000000-0005-0000-0000-000082140000}"/>
    <cellStyle name="20% - Accent3 5 2 7 2" xfId="25960" xr:uid="{00000000-0005-0000-0000-000083140000}"/>
    <cellStyle name="20% - Accent3 5 2 8" xfId="12495" xr:uid="{00000000-0005-0000-0000-000084140000}"/>
    <cellStyle name="20% - Accent3 5 2 8 2" xfId="27644" xr:uid="{00000000-0005-0000-0000-000085140000}"/>
    <cellStyle name="20% - Accent3 5 2 9" xfId="14178" xr:uid="{00000000-0005-0000-0000-000086140000}"/>
    <cellStyle name="20% - Accent3 5 2 9 2" xfId="29327" xr:uid="{00000000-0005-0000-0000-000087140000}"/>
    <cellStyle name="20% - Accent3 5 20" xfId="40688" xr:uid="{00000000-0005-0000-0000-000088140000}"/>
    <cellStyle name="20% - Accent3 5 21" xfId="42371" xr:uid="{00000000-0005-0000-0000-000089140000}"/>
    <cellStyle name="20% - Accent3 5 22" xfId="44054" xr:uid="{00000000-0005-0000-0000-00008A140000}"/>
    <cellStyle name="20% - Accent3 5 23" xfId="45737" xr:uid="{00000000-0005-0000-0000-00008B140000}"/>
    <cellStyle name="20% - Accent3 5 24" xfId="47420" xr:uid="{00000000-0005-0000-0000-00008C140000}"/>
    <cellStyle name="20% - Accent3 5 25" xfId="49103" xr:uid="{00000000-0005-0000-0000-00008D140000}"/>
    <cellStyle name="20% - Accent3 5 26" xfId="50786" xr:uid="{00000000-0005-0000-0000-00008E140000}"/>
    <cellStyle name="20% - Accent3 5 27" xfId="52469" xr:uid="{00000000-0005-0000-0000-00008F140000}"/>
    <cellStyle name="20% - Accent3 5 28" xfId="54152" xr:uid="{00000000-0005-0000-0000-000090140000}"/>
    <cellStyle name="20% - Accent3 5 29" xfId="55835" xr:uid="{00000000-0005-0000-0000-000091140000}"/>
    <cellStyle name="20% - Accent3 5 3" xfId="1133" xr:uid="{00000000-0005-0000-0000-000092140000}"/>
    <cellStyle name="20% - Accent3 5 3 10" xfId="16282" xr:uid="{00000000-0005-0000-0000-000093140000}"/>
    <cellStyle name="20% - Accent3 5 3 11" xfId="31431" xr:uid="{00000000-0005-0000-0000-000094140000}"/>
    <cellStyle name="20% - Accent3 5 3 12" xfId="33114" xr:uid="{00000000-0005-0000-0000-000095140000}"/>
    <cellStyle name="20% - Accent3 5 3 13" xfId="34797" xr:uid="{00000000-0005-0000-0000-000096140000}"/>
    <cellStyle name="20% - Accent3 5 3 14" xfId="36480" xr:uid="{00000000-0005-0000-0000-000097140000}"/>
    <cellStyle name="20% - Accent3 5 3 15" xfId="38163" xr:uid="{00000000-0005-0000-0000-000098140000}"/>
    <cellStyle name="20% - Accent3 5 3 16" xfId="39846" xr:uid="{00000000-0005-0000-0000-000099140000}"/>
    <cellStyle name="20% - Accent3 5 3 17" xfId="41529" xr:uid="{00000000-0005-0000-0000-00009A140000}"/>
    <cellStyle name="20% - Accent3 5 3 18" xfId="43212" xr:uid="{00000000-0005-0000-0000-00009B140000}"/>
    <cellStyle name="20% - Accent3 5 3 19" xfId="44895" xr:uid="{00000000-0005-0000-0000-00009C140000}"/>
    <cellStyle name="20% - Accent3 5 3 2" xfId="2816" xr:uid="{00000000-0005-0000-0000-00009D140000}"/>
    <cellStyle name="20% - Accent3 5 3 2 2" xfId="17965" xr:uid="{00000000-0005-0000-0000-00009E140000}"/>
    <cellStyle name="20% - Accent3 5 3 20" xfId="46578" xr:uid="{00000000-0005-0000-0000-00009F140000}"/>
    <cellStyle name="20% - Accent3 5 3 21" xfId="48261" xr:uid="{00000000-0005-0000-0000-0000A0140000}"/>
    <cellStyle name="20% - Accent3 5 3 22" xfId="49944" xr:uid="{00000000-0005-0000-0000-0000A1140000}"/>
    <cellStyle name="20% - Accent3 5 3 23" xfId="51627" xr:uid="{00000000-0005-0000-0000-0000A2140000}"/>
    <cellStyle name="20% - Accent3 5 3 24" xfId="53310" xr:uid="{00000000-0005-0000-0000-0000A3140000}"/>
    <cellStyle name="20% - Accent3 5 3 25" xfId="54993" xr:uid="{00000000-0005-0000-0000-0000A4140000}"/>
    <cellStyle name="20% - Accent3 5 3 26" xfId="56676" xr:uid="{00000000-0005-0000-0000-0000A5140000}"/>
    <cellStyle name="20% - Accent3 5 3 27" xfId="58359" xr:uid="{00000000-0005-0000-0000-0000A6140000}"/>
    <cellStyle name="20% - Accent3 5 3 28" xfId="60042" xr:uid="{00000000-0005-0000-0000-0000A7140000}"/>
    <cellStyle name="20% - Accent3 5 3 29" xfId="61725" xr:uid="{00000000-0005-0000-0000-0000A8140000}"/>
    <cellStyle name="20% - Accent3 5 3 3" xfId="4500" xr:uid="{00000000-0005-0000-0000-0000A9140000}"/>
    <cellStyle name="20% - Accent3 5 3 3 2" xfId="19649" xr:uid="{00000000-0005-0000-0000-0000AA140000}"/>
    <cellStyle name="20% - Accent3 5 3 30" xfId="63408" xr:uid="{00000000-0005-0000-0000-0000AB140000}"/>
    <cellStyle name="20% - Accent3 5 3 4" xfId="6183" xr:uid="{00000000-0005-0000-0000-0000AC140000}"/>
    <cellStyle name="20% - Accent3 5 3 4 2" xfId="21332" xr:uid="{00000000-0005-0000-0000-0000AD140000}"/>
    <cellStyle name="20% - Accent3 5 3 5" xfId="7866" xr:uid="{00000000-0005-0000-0000-0000AE140000}"/>
    <cellStyle name="20% - Accent3 5 3 5 2" xfId="23015" xr:uid="{00000000-0005-0000-0000-0000AF140000}"/>
    <cellStyle name="20% - Accent3 5 3 6" xfId="9549" xr:uid="{00000000-0005-0000-0000-0000B0140000}"/>
    <cellStyle name="20% - Accent3 5 3 6 2" xfId="24698" xr:uid="{00000000-0005-0000-0000-0000B1140000}"/>
    <cellStyle name="20% - Accent3 5 3 7" xfId="11232" xr:uid="{00000000-0005-0000-0000-0000B2140000}"/>
    <cellStyle name="20% - Accent3 5 3 7 2" xfId="26381" xr:uid="{00000000-0005-0000-0000-0000B3140000}"/>
    <cellStyle name="20% - Accent3 5 3 8" xfId="12916" xr:uid="{00000000-0005-0000-0000-0000B4140000}"/>
    <cellStyle name="20% - Accent3 5 3 8 2" xfId="28065" xr:uid="{00000000-0005-0000-0000-0000B5140000}"/>
    <cellStyle name="20% - Accent3 5 3 9" xfId="14599" xr:uid="{00000000-0005-0000-0000-0000B6140000}"/>
    <cellStyle name="20% - Accent3 5 3 9 2" xfId="29748" xr:uid="{00000000-0005-0000-0000-0000B7140000}"/>
    <cellStyle name="20% - Accent3 5 30" xfId="57518" xr:uid="{00000000-0005-0000-0000-0000B8140000}"/>
    <cellStyle name="20% - Accent3 5 31" xfId="59201" xr:uid="{00000000-0005-0000-0000-0000B9140000}"/>
    <cellStyle name="20% - Accent3 5 32" xfId="60884" xr:uid="{00000000-0005-0000-0000-0000BA140000}"/>
    <cellStyle name="20% - Accent3 5 33" xfId="62567" xr:uid="{00000000-0005-0000-0000-0000BB140000}"/>
    <cellStyle name="20% - Accent3 5 4" xfId="1554" xr:uid="{00000000-0005-0000-0000-0000BC140000}"/>
    <cellStyle name="20% - Accent3 5 4 10" xfId="16703" xr:uid="{00000000-0005-0000-0000-0000BD140000}"/>
    <cellStyle name="20% - Accent3 5 4 11" xfId="31852" xr:uid="{00000000-0005-0000-0000-0000BE140000}"/>
    <cellStyle name="20% - Accent3 5 4 12" xfId="33535" xr:uid="{00000000-0005-0000-0000-0000BF140000}"/>
    <cellStyle name="20% - Accent3 5 4 13" xfId="35218" xr:uid="{00000000-0005-0000-0000-0000C0140000}"/>
    <cellStyle name="20% - Accent3 5 4 14" xfId="36901" xr:uid="{00000000-0005-0000-0000-0000C1140000}"/>
    <cellStyle name="20% - Accent3 5 4 15" xfId="38584" xr:uid="{00000000-0005-0000-0000-0000C2140000}"/>
    <cellStyle name="20% - Accent3 5 4 16" xfId="40267" xr:uid="{00000000-0005-0000-0000-0000C3140000}"/>
    <cellStyle name="20% - Accent3 5 4 17" xfId="41950" xr:uid="{00000000-0005-0000-0000-0000C4140000}"/>
    <cellStyle name="20% - Accent3 5 4 18" xfId="43633" xr:uid="{00000000-0005-0000-0000-0000C5140000}"/>
    <cellStyle name="20% - Accent3 5 4 19" xfId="45316" xr:uid="{00000000-0005-0000-0000-0000C6140000}"/>
    <cellStyle name="20% - Accent3 5 4 2" xfId="3237" xr:uid="{00000000-0005-0000-0000-0000C7140000}"/>
    <cellStyle name="20% - Accent3 5 4 2 2" xfId="18386" xr:uid="{00000000-0005-0000-0000-0000C8140000}"/>
    <cellStyle name="20% - Accent3 5 4 20" xfId="46999" xr:uid="{00000000-0005-0000-0000-0000C9140000}"/>
    <cellStyle name="20% - Accent3 5 4 21" xfId="48682" xr:uid="{00000000-0005-0000-0000-0000CA140000}"/>
    <cellStyle name="20% - Accent3 5 4 22" xfId="50365" xr:uid="{00000000-0005-0000-0000-0000CB140000}"/>
    <cellStyle name="20% - Accent3 5 4 23" xfId="52048" xr:uid="{00000000-0005-0000-0000-0000CC140000}"/>
    <cellStyle name="20% - Accent3 5 4 24" xfId="53731" xr:uid="{00000000-0005-0000-0000-0000CD140000}"/>
    <cellStyle name="20% - Accent3 5 4 25" xfId="55414" xr:uid="{00000000-0005-0000-0000-0000CE140000}"/>
    <cellStyle name="20% - Accent3 5 4 26" xfId="57097" xr:uid="{00000000-0005-0000-0000-0000CF140000}"/>
    <cellStyle name="20% - Accent3 5 4 27" xfId="58780" xr:uid="{00000000-0005-0000-0000-0000D0140000}"/>
    <cellStyle name="20% - Accent3 5 4 28" xfId="60463" xr:uid="{00000000-0005-0000-0000-0000D1140000}"/>
    <cellStyle name="20% - Accent3 5 4 29" xfId="62146" xr:uid="{00000000-0005-0000-0000-0000D2140000}"/>
    <cellStyle name="20% - Accent3 5 4 3" xfId="4921" xr:uid="{00000000-0005-0000-0000-0000D3140000}"/>
    <cellStyle name="20% - Accent3 5 4 3 2" xfId="20070" xr:uid="{00000000-0005-0000-0000-0000D4140000}"/>
    <cellStyle name="20% - Accent3 5 4 30" xfId="63829" xr:uid="{00000000-0005-0000-0000-0000D5140000}"/>
    <cellStyle name="20% - Accent3 5 4 4" xfId="6604" xr:uid="{00000000-0005-0000-0000-0000D6140000}"/>
    <cellStyle name="20% - Accent3 5 4 4 2" xfId="21753" xr:uid="{00000000-0005-0000-0000-0000D7140000}"/>
    <cellStyle name="20% - Accent3 5 4 5" xfId="8287" xr:uid="{00000000-0005-0000-0000-0000D8140000}"/>
    <cellStyle name="20% - Accent3 5 4 5 2" xfId="23436" xr:uid="{00000000-0005-0000-0000-0000D9140000}"/>
    <cellStyle name="20% - Accent3 5 4 6" xfId="9970" xr:uid="{00000000-0005-0000-0000-0000DA140000}"/>
    <cellStyle name="20% - Accent3 5 4 6 2" xfId="25119" xr:uid="{00000000-0005-0000-0000-0000DB140000}"/>
    <cellStyle name="20% - Accent3 5 4 7" xfId="11653" xr:uid="{00000000-0005-0000-0000-0000DC140000}"/>
    <cellStyle name="20% - Accent3 5 4 7 2" xfId="26802" xr:uid="{00000000-0005-0000-0000-0000DD140000}"/>
    <cellStyle name="20% - Accent3 5 4 8" xfId="13337" xr:uid="{00000000-0005-0000-0000-0000DE140000}"/>
    <cellStyle name="20% - Accent3 5 4 8 2" xfId="28486" xr:uid="{00000000-0005-0000-0000-0000DF140000}"/>
    <cellStyle name="20% - Accent3 5 4 9" xfId="15020" xr:uid="{00000000-0005-0000-0000-0000E0140000}"/>
    <cellStyle name="20% - Accent3 5 4 9 2" xfId="30169" xr:uid="{00000000-0005-0000-0000-0000E1140000}"/>
    <cellStyle name="20% - Accent3 5 5" xfId="1975" xr:uid="{00000000-0005-0000-0000-0000E2140000}"/>
    <cellStyle name="20% - Accent3 5 5 2" xfId="17124" xr:uid="{00000000-0005-0000-0000-0000E3140000}"/>
    <cellStyle name="20% - Accent3 5 6" xfId="3659" xr:uid="{00000000-0005-0000-0000-0000E4140000}"/>
    <cellStyle name="20% - Accent3 5 6 2" xfId="18808" xr:uid="{00000000-0005-0000-0000-0000E5140000}"/>
    <cellStyle name="20% - Accent3 5 7" xfId="5342" xr:uid="{00000000-0005-0000-0000-0000E6140000}"/>
    <cellStyle name="20% - Accent3 5 7 2" xfId="20491" xr:uid="{00000000-0005-0000-0000-0000E7140000}"/>
    <cellStyle name="20% - Accent3 5 8" xfId="7025" xr:uid="{00000000-0005-0000-0000-0000E8140000}"/>
    <cellStyle name="20% - Accent3 5 8 2" xfId="22174" xr:uid="{00000000-0005-0000-0000-0000E9140000}"/>
    <cellStyle name="20% - Accent3 5 9" xfId="8708" xr:uid="{00000000-0005-0000-0000-0000EA140000}"/>
    <cellStyle name="20% - Accent3 5 9 2" xfId="23857" xr:uid="{00000000-0005-0000-0000-0000EB140000}"/>
    <cellStyle name="20% - Accent3 6" xfId="502" xr:uid="{00000000-0005-0000-0000-0000EC140000}"/>
    <cellStyle name="20% - Accent3 6 10" xfId="15651" xr:uid="{00000000-0005-0000-0000-0000ED140000}"/>
    <cellStyle name="20% - Accent3 6 11" xfId="30800" xr:uid="{00000000-0005-0000-0000-0000EE140000}"/>
    <cellStyle name="20% - Accent3 6 12" xfId="32483" xr:uid="{00000000-0005-0000-0000-0000EF140000}"/>
    <cellStyle name="20% - Accent3 6 13" xfId="34166" xr:uid="{00000000-0005-0000-0000-0000F0140000}"/>
    <cellStyle name="20% - Accent3 6 14" xfId="35849" xr:uid="{00000000-0005-0000-0000-0000F1140000}"/>
    <cellStyle name="20% - Accent3 6 15" xfId="37532" xr:uid="{00000000-0005-0000-0000-0000F2140000}"/>
    <cellStyle name="20% - Accent3 6 16" xfId="39215" xr:uid="{00000000-0005-0000-0000-0000F3140000}"/>
    <cellStyle name="20% - Accent3 6 17" xfId="40898" xr:uid="{00000000-0005-0000-0000-0000F4140000}"/>
    <cellStyle name="20% - Accent3 6 18" xfId="42581" xr:uid="{00000000-0005-0000-0000-0000F5140000}"/>
    <cellStyle name="20% - Accent3 6 19" xfId="44264" xr:uid="{00000000-0005-0000-0000-0000F6140000}"/>
    <cellStyle name="20% - Accent3 6 2" xfId="2185" xr:uid="{00000000-0005-0000-0000-0000F7140000}"/>
    <cellStyle name="20% - Accent3 6 2 2" xfId="17334" xr:uid="{00000000-0005-0000-0000-0000F8140000}"/>
    <cellStyle name="20% - Accent3 6 20" xfId="45947" xr:uid="{00000000-0005-0000-0000-0000F9140000}"/>
    <cellStyle name="20% - Accent3 6 21" xfId="47630" xr:uid="{00000000-0005-0000-0000-0000FA140000}"/>
    <cellStyle name="20% - Accent3 6 22" xfId="49313" xr:uid="{00000000-0005-0000-0000-0000FB140000}"/>
    <cellStyle name="20% - Accent3 6 23" xfId="50996" xr:uid="{00000000-0005-0000-0000-0000FC140000}"/>
    <cellStyle name="20% - Accent3 6 24" xfId="52679" xr:uid="{00000000-0005-0000-0000-0000FD140000}"/>
    <cellStyle name="20% - Accent3 6 25" xfId="54362" xr:uid="{00000000-0005-0000-0000-0000FE140000}"/>
    <cellStyle name="20% - Accent3 6 26" xfId="56045" xr:uid="{00000000-0005-0000-0000-0000FF140000}"/>
    <cellStyle name="20% - Accent3 6 27" xfId="57728" xr:uid="{00000000-0005-0000-0000-000000150000}"/>
    <cellStyle name="20% - Accent3 6 28" xfId="59411" xr:uid="{00000000-0005-0000-0000-000001150000}"/>
    <cellStyle name="20% - Accent3 6 29" xfId="61094" xr:uid="{00000000-0005-0000-0000-000002150000}"/>
    <cellStyle name="20% - Accent3 6 3" xfId="3869" xr:uid="{00000000-0005-0000-0000-000003150000}"/>
    <cellStyle name="20% - Accent3 6 3 2" xfId="19018" xr:uid="{00000000-0005-0000-0000-000004150000}"/>
    <cellStyle name="20% - Accent3 6 30" xfId="62777" xr:uid="{00000000-0005-0000-0000-000005150000}"/>
    <cellStyle name="20% - Accent3 6 4" xfId="5552" xr:uid="{00000000-0005-0000-0000-000006150000}"/>
    <cellStyle name="20% - Accent3 6 4 2" xfId="20701" xr:uid="{00000000-0005-0000-0000-000007150000}"/>
    <cellStyle name="20% - Accent3 6 5" xfId="7235" xr:uid="{00000000-0005-0000-0000-000008150000}"/>
    <cellStyle name="20% - Accent3 6 5 2" xfId="22384" xr:uid="{00000000-0005-0000-0000-000009150000}"/>
    <cellStyle name="20% - Accent3 6 6" xfId="8918" xr:uid="{00000000-0005-0000-0000-00000A150000}"/>
    <cellStyle name="20% - Accent3 6 6 2" xfId="24067" xr:uid="{00000000-0005-0000-0000-00000B150000}"/>
    <cellStyle name="20% - Accent3 6 7" xfId="10601" xr:uid="{00000000-0005-0000-0000-00000C150000}"/>
    <cellStyle name="20% - Accent3 6 7 2" xfId="25750" xr:uid="{00000000-0005-0000-0000-00000D150000}"/>
    <cellStyle name="20% - Accent3 6 8" xfId="12285" xr:uid="{00000000-0005-0000-0000-00000E150000}"/>
    <cellStyle name="20% - Accent3 6 8 2" xfId="27434" xr:uid="{00000000-0005-0000-0000-00000F150000}"/>
    <cellStyle name="20% - Accent3 6 9" xfId="13968" xr:uid="{00000000-0005-0000-0000-000010150000}"/>
    <cellStyle name="20% - Accent3 6 9 2" xfId="29117" xr:uid="{00000000-0005-0000-0000-000011150000}"/>
    <cellStyle name="20% - Accent3 7" xfId="923" xr:uid="{00000000-0005-0000-0000-000012150000}"/>
    <cellStyle name="20% - Accent3 7 10" xfId="16072" xr:uid="{00000000-0005-0000-0000-000013150000}"/>
    <cellStyle name="20% - Accent3 7 11" xfId="31221" xr:uid="{00000000-0005-0000-0000-000014150000}"/>
    <cellStyle name="20% - Accent3 7 12" xfId="32904" xr:uid="{00000000-0005-0000-0000-000015150000}"/>
    <cellStyle name="20% - Accent3 7 13" xfId="34587" xr:uid="{00000000-0005-0000-0000-000016150000}"/>
    <cellStyle name="20% - Accent3 7 14" xfId="36270" xr:uid="{00000000-0005-0000-0000-000017150000}"/>
    <cellStyle name="20% - Accent3 7 15" xfId="37953" xr:uid="{00000000-0005-0000-0000-000018150000}"/>
    <cellStyle name="20% - Accent3 7 16" xfId="39636" xr:uid="{00000000-0005-0000-0000-000019150000}"/>
    <cellStyle name="20% - Accent3 7 17" xfId="41319" xr:uid="{00000000-0005-0000-0000-00001A150000}"/>
    <cellStyle name="20% - Accent3 7 18" xfId="43002" xr:uid="{00000000-0005-0000-0000-00001B150000}"/>
    <cellStyle name="20% - Accent3 7 19" xfId="44685" xr:uid="{00000000-0005-0000-0000-00001C150000}"/>
    <cellStyle name="20% - Accent3 7 2" xfId="2606" xr:uid="{00000000-0005-0000-0000-00001D150000}"/>
    <cellStyle name="20% - Accent3 7 2 2" xfId="17755" xr:uid="{00000000-0005-0000-0000-00001E150000}"/>
    <cellStyle name="20% - Accent3 7 20" xfId="46368" xr:uid="{00000000-0005-0000-0000-00001F150000}"/>
    <cellStyle name="20% - Accent3 7 21" xfId="48051" xr:uid="{00000000-0005-0000-0000-000020150000}"/>
    <cellStyle name="20% - Accent3 7 22" xfId="49734" xr:uid="{00000000-0005-0000-0000-000021150000}"/>
    <cellStyle name="20% - Accent3 7 23" xfId="51417" xr:uid="{00000000-0005-0000-0000-000022150000}"/>
    <cellStyle name="20% - Accent3 7 24" xfId="53100" xr:uid="{00000000-0005-0000-0000-000023150000}"/>
    <cellStyle name="20% - Accent3 7 25" xfId="54783" xr:uid="{00000000-0005-0000-0000-000024150000}"/>
    <cellStyle name="20% - Accent3 7 26" xfId="56466" xr:uid="{00000000-0005-0000-0000-000025150000}"/>
    <cellStyle name="20% - Accent3 7 27" xfId="58149" xr:uid="{00000000-0005-0000-0000-000026150000}"/>
    <cellStyle name="20% - Accent3 7 28" xfId="59832" xr:uid="{00000000-0005-0000-0000-000027150000}"/>
    <cellStyle name="20% - Accent3 7 29" xfId="61515" xr:uid="{00000000-0005-0000-0000-000028150000}"/>
    <cellStyle name="20% - Accent3 7 3" xfId="4290" xr:uid="{00000000-0005-0000-0000-000029150000}"/>
    <cellStyle name="20% - Accent3 7 3 2" xfId="19439" xr:uid="{00000000-0005-0000-0000-00002A150000}"/>
    <cellStyle name="20% - Accent3 7 30" xfId="63198" xr:uid="{00000000-0005-0000-0000-00002B150000}"/>
    <cellStyle name="20% - Accent3 7 4" xfId="5973" xr:uid="{00000000-0005-0000-0000-00002C150000}"/>
    <cellStyle name="20% - Accent3 7 4 2" xfId="21122" xr:uid="{00000000-0005-0000-0000-00002D150000}"/>
    <cellStyle name="20% - Accent3 7 5" xfId="7656" xr:uid="{00000000-0005-0000-0000-00002E150000}"/>
    <cellStyle name="20% - Accent3 7 5 2" xfId="22805" xr:uid="{00000000-0005-0000-0000-00002F150000}"/>
    <cellStyle name="20% - Accent3 7 6" xfId="9339" xr:uid="{00000000-0005-0000-0000-000030150000}"/>
    <cellStyle name="20% - Accent3 7 6 2" xfId="24488" xr:uid="{00000000-0005-0000-0000-000031150000}"/>
    <cellStyle name="20% - Accent3 7 7" xfId="11022" xr:uid="{00000000-0005-0000-0000-000032150000}"/>
    <cellStyle name="20% - Accent3 7 7 2" xfId="26171" xr:uid="{00000000-0005-0000-0000-000033150000}"/>
    <cellStyle name="20% - Accent3 7 8" xfId="12706" xr:uid="{00000000-0005-0000-0000-000034150000}"/>
    <cellStyle name="20% - Accent3 7 8 2" xfId="27855" xr:uid="{00000000-0005-0000-0000-000035150000}"/>
    <cellStyle name="20% - Accent3 7 9" xfId="14389" xr:uid="{00000000-0005-0000-0000-000036150000}"/>
    <cellStyle name="20% - Accent3 7 9 2" xfId="29538" xr:uid="{00000000-0005-0000-0000-000037150000}"/>
    <cellStyle name="20% - Accent3 8" xfId="1344" xr:uid="{00000000-0005-0000-0000-000038150000}"/>
    <cellStyle name="20% - Accent3 8 10" xfId="16493" xr:uid="{00000000-0005-0000-0000-000039150000}"/>
    <cellStyle name="20% - Accent3 8 11" xfId="31642" xr:uid="{00000000-0005-0000-0000-00003A150000}"/>
    <cellStyle name="20% - Accent3 8 12" xfId="33325" xr:uid="{00000000-0005-0000-0000-00003B150000}"/>
    <cellStyle name="20% - Accent3 8 13" xfId="35008" xr:uid="{00000000-0005-0000-0000-00003C150000}"/>
    <cellStyle name="20% - Accent3 8 14" xfId="36691" xr:uid="{00000000-0005-0000-0000-00003D150000}"/>
    <cellStyle name="20% - Accent3 8 15" xfId="38374" xr:uid="{00000000-0005-0000-0000-00003E150000}"/>
    <cellStyle name="20% - Accent3 8 16" xfId="40057" xr:uid="{00000000-0005-0000-0000-00003F150000}"/>
    <cellStyle name="20% - Accent3 8 17" xfId="41740" xr:uid="{00000000-0005-0000-0000-000040150000}"/>
    <cellStyle name="20% - Accent3 8 18" xfId="43423" xr:uid="{00000000-0005-0000-0000-000041150000}"/>
    <cellStyle name="20% - Accent3 8 19" xfId="45106" xr:uid="{00000000-0005-0000-0000-000042150000}"/>
    <cellStyle name="20% - Accent3 8 2" xfId="3027" xr:uid="{00000000-0005-0000-0000-000043150000}"/>
    <cellStyle name="20% - Accent3 8 2 2" xfId="18176" xr:uid="{00000000-0005-0000-0000-000044150000}"/>
    <cellStyle name="20% - Accent3 8 20" xfId="46789" xr:uid="{00000000-0005-0000-0000-000045150000}"/>
    <cellStyle name="20% - Accent3 8 21" xfId="48472" xr:uid="{00000000-0005-0000-0000-000046150000}"/>
    <cellStyle name="20% - Accent3 8 22" xfId="50155" xr:uid="{00000000-0005-0000-0000-000047150000}"/>
    <cellStyle name="20% - Accent3 8 23" xfId="51838" xr:uid="{00000000-0005-0000-0000-000048150000}"/>
    <cellStyle name="20% - Accent3 8 24" xfId="53521" xr:uid="{00000000-0005-0000-0000-000049150000}"/>
    <cellStyle name="20% - Accent3 8 25" xfId="55204" xr:uid="{00000000-0005-0000-0000-00004A150000}"/>
    <cellStyle name="20% - Accent3 8 26" xfId="56887" xr:uid="{00000000-0005-0000-0000-00004B150000}"/>
    <cellStyle name="20% - Accent3 8 27" xfId="58570" xr:uid="{00000000-0005-0000-0000-00004C150000}"/>
    <cellStyle name="20% - Accent3 8 28" xfId="60253" xr:uid="{00000000-0005-0000-0000-00004D150000}"/>
    <cellStyle name="20% - Accent3 8 29" xfId="61936" xr:uid="{00000000-0005-0000-0000-00004E150000}"/>
    <cellStyle name="20% - Accent3 8 3" xfId="4711" xr:uid="{00000000-0005-0000-0000-00004F150000}"/>
    <cellStyle name="20% - Accent3 8 3 2" xfId="19860" xr:uid="{00000000-0005-0000-0000-000050150000}"/>
    <cellStyle name="20% - Accent3 8 30" xfId="63619" xr:uid="{00000000-0005-0000-0000-000051150000}"/>
    <cellStyle name="20% - Accent3 8 4" xfId="6394" xr:uid="{00000000-0005-0000-0000-000052150000}"/>
    <cellStyle name="20% - Accent3 8 4 2" xfId="21543" xr:uid="{00000000-0005-0000-0000-000053150000}"/>
    <cellStyle name="20% - Accent3 8 5" xfId="8077" xr:uid="{00000000-0005-0000-0000-000054150000}"/>
    <cellStyle name="20% - Accent3 8 5 2" xfId="23226" xr:uid="{00000000-0005-0000-0000-000055150000}"/>
    <cellStyle name="20% - Accent3 8 6" xfId="9760" xr:uid="{00000000-0005-0000-0000-000056150000}"/>
    <cellStyle name="20% - Accent3 8 6 2" xfId="24909" xr:uid="{00000000-0005-0000-0000-000057150000}"/>
    <cellStyle name="20% - Accent3 8 7" xfId="11443" xr:uid="{00000000-0005-0000-0000-000058150000}"/>
    <cellStyle name="20% - Accent3 8 7 2" xfId="26592" xr:uid="{00000000-0005-0000-0000-000059150000}"/>
    <cellStyle name="20% - Accent3 8 8" xfId="13127" xr:uid="{00000000-0005-0000-0000-00005A150000}"/>
    <cellStyle name="20% - Accent3 8 8 2" xfId="28276" xr:uid="{00000000-0005-0000-0000-00005B150000}"/>
    <cellStyle name="20% - Accent3 8 9" xfId="14810" xr:uid="{00000000-0005-0000-0000-00005C150000}"/>
    <cellStyle name="20% - Accent3 8 9 2" xfId="29959" xr:uid="{00000000-0005-0000-0000-00005D150000}"/>
    <cellStyle name="20% - Accent3 9" xfId="1765" xr:uid="{00000000-0005-0000-0000-00005E150000}"/>
    <cellStyle name="20% - Accent3 9 2" xfId="16914" xr:uid="{00000000-0005-0000-0000-00005F150000}"/>
    <cellStyle name="20% - Accent4" xfId="83" builtinId="42" customBuiltin="1"/>
    <cellStyle name="20% - Accent4 10" xfId="3452" xr:uid="{00000000-0005-0000-0000-000061150000}"/>
    <cellStyle name="20% - Accent4 10 2" xfId="18601" xr:uid="{00000000-0005-0000-0000-000062150000}"/>
    <cellStyle name="20% - Accent4 11" xfId="5135" xr:uid="{00000000-0005-0000-0000-000063150000}"/>
    <cellStyle name="20% - Accent4 11 2" xfId="20284" xr:uid="{00000000-0005-0000-0000-000064150000}"/>
    <cellStyle name="20% - Accent4 12" xfId="6818" xr:uid="{00000000-0005-0000-0000-000065150000}"/>
    <cellStyle name="20% - Accent4 12 2" xfId="21967" xr:uid="{00000000-0005-0000-0000-000066150000}"/>
    <cellStyle name="20% - Accent4 13" xfId="8501" xr:uid="{00000000-0005-0000-0000-000067150000}"/>
    <cellStyle name="20% - Accent4 13 2" xfId="23650" xr:uid="{00000000-0005-0000-0000-000068150000}"/>
    <cellStyle name="20% - Accent4 14" xfId="10184" xr:uid="{00000000-0005-0000-0000-000069150000}"/>
    <cellStyle name="20% - Accent4 14 2" xfId="25333" xr:uid="{00000000-0005-0000-0000-00006A150000}"/>
    <cellStyle name="20% - Accent4 15" xfId="11868" xr:uid="{00000000-0005-0000-0000-00006B150000}"/>
    <cellStyle name="20% - Accent4 15 2" xfId="27017" xr:uid="{00000000-0005-0000-0000-00006C150000}"/>
    <cellStyle name="20% - Accent4 16" xfId="13551" xr:uid="{00000000-0005-0000-0000-00006D150000}"/>
    <cellStyle name="20% - Accent4 16 2" xfId="28700" xr:uid="{00000000-0005-0000-0000-00006E150000}"/>
    <cellStyle name="20% - Accent4 17" xfId="15234" xr:uid="{00000000-0005-0000-0000-00006F150000}"/>
    <cellStyle name="20% - Accent4 18" xfId="30383" xr:uid="{00000000-0005-0000-0000-000070150000}"/>
    <cellStyle name="20% - Accent4 19" xfId="32066" xr:uid="{00000000-0005-0000-0000-000071150000}"/>
    <cellStyle name="20% - Accent4 2" xfId="107" xr:uid="{00000000-0005-0000-0000-000072150000}"/>
    <cellStyle name="20% - Accent4 2 10" xfId="6840" xr:uid="{00000000-0005-0000-0000-000073150000}"/>
    <cellStyle name="20% - Accent4 2 10 2" xfId="21989" xr:uid="{00000000-0005-0000-0000-000074150000}"/>
    <cellStyle name="20% - Accent4 2 11" xfId="8523" xr:uid="{00000000-0005-0000-0000-000075150000}"/>
    <cellStyle name="20% - Accent4 2 11 2" xfId="23672" xr:uid="{00000000-0005-0000-0000-000076150000}"/>
    <cellStyle name="20% - Accent4 2 12" xfId="10206" xr:uid="{00000000-0005-0000-0000-000077150000}"/>
    <cellStyle name="20% - Accent4 2 12 2" xfId="25355" xr:uid="{00000000-0005-0000-0000-000078150000}"/>
    <cellStyle name="20% - Accent4 2 13" xfId="11890" xr:uid="{00000000-0005-0000-0000-000079150000}"/>
    <cellStyle name="20% - Accent4 2 13 2" xfId="27039" xr:uid="{00000000-0005-0000-0000-00007A150000}"/>
    <cellStyle name="20% - Accent4 2 14" xfId="13573" xr:uid="{00000000-0005-0000-0000-00007B150000}"/>
    <cellStyle name="20% - Accent4 2 14 2" xfId="28722" xr:uid="{00000000-0005-0000-0000-00007C150000}"/>
    <cellStyle name="20% - Accent4 2 15" xfId="15256" xr:uid="{00000000-0005-0000-0000-00007D150000}"/>
    <cellStyle name="20% - Accent4 2 16" xfId="30405" xr:uid="{00000000-0005-0000-0000-00007E150000}"/>
    <cellStyle name="20% - Accent4 2 17" xfId="32088" xr:uid="{00000000-0005-0000-0000-00007F150000}"/>
    <cellStyle name="20% - Accent4 2 18" xfId="33771" xr:uid="{00000000-0005-0000-0000-000080150000}"/>
    <cellStyle name="20% - Accent4 2 19" xfId="35454" xr:uid="{00000000-0005-0000-0000-000081150000}"/>
    <cellStyle name="20% - Accent4 2 2" xfId="212" xr:uid="{00000000-0005-0000-0000-000082150000}"/>
    <cellStyle name="20% - Accent4 2 2 10" xfId="8628" xr:uid="{00000000-0005-0000-0000-000083150000}"/>
    <cellStyle name="20% - Accent4 2 2 10 2" xfId="23777" xr:uid="{00000000-0005-0000-0000-000084150000}"/>
    <cellStyle name="20% - Accent4 2 2 11" xfId="10311" xr:uid="{00000000-0005-0000-0000-000085150000}"/>
    <cellStyle name="20% - Accent4 2 2 11 2" xfId="25460" xr:uid="{00000000-0005-0000-0000-000086150000}"/>
    <cellStyle name="20% - Accent4 2 2 12" xfId="11995" xr:uid="{00000000-0005-0000-0000-000087150000}"/>
    <cellStyle name="20% - Accent4 2 2 12 2" xfId="27144" xr:uid="{00000000-0005-0000-0000-000088150000}"/>
    <cellStyle name="20% - Accent4 2 2 13" xfId="13678" xr:uid="{00000000-0005-0000-0000-000089150000}"/>
    <cellStyle name="20% - Accent4 2 2 13 2" xfId="28827" xr:uid="{00000000-0005-0000-0000-00008A150000}"/>
    <cellStyle name="20% - Accent4 2 2 14" xfId="15361" xr:uid="{00000000-0005-0000-0000-00008B150000}"/>
    <cellStyle name="20% - Accent4 2 2 15" xfId="30510" xr:uid="{00000000-0005-0000-0000-00008C150000}"/>
    <cellStyle name="20% - Accent4 2 2 16" xfId="32193" xr:uid="{00000000-0005-0000-0000-00008D150000}"/>
    <cellStyle name="20% - Accent4 2 2 17" xfId="33876" xr:uid="{00000000-0005-0000-0000-00008E150000}"/>
    <cellStyle name="20% - Accent4 2 2 18" xfId="35559" xr:uid="{00000000-0005-0000-0000-00008F150000}"/>
    <cellStyle name="20% - Accent4 2 2 19" xfId="37242" xr:uid="{00000000-0005-0000-0000-000090150000}"/>
    <cellStyle name="20% - Accent4 2 2 2" xfId="422" xr:uid="{00000000-0005-0000-0000-000091150000}"/>
    <cellStyle name="20% - Accent4 2 2 2 10" xfId="10521" xr:uid="{00000000-0005-0000-0000-000092150000}"/>
    <cellStyle name="20% - Accent4 2 2 2 10 2" xfId="25670" xr:uid="{00000000-0005-0000-0000-000093150000}"/>
    <cellStyle name="20% - Accent4 2 2 2 11" xfId="12205" xr:uid="{00000000-0005-0000-0000-000094150000}"/>
    <cellStyle name="20% - Accent4 2 2 2 11 2" xfId="27354" xr:uid="{00000000-0005-0000-0000-000095150000}"/>
    <cellStyle name="20% - Accent4 2 2 2 12" xfId="13888" xr:uid="{00000000-0005-0000-0000-000096150000}"/>
    <cellStyle name="20% - Accent4 2 2 2 12 2" xfId="29037" xr:uid="{00000000-0005-0000-0000-000097150000}"/>
    <cellStyle name="20% - Accent4 2 2 2 13" xfId="15571" xr:uid="{00000000-0005-0000-0000-000098150000}"/>
    <cellStyle name="20% - Accent4 2 2 2 14" xfId="30720" xr:uid="{00000000-0005-0000-0000-000099150000}"/>
    <cellStyle name="20% - Accent4 2 2 2 15" xfId="32403" xr:uid="{00000000-0005-0000-0000-00009A150000}"/>
    <cellStyle name="20% - Accent4 2 2 2 16" xfId="34086" xr:uid="{00000000-0005-0000-0000-00009B150000}"/>
    <cellStyle name="20% - Accent4 2 2 2 17" xfId="35769" xr:uid="{00000000-0005-0000-0000-00009C150000}"/>
    <cellStyle name="20% - Accent4 2 2 2 18" xfId="37452" xr:uid="{00000000-0005-0000-0000-00009D150000}"/>
    <cellStyle name="20% - Accent4 2 2 2 19" xfId="39135" xr:uid="{00000000-0005-0000-0000-00009E150000}"/>
    <cellStyle name="20% - Accent4 2 2 2 2" xfId="842" xr:uid="{00000000-0005-0000-0000-00009F150000}"/>
    <cellStyle name="20% - Accent4 2 2 2 2 10" xfId="15991" xr:uid="{00000000-0005-0000-0000-0000A0150000}"/>
    <cellStyle name="20% - Accent4 2 2 2 2 11" xfId="31140" xr:uid="{00000000-0005-0000-0000-0000A1150000}"/>
    <cellStyle name="20% - Accent4 2 2 2 2 12" xfId="32823" xr:uid="{00000000-0005-0000-0000-0000A2150000}"/>
    <cellStyle name="20% - Accent4 2 2 2 2 13" xfId="34506" xr:uid="{00000000-0005-0000-0000-0000A3150000}"/>
    <cellStyle name="20% - Accent4 2 2 2 2 14" xfId="36189" xr:uid="{00000000-0005-0000-0000-0000A4150000}"/>
    <cellStyle name="20% - Accent4 2 2 2 2 15" xfId="37872" xr:uid="{00000000-0005-0000-0000-0000A5150000}"/>
    <cellStyle name="20% - Accent4 2 2 2 2 16" xfId="39555" xr:uid="{00000000-0005-0000-0000-0000A6150000}"/>
    <cellStyle name="20% - Accent4 2 2 2 2 17" xfId="41238" xr:uid="{00000000-0005-0000-0000-0000A7150000}"/>
    <cellStyle name="20% - Accent4 2 2 2 2 18" xfId="42921" xr:uid="{00000000-0005-0000-0000-0000A8150000}"/>
    <cellStyle name="20% - Accent4 2 2 2 2 19" xfId="44604" xr:uid="{00000000-0005-0000-0000-0000A9150000}"/>
    <cellStyle name="20% - Accent4 2 2 2 2 2" xfId="2525" xr:uid="{00000000-0005-0000-0000-0000AA150000}"/>
    <cellStyle name="20% - Accent4 2 2 2 2 2 2" xfId="17674" xr:uid="{00000000-0005-0000-0000-0000AB150000}"/>
    <cellStyle name="20% - Accent4 2 2 2 2 20" xfId="46287" xr:uid="{00000000-0005-0000-0000-0000AC150000}"/>
    <cellStyle name="20% - Accent4 2 2 2 2 21" xfId="47970" xr:uid="{00000000-0005-0000-0000-0000AD150000}"/>
    <cellStyle name="20% - Accent4 2 2 2 2 22" xfId="49653" xr:uid="{00000000-0005-0000-0000-0000AE150000}"/>
    <cellStyle name="20% - Accent4 2 2 2 2 23" xfId="51336" xr:uid="{00000000-0005-0000-0000-0000AF150000}"/>
    <cellStyle name="20% - Accent4 2 2 2 2 24" xfId="53019" xr:uid="{00000000-0005-0000-0000-0000B0150000}"/>
    <cellStyle name="20% - Accent4 2 2 2 2 25" xfId="54702" xr:uid="{00000000-0005-0000-0000-0000B1150000}"/>
    <cellStyle name="20% - Accent4 2 2 2 2 26" xfId="56385" xr:uid="{00000000-0005-0000-0000-0000B2150000}"/>
    <cellStyle name="20% - Accent4 2 2 2 2 27" xfId="58068" xr:uid="{00000000-0005-0000-0000-0000B3150000}"/>
    <cellStyle name="20% - Accent4 2 2 2 2 28" xfId="59751" xr:uid="{00000000-0005-0000-0000-0000B4150000}"/>
    <cellStyle name="20% - Accent4 2 2 2 2 29" xfId="61434" xr:uid="{00000000-0005-0000-0000-0000B5150000}"/>
    <cellStyle name="20% - Accent4 2 2 2 2 3" xfId="4209" xr:uid="{00000000-0005-0000-0000-0000B6150000}"/>
    <cellStyle name="20% - Accent4 2 2 2 2 3 2" xfId="19358" xr:uid="{00000000-0005-0000-0000-0000B7150000}"/>
    <cellStyle name="20% - Accent4 2 2 2 2 30" xfId="63117" xr:uid="{00000000-0005-0000-0000-0000B8150000}"/>
    <cellStyle name="20% - Accent4 2 2 2 2 4" xfId="5892" xr:uid="{00000000-0005-0000-0000-0000B9150000}"/>
    <cellStyle name="20% - Accent4 2 2 2 2 4 2" xfId="21041" xr:uid="{00000000-0005-0000-0000-0000BA150000}"/>
    <cellStyle name="20% - Accent4 2 2 2 2 5" xfId="7575" xr:uid="{00000000-0005-0000-0000-0000BB150000}"/>
    <cellStyle name="20% - Accent4 2 2 2 2 5 2" xfId="22724" xr:uid="{00000000-0005-0000-0000-0000BC150000}"/>
    <cellStyle name="20% - Accent4 2 2 2 2 6" xfId="9258" xr:uid="{00000000-0005-0000-0000-0000BD150000}"/>
    <cellStyle name="20% - Accent4 2 2 2 2 6 2" xfId="24407" xr:uid="{00000000-0005-0000-0000-0000BE150000}"/>
    <cellStyle name="20% - Accent4 2 2 2 2 7" xfId="10941" xr:uid="{00000000-0005-0000-0000-0000BF150000}"/>
    <cellStyle name="20% - Accent4 2 2 2 2 7 2" xfId="26090" xr:uid="{00000000-0005-0000-0000-0000C0150000}"/>
    <cellStyle name="20% - Accent4 2 2 2 2 8" xfId="12625" xr:uid="{00000000-0005-0000-0000-0000C1150000}"/>
    <cellStyle name="20% - Accent4 2 2 2 2 8 2" xfId="27774" xr:uid="{00000000-0005-0000-0000-0000C2150000}"/>
    <cellStyle name="20% - Accent4 2 2 2 2 9" xfId="14308" xr:uid="{00000000-0005-0000-0000-0000C3150000}"/>
    <cellStyle name="20% - Accent4 2 2 2 2 9 2" xfId="29457" xr:uid="{00000000-0005-0000-0000-0000C4150000}"/>
    <cellStyle name="20% - Accent4 2 2 2 20" xfId="40818" xr:uid="{00000000-0005-0000-0000-0000C5150000}"/>
    <cellStyle name="20% - Accent4 2 2 2 21" xfId="42501" xr:uid="{00000000-0005-0000-0000-0000C6150000}"/>
    <cellStyle name="20% - Accent4 2 2 2 22" xfId="44184" xr:uid="{00000000-0005-0000-0000-0000C7150000}"/>
    <cellStyle name="20% - Accent4 2 2 2 23" xfId="45867" xr:uid="{00000000-0005-0000-0000-0000C8150000}"/>
    <cellStyle name="20% - Accent4 2 2 2 24" xfId="47550" xr:uid="{00000000-0005-0000-0000-0000C9150000}"/>
    <cellStyle name="20% - Accent4 2 2 2 25" xfId="49233" xr:uid="{00000000-0005-0000-0000-0000CA150000}"/>
    <cellStyle name="20% - Accent4 2 2 2 26" xfId="50916" xr:uid="{00000000-0005-0000-0000-0000CB150000}"/>
    <cellStyle name="20% - Accent4 2 2 2 27" xfId="52599" xr:uid="{00000000-0005-0000-0000-0000CC150000}"/>
    <cellStyle name="20% - Accent4 2 2 2 28" xfId="54282" xr:uid="{00000000-0005-0000-0000-0000CD150000}"/>
    <cellStyle name="20% - Accent4 2 2 2 29" xfId="55965" xr:uid="{00000000-0005-0000-0000-0000CE150000}"/>
    <cellStyle name="20% - Accent4 2 2 2 3" xfId="1263" xr:uid="{00000000-0005-0000-0000-0000CF150000}"/>
    <cellStyle name="20% - Accent4 2 2 2 3 10" xfId="16412" xr:uid="{00000000-0005-0000-0000-0000D0150000}"/>
    <cellStyle name="20% - Accent4 2 2 2 3 11" xfId="31561" xr:uid="{00000000-0005-0000-0000-0000D1150000}"/>
    <cellStyle name="20% - Accent4 2 2 2 3 12" xfId="33244" xr:uid="{00000000-0005-0000-0000-0000D2150000}"/>
    <cellStyle name="20% - Accent4 2 2 2 3 13" xfId="34927" xr:uid="{00000000-0005-0000-0000-0000D3150000}"/>
    <cellStyle name="20% - Accent4 2 2 2 3 14" xfId="36610" xr:uid="{00000000-0005-0000-0000-0000D4150000}"/>
    <cellStyle name="20% - Accent4 2 2 2 3 15" xfId="38293" xr:uid="{00000000-0005-0000-0000-0000D5150000}"/>
    <cellStyle name="20% - Accent4 2 2 2 3 16" xfId="39976" xr:uid="{00000000-0005-0000-0000-0000D6150000}"/>
    <cellStyle name="20% - Accent4 2 2 2 3 17" xfId="41659" xr:uid="{00000000-0005-0000-0000-0000D7150000}"/>
    <cellStyle name="20% - Accent4 2 2 2 3 18" xfId="43342" xr:uid="{00000000-0005-0000-0000-0000D8150000}"/>
    <cellStyle name="20% - Accent4 2 2 2 3 19" xfId="45025" xr:uid="{00000000-0005-0000-0000-0000D9150000}"/>
    <cellStyle name="20% - Accent4 2 2 2 3 2" xfId="2946" xr:uid="{00000000-0005-0000-0000-0000DA150000}"/>
    <cellStyle name="20% - Accent4 2 2 2 3 2 2" xfId="18095" xr:uid="{00000000-0005-0000-0000-0000DB150000}"/>
    <cellStyle name="20% - Accent4 2 2 2 3 20" xfId="46708" xr:uid="{00000000-0005-0000-0000-0000DC150000}"/>
    <cellStyle name="20% - Accent4 2 2 2 3 21" xfId="48391" xr:uid="{00000000-0005-0000-0000-0000DD150000}"/>
    <cellStyle name="20% - Accent4 2 2 2 3 22" xfId="50074" xr:uid="{00000000-0005-0000-0000-0000DE150000}"/>
    <cellStyle name="20% - Accent4 2 2 2 3 23" xfId="51757" xr:uid="{00000000-0005-0000-0000-0000DF150000}"/>
    <cellStyle name="20% - Accent4 2 2 2 3 24" xfId="53440" xr:uid="{00000000-0005-0000-0000-0000E0150000}"/>
    <cellStyle name="20% - Accent4 2 2 2 3 25" xfId="55123" xr:uid="{00000000-0005-0000-0000-0000E1150000}"/>
    <cellStyle name="20% - Accent4 2 2 2 3 26" xfId="56806" xr:uid="{00000000-0005-0000-0000-0000E2150000}"/>
    <cellStyle name="20% - Accent4 2 2 2 3 27" xfId="58489" xr:uid="{00000000-0005-0000-0000-0000E3150000}"/>
    <cellStyle name="20% - Accent4 2 2 2 3 28" xfId="60172" xr:uid="{00000000-0005-0000-0000-0000E4150000}"/>
    <cellStyle name="20% - Accent4 2 2 2 3 29" xfId="61855" xr:uid="{00000000-0005-0000-0000-0000E5150000}"/>
    <cellStyle name="20% - Accent4 2 2 2 3 3" xfId="4630" xr:uid="{00000000-0005-0000-0000-0000E6150000}"/>
    <cellStyle name="20% - Accent4 2 2 2 3 3 2" xfId="19779" xr:uid="{00000000-0005-0000-0000-0000E7150000}"/>
    <cellStyle name="20% - Accent4 2 2 2 3 30" xfId="63538" xr:uid="{00000000-0005-0000-0000-0000E8150000}"/>
    <cellStyle name="20% - Accent4 2 2 2 3 4" xfId="6313" xr:uid="{00000000-0005-0000-0000-0000E9150000}"/>
    <cellStyle name="20% - Accent4 2 2 2 3 4 2" xfId="21462" xr:uid="{00000000-0005-0000-0000-0000EA150000}"/>
    <cellStyle name="20% - Accent4 2 2 2 3 5" xfId="7996" xr:uid="{00000000-0005-0000-0000-0000EB150000}"/>
    <cellStyle name="20% - Accent4 2 2 2 3 5 2" xfId="23145" xr:uid="{00000000-0005-0000-0000-0000EC150000}"/>
    <cellStyle name="20% - Accent4 2 2 2 3 6" xfId="9679" xr:uid="{00000000-0005-0000-0000-0000ED150000}"/>
    <cellStyle name="20% - Accent4 2 2 2 3 6 2" xfId="24828" xr:uid="{00000000-0005-0000-0000-0000EE150000}"/>
    <cellStyle name="20% - Accent4 2 2 2 3 7" xfId="11362" xr:uid="{00000000-0005-0000-0000-0000EF150000}"/>
    <cellStyle name="20% - Accent4 2 2 2 3 7 2" xfId="26511" xr:uid="{00000000-0005-0000-0000-0000F0150000}"/>
    <cellStyle name="20% - Accent4 2 2 2 3 8" xfId="13046" xr:uid="{00000000-0005-0000-0000-0000F1150000}"/>
    <cellStyle name="20% - Accent4 2 2 2 3 8 2" xfId="28195" xr:uid="{00000000-0005-0000-0000-0000F2150000}"/>
    <cellStyle name="20% - Accent4 2 2 2 3 9" xfId="14729" xr:uid="{00000000-0005-0000-0000-0000F3150000}"/>
    <cellStyle name="20% - Accent4 2 2 2 3 9 2" xfId="29878" xr:uid="{00000000-0005-0000-0000-0000F4150000}"/>
    <cellStyle name="20% - Accent4 2 2 2 30" xfId="57648" xr:uid="{00000000-0005-0000-0000-0000F5150000}"/>
    <cellStyle name="20% - Accent4 2 2 2 31" xfId="59331" xr:uid="{00000000-0005-0000-0000-0000F6150000}"/>
    <cellStyle name="20% - Accent4 2 2 2 32" xfId="61014" xr:uid="{00000000-0005-0000-0000-0000F7150000}"/>
    <cellStyle name="20% - Accent4 2 2 2 33" xfId="62697" xr:uid="{00000000-0005-0000-0000-0000F8150000}"/>
    <cellStyle name="20% - Accent4 2 2 2 4" xfId="1684" xr:uid="{00000000-0005-0000-0000-0000F9150000}"/>
    <cellStyle name="20% - Accent4 2 2 2 4 10" xfId="16833" xr:uid="{00000000-0005-0000-0000-0000FA150000}"/>
    <cellStyle name="20% - Accent4 2 2 2 4 11" xfId="31982" xr:uid="{00000000-0005-0000-0000-0000FB150000}"/>
    <cellStyle name="20% - Accent4 2 2 2 4 12" xfId="33665" xr:uid="{00000000-0005-0000-0000-0000FC150000}"/>
    <cellStyle name="20% - Accent4 2 2 2 4 13" xfId="35348" xr:uid="{00000000-0005-0000-0000-0000FD150000}"/>
    <cellStyle name="20% - Accent4 2 2 2 4 14" xfId="37031" xr:uid="{00000000-0005-0000-0000-0000FE150000}"/>
    <cellStyle name="20% - Accent4 2 2 2 4 15" xfId="38714" xr:uid="{00000000-0005-0000-0000-0000FF150000}"/>
    <cellStyle name="20% - Accent4 2 2 2 4 16" xfId="40397" xr:uid="{00000000-0005-0000-0000-000000160000}"/>
    <cellStyle name="20% - Accent4 2 2 2 4 17" xfId="42080" xr:uid="{00000000-0005-0000-0000-000001160000}"/>
    <cellStyle name="20% - Accent4 2 2 2 4 18" xfId="43763" xr:uid="{00000000-0005-0000-0000-000002160000}"/>
    <cellStyle name="20% - Accent4 2 2 2 4 19" xfId="45446" xr:uid="{00000000-0005-0000-0000-000003160000}"/>
    <cellStyle name="20% - Accent4 2 2 2 4 2" xfId="3367" xr:uid="{00000000-0005-0000-0000-000004160000}"/>
    <cellStyle name="20% - Accent4 2 2 2 4 2 2" xfId="18516" xr:uid="{00000000-0005-0000-0000-000005160000}"/>
    <cellStyle name="20% - Accent4 2 2 2 4 20" xfId="47129" xr:uid="{00000000-0005-0000-0000-000006160000}"/>
    <cellStyle name="20% - Accent4 2 2 2 4 21" xfId="48812" xr:uid="{00000000-0005-0000-0000-000007160000}"/>
    <cellStyle name="20% - Accent4 2 2 2 4 22" xfId="50495" xr:uid="{00000000-0005-0000-0000-000008160000}"/>
    <cellStyle name="20% - Accent4 2 2 2 4 23" xfId="52178" xr:uid="{00000000-0005-0000-0000-000009160000}"/>
    <cellStyle name="20% - Accent4 2 2 2 4 24" xfId="53861" xr:uid="{00000000-0005-0000-0000-00000A160000}"/>
    <cellStyle name="20% - Accent4 2 2 2 4 25" xfId="55544" xr:uid="{00000000-0005-0000-0000-00000B160000}"/>
    <cellStyle name="20% - Accent4 2 2 2 4 26" xfId="57227" xr:uid="{00000000-0005-0000-0000-00000C160000}"/>
    <cellStyle name="20% - Accent4 2 2 2 4 27" xfId="58910" xr:uid="{00000000-0005-0000-0000-00000D160000}"/>
    <cellStyle name="20% - Accent4 2 2 2 4 28" xfId="60593" xr:uid="{00000000-0005-0000-0000-00000E160000}"/>
    <cellStyle name="20% - Accent4 2 2 2 4 29" xfId="62276" xr:uid="{00000000-0005-0000-0000-00000F160000}"/>
    <cellStyle name="20% - Accent4 2 2 2 4 3" xfId="5051" xr:uid="{00000000-0005-0000-0000-000010160000}"/>
    <cellStyle name="20% - Accent4 2 2 2 4 3 2" xfId="20200" xr:uid="{00000000-0005-0000-0000-000011160000}"/>
    <cellStyle name="20% - Accent4 2 2 2 4 30" xfId="63959" xr:uid="{00000000-0005-0000-0000-000012160000}"/>
    <cellStyle name="20% - Accent4 2 2 2 4 4" xfId="6734" xr:uid="{00000000-0005-0000-0000-000013160000}"/>
    <cellStyle name="20% - Accent4 2 2 2 4 4 2" xfId="21883" xr:uid="{00000000-0005-0000-0000-000014160000}"/>
    <cellStyle name="20% - Accent4 2 2 2 4 5" xfId="8417" xr:uid="{00000000-0005-0000-0000-000015160000}"/>
    <cellStyle name="20% - Accent4 2 2 2 4 5 2" xfId="23566" xr:uid="{00000000-0005-0000-0000-000016160000}"/>
    <cellStyle name="20% - Accent4 2 2 2 4 6" xfId="10100" xr:uid="{00000000-0005-0000-0000-000017160000}"/>
    <cellStyle name="20% - Accent4 2 2 2 4 6 2" xfId="25249" xr:uid="{00000000-0005-0000-0000-000018160000}"/>
    <cellStyle name="20% - Accent4 2 2 2 4 7" xfId="11783" xr:uid="{00000000-0005-0000-0000-000019160000}"/>
    <cellStyle name="20% - Accent4 2 2 2 4 7 2" xfId="26932" xr:uid="{00000000-0005-0000-0000-00001A160000}"/>
    <cellStyle name="20% - Accent4 2 2 2 4 8" xfId="13467" xr:uid="{00000000-0005-0000-0000-00001B160000}"/>
    <cellStyle name="20% - Accent4 2 2 2 4 8 2" xfId="28616" xr:uid="{00000000-0005-0000-0000-00001C160000}"/>
    <cellStyle name="20% - Accent4 2 2 2 4 9" xfId="15150" xr:uid="{00000000-0005-0000-0000-00001D160000}"/>
    <cellStyle name="20% - Accent4 2 2 2 4 9 2" xfId="30299" xr:uid="{00000000-0005-0000-0000-00001E160000}"/>
    <cellStyle name="20% - Accent4 2 2 2 5" xfId="2105" xr:uid="{00000000-0005-0000-0000-00001F160000}"/>
    <cellStyle name="20% - Accent4 2 2 2 5 2" xfId="17254" xr:uid="{00000000-0005-0000-0000-000020160000}"/>
    <cellStyle name="20% - Accent4 2 2 2 6" xfId="3789" xr:uid="{00000000-0005-0000-0000-000021160000}"/>
    <cellStyle name="20% - Accent4 2 2 2 6 2" xfId="18938" xr:uid="{00000000-0005-0000-0000-000022160000}"/>
    <cellStyle name="20% - Accent4 2 2 2 7" xfId="5472" xr:uid="{00000000-0005-0000-0000-000023160000}"/>
    <cellStyle name="20% - Accent4 2 2 2 7 2" xfId="20621" xr:uid="{00000000-0005-0000-0000-000024160000}"/>
    <cellStyle name="20% - Accent4 2 2 2 8" xfId="7155" xr:uid="{00000000-0005-0000-0000-000025160000}"/>
    <cellStyle name="20% - Accent4 2 2 2 8 2" xfId="22304" xr:uid="{00000000-0005-0000-0000-000026160000}"/>
    <cellStyle name="20% - Accent4 2 2 2 9" xfId="8838" xr:uid="{00000000-0005-0000-0000-000027160000}"/>
    <cellStyle name="20% - Accent4 2 2 2 9 2" xfId="23987" xr:uid="{00000000-0005-0000-0000-000028160000}"/>
    <cellStyle name="20% - Accent4 2 2 20" xfId="38925" xr:uid="{00000000-0005-0000-0000-000029160000}"/>
    <cellStyle name="20% - Accent4 2 2 21" xfId="40608" xr:uid="{00000000-0005-0000-0000-00002A160000}"/>
    <cellStyle name="20% - Accent4 2 2 22" xfId="42291" xr:uid="{00000000-0005-0000-0000-00002B160000}"/>
    <cellStyle name="20% - Accent4 2 2 23" xfId="43974" xr:uid="{00000000-0005-0000-0000-00002C160000}"/>
    <cellStyle name="20% - Accent4 2 2 24" xfId="45657" xr:uid="{00000000-0005-0000-0000-00002D160000}"/>
    <cellStyle name="20% - Accent4 2 2 25" xfId="47340" xr:uid="{00000000-0005-0000-0000-00002E160000}"/>
    <cellStyle name="20% - Accent4 2 2 26" xfId="49023" xr:uid="{00000000-0005-0000-0000-00002F160000}"/>
    <cellStyle name="20% - Accent4 2 2 27" xfId="50706" xr:uid="{00000000-0005-0000-0000-000030160000}"/>
    <cellStyle name="20% - Accent4 2 2 28" xfId="52389" xr:uid="{00000000-0005-0000-0000-000031160000}"/>
    <cellStyle name="20% - Accent4 2 2 29" xfId="54072" xr:uid="{00000000-0005-0000-0000-000032160000}"/>
    <cellStyle name="20% - Accent4 2 2 3" xfId="632" xr:uid="{00000000-0005-0000-0000-000033160000}"/>
    <cellStyle name="20% - Accent4 2 2 3 10" xfId="15781" xr:uid="{00000000-0005-0000-0000-000034160000}"/>
    <cellStyle name="20% - Accent4 2 2 3 11" xfId="30930" xr:uid="{00000000-0005-0000-0000-000035160000}"/>
    <cellStyle name="20% - Accent4 2 2 3 12" xfId="32613" xr:uid="{00000000-0005-0000-0000-000036160000}"/>
    <cellStyle name="20% - Accent4 2 2 3 13" xfId="34296" xr:uid="{00000000-0005-0000-0000-000037160000}"/>
    <cellStyle name="20% - Accent4 2 2 3 14" xfId="35979" xr:uid="{00000000-0005-0000-0000-000038160000}"/>
    <cellStyle name="20% - Accent4 2 2 3 15" xfId="37662" xr:uid="{00000000-0005-0000-0000-000039160000}"/>
    <cellStyle name="20% - Accent4 2 2 3 16" xfId="39345" xr:uid="{00000000-0005-0000-0000-00003A160000}"/>
    <cellStyle name="20% - Accent4 2 2 3 17" xfId="41028" xr:uid="{00000000-0005-0000-0000-00003B160000}"/>
    <cellStyle name="20% - Accent4 2 2 3 18" xfId="42711" xr:uid="{00000000-0005-0000-0000-00003C160000}"/>
    <cellStyle name="20% - Accent4 2 2 3 19" xfId="44394" xr:uid="{00000000-0005-0000-0000-00003D160000}"/>
    <cellStyle name="20% - Accent4 2 2 3 2" xfId="2315" xr:uid="{00000000-0005-0000-0000-00003E160000}"/>
    <cellStyle name="20% - Accent4 2 2 3 2 2" xfId="17464" xr:uid="{00000000-0005-0000-0000-00003F160000}"/>
    <cellStyle name="20% - Accent4 2 2 3 20" xfId="46077" xr:uid="{00000000-0005-0000-0000-000040160000}"/>
    <cellStyle name="20% - Accent4 2 2 3 21" xfId="47760" xr:uid="{00000000-0005-0000-0000-000041160000}"/>
    <cellStyle name="20% - Accent4 2 2 3 22" xfId="49443" xr:uid="{00000000-0005-0000-0000-000042160000}"/>
    <cellStyle name="20% - Accent4 2 2 3 23" xfId="51126" xr:uid="{00000000-0005-0000-0000-000043160000}"/>
    <cellStyle name="20% - Accent4 2 2 3 24" xfId="52809" xr:uid="{00000000-0005-0000-0000-000044160000}"/>
    <cellStyle name="20% - Accent4 2 2 3 25" xfId="54492" xr:uid="{00000000-0005-0000-0000-000045160000}"/>
    <cellStyle name="20% - Accent4 2 2 3 26" xfId="56175" xr:uid="{00000000-0005-0000-0000-000046160000}"/>
    <cellStyle name="20% - Accent4 2 2 3 27" xfId="57858" xr:uid="{00000000-0005-0000-0000-000047160000}"/>
    <cellStyle name="20% - Accent4 2 2 3 28" xfId="59541" xr:uid="{00000000-0005-0000-0000-000048160000}"/>
    <cellStyle name="20% - Accent4 2 2 3 29" xfId="61224" xr:uid="{00000000-0005-0000-0000-000049160000}"/>
    <cellStyle name="20% - Accent4 2 2 3 3" xfId="3999" xr:uid="{00000000-0005-0000-0000-00004A160000}"/>
    <cellStyle name="20% - Accent4 2 2 3 3 2" xfId="19148" xr:uid="{00000000-0005-0000-0000-00004B160000}"/>
    <cellStyle name="20% - Accent4 2 2 3 30" xfId="62907" xr:uid="{00000000-0005-0000-0000-00004C160000}"/>
    <cellStyle name="20% - Accent4 2 2 3 4" xfId="5682" xr:uid="{00000000-0005-0000-0000-00004D160000}"/>
    <cellStyle name="20% - Accent4 2 2 3 4 2" xfId="20831" xr:uid="{00000000-0005-0000-0000-00004E160000}"/>
    <cellStyle name="20% - Accent4 2 2 3 5" xfId="7365" xr:uid="{00000000-0005-0000-0000-00004F160000}"/>
    <cellStyle name="20% - Accent4 2 2 3 5 2" xfId="22514" xr:uid="{00000000-0005-0000-0000-000050160000}"/>
    <cellStyle name="20% - Accent4 2 2 3 6" xfId="9048" xr:uid="{00000000-0005-0000-0000-000051160000}"/>
    <cellStyle name="20% - Accent4 2 2 3 6 2" xfId="24197" xr:uid="{00000000-0005-0000-0000-000052160000}"/>
    <cellStyle name="20% - Accent4 2 2 3 7" xfId="10731" xr:uid="{00000000-0005-0000-0000-000053160000}"/>
    <cellStyle name="20% - Accent4 2 2 3 7 2" xfId="25880" xr:uid="{00000000-0005-0000-0000-000054160000}"/>
    <cellStyle name="20% - Accent4 2 2 3 8" xfId="12415" xr:uid="{00000000-0005-0000-0000-000055160000}"/>
    <cellStyle name="20% - Accent4 2 2 3 8 2" xfId="27564" xr:uid="{00000000-0005-0000-0000-000056160000}"/>
    <cellStyle name="20% - Accent4 2 2 3 9" xfId="14098" xr:uid="{00000000-0005-0000-0000-000057160000}"/>
    <cellStyle name="20% - Accent4 2 2 3 9 2" xfId="29247" xr:uid="{00000000-0005-0000-0000-000058160000}"/>
    <cellStyle name="20% - Accent4 2 2 30" xfId="55755" xr:uid="{00000000-0005-0000-0000-000059160000}"/>
    <cellStyle name="20% - Accent4 2 2 31" xfId="57438" xr:uid="{00000000-0005-0000-0000-00005A160000}"/>
    <cellStyle name="20% - Accent4 2 2 32" xfId="59121" xr:uid="{00000000-0005-0000-0000-00005B160000}"/>
    <cellStyle name="20% - Accent4 2 2 33" xfId="60804" xr:uid="{00000000-0005-0000-0000-00005C160000}"/>
    <cellStyle name="20% - Accent4 2 2 34" xfId="62487" xr:uid="{00000000-0005-0000-0000-00005D160000}"/>
    <cellStyle name="20% - Accent4 2 2 4" xfId="1053" xr:uid="{00000000-0005-0000-0000-00005E160000}"/>
    <cellStyle name="20% - Accent4 2 2 4 10" xfId="16202" xr:uid="{00000000-0005-0000-0000-00005F160000}"/>
    <cellStyle name="20% - Accent4 2 2 4 11" xfId="31351" xr:uid="{00000000-0005-0000-0000-000060160000}"/>
    <cellStyle name="20% - Accent4 2 2 4 12" xfId="33034" xr:uid="{00000000-0005-0000-0000-000061160000}"/>
    <cellStyle name="20% - Accent4 2 2 4 13" xfId="34717" xr:uid="{00000000-0005-0000-0000-000062160000}"/>
    <cellStyle name="20% - Accent4 2 2 4 14" xfId="36400" xr:uid="{00000000-0005-0000-0000-000063160000}"/>
    <cellStyle name="20% - Accent4 2 2 4 15" xfId="38083" xr:uid="{00000000-0005-0000-0000-000064160000}"/>
    <cellStyle name="20% - Accent4 2 2 4 16" xfId="39766" xr:uid="{00000000-0005-0000-0000-000065160000}"/>
    <cellStyle name="20% - Accent4 2 2 4 17" xfId="41449" xr:uid="{00000000-0005-0000-0000-000066160000}"/>
    <cellStyle name="20% - Accent4 2 2 4 18" xfId="43132" xr:uid="{00000000-0005-0000-0000-000067160000}"/>
    <cellStyle name="20% - Accent4 2 2 4 19" xfId="44815" xr:uid="{00000000-0005-0000-0000-000068160000}"/>
    <cellStyle name="20% - Accent4 2 2 4 2" xfId="2736" xr:uid="{00000000-0005-0000-0000-000069160000}"/>
    <cellStyle name="20% - Accent4 2 2 4 2 2" xfId="17885" xr:uid="{00000000-0005-0000-0000-00006A160000}"/>
    <cellStyle name="20% - Accent4 2 2 4 20" xfId="46498" xr:uid="{00000000-0005-0000-0000-00006B160000}"/>
    <cellStyle name="20% - Accent4 2 2 4 21" xfId="48181" xr:uid="{00000000-0005-0000-0000-00006C160000}"/>
    <cellStyle name="20% - Accent4 2 2 4 22" xfId="49864" xr:uid="{00000000-0005-0000-0000-00006D160000}"/>
    <cellStyle name="20% - Accent4 2 2 4 23" xfId="51547" xr:uid="{00000000-0005-0000-0000-00006E160000}"/>
    <cellStyle name="20% - Accent4 2 2 4 24" xfId="53230" xr:uid="{00000000-0005-0000-0000-00006F160000}"/>
    <cellStyle name="20% - Accent4 2 2 4 25" xfId="54913" xr:uid="{00000000-0005-0000-0000-000070160000}"/>
    <cellStyle name="20% - Accent4 2 2 4 26" xfId="56596" xr:uid="{00000000-0005-0000-0000-000071160000}"/>
    <cellStyle name="20% - Accent4 2 2 4 27" xfId="58279" xr:uid="{00000000-0005-0000-0000-000072160000}"/>
    <cellStyle name="20% - Accent4 2 2 4 28" xfId="59962" xr:uid="{00000000-0005-0000-0000-000073160000}"/>
    <cellStyle name="20% - Accent4 2 2 4 29" xfId="61645" xr:uid="{00000000-0005-0000-0000-000074160000}"/>
    <cellStyle name="20% - Accent4 2 2 4 3" xfId="4420" xr:uid="{00000000-0005-0000-0000-000075160000}"/>
    <cellStyle name="20% - Accent4 2 2 4 3 2" xfId="19569" xr:uid="{00000000-0005-0000-0000-000076160000}"/>
    <cellStyle name="20% - Accent4 2 2 4 30" xfId="63328" xr:uid="{00000000-0005-0000-0000-000077160000}"/>
    <cellStyle name="20% - Accent4 2 2 4 4" xfId="6103" xr:uid="{00000000-0005-0000-0000-000078160000}"/>
    <cellStyle name="20% - Accent4 2 2 4 4 2" xfId="21252" xr:uid="{00000000-0005-0000-0000-000079160000}"/>
    <cellStyle name="20% - Accent4 2 2 4 5" xfId="7786" xr:uid="{00000000-0005-0000-0000-00007A160000}"/>
    <cellStyle name="20% - Accent4 2 2 4 5 2" xfId="22935" xr:uid="{00000000-0005-0000-0000-00007B160000}"/>
    <cellStyle name="20% - Accent4 2 2 4 6" xfId="9469" xr:uid="{00000000-0005-0000-0000-00007C160000}"/>
    <cellStyle name="20% - Accent4 2 2 4 6 2" xfId="24618" xr:uid="{00000000-0005-0000-0000-00007D160000}"/>
    <cellStyle name="20% - Accent4 2 2 4 7" xfId="11152" xr:uid="{00000000-0005-0000-0000-00007E160000}"/>
    <cellStyle name="20% - Accent4 2 2 4 7 2" xfId="26301" xr:uid="{00000000-0005-0000-0000-00007F160000}"/>
    <cellStyle name="20% - Accent4 2 2 4 8" xfId="12836" xr:uid="{00000000-0005-0000-0000-000080160000}"/>
    <cellStyle name="20% - Accent4 2 2 4 8 2" xfId="27985" xr:uid="{00000000-0005-0000-0000-000081160000}"/>
    <cellStyle name="20% - Accent4 2 2 4 9" xfId="14519" xr:uid="{00000000-0005-0000-0000-000082160000}"/>
    <cellStyle name="20% - Accent4 2 2 4 9 2" xfId="29668" xr:uid="{00000000-0005-0000-0000-000083160000}"/>
    <cellStyle name="20% - Accent4 2 2 5" xfId="1474" xr:uid="{00000000-0005-0000-0000-000084160000}"/>
    <cellStyle name="20% - Accent4 2 2 5 10" xfId="16623" xr:uid="{00000000-0005-0000-0000-000085160000}"/>
    <cellStyle name="20% - Accent4 2 2 5 11" xfId="31772" xr:uid="{00000000-0005-0000-0000-000086160000}"/>
    <cellStyle name="20% - Accent4 2 2 5 12" xfId="33455" xr:uid="{00000000-0005-0000-0000-000087160000}"/>
    <cellStyle name="20% - Accent4 2 2 5 13" xfId="35138" xr:uid="{00000000-0005-0000-0000-000088160000}"/>
    <cellStyle name="20% - Accent4 2 2 5 14" xfId="36821" xr:uid="{00000000-0005-0000-0000-000089160000}"/>
    <cellStyle name="20% - Accent4 2 2 5 15" xfId="38504" xr:uid="{00000000-0005-0000-0000-00008A160000}"/>
    <cellStyle name="20% - Accent4 2 2 5 16" xfId="40187" xr:uid="{00000000-0005-0000-0000-00008B160000}"/>
    <cellStyle name="20% - Accent4 2 2 5 17" xfId="41870" xr:uid="{00000000-0005-0000-0000-00008C160000}"/>
    <cellStyle name="20% - Accent4 2 2 5 18" xfId="43553" xr:uid="{00000000-0005-0000-0000-00008D160000}"/>
    <cellStyle name="20% - Accent4 2 2 5 19" xfId="45236" xr:uid="{00000000-0005-0000-0000-00008E160000}"/>
    <cellStyle name="20% - Accent4 2 2 5 2" xfId="3157" xr:uid="{00000000-0005-0000-0000-00008F160000}"/>
    <cellStyle name="20% - Accent4 2 2 5 2 2" xfId="18306" xr:uid="{00000000-0005-0000-0000-000090160000}"/>
    <cellStyle name="20% - Accent4 2 2 5 20" xfId="46919" xr:uid="{00000000-0005-0000-0000-000091160000}"/>
    <cellStyle name="20% - Accent4 2 2 5 21" xfId="48602" xr:uid="{00000000-0005-0000-0000-000092160000}"/>
    <cellStyle name="20% - Accent4 2 2 5 22" xfId="50285" xr:uid="{00000000-0005-0000-0000-000093160000}"/>
    <cellStyle name="20% - Accent4 2 2 5 23" xfId="51968" xr:uid="{00000000-0005-0000-0000-000094160000}"/>
    <cellStyle name="20% - Accent4 2 2 5 24" xfId="53651" xr:uid="{00000000-0005-0000-0000-000095160000}"/>
    <cellStyle name="20% - Accent4 2 2 5 25" xfId="55334" xr:uid="{00000000-0005-0000-0000-000096160000}"/>
    <cellStyle name="20% - Accent4 2 2 5 26" xfId="57017" xr:uid="{00000000-0005-0000-0000-000097160000}"/>
    <cellStyle name="20% - Accent4 2 2 5 27" xfId="58700" xr:uid="{00000000-0005-0000-0000-000098160000}"/>
    <cellStyle name="20% - Accent4 2 2 5 28" xfId="60383" xr:uid="{00000000-0005-0000-0000-000099160000}"/>
    <cellStyle name="20% - Accent4 2 2 5 29" xfId="62066" xr:uid="{00000000-0005-0000-0000-00009A160000}"/>
    <cellStyle name="20% - Accent4 2 2 5 3" xfId="4841" xr:uid="{00000000-0005-0000-0000-00009B160000}"/>
    <cellStyle name="20% - Accent4 2 2 5 3 2" xfId="19990" xr:uid="{00000000-0005-0000-0000-00009C160000}"/>
    <cellStyle name="20% - Accent4 2 2 5 30" xfId="63749" xr:uid="{00000000-0005-0000-0000-00009D160000}"/>
    <cellStyle name="20% - Accent4 2 2 5 4" xfId="6524" xr:uid="{00000000-0005-0000-0000-00009E160000}"/>
    <cellStyle name="20% - Accent4 2 2 5 4 2" xfId="21673" xr:uid="{00000000-0005-0000-0000-00009F160000}"/>
    <cellStyle name="20% - Accent4 2 2 5 5" xfId="8207" xr:uid="{00000000-0005-0000-0000-0000A0160000}"/>
    <cellStyle name="20% - Accent4 2 2 5 5 2" xfId="23356" xr:uid="{00000000-0005-0000-0000-0000A1160000}"/>
    <cellStyle name="20% - Accent4 2 2 5 6" xfId="9890" xr:uid="{00000000-0005-0000-0000-0000A2160000}"/>
    <cellStyle name="20% - Accent4 2 2 5 6 2" xfId="25039" xr:uid="{00000000-0005-0000-0000-0000A3160000}"/>
    <cellStyle name="20% - Accent4 2 2 5 7" xfId="11573" xr:uid="{00000000-0005-0000-0000-0000A4160000}"/>
    <cellStyle name="20% - Accent4 2 2 5 7 2" xfId="26722" xr:uid="{00000000-0005-0000-0000-0000A5160000}"/>
    <cellStyle name="20% - Accent4 2 2 5 8" xfId="13257" xr:uid="{00000000-0005-0000-0000-0000A6160000}"/>
    <cellStyle name="20% - Accent4 2 2 5 8 2" xfId="28406" xr:uid="{00000000-0005-0000-0000-0000A7160000}"/>
    <cellStyle name="20% - Accent4 2 2 5 9" xfId="14940" xr:uid="{00000000-0005-0000-0000-0000A8160000}"/>
    <cellStyle name="20% - Accent4 2 2 5 9 2" xfId="30089" xr:uid="{00000000-0005-0000-0000-0000A9160000}"/>
    <cellStyle name="20% - Accent4 2 2 6" xfId="1895" xr:uid="{00000000-0005-0000-0000-0000AA160000}"/>
    <cellStyle name="20% - Accent4 2 2 6 2" xfId="17044" xr:uid="{00000000-0005-0000-0000-0000AB160000}"/>
    <cellStyle name="20% - Accent4 2 2 7" xfId="3579" xr:uid="{00000000-0005-0000-0000-0000AC160000}"/>
    <cellStyle name="20% - Accent4 2 2 7 2" xfId="18728" xr:uid="{00000000-0005-0000-0000-0000AD160000}"/>
    <cellStyle name="20% - Accent4 2 2 8" xfId="5262" xr:uid="{00000000-0005-0000-0000-0000AE160000}"/>
    <cellStyle name="20% - Accent4 2 2 8 2" xfId="20411" xr:uid="{00000000-0005-0000-0000-0000AF160000}"/>
    <cellStyle name="20% - Accent4 2 2 9" xfId="6945" xr:uid="{00000000-0005-0000-0000-0000B0160000}"/>
    <cellStyle name="20% - Accent4 2 2 9 2" xfId="22094" xr:uid="{00000000-0005-0000-0000-0000B1160000}"/>
    <cellStyle name="20% - Accent4 2 20" xfId="37137" xr:uid="{00000000-0005-0000-0000-0000B2160000}"/>
    <cellStyle name="20% - Accent4 2 21" xfId="38820" xr:uid="{00000000-0005-0000-0000-0000B3160000}"/>
    <cellStyle name="20% - Accent4 2 22" xfId="40503" xr:uid="{00000000-0005-0000-0000-0000B4160000}"/>
    <cellStyle name="20% - Accent4 2 23" xfId="42186" xr:uid="{00000000-0005-0000-0000-0000B5160000}"/>
    <cellStyle name="20% - Accent4 2 24" xfId="43869" xr:uid="{00000000-0005-0000-0000-0000B6160000}"/>
    <cellStyle name="20% - Accent4 2 25" xfId="45552" xr:uid="{00000000-0005-0000-0000-0000B7160000}"/>
    <cellStyle name="20% - Accent4 2 26" xfId="47235" xr:uid="{00000000-0005-0000-0000-0000B8160000}"/>
    <cellStyle name="20% - Accent4 2 27" xfId="48918" xr:uid="{00000000-0005-0000-0000-0000B9160000}"/>
    <cellStyle name="20% - Accent4 2 28" xfId="50601" xr:uid="{00000000-0005-0000-0000-0000BA160000}"/>
    <cellStyle name="20% - Accent4 2 29" xfId="52284" xr:uid="{00000000-0005-0000-0000-0000BB160000}"/>
    <cellStyle name="20% - Accent4 2 3" xfId="317" xr:uid="{00000000-0005-0000-0000-0000BC160000}"/>
    <cellStyle name="20% - Accent4 2 3 10" xfId="10416" xr:uid="{00000000-0005-0000-0000-0000BD160000}"/>
    <cellStyle name="20% - Accent4 2 3 10 2" xfId="25565" xr:uid="{00000000-0005-0000-0000-0000BE160000}"/>
    <cellStyle name="20% - Accent4 2 3 11" xfId="12100" xr:uid="{00000000-0005-0000-0000-0000BF160000}"/>
    <cellStyle name="20% - Accent4 2 3 11 2" xfId="27249" xr:uid="{00000000-0005-0000-0000-0000C0160000}"/>
    <cellStyle name="20% - Accent4 2 3 12" xfId="13783" xr:uid="{00000000-0005-0000-0000-0000C1160000}"/>
    <cellStyle name="20% - Accent4 2 3 12 2" xfId="28932" xr:uid="{00000000-0005-0000-0000-0000C2160000}"/>
    <cellStyle name="20% - Accent4 2 3 13" xfId="15466" xr:uid="{00000000-0005-0000-0000-0000C3160000}"/>
    <cellStyle name="20% - Accent4 2 3 14" xfId="30615" xr:uid="{00000000-0005-0000-0000-0000C4160000}"/>
    <cellStyle name="20% - Accent4 2 3 15" xfId="32298" xr:uid="{00000000-0005-0000-0000-0000C5160000}"/>
    <cellStyle name="20% - Accent4 2 3 16" xfId="33981" xr:uid="{00000000-0005-0000-0000-0000C6160000}"/>
    <cellStyle name="20% - Accent4 2 3 17" xfId="35664" xr:uid="{00000000-0005-0000-0000-0000C7160000}"/>
    <cellStyle name="20% - Accent4 2 3 18" xfId="37347" xr:uid="{00000000-0005-0000-0000-0000C8160000}"/>
    <cellStyle name="20% - Accent4 2 3 19" xfId="39030" xr:uid="{00000000-0005-0000-0000-0000C9160000}"/>
    <cellStyle name="20% - Accent4 2 3 2" xfId="737" xr:uid="{00000000-0005-0000-0000-0000CA160000}"/>
    <cellStyle name="20% - Accent4 2 3 2 10" xfId="15886" xr:uid="{00000000-0005-0000-0000-0000CB160000}"/>
    <cellStyle name="20% - Accent4 2 3 2 11" xfId="31035" xr:uid="{00000000-0005-0000-0000-0000CC160000}"/>
    <cellStyle name="20% - Accent4 2 3 2 12" xfId="32718" xr:uid="{00000000-0005-0000-0000-0000CD160000}"/>
    <cellStyle name="20% - Accent4 2 3 2 13" xfId="34401" xr:uid="{00000000-0005-0000-0000-0000CE160000}"/>
    <cellStyle name="20% - Accent4 2 3 2 14" xfId="36084" xr:uid="{00000000-0005-0000-0000-0000CF160000}"/>
    <cellStyle name="20% - Accent4 2 3 2 15" xfId="37767" xr:uid="{00000000-0005-0000-0000-0000D0160000}"/>
    <cellStyle name="20% - Accent4 2 3 2 16" xfId="39450" xr:uid="{00000000-0005-0000-0000-0000D1160000}"/>
    <cellStyle name="20% - Accent4 2 3 2 17" xfId="41133" xr:uid="{00000000-0005-0000-0000-0000D2160000}"/>
    <cellStyle name="20% - Accent4 2 3 2 18" xfId="42816" xr:uid="{00000000-0005-0000-0000-0000D3160000}"/>
    <cellStyle name="20% - Accent4 2 3 2 19" xfId="44499" xr:uid="{00000000-0005-0000-0000-0000D4160000}"/>
    <cellStyle name="20% - Accent4 2 3 2 2" xfId="2420" xr:uid="{00000000-0005-0000-0000-0000D5160000}"/>
    <cellStyle name="20% - Accent4 2 3 2 2 2" xfId="17569" xr:uid="{00000000-0005-0000-0000-0000D6160000}"/>
    <cellStyle name="20% - Accent4 2 3 2 20" xfId="46182" xr:uid="{00000000-0005-0000-0000-0000D7160000}"/>
    <cellStyle name="20% - Accent4 2 3 2 21" xfId="47865" xr:uid="{00000000-0005-0000-0000-0000D8160000}"/>
    <cellStyle name="20% - Accent4 2 3 2 22" xfId="49548" xr:uid="{00000000-0005-0000-0000-0000D9160000}"/>
    <cellStyle name="20% - Accent4 2 3 2 23" xfId="51231" xr:uid="{00000000-0005-0000-0000-0000DA160000}"/>
    <cellStyle name="20% - Accent4 2 3 2 24" xfId="52914" xr:uid="{00000000-0005-0000-0000-0000DB160000}"/>
    <cellStyle name="20% - Accent4 2 3 2 25" xfId="54597" xr:uid="{00000000-0005-0000-0000-0000DC160000}"/>
    <cellStyle name="20% - Accent4 2 3 2 26" xfId="56280" xr:uid="{00000000-0005-0000-0000-0000DD160000}"/>
    <cellStyle name="20% - Accent4 2 3 2 27" xfId="57963" xr:uid="{00000000-0005-0000-0000-0000DE160000}"/>
    <cellStyle name="20% - Accent4 2 3 2 28" xfId="59646" xr:uid="{00000000-0005-0000-0000-0000DF160000}"/>
    <cellStyle name="20% - Accent4 2 3 2 29" xfId="61329" xr:uid="{00000000-0005-0000-0000-0000E0160000}"/>
    <cellStyle name="20% - Accent4 2 3 2 3" xfId="4104" xr:uid="{00000000-0005-0000-0000-0000E1160000}"/>
    <cellStyle name="20% - Accent4 2 3 2 3 2" xfId="19253" xr:uid="{00000000-0005-0000-0000-0000E2160000}"/>
    <cellStyle name="20% - Accent4 2 3 2 30" xfId="63012" xr:uid="{00000000-0005-0000-0000-0000E3160000}"/>
    <cellStyle name="20% - Accent4 2 3 2 4" xfId="5787" xr:uid="{00000000-0005-0000-0000-0000E4160000}"/>
    <cellStyle name="20% - Accent4 2 3 2 4 2" xfId="20936" xr:uid="{00000000-0005-0000-0000-0000E5160000}"/>
    <cellStyle name="20% - Accent4 2 3 2 5" xfId="7470" xr:uid="{00000000-0005-0000-0000-0000E6160000}"/>
    <cellStyle name="20% - Accent4 2 3 2 5 2" xfId="22619" xr:uid="{00000000-0005-0000-0000-0000E7160000}"/>
    <cellStyle name="20% - Accent4 2 3 2 6" xfId="9153" xr:uid="{00000000-0005-0000-0000-0000E8160000}"/>
    <cellStyle name="20% - Accent4 2 3 2 6 2" xfId="24302" xr:uid="{00000000-0005-0000-0000-0000E9160000}"/>
    <cellStyle name="20% - Accent4 2 3 2 7" xfId="10836" xr:uid="{00000000-0005-0000-0000-0000EA160000}"/>
    <cellStyle name="20% - Accent4 2 3 2 7 2" xfId="25985" xr:uid="{00000000-0005-0000-0000-0000EB160000}"/>
    <cellStyle name="20% - Accent4 2 3 2 8" xfId="12520" xr:uid="{00000000-0005-0000-0000-0000EC160000}"/>
    <cellStyle name="20% - Accent4 2 3 2 8 2" xfId="27669" xr:uid="{00000000-0005-0000-0000-0000ED160000}"/>
    <cellStyle name="20% - Accent4 2 3 2 9" xfId="14203" xr:uid="{00000000-0005-0000-0000-0000EE160000}"/>
    <cellStyle name="20% - Accent4 2 3 2 9 2" xfId="29352" xr:uid="{00000000-0005-0000-0000-0000EF160000}"/>
    <cellStyle name="20% - Accent4 2 3 20" xfId="40713" xr:uid="{00000000-0005-0000-0000-0000F0160000}"/>
    <cellStyle name="20% - Accent4 2 3 21" xfId="42396" xr:uid="{00000000-0005-0000-0000-0000F1160000}"/>
    <cellStyle name="20% - Accent4 2 3 22" xfId="44079" xr:uid="{00000000-0005-0000-0000-0000F2160000}"/>
    <cellStyle name="20% - Accent4 2 3 23" xfId="45762" xr:uid="{00000000-0005-0000-0000-0000F3160000}"/>
    <cellStyle name="20% - Accent4 2 3 24" xfId="47445" xr:uid="{00000000-0005-0000-0000-0000F4160000}"/>
    <cellStyle name="20% - Accent4 2 3 25" xfId="49128" xr:uid="{00000000-0005-0000-0000-0000F5160000}"/>
    <cellStyle name="20% - Accent4 2 3 26" xfId="50811" xr:uid="{00000000-0005-0000-0000-0000F6160000}"/>
    <cellStyle name="20% - Accent4 2 3 27" xfId="52494" xr:uid="{00000000-0005-0000-0000-0000F7160000}"/>
    <cellStyle name="20% - Accent4 2 3 28" xfId="54177" xr:uid="{00000000-0005-0000-0000-0000F8160000}"/>
    <cellStyle name="20% - Accent4 2 3 29" xfId="55860" xr:uid="{00000000-0005-0000-0000-0000F9160000}"/>
    <cellStyle name="20% - Accent4 2 3 3" xfId="1158" xr:uid="{00000000-0005-0000-0000-0000FA160000}"/>
    <cellStyle name="20% - Accent4 2 3 3 10" xfId="16307" xr:uid="{00000000-0005-0000-0000-0000FB160000}"/>
    <cellStyle name="20% - Accent4 2 3 3 11" xfId="31456" xr:uid="{00000000-0005-0000-0000-0000FC160000}"/>
    <cellStyle name="20% - Accent4 2 3 3 12" xfId="33139" xr:uid="{00000000-0005-0000-0000-0000FD160000}"/>
    <cellStyle name="20% - Accent4 2 3 3 13" xfId="34822" xr:uid="{00000000-0005-0000-0000-0000FE160000}"/>
    <cellStyle name="20% - Accent4 2 3 3 14" xfId="36505" xr:uid="{00000000-0005-0000-0000-0000FF160000}"/>
    <cellStyle name="20% - Accent4 2 3 3 15" xfId="38188" xr:uid="{00000000-0005-0000-0000-000000170000}"/>
    <cellStyle name="20% - Accent4 2 3 3 16" xfId="39871" xr:uid="{00000000-0005-0000-0000-000001170000}"/>
    <cellStyle name="20% - Accent4 2 3 3 17" xfId="41554" xr:uid="{00000000-0005-0000-0000-000002170000}"/>
    <cellStyle name="20% - Accent4 2 3 3 18" xfId="43237" xr:uid="{00000000-0005-0000-0000-000003170000}"/>
    <cellStyle name="20% - Accent4 2 3 3 19" xfId="44920" xr:uid="{00000000-0005-0000-0000-000004170000}"/>
    <cellStyle name="20% - Accent4 2 3 3 2" xfId="2841" xr:uid="{00000000-0005-0000-0000-000005170000}"/>
    <cellStyle name="20% - Accent4 2 3 3 2 2" xfId="17990" xr:uid="{00000000-0005-0000-0000-000006170000}"/>
    <cellStyle name="20% - Accent4 2 3 3 20" xfId="46603" xr:uid="{00000000-0005-0000-0000-000007170000}"/>
    <cellStyle name="20% - Accent4 2 3 3 21" xfId="48286" xr:uid="{00000000-0005-0000-0000-000008170000}"/>
    <cellStyle name="20% - Accent4 2 3 3 22" xfId="49969" xr:uid="{00000000-0005-0000-0000-000009170000}"/>
    <cellStyle name="20% - Accent4 2 3 3 23" xfId="51652" xr:uid="{00000000-0005-0000-0000-00000A170000}"/>
    <cellStyle name="20% - Accent4 2 3 3 24" xfId="53335" xr:uid="{00000000-0005-0000-0000-00000B170000}"/>
    <cellStyle name="20% - Accent4 2 3 3 25" xfId="55018" xr:uid="{00000000-0005-0000-0000-00000C170000}"/>
    <cellStyle name="20% - Accent4 2 3 3 26" xfId="56701" xr:uid="{00000000-0005-0000-0000-00000D170000}"/>
    <cellStyle name="20% - Accent4 2 3 3 27" xfId="58384" xr:uid="{00000000-0005-0000-0000-00000E170000}"/>
    <cellStyle name="20% - Accent4 2 3 3 28" xfId="60067" xr:uid="{00000000-0005-0000-0000-00000F170000}"/>
    <cellStyle name="20% - Accent4 2 3 3 29" xfId="61750" xr:uid="{00000000-0005-0000-0000-000010170000}"/>
    <cellStyle name="20% - Accent4 2 3 3 3" xfId="4525" xr:uid="{00000000-0005-0000-0000-000011170000}"/>
    <cellStyle name="20% - Accent4 2 3 3 3 2" xfId="19674" xr:uid="{00000000-0005-0000-0000-000012170000}"/>
    <cellStyle name="20% - Accent4 2 3 3 30" xfId="63433" xr:uid="{00000000-0005-0000-0000-000013170000}"/>
    <cellStyle name="20% - Accent4 2 3 3 4" xfId="6208" xr:uid="{00000000-0005-0000-0000-000014170000}"/>
    <cellStyle name="20% - Accent4 2 3 3 4 2" xfId="21357" xr:uid="{00000000-0005-0000-0000-000015170000}"/>
    <cellStyle name="20% - Accent4 2 3 3 5" xfId="7891" xr:uid="{00000000-0005-0000-0000-000016170000}"/>
    <cellStyle name="20% - Accent4 2 3 3 5 2" xfId="23040" xr:uid="{00000000-0005-0000-0000-000017170000}"/>
    <cellStyle name="20% - Accent4 2 3 3 6" xfId="9574" xr:uid="{00000000-0005-0000-0000-000018170000}"/>
    <cellStyle name="20% - Accent4 2 3 3 6 2" xfId="24723" xr:uid="{00000000-0005-0000-0000-000019170000}"/>
    <cellStyle name="20% - Accent4 2 3 3 7" xfId="11257" xr:uid="{00000000-0005-0000-0000-00001A170000}"/>
    <cellStyle name="20% - Accent4 2 3 3 7 2" xfId="26406" xr:uid="{00000000-0005-0000-0000-00001B170000}"/>
    <cellStyle name="20% - Accent4 2 3 3 8" xfId="12941" xr:uid="{00000000-0005-0000-0000-00001C170000}"/>
    <cellStyle name="20% - Accent4 2 3 3 8 2" xfId="28090" xr:uid="{00000000-0005-0000-0000-00001D170000}"/>
    <cellStyle name="20% - Accent4 2 3 3 9" xfId="14624" xr:uid="{00000000-0005-0000-0000-00001E170000}"/>
    <cellStyle name="20% - Accent4 2 3 3 9 2" xfId="29773" xr:uid="{00000000-0005-0000-0000-00001F170000}"/>
    <cellStyle name="20% - Accent4 2 3 30" xfId="57543" xr:uid="{00000000-0005-0000-0000-000020170000}"/>
    <cellStyle name="20% - Accent4 2 3 31" xfId="59226" xr:uid="{00000000-0005-0000-0000-000021170000}"/>
    <cellStyle name="20% - Accent4 2 3 32" xfId="60909" xr:uid="{00000000-0005-0000-0000-000022170000}"/>
    <cellStyle name="20% - Accent4 2 3 33" xfId="62592" xr:uid="{00000000-0005-0000-0000-000023170000}"/>
    <cellStyle name="20% - Accent4 2 3 4" xfId="1579" xr:uid="{00000000-0005-0000-0000-000024170000}"/>
    <cellStyle name="20% - Accent4 2 3 4 10" xfId="16728" xr:uid="{00000000-0005-0000-0000-000025170000}"/>
    <cellStyle name="20% - Accent4 2 3 4 11" xfId="31877" xr:uid="{00000000-0005-0000-0000-000026170000}"/>
    <cellStyle name="20% - Accent4 2 3 4 12" xfId="33560" xr:uid="{00000000-0005-0000-0000-000027170000}"/>
    <cellStyle name="20% - Accent4 2 3 4 13" xfId="35243" xr:uid="{00000000-0005-0000-0000-000028170000}"/>
    <cellStyle name="20% - Accent4 2 3 4 14" xfId="36926" xr:uid="{00000000-0005-0000-0000-000029170000}"/>
    <cellStyle name="20% - Accent4 2 3 4 15" xfId="38609" xr:uid="{00000000-0005-0000-0000-00002A170000}"/>
    <cellStyle name="20% - Accent4 2 3 4 16" xfId="40292" xr:uid="{00000000-0005-0000-0000-00002B170000}"/>
    <cellStyle name="20% - Accent4 2 3 4 17" xfId="41975" xr:uid="{00000000-0005-0000-0000-00002C170000}"/>
    <cellStyle name="20% - Accent4 2 3 4 18" xfId="43658" xr:uid="{00000000-0005-0000-0000-00002D170000}"/>
    <cellStyle name="20% - Accent4 2 3 4 19" xfId="45341" xr:uid="{00000000-0005-0000-0000-00002E170000}"/>
    <cellStyle name="20% - Accent4 2 3 4 2" xfId="3262" xr:uid="{00000000-0005-0000-0000-00002F170000}"/>
    <cellStyle name="20% - Accent4 2 3 4 2 2" xfId="18411" xr:uid="{00000000-0005-0000-0000-000030170000}"/>
    <cellStyle name="20% - Accent4 2 3 4 20" xfId="47024" xr:uid="{00000000-0005-0000-0000-000031170000}"/>
    <cellStyle name="20% - Accent4 2 3 4 21" xfId="48707" xr:uid="{00000000-0005-0000-0000-000032170000}"/>
    <cellStyle name="20% - Accent4 2 3 4 22" xfId="50390" xr:uid="{00000000-0005-0000-0000-000033170000}"/>
    <cellStyle name="20% - Accent4 2 3 4 23" xfId="52073" xr:uid="{00000000-0005-0000-0000-000034170000}"/>
    <cellStyle name="20% - Accent4 2 3 4 24" xfId="53756" xr:uid="{00000000-0005-0000-0000-000035170000}"/>
    <cellStyle name="20% - Accent4 2 3 4 25" xfId="55439" xr:uid="{00000000-0005-0000-0000-000036170000}"/>
    <cellStyle name="20% - Accent4 2 3 4 26" xfId="57122" xr:uid="{00000000-0005-0000-0000-000037170000}"/>
    <cellStyle name="20% - Accent4 2 3 4 27" xfId="58805" xr:uid="{00000000-0005-0000-0000-000038170000}"/>
    <cellStyle name="20% - Accent4 2 3 4 28" xfId="60488" xr:uid="{00000000-0005-0000-0000-000039170000}"/>
    <cellStyle name="20% - Accent4 2 3 4 29" xfId="62171" xr:uid="{00000000-0005-0000-0000-00003A170000}"/>
    <cellStyle name="20% - Accent4 2 3 4 3" xfId="4946" xr:uid="{00000000-0005-0000-0000-00003B170000}"/>
    <cellStyle name="20% - Accent4 2 3 4 3 2" xfId="20095" xr:uid="{00000000-0005-0000-0000-00003C170000}"/>
    <cellStyle name="20% - Accent4 2 3 4 30" xfId="63854" xr:uid="{00000000-0005-0000-0000-00003D170000}"/>
    <cellStyle name="20% - Accent4 2 3 4 4" xfId="6629" xr:uid="{00000000-0005-0000-0000-00003E170000}"/>
    <cellStyle name="20% - Accent4 2 3 4 4 2" xfId="21778" xr:uid="{00000000-0005-0000-0000-00003F170000}"/>
    <cellStyle name="20% - Accent4 2 3 4 5" xfId="8312" xr:uid="{00000000-0005-0000-0000-000040170000}"/>
    <cellStyle name="20% - Accent4 2 3 4 5 2" xfId="23461" xr:uid="{00000000-0005-0000-0000-000041170000}"/>
    <cellStyle name="20% - Accent4 2 3 4 6" xfId="9995" xr:uid="{00000000-0005-0000-0000-000042170000}"/>
    <cellStyle name="20% - Accent4 2 3 4 6 2" xfId="25144" xr:uid="{00000000-0005-0000-0000-000043170000}"/>
    <cellStyle name="20% - Accent4 2 3 4 7" xfId="11678" xr:uid="{00000000-0005-0000-0000-000044170000}"/>
    <cellStyle name="20% - Accent4 2 3 4 7 2" xfId="26827" xr:uid="{00000000-0005-0000-0000-000045170000}"/>
    <cellStyle name="20% - Accent4 2 3 4 8" xfId="13362" xr:uid="{00000000-0005-0000-0000-000046170000}"/>
    <cellStyle name="20% - Accent4 2 3 4 8 2" xfId="28511" xr:uid="{00000000-0005-0000-0000-000047170000}"/>
    <cellStyle name="20% - Accent4 2 3 4 9" xfId="15045" xr:uid="{00000000-0005-0000-0000-000048170000}"/>
    <cellStyle name="20% - Accent4 2 3 4 9 2" xfId="30194" xr:uid="{00000000-0005-0000-0000-000049170000}"/>
    <cellStyle name="20% - Accent4 2 3 5" xfId="2000" xr:uid="{00000000-0005-0000-0000-00004A170000}"/>
    <cellStyle name="20% - Accent4 2 3 5 2" xfId="17149" xr:uid="{00000000-0005-0000-0000-00004B170000}"/>
    <cellStyle name="20% - Accent4 2 3 6" xfId="3684" xr:uid="{00000000-0005-0000-0000-00004C170000}"/>
    <cellStyle name="20% - Accent4 2 3 6 2" xfId="18833" xr:uid="{00000000-0005-0000-0000-00004D170000}"/>
    <cellStyle name="20% - Accent4 2 3 7" xfId="5367" xr:uid="{00000000-0005-0000-0000-00004E170000}"/>
    <cellStyle name="20% - Accent4 2 3 7 2" xfId="20516" xr:uid="{00000000-0005-0000-0000-00004F170000}"/>
    <cellStyle name="20% - Accent4 2 3 8" xfId="7050" xr:uid="{00000000-0005-0000-0000-000050170000}"/>
    <cellStyle name="20% - Accent4 2 3 8 2" xfId="22199" xr:uid="{00000000-0005-0000-0000-000051170000}"/>
    <cellStyle name="20% - Accent4 2 3 9" xfId="8733" xr:uid="{00000000-0005-0000-0000-000052170000}"/>
    <cellStyle name="20% - Accent4 2 3 9 2" xfId="23882" xr:uid="{00000000-0005-0000-0000-000053170000}"/>
    <cellStyle name="20% - Accent4 2 30" xfId="53967" xr:uid="{00000000-0005-0000-0000-000054170000}"/>
    <cellStyle name="20% - Accent4 2 31" xfId="55650" xr:uid="{00000000-0005-0000-0000-000055170000}"/>
    <cellStyle name="20% - Accent4 2 32" xfId="57333" xr:uid="{00000000-0005-0000-0000-000056170000}"/>
    <cellStyle name="20% - Accent4 2 33" xfId="59016" xr:uid="{00000000-0005-0000-0000-000057170000}"/>
    <cellStyle name="20% - Accent4 2 34" xfId="60699" xr:uid="{00000000-0005-0000-0000-000058170000}"/>
    <cellStyle name="20% - Accent4 2 35" xfId="62382" xr:uid="{00000000-0005-0000-0000-000059170000}"/>
    <cellStyle name="20% - Accent4 2 4" xfId="527" xr:uid="{00000000-0005-0000-0000-00005A170000}"/>
    <cellStyle name="20% - Accent4 2 4 10" xfId="15676" xr:uid="{00000000-0005-0000-0000-00005B170000}"/>
    <cellStyle name="20% - Accent4 2 4 11" xfId="30825" xr:uid="{00000000-0005-0000-0000-00005C170000}"/>
    <cellStyle name="20% - Accent4 2 4 12" xfId="32508" xr:uid="{00000000-0005-0000-0000-00005D170000}"/>
    <cellStyle name="20% - Accent4 2 4 13" xfId="34191" xr:uid="{00000000-0005-0000-0000-00005E170000}"/>
    <cellStyle name="20% - Accent4 2 4 14" xfId="35874" xr:uid="{00000000-0005-0000-0000-00005F170000}"/>
    <cellStyle name="20% - Accent4 2 4 15" xfId="37557" xr:uid="{00000000-0005-0000-0000-000060170000}"/>
    <cellStyle name="20% - Accent4 2 4 16" xfId="39240" xr:uid="{00000000-0005-0000-0000-000061170000}"/>
    <cellStyle name="20% - Accent4 2 4 17" xfId="40923" xr:uid="{00000000-0005-0000-0000-000062170000}"/>
    <cellStyle name="20% - Accent4 2 4 18" xfId="42606" xr:uid="{00000000-0005-0000-0000-000063170000}"/>
    <cellStyle name="20% - Accent4 2 4 19" xfId="44289" xr:uid="{00000000-0005-0000-0000-000064170000}"/>
    <cellStyle name="20% - Accent4 2 4 2" xfId="2210" xr:uid="{00000000-0005-0000-0000-000065170000}"/>
    <cellStyle name="20% - Accent4 2 4 2 2" xfId="17359" xr:uid="{00000000-0005-0000-0000-000066170000}"/>
    <cellStyle name="20% - Accent4 2 4 20" xfId="45972" xr:uid="{00000000-0005-0000-0000-000067170000}"/>
    <cellStyle name="20% - Accent4 2 4 21" xfId="47655" xr:uid="{00000000-0005-0000-0000-000068170000}"/>
    <cellStyle name="20% - Accent4 2 4 22" xfId="49338" xr:uid="{00000000-0005-0000-0000-000069170000}"/>
    <cellStyle name="20% - Accent4 2 4 23" xfId="51021" xr:uid="{00000000-0005-0000-0000-00006A170000}"/>
    <cellStyle name="20% - Accent4 2 4 24" xfId="52704" xr:uid="{00000000-0005-0000-0000-00006B170000}"/>
    <cellStyle name="20% - Accent4 2 4 25" xfId="54387" xr:uid="{00000000-0005-0000-0000-00006C170000}"/>
    <cellStyle name="20% - Accent4 2 4 26" xfId="56070" xr:uid="{00000000-0005-0000-0000-00006D170000}"/>
    <cellStyle name="20% - Accent4 2 4 27" xfId="57753" xr:uid="{00000000-0005-0000-0000-00006E170000}"/>
    <cellStyle name="20% - Accent4 2 4 28" xfId="59436" xr:uid="{00000000-0005-0000-0000-00006F170000}"/>
    <cellStyle name="20% - Accent4 2 4 29" xfId="61119" xr:uid="{00000000-0005-0000-0000-000070170000}"/>
    <cellStyle name="20% - Accent4 2 4 3" xfId="3894" xr:uid="{00000000-0005-0000-0000-000071170000}"/>
    <cellStyle name="20% - Accent4 2 4 3 2" xfId="19043" xr:uid="{00000000-0005-0000-0000-000072170000}"/>
    <cellStyle name="20% - Accent4 2 4 30" xfId="62802" xr:uid="{00000000-0005-0000-0000-000073170000}"/>
    <cellStyle name="20% - Accent4 2 4 4" xfId="5577" xr:uid="{00000000-0005-0000-0000-000074170000}"/>
    <cellStyle name="20% - Accent4 2 4 4 2" xfId="20726" xr:uid="{00000000-0005-0000-0000-000075170000}"/>
    <cellStyle name="20% - Accent4 2 4 5" xfId="7260" xr:uid="{00000000-0005-0000-0000-000076170000}"/>
    <cellStyle name="20% - Accent4 2 4 5 2" xfId="22409" xr:uid="{00000000-0005-0000-0000-000077170000}"/>
    <cellStyle name="20% - Accent4 2 4 6" xfId="8943" xr:uid="{00000000-0005-0000-0000-000078170000}"/>
    <cellStyle name="20% - Accent4 2 4 6 2" xfId="24092" xr:uid="{00000000-0005-0000-0000-000079170000}"/>
    <cellStyle name="20% - Accent4 2 4 7" xfId="10626" xr:uid="{00000000-0005-0000-0000-00007A170000}"/>
    <cellStyle name="20% - Accent4 2 4 7 2" xfId="25775" xr:uid="{00000000-0005-0000-0000-00007B170000}"/>
    <cellStyle name="20% - Accent4 2 4 8" xfId="12310" xr:uid="{00000000-0005-0000-0000-00007C170000}"/>
    <cellStyle name="20% - Accent4 2 4 8 2" xfId="27459" xr:uid="{00000000-0005-0000-0000-00007D170000}"/>
    <cellStyle name="20% - Accent4 2 4 9" xfId="13993" xr:uid="{00000000-0005-0000-0000-00007E170000}"/>
    <cellStyle name="20% - Accent4 2 4 9 2" xfId="29142" xr:uid="{00000000-0005-0000-0000-00007F170000}"/>
    <cellStyle name="20% - Accent4 2 5" xfId="948" xr:uid="{00000000-0005-0000-0000-000080170000}"/>
    <cellStyle name="20% - Accent4 2 5 10" xfId="16097" xr:uid="{00000000-0005-0000-0000-000081170000}"/>
    <cellStyle name="20% - Accent4 2 5 11" xfId="31246" xr:uid="{00000000-0005-0000-0000-000082170000}"/>
    <cellStyle name="20% - Accent4 2 5 12" xfId="32929" xr:uid="{00000000-0005-0000-0000-000083170000}"/>
    <cellStyle name="20% - Accent4 2 5 13" xfId="34612" xr:uid="{00000000-0005-0000-0000-000084170000}"/>
    <cellStyle name="20% - Accent4 2 5 14" xfId="36295" xr:uid="{00000000-0005-0000-0000-000085170000}"/>
    <cellStyle name="20% - Accent4 2 5 15" xfId="37978" xr:uid="{00000000-0005-0000-0000-000086170000}"/>
    <cellStyle name="20% - Accent4 2 5 16" xfId="39661" xr:uid="{00000000-0005-0000-0000-000087170000}"/>
    <cellStyle name="20% - Accent4 2 5 17" xfId="41344" xr:uid="{00000000-0005-0000-0000-000088170000}"/>
    <cellStyle name="20% - Accent4 2 5 18" xfId="43027" xr:uid="{00000000-0005-0000-0000-000089170000}"/>
    <cellStyle name="20% - Accent4 2 5 19" xfId="44710" xr:uid="{00000000-0005-0000-0000-00008A170000}"/>
    <cellStyle name="20% - Accent4 2 5 2" xfId="2631" xr:uid="{00000000-0005-0000-0000-00008B170000}"/>
    <cellStyle name="20% - Accent4 2 5 2 2" xfId="17780" xr:uid="{00000000-0005-0000-0000-00008C170000}"/>
    <cellStyle name="20% - Accent4 2 5 20" xfId="46393" xr:uid="{00000000-0005-0000-0000-00008D170000}"/>
    <cellStyle name="20% - Accent4 2 5 21" xfId="48076" xr:uid="{00000000-0005-0000-0000-00008E170000}"/>
    <cellStyle name="20% - Accent4 2 5 22" xfId="49759" xr:uid="{00000000-0005-0000-0000-00008F170000}"/>
    <cellStyle name="20% - Accent4 2 5 23" xfId="51442" xr:uid="{00000000-0005-0000-0000-000090170000}"/>
    <cellStyle name="20% - Accent4 2 5 24" xfId="53125" xr:uid="{00000000-0005-0000-0000-000091170000}"/>
    <cellStyle name="20% - Accent4 2 5 25" xfId="54808" xr:uid="{00000000-0005-0000-0000-000092170000}"/>
    <cellStyle name="20% - Accent4 2 5 26" xfId="56491" xr:uid="{00000000-0005-0000-0000-000093170000}"/>
    <cellStyle name="20% - Accent4 2 5 27" xfId="58174" xr:uid="{00000000-0005-0000-0000-000094170000}"/>
    <cellStyle name="20% - Accent4 2 5 28" xfId="59857" xr:uid="{00000000-0005-0000-0000-000095170000}"/>
    <cellStyle name="20% - Accent4 2 5 29" xfId="61540" xr:uid="{00000000-0005-0000-0000-000096170000}"/>
    <cellStyle name="20% - Accent4 2 5 3" xfId="4315" xr:uid="{00000000-0005-0000-0000-000097170000}"/>
    <cellStyle name="20% - Accent4 2 5 3 2" xfId="19464" xr:uid="{00000000-0005-0000-0000-000098170000}"/>
    <cellStyle name="20% - Accent4 2 5 30" xfId="63223" xr:uid="{00000000-0005-0000-0000-000099170000}"/>
    <cellStyle name="20% - Accent4 2 5 4" xfId="5998" xr:uid="{00000000-0005-0000-0000-00009A170000}"/>
    <cellStyle name="20% - Accent4 2 5 4 2" xfId="21147" xr:uid="{00000000-0005-0000-0000-00009B170000}"/>
    <cellStyle name="20% - Accent4 2 5 5" xfId="7681" xr:uid="{00000000-0005-0000-0000-00009C170000}"/>
    <cellStyle name="20% - Accent4 2 5 5 2" xfId="22830" xr:uid="{00000000-0005-0000-0000-00009D170000}"/>
    <cellStyle name="20% - Accent4 2 5 6" xfId="9364" xr:uid="{00000000-0005-0000-0000-00009E170000}"/>
    <cellStyle name="20% - Accent4 2 5 6 2" xfId="24513" xr:uid="{00000000-0005-0000-0000-00009F170000}"/>
    <cellStyle name="20% - Accent4 2 5 7" xfId="11047" xr:uid="{00000000-0005-0000-0000-0000A0170000}"/>
    <cellStyle name="20% - Accent4 2 5 7 2" xfId="26196" xr:uid="{00000000-0005-0000-0000-0000A1170000}"/>
    <cellStyle name="20% - Accent4 2 5 8" xfId="12731" xr:uid="{00000000-0005-0000-0000-0000A2170000}"/>
    <cellStyle name="20% - Accent4 2 5 8 2" xfId="27880" xr:uid="{00000000-0005-0000-0000-0000A3170000}"/>
    <cellStyle name="20% - Accent4 2 5 9" xfId="14414" xr:uid="{00000000-0005-0000-0000-0000A4170000}"/>
    <cellStyle name="20% - Accent4 2 5 9 2" xfId="29563" xr:uid="{00000000-0005-0000-0000-0000A5170000}"/>
    <cellStyle name="20% - Accent4 2 6" xfId="1369" xr:uid="{00000000-0005-0000-0000-0000A6170000}"/>
    <cellStyle name="20% - Accent4 2 6 10" xfId="16518" xr:uid="{00000000-0005-0000-0000-0000A7170000}"/>
    <cellStyle name="20% - Accent4 2 6 11" xfId="31667" xr:uid="{00000000-0005-0000-0000-0000A8170000}"/>
    <cellStyle name="20% - Accent4 2 6 12" xfId="33350" xr:uid="{00000000-0005-0000-0000-0000A9170000}"/>
    <cellStyle name="20% - Accent4 2 6 13" xfId="35033" xr:uid="{00000000-0005-0000-0000-0000AA170000}"/>
    <cellStyle name="20% - Accent4 2 6 14" xfId="36716" xr:uid="{00000000-0005-0000-0000-0000AB170000}"/>
    <cellStyle name="20% - Accent4 2 6 15" xfId="38399" xr:uid="{00000000-0005-0000-0000-0000AC170000}"/>
    <cellStyle name="20% - Accent4 2 6 16" xfId="40082" xr:uid="{00000000-0005-0000-0000-0000AD170000}"/>
    <cellStyle name="20% - Accent4 2 6 17" xfId="41765" xr:uid="{00000000-0005-0000-0000-0000AE170000}"/>
    <cellStyle name="20% - Accent4 2 6 18" xfId="43448" xr:uid="{00000000-0005-0000-0000-0000AF170000}"/>
    <cellStyle name="20% - Accent4 2 6 19" xfId="45131" xr:uid="{00000000-0005-0000-0000-0000B0170000}"/>
    <cellStyle name="20% - Accent4 2 6 2" xfId="3052" xr:uid="{00000000-0005-0000-0000-0000B1170000}"/>
    <cellStyle name="20% - Accent4 2 6 2 2" xfId="18201" xr:uid="{00000000-0005-0000-0000-0000B2170000}"/>
    <cellStyle name="20% - Accent4 2 6 20" xfId="46814" xr:uid="{00000000-0005-0000-0000-0000B3170000}"/>
    <cellStyle name="20% - Accent4 2 6 21" xfId="48497" xr:uid="{00000000-0005-0000-0000-0000B4170000}"/>
    <cellStyle name="20% - Accent4 2 6 22" xfId="50180" xr:uid="{00000000-0005-0000-0000-0000B5170000}"/>
    <cellStyle name="20% - Accent4 2 6 23" xfId="51863" xr:uid="{00000000-0005-0000-0000-0000B6170000}"/>
    <cellStyle name="20% - Accent4 2 6 24" xfId="53546" xr:uid="{00000000-0005-0000-0000-0000B7170000}"/>
    <cellStyle name="20% - Accent4 2 6 25" xfId="55229" xr:uid="{00000000-0005-0000-0000-0000B8170000}"/>
    <cellStyle name="20% - Accent4 2 6 26" xfId="56912" xr:uid="{00000000-0005-0000-0000-0000B9170000}"/>
    <cellStyle name="20% - Accent4 2 6 27" xfId="58595" xr:uid="{00000000-0005-0000-0000-0000BA170000}"/>
    <cellStyle name="20% - Accent4 2 6 28" xfId="60278" xr:uid="{00000000-0005-0000-0000-0000BB170000}"/>
    <cellStyle name="20% - Accent4 2 6 29" xfId="61961" xr:uid="{00000000-0005-0000-0000-0000BC170000}"/>
    <cellStyle name="20% - Accent4 2 6 3" xfId="4736" xr:uid="{00000000-0005-0000-0000-0000BD170000}"/>
    <cellStyle name="20% - Accent4 2 6 3 2" xfId="19885" xr:uid="{00000000-0005-0000-0000-0000BE170000}"/>
    <cellStyle name="20% - Accent4 2 6 30" xfId="63644" xr:uid="{00000000-0005-0000-0000-0000BF170000}"/>
    <cellStyle name="20% - Accent4 2 6 4" xfId="6419" xr:uid="{00000000-0005-0000-0000-0000C0170000}"/>
    <cellStyle name="20% - Accent4 2 6 4 2" xfId="21568" xr:uid="{00000000-0005-0000-0000-0000C1170000}"/>
    <cellStyle name="20% - Accent4 2 6 5" xfId="8102" xr:uid="{00000000-0005-0000-0000-0000C2170000}"/>
    <cellStyle name="20% - Accent4 2 6 5 2" xfId="23251" xr:uid="{00000000-0005-0000-0000-0000C3170000}"/>
    <cellStyle name="20% - Accent4 2 6 6" xfId="9785" xr:uid="{00000000-0005-0000-0000-0000C4170000}"/>
    <cellStyle name="20% - Accent4 2 6 6 2" xfId="24934" xr:uid="{00000000-0005-0000-0000-0000C5170000}"/>
    <cellStyle name="20% - Accent4 2 6 7" xfId="11468" xr:uid="{00000000-0005-0000-0000-0000C6170000}"/>
    <cellStyle name="20% - Accent4 2 6 7 2" xfId="26617" xr:uid="{00000000-0005-0000-0000-0000C7170000}"/>
    <cellStyle name="20% - Accent4 2 6 8" xfId="13152" xr:uid="{00000000-0005-0000-0000-0000C8170000}"/>
    <cellStyle name="20% - Accent4 2 6 8 2" xfId="28301" xr:uid="{00000000-0005-0000-0000-0000C9170000}"/>
    <cellStyle name="20% - Accent4 2 6 9" xfId="14835" xr:uid="{00000000-0005-0000-0000-0000CA170000}"/>
    <cellStyle name="20% - Accent4 2 6 9 2" xfId="29984" xr:uid="{00000000-0005-0000-0000-0000CB170000}"/>
    <cellStyle name="20% - Accent4 2 7" xfId="1790" xr:uid="{00000000-0005-0000-0000-0000CC170000}"/>
    <cellStyle name="20% - Accent4 2 7 2" xfId="16939" xr:uid="{00000000-0005-0000-0000-0000CD170000}"/>
    <cellStyle name="20% - Accent4 2 8" xfId="3474" xr:uid="{00000000-0005-0000-0000-0000CE170000}"/>
    <cellStyle name="20% - Accent4 2 8 2" xfId="18623" xr:uid="{00000000-0005-0000-0000-0000CF170000}"/>
    <cellStyle name="20% - Accent4 2 9" xfId="5157" xr:uid="{00000000-0005-0000-0000-0000D0170000}"/>
    <cellStyle name="20% - Accent4 2 9 2" xfId="20306" xr:uid="{00000000-0005-0000-0000-0000D1170000}"/>
    <cellStyle name="20% - Accent4 20" xfId="33749" xr:uid="{00000000-0005-0000-0000-0000D2170000}"/>
    <cellStyle name="20% - Accent4 21" xfId="35432" xr:uid="{00000000-0005-0000-0000-0000D3170000}"/>
    <cellStyle name="20% - Accent4 22" xfId="37115" xr:uid="{00000000-0005-0000-0000-0000D4170000}"/>
    <cellStyle name="20% - Accent4 23" xfId="38798" xr:uid="{00000000-0005-0000-0000-0000D5170000}"/>
    <cellStyle name="20% - Accent4 24" xfId="40481" xr:uid="{00000000-0005-0000-0000-0000D6170000}"/>
    <cellStyle name="20% - Accent4 25" xfId="42164" xr:uid="{00000000-0005-0000-0000-0000D7170000}"/>
    <cellStyle name="20% - Accent4 26" xfId="43847" xr:uid="{00000000-0005-0000-0000-0000D8170000}"/>
    <cellStyle name="20% - Accent4 27" xfId="45530" xr:uid="{00000000-0005-0000-0000-0000D9170000}"/>
    <cellStyle name="20% - Accent4 28" xfId="47213" xr:uid="{00000000-0005-0000-0000-0000DA170000}"/>
    <cellStyle name="20% - Accent4 29" xfId="48896" xr:uid="{00000000-0005-0000-0000-0000DB170000}"/>
    <cellStyle name="20% - Accent4 3" xfId="127" xr:uid="{00000000-0005-0000-0000-0000DC170000}"/>
    <cellStyle name="20% - Accent4 3 10" xfId="6860" xr:uid="{00000000-0005-0000-0000-0000DD170000}"/>
    <cellStyle name="20% - Accent4 3 10 2" xfId="22009" xr:uid="{00000000-0005-0000-0000-0000DE170000}"/>
    <cellStyle name="20% - Accent4 3 11" xfId="8543" xr:uid="{00000000-0005-0000-0000-0000DF170000}"/>
    <cellStyle name="20% - Accent4 3 11 2" xfId="23692" xr:uid="{00000000-0005-0000-0000-0000E0170000}"/>
    <cellStyle name="20% - Accent4 3 12" xfId="10226" xr:uid="{00000000-0005-0000-0000-0000E1170000}"/>
    <cellStyle name="20% - Accent4 3 12 2" xfId="25375" xr:uid="{00000000-0005-0000-0000-0000E2170000}"/>
    <cellStyle name="20% - Accent4 3 13" xfId="11910" xr:uid="{00000000-0005-0000-0000-0000E3170000}"/>
    <cellStyle name="20% - Accent4 3 13 2" xfId="27059" xr:uid="{00000000-0005-0000-0000-0000E4170000}"/>
    <cellStyle name="20% - Accent4 3 14" xfId="13593" xr:uid="{00000000-0005-0000-0000-0000E5170000}"/>
    <cellStyle name="20% - Accent4 3 14 2" xfId="28742" xr:uid="{00000000-0005-0000-0000-0000E6170000}"/>
    <cellStyle name="20% - Accent4 3 15" xfId="15276" xr:uid="{00000000-0005-0000-0000-0000E7170000}"/>
    <cellStyle name="20% - Accent4 3 16" xfId="30425" xr:uid="{00000000-0005-0000-0000-0000E8170000}"/>
    <cellStyle name="20% - Accent4 3 17" xfId="32108" xr:uid="{00000000-0005-0000-0000-0000E9170000}"/>
    <cellStyle name="20% - Accent4 3 18" xfId="33791" xr:uid="{00000000-0005-0000-0000-0000EA170000}"/>
    <cellStyle name="20% - Accent4 3 19" xfId="35474" xr:uid="{00000000-0005-0000-0000-0000EB170000}"/>
    <cellStyle name="20% - Accent4 3 2" xfId="232" xr:uid="{00000000-0005-0000-0000-0000EC170000}"/>
    <cellStyle name="20% - Accent4 3 2 10" xfId="8648" xr:uid="{00000000-0005-0000-0000-0000ED170000}"/>
    <cellStyle name="20% - Accent4 3 2 10 2" xfId="23797" xr:uid="{00000000-0005-0000-0000-0000EE170000}"/>
    <cellStyle name="20% - Accent4 3 2 11" xfId="10331" xr:uid="{00000000-0005-0000-0000-0000EF170000}"/>
    <cellStyle name="20% - Accent4 3 2 11 2" xfId="25480" xr:uid="{00000000-0005-0000-0000-0000F0170000}"/>
    <cellStyle name="20% - Accent4 3 2 12" xfId="12015" xr:uid="{00000000-0005-0000-0000-0000F1170000}"/>
    <cellStyle name="20% - Accent4 3 2 12 2" xfId="27164" xr:uid="{00000000-0005-0000-0000-0000F2170000}"/>
    <cellStyle name="20% - Accent4 3 2 13" xfId="13698" xr:uid="{00000000-0005-0000-0000-0000F3170000}"/>
    <cellStyle name="20% - Accent4 3 2 13 2" xfId="28847" xr:uid="{00000000-0005-0000-0000-0000F4170000}"/>
    <cellStyle name="20% - Accent4 3 2 14" xfId="15381" xr:uid="{00000000-0005-0000-0000-0000F5170000}"/>
    <cellStyle name="20% - Accent4 3 2 15" xfId="30530" xr:uid="{00000000-0005-0000-0000-0000F6170000}"/>
    <cellStyle name="20% - Accent4 3 2 16" xfId="32213" xr:uid="{00000000-0005-0000-0000-0000F7170000}"/>
    <cellStyle name="20% - Accent4 3 2 17" xfId="33896" xr:uid="{00000000-0005-0000-0000-0000F8170000}"/>
    <cellStyle name="20% - Accent4 3 2 18" xfId="35579" xr:uid="{00000000-0005-0000-0000-0000F9170000}"/>
    <cellStyle name="20% - Accent4 3 2 19" xfId="37262" xr:uid="{00000000-0005-0000-0000-0000FA170000}"/>
    <cellStyle name="20% - Accent4 3 2 2" xfId="442" xr:uid="{00000000-0005-0000-0000-0000FB170000}"/>
    <cellStyle name="20% - Accent4 3 2 2 10" xfId="10541" xr:uid="{00000000-0005-0000-0000-0000FC170000}"/>
    <cellStyle name="20% - Accent4 3 2 2 10 2" xfId="25690" xr:uid="{00000000-0005-0000-0000-0000FD170000}"/>
    <cellStyle name="20% - Accent4 3 2 2 11" xfId="12225" xr:uid="{00000000-0005-0000-0000-0000FE170000}"/>
    <cellStyle name="20% - Accent4 3 2 2 11 2" xfId="27374" xr:uid="{00000000-0005-0000-0000-0000FF170000}"/>
    <cellStyle name="20% - Accent4 3 2 2 12" xfId="13908" xr:uid="{00000000-0005-0000-0000-000000180000}"/>
    <cellStyle name="20% - Accent4 3 2 2 12 2" xfId="29057" xr:uid="{00000000-0005-0000-0000-000001180000}"/>
    <cellStyle name="20% - Accent4 3 2 2 13" xfId="15591" xr:uid="{00000000-0005-0000-0000-000002180000}"/>
    <cellStyle name="20% - Accent4 3 2 2 14" xfId="30740" xr:uid="{00000000-0005-0000-0000-000003180000}"/>
    <cellStyle name="20% - Accent4 3 2 2 15" xfId="32423" xr:uid="{00000000-0005-0000-0000-000004180000}"/>
    <cellStyle name="20% - Accent4 3 2 2 16" xfId="34106" xr:uid="{00000000-0005-0000-0000-000005180000}"/>
    <cellStyle name="20% - Accent4 3 2 2 17" xfId="35789" xr:uid="{00000000-0005-0000-0000-000006180000}"/>
    <cellStyle name="20% - Accent4 3 2 2 18" xfId="37472" xr:uid="{00000000-0005-0000-0000-000007180000}"/>
    <cellStyle name="20% - Accent4 3 2 2 19" xfId="39155" xr:uid="{00000000-0005-0000-0000-000008180000}"/>
    <cellStyle name="20% - Accent4 3 2 2 2" xfId="862" xr:uid="{00000000-0005-0000-0000-000009180000}"/>
    <cellStyle name="20% - Accent4 3 2 2 2 10" xfId="16011" xr:uid="{00000000-0005-0000-0000-00000A180000}"/>
    <cellStyle name="20% - Accent4 3 2 2 2 11" xfId="31160" xr:uid="{00000000-0005-0000-0000-00000B180000}"/>
    <cellStyle name="20% - Accent4 3 2 2 2 12" xfId="32843" xr:uid="{00000000-0005-0000-0000-00000C180000}"/>
    <cellStyle name="20% - Accent4 3 2 2 2 13" xfId="34526" xr:uid="{00000000-0005-0000-0000-00000D180000}"/>
    <cellStyle name="20% - Accent4 3 2 2 2 14" xfId="36209" xr:uid="{00000000-0005-0000-0000-00000E180000}"/>
    <cellStyle name="20% - Accent4 3 2 2 2 15" xfId="37892" xr:uid="{00000000-0005-0000-0000-00000F180000}"/>
    <cellStyle name="20% - Accent4 3 2 2 2 16" xfId="39575" xr:uid="{00000000-0005-0000-0000-000010180000}"/>
    <cellStyle name="20% - Accent4 3 2 2 2 17" xfId="41258" xr:uid="{00000000-0005-0000-0000-000011180000}"/>
    <cellStyle name="20% - Accent4 3 2 2 2 18" xfId="42941" xr:uid="{00000000-0005-0000-0000-000012180000}"/>
    <cellStyle name="20% - Accent4 3 2 2 2 19" xfId="44624" xr:uid="{00000000-0005-0000-0000-000013180000}"/>
    <cellStyle name="20% - Accent4 3 2 2 2 2" xfId="2545" xr:uid="{00000000-0005-0000-0000-000014180000}"/>
    <cellStyle name="20% - Accent4 3 2 2 2 2 2" xfId="17694" xr:uid="{00000000-0005-0000-0000-000015180000}"/>
    <cellStyle name="20% - Accent4 3 2 2 2 20" xfId="46307" xr:uid="{00000000-0005-0000-0000-000016180000}"/>
    <cellStyle name="20% - Accent4 3 2 2 2 21" xfId="47990" xr:uid="{00000000-0005-0000-0000-000017180000}"/>
    <cellStyle name="20% - Accent4 3 2 2 2 22" xfId="49673" xr:uid="{00000000-0005-0000-0000-000018180000}"/>
    <cellStyle name="20% - Accent4 3 2 2 2 23" xfId="51356" xr:uid="{00000000-0005-0000-0000-000019180000}"/>
    <cellStyle name="20% - Accent4 3 2 2 2 24" xfId="53039" xr:uid="{00000000-0005-0000-0000-00001A180000}"/>
    <cellStyle name="20% - Accent4 3 2 2 2 25" xfId="54722" xr:uid="{00000000-0005-0000-0000-00001B180000}"/>
    <cellStyle name="20% - Accent4 3 2 2 2 26" xfId="56405" xr:uid="{00000000-0005-0000-0000-00001C180000}"/>
    <cellStyle name="20% - Accent4 3 2 2 2 27" xfId="58088" xr:uid="{00000000-0005-0000-0000-00001D180000}"/>
    <cellStyle name="20% - Accent4 3 2 2 2 28" xfId="59771" xr:uid="{00000000-0005-0000-0000-00001E180000}"/>
    <cellStyle name="20% - Accent4 3 2 2 2 29" xfId="61454" xr:uid="{00000000-0005-0000-0000-00001F180000}"/>
    <cellStyle name="20% - Accent4 3 2 2 2 3" xfId="4229" xr:uid="{00000000-0005-0000-0000-000020180000}"/>
    <cellStyle name="20% - Accent4 3 2 2 2 3 2" xfId="19378" xr:uid="{00000000-0005-0000-0000-000021180000}"/>
    <cellStyle name="20% - Accent4 3 2 2 2 30" xfId="63137" xr:uid="{00000000-0005-0000-0000-000022180000}"/>
    <cellStyle name="20% - Accent4 3 2 2 2 4" xfId="5912" xr:uid="{00000000-0005-0000-0000-000023180000}"/>
    <cellStyle name="20% - Accent4 3 2 2 2 4 2" xfId="21061" xr:uid="{00000000-0005-0000-0000-000024180000}"/>
    <cellStyle name="20% - Accent4 3 2 2 2 5" xfId="7595" xr:uid="{00000000-0005-0000-0000-000025180000}"/>
    <cellStyle name="20% - Accent4 3 2 2 2 5 2" xfId="22744" xr:uid="{00000000-0005-0000-0000-000026180000}"/>
    <cellStyle name="20% - Accent4 3 2 2 2 6" xfId="9278" xr:uid="{00000000-0005-0000-0000-000027180000}"/>
    <cellStyle name="20% - Accent4 3 2 2 2 6 2" xfId="24427" xr:uid="{00000000-0005-0000-0000-000028180000}"/>
    <cellStyle name="20% - Accent4 3 2 2 2 7" xfId="10961" xr:uid="{00000000-0005-0000-0000-000029180000}"/>
    <cellStyle name="20% - Accent4 3 2 2 2 7 2" xfId="26110" xr:uid="{00000000-0005-0000-0000-00002A180000}"/>
    <cellStyle name="20% - Accent4 3 2 2 2 8" xfId="12645" xr:uid="{00000000-0005-0000-0000-00002B180000}"/>
    <cellStyle name="20% - Accent4 3 2 2 2 8 2" xfId="27794" xr:uid="{00000000-0005-0000-0000-00002C180000}"/>
    <cellStyle name="20% - Accent4 3 2 2 2 9" xfId="14328" xr:uid="{00000000-0005-0000-0000-00002D180000}"/>
    <cellStyle name="20% - Accent4 3 2 2 2 9 2" xfId="29477" xr:uid="{00000000-0005-0000-0000-00002E180000}"/>
    <cellStyle name="20% - Accent4 3 2 2 20" xfId="40838" xr:uid="{00000000-0005-0000-0000-00002F180000}"/>
    <cellStyle name="20% - Accent4 3 2 2 21" xfId="42521" xr:uid="{00000000-0005-0000-0000-000030180000}"/>
    <cellStyle name="20% - Accent4 3 2 2 22" xfId="44204" xr:uid="{00000000-0005-0000-0000-000031180000}"/>
    <cellStyle name="20% - Accent4 3 2 2 23" xfId="45887" xr:uid="{00000000-0005-0000-0000-000032180000}"/>
    <cellStyle name="20% - Accent4 3 2 2 24" xfId="47570" xr:uid="{00000000-0005-0000-0000-000033180000}"/>
    <cellStyle name="20% - Accent4 3 2 2 25" xfId="49253" xr:uid="{00000000-0005-0000-0000-000034180000}"/>
    <cellStyle name="20% - Accent4 3 2 2 26" xfId="50936" xr:uid="{00000000-0005-0000-0000-000035180000}"/>
    <cellStyle name="20% - Accent4 3 2 2 27" xfId="52619" xr:uid="{00000000-0005-0000-0000-000036180000}"/>
    <cellStyle name="20% - Accent4 3 2 2 28" xfId="54302" xr:uid="{00000000-0005-0000-0000-000037180000}"/>
    <cellStyle name="20% - Accent4 3 2 2 29" xfId="55985" xr:uid="{00000000-0005-0000-0000-000038180000}"/>
    <cellStyle name="20% - Accent4 3 2 2 3" xfId="1283" xr:uid="{00000000-0005-0000-0000-000039180000}"/>
    <cellStyle name="20% - Accent4 3 2 2 3 10" xfId="16432" xr:uid="{00000000-0005-0000-0000-00003A180000}"/>
    <cellStyle name="20% - Accent4 3 2 2 3 11" xfId="31581" xr:uid="{00000000-0005-0000-0000-00003B180000}"/>
    <cellStyle name="20% - Accent4 3 2 2 3 12" xfId="33264" xr:uid="{00000000-0005-0000-0000-00003C180000}"/>
    <cellStyle name="20% - Accent4 3 2 2 3 13" xfId="34947" xr:uid="{00000000-0005-0000-0000-00003D180000}"/>
    <cellStyle name="20% - Accent4 3 2 2 3 14" xfId="36630" xr:uid="{00000000-0005-0000-0000-00003E180000}"/>
    <cellStyle name="20% - Accent4 3 2 2 3 15" xfId="38313" xr:uid="{00000000-0005-0000-0000-00003F180000}"/>
    <cellStyle name="20% - Accent4 3 2 2 3 16" xfId="39996" xr:uid="{00000000-0005-0000-0000-000040180000}"/>
    <cellStyle name="20% - Accent4 3 2 2 3 17" xfId="41679" xr:uid="{00000000-0005-0000-0000-000041180000}"/>
    <cellStyle name="20% - Accent4 3 2 2 3 18" xfId="43362" xr:uid="{00000000-0005-0000-0000-000042180000}"/>
    <cellStyle name="20% - Accent4 3 2 2 3 19" xfId="45045" xr:uid="{00000000-0005-0000-0000-000043180000}"/>
    <cellStyle name="20% - Accent4 3 2 2 3 2" xfId="2966" xr:uid="{00000000-0005-0000-0000-000044180000}"/>
    <cellStyle name="20% - Accent4 3 2 2 3 2 2" xfId="18115" xr:uid="{00000000-0005-0000-0000-000045180000}"/>
    <cellStyle name="20% - Accent4 3 2 2 3 20" xfId="46728" xr:uid="{00000000-0005-0000-0000-000046180000}"/>
    <cellStyle name="20% - Accent4 3 2 2 3 21" xfId="48411" xr:uid="{00000000-0005-0000-0000-000047180000}"/>
    <cellStyle name="20% - Accent4 3 2 2 3 22" xfId="50094" xr:uid="{00000000-0005-0000-0000-000048180000}"/>
    <cellStyle name="20% - Accent4 3 2 2 3 23" xfId="51777" xr:uid="{00000000-0005-0000-0000-000049180000}"/>
    <cellStyle name="20% - Accent4 3 2 2 3 24" xfId="53460" xr:uid="{00000000-0005-0000-0000-00004A180000}"/>
    <cellStyle name="20% - Accent4 3 2 2 3 25" xfId="55143" xr:uid="{00000000-0005-0000-0000-00004B180000}"/>
    <cellStyle name="20% - Accent4 3 2 2 3 26" xfId="56826" xr:uid="{00000000-0005-0000-0000-00004C180000}"/>
    <cellStyle name="20% - Accent4 3 2 2 3 27" xfId="58509" xr:uid="{00000000-0005-0000-0000-00004D180000}"/>
    <cellStyle name="20% - Accent4 3 2 2 3 28" xfId="60192" xr:uid="{00000000-0005-0000-0000-00004E180000}"/>
    <cellStyle name="20% - Accent4 3 2 2 3 29" xfId="61875" xr:uid="{00000000-0005-0000-0000-00004F180000}"/>
    <cellStyle name="20% - Accent4 3 2 2 3 3" xfId="4650" xr:uid="{00000000-0005-0000-0000-000050180000}"/>
    <cellStyle name="20% - Accent4 3 2 2 3 3 2" xfId="19799" xr:uid="{00000000-0005-0000-0000-000051180000}"/>
    <cellStyle name="20% - Accent4 3 2 2 3 30" xfId="63558" xr:uid="{00000000-0005-0000-0000-000052180000}"/>
    <cellStyle name="20% - Accent4 3 2 2 3 4" xfId="6333" xr:uid="{00000000-0005-0000-0000-000053180000}"/>
    <cellStyle name="20% - Accent4 3 2 2 3 4 2" xfId="21482" xr:uid="{00000000-0005-0000-0000-000054180000}"/>
    <cellStyle name="20% - Accent4 3 2 2 3 5" xfId="8016" xr:uid="{00000000-0005-0000-0000-000055180000}"/>
    <cellStyle name="20% - Accent4 3 2 2 3 5 2" xfId="23165" xr:uid="{00000000-0005-0000-0000-000056180000}"/>
    <cellStyle name="20% - Accent4 3 2 2 3 6" xfId="9699" xr:uid="{00000000-0005-0000-0000-000057180000}"/>
    <cellStyle name="20% - Accent4 3 2 2 3 6 2" xfId="24848" xr:uid="{00000000-0005-0000-0000-000058180000}"/>
    <cellStyle name="20% - Accent4 3 2 2 3 7" xfId="11382" xr:uid="{00000000-0005-0000-0000-000059180000}"/>
    <cellStyle name="20% - Accent4 3 2 2 3 7 2" xfId="26531" xr:uid="{00000000-0005-0000-0000-00005A180000}"/>
    <cellStyle name="20% - Accent4 3 2 2 3 8" xfId="13066" xr:uid="{00000000-0005-0000-0000-00005B180000}"/>
    <cellStyle name="20% - Accent4 3 2 2 3 8 2" xfId="28215" xr:uid="{00000000-0005-0000-0000-00005C180000}"/>
    <cellStyle name="20% - Accent4 3 2 2 3 9" xfId="14749" xr:uid="{00000000-0005-0000-0000-00005D180000}"/>
    <cellStyle name="20% - Accent4 3 2 2 3 9 2" xfId="29898" xr:uid="{00000000-0005-0000-0000-00005E180000}"/>
    <cellStyle name="20% - Accent4 3 2 2 30" xfId="57668" xr:uid="{00000000-0005-0000-0000-00005F180000}"/>
    <cellStyle name="20% - Accent4 3 2 2 31" xfId="59351" xr:uid="{00000000-0005-0000-0000-000060180000}"/>
    <cellStyle name="20% - Accent4 3 2 2 32" xfId="61034" xr:uid="{00000000-0005-0000-0000-000061180000}"/>
    <cellStyle name="20% - Accent4 3 2 2 33" xfId="62717" xr:uid="{00000000-0005-0000-0000-000062180000}"/>
    <cellStyle name="20% - Accent4 3 2 2 4" xfId="1704" xr:uid="{00000000-0005-0000-0000-000063180000}"/>
    <cellStyle name="20% - Accent4 3 2 2 4 10" xfId="16853" xr:uid="{00000000-0005-0000-0000-000064180000}"/>
    <cellStyle name="20% - Accent4 3 2 2 4 11" xfId="32002" xr:uid="{00000000-0005-0000-0000-000065180000}"/>
    <cellStyle name="20% - Accent4 3 2 2 4 12" xfId="33685" xr:uid="{00000000-0005-0000-0000-000066180000}"/>
    <cellStyle name="20% - Accent4 3 2 2 4 13" xfId="35368" xr:uid="{00000000-0005-0000-0000-000067180000}"/>
    <cellStyle name="20% - Accent4 3 2 2 4 14" xfId="37051" xr:uid="{00000000-0005-0000-0000-000068180000}"/>
    <cellStyle name="20% - Accent4 3 2 2 4 15" xfId="38734" xr:uid="{00000000-0005-0000-0000-000069180000}"/>
    <cellStyle name="20% - Accent4 3 2 2 4 16" xfId="40417" xr:uid="{00000000-0005-0000-0000-00006A180000}"/>
    <cellStyle name="20% - Accent4 3 2 2 4 17" xfId="42100" xr:uid="{00000000-0005-0000-0000-00006B180000}"/>
    <cellStyle name="20% - Accent4 3 2 2 4 18" xfId="43783" xr:uid="{00000000-0005-0000-0000-00006C180000}"/>
    <cellStyle name="20% - Accent4 3 2 2 4 19" xfId="45466" xr:uid="{00000000-0005-0000-0000-00006D180000}"/>
    <cellStyle name="20% - Accent4 3 2 2 4 2" xfId="3387" xr:uid="{00000000-0005-0000-0000-00006E180000}"/>
    <cellStyle name="20% - Accent4 3 2 2 4 2 2" xfId="18536" xr:uid="{00000000-0005-0000-0000-00006F180000}"/>
    <cellStyle name="20% - Accent4 3 2 2 4 20" xfId="47149" xr:uid="{00000000-0005-0000-0000-000070180000}"/>
    <cellStyle name="20% - Accent4 3 2 2 4 21" xfId="48832" xr:uid="{00000000-0005-0000-0000-000071180000}"/>
    <cellStyle name="20% - Accent4 3 2 2 4 22" xfId="50515" xr:uid="{00000000-0005-0000-0000-000072180000}"/>
    <cellStyle name="20% - Accent4 3 2 2 4 23" xfId="52198" xr:uid="{00000000-0005-0000-0000-000073180000}"/>
    <cellStyle name="20% - Accent4 3 2 2 4 24" xfId="53881" xr:uid="{00000000-0005-0000-0000-000074180000}"/>
    <cellStyle name="20% - Accent4 3 2 2 4 25" xfId="55564" xr:uid="{00000000-0005-0000-0000-000075180000}"/>
    <cellStyle name="20% - Accent4 3 2 2 4 26" xfId="57247" xr:uid="{00000000-0005-0000-0000-000076180000}"/>
    <cellStyle name="20% - Accent4 3 2 2 4 27" xfId="58930" xr:uid="{00000000-0005-0000-0000-000077180000}"/>
    <cellStyle name="20% - Accent4 3 2 2 4 28" xfId="60613" xr:uid="{00000000-0005-0000-0000-000078180000}"/>
    <cellStyle name="20% - Accent4 3 2 2 4 29" xfId="62296" xr:uid="{00000000-0005-0000-0000-000079180000}"/>
    <cellStyle name="20% - Accent4 3 2 2 4 3" xfId="5071" xr:uid="{00000000-0005-0000-0000-00007A180000}"/>
    <cellStyle name="20% - Accent4 3 2 2 4 3 2" xfId="20220" xr:uid="{00000000-0005-0000-0000-00007B180000}"/>
    <cellStyle name="20% - Accent4 3 2 2 4 30" xfId="63979" xr:uid="{00000000-0005-0000-0000-00007C180000}"/>
    <cellStyle name="20% - Accent4 3 2 2 4 4" xfId="6754" xr:uid="{00000000-0005-0000-0000-00007D180000}"/>
    <cellStyle name="20% - Accent4 3 2 2 4 4 2" xfId="21903" xr:uid="{00000000-0005-0000-0000-00007E180000}"/>
    <cellStyle name="20% - Accent4 3 2 2 4 5" xfId="8437" xr:uid="{00000000-0005-0000-0000-00007F180000}"/>
    <cellStyle name="20% - Accent4 3 2 2 4 5 2" xfId="23586" xr:uid="{00000000-0005-0000-0000-000080180000}"/>
    <cellStyle name="20% - Accent4 3 2 2 4 6" xfId="10120" xr:uid="{00000000-0005-0000-0000-000081180000}"/>
    <cellStyle name="20% - Accent4 3 2 2 4 6 2" xfId="25269" xr:uid="{00000000-0005-0000-0000-000082180000}"/>
    <cellStyle name="20% - Accent4 3 2 2 4 7" xfId="11803" xr:uid="{00000000-0005-0000-0000-000083180000}"/>
    <cellStyle name="20% - Accent4 3 2 2 4 7 2" xfId="26952" xr:uid="{00000000-0005-0000-0000-000084180000}"/>
    <cellStyle name="20% - Accent4 3 2 2 4 8" xfId="13487" xr:uid="{00000000-0005-0000-0000-000085180000}"/>
    <cellStyle name="20% - Accent4 3 2 2 4 8 2" xfId="28636" xr:uid="{00000000-0005-0000-0000-000086180000}"/>
    <cellStyle name="20% - Accent4 3 2 2 4 9" xfId="15170" xr:uid="{00000000-0005-0000-0000-000087180000}"/>
    <cellStyle name="20% - Accent4 3 2 2 4 9 2" xfId="30319" xr:uid="{00000000-0005-0000-0000-000088180000}"/>
    <cellStyle name="20% - Accent4 3 2 2 5" xfId="2125" xr:uid="{00000000-0005-0000-0000-000089180000}"/>
    <cellStyle name="20% - Accent4 3 2 2 5 2" xfId="17274" xr:uid="{00000000-0005-0000-0000-00008A180000}"/>
    <cellStyle name="20% - Accent4 3 2 2 6" xfId="3809" xr:uid="{00000000-0005-0000-0000-00008B180000}"/>
    <cellStyle name="20% - Accent4 3 2 2 6 2" xfId="18958" xr:uid="{00000000-0005-0000-0000-00008C180000}"/>
    <cellStyle name="20% - Accent4 3 2 2 7" xfId="5492" xr:uid="{00000000-0005-0000-0000-00008D180000}"/>
    <cellStyle name="20% - Accent4 3 2 2 7 2" xfId="20641" xr:uid="{00000000-0005-0000-0000-00008E180000}"/>
    <cellStyle name="20% - Accent4 3 2 2 8" xfId="7175" xr:uid="{00000000-0005-0000-0000-00008F180000}"/>
    <cellStyle name="20% - Accent4 3 2 2 8 2" xfId="22324" xr:uid="{00000000-0005-0000-0000-000090180000}"/>
    <cellStyle name="20% - Accent4 3 2 2 9" xfId="8858" xr:uid="{00000000-0005-0000-0000-000091180000}"/>
    <cellStyle name="20% - Accent4 3 2 2 9 2" xfId="24007" xr:uid="{00000000-0005-0000-0000-000092180000}"/>
    <cellStyle name="20% - Accent4 3 2 20" xfId="38945" xr:uid="{00000000-0005-0000-0000-000093180000}"/>
    <cellStyle name="20% - Accent4 3 2 21" xfId="40628" xr:uid="{00000000-0005-0000-0000-000094180000}"/>
    <cellStyle name="20% - Accent4 3 2 22" xfId="42311" xr:uid="{00000000-0005-0000-0000-000095180000}"/>
    <cellStyle name="20% - Accent4 3 2 23" xfId="43994" xr:uid="{00000000-0005-0000-0000-000096180000}"/>
    <cellStyle name="20% - Accent4 3 2 24" xfId="45677" xr:uid="{00000000-0005-0000-0000-000097180000}"/>
    <cellStyle name="20% - Accent4 3 2 25" xfId="47360" xr:uid="{00000000-0005-0000-0000-000098180000}"/>
    <cellStyle name="20% - Accent4 3 2 26" xfId="49043" xr:uid="{00000000-0005-0000-0000-000099180000}"/>
    <cellStyle name="20% - Accent4 3 2 27" xfId="50726" xr:uid="{00000000-0005-0000-0000-00009A180000}"/>
    <cellStyle name="20% - Accent4 3 2 28" xfId="52409" xr:uid="{00000000-0005-0000-0000-00009B180000}"/>
    <cellStyle name="20% - Accent4 3 2 29" xfId="54092" xr:uid="{00000000-0005-0000-0000-00009C180000}"/>
    <cellStyle name="20% - Accent4 3 2 3" xfId="652" xr:uid="{00000000-0005-0000-0000-00009D180000}"/>
    <cellStyle name="20% - Accent4 3 2 3 10" xfId="15801" xr:uid="{00000000-0005-0000-0000-00009E180000}"/>
    <cellStyle name="20% - Accent4 3 2 3 11" xfId="30950" xr:uid="{00000000-0005-0000-0000-00009F180000}"/>
    <cellStyle name="20% - Accent4 3 2 3 12" xfId="32633" xr:uid="{00000000-0005-0000-0000-0000A0180000}"/>
    <cellStyle name="20% - Accent4 3 2 3 13" xfId="34316" xr:uid="{00000000-0005-0000-0000-0000A1180000}"/>
    <cellStyle name="20% - Accent4 3 2 3 14" xfId="35999" xr:uid="{00000000-0005-0000-0000-0000A2180000}"/>
    <cellStyle name="20% - Accent4 3 2 3 15" xfId="37682" xr:uid="{00000000-0005-0000-0000-0000A3180000}"/>
    <cellStyle name="20% - Accent4 3 2 3 16" xfId="39365" xr:uid="{00000000-0005-0000-0000-0000A4180000}"/>
    <cellStyle name="20% - Accent4 3 2 3 17" xfId="41048" xr:uid="{00000000-0005-0000-0000-0000A5180000}"/>
    <cellStyle name="20% - Accent4 3 2 3 18" xfId="42731" xr:uid="{00000000-0005-0000-0000-0000A6180000}"/>
    <cellStyle name="20% - Accent4 3 2 3 19" xfId="44414" xr:uid="{00000000-0005-0000-0000-0000A7180000}"/>
    <cellStyle name="20% - Accent4 3 2 3 2" xfId="2335" xr:uid="{00000000-0005-0000-0000-0000A8180000}"/>
    <cellStyle name="20% - Accent4 3 2 3 2 2" xfId="17484" xr:uid="{00000000-0005-0000-0000-0000A9180000}"/>
    <cellStyle name="20% - Accent4 3 2 3 20" xfId="46097" xr:uid="{00000000-0005-0000-0000-0000AA180000}"/>
    <cellStyle name="20% - Accent4 3 2 3 21" xfId="47780" xr:uid="{00000000-0005-0000-0000-0000AB180000}"/>
    <cellStyle name="20% - Accent4 3 2 3 22" xfId="49463" xr:uid="{00000000-0005-0000-0000-0000AC180000}"/>
    <cellStyle name="20% - Accent4 3 2 3 23" xfId="51146" xr:uid="{00000000-0005-0000-0000-0000AD180000}"/>
    <cellStyle name="20% - Accent4 3 2 3 24" xfId="52829" xr:uid="{00000000-0005-0000-0000-0000AE180000}"/>
    <cellStyle name="20% - Accent4 3 2 3 25" xfId="54512" xr:uid="{00000000-0005-0000-0000-0000AF180000}"/>
    <cellStyle name="20% - Accent4 3 2 3 26" xfId="56195" xr:uid="{00000000-0005-0000-0000-0000B0180000}"/>
    <cellStyle name="20% - Accent4 3 2 3 27" xfId="57878" xr:uid="{00000000-0005-0000-0000-0000B1180000}"/>
    <cellStyle name="20% - Accent4 3 2 3 28" xfId="59561" xr:uid="{00000000-0005-0000-0000-0000B2180000}"/>
    <cellStyle name="20% - Accent4 3 2 3 29" xfId="61244" xr:uid="{00000000-0005-0000-0000-0000B3180000}"/>
    <cellStyle name="20% - Accent4 3 2 3 3" xfId="4019" xr:uid="{00000000-0005-0000-0000-0000B4180000}"/>
    <cellStyle name="20% - Accent4 3 2 3 3 2" xfId="19168" xr:uid="{00000000-0005-0000-0000-0000B5180000}"/>
    <cellStyle name="20% - Accent4 3 2 3 30" xfId="62927" xr:uid="{00000000-0005-0000-0000-0000B6180000}"/>
    <cellStyle name="20% - Accent4 3 2 3 4" xfId="5702" xr:uid="{00000000-0005-0000-0000-0000B7180000}"/>
    <cellStyle name="20% - Accent4 3 2 3 4 2" xfId="20851" xr:uid="{00000000-0005-0000-0000-0000B8180000}"/>
    <cellStyle name="20% - Accent4 3 2 3 5" xfId="7385" xr:uid="{00000000-0005-0000-0000-0000B9180000}"/>
    <cellStyle name="20% - Accent4 3 2 3 5 2" xfId="22534" xr:uid="{00000000-0005-0000-0000-0000BA180000}"/>
    <cellStyle name="20% - Accent4 3 2 3 6" xfId="9068" xr:uid="{00000000-0005-0000-0000-0000BB180000}"/>
    <cellStyle name="20% - Accent4 3 2 3 6 2" xfId="24217" xr:uid="{00000000-0005-0000-0000-0000BC180000}"/>
    <cellStyle name="20% - Accent4 3 2 3 7" xfId="10751" xr:uid="{00000000-0005-0000-0000-0000BD180000}"/>
    <cellStyle name="20% - Accent4 3 2 3 7 2" xfId="25900" xr:uid="{00000000-0005-0000-0000-0000BE180000}"/>
    <cellStyle name="20% - Accent4 3 2 3 8" xfId="12435" xr:uid="{00000000-0005-0000-0000-0000BF180000}"/>
    <cellStyle name="20% - Accent4 3 2 3 8 2" xfId="27584" xr:uid="{00000000-0005-0000-0000-0000C0180000}"/>
    <cellStyle name="20% - Accent4 3 2 3 9" xfId="14118" xr:uid="{00000000-0005-0000-0000-0000C1180000}"/>
    <cellStyle name="20% - Accent4 3 2 3 9 2" xfId="29267" xr:uid="{00000000-0005-0000-0000-0000C2180000}"/>
    <cellStyle name="20% - Accent4 3 2 30" xfId="55775" xr:uid="{00000000-0005-0000-0000-0000C3180000}"/>
    <cellStyle name="20% - Accent4 3 2 31" xfId="57458" xr:uid="{00000000-0005-0000-0000-0000C4180000}"/>
    <cellStyle name="20% - Accent4 3 2 32" xfId="59141" xr:uid="{00000000-0005-0000-0000-0000C5180000}"/>
    <cellStyle name="20% - Accent4 3 2 33" xfId="60824" xr:uid="{00000000-0005-0000-0000-0000C6180000}"/>
    <cellStyle name="20% - Accent4 3 2 34" xfId="62507" xr:uid="{00000000-0005-0000-0000-0000C7180000}"/>
    <cellStyle name="20% - Accent4 3 2 4" xfId="1073" xr:uid="{00000000-0005-0000-0000-0000C8180000}"/>
    <cellStyle name="20% - Accent4 3 2 4 10" xfId="16222" xr:uid="{00000000-0005-0000-0000-0000C9180000}"/>
    <cellStyle name="20% - Accent4 3 2 4 11" xfId="31371" xr:uid="{00000000-0005-0000-0000-0000CA180000}"/>
    <cellStyle name="20% - Accent4 3 2 4 12" xfId="33054" xr:uid="{00000000-0005-0000-0000-0000CB180000}"/>
    <cellStyle name="20% - Accent4 3 2 4 13" xfId="34737" xr:uid="{00000000-0005-0000-0000-0000CC180000}"/>
    <cellStyle name="20% - Accent4 3 2 4 14" xfId="36420" xr:uid="{00000000-0005-0000-0000-0000CD180000}"/>
    <cellStyle name="20% - Accent4 3 2 4 15" xfId="38103" xr:uid="{00000000-0005-0000-0000-0000CE180000}"/>
    <cellStyle name="20% - Accent4 3 2 4 16" xfId="39786" xr:uid="{00000000-0005-0000-0000-0000CF180000}"/>
    <cellStyle name="20% - Accent4 3 2 4 17" xfId="41469" xr:uid="{00000000-0005-0000-0000-0000D0180000}"/>
    <cellStyle name="20% - Accent4 3 2 4 18" xfId="43152" xr:uid="{00000000-0005-0000-0000-0000D1180000}"/>
    <cellStyle name="20% - Accent4 3 2 4 19" xfId="44835" xr:uid="{00000000-0005-0000-0000-0000D2180000}"/>
    <cellStyle name="20% - Accent4 3 2 4 2" xfId="2756" xr:uid="{00000000-0005-0000-0000-0000D3180000}"/>
    <cellStyle name="20% - Accent4 3 2 4 2 2" xfId="17905" xr:uid="{00000000-0005-0000-0000-0000D4180000}"/>
    <cellStyle name="20% - Accent4 3 2 4 20" xfId="46518" xr:uid="{00000000-0005-0000-0000-0000D5180000}"/>
    <cellStyle name="20% - Accent4 3 2 4 21" xfId="48201" xr:uid="{00000000-0005-0000-0000-0000D6180000}"/>
    <cellStyle name="20% - Accent4 3 2 4 22" xfId="49884" xr:uid="{00000000-0005-0000-0000-0000D7180000}"/>
    <cellStyle name="20% - Accent4 3 2 4 23" xfId="51567" xr:uid="{00000000-0005-0000-0000-0000D8180000}"/>
    <cellStyle name="20% - Accent4 3 2 4 24" xfId="53250" xr:uid="{00000000-0005-0000-0000-0000D9180000}"/>
    <cellStyle name="20% - Accent4 3 2 4 25" xfId="54933" xr:uid="{00000000-0005-0000-0000-0000DA180000}"/>
    <cellStyle name="20% - Accent4 3 2 4 26" xfId="56616" xr:uid="{00000000-0005-0000-0000-0000DB180000}"/>
    <cellStyle name="20% - Accent4 3 2 4 27" xfId="58299" xr:uid="{00000000-0005-0000-0000-0000DC180000}"/>
    <cellStyle name="20% - Accent4 3 2 4 28" xfId="59982" xr:uid="{00000000-0005-0000-0000-0000DD180000}"/>
    <cellStyle name="20% - Accent4 3 2 4 29" xfId="61665" xr:uid="{00000000-0005-0000-0000-0000DE180000}"/>
    <cellStyle name="20% - Accent4 3 2 4 3" xfId="4440" xr:uid="{00000000-0005-0000-0000-0000DF180000}"/>
    <cellStyle name="20% - Accent4 3 2 4 3 2" xfId="19589" xr:uid="{00000000-0005-0000-0000-0000E0180000}"/>
    <cellStyle name="20% - Accent4 3 2 4 30" xfId="63348" xr:uid="{00000000-0005-0000-0000-0000E1180000}"/>
    <cellStyle name="20% - Accent4 3 2 4 4" xfId="6123" xr:uid="{00000000-0005-0000-0000-0000E2180000}"/>
    <cellStyle name="20% - Accent4 3 2 4 4 2" xfId="21272" xr:uid="{00000000-0005-0000-0000-0000E3180000}"/>
    <cellStyle name="20% - Accent4 3 2 4 5" xfId="7806" xr:uid="{00000000-0005-0000-0000-0000E4180000}"/>
    <cellStyle name="20% - Accent4 3 2 4 5 2" xfId="22955" xr:uid="{00000000-0005-0000-0000-0000E5180000}"/>
    <cellStyle name="20% - Accent4 3 2 4 6" xfId="9489" xr:uid="{00000000-0005-0000-0000-0000E6180000}"/>
    <cellStyle name="20% - Accent4 3 2 4 6 2" xfId="24638" xr:uid="{00000000-0005-0000-0000-0000E7180000}"/>
    <cellStyle name="20% - Accent4 3 2 4 7" xfId="11172" xr:uid="{00000000-0005-0000-0000-0000E8180000}"/>
    <cellStyle name="20% - Accent4 3 2 4 7 2" xfId="26321" xr:uid="{00000000-0005-0000-0000-0000E9180000}"/>
    <cellStyle name="20% - Accent4 3 2 4 8" xfId="12856" xr:uid="{00000000-0005-0000-0000-0000EA180000}"/>
    <cellStyle name="20% - Accent4 3 2 4 8 2" xfId="28005" xr:uid="{00000000-0005-0000-0000-0000EB180000}"/>
    <cellStyle name="20% - Accent4 3 2 4 9" xfId="14539" xr:uid="{00000000-0005-0000-0000-0000EC180000}"/>
    <cellStyle name="20% - Accent4 3 2 4 9 2" xfId="29688" xr:uid="{00000000-0005-0000-0000-0000ED180000}"/>
    <cellStyle name="20% - Accent4 3 2 5" xfId="1494" xr:uid="{00000000-0005-0000-0000-0000EE180000}"/>
    <cellStyle name="20% - Accent4 3 2 5 10" xfId="16643" xr:uid="{00000000-0005-0000-0000-0000EF180000}"/>
    <cellStyle name="20% - Accent4 3 2 5 11" xfId="31792" xr:uid="{00000000-0005-0000-0000-0000F0180000}"/>
    <cellStyle name="20% - Accent4 3 2 5 12" xfId="33475" xr:uid="{00000000-0005-0000-0000-0000F1180000}"/>
    <cellStyle name="20% - Accent4 3 2 5 13" xfId="35158" xr:uid="{00000000-0005-0000-0000-0000F2180000}"/>
    <cellStyle name="20% - Accent4 3 2 5 14" xfId="36841" xr:uid="{00000000-0005-0000-0000-0000F3180000}"/>
    <cellStyle name="20% - Accent4 3 2 5 15" xfId="38524" xr:uid="{00000000-0005-0000-0000-0000F4180000}"/>
    <cellStyle name="20% - Accent4 3 2 5 16" xfId="40207" xr:uid="{00000000-0005-0000-0000-0000F5180000}"/>
    <cellStyle name="20% - Accent4 3 2 5 17" xfId="41890" xr:uid="{00000000-0005-0000-0000-0000F6180000}"/>
    <cellStyle name="20% - Accent4 3 2 5 18" xfId="43573" xr:uid="{00000000-0005-0000-0000-0000F7180000}"/>
    <cellStyle name="20% - Accent4 3 2 5 19" xfId="45256" xr:uid="{00000000-0005-0000-0000-0000F8180000}"/>
    <cellStyle name="20% - Accent4 3 2 5 2" xfId="3177" xr:uid="{00000000-0005-0000-0000-0000F9180000}"/>
    <cellStyle name="20% - Accent4 3 2 5 2 2" xfId="18326" xr:uid="{00000000-0005-0000-0000-0000FA180000}"/>
    <cellStyle name="20% - Accent4 3 2 5 20" xfId="46939" xr:uid="{00000000-0005-0000-0000-0000FB180000}"/>
    <cellStyle name="20% - Accent4 3 2 5 21" xfId="48622" xr:uid="{00000000-0005-0000-0000-0000FC180000}"/>
    <cellStyle name="20% - Accent4 3 2 5 22" xfId="50305" xr:uid="{00000000-0005-0000-0000-0000FD180000}"/>
    <cellStyle name="20% - Accent4 3 2 5 23" xfId="51988" xr:uid="{00000000-0005-0000-0000-0000FE180000}"/>
    <cellStyle name="20% - Accent4 3 2 5 24" xfId="53671" xr:uid="{00000000-0005-0000-0000-0000FF180000}"/>
    <cellStyle name="20% - Accent4 3 2 5 25" xfId="55354" xr:uid="{00000000-0005-0000-0000-000000190000}"/>
    <cellStyle name="20% - Accent4 3 2 5 26" xfId="57037" xr:uid="{00000000-0005-0000-0000-000001190000}"/>
    <cellStyle name="20% - Accent4 3 2 5 27" xfId="58720" xr:uid="{00000000-0005-0000-0000-000002190000}"/>
    <cellStyle name="20% - Accent4 3 2 5 28" xfId="60403" xr:uid="{00000000-0005-0000-0000-000003190000}"/>
    <cellStyle name="20% - Accent4 3 2 5 29" xfId="62086" xr:uid="{00000000-0005-0000-0000-000004190000}"/>
    <cellStyle name="20% - Accent4 3 2 5 3" xfId="4861" xr:uid="{00000000-0005-0000-0000-000005190000}"/>
    <cellStyle name="20% - Accent4 3 2 5 3 2" xfId="20010" xr:uid="{00000000-0005-0000-0000-000006190000}"/>
    <cellStyle name="20% - Accent4 3 2 5 30" xfId="63769" xr:uid="{00000000-0005-0000-0000-000007190000}"/>
    <cellStyle name="20% - Accent4 3 2 5 4" xfId="6544" xr:uid="{00000000-0005-0000-0000-000008190000}"/>
    <cellStyle name="20% - Accent4 3 2 5 4 2" xfId="21693" xr:uid="{00000000-0005-0000-0000-000009190000}"/>
    <cellStyle name="20% - Accent4 3 2 5 5" xfId="8227" xr:uid="{00000000-0005-0000-0000-00000A190000}"/>
    <cellStyle name="20% - Accent4 3 2 5 5 2" xfId="23376" xr:uid="{00000000-0005-0000-0000-00000B190000}"/>
    <cellStyle name="20% - Accent4 3 2 5 6" xfId="9910" xr:uid="{00000000-0005-0000-0000-00000C190000}"/>
    <cellStyle name="20% - Accent4 3 2 5 6 2" xfId="25059" xr:uid="{00000000-0005-0000-0000-00000D190000}"/>
    <cellStyle name="20% - Accent4 3 2 5 7" xfId="11593" xr:uid="{00000000-0005-0000-0000-00000E190000}"/>
    <cellStyle name="20% - Accent4 3 2 5 7 2" xfId="26742" xr:uid="{00000000-0005-0000-0000-00000F190000}"/>
    <cellStyle name="20% - Accent4 3 2 5 8" xfId="13277" xr:uid="{00000000-0005-0000-0000-000010190000}"/>
    <cellStyle name="20% - Accent4 3 2 5 8 2" xfId="28426" xr:uid="{00000000-0005-0000-0000-000011190000}"/>
    <cellStyle name="20% - Accent4 3 2 5 9" xfId="14960" xr:uid="{00000000-0005-0000-0000-000012190000}"/>
    <cellStyle name="20% - Accent4 3 2 5 9 2" xfId="30109" xr:uid="{00000000-0005-0000-0000-000013190000}"/>
    <cellStyle name="20% - Accent4 3 2 6" xfId="1915" xr:uid="{00000000-0005-0000-0000-000014190000}"/>
    <cellStyle name="20% - Accent4 3 2 6 2" xfId="17064" xr:uid="{00000000-0005-0000-0000-000015190000}"/>
    <cellStyle name="20% - Accent4 3 2 7" xfId="3599" xr:uid="{00000000-0005-0000-0000-000016190000}"/>
    <cellStyle name="20% - Accent4 3 2 7 2" xfId="18748" xr:uid="{00000000-0005-0000-0000-000017190000}"/>
    <cellStyle name="20% - Accent4 3 2 8" xfId="5282" xr:uid="{00000000-0005-0000-0000-000018190000}"/>
    <cellStyle name="20% - Accent4 3 2 8 2" xfId="20431" xr:uid="{00000000-0005-0000-0000-000019190000}"/>
    <cellStyle name="20% - Accent4 3 2 9" xfId="6965" xr:uid="{00000000-0005-0000-0000-00001A190000}"/>
    <cellStyle name="20% - Accent4 3 2 9 2" xfId="22114" xr:uid="{00000000-0005-0000-0000-00001B190000}"/>
    <cellStyle name="20% - Accent4 3 20" xfId="37157" xr:uid="{00000000-0005-0000-0000-00001C190000}"/>
    <cellStyle name="20% - Accent4 3 21" xfId="38840" xr:uid="{00000000-0005-0000-0000-00001D190000}"/>
    <cellStyle name="20% - Accent4 3 22" xfId="40523" xr:uid="{00000000-0005-0000-0000-00001E190000}"/>
    <cellStyle name="20% - Accent4 3 23" xfId="42206" xr:uid="{00000000-0005-0000-0000-00001F190000}"/>
    <cellStyle name="20% - Accent4 3 24" xfId="43889" xr:uid="{00000000-0005-0000-0000-000020190000}"/>
    <cellStyle name="20% - Accent4 3 25" xfId="45572" xr:uid="{00000000-0005-0000-0000-000021190000}"/>
    <cellStyle name="20% - Accent4 3 26" xfId="47255" xr:uid="{00000000-0005-0000-0000-000022190000}"/>
    <cellStyle name="20% - Accent4 3 27" xfId="48938" xr:uid="{00000000-0005-0000-0000-000023190000}"/>
    <cellStyle name="20% - Accent4 3 28" xfId="50621" xr:uid="{00000000-0005-0000-0000-000024190000}"/>
    <cellStyle name="20% - Accent4 3 29" xfId="52304" xr:uid="{00000000-0005-0000-0000-000025190000}"/>
    <cellStyle name="20% - Accent4 3 3" xfId="337" xr:uid="{00000000-0005-0000-0000-000026190000}"/>
    <cellStyle name="20% - Accent4 3 3 10" xfId="10436" xr:uid="{00000000-0005-0000-0000-000027190000}"/>
    <cellStyle name="20% - Accent4 3 3 10 2" xfId="25585" xr:uid="{00000000-0005-0000-0000-000028190000}"/>
    <cellStyle name="20% - Accent4 3 3 11" xfId="12120" xr:uid="{00000000-0005-0000-0000-000029190000}"/>
    <cellStyle name="20% - Accent4 3 3 11 2" xfId="27269" xr:uid="{00000000-0005-0000-0000-00002A190000}"/>
    <cellStyle name="20% - Accent4 3 3 12" xfId="13803" xr:uid="{00000000-0005-0000-0000-00002B190000}"/>
    <cellStyle name="20% - Accent4 3 3 12 2" xfId="28952" xr:uid="{00000000-0005-0000-0000-00002C190000}"/>
    <cellStyle name="20% - Accent4 3 3 13" xfId="15486" xr:uid="{00000000-0005-0000-0000-00002D190000}"/>
    <cellStyle name="20% - Accent4 3 3 14" xfId="30635" xr:uid="{00000000-0005-0000-0000-00002E190000}"/>
    <cellStyle name="20% - Accent4 3 3 15" xfId="32318" xr:uid="{00000000-0005-0000-0000-00002F190000}"/>
    <cellStyle name="20% - Accent4 3 3 16" xfId="34001" xr:uid="{00000000-0005-0000-0000-000030190000}"/>
    <cellStyle name="20% - Accent4 3 3 17" xfId="35684" xr:uid="{00000000-0005-0000-0000-000031190000}"/>
    <cellStyle name="20% - Accent4 3 3 18" xfId="37367" xr:uid="{00000000-0005-0000-0000-000032190000}"/>
    <cellStyle name="20% - Accent4 3 3 19" xfId="39050" xr:uid="{00000000-0005-0000-0000-000033190000}"/>
    <cellStyle name="20% - Accent4 3 3 2" xfId="757" xr:uid="{00000000-0005-0000-0000-000034190000}"/>
    <cellStyle name="20% - Accent4 3 3 2 10" xfId="15906" xr:uid="{00000000-0005-0000-0000-000035190000}"/>
    <cellStyle name="20% - Accent4 3 3 2 11" xfId="31055" xr:uid="{00000000-0005-0000-0000-000036190000}"/>
    <cellStyle name="20% - Accent4 3 3 2 12" xfId="32738" xr:uid="{00000000-0005-0000-0000-000037190000}"/>
    <cellStyle name="20% - Accent4 3 3 2 13" xfId="34421" xr:uid="{00000000-0005-0000-0000-000038190000}"/>
    <cellStyle name="20% - Accent4 3 3 2 14" xfId="36104" xr:uid="{00000000-0005-0000-0000-000039190000}"/>
    <cellStyle name="20% - Accent4 3 3 2 15" xfId="37787" xr:uid="{00000000-0005-0000-0000-00003A190000}"/>
    <cellStyle name="20% - Accent4 3 3 2 16" xfId="39470" xr:uid="{00000000-0005-0000-0000-00003B190000}"/>
    <cellStyle name="20% - Accent4 3 3 2 17" xfId="41153" xr:uid="{00000000-0005-0000-0000-00003C190000}"/>
    <cellStyle name="20% - Accent4 3 3 2 18" xfId="42836" xr:uid="{00000000-0005-0000-0000-00003D190000}"/>
    <cellStyle name="20% - Accent4 3 3 2 19" xfId="44519" xr:uid="{00000000-0005-0000-0000-00003E190000}"/>
    <cellStyle name="20% - Accent4 3 3 2 2" xfId="2440" xr:uid="{00000000-0005-0000-0000-00003F190000}"/>
    <cellStyle name="20% - Accent4 3 3 2 2 2" xfId="17589" xr:uid="{00000000-0005-0000-0000-000040190000}"/>
    <cellStyle name="20% - Accent4 3 3 2 20" xfId="46202" xr:uid="{00000000-0005-0000-0000-000041190000}"/>
    <cellStyle name="20% - Accent4 3 3 2 21" xfId="47885" xr:uid="{00000000-0005-0000-0000-000042190000}"/>
    <cellStyle name="20% - Accent4 3 3 2 22" xfId="49568" xr:uid="{00000000-0005-0000-0000-000043190000}"/>
    <cellStyle name="20% - Accent4 3 3 2 23" xfId="51251" xr:uid="{00000000-0005-0000-0000-000044190000}"/>
    <cellStyle name="20% - Accent4 3 3 2 24" xfId="52934" xr:uid="{00000000-0005-0000-0000-000045190000}"/>
    <cellStyle name="20% - Accent4 3 3 2 25" xfId="54617" xr:uid="{00000000-0005-0000-0000-000046190000}"/>
    <cellStyle name="20% - Accent4 3 3 2 26" xfId="56300" xr:uid="{00000000-0005-0000-0000-000047190000}"/>
    <cellStyle name="20% - Accent4 3 3 2 27" xfId="57983" xr:uid="{00000000-0005-0000-0000-000048190000}"/>
    <cellStyle name="20% - Accent4 3 3 2 28" xfId="59666" xr:uid="{00000000-0005-0000-0000-000049190000}"/>
    <cellStyle name="20% - Accent4 3 3 2 29" xfId="61349" xr:uid="{00000000-0005-0000-0000-00004A190000}"/>
    <cellStyle name="20% - Accent4 3 3 2 3" xfId="4124" xr:uid="{00000000-0005-0000-0000-00004B190000}"/>
    <cellStyle name="20% - Accent4 3 3 2 3 2" xfId="19273" xr:uid="{00000000-0005-0000-0000-00004C190000}"/>
    <cellStyle name="20% - Accent4 3 3 2 30" xfId="63032" xr:uid="{00000000-0005-0000-0000-00004D190000}"/>
    <cellStyle name="20% - Accent4 3 3 2 4" xfId="5807" xr:uid="{00000000-0005-0000-0000-00004E190000}"/>
    <cellStyle name="20% - Accent4 3 3 2 4 2" xfId="20956" xr:uid="{00000000-0005-0000-0000-00004F190000}"/>
    <cellStyle name="20% - Accent4 3 3 2 5" xfId="7490" xr:uid="{00000000-0005-0000-0000-000050190000}"/>
    <cellStyle name="20% - Accent4 3 3 2 5 2" xfId="22639" xr:uid="{00000000-0005-0000-0000-000051190000}"/>
    <cellStyle name="20% - Accent4 3 3 2 6" xfId="9173" xr:uid="{00000000-0005-0000-0000-000052190000}"/>
    <cellStyle name="20% - Accent4 3 3 2 6 2" xfId="24322" xr:uid="{00000000-0005-0000-0000-000053190000}"/>
    <cellStyle name="20% - Accent4 3 3 2 7" xfId="10856" xr:uid="{00000000-0005-0000-0000-000054190000}"/>
    <cellStyle name="20% - Accent4 3 3 2 7 2" xfId="26005" xr:uid="{00000000-0005-0000-0000-000055190000}"/>
    <cellStyle name="20% - Accent4 3 3 2 8" xfId="12540" xr:uid="{00000000-0005-0000-0000-000056190000}"/>
    <cellStyle name="20% - Accent4 3 3 2 8 2" xfId="27689" xr:uid="{00000000-0005-0000-0000-000057190000}"/>
    <cellStyle name="20% - Accent4 3 3 2 9" xfId="14223" xr:uid="{00000000-0005-0000-0000-000058190000}"/>
    <cellStyle name="20% - Accent4 3 3 2 9 2" xfId="29372" xr:uid="{00000000-0005-0000-0000-000059190000}"/>
    <cellStyle name="20% - Accent4 3 3 20" xfId="40733" xr:uid="{00000000-0005-0000-0000-00005A190000}"/>
    <cellStyle name="20% - Accent4 3 3 21" xfId="42416" xr:uid="{00000000-0005-0000-0000-00005B190000}"/>
    <cellStyle name="20% - Accent4 3 3 22" xfId="44099" xr:uid="{00000000-0005-0000-0000-00005C190000}"/>
    <cellStyle name="20% - Accent4 3 3 23" xfId="45782" xr:uid="{00000000-0005-0000-0000-00005D190000}"/>
    <cellStyle name="20% - Accent4 3 3 24" xfId="47465" xr:uid="{00000000-0005-0000-0000-00005E190000}"/>
    <cellStyle name="20% - Accent4 3 3 25" xfId="49148" xr:uid="{00000000-0005-0000-0000-00005F190000}"/>
    <cellStyle name="20% - Accent4 3 3 26" xfId="50831" xr:uid="{00000000-0005-0000-0000-000060190000}"/>
    <cellStyle name="20% - Accent4 3 3 27" xfId="52514" xr:uid="{00000000-0005-0000-0000-000061190000}"/>
    <cellStyle name="20% - Accent4 3 3 28" xfId="54197" xr:uid="{00000000-0005-0000-0000-000062190000}"/>
    <cellStyle name="20% - Accent4 3 3 29" xfId="55880" xr:uid="{00000000-0005-0000-0000-000063190000}"/>
    <cellStyle name="20% - Accent4 3 3 3" xfId="1178" xr:uid="{00000000-0005-0000-0000-000064190000}"/>
    <cellStyle name="20% - Accent4 3 3 3 10" xfId="16327" xr:uid="{00000000-0005-0000-0000-000065190000}"/>
    <cellStyle name="20% - Accent4 3 3 3 11" xfId="31476" xr:uid="{00000000-0005-0000-0000-000066190000}"/>
    <cellStyle name="20% - Accent4 3 3 3 12" xfId="33159" xr:uid="{00000000-0005-0000-0000-000067190000}"/>
    <cellStyle name="20% - Accent4 3 3 3 13" xfId="34842" xr:uid="{00000000-0005-0000-0000-000068190000}"/>
    <cellStyle name="20% - Accent4 3 3 3 14" xfId="36525" xr:uid="{00000000-0005-0000-0000-000069190000}"/>
    <cellStyle name="20% - Accent4 3 3 3 15" xfId="38208" xr:uid="{00000000-0005-0000-0000-00006A190000}"/>
    <cellStyle name="20% - Accent4 3 3 3 16" xfId="39891" xr:uid="{00000000-0005-0000-0000-00006B190000}"/>
    <cellStyle name="20% - Accent4 3 3 3 17" xfId="41574" xr:uid="{00000000-0005-0000-0000-00006C190000}"/>
    <cellStyle name="20% - Accent4 3 3 3 18" xfId="43257" xr:uid="{00000000-0005-0000-0000-00006D190000}"/>
    <cellStyle name="20% - Accent4 3 3 3 19" xfId="44940" xr:uid="{00000000-0005-0000-0000-00006E190000}"/>
    <cellStyle name="20% - Accent4 3 3 3 2" xfId="2861" xr:uid="{00000000-0005-0000-0000-00006F190000}"/>
    <cellStyle name="20% - Accent4 3 3 3 2 2" xfId="18010" xr:uid="{00000000-0005-0000-0000-000070190000}"/>
    <cellStyle name="20% - Accent4 3 3 3 20" xfId="46623" xr:uid="{00000000-0005-0000-0000-000071190000}"/>
    <cellStyle name="20% - Accent4 3 3 3 21" xfId="48306" xr:uid="{00000000-0005-0000-0000-000072190000}"/>
    <cellStyle name="20% - Accent4 3 3 3 22" xfId="49989" xr:uid="{00000000-0005-0000-0000-000073190000}"/>
    <cellStyle name="20% - Accent4 3 3 3 23" xfId="51672" xr:uid="{00000000-0005-0000-0000-000074190000}"/>
    <cellStyle name="20% - Accent4 3 3 3 24" xfId="53355" xr:uid="{00000000-0005-0000-0000-000075190000}"/>
    <cellStyle name="20% - Accent4 3 3 3 25" xfId="55038" xr:uid="{00000000-0005-0000-0000-000076190000}"/>
    <cellStyle name="20% - Accent4 3 3 3 26" xfId="56721" xr:uid="{00000000-0005-0000-0000-000077190000}"/>
    <cellStyle name="20% - Accent4 3 3 3 27" xfId="58404" xr:uid="{00000000-0005-0000-0000-000078190000}"/>
    <cellStyle name="20% - Accent4 3 3 3 28" xfId="60087" xr:uid="{00000000-0005-0000-0000-000079190000}"/>
    <cellStyle name="20% - Accent4 3 3 3 29" xfId="61770" xr:uid="{00000000-0005-0000-0000-00007A190000}"/>
    <cellStyle name="20% - Accent4 3 3 3 3" xfId="4545" xr:uid="{00000000-0005-0000-0000-00007B190000}"/>
    <cellStyle name="20% - Accent4 3 3 3 3 2" xfId="19694" xr:uid="{00000000-0005-0000-0000-00007C190000}"/>
    <cellStyle name="20% - Accent4 3 3 3 30" xfId="63453" xr:uid="{00000000-0005-0000-0000-00007D190000}"/>
    <cellStyle name="20% - Accent4 3 3 3 4" xfId="6228" xr:uid="{00000000-0005-0000-0000-00007E190000}"/>
    <cellStyle name="20% - Accent4 3 3 3 4 2" xfId="21377" xr:uid="{00000000-0005-0000-0000-00007F190000}"/>
    <cellStyle name="20% - Accent4 3 3 3 5" xfId="7911" xr:uid="{00000000-0005-0000-0000-000080190000}"/>
    <cellStyle name="20% - Accent4 3 3 3 5 2" xfId="23060" xr:uid="{00000000-0005-0000-0000-000081190000}"/>
    <cellStyle name="20% - Accent4 3 3 3 6" xfId="9594" xr:uid="{00000000-0005-0000-0000-000082190000}"/>
    <cellStyle name="20% - Accent4 3 3 3 6 2" xfId="24743" xr:uid="{00000000-0005-0000-0000-000083190000}"/>
    <cellStyle name="20% - Accent4 3 3 3 7" xfId="11277" xr:uid="{00000000-0005-0000-0000-000084190000}"/>
    <cellStyle name="20% - Accent4 3 3 3 7 2" xfId="26426" xr:uid="{00000000-0005-0000-0000-000085190000}"/>
    <cellStyle name="20% - Accent4 3 3 3 8" xfId="12961" xr:uid="{00000000-0005-0000-0000-000086190000}"/>
    <cellStyle name="20% - Accent4 3 3 3 8 2" xfId="28110" xr:uid="{00000000-0005-0000-0000-000087190000}"/>
    <cellStyle name="20% - Accent4 3 3 3 9" xfId="14644" xr:uid="{00000000-0005-0000-0000-000088190000}"/>
    <cellStyle name="20% - Accent4 3 3 3 9 2" xfId="29793" xr:uid="{00000000-0005-0000-0000-000089190000}"/>
    <cellStyle name="20% - Accent4 3 3 30" xfId="57563" xr:uid="{00000000-0005-0000-0000-00008A190000}"/>
    <cellStyle name="20% - Accent4 3 3 31" xfId="59246" xr:uid="{00000000-0005-0000-0000-00008B190000}"/>
    <cellStyle name="20% - Accent4 3 3 32" xfId="60929" xr:uid="{00000000-0005-0000-0000-00008C190000}"/>
    <cellStyle name="20% - Accent4 3 3 33" xfId="62612" xr:uid="{00000000-0005-0000-0000-00008D190000}"/>
    <cellStyle name="20% - Accent4 3 3 4" xfId="1599" xr:uid="{00000000-0005-0000-0000-00008E190000}"/>
    <cellStyle name="20% - Accent4 3 3 4 10" xfId="16748" xr:uid="{00000000-0005-0000-0000-00008F190000}"/>
    <cellStyle name="20% - Accent4 3 3 4 11" xfId="31897" xr:uid="{00000000-0005-0000-0000-000090190000}"/>
    <cellStyle name="20% - Accent4 3 3 4 12" xfId="33580" xr:uid="{00000000-0005-0000-0000-000091190000}"/>
    <cellStyle name="20% - Accent4 3 3 4 13" xfId="35263" xr:uid="{00000000-0005-0000-0000-000092190000}"/>
    <cellStyle name="20% - Accent4 3 3 4 14" xfId="36946" xr:uid="{00000000-0005-0000-0000-000093190000}"/>
    <cellStyle name="20% - Accent4 3 3 4 15" xfId="38629" xr:uid="{00000000-0005-0000-0000-000094190000}"/>
    <cellStyle name="20% - Accent4 3 3 4 16" xfId="40312" xr:uid="{00000000-0005-0000-0000-000095190000}"/>
    <cellStyle name="20% - Accent4 3 3 4 17" xfId="41995" xr:uid="{00000000-0005-0000-0000-000096190000}"/>
    <cellStyle name="20% - Accent4 3 3 4 18" xfId="43678" xr:uid="{00000000-0005-0000-0000-000097190000}"/>
    <cellStyle name="20% - Accent4 3 3 4 19" xfId="45361" xr:uid="{00000000-0005-0000-0000-000098190000}"/>
    <cellStyle name="20% - Accent4 3 3 4 2" xfId="3282" xr:uid="{00000000-0005-0000-0000-000099190000}"/>
    <cellStyle name="20% - Accent4 3 3 4 2 2" xfId="18431" xr:uid="{00000000-0005-0000-0000-00009A190000}"/>
    <cellStyle name="20% - Accent4 3 3 4 20" xfId="47044" xr:uid="{00000000-0005-0000-0000-00009B190000}"/>
    <cellStyle name="20% - Accent4 3 3 4 21" xfId="48727" xr:uid="{00000000-0005-0000-0000-00009C190000}"/>
    <cellStyle name="20% - Accent4 3 3 4 22" xfId="50410" xr:uid="{00000000-0005-0000-0000-00009D190000}"/>
    <cellStyle name="20% - Accent4 3 3 4 23" xfId="52093" xr:uid="{00000000-0005-0000-0000-00009E190000}"/>
    <cellStyle name="20% - Accent4 3 3 4 24" xfId="53776" xr:uid="{00000000-0005-0000-0000-00009F190000}"/>
    <cellStyle name="20% - Accent4 3 3 4 25" xfId="55459" xr:uid="{00000000-0005-0000-0000-0000A0190000}"/>
    <cellStyle name="20% - Accent4 3 3 4 26" xfId="57142" xr:uid="{00000000-0005-0000-0000-0000A1190000}"/>
    <cellStyle name="20% - Accent4 3 3 4 27" xfId="58825" xr:uid="{00000000-0005-0000-0000-0000A2190000}"/>
    <cellStyle name="20% - Accent4 3 3 4 28" xfId="60508" xr:uid="{00000000-0005-0000-0000-0000A3190000}"/>
    <cellStyle name="20% - Accent4 3 3 4 29" xfId="62191" xr:uid="{00000000-0005-0000-0000-0000A4190000}"/>
    <cellStyle name="20% - Accent4 3 3 4 3" xfId="4966" xr:uid="{00000000-0005-0000-0000-0000A5190000}"/>
    <cellStyle name="20% - Accent4 3 3 4 3 2" xfId="20115" xr:uid="{00000000-0005-0000-0000-0000A6190000}"/>
    <cellStyle name="20% - Accent4 3 3 4 30" xfId="63874" xr:uid="{00000000-0005-0000-0000-0000A7190000}"/>
    <cellStyle name="20% - Accent4 3 3 4 4" xfId="6649" xr:uid="{00000000-0005-0000-0000-0000A8190000}"/>
    <cellStyle name="20% - Accent4 3 3 4 4 2" xfId="21798" xr:uid="{00000000-0005-0000-0000-0000A9190000}"/>
    <cellStyle name="20% - Accent4 3 3 4 5" xfId="8332" xr:uid="{00000000-0005-0000-0000-0000AA190000}"/>
    <cellStyle name="20% - Accent4 3 3 4 5 2" xfId="23481" xr:uid="{00000000-0005-0000-0000-0000AB190000}"/>
    <cellStyle name="20% - Accent4 3 3 4 6" xfId="10015" xr:uid="{00000000-0005-0000-0000-0000AC190000}"/>
    <cellStyle name="20% - Accent4 3 3 4 6 2" xfId="25164" xr:uid="{00000000-0005-0000-0000-0000AD190000}"/>
    <cellStyle name="20% - Accent4 3 3 4 7" xfId="11698" xr:uid="{00000000-0005-0000-0000-0000AE190000}"/>
    <cellStyle name="20% - Accent4 3 3 4 7 2" xfId="26847" xr:uid="{00000000-0005-0000-0000-0000AF190000}"/>
    <cellStyle name="20% - Accent4 3 3 4 8" xfId="13382" xr:uid="{00000000-0005-0000-0000-0000B0190000}"/>
    <cellStyle name="20% - Accent4 3 3 4 8 2" xfId="28531" xr:uid="{00000000-0005-0000-0000-0000B1190000}"/>
    <cellStyle name="20% - Accent4 3 3 4 9" xfId="15065" xr:uid="{00000000-0005-0000-0000-0000B2190000}"/>
    <cellStyle name="20% - Accent4 3 3 4 9 2" xfId="30214" xr:uid="{00000000-0005-0000-0000-0000B3190000}"/>
    <cellStyle name="20% - Accent4 3 3 5" xfId="2020" xr:uid="{00000000-0005-0000-0000-0000B4190000}"/>
    <cellStyle name="20% - Accent4 3 3 5 2" xfId="17169" xr:uid="{00000000-0005-0000-0000-0000B5190000}"/>
    <cellStyle name="20% - Accent4 3 3 6" xfId="3704" xr:uid="{00000000-0005-0000-0000-0000B6190000}"/>
    <cellStyle name="20% - Accent4 3 3 6 2" xfId="18853" xr:uid="{00000000-0005-0000-0000-0000B7190000}"/>
    <cellStyle name="20% - Accent4 3 3 7" xfId="5387" xr:uid="{00000000-0005-0000-0000-0000B8190000}"/>
    <cellStyle name="20% - Accent4 3 3 7 2" xfId="20536" xr:uid="{00000000-0005-0000-0000-0000B9190000}"/>
    <cellStyle name="20% - Accent4 3 3 8" xfId="7070" xr:uid="{00000000-0005-0000-0000-0000BA190000}"/>
    <cellStyle name="20% - Accent4 3 3 8 2" xfId="22219" xr:uid="{00000000-0005-0000-0000-0000BB190000}"/>
    <cellStyle name="20% - Accent4 3 3 9" xfId="8753" xr:uid="{00000000-0005-0000-0000-0000BC190000}"/>
    <cellStyle name="20% - Accent4 3 3 9 2" xfId="23902" xr:uid="{00000000-0005-0000-0000-0000BD190000}"/>
    <cellStyle name="20% - Accent4 3 30" xfId="53987" xr:uid="{00000000-0005-0000-0000-0000BE190000}"/>
    <cellStyle name="20% - Accent4 3 31" xfId="55670" xr:uid="{00000000-0005-0000-0000-0000BF190000}"/>
    <cellStyle name="20% - Accent4 3 32" xfId="57353" xr:uid="{00000000-0005-0000-0000-0000C0190000}"/>
    <cellStyle name="20% - Accent4 3 33" xfId="59036" xr:uid="{00000000-0005-0000-0000-0000C1190000}"/>
    <cellStyle name="20% - Accent4 3 34" xfId="60719" xr:uid="{00000000-0005-0000-0000-0000C2190000}"/>
    <cellStyle name="20% - Accent4 3 35" xfId="62402" xr:uid="{00000000-0005-0000-0000-0000C3190000}"/>
    <cellStyle name="20% - Accent4 3 4" xfId="547" xr:uid="{00000000-0005-0000-0000-0000C4190000}"/>
    <cellStyle name="20% - Accent4 3 4 10" xfId="15696" xr:uid="{00000000-0005-0000-0000-0000C5190000}"/>
    <cellStyle name="20% - Accent4 3 4 11" xfId="30845" xr:uid="{00000000-0005-0000-0000-0000C6190000}"/>
    <cellStyle name="20% - Accent4 3 4 12" xfId="32528" xr:uid="{00000000-0005-0000-0000-0000C7190000}"/>
    <cellStyle name="20% - Accent4 3 4 13" xfId="34211" xr:uid="{00000000-0005-0000-0000-0000C8190000}"/>
    <cellStyle name="20% - Accent4 3 4 14" xfId="35894" xr:uid="{00000000-0005-0000-0000-0000C9190000}"/>
    <cellStyle name="20% - Accent4 3 4 15" xfId="37577" xr:uid="{00000000-0005-0000-0000-0000CA190000}"/>
    <cellStyle name="20% - Accent4 3 4 16" xfId="39260" xr:uid="{00000000-0005-0000-0000-0000CB190000}"/>
    <cellStyle name="20% - Accent4 3 4 17" xfId="40943" xr:uid="{00000000-0005-0000-0000-0000CC190000}"/>
    <cellStyle name="20% - Accent4 3 4 18" xfId="42626" xr:uid="{00000000-0005-0000-0000-0000CD190000}"/>
    <cellStyle name="20% - Accent4 3 4 19" xfId="44309" xr:uid="{00000000-0005-0000-0000-0000CE190000}"/>
    <cellStyle name="20% - Accent4 3 4 2" xfId="2230" xr:uid="{00000000-0005-0000-0000-0000CF190000}"/>
    <cellStyle name="20% - Accent4 3 4 2 2" xfId="17379" xr:uid="{00000000-0005-0000-0000-0000D0190000}"/>
    <cellStyle name="20% - Accent4 3 4 20" xfId="45992" xr:uid="{00000000-0005-0000-0000-0000D1190000}"/>
    <cellStyle name="20% - Accent4 3 4 21" xfId="47675" xr:uid="{00000000-0005-0000-0000-0000D2190000}"/>
    <cellStyle name="20% - Accent4 3 4 22" xfId="49358" xr:uid="{00000000-0005-0000-0000-0000D3190000}"/>
    <cellStyle name="20% - Accent4 3 4 23" xfId="51041" xr:uid="{00000000-0005-0000-0000-0000D4190000}"/>
    <cellStyle name="20% - Accent4 3 4 24" xfId="52724" xr:uid="{00000000-0005-0000-0000-0000D5190000}"/>
    <cellStyle name="20% - Accent4 3 4 25" xfId="54407" xr:uid="{00000000-0005-0000-0000-0000D6190000}"/>
    <cellStyle name="20% - Accent4 3 4 26" xfId="56090" xr:uid="{00000000-0005-0000-0000-0000D7190000}"/>
    <cellStyle name="20% - Accent4 3 4 27" xfId="57773" xr:uid="{00000000-0005-0000-0000-0000D8190000}"/>
    <cellStyle name="20% - Accent4 3 4 28" xfId="59456" xr:uid="{00000000-0005-0000-0000-0000D9190000}"/>
    <cellStyle name="20% - Accent4 3 4 29" xfId="61139" xr:uid="{00000000-0005-0000-0000-0000DA190000}"/>
    <cellStyle name="20% - Accent4 3 4 3" xfId="3914" xr:uid="{00000000-0005-0000-0000-0000DB190000}"/>
    <cellStyle name="20% - Accent4 3 4 3 2" xfId="19063" xr:uid="{00000000-0005-0000-0000-0000DC190000}"/>
    <cellStyle name="20% - Accent4 3 4 30" xfId="62822" xr:uid="{00000000-0005-0000-0000-0000DD190000}"/>
    <cellStyle name="20% - Accent4 3 4 4" xfId="5597" xr:uid="{00000000-0005-0000-0000-0000DE190000}"/>
    <cellStyle name="20% - Accent4 3 4 4 2" xfId="20746" xr:uid="{00000000-0005-0000-0000-0000DF190000}"/>
    <cellStyle name="20% - Accent4 3 4 5" xfId="7280" xr:uid="{00000000-0005-0000-0000-0000E0190000}"/>
    <cellStyle name="20% - Accent4 3 4 5 2" xfId="22429" xr:uid="{00000000-0005-0000-0000-0000E1190000}"/>
    <cellStyle name="20% - Accent4 3 4 6" xfId="8963" xr:uid="{00000000-0005-0000-0000-0000E2190000}"/>
    <cellStyle name="20% - Accent4 3 4 6 2" xfId="24112" xr:uid="{00000000-0005-0000-0000-0000E3190000}"/>
    <cellStyle name="20% - Accent4 3 4 7" xfId="10646" xr:uid="{00000000-0005-0000-0000-0000E4190000}"/>
    <cellStyle name="20% - Accent4 3 4 7 2" xfId="25795" xr:uid="{00000000-0005-0000-0000-0000E5190000}"/>
    <cellStyle name="20% - Accent4 3 4 8" xfId="12330" xr:uid="{00000000-0005-0000-0000-0000E6190000}"/>
    <cellStyle name="20% - Accent4 3 4 8 2" xfId="27479" xr:uid="{00000000-0005-0000-0000-0000E7190000}"/>
    <cellStyle name="20% - Accent4 3 4 9" xfId="14013" xr:uid="{00000000-0005-0000-0000-0000E8190000}"/>
    <cellStyle name="20% - Accent4 3 4 9 2" xfId="29162" xr:uid="{00000000-0005-0000-0000-0000E9190000}"/>
    <cellStyle name="20% - Accent4 3 5" xfId="968" xr:uid="{00000000-0005-0000-0000-0000EA190000}"/>
    <cellStyle name="20% - Accent4 3 5 10" xfId="16117" xr:uid="{00000000-0005-0000-0000-0000EB190000}"/>
    <cellStyle name="20% - Accent4 3 5 11" xfId="31266" xr:uid="{00000000-0005-0000-0000-0000EC190000}"/>
    <cellStyle name="20% - Accent4 3 5 12" xfId="32949" xr:uid="{00000000-0005-0000-0000-0000ED190000}"/>
    <cellStyle name="20% - Accent4 3 5 13" xfId="34632" xr:uid="{00000000-0005-0000-0000-0000EE190000}"/>
    <cellStyle name="20% - Accent4 3 5 14" xfId="36315" xr:uid="{00000000-0005-0000-0000-0000EF190000}"/>
    <cellStyle name="20% - Accent4 3 5 15" xfId="37998" xr:uid="{00000000-0005-0000-0000-0000F0190000}"/>
    <cellStyle name="20% - Accent4 3 5 16" xfId="39681" xr:uid="{00000000-0005-0000-0000-0000F1190000}"/>
    <cellStyle name="20% - Accent4 3 5 17" xfId="41364" xr:uid="{00000000-0005-0000-0000-0000F2190000}"/>
    <cellStyle name="20% - Accent4 3 5 18" xfId="43047" xr:uid="{00000000-0005-0000-0000-0000F3190000}"/>
    <cellStyle name="20% - Accent4 3 5 19" xfId="44730" xr:uid="{00000000-0005-0000-0000-0000F4190000}"/>
    <cellStyle name="20% - Accent4 3 5 2" xfId="2651" xr:uid="{00000000-0005-0000-0000-0000F5190000}"/>
    <cellStyle name="20% - Accent4 3 5 2 2" xfId="17800" xr:uid="{00000000-0005-0000-0000-0000F6190000}"/>
    <cellStyle name="20% - Accent4 3 5 20" xfId="46413" xr:uid="{00000000-0005-0000-0000-0000F7190000}"/>
    <cellStyle name="20% - Accent4 3 5 21" xfId="48096" xr:uid="{00000000-0005-0000-0000-0000F8190000}"/>
    <cellStyle name="20% - Accent4 3 5 22" xfId="49779" xr:uid="{00000000-0005-0000-0000-0000F9190000}"/>
    <cellStyle name="20% - Accent4 3 5 23" xfId="51462" xr:uid="{00000000-0005-0000-0000-0000FA190000}"/>
    <cellStyle name="20% - Accent4 3 5 24" xfId="53145" xr:uid="{00000000-0005-0000-0000-0000FB190000}"/>
    <cellStyle name="20% - Accent4 3 5 25" xfId="54828" xr:uid="{00000000-0005-0000-0000-0000FC190000}"/>
    <cellStyle name="20% - Accent4 3 5 26" xfId="56511" xr:uid="{00000000-0005-0000-0000-0000FD190000}"/>
    <cellStyle name="20% - Accent4 3 5 27" xfId="58194" xr:uid="{00000000-0005-0000-0000-0000FE190000}"/>
    <cellStyle name="20% - Accent4 3 5 28" xfId="59877" xr:uid="{00000000-0005-0000-0000-0000FF190000}"/>
    <cellStyle name="20% - Accent4 3 5 29" xfId="61560" xr:uid="{00000000-0005-0000-0000-0000001A0000}"/>
    <cellStyle name="20% - Accent4 3 5 3" xfId="4335" xr:uid="{00000000-0005-0000-0000-0000011A0000}"/>
    <cellStyle name="20% - Accent4 3 5 3 2" xfId="19484" xr:uid="{00000000-0005-0000-0000-0000021A0000}"/>
    <cellStyle name="20% - Accent4 3 5 30" xfId="63243" xr:uid="{00000000-0005-0000-0000-0000031A0000}"/>
    <cellStyle name="20% - Accent4 3 5 4" xfId="6018" xr:uid="{00000000-0005-0000-0000-0000041A0000}"/>
    <cellStyle name="20% - Accent4 3 5 4 2" xfId="21167" xr:uid="{00000000-0005-0000-0000-0000051A0000}"/>
    <cellStyle name="20% - Accent4 3 5 5" xfId="7701" xr:uid="{00000000-0005-0000-0000-0000061A0000}"/>
    <cellStyle name="20% - Accent4 3 5 5 2" xfId="22850" xr:uid="{00000000-0005-0000-0000-0000071A0000}"/>
    <cellStyle name="20% - Accent4 3 5 6" xfId="9384" xr:uid="{00000000-0005-0000-0000-0000081A0000}"/>
    <cellStyle name="20% - Accent4 3 5 6 2" xfId="24533" xr:uid="{00000000-0005-0000-0000-0000091A0000}"/>
    <cellStyle name="20% - Accent4 3 5 7" xfId="11067" xr:uid="{00000000-0005-0000-0000-00000A1A0000}"/>
    <cellStyle name="20% - Accent4 3 5 7 2" xfId="26216" xr:uid="{00000000-0005-0000-0000-00000B1A0000}"/>
    <cellStyle name="20% - Accent4 3 5 8" xfId="12751" xr:uid="{00000000-0005-0000-0000-00000C1A0000}"/>
    <cellStyle name="20% - Accent4 3 5 8 2" xfId="27900" xr:uid="{00000000-0005-0000-0000-00000D1A0000}"/>
    <cellStyle name="20% - Accent4 3 5 9" xfId="14434" xr:uid="{00000000-0005-0000-0000-00000E1A0000}"/>
    <cellStyle name="20% - Accent4 3 5 9 2" xfId="29583" xr:uid="{00000000-0005-0000-0000-00000F1A0000}"/>
    <cellStyle name="20% - Accent4 3 6" xfId="1389" xr:uid="{00000000-0005-0000-0000-0000101A0000}"/>
    <cellStyle name="20% - Accent4 3 6 10" xfId="16538" xr:uid="{00000000-0005-0000-0000-0000111A0000}"/>
    <cellStyle name="20% - Accent4 3 6 11" xfId="31687" xr:uid="{00000000-0005-0000-0000-0000121A0000}"/>
    <cellStyle name="20% - Accent4 3 6 12" xfId="33370" xr:uid="{00000000-0005-0000-0000-0000131A0000}"/>
    <cellStyle name="20% - Accent4 3 6 13" xfId="35053" xr:uid="{00000000-0005-0000-0000-0000141A0000}"/>
    <cellStyle name="20% - Accent4 3 6 14" xfId="36736" xr:uid="{00000000-0005-0000-0000-0000151A0000}"/>
    <cellStyle name="20% - Accent4 3 6 15" xfId="38419" xr:uid="{00000000-0005-0000-0000-0000161A0000}"/>
    <cellStyle name="20% - Accent4 3 6 16" xfId="40102" xr:uid="{00000000-0005-0000-0000-0000171A0000}"/>
    <cellStyle name="20% - Accent4 3 6 17" xfId="41785" xr:uid="{00000000-0005-0000-0000-0000181A0000}"/>
    <cellStyle name="20% - Accent4 3 6 18" xfId="43468" xr:uid="{00000000-0005-0000-0000-0000191A0000}"/>
    <cellStyle name="20% - Accent4 3 6 19" xfId="45151" xr:uid="{00000000-0005-0000-0000-00001A1A0000}"/>
    <cellStyle name="20% - Accent4 3 6 2" xfId="3072" xr:uid="{00000000-0005-0000-0000-00001B1A0000}"/>
    <cellStyle name="20% - Accent4 3 6 2 2" xfId="18221" xr:uid="{00000000-0005-0000-0000-00001C1A0000}"/>
    <cellStyle name="20% - Accent4 3 6 20" xfId="46834" xr:uid="{00000000-0005-0000-0000-00001D1A0000}"/>
    <cellStyle name="20% - Accent4 3 6 21" xfId="48517" xr:uid="{00000000-0005-0000-0000-00001E1A0000}"/>
    <cellStyle name="20% - Accent4 3 6 22" xfId="50200" xr:uid="{00000000-0005-0000-0000-00001F1A0000}"/>
    <cellStyle name="20% - Accent4 3 6 23" xfId="51883" xr:uid="{00000000-0005-0000-0000-0000201A0000}"/>
    <cellStyle name="20% - Accent4 3 6 24" xfId="53566" xr:uid="{00000000-0005-0000-0000-0000211A0000}"/>
    <cellStyle name="20% - Accent4 3 6 25" xfId="55249" xr:uid="{00000000-0005-0000-0000-0000221A0000}"/>
    <cellStyle name="20% - Accent4 3 6 26" xfId="56932" xr:uid="{00000000-0005-0000-0000-0000231A0000}"/>
    <cellStyle name="20% - Accent4 3 6 27" xfId="58615" xr:uid="{00000000-0005-0000-0000-0000241A0000}"/>
    <cellStyle name="20% - Accent4 3 6 28" xfId="60298" xr:uid="{00000000-0005-0000-0000-0000251A0000}"/>
    <cellStyle name="20% - Accent4 3 6 29" xfId="61981" xr:uid="{00000000-0005-0000-0000-0000261A0000}"/>
    <cellStyle name="20% - Accent4 3 6 3" xfId="4756" xr:uid="{00000000-0005-0000-0000-0000271A0000}"/>
    <cellStyle name="20% - Accent4 3 6 3 2" xfId="19905" xr:uid="{00000000-0005-0000-0000-0000281A0000}"/>
    <cellStyle name="20% - Accent4 3 6 30" xfId="63664" xr:uid="{00000000-0005-0000-0000-0000291A0000}"/>
    <cellStyle name="20% - Accent4 3 6 4" xfId="6439" xr:uid="{00000000-0005-0000-0000-00002A1A0000}"/>
    <cellStyle name="20% - Accent4 3 6 4 2" xfId="21588" xr:uid="{00000000-0005-0000-0000-00002B1A0000}"/>
    <cellStyle name="20% - Accent4 3 6 5" xfId="8122" xr:uid="{00000000-0005-0000-0000-00002C1A0000}"/>
    <cellStyle name="20% - Accent4 3 6 5 2" xfId="23271" xr:uid="{00000000-0005-0000-0000-00002D1A0000}"/>
    <cellStyle name="20% - Accent4 3 6 6" xfId="9805" xr:uid="{00000000-0005-0000-0000-00002E1A0000}"/>
    <cellStyle name="20% - Accent4 3 6 6 2" xfId="24954" xr:uid="{00000000-0005-0000-0000-00002F1A0000}"/>
    <cellStyle name="20% - Accent4 3 6 7" xfId="11488" xr:uid="{00000000-0005-0000-0000-0000301A0000}"/>
    <cellStyle name="20% - Accent4 3 6 7 2" xfId="26637" xr:uid="{00000000-0005-0000-0000-0000311A0000}"/>
    <cellStyle name="20% - Accent4 3 6 8" xfId="13172" xr:uid="{00000000-0005-0000-0000-0000321A0000}"/>
    <cellStyle name="20% - Accent4 3 6 8 2" xfId="28321" xr:uid="{00000000-0005-0000-0000-0000331A0000}"/>
    <cellStyle name="20% - Accent4 3 6 9" xfId="14855" xr:uid="{00000000-0005-0000-0000-0000341A0000}"/>
    <cellStyle name="20% - Accent4 3 6 9 2" xfId="30004" xr:uid="{00000000-0005-0000-0000-0000351A0000}"/>
    <cellStyle name="20% - Accent4 3 7" xfId="1810" xr:uid="{00000000-0005-0000-0000-0000361A0000}"/>
    <cellStyle name="20% - Accent4 3 7 2" xfId="16959" xr:uid="{00000000-0005-0000-0000-0000371A0000}"/>
    <cellStyle name="20% - Accent4 3 8" xfId="3494" xr:uid="{00000000-0005-0000-0000-0000381A0000}"/>
    <cellStyle name="20% - Accent4 3 8 2" xfId="18643" xr:uid="{00000000-0005-0000-0000-0000391A0000}"/>
    <cellStyle name="20% - Accent4 3 9" xfId="5177" xr:uid="{00000000-0005-0000-0000-00003A1A0000}"/>
    <cellStyle name="20% - Accent4 3 9 2" xfId="20326" xr:uid="{00000000-0005-0000-0000-00003B1A0000}"/>
    <cellStyle name="20% - Accent4 30" xfId="50579" xr:uid="{00000000-0005-0000-0000-00003C1A0000}"/>
    <cellStyle name="20% - Accent4 31" xfId="52262" xr:uid="{00000000-0005-0000-0000-00003D1A0000}"/>
    <cellStyle name="20% - Accent4 32" xfId="53945" xr:uid="{00000000-0005-0000-0000-00003E1A0000}"/>
    <cellStyle name="20% - Accent4 33" xfId="55628" xr:uid="{00000000-0005-0000-0000-00003F1A0000}"/>
    <cellStyle name="20% - Accent4 34" xfId="57311" xr:uid="{00000000-0005-0000-0000-0000401A0000}"/>
    <cellStyle name="20% - Accent4 35" xfId="58994" xr:uid="{00000000-0005-0000-0000-0000411A0000}"/>
    <cellStyle name="20% - Accent4 36" xfId="60677" xr:uid="{00000000-0005-0000-0000-0000421A0000}"/>
    <cellStyle name="20% - Accent4 37" xfId="62360" xr:uid="{00000000-0005-0000-0000-0000431A0000}"/>
    <cellStyle name="20% - Accent4 4" xfId="190" xr:uid="{00000000-0005-0000-0000-0000441A0000}"/>
    <cellStyle name="20% - Accent4 4 10" xfId="8606" xr:uid="{00000000-0005-0000-0000-0000451A0000}"/>
    <cellStyle name="20% - Accent4 4 10 2" xfId="23755" xr:uid="{00000000-0005-0000-0000-0000461A0000}"/>
    <cellStyle name="20% - Accent4 4 11" xfId="10289" xr:uid="{00000000-0005-0000-0000-0000471A0000}"/>
    <cellStyle name="20% - Accent4 4 11 2" xfId="25438" xr:uid="{00000000-0005-0000-0000-0000481A0000}"/>
    <cellStyle name="20% - Accent4 4 12" xfId="11973" xr:uid="{00000000-0005-0000-0000-0000491A0000}"/>
    <cellStyle name="20% - Accent4 4 12 2" xfId="27122" xr:uid="{00000000-0005-0000-0000-00004A1A0000}"/>
    <cellStyle name="20% - Accent4 4 13" xfId="13656" xr:uid="{00000000-0005-0000-0000-00004B1A0000}"/>
    <cellStyle name="20% - Accent4 4 13 2" xfId="28805" xr:uid="{00000000-0005-0000-0000-00004C1A0000}"/>
    <cellStyle name="20% - Accent4 4 14" xfId="15339" xr:uid="{00000000-0005-0000-0000-00004D1A0000}"/>
    <cellStyle name="20% - Accent4 4 15" xfId="30488" xr:uid="{00000000-0005-0000-0000-00004E1A0000}"/>
    <cellStyle name="20% - Accent4 4 16" xfId="32171" xr:uid="{00000000-0005-0000-0000-00004F1A0000}"/>
    <cellStyle name="20% - Accent4 4 17" xfId="33854" xr:uid="{00000000-0005-0000-0000-0000501A0000}"/>
    <cellStyle name="20% - Accent4 4 18" xfId="35537" xr:uid="{00000000-0005-0000-0000-0000511A0000}"/>
    <cellStyle name="20% - Accent4 4 19" xfId="37220" xr:uid="{00000000-0005-0000-0000-0000521A0000}"/>
    <cellStyle name="20% - Accent4 4 2" xfId="400" xr:uid="{00000000-0005-0000-0000-0000531A0000}"/>
    <cellStyle name="20% - Accent4 4 2 10" xfId="10499" xr:uid="{00000000-0005-0000-0000-0000541A0000}"/>
    <cellStyle name="20% - Accent4 4 2 10 2" xfId="25648" xr:uid="{00000000-0005-0000-0000-0000551A0000}"/>
    <cellStyle name="20% - Accent4 4 2 11" xfId="12183" xr:uid="{00000000-0005-0000-0000-0000561A0000}"/>
    <cellStyle name="20% - Accent4 4 2 11 2" xfId="27332" xr:uid="{00000000-0005-0000-0000-0000571A0000}"/>
    <cellStyle name="20% - Accent4 4 2 12" xfId="13866" xr:uid="{00000000-0005-0000-0000-0000581A0000}"/>
    <cellStyle name="20% - Accent4 4 2 12 2" xfId="29015" xr:uid="{00000000-0005-0000-0000-0000591A0000}"/>
    <cellStyle name="20% - Accent4 4 2 13" xfId="15549" xr:uid="{00000000-0005-0000-0000-00005A1A0000}"/>
    <cellStyle name="20% - Accent4 4 2 14" xfId="30698" xr:uid="{00000000-0005-0000-0000-00005B1A0000}"/>
    <cellStyle name="20% - Accent4 4 2 15" xfId="32381" xr:uid="{00000000-0005-0000-0000-00005C1A0000}"/>
    <cellStyle name="20% - Accent4 4 2 16" xfId="34064" xr:uid="{00000000-0005-0000-0000-00005D1A0000}"/>
    <cellStyle name="20% - Accent4 4 2 17" xfId="35747" xr:uid="{00000000-0005-0000-0000-00005E1A0000}"/>
    <cellStyle name="20% - Accent4 4 2 18" xfId="37430" xr:uid="{00000000-0005-0000-0000-00005F1A0000}"/>
    <cellStyle name="20% - Accent4 4 2 19" xfId="39113" xr:uid="{00000000-0005-0000-0000-0000601A0000}"/>
    <cellStyle name="20% - Accent4 4 2 2" xfId="820" xr:uid="{00000000-0005-0000-0000-0000611A0000}"/>
    <cellStyle name="20% - Accent4 4 2 2 10" xfId="15969" xr:uid="{00000000-0005-0000-0000-0000621A0000}"/>
    <cellStyle name="20% - Accent4 4 2 2 11" xfId="31118" xr:uid="{00000000-0005-0000-0000-0000631A0000}"/>
    <cellStyle name="20% - Accent4 4 2 2 12" xfId="32801" xr:uid="{00000000-0005-0000-0000-0000641A0000}"/>
    <cellStyle name="20% - Accent4 4 2 2 13" xfId="34484" xr:uid="{00000000-0005-0000-0000-0000651A0000}"/>
    <cellStyle name="20% - Accent4 4 2 2 14" xfId="36167" xr:uid="{00000000-0005-0000-0000-0000661A0000}"/>
    <cellStyle name="20% - Accent4 4 2 2 15" xfId="37850" xr:uid="{00000000-0005-0000-0000-0000671A0000}"/>
    <cellStyle name="20% - Accent4 4 2 2 16" xfId="39533" xr:uid="{00000000-0005-0000-0000-0000681A0000}"/>
    <cellStyle name="20% - Accent4 4 2 2 17" xfId="41216" xr:uid="{00000000-0005-0000-0000-0000691A0000}"/>
    <cellStyle name="20% - Accent4 4 2 2 18" xfId="42899" xr:uid="{00000000-0005-0000-0000-00006A1A0000}"/>
    <cellStyle name="20% - Accent4 4 2 2 19" xfId="44582" xr:uid="{00000000-0005-0000-0000-00006B1A0000}"/>
    <cellStyle name="20% - Accent4 4 2 2 2" xfId="2503" xr:uid="{00000000-0005-0000-0000-00006C1A0000}"/>
    <cellStyle name="20% - Accent4 4 2 2 2 2" xfId="17652" xr:uid="{00000000-0005-0000-0000-00006D1A0000}"/>
    <cellStyle name="20% - Accent4 4 2 2 20" xfId="46265" xr:uid="{00000000-0005-0000-0000-00006E1A0000}"/>
    <cellStyle name="20% - Accent4 4 2 2 21" xfId="47948" xr:uid="{00000000-0005-0000-0000-00006F1A0000}"/>
    <cellStyle name="20% - Accent4 4 2 2 22" xfId="49631" xr:uid="{00000000-0005-0000-0000-0000701A0000}"/>
    <cellStyle name="20% - Accent4 4 2 2 23" xfId="51314" xr:uid="{00000000-0005-0000-0000-0000711A0000}"/>
    <cellStyle name="20% - Accent4 4 2 2 24" xfId="52997" xr:uid="{00000000-0005-0000-0000-0000721A0000}"/>
    <cellStyle name="20% - Accent4 4 2 2 25" xfId="54680" xr:uid="{00000000-0005-0000-0000-0000731A0000}"/>
    <cellStyle name="20% - Accent4 4 2 2 26" xfId="56363" xr:uid="{00000000-0005-0000-0000-0000741A0000}"/>
    <cellStyle name="20% - Accent4 4 2 2 27" xfId="58046" xr:uid="{00000000-0005-0000-0000-0000751A0000}"/>
    <cellStyle name="20% - Accent4 4 2 2 28" xfId="59729" xr:uid="{00000000-0005-0000-0000-0000761A0000}"/>
    <cellStyle name="20% - Accent4 4 2 2 29" xfId="61412" xr:uid="{00000000-0005-0000-0000-0000771A0000}"/>
    <cellStyle name="20% - Accent4 4 2 2 3" xfId="4187" xr:uid="{00000000-0005-0000-0000-0000781A0000}"/>
    <cellStyle name="20% - Accent4 4 2 2 3 2" xfId="19336" xr:uid="{00000000-0005-0000-0000-0000791A0000}"/>
    <cellStyle name="20% - Accent4 4 2 2 30" xfId="63095" xr:uid="{00000000-0005-0000-0000-00007A1A0000}"/>
    <cellStyle name="20% - Accent4 4 2 2 4" xfId="5870" xr:uid="{00000000-0005-0000-0000-00007B1A0000}"/>
    <cellStyle name="20% - Accent4 4 2 2 4 2" xfId="21019" xr:uid="{00000000-0005-0000-0000-00007C1A0000}"/>
    <cellStyle name="20% - Accent4 4 2 2 5" xfId="7553" xr:uid="{00000000-0005-0000-0000-00007D1A0000}"/>
    <cellStyle name="20% - Accent4 4 2 2 5 2" xfId="22702" xr:uid="{00000000-0005-0000-0000-00007E1A0000}"/>
    <cellStyle name="20% - Accent4 4 2 2 6" xfId="9236" xr:uid="{00000000-0005-0000-0000-00007F1A0000}"/>
    <cellStyle name="20% - Accent4 4 2 2 6 2" xfId="24385" xr:uid="{00000000-0005-0000-0000-0000801A0000}"/>
    <cellStyle name="20% - Accent4 4 2 2 7" xfId="10919" xr:uid="{00000000-0005-0000-0000-0000811A0000}"/>
    <cellStyle name="20% - Accent4 4 2 2 7 2" xfId="26068" xr:uid="{00000000-0005-0000-0000-0000821A0000}"/>
    <cellStyle name="20% - Accent4 4 2 2 8" xfId="12603" xr:uid="{00000000-0005-0000-0000-0000831A0000}"/>
    <cellStyle name="20% - Accent4 4 2 2 8 2" xfId="27752" xr:uid="{00000000-0005-0000-0000-0000841A0000}"/>
    <cellStyle name="20% - Accent4 4 2 2 9" xfId="14286" xr:uid="{00000000-0005-0000-0000-0000851A0000}"/>
    <cellStyle name="20% - Accent4 4 2 2 9 2" xfId="29435" xr:uid="{00000000-0005-0000-0000-0000861A0000}"/>
    <cellStyle name="20% - Accent4 4 2 20" xfId="40796" xr:uid="{00000000-0005-0000-0000-0000871A0000}"/>
    <cellStyle name="20% - Accent4 4 2 21" xfId="42479" xr:uid="{00000000-0005-0000-0000-0000881A0000}"/>
    <cellStyle name="20% - Accent4 4 2 22" xfId="44162" xr:uid="{00000000-0005-0000-0000-0000891A0000}"/>
    <cellStyle name="20% - Accent4 4 2 23" xfId="45845" xr:uid="{00000000-0005-0000-0000-00008A1A0000}"/>
    <cellStyle name="20% - Accent4 4 2 24" xfId="47528" xr:uid="{00000000-0005-0000-0000-00008B1A0000}"/>
    <cellStyle name="20% - Accent4 4 2 25" xfId="49211" xr:uid="{00000000-0005-0000-0000-00008C1A0000}"/>
    <cellStyle name="20% - Accent4 4 2 26" xfId="50894" xr:uid="{00000000-0005-0000-0000-00008D1A0000}"/>
    <cellStyle name="20% - Accent4 4 2 27" xfId="52577" xr:uid="{00000000-0005-0000-0000-00008E1A0000}"/>
    <cellStyle name="20% - Accent4 4 2 28" xfId="54260" xr:uid="{00000000-0005-0000-0000-00008F1A0000}"/>
    <cellStyle name="20% - Accent4 4 2 29" xfId="55943" xr:uid="{00000000-0005-0000-0000-0000901A0000}"/>
    <cellStyle name="20% - Accent4 4 2 3" xfId="1241" xr:uid="{00000000-0005-0000-0000-0000911A0000}"/>
    <cellStyle name="20% - Accent4 4 2 3 10" xfId="16390" xr:uid="{00000000-0005-0000-0000-0000921A0000}"/>
    <cellStyle name="20% - Accent4 4 2 3 11" xfId="31539" xr:uid="{00000000-0005-0000-0000-0000931A0000}"/>
    <cellStyle name="20% - Accent4 4 2 3 12" xfId="33222" xr:uid="{00000000-0005-0000-0000-0000941A0000}"/>
    <cellStyle name="20% - Accent4 4 2 3 13" xfId="34905" xr:uid="{00000000-0005-0000-0000-0000951A0000}"/>
    <cellStyle name="20% - Accent4 4 2 3 14" xfId="36588" xr:uid="{00000000-0005-0000-0000-0000961A0000}"/>
    <cellStyle name="20% - Accent4 4 2 3 15" xfId="38271" xr:uid="{00000000-0005-0000-0000-0000971A0000}"/>
    <cellStyle name="20% - Accent4 4 2 3 16" xfId="39954" xr:uid="{00000000-0005-0000-0000-0000981A0000}"/>
    <cellStyle name="20% - Accent4 4 2 3 17" xfId="41637" xr:uid="{00000000-0005-0000-0000-0000991A0000}"/>
    <cellStyle name="20% - Accent4 4 2 3 18" xfId="43320" xr:uid="{00000000-0005-0000-0000-00009A1A0000}"/>
    <cellStyle name="20% - Accent4 4 2 3 19" xfId="45003" xr:uid="{00000000-0005-0000-0000-00009B1A0000}"/>
    <cellStyle name="20% - Accent4 4 2 3 2" xfId="2924" xr:uid="{00000000-0005-0000-0000-00009C1A0000}"/>
    <cellStyle name="20% - Accent4 4 2 3 2 2" xfId="18073" xr:uid="{00000000-0005-0000-0000-00009D1A0000}"/>
    <cellStyle name="20% - Accent4 4 2 3 20" xfId="46686" xr:uid="{00000000-0005-0000-0000-00009E1A0000}"/>
    <cellStyle name="20% - Accent4 4 2 3 21" xfId="48369" xr:uid="{00000000-0005-0000-0000-00009F1A0000}"/>
    <cellStyle name="20% - Accent4 4 2 3 22" xfId="50052" xr:uid="{00000000-0005-0000-0000-0000A01A0000}"/>
    <cellStyle name="20% - Accent4 4 2 3 23" xfId="51735" xr:uid="{00000000-0005-0000-0000-0000A11A0000}"/>
    <cellStyle name="20% - Accent4 4 2 3 24" xfId="53418" xr:uid="{00000000-0005-0000-0000-0000A21A0000}"/>
    <cellStyle name="20% - Accent4 4 2 3 25" xfId="55101" xr:uid="{00000000-0005-0000-0000-0000A31A0000}"/>
    <cellStyle name="20% - Accent4 4 2 3 26" xfId="56784" xr:uid="{00000000-0005-0000-0000-0000A41A0000}"/>
    <cellStyle name="20% - Accent4 4 2 3 27" xfId="58467" xr:uid="{00000000-0005-0000-0000-0000A51A0000}"/>
    <cellStyle name="20% - Accent4 4 2 3 28" xfId="60150" xr:uid="{00000000-0005-0000-0000-0000A61A0000}"/>
    <cellStyle name="20% - Accent4 4 2 3 29" xfId="61833" xr:uid="{00000000-0005-0000-0000-0000A71A0000}"/>
    <cellStyle name="20% - Accent4 4 2 3 3" xfId="4608" xr:uid="{00000000-0005-0000-0000-0000A81A0000}"/>
    <cellStyle name="20% - Accent4 4 2 3 3 2" xfId="19757" xr:uid="{00000000-0005-0000-0000-0000A91A0000}"/>
    <cellStyle name="20% - Accent4 4 2 3 30" xfId="63516" xr:uid="{00000000-0005-0000-0000-0000AA1A0000}"/>
    <cellStyle name="20% - Accent4 4 2 3 4" xfId="6291" xr:uid="{00000000-0005-0000-0000-0000AB1A0000}"/>
    <cellStyle name="20% - Accent4 4 2 3 4 2" xfId="21440" xr:uid="{00000000-0005-0000-0000-0000AC1A0000}"/>
    <cellStyle name="20% - Accent4 4 2 3 5" xfId="7974" xr:uid="{00000000-0005-0000-0000-0000AD1A0000}"/>
    <cellStyle name="20% - Accent4 4 2 3 5 2" xfId="23123" xr:uid="{00000000-0005-0000-0000-0000AE1A0000}"/>
    <cellStyle name="20% - Accent4 4 2 3 6" xfId="9657" xr:uid="{00000000-0005-0000-0000-0000AF1A0000}"/>
    <cellStyle name="20% - Accent4 4 2 3 6 2" xfId="24806" xr:uid="{00000000-0005-0000-0000-0000B01A0000}"/>
    <cellStyle name="20% - Accent4 4 2 3 7" xfId="11340" xr:uid="{00000000-0005-0000-0000-0000B11A0000}"/>
    <cellStyle name="20% - Accent4 4 2 3 7 2" xfId="26489" xr:uid="{00000000-0005-0000-0000-0000B21A0000}"/>
    <cellStyle name="20% - Accent4 4 2 3 8" xfId="13024" xr:uid="{00000000-0005-0000-0000-0000B31A0000}"/>
    <cellStyle name="20% - Accent4 4 2 3 8 2" xfId="28173" xr:uid="{00000000-0005-0000-0000-0000B41A0000}"/>
    <cellStyle name="20% - Accent4 4 2 3 9" xfId="14707" xr:uid="{00000000-0005-0000-0000-0000B51A0000}"/>
    <cellStyle name="20% - Accent4 4 2 3 9 2" xfId="29856" xr:uid="{00000000-0005-0000-0000-0000B61A0000}"/>
    <cellStyle name="20% - Accent4 4 2 30" xfId="57626" xr:uid="{00000000-0005-0000-0000-0000B71A0000}"/>
    <cellStyle name="20% - Accent4 4 2 31" xfId="59309" xr:uid="{00000000-0005-0000-0000-0000B81A0000}"/>
    <cellStyle name="20% - Accent4 4 2 32" xfId="60992" xr:uid="{00000000-0005-0000-0000-0000B91A0000}"/>
    <cellStyle name="20% - Accent4 4 2 33" xfId="62675" xr:uid="{00000000-0005-0000-0000-0000BA1A0000}"/>
    <cellStyle name="20% - Accent4 4 2 4" xfId="1662" xr:uid="{00000000-0005-0000-0000-0000BB1A0000}"/>
    <cellStyle name="20% - Accent4 4 2 4 10" xfId="16811" xr:uid="{00000000-0005-0000-0000-0000BC1A0000}"/>
    <cellStyle name="20% - Accent4 4 2 4 11" xfId="31960" xr:uid="{00000000-0005-0000-0000-0000BD1A0000}"/>
    <cellStyle name="20% - Accent4 4 2 4 12" xfId="33643" xr:uid="{00000000-0005-0000-0000-0000BE1A0000}"/>
    <cellStyle name="20% - Accent4 4 2 4 13" xfId="35326" xr:uid="{00000000-0005-0000-0000-0000BF1A0000}"/>
    <cellStyle name="20% - Accent4 4 2 4 14" xfId="37009" xr:uid="{00000000-0005-0000-0000-0000C01A0000}"/>
    <cellStyle name="20% - Accent4 4 2 4 15" xfId="38692" xr:uid="{00000000-0005-0000-0000-0000C11A0000}"/>
    <cellStyle name="20% - Accent4 4 2 4 16" xfId="40375" xr:uid="{00000000-0005-0000-0000-0000C21A0000}"/>
    <cellStyle name="20% - Accent4 4 2 4 17" xfId="42058" xr:uid="{00000000-0005-0000-0000-0000C31A0000}"/>
    <cellStyle name="20% - Accent4 4 2 4 18" xfId="43741" xr:uid="{00000000-0005-0000-0000-0000C41A0000}"/>
    <cellStyle name="20% - Accent4 4 2 4 19" xfId="45424" xr:uid="{00000000-0005-0000-0000-0000C51A0000}"/>
    <cellStyle name="20% - Accent4 4 2 4 2" xfId="3345" xr:uid="{00000000-0005-0000-0000-0000C61A0000}"/>
    <cellStyle name="20% - Accent4 4 2 4 2 2" xfId="18494" xr:uid="{00000000-0005-0000-0000-0000C71A0000}"/>
    <cellStyle name="20% - Accent4 4 2 4 20" xfId="47107" xr:uid="{00000000-0005-0000-0000-0000C81A0000}"/>
    <cellStyle name="20% - Accent4 4 2 4 21" xfId="48790" xr:uid="{00000000-0005-0000-0000-0000C91A0000}"/>
    <cellStyle name="20% - Accent4 4 2 4 22" xfId="50473" xr:uid="{00000000-0005-0000-0000-0000CA1A0000}"/>
    <cellStyle name="20% - Accent4 4 2 4 23" xfId="52156" xr:uid="{00000000-0005-0000-0000-0000CB1A0000}"/>
    <cellStyle name="20% - Accent4 4 2 4 24" xfId="53839" xr:uid="{00000000-0005-0000-0000-0000CC1A0000}"/>
    <cellStyle name="20% - Accent4 4 2 4 25" xfId="55522" xr:uid="{00000000-0005-0000-0000-0000CD1A0000}"/>
    <cellStyle name="20% - Accent4 4 2 4 26" xfId="57205" xr:uid="{00000000-0005-0000-0000-0000CE1A0000}"/>
    <cellStyle name="20% - Accent4 4 2 4 27" xfId="58888" xr:uid="{00000000-0005-0000-0000-0000CF1A0000}"/>
    <cellStyle name="20% - Accent4 4 2 4 28" xfId="60571" xr:uid="{00000000-0005-0000-0000-0000D01A0000}"/>
    <cellStyle name="20% - Accent4 4 2 4 29" xfId="62254" xr:uid="{00000000-0005-0000-0000-0000D11A0000}"/>
    <cellStyle name="20% - Accent4 4 2 4 3" xfId="5029" xr:uid="{00000000-0005-0000-0000-0000D21A0000}"/>
    <cellStyle name="20% - Accent4 4 2 4 3 2" xfId="20178" xr:uid="{00000000-0005-0000-0000-0000D31A0000}"/>
    <cellStyle name="20% - Accent4 4 2 4 30" xfId="63937" xr:uid="{00000000-0005-0000-0000-0000D41A0000}"/>
    <cellStyle name="20% - Accent4 4 2 4 4" xfId="6712" xr:uid="{00000000-0005-0000-0000-0000D51A0000}"/>
    <cellStyle name="20% - Accent4 4 2 4 4 2" xfId="21861" xr:uid="{00000000-0005-0000-0000-0000D61A0000}"/>
    <cellStyle name="20% - Accent4 4 2 4 5" xfId="8395" xr:uid="{00000000-0005-0000-0000-0000D71A0000}"/>
    <cellStyle name="20% - Accent4 4 2 4 5 2" xfId="23544" xr:uid="{00000000-0005-0000-0000-0000D81A0000}"/>
    <cellStyle name="20% - Accent4 4 2 4 6" xfId="10078" xr:uid="{00000000-0005-0000-0000-0000D91A0000}"/>
    <cellStyle name="20% - Accent4 4 2 4 6 2" xfId="25227" xr:uid="{00000000-0005-0000-0000-0000DA1A0000}"/>
    <cellStyle name="20% - Accent4 4 2 4 7" xfId="11761" xr:uid="{00000000-0005-0000-0000-0000DB1A0000}"/>
    <cellStyle name="20% - Accent4 4 2 4 7 2" xfId="26910" xr:uid="{00000000-0005-0000-0000-0000DC1A0000}"/>
    <cellStyle name="20% - Accent4 4 2 4 8" xfId="13445" xr:uid="{00000000-0005-0000-0000-0000DD1A0000}"/>
    <cellStyle name="20% - Accent4 4 2 4 8 2" xfId="28594" xr:uid="{00000000-0005-0000-0000-0000DE1A0000}"/>
    <cellStyle name="20% - Accent4 4 2 4 9" xfId="15128" xr:uid="{00000000-0005-0000-0000-0000DF1A0000}"/>
    <cellStyle name="20% - Accent4 4 2 4 9 2" xfId="30277" xr:uid="{00000000-0005-0000-0000-0000E01A0000}"/>
    <cellStyle name="20% - Accent4 4 2 5" xfId="2083" xr:uid="{00000000-0005-0000-0000-0000E11A0000}"/>
    <cellStyle name="20% - Accent4 4 2 5 2" xfId="17232" xr:uid="{00000000-0005-0000-0000-0000E21A0000}"/>
    <cellStyle name="20% - Accent4 4 2 6" xfId="3767" xr:uid="{00000000-0005-0000-0000-0000E31A0000}"/>
    <cellStyle name="20% - Accent4 4 2 6 2" xfId="18916" xr:uid="{00000000-0005-0000-0000-0000E41A0000}"/>
    <cellStyle name="20% - Accent4 4 2 7" xfId="5450" xr:uid="{00000000-0005-0000-0000-0000E51A0000}"/>
    <cellStyle name="20% - Accent4 4 2 7 2" xfId="20599" xr:uid="{00000000-0005-0000-0000-0000E61A0000}"/>
    <cellStyle name="20% - Accent4 4 2 8" xfId="7133" xr:uid="{00000000-0005-0000-0000-0000E71A0000}"/>
    <cellStyle name="20% - Accent4 4 2 8 2" xfId="22282" xr:uid="{00000000-0005-0000-0000-0000E81A0000}"/>
    <cellStyle name="20% - Accent4 4 2 9" xfId="8816" xr:uid="{00000000-0005-0000-0000-0000E91A0000}"/>
    <cellStyle name="20% - Accent4 4 2 9 2" xfId="23965" xr:uid="{00000000-0005-0000-0000-0000EA1A0000}"/>
    <cellStyle name="20% - Accent4 4 20" xfId="38903" xr:uid="{00000000-0005-0000-0000-0000EB1A0000}"/>
    <cellStyle name="20% - Accent4 4 21" xfId="40586" xr:uid="{00000000-0005-0000-0000-0000EC1A0000}"/>
    <cellStyle name="20% - Accent4 4 22" xfId="42269" xr:uid="{00000000-0005-0000-0000-0000ED1A0000}"/>
    <cellStyle name="20% - Accent4 4 23" xfId="43952" xr:uid="{00000000-0005-0000-0000-0000EE1A0000}"/>
    <cellStyle name="20% - Accent4 4 24" xfId="45635" xr:uid="{00000000-0005-0000-0000-0000EF1A0000}"/>
    <cellStyle name="20% - Accent4 4 25" xfId="47318" xr:uid="{00000000-0005-0000-0000-0000F01A0000}"/>
    <cellStyle name="20% - Accent4 4 26" xfId="49001" xr:uid="{00000000-0005-0000-0000-0000F11A0000}"/>
    <cellStyle name="20% - Accent4 4 27" xfId="50684" xr:uid="{00000000-0005-0000-0000-0000F21A0000}"/>
    <cellStyle name="20% - Accent4 4 28" xfId="52367" xr:uid="{00000000-0005-0000-0000-0000F31A0000}"/>
    <cellStyle name="20% - Accent4 4 29" xfId="54050" xr:uid="{00000000-0005-0000-0000-0000F41A0000}"/>
    <cellStyle name="20% - Accent4 4 3" xfId="610" xr:uid="{00000000-0005-0000-0000-0000F51A0000}"/>
    <cellStyle name="20% - Accent4 4 3 10" xfId="15759" xr:uid="{00000000-0005-0000-0000-0000F61A0000}"/>
    <cellStyle name="20% - Accent4 4 3 11" xfId="30908" xr:uid="{00000000-0005-0000-0000-0000F71A0000}"/>
    <cellStyle name="20% - Accent4 4 3 12" xfId="32591" xr:uid="{00000000-0005-0000-0000-0000F81A0000}"/>
    <cellStyle name="20% - Accent4 4 3 13" xfId="34274" xr:uid="{00000000-0005-0000-0000-0000F91A0000}"/>
    <cellStyle name="20% - Accent4 4 3 14" xfId="35957" xr:uid="{00000000-0005-0000-0000-0000FA1A0000}"/>
    <cellStyle name="20% - Accent4 4 3 15" xfId="37640" xr:uid="{00000000-0005-0000-0000-0000FB1A0000}"/>
    <cellStyle name="20% - Accent4 4 3 16" xfId="39323" xr:uid="{00000000-0005-0000-0000-0000FC1A0000}"/>
    <cellStyle name="20% - Accent4 4 3 17" xfId="41006" xr:uid="{00000000-0005-0000-0000-0000FD1A0000}"/>
    <cellStyle name="20% - Accent4 4 3 18" xfId="42689" xr:uid="{00000000-0005-0000-0000-0000FE1A0000}"/>
    <cellStyle name="20% - Accent4 4 3 19" xfId="44372" xr:uid="{00000000-0005-0000-0000-0000FF1A0000}"/>
    <cellStyle name="20% - Accent4 4 3 2" xfId="2293" xr:uid="{00000000-0005-0000-0000-0000001B0000}"/>
    <cellStyle name="20% - Accent4 4 3 2 2" xfId="17442" xr:uid="{00000000-0005-0000-0000-0000011B0000}"/>
    <cellStyle name="20% - Accent4 4 3 20" xfId="46055" xr:uid="{00000000-0005-0000-0000-0000021B0000}"/>
    <cellStyle name="20% - Accent4 4 3 21" xfId="47738" xr:uid="{00000000-0005-0000-0000-0000031B0000}"/>
    <cellStyle name="20% - Accent4 4 3 22" xfId="49421" xr:uid="{00000000-0005-0000-0000-0000041B0000}"/>
    <cellStyle name="20% - Accent4 4 3 23" xfId="51104" xr:uid="{00000000-0005-0000-0000-0000051B0000}"/>
    <cellStyle name="20% - Accent4 4 3 24" xfId="52787" xr:uid="{00000000-0005-0000-0000-0000061B0000}"/>
    <cellStyle name="20% - Accent4 4 3 25" xfId="54470" xr:uid="{00000000-0005-0000-0000-0000071B0000}"/>
    <cellStyle name="20% - Accent4 4 3 26" xfId="56153" xr:uid="{00000000-0005-0000-0000-0000081B0000}"/>
    <cellStyle name="20% - Accent4 4 3 27" xfId="57836" xr:uid="{00000000-0005-0000-0000-0000091B0000}"/>
    <cellStyle name="20% - Accent4 4 3 28" xfId="59519" xr:uid="{00000000-0005-0000-0000-00000A1B0000}"/>
    <cellStyle name="20% - Accent4 4 3 29" xfId="61202" xr:uid="{00000000-0005-0000-0000-00000B1B0000}"/>
    <cellStyle name="20% - Accent4 4 3 3" xfId="3977" xr:uid="{00000000-0005-0000-0000-00000C1B0000}"/>
    <cellStyle name="20% - Accent4 4 3 3 2" xfId="19126" xr:uid="{00000000-0005-0000-0000-00000D1B0000}"/>
    <cellStyle name="20% - Accent4 4 3 30" xfId="62885" xr:uid="{00000000-0005-0000-0000-00000E1B0000}"/>
    <cellStyle name="20% - Accent4 4 3 4" xfId="5660" xr:uid="{00000000-0005-0000-0000-00000F1B0000}"/>
    <cellStyle name="20% - Accent4 4 3 4 2" xfId="20809" xr:uid="{00000000-0005-0000-0000-0000101B0000}"/>
    <cellStyle name="20% - Accent4 4 3 5" xfId="7343" xr:uid="{00000000-0005-0000-0000-0000111B0000}"/>
    <cellStyle name="20% - Accent4 4 3 5 2" xfId="22492" xr:uid="{00000000-0005-0000-0000-0000121B0000}"/>
    <cellStyle name="20% - Accent4 4 3 6" xfId="9026" xr:uid="{00000000-0005-0000-0000-0000131B0000}"/>
    <cellStyle name="20% - Accent4 4 3 6 2" xfId="24175" xr:uid="{00000000-0005-0000-0000-0000141B0000}"/>
    <cellStyle name="20% - Accent4 4 3 7" xfId="10709" xr:uid="{00000000-0005-0000-0000-0000151B0000}"/>
    <cellStyle name="20% - Accent4 4 3 7 2" xfId="25858" xr:uid="{00000000-0005-0000-0000-0000161B0000}"/>
    <cellStyle name="20% - Accent4 4 3 8" xfId="12393" xr:uid="{00000000-0005-0000-0000-0000171B0000}"/>
    <cellStyle name="20% - Accent4 4 3 8 2" xfId="27542" xr:uid="{00000000-0005-0000-0000-0000181B0000}"/>
    <cellStyle name="20% - Accent4 4 3 9" xfId="14076" xr:uid="{00000000-0005-0000-0000-0000191B0000}"/>
    <cellStyle name="20% - Accent4 4 3 9 2" xfId="29225" xr:uid="{00000000-0005-0000-0000-00001A1B0000}"/>
    <cellStyle name="20% - Accent4 4 30" xfId="55733" xr:uid="{00000000-0005-0000-0000-00001B1B0000}"/>
    <cellStyle name="20% - Accent4 4 31" xfId="57416" xr:uid="{00000000-0005-0000-0000-00001C1B0000}"/>
    <cellStyle name="20% - Accent4 4 32" xfId="59099" xr:uid="{00000000-0005-0000-0000-00001D1B0000}"/>
    <cellStyle name="20% - Accent4 4 33" xfId="60782" xr:uid="{00000000-0005-0000-0000-00001E1B0000}"/>
    <cellStyle name="20% - Accent4 4 34" xfId="62465" xr:uid="{00000000-0005-0000-0000-00001F1B0000}"/>
    <cellStyle name="20% - Accent4 4 4" xfId="1031" xr:uid="{00000000-0005-0000-0000-0000201B0000}"/>
    <cellStyle name="20% - Accent4 4 4 10" xfId="16180" xr:uid="{00000000-0005-0000-0000-0000211B0000}"/>
    <cellStyle name="20% - Accent4 4 4 11" xfId="31329" xr:uid="{00000000-0005-0000-0000-0000221B0000}"/>
    <cellStyle name="20% - Accent4 4 4 12" xfId="33012" xr:uid="{00000000-0005-0000-0000-0000231B0000}"/>
    <cellStyle name="20% - Accent4 4 4 13" xfId="34695" xr:uid="{00000000-0005-0000-0000-0000241B0000}"/>
    <cellStyle name="20% - Accent4 4 4 14" xfId="36378" xr:uid="{00000000-0005-0000-0000-0000251B0000}"/>
    <cellStyle name="20% - Accent4 4 4 15" xfId="38061" xr:uid="{00000000-0005-0000-0000-0000261B0000}"/>
    <cellStyle name="20% - Accent4 4 4 16" xfId="39744" xr:uid="{00000000-0005-0000-0000-0000271B0000}"/>
    <cellStyle name="20% - Accent4 4 4 17" xfId="41427" xr:uid="{00000000-0005-0000-0000-0000281B0000}"/>
    <cellStyle name="20% - Accent4 4 4 18" xfId="43110" xr:uid="{00000000-0005-0000-0000-0000291B0000}"/>
    <cellStyle name="20% - Accent4 4 4 19" xfId="44793" xr:uid="{00000000-0005-0000-0000-00002A1B0000}"/>
    <cellStyle name="20% - Accent4 4 4 2" xfId="2714" xr:uid="{00000000-0005-0000-0000-00002B1B0000}"/>
    <cellStyle name="20% - Accent4 4 4 2 2" xfId="17863" xr:uid="{00000000-0005-0000-0000-00002C1B0000}"/>
    <cellStyle name="20% - Accent4 4 4 20" xfId="46476" xr:uid="{00000000-0005-0000-0000-00002D1B0000}"/>
    <cellStyle name="20% - Accent4 4 4 21" xfId="48159" xr:uid="{00000000-0005-0000-0000-00002E1B0000}"/>
    <cellStyle name="20% - Accent4 4 4 22" xfId="49842" xr:uid="{00000000-0005-0000-0000-00002F1B0000}"/>
    <cellStyle name="20% - Accent4 4 4 23" xfId="51525" xr:uid="{00000000-0005-0000-0000-0000301B0000}"/>
    <cellStyle name="20% - Accent4 4 4 24" xfId="53208" xr:uid="{00000000-0005-0000-0000-0000311B0000}"/>
    <cellStyle name="20% - Accent4 4 4 25" xfId="54891" xr:uid="{00000000-0005-0000-0000-0000321B0000}"/>
    <cellStyle name="20% - Accent4 4 4 26" xfId="56574" xr:uid="{00000000-0005-0000-0000-0000331B0000}"/>
    <cellStyle name="20% - Accent4 4 4 27" xfId="58257" xr:uid="{00000000-0005-0000-0000-0000341B0000}"/>
    <cellStyle name="20% - Accent4 4 4 28" xfId="59940" xr:uid="{00000000-0005-0000-0000-0000351B0000}"/>
    <cellStyle name="20% - Accent4 4 4 29" xfId="61623" xr:uid="{00000000-0005-0000-0000-0000361B0000}"/>
    <cellStyle name="20% - Accent4 4 4 3" xfId="4398" xr:uid="{00000000-0005-0000-0000-0000371B0000}"/>
    <cellStyle name="20% - Accent4 4 4 3 2" xfId="19547" xr:uid="{00000000-0005-0000-0000-0000381B0000}"/>
    <cellStyle name="20% - Accent4 4 4 30" xfId="63306" xr:uid="{00000000-0005-0000-0000-0000391B0000}"/>
    <cellStyle name="20% - Accent4 4 4 4" xfId="6081" xr:uid="{00000000-0005-0000-0000-00003A1B0000}"/>
    <cellStyle name="20% - Accent4 4 4 4 2" xfId="21230" xr:uid="{00000000-0005-0000-0000-00003B1B0000}"/>
    <cellStyle name="20% - Accent4 4 4 5" xfId="7764" xr:uid="{00000000-0005-0000-0000-00003C1B0000}"/>
    <cellStyle name="20% - Accent4 4 4 5 2" xfId="22913" xr:uid="{00000000-0005-0000-0000-00003D1B0000}"/>
    <cellStyle name="20% - Accent4 4 4 6" xfId="9447" xr:uid="{00000000-0005-0000-0000-00003E1B0000}"/>
    <cellStyle name="20% - Accent4 4 4 6 2" xfId="24596" xr:uid="{00000000-0005-0000-0000-00003F1B0000}"/>
    <cellStyle name="20% - Accent4 4 4 7" xfId="11130" xr:uid="{00000000-0005-0000-0000-0000401B0000}"/>
    <cellStyle name="20% - Accent4 4 4 7 2" xfId="26279" xr:uid="{00000000-0005-0000-0000-0000411B0000}"/>
    <cellStyle name="20% - Accent4 4 4 8" xfId="12814" xr:uid="{00000000-0005-0000-0000-0000421B0000}"/>
    <cellStyle name="20% - Accent4 4 4 8 2" xfId="27963" xr:uid="{00000000-0005-0000-0000-0000431B0000}"/>
    <cellStyle name="20% - Accent4 4 4 9" xfId="14497" xr:uid="{00000000-0005-0000-0000-0000441B0000}"/>
    <cellStyle name="20% - Accent4 4 4 9 2" xfId="29646" xr:uid="{00000000-0005-0000-0000-0000451B0000}"/>
    <cellStyle name="20% - Accent4 4 5" xfId="1452" xr:uid="{00000000-0005-0000-0000-0000461B0000}"/>
    <cellStyle name="20% - Accent4 4 5 10" xfId="16601" xr:uid="{00000000-0005-0000-0000-0000471B0000}"/>
    <cellStyle name="20% - Accent4 4 5 11" xfId="31750" xr:uid="{00000000-0005-0000-0000-0000481B0000}"/>
    <cellStyle name="20% - Accent4 4 5 12" xfId="33433" xr:uid="{00000000-0005-0000-0000-0000491B0000}"/>
    <cellStyle name="20% - Accent4 4 5 13" xfId="35116" xr:uid="{00000000-0005-0000-0000-00004A1B0000}"/>
    <cellStyle name="20% - Accent4 4 5 14" xfId="36799" xr:uid="{00000000-0005-0000-0000-00004B1B0000}"/>
    <cellStyle name="20% - Accent4 4 5 15" xfId="38482" xr:uid="{00000000-0005-0000-0000-00004C1B0000}"/>
    <cellStyle name="20% - Accent4 4 5 16" xfId="40165" xr:uid="{00000000-0005-0000-0000-00004D1B0000}"/>
    <cellStyle name="20% - Accent4 4 5 17" xfId="41848" xr:uid="{00000000-0005-0000-0000-00004E1B0000}"/>
    <cellStyle name="20% - Accent4 4 5 18" xfId="43531" xr:uid="{00000000-0005-0000-0000-00004F1B0000}"/>
    <cellStyle name="20% - Accent4 4 5 19" xfId="45214" xr:uid="{00000000-0005-0000-0000-0000501B0000}"/>
    <cellStyle name="20% - Accent4 4 5 2" xfId="3135" xr:uid="{00000000-0005-0000-0000-0000511B0000}"/>
    <cellStyle name="20% - Accent4 4 5 2 2" xfId="18284" xr:uid="{00000000-0005-0000-0000-0000521B0000}"/>
    <cellStyle name="20% - Accent4 4 5 20" xfId="46897" xr:uid="{00000000-0005-0000-0000-0000531B0000}"/>
    <cellStyle name="20% - Accent4 4 5 21" xfId="48580" xr:uid="{00000000-0005-0000-0000-0000541B0000}"/>
    <cellStyle name="20% - Accent4 4 5 22" xfId="50263" xr:uid="{00000000-0005-0000-0000-0000551B0000}"/>
    <cellStyle name="20% - Accent4 4 5 23" xfId="51946" xr:uid="{00000000-0005-0000-0000-0000561B0000}"/>
    <cellStyle name="20% - Accent4 4 5 24" xfId="53629" xr:uid="{00000000-0005-0000-0000-0000571B0000}"/>
    <cellStyle name="20% - Accent4 4 5 25" xfId="55312" xr:uid="{00000000-0005-0000-0000-0000581B0000}"/>
    <cellStyle name="20% - Accent4 4 5 26" xfId="56995" xr:uid="{00000000-0005-0000-0000-0000591B0000}"/>
    <cellStyle name="20% - Accent4 4 5 27" xfId="58678" xr:uid="{00000000-0005-0000-0000-00005A1B0000}"/>
    <cellStyle name="20% - Accent4 4 5 28" xfId="60361" xr:uid="{00000000-0005-0000-0000-00005B1B0000}"/>
    <cellStyle name="20% - Accent4 4 5 29" xfId="62044" xr:uid="{00000000-0005-0000-0000-00005C1B0000}"/>
    <cellStyle name="20% - Accent4 4 5 3" xfId="4819" xr:uid="{00000000-0005-0000-0000-00005D1B0000}"/>
    <cellStyle name="20% - Accent4 4 5 3 2" xfId="19968" xr:uid="{00000000-0005-0000-0000-00005E1B0000}"/>
    <cellStyle name="20% - Accent4 4 5 30" xfId="63727" xr:uid="{00000000-0005-0000-0000-00005F1B0000}"/>
    <cellStyle name="20% - Accent4 4 5 4" xfId="6502" xr:uid="{00000000-0005-0000-0000-0000601B0000}"/>
    <cellStyle name="20% - Accent4 4 5 4 2" xfId="21651" xr:uid="{00000000-0005-0000-0000-0000611B0000}"/>
    <cellStyle name="20% - Accent4 4 5 5" xfId="8185" xr:uid="{00000000-0005-0000-0000-0000621B0000}"/>
    <cellStyle name="20% - Accent4 4 5 5 2" xfId="23334" xr:uid="{00000000-0005-0000-0000-0000631B0000}"/>
    <cellStyle name="20% - Accent4 4 5 6" xfId="9868" xr:uid="{00000000-0005-0000-0000-0000641B0000}"/>
    <cellStyle name="20% - Accent4 4 5 6 2" xfId="25017" xr:uid="{00000000-0005-0000-0000-0000651B0000}"/>
    <cellStyle name="20% - Accent4 4 5 7" xfId="11551" xr:uid="{00000000-0005-0000-0000-0000661B0000}"/>
    <cellStyle name="20% - Accent4 4 5 7 2" xfId="26700" xr:uid="{00000000-0005-0000-0000-0000671B0000}"/>
    <cellStyle name="20% - Accent4 4 5 8" xfId="13235" xr:uid="{00000000-0005-0000-0000-0000681B0000}"/>
    <cellStyle name="20% - Accent4 4 5 8 2" xfId="28384" xr:uid="{00000000-0005-0000-0000-0000691B0000}"/>
    <cellStyle name="20% - Accent4 4 5 9" xfId="14918" xr:uid="{00000000-0005-0000-0000-00006A1B0000}"/>
    <cellStyle name="20% - Accent4 4 5 9 2" xfId="30067" xr:uid="{00000000-0005-0000-0000-00006B1B0000}"/>
    <cellStyle name="20% - Accent4 4 6" xfId="1873" xr:uid="{00000000-0005-0000-0000-00006C1B0000}"/>
    <cellStyle name="20% - Accent4 4 6 2" xfId="17022" xr:uid="{00000000-0005-0000-0000-00006D1B0000}"/>
    <cellStyle name="20% - Accent4 4 7" xfId="3557" xr:uid="{00000000-0005-0000-0000-00006E1B0000}"/>
    <cellStyle name="20% - Accent4 4 7 2" xfId="18706" xr:uid="{00000000-0005-0000-0000-00006F1B0000}"/>
    <cellStyle name="20% - Accent4 4 8" xfId="5240" xr:uid="{00000000-0005-0000-0000-0000701B0000}"/>
    <cellStyle name="20% - Accent4 4 8 2" xfId="20389" xr:uid="{00000000-0005-0000-0000-0000711B0000}"/>
    <cellStyle name="20% - Accent4 4 9" xfId="6923" xr:uid="{00000000-0005-0000-0000-0000721B0000}"/>
    <cellStyle name="20% - Accent4 4 9 2" xfId="22072" xr:uid="{00000000-0005-0000-0000-0000731B0000}"/>
    <cellStyle name="20% - Accent4 5" xfId="295" xr:uid="{00000000-0005-0000-0000-0000741B0000}"/>
    <cellStyle name="20% - Accent4 5 10" xfId="10394" xr:uid="{00000000-0005-0000-0000-0000751B0000}"/>
    <cellStyle name="20% - Accent4 5 10 2" xfId="25543" xr:uid="{00000000-0005-0000-0000-0000761B0000}"/>
    <cellStyle name="20% - Accent4 5 11" xfId="12078" xr:uid="{00000000-0005-0000-0000-0000771B0000}"/>
    <cellStyle name="20% - Accent4 5 11 2" xfId="27227" xr:uid="{00000000-0005-0000-0000-0000781B0000}"/>
    <cellStyle name="20% - Accent4 5 12" xfId="13761" xr:uid="{00000000-0005-0000-0000-0000791B0000}"/>
    <cellStyle name="20% - Accent4 5 12 2" xfId="28910" xr:uid="{00000000-0005-0000-0000-00007A1B0000}"/>
    <cellStyle name="20% - Accent4 5 13" xfId="15444" xr:uid="{00000000-0005-0000-0000-00007B1B0000}"/>
    <cellStyle name="20% - Accent4 5 14" xfId="30593" xr:uid="{00000000-0005-0000-0000-00007C1B0000}"/>
    <cellStyle name="20% - Accent4 5 15" xfId="32276" xr:uid="{00000000-0005-0000-0000-00007D1B0000}"/>
    <cellStyle name="20% - Accent4 5 16" xfId="33959" xr:uid="{00000000-0005-0000-0000-00007E1B0000}"/>
    <cellStyle name="20% - Accent4 5 17" xfId="35642" xr:uid="{00000000-0005-0000-0000-00007F1B0000}"/>
    <cellStyle name="20% - Accent4 5 18" xfId="37325" xr:uid="{00000000-0005-0000-0000-0000801B0000}"/>
    <cellStyle name="20% - Accent4 5 19" xfId="39008" xr:uid="{00000000-0005-0000-0000-0000811B0000}"/>
    <cellStyle name="20% - Accent4 5 2" xfId="715" xr:uid="{00000000-0005-0000-0000-0000821B0000}"/>
    <cellStyle name="20% - Accent4 5 2 10" xfId="15864" xr:uid="{00000000-0005-0000-0000-0000831B0000}"/>
    <cellStyle name="20% - Accent4 5 2 11" xfId="31013" xr:uid="{00000000-0005-0000-0000-0000841B0000}"/>
    <cellStyle name="20% - Accent4 5 2 12" xfId="32696" xr:uid="{00000000-0005-0000-0000-0000851B0000}"/>
    <cellStyle name="20% - Accent4 5 2 13" xfId="34379" xr:uid="{00000000-0005-0000-0000-0000861B0000}"/>
    <cellStyle name="20% - Accent4 5 2 14" xfId="36062" xr:uid="{00000000-0005-0000-0000-0000871B0000}"/>
    <cellStyle name="20% - Accent4 5 2 15" xfId="37745" xr:uid="{00000000-0005-0000-0000-0000881B0000}"/>
    <cellStyle name="20% - Accent4 5 2 16" xfId="39428" xr:uid="{00000000-0005-0000-0000-0000891B0000}"/>
    <cellStyle name="20% - Accent4 5 2 17" xfId="41111" xr:uid="{00000000-0005-0000-0000-00008A1B0000}"/>
    <cellStyle name="20% - Accent4 5 2 18" xfId="42794" xr:uid="{00000000-0005-0000-0000-00008B1B0000}"/>
    <cellStyle name="20% - Accent4 5 2 19" xfId="44477" xr:uid="{00000000-0005-0000-0000-00008C1B0000}"/>
    <cellStyle name="20% - Accent4 5 2 2" xfId="2398" xr:uid="{00000000-0005-0000-0000-00008D1B0000}"/>
    <cellStyle name="20% - Accent4 5 2 2 2" xfId="17547" xr:uid="{00000000-0005-0000-0000-00008E1B0000}"/>
    <cellStyle name="20% - Accent4 5 2 20" xfId="46160" xr:uid="{00000000-0005-0000-0000-00008F1B0000}"/>
    <cellStyle name="20% - Accent4 5 2 21" xfId="47843" xr:uid="{00000000-0005-0000-0000-0000901B0000}"/>
    <cellStyle name="20% - Accent4 5 2 22" xfId="49526" xr:uid="{00000000-0005-0000-0000-0000911B0000}"/>
    <cellStyle name="20% - Accent4 5 2 23" xfId="51209" xr:uid="{00000000-0005-0000-0000-0000921B0000}"/>
    <cellStyle name="20% - Accent4 5 2 24" xfId="52892" xr:uid="{00000000-0005-0000-0000-0000931B0000}"/>
    <cellStyle name="20% - Accent4 5 2 25" xfId="54575" xr:uid="{00000000-0005-0000-0000-0000941B0000}"/>
    <cellStyle name="20% - Accent4 5 2 26" xfId="56258" xr:uid="{00000000-0005-0000-0000-0000951B0000}"/>
    <cellStyle name="20% - Accent4 5 2 27" xfId="57941" xr:uid="{00000000-0005-0000-0000-0000961B0000}"/>
    <cellStyle name="20% - Accent4 5 2 28" xfId="59624" xr:uid="{00000000-0005-0000-0000-0000971B0000}"/>
    <cellStyle name="20% - Accent4 5 2 29" xfId="61307" xr:uid="{00000000-0005-0000-0000-0000981B0000}"/>
    <cellStyle name="20% - Accent4 5 2 3" xfId="4082" xr:uid="{00000000-0005-0000-0000-0000991B0000}"/>
    <cellStyle name="20% - Accent4 5 2 3 2" xfId="19231" xr:uid="{00000000-0005-0000-0000-00009A1B0000}"/>
    <cellStyle name="20% - Accent4 5 2 30" xfId="62990" xr:uid="{00000000-0005-0000-0000-00009B1B0000}"/>
    <cellStyle name="20% - Accent4 5 2 4" xfId="5765" xr:uid="{00000000-0005-0000-0000-00009C1B0000}"/>
    <cellStyle name="20% - Accent4 5 2 4 2" xfId="20914" xr:uid="{00000000-0005-0000-0000-00009D1B0000}"/>
    <cellStyle name="20% - Accent4 5 2 5" xfId="7448" xr:uid="{00000000-0005-0000-0000-00009E1B0000}"/>
    <cellStyle name="20% - Accent4 5 2 5 2" xfId="22597" xr:uid="{00000000-0005-0000-0000-00009F1B0000}"/>
    <cellStyle name="20% - Accent4 5 2 6" xfId="9131" xr:uid="{00000000-0005-0000-0000-0000A01B0000}"/>
    <cellStyle name="20% - Accent4 5 2 6 2" xfId="24280" xr:uid="{00000000-0005-0000-0000-0000A11B0000}"/>
    <cellStyle name="20% - Accent4 5 2 7" xfId="10814" xr:uid="{00000000-0005-0000-0000-0000A21B0000}"/>
    <cellStyle name="20% - Accent4 5 2 7 2" xfId="25963" xr:uid="{00000000-0005-0000-0000-0000A31B0000}"/>
    <cellStyle name="20% - Accent4 5 2 8" xfId="12498" xr:uid="{00000000-0005-0000-0000-0000A41B0000}"/>
    <cellStyle name="20% - Accent4 5 2 8 2" xfId="27647" xr:uid="{00000000-0005-0000-0000-0000A51B0000}"/>
    <cellStyle name="20% - Accent4 5 2 9" xfId="14181" xr:uid="{00000000-0005-0000-0000-0000A61B0000}"/>
    <cellStyle name="20% - Accent4 5 2 9 2" xfId="29330" xr:uid="{00000000-0005-0000-0000-0000A71B0000}"/>
    <cellStyle name="20% - Accent4 5 20" xfId="40691" xr:uid="{00000000-0005-0000-0000-0000A81B0000}"/>
    <cellStyle name="20% - Accent4 5 21" xfId="42374" xr:uid="{00000000-0005-0000-0000-0000A91B0000}"/>
    <cellStyle name="20% - Accent4 5 22" xfId="44057" xr:uid="{00000000-0005-0000-0000-0000AA1B0000}"/>
    <cellStyle name="20% - Accent4 5 23" xfId="45740" xr:uid="{00000000-0005-0000-0000-0000AB1B0000}"/>
    <cellStyle name="20% - Accent4 5 24" xfId="47423" xr:uid="{00000000-0005-0000-0000-0000AC1B0000}"/>
    <cellStyle name="20% - Accent4 5 25" xfId="49106" xr:uid="{00000000-0005-0000-0000-0000AD1B0000}"/>
    <cellStyle name="20% - Accent4 5 26" xfId="50789" xr:uid="{00000000-0005-0000-0000-0000AE1B0000}"/>
    <cellStyle name="20% - Accent4 5 27" xfId="52472" xr:uid="{00000000-0005-0000-0000-0000AF1B0000}"/>
    <cellStyle name="20% - Accent4 5 28" xfId="54155" xr:uid="{00000000-0005-0000-0000-0000B01B0000}"/>
    <cellStyle name="20% - Accent4 5 29" xfId="55838" xr:uid="{00000000-0005-0000-0000-0000B11B0000}"/>
    <cellStyle name="20% - Accent4 5 3" xfId="1136" xr:uid="{00000000-0005-0000-0000-0000B21B0000}"/>
    <cellStyle name="20% - Accent4 5 3 10" xfId="16285" xr:uid="{00000000-0005-0000-0000-0000B31B0000}"/>
    <cellStyle name="20% - Accent4 5 3 11" xfId="31434" xr:uid="{00000000-0005-0000-0000-0000B41B0000}"/>
    <cellStyle name="20% - Accent4 5 3 12" xfId="33117" xr:uid="{00000000-0005-0000-0000-0000B51B0000}"/>
    <cellStyle name="20% - Accent4 5 3 13" xfId="34800" xr:uid="{00000000-0005-0000-0000-0000B61B0000}"/>
    <cellStyle name="20% - Accent4 5 3 14" xfId="36483" xr:uid="{00000000-0005-0000-0000-0000B71B0000}"/>
    <cellStyle name="20% - Accent4 5 3 15" xfId="38166" xr:uid="{00000000-0005-0000-0000-0000B81B0000}"/>
    <cellStyle name="20% - Accent4 5 3 16" xfId="39849" xr:uid="{00000000-0005-0000-0000-0000B91B0000}"/>
    <cellStyle name="20% - Accent4 5 3 17" xfId="41532" xr:uid="{00000000-0005-0000-0000-0000BA1B0000}"/>
    <cellStyle name="20% - Accent4 5 3 18" xfId="43215" xr:uid="{00000000-0005-0000-0000-0000BB1B0000}"/>
    <cellStyle name="20% - Accent4 5 3 19" xfId="44898" xr:uid="{00000000-0005-0000-0000-0000BC1B0000}"/>
    <cellStyle name="20% - Accent4 5 3 2" xfId="2819" xr:uid="{00000000-0005-0000-0000-0000BD1B0000}"/>
    <cellStyle name="20% - Accent4 5 3 2 2" xfId="17968" xr:uid="{00000000-0005-0000-0000-0000BE1B0000}"/>
    <cellStyle name="20% - Accent4 5 3 20" xfId="46581" xr:uid="{00000000-0005-0000-0000-0000BF1B0000}"/>
    <cellStyle name="20% - Accent4 5 3 21" xfId="48264" xr:uid="{00000000-0005-0000-0000-0000C01B0000}"/>
    <cellStyle name="20% - Accent4 5 3 22" xfId="49947" xr:uid="{00000000-0005-0000-0000-0000C11B0000}"/>
    <cellStyle name="20% - Accent4 5 3 23" xfId="51630" xr:uid="{00000000-0005-0000-0000-0000C21B0000}"/>
    <cellStyle name="20% - Accent4 5 3 24" xfId="53313" xr:uid="{00000000-0005-0000-0000-0000C31B0000}"/>
    <cellStyle name="20% - Accent4 5 3 25" xfId="54996" xr:uid="{00000000-0005-0000-0000-0000C41B0000}"/>
    <cellStyle name="20% - Accent4 5 3 26" xfId="56679" xr:uid="{00000000-0005-0000-0000-0000C51B0000}"/>
    <cellStyle name="20% - Accent4 5 3 27" xfId="58362" xr:uid="{00000000-0005-0000-0000-0000C61B0000}"/>
    <cellStyle name="20% - Accent4 5 3 28" xfId="60045" xr:uid="{00000000-0005-0000-0000-0000C71B0000}"/>
    <cellStyle name="20% - Accent4 5 3 29" xfId="61728" xr:uid="{00000000-0005-0000-0000-0000C81B0000}"/>
    <cellStyle name="20% - Accent4 5 3 3" xfId="4503" xr:uid="{00000000-0005-0000-0000-0000C91B0000}"/>
    <cellStyle name="20% - Accent4 5 3 3 2" xfId="19652" xr:uid="{00000000-0005-0000-0000-0000CA1B0000}"/>
    <cellStyle name="20% - Accent4 5 3 30" xfId="63411" xr:uid="{00000000-0005-0000-0000-0000CB1B0000}"/>
    <cellStyle name="20% - Accent4 5 3 4" xfId="6186" xr:uid="{00000000-0005-0000-0000-0000CC1B0000}"/>
    <cellStyle name="20% - Accent4 5 3 4 2" xfId="21335" xr:uid="{00000000-0005-0000-0000-0000CD1B0000}"/>
    <cellStyle name="20% - Accent4 5 3 5" xfId="7869" xr:uid="{00000000-0005-0000-0000-0000CE1B0000}"/>
    <cellStyle name="20% - Accent4 5 3 5 2" xfId="23018" xr:uid="{00000000-0005-0000-0000-0000CF1B0000}"/>
    <cellStyle name="20% - Accent4 5 3 6" xfId="9552" xr:uid="{00000000-0005-0000-0000-0000D01B0000}"/>
    <cellStyle name="20% - Accent4 5 3 6 2" xfId="24701" xr:uid="{00000000-0005-0000-0000-0000D11B0000}"/>
    <cellStyle name="20% - Accent4 5 3 7" xfId="11235" xr:uid="{00000000-0005-0000-0000-0000D21B0000}"/>
    <cellStyle name="20% - Accent4 5 3 7 2" xfId="26384" xr:uid="{00000000-0005-0000-0000-0000D31B0000}"/>
    <cellStyle name="20% - Accent4 5 3 8" xfId="12919" xr:uid="{00000000-0005-0000-0000-0000D41B0000}"/>
    <cellStyle name="20% - Accent4 5 3 8 2" xfId="28068" xr:uid="{00000000-0005-0000-0000-0000D51B0000}"/>
    <cellStyle name="20% - Accent4 5 3 9" xfId="14602" xr:uid="{00000000-0005-0000-0000-0000D61B0000}"/>
    <cellStyle name="20% - Accent4 5 3 9 2" xfId="29751" xr:uid="{00000000-0005-0000-0000-0000D71B0000}"/>
    <cellStyle name="20% - Accent4 5 30" xfId="57521" xr:uid="{00000000-0005-0000-0000-0000D81B0000}"/>
    <cellStyle name="20% - Accent4 5 31" xfId="59204" xr:uid="{00000000-0005-0000-0000-0000D91B0000}"/>
    <cellStyle name="20% - Accent4 5 32" xfId="60887" xr:uid="{00000000-0005-0000-0000-0000DA1B0000}"/>
    <cellStyle name="20% - Accent4 5 33" xfId="62570" xr:uid="{00000000-0005-0000-0000-0000DB1B0000}"/>
    <cellStyle name="20% - Accent4 5 4" xfId="1557" xr:uid="{00000000-0005-0000-0000-0000DC1B0000}"/>
    <cellStyle name="20% - Accent4 5 4 10" xfId="16706" xr:uid="{00000000-0005-0000-0000-0000DD1B0000}"/>
    <cellStyle name="20% - Accent4 5 4 11" xfId="31855" xr:uid="{00000000-0005-0000-0000-0000DE1B0000}"/>
    <cellStyle name="20% - Accent4 5 4 12" xfId="33538" xr:uid="{00000000-0005-0000-0000-0000DF1B0000}"/>
    <cellStyle name="20% - Accent4 5 4 13" xfId="35221" xr:uid="{00000000-0005-0000-0000-0000E01B0000}"/>
    <cellStyle name="20% - Accent4 5 4 14" xfId="36904" xr:uid="{00000000-0005-0000-0000-0000E11B0000}"/>
    <cellStyle name="20% - Accent4 5 4 15" xfId="38587" xr:uid="{00000000-0005-0000-0000-0000E21B0000}"/>
    <cellStyle name="20% - Accent4 5 4 16" xfId="40270" xr:uid="{00000000-0005-0000-0000-0000E31B0000}"/>
    <cellStyle name="20% - Accent4 5 4 17" xfId="41953" xr:uid="{00000000-0005-0000-0000-0000E41B0000}"/>
    <cellStyle name="20% - Accent4 5 4 18" xfId="43636" xr:uid="{00000000-0005-0000-0000-0000E51B0000}"/>
    <cellStyle name="20% - Accent4 5 4 19" xfId="45319" xr:uid="{00000000-0005-0000-0000-0000E61B0000}"/>
    <cellStyle name="20% - Accent4 5 4 2" xfId="3240" xr:uid="{00000000-0005-0000-0000-0000E71B0000}"/>
    <cellStyle name="20% - Accent4 5 4 2 2" xfId="18389" xr:uid="{00000000-0005-0000-0000-0000E81B0000}"/>
    <cellStyle name="20% - Accent4 5 4 20" xfId="47002" xr:uid="{00000000-0005-0000-0000-0000E91B0000}"/>
    <cellStyle name="20% - Accent4 5 4 21" xfId="48685" xr:uid="{00000000-0005-0000-0000-0000EA1B0000}"/>
    <cellStyle name="20% - Accent4 5 4 22" xfId="50368" xr:uid="{00000000-0005-0000-0000-0000EB1B0000}"/>
    <cellStyle name="20% - Accent4 5 4 23" xfId="52051" xr:uid="{00000000-0005-0000-0000-0000EC1B0000}"/>
    <cellStyle name="20% - Accent4 5 4 24" xfId="53734" xr:uid="{00000000-0005-0000-0000-0000ED1B0000}"/>
    <cellStyle name="20% - Accent4 5 4 25" xfId="55417" xr:uid="{00000000-0005-0000-0000-0000EE1B0000}"/>
    <cellStyle name="20% - Accent4 5 4 26" xfId="57100" xr:uid="{00000000-0005-0000-0000-0000EF1B0000}"/>
    <cellStyle name="20% - Accent4 5 4 27" xfId="58783" xr:uid="{00000000-0005-0000-0000-0000F01B0000}"/>
    <cellStyle name="20% - Accent4 5 4 28" xfId="60466" xr:uid="{00000000-0005-0000-0000-0000F11B0000}"/>
    <cellStyle name="20% - Accent4 5 4 29" xfId="62149" xr:uid="{00000000-0005-0000-0000-0000F21B0000}"/>
    <cellStyle name="20% - Accent4 5 4 3" xfId="4924" xr:uid="{00000000-0005-0000-0000-0000F31B0000}"/>
    <cellStyle name="20% - Accent4 5 4 3 2" xfId="20073" xr:uid="{00000000-0005-0000-0000-0000F41B0000}"/>
    <cellStyle name="20% - Accent4 5 4 30" xfId="63832" xr:uid="{00000000-0005-0000-0000-0000F51B0000}"/>
    <cellStyle name="20% - Accent4 5 4 4" xfId="6607" xr:uid="{00000000-0005-0000-0000-0000F61B0000}"/>
    <cellStyle name="20% - Accent4 5 4 4 2" xfId="21756" xr:uid="{00000000-0005-0000-0000-0000F71B0000}"/>
    <cellStyle name="20% - Accent4 5 4 5" xfId="8290" xr:uid="{00000000-0005-0000-0000-0000F81B0000}"/>
    <cellStyle name="20% - Accent4 5 4 5 2" xfId="23439" xr:uid="{00000000-0005-0000-0000-0000F91B0000}"/>
    <cellStyle name="20% - Accent4 5 4 6" xfId="9973" xr:uid="{00000000-0005-0000-0000-0000FA1B0000}"/>
    <cellStyle name="20% - Accent4 5 4 6 2" xfId="25122" xr:uid="{00000000-0005-0000-0000-0000FB1B0000}"/>
    <cellStyle name="20% - Accent4 5 4 7" xfId="11656" xr:uid="{00000000-0005-0000-0000-0000FC1B0000}"/>
    <cellStyle name="20% - Accent4 5 4 7 2" xfId="26805" xr:uid="{00000000-0005-0000-0000-0000FD1B0000}"/>
    <cellStyle name="20% - Accent4 5 4 8" xfId="13340" xr:uid="{00000000-0005-0000-0000-0000FE1B0000}"/>
    <cellStyle name="20% - Accent4 5 4 8 2" xfId="28489" xr:uid="{00000000-0005-0000-0000-0000FF1B0000}"/>
    <cellStyle name="20% - Accent4 5 4 9" xfId="15023" xr:uid="{00000000-0005-0000-0000-0000001C0000}"/>
    <cellStyle name="20% - Accent4 5 4 9 2" xfId="30172" xr:uid="{00000000-0005-0000-0000-0000011C0000}"/>
    <cellStyle name="20% - Accent4 5 5" xfId="1978" xr:uid="{00000000-0005-0000-0000-0000021C0000}"/>
    <cellStyle name="20% - Accent4 5 5 2" xfId="17127" xr:uid="{00000000-0005-0000-0000-0000031C0000}"/>
    <cellStyle name="20% - Accent4 5 6" xfId="3662" xr:uid="{00000000-0005-0000-0000-0000041C0000}"/>
    <cellStyle name="20% - Accent4 5 6 2" xfId="18811" xr:uid="{00000000-0005-0000-0000-0000051C0000}"/>
    <cellStyle name="20% - Accent4 5 7" xfId="5345" xr:uid="{00000000-0005-0000-0000-0000061C0000}"/>
    <cellStyle name="20% - Accent4 5 7 2" xfId="20494" xr:uid="{00000000-0005-0000-0000-0000071C0000}"/>
    <cellStyle name="20% - Accent4 5 8" xfId="7028" xr:uid="{00000000-0005-0000-0000-0000081C0000}"/>
    <cellStyle name="20% - Accent4 5 8 2" xfId="22177" xr:uid="{00000000-0005-0000-0000-0000091C0000}"/>
    <cellStyle name="20% - Accent4 5 9" xfId="8711" xr:uid="{00000000-0005-0000-0000-00000A1C0000}"/>
    <cellStyle name="20% - Accent4 5 9 2" xfId="23860" xr:uid="{00000000-0005-0000-0000-00000B1C0000}"/>
    <cellStyle name="20% - Accent4 6" xfId="505" xr:uid="{00000000-0005-0000-0000-00000C1C0000}"/>
    <cellStyle name="20% - Accent4 6 10" xfId="15654" xr:uid="{00000000-0005-0000-0000-00000D1C0000}"/>
    <cellStyle name="20% - Accent4 6 11" xfId="30803" xr:uid="{00000000-0005-0000-0000-00000E1C0000}"/>
    <cellStyle name="20% - Accent4 6 12" xfId="32486" xr:uid="{00000000-0005-0000-0000-00000F1C0000}"/>
    <cellStyle name="20% - Accent4 6 13" xfId="34169" xr:uid="{00000000-0005-0000-0000-0000101C0000}"/>
    <cellStyle name="20% - Accent4 6 14" xfId="35852" xr:uid="{00000000-0005-0000-0000-0000111C0000}"/>
    <cellStyle name="20% - Accent4 6 15" xfId="37535" xr:uid="{00000000-0005-0000-0000-0000121C0000}"/>
    <cellStyle name="20% - Accent4 6 16" xfId="39218" xr:uid="{00000000-0005-0000-0000-0000131C0000}"/>
    <cellStyle name="20% - Accent4 6 17" xfId="40901" xr:uid="{00000000-0005-0000-0000-0000141C0000}"/>
    <cellStyle name="20% - Accent4 6 18" xfId="42584" xr:uid="{00000000-0005-0000-0000-0000151C0000}"/>
    <cellStyle name="20% - Accent4 6 19" xfId="44267" xr:uid="{00000000-0005-0000-0000-0000161C0000}"/>
    <cellStyle name="20% - Accent4 6 2" xfId="2188" xr:uid="{00000000-0005-0000-0000-0000171C0000}"/>
    <cellStyle name="20% - Accent4 6 2 2" xfId="17337" xr:uid="{00000000-0005-0000-0000-0000181C0000}"/>
    <cellStyle name="20% - Accent4 6 20" xfId="45950" xr:uid="{00000000-0005-0000-0000-0000191C0000}"/>
    <cellStyle name="20% - Accent4 6 21" xfId="47633" xr:uid="{00000000-0005-0000-0000-00001A1C0000}"/>
    <cellStyle name="20% - Accent4 6 22" xfId="49316" xr:uid="{00000000-0005-0000-0000-00001B1C0000}"/>
    <cellStyle name="20% - Accent4 6 23" xfId="50999" xr:uid="{00000000-0005-0000-0000-00001C1C0000}"/>
    <cellStyle name="20% - Accent4 6 24" xfId="52682" xr:uid="{00000000-0005-0000-0000-00001D1C0000}"/>
    <cellStyle name="20% - Accent4 6 25" xfId="54365" xr:uid="{00000000-0005-0000-0000-00001E1C0000}"/>
    <cellStyle name="20% - Accent4 6 26" xfId="56048" xr:uid="{00000000-0005-0000-0000-00001F1C0000}"/>
    <cellStyle name="20% - Accent4 6 27" xfId="57731" xr:uid="{00000000-0005-0000-0000-0000201C0000}"/>
    <cellStyle name="20% - Accent4 6 28" xfId="59414" xr:uid="{00000000-0005-0000-0000-0000211C0000}"/>
    <cellStyle name="20% - Accent4 6 29" xfId="61097" xr:uid="{00000000-0005-0000-0000-0000221C0000}"/>
    <cellStyle name="20% - Accent4 6 3" xfId="3872" xr:uid="{00000000-0005-0000-0000-0000231C0000}"/>
    <cellStyle name="20% - Accent4 6 3 2" xfId="19021" xr:uid="{00000000-0005-0000-0000-0000241C0000}"/>
    <cellStyle name="20% - Accent4 6 30" xfId="62780" xr:uid="{00000000-0005-0000-0000-0000251C0000}"/>
    <cellStyle name="20% - Accent4 6 4" xfId="5555" xr:uid="{00000000-0005-0000-0000-0000261C0000}"/>
    <cellStyle name="20% - Accent4 6 4 2" xfId="20704" xr:uid="{00000000-0005-0000-0000-0000271C0000}"/>
    <cellStyle name="20% - Accent4 6 5" xfId="7238" xr:uid="{00000000-0005-0000-0000-0000281C0000}"/>
    <cellStyle name="20% - Accent4 6 5 2" xfId="22387" xr:uid="{00000000-0005-0000-0000-0000291C0000}"/>
    <cellStyle name="20% - Accent4 6 6" xfId="8921" xr:uid="{00000000-0005-0000-0000-00002A1C0000}"/>
    <cellStyle name="20% - Accent4 6 6 2" xfId="24070" xr:uid="{00000000-0005-0000-0000-00002B1C0000}"/>
    <cellStyle name="20% - Accent4 6 7" xfId="10604" xr:uid="{00000000-0005-0000-0000-00002C1C0000}"/>
    <cellStyle name="20% - Accent4 6 7 2" xfId="25753" xr:uid="{00000000-0005-0000-0000-00002D1C0000}"/>
    <cellStyle name="20% - Accent4 6 8" xfId="12288" xr:uid="{00000000-0005-0000-0000-00002E1C0000}"/>
    <cellStyle name="20% - Accent4 6 8 2" xfId="27437" xr:uid="{00000000-0005-0000-0000-00002F1C0000}"/>
    <cellStyle name="20% - Accent4 6 9" xfId="13971" xr:uid="{00000000-0005-0000-0000-0000301C0000}"/>
    <cellStyle name="20% - Accent4 6 9 2" xfId="29120" xr:uid="{00000000-0005-0000-0000-0000311C0000}"/>
    <cellStyle name="20% - Accent4 7" xfId="926" xr:uid="{00000000-0005-0000-0000-0000321C0000}"/>
    <cellStyle name="20% - Accent4 7 10" xfId="16075" xr:uid="{00000000-0005-0000-0000-0000331C0000}"/>
    <cellStyle name="20% - Accent4 7 11" xfId="31224" xr:uid="{00000000-0005-0000-0000-0000341C0000}"/>
    <cellStyle name="20% - Accent4 7 12" xfId="32907" xr:uid="{00000000-0005-0000-0000-0000351C0000}"/>
    <cellStyle name="20% - Accent4 7 13" xfId="34590" xr:uid="{00000000-0005-0000-0000-0000361C0000}"/>
    <cellStyle name="20% - Accent4 7 14" xfId="36273" xr:uid="{00000000-0005-0000-0000-0000371C0000}"/>
    <cellStyle name="20% - Accent4 7 15" xfId="37956" xr:uid="{00000000-0005-0000-0000-0000381C0000}"/>
    <cellStyle name="20% - Accent4 7 16" xfId="39639" xr:uid="{00000000-0005-0000-0000-0000391C0000}"/>
    <cellStyle name="20% - Accent4 7 17" xfId="41322" xr:uid="{00000000-0005-0000-0000-00003A1C0000}"/>
    <cellStyle name="20% - Accent4 7 18" xfId="43005" xr:uid="{00000000-0005-0000-0000-00003B1C0000}"/>
    <cellStyle name="20% - Accent4 7 19" xfId="44688" xr:uid="{00000000-0005-0000-0000-00003C1C0000}"/>
    <cellStyle name="20% - Accent4 7 2" xfId="2609" xr:uid="{00000000-0005-0000-0000-00003D1C0000}"/>
    <cellStyle name="20% - Accent4 7 2 2" xfId="17758" xr:uid="{00000000-0005-0000-0000-00003E1C0000}"/>
    <cellStyle name="20% - Accent4 7 20" xfId="46371" xr:uid="{00000000-0005-0000-0000-00003F1C0000}"/>
    <cellStyle name="20% - Accent4 7 21" xfId="48054" xr:uid="{00000000-0005-0000-0000-0000401C0000}"/>
    <cellStyle name="20% - Accent4 7 22" xfId="49737" xr:uid="{00000000-0005-0000-0000-0000411C0000}"/>
    <cellStyle name="20% - Accent4 7 23" xfId="51420" xr:uid="{00000000-0005-0000-0000-0000421C0000}"/>
    <cellStyle name="20% - Accent4 7 24" xfId="53103" xr:uid="{00000000-0005-0000-0000-0000431C0000}"/>
    <cellStyle name="20% - Accent4 7 25" xfId="54786" xr:uid="{00000000-0005-0000-0000-0000441C0000}"/>
    <cellStyle name="20% - Accent4 7 26" xfId="56469" xr:uid="{00000000-0005-0000-0000-0000451C0000}"/>
    <cellStyle name="20% - Accent4 7 27" xfId="58152" xr:uid="{00000000-0005-0000-0000-0000461C0000}"/>
    <cellStyle name="20% - Accent4 7 28" xfId="59835" xr:uid="{00000000-0005-0000-0000-0000471C0000}"/>
    <cellStyle name="20% - Accent4 7 29" xfId="61518" xr:uid="{00000000-0005-0000-0000-0000481C0000}"/>
    <cellStyle name="20% - Accent4 7 3" xfId="4293" xr:uid="{00000000-0005-0000-0000-0000491C0000}"/>
    <cellStyle name="20% - Accent4 7 3 2" xfId="19442" xr:uid="{00000000-0005-0000-0000-00004A1C0000}"/>
    <cellStyle name="20% - Accent4 7 30" xfId="63201" xr:uid="{00000000-0005-0000-0000-00004B1C0000}"/>
    <cellStyle name="20% - Accent4 7 4" xfId="5976" xr:uid="{00000000-0005-0000-0000-00004C1C0000}"/>
    <cellStyle name="20% - Accent4 7 4 2" xfId="21125" xr:uid="{00000000-0005-0000-0000-00004D1C0000}"/>
    <cellStyle name="20% - Accent4 7 5" xfId="7659" xr:uid="{00000000-0005-0000-0000-00004E1C0000}"/>
    <cellStyle name="20% - Accent4 7 5 2" xfId="22808" xr:uid="{00000000-0005-0000-0000-00004F1C0000}"/>
    <cellStyle name="20% - Accent4 7 6" xfId="9342" xr:uid="{00000000-0005-0000-0000-0000501C0000}"/>
    <cellStyle name="20% - Accent4 7 6 2" xfId="24491" xr:uid="{00000000-0005-0000-0000-0000511C0000}"/>
    <cellStyle name="20% - Accent4 7 7" xfId="11025" xr:uid="{00000000-0005-0000-0000-0000521C0000}"/>
    <cellStyle name="20% - Accent4 7 7 2" xfId="26174" xr:uid="{00000000-0005-0000-0000-0000531C0000}"/>
    <cellStyle name="20% - Accent4 7 8" xfId="12709" xr:uid="{00000000-0005-0000-0000-0000541C0000}"/>
    <cellStyle name="20% - Accent4 7 8 2" xfId="27858" xr:uid="{00000000-0005-0000-0000-0000551C0000}"/>
    <cellStyle name="20% - Accent4 7 9" xfId="14392" xr:uid="{00000000-0005-0000-0000-0000561C0000}"/>
    <cellStyle name="20% - Accent4 7 9 2" xfId="29541" xr:uid="{00000000-0005-0000-0000-0000571C0000}"/>
    <cellStyle name="20% - Accent4 8" xfId="1347" xr:uid="{00000000-0005-0000-0000-0000581C0000}"/>
    <cellStyle name="20% - Accent4 8 10" xfId="16496" xr:uid="{00000000-0005-0000-0000-0000591C0000}"/>
    <cellStyle name="20% - Accent4 8 11" xfId="31645" xr:uid="{00000000-0005-0000-0000-00005A1C0000}"/>
    <cellStyle name="20% - Accent4 8 12" xfId="33328" xr:uid="{00000000-0005-0000-0000-00005B1C0000}"/>
    <cellStyle name="20% - Accent4 8 13" xfId="35011" xr:uid="{00000000-0005-0000-0000-00005C1C0000}"/>
    <cellStyle name="20% - Accent4 8 14" xfId="36694" xr:uid="{00000000-0005-0000-0000-00005D1C0000}"/>
    <cellStyle name="20% - Accent4 8 15" xfId="38377" xr:uid="{00000000-0005-0000-0000-00005E1C0000}"/>
    <cellStyle name="20% - Accent4 8 16" xfId="40060" xr:uid="{00000000-0005-0000-0000-00005F1C0000}"/>
    <cellStyle name="20% - Accent4 8 17" xfId="41743" xr:uid="{00000000-0005-0000-0000-0000601C0000}"/>
    <cellStyle name="20% - Accent4 8 18" xfId="43426" xr:uid="{00000000-0005-0000-0000-0000611C0000}"/>
    <cellStyle name="20% - Accent4 8 19" xfId="45109" xr:uid="{00000000-0005-0000-0000-0000621C0000}"/>
    <cellStyle name="20% - Accent4 8 2" xfId="3030" xr:uid="{00000000-0005-0000-0000-0000631C0000}"/>
    <cellStyle name="20% - Accent4 8 2 2" xfId="18179" xr:uid="{00000000-0005-0000-0000-0000641C0000}"/>
    <cellStyle name="20% - Accent4 8 20" xfId="46792" xr:uid="{00000000-0005-0000-0000-0000651C0000}"/>
    <cellStyle name="20% - Accent4 8 21" xfId="48475" xr:uid="{00000000-0005-0000-0000-0000661C0000}"/>
    <cellStyle name="20% - Accent4 8 22" xfId="50158" xr:uid="{00000000-0005-0000-0000-0000671C0000}"/>
    <cellStyle name="20% - Accent4 8 23" xfId="51841" xr:uid="{00000000-0005-0000-0000-0000681C0000}"/>
    <cellStyle name="20% - Accent4 8 24" xfId="53524" xr:uid="{00000000-0005-0000-0000-0000691C0000}"/>
    <cellStyle name="20% - Accent4 8 25" xfId="55207" xr:uid="{00000000-0005-0000-0000-00006A1C0000}"/>
    <cellStyle name="20% - Accent4 8 26" xfId="56890" xr:uid="{00000000-0005-0000-0000-00006B1C0000}"/>
    <cellStyle name="20% - Accent4 8 27" xfId="58573" xr:uid="{00000000-0005-0000-0000-00006C1C0000}"/>
    <cellStyle name="20% - Accent4 8 28" xfId="60256" xr:uid="{00000000-0005-0000-0000-00006D1C0000}"/>
    <cellStyle name="20% - Accent4 8 29" xfId="61939" xr:uid="{00000000-0005-0000-0000-00006E1C0000}"/>
    <cellStyle name="20% - Accent4 8 3" xfId="4714" xr:uid="{00000000-0005-0000-0000-00006F1C0000}"/>
    <cellStyle name="20% - Accent4 8 3 2" xfId="19863" xr:uid="{00000000-0005-0000-0000-0000701C0000}"/>
    <cellStyle name="20% - Accent4 8 30" xfId="63622" xr:uid="{00000000-0005-0000-0000-0000711C0000}"/>
    <cellStyle name="20% - Accent4 8 4" xfId="6397" xr:uid="{00000000-0005-0000-0000-0000721C0000}"/>
    <cellStyle name="20% - Accent4 8 4 2" xfId="21546" xr:uid="{00000000-0005-0000-0000-0000731C0000}"/>
    <cellStyle name="20% - Accent4 8 5" xfId="8080" xr:uid="{00000000-0005-0000-0000-0000741C0000}"/>
    <cellStyle name="20% - Accent4 8 5 2" xfId="23229" xr:uid="{00000000-0005-0000-0000-0000751C0000}"/>
    <cellStyle name="20% - Accent4 8 6" xfId="9763" xr:uid="{00000000-0005-0000-0000-0000761C0000}"/>
    <cellStyle name="20% - Accent4 8 6 2" xfId="24912" xr:uid="{00000000-0005-0000-0000-0000771C0000}"/>
    <cellStyle name="20% - Accent4 8 7" xfId="11446" xr:uid="{00000000-0005-0000-0000-0000781C0000}"/>
    <cellStyle name="20% - Accent4 8 7 2" xfId="26595" xr:uid="{00000000-0005-0000-0000-0000791C0000}"/>
    <cellStyle name="20% - Accent4 8 8" xfId="13130" xr:uid="{00000000-0005-0000-0000-00007A1C0000}"/>
    <cellStyle name="20% - Accent4 8 8 2" xfId="28279" xr:uid="{00000000-0005-0000-0000-00007B1C0000}"/>
    <cellStyle name="20% - Accent4 8 9" xfId="14813" xr:uid="{00000000-0005-0000-0000-00007C1C0000}"/>
    <cellStyle name="20% - Accent4 8 9 2" xfId="29962" xr:uid="{00000000-0005-0000-0000-00007D1C0000}"/>
    <cellStyle name="20% - Accent4 9" xfId="1768" xr:uid="{00000000-0005-0000-0000-00007E1C0000}"/>
    <cellStyle name="20% - Accent4 9 2" xfId="16917" xr:uid="{00000000-0005-0000-0000-00007F1C0000}"/>
    <cellStyle name="20% - Accent5" xfId="87" builtinId="46" customBuiltin="1"/>
    <cellStyle name="20% - Accent5 10" xfId="3455" xr:uid="{00000000-0005-0000-0000-0000811C0000}"/>
    <cellStyle name="20% - Accent5 10 2" xfId="18604" xr:uid="{00000000-0005-0000-0000-0000821C0000}"/>
    <cellStyle name="20% - Accent5 11" xfId="5138" xr:uid="{00000000-0005-0000-0000-0000831C0000}"/>
    <cellStyle name="20% - Accent5 11 2" xfId="20287" xr:uid="{00000000-0005-0000-0000-0000841C0000}"/>
    <cellStyle name="20% - Accent5 12" xfId="6821" xr:uid="{00000000-0005-0000-0000-0000851C0000}"/>
    <cellStyle name="20% - Accent5 12 2" xfId="21970" xr:uid="{00000000-0005-0000-0000-0000861C0000}"/>
    <cellStyle name="20% - Accent5 13" xfId="8504" xr:uid="{00000000-0005-0000-0000-0000871C0000}"/>
    <cellStyle name="20% - Accent5 13 2" xfId="23653" xr:uid="{00000000-0005-0000-0000-0000881C0000}"/>
    <cellStyle name="20% - Accent5 14" xfId="10187" xr:uid="{00000000-0005-0000-0000-0000891C0000}"/>
    <cellStyle name="20% - Accent5 14 2" xfId="25336" xr:uid="{00000000-0005-0000-0000-00008A1C0000}"/>
    <cellStyle name="20% - Accent5 15" xfId="11871" xr:uid="{00000000-0005-0000-0000-00008B1C0000}"/>
    <cellStyle name="20% - Accent5 15 2" xfId="27020" xr:uid="{00000000-0005-0000-0000-00008C1C0000}"/>
    <cellStyle name="20% - Accent5 16" xfId="13554" xr:uid="{00000000-0005-0000-0000-00008D1C0000}"/>
    <cellStyle name="20% - Accent5 16 2" xfId="28703" xr:uid="{00000000-0005-0000-0000-00008E1C0000}"/>
    <cellStyle name="20% - Accent5 17" xfId="15237" xr:uid="{00000000-0005-0000-0000-00008F1C0000}"/>
    <cellStyle name="20% - Accent5 18" xfId="30386" xr:uid="{00000000-0005-0000-0000-0000901C0000}"/>
    <cellStyle name="20% - Accent5 19" xfId="32069" xr:uid="{00000000-0005-0000-0000-0000911C0000}"/>
    <cellStyle name="20% - Accent5 2" xfId="110" xr:uid="{00000000-0005-0000-0000-0000921C0000}"/>
    <cellStyle name="20% - Accent5 2 10" xfId="6843" xr:uid="{00000000-0005-0000-0000-0000931C0000}"/>
    <cellStyle name="20% - Accent5 2 10 2" xfId="21992" xr:uid="{00000000-0005-0000-0000-0000941C0000}"/>
    <cellStyle name="20% - Accent5 2 11" xfId="8526" xr:uid="{00000000-0005-0000-0000-0000951C0000}"/>
    <cellStyle name="20% - Accent5 2 11 2" xfId="23675" xr:uid="{00000000-0005-0000-0000-0000961C0000}"/>
    <cellStyle name="20% - Accent5 2 12" xfId="10209" xr:uid="{00000000-0005-0000-0000-0000971C0000}"/>
    <cellStyle name="20% - Accent5 2 12 2" xfId="25358" xr:uid="{00000000-0005-0000-0000-0000981C0000}"/>
    <cellStyle name="20% - Accent5 2 13" xfId="11893" xr:uid="{00000000-0005-0000-0000-0000991C0000}"/>
    <cellStyle name="20% - Accent5 2 13 2" xfId="27042" xr:uid="{00000000-0005-0000-0000-00009A1C0000}"/>
    <cellStyle name="20% - Accent5 2 14" xfId="13576" xr:uid="{00000000-0005-0000-0000-00009B1C0000}"/>
    <cellStyle name="20% - Accent5 2 14 2" xfId="28725" xr:uid="{00000000-0005-0000-0000-00009C1C0000}"/>
    <cellStyle name="20% - Accent5 2 15" xfId="15259" xr:uid="{00000000-0005-0000-0000-00009D1C0000}"/>
    <cellStyle name="20% - Accent5 2 16" xfId="30408" xr:uid="{00000000-0005-0000-0000-00009E1C0000}"/>
    <cellStyle name="20% - Accent5 2 17" xfId="32091" xr:uid="{00000000-0005-0000-0000-00009F1C0000}"/>
    <cellStyle name="20% - Accent5 2 18" xfId="33774" xr:uid="{00000000-0005-0000-0000-0000A01C0000}"/>
    <cellStyle name="20% - Accent5 2 19" xfId="35457" xr:uid="{00000000-0005-0000-0000-0000A11C0000}"/>
    <cellStyle name="20% - Accent5 2 2" xfId="215" xr:uid="{00000000-0005-0000-0000-0000A21C0000}"/>
    <cellStyle name="20% - Accent5 2 2 10" xfId="8631" xr:uid="{00000000-0005-0000-0000-0000A31C0000}"/>
    <cellStyle name="20% - Accent5 2 2 10 2" xfId="23780" xr:uid="{00000000-0005-0000-0000-0000A41C0000}"/>
    <cellStyle name="20% - Accent5 2 2 11" xfId="10314" xr:uid="{00000000-0005-0000-0000-0000A51C0000}"/>
    <cellStyle name="20% - Accent5 2 2 11 2" xfId="25463" xr:uid="{00000000-0005-0000-0000-0000A61C0000}"/>
    <cellStyle name="20% - Accent5 2 2 12" xfId="11998" xr:uid="{00000000-0005-0000-0000-0000A71C0000}"/>
    <cellStyle name="20% - Accent5 2 2 12 2" xfId="27147" xr:uid="{00000000-0005-0000-0000-0000A81C0000}"/>
    <cellStyle name="20% - Accent5 2 2 13" xfId="13681" xr:uid="{00000000-0005-0000-0000-0000A91C0000}"/>
    <cellStyle name="20% - Accent5 2 2 13 2" xfId="28830" xr:uid="{00000000-0005-0000-0000-0000AA1C0000}"/>
    <cellStyle name="20% - Accent5 2 2 14" xfId="15364" xr:uid="{00000000-0005-0000-0000-0000AB1C0000}"/>
    <cellStyle name="20% - Accent5 2 2 15" xfId="30513" xr:uid="{00000000-0005-0000-0000-0000AC1C0000}"/>
    <cellStyle name="20% - Accent5 2 2 16" xfId="32196" xr:uid="{00000000-0005-0000-0000-0000AD1C0000}"/>
    <cellStyle name="20% - Accent5 2 2 17" xfId="33879" xr:uid="{00000000-0005-0000-0000-0000AE1C0000}"/>
    <cellStyle name="20% - Accent5 2 2 18" xfId="35562" xr:uid="{00000000-0005-0000-0000-0000AF1C0000}"/>
    <cellStyle name="20% - Accent5 2 2 19" xfId="37245" xr:uid="{00000000-0005-0000-0000-0000B01C0000}"/>
    <cellStyle name="20% - Accent5 2 2 2" xfId="425" xr:uid="{00000000-0005-0000-0000-0000B11C0000}"/>
    <cellStyle name="20% - Accent5 2 2 2 10" xfId="10524" xr:uid="{00000000-0005-0000-0000-0000B21C0000}"/>
    <cellStyle name="20% - Accent5 2 2 2 10 2" xfId="25673" xr:uid="{00000000-0005-0000-0000-0000B31C0000}"/>
    <cellStyle name="20% - Accent5 2 2 2 11" xfId="12208" xr:uid="{00000000-0005-0000-0000-0000B41C0000}"/>
    <cellStyle name="20% - Accent5 2 2 2 11 2" xfId="27357" xr:uid="{00000000-0005-0000-0000-0000B51C0000}"/>
    <cellStyle name="20% - Accent5 2 2 2 12" xfId="13891" xr:uid="{00000000-0005-0000-0000-0000B61C0000}"/>
    <cellStyle name="20% - Accent5 2 2 2 12 2" xfId="29040" xr:uid="{00000000-0005-0000-0000-0000B71C0000}"/>
    <cellStyle name="20% - Accent5 2 2 2 13" xfId="15574" xr:uid="{00000000-0005-0000-0000-0000B81C0000}"/>
    <cellStyle name="20% - Accent5 2 2 2 14" xfId="30723" xr:uid="{00000000-0005-0000-0000-0000B91C0000}"/>
    <cellStyle name="20% - Accent5 2 2 2 15" xfId="32406" xr:uid="{00000000-0005-0000-0000-0000BA1C0000}"/>
    <cellStyle name="20% - Accent5 2 2 2 16" xfId="34089" xr:uid="{00000000-0005-0000-0000-0000BB1C0000}"/>
    <cellStyle name="20% - Accent5 2 2 2 17" xfId="35772" xr:uid="{00000000-0005-0000-0000-0000BC1C0000}"/>
    <cellStyle name="20% - Accent5 2 2 2 18" xfId="37455" xr:uid="{00000000-0005-0000-0000-0000BD1C0000}"/>
    <cellStyle name="20% - Accent5 2 2 2 19" xfId="39138" xr:uid="{00000000-0005-0000-0000-0000BE1C0000}"/>
    <cellStyle name="20% - Accent5 2 2 2 2" xfId="845" xr:uid="{00000000-0005-0000-0000-0000BF1C0000}"/>
    <cellStyle name="20% - Accent5 2 2 2 2 10" xfId="15994" xr:uid="{00000000-0005-0000-0000-0000C01C0000}"/>
    <cellStyle name="20% - Accent5 2 2 2 2 11" xfId="31143" xr:uid="{00000000-0005-0000-0000-0000C11C0000}"/>
    <cellStyle name="20% - Accent5 2 2 2 2 12" xfId="32826" xr:uid="{00000000-0005-0000-0000-0000C21C0000}"/>
    <cellStyle name="20% - Accent5 2 2 2 2 13" xfId="34509" xr:uid="{00000000-0005-0000-0000-0000C31C0000}"/>
    <cellStyle name="20% - Accent5 2 2 2 2 14" xfId="36192" xr:uid="{00000000-0005-0000-0000-0000C41C0000}"/>
    <cellStyle name="20% - Accent5 2 2 2 2 15" xfId="37875" xr:uid="{00000000-0005-0000-0000-0000C51C0000}"/>
    <cellStyle name="20% - Accent5 2 2 2 2 16" xfId="39558" xr:uid="{00000000-0005-0000-0000-0000C61C0000}"/>
    <cellStyle name="20% - Accent5 2 2 2 2 17" xfId="41241" xr:uid="{00000000-0005-0000-0000-0000C71C0000}"/>
    <cellStyle name="20% - Accent5 2 2 2 2 18" xfId="42924" xr:uid="{00000000-0005-0000-0000-0000C81C0000}"/>
    <cellStyle name="20% - Accent5 2 2 2 2 19" xfId="44607" xr:uid="{00000000-0005-0000-0000-0000C91C0000}"/>
    <cellStyle name="20% - Accent5 2 2 2 2 2" xfId="2528" xr:uid="{00000000-0005-0000-0000-0000CA1C0000}"/>
    <cellStyle name="20% - Accent5 2 2 2 2 2 2" xfId="17677" xr:uid="{00000000-0005-0000-0000-0000CB1C0000}"/>
    <cellStyle name="20% - Accent5 2 2 2 2 20" xfId="46290" xr:uid="{00000000-0005-0000-0000-0000CC1C0000}"/>
    <cellStyle name="20% - Accent5 2 2 2 2 21" xfId="47973" xr:uid="{00000000-0005-0000-0000-0000CD1C0000}"/>
    <cellStyle name="20% - Accent5 2 2 2 2 22" xfId="49656" xr:uid="{00000000-0005-0000-0000-0000CE1C0000}"/>
    <cellStyle name="20% - Accent5 2 2 2 2 23" xfId="51339" xr:uid="{00000000-0005-0000-0000-0000CF1C0000}"/>
    <cellStyle name="20% - Accent5 2 2 2 2 24" xfId="53022" xr:uid="{00000000-0005-0000-0000-0000D01C0000}"/>
    <cellStyle name="20% - Accent5 2 2 2 2 25" xfId="54705" xr:uid="{00000000-0005-0000-0000-0000D11C0000}"/>
    <cellStyle name="20% - Accent5 2 2 2 2 26" xfId="56388" xr:uid="{00000000-0005-0000-0000-0000D21C0000}"/>
    <cellStyle name="20% - Accent5 2 2 2 2 27" xfId="58071" xr:uid="{00000000-0005-0000-0000-0000D31C0000}"/>
    <cellStyle name="20% - Accent5 2 2 2 2 28" xfId="59754" xr:uid="{00000000-0005-0000-0000-0000D41C0000}"/>
    <cellStyle name="20% - Accent5 2 2 2 2 29" xfId="61437" xr:uid="{00000000-0005-0000-0000-0000D51C0000}"/>
    <cellStyle name="20% - Accent5 2 2 2 2 3" xfId="4212" xr:uid="{00000000-0005-0000-0000-0000D61C0000}"/>
    <cellStyle name="20% - Accent5 2 2 2 2 3 2" xfId="19361" xr:uid="{00000000-0005-0000-0000-0000D71C0000}"/>
    <cellStyle name="20% - Accent5 2 2 2 2 30" xfId="63120" xr:uid="{00000000-0005-0000-0000-0000D81C0000}"/>
    <cellStyle name="20% - Accent5 2 2 2 2 4" xfId="5895" xr:uid="{00000000-0005-0000-0000-0000D91C0000}"/>
    <cellStyle name="20% - Accent5 2 2 2 2 4 2" xfId="21044" xr:uid="{00000000-0005-0000-0000-0000DA1C0000}"/>
    <cellStyle name="20% - Accent5 2 2 2 2 5" xfId="7578" xr:uid="{00000000-0005-0000-0000-0000DB1C0000}"/>
    <cellStyle name="20% - Accent5 2 2 2 2 5 2" xfId="22727" xr:uid="{00000000-0005-0000-0000-0000DC1C0000}"/>
    <cellStyle name="20% - Accent5 2 2 2 2 6" xfId="9261" xr:uid="{00000000-0005-0000-0000-0000DD1C0000}"/>
    <cellStyle name="20% - Accent5 2 2 2 2 6 2" xfId="24410" xr:uid="{00000000-0005-0000-0000-0000DE1C0000}"/>
    <cellStyle name="20% - Accent5 2 2 2 2 7" xfId="10944" xr:uid="{00000000-0005-0000-0000-0000DF1C0000}"/>
    <cellStyle name="20% - Accent5 2 2 2 2 7 2" xfId="26093" xr:uid="{00000000-0005-0000-0000-0000E01C0000}"/>
    <cellStyle name="20% - Accent5 2 2 2 2 8" xfId="12628" xr:uid="{00000000-0005-0000-0000-0000E11C0000}"/>
    <cellStyle name="20% - Accent5 2 2 2 2 8 2" xfId="27777" xr:uid="{00000000-0005-0000-0000-0000E21C0000}"/>
    <cellStyle name="20% - Accent5 2 2 2 2 9" xfId="14311" xr:uid="{00000000-0005-0000-0000-0000E31C0000}"/>
    <cellStyle name="20% - Accent5 2 2 2 2 9 2" xfId="29460" xr:uid="{00000000-0005-0000-0000-0000E41C0000}"/>
    <cellStyle name="20% - Accent5 2 2 2 20" xfId="40821" xr:uid="{00000000-0005-0000-0000-0000E51C0000}"/>
    <cellStyle name="20% - Accent5 2 2 2 21" xfId="42504" xr:uid="{00000000-0005-0000-0000-0000E61C0000}"/>
    <cellStyle name="20% - Accent5 2 2 2 22" xfId="44187" xr:uid="{00000000-0005-0000-0000-0000E71C0000}"/>
    <cellStyle name="20% - Accent5 2 2 2 23" xfId="45870" xr:uid="{00000000-0005-0000-0000-0000E81C0000}"/>
    <cellStyle name="20% - Accent5 2 2 2 24" xfId="47553" xr:uid="{00000000-0005-0000-0000-0000E91C0000}"/>
    <cellStyle name="20% - Accent5 2 2 2 25" xfId="49236" xr:uid="{00000000-0005-0000-0000-0000EA1C0000}"/>
    <cellStyle name="20% - Accent5 2 2 2 26" xfId="50919" xr:uid="{00000000-0005-0000-0000-0000EB1C0000}"/>
    <cellStyle name="20% - Accent5 2 2 2 27" xfId="52602" xr:uid="{00000000-0005-0000-0000-0000EC1C0000}"/>
    <cellStyle name="20% - Accent5 2 2 2 28" xfId="54285" xr:uid="{00000000-0005-0000-0000-0000ED1C0000}"/>
    <cellStyle name="20% - Accent5 2 2 2 29" xfId="55968" xr:uid="{00000000-0005-0000-0000-0000EE1C0000}"/>
    <cellStyle name="20% - Accent5 2 2 2 3" xfId="1266" xr:uid="{00000000-0005-0000-0000-0000EF1C0000}"/>
    <cellStyle name="20% - Accent5 2 2 2 3 10" xfId="16415" xr:uid="{00000000-0005-0000-0000-0000F01C0000}"/>
    <cellStyle name="20% - Accent5 2 2 2 3 11" xfId="31564" xr:uid="{00000000-0005-0000-0000-0000F11C0000}"/>
    <cellStyle name="20% - Accent5 2 2 2 3 12" xfId="33247" xr:uid="{00000000-0005-0000-0000-0000F21C0000}"/>
    <cellStyle name="20% - Accent5 2 2 2 3 13" xfId="34930" xr:uid="{00000000-0005-0000-0000-0000F31C0000}"/>
    <cellStyle name="20% - Accent5 2 2 2 3 14" xfId="36613" xr:uid="{00000000-0005-0000-0000-0000F41C0000}"/>
    <cellStyle name="20% - Accent5 2 2 2 3 15" xfId="38296" xr:uid="{00000000-0005-0000-0000-0000F51C0000}"/>
    <cellStyle name="20% - Accent5 2 2 2 3 16" xfId="39979" xr:uid="{00000000-0005-0000-0000-0000F61C0000}"/>
    <cellStyle name="20% - Accent5 2 2 2 3 17" xfId="41662" xr:uid="{00000000-0005-0000-0000-0000F71C0000}"/>
    <cellStyle name="20% - Accent5 2 2 2 3 18" xfId="43345" xr:uid="{00000000-0005-0000-0000-0000F81C0000}"/>
    <cellStyle name="20% - Accent5 2 2 2 3 19" xfId="45028" xr:uid="{00000000-0005-0000-0000-0000F91C0000}"/>
    <cellStyle name="20% - Accent5 2 2 2 3 2" xfId="2949" xr:uid="{00000000-0005-0000-0000-0000FA1C0000}"/>
    <cellStyle name="20% - Accent5 2 2 2 3 2 2" xfId="18098" xr:uid="{00000000-0005-0000-0000-0000FB1C0000}"/>
    <cellStyle name="20% - Accent5 2 2 2 3 20" xfId="46711" xr:uid="{00000000-0005-0000-0000-0000FC1C0000}"/>
    <cellStyle name="20% - Accent5 2 2 2 3 21" xfId="48394" xr:uid="{00000000-0005-0000-0000-0000FD1C0000}"/>
    <cellStyle name="20% - Accent5 2 2 2 3 22" xfId="50077" xr:uid="{00000000-0005-0000-0000-0000FE1C0000}"/>
    <cellStyle name="20% - Accent5 2 2 2 3 23" xfId="51760" xr:uid="{00000000-0005-0000-0000-0000FF1C0000}"/>
    <cellStyle name="20% - Accent5 2 2 2 3 24" xfId="53443" xr:uid="{00000000-0005-0000-0000-0000001D0000}"/>
    <cellStyle name="20% - Accent5 2 2 2 3 25" xfId="55126" xr:uid="{00000000-0005-0000-0000-0000011D0000}"/>
    <cellStyle name="20% - Accent5 2 2 2 3 26" xfId="56809" xr:uid="{00000000-0005-0000-0000-0000021D0000}"/>
    <cellStyle name="20% - Accent5 2 2 2 3 27" xfId="58492" xr:uid="{00000000-0005-0000-0000-0000031D0000}"/>
    <cellStyle name="20% - Accent5 2 2 2 3 28" xfId="60175" xr:uid="{00000000-0005-0000-0000-0000041D0000}"/>
    <cellStyle name="20% - Accent5 2 2 2 3 29" xfId="61858" xr:uid="{00000000-0005-0000-0000-0000051D0000}"/>
    <cellStyle name="20% - Accent5 2 2 2 3 3" xfId="4633" xr:uid="{00000000-0005-0000-0000-0000061D0000}"/>
    <cellStyle name="20% - Accent5 2 2 2 3 3 2" xfId="19782" xr:uid="{00000000-0005-0000-0000-0000071D0000}"/>
    <cellStyle name="20% - Accent5 2 2 2 3 30" xfId="63541" xr:uid="{00000000-0005-0000-0000-0000081D0000}"/>
    <cellStyle name="20% - Accent5 2 2 2 3 4" xfId="6316" xr:uid="{00000000-0005-0000-0000-0000091D0000}"/>
    <cellStyle name="20% - Accent5 2 2 2 3 4 2" xfId="21465" xr:uid="{00000000-0005-0000-0000-00000A1D0000}"/>
    <cellStyle name="20% - Accent5 2 2 2 3 5" xfId="7999" xr:uid="{00000000-0005-0000-0000-00000B1D0000}"/>
    <cellStyle name="20% - Accent5 2 2 2 3 5 2" xfId="23148" xr:uid="{00000000-0005-0000-0000-00000C1D0000}"/>
    <cellStyle name="20% - Accent5 2 2 2 3 6" xfId="9682" xr:uid="{00000000-0005-0000-0000-00000D1D0000}"/>
    <cellStyle name="20% - Accent5 2 2 2 3 6 2" xfId="24831" xr:uid="{00000000-0005-0000-0000-00000E1D0000}"/>
    <cellStyle name="20% - Accent5 2 2 2 3 7" xfId="11365" xr:uid="{00000000-0005-0000-0000-00000F1D0000}"/>
    <cellStyle name="20% - Accent5 2 2 2 3 7 2" xfId="26514" xr:uid="{00000000-0005-0000-0000-0000101D0000}"/>
    <cellStyle name="20% - Accent5 2 2 2 3 8" xfId="13049" xr:uid="{00000000-0005-0000-0000-0000111D0000}"/>
    <cellStyle name="20% - Accent5 2 2 2 3 8 2" xfId="28198" xr:uid="{00000000-0005-0000-0000-0000121D0000}"/>
    <cellStyle name="20% - Accent5 2 2 2 3 9" xfId="14732" xr:uid="{00000000-0005-0000-0000-0000131D0000}"/>
    <cellStyle name="20% - Accent5 2 2 2 3 9 2" xfId="29881" xr:uid="{00000000-0005-0000-0000-0000141D0000}"/>
    <cellStyle name="20% - Accent5 2 2 2 30" xfId="57651" xr:uid="{00000000-0005-0000-0000-0000151D0000}"/>
    <cellStyle name="20% - Accent5 2 2 2 31" xfId="59334" xr:uid="{00000000-0005-0000-0000-0000161D0000}"/>
    <cellStyle name="20% - Accent5 2 2 2 32" xfId="61017" xr:uid="{00000000-0005-0000-0000-0000171D0000}"/>
    <cellStyle name="20% - Accent5 2 2 2 33" xfId="62700" xr:uid="{00000000-0005-0000-0000-0000181D0000}"/>
    <cellStyle name="20% - Accent5 2 2 2 4" xfId="1687" xr:uid="{00000000-0005-0000-0000-0000191D0000}"/>
    <cellStyle name="20% - Accent5 2 2 2 4 10" xfId="16836" xr:uid="{00000000-0005-0000-0000-00001A1D0000}"/>
    <cellStyle name="20% - Accent5 2 2 2 4 11" xfId="31985" xr:uid="{00000000-0005-0000-0000-00001B1D0000}"/>
    <cellStyle name="20% - Accent5 2 2 2 4 12" xfId="33668" xr:uid="{00000000-0005-0000-0000-00001C1D0000}"/>
    <cellStyle name="20% - Accent5 2 2 2 4 13" xfId="35351" xr:uid="{00000000-0005-0000-0000-00001D1D0000}"/>
    <cellStyle name="20% - Accent5 2 2 2 4 14" xfId="37034" xr:uid="{00000000-0005-0000-0000-00001E1D0000}"/>
    <cellStyle name="20% - Accent5 2 2 2 4 15" xfId="38717" xr:uid="{00000000-0005-0000-0000-00001F1D0000}"/>
    <cellStyle name="20% - Accent5 2 2 2 4 16" xfId="40400" xr:uid="{00000000-0005-0000-0000-0000201D0000}"/>
    <cellStyle name="20% - Accent5 2 2 2 4 17" xfId="42083" xr:uid="{00000000-0005-0000-0000-0000211D0000}"/>
    <cellStyle name="20% - Accent5 2 2 2 4 18" xfId="43766" xr:uid="{00000000-0005-0000-0000-0000221D0000}"/>
    <cellStyle name="20% - Accent5 2 2 2 4 19" xfId="45449" xr:uid="{00000000-0005-0000-0000-0000231D0000}"/>
    <cellStyle name="20% - Accent5 2 2 2 4 2" xfId="3370" xr:uid="{00000000-0005-0000-0000-0000241D0000}"/>
    <cellStyle name="20% - Accent5 2 2 2 4 2 2" xfId="18519" xr:uid="{00000000-0005-0000-0000-0000251D0000}"/>
    <cellStyle name="20% - Accent5 2 2 2 4 20" xfId="47132" xr:uid="{00000000-0005-0000-0000-0000261D0000}"/>
    <cellStyle name="20% - Accent5 2 2 2 4 21" xfId="48815" xr:uid="{00000000-0005-0000-0000-0000271D0000}"/>
    <cellStyle name="20% - Accent5 2 2 2 4 22" xfId="50498" xr:uid="{00000000-0005-0000-0000-0000281D0000}"/>
    <cellStyle name="20% - Accent5 2 2 2 4 23" xfId="52181" xr:uid="{00000000-0005-0000-0000-0000291D0000}"/>
    <cellStyle name="20% - Accent5 2 2 2 4 24" xfId="53864" xr:uid="{00000000-0005-0000-0000-00002A1D0000}"/>
    <cellStyle name="20% - Accent5 2 2 2 4 25" xfId="55547" xr:uid="{00000000-0005-0000-0000-00002B1D0000}"/>
    <cellStyle name="20% - Accent5 2 2 2 4 26" xfId="57230" xr:uid="{00000000-0005-0000-0000-00002C1D0000}"/>
    <cellStyle name="20% - Accent5 2 2 2 4 27" xfId="58913" xr:uid="{00000000-0005-0000-0000-00002D1D0000}"/>
    <cellStyle name="20% - Accent5 2 2 2 4 28" xfId="60596" xr:uid="{00000000-0005-0000-0000-00002E1D0000}"/>
    <cellStyle name="20% - Accent5 2 2 2 4 29" xfId="62279" xr:uid="{00000000-0005-0000-0000-00002F1D0000}"/>
    <cellStyle name="20% - Accent5 2 2 2 4 3" xfId="5054" xr:uid="{00000000-0005-0000-0000-0000301D0000}"/>
    <cellStyle name="20% - Accent5 2 2 2 4 3 2" xfId="20203" xr:uid="{00000000-0005-0000-0000-0000311D0000}"/>
    <cellStyle name="20% - Accent5 2 2 2 4 30" xfId="63962" xr:uid="{00000000-0005-0000-0000-0000321D0000}"/>
    <cellStyle name="20% - Accent5 2 2 2 4 4" xfId="6737" xr:uid="{00000000-0005-0000-0000-0000331D0000}"/>
    <cellStyle name="20% - Accent5 2 2 2 4 4 2" xfId="21886" xr:uid="{00000000-0005-0000-0000-0000341D0000}"/>
    <cellStyle name="20% - Accent5 2 2 2 4 5" xfId="8420" xr:uid="{00000000-0005-0000-0000-0000351D0000}"/>
    <cellStyle name="20% - Accent5 2 2 2 4 5 2" xfId="23569" xr:uid="{00000000-0005-0000-0000-0000361D0000}"/>
    <cellStyle name="20% - Accent5 2 2 2 4 6" xfId="10103" xr:uid="{00000000-0005-0000-0000-0000371D0000}"/>
    <cellStyle name="20% - Accent5 2 2 2 4 6 2" xfId="25252" xr:uid="{00000000-0005-0000-0000-0000381D0000}"/>
    <cellStyle name="20% - Accent5 2 2 2 4 7" xfId="11786" xr:uid="{00000000-0005-0000-0000-0000391D0000}"/>
    <cellStyle name="20% - Accent5 2 2 2 4 7 2" xfId="26935" xr:uid="{00000000-0005-0000-0000-00003A1D0000}"/>
    <cellStyle name="20% - Accent5 2 2 2 4 8" xfId="13470" xr:uid="{00000000-0005-0000-0000-00003B1D0000}"/>
    <cellStyle name="20% - Accent5 2 2 2 4 8 2" xfId="28619" xr:uid="{00000000-0005-0000-0000-00003C1D0000}"/>
    <cellStyle name="20% - Accent5 2 2 2 4 9" xfId="15153" xr:uid="{00000000-0005-0000-0000-00003D1D0000}"/>
    <cellStyle name="20% - Accent5 2 2 2 4 9 2" xfId="30302" xr:uid="{00000000-0005-0000-0000-00003E1D0000}"/>
    <cellStyle name="20% - Accent5 2 2 2 5" xfId="2108" xr:uid="{00000000-0005-0000-0000-00003F1D0000}"/>
    <cellStyle name="20% - Accent5 2 2 2 5 2" xfId="17257" xr:uid="{00000000-0005-0000-0000-0000401D0000}"/>
    <cellStyle name="20% - Accent5 2 2 2 6" xfId="3792" xr:uid="{00000000-0005-0000-0000-0000411D0000}"/>
    <cellStyle name="20% - Accent5 2 2 2 6 2" xfId="18941" xr:uid="{00000000-0005-0000-0000-0000421D0000}"/>
    <cellStyle name="20% - Accent5 2 2 2 7" xfId="5475" xr:uid="{00000000-0005-0000-0000-0000431D0000}"/>
    <cellStyle name="20% - Accent5 2 2 2 7 2" xfId="20624" xr:uid="{00000000-0005-0000-0000-0000441D0000}"/>
    <cellStyle name="20% - Accent5 2 2 2 8" xfId="7158" xr:uid="{00000000-0005-0000-0000-0000451D0000}"/>
    <cellStyle name="20% - Accent5 2 2 2 8 2" xfId="22307" xr:uid="{00000000-0005-0000-0000-0000461D0000}"/>
    <cellStyle name="20% - Accent5 2 2 2 9" xfId="8841" xr:uid="{00000000-0005-0000-0000-0000471D0000}"/>
    <cellStyle name="20% - Accent5 2 2 2 9 2" xfId="23990" xr:uid="{00000000-0005-0000-0000-0000481D0000}"/>
    <cellStyle name="20% - Accent5 2 2 20" xfId="38928" xr:uid="{00000000-0005-0000-0000-0000491D0000}"/>
    <cellStyle name="20% - Accent5 2 2 21" xfId="40611" xr:uid="{00000000-0005-0000-0000-00004A1D0000}"/>
    <cellStyle name="20% - Accent5 2 2 22" xfId="42294" xr:uid="{00000000-0005-0000-0000-00004B1D0000}"/>
    <cellStyle name="20% - Accent5 2 2 23" xfId="43977" xr:uid="{00000000-0005-0000-0000-00004C1D0000}"/>
    <cellStyle name="20% - Accent5 2 2 24" xfId="45660" xr:uid="{00000000-0005-0000-0000-00004D1D0000}"/>
    <cellStyle name="20% - Accent5 2 2 25" xfId="47343" xr:uid="{00000000-0005-0000-0000-00004E1D0000}"/>
    <cellStyle name="20% - Accent5 2 2 26" xfId="49026" xr:uid="{00000000-0005-0000-0000-00004F1D0000}"/>
    <cellStyle name="20% - Accent5 2 2 27" xfId="50709" xr:uid="{00000000-0005-0000-0000-0000501D0000}"/>
    <cellStyle name="20% - Accent5 2 2 28" xfId="52392" xr:uid="{00000000-0005-0000-0000-0000511D0000}"/>
    <cellStyle name="20% - Accent5 2 2 29" xfId="54075" xr:uid="{00000000-0005-0000-0000-0000521D0000}"/>
    <cellStyle name="20% - Accent5 2 2 3" xfId="635" xr:uid="{00000000-0005-0000-0000-0000531D0000}"/>
    <cellStyle name="20% - Accent5 2 2 3 10" xfId="15784" xr:uid="{00000000-0005-0000-0000-0000541D0000}"/>
    <cellStyle name="20% - Accent5 2 2 3 11" xfId="30933" xr:uid="{00000000-0005-0000-0000-0000551D0000}"/>
    <cellStyle name="20% - Accent5 2 2 3 12" xfId="32616" xr:uid="{00000000-0005-0000-0000-0000561D0000}"/>
    <cellStyle name="20% - Accent5 2 2 3 13" xfId="34299" xr:uid="{00000000-0005-0000-0000-0000571D0000}"/>
    <cellStyle name="20% - Accent5 2 2 3 14" xfId="35982" xr:uid="{00000000-0005-0000-0000-0000581D0000}"/>
    <cellStyle name="20% - Accent5 2 2 3 15" xfId="37665" xr:uid="{00000000-0005-0000-0000-0000591D0000}"/>
    <cellStyle name="20% - Accent5 2 2 3 16" xfId="39348" xr:uid="{00000000-0005-0000-0000-00005A1D0000}"/>
    <cellStyle name="20% - Accent5 2 2 3 17" xfId="41031" xr:uid="{00000000-0005-0000-0000-00005B1D0000}"/>
    <cellStyle name="20% - Accent5 2 2 3 18" xfId="42714" xr:uid="{00000000-0005-0000-0000-00005C1D0000}"/>
    <cellStyle name="20% - Accent5 2 2 3 19" xfId="44397" xr:uid="{00000000-0005-0000-0000-00005D1D0000}"/>
    <cellStyle name="20% - Accent5 2 2 3 2" xfId="2318" xr:uid="{00000000-0005-0000-0000-00005E1D0000}"/>
    <cellStyle name="20% - Accent5 2 2 3 2 2" xfId="17467" xr:uid="{00000000-0005-0000-0000-00005F1D0000}"/>
    <cellStyle name="20% - Accent5 2 2 3 20" xfId="46080" xr:uid="{00000000-0005-0000-0000-0000601D0000}"/>
    <cellStyle name="20% - Accent5 2 2 3 21" xfId="47763" xr:uid="{00000000-0005-0000-0000-0000611D0000}"/>
    <cellStyle name="20% - Accent5 2 2 3 22" xfId="49446" xr:uid="{00000000-0005-0000-0000-0000621D0000}"/>
    <cellStyle name="20% - Accent5 2 2 3 23" xfId="51129" xr:uid="{00000000-0005-0000-0000-0000631D0000}"/>
    <cellStyle name="20% - Accent5 2 2 3 24" xfId="52812" xr:uid="{00000000-0005-0000-0000-0000641D0000}"/>
    <cellStyle name="20% - Accent5 2 2 3 25" xfId="54495" xr:uid="{00000000-0005-0000-0000-0000651D0000}"/>
    <cellStyle name="20% - Accent5 2 2 3 26" xfId="56178" xr:uid="{00000000-0005-0000-0000-0000661D0000}"/>
    <cellStyle name="20% - Accent5 2 2 3 27" xfId="57861" xr:uid="{00000000-0005-0000-0000-0000671D0000}"/>
    <cellStyle name="20% - Accent5 2 2 3 28" xfId="59544" xr:uid="{00000000-0005-0000-0000-0000681D0000}"/>
    <cellStyle name="20% - Accent5 2 2 3 29" xfId="61227" xr:uid="{00000000-0005-0000-0000-0000691D0000}"/>
    <cellStyle name="20% - Accent5 2 2 3 3" xfId="4002" xr:uid="{00000000-0005-0000-0000-00006A1D0000}"/>
    <cellStyle name="20% - Accent5 2 2 3 3 2" xfId="19151" xr:uid="{00000000-0005-0000-0000-00006B1D0000}"/>
    <cellStyle name="20% - Accent5 2 2 3 30" xfId="62910" xr:uid="{00000000-0005-0000-0000-00006C1D0000}"/>
    <cellStyle name="20% - Accent5 2 2 3 4" xfId="5685" xr:uid="{00000000-0005-0000-0000-00006D1D0000}"/>
    <cellStyle name="20% - Accent5 2 2 3 4 2" xfId="20834" xr:uid="{00000000-0005-0000-0000-00006E1D0000}"/>
    <cellStyle name="20% - Accent5 2 2 3 5" xfId="7368" xr:uid="{00000000-0005-0000-0000-00006F1D0000}"/>
    <cellStyle name="20% - Accent5 2 2 3 5 2" xfId="22517" xr:uid="{00000000-0005-0000-0000-0000701D0000}"/>
    <cellStyle name="20% - Accent5 2 2 3 6" xfId="9051" xr:uid="{00000000-0005-0000-0000-0000711D0000}"/>
    <cellStyle name="20% - Accent5 2 2 3 6 2" xfId="24200" xr:uid="{00000000-0005-0000-0000-0000721D0000}"/>
    <cellStyle name="20% - Accent5 2 2 3 7" xfId="10734" xr:uid="{00000000-0005-0000-0000-0000731D0000}"/>
    <cellStyle name="20% - Accent5 2 2 3 7 2" xfId="25883" xr:uid="{00000000-0005-0000-0000-0000741D0000}"/>
    <cellStyle name="20% - Accent5 2 2 3 8" xfId="12418" xr:uid="{00000000-0005-0000-0000-0000751D0000}"/>
    <cellStyle name="20% - Accent5 2 2 3 8 2" xfId="27567" xr:uid="{00000000-0005-0000-0000-0000761D0000}"/>
    <cellStyle name="20% - Accent5 2 2 3 9" xfId="14101" xr:uid="{00000000-0005-0000-0000-0000771D0000}"/>
    <cellStyle name="20% - Accent5 2 2 3 9 2" xfId="29250" xr:uid="{00000000-0005-0000-0000-0000781D0000}"/>
    <cellStyle name="20% - Accent5 2 2 30" xfId="55758" xr:uid="{00000000-0005-0000-0000-0000791D0000}"/>
    <cellStyle name="20% - Accent5 2 2 31" xfId="57441" xr:uid="{00000000-0005-0000-0000-00007A1D0000}"/>
    <cellStyle name="20% - Accent5 2 2 32" xfId="59124" xr:uid="{00000000-0005-0000-0000-00007B1D0000}"/>
    <cellStyle name="20% - Accent5 2 2 33" xfId="60807" xr:uid="{00000000-0005-0000-0000-00007C1D0000}"/>
    <cellStyle name="20% - Accent5 2 2 34" xfId="62490" xr:uid="{00000000-0005-0000-0000-00007D1D0000}"/>
    <cellStyle name="20% - Accent5 2 2 4" xfId="1056" xr:uid="{00000000-0005-0000-0000-00007E1D0000}"/>
    <cellStyle name="20% - Accent5 2 2 4 10" xfId="16205" xr:uid="{00000000-0005-0000-0000-00007F1D0000}"/>
    <cellStyle name="20% - Accent5 2 2 4 11" xfId="31354" xr:uid="{00000000-0005-0000-0000-0000801D0000}"/>
    <cellStyle name="20% - Accent5 2 2 4 12" xfId="33037" xr:uid="{00000000-0005-0000-0000-0000811D0000}"/>
    <cellStyle name="20% - Accent5 2 2 4 13" xfId="34720" xr:uid="{00000000-0005-0000-0000-0000821D0000}"/>
    <cellStyle name="20% - Accent5 2 2 4 14" xfId="36403" xr:uid="{00000000-0005-0000-0000-0000831D0000}"/>
    <cellStyle name="20% - Accent5 2 2 4 15" xfId="38086" xr:uid="{00000000-0005-0000-0000-0000841D0000}"/>
    <cellStyle name="20% - Accent5 2 2 4 16" xfId="39769" xr:uid="{00000000-0005-0000-0000-0000851D0000}"/>
    <cellStyle name="20% - Accent5 2 2 4 17" xfId="41452" xr:uid="{00000000-0005-0000-0000-0000861D0000}"/>
    <cellStyle name="20% - Accent5 2 2 4 18" xfId="43135" xr:uid="{00000000-0005-0000-0000-0000871D0000}"/>
    <cellStyle name="20% - Accent5 2 2 4 19" xfId="44818" xr:uid="{00000000-0005-0000-0000-0000881D0000}"/>
    <cellStyle name="20% - Accent5 2 2 4 2" xfId="2739" xr:uid="{00000000-0005-0000-0000-0000891D0000}"/>
    <cellStyle name="20% - Accent5 2 2 4 2 2" xfId="17888" xr:uid="{00000000-0005-0000-0000-00008A1D0000}"/>
    <cellStyle name="20% - Accent5 2 2 4 20" xfId="46501" xr:uid="{00000000-0005-0000-0000-00008B1D0000}"/>
    <cellStyle name="20% - Accent5 2 2 4 21" xfId="48184" xr:uid="{00000000-0005-0000-0000-00008C1D0000}"/>
    <cellStyle name="20% - Accent5 2 2 4 22" xfId="49867" xr:uid="{00000000-0005-0000-0000-00008D1D0000}"/>
    <cellStyle name="20% - Accent5 2 2 4 23" xfId="51550" xr:uid="{00000000-0005-0000-0000-00008E1D0000}"/>
    <cellStyle name="20% - Accent5 2 2 4 24" xfId="53233" xr:uid="{00000000-0005-0000-0000-00008F1D0000}"/>
    <cellStyle name="20% - Accent5 2 2 4 25" xfId="54916" xr:uid="{00000000-0005-0000-0000-0000901D0000}"/>
    <cellStyle name="20% - Accent5 2 2 4 26" xfId="56599" xr:uid="{00000000-0005-0000-0000-0000911D0000}"/>
    <cellStyle name="20% - Accent5 2 2 4 27" xfId="58282" xr:uid="{00000000-0005-0000-0000-0000921D0000}"/>
    <cellStyle name="20% - Accent5 2 2 4 28" xfId="59965" xr:uid="{00000000-0005-0000-0000-0000931D0000}"/>
    <cellStyle name="20% - Accent5 2 2 4 29" xfId="61648" xr:uid="{00000000-0005-0000-0000-0000941D0000}"/>
    <cellStyle name="20% - Accent5 2 2 4 3" xfId="4423" xr:uid="{00000000-0005-0000-0000-0000951D0000}"/>
    <cellStyle name="20% - Accent5 2 2 4 3 2" xfId="19572" xr:uid="{00000000-0005-0000-0000-0000961D0000}"/>
    <cellStyle name="20% - Accent5 2 2 4 30" xfId="63331" xr:uid="{00000000-0005-0000-0000-0000971D0000}"/>
    <cellStyle name="20% - Accent5 2 2 4 4" xfId="6106" xr:uid="{00000000-0005-0000-0000-0000981D0000}"/>
    <cellStyle name="20% - Accent5 2 2 4 4 2" xfId="21255" xr:uid="{00000000-0005-0000-0000-0000991D0000}"/>
    <cellStyle name="20% - Accent5 2 2 4 5" xfId="7789" xr:uid="{00000000-0005-0000-0000-00009A1D0000}"/>
    <cellStyle name="20% - Accent5 2 2 4 5 2" xfId="22938" xr:uid="{00000000-0005-0000-0000-00009B1D0000}"/>
    <cellStyle name="20% - Accent5 2 2 4 6" xfId="9472" xr:uid="{00000000-0005-0000-0000-00009C1D0000}"/>
    <cellStyle name="20% - Accent5 2 2 4 6 2" xfId="24621" xr:uid="{00000000-0005-0000-0000-00009D1D0000}"/>
    <cellStyle name="20% - Accent5 2 2 4 7" xfId="11155" xr:uid="{00000000-0005-0000-0000-00009E1D0000}"/>
    <cellStyle name="20% - Accent5 2 2 4 7 2" xfId="26304" xr:uid="{00000000-0005-0000-0000-00009F1D0000}"/>
    <cellStyle name="20% - Accent5 2 2 4 8" xfId="12839" xr:uid="{00000000-0005-0000-0000-0000A01D0000}"/>
    <cellStyle name="20% - Accent5 2 2 4 8 2" xfId="27988" xr:uid="{00000000-0005-0000-0000-0000A11D0000}"/>
    <cellStyle name="20% - Accent5 2 2 4 9" xfId="14522" xr:uid="{00000000-0005-0000-0000-0000A21D0000}"/>
    <cellStyle name="20% - Accent5 2 2 4 9 2" xfId="29671" xr:uid="{00000000-0005-0000-0000-0000A31D0000}"/>
    <cellStyle name="20% - Accent5 2 2 5" xfId="1477" xr:uid="{00000000-0005-0000-0000-0000A41D0000}"/>
    <cellStyle name="20% - Accent5 2 2 5 10" xfId="16626" xr:uid="{00000000-0005-0000-0000-0000A51D0000}"/>
    <cellStyle name="20% - Accent5 2 2 5 11" xfId="31775" xr:uid="{00000000-0005-0000-0000-0000A61D0000}"/>
    <cellStyle name="20% - Accent5 2 2 5 12" xfId="33458" xr:uid="{00000000-0005-0000-0000-0000A71D0000}"/>
    <cellStyle name="20% - Accent5 2 2 5 13" xfId="35141" xr:uid="{00000000-0005-0000-0000-0000A81D0000}"/>
    <cellStyle name="20% - Accent5 2 2 5 14" xfId="36824" xr:uid="{00000000-0005-0000-0000-0000A91D0000}"/>
    <cellStyle name="20% - Accent5 2 2 5 15" xfId="38507" xr:uid="{00000000-0005-0000-0000-0000AA1D0000}"/>
    <cellStyle name="20% - Accent5 2 2 5 16" xfId="40190" xr:uid="{00000000-0005-0000-0000-0000AB1D0000}"/>
    <cellStyle name="20% - Accent5 2 2 5 17" xfId="41873" xr:uid="{00000000-0005-0000-0000-0000AC1D0000}"/>
    <cellStyle name="20% - Accent5 2 2 5 18" xfId="43556" xr:uid="{00000000-0005-0000-0000-0000AD1D0000}"/>
    <cellStyle name="20% - Accent5 2 2 5 19" xfId="45239" xr:uid="{00000000-0005-0000-0000-0000AE1D0000}"/>
    <cellStyle name="20% - Accent5 2 2 5 2" xfId="3160" xr:uid="{00000000-0005-0000-0000-0000AF1D0000}"/>
    <cellStyle name="20% - Accent5 2 2 5 2 2" xfId="18309" xr:uid="{00000000-0005-0000-0000-0000B01D0000}"/>
    <cellStyle name="20% - Accent5 2 2 5 20" xfId="46922" xr:uid="{00000000-0005-0000-0000-0000B11D0000}"/>
    <cellStyle name="20% - Accent5 2 2 5 21" xfId="48605" xr:uid="{00000000-0005-0000-0000-0000B21D0000}"/>
    <cellStyle name="20% - Accent5 2 2 5 22" xfId="50288" xr:uid="{00000000-0005-0000-0000-0000B31D0000}"/>
    <cellStyle name="20% - Accent5 2 2 5 23" xfId="51971" xr:uid="{00000000-0005-0000-0000-0000B41D0000}"/>
    <cellStyle name="20% - Accent5 2 2 5 24" xfId="53654" xr:uid="{00000000-0005-0000-0000-0000B51D0000}"/>
    <cellStyle name="20% - Accent5 2 2 5 25" xfId="55337" xr:uid="{00000000-0005-0000-0000-0000B61D0000}"/>
    <cellStyle name="20% - Accent5 2 2 5 26" xfId="57020" xr:uid="{00000000-0005-0000-0000-0000B71D0000}"/>
    <cellStyle name="20% - Accent5 2 2 5 27" xfId="58703" xr:uid="{00000000-0005-0000-0000-0000B81D0000}"/>
    <cellStyle name="20% - Accent5 2 2 5 28" xfId="60386" xr:uid="{00000000-0005-0000-0000-0000B91D0000}"/>
    <cellStyle name="20% - Accent5 2 2 5 29" xfId="62069" xr:uid="{00000000-0005-0000-0000-0000BA1D0000}"/>
    <cellStyle name="20% - Accent5 2 2 5 3" xfId="4844" xr:uid="{00000000-0005-0000-0000-0000BB1D0000}"/>
    <cellStyle name="20% - Accent5 2 2 5 3 2" xfId="19993" xr:uid="{00000000-0005-0000-0000-0000BC1D0000}"/>
    <cellStyle name="20% - Accent5 2 2 5 30" xfId="63752" xr:uid="{00000000-0005-0000-0000-0000BD1D0000}"/>
    <cellStyle name="20% - Accent5 2 2 5 4" xfId="6527" xr:uid="{00000000-0005-0000-0000-0000BE1D0000}"/>
    <cellStyle name="20% - Accent5 2 2 5 4 2" xfId="21676" xr:uid="{00000000-0005-0000-0000-0000BF1D0000}"/>
    <cellStyle name="20% - Accent5 2 2 5 5" xfId="8210" xr:uid="{00000000-0005-0000-0000-0000C01D0000}"/>
    <cellStyle name="20% - Accent5 2 2 5 5 2" xfId="23359" xr:uid="{00000000-0005-0000-0000-0000C11D0000}"/>
    <cellStyle name="20% - Accent5 2 2 5 6" xfId="9893" xr:uid="{00000000-0005-0000-0000-0000C21D0000}"/>
    <cellStyle name="20% - Accent5 2 2 5 6 2" xfId="25042" xr:uid="{00000000-0005-0000-0000-0000C31D0000}"/>
    <cellStyle name="20% - Accent5 2 2 5 7" xfId="11576" xr:uid="{00000000-0005-0000-0000-0000C41D0000}"/>
    <cellStyle name="20% - Accent5 2 2 5 7 2" xfId="26725" xr:uid="{00000000-0005-0000-0000-0000C51D0000}"/>
    <cellStyle name="20% - Accent5 2 2 5 8" xfId="13260" xr:uid="{00000000-0005-0000-0000-0000C61D0000}"/>
    <cellStyle name="20% - Accent5 2 2 5 8 2" xfId="28409" xr:uid="{00000000-0005-0000-0000-0000C71D0000}"/>
    <cellStyle name="20% - Accent5 2 2 5 9" xfId="14943" xr:uid="{00000000-0005-0000-0000-0000C81D0000}"/>
    <cellStyle name="20% - Accent5 2 2 5 9 2" xfId="30092" xr:uid="{00000000-0005-0000-0000-0000C91D0000}"/>
    <cellStyle name="20% - Accent5 2 2 6" xfId="1898" xr:uid="{00000000-0005-0000-0000-0000CA1D0000}"/>
    <cellStyle name="20% - Accent5 2 2 6 2" xfId="17047" xr:uid="{00000000-0005-0000-0000-0000CB1D0000}"/>
    <cellStyle name="20% - Accent5 2 2 7" xfId="3582" xr:uid="{00000000-0005-0000-0000-0000CC1D0000}"/>
    <cellStyle name="20% - Accent5 2 2 7 2" xfId="18731" xr:uid="{00000000-0005-0000-0000-0000CD1D0000}"/>
    <cellStyle name="20% - Accent5 2 2 8" xfId="5265" xr:uid="{00000000-0005-0000-0000-0000CE1D0000}"/>
    <cellStyle name="20% - Accent5 2 2 8 2" xfId="20414" xr:uid="{00000000-0005-0000-0000-0000CF1D0000}"/>
    <cellStyle name="20% - Accent5 2 2 9" xfId="6948" xr:uid="{00000000-0005-0000-0000-0000D01D0000}"/>
    <cellStyle name="20% - Accent5 2 2 9 2" xfId="22097" xr:uid="{00000000-0005-0000-0000-0000D11D0000}"/>
    <cellStyle name="20% - Accent5 2 20" xfId="37140" xr:uid="{00000000-0005-0000-0000-0000D21D0000}"/>
    <cellStyle name="20% - Accent5 2 21" xfId="38823" xr:uid="{00000000-0005-0000-0000-0000D31D0000}"/>
    <cellStyle name="20% - Accent5 2 22" xfId="40506" xr:uid="{00000000-0005-0000-0000-0000D41D0000}"/>
    <cellStyle name="20% - Accent5 2 23" xfId="42189" xr:uid="{00000000-0005-0000-0000-0000D51D0000}"/>
    <cellStyle name="20% - Accent5 2 24" xfId="43872" xr:uid="{00000000-0005-0000-0000-0000D61D0000}"/>
    <cellStyle name="20% - Accent5 2 25" xfId="45555" xr:uid="{00000000-0005-0000-0000-0000D71D0000}"/>
    <cellStyle name="20% - Accent5 2 26" xfId="47238" xr:uid="{00000000-0005-0000-0000-0000D81D0000}"/>
    <cellStyle name="20% - Accent5 2 27" xfId="48921" xr:uid="{00000000-0005-0000-0000-0000D91D0000}"/>
    <cellStyle name="20% - Accent5 2 28" xfId="50604" xr:uid="{00000000-0005-0000-0000-0000DA1D0000}"/>
    <cellStyle name="20% - Accent5 2 29" xfId="52287" xr:uid="{00000000-0005-0000-0000-0000DB1D0000}"/>
    <cellStyle name="20% - Accent5 2 3" xfId="320" xr:uid="{00000000-0005-0000-0000-0000DC1D0000}"/>
    <cellStyle name="20% - Accent5 2 3 10" xfId="10419" xr:uid="{00000000-0005-0000-0000-0000DD1D0000}"/>
    <cellStyle name="20% - Accent5 2 3 10 2" xfId="25568" xr:uid="{00000000-0005-0000-0000-0000DE1D0000}"/>
    <cellStyle name="20% - Accent5 2 3 11" xfId="12103" xr:uid="{00000000-0005-0000-0000-0000DF1D0000}"/>
    <cellStyle name="20% - Accent5 2 3 11 2" xfId="27252" xr:uid="{00000000-0005-0000-0000-0000E01D0000}"/>
    <cellStyle name="20% - Accent5 2 3 12" xfId="13786" xr:uid="{00000000-0005-0000-0000-0000E11D0000}"/>
    <cellStyle name="20% - Accent5 2 3 12 2" xfId="28935" xr:uid="{00000000-0005-0000-0000-0000E21D0000}"/>
    <cellStyle name="20% - Accent5 2 3 13" xfId="15469" xr:uid="{00000000-0005-0000-0000-0000E31D0000}"/>
    <cellStyle name="20% - Accent5 2 3 14" xfId="30618" xr:uid="{00000000-0005-0000-0000-0000E41D0000}"/>
    <cellStyle name="20% - Accent5 2 3 15" xfId="32301" xr:uid="{00000000-0005-0000-0000-0000E51D0000}"/>
    <cellStyle name="20% - Accent5 2 3 16" xfId="33984" xr:uid="{00000000-0005-0000-0000-0000E61D0000}"/>
    <cellStyle name="20% - Accent5 2 3 17" xfId="35667" xr:uid="{00000000-0005-0000-0000-0000E71D0000}"/>
    <cellStyle name="20% - Accent5 2 3 18" xfId="37350" xr:uid="{00000000-0005-0000-0000-0000E81D0000}"/>
    <cellStyle name="20% - Accent5 2 3 19" xfId="39033" xr:uid="{00000000-0005-0000-0000-0000E91D0000}"/>
    <cellStyle name="20% - Accent5 2 3 2" xfId="740" xr:uid="{00000000-0005-0000-0000-0000EA1D0000}"/>
    <cellStyle name="20% - Accent5 2 3 2 10" xfId="15889" xr:uid="{00000000-0005-0000-0000-0000EB1D0000}"/>
    <cellStyle name="20% - Accent5 2 3 2 11" xfId="31038" xr:uid="{00000000-0005-0000-0000-0000EC1D0000}"/>
    <cellStyle name="20% - Accent5 2 3 2 12" xfId="32721" xr:uid="{00000000-0005-0000-0000-0000ED1D0000}"/>
    <cellStyle name="20% - Accent5 2 3 2 13" xfId="34404" xr:uid="{00000000-0005-0000-0000-0000EE1D0000}"/>
    <cellStyle name="20% - Accent5 2 3 2 14" xfId="36087" xr:uid="{00000000-0005-0000-0000-0000EF1D0000}"/>
    <cellStyle name="20% - Accent5 2 3 2 15" xfId="37770" xr:uid="{00000000-0005-0000-0000-0000F01D0000}"/>
    <cellStyle name="20% - Accent5 2 3 2 16" xfId="39453" xr:uid="{00000000-0005-0000-0000-0000F11D0000}"/>
    <cellStyle name="20% - Accent5 2 3 2 17" xfId="41136" xr:uid="{00000000-0005-0000-0000-0000F21D0000}"/>
    <cellStyle name="20% - Accent5 2 3 2 18" xfId="42819" xr:uid="{00000000-0005-0000-0000-0000F31D0000}"/>
    <cellStyle name="20% - Accent5 2 3 2 19" xfId="44502" xr:uid="{00000000-0005-0000-0000-0000F41D0000}"/>
    <cellStyle name="20% - Accent5 2 3 2 2" xfId="2423" xr:uid="{00000000-0005-0000-0000-0000F51D0000}"/>
    <cellStyle name="20% - Accent5 2 3 2 2 2" xfId="17572" xr:uid="{00000000-0005-0000-0000-0000F61D0000}"/>
    <cellStyle name="20% - Accent5 2 3 2 20" xfId="46185" xr:uid="{00000000-0005-0000-0000-0000F71D0000}"/>
    <cellStyle name="20% - Accent5 2 3 2 21" xfId="47868" xr:uid="{00000000-0005-0000-0000-0000F81D0000}"/>
    <cellStyle name="20% - Accent5 2 3 2 22" xfId="49551" xr:uid="{00000000-0005-0000-0000-0000F91D0000}"/>
    <cellStyle name="20% - Accent5 2 3 2 23" xfId="51234" xr:uid="{00000000-0005-0000-0000-0000FA1D0000}"/>
    <cellStyle name="20% - Accent5 2 3 2 24" xfId="52917" xr:uid="{00000000-0005-0000-0000-0000FB1D0000}"/>
    <cellStyle name="20% - Accent5 2 3 2 25" xfId="54600" xr:uid="{00000000-0005-0000-0000-0000FC1D0000}"/>
    <cellStyle name="20% - Accent5 2 3 2 26" xfId="56283" xr:uid="{00000000-0005-0000-0000-0000FD1D0000}"/>
    <cellStyle name="20% - Accent5 2 3 2 27" xfId="57966" xr:uid="{00000000-0005-0000-0000-0000FE1D0000}"/>
    <cellStyle name="20% - Accent5 2 3 2 28" xfId="59649" xr:uid="{00000000-0005-0000-0000-0000FF1D0000}"/>
    <cellStyle name="20% - Accent5 2 3 2 29" xfId="61332" xr:uid="{00000000-0005-0000-0000-0000001E0000}"/>
    <cellStyle name="20% - Accent5 2 3 2 3" xfId="4107" xr:uid="{00000000-0005-0000-0000-0000011E0000}"/>
    <cellStyle name="20% - Accent5 2 3 2 3 2" xfId="19256" xr:uid="{00000000-0005-0000-0000-0000021E0000}"/>
    <cellStyle name="20% - Accent5 2 3 2 30" xfId="63015" xr:uid="{00000000-0005-0000-0000-0000031E0000}"/>
    <cellStyle name="20% - Accent5 2 3 2 4" xfId="5790" xr:uid="{00000000-0005-0000-0000-0000041E0000}"/>
    <cellStyle name="20% - Accent5 2 3 2 4 2" xfId="20939" xr:uid="{00000000-0005-0000-0000-0000051E0000}"/>
    <cellStyle name="20% - Accent5 2 3 2 5" xfId="7473" xr:uid="{00000000-0005-0000-0000-0000061E0000}"/>
    <cellStyle name="20% - Accent5 2 3 2 5 2" xfId="22622" xr:uid="{00000000-0005-0000-0000-0000071E0000}"/>
    <cellStyle name="20% - Accent5 2 3 2 6" xfId="9156" xr:uid="{00000000-0005-0000-0000-0000081E0000}"/>
    <cellStyle name="20% - Accent5 2 3 2 6 2" xfId="24305" xr:uid="{00000000-0005-0000-0000-0000091E0000}"/>
    <cellStyle name="20% - Accent5 2 3 2 7" xfId="10839" xr:uid="{00000000-0005-0000-0000-00000A1E0000}"/>
    <cellStyle name="20% - Accent5 2 3 2 7 2" xfId="25988" xr:uid="{00000000-0005-0000-0000-00000B1E0000}"/>
    <cellStyle name="20% - Accent5 2 3 2 8" xfId="12523" xr:uid="{00000000-0005-0000-0000-00000C1E0000}"/>
    <cellStyle name="20% - Accent5 2 3 2 8 2" xfId="27672" xr:uid="{00000000-0005-0000-0000-00000D1E0000}"/>
    <cellStyle name="20% - Accent5 2 3 2 9" xfId="14206" xr:uid="{00000000-0005-0000-0000-00000E1E0000}"/>
    <cellStyle name="20% - Accent5 2 3 2 9 2" xfId="29355" xr:uid="{00000000-0005-0000-0000-00000F1E0000}"/>
    <cellStyle name="20% - Accent5 2 3 20" xfId="40716" xr:uid="{00000000-0005-0000-0000-0000101E0000}"/>
    <cellStyle name="20% - Accent5 2 3 21" xfId="42399" xr:uid="{00000000-0005-0000-0000-0000111E0000}"/>
    <cellStyle name="20% - Accent5 2 3 22" xfId="44082" xr:uid="{00000000-0005-0000-0000-0000121E0000}"/>
    <cellStyle name="20% - Accent5 2 3 23" xfId="45765" xr:uid="{00000000-0005-0000-0000-0000131E0000}"/>
    <cellStyle name="20% - Accent5 2 3 24" xfId="47448" xr:uid="{00000000-0005-0000-0000-0000141E0000}"/>
    <cellStyle name="20% - Accent5 2 3 25" xfId="49131" xr:uid="{00000000-0005-0000-0000-0000151E0000}"/>
    <cellStyle name="20% - Accent5 2 3 26" xfId="50814" xr:uid="{00000000-0005-0000-0000-0000161E0000}"/>
    <cellStyle name="20% - Accent5 2 3 27" xfId="52497" xr:uid="{00000000-0005-0000-0000-0000171E0000}"/>
    <cellStyle name="20% - Accent5 2 3 28" xfId="54180" xr:uid="{00000000-0005-0000-0000-0000181E0000}"/>
    <cellStyle name="20% - Accent5 2 3 29" xfId="55863" xr:uid="{00000000-0005-0000-0000-0000191E0000}"/>
    <cellStyle name="20% - Accent5 2 3 3" xfId="1161" xr:uid="{00000000-0005-0000-0000-00001A1E0000}"/>
    <cellStyle name="20% - Accent5 2 3 3 10" xfId="16310" xr:uid="{00000000-0005-0000-0000-00001B1E0000}"/>
    <cellStyle name="20% - Accent5 2 3 3 11" xfId="31459" xr:uid="{00000000-0005-0000-0000-00001C1E0000}"/>
    <cellStyle name="20% - Accent5 2 3 3 12" xfId="33142" xr:uid="{00000000-0005-0000-0000-00001D1E0000}"/>
    <cellStyle name="20% - Accent5 2 3 3 13" xfId="34825" xr:uid="{00000000-0005-0000-0000-00001E1E0000}"/>
    <cellStyle name="20% - Accent5 2 3 3 14" xfId="36508" xr:uid="{00000000-0005-0000-0000-00001F1E0000}"/>
    <cellStyle name="20% - Accent5 2 3 3 15" xfId="38191" xr:uid="{00000000-0005-0000-0000-0000201E0000}"/>
    <cellStyle name="20% - Accent5 2 3 3 16" xfId="39874" xr:uid="{00000000-0005-0000-0000-0000211E0000}"/>
    <cellStyle name="20% - Accent5 2 3 3 17" xfId="41557" xr:uid="{00000000-0005-0000-0000-0000221E0000}"/>
    <cellStyle name="20% - Accent5 2 3 3 18" xfId="43240" xr:uid="{00000000-0005-0000-0000-0000231E0000}"/>
    <cellStyle name="20% - Accent5 2 3 3 19" xfId="44923" xr:uid="{00000000-0005-0000-0000-0000241E0000}"/>
    <cellStyle name="20% - Accent5 2 3 3 2" xfId="2844" xr:uid="{00000000-0005-0000-0000-0000251E0000}"/>
    <cellStyle name="20% - Accent5 2 3 3 2 2" xfId="17993" xr:uid="{00000000-0005-0000-0000-0000261E0000}"/>
    <cellStyle name="20% - Accent5 2 3 3 20" xfId="46606" xr:uid="{00000000-0005-0000-0000-0000271E0000}"/>
    <cellStyle name="20% - Accent5 2 3 3 21" xfId="48289" xr:uid="{00000000-0005-0000-0000-0000281E0000}"/>
    <cellStyle name="20% - Accent5 2 3 3 22" xfId="49972" xr:uid="{00000000-0005-0000-0000-0000291E0000}"/>
    <cellStyle name="20% - Accent5 2 3 3 23" xfId="51655" xr:uid="{00000000-0005-0000-0000-00002A1E0000}"/>
    <cellStyle name="20% - Accent5 2 3 3 24" xfId="53338" xr:uid="{00000000-0005-0000-0000-00002B1E0000}"/>
    <cellStyle name="20% - Accent5 2 3 3 25" xfId="55021" xr:uid="{00000000-0005-0000-0000-00002C1E0000}"/>
    <cellStyle name="20% - Accent5 2 3 3 26" xfId="56704" xr:uid="{00000000-0005-0000-0000-00002D1E0000}"/>
    <cellStyle name="20% - Accent5 2 3 3 27" xfId="58387" xr:uid="{00000000-0005-0000-0000-00002E1E0000}"/>
    <cellStyle name="20% - Accent5 2 3 3 28" xfId="60070" xr:uid="{00000000-0005-0000-0000-00002F1E0000}"/>
    <cellStyle name="20% - Accent5 2 3 3 29" xfId="61753" xr:uid="{00000000-0005-0000-0000-0000301E0000}"/>
    <cellStyle name="20% - Accent5 2 3 3 3" xfId="4528" xr:uid="{00000000-0005-0000-0000-0000311E0000}"/>
    <cellStyle name="20% - Accent5 2 3 3 3 2" xfId="19677" xr:uid="{00000000-0005-0000-0000-0000321E0000}"/>
    <cellStyle name="20% - Accent5 2 3 3 30" xfId="63436" xr:uid="{00000000-0005-0000-0000-0000331E0000}"/>
    <cellStyle name="20% - Accent5 2 3 3 4" xfId="6211" xr:uid="{00000000-0005-0000-0000-0000341E0000}"/>
    <cellStyle name="20% - Accent5 2 3 3 4 2" xfId="21360" xr:uid="{00000000-0005-0000-0000-0000351E0000}"/>
    <cellStyle name="20% - Accent5 2 3 3 5" xfId="7894" xr:uid="{00000000-0005-0000-0000-0000361E0000}"/>
    <cellStyle name="20% - Accent5 2 3 3 5 2" xfId="23043" xr:uid="{00000000-0005-0000-0000-0000371E0000}"/>
    <cellStyle name="20% - Accent5 2 3 3 6" xfId="9577" xr:uid="{00000000-0005-0000-0000-0000381E0000}"/>
    <cellStyle name="20% - Accent5 2 3 3 6 2" xfId="24726" xr:uid="{00000000-0005-0000-0000-0000391E0000}"/>
    <cellStyle name="20% - Accent5 2 3 3 7" xfId="11260" xr:uid="{00000000-0005-0000-0000-00003A1E0000}"/>
    <cellStyle name="20% - Accent5 2 3 3 7 2" xfId="26409" xr:uid="{00000000-0005-0000-0000-00003B1E0000}"/>
    <cellStyle name="20% - Accent5 2 3 3 8" xfId="12944" xr:uid="{00000000-0005-0000-0000-00003C1E0000}"/>
    <cellStyle name="20% - Accent5 2 3 3 8 2" xfId="28093" xr:uid="{00000000-0005-0000-0000-00003D1E0000}"/>
    <cellStyle name="20% - Accent5 2 3 3 9" xfId="14627" xr:uid="{00000000-0005-0000-0000-00003E1E0000}"/>
    <cellStyle name="20% - Accent5 2 3 3 9 2" xfId="29776" xr:uid="{00000000-0005-0000-0000-00003F1E0000}"/>
    <cellStyle name="20% - Accent5 2 3 30" xfId="57546" xr:uid="{00000000-0005-0000-0000-0000401E0000}"/>
    <cellStyle name="20% - Accent5 2 3 31" xfId="59229" xr:uid="{00000000-0005-0000-0000-0000411E0000}"/>
    <cellStyle name="20% - Accent5 2 3 32" xfId="60912" xr:uid="{00000000-0005-0000-0000-0000421E0000}"/>
    <cellStyle name="20% - Accent5 2 3 33" xfId="62595" xr:uid="{00000000-0005-0000-0000-0000431E0000}"/>
    <cellStyle name="20% - Accent5 2 3 4" xfId="1582" xr:uid="{00000000-0005-0000-0000-0000441E0000}"/>
    <cellStyle name="20% - Accent5 2 3 4 10" xfId="16731" xr:uid="{00000000-0005-0000-0000-0000451E0000}"/>
    <cellStyle name="20% - Accent5 2 3 4 11" xfId="31880" xr:uid="{00000000-0005-0000-0000-0000461E0000}"/>
    <cellStyle name="20% - Accent5 2 3 4 12" xfId="33563" xr:uid="{00000000-0005-0000-0000-0000471E0000}"/>
    <cellStyle name="20% - Accent5 2 3 4 13" xfId="35246" xr:uid="{00000000-0005-0000-0000-0000481E0000}"/>
    <cellStyle name="20% - Accent5 2 3 4 14" xfId="36929" xr:uid="{00000000-0005-0000-0000-0000491E0000}"/>
    <cellStyle name="20% - Accent5 2 3 4 15" xfId="38612" xr:uid="{00000000-0005-0000-0000-00004A1E0000}"/>
    <cellStyle name="20% - Accent5 2 3 4 16" xfId="40295" xr:uid="{00000000-0005-0000-0000-00004B1E0000}"/>
    <cellStyle name="20% - Accent5 2 3 4 17" xfId="41978" xr:uid="{00000000-0005-0000-0000-00004C1E0000}"/>
    <cellStyle name="20% - Accent5 2 3 4 18" xfId="43661" xr:uid="{00000000-0005-0000-0000-00004D1E0000}"/>
    <cellStyle name="20% - Accent5 2 3 4 19" xfId="45344" xr:uid="{00000000-0005-0000-0000-00004E1E0000}"/>
    <cellStyle name="20% - Accent5 2 3 4 2" xfId="3265" xr:uid="{00000000-0005-0000-0000-00004F1E0000}"/>
    <cellStyle name="20% - Accent5 2 3 4 2 2" xfId="18414" xr:uid="{00000000-0005-0000-0000-0000501E0000}"/>
    <cellStyle name="20% - Accent5 2 3 4 20" xfId="47027" xr:uid="{00000000-0005-0000-0000-0000511E0000}"/>
    <cellStyle name="20% - Accent5 2 3 4 21" xfId="48710" xr:uid="{00000000-0005-0000-0000-0000521E0000}"/>
    <cellStyle name="20% - Accent5 2 3 4 22" xfId="50393" xr:uid="{00000000-0005-0000-0000-0000531E0000}"/>
    <cellStyle name="20% - Accent5 2 3 4 23" xfId="52076" xr:uid="{00000000-0005-0000-0000-0000541E0000}"/>
    <cellStyle name="20% - Accent5 2 3 4 24" xfId="53759" xr:uid="{00000000-0005-0000-0000-0000551E0000}"/>
    <cellStyle name="20% - Accent5 2 3 4 25" xfId="55442" xr:uid="{00000000-0005-0000-0000-0000561E0000}"/>
    <cellStyle name="20% - Accent5 2 3 4 26" xfId="57125" xr:uid="{00000000-0005-0000-0000-0000571E0000}"/>
    <cellStyle name="20% - Accent5 2 3 4 27" xfId="58808" xr:uid="{00000000-0005-0000-0000-0000581E0000}"/>
    <cellStyle name="20% - Accent5 2 3 4 28" xfId="60491" xr:uid="{00000000-0005-0000-0000-0000591E0000}"/>
    <cellStyle name="20% - Accent5 2 3 4 29" xfId="62174" xr:uid="{00000000-0005-0000-0000-00005A1E0000}"/>
    <cellStyle name="20% - Accent5 2 3 4 3" xfId="4949" xr:uid="{00000000-0005-0000-0000-00005B1E0000}"/>
    <cellStyle name="20% - Accent5 2 3 4 3 2" xfId="20098" xr:uid="{00000000-0005-0000-0000-00005C1E0000}"/>
    <cellStyle name="20% - Accent5 2 3 4 30" xfId="63857" xr:uid="{00000000-0005-0000-0000-00005D1E0000}"/>
    <cellStyle name="20% - Accent5 2 3 4 4" xfId="6632" xr:uid="{00000000-0005-0000-0000-00005E1E0000}"/>
    <cellStyle name="20% - Accent5 2 3 4 4 2" xfId="21781" xr:uid="{00000000-0005-0000-0000-00005F1E0000}"/>
    <cellStyle name="20% - Accent5 2 3 4 5" xfId="8315" xr:uid="{00000000-0005-0000-0000-0000601E0000}"/>
    <cellStyle name="20% - Accent5 2 3 4 5 2" xfId="23464" xr:uid="{00000000-0005-0000-0000-0000611E0000}"/>
    <cellStyle name="20% - Accent5 2 3 4 6" xfId="9998" xr:uid="{00000000-0005-0000-0000-0000621E0000}"/>
    <cellStyle name="20% - Accent5 2 3 4 6 2" xfId="25147" xr:uid="{00000000-0005-0000-0000-0000631E0000}"/>
    <cellStyle name="20% - Accent5 2 3 4 7" xfId="11681" xr:uid="{00000000-0005-0000-0000-0000641E0000}"/>
    <cellStyle name="20% - Accent5 2 3 4 7 2" xfId="26830" xr:uid="{00000000-0005-0000-0000-0000651E0000}"/>
    <cellStyle name="20% - Accent5 2 3 4 8" xfId="13365" xr:uid="{00000000-0005-0000-0000-0000661E0000}"/>
    <cellStyle name="20% - Accent5 2 3 4 8 2" xfId="28514" xr:uid="{00000000-0005-0000-0000-0000671E0000}"/>
    <cellStyle name="20% - Accent5 2 3 4 9" xfId="15048" xr:uid="{00000000-0005-0000-0000-0000681E0000}"/>
    <cellStyle name="20% - Accent5 2 3 4 9 2" xfId="30197" xr:uid="{00000000-0005-0000-0000-0000691E0000}"/>
    <cellStyle name="20% - Accent5 2 3 5" xfId="2003" xr:uid="{00000000-0005-0000-0000-00006A1E0000}"/>
    <cellStyle name="20% - Accent5 2 3 5 2" xfId="17152" xr:uid="{00000000-0005-0000-0000-00006B1E0000}"/>
    <cellStyle name="20% - Accent5 2 3 6" xfId="3687" xr:uid="{00000000-0005-0000-0000-00006C1E0000}"/>
    <cellStyle name="20% - Accent5 2 3 6 2" xfId="18836" xr:uid="{00000000-0005-0000-0000-00006D1E0000}"/>
    <cellStyle name="20% - Accent5 2 3 7" xfId="5370" xr:uid="{00000000-0005-0000-0000-00006E1E0000}"/>
    <cellStyle name="20% - Accent5 2 3 7 2" xfId="20519" xr:uid="{00000000-0005-0000-0000-00006F1E0000}"/>
    <cellStyle name="20% - Accent5 2 3 8" xfId="7053" xr:uid="{00000000-0005-0000-0000-0000701E0000}"/>
    <cellStyle name="20% - Accent5 2 3 8 2" xfId="22202" xr:uid="{00000000-0005-0000-0000-0000711E0000}"/>
    <cellStyle name="20% - Accent5 2 3 9" xfId="8736" xr:uid="{00000000-0005-0000-0000-0000721E0000}"/>
    <cellStyle name="20% - Accent5 2 3 9 2" xfId="23885" xr:uid="{00000000-0005-0000-0000-0000731E0000}"/>
    <cellStyle name="20% - Accent5 2 30" xfId="53970" xr:uid="{00000000-0005-0000-0000-0000741E0000}"/>
    <cellStyle name="20% - Accent5 2 31" xfId="55653" xr:uid="{00000000-0005-0000-0000-0000751E0000}"/>
    <cellStyle name="20% - Accent5 2 32" xfId="57336" xr:uid="{00000000-0005-0000-0000-0000761E0000}"/>
    <cellStyle name="20% - Accent5 2 33" xfId="59019" xr:uid="{00000000-0005-0000-0000-0000771E0000}"/>
    <cellStyle name="20% - Accent5 2 34" xfId="60702" xr:uid="{00000000-0005-0000-0000-0000781E0000}"/>
    <cellStyle name="20% - Accent5 2 35" xfId="62385" xr:uid="{00000000-0005-0000-0000-0000791E0000}"/>
    <cellStyle name="20% - Accent5 2 4" xfId="530" xr:uid="{00000000-0005-0000-0000-00007A1E0000}"/>
    <cellStyle name="20% - Accent5 2 4 10" xfId="15679" xr:uid="{00000000-0005-0000-0000-00007B1E0000}"/>
    <cellStyle name="20% - Accent5 2 4 11" xfId="30828" xr:uid="{00000000-0005-0000-0000-00007C1E0000}"/>
    <cellStyle name="20% - Accent5 2 4 12" xfId="32511" xr:uid="{00000000-0005-0000-0000-00007D1E0000}"/>
    <cellStyle name="20% - Accent5 2 4 13" xfId="34194" xr:uid="{00000000-0005-0000-0000-00007E1E0000}"/>
    <cellStyle name="20% - Accent5 2 4 14" xfId="35877" xr:uid="{00000000-0005-0000-0000-00007F1E0000}"/>
    <cellStyle name="20% - Accent5 2 4 15" xfId="37560" xr:uid="{00000000-0005-0000-0000-0000801E0000}"/>
    <cellStyle name="20% - Accent5 2 4 16" xfId="39243" xr:uid="{00000000-0005-0000-0000-0000811E0000}"/>
    <cellStyle name="20% - Accent5 2 4 17" xfId="40926" xr:uid="{00000000-0005-0000-0000-0000821E0000}"/>
    <cellStyle name="20% - Accent5 2 4 18" xfId="42609" xr:uid="{00000000-0005-0000-0000-0000831E0000}"/>
    <cellStyle name="20% - Accent5 2 4 19" xfId="44292" xr:uid="{00000000-0005-0000-0000-0000841E0000}"/>
    <cellStyle name="20% - Accent5 2 4 2" xfId="2213" xr:uid="{00000000-0005-0000-0000-0000851E0000}"/>
    <cellStyle name="20% - Accent5 2 4 2 2" xfId="17362" xr:uid="{00000000-0005-0000-0000-0000861E0000}"/>
    <cellStyle name="20% - Accent5 2 4 20" xfId="45975" xr:uid="{00000000-0005-0000-0000-0000871E0000}"/>
    <cellStyle name="20% - Accent5 2 4 21" xfId="47658" xr:uid="{00000000-0005-0000-0000-0000881E0000}"/>
    <cellStyle name="20% - Accent5 2 4 22" xfId="49341" xr:uid="{00000000-0005-0000-0000-0000891E0000}"/>
    <cellStyle name="20% - Accent5 2 4 23" xfId="51024" xr:uid="{00000000-0005-0000-0000-00008A1E0000}"/>
    <cellStyle name="20% - Accent5 2 4 24" xfId="52707" xr:uid="{00000000-0005-0000-0000-00008B1E0000}"/>
    <cellStyle name="20% - Accent5 2 4 25" xfId="54390" xr:uid="{00000000-0005-0000-0000-00008C1E0000}"/>
    <cellStyle name="20% - Accent5 2 4 26" xfId="56073" xr:uid="{00000000-0005-0000-0000-00008D1E0000}"/>
    <cellStyle name="20% - Accent5 2 4 27" xfId="57756" xr:uid="{00000000-0005-0000-0000-00008E1E0000}"/>
    <cellStyle name="20% - Accent5 2 4 28" xfId="59439" xr:uid="{00000000-0005-0000-0000-00008F1E0000}"/>
    <cellStyle name="20% - Accent5 2 4 29" xfId="61122" xr:uid="{00000000-0005-0000-0000-0000901E0000}"/>
    <cellStyle name="20% - Accent5 2 4 3" xfId="3897" xr:uid="{00000000-0005-0000-0000-0000911E0000}"/>
    <cellStyle name="20% - Accent5 2 4 3 2" xfId="19046" xr:uid="{00000000-0005-0000-0000-0000921E0000}"/>
    <cellStyle name="20% - Accent5 2 4 30" xfId="62805" xr:uid="{00000000-0005-0000-0000-0000931E0000}"/>
    <cellStyle name="20% - Accent5 2 4 4" xfId="5580" xr:uid="{00000000-0005-0000-0000-0000941E0000}"/>
    <cellStyle name="20% - Accent5 2 4 4 2" xfId="20729" xr:uid="{00000000-0005-0000-0000-0000951E0000}"/>
    <cellStyle name="20% - Accent5 2 4 5" xfId="7263" xr:uid="{00000000-0005-0000-0000-0000961E0000}"/>
    <cellStyle name="20% - Accent5 2 4 5 2" xfId="22412" xr:uid="{00000000-0005-0000-0000-0000971E0000}"/>
    <cellStyle name="20% - Accent5 2 4 6" xfId="8946" xr:uid="{00000000-0005-0000-0000-0000981E0000}"/>
    <cellStyle name="20% - Accent5 2 4 6 2" xfId="24095" xr:uid="{00000000-0005-0000-0000-0000991E0000}"/>
    <cellStyle name="20% - Accent5 2 4 7" xfId="10629" xr:uid="{00000000-0005-0000-0000-00009A1E0000}"/>
    <cellStyle name="20% - Accent5 2 4 7 2" xfId="25778" xr:uid="{00000000-0005-0000-0000-00009B1E0000}"/>
    <cellStyle name="20% - Accent5 2 4 8" xfId="12313" xr:uid="{00000000-0005-0000-0000-00009C1E0000}"/>
    <cellStyle name="20% - Accent5 2 4 8 2" xfId="27462" xr:uid="{00000000-0005-0000-0000-00009D1E0000}"/>
    <cellStyle name="20% - Accent5 2 4 9" xfId="13996" xr:uid="{00000000-0005-0000-0000-00009E1E0000}"/>
    <cellStyle name="20% - Accent5 2 4 9 2" xfId="29145" xr:uid="{00000000-0005-0000-0000-00009F1E0000}"/>
    <cellStyle name="20% - Accent5 2 5" xfId="951" xr:uid="{00000000-0005-0000-0000-0000A01E0000}"/>
    <cellStyle name="20% - Accent5 2 5 10" xfId="16100" xr:uid="{00000000-0005-0000-0000-0000A11E0000}"/>
    <cellStyle name="20% - Accent5 2 5 11" xfId="31249" xr:uid="{00000000-0005-0000-0000-0000A21E0000}"/>
    <cellStyle name="20% - Accent5 2 5 12" xfId="32932" xr:uid="{00000000-0005-0000-0000-0000A31E0000}"/>
    <cellStyle name="20% - Accent5 2 5 13" xfId="34615" xr:uid="{00000000-0005-0000-0000-0000A41E0000}"/>
    <cellStyle name="20% - Accent5 2 5 14" xfId="36298" xr:uid="{00000000-0005-0000-0000-0000A51E0000}"/>
    <cellStyle name="20% - Accent5 2 5 15" xfId="37981" xr:uid="{00000000-0005-0000-0000-0000A61E0000}"/>
    <cellStyle name="20% - Accent5 2 5 16" xfId="39664" xr:uid="{00000000-0005-0000-0000-0000A71E0000}"/>
    <cellStyle name="20% - Accent5 2 5 17" xfId="41347" xr:uid="{00000000-0005-0000-0000-0000A81E0000}"/>
    <cellStyle name="20% - Accent5 2 5 18" xfId="43030" xr:uid="{00000000-0005-0000-0000-0000A91E0000}"/>
    <cellStyle name="20% - Accent5 2 5 19" xfId="44713" xr:uid="{00000000-0005-0000-0000-0000AA1E0000}"/>
    <cellStyle name="20% - Accent5 2 5 2" xfId="2634" xr:uid="{00000000-0005-0000-0000-0000AB1E0000}"/>
    <cellStyle name="20% - Accent5 2 5 2 2" xfId="17783" xr:uid="{00000000-0005-0000-0000-0000AC1E0000}"/>
    <cellStyle name="20% - Accent5 2 5 20" xfId="46396" xr:uid="{00000000-0005-0000-0000-0000AD1E0000}"/>
    <cellStyle name="20% - Accent5 2 5 21" xfId="48079" xr:uid="{00000000-0005-0000-0000-0000AE1E0000}"/>
    <cellStyle name="20% - Accent5 2 5 22" xfId="49762" xr:uid="{00000000-0005-0000-0000-0000AF1E0000}"/>
    <cellStyle name="20% - Accent5 2 5 23" xfId="51445" xr:uid="{00000000-0005-0000-0000-0000B01E0000}"/>
    <cellStyle name="20% - Accent5 2 5 24" xfId="53128" xr:uid="{00000000-0005-0000-0000-0000B11E0000}"/>
    <cellStyle name="20% - Accent5 2 5 25" xfId="54811" xr:uid="{00000000-0005-0000-0000-0000B21E0000}"/>
    <cellStyle name="20% - Accent5 2 5 26" xfId="56494" xr:uid="{00000000-0005-0000-0000-0000B31E0000}"/>
    <cellStyle name="20% - Accent5 2 5 27" xfId="58177" xr:uid="{00000000-0005-0000-0000-0000B41E0000}"/>
    <cellStyle name="20% - Accent5 2 5 28" xfId="59860" xr:uid="{00000000-0005-0000-0000-0000B51E0000}"/>
    <cellStyle name="20% - Accent5 2 5 29" xfId="61543" xr:uid="{00000000-0005-0000-0000-0000B61E0000}"/>
    <cellStyle name="20% - Accent5 2 5 3" xfId="4318" xr:uid="{00000000-0005-0000-0000-0000B71E0000}"/>
    <cellStyle name="20% - Accent5 2 5 3 2" xfId="19467" xr:uid="{00000000-0005-0000-0000-0000B81E0000}"/>
    <cellStyle name="20% - Accent5 2 5 30" xfId="63226" xr:uid="{00000000-0005-0000-0000-0000B91E0000}"/>
    <cellStyle name="20% - Accent5 2 5 4" xfId="6001" xr:uid="{00000000-0005-0000-0000-0000BA1E0000}"/>
    <cellStyle name="20% - Accent5 2 5 4 2" xfId="21150" xr:uid="{00000000-0005-0000-0000-0000BB1E0000}"/>
    <cellStyle name="20% - Accent5 2 5 5" xfId="7684" xr:uid="{00000000-0005-0000-0000-0000BC1E0000}"/>
    <cellStyle name="20% - Accent5 2 5 5 2" xfId="22833" xr:uid="{00000000-0005-0000-0000-0000BD1E0000}"/>
    <cellStyle name="20% - Accent5 2 5 6" xfId="9367" xr:uid="{00000000-0005-0000-0000-0000BE1E0000}"/>
    <cellStyle name="20% - Accent5 2 5 6 2" xfId="24516" xr:uid="{00000000-0005-0000-0000-0000BF1E0000}"/>
    <cellStyle name="20% - Accent5 2 5 7" xfId="11050" xr:uid="{00000000-0005-0000-0000-0000C01E0000}"/>
    <cellStyle name="20% - Accent5 2 5 7 2" xfId="26199" xr:uid="{00000000-0005-0000-0000-0000C11E0000}"/>
    <cellStyle name="20% - Accent5 2 5 8" xfId="12734" xr:uid="{00000000-0005-0000-0000-0000C21E0000}"/>
    <cellStyle name="20% - Accent5 2 5 8 2" xfId="27883" xr:uid="{00000000-0005-0000-0000-0000C31E0000}"/>
    <cellStyle name="20% - Accent5 2 5 9" xfId="14417" xr:uid="{00000000-0005-0000-0000-0000C41E0000}"/>
    <cellStyle name="20% - Accent5 2 5 9 2" xfId="29566" xr:uid="{00000000-0005-0000-0000-0000C51E0000}"/>
    <cellStyle name="20% - Accent5 2 6" xfId="1372" xr:uid="{00000000-0005-0000-0000-0000C61E0000}"/>
    <cellStyle name="20% - Accent5 2 6 10" xfId="16521" xr:uid="{00000000-0005-0000-0000-0000C71E0000}"/>
    <cellStyle name="20% - Accent5 2 6 11" xfId="31670" xr:uid="{00000000-0005-0000-0000-0000C81E0000}"/>
    <cellStyle name="20% - Accent5 2 6 12" xfId="33353" xr:uid="{00000000-0005-0000-0000-0000C91E0000}"/>
    <cellStyle name="20% - Accent5 2 6 13" xfId="35036" xr:uid="{00000000-0005-0000-0000-0000CA1E0000}"/>
    <cellStyle name="20% - Accent5 2 6 14" xfId="36719" xr:uid="{00000000-0005-0000-0000-0000CB1E0000}"/>
    <cellStyle name="20% - Accent5 2 6 15" xfId="38402" xr:uid="{00000000-0005-0000-0000-0000CC1E0000}"/>
    <cellStyle name="20% - Accent5 2 6 16" xfId="40085" xr:uid="{00000000-0005-0000-0000-0000CD1E0000}"/>
    <cellStyle name="20% - Accent5 2 6 17" xfId="41768" xr:uid="{00000000-0005-0000-0000-0000CE1E0000}"/>
    <cellStyle name="20% - Accent5 2 6 18" xfId="43451" xr:uid="{00000000-0005-0000-0000-0000CF1E0000}"/>
    <cellStyle name="20% - Accent5 2 6 19" xfId="45134" xr:uid="{00000000-0005-0000-0000-0000D01E0000}"/>
    <cellStyle name="20% - Accent5 2 6 2" xfId="3055" xr:uid="{00000000-0005-0000-0000-0000D11E0000}"/>
    <cellStyle name="20% - Accent5 2 6 2 2" xfId="18204" xr:uid="{00000000-0005-0000-0000-0000D21E0000}"/>
    <cellStyle name="20% - Accent5 2 6 20" xfId="46817" xr:uid="{00000000-0005-0000-0000-0000D31E0000}"/>
    <cellStyle name="20% - Accent5 2 6 21" xfId="48500" xr:uid="{00000000-0005-0000-0000-0000D41E0000}"/>
    <cellStyle name="20% - Accent5 2 6 22" xfId="50183" xr:uid="{00000000-0005-0000-0000-0000D51E0000}"/>
    <cellStyle name="20% - Accent5 2 6 23" xfId="51866" xr:uid="{00000000-0005-0000-0000-0000D61E0000}"/>
    <cellStyle name="20% - Accent5 2 6 24" xfId="53549" xr:uid="{00000000-0005-0000-0000-0000D71E0000}"/>
    <cellStyle name="20% - Accent5 2 6 25" xfId="55232" xr:uid="{00000000-0005-0000-0000-0000D81E0000}"/>
    <cellStyle name="20% - Accent5 2 6 26" xfId="56915" xr:uid="{00000000-0005-0000-0000-0000D91E0000}"/>
    <cellStyle name="20% - Accent5 2 6 27" xfId="58598" xr:uid="{00000000-0005-0000-0000-0000DA1E0000}"/>
    <cellStyle name="20% - Accent5 2 6 28" xfId="60281" xr:uid="{00000000-0005-0000-0000-0000DB1E0000}"/>
    <cellStyle name="20% - Accent5 2 6 29" xfId="61964" xr:uid="{00000000-0005-0000-0000-0000DC1E0000}"/>
    <cellStyle name="20% - Accent5 2 6 3" xfId="4739" xr:uid="{00000000-0005-0000-0000-0000DD1E0000}"/>
    <cellStyle name="20% - Accent5 2 6 3 2" xfId="19888" xr:uid="{00000000-0005-0000-0000-0000DE1E0000}"/>
    <cellStyle name="20% - Accent5 2 6 30" xfId="63647" xr:uid="{00000000-0005-0000-0000-0000DF1E0000}"/>
    <cellStyle name="20% - Accent5 2 6 4" xfId="6422" xr:uid="{00000000-0005-0000-0000-0000E01E0000}"/>
    <cellStyle name="20% - Accent5 2 6 4 2" xfId="21571" xr:uid="{00000000-0005-0000-0000-0000E11E0000}"/>
    <cellStyle name="20% - Accent5 2 6 5" xfId="8105" xr:uid="{00000000-0005-0000-0000-0000E21E0000}"/>
    <cellStyle name="20% - Accent5 2 6 5 2" xfId="23254" xr:uid="{00000000-0005-0000-0000-0000E31E0000}"/>
    <cellStyle name="20% - Accent5 2 6 6" xfId="9788" xr:uid="{00000000-0005-0000-0000-0000E41E0000}"/>
    <cellStyle name="20% - Accent5 2 6 6 2" xfId="24937" xr:uid="{00000000-0005-0000-0000-0000E51E0000}"/>
    <cellStyle name="20% - Accent5 2 6 7" xfId="11471" xr:uid="{00000000-0005-0000-0000-0000E61E0000}"/>
    <cellStyle name="20% - Accent5 2 6 7 2" xfId="26620" xr:uid="{00000000-0005-0000-0000-0000E71E0000}"/>
    <cellStyle name="20% - Accent5 2 6 8" xfId="13155" xr:uid="{00000000-0005-0000-0000-0000E81E0000}"/>
    <cellStyle name="20% - Accent5 2 6 8 2" xfId="28304" xr:uid="{00000000-0005-0000-0000-0000E91E0000}"/>
    <cellStyle name="20% - Accent5 2 6 9" xfId="14838" xr:uid="{00000000-0005-0000-0000-0000EA1E0000}"/>
    <cellStyle name="20% - Accent5 2 6 9 2" xfId="29987" xr:uid="{00000000-0005-0000-0000-0000EB1E0000}"/>
    <cellStyle name="20% - Accent5 2 7" xfId="1793" xr:uid="{00000000-0005-0000-0000-0000EC1E0000}"/>
    <cellStyle name="20% - Accent5 2 7 2" xfId="16942" xr:uid="{00000000-0005-0000-0000-0000ED1E0000}"/>
    <cellStyle name="20% - Accent5 2 8" xfId="3477" xr:uid="{00000000-0005-0000-0000-0000EE1E0000}"/>
    <cellStyle name="20% - Accent5 2 8 2" xfId="18626" xr:uid="{00000000-0005-0000-0000-0000EF1E0000}"/>
    <cellStyle name="20% - Accent5 2 9" xfId="5160" xr:uid="{00000000-0005-0000-0000-0000F01E0000}"/>
    <cellStyle name="20% - Accent5 2 9 2" xfId="20309" xr:uid="{00000000-0005-0000-0000-0000F11E0000}"/>
    <cellStyle name="20% - Accent5 20" xfId="33752" xr:uid="{00000000-0005-0000-0000-0000F21E0000}"/>
    <cellStyle name="20% - Accent5 21" xfId="35435" xr:uid="{00000000-0005-0000-0000-0000F31E0000}"/>
    <cellStyle name="20% - Accent5 22" xfId="37118" xr:uid="{00000000-0005-0000-0000-0000F41E0000}"/>
    <cellStyle name="20% - Accent5 23" xfId="38801" xr:uid="{00000000-0005-0000-0000-0000F51E0000}"/>
    <cellStyle name="20% - Accent5 24" xfId="40484" xr:uid="{00000000-0005-0000-0000-0000F61E0000}"/>
    <cellStyle name="20% - Accent5 25" xfId="42167" xr:uid="{00000000-0005-0000-0000-0000F71E0000}"/>
    <cellStyle name="20% - Accent5 26" xfId="43850" xr:uid="{00000000-0005-0000-0000-0000F81E0000}"/>
    <cellStyle name="20% - Accent5 27" xfId="45533" xr:uid="{00000000-0005-0000-0000-0000F91E0000}"/>
    <cellStyle name="20% - Accent5 28" xfId="47216" xr:uid="{00000000-0005-0000-0000-0000FA1E0000}"/>
    <cellStyle name="20% - Accent5 29" xfId="48899" xr:uid="{00000000-0005-0000-0000-0000FB1E0000}"/>
    <cellStyle name="20% - Accent5 3" xfId="130" xr:uid="{00000000-0005-0000-0000-0000FC1E0000}"/>
    <cellStyle name="20% - Accent5 3 10" xfId="6863" xr:uid="{00000000-0005-0000-0000-0000FD1E0000}"/>
    <cellStyle name="20% - Accent5 3 10 2" xfId="22012" xr:uid="{00000000-0005-0000-0000-0000FE1E0000}"/>
    <cellStyle name="20% - Accent5 3 11" xfId="8546" xr:uid="{00000000-0005-0000-0000-0000FF1E0000}"/>
    <cellStyle name="20% - Accent5 3 11 2" xfId="23695" xr:uid="{00000000-0005-0000-0000-0000001F0000}"/>
    <cellStyle name="20% - Accent5 3 12" xfId="10229" xr:uid="{00000000-0005-0000-0000-0000011F0000}"/>
    <cellStyle name="20% - Accent5 3 12 2" xfId="25378" xr:uid="{00000000-0005-0000-0000-0000021F0000}"/>
    <cellStyle name="20% - Accent5 3 13" xfId="11913" xr:uid="{00000000-0005-0000-0000-0000031F0000}"/>
    <cellStyle name="20% - Accent5 3 13 2" xfId="27062" xr:uid="{00000000-0005-0000-0000-0000041F0000}"/>
    <cellStyle name="20% - Accent5 3 14" xfId="13596" xr:uid="{00000000-0005-0000-0000-0000051F0000}"/>
    <cellStyle name="20% - Accent5 3 14 2" xfId="28745" xr:uid="{00000000-0005-0000-0000-0000061F0000}"/>
    <cellStyle name="20% - Accent5 3 15" xfId="15279" xr:uid="{00000000-0005-0000-0000-0000071F0000}"/>
    <cellStyle name="20% - Accent5 3 16" xfId="30428" xr:uid="{00000000-0005-0000-0000-0000081F0000}"/>
    <cellStyle name="20% - Accent5 3 17" xfId="32111" xr:uid="{00000000-0005-0000-0000-0000091F0000}"/>
    <cellStyle name="20% - Accent5 3 18" xfId="33794" xr:uid="{00000000-0005-0000-0000-00000A1F0000}"/>
    <cellStyle name="20% - Accent5 3 19" xfId="35477" xr:uid="{00000000-0005-0000-0000-00000B1F0000}"/>
    <cellStyle name="20% - Accent5 3 2" xfId="235" xr:uid="{00000000-0005-0000-0000-00000C1F0000}"/>
    <cellStyle name="20% - Accent5 3 2 10" xfId="8651" xr:uid="{00000000-0005-0000-0000-00000D1F0000}"/>
    <cellStyle name="20% - Accent5 3 2 10 2" xfId="23800" xr:uid="{00000000-0005-0000-0000-00000E1F0000}"/>
    <cellStyle name="20% - Accent5 3 2 11" xfId="10334" xr:uid="{00000000-0005-0000-0000-00000F1F0000}"/>
    <cellStyle name="20% - Accent5 3 2 11 2" xfId="25483" xr:uid="{00000000-0005-0000-0000-0000101F0000}"/>
    <cellStyle name="20% - Accent5 3 2 12" xfId="12018" xr:uid="{00000000-0005-0000-0000-0000111F0000}"/>
    <cellStyle name="20% - Accent5 3 2 12 2" xfId="27167" xr:uid="{00000000-0005-0000-0000-0000121F0000}"/>
    <cellStyle name="20% - Accent5 3 2 13" xfId="13701" xr:uid="{00000000-0005-0000-0000-0000131F0000}"/>
    <cellStyle name="20% - Accent5 3 2 13 2" xfId="28850" xr:uid="{00000000-0005-0000-0000-0000141F0000}"/>
    <cellStyle name="20% - Accent5 3 2 14" xfId="15384" xr:uid="{00000000-0005-0000-0000-0000151F0000}"/>
    <cellStyle name="20% - Accent5 3 2 15" xfId="30533" xr:uid="{00000000-0005-0000-0000-0000161F0000}"/>
    <cellStyle name="20% - Accent5 3 2 16" xfId="32216" xr:uid="{00000000-0005-0000-0000-0000171F0000}"/>
    <cellStyle name="20% - Accent5 3 2 17" xfId="33899" xr:uid="{00000000-0005-0000-0000-0000181F0000}"/>
    <cellStyle name="20% - Accent5 3 2 18" xfId="35582" xr:uid="{00000000-0005-0000-0000-0000191F0000}"/>
    <cellStyle name="20% - Accent5 3 2 19" xfId="37265" xr:uid="{00000000-0005-0000-0000-00001A1F0000}"/>
    <cellStyle name="20% - Accent5 3 2 2" xfId="445" xr:uid="{00000000-0005-0000-0000-00001B1F0000}"/>
    <cellStyle name="20% - Accent5 3 2 2 10" xfId="10544" xr:uid="{00000000-0005-0000-0000-00001C1F0000}"/>
    <cellStyle name="20% - Accent5 3 2 2 10 2" xfId="25693" xr:uid="{00000000-0005-0000-0000-00001D1F0000}"/>
    <cellStyle name="20% - Accent5 3 2 2 11" xfId="12228" xr:uid="{00000000-0005-0000-0000-00001E1F0000}"/>
    <cellStyle name="20% - Accent5 3 2 2 11 2" xfId="27377" xr:uid="{00000000-0005-0000-0000-00001F1F0000}"/>
    <cellStyle name="20% - Accent5 3 2 2 12" xfId="13911" xr:uid="{00000000-0005-0000-0000-0000201F0000}"/>
    <cellStyle name="20% - Accent5 3 2 2 12 2" xfId="29060" xr:uid="{00000000-0005-0000-0000-0000211F0000}"/>
    <cellStyle name="20% - Accent5 3 2 2 13" xfId="15594" xr:uid="{00000000-0005-0000-0000-0000221F0000}"/>
    <cellStyle name="20% - Accent5 3 2 2 14" xfId="30743" xr:uid="{00000000-0005-0000-0000-0000231F0000}"/>
    <cellStyle name="20% - Accent5 3 2 2 15" xfId="32426" xr:uid="{00000000-0005-0000-0000-0000241F0000}"/>
    <cellStyle name="20% - Accent5 3 2 2 16" xfId="34109" xr:uid="{00000000-0005-0000-0000-0000251F0000}"/>
    <cellStyle name="20% - Accent5 3 2 2 17" xfId="35792" xr:uid="{00000000-0005-0000-0000-0000261F0000}"/>
    <cellStyle name="20% - Accent5 3 2 2 18" xfId="37475" xr:uid="{00000000-0005-0000-0000-0000271F0000}"/>
    <cellStyle name="20% - Accent5 3 2 2 19" xfId="39158" xr:uid="{00000000-0005-0000-0000-0000281F0000}"/>
    <cellStyle name="20% - Accent5 3 2 2 2" xfId="865" xr:uid="{00000000-0005-0000-0000-0000291F0000}"/>
    <cellStyle name="20% - Accent5 3 2 2 2 10" xfId="16014" xr:uid="{00000000-0005-0000-0000-00002A1F0000}"/>
    <cellStyle name="20% - Accent5 3 2 2 2 11" xfId="31163" xr:uid="{00000000-0005-0000-0000-00002B1F0000}"/>
    <cellStyle name="20% - Accent5 3 2 2 2 12" xfId="32846" xr:uid="{00000000-0005-0000-0000-00002C1F0000}"/>
    <cellStyle name="20% - Accent5 3 2 2 2 13" xfId="34529" xr:uid="{00000000-0005-0000-0000-00002D1F0000}"/>
    <cellStyle name="20% - Accent5 3 2 2 2 14" xfId="36212" xr:uid="{00000000-0005-0000-0000-00002E1F0000}"/>
    <cellStyle name="20% - Accent5 3 2 2 2 15" xfId="37895" xr:uid="{00000000-0005-0000-0000-00002F1F0000}"/>
    <cellStyle name="20% - Accent5 3 2 2 2 16" xfId="39578" xr:uid="{00000000-0005-0000-0000-0000301F0000}"/>
    <cellStyle name="20% - Accent5 3 2 2 2 17" xfId="41261" xr:uid="{00000000-0005-0000-0000-0000311F0000}"/>
    <cellStyle name="20% - Accent5 3 2 2 2 18" xfId="42944" xr:uid="{00000000-0005-0000-0000-0000321F0000}"/>
    <cellStyle name="20% - Accent5 3 2 2 2 19" xfId="44627" xr:uid="{00000000-0005-0000-0000-0000331F0000}"/>
    <cellStyle name="20% - Accent5 3 2 2 2 2" xfId="2548" xr:uid="{00000000-0005-0000-0000-0000341F0000}"/>
    <cellStyle name="20% - Accent5 3 2 2 2 2 2" xfId="17697" xr:uid="{00000000-0005-0000-0000-0000351F0000}"/>
    <cellStyle name="20% - Accent5 3 2 2 2 20" xfId="46310" xr:uid="{00000000-0005-0000-0000-0000361F0000}"/>
    <cellStyle name="20% - Accent5 3 2 2 2 21" xfId="47993" xr:uid="{00000000-0005-0000-0000-0000371F0000}"/>
    <cellStyle name="20% - Accent5 3 2 2 2 22" xfId="49676" xr:uid="{00000000-0005-0000-0000-0000381F0000}"/>
    <cellStyle name="20% - Accent5 3 2 2 2 23" xfId="51359" xr:uid="{00000000-0005-0000-0000-0000391F0000}"/>
    <cellStyle name="20% - Accent5 3 2 2 2 24" xfId="53042" xr:uid="{00000000-0005-0000-0000-00003A1F0000}"/>
    <cellStyle name="20% - Accent5 3 2 2 2 25" xfId="54725" xr:uid="{00000000-0005-0000-0000-00003B1F0000}"/>
    <cellStyle name="20% - Accent5 3 2 2 2 26" xfId="56408" xr:uid="{00000000-0005-0000-0000-00003C1F0000}"/>
    <cellStyle name="20% - Accent5 3 2 2 2 27" xfId="58091" xr:uid="{00000000-0005-0000-0000-00003D1F0000}"/>
    <cellStyle name="20% - Accent5 3 2 2 2 28" xfId="59774" xr:uid="{00000000-0005-0000-0000-00003E1F0000}"/>
    <cellStyle name="20% - Accent5 3 2 2 2 29" xfId="61457" xr:uid="{00000000-0005-0000-0000-00003F1F0000}"/>
    <cellStyle name="20% - Accent5 3 2 2 2 3" xfId="4232" xr:uid="{00000000-0005-0000-0000-0000401F0000}"/>
    <cellStyle name="20% - Accent5 3 2 2 2 3 2" xfId="19381" xr:uid="{00000000-0005-0000-0000-0000411F0000}"/>
    <cellStyle name="20% - Accent5 3 2 2 2 30" xfId="63140" xr:uid="{00000000-0005-0000-0000-0000421F0000}"/>
    <cellStyle name="20% - Accent5 3 2 2 2 4" xfId="5915" xr:uid="{00000000-0005-0000-0000-0000431F0000}"/>
    <cellStyle name="20% - Accent5 3 2 2 2 4 2" xfId="21064" xr:uid="{00000000-0005-0000-0000-0000441F0000}"/>
    <cellStyle name="20% - Accent5 3 2 2 2 5" xfId="7598" xr:uid="{00000000-0005-0000-0000-0000451F0000}"/>
    <cellStyle name="20% - Accent5 3 2 2 2 5 2" xfId="22747" xr:uid="{00000000-0005-0000-0000-0000461F0000}"/>
    <cellStyle name="20% - Accent5 3 2 2 2 6" xfId="9281" xr:uid="{00000000-0005-0000-0000-0000471F0000}"/>
    <cellStyle name="20% - Accent5 3 2 2 2 6 2" xfId="24430" xr:uid="{00000000-0005-0000-0000-0000481F0000}"/>
    <cellStyle name="20% - Accent5 3 2 2 2 7" xfId="10964" xr:uid="{00000000-0005-0000-0000-0000491F0000}"/>
    <cellStyle name="20% - Accent5 3 2 2 2 7 2" xfId="26113" xr:uid="{00000000-0005-0000-0000-00004A1F0000}"/>
    <cellStyle name="20% - Accent5 3 2 2 2 8" xfId="12648" xr:uid="{00000000-0005-0000-0000-00004B1F0000}"/>
    <cellStyle name="20% - Accent5 3 2 2 2 8 2" xfId="27797" xr:uid="{00000000-0005-0000-0000-00004C1F0000}"/>
    <cellStyle name="20% - Accent5 3 2 2 2 9" xfId="14331" xr:uid="{00000000-0005-0000-0000-00004D1F0000}"/>
    <cellStyle name="20% - Accent5 3 2 2 2 9 2" xfId="29480" xr:uid="{00000000-0005-0000-0000-00004E1F0000}"/>
    <cellStyle name="20% - Accent5 3 2 2 20" xfId="40841" xr:uid="{00000000-0005-0000-0000-00004F1F0000}"/>
    <cellStyle name="20% - Accent5 3 2 2 21" xfId="42524" xr:uid="{00000000-0005-0000-0000-0000501F0000}"/>
    <cellStyle name="20% - Accent5 3 2 2 22" xfId="44207" xr:uid="{00000000-0005-0000-0000-0000511F0000}"/>
    <cellStyle name="20% - Accent5 3 2 2 23" xfId="45890" xr:uid="{00000000-0005-0000-0000-0000521F0000}"/>
    <cellStyle name="20% - Accent5 3 2 2 24" xfId="47573" xr:uid="{00000000-0005-0000-0000-0000531F0000}"/>
    <cellStyle name="20% - Accent5 3 2 2 25" xfId="49256" xr:uid="{00000000-0005-0000-0000-0000541F0000}"/>
    <cellStyle name="20% - Accent5 3 2 2 26" xfId="50939" xr:uid="{00000000-0005-0000-0000-0000551F0000}"/>
    <cellStyle name="20% - Accent5 3 2 2 27" xfId="52622" xr:uid="{00000000-0005-0000-0000-0000561F0000}"/>
    <cellStyle name="20% - Accent5 3 2 2 28" xfId="54305" xr:uid="{00000000-0005-0000-0000-0000571F0000}"/>
    <cellStyle name="20% - Accent5 3 2 2 29" xfId="55988" xr:uid="{00000000-0005-0000-0000-0000581F0000}"/>
    <cellStyle name="20% - Accent5 3 2 2 3" xfId="1286" xr:uid="{00000000-0005-0000-0000-0000591F0000}"/>
    <cellStyle name="20% - Accent5 3 2 2 3 10" xfId="16435" xr:uid="{00000000-0005-0000-0000-00005A1F0000}"/>
    <cellStyle name="20% - Accent5 3 2 2 3 11" xfId="31584" xr:uid="{00000000-0005-0000-0000-00005B1F0000}"/>
    <cellStyle name="20% - Accent5 3 2 2 3 12" xfId="33267" xr:uid="{00000000-0005-0000-0000-00005C1F0000}"/>
    <cellStyle name="20% - Accent5 3 2 2 3 13" xfId="34950" xr:uid="{00000000-0005-0000-0000-00005D1F0000}"/>
    <cellStyle name="20% - Accent5 3 2 2 3 14" xfId="36633" xr:uid="{00000000-0005-0000-0000-00005E1F0000}"/>
    <cellStyle name="20% - Accent5 3 2 2 3 15" xfId="38316" xr:uid="{00000000-0005-0000-0000-00005F1F0000}"/>
    <cellStyle name="20% - Accent5 3 2 2 3 16" xfId="39999" xr:uid="{00000000-0005-0000-0000-0000601F0000}"/>
    <cellStyle name="20% - Accent5 3 2 2 3 17" xfId="41682" xr:uid="{00000000-0005-0000-0000-0000611F0000}"/>
    <cellStyle name="20% - Accent5 3 2 2 3 18" xfId="43365" xr:uid="{00000000-0005-0000-0000-0000621F0000}"/>
    <cellStyle name="20% - Accent5 3 2 2 3 19" xfId="45048" xr:uid="{00000000-0005-0000-0000-0000631F0000}"/>
    <cellStyle name="20% - Accent5 3 2 2 3 2" xfId="2969" xr:uid="{00000000-0005-0000-0000-0000641F0000}"/>
    <cellStyle name="20% - Accent5 3 2 2 3 2 2" xfId="18118" xr:uid="{00000000-0005-0000-0000-0000651F0000}"/>
    <cellStyle name="20% - Accent5 3 2 2 3 20" xfId="46731" xr:uid="{00000000-0005-0000-0000-0000661F0000}"/>
    <cellStyle name="20% - Accent5 3 2 2 3 21" xfId="48414" xr:uid="{00000000-0005-0000-0000-0000671F0000}"/>
    <cellStyle name="20% - Accent5 3 2 2 3 22" xfId="50097" xr:uid="{00000000-0005-0000-0000-0000681F0000}"/>
    <cellStyle name="20% - Accent5 3 2 2 3 23" xfId="51780" xr:uid="{00000000-0005-0000-0000-0000691F0000}"/>
    <cellStyle name="20% - Accent5 3 2 2 3 24" xfId="53463" xr:uid="{00000000-0005-0000-0000-00006A1F0000}"/>
    <cellStyle name="20% - Accent5 3 2 2 3 25" xfId="55146" xr:uid="{00000000-0005-0000-0000-00006B1F0000}"/>
    <cellStyle name="20% - Accent5 3 2 2 3 26" xfId="56829" xr:uid="{00000000-0005-0000-0000-00006C1F0000}"/>
    <cellStyle name="20% - Accent5 3 2 2 3 27" xfId="58512" xr:uid="{00000000-0005-0000-0000-00006D1F0000}"/>
    <cellStyle name="20% - Accent5 3 2 2 3 28" xfId="60195" xr:uid="{00000000-0005-0000-0000-00006E1F0000}"/>
    <cellStyle name="20% - Accent5 3 2 2 3 29" xfId="61878" xr:uid="{00000000-0005-0000-0000-00006F1F0000}"/>
    <cellStyle name="20% - Accent5 3 2 2 3 3" xfId="4653" xr:uid="{00000000-0005-0000-0000-0000701F0000}"/>
    <cellStyle name="20% - Accent5 3 2 2 3 3 2" xfId="19802" xr:uid="{00000000-0005-0000-0000-0000711F0000}"/>
    <cellStyle name="20% - Accent5 3 2 2 3 30" xfId="63561" xr:uid="{00000000-0005-0000-0000-0000721F0000}"/>
    <cellStyle name="20% - Accent5 3 2 2 3 4" xfId="6336" xr:uid="{00000000-0005-0000-0000-0000731F0000}"/>
    <cellStyle name="20% - Accent5 3 2 2 3 4 2" xfId="21485" xr:uid="{00000000-0005-0000-0000-0000741F0000}"/>
    <cellStyle name="20% - Accent5 3 2 2 3 5" xfId="8019" xr:uid="{00000000-0005-0000-0000-0000751F0000}"/>
    <cellStyle name="20% - Accent5 3 2 2 3 5 2" xfId="23168" xr:uid="{00000000-0005-0000-0000-0000761F0000}"/>
    <cellStyle name="20% - Accent5 3 2 2 3 6" xfId="9702" xr:uid="{00000000-0005-0000-0000-0000771F0000}"/>
    <cellStyle name="20% - Accent5 3 2 2 3 6 2" xfId="24851" xr:uid="{00000000-0005-0000-0000-0000781F0000}"/>
    <cellStyle name="20% - Accent5 3 2 2 3 7" xfId="11385" xr:uid="{00000000-0005-0000-0000-0000791F0000}"/>
    <cellStyle name="20% - Accent5 3 2 2 3 7 2" xfId="26534" xr:uid="{00000000-0005-0000-0000-00007A1F0000}"/>
    <cellStyle name="20% - Accent5 3 2 2 3 8" xfId="13069" xr:uid="{00000000-0005-0000-0000-00007B1F0000}"/>
    <cellStyle name="20% - Accent5 3 2 2 3 8 2" xfId="28218" xr:uid="{00000000-0005-0000-0000-00007C1F0000}"/>
    <cellStyle name="20% - Accent5 3 2 2 3 9" xfId="14752" xr:uid="{00000000-0005-0000-0000-00007D1F0000}"/>
    <cellStyle name="20% - Accent5 3 2 2 3 9 2" xfId="29901" xr:uid="{00000000-0005-0000-0000-00007E1F0000}"/>
    <cellStyle name="20% - Accent5 3 2 2 30" xfId="57671" xr:uid="{00000000-0005-0000-0000-00007F1F0000}"/>
    <cellStyle name="20% - Accent5 3 2 2 31" xfId="59354" xr:uid="{00000000-0005-0000-0000-0000801F0000}"/>
    <cellStyle name="20% - Accent5 3 2 2 32" xfId="61037" xr:uid="{00000000-0005-0000-0000-0000811F0000}"/>
    <cellStyle name="20% - Accent5 3 2 2 33" xfId="62720" xr:uid="{00000000-0005-0000-0000-0000821F0000}"/>
    <cellStyle name="20% - Accent5 3 2 2 4" xfId="1707" xr:uid="{00000000-0005-0000-0000-0000831F0000}"/>
    <cellStyle name="20% - Accent5 3 2 2 4 10" xfId="16856" xr:uid="{00000000-0005-0000-0000-0000841F0000}"/>
    <cellStyle name="20% - Accent5 3 2 2 4 11" xfId="32005" xr:uid="{00000000-0005-0000-0000-0000851F0000}"/>
    <cellStyle name="20% - Accent5 3 2 2 4 12" xfId="33688" xr:uid="{00000000-0005-0000-0000-0000861F0000}"/>
    <cellStyle name="20% - Accent5 3 2 2 4 13" xfId="35371" xr:uid="{00000000-0005-0000-0000-0000871F0000}"/>
    <cellStyle name="20% - Accent5 3 2 2 4 14" xfId="37054" xr:uid="{00000000-0005-0000-0000-0000881F0000}"/>
    <cellStyle name="20% - Accent5 3 2 2 4 15" xfId="38737" xr:uid="{00000000-0005-0000-0000-0000891F0000}"/>
    <cellStyle name="20% - Accent5 3 2 2 4 16" xfId="40420" xr:uid="{00000000-0005-0000-0000-00008A1F0000}"/>
    <cellStyle name="20% - Accent5 3 2 2 4 17" xfId="42103" xr:uid="{00000000-0005-0000-0000-00008B1F0000}"/>
    <cellStyle name="20% - Accent5 3 2 2 4 18" xfId="43786" xr:uid="{00000000-0005-0000-0000-00008C1F0000}"/>
    <cellStyle name="20% - Accent5 3 2 2 4 19" xfId="45469" xr:uid="{00000000-0005-0000-0000-00008D1F0000}"/>
    <cellStyle name="20% - Accent5 3 2 2 4 2" xfId="3390" xr:uid="{00000000-0005-0000-0000-00008E1F0000}"/>
    <cellStyle name="20% - Accent5 3 2 2 4 2 2" xfId="18539" xr:uid="{00000000-0005-0000-0000-00008F1F0000}"/>
    <cellStyle name="20% - Accent5 3 2 2 4 20" xfId="47152" xr:uid="{00000000-0005-0000-0000-0000901F0000}"/>
    <cellStyle name="20% - Accent5 3 2 2 4 21" xfId="48835" xr:uid="{00000000-0005-0000-0000-0000911F0000}"/>
    <cellStyle name="20% - Accent5 3 2 2 4 22" xfId="50518" xr:uid="{00000000-0005-0000-0000-0000921F0000}"/>
    <cellStyle name="20% - Accent5 3 2 2 4 23" xfId="52201" xr:uid="{00000000-0005-0000-0000-0000931F0000}"/>
    <cellStyle name="20% - Accent5 3 2 2 4 24" xfId="53884" xr:uid="{00000000-0005-0000-0000-0000941F0000}"/>
    <cellStyle name="20% - Accent5 3 2 2 4 25" xfId="55567" xr:uid="{00000000-0005-0000-0000-0000951F0000}"/>
    <cellStyle name="20% - Accent5 3 2 2 4 26" xfId="57250" xr:uid="{00000000-0005-0000-0000-0000961F0000}"/>
    <cellStyle name="20% - Accent5 3 2 2 4 27" xfId="58933" xr:uid="{00000000-0005-0000-0000-0000971F0000}"/>
    <cellStyle name="20% - Accent5 3 2 2 4 28" xfId="60616" xr:uid="{00000000-0005-0000-0000-0000981F0000}"/>
    <cellStyle name="20% - Accent5 3 2 2 4 29" xfId="62299" xr:uid="{00000000-0005-0000-0000-0000991F0000}"/>
    <cellStyle name="20% - Accent5 3 2 2 4 3" xfId="5074" xr:uid="{00000000-0005-0000-0000-00009A1F0000}"/>
    <cellStyle name="20% - Accent5 3 2 2 4 3 2" xfId="20223" xr:uid="{00000000-0005-0000-0000-00009B1F0000}"/>
    <cellStyle name="20% - Accent5 3 2 2 4 30" xfId="63982" xr:uid="{00000000-0005-0000-0000-00009C1F0000}"/>
    <cellStyle name="20% - Accent5 3 2 2 4 4" xfId="6757" xr:uid="{00000000-0005-0000-0000-00009D1F0000}"/>
    <cellStyle name="20% - Accent5 3 2 2 4 4 2" xfId="21906" xr:uid="{00000000-0005-0000-0000-00009E1F0000}"/>
    <cellStyle name="20% - Accent5 3 2 2 4 5" xfId="8440" xr:uid="{00000000-0005-0000-0000-00009F1F0000}"/>
    <cellStyle name="20% - Accent5 3 2 2 4 5 2" xfId="23589" xr:uid="{00000000-0005-0000-0000-0000A01F0000}"/>
    <cellStyle name="20% - Accent5 3 2 2 4 6" xfId="10123" xr:uid="{00000000-0005-0000-0000-0000A11F0000}"/>
    <cellStyle name="20% - Accent5 3 2 2 4 6 2" xfId="25272" xr:uid="{00000000-0005-0000-0000-0000A21F0000}"/>
    <cellStyle name="20% - Accent5 3 2 2 4 7" xfId="11806" xr:uid="{00000000-0005-0000-0000-0000A31F0000}"/>
    <cellStyle name="20% - Accent5 3 2 2 4 7 2" xfId="26955" xr:uid="{00000000-0005-0000-0000-0000A41F0000}"/>
    <cellStyle name="20% - Accent5 3 2 2 4 8" xfId="13490" xr:uid="{00000000-0005-0000-0000-0000A51F0000}"/>
    <cellStyle name="20% - Accent5 3 2 2 4 8 2" xfId="28639" xr:uid="{00000000-0005-0000-0000-0000A61F0000}"/>
    <cellStyle name="20% - Accent5 3 2 2 4 9" xfId="15173" xr:uid="{00000000-0005-0000-0000-0000A71F0000}"/>
    <cellStyle name="20% - Accent5 3 2 2 4 9 2" xfId="30322" xr:uid="{00000000-0005-0000-0000-0000A81F0000}"/>
    <cellStyle name="20% - Accent5 3 2 2 5" xfId="2128" xr:uid="{00000000-0005-0000-0000-0000A91F0000}"/>
    <cellStyle name="20% - Accent5 3 2 2 5 2" xfId="17277" xr:uid="{00000000-0005-0000-0000-0000AA1F0000}"/>
    <cellStyle name="20% - Accent5 3 2 2 6" xfId="3812" xr:uid="{00000000-0005-0000-0000-0000AB1F0000}"/>
    <cellStyle name="20% - Accent5 3 2 2 6 2" xfId="18961" xr:uid="{00000000-0005-0000-0000-0000AC1F0000}"/>
    <cellStyle name="20% - Accent5 3 2 2 7" xfId="5495" xr:uid="{00000000-0005-0000-0000-0000AD1F0000}"/>
    <cellStyle name="20% - Accent5 3 2 2 7 2" xfId="20644" xr:uid="{00000000-0005-0000-0000-0000AE1F0000}"/>
    <cellStyle name="20% - Accent5 3 2 2 8" xfId="7178" xr:uid="{00000000-0005-0000-0000-0000AF1F0000}"/>
    <cellStyle name="20% - Accent5 3 2 2 8 2" xfId="22327" xr:uid="{00000000-0005-0000-0000-0000B01F0000}"/>
    <cellStyle name="20% - Accent5 3 2 2 9" xfId="8861" xr:uid="{00000000-0005-0000-0000-0000B11F0000}"/>
    <cellStyle name="20% - Accent5 3 2 2 9 2" xfId="24010" xr:uid="{00000000-0005-0000-0000-0000B21F0000}"/>
    <cellStyle name="20% - Accent5 3 2 20" xfId="38948" xr:uid="{00000000-0005-0000-0000-0000B31F0000}"/>
    <cellStyle name="20% - Accent5 3 2 21" xfId="40631" xr:uid="{00000000-0005-0000-0000-0000B41F0000}"/>
    <cellStyle name="20% - Accent5 3 2 22" xfId="42314" xr:uid="{00000000-0005-0000-0000-0000B51F0000}"/>
    <cellStyle name="20% - Accent5 3 2 23" xfId="43997" xr:uid="{00000000-0005-0000-0000-0000B61F0000}"/>
    <cellStyle name="20% - Accent5 3 2 24" xfId="45680" xr:uid="{00000000-0005-0000-0000-0000B71F0000}"/>
    <cellStyle name="20% - Accent5 3 2 25" xfId="47363" xr:uid="{00000000-0005-0000-0000-0000B81F0000}"/>
    <cellStyle name="20% - Accent5 3 2 26" xfId="49046" xr:uid="{00000000-0005-0000-0000-0000B91F0000}"/>
    <cellStyle name="20% - Accent5 3 2 27" xfId="50729" xr:uid="{00000000-0005-0000-0000-0000BA1F0000}"/>
    <cellStyle name="20% - Accent5 3 2 28" xfId="52412" xr:uid="{00000000-0005-0000-0000-0000BB1F0000}"/>
    <cellStyle name="20% - Accent5 3 2 29" xfId="54095" xr:uid="{00000000-0005-0000-0000-0000BC1F0000}"/>
    <cellStyle name="20% - Accent5 3 2 3" xfId="655" xr:uid="{00000000-0005-0000-0000-0000BD1F0000}"/>
    <cellStyle name="20% - Accent5 3 2 3 10" xfId="15804" xr:uid="{00000000-0005-0000-0000-0000BE1F0000}"/>
    <cellStyle name="20% - Accent5 3 2 3 11" xfId="30953" xr:uid="{00000000-0005-0000-0000-0000BF1F0000}"/>
    <cellStyle name="20% - Accent5 3 2 3 12" xfId="32636" xr:uid="{00000000-0005-0000-0000-0000C01F0000}"/>
    <cellStyle name="20% - Accent5 3 2 3 13" xfId="34319" xr:uid="{00000000-0005-0000-0000-0000C11F0000}"/>
    <cellStyle name="20% - Accent5 3 2 3 14" xfId="36002" xr:uid="{00000000-0005-0000-0000-0000C21F0000}"/>
    <cellStyle name="20% - Accent5 3 2 3 15" xfId="37685" xr:uid="{00000000-0005-0000-0000-0000C31F0000}"/>
    <cellStyle name="20% - Accent5 3 2 3 16" xfId="39368" xr:uid="{00000000-0005-0000-0000-0000C41F0000}"/>
    <cellStyle name="20% - Accent5 3 2 3 17" xfId="41051" xr:uid="{00000000-0005-0000-0000-0000C51F0000}"/>
    <cellStyle name="20% - Accent5 3 2 3 18" xfId="42734" xr:uid="{00000000-0005-0000-0000-0000C61F0000}"/>
    <cellStyle name="20% - Accent5 3 2 3 19" xfId="44417" xr:uid="{00000000-0005-0000-0000-0000C71F0000}"/>
    <cellStyle name="20% - Accent5 3 2 3 2" xfId="2338" xr:uid="{00000000-0005-0000-0000-0000C81F0000}"/>
    <cellStyle name="20% - Accent5 3 2 3 2 2" xfId="17487" xr:uid="{00000000-0005-0000-0000-0000C91F0000}"/>
    <cellStyle name="20% - Accent5 3 2 3 20" xfId="46100" xr:uid="{00000000-0005-0000-0000-0000CA1F0000}"/>
    <cellStyle name="20% - Accent5 3 2 3 21" xfId="47783" xr:uid="{00000000-0005-0000-0000-0000CB1F0000}"/>
    <cellStyle name="20% - Accent5 3 2 3 22" xfId="49466" xr:uid="{00000000-0005-0000-0000-0000CC1F0000}"/>
    <cellStyle name="20% - Accent5 3 2 3 23" xfId="51149" xr:uid="{00000000-0005-0000-0000-0000CD1F0000}"/>
    <cellStyle name="20% - Accent5 3 2 3 24" xfId="52832" xr:uid="{00000000-0005-0000-0000-0000CE1F0000}"/>
    <cellStyle name="20% - Accent5 3 2 3 25" xfId="54515" xr:uid="{00000000-0005-0000-0000-0000CF1F0000}"/>
    <cellStyle name="20% - Accent5 3 2 3 26" xfId="56198" xr:uid="{00000000-0005-0000-0000-0000D01F0000}"/>
    <cellStyle name="20% - Accent5 3 2 3 27" xfId="57881" xr:uid="{00000000-0005-0000-0000-0000D11F0000}"/>
    <cellStyle name="20% - Accent5 3 2 3 28" xfId="59564" xr:uid="{00000000-0005-0000-0000-0000D21F0000}"/>
    <cellStyle name="20% - Accent5 3 2 3 29" xfId="61247" xr:uid="{00000000-0005-0000-0000-0000D31F0000}"/>
    <cellStyle name="20% - Accent5 3 2 3 3" xfId="4022" xr:uid="{00000000-0005-0000-0000-0000D41F0000}"/>
    <cellStyle name="20% - Accent5 3 2 3 3 2" xfId="19171" xr:uid="{00000000-0005-0000-0000-0000D51F0000}"/>
    <cellStyle name="20% - Accent5 3 2 3 30" xfId="62930" xr:uid="{00000000-0005-0000-0000-0000D61F0000}"/>
    <cellStyle name="20% - Accent5 3 2 3 4" xfId="5705" xr:uid="{00000000-0005-0000-0000-0000D71F0000}"/>
    <cellStyle name="20% - Accent5 3 2 3 4 2" xfId="20854" xr:uid="{00000000-0005-0000-0000-0000D81F0000}"/>
    <cellStyle name="20% - Accent5 3 2 3 5" xfId="7388" xr:uid="{00000000-0005-0000-0000-0000D91F0000}"/>
    <cellStyle name="20% - Accent5 3 2 3 5 2" xfId="22537" xr:uid="{00000000-0005-0000-0000-0000DA1F0000}"/>
    <cellStyle name="20% - Accent5 3 2 3 6" xfId="9071" xr:uid="{00000000-0005-0000-0000-0000DB1F0000}"/>
    <cellStyle name="20% - Accent5 3 2 3 6 2" xfId="24220" xr:uid="{00000000-0005-0000-0000-0000DC1F0000}"/>
    <cellStyle name="20% - Accent5 3 2 3 7" xfId="10754" xr:uid="{00000000-0005-0000-0000-0000DD1F0000}"/>
    <cellStyle name="20% - Accent5 3 2 3 7 2" xfId="25903" xr:uid="{00000000-0005-0000-0000-0000DE1F0000}"/>
    <cellStyle name="20% - Accent5 3 2 3 8" xfId="12438" xr:uid="{00000000-0005-0000-0000-0000DF1F0000}"/>
    <cellStyle name="20% - Accent5 3 2 3 8 2" xfId="27587" xr:uid="{00000000-0005-0000-0000-0000E01F0000}"/>
    <cellStyle name="20% - Accent5 3 2 3 9" xfId="14121" xr:uid="{00000000-0005-0000-0000-0000E11F0000}"/>
    <cellStyle name="20% - Accent5 3 2 3 9 2" xfId="29270" xr:uid="{00000000-0005-0000-0000-0000E21F0000}"/>
    <cellStyle name="20% - Accent5 3 2 30" xfId="55778" xr:uid="{00000000-0005-0000-0000-0000E31F0000}"/>
    <cellStyle name="20% - Accent5 3 2 31" xfId="57461" xr:uid="{00000000-0005-0000-0000-0000E41F0000}"/>
    <cellStyle name="20% - Accent5 3 2 32" xfId="59144" xr:uid="{00000000-0005-0000-0000-0000E51F0000}"/>
    <cellStyle name="20% - Accent5 3 2 33" xfId="60827" xr:uid="{00000000-0005-0000-0000-0000E61F0000}"/>
    <cellStyle name="20% - Accent5 3 2 34" xfId="62510" xr:uid="{00000000-0005-0000-0000-0000E71F0000}"/>
    <cellStyle name="20% - Accent5 3 2 4" xfId="1076" xr:uid="{00000000-0005-0000-0000-0000E81F0000}"/>
    <cellStyle name="20% - Accent5 3 2 4 10" xfId="16225" xr:uid="{00000000-0005-0000-0000-0000E91F0000}"/>
    <cellStyle name="20% - Accent5 3 2 4 11" xfId="31374" xr:uid="{00000000-0005-0000-0000-0000EA1F0000}"/>
    <cellStyle name="20% - Accent5 3 2 4 12" xfId="33057" xr:uid="{00000000-0005-0000-0000-0000EB1F0000}"/>
    <cellStyle name="20% - Accent5 3 2 4 13" xfId="34740" xr:uid="{00000000-0005-0000-0000-0000EC1F0000}"/>
    <cellStyle name="20% - Accent5 3 2 4 14" xfId="36423" xr:uid="{00000000-0005-0000-0000-0000ED1F0000}"/>
    <cellStyle name="20% - Accent5 3 2 4 15" xfId="38106" xr:uid="{00000000-0005-0000-0000-0000EE1F0000}"/>
    <cellStyle name="20% - Accent5 3 2 4 16" xfId="39789" xr:uid="{00000000-0005-0000-0000-0000EF1F0000}"/>
    <cellStyle name="20% - Accent5 3 2 4 17" xfId="41472" xr:uid="{00000000-0005-0000-0000-0000F01F0000}"/>
    <cellStyle name="20% - Accent5 3 2 4 18" xfId="43155" xr:uid="{00000000-0005-0000-0000-0000F11F0000}"/>
    <cellStyle name="20% - Accent5 3 2 4 19" xfId="44838" xr:uid="{00000000-0005-0000-0000-0000F21F0000}"/>
    <cellStyle name="20% - Accent5 3 2 4 2" xfId="2759" xr:uid="{00000000-0005-0000-0000-0000F31F0000}"/>
    <cellStyle name="20% - Accent5 3 2 4 2 2" xfId="17908" xr:uid="{00000000-0005-0000-0000-0000F41F0000}"/>
    <cellStyle name="20% - Accent5 3 2 4 20" xfId="46521" xr:uid="{00000000-0005-0000-0000-0000F51F0000}"/>
    <cellStyle name="20% - Accent5 3 2 4 21" xfId="48204" xr:uid="{00000000-0005-0000-0000-0000F61F0000}"/>
    <cellStyle name="20% - Accent5 3 2 4 22" xfId="49887" xr:uid="{00000000-0005-0000-0000-0000F71F0000}"/>
    <cellStyle name="20% - Accent5 3 2 4 23" xfId="51570" xr:uid="{00000000-0005-0000-0000-0000F81F0000}"/>
    <cellStyle name="20% - Accent5 3 2 4 24" xfId="53253" xr:uid="{00000000-0005-0000-0000-0000F91F0000}"/>
    <cellStyle name="20% - Accent5 3 2 4 25" xfId="54936" xr:uid="{00000000-0005-0000-0000-0000FA1F0000}"/>
    <cellStyle name="20% - Accent5 3 2 4 26" xfId="56619" xr:uid="{00000000-0005-0000-0000-0000FB1F0000}"/>
    <cellStyle name="20% - Accent5 3 2 4 27" xfId="58302" xr:uid="{00000000-0005-0000-0000-0000FC1F0000}"/>
    <cellStyle name="20% - Accent5 3 2 4 28" xfId="59985" xr:uid="{00000000-0005-0000-0000-0000FD1F0000}"/>
    <cellStyle name="20% - Accent5 3 2 4 29" xfId="61668" xr:uid="{00000000-0005-0000-0000-0000FE1F0000}"/>
    <cellStyle name="20% - Accent5 3 2 4 3" xfId="4443" xr:uid="{00000000-0005-0000-0000-0000FF1F0000}"/>
    <cellStyle name="20% - Accent5 3 2 4 3 2" xfId="19592" xr:uid="{00000000-0005-0000-0000-000000200000}"/>
    <cellStyle name="20% - Accent5 3 2 4 30" xfId="63351" xr:uid="{00000000-0005-0000-0000-000001200000}"/>
    <cellStyle name="20% - Accent5 3 2 4 4" xfId="6126" xr:uid="{00000000-0005-0000-0000-000002200000}"/>
    <cellStyle name="20% - Accent5 3 2 4 4 2" xfId="21275" xr:uid="{00000000-0005-0000-0000-000003200000}"/>
    <cellStyle name="20% - Accent5 3 2 4 5" xfId="7809" xr:uid="{00000000-0005-0000-0000-000004200000}"/>
    <cellStyle name="20% - Accent5 3 2 4 5 2" xfId="22958" xr:uid="{00000000-0005-0000-0000-000005200000}"/>
    <cellStyle name="20% - Accent5 3 2 4 6" xfId="9492" xr:uid="{00000000-0005-0000-0000-000006200000}"/>
    <cellStyle name="20% - Accent5 3 2 4 6 2" xfId="24641" xr:uid="{00000000-0005-0000-0000-000007200000}"/>
    <cellStyle name="20% - Accent5 3 2 4 7" xfId="11175" xr:uid="{00000000-0005-0000-0000-000008200000}"/>
    <cellStyle name="20% - Accent5 3 2 4 7 2" xfId="26324" xr:uid="{00000000-0005-0000-0000-000009200000}"/>
    <cellStyle name="20% - Accent5 3 2 4 8" xfId="12859" xr:uid="{00000000-0005-0000-0000-00000A200000}"/>
    <cellStyle name="20% - Accent5 3 2 4 8 2" xfId="28008" xr:uid="{00000000-0005-0000-0000-00000B200000}"/>
    <cellStyle name="20% - Accent5 3 2 4 9" xfId="14542" xr:uid="{00000000-0005-0000-0000-00000C200000}"/>
    <cellStyle name="20% - Accent5 3 2 4 9 2" xfId="29691" xr:uid="{00000000-0005-0000-0000-00000D200000}"/>
    <cellStyle name="20% - Accent5 3 2 5" xfId="1497" xr:uid="{00000000-0005-0000-0000-00000E200000}"/>
    <cellStyle name="20% - Accent5 3 2 5 10" xfId="16646" xr:uid="{00000000-0005-0000-0000-00000F200000}"/>
    <cellStyle name="20% - Accent5 3 2 5 11" xfId="31795" xr:uid="{00000000-0005-0000-0000-000010200000}"/>
    <cellStyle name="20% - Accent5 3 2 5 12" xfId="33478" xr:uid="{00000000-0005-0000-0000-000011200000}"/>
    <cellStyle name="20% - Accent5 3 2 5 13" xfId="35161" xr:uid="{00000000-0005-0000-0000-000012200000}"/>
    <cellStyle name="20% - Accent5 3 2 5 14" xfId="36844" xr:uid="{00000000-0005-0000-0000-000013200000}"/>
    <cellStyle name="20% - Accent5 3 2 5 15" xfId="38527" xr:uid="{00000000-0005-0000-0000-000014200000}"/>
    <cellStyle name="20% - Accent5 3 2 5 16" xfId="40210" xr:uid="{00000000-0005-0000-0000-000015200000}"/>
    <cellStyle name="20% - Accent5 3 2 5 17" xfId="41893" xr:uid="{00000000-0005-0000-0000-000016200000}"/>
    <cellStyle name="20% - Accent5 3 2 5 18" xfId="43576" xr:uid="{00000000-0005-0000-0000-000017200000}"/>
    <cellStyle name="20% - Accent5 3 2 5 19" xfId="45259" xr:uid="{00000000-0005-0000-0000-000018200000}"/>
    <cellStyle name="20% - Accent5 3 2 5 2" xfId="3180" xr:uid="{00000000-0005-0000-0000-000019200000}"/>
    <cellStyle name="20% - Accent5 3 2 5 2 2" xfId="18329" xr:uid="{00000000-0005-0000-0000-00001A200000}"/>
    <cellStyle name="20% - Accent5 3 2 5 20" xfId="46942" xr:uid="{00000000-0005-0000-0000-00001B200000}"/>
    <cellStyle name="20% - Accent5 3 2 5 21" xfId="48625" xr:uid="{00000000-0005-0000-0000-00001C200000}"/>
    <cellStyle name="20% - Accent5 3 2 5 22" xfId="50308" xr:uid="{00000000-0005-0000-0000-00001D200000}"/>
    <cellStyle name="20% - Accent5 3 2 5 23" xfId="51991" xr:uid="{00000000-0005-0000-0000-00001E200000}"/>
    <cellStyle name="20% - Accent5 3 2 5 24" xfId="53674" xr:uid="{00000000-0005-0000-0000-00001F200000}"/>
    <cellStyle name="20% - Accent5 3 2 5 25" xfId="55357" xr:uid="{00000000-0005-0000-0000-000020200000}"/>
    <cellStyle name="20% - Accent5 3 2 5 26" xfId="57040" xr:uid="{00000000-0005-0000-0000-000021200000}"/>
    <cellStyle name="20% - Accent5 3 2 5 27" xfId="58723" xr:uid="{00000000-0005-0000-0000-000022200000}"/>
    <cellStyle name="20% - Accent5 3 2 5 28" xfId="60406" xr:uid="{00000000-0005-0000-0000-000023200000}"/>
    <cellStyle name="20% - Accent5 3 2 5 29" xfId="62089" xr:uid="{00000000-0005-0000-0000-000024200000}"/>
    <cellStyle name="20% - Accent5 3 2 5 3" xfId="4864" xr:uid="{00000000-0005-0000-0000-000025200000}"/>
    <cellStyle name="20% - Accent5 3 2 5 3 2" xfId="20013" xr:uid="{00000000-0005-0000-0000-000026200000}"/>
    <cellStyle name="20% - Accent5 3 2 5 30" xfId="63772" xr:uid="{00000000-0005-0000-0000-000027200000}"/>
    <cellStyle name="20% - Accent5 3 2 5 4" xfId="6547" xr:uid="{00000000-0005-0000-0000-000028200000}"/>
    <cellStyle name="20% - Accent5 3 2 5 4 2" xfId="21696" xr:uid="{00000000-0005-0000-0000-000029200000}"/>
    <cellStyle name="20% - Accent5 3 2 5 5" xfId="8230" xr:uid="{00000000-0005-0000-0000-00002A200000}"/>
    <cellStyle name="20% - Accent5 3 2 5 5 2" xfId="23379" xr:uid="{00000000-0005-0000-0000-00002B200000}"/>
    <cellStyle name="20% - Accent5 3 2 5 6" xfId="9913" xr:uid="{00000000-0005-0000-0000-00002C200000}"/>
    <cellStyle name="20% - Accent5 3 2 5 6 2" xfId="25062" xr:uid="{00000000-0005-0000-0000-00002D200000}"/>
    <cellStyle name="20% - Accent5 3 2 5 7" xfId="11596" xr:uid="{00000000-0005-0000-0000-00002E200000}"/>
    <cellStyle name="20% - Accent5 3 2 5 7 2" xfId="26745" xr:uid="{00000000-0005-0000-0000-00002F200000}"/>
    <cellStyle name="20% - Accent5 3 2 5 8" xfId="13280" xr:uid="{00000000-0005-0000-0000-000030200000}"/>
    <cellStyle name="20% - Accent5 3 2 5 8 2" xfId="28429" xr:uid="{00000000-0005-0000-0000-000031200000}"/>
    <cellStyle name="20% - Accent5 3 2 5 9" xfId="14963" xr:uid="{00000000-0005-0000-0000-000032200000}"/>
    <cellStyle name="20% - Accent5 3 2 5 9 2" xfId="30112" xr:uid="{00000000-0005-0000-0000-000033200000}"/>
    <cellStyle name="20% - Accent5 3 2 6" xfId="1918" xr:uid="{00000000-0005-0000-0000-000034200000}"/>
    <cellStyle name="20% - Accent5 3 2 6 2" xfId="17067" xr:uid="{00000000-0005-0000-0000-000035200000}"/>
    <cellStyle name="20% - Accent5 3 2 7" xfId="3602" xr:uid="{00000000-0005-0000-0000-000036200000}"/>
    <cellStyle name="20% - Accent5 3 2 7 2" xfId="18751" xr:uid="{00000000-0005-0000-0000-000037200000}"/>
    <cellStyle name="20% - Accent5 3 2 8" xfId="5285" xr:uid="{00000000-0005-0000-0000-000038200000}"/>
    <cellStyle name="20% - Accent5 3 2 8 2" xfId="20434" xr:uid="{00000000-0005-0000-0000-000039200000}"/>
    <cellStyle name="20% - Accent5 3 2 9" xfId="6968" xr:uid="{00000000-0005-0000-0000-00003A200000}"/>
    <cellStyle name="20% - Accent5 3 2 9 2" xfId="22117" xr:uid="{00000000-0005-0000-0000-00003B200000}"/>
    <cellStyle name="20% - Accent5 3 20" xfId="37160" xr:uid="{00000000-0005-0000-0000-00003C200000}"/>
    <cellStyle name="20% - Accent5 3 21" xfId="38843" xr:uid="{00000000-0005-0000-0000-00003D200000}"/>
    <cellStyle name="20% - Accent5 3 22" xfId="40526" xr:uid="{00000000-0005-0000-0000-00003E200000}"/>
    <cellStyle name="20% - Accent5 3 23" xfId="42209" xr:uid="{00000000-0005-0000-0000-00003F200000}"/>
    <cellStyle name="20% - Accent5 3 24" xfId="43892" xr:uid="{00000000-0005-0000-0000-000040200000}"/>
    <cellStyle name="20% - Accent5 3 25" xfId="45575" xr:uid="{00000000-0005-0000-0000-000041200000}"/>
    <cellStyle name="20% - Accent5 3 26" xfId="47258" xr:uid="{00000000-0005-0000-0000-000042200000}"/>
    <cellStyle name="20% - Accent5 3 27" xfId="48941" xr:uid="{00000000-0005-0000-0000-000043200000}"/>
    <cellStyle name="20% - Accent5 3 28" xfId="50624" xr:uid="{00000000-0005-0000-0000-000044200000}"/>
    <cellStyle name="20% - Accent5 3 29" xfId="52307" xr:uid="{00000000-0005-0000-0000-000045200000}"/>
    <cellStyle name="20% - Accent5 3 3" xfId="340" xr:uid="{00000000-0005-0000-0000-000046200000}"/>
    <cellStyle name="20% - Accent5 3 3 10" xfId="10439" xr:uid="{00000000-0005-0000-0000-000047200000}"/>
    <cellStyle name="20% - Accent5 3 3 10 2" xfId="25588" xr:uid="{00000000-0005-0000-0000-000048200000}"/>
    <cellStyle name="20% - Accent5 3 3 11" xfId="12123" xr:uid="{00000000-0005-0000-0000-000049200000}"/>
    <cellStyle name="20% - Accent5 3 3 11 2" xfId="27272" xr:uid="{00000000-0005-0000-0000-00004A200000}"/>
    <cellStyle name="20% - Accent5 3 3 12" xfId="13806" xr:uid="{00000000-0005-0000-0000-00004B200000}"/>
    <cellStyle name="20% - Accent5 3 3 12 2" xfId="28955" xr:uid="{00000000-0005-0000-0000-00004C200000}"/>
    <cellStyle name="20% - Accent5 3 3 13" xfId="15489" xr:uid="{00000000-0005-0000-0000-00004D200000}"/>
    <cellStyle name="20% - Accent5 3 3 14" xfId="30638" xr:uid="{00000000-0005-0000-0000-00004E200000}"/>
    <cellStyle name="20% - Accent5 3 3 15" xfId="32321" xr:uid="{00000000-0005-0000-0000-00004F200000}"/>
    <cellStyle name="20% - Accent5 3 3 16" xfId="34004" xr:uid="{00000000-0005-0000-0000-000050200000}"/>
    <cellStyle name="20% - Accent5 3 3 17" xfId="35687" xr:uid="{00000000-0005-0000-0000-000051200000}"/>
    <cellStyle name="20% - Accent5 3 3 18" xfId="37370" xr:uid="{00000000-0005-0000-0000-000052200000}"/>
    <cellStyle name="20% - Accent5 3 3 19" xfId="39053" xr:uid="{00000000-0005-0000-0000-000053200000}"/>
    <cellStyle name="20% - Accent5 3 3 2" xfId="760" xr:uid="{00000000-0005-0000-0000-000054200000}"/>
    <cellStyle name="20% - Accent5 3 3 2 10" xfId="15909" xr:uid="{00000000-0005-0000-0000-000055200000}"/>
    <cellStyle name="20% - Accent5 3 3 2 11" xfId="31058" xr:uid="{00000000-0005-0000-0000-000056200000}"/>
    <cellStyle name="20% - Accent5 3 3 2 12" xfId="32741" xr:uid="{00000000-0005-0000-0000-000057200000}"/>
    <cellStyle name="20% - Accent5 3 3 2 13" xfId="34424" xr:uid="{00000000-0005-0000-0000-000058200000}"/>
    <cellStyle name="20% - Accent5 3 3 2 14" xfId="36107" xr:uid="{00000000-0005-0000-0000-000059200000}"/>
    <cellStyle name="20% - Accent5 3 3 2 15" xfId="37790" xr:uid="{00000000-0005-0000-0000-00005A200000}"/>
    <cellStyle name="20% - Accent5 3 3 2 16" xfId="39473" xr:uid="{00000000-0005-0000-0000-00005B200000}"/>
    <cellStyle name="20% - Accent5 3 3 2 17" xfId="41156" xr:uid="{00000000-0005-0000-0000-00005C200000}"/>
    <cellStyle name="20% - Accent5 3 3 2 18" xfId="42839" xr:uid="{00000000-0005-0000-0000-00005D200000}"/>
    <cellStyle name="20% - Accent5 3 3 2 19" xfId="44522" xr:uid="{00000000-0005-0000-0000-00005E200000}"/>
    <cellStyle name="20% - Accent5 3 3 2 2" xfId="2443" xr:uid="{00000000-0005-0000-0000-00005F200000}"/>
    <cellStyle name="20% - Accent5 3 3 2 2 2" xfId="17592" xr:uid="{00000000-0005-0000-0000-000060200000}"/>
    <cellStyle name="20% - Accent5 3 3 2 20" xfId="46205" xr:uid="{00000000-0005-0000-0000-000061200000}"/>
    <cellStyle name="20% - Accent5 3 3 2 21" xfId="47888" xr:uid="{00000000-0005-0000-0000-000062200000}"/>
    <cellStyle name="20% - Accent5 3 3 2 22" xfId="49571" xr:uid="{00000000-0005-0000-0000-000063200000}"/>
    <cellStyle name="20% - Accent5 3 3 2 23" xfId="51254" xr:uid="{00000000-0005-0000-0000-000064200000}"/>
    <cellStyle name="20% - Accent5 3 3 2 24" xfId="52937" xr:uid="{00000000-0005-0000-0000-000065200000}"/>
    <cellStyle name="20% - Accent5 3 3 2 25" xfId="54620" xr:uid="{00000000-0005-0000-0000-000066200000}"/>
    <cellStyle name="20% - Accent5 3 3 2 26" xfId="56303" xr:uid="{00000000-0005-0000-0000-000067200000}"/>
    <cellStyle name="20% - Accent5 3 3 2 27" xfId="57986" xr:uid="{00000000-0005-0000-0000-000068200000}"/>
    <cellStyle name="20% - Accent5 3 3 2 28" xfId="59669" xr:uid="{00000000-0005-0000-0000-000069200000}"/>
    <cellStyle name="20% - Accent5 3 3 2 29" xfId="61352" xr:uid="{00000000-0005-0000-0000-00006A200000}"/>
    <cellStyle name="20% - Accent5 3 3 2 3" xfId="4127" xr:uid="{00000000-0005-0000-0000-00006B200000}"/>
    <cellStyle name="20% - Accent5 3 3 2 3 2" xfId="19276" xr:uid="{00000000-0005-0000-0000-00006C200000}"/>
    <cellStyle name="20% - Accent5 3 3 2 30" xfId="63035" xr:uid="{00000000-0005-0000-0000-00006D200000}"/>
    <cellStyle name="20% - Accent5 3 3 2 4" xfId="5810" xr:uid="{00000000-0005-0000-0000-00006E200000}"/>
    <cellStyle name="20% - Accent5 3 3 2 4 2" xfId="20959" xr:uid="{00000000-0005-0000-0000-00006F200000}"/>
    <cellStyle name="20% - Accent5 3 3 2 5" xfId="7493" xr:uid="{00000000-0005-0000-0000-000070200000}"/>
    <cellStyle name="20% - Accent5 3 3 2 5 2" xfId="22642" xr:uid="{00000000-0005-0000-0000-000071200000}"/>
    <cellStyle name="20% - Accent5 3 3 2 6" xfId="9176" xr:uid="{00000000-0005-0000-0000-000072200000}"/>
    <cellStyle name="20% - Accent5 3 3 2 6 2" xfId="24325" xr:uid="{00000000-0005-0000-0000-000073200000}"/>
    <cellStyle name="20% - Accent5 3 3 2 7" xfId="10859" xr:uid="{00000000-0005-0000-0000-000074200000}"/>
    <cellStyle name="20% - Accent5 3 3 2 7 2" xfId="26008" xr:uid="{00000000-0005-0000-0000-000075200000}"/>
    <cellStyle name="20% - Accent5 3 3 2 8" xfId="12543" xr:uid="{00000000-0005-0000-0000-000076200000}"/>
    <cellStyle name="20% - Accent5 3 3 2 8 2" xfId="27692" xr:uid="{00000000-0005-0000-0000-000077200000}"/>
    <cellStyle name="20% - Accent5 3 3 2 9" xfId="14226" xr:uid="{00000000-0005-0000-0000-000078200000}"/>
    <cellStyle name="20% - Accent5 3 3 2 9 2" xfId="29375" xr:uid="{00000000-0005-0000-0000-000079200000}"/>
    <cellStyle name="20% - Accent5 3 3 20" xfId="40736" xr:uid="{00000000-0005-0000-0000-00007A200000}"/>
    <cellStyle name="20% - Accent5 3 3 21" xfId="42419" xr:uid="{00000000-0005-0000-0000-00007B200000}"/>
    <cellStyle name="20% - Accent5 3 3 22" xfId="44102" xr:uid="{00000000-0005-0000-0000-00007C200000}"/>
    <cellStyle name="20% - Accent5 3 3 23" xfId="45785" xr:uid="{00000000-0005-0000-0000-00007D200000}"/>
    <cellStyle name="20% - Accent5 3 3 24" xfId="47468" xr:uid="{00000000-0005-0000-0000-00007E200000}"/>
    <cellStyle name="20% - Accent5 3 3 25" xfId="49151" xr:uid="{00000000-0005-0000-0000-00007F200000}"/>
    <cellStyle name="20% - Accent5 3 3 26" xfId="50834" xr:uid="{00000000-0005-0000-0000-000080200000}"/>
    <cellStyle name="20% - Accent5 3 3 27" xfId="52517" xr:uid="{00000000-0005-0000-0000-000081200000}"/>
    <cellStyle name="20% - Accent5 3 3 28" xfId="54200" xr:uid="{00000000-0005-0000-0000-000082200000}"/>
    <cellStyle name="20% - Accent5 3 3 29" xfId="55883" xr:uid="{00000000-0005-0000-0000-000083200000}"/>
    <cellStyle name="20% - Accent5 3 3 3" xfId="1181" xr:uid="{00000000-0005-0000-0000-000084200000}"/>
    <cellStyle name="20% - Accent5 3 3 3 10" xfId="16330" xr:uid="{00000000-0005-0000-0000-000085200000}"/>
    <cellStyle name="20% - Accent5 3 3 3 11" xfId="31479" xr:uid="{00000000-0005-0000-0000-000086200000}"/>
    <cellStyle name="20% - Accent5 3 3 3 12" xfId="33162" xr:uid="{00000000-0005-0000-0000-000087200000}"/>
    <cellStyle name="20% - Accent5 3 3 3 13" xfId="34845" xr:uid="{00000000-0005-0000-0000-000088200000}"/>
    <cellStyle name="20% - Accent5 3 3 3 14" xfId="36528" xr:uid="{00000000-0005-0000-0000-000089200000}"/>
    <cellStyle name="20% - Accent5 3 3 3 15" xfId="38211" xr:uid="{00000000-0005-0000-0000-00008A200000}"/>
    <cellStyle name="20% - Accent5 3 3 3 16" xfId="39894" xr:uid="{00000000-0005-0000-0000-00008B200000}"/>
    <cellStyle name="20% - Accent5 3 3 3 17" xfId="41577" xr:uid="{00000000-0005-0000-0000-00008C200000}"/>
    <cellStyle name="20% - Accent5 3 3 3 18" xfId="43260" xr:uid="{00000000-0005-0000-0000-00008D200000}"/>
    <cellStyle name="20% - Accent5 3 3 3 19" xfId="44943" xr:uid="{00000000-0005-0000-0000-00008E200000}"/>
    <cellStyle name="20% - Accent5 3 3 3 2" xfId="2864" xr:uid="{00000000-0005-0000-0000-00008F200000}"/>
    <cellStyle name="20% - Accent5 3 3 3 2 2" xfId="18013" xr:uid="{00000000-0005-0000-0000-000090200000}"/>
    <cellStyle name="20% - Accent5 3 3 3 20" xfId="46626" xr:uid="{00000000-0005-0000-0000-000091200000}"/>
    <cellStyle name="20% - Accent5 3 3 3 21" xfId="48309" xr:uid="{00000000-0005-0000-0000-000092200000}"/>
    <cellStyle name="20% - Accent5 3 3 3 22" xfId="49992" xr:uid="{00000000-0005-0000-0000-000093200000}"/>
    <cellStyle name="20% - Accent5 3 3 3 23" xfId="51675" xr:uid="{00000000-0005-0000-0000-000094200000}"/>
    <cellStyle name="20% - Accent5 3 3 3 24" xfId="53358" xr:uid="{00000000-0005-0000-0000-000095200000}"/>
    <cellStyle name="20% - Accent5 3 3 3 25" xfId="55041" xr:uid="{00000000-0005-0000-0000-000096200000}"/>
    <cellStyle name="20% - Accent5 3 3 3 26" xfId="56724" xr:uid="{00000000-0005-0000-0000-000097200000}"/>
    <cellStyle name="20% - Accent5 3 3 3 27" xfId="58407" xr:uid="{00000000-0005-0000-0000-000098200000}"/>
    <cellStyle name="20% - Accent5 3 3 3 28" xfId="60090" xr:uid="{00000000-0005-0000-0000-000099200000}"/>
    <cellStyle name="20% - Accent5 3 3 3 29" xfId="61773" xr:uid="{00000000-0005-0000-0000-00009A200000}"/>
    <cellStyle name="20% - Accent5 3 3 3 3" xfId="4548" xr:uid="{00000000-0005-0000-0000-00009B200000}"/>
    <cellStyle name="20% - Accent5 3 3 3 3 2" xfId="19697" xr:uid="{00000000-0005-0000-0000-00009C200000}"/>
    <cellStyle name="20% - Accent5 3 3 3 30" xfId="63456" xr:uid="{00000000-0005-0000-0000-00009D200000}"/>
    <cellStyle name="20% - Accent5 3 3 3 4" xfId="6231" xr:uid="{00000000-0005-0000-0000-00009E200000}"/>
    <cellStyle name="20% - Accent5 3 3 3 4 2" xfId="21380" xr:uid="{00000000-0005-0000-0000-00009F200000}"/>
    <cellStyle name="20% - Accent5 3 3 3 5" xfId="7914" xr:uid="{00000000-0005-0000-0000-0000A0200000}"/>
    <cellStyle name="20% - Accent5 3 3 3 5 2" xfId="23063" xr:uid="{00000000-0005-0000-0000-0000A1200000}"/>
    <cellStyle name="20% - Accent5 3 3 3 6" xfId="9597" xr:uid="{00000000-0005-0000-0000-0000A2200000}"/>
    <cellStyle name="20% - Accent5 3 3 3 6 2" xfId="24746" xr:uid="{00000000-0005-0000-0000-0000A3200000}"/>
    <cellStyle name="20% - Accent5 3 3 3 7" xfId="11280" xr:uid="{00000000-0005-0000-0000-0000A4200000}"/>
    <cellStyle name="20% - Accent5 3 3 3 7 2" xfId="26429" xr:uid="{00000000-0005-0000-0000-0000A5200000}"/>
    <cellStyle name="20% - Accent5 3 3 3 8" xfId="12964" xr:uid="{00000000-0005-0000-0000-0000A6200000}"/>
    <cellStyle name="20% - Accent5 3 3 3 8 2" xfId="28113" xr:uid="{00000000-0005-0000-0000-0000A7200000}"/>
    <cellStyle name="20% - Accent5 3 3 3 9" xfId="14647" xr:uid="{00000000-0005-0000-0000-0000A8200000}"/>
    <cellStyle name="20% - Accent5 3 3 3 9 2" xfId="29796" xr:uid="{00000000-0005-0000-0000-0000A9200000}"/>
    <cellStyle name="20% - Accent5 3 3 30" xfId="57566" xr:uid="{00000000-0005-0000-0000-0000AA200000}"/>
    <cellStyle name="20% - Accent5 3 3 31" xfId="59249" xr:uid="{00000000-0005-0000-0000-0000AB200000}"/>
    <cellStyle name="20% - Accent5 3 3 32" xfId="60932" xr:uid="{00000000-0005-0000-0000-0000AC200000}"/>
    <cellStyle name="20% - Accent5 3 3 33" xfId="62615" xr:uid="{00000000-0005-0000-0000-0000AD200000}"/>
    <cellStyle name="20% - Accent5 3 3 4" xfId="1602" xr:uid="{00000000-0005-0000-0000-0000AE200000}"/>
    <cellStyle name="20% - Accent5 3 3 4 10" xfId="16751" xr:uid="{00000000-0005-0000-0000-0000AF200000}"/>
    <cellStyle name="20% - Accent5 3 3 4 11" xfId="31900" xr:uid="{00000000-0005-0000-0000-0000B0200000}"/>
    <cellStyle name="20% - Accent5 3 3 4 12" xfId="33583" xr:uid="{00000000-0005-0000-0000-0000B1200000}"/>
    <cellStyle name="20% - Accent5 3 3 4 13" xfId="35266" xr:uid="{00000000-0005-0000-0000-0000B2200000}"/>
    <cellStyle name="20% - Accent5 3 3 4 14" xfId="36949" xr:uid="{00000000-0005-0000-0000-0000B3200000}"/>
    <cellStyle name="20% - Accent5 3 3 4 15" xfId="38632" xr:uid="{00000000-0005-0000-0000-0000B4200000}"/>
    <cellStyle name="20% - Accent5 3 3 4 16" xfId="40315" xr:uid="{00000000-0005-0000-0000-0000B5200000}"/>
    <cellStyle name="20% - Accent5 3 3 4 17" xfId="41998" xr:uid="{00000000-0005-0000-0000-0000B6200000}"/>
    <cellStyle name="20% - Accent5 3 3 4 18" xfId="43681" xr:uid="{00000000-0005-0000-0000-0000B7200000}"/>
    <cellStyle name="20% - Accent5 3 3 4 19" xfId="45364" xr:uid="{00000000-0005-0000-0000-0000B8200000}"/>
    <cellStyle name="20% - Accent5 3 3 4 2" xfId="3285" xr:uid="{00000000-0005-0000-0000-0000B9200000}"/>
    <cellStyle name="20% - Accent5 3 3 4 2 2" xfId="18434" xr:uid="{00000000-0005-0000-0000-0000BA200000}"/>
    <cellStyle name="20% - Accent5 3 3 4 20" xfId="47047" xr:uid="{00000000-0005-0000-0000-0000BB200000}"/>
    <cellStyle name="20% - Accent5 3 3 4 21" xfId="48730" xr:uid="{00000000-0005-0000-0000-0000BC200000}"/>
    <cellStyle name="20% - Accent5 3 3 4 22" xfId="50413" xr:uid="{00000000-0005-0000-0000-0000BD200000}"/>
    <cellStyle name="20% - Accent5 3 3 4 23" xfId="52096" xr:uid="{00000000-0005-0000-0000-0000BE200000}"/>
    <cellStyle name="20% - Accent5 3 3 4 24" xfId="53779" xr:uid="{00000000-0005-0000-0000-0000BF200000}"/>
    <cellStyle name="20% - Accent5 3 3 4 25" xfId="55462" xr:uid="{00000000-0005-0000-0000-0000C0200000}"/>
    <cellStyle name="20% - Accent5 3 3 4 26" xfId="57145" xr:uid="{00000000-0005-0000-0000-0000C1200000}"/>
    <cellStyle name="20% - Accent5 3 3 4 27" xfId="58828" xr:uid="{00000000-0005-0000-0000-0000C2200000}"/>
    <cellStyle name="20% - Accent5 3 3 4 28" xfId="60511" xr:uid="{00000000-0005-0000-0000-0000C3200000}"/>
    <cellStyle name="20% - Accent5 3 3 4 29" xfId="62194" xr:uid="{00000000-0005-0000-0000-0000C4200000}"/>
    <cellStyle name="20% - Accent5 3 3 4 3" xfId="4969" xr:uid="{00000000-0005-0000-0000-0000C5200000}"/>
    <cellStyle name="20% - Accent5 3 3 4 3 2" xfId="20118" xr:uid="{00000000-0005-0000-0000-0000C6200000}"/>
    <cellStyle name="20% - Accent5 3 3 4 30" xfId="63877" xr:uid="{00000000-0005-0000-0000-0000C7200000}"/>
    <cellStyle name="20% - Accent5 3 3 4 4" xfId="6652" xr:uid="{00000000-0005-0000-0000-0000C8200000}"/>
    <cellStyle name="20% - Accent5 3 3 4 4 2" xfId="21801" xr:uid="{00000000-0005-0000-0000-0000C9200000}"/>
    <cellStyle name="20% - Accent5 3 3 4 5" xfId="8335" xr:uid="{00000000-0005-0000-0000-0000CA200000}"/>
    <cellStyle name="20% - Accent5 3 3 4 5 2" xfId="23484" xr:uid="{00000000-0005-0000-0000-0000CB200000}"/>
    <cellStyle name="20% - Accent5 3 3 4 6" xfId="10018" xr:uid="{00000000-0005-0000-0000-0000CC200000}"/>
    <cellStyle name="20% - Accent5 3 3 4 6 2" xfId="25167" xr:uid="{00000000-0005-0000-0000-0000CD200000}"/>
    <cellStyle name="20% - Accent5 3 3 4 7" xfId="11701" xr:uid="{00000000-0005-0000-0000-0000CE200000}"/>
    <cellStyle name="20% - Accent5 3 3 4 7 2" xfId="26850" xr:uid="{00000000-0005-0000-0000-0000CF200000}"/>
    <cellStyle name="20% - Accent5 3 3 4 8" xfId="13385" xr:uid="{00000000-0005-0000-0000-0000D0200000}"/>
    <cellStyle name="20% - Accent5 3 3 4 8 2" xfId="28534" xr:uid="{00000000-0005-0000-0000-0000D1200000}"/>
    <cellStyle name="20% - Accent5 3 3 4 9" xfId="15068" xr:uid="{00000000-0005-0000-0000-0000D2200000}"/>
    <cellStyle name="20% - Accent5 3 3 4 9 2" xfId="30217" xr:uid="{00000000-0005-0000-0000-0000D3200000}"/>
    <cellStyle name="20% - Accent5 3 3 5" xfId="2023" xr:uid="{00000000-0005-0000-0000-0000D4200000}"/>
    <cellStyle name="20% - Accent5 3 3 5 2" xfId="17172" xr:uid="{00000000-0005-0000-0000-0000D5200000}"/>
    <cellStyle name="20% - Accent5 3 3 6" xfId="3707" xr:uid="{00000000-0005-0000-0000-0000D6200000}"/>
    <cellStyle name="20% - Accent5 3 3 6 2" xfId="18856" xr:uid="{00000000-0005-0000-0000-0000D7200000}"/>
    <cellStyle name="20% - Accent5 3 3 7" xfId="5390" xr:uid="{00000000-0005-0000-0000-0000D8200000}"/>
    <cellStyle name="20% - Accent5 3 3 7 2" xfId="20539" xr:uid="{00000000-0005-0000-0000-0000D9200000}"/>
    <cellStyle name="20% - Accent5 3 3 8" xfId="7073" xr:uid="{00000000-0005-0000-0000-0000DA200000}"/>
    <cellStyle name="20% - Accent5 3 3 8 2" xfId="22222" xr:uid="{00000000-0005-0000-0000-0000DB200000}"/>
    <cellStyle name="20% - Accent5 3 3 9" xfId="8756" xr:uid="{00000000-0005-0000-0000-0000DC200000}"/>
    <cellStyle name="20% - Accent5 3 3 9 2" xfId="23905" xr:uid="{00000000-0005-0000-0000-0000DD200000}"/>
    <cellStyle name="20% - Accent5 3 30" xfId="53990" xr:uid="{00000000-0005-0000-0000-0000DE200000}"/>
    <cellStyle name="20% - Accent5 3 31" xfId="55673" xr:uid="{00000000-0005-0000-0000-0000DF200000}"/>
    <cellStyle name="20% - Accent5 3 32" xfId="57356" xr:uid="{00000000-0005-0000-0000-0000E0200000}"/>
    <cellStyle name="20% - Accent5 3 33" xfId="59039" xr:uid="{00000000-0005-0000-0000-0000E1200000}"/>
    <cellStyle name="20% - Accent5 3 34" xfId="60722" xr:uid="{00000000-0005-0000-0000-0000E2200000}"/>
    <cellStyle name="20% - Accent5 3 35" xfId="62405" xr:uid="{00000000-0005-0000-0000-0000E3200000}"/>
    <cellStyle name="20% - Accent5 3 4" xfId="550" xr:uid="{00000000-0005-0000-0000-0000E4200000}"/>
    <cellStyle name="20% - Accent5 3 4 10" xfId="15699" xr:uid="{00000000-0005-0000-0000-0000E5200000}"/>
    <cellStyle name="20% - Accent5 3 4 11" xfId="30848" xr:uid="{00000000-0005-0000-0000-0000E6200000}"/>
    <cellStyle name="20% - Accent5 3 4 12" xfId="32531" xr:uid="{00000000-0005-0000-0000-0000E7200000}"/>
    <cellStyle name="20% - Accent5 3 4 13" xfId="34214" xr:uid="{00000000-0005-0000-0000-0000E8200000}"/>
    <cellStyle name="20% - Accent5 3 4 14" xfId="35897" xr:uid="{00000000-0005-0000-0000-0000E9200000}"/>
    <cellStyle name="20% - Accent5 3 4 15" xfId="37580" xr:uid="{00000000-0005-0000-0000-0000EA200000}"/>
    <cellStyle name="20% - Accent5 3 4 16" xfId="39263" xr:uid="{00000000-0005-0000-0000-0000EB200000}"/>
    <cellStyle name="20% - Accent5 3 4 17" xfId="40946" xr:uid="{00000000-0005-0000-0000-0000EC200000}"/>
    <cellStyle name="20% - Accent5 3 4 18" xfId="42629" xr:uid="{00000000-0005-0000-0000-0000ED200000}"/>
    <cellStyle name="20% - Accent5 3 4 19" xfId="44312" xr:uid="{00000000-0005-0000-0000-0000EE200000}"/>
    <cellStyle name="20% - Accent5 3 4 2" xfId="2233" xr:uid="{00000000-0005-0000-0000-0000EF200000}"/>
    <cellStyle name="20% - Accent5 3 4 2 2" xfId="17382" xr:uid="{00000000-0005-0000-0000-0000F0200000}"/>
    <cellStyle name="20% - Accent5 3 4 20" xfId="45995" xr:uid="{00000000-0005-0000-0000-0000F1200000}"/>
    <cellStyle name="20% - Accent5 3 4 21" xfId="47678" xr:uid="{00000000-0005-0000-0000-0000F2200000}"/>
    <cellStyle name="20% - Accent5 3 4 22" xfId="49361" xr:uid="{00000000-0005-0000-0000-0000F3200000}"/>
    <cellStyle name="20% - Accent5 3 4 23" xfId="51044" xr:uid="{00000000-0005-0000-0000-0000F4200000}"/>
    <cellStyle name="20% - Accent5 3 4 24" xfId="52727" xr:uid="{00000000-0005-0000-0000-0000F5200000}"/>
    <cellStyle name="20% - Accent5 3 4 25" xfId="54410" xr:uid="{00000000-0005-0000-0000-0000F6200000}"/>
    <cellStyle name="20% - Accent5 3 4 26" xfId="56093" xr:uid="{00000000-0005-0000-0000-0000F7200000}"/>
    <cellStyle name="20% - Accent5 3 4 27" xfId="57776" xr:uid="{00000000-0005-0000-0000-0000F8200000}"/>
    <cellStyle name="20% - Accent5 3 4 28" xfId="59459" xr:uid="{00000000-0005-0000-0000-0000F9200000}"/>
    <cellStyle name="20% - Accent5 3 4 29" xfId="61142" xr:uid="{00000000-0005-0000-0000-0000FA200000}"/>
    <cellStyle name="20% - Accent5 3 4 3" xfId="3917" xr:uid="{00000000-0005-0000-0000-0000FB200000}"/>
    <cellStyle name="20% - Accent5 3 4 3 2" xfId="19066" xr:uid="{00000000-0005-0000-0000-0000FC200000}"/>
    <cellStyle name="20% - Accent5 3 4 30" xfId="62825" xr:uid="{00000000-0005-0000-0000-0000FD200000}"/>
    <cellStyle name="20% - Accent5 3 4 4" xfId="5600" xr:uid="{00000000-0005-0000-0000-0000FE200000}"/>
    <cellStyle name="20% - Accent5 3 4 4 2" xfId="20749" xr:uid="{00000000-0005-0000-0000-0000FF200000}"/>
    <cellStyle name="20% - Accent5 3 4 5" xfId="7283" xr:uid="{00000000-0005-0000-0000-000000210000}"/>
    <cellStyle name="20% - Accent5 3 4 5 2" xfId="22432" xr:uid="{00000000-0005-0000-0000-000001210000}"/>
    <cellStyle name="20% - Accent5 3 4 6" xfId="8966" xr:uid="{00000000-0005-0000-0000-000002210000}"/>
    <cellStyle name="20% - Accent5 3 4 6 2" xfId="24115" xr:uid="{00000000-0005-0000-0000-000003210000}"/>
    <cellStyle name="20% - Accent5 3 4 7" xfId="10649" xr:uid="{00000000-0005-0000-0000-000004210000}"/>
    <cellStyle name="20% - Accent5 3 4 7 2" xfId="25798" xr:uid="{00000000-0005-0000-0000-000005210000}"/>
    <cellStyle name="20% - Accent5 3 4 8" xfId="12333" xr:uid="{00000000-0005-0000-0000-000006210000}"/>
    <cellStyle name="20% - Accent5 3 4 8 2" xfId="27482" xr:uid="{00000000-0005-0000-0000-000007210000}"/>
    <cellStyle name="20% - Accent5 3 4 9" xfId="14016" xr:uid="{00000000-0005-0000-0000-000008210000}"/>
    <cellStyle name="20% - Accent5 3 4 9 2" xfId="29165" xr:uid="{00000000-0005-0000-0000-000009210000}"/>
    <cellStyle name="20% - Accent5 3 5" xfId="971" xr:uid="{00000000-0005-0000-0000-00000A210000}"/>
    <cellStyle name="20% - Accent5 3 5 10" xfId="16120" xr:uid="{00000000-0005-0000-0000-00000B210000}"/>
    <cellStyle name="20% - Accent5 3 5 11" xfId="31269" xr:uid="{00000000-0005-0000-0000-00000C210000}"/>
    <cellStyle name="20% - Accent5 3 5 12" xfId="32952" xr:uid="{00000000-0005-0000-0000-00000D210000}"/>
    <cellStyle name="20% - Accent5 3 5 13" xfId="34635" xr:uid="{00000000-0005-0000-0000-00000E210000}"/>
    <cellStyle name="20% - Accent5 3 5 14" xfId="36318" xr:uid="{00000000-0005-0000-0000-00000F210000}"/>
    <cellStyle name="20% - Accent5 3 5 15" xfId="38001" xr:uid="{00000000-0005-0000-0000-000010210000}"/>
    <cellStyle name="20% - Accent5 3 5 16" xfId="39684" xr:uid="{00000000-0005-0000-0000-000011210000}"/>
    <cellStyle name="20% - Accent5 3 5 17" xfId="41367" xr:uid="{00000000-0005-0000-0000-000012210000}"/>
    <cellStyle name="20% - Accent5 3 5 18" xfId="43050" xr:uid="{00000000-0005-0000-0000-000013210000}"/>
    <cellStyle name="20% - Accent5 3 5 19" xfId="44733" xr:uid="{00000000-0005-0000-0000-000014210000}"/>
    <cellStyle name="20% - Accent5 3 5 2" xfId="2654" xr:uid="{00000000-0005-0000-0000-000015210000}"/>
    <cellStyle name="20% - Accent5 3 5 2 2" xfId="17803" xr:uid="{00000000-0005-0000-0000-000016210000}"/>
    <cellStyle name="20% - Accent5 3 5 20" xfId="46416" xr:uid="{00000000-0005-0000-0000-000017210000}"/>
    <cellStyle name="20% - Accent5 3 5 21" xfId="48099" xr:uid="{00000000-0005-0000-0000-000018210000}"/>
    <cellStyle name="20% - Accent5 3 5 22" xfId="49782" xr:uid="{00000000-0005-0000-0000-000019210000}"/>
    <cellStyle name="20% - Accent5 3 5 23" xfId="51465" xr:uid="{00000000-0005-0000-0000-00001A210000}"/>
    <cellStyle name="20% - Accent5 3 5 24" xfId="53148" xr:uid="{00000000-0005-0000-0000-00001B210000}"/>
    <cellStyle name="20% - Accent5 3 5 25" xfId="54831" xr:uid="{00000000-0005-0000-0000-00001C210000}"/>
    <cellStyle name="20% - Accent5 3 5 26" xfId="56514" xr:uid="{00000000-0005-0000-0000-00001D210000}"/>
    <cellStyle name="20% - Accent5 3 5 27" xfId="58197" xr:uid="{00000000-0005-0000-0000-00001E210000}"/>
    <cellStyle name="20% - Accent5 3 5 28" xfId="59880" xr:uid="{00000000-0005-0000-0000-00001F210000}"/>
    <cellStyle name="20% - Accent5 3 5 29" xfId="61563" xr:uid="{00000000-0005-0000-0000-000020210000}"/>
    <cellStyle name="20% - Accent5 3 5 3" xfId="4338" xr:uid="{00000000-0005-0000-0000-000021210000}"/>
    <cellStyle name="20% - Accent5 3 5 3 2" xfId="19487" xr:uid="{00000000-0005-0000-0000-000022210000}"/>
    <cellStyle name="20% - Accent5 3 5 30" xfId="63246" xr:uid="{00000000-0005-0000-0000-000023210000}"/>
    <cellStyle name="20% - Accent5 3 5 4" xfId="6021" xr:uid="{00000000-0005-0000-0000-000024210000}"/>
    <cellStyle name="20% - Accent5 3 5 4 2" xfId="21170" xr:uid="{00000000-0005-0000-0000-000025210000}"/>
    <cellStyle name="20% - Accent5 3 5 5" xfId="7704" xr:uid="{00000000-0005-0000-0000-000026210000}"/>
    <cellStyle name="20% - Accent5 3 5 5 2" xfId="22853" xr:uid="{00000000-0005-0000-0000-000027210000}"/>
    <cellStyle name="20% - Accent5 3 5 6" xfId="9387" xr:uid="{00000000-0005-0000-0000-000028210000}"/>
    <cellStyle name="20% - Accent5 3 5 6 2" xfId="24536" xr:uid="{00000000-0005-0000-0000-000029210000}"/>
    <cellStyle name="20% - Accent5 3 5 7" xfId="11070" xr:uid="{00000000-0005-0000-0000-00002A210000}"/>
    <cellStyle name="20% - Accent5 3 5 7 2" xfId="26219" xr:uid="{00000000-0005-0000-0000-00002B210000}"/>
    <cellStyle name="20% - Accent5 3 5 8" xfId="12754" xr:uid="{00000000-0005-0000-0000-00002C210000}"/>
    <cellStyle name="20% - Accent5 3 5 8 2" xfId="27903" xr:uid="{00000000-0005-0000-0000-00002D210000}"/>
    <cellStyle name="20% - Accent5 3 5 9" xfId="14437" xr:uid="{00000000-0005-0000-0000-00002E210000}"/>
    <cellStyle name="20% - Accent5 3 5 9 2" xfId="29586" xr:uid="{00000000-0005-0000-0000-00002F210000}"/>
    <cellStyle name="20% - Accent5 3 6" xfId="1392" xr:uid="{00000000-0005-0000-0000-000030210000}"/>
    <cellStyle name="20% - Accent5 3 6 10" xfId="16541" xr:uid="{00000000-0005-0000-0000-000031210000}"/>
    <cellStyle name="20% - Accent5 3 6 11" xfId="31690" xr:uid="{00000000-0005-0000-0000-000032210000}"/>
    <cellStyle name="20% - Accent5 3 6 12" xfId="33373" xr:uid="{00000000-0005-0000-0000-000033210000}"/>
    <cellStyle name="20% - Accent5 3 6 13" xfId="35056" xr:uid="{00000000-0005-0000-0000-000034210000}"/>
    <cellStyle name="20% - Accent5 3 6 14" xfId="36739" xr:uid="{00000000-0005-0000-0000-000035210000}"/>
    <cellStyle name="20% - Accent5 3 6 15" xfId="38422" xr:uid="{00000000-0005-0000-0000-000036210000}"/>
    <cellStyle name="20% - Accent5 3 6 16" xfId="40105" xr:uid="{00000000-0005-0000-0000-000037210000}"/>
    <cellStyle name="20% - Accent5 3 6 17" xfId="41788" xr:uid="{00000000-0005-0000-0000-000038210000}"/>
    <cellStyle name="20% - Accent5 3 6 18" xfId="43471" xr:uid="{00000000-0005-0000-0000-000039210000}"/>
    <cellStyle name="20% - Accent5 3 6 19" xfId="45154" xr:uid="{00000000-0005-0000-0000-00003A210000}"/>
    <cellStyle name="20% - Accent5 3 6 2" xfId="3075" xr:uid="{00000000-0005-0000-0000-00003B210000}"/>
    <cellStyle name="20% - Accent5 3 6 2 2" xfId="18224" xr:uid="{00000000-0005-0000-0000-00003C210000}"/>
    <cellStyle name="20% - Accent5 3 6 20" xfId="46837" xr:uid="{00000000-0005-0000-0000-00003D210000}"/>
    <cellStyle name="20% - Accent5 3 6 21" xfId="48520" xr:uid="{00000000-0005-0000-0000-00003E210000}"/>
    <cellStyle name="20% - Accent5 3 6 22" xfId="50203" xr:uid="{00000000-0005-0000-0000-00003F210000}"/>
    <cellStyle name="20% - Accent5 3 6 23" xfId="51886" xr:uid="{00000000-0005-0000-0000-000040210000}"/>
    <cellStyle name="20% - Accent5 3 6 24" xfId="53569" xr:uid="{00000000-0005-0000-0000-000041210000}"/>
    <cellStyle name="20% - Accent5 3 6 25" xfId="55252" xr:uid="{00000000-0005-0000-0000-000042210000}"/>
    <cellStyle name="20% - Accent5 3 6 26" xfId="56935" xr:uid="{00000000-0005-0000-0000-000043210000}"/>
    <cellStyle name="20% - Accent5 3 6 27" xfId="58618" xr:uid="{00000000-0005-0000-0000-000044210000}"/>
    <cellStyle name="20% - Accent5 3 6 28" xfId="60301" xr:uid="{00000000-0005-0000-0000-000045210000}"/>
    <cellStyle name="20% - Accent5 3 6 29" xfId="61984" xr:uid="{00000000-0005-0000-0000-000046210000}"/>
    <cellStyle name="20% - Accent5 3 6 3" xfId="4759" xr:uid="{00000000-0005-0000-0000-000047210000}"/>
    <cellStyle name="20% - Accent5 3 6 3 2" xfId="19908" xr:uid="{00000000-0005-0000-0000-000048210000}"/>
    <cellStyle name="20% - Accent5 3 6 30" xfId="63667" xr:uid="{00000000-0005-0000-0000-000049210000}"/>
    <cellStyle name="20% - Accent5 3 6 4" xfId="6442" xr:uid="{00000000-0005-0000-0000-00004A210000}"/>
    <cellStyle name="20% - Accent5 3 6 4 2" xfId="21591" xr:uid="{00000000-0005-0000-0000-00004B210000}"/>
    <cellStyle name="20% - Accent5 3 6 5" xfId="8125" xr:uid="{00000000-0005-0000-0000-00004C210000}"/>
    <cellStyle name="20% - Accent5 3 6 5 2" xfId="23274" xr:uid="{00000000-0005-0000-0000-00004D210000}"/>
    <cellStyle name="20% - Accent5 3 6 6" xfId="9808" xr:uid="{00000000-0005-0000-0000-00004E210000}"/>
    <cellStyle name="20% - Accent5 3 6 6 2" xfId="24957" xr:uid="{00000000-0005-0000-0000-00004F210000}"/>
    <cellStyle name="20% - Accent5 3 6 7" xfId="11491" xr:uid="{00000000-0005-0000-0000-000050210000}"/>
    <cellStyle name="20% - Accent5 3 6 7 2" xfId="26640" xr:uid="{00000000-0005-0000-0000-000051210000}"/>
    <cellStyle name="20% - Accent5 3 6 8" xfId="13175" xr:uid="{00000000-0005-0000-0000-000052210000}"/>
    <cellStyle name="20% - Accent5 3 6 8 2" xfId="28324" xr:uid="{00000000-0005-0000-0000-000053210000}"/>
    <cellStyle name="20% - Accent5 3 6 9" xfId="14858" xr:uid="{00000000-0005-0000-0000-000054210000}"/>
    <cellStyle name="20% - Accent5 3 6 9 2" xfId="30007" xr:uid="{00000000-0005-0000-0000-000055210000}"/>
    <cellStyle name="20% - Accent5 3 7" xfId="1813" xr:uid="{00000000-0005-0000-0000-000056210000}"/>
    <cellStyle name="20% - Accent5 3 7 2" xfId="16962" xr:uid="{00000000-0005-0000-0000-000057210000}"/>
    <cellStyle name="20% - Accent5 3 8" xfId="3497" xr:uid="{00000000-0005-0000-0000-000058210000}"/>
    <cellStyle name="20% - Accent5 3 8 2" xfId="18646" xr:uid="{00000000-0005-0000-0000-000059210000}"/>
    <cellStyle name="20% - Accent5 3 9" xfId="5180" xr:uid="{00000000-0005-0000-0000-00005A210000}"/>
    <cellStyle name="20% - Accent5 3 9 2" xfId="20329" xr:uid="{00000000-0005-0000-0000-00005B210000}"/>
    <cellStyle name="20% - Accent5 30" xfId="50582" xr:uid="{00000000-0005-0000-0000-00005C210000}"/>
    <cellStyle name="20% - Accent5 31" xfId="52265" xr:uid="{00000000-0005-0000-0000-00005D210000}"/>
    <cellStyle name="20% - Accent5 32" xfId="53948" xr:uid="{00000000-0005-0000-0000-00005E210000}"/>
    <cellStyle name="20% - Accent5 33" xfId="55631" xr:uid="{00000000-0005-0000-0000-00005F210000}"/>
    <cellStyle name="20% - Accent5 34" xfId="57314" xr:uid="{00000000-0005-0000-0000-000060210000}"/>
    <cellStyle name="20% - Accent5 35" xfId="58997" xr:uid="{00000000-0005-0000-0000-000061210000}"/>
    <cellStyle name="20% - Accent5 36" xfId="60680" xr:uid="{00000000-0005-0000-0000-000062210000}"/>
    <cellStyle name="20% - Accent5 37" xfId="62363" xr:uid="{00000000-0005-0000-0000-000063210000}"/>
    <cellStyle name="20% - Accent5 4" xfId="193" xr:uid="{00000000-0005-0000-0000-000064210000}"/>
    <cellStyle name="20% - Accent5 4 10" xfId="8609" xr:uid="{00000000-0005-0000-0000-000065210000}"/>
    <cellStyle name="20% - Accent5 4 10 2" xfId="23758" xr:uid="{00000000-0005-0000-0000-000066210000}"/>
    <cellStyle name="20% - Accent5 4 11" xfId="10292" xr:uid="{00000000-0005-0000-0000-000067210000}"/>
    <cellStyle name="20% - Accent5 4 11 2" xfId="25441" xr:uid="{00000000-0005-0000-0000-000068210000}"/>
    <cellStyle name="20% - Accent5 4 12" xfId="11976" xr:uid="{00000000-0005-0000-0000-000069210000}"/>
    <cellStyle name="20% - Accent5 4 12 2" xfId="27125" xr:uid="{00000000-0005-0000-0000-00006A210000}"/>
    <cellStyle name="20% - Accent5 4 13" xfId="13659" xr:uid="{00000000-0005-0000-0000-00006B210000}"/>
    <cellStyle name="20% - Accent5 4 13 2" xfId="28808" xr:uid="{00000000-0005-0000-0000-00006C210000}"/>
    <cellStyle name="20% - Accent5 4 14" xfId="15342" xr:uid="{00000000-0005-0000-0000-00006D210000}"/>
    <cellStyle name="20% - Accent5 4 15" xfId="30491" xr:uid="{00000000-0005-0000-0000-00006E210000}"/>
    <cellStyle name="20% - Accent5 4 16" xfId="32174" xr:uid="{00000000-0005-0000-0000-00006F210000}"/>
    <cellStyle name="20% - Accent5 4 17" xfId="33857" xr:uid="{00000000-0005-0000-0000-000070210000}"/>
    <cellStyle name="20% - Accent5 4 18" xfId="35540" xr:uid="{00000000-0005-0000-0000-000071210000}"/>
    <cellStyle name="20% - Accent5 4 19" xfId="37223" xr:uid="{00000000-0005-0000-0000-000072210000}"/>
    <cellStyle name="20% - Accent5 4 2" xfId="403" xr:uid="{00000000-0005-0000-0000-000073210000}"/>
    <cellStyle name="20% - Accent5 4 2 10" xfId="10502" xr:uid="{00000000-0005-0000-0000-000074210000}"/>
    <cellStyle name="20% - Accent5 4 2 10 2" xfId="25651" xr:uid="{00000000-0005-0000-0000-000075210000}"/>
    <cellStyle name="20% - Accent5 4 2 11" xfId="12186" xr:uid="{00000000-0005-0000-0000-000076210000}"/>
    <cellStyle name="20% - Accent5 4 2 11 2" xfId="27335" xr:uid="{00000000-0005-0000-0000-000077210000}"/>
    <cellStyle name="20% - Accent5 4 2 12" xfId="13869" xr:uid="{00000000-0005-0000-0000-000078210000}"/>
    <cellStyle name="20% - Accent5 4 2 12 2" xfId="29018" xr:uid="{00000000-0005-0000-0000-000079210000}"/>
    <cellStyle name="20% - Accent5 4 2 13" xfId="15552" xr:uid="{00000000-0005-0000-0000-00007A210000}"/>
    <cellStyle name="20% - Accent5 4 2 14" xfId="30701" xr:uid="{00000000-0005-0000-0000-00007B210000}"/>
    <cellStyle name="20% - Accent5 4 2 15" xfId="32384" xr:uid="{00000000-0005-0000-0000-00007C210000}"/>
    <cellStyle name="20% - Accent5 4 2 16" xfId="34067" xr:uid="{00000000-0005-0000-0000-00007D210000}"/>
    <cellStyle name="20% - Accent5 4 2 17" xfId="35750" xr:uid="{00000000-0005-0000-0000-00007E210000}"/>
    <cellStyle name="20% - Accent5 4 2 18" xfId="37433" xr:uid="{00000000-0005-0000-0000-00007F210000}"/>
    <cellStyle name="20% - Accent5 4 2 19" xfId="39116" xr:uid="{00000000-0005-0000-0000-000080210000}"/>
    <cellStyle name="20% - Accent5 4 2 2" xfId="823" xr:uid="{00000000-0005-0000-0000-000081210000}"/>
    <cellStyle name="20% - Accent5 4 2 2 10" xfId="15972" xr:uid="{00000000-0005-0000-0000-000082210000}"/>
    <cellStyle name="20% - Accent5 4 2 2 11" xfId="31121" xr:uid="{00000000-0005-0000-0000-000083210000}"/>
    <cellStyle name="20% - Accent5 4 2 2 12" xfId="32804" xr:uid="{00000000-0005-0000-0000-000084210000}"/>
    <cellStyle name="20% - Accent5 4 2 2 13" xfId="34487" xr:uid="{00000000-0005-0000-0000-000085210000}"/>
    <cellStyle name="20% - Accent5 4 2 2 14" xfId="36170" xr:uid="{00000000-0005-0000-0000-000086210000}"/>
    <cellStyle name="20% - Accent5 4 2 2 15" xfId="37853" xr:uid="{00000000-0005-0000-0000-000087210000}"/>
    <cellStyle name="20% - Accent5 4 2 2 16" xfId="39536" xr:uid="{00000000-0005-0000-0000-000088210000}"/>
    <cellStyle name="20% - Accent5 4 2 2 17" xfId="41219" xr:uid="{00000000-0005-0000-0000-000089210000}"/>
    <cellStyle name="20% - Accent5 4 2 2 18" xfId="42902" xr:uid="{00000000-0005-0000-0000-00008A210000}"/>
    <cellStyle name="20% - Accent5 4 2 2 19" xfId="44585" xr:uid="{00000000-0005-0000-0000-00008B210000}"/>
    <cellStyle name="20% - Accent5 4 2 2 2" xfId="2506" xr:uid="{00000000-0005-0000-0000-00008C210000}"/>
    <cellStyle name="20% - Accent5 4 2 2 2 2" xfId="17655" xr:uid="{00000000-0005-0000-0000-00008D210000}"/>
    <cellStyle name="20% - Accent5 4 2 2 20" xfId="46268" xr:uid="{00000000-0005-0000-0000-00008E210000}"/>
    <cellStyle name="20% - Accent5 4 2 2 21" xfId="47951" xr:uid="{00000000-0005-0000-0000-00008F210000}"/>
    <cellStyle name="20% - Accent5 4 2 2 22" xfId="49634" xr:uid="{00000000-0005-0000-0000-000090210000}"/>
    <cellStyle name="20% - Accent5 4 2 2 23" xfId="51317" xr:uid="{00000000-0005-0000-0000-000091210000}"/>
    <cellStyle name="20% - Accent5 4 2 2 24" xfId="53000" xr:uid="{00000000-0005-0000-0000-000092210000}"/>
    <cellStyle name="20% - Accent5 4 2 2 25" xfId="54683" xr:uid="{00000000-0005-0000-0000-000093210000}"/>
    <cellStyle name="20% - Accent5 4 2 2 26" xfId="56366" xr:uid="{00000000-0005-0000-0000-000094210000}"/>
    <cellStyle name="20% - Accent5 4 2 2 27" xfId="58049" xr:uid="{00000000-0005-0000-0000-000095210000}"/>
    <cellStyle name="20% - Accent5 4 2 2 28" xfId="59732" xr:uid="{00000000-0005-0000-0000-000096210000}"/>
    <cellStyle name="20% - Accent5 4 2 2 29" xfId="61415" xr:uid="{00000000-0005-0000-0000-000097210000}"/>
    <cellStyle name="20% - Accent5 4 2 2 3" xfId="4190" xr:uid="{00000000-0005-0000-0000-000098210000}"/>
    <cellStyle name="20% - Accent5 4 2 2 3 2" xfId="19339" xr:uid="{00000000-0005-0000-0000-000099210000}"/>
    <cellStyle name="20% - Accent5 4 2 2 30" xfId="63098" xr:uid="{00000000-0005-0000-0000-00009A210000}"/>
    <cellStyle name="20% - Accent5 4 2 2 4" xfId="5873" xr:uid="{00000000-0005-0000-0000-00009B210000}"/>
    <cellStyle name="20% - Accent5 4 2 2 4 2" xfId="21022" xr:uid="{00000000-0005-0000-0000-00009C210000}"/>
    <cellStyle name="20% - Accent5 4 2 2 5" xfId="7556" xr:uid="{00000000-0005-0000-0000-00009D210000}"/>
    <cellStyle name="20% - Accent5 4 2 2 5 2" xfId="22705" xr:uid="{00000000-0005-0000-0000-00009E210000}"/>
    <cellStyle name="20% - Accent5 4 2 2 6" xfId="9239" xr:uid="{00000000-0005-0000-0000-00009F210000}"/>
    <cellStyle name="20% - Accent5 4 2 2 6 2" xfId="24388" xr:uid="{00000000-0005-0000-0000-0000A0210000}"/>
    <cellStyle name="20% - Accent5 4 2 2 7" xfId="10922" xr:uid="{00000000-0005-0000-0000-0000A1210000}"/>
    <cellStyle name="20% - Accent5 4 2 2 7 2" xfId="26071" xr:uid="{00000000-0005-0000-0000-0000A2210000}"/>
    <cellStyle name="20% - Accent5 4 2 2 8" xfId="12606" xr:uid="{00000000-0005-0000-0000-0000A3210000}"/>
    <cellStyle name="20% - Accent5 4 2 2 8 2" xfId="27755" xr:uid="{00000000-0005-0000-0000-0000A4210000}"/>
    <cellStyle name="20% - Accent5 4 2 2 9" xfId="14289" xr:uid="{00000000-0005-0000-0000-0000A5210000}"/>
    <cellStyle name="20% - Accent5 4 2 2 9 2" xfId="29438" xr:uid="{00000000-0005-0000-0000-0000A6210000}"/>
    <cellStyle name="20% - Accent5 4 2 20" xfId="40799" xr:uid="{00000000-0005-0000-0000-0000A7210000}"/>
    <cellStyle name="20% - Accent5 4 2 21" xfId="42482" xr:uid="{00000000-0005-0000-0000-0000A8210000}"/>
    <cellStyle name="20% - Accent5 4 2 22" xfId="44165" xr:uid="{00000000-0005-0000-0000-0000A9210000}"/>
    <cellStyle name="20% - Accent5 4 2 23" xfId="45848" xr:uid="{00000000-0005-0000-0000-0000AA210000}"/>
    <cellStyle name="20% - Accent5 4 2 24" xfId="47531" xr:uid="{00000000-0005-0000-0000-0000AB210000}"/>
    <cellStyle name="20% - Accent5 4 2 25" xfId="49214" xr:uid="{00000000-0005-0000-0000-0000AC210000}"/>
    <cellStyle name="20% - Accent5 4 2 26" xfId="50897" xr:uid="{00000000-0005-0000-0000-0000AD210000}"/>
    <cellStyle name="20% - Accent5 4 2 27" xfId="52580" xr:uid="{00000000-0005-0000-0000-0000AE210000}"/>
    <cellStyle name="20% - Accent5 4 2 28" xfId="54263" xr:uid="{00000000-0005-0000-0000-0000AF210000}"/>
    <cellStyle name="20% - Accent5 4 2 29" xfId="55946" xr:uid="{00000000-0005-0000-0000-0000B0210000}"/>
    <cellStyle name="20% - Accent5 4 2 3" xfId="1244" xr:uid="{00000000-0005-0000-0000-0000B1210000}"/>
    <cellStyle name="20% - Accent5 4 2 3 10" xfId="16393" xr:uid="{00000000-0005-0000-0000-0000B2210000}"/>
    <cellStyle name="20% - Accent5 4 2 3 11" xfId="31542" xr:uid="{00000000-0005-0000-0000-0000B3210000}"/>
    <cellStyle name="20% - Accent5 4 2 3 12" xfId="33225" xr:uid="{00000000-0005-0000-0000-0000B4210000}"/>
    <cellStyle name="20% - Accent5 4 2 3 13" xfId="34908" xr:uid="{00000000-0005-0000-0000-0000B5210000}"/>
    <cellStyle name="20% - Accent5 4 2 3 14" xfId="36591" xr:uid="{00000000-0005-0000-0000-0000B6210000}"/>
    <cellStyle name="20% - Accent5 4 2 3 15" xfId="38274" xr:uid="{00000000-0005-0000-0000-0000B7210000}"/>
    <cellStyle name="20% - Accent5 4 2 3 16" xfId="39957" xr:uid="{00000000-0005-0000-0000-0000B8210000}"/>
    <cellStyle name="20% - Accent5 4 2 3 17" xfId="41640" xr:uid="{00000000-0005-0000-0000-0000B9210000}"/>
    <cellStyle name="20% - Accent5 4 2 3 18" xfId="43323" xr:uid="{00000000-0005-0000-0000-0000BA210000}"/>
    <cellStyle name="20% - Accent5 4 2 3 19" xfId="45006" xr:uid="{00000000-0005-0000-0000-0000BB210000}"/>
    <cellStyle name="20% - Accent5 4 2 3 2" xfId="2927" xr:uid="{00000000-0005-0000-0000-0000BC210000}"/>
    <cellStyle name="20% - Accent5 4 2 3 2 2" xfId="18076" xr:uid="{00000000-0005-0000-0000-0000BD210000}"/>
    <cellStyle name="20% - Accent5 4 2 3 20" xfId="46689" xr:uid="{00000000-0005-0000-0000-0000BE210000}"/>
    <cellStyle name="20% - Accent5 4 2 3 21" xfId="48372" xr:uid="{00000000-0005-0000-0000-0000BF210000}"/>
    <cellStyle name="20% - Accent5 4 2 3 22" xfId="50055" xr:uid="{00000000-0005-0000-0000-0000C0210000}"/>
    <cellStyle name="20% - Accent5 4 2 3 23" xfId="51738" xr:uid="{00000000-0005-0000-0000-0000C1210000}"/>
    <cellStyle name="20% - Accent5 4 2 3 24" xfId="53421" xr:uid="{00000000-0005-0000-0000-0000C2210000}"/>
    <cellStyle name="20% - Accent5 4 2 3 25" xfId="55104" xr:uid="{00000000-0005-0000-0000-0000C3210000}"/>
    <cellStyle name="20% - Accent5 4 2 3 26" xfId="56787" xr:uid="{00000000-0005-0000-0000-0000C4210000}"/>
    <cellStyle name="20% - Accent5 4 2 3 27" xfId="58470" xr:uid="{00000000-0005-0000-0000-0000C5210000}"/>
    <cellStyle name="20% - Accent5 4 2 3 28" xfId="60153" xr:uid="{00000000-0005-0000-0000-0000C6210000}"/>
    <cellStyle name="20% - Accent5 4 2 3 29" xfId="61836" xr:uid="{00000000-0005-0000-0000-0000C7210000}"/>
    <cellStyle name="20% - Accent5 4 2 3 3" xfId="4611" xr:uid="{00000000-0005-0000-0000-0000C8210000}"/>
    <cellStyle name="20% - Accent5 4 2 3 3 2" xfId="19760" xr:uid="{00000000-0005-0000-0000-0000C9210000}"/>
    <cellStyle name="20% - Accent5 4 2 3 30" xfId="63519" xr:uid="{00000000-0005-0000-0000-0000CA210000}"/>
    <cellStyle name="20% - Accent5 4 2 3 4" xfId="6294" xr:uid="{00000000-0005-0000-0000-0000CB210000}"/>
    <cellStyle name="20% - Accent5 4 2 3 4 2" xfId="21443" xr:uid="{00000000-0005-0000-0000-0000CC210000}"/>
    <cellStyle name="20% - Accent5 4 2 3 5" xfId="7977" xr:uid="{00000000-0005-0000-0000-0000CD210000}"/>
    <cellStyle name="20% - Accent5 4 2 3 5 2" xfId="23126" xr:uid="{00000000-0005-0000-0000-0000CE210000}"/>
    <cellStyle name="20% - Accent5 4 2 3 6" xfId="9660" xr:uid="{00000000-0005-0000-0000-0000CF210000}"/>
    <cellStyle name="20% - Accent5 4 2 3 6 2" xfId="24809" xr:uid="{00000000-0005-0000-0000-0000D0210000}"/>
    <cellStyle name="20% - Accent5 4 2 3 7" xfId="11343" xr:uid="{00000000-0005-0000-0000-0000D1210000}"/>
    <cellStyle name="20% - Accent5 4 2 3 7 2" xfId="26492" xr:uid="{00000000-0005-0000-0000-0000D2210000}"/>
    <cellStyle name="20% - Accent5 4 2 3 8" xfId="13027" xr:uid="{00000000-0005-0000-0000-0000D3210000}"/>
    <cellStyle name="20% - Accent5 4 2 3 8 2" xfId="28176" xr:uid="{00000000-0005-0000-0000-0000D4210000}"/>
    <cellStyle name="20% - Accent5 4 2 3 9" xfId="14710" xr:uid="{00000000-0005-0000-0000-0000D5210000}"/>
    <cellStyle name="20% - Accent5 4 2 3 9 2" xfId="29859" xr:uid="{00000000-0005-0000-0000-0000D6210000}"/>
    <cellStyle name="20% - Accent5 4 2 30" xfId="57629" xr:uid="{00000000-0005-0000-0000-0000D7210000}"/>
    <cellStyle name="20% - Accent5 4 2 31" xfId="59312" xr:uid="{00000000-0005-0000-0000-0000D8210000}"/>
    <cellStyle name="20% - Accent5 4 2 32" xfId="60995" xr:uid="{00000000-0005-0000-0000-0000D9210000}"/>
    <cellStyle name="20% - Accent5 4 2 33" xfId="62678" xr:uid="{00000000-0005-0000-0000-0000DA210000}"/>
    <cellStyle name="20% - Accent5 4 2 4" xfId="1665" xr:uid="{00000000-0005-0000-0000-0000DB210000}"/>
    <cellStyle name="20% - Accent5 4 2 4 10" xfId="16814" xr:uid="{00000000-0005-0000-0000-0000DC210000}"/>
    <cellStyle name="20% - Accent5 4 2 4 11" xfId="31963" xr:uid="{00000000-0005-0000-0000-0000DD210000}"/>
    <cellStyle name="20% - Accent5 4 2 4 12" xfId="33646" xr:uid="{00000000-0005-0000-0000-0000DE210000}"/>
    <cellStyle name="20% - Accent5 4 2 4 13" xfId="35329" xr:uid="{00000000-0005-0000-0000-0000DF210000}"/>
    <cellStyle name="20% - Accent5 4 2 4 14" xfId="37012" xr:uid="{00000000-0005-0000-0000-0000E0210000}"/>
    <cellStyle name="20% - Accent5 4 2 4 15" xfId="38695" xr:uid="{00000000-0005-0000-0000-0000E1210000}"/>
    <cellStyle name="20% - Accent5 4 2 4 16" xfId="40378" xr:uid="{00000000-0005-0000-0000-0000E2210000}"/>
    <cellStyle name="20% - Accent5 4 2 4 17" xfId="42061" xr:uid="{00000000-0005-0000-0000-0000E3210000}"/>
    <cellStyle name="20% - Accent5 4 2 4 18" xfId="43744" xr:uid="{00000000-0005-0000-0000-0000E4210000}"/>
    <cellStyle name="20% - Accent5 4 2 4 19" xfId="45427" xr:uid="{00000000-0005-0000-0000-0000E5210000}"/>
    <cellStyle name="20% - Accent5 4 2 4 2" xfId="3348" xr:uid="{00000000-0005-0000-0000-0000E6210000}"/>
    <cellStyle name="20% - Accent5 4 2 4 2 2" xfId="18497" xr:uid="{00000000-0005-0000-0000-0000E7210000}"/>
    <cellStyle name="20% - Accent5 4 2 4 20" xfId="47110" xr:uid="{00000000-0005-0000-0000-0000E8210000}"/>
    <cellStyle name="20% - Accent5 4 2 4 21" xfId="48793" xr:uid="{00000000-0005-0000-0000-0000E9210000}"/>
    <cellStyle name="20% - Accent5 4 2 4 22" xfId="50476" xr:uid="{00000000-0005-0000-0000-0000EA210000}"/>
    <cellStyle name="20% - Accent5 4 2 4 23" xfId="52159" xr:uid="{00000000-0005-0000-0000-0000EB210000}"/>
    <cellStyle name="20% - Accent5 4 2 4 24" xfId="53842" xr:uid="{00000000-0005-0000-0000-0000EC210000}"/>
    <cellStyle name="20% - Accent5 4 2 4 25" xfId="55525" xr:uid="{00000000-0005-0000-0000-0000ED210000}"/>
    <cellStyle name="20% - Accent5 4 2 4 26" xfId="57208" xr:uid="{00000000-0005-0000-0000-0000EE210000}"/>
    <cellStyle name="20% - Accent5 4 2 4 27" xfId="58891" xr:uid="{00000000-0005-0000-0000-0000EF210000}"/>
    <cellStyle name="20% - Accent5 4 2 4 28" xfId="60574" xr:uid="{00000000-0005-0000-0000-0000F0210000}"/>
    <cellStyle name="20% - Accent5 4 2 4 29" xfId="62257" xr:uid="{00000000-0005-0000-0000-0000F1210000}"/>
    <cellStyle name="20% - Accent5 4 2 4 3" xfId="5032" xr:uid="{00000000-0005-0000-0000-0000F2210000}"/>
    <cellStyle name="20% - Accent5 4 2 4 3 2" xfId="20181" xr:uid="{00000000-0005-0000-0000-0000F3210000}"/>
    <cellStyle name="20% - Accent5 4 2 4 30" xfId="63940" xr:uid="{00000000-0005-0000-0000-0000F4210000}"/>
    <cellStyle name="20% - Accent5 4 2 4 4" xfId="6715" xr:uid="{00000000-0005-0000-0000-0000F5210000}"/>
    <cellStyle name="20% - Accent5 4 2 4 4 2" xfId="21864" xr:uid="{00000000-0005-0000-0000-0000F6210000}"/>
    <cellStyle name="20% - Accent5 4 2 4 5" xfId="8398" xr:uid="{00000000-0005-0000-0000-0000F7210000}"/>
    <cellStyle name="20% - Accent5 4 2 4 5 2" xfId="23547" xr:uid="{00000000-0005-0000-0000-0000F8210000}"/>
    <cellStyle name="20% - Accent5 4 2 4 6" xfId="10081" xr:uid="{00000000-0005-0000-0000-0000F9210000}"/>
    <cellStyle name="20% - Accent5 4 2 4 6 2" xfId="25230" xr:uid="{00000000-0005-0000-0000-0000FA210000}"/>
    <cellStyle name="20% - Accent5 4 2 4 7" xfId="11764" xr:uid="{00000000-0005-0000-0000-0000FB210000}"/>
    <cellStyle name="20% - Accent5 4 2 4 7 2" xfId="26913" xr:uid="{00000000-0005-0000-0000-0000FC210000}"/>
    <cellStyle name="20% - Accent5 4 2 4 8" xfId="13448" xr:uid="{00000000-0005-0000-0000-0000FD210000}"/>
    <cellStyle name="20% - Accent5 4 2 4 8 2" xfId="28597" xr:uid="{00000000-0005-0000-0000-0000FE210000}"/>
    <cellStyle name="20% - Accent5 4 2 4 9" xfId="15131" xr:uid="{00000000-0005-0000-0000-0000FF210000}"/>
    <cellStyle name="20% - Accent5 4 2 4 9 2" xfId="30280" xr:uid="{00000000-0005-0000-0000-000000220000}"/>
    <cellStyle name="20% - Accent5 4 2 5" xfId="2086" xr:uid="{00000000-0005-0000-0000-000001220000}"/>
    <cellStyle name="20% - Accent5 4 2 5 2" xfId="17235" xr:uid="{00000000-0005-0000-0000-000002220000}"/>
    <cellStyle name="20% - Accent5 4 2 6" xfId="3770" xr:uid="{00000000-0005-0000-0000-000003220000}"/>
    <cellStyle name="20% - Accent5 4 2 6 2" xfId="18919" xr:uid="{00000000-0005-0000-0000-000004220000}"/>
    <cellStyle name="20% - Accent5 4 2 7" xfId="5453" xr:uid="{00000000-0005-0000-0000-000005220000}"/>
    <cellStyle name="20% - Accent5 4 2 7 2" xfId="20602" xr:uid="{00000000-0005-0000-0000-000006220000}"/>
    <cellStyle name="20% - Accent5 4 2 8" xfId="7136" xr:uid="{00000000-0005-0000-0000-000007220000}"/>
    <cellStyle name="20% - Accent5 4 2 8 2" xfId="22285" xr:uid="{00000000-0005-0000-0000-000008220000}"/>
    <cellStyle name="20% - Accent5 4 2 9" xfId="8819" xr:uid="{00000000-0005-0000-0000-000009220000}"/>
    <cellStyle name="20% - Accent5 4 2 9 2" xfId="23968" xr:uid="{00000000-0005-0000-0000-00000A220000}"/>
    <cellStyle name="20% - Accent5 4 20" xfId="38906" xr:uid="{00000000-0005-0000-0000-00000B220000}"/>
    <cellStyle name="20% - Accent5 4 21" xfId="40589" xr:uid="{00000000-0005-0000-0000-00000C220000}"/>
    <cellStyle name="20% - Accent5 4 22" xfId="42272" xr:uid="{00000000-0005-0000-0000-00000D220000}"/>
    <cellStyle name="20% - Accent5 4 23" xfId="43955" xr:uid="{00000000-0005-0000-0000-00000E220000}"/>
    <cellStyle name="20% - Accent5 4 24" xfId="45638" xr:uid="{00000000-0005-0000-0000-00000F220000}"/>
    <cellStyle name="20% - Accent5 4 25" xfId="47321" xr:uid="{00000000-0005-0000-0000-000010220000}"/>
    <cellStyle name="20% - Accent5 4 26" xfId="49004" xr:uid="{00000000-0005-0000-0000-000011220000}"/>
    <cellStyle name="20% - Accent5 4 27" xfId="50687" xr:uid="{00000000-0005-0000-0000-000012220000}"/>
    <cellStyle name="20% - Accent5 4 28" xfId="52370" xr:uid="{00000000-0005-0000-0000-000013220000}"/>
    <cellStyle name="20% - Accent5 4 29" xfId="54053" xr:uid="{00000000-0005-0000-0000-000014220000}"/>
    <cellStyle name="20% - Accent5 4 3" xfId="613" xr:uid="{00000000-0005-0000-0000-000015220000}"/>
    <cellStyle name="20% - Accent5 4 3 10" xfId="15762" xr:uid="{00000000-0005-0000-0000-000016220000}"/>
    <cellStyle name="20% - Accent5 4 3 11" xfId="30911" xr:uid="{00000000-0005-0000-0000-000017220000}"/>
    <cellStyle name="20% - Accent5 4 3 12" xfId="32594" xr:uid="{00000000-0005-0000-0000-000018220000}"/>
    <cellStyle name="20% - Accent5 4 3 13" xfId="34277" xr:uid="{00000000-0005-0000-0000-000019220000}"/>
    <cellStyle name="20% - Accent5 4 3 14" xfId="35960" xr:uid="{00000000-0005-0000-0000-00001A220000}"/>
    <cellStyle name="20% - Accent5 4 3 15" xfId="37643" xr:uid="{00000000-0005-0000-0000-00001B220000}"/>
    <cellStyle name="20% - Accent5 4 3 16" xfId="39326" xr:uid="{00000000-0005-0000-0000-00001C220000}"/>
    <cellStyle name="20% - Accent5 4 3 17" xfId="41009" xr:uid="{00000000-0005-0000-0000-00001D220000}"/>
    <cellStyle name="20% - Accent5 4 3 18" xfId="42692" xr:uid="{00000000-0005-0000-0000-00001E220000}"/>
    <cellStyle name="20% - Accent5 4 3 19" xfId="44375" xr:uid="{00000000-0005-0000-0000-00001F220000}"/>
    <cellStyle name="20% - Accent5 4 3 2" xfId="2296" xr:uid="{00000000-0005-0000-0000-000020220000}"/>
    <cellStyle name="20% - Accent5 4 3 2 2" xfId="17445" xr:uid="{00000000-0005-0000-0000-000021220000}"/>
    <cellStyle name="20% - Accent5 4 3 20" xfId="46058" xr:uid="{00000000-0005-0000-0000-000022220000}"/>
    <cellStyle name="20% - Accent5 4 3 21" xfId="47741" xr:uid="{00000000-0005-0000-0000-000023220000}"/>
    <cellStyle name="20% - Accent5 4 3 22" xfId="49424" xr:uid="{00000000-0005-0000-0000-000024220000}"/>
    <cellStyle name="20% - Accent5 4 3 23" xfId="51107" xr:uid="{00000000-0005-0000-0000-000025220000}"/>
    <cellStyle name="20% - Accent5 4 3 24" xfId="52790" xr:uid="{00000000-0005-0000-0000-000026220000}"/>
    <cellStyle name="20% - Accent5 4 3 25" xfId="54473" xr:uid="{00000000-0005-0000-0000-000027220000}"/>
    <cellStyle name="20% - Accent5 4 3 26" xfId="56156" xr:uid="{00000000-0005-0000-0000-000028220000}"/>
    <cellStyle name="20% - Accent5 4 3 27" xfId="57839" xr:uid="{00000000-0005-0000-0000-000029220000}"/>
    <cellStyle name="20% - Accent5 4 3 28" xfId="59522" xr:uid="{00000000-0005-0000-0000-00002A220000}"/>
    <cellStyle name="20% - Accent5 4 3 29" xfId="61205" xr:uid="{00000000-0005-0000-0000-00002B220000}"/>
    <cellStyle name="20% - Accent5 4 3 3" xfId="3980" xr:uid="{00000000-0005-0000-0000-00002C220000}"/>
    <cellStyle name="20% - Accent5 4 3 3 2" xfId="19129" xr:uid="{00000000-0005-0000-0000-00002D220000}"/>
    <cellStyle name="20% - Accent5 4 3 30" xfId="62888" xr:uid="{00000000-0005-0000-0000-00002E220000}"/>
    <cellStyle name="20% - Accent5 4 3 4" xfId="5663" xr:uid="{00000000-0005-0000-0000-00002F220000}"/>
    <cellStyle name="20% - Accent5 4 3 4 2" xfId="20812" xr:uid="{00000000-0005-0000-0000-000030220000}"/>
    <cellStyle name="20% - Accent5 4 3 5" xfId="7346" xr:uid="{00000000-0005-0000-0000-000031220000}"/>
    <cellStyle name="20% - Accent5 4 3 5 2" xfId="22495" xr:uid="{00000000-0005-0000-0000-000032220000}"/>
    <cellStyle name="20% - Accent5 4 3 6" xfId="9029" xr:uid="{00000000-0005-0000-0000-000033220000}"/>
    <cellStyle name="20% - Accent5 4 3 6 2" xfId="24178" xr:uid="{00000000-0005-0000-0000-000034220000}"/>
    <cellStyle name="20% - Accent5 4 3 7" xfId="10712" xr:uid="{00000000-0005-0000-0000-000035220000}"/>
    <cellStyle name="20% - Accent5 4 3 7 2" xfId="25861" xr:uid="{00000000-0005-0000-0000-000036220000}"/>
    <cellStyle name="20% - Accent5 4 3 8" xfId="12396" xr:uid="{00000000-0005-0000-0000-000037220000}"/>
    <cellStyle name="20% - Accent5 4 3 8 2" xfId="27545" xr:uid="{00000000-0005-0000-0000-000038220000}"/>
    <cellStyle name="20% - Accent5 4 3 9" xfId="14079" xr:uid="{00000000-0005-0000-0000-000039220000}"/>
    <cellStyle name="20% - Accent5 4 3 9 2" xfId="29228" xr:uid="{00000000-0005-0000-0000-00003A220000}"/>
    <cellStyle name="20% - Accent5 4 30" xfId="55736" xr:uid="{00000000-0005-0000-0000-00003B220000}"/>
    <cellStyle name="20% - Accent5 4 31" xfId="57419" xr:uid="{00000000-0005-0000-0000-00003C220000}"/>
    <cellStyle name="20% - Accent5 4 32" xfId="59102" xr:uid="{00000000-0005-0000-0000-00003D220000}"/>
    <cellStyle name="20% - Accent5 4 33" xfId="60785" xr:uid="{00000000-0005-0000-0000-00003E220000}"/>
    <cellStyle name="20% - Accent5 4 34" xfId="62468" xr:uid="{00000000-0005-0000-0000-00003F220000}"/>
    <cellStyle name="20% - Accent5 4 4" xfId="1034" xr:uid="{00000000-0005-0000-0000-000040220000}"/>
    <cellStyle name="20% - Accent5 4 4 10" xfId="16183" xr:uid="{00000000-0005-0000-0000-000041220000}"/>
    <cellStyle name="20% - Accent5 4 4 11" xfId="31332" xr:uid="{00000000-0005-0000-0000-000042220000}"/>
    <cellStyle name="20% - Accent5 4 4 12" xfId="33015" xr:uid="{00000000-0005-0000-0000-000043220000}"/>
    <cellStyle name="20% - Accent5 4 4 13" xfId="34698" xr:uid="{00000000-0005-0000-0000-000044220000}"/>
    <cellStyle name="20% - Accent5 4 4 14" xfId="36381" xr:uid="{00000000-0005-0000-0000-000045220000}"/>
    <cellStyle name="20% - Accent5 4 4 15" xfId="38064" xr:uid="{00000000-0005-0000-0000-000046220000}"/>
    <cellStyle name="20% - Accent5 4 4 16" xfId="39747" xr:uid="{00000000-0005-0000-0000-000047220000}"/>
    <cellStyle name="20% - Accent5 4 4 17" xfId="41430" xr:uid="{00000000-0005-0000-0000-000048220000}"/>
    <cellStyle name="20% - Accent5 4 4 18" xfId="43113" xr:uid="{00000000-0005-0000-0000-000049220000}"/>
    <cellStyle name="20% - Accent5 4 4 19" xfId="44796" xr:uid="{00000000-0005-0000-0000-00004A220000}"/>
    <cellStyle name="20% - Accent5 4 4 2" xfId="2717" xr:uid="{00000000-0005-0000-0000-00004B220000}"/>
    <cellStyle name="20% - Accent5 4 4 2 2" xfId="17866" xr:uid="{00000000-0005-0000-0000-00004C220000}"/>
    <cellStyle name="20% - Accent5 4 4 20" xfId="46479" xr:uid="{00000000-0005-0000-0000-00004D220000}"/>
    <cellStyle name="20% - Accent5 4 4 21" xfId="48162" xr:uid="{00000000-0005-0000-0000-00004E220000}"/>
    <cellStyle name="20% - Accent5 4 4 22" xfId="49845" xr:uid="{00000000-0005-0000-0000-00004F220000}"/>
    <cellStyle name="20% - Accent5 4 4 23" xfId="51528" xr:uid="{00000000-0005-0000-0000-000050220000}"/>
    <cellStyle name="20% - Accent5 4 4 24" xfId="53211" xr:uid="{00000000-0005-0000-0000-000051220000}"/>
    <cellStyle name="20% - Accent5 4 4 25" xfId="54894" xr:uid="{00000000-0005-0000-0000-000052220000}"/>
    <cellStyle name="20% - Accent5 4 4 26" xfId="56577" xr:uid="{00000000-0005-0000-0000-000053220000}"/>
    <cellStyle name="20% - Accent5 4 4 27" xfId="58260" xr:uid="{00000000-0005-0000-0000-000054220000}"/>
    <cellStyle name="20% - Accent5 4 4 28" xfId="59943" xr:uid="{00000000-0005-0000-0000-000055220000}"/>
    <cellStyle name="20% - Accent5 4 4 29" xfId="61626" xr:uid="{00000000-0005-0000-0000-000056220000}"/>
    <cellStyle name="20% - Accent5 4 4 3" xfId="4401" xr:uid="{00000000-0005-0000-0000-000057220000}"/>
    <cellStyle name="20% - Accent5 4 4 3 2" xfId="19550" xr:uid="{00000000-0005-0000-0000-000058220000}"/>
    <cellStyle name="20% - Accent5 4 4 30" xfId="63309" xr:uid="{00000000-0005-0000-0000-000059220000}"/>
    <cellStyle name="20% - Accent5 4 4 4" xfId="6084" xr:uid="{00000000-0005-0000-0000-00005A220000}"/>
    <cellStyle name="20% - Accent5 4 4 4 2" xfId="21233" xr:uid="{00000000-0005-0000-0000-00005B220000}"/>
    <cellStyle name="20% - Accent5 4 4 5" xfId="7767" xr:uid="{00000000-0005-0000-0000-00005C220000}"/>
    <cellStyle name="20% - Accent5 4 4 5 2" xfId="22916" xr:uid="{00000000-0005-0000-0000-00005D220000}"/>
    <cellStyle name="20% - Accent5 4 4 6" xfId="9450" xr:uid="{00000000-0005-0000-0000-00005E220000}"/>
    <cellStyle name="20% - Accent5 4 4 6 2" xfId="24599" xr:uid="{00000000-0005-0000-0000-00005F220000}"/>
    <cellStyle name="20% - Accent5 4 4 7" xfId="11133" xr:uid="{00000000-0005-0000-0000-000060220000}"/>
    <cellStyle name="20% - Accent5 4 4 7 2" xfId="26282" xr:uid="{00000000-0005-0000-0000-000061220000}"/>
    <cellStyle name="20% - Accent5 4 4 8" xfId="12817" xr:uid="{00000000-0005-0000-0000-000062220000}"/>
    <cellStyle name="20% - Accent5 4 4 8 2" xfId="27966" xr:uid="{00000000-0005-0000-0000-000063220000}"/>
    <cellStyle name="20% - Accent5 4 4 9" xfId="14500" xr:uid="{00000000-0005-0000-0000-000064220000}"/>
    <cellStyle name="20% - Accent5 4 4 9 2" xfId="29649" xr:uid="{00000000-0005-0000-0000-000065220000}"/>
    <cellStyle name="20% - Accent5 4 5" xfId="1455" xr:uid="{00000000-0005-0000-0000-000066220000}"/>
    <cellStyle name="20% - Accent5 4 5 10" xfId="16604" xr:uid="{00000000-0005-0000-0000-000067220000}"/>
    <cellStyle name="20% - Accent5 4 5 11" xfId="31753" xr:uid="{00000000-0005-0000-0000-000068220000}"/>
    <cellStyle name="20% - Accent5 4 5 12" xfId="33436" xr:uid="{00000000-0005-0000-0000-000069220000}"/>
    <cellStyle name="20% - Accent5 4 5 13" xfId="35119" xr:uid="{00000000-0005-0000-0000-00006A220000}"/>
    <cellStyle name="20% - Accent5 4 5 14" xfId="36802" xr:uid="{00000000-0005-0000-0000-00006B220000}"/>
    <cellStyle name="20% - Accent5 4 5 15" xfId="38485" xr:uid="{00000000-0005-0000-0000-00006C220000}"/>
    <cellStyle name="20% - Accent5 4 5 16" xfId="40168" xr:uid="{00000000-0005-0000-0000-00006D220000}"/>
    <cellStyle name="20% - Accent5 4 5 17" xfId="41851" xr:uid="{00000000-0005-0000-0000-00006E220000}"/>
    <cellStyle name="20% - Accent5 4 5 18" xfId="43534" xr:uid="{00000000-0005-0000-0000-00006F220000}"/>
    <cellStyle name="20% - Accent5 4 5 19" xfId="45217" xr:uid="{00000000-0005-0000-0000-000070220000}"/>
    <cellStyle name="20% - Accent5 4 5 2" xfId="3138" xr:uid="{00000000-0005-0000-0000-000071220000}"/>
    <cellStyle name="20% - Accent5 4 5 2 2" xfId="18287" xr:uid="{00000000-0005-0000-0000-000072220000}"/>
    <cellStyle name="20% - Accent5 4 5 20" xfId="46900" xr:uid="{00000000-0005-0000-0000-000073220000}"/>
    <cellStyle name="20% - Accent5 4 5 21" xfId="48583" xr:uid="{00000000-0005-0000-0000-000074220000}"/>
    <cellStyle name="20% - Accent5 4 5 22" xfId="50266" xr:uid="{00000000-0005-0000-0000-000075220000}"/>
    <cellStyle name="20% - Accent5 4 5 23" xfId="51949" xr:uid="{00000000-0005-0000-0000-000076220000}"/>
    <cellStyle name="20% - Accent5 4 5 24" xfId="53632" xr:uid="{00000000-0005-0000-0000-000077220000}"/>
    <cellStyle name="20% - Accent5 4 5 25" xfId="55315" xr:uid="{00000000-0005-0000-0000-000078220000}"/>
    <cellStyle name="20% - Accent5 4 5 26" xfId="56998" xr:uid="{00000000-0005-0000-0000-000079220000}"/>
    <cellStyle name="20% - Accent5 4 5 27" xfId="58681" xr:uid="{00000000-0005-0000-0000-00007A220000}"/>
    <cellStyle name="20% - Accent5 4 5 28" xfId="60364" xr:uid="{00000000-0005-0000-0000-00007B220000}"/>
    <cellStyle name="20% - Accent5 4 5 29" xfId="62047" xr:uid="{00000000-0005-0000-0000-00007C220000}"/>
    <cellStyle name="20% - Accent5 4 5 3" xfId="4822" xr:uid="{00000000-0005-0000-0000-00007D220000}"/>
    <cellStyle name="20% - Accent5 4 5 3 2" xfId="19971" xr:uid="{00000000-0005-0000-0000-00007E220000}"/>
    <cellStyle name="20% - Accent5 4 5 30" xfId="63730" xr:uid="{00000000-0005-0000-0000-00007F220000}"/>
    <cellStyle name="20% - Accent5 4 5 4" xfId="6505" xr:uid="{00000000-0005-0000-0000-000080220000}"/>
    <cellStyle name="20% - Accent5 4 5 4 2" xfId="21654" xr:uid="{00000000-0005-0000-0000-000081220000}"/>
    <cellStyle name="20% - Accent5 4 5 5" xfId="8188" xr:uid="{00000000-0005-0000-0000-000082220000}"/>
    <cellStyle name="20% - Accent5 4 5 5 2" xfId="23337" xr:uid="{00000000-0005-0000-0000-000083220000}"/>
    <cellStyle name="20% - Accent5 4 5 6" xfId="9871" xr:uid="{00000000-0005-0000-0000-000084220000}"/>
    <cellStyle name="20% - Accent5 4 5 6 2" xfId="25020" xr:uid="{00000000-0005-0000-0000-000085220000}"/>
    <cellStyle name="20% - Accent5 4 5 7" xfId="11554" xr:uid="{00000000-0005-0000-0000-000086220000}"/>
    <cellStyle name="20% - Accent5 4 5 7 2" xfId="26703" xr:uid="{00000000-0005-0000-0000-000087220000}"/>
    <cellStyle name="20% - Accent5 4 5 8" xfId="13238" xr:uid="{00000000-0005-0000-0000-000088220000}"/>
    <cellStyle name="20% - Accent5 4 5 8 2" xfId="28387" xr:uid="{00000000-0005-0000-0000-000089220000}"/>
    <cellStyle name="20% - Accent5 4 5 9" xfId="14921" xr:uid="{00000000-0005-0000-0000-00008A220000}"/>
    <cellStyle name="20% - Accent5 4 5 9 2" xfId="30070" xr:uid="{00000000-0005-0000-0000-00008B220000}"/>
    <cellStyle name="20% - Accent5 4 6" xfId="1876" xr:uid="{00000000-0005-0000-0000-00008C220000}"/>
    <cellStyle name="20% - Accent5 4 6 2" xfId="17025" xr:uid="{00000000-0005-0000-0000-00008D220000}"/>
    <cellStyle name="20% - Accent5 4 7" xfId="3560" xr:uid="{00000000-0005-0000-0000-00008E220000}"/>
    <cellStyle name="20% - Accent5 4 7 2" xfId="18709" xr:uid="{00000000-0005-0000-0000-00008F220000}"/>
    <cellStyle name="20% - Accent5 4 8" xfId="5243" xr:uid="{00000000-0005-0000-0000-000090220000}"/>
    <cellStyle name="20% - Accent5 4 8 2" xfId="20392" xr:uid="{00000000-0005-0000-0000-000091220000}"/>
    <cellStyle name="20% - Accent5 4 9" xfId="6926" xr:uid="{00000000-0005-0000-0000-000092220000}"/>
    <cellStyle name="20% - Accent5 4 9 2" xfId="22075" xr:uid="{00000000-0005-0000-0000-000093220000}"/>
    <cellStyle name="20% - Accent5 5" xfId="298" xr:uid="{00000000-0005-0000-0000-000094220000}"/>
    <cellStyle name="20% - Accent5 5 10" xfId="10397" xr:uid="{00000000-0005-0000-0000-000095220000}"/>
    <cellStyle name="20% - Accent5 5 10 2" xfId="25546" xr:uid="{00000000-0005-0000-0000-000096220000}"/>
    <cellStyle name="20% - Accent5 5 11" xfId="12081" xr:uid="{00000000-0005-0000-0000-000097220000}"/>
    <cellStyle name="20% - Accent5 5 11 2" xfId="27230" xr:uid="{00000000-0005-0000-0000-000098220000}"/>
    <cellStyle name="20% - Accent5 5 12" xfId="13764" xr:uid="{00000000-0005-0000-0000-000099220000}"/>
    <cellStyle name="20% - Accent5 5 12 2" xfId="28913" xr:uid="{00000000-0005-0000-0000-00009A220000}"/>
    <cellStyle name="20% - Accent5 5 13" xfId="15447" xr:uid="{00000000-0005-0000-0000-00009B220000}"/>
    <cellStyle name="20% - Accent5 5 14" xfId="30596" xr:uid="{00000000-0005-0000-0000-00009C220000}"/>
    <cellStyle name="20% - Accent5 5 15" xfId="32279" xr:uid="{00000000-0005-0000-0000-00009D220000}"/>
    <cellStyle name="20% - Accent5 5 16" xfId="33962" xr:uid="{00000000-0005-0000-0000-00009E220000}"/>
    <cellStyle name="20% - Accent5 5 17" xfId="35645" xr:uid="{00000000-0005-0000-0000-00009F220000}"/>
    <cellStyle name="20% - Accent5 5 18" xfId="37328" xr:uid="{00000000-0005-0000-0000-0000A0220000}"/>
    <cellStyle name="20% - Accent5 5 19" xfId="39011" xr:uid="{00000000-0005-0000-0000-0000A1220000}"/>
    <cellStyle name="20% - Accent5 5 2" xfId="718" xr:uid="{00000000-0005-0000-0000-0000A2220000}"/>
    <cellStyle name="20% - Accent5 5 2 10" xfId="15867" xr:uid="{00000000-0005-0000-0000-0000A3220000}"/>
    <cellStyle name="20% - Accent5 5 2 11" xfId="31016" xr:uid="{00000000-0005-0000-0000-0000A4220000}"/>
    <cellStyle name="20% - Accent5 5 2 12" xfId="32699" xr:uid="{00000000-0005-0000-0000-0000A5220000}"/>
    <cellStyle name="20% - Accent5 5 2 13" xfId="34382" xr:uid="{00000000-0005-0000-0000-0000A6220000}"/>
    <cellStyle name="20% - Accent5 5 2 14" xfId="36065" xr:uid="{00000000-0005-0000-0000-0000A7220000}"/>
    <cellStyle name="20% - Accent5 5 2 15" xfId="37748" xr:uid="{00000000-0005-0000-0000-0000A8220000}"/>
    <cellStyle name="20% - Accent5 5 2 16" xfId="39431" xr:uid="{00000000-0005-0000-0000-0000A9220000}"/>
    <cellStyle name="20% - Accent5 5 2 17" xfId="41114" xr:uid="{00000000-0005-0000-0000-0000AA220000}"/>
    <cellStyle name="20% - Accent5 5 2 18" xfId="42797" xr:uid="{00000000-0005-0000-0000-0000AB220000}"/>
    <cellStyle name="20% - Accent5 5 2 19" xfId="44480" xr:uid="{00000000-0005-0000-0000-0000AC220000}"/>
    <cellStyle name="20% - Accent5 5 2 2" xfId="2401" xr:uid="{00000000-0005-0000-0000-0000AD220000}"/>
    <cellStyle name="20% - Accent5 5 2 2 2" xfId="17550" xr:uid="{00000000-0005-0000-0000-0000AE220000}"/>
    <cellStyle name="20% - Accent5 5 2 20" xfId="46163" xr:uid="{00000000-0005-0000-0000-0000AF220000}"/>
    <cellStyle name="20% - Accent5 5 2 21" xfId="47846" xr:uid="{00000000-0005-0000-0000-0000B0220000}"/>
    <cellStyle name="20% - Accent5 5 2 22" xfId="49529" xr:uid="{00000000-0005-0000-0000-0000B1220000}"/>
    <cellStyle name="20% - Accent5 5 2 23" xfId="51212" xr:uid="{00000000-0005-0000-0000-0000B2220000}"/>
    <cellStyle name="20% - Accent5 5 2 24" xfId="52895" xr:uid="{00000000-0005-0000-0000-0000B3220000}"/>
    <cellStyle name="20% - Accent5 5 2 25" xfId="54578" xr:uid="{00000000-0005-0000-0000-0000B4220000}"/>
    <cellStyle name="20% - Accent5 5 2 26" xfId="56261" xr:uid="{00000000-0005-0000-0000-0000B5220000}"/>
    <cellStyle name="20% - Accent5 5 2 27" xfId="57944" xr:uid="{00000000-0005-0000-0000-0000B6220000}"/>
    <cellStyle name="20% - Accent5 5 2 28" xfId="59627" xr:uid="{00000000-0005-0000-0000-0000B7220000}"/>
    <cellStyle name="20% - Accent5 5 2 29" xfId="61310" xr:uid="{00000000-0005-0000-0000-0000B8220000}"/>
    <cellStyle name="20% - Accent5 5 2 3" xfId="4085" xr:uid="{00000000-0005-0000-0000-0000B9220000}"/>
    <cellStyle name="20% - Accent5 5 2 3 2" xfId="19234" xr:uid="{00000000-0005-0000-0000-0000BA220000}"/>
    <cellStyle name="20% - Accent5 5 2 30" xfId="62993" xr:uid="{00000000-0005-0000-0000-0000BB220000}"/>
    <cellStyle name="20% - Accent5 5 2 4" xfId="5768" xr:uid="{00000000-0005-0000-0000-0000BC220000}"/>
    <cellStyle name="20% - Accent5 5 2 4 2" xfId="20917" xr:uid="{00000000-0005-0000-0000-0000BD220000}"/>
    <cellStyle name="20% - Accent5 5 2 5" xfId="7451" xr:uid="{00000000-0005-0000-0000-0000BE220000}"/>
    <cellStyle name="20% - Accent5 5 2 5 2" xfId="22600" xr:uid="{00000000-0005-0000-0000-0000BF220000}"/>
    <cellStyle name="20% - Accent5 5 2 6" xfId="9134" xr:uid="{00000000-0005-0000-0000-0000C0220000}"/>
    <cellStyle name="20% - Accent5 5 2 6 2" xfId="24283" xr:uid="{00000000-0005-0000-0000-0000C1220000}"/>
    <cellStyle name="20% - Accent5 5 2 7" xfId="10817" xr:uid="{00000000-0005-0000-0000-0000C2220000}"/>
    <cellStyle name="20% - Accent5 5 2 7 2" xfId="25966" xr:uid="{00000000-0005-0000-0000-0000C3220000}"/>
    <cellStyle name="20% - Accent5 5 2 8" xfId="12501" xr:uid="{00000000-0005-0000-0000-0000C4220000}"/>
    <cellStyle name="20% - Accent5 5 2 8 2" xfId="27650" xr:uid="{00000000-0005-0000-0000-0000C5220000}"/>
    <cellStyle name="20% - Accent5 5 2 9" xfId="14184" xr:uid="{00000000-0005-0000-0000-0000C6220000}"/>
    <cellStyle name="20% - Accent5 5 2 9 2" xfId="29333" xr:uid="{00000000-0005-0000-0000-0000C7220000}"/>
    <cellStyle name="20% - Accent5 5 20" xfId="40694" xr:uid="{00000000-0005-0000-0000-0000C8220000}"/>
    <cellStyle name="20% - Accent5 5 21" xfId="42377" xr:uid="{00000000-0005-0000-0000-0000C9220000}"/>
    <cellStyle name="20% - Accent5 5 22" xfId="44060" xr:uid="{00000000-0005-0000-0000-0000CA220000}"/>
    <cellStyle name="20% - Accent5 5 23" xfId="45743" xr:uid="{00000000-0005-0000-0000-0000CB220000}"/>
    <cellStyle name="20% - Accent5 5 24" xfId="47426" xr:uid="{00000000-0005-0000-0000-0000CC220000}"/>
    <cellStyle name="20% - Accent5 5 25" xfId="49109" xr:uid="{00000000-0005-0000-0000-0000CD220000}"/>
    <cellStyle name="20% - Accent5 5 26" xfId="50792" xr:uid="{00000000-0005-0000-0000-0000CE220000}"/>
    <cellStyle name="20% - Accent5 5 27" xfId="52475" xr:uid="{00000000-0005-0000-0000-0000CF220000}"/>
    <cellStyle name="20% - Accent5 5 28" xfId="54158" xr:uid="{00000000-0005-0000-0000-0000D0220000}"/>
    <cellStyle name="20% - Accent5 5 29" xfId="55841" xr:uid="{00000000-0005-0000-0000-0000D1220000}"/>
    <cellStyle name="20% - Accent5 5 3" xfId="1139" xr:uid="{00000000-0005-0000-0000-0000D2220000}"/>
    <cellStyle name="20% - Accent5 5 3 10" xfId="16288" xr:uid="{00000000-0005-0000-0000-0000D3220000}"/>
    <cellStyle name="20% - Accent5 5 3 11" xfId="31437" xr:uid="{00000000-0005-0000-0000-0000D4220000}"/>
    <cellStyle name="20% - Accent5 5 3 12" xfId="33120" xr:uid="{00000000-0005-0000-0000-0000D5220000}"/>
    <cellStyle name="20% - Accent5 5 3 13" xfId="34803" xr:uid="{00000000-0005-0000-0000-0000D6220000}"/>
    <cellStyle name="20% - Accent5 5 3 14" xfId="36486" xr:uid="{00000000-0005-0000-0000-0000D7220000}"/>
    <cellStyle name="20% - Accent5 5 3 15" xfId="38169" xr:uid="{00000000-0005-0000-0000-0000D8220000}"/>
    <cellStyle name="20% - Accent5 5 3 16" xfId="39852" xr:uid="{00000000-0005-0000-0000-0000D9220000}"/>
    <cellStyle name="20% - Accent5 5 3 17" xfId="41535" xr:uid="{00000000-0005-0000-0000-0000DA220000}"/>
    <cellStyle name="20% - Accent5 5 3 18" xfId="43218" xr:uid="{00000000-0005-0000-0000-0000DB220000}"/>
    <cellStyle name="20% - Accent5 5 3 19" xfId="44901" xr:uid="{00000000-0005-0000-0000-0000DC220000}"/>
    <cellStyle name="20% - Accent5 5 3 2" xfId="2822" xr:uid="{00000000-0005-0000-0000-0000DD220000}"/>
    <cellStyle name="20% - Accent5 5 3 2 2" xfId="17971" xr:uid="{00000000-0005-0000-0000-0000DE220000}"/>
    <cellStyle name="20% - Accent5 5 3 20" xfId="46584" xr:uid="{00000000-0005-0000-0000-0000DF220000}"/>
    <cellStyle name="20% - Accent5 5 3 21" xfId="48267" xr:uid="{00000000-0005-0000-0000-0000E0220000}"/>
    <cellStyle name="20% - Accent5 5 3 22" xfId="49950" xr:uid="{00000000-0005-0000-0000-0000E1220000}"/>
    <cellStyle name="20% - Accent5 5 3 23" xfId="51633" xr:uid="{00000000-0005-0000-0000-0000E2220000}"/>
    <cellStyle name="20% - Accent5 5 3 24" xfId="53316" xr:uid="{00000000-0005-0000-0000-0000E3220000}"/>
    <cellStyle name="20% - Accent5 5 3 25" xfId="54999" xr:uid="{00000000-0005-0000-0000-0000E4220000}"/>
    <cellStyle name="20% - Accent5 5 3 26" xfId="56682" xr:uid="{00000000-0005-0000-0000-0000E5220000}"/>
    <cellStyle name="20% - Accent5 5 3 27" xfId="58365" xr:uid="{00000000-0005-0000-0000-0000E6220000}"/>
    <cellStyle name="20% - Accent5 5 3 28" xfId="60048" xr:uid="{00000000-0005-0000-0000-0000E7220000}"/>
    <cellStyle name="20% - Accent5 5 3 29" xfId="61731" xr:uid="{00000000-0005-0000-0000-0000E8220000}"/>
    <cellStyle name="20% - Accent5 5 3 3" xfId="4506" xr:uid="{00000000-0005-0000-0000-0000E9220000}"/>
    <cellStyle name="20% - Accent5 5 3 3 2" xfId="19655" xr:uid="{00000000-0005-0000-0000-0000EA220000}"/>
    <cellStyle name="20% - Accent5 5 3 30" xfId="63414" xr:uid="{00000000-0005-0000-0000-0000EB220000}"/>
    <cellStyle name="20% - Accent5 5 3 4" xfId="6189" xr:uid="{00000000-0005-0000-0000-0000EC220000}"/>
    <cellStyle name="20% - Accent5 5 3 4 2" xfId="21338" xr:uid="{00000000-0005-0000-0000-0000ED220000}"/>
    <cellStyle name="20% - Accent5 5 3 5" xfId="7872" xr:uid="{00000000-0005-0000-0000-0000EE220000}"/>
    <cellStyle name="20% - Accent5 5 3 5 2" xfId="23021" xr:uid="{00000000-0005-0000-0000-0000EF220000}"/>
    <cellStyle name="20% - Accent5 5 3 6" xfId="9555" xr:uid="{00000000-0005-0000-0000-0000F0220000}"/>
    <cellStyle name="20% - Accent5 5 3 6 2" xfId="24704" xr:uid="{00000000-0005-0000-0000-0000F1220000}"/>
    <cellStyle name="20% - Accent5 5 3 7" xfId="11238" xr:uid="{00000000-0005-0000-0000-0000F2220000}"/>
    <cellStyle name="20% - Accent5 5 3 7 2" xfId="26387" xr:uid="{00000000-0005-0000-0000-0000F3220000}"/>
    <cellStyle name="20% - Accent5 5 3 8" xfId="12922" xr:uid="{00000000-0005-0000-0000-0000F4220000}"/>
    <cellStyle name="20% - Accent5 5 3 8 2" xfId="28071" xr:uid="{00000000-0005-0000-0000-0000F5220000}"/>
    <cellStyle name="20% - Accent5 5 3 9" xfId="14605" xr:uid="{00000000-0005-0000-0000-0000F6220000}"/>
    <cellStyle name="20% - Accent5 5 3 9 2" xfId="29754" xr:uid="{00000000-0005-0000-0000-0000F7220000}"/>
    <cellStyle name="20% - Accent5 5 30" xfId="57524" xr:uid="{00000000-0005-0000-0000-0000F8220000}"/>
    <cellStyle name="20% - Accent5 5 31" xfId="59207" xr:uid="{00000000-0005-0000-0000-0000F9220000}"/>
    <cellStyle name="20% - Accent5 5 32" xfId="60890" xr:uid="{00000000-0005-0000-0000-0000FA220000}"/>
    <cellStyle name="20% - Accent5 5 33" xfId="62573" xr:uid="{00000000-0005-0000-0000-0000FB220000}"/>
    <cellStyle name="20% - Accent5 5 4" xfId="1560" xr:uid="{00000000-0005-0000-0000-0000FC220000}"/>
    <cellStyle name="20% - Accent5 5 4 10" xfId="16709" xr:uid="{00000000-0005-0000-0000-0000FD220000}"/>
    <cellStyle name="20% - Accent5 5 4 11" xfId="31858" xr:uid="{00000000-0005-0000-0000-0000FE220000}"/>
    <cellStyle name="20% - Accent5 5 4 12" xfId="33541" xr:uid="{00000000-0005-0000-0000-0000FF220000}"/>
    <cellStyle name="20% - Accent5 5 4 13" xfId="35224" xr:uid="{00000000-0005-0000-0000-000000230000}"/>
    <cellStyle name="20% - Accent5 5 4 14" xfId="36907" xr:uid="{00000000-0005-0000-0000-000001230000}"/>
    <cellStyle name="20% - Accent5 5 4 15" xfId="38590" xr:uid="{00000000-0005-0000-0000-000002230000}"/>
    <cellStyle name="20% - Accent5 5 4 16" xfId="40273" xr:uid="{00000000-0005-0000-0000-000003230000}"/>
    <cellStyle name="20% - Accent5 5 4 17" xfId="41956" xr:uid="{00000000-0005-0000-0000-000004230000}"/>
    <cellStyle name="20% - Accent5 5 4 18" xfId="43639" xr:uid="{00000000-0005-0000-0000-000005230000}"/>
    <cellStyle name="20% - Accent5 5 4 19" xfId="45322" xr:uid="{00000000-0005-0000-0000-000006230000}"/>
    <cellStyle name="20% - Accent5 5 4 2" xfId="3243" xr:uid="{00000000-0005-0000-0000-000007230000}"/>
    <cellStyle name="20% - Accent5 5 4 2 2" xfId="18392" xr:uid="{00000000-0005-0000-0000-000008230000}"/>
    <cellStyle name="20% - Accent5 5 4 20" xfId="47005" xr:uid="{00000000-0005-0000-0000-000009230000}"/>
    <cellStyle name="20% - Accent5 5 4 21" xfId="48688" xr:uid="{00000000-0005-0000-0000-00000A230000}"/>
    <cellStyle name="20% - Accent5 5 4 22" xfId="50371" xr:uid="{00000000-0005-0000-0000-00000B230000}"/>
    <cellStyle name="20% - Accent5 5 4 23" xfId="52054" xr:uid="{00000000-0005-0000-0000-00000C230000}"/>
    <cellStyle name="20% - Accent5 5 4 24" xfId="53737" xr:uid="{00000000-0005-0000-0000-00000D230000}"/>
    <cellStyle name="20% - Accent5 5 4 25" xfId="55420" xr:uid="{00000000-0005-0000-0000-00000E230000}"/>
    <cellStyle name="20% - Accent5 5 4 26" xfId="57103" xr:uid="{00000000-0005-0000-0000-00000F230000}"/>
    <cellStyle name="20% - Accent5 5 4 27" xfId="58786" xr:uid="{00000000-0005-0000-0000-000010230000}"/>
    <cellStyle name="20% - Accent5 5 4 28" xfId="60469" xr:uid="{00000000-0005-0000-0000-000011230000}"/>
    <cellStyle name="20% - Accent5 5 4 29" xfId="62152" xr:uid="{00000000-0005-0000-0000-000012230000}"/>
    <cellStyle name="20% - Accent5 5 4 3" xfId="4927" xr:uid="{00000000-0005-0000-0000-000013230000}"/>
    <cellStyle name="20% - Accent5 5 4 3 2" xfId="20076" xr:uid="{00000000-0005-0000-0000-000014230000}"/>
    <cellStyle name="20% - Accent5 5 4 30" xfId="63835" xr:uid="{00000000-0005-0000-0000-000015230000}"/>
    <cellStyle name="20% - Accent5 5 4 4" xfId="6610" xr:uid="{00000000-0005-0000-0000-000016230000}"/>
    <cellStyle name="20% - Accent5 5 4 4 2" xfId="21759" xr:uid="{00000000-0005-0000-0000-000017230000}"/>
    <cellStyle name="20% - Accent5 5 4 5" xfId="8293" xr:uid="{00000000-0005-0000-0000-000018230000}"/>
    <cellStyle name="20% - Accent5 5 4 5 2" xfId="23442" xr:uid="{00000000-0005-0000-0000-000019230000}"/>
    <cellStyle name="20% - Accent5 5 4 6" xfId="9976" xr:uid="{00000000-0005-0000-0000-00001A230000}"/>
    <cellStyle name="20% - Accent5 5 4 6 2" xfId="25125" xr:uid="{00000000-0005-0000-0000-00001B230000}"/>
    <cellStyle name="20% - Accent5 5 4 7" xfId="11659" xr:uid="{00000000-0005-0000-0000-00001C230000}"/>
    <cellStyle name="20% - Accent5 5 4 7 2" xfId="26808" xr:uid="{00000000-0005-0000-0000-00001D230000}"/>
    <cellStyle name="20% - Accent5 5 4 8" xfId="13343" xr:uid="{00000000-0005-0000-0000-00001E230000}"/>
    <cellStyle name="20% - Accent5 5 4 8 2" xfId="28492" xr:uid="{00000000-0005-0000-0000-00001F230000}"/>
    <cellStyle name="20% - Accent5 5 4 9" xfId="15026" xr:uid="{00000000-0005-0000-0000-000020230000}"/>
    <cellStyle name="20% - Accent5 5 4 9 2" xfId="30175" xr:uid="{00000000-0005-0000-0000-000021230000}"/>
    <cellStyle name="20% - Accent5 5 5" xfId="1981" xr:uid="{00000000-0005-0000-0000-000022230000}"/>
    <cellStyle name="20% - Accent5 5 5 2" xfId="17130" xr:uid="{00000000-0005-0000-0000-000023230000}"/>
    <cellStyle name="20% - Accent5 5 6" xfId="3665" xr:uid="{00000000-0005-0000-0000-000024230000}"/>
    <cellStyle name="20% - Accent5 5 6 2" xfId="18814" xr:uid="{00000000-0005-0000-0000-000025230000}"/>
    <cellStyle name="20% - Accent5 5 7" xfId="5348" xr:uid="{00000000-0005-0000-0000-000026230000}"/>
    <cellStyle name="20% - Accent5 5 7 2" xfId="20497" xr:uid="{00000000-0005-0000-0000-000027230000}"/>
    <cellStyle name="20% - Accent5 5 8" xfId="7031" xr:uid="{00000000-0005-0000-0000-000028230000}"/>
    <cellStyle name="20% - Accent5 5 8 2" xfId="22180" xr:uid="{00000000-0005-0000-0000-000029230000}"/>
    <cellStyle name="20% - Accent5 5 9" xfId="8714" xr:uid="{00000000-0005-0000-0000-00002A230000}"/>
    <cellStyle name="20% - Accent5 5 9 2" xfId="23863" xr:uid="{00000000-0005-0000-0000-00002B230000}"/>
    <cellStyle name="20% - Accent5 6" xfId="508" xr:uid="{00000000-0005-0000-0000-00002C230000}"/>
    <cellStyle name="20% - Accent5 6 10" xfId="15657" xr:uid="{00000000-0005-0000-0000-00002D230000}"/>
    <cellStyle name="20% - Accent5 6 11" xfId="30806" xr:uid="{00000000-0005-0000-0000-00002E230000}"/>
    <cellStyle name="20% - Accent5 6 12" xfId="32489" xr:uid="{00000000-0005-0000-0000-00002F230000}"/>
    <cellStyle name="20% - Accent5 6 13" xfId="34172" xr:uid="{00000000-0005-0000-0000-000030230000}"/>
    <cellStyle name="20% - Accent5 6 14" xfId="35855" xr:uid="{00000000-0005-0000-0000-000031230000}"/>
    <cellStyle name="20% - Accent5 6 15" xfId="37538" xr:uid="{00000000-0005-0000-0000-000032230000}"/>
    <cellStyle name="20% - Accent5 6 16" xfId="39221" xr:uid="{00000000-0005-0000-0000-000033230000}"/>
    <cellStyle name="20% - Accent5 6 17" xfId="40904" xr:uid="{00000000-0005-0000-0000-000034230000}"/>
    <cellStyle name="20% - Accent5 6 18" xfId="42587" xr:uid="{00000000-0005-0000-0000-000035230000}"/>
    <cellStyle name="20% - Accent5 6 19" xfId="44270" xr:uid="{00000000-0005-0000-0000-000036230000}"/>
    <cellStyle name="20% - Accent5 6 2" xfId="2191" xr:uid="{00000000-0005-0000-0000-000037230000}"/>
    <cellStyle name="20% - Accent5 6 2 2" xfId="17340" xr:uid="{00000000-0005-0000-0000-000038230000}"/>
    <cellStyle name="20% - Accent5 6 20" xfId="45953" xr:uid="{00000000-0005-0000-0000-000039230000}"/>
    <cellStyle name="20% - Accent5 6 21" xfId="47636" xr:uid="{00000000-0005-0000-0000-00003A230000}"/>
    <cellStyle name="20% - Accent5 6 22" xfId="49319" xr:uid="{00000000-0005-0000-0000-00003B230000}"/>
    <cellStyle name="20% - Accent5 6 23" xfId="51002" xr:uid="{00000000-0005-0000-0000-00003C230000}"/>
    <cellStyle name="20% - Accent5 6 24" xfId="52685" xr:uid="{00000000-0005-0000-0000-00003D230000}"/>
    <cellStyle name="20% - Accent5 6 25" xfId="54368" xr:uid="{00000000-0005-0000-0000-00003E230000}"/>
    <cellStyle name="20% - Accent5 6 26" xfId="56051" xr:uid="{00000000-0005-0000-0000-00003F230000}"/>
    <cellStyle name="20% - Accent5 6 27" xfId="57734" xr:uid="{00000000-0005-0000-0000-000040230000}"/>
    <cellStyle name="20% - Accent5 6 28" xfId="59417" xr:uid="{00000000-0005-0000-0000-000041230000}"/>
    <cellStyle name="20% - Accent5 6 29" xfId="61100" xr:uid="{00000000-0005-0000-0000-000042230000}"/>
    <cellStyle name="20% - Accent5 6 3" xfId="3875" xr:uid="{00000000-0005-0000-0000-000043230000}"/>
    <cellStyle name="20% - Accent5 6 3 2" xfId="19024" xr:uid="{00000000-0005-0000-0000-000044230000}"/>
    <cellStyle name="20% - Accent5 6 30" xfId="62783" xr:uid="{00000000-0005-0000-0000-000045230000}"/>
    <cellStyle name="20% - Accent5 6 4" xfId="5558" xr:uid="{00000000-0005-0000-0000-000046230000}"/>
    <cellStyle name="20% - Accent5 6 4 2" xfId="20707" xr:uid="{00000000-0005-0000-0000-000047230000}"/>
    <cellStyle name="20% - Accent5 6 5" xfId="7241" xr:uid="{00000000-0005-0000-0000-000048230000}"/>
    <cellStyle name="20% - Accent5 6 5 2" xfId="22390" xr:uid="{00000000-0005-0000-0000-000049230000}"/>
    <cellStyle name="20% - Accent5 6 6" xfId="8924" xr:uid="{00000000-0005-0000-0000-00004A230000}"/>
    <cellStyle name="20% - Accent5 6 6 2" xfId="24073" xr:uid="{00000000-0005-0000-0000-00004B230000}"/>
    <cellStyle name="20% - Accent5 6 7" xfId="10607" xr:uid="{00000000-0005-0000-0000-00004C230000}"/>
    <cellStyle name="20% - Accent5 6 7 2" xfId="25756" xr:uid="{00000000-0005-0000-0000-00004D230000}"/>
    <cellStyle name="20% - Accent5 6 8" xfId="12291" xr:uid="{00000000-0005-0000-0000-00004E230000}"/>
    <cellStyle name="20% - Accent5 6 8 2" xfId="27440" xr:uid="{00000000-0005-0000-0000-00004F230000}"/>
    <cellStyle name="20% - Accent5 6 9" xfId="13974" xr:uid="{00000000-0005-0000-0000-000050230000}"/>
    <cellStyle name="20% - Accent5 6 9 2" xfId="29123" xr:uid="{00000000-0005-0000-0000-000051230000}"/>
    <cellStyle name="20% - Accent5 7" xfId="929" xr:uid="{00000000-0005-0000-0000-000052230000}"/>
    <cellStyle name="20% - Accent5 7 10" xfId="16078" xr:uid="{00000000-0005-0000-0000-000053230000}"/>
    <cellStyle name="20% - Accent5 7 11" xfId="31227" xr:uid="{00000000-0005-0000-0000-000054230000}"/>
    <cellStyle name="20% - Accent5 7 12" xfId="32910" xr:uid="{00000000-0005-0000-0000-000055230000}"/>
    <cellStyle name="20% - Accent5 7 13" xfId="34593" xr:uid="{00000000-0005-0000-0000-000056230000}"/>
    <cellStyle name="20% - Accent5 7 14" xfId="36276" xr:uid="{00000000-0005-0000-0000-000057230000}"/>
    <cellStyle name="20% - Accent5 7 15" xfId="37959" xr:uid="{00000000-0005-0000-0000-000058230000}"/>
    <cellStyle name="20% - Accent5 7 16" xfId="39642" xr:uid="{00000000-0005-0000-0000-000059230000}"/>
    <cellStyle name="20% - Accent5 7 17" xfId="41325" xr:uid="{00000000-0005-0000-0000-00005A230000}"/>
    <cellStyle name="20% - Accent5 7 18" xfId="43008" xr:uid="{00000000-0005-0000-0000-00005B230000}"/>
    <cellStyle name="20% - Accent5 7 19" xfId="44691" xr:uid="{00000000-0005-0000-0000-00005C230000}"/>
    <cellStyle name="20% - Accent5 7 2" xfId="2612" xr:uid="{00000000-0005-0000-0000-00005D230000}"/>
    <cellStyle name="20% - Accent5 7 2 2" xfId="17761" xr:uid="{00000000-0005-0000-0000-00005E230000}"/>
    <cellStyle name="20% - Accent5 7 20" xfId="46374" xr:uid="{00000000-0005-0000-0000-00005F230000}"/>
    <cellStyle name="20% - Accent5 7 21" xfId="48057" xr:uid="{00000000-0005-0000-0000-000060230000}"/>
    <cellStyle name="20% - Accent5 7 22" xfId="49740" xr:uid="{00000000-0005-0000-0000-000061230000}"/>
    <cellStyle name="20% - Accent5 7 23" xfId="51423" xr:uid="{00000000-0005-0000-0000-000062230000}"/>
    <cellStyle name="20% - Accent5 7 24" xfId="53106" xr:uid="{00000000-0005-0000-0000-000063230000}"/>
    <cellStyle name="20% - Accent5 7 25" xfId="54789" xr:uid="{00000000-0005-0000-0000-000064230000}"/>
    <cellStyle name="20% - Accent5 7 26" xfId="56472" xr:uid="{00000000-0005-0000-0000-000065230000}"/>
    <cellStyle name="20% - Accent5 7 27" xfId="58155" xr:uid="{00000000-0005-0000-0000-000066230000}"/>
    <cellStyle name="20% - Accent5 7 28" xfId="59838" xr:uid="{00000000-0005-0000-0000-000067230000}"/>
    <cellStyle name="20% - Accent5 7 29" xfId="61521" xr:uid="{00000000-0005-0000-0000-000068230000}"/>
    <cellStyle name="20% - Accent5 7 3" xfId="4296" xr:uid="{00000000-0005-0000-0000-000069230000}"/>
    <cellStyle name="20% - Accent5 7 3 2" xfId="19445" xr:uid="{00000000-0005-0000-0000-00006A230000}"/>
    <cellStyle name="20% - Accent5 7 30" xfId="63204" xr:uid="{00000000-0005-0000-0000-00006B230000}"/>
    <cellStyle name="20% - Accent5 7 4" xfId="5979" xr:uid="{00000000-0005-0000-0000-00006C230000}"/>
    <cellStyle name="20% - Accent5 7 4 2" xfId="21128" xr:uid="{00000000-0005-0000-0000-00006D230000}"/>
    <cellStyle name="20% - Accent5 7 5" xfId="7662" xr:uid="{00000000-0005-0000-0000-00006E230000}"/>
    <cellStyle name="20% - Accent5 7 5 2" xfId="22811" xr:uid="{00000000-0005-0000-0000-00006F230000}"/>
    <cellStyle name="20% - Accent5 7 6" xfId="9345" xr:uid="{00000000-0005-0000-0000-000070230000}"/>
    <cellStyle name="20% - Accent5 7 6 2" xfId="24494" xr:uid="{00000000-0005-0000-0000-000071230000}"/>
    <cellStyle name="20% - Accent5 7 7" xfId="11028" xr:uid="{00000000-0005-0000-0000-000072230000}"/>
    <cellStyle name="20% - Accent5 7 7 2" xfId="26177" xr:uid="{00000000-0005-0000-0000-000073230000}"/>
    <cellStyle name="20% - Accent5 7 8" xfId="12712" xr:uid="{00000000-0005-0000-0000-000074230000}"/>
    <cellStyle name="20% - Accent5 7 8 2" xfId="27861" xr:uid="{00000000-0005-0000-0000-000075230000}"/>
    <cellStyle name="20% - Accent5 7 9" xfId="14395" xr:uid="{00000000-0005-0000-0000-000076230000}"/>
    <cellStyle name="20% - Accent5 7 9 2" xfId="29544" xr:uid="{00000000-0005-0000-0000-000077230000}"/>
    <cellStyle name="20% - Accent5 8" xfId="1350" xr:uid="{00000000-0005-0000-0000-000078230000}"/>
    <cellStyle name="20% - Accent5 8 10" xfId="16499" xr:uid="{00000000-0005-0000-0000-000079230000}"/>
    <cellStyle name="20% - Accent5 8 11" xfId="31648" xr:uid="{00000000-0005-0000-0000-00007A230000}"/>
    <cellStyle name="20% - Accent5 8 12" xfId="33331" xr:uid="{00000000-0005-0000-0000-00007B230000}"/>
    <cellStyle name="20% - Accent5 8 13" xfId="35014" xr:uid="{00000000-0005-0000-0000-00007C230000}"/>
    <cellStyle name="20% - Accent5 8 14" xfId="36697" xr:uid="{00000000-0005-0000-0000-00007D230000}"/>
    <cellStyle name="20% - Accent5 8 15" xfId="38380" xr:uid="{00000000-0005-0000-0000-00007E230000}"/>
    <cellStyle name="20% - Accent5 8 16" xfId="40063" xr:uid="{00000000-0005-0000-0000-00007F230000}"/>
    <cellStyle name="20% - Accent5 8 17" xfId="41746" xr:uid="{00000000-0005-0000-0000-000080230000}"/>
    <cellStyle name="20% - Accent5 8 18" xfId="43429" xr:uid="{00000000-0005-0000-0000-000081230000}"/>
    <cellStyle name="20% - Accent5 8 19" xfId="45112" xr:uid="{00000000-0005-0000-0000-000082230000}"/>
    <cellStyle name="20% - Accent5 8 2" xfId="3033" xr:uid="{00000000-0005-0000-0000-000083230000}"/>
    <cellStyle name="20% - Accent5 8 2 2" xfId="18182" xr:uid="{00000000-0005-0000-0000-000084230000}"/>
    <cellStyle name="20% - Accent5 8 20" xfId="46795" xr:uid="{00000000-0005-0000-0000-000085230000}"/>
    <cellStyle name="20% - Accent5 8 21" xfId="48478" xr:uid="{00000000-0005-0000-0000-000086230000}"/>
    <cellStyle name="20% - Accent5 8 22" xfId="50161" xr:uid="{00000000-0005-0000-0000-000087230000}"/>
    <cellStyle name="20% - Accent5 8 23" xfId="51844" xr:uid="{00000000-0005-0000-0000-000088230000}"/>
    <cellStyle name="20% - Accent5 8 24" xfId="53527" xr:uid="{00000000-0005-0000-0000-000089230000}"/>
    <cellStyle name="20% - Accent5 8 25" xfId="55210" xr:uid="{00000000-0005-0000-0000-00008A230000}"/>
    <cellStyle name="20% - Accent5 8 26" xfId="56893" xr:uid="{00000000-0005-0000-0000-00008B230000}"/>
    <cellStyle name="20% - Accent5 8 27" xfId="58576" xr:uid="{00000000-0005-0000-0000-00008C230000}"/>
    <cellStyle name="20% - Accent5 8 28" xfId="60259" xr:uid="{00000000-0005-0000-0000-00008D230000}"/>
    <cellStyle name="20% - Accent5 8 29" xfId="61942" xr:uid="{00000000-0005-0000-0000-00008E230000}"/>
    <cellStyle name="20% - Accent5 8 3" xfId="4717" xr:uid="{00000000-0005-0000-0000-00008F230000}"/>
    <cellStyle name="20% - Accent5 8 3 2" xfId="19866" xr:uid="{00000000-0005-0000-0000-000090230000}"/>
    <cellStyle name="20% - Accent5 8 30" xfId="63625" xr:uid="{00000000-0005-0000-0000-000091230000}"/>
    <cellStyle name="20% - Accent5 8 4" xfId="6400" xr:uid="{00000000-0005-0000-0000-000092230000}"/>
    <cellStyle name="20% - Accent5 8 4 2" xfId="21549" xr:uid="{00000000-0005-0000-0000-000093230000}"/>
    <cellStyle name="20% - Accent5 8 5" xfId="8083" xr:uid="{00000000-0005-0000-0000-000094230000}"/>
    <cellStyle name="20% - Accent5 8 5 2" xfId="23232" xr:uid="{00000000-0005-0000-0000-000095230000}"/>
    <cellStyle name="20% - Accent5 8 6" xfId="9766" xr:uid="{00000000-0005-0000-0000-000096230000}"/>
    <cellStyle name="20% - Accent5 8 6 2" xfId="24915" xr:uid="{00000000-0005-0000-0000-000097230000}"/>
    <cellStyle name="20% - Accent5 8 7" xfId="11449" xr:uid="{00000000-0005-0000-0000-000098230000}"/>
    <cellStyle name="20% - Accent5 8 7 2" xfId="26598" xr:uid="{00000000-0005-0000-0000-000099230000}"/>
    <cellStyle name="20% - Accent5 8 8" xfId="13133" xr:uid="{00000000-0005-0000-0000-00009A230000}"/>
    <cellStyle name="20% - Accent5 8 8 2" xfId="28282" xr:uid="{00000000-0005-0000-0000-00009B230000}"/>
    <cellStyle name="20% - Accent5 8 9" xfId="14816" xr:uid="{00000000-0005-0000-0000-00009C230000}"/>
    <cellStyle name="20% - Accent5 8 9 2" xfId="29965" xr:uid="{00000000-0005-0000-0000-00009D230000}"/>
    <cellStyle name="20% - Accent5 9" xfId="1771" xr:uid="{00000000-0005-0000-0000-00009E230000}"/>
    <cellStyle name="20% - Accent5 9 2" xfId="16920" xr:uid="{00000000-0005-0000-0000-00009F230000}"/>
    <cellStyle name="20% - Accent6" xfId="91" builtinId="50" customBuiltin="1"/>
    <cellStyle name="20% - Accent6 10" xfId="3458" xr:uid="{00000000-0005-0000-0000-0000A1230000}"/>
    <cellStyle name="20% - Accent6 10 2" xfId="18607" xr:uid="{00000000-0005-0000-0000-0000A2230000}"/>
    <cellStyle name="20% - Accent6 11" xfId="5141" xr:uid="{00000000-0005-0000-0000-0000A3230000}"/>
    <cellStyle name="20% - Accent6 11 2" xfId="20290" xr:uid="{00000000-0005-0000-0000-0000A4230000}"/>
    <cellStyle name="20% - Accent6 12" xfId="6824" xr:uid="{00000000-0005-0000-0000-0000A5230000}"/>
    <cellStyle name="20% - Accent6 12 2" xfId="21973" xr:uid="{00000000-0005-0000-0000-0000A6230000}"/>
    <cellStyle name="20% - Accent6 13" xfId="8507" xr:uid="{00000000-0005-0000-0000-0000A7230000}"/>
    <cellStyle name="20% - Accent6 13 2" xfId="23656" xr:uid="{00000000-0005-0000-0000-0000A8230000}"/>
    <cellStyle name="20% - Accent6 14" xfId="10190" xr:uid="{00000000-0005-0000-0000-0000A9230000}"/>
    <cellStyle name="20% - Accent6 14 2" xfId="25339" xr:uid="{00000000-0005-0000-0000-0000AA230000}"/>
    <cellStyle name="20% - Accent6 15" xfId="11874" xr:uid="{00000000-0005-0000-0000-0000AB230000}"/>
    <cellStyle name="20% - Accent6 15 2" xfId="27023" xr:uid="{00000000-0005-0000-0000-0000AC230000}"/>
    <cellStyle name="20% - Accent6 16" xfId="13557" xr:uid="{00000000-0005-0000-0000-0000AD230000}"/>
    <cellStyle name="20% - Accent6 16 2" xfId="28706" xr:uid="{00000000-0005-0000-0000-0000AE230000}"/>
    <cellStyle name="20% - Accent6 17" xfId="15240" xr:uid="{00000000-0005-0000-0000-0000AF230000}"/>
    <cellStyle name="20% - Accent6 18" xfId="30389" xr:uid="{00000000-0005-0000-0000-0000B0230000}"/>
    <cellStyle name="20% - Accent6 19" xfId="32072" xr:uid="{00000000-0005-0000-0000-0000B1230000}"/>
    <cellStyle name="20% - Accent6 2" xfId="113" xr:uid="{00000000-0005-0000-0000-0000B2230000}"/>
    <cellStyle name="20% - Accent6 2 10" xfId="6846" xr:uid="{00000000-0005-0000-0000-0000B3230000}"/>
    <cellStyle name="20% - Accent6 2 10 2" xfId="21995" xr:uid="{00000000-0005-0000-0000-0000B4230000}"/>
    <cellStyle name="20% - Accent6 2 11" xfId="8529" xr:uid="{00000000-0005-0000-0000-0000B5230000}"/>
    <cellStyle name="20% - Accent6 2 11 2" xfId="23678" xr:uid="{00000000-0005-0000-0000-0000B6230000}"/>
    <cellStyle name="20% - Accent6 2 12" xfId="10212" xr:uid="{00000000-0005-0000-0000-0000B7230000}"/>
    <cellStyle name="20% - Accent6 2 12 2" xfId="25361" xr:uid="{00000000-0005-0000-0000-0000B8230000}"/>
    <cellStyle name="20% - Accent6 2 13" xfId="11896" xr:uid="{00000000-0005-0000-0000-0000B9230000}"/>
    <cellStyle name="20% - Accent6 2 13 2" xfId="27045" xr:uid="{00000000-0005-0000-0000-0000BA230000}"/>
    <cellStyle name="20% - Accent6 2 14" xfId="13579" xr:uid="{00000000-0005-0000-0000-0000BB230000}"/>
    <cellStyle name="20% - Accent6 2 14 2" xfId="28728" xr:uid="{00000000-0005-0000-0000-0000BC230000}"/>
    <cellStyle name="20% - Accent6 2 15" xfId="15262" xr:uid="{00000000-0005-0000-0000-0000BD230000}"/>
    <cellStyle name="20% - Accent6 2 16" xfId="30411" xr:uid="{00000000-0005-0000-0000-0000BE230000}"/>
    <cellStyle name="20% - Accent6 2 17" xfId="32094" xr:uid="{00000000-0005-0000-0000-0000BF230000}"/>
    <cellStyle name="20% - Accent6 2 18" xfId="33777" xr:uid="{00000000-0005-0000-0000-0000C0230000}"/>
    <cellStyle name="20% - Accent6 2 19" xfId="35460" xr:uid="{00000000-0005-0000-0000-0000C1230000}"/>
    <cellStyle name="20% - Accent6 2 2" xfId="218" xr:uid="{00000000-0005-0000-0000-0000C2230000}"/>
    <cellStyle name="20% - Accent6 2 2 10" xfId="8634" xr:uid="{00000000-0005-0000-0000-0000C3230000}"/>
    <cellStyle name="20% - Accent6 2 2 10 2" xfId="23783" xr:uid="{00000000-0005-0000-0000-0000C4230000}"/>
    <cellStyle name="20% - Accent6 2 2 11" xfId="10317" xr:uid="{00000000-0005-0000-0000-0000C5230000}"/>
    <cellStyle name="20% - Accent6 2 2 11 2" xfId="25466" xr:uid="{00000000-0005-0000-0000-0000C6230000}"/>
    <cellStyle name="20% - Accent6 2 2 12" xfId="12001" xr:uid="{00000000-0005-0000-0000-0000C7230000}"/>
    <cellStyle name="20% - Accent6 2 2 12 2" xfId="27150" xr:uid="{00000000-0005-0000-0000-0000C8230000}"/>
    <cellStyle name="20% - Accent6 2 2 13" xfId="13684" xr:uid="{00000000-0005-0000-0000-0000C9230000}"/>
    <cellStyle name="20% - Accent6 2 2 13 2" xfId="28833" xr:uid="{00000000-0005-0000-0000-0000CA230000}"/>
    <cellStyle name="20% - Accent6 2 2 14" xfId="15367" xr:uid="{00000000-0005-0000-0000-0000CB230000}"/>
    <cellStyle name="20% - Accent6 2 2 15" xfId="30516" xr:uid="{00000000-0005-0000-0000-0000CC230000}"/>
    <cellStyle name="20% - Accent6 2 2 16" xfId="32199" xr:uid="{00000000-0005-0000-0000-0000CD230000}"/>
    <cellStyle name="20% - Accent6 2 2 17" xfId="33882" xr:uid="{00000000-0005-0000-0000-0000CE230000}"/>
    <cellStyle name="20% - Accent6 2 2 18" xfId="35565" xr:uid="{00000000-0005-0000-0000-0000CF230000}"/>
    <cellStyle name="20% - Accent6 2 2 19" xfId="37248" xr:uid="{00000000-0005-0000-0000-0000D0230000}"/>
    <cellStyle name="20% - Accent6 2 2 2" xfId="428" xr:uid="{00000000-0005-0000-0000-0000D1230000}"/>
    <cellStyle name="20% - Accent6 2 2 2 10" xfId="10527" xr:uid="{00000000-0005-0000-0000-0000D2230000}"/>
    <cellStyle name="20% - Accent6 2 2 2 10 2" xfId="25676" xr:uid="{00000000-0005-0000-0000-0000D3230000}"/>
    <cellStyle name="20% - Accent6 2 2 2 11" xfId="12211" xr:uid="{00000000-0005-0000-0000-0000D4230000}"/>
    <cellStyle name="20% - Accent6 2 2 2 11 2" xfId="27360" xr:uid="{00000000-0005-0000-0000-0000D5230000}"/>
    <cellStyle name="20% - Accent6 2 2 2 12" xfId="13894" xr:uid="{00000000-0005-0000-0000-0000D6230000}"/>
    <cellStyle name="20% - Accent6 2 2 2 12 2" xfId="29043" xr:uid="{00000000-0005-0000-0000-0000D7230000}"/>
    <cellStyle name="20% - Accent6 2 2 2 13" xfId="15577" xr:uid="{00000000-0005-0000-0000-0000D8230000}"/>
    <cellStyle name="20% - Accent6 2 2 2 14" xfId="30726" xr:uid="{00000000-0005-0000-0000-0000D9230000}"/>
    <cellStyle name="20% - Accent6 2 2 2 15" xfId="32409" xr:uid="{00000000-0005-0000-0000-0000DA230000}"/>
    <cellStyle name="20% - Accent6 2 2 2 16" xfId="34092" xr:uid="{00000000-0005-0000-0000-0000DB230000}"/>
    <cellStyle name="20% - Accent6 2 2 2 17" xfId="35775" xr:uid="{00000000-0005-0000-0000-0000DC230000}"/>
    <cellStyle name="20% - Accent6 2 2 2 18" xfId="37458" xr:uid="{00000000-0005-0000-0000-0000DD230000}"/>
    <cellStyle name="20% - Accent6 2 2 2 19" xfId="39141" xr:uid="{00000000-0005-0000-0000-0000DE230000}"/>
    <cellStyle name="20% - Accent6 2 2 2 2" xfId="848" xr:uid="{00000000-0005-0000-0000-0000DF230000}"/>
    <cellStyle name="20% - Accent6 2 2 2 2 10" xfId="15997" xr:uid="{00000000-0005-0000-0000-0000E0230000}"/>
    <cellStyle name="20% - Accent6 2 2 2 2 11" xfId="31146" xr:uid="{00000000-0005-0000-0000-0000E1230000}"/>
    <cellStyle name="20% - Accent6 2 2 2 2 12" xfId="32829" xr:uid="{00000000-0005-0000-0000-0000E2230000}"/>
    <cellStyle name="20% - Accent6 2 2 2 2 13" xfId="34512" xr:uid="{00000000-0005-0000-0000-0000E3230000}"/>
    <cellStyle name="20% - Accent6 2 2 2 2 14" xfId="36195" xr:uid="{00000000-0005-0000-0000-0000E4230000}"/>
    <cellStyle name="20% - Accent6 2 2 2 2 15" xfId="37878" xr:uid="{00000000-0005-0000-0000-0000E5230000}"/>
    <cellStyle name="20% - Accent6 2 2 2 2 16" xfId="39561" xr:uid="{00000000-0005-0000-0000-0000E6230000}"/>
    <cellStyle name="20% - Accent6 2 2 2 2 17" xfId="41244" xr:uid="{00000000-0005-0000-0000-0000E7230000}"/>
    <cellStyle name="20% - Accent6 2 2 2 2 18" xfId="42927" xr:uid="{00000000-0005-0000-0000-0000E8230000}"/>
    <cellStyle name="20% - Accent6 2 2 2 2 19" xfId="44610" xr:uid="{00000000-0005-0000-0000-0000E9230000}"/>
    <cellStyle name="20% - Accent6 2 2 2 2 2" xfId="2531" xr:uid="{00000000-0005-0000-0000-0000EA230000}"/>
    <cellStyle name="20% - Accent6 2 2 2 2 2 2" xfId="17680" xr:uid="{00000000-0005-0000-0000-0000EB230000}"/>
    <cellStyle name="20% - Accent6 2 2 2 2 20" xfId="46293" xr:uid="{00000000-0005-0000-0000-0000EC230000}"/>
    <cellStyle name="20% - Accent6 2 2 2 2 21" xfId="47976" xr:uid="{00000000-0005-0000-0000-0000ED230000}"/>
    <cellStyle name="20% - Accent6 2 2 2 2 22" xfId="49659" xr:uid="{00000000-0005-0000-0000-0000EE230000}"/>
    <cellStyle name="20% - Accent6 2 2 2 2 23" xfId="51342" xr:uid="{00000000-0005-0000-0000-0000EF230000}"/>
    <cellStyle name="20% - Accent6 2 2 2 2 24" xfId="53025" xr:uid="{00000000-0005-0000-0000-0000F0230000}"/>
    <cellStyle name="20% - Accent6 2 2 2 2 25" xfId="54708" xr:uid="{00000000-0005-0000-0000-0000F1230000}"/>
    <cellStyle name="20% - Accent6 2 2 2 2 26" xfId="56391" xr:uid="{00000000-0005-0000-0000-0000F2230000}"/>
    <cellStyle name="20% - Accent6 2 2 2 2 27" xfId="58074" xr:uid="{00000000-0005-0000-0000-0000F3230000}"/>
    <cellStyle name="20% - Accent6 2 2 2 2 28" xfId="59757" xr:uid="{00000000-0005-0000-0000-0000F4230000}"/>
    <cellStyle name="20% - Accent6 2 2 2 2 29" xfId="61440" xr:uid="{00000000-0005-0000-0000-0000F5230000}"/>
    <cellStyle name="20% - Accent6 2 2 2 2 3" xfId="4215" xr:uid="{00000000-0005-0000-0000-0000F6230000}"/>
    <cellStyle name="20% - Accent6 2 2 2 2 3 2" xfId="19364" xr:uid="{00000000-0005-0000-0000-0000F7230000}"/>
    <cellStyle name="20% - Accent6 2 2 2 2 30" xfId="63123" xr:uid="{00000000-0005-0000-0000-0000F8230000}"/>
    <cellStyle name="20% - Accent6 2 2 2 2 4" xfId="5898" xr:uid="{00000000-0005-0000-0000-0000F9230000}"/>
    <cellStyle name="20% - Accent6 2 2 2 2 4 2" xfId="21047" xr:uid="{00000000-0005-0000-0000-0000FA230000}"/>
    <cellStyle name="20% - Accent6 2 2 2 2 5" xfId="7581" xr:uid="{00000000-0005-0000-0000-0000FB230000}"/>
    <cellStyle name="20% - Accent6 2 2 2 2 5 2" xfId="22730" xr:uid="{00000000-0005-0000-0000-0000FC230000}"/>
    <cellStyle name="20% - Accent6 2 2 2 2 6" xfId="9264" xr:uid="{00000000-0005-0000-0000-0000FD230000}"/>
    <cellStyle name="20% - Accent6 2 2 2 2 6 2" xfId="24413" xr:uid="{00000000-0005-0000-0000-0000FE230000}"/>
    <cellStyle name="20% - Accent6 2 2 2 2 7" xfId="10947" xr:uid="{00000000-0005-0000-0000-0000FF230000}"/>
    <cellStyle name="20% - Accent6 2 2 2 2 7 2" xfId="26096" xr:uid="{00000000-0005-0000-0000-000000240000}"/>
    <cellStyle name="20% - Accent6 2 2 2 2 8" xfId="12631" xr:uid="{00000000-0005-0000-0000-000001240000}"/>
    <cellStyle name="20% - Accent6 2 2 2 2 8 2" xfId="27780" xr:uid="{00000000-0005-0000-0000-000002240000}"/>
    <cellStyle name="20% - Accent6 2 2 2 2 9" xfId="14314" xr:uid="{00000000-0005-0000-0000-000003240000}"/>
    <cellStyle name="20% - Accent6 2 2 2 2 9 2" xfId="29463" xr:uid="{00000000-0005-0000-0000-000004240000}"/>
    <cellStyle name="20% - Accent6 2 2 2 20" xfId="40824" xr:uid="{00000000-0005-0000-0000-000005240000}"/>
    <cellStyle name="20% - Accent6 2 2 2 21" xfId="42507" xr:uid="{00000000-0005-0000-0000-000006240000}"/>
    <cellStyle name="20% - Accent6 2 2 2 22" xfId="44190" xr:uid="{00000000-0005-0000-0000-000007240000}"/>
    <cellStyle name="20% - Accent6 2 2 2 23" xfId="45873" xr:uid="{00000000-0005-0000-0000-000008240000}"/>
    <cellStyle name="20% - Accent6 2 2 2 24" xfId="47556" xr:uid="{00000000-0005-0000-0000-000009240000}"/>
    <cellStyle name="20% - Accent6 2 2 2 25" xfId="49239" xr:uid="{00000000-0005-0000-0000-00000A240000}"/>
    <cellStyle name="20% - Accent6 2 2 2 26" xfId="50922" xr:uid="{00000000-0005-0000-0000-00000B240000}"/>
    <cellStyle name="20% - Accent6 2 2 2 27" xfId="52605" xr:uid="{00000000-0005-0000-0000-00000C240000}"/>
    <cellStyle name="20% - Accent6 2 2 2 28" xfId="54288" xr:uid="{00000000-0005-0000-0000-00000D240000}"/>
    <cellStyle name="20% - Accent6 2 2 2 29" xfId="55971" xr:uid="{00000000-0005-0000-0000-00000E240000}"/>
    <cellStyle name="20% - Accent6 2 2 2 3" xfId="1269" xr:uid="{00000000-0005-0000-0000-00000F240000}"/>
    <cellStyle name="20% - Accent6 2 2 2 3 10" xfId="16418" xr:uid="{00000000-0005-0000-0000-000010240000}"/>
    <cellStyle name="20% - Accent6 2 2 2 3 11" xfId="31567" xr:uid="{00000000-0005-0000-0000-000011240000}"/>
    <cellStyle name="20% - Accent6 2 2 2 3 12" xfId="33250" xr:uid="{00000000-0005-0000-0000-000012240000}"/>
    <cellStyle name="20% - Accent6 2 2 2 3 13" xfId="34933" xr:uid="{00000000-0005-0000-0000-000013240000}"/>
    <cellStyle name="20% - Accent6 2 2 2 3 14" xfId="36616" xr:uid="{00000000-0005-0000-0000-000014240000}"/>
    <cellStyle name="20% - Accent6 2 2 2 3 15" xfId="38299" xr:uid="{00000000-0005-0000-0000-000015240000}"/>
    <cellStyle name="20% - Accent6 2 2 2 3 16" xfId="39982" xr:uid="{00000000-0005-0000-0000-000016240000}"/>
    <cellStyle name="20% - Accent6 2 2 2 3 17" xfId="41665" xr:uid="{00000000-0005-0000-0000-000017240000}"/>
    <cellStyle name="20% - Accent6 2 2 2 3 18" xfId="43348" xr:uid="{00000000-0005-0000-0000-000018240000}"/>
    <cellStyle name="20% - Accent6 2 2 2 3 19" xfId="45031" xr:uid="{00000000-0005-0000-0000-000019240000}"/>
    <cellStyle name="20% - Accent6 2 2 2 3 2" xfId="2952" xr:uid="{00000000-0005-0000-0000-00001A240000}"/>
    <cellStyle name="20% - Accent6 2 2 2 3 2 2" xfId="18101" xr:uid="{00000000-0005-0000-0000-00001B240000}"/>
    <cellStyle name="20% - Accent6 2 2 2 3 20" xfId="46714" xr:uid="{00000000-0005-0000-0000-00001C240000}"/>
    <cellStyle name="20% - Accent6 2 2 2 3 21" xfId="48397" xr:uid="{00000000-0005-0000-0000-00001D240000}"/>
    <cellStyle name="20% - Accent6 2 2 2 3 22" xfId="50080" xr:uid="{00000000-0005-0000-0000-00001E240000}"/>
    <cellStyle name="20% - Accent6 2 2 2 3 23" xfId="51763" xr:uid="{00000000-0005-0000-0000-00001F240000}"/>
    <cellStyle name="20% - Accent6 2 2 2 3 24" xfId="53446" xr:uid="{00000000-0005-0000-0000-000020240000}"/>
    <cellStyle name="20% - Accent6 2 2 2 3 25" xfId="55129" xr:uid="{00000000-0005-0000-0000-000021240000}"/>
    <cellStyle name="20% - Accent6 2 2 2 3 26" xfId="56812" xr:uid="{00000000-0005-0000-0000-000022240000}"/>
    <cellStyle name="20% - Accent6 2 2 2 3 27" xfId="58495" xr:uid="{00000000-0005-0000-0000-000023240000}"/>
    <cellStyle name="20% - Accent6 2 2 2 3 28" xfId="60178" xr:uid="{00000000-0005-0000-0000-000024240000}"/>
    <cellStyle name="20% - Accent6 2 2 2 3 29" xfId="61861" xr:uid="{00000000-0005-0000-0000-000025240000}"/>
    <cellStyle name="20% - Accent6 2 2 2 3 3" xfId="4636" xr:uid="{00000000-0005-0000-0000-000026240000}"/>
    <cellStyle name="20% - Accent6 2 2 2 3 3 2" xfId="19785" xr:uid="{00000000-0005-0000-0000-000027240000}"/>
    <cellStyle name="20% - Accent6 2 2 2 3 30" xfId="63544" xr:uid="{00000000-0005-0000-0000-000028240000}"/>
    <cellStyle name="20% - Accent6 2 2 2 3 4" xfId="6319" xr:uid="{00000000-0005-0000-0000-000029240000}"/>
    <cellStyle name="20% - Accent6 2 2 2 3 4 2" xfId="21468" xr:uid="{00000000-0005-0000-0000-00002A240000}"/>
    <cellStyle name="20% - Accent6 2 2 2 3 5" xfId="8002" xr:uid="{00000000-0005-0000-0000-00002B240000}"/>
    <cellStyle name="20% - Accent6 2 2 2 3 5 2" xfId="23151" xr:uid="{00000000-0005-0000-0000-00002C240000}"/>
    <cellStyle name="20% - Accent6 2 2 2 3 6" xfId="9685" xr:uid="{00000000-0005-0000-0000-00002D240000}"/>
    <cellStyle name="20% - Accent6 2 2 2 3 6 2" xfId="24834" xr:uid="{00000000-0005-0000-0000-00002E240000}"/>
    <cellStyle name="20% - Accent6 2 2 2 3 7" xfId="11368" xr:uid="{00000000-0005-0000-0000-00002F240000}"/>
    <cellStyle name="20% - Accent6 2 2 2 3 7 2" xfId="26517" xr:uid="{00000000-0005-0000-0000-000030240000}"/>
    <cellStyle name="20% - Accent6 2 2 2 3 8" xfId="13052" xr:uid="{00000000-0005-0000-0000-000031240000}"/>
    <cellStyle name="20% - Accent6 2 2 2 3 8 2" xfId="28201" xr:uid="{00000000-0005-0000-0000-000032240000}"/>
    <cellStyle name="20% - Accent6 2 2 2 3 9" xfId="14735" xr:uid="{00000000-0005-0000-0000-000033240000}"/>
    <cellStyle name="20% - Accent6 2 2 2 3 9 2" xfId="29884" xr:uid="{00000000-0005-0000-0000-000034240000}"/>
    <cellStyle name="20% - Accent6 2 2 2 30" xfId="57654" xr:uid="{00000000-0005-0000-0000-000035240000}"/>
    <cellStyle name="20% - Accent6 2 2 2 31" xfId="59337" xr:uid="{00000000-0005-0000-0000-000036240000}"/>
    <cellStyle name="20% - Accent6 2 2 2 32" xfId="61020" xr:uid="{00000000-0005-0000-0000-000037240000}"/>
    <cellStyle name="20% - Accent6 2 2 2 33" xfId="62703" xr:uid="{00000000-0005-0000-0000-000038240000}"/>
    <cellStyle name="20% - Accent6 2 2 2 4" xfId="1690" xr:uid="{00000000-0005-0000-0000-000039240000}"/>
    <cellStyle name="20% - Accent6 2 2 2 4 10" xfId="16839" xr:uid="{00000000-0005-0000-0000-00003A240000}"/>
    <cellStyle name="20% - Accent6 2 2 2 4 11" xfId="31988" xr:uid="{00000000-0005-0000-0000-00003B240000}"/>
    <cellStyle name="20% - Accent6 2 2 2 4 12" xfId="33671" xr:uid="{00000000-0005-0000-0000-00003C240000}"/>
    <cellStyle name="20% - Accent6 2 2 2 4 13" xfId="35354" xr:uid="{00000000-0005-0000-0000-00003D240000}"/>
    <cellStyle name="20% - Accent6 2 2 2 4 14" xfId="37037" xr:uid="{00000000-0005-0000-0000-00003E240000}"/>
    <cellStyle name="20% - Accent6 2 2 2 4 15" xfId="38720" xr:uid="{00000000-0005-0000-0000-00003F240000}"/>
    <cellStyle name="20% - Accent6 2 2 2 4 16" xfId="40403" xr:uid="{00000000-0005-0000-0000-000040240000}"/>
    <cellStyle name="20% - Accent6 2 2 2 4 17" xfId="42086" xr:uid="{00000000-0005-0000-0000-000041240000}"/>
    <cellStyle name="20% - Accent6 2 2 2 4 18" xfId="43769" xr:uid="{00000000-0005-0000-0000-000042240000}"/>
    <cellStyle name="20% - Accent6 2 2 2 4 19" xfId="45452" xr:uid="{00000000-0005-0000-0000-000043240000}"/>
    <cellStyle name="20% - Accent6 2 2 2 4 2" xfId="3373" xr:uid="{00000000-0005-0000-0000-000044240000}"/>
    <cellStyle name="20% - Accent6 2 2 2 4 2 2" xfId="18522" xr:uid="{00000000-0005-0000-0000-000045240000}"/>
    <cellStyle name="20% - Accent6 2 2 2 4 20" xfId="47135" xr:uid="{00000000-0005-0000-0000-000046240000}"/>
    <cellStyle name="20% - Accent6 2 2 2 4 21" xfId="48818" xr:uid="{00000000-0005-0000-0000-000047240000}"/>
    <cellStyle name="20% - Accent6 2 2 2 4 22" xfId="50501" xr:uid="{00000000-0005-0000-0000-000048240000}"/>
    <cellStyle name="20% - Accent6 2 2 2 4 23" xfId="52184" xr:uid="{00000000-0005-0000-0000-000049240000}"/>
    <cellStyle name="20% - Accent6 2 2 2 4 24" xfId="53867" xr:uid="{00000000-0005-0000-0000-00004A240000}"/>
    <cellStyle name="20% - Accent6 2 2 2 4 25" xfId="55550" xr:uid="{00000000-0005-0000-0000-00004B240000}"/>
    <cellStyle name="20% - Accent6 2 2 2 4 26" xfId="57233" xr:uid="{00000000-0005-0000-0000-00004C240000}"/>
    <cellStyle name="20% - Accent6 2 2 2 4 27" xfId="58916" xr:uid="{00000000-0005-0000-0000-00004D240000}"/>
    <cellStyle name="20% - Accent6 2 2 2 4 28" xfId="60599" xr:uid="{00000000-0005-0000-0000-00004E240000}"/>
    <cellStyle name="20% - Accent6 2 2 2 4 29" xfId="62282" xr:uid="{00000000-0005-0000-0000-00004F240000}"/>
    <cellStyle name="20% - Accent6 2 2 2 4 3" xfId="5057" xr:uid="{00000000-0005-0000-0000-000050240000}"/>
    <cellStyle name="20% - Accent6 2 2 2 4 3 2" xfId="20206" xr:uid="{00000000-0005-0000-0000-000051240000}"/>
    <cellStyle name="20% - Accent6 2 2 2 4 30" xfId="63965" xr:uid="{00000000-0005-0000-0000-000052240000}"/>
    <cellStyle name="20% - Accent6 2 2 2 4 4" xfId="6740" xr:uid="{00000000-0005-0000-0000-000053240000}"/>
    <cellStyle name="20% - Accent6 2 2 2 4 4 2" xfId="21889" xr:uid="{00000000-0005-0000-0000-000054240000}"/>
    <cellStyle name="20% - Accent6 2 2 2 4 5" xfId="8423" xr:uid="{00000000-0005-0000-0000-000055240000}"/>
    <cellStyle name="20% - Accent6 2 2 2 4 5 2" xfId="23572" xr:uid="{00000000-0005-0000-0000-000056240000}"/>
    <cellStyle name="20% - Accent6 2 2 2 4 6" xfId="10106" xr:uid="{00000000-0005-0000-0000-000057240000}"/>
    <cellStyle name="20% - Accent6 2 2 2 4 6 2" xfId="25255" xr:uid="{00000000-0005-0000-0000-000058240000}"/>
    <cellStyle name="20% - Accent6 2 2 2 4 7" xfId="11789" xr:uid="{00000000-0005-0000-0000-000059240000}"/>
    <cellStyle name="20% - Accent6 2 2 2 4 7 2" xfId="26938" xr:uid="{00000000-0005-0000-0000-00005A240000}"/>
    <cellStyle name="20% - Accent6 2 2 2 4 8" xfId="13473" xr:uid="{00000000-0005-0000-0000-00005B240000}"/>
    <cellStyle name="20% - Accent6 2 2 2 4 8 2" xfId="28622" xr:uid="{00000000-0005-0000-0000-00005C240000}"/>
    <cellStyle name="20% - Accent6 2 2 2 4 9" xfId="15156" xr:uid="{00000000-0005-0000-0000-00005D240000}"/>
    <cellStyle name="20% - Accent6 2 2 2 4 9 2" xfId="30305" xr:uid="{00000000-0005-0000-0000-00005E240000}"/>
    <cellStyle name="20% - Accent6 2 2 2 5" xfId="2111" xr:uid="{00000000-0005-0000-0000-00005F240000}"/>
    <cellStyle name="20% - Accent6 2 2 2 5 2" xfId="17260" xr:uid="{00000000-0005-0000-0000-000060240000}"/>
    <cellStyle name="20% - Accent6 2 2 2 6" xfId="3795" xr:uid="{00000000-0005-0000-0000-000061240000}"/>
    <cellStyle name="20% - Accent6 2 2 2 6 2" xfId="18944" xr:uid="{00000000-0005-0000-0000-000062240000}"/>
    <cellStyle name="20% - Accent6 2 2 2 7" xfId="5478" xr:uid="{00000000-0005-0000-0000-000063240000}"/>
    <cellStyle name="20% - Accent6 2 2 2 7 2" xfId="20627" xr:uid="{00000000-0005-0000-0000-000064240000}"/>
    <cellStyle name="20% - Accent6 2 2 2 8" xfId="7161" xr:uid="{00000000-0005-0000-0000-000065240000}"/>
    <cellStyle name="20% - Accent6 2 2 2 8 2" xfId="22310" xr:uid="{00000000-0005-0000-0000-000066240000}"/>
    <cellStyle name="20% - Accent6 2 2 2 9" xfId="8844" xr:uid="{00000000-0005-0000-0000-000067240000}"/>
    <cellStyle name="20% - Accent6 2 2 2 9 2" xfId="23993" xr:uid="{00000000-0005-0000-0000-000068240000}"/>
    <cellStyle name="20% - Accent6 2 2 20" xfId="38931" xr:uid="{00000000-0005-0000-0000-000069240000}"/>
    <cellStyle name="20% - Accent6 2 2 21" xfId="40614" xr:uid="{00000000-0005-0000-0000-00006A240000}"/>
    <cellStyle name="20% - Accent6 2 2 22" xfId="42297" xr:uid="{00000000-0005-0000-0000-00006B240000}"/>
    <cellStyle name="20% - Accent6 2 2 23" xfId="43980" xr:uid="{00000000-0005-0000-0000-00006C240000}"/>
    <cellStyle name="20% - Accent6 2 2 24" xfId="45663" xr:uid="{00000000-0005-0000-0000-00006D240000}"/>
    <cellStyle name="20% - Accent6 2 2 25" xfId="47346" xr:uid="{00000000-0005-0000-0000-00006E240000}"/>
    <cellStyle name="20% - Accent6 2 2 26" xfId="49029" xr:uid="{00000000-0005-0000-0000-00006F240000}"/>
    <cellStyle name="20% - Accent6 2 2 27" xfId="50712" xr:uid="{00000000-0005-0000-0000-000070240000}"/>
    <cellStyle name="20% - Accent6 2 2 28" xfId="52395" xr:uid="{00000000-0005-0000-0000-000071240000}"/>
    <cellStyle name="20% - Accent6 2 2 29" xfId="54078" xr:uid="{00000000-0005-0000-0000-000072240000}"/>
    <cellStyle name="20% - Accent6 2 2 3" xfId="638" xr:uid="{00000000-0005-0000-0000-000073240000}"/>
    <cellStyle name="20% - Accent6 2 2 3 10" xfId="15787" xr:uid="{00000000-0005-0000-0000-000074240000}"/>
    <cellStyle name="20% - Accent6 2 2 3 11" xfId="30936" xr:uid="{00000000-0005-0000-0000-000075240000}"/>
    <cellStyle name="20% - Accent6 2 2 3 12" xfId="32619" xr:uid="{00000000-0005-0000-0000-000076240000}"/>
    <cellStyle name="20% - Accent6 2 2 3 13" xfId="34302" xr:uid="{00000000-0005-0000-0000-000077240000}"/>
    <cellStyle name="20% - Accent6 2 2 3 14" xfId="35985" xr:uid="{00000000-0005-0000-0000-000078240000}"/>
    <cellStyle name="20% - Accent6 2 2 3 15" xfId="37668" xr:uid="{00000000-0005-0000-0000-000079240000}"/>
    <cellStyle name="20% - Accent6 2 2 3 16" xfId="39351" xr:uid="{00000000-0005-0000-0000-00007A240000}"/>
    <cellStyle name="20% - Accent6 2 2 3 17" xfId="41034" xr:uid="{00000000-0005-0000-0000-00007B240000}"/>
    <cellStyle name="20% - Accent6 2 2 3 18" xfId="42717" xr:uid="{00000000-0005-0000-0000-00007C240000}"/>
    <cellStyle name="20% - Accent6 2 2 3 19" xfId="44400" xr:uid="{00000000-0005-0000-0000-00007D240000}"/>
    <cellStyle name="20% - Accent6 2 2 3 2" xfId="2321" xr:uid="{00000000-0005-0000-0000-00007E240000}"/>
    <cellStyle name="20% - Accent6 2 2 3 2 2" xfId="17470" xr:uid="{00000000-0005-0000-0000-00007F240000}"/>
    <cellStyle name="20% - Accent6 2 2 3 20" xfId="46083" xr:uid="{00000000-0005-0000-0000-000080240000}"/>
    <cellStyle name="20% - Accent6 2 2 3 21" xfId="47766" xr:uid="{00000000-0005-0000-0000-000081240000}"/>
    <cellStyle name="20% - Accent6 2 2 3 22" xfId="49449" xr:uid="{00000000-0005-0000-0000-000082240000}"/>
    <cellStyle name="20% - Accent6 2 2 3 23" xfId="51132" xr:uid="{00000000-0005-0000-0000-000083240000}"/>
    <cellStyle name="20% - Accent6 2 2 3 24" xfId="52815" xr:uid="{00000000-0005-0000-0000-000084240000}"/>
    <cellStyle name="20% - Accent6 2 2 3 25" xfId="54498" xr:uid="{00000000-0005-0000-0000-000085240000}"/>
    <cellStyle name="20% - Accent6 2 2 3 26" xfId="56181" xr:uid="{00000000-0005-0000-0000-000086240000}"/>
    <cellStyle name="20% - Accent6 2 2 3 27" xfId="57864" xr:uid="{00000000-0005-0000-0000-000087240000}"/>
    <cellStyle name="20% - Accent6 2 2 3 28" xfId="59547" xr:uid="{00000000-0005-0000-0000-000088240000}"/>
    <cellStyle name="20% - Accent6 2 2 3 29" xfId="61230" xr:uid="{00000000-0005-0000-0000-000089240000}"/>
    <cellStyle name="20% - Accent6 2 2 3 3" xfId="4005" xr:uid="{00000000-0005-0000-0000-00008A240000}"/>
    <cellStyle name="20% - Accent6 2 2 3 3 2" xfId="19154" xr:uid="{00000000-0005-0000-0000-00008B240000}"/>
    <cellStyle name="20% - Accent6 2 2 3 30" xfId="62913" xr:uid="{00000000-0005-0000-0000-00008C240000}"/>
    <cellStyle name="20% - Accent6 2 2 3 4" xfId="5688" xr:uid="{00000000-0005-0000-0000-00008D240000}"/>
    <cellStyle name="20% - Accent6 2 2 3 4 2" xfId="20837" xr:uid="{00000000-0005-0000-0000-00008E240000}"/>
    <cellStyle name="20% - Accent6 2 2 3 5" xfId="7371" xr:uid="{00000000-0005-0000-0000-00008F240000}"/>
    <cellStyle name="20% - Accent6 2 2 3 5 2" xfId="22520" xr:uid="{00000000-0005-0000-0000-000090240000}"/>
    <cellStyle name="20% - Accent6 2 2 3 6" xfId="9054" xr:uid="{00000000-0005-0000-0000-000091240000}"/>
    <cellStyle name="20% - Accent6 2 2 3 6 2" xfId="24203" xr:uid="{00000000-0005-0000-0000-000092240000}"/>
    <cellStyle name="20% - Accent6 2 2 3 7" xfId="10737" xr:uid="{00000000-0005-0000-0000-000093240000}"/>
    <cellStyle name="20% - Accent6 2 2 3 7 2" xfId="25886" xr:uid="{00000000-0005-0000-0000-000094240000}"/>
    <cellStyle name="20% - Accent6 2 2 3 8" xfId="12421" xr:uid="{00000000-0005-0000-0000-000095240000}"/>
    <cellStyle name="20% - Accent6 2 2 3 8 2" xfId="27570" xr:uid="{00000000-0005-0000-0000-000096240000}"/>
    <cellStyle name="20% - Accent6 2 2 3 9" xfId="14104" xr:uid="{00000000-0005-0000-0000-000097240000}"/>
    <cellStyle name="20% - Accent6 2 2 3 9 2" xfId="29253" xr:uid="{00000000-0005-0000-0000-000098240000}"/>
    <cellStyle name="20% - Accent6 2 2 30" xfId="55761" xr:uid="{00000000-0005-0000-0000-000099240000}"/>
    <cellStyle name="20% - Accent6 2 2 31" xfId="57444" xr:uid="{00000000-0005-0000-0000-00009A240000}"/>
    <cellStyle name="20% - Accent6 2 2 32" xfId="59127" xr:uid="{00000000-0005-0000-0000-00009B240000}"/>
    <cellStyle name="20% - Accent6 2 2 33" xfId="60810" xr:uid="{00000000-0005-0000-0000-00009C240000}"/>
    <cellStyle name="20% - Accent6 2 2 34" xfId="62493" xr:uid="{00000000-0005-0000-0000-00009D240000}"/>
    <cellStyle name="20% - Accent6 2 2 4" xfId="1059" xr:uid="{00000000-0005-0000-0000-00009E240000}"/>
    <cellStyle name="20% - Accent6 2 2 4 10" xfId="16208" xr:uid="{00000000-0005-0000-0000-00009F240000}"/>
    <cellStyle name="20% - Accent6 2 2 4 11" xfId="31357" xr:uid="{00000000-0005-0000-0000-0000A0240000}"/>
    <cellStyle name="20% - Accent6 2 2 4 12" xfId="33040" xr:uid="{00000000-0005-0000-0000-0000A1240000}"/>
    <cellStyle name="20% - Accent6 2 2 4 13" xfId="34723" xr:uid="{00000000-0005-0000-0000-0000A2240000}"/>
    <cellStyle name="20% - Accent6 2 2 4 14" xfId="36406" xr:uid="{00000000-0005-0000-0000-0000A3240000}"/>
    <cellStyle name="20% - Accent6 2 2 4 15" xfId="38089" xr:uid="{00000000-0005-0000-0000-0000A4240000}"/>
    <cellStyle name="20% - Accent6 2 2 4 16" xfId="39772" xr:uid="{00000000-0005-0000-0000-0000A5240000}"/>
    <cellStyle name="20% - Accent6 2 2 4 17" xfId="41455" xr:uid="{00000000-0005-0000-0000-0000A6240000}"/>
    <cellStyle name="20% - Accent6 2 2 4 18" xfId="43138" xr:uid="{00000000-0005-0000-0000-0000A7240000}"/>
    <cellStyle name="20% - Accent6 2 2 4 19" xfId="44821" xr:uid="{00000000-0005-0000-0000-0000A8240000}"/>
    <cellStyle name="20% - Accent6 2 2 4 2" xfId="2742" xr:uid="{00000000-0005-0000-0000-0000A9240000}"/>
    <cellStyle name="20% - Accent6 2 2 4 2 2" xfId="17891" xr:uid="{00000000-0005-0000-0000-0000AA240000}"/>
    <cellStyle name="20% - Accent6 2 2 4 20" xfId="46504" xr:uid="{00000000-0005-0000-0000-0000AB240000}"/>
    <cellStyle name="20% - Accent6 2 2 4 21" xfId="48187" xr:uid="{00000000-0005-0000-0000-0000AC240000}"/>
    <cellStyle name="20% - Accent6 2 2 4 22" xfId="49870" xr:uid="{00000000-0005-0000-0000-0000AD240000}"/>
    <cellStyle name="20% - Accent6 2 2 4 23" xfId="51553" xr:uid="{00000000-0005-0000-0000-0000AE240000}"/>
    <cellStyle name="20% - Accent6 2 2 4 24" xfId="53236" xr:uid="{00000000-0005-0000-0000-0000AF240000}"/>
    <cellStyle name="20% - Accent6 2 2 4 25" xfId="54919" xr:uid="{00000000-0005-0000-0000-0000B0240000}"/>
    <cellStyle name="20% - Accent6 2 2 4 26" xfId="56602" xr:uid="{00000000-0005-0000-0000-0000B1240000}"/>
    <cellStyle name="20% - Accent6 2 2 4 27" xfId="58285" xr:uid="{00000000-0005-0000-0000-0000B2240000}"/>
    <cellStyle name="20% - Accent6 2 2 4 28" xfId="59968" xr:uid="{00000000-0005-0000-0000-0000B3240000}"/>
    <cellStyle name="20% - Accent6 2 2 4 29" xfId="61651" xr:uid="{00000000-0005-0000-0000-0000B4240000}"/>
    <cellStyle name="20% - Accent6 2 2 4 3" xfId="4426" xr:uid="{00000000-0005-0000-0000-0000B5240000}"/>
    <cellStyle name="20% - Accent6 2 2 4 3 2" xfId="19575" xr:uid="{00000000-0005-0000-0000-0000B6240000}"/>
    <cellStyle name="20% - Accent6 2 2 4 30" xfId="63334" xr:uid="{00000000-0005-0000-0000-0000B7240000}"/>
    <cellStyle name="20% - Accent6 2 2 4 4" xfId="6109" xr:uid="{00000000-0005-0000-0000-0000B8240000}"/>
    <cellStyle name="20% - Accent6 2 2 4 4 2" xfId="21258" xr:uid="{00000000-0005-0000-0000-0000B9240000}"/>
    <cellStyle name="20% - Accent6 2 2 4 5" xfId="7792" xr:uid="{00000000-0005-0000-0000-0000BA240000}"/>
    <cellStyle name="20% - Accent6 2 2 4 5 2" xfId="22941" xr:uid="{00000000-0005-0000-0000-0000BB240000}"/>
    <cellStyle name="20% - Accent6 2 2 4 6" xfId="9475" xr:uid="{00000000-0005-0000-0000-0000BC240000}"/>
    <cellStyle name="20% - Accent6 2 2 4 6 2" xfId="24624" xr:uid="{00000000-0005-0000-0000-0000BD240000}"/>
    <cellStyle name="20% - Accent6 2 2 4 7" xfId="11158" xr:uid="{00000000-0005-0000-0000-0000BE240000}"/>
    <cellStyle name="20% - Accent6 2 2 4 7 2" xfId="26307" xr:uid="{00000000-0005-0000-0000-0000BF240000}"/>
    <cellStyle name="20% - Accent6 2 2 4 8" xfId="12842" xr:uid="{00000000-0005-0000-0000-0000C0240000}"/>
    <cellStyle name="20% - Accent6 2 2 4 8 2" xfId="27991" xr:uid="{00000000-0005-0000-0000-0000C1240000}"/>
    <cellStyle name="20% - Accent6 2 2 4 9" xfId="14525" xr:uid="{00000000-0005-0000-0000-0000C2240000}"/>
    <cellStyle name="20% - Accent6 2 2 4 9 2" xfId="29674" xr:uid="{00000000-0005-0000-0000-0000C3240000}"/>
    <cellStyle name="20% - Accent6 2 2 5" xfId="1480" xr:uid="{00000000-0005-0000-0000-0000C4240000}"/>
    <cellStyle name="20% - Accent6 2 2 5 10" xfId="16629" xr:uid="{00000000-0005-0000-0000-0000C5240000}"/>
    <cellStyle name="20% - Accent6 2 2 5 11" xfId="31778" xr:uid="{00000000-0005-0000-0000-0000C6240000}"/>
    <cellStyle name="20% - Accent6 2 2 5 12" xfId="33461" xr:uid="{00000000-0005-0000-0000-0000C7240000}"/>
    <cellStyle name="20% - Accent6 2 2 5 13" xfId="35144" xr:uid="{00000000-0005-0000-0000-0000C8240000}"/>
    <cellStyle name="20% - Accent6 2 2 5 14" xfId="36827" xr:uid="{00000000-0005-0000-0000-0000C9240000}"/>
    <cellStyle name="20% - Accent6 2 2 5 15" xfId="38510" xr:uid="{00000000-0005-0000-0000-0000CA240000}"/>
    <cellStyle name="20% - Accent6 2 2 5 16" xfId="40193" xr:uid="{00000000-0005-0000-0000-0000CB240000}"/>
    <cellStyle name="20% - Accent6 2 2 5 17" xfId="41876" xr:uid="{00000000-0005-0000-0000-0000CC240000}"/>
    <cellStyle name="20% - Accent6 2 2 5 18" xfId="43559" xr:uid="{00000000-0005-0000-0000-0000CD240000}"/>
    <cellStyle name="20% - Accent6 2 2 5 19" xfId="45242" xr:uid="{00000000-0005-0000-0000-0000CE240000}"/>
    <cellStyle name="20% - Accent6 2 2 5 2" xfId="3163" xr:uid="{00000000-0005-0000-0000-0000CF240000}"/>
    <cellStyle name="20% - Accent6 2 2 5 2 2" xfId="18312" xr:uid="{00000000-0005-0000-0000-0000D0240000}"/>
    <cellStyle name="20% - Accent6 2 2 5 20" xfId="46925" xr:uid="{00000000-0005-0000-0000-0000D1240000}"/>
    <cellStyle name="20% - Accent6 2 2 5 21" xfId="48608" xr:uid="{00000000-0005-0000-0000-0000D2240000}"/>
    <cellStyle name="20% - Accent6 2 2 5 22" xfId="50291" xr:uid="{00000000-0005-0000-0000-0000D3240000}"/>
    <cellStyle name="20% - Accent6 2 2 5 23" xfId="51974" xr:uid="{00000000-0005-0000-0000-0000D4240000}"/>
    <cellStyle name="20% - Accent6 2 2 5 24" xfId="53657" xr:uid="{00000000-0005-0000-0000-0000D5240000}"/>
    <cellStyle name="20% - Accent6 2 2 5 25" xfId="55340" xr:uid="{00000000-0005-0000-0000-0000D6240000}"/>
    <cellStyle name="20% - Accent6 2 2 5 26" xfId="57023" xr:uid="{00000000-0005-0000-0000-0000D7240000}"/>
    <cellStyle name="20% - Accent6 2 2 5 27" xfId="58706" xr:uid="{00000000-0005-0000-0000-0000D8240000}"/>
    <cellStyle name="20% - Accent6 2 2 5 28" xfId="60389" xr:uid="{00000000-0005-0000-0000-0000D9240000}"/>
    <cellStyle name="20% - Accent6 2 2 5 29" xfId="62072" xr:uid="{00000000-0005-0000-0000-0000DA240000}"/>
    <cellStyle name="20% - Accent6 2 2 5 3" xfId="4847" xr:uid="{00000000-0005-0000-0000-0000DB240000}"/>
    <cellStyle name="20% - Accent6 2 2 5 3 2" xfId="19996" xr:uid="{00000000-0005-0000-0000-0000DC240000}"/>
    <cellStyle name="20% - Accent6 2 2 5 30" xfId="63755" xr:uid="{00000000-0005-0000-0000-0000DD240000}"/>
    <cellStyle name="20% - Accent6 2 2 5 4" xfId="6530" xr:uid="{00000000-0005-0000-0000-0000DE240000}"/>
    <cellStyle name="20% - Accent6 2 2 5 4 2" xfId="21679" xr:uid="{00000000-0005-0000-0000-0000DF240000}"/>
    <cellStyle name="20% - Accent6 2 2 5 5" xfId="8213" xr:uid="{00000000-0005-0000-0000-0000E0240000}"/>
    <cellStyle name="20% - Accent6 2 2 5 5 2" xfId="23362" xr:uid="{00000000-0005-0000-0000-0000E1240000}"/>
    <cellStyle name="20% - Accent6 2 2 5 6" xfId="9896" xr:uid="{00000000-0005-0000-0000-0000E2240000}"/>
    <cellStyle name="20% - Accent6 2 2 5 6 2" xfId="25045" xr:uid="{00000000-0005-0000-0000-0000E3240000}"/>
    <cellStyle name="20% - Accent6 2 2 5 7" xfId="11579" xr:uid="{00000000-0005-0000-0000-0000E4240000}"/>
    <cellStyle name="20% - Accent6 2 2 5 7 2" xfId="26728" xr:uid="{00000000-0005-0000-0000-0000E5240000}"/>
    <cellStyle name="20% - Accent6 2 2 5 8" xfId="13263" xr:uid="{00000000-0005-0000-0000-0000E6240000}"/>
    <cellStyle name="20% - Accent6 2 2 5 8 2" xfId="28412" xr:uid="{00000000-0005-0000-0000-0000E7240000}"/>
    <cellStyle name="20% - Accent6 2 2 5 9" xfId="14946" xr:uid="{00000000-0005-0000-0000-0000E8240000}"/>
    <cellStyle name="20% - Accent6 2 2 5 9 2" xfId="30095" xr:uid="{00000000-0005-0000-0000-0000E9240000}"/>
    <cellStyle name="20% - Accent6 2 2 6" xfId="1901" xr:uid="{00000000-0005-0000-0000-0000EA240000}"/>
    <cellStyle name="20% - Accent6 2 2 6 2" xfId="17050" xr:uid="{00000000-0005-0000-0000-0000EB240000}"/>
    <cellStyle name="20% - Accent6 2 2 7" xfId="3585" xr:uid="{00000000-0005-0000-0000-0000EC240000}"/>
    <cellStyle name="20% - Accent6 2 2 7 2" xfId="18734" xr:uid="{00000000-0005-0000-0000-0000ED240000}"/>
    <cellStyle name="20% - Accent6 2 2 8" xfId="5268" xr:uid="{00000000-0005-0000-0000-0000EE240000}"/>
    <cellStyle name="20% - Accent6 2 2 8 2" xfId="20417" xr:uid="{00000000-0005-0000-0000-0000EF240000}"/>
    <cellStyle name="20% - Accent6 2 2 9" xfId="6951" xr:uid="{00000000-0005-0000-0000-0000F0240000}"/>
    <cellStyle name="20% - Accent6 2 2 9 2" xfId="22100" xr:uid="{00000000-0005-0000-0000-0000F1240000}"/>
    <cellStyle name="20% - Accent6 2 20" xfId="37143" xr:uid="{00000000-0005-0000-0000-0000F2240000}"/>
    <cellStyle name="20% - Accent6 2 21" xfId="38826" xr:uid="{00000000-0005-0000-0000-0000F3240000}"/>
    <cellStyle name="20% - Accent6 2 22" xfId="40509" xr:uid="{00000000-0005-0000-0000-0000F4240000}"/>
    <cellStyle name="20% - Accent6 2 23" xfId="42192" xr:uid="{00000000-0005-0000-0000-0000F5240000}"/>
    <cellStyle name="20% - Accent6 2 24" xfId="43875" xr:uid="{00000000-0005-0000-0000-0000F6240000}"/>
    <cellStyle name="20% - Accent6 2 25" xfId="45558" xr:uid="{00000000-0005-0000-0000-0000F7240000}"/>
    <cellStyle name="20% - Accent6 2 26" xfId="47241" xr:uid="{00000000-0005-0000-0000-0000F8240000}"/>
    <cellStyle name="20% - Accent6 2 27" xfId="48924" xr:uid="{00000000-0005-0000-0000-0000F9240000}"/>
    <cellStyle name="20% - Accent6 2 28" xfId="50607" xr:uid="{00000000-0005-0000-0000-0000FA240000}"/>
    <cellStyle name="20% - Accent6 2 29" xfId="52290" xr:uid="{00000000-0005-0000-0000-0000FB240000}"/>
    <cellStyle name="20% - Accent6 2 3" xfId="323" xr:uid="{00000000-0005-0000-0000-0000FC240000}"/>
    <cellStyle name="20% - Accent6 2 3 10" xfId="10422" xr:uid="{00000000-0005-0000-0000-0000FD240000}"/>
    <cellStyle name="20% - Accent6 2 3 10 2" xfId="25571" xr:uid="{00000000-0005-0000-0000-0000FE240000}"/>
    <cellStyle name="20% - Accent6 2 3 11" xfId="12106" xr:uid="{00000000-0005-0000-0000-0000FF240000}"/>
    <cellStyle name="20% - Accent6 2 3 11 2" xfId="27255" xr:uid="{00000000-0005-0000-0000-000000250000}"/>
    <cellStyle name="20% - Accent6 2 3 12" xfId="13789" xr:uid="{00000000-0005-0000-0000-000001250000}"/>
    <cellStyle name="20% - Accent6 2 3 12 2" xfId="28938" xr:uid="{00000000-0005-0000-0000-000002250000}"/>
    <cellStyle name="20% - Accent6 2 3 13" xfId="15472" xr:uid="{00000000-0005-0000-0000-000003250000}"/>
    <cellStyle name="20% - Accent6 2 3 14" xfId="30621" xr:uid="{00000000-0005-0000-0000-000004250000}"/>
    <cellStyle name="20% - Accent6 2 3 15" xfId="32304" xr:uid="{00000000-0005-0000-0000-000005250000}"/>
    <cellStyle name="20% - Accent6 2 3 16" xfId="33987" xr:uid="{00000000-0005-0000-0000-000006250000}"/>
    <cellStyle name="20% - Accent6 2 3 17" xfId="35670" xr:uid="{00000000-0005-0000-0000-000007250000}"/>
    <cellStyle name="20% - Accent6 2 3 18" xfId="37353" xr:uid="{00000000-0005-0000-0000-000008250000}"/>
    <cellStyle name="20% - Accent6 2 3 19" xfId="39036" xr:uid="{00000000-0005-0000-0000-000009250000}"/>
    <cellStyle name="20% - Accent6 2 3 2" xfId="743" xr:uid="{00000000-0005-0000-0000-00000A250000}"/>
    <cellStyle name="20% - Accent6 2 3 2 10" xfId="15892" xr:uid="{00000000-0005-0000-0000-00000B250000}"/>
    <cellStyle name="20% - Accent6 2 3 2 11" xfId="31041" xr:uid="{00000000-0005-0000-0000-00000C250000}"/>
    <cellStyle name="20% - Accent6 2 3 2 12" xfId="32724" xr:uid="{00000000-0005-0000-0000-00000D250000}"/>
    <cellStyle name="20% - Accent6 2 3 2 13" xfId="34407" xr:uid="{00000000-0005-0000-0000-00000E250000}"/>
    <cellStyle name="20% - Accent6 2 3 2 14" xfId="36090" xr:uid="{00000000-0005-0000-0000-00000F250000}"/>
    <cellStyle name="20% - Accent6 2 3 2 15" xfId="37773" xr:uid="{00000000-0005-0000-0000-000010250000}"/>
    <cellStyle name="20% - Accent6 2 3 2 16" xfId="39456" xr:uid="{00000000-0005-0000-0000-000011250000}"/>
    <cellStyle name="20% - Accent6 2 3 2 17" xfId="41139" xr:uid="{00000000-0005-0000-0000-000012250000}"/>
    <cellStyle name="20% - Accent6 2 3 2 18" xfId="42822" xr:uid="{00000000-0005-0000-0000-000013250000}"/>
    <cellStyle name="20% - Accent6 2 3 2 19" xfId="44505" xr:uid="{00000000-0005-0000-0000-000014250000}"/>
    <cellStyle name="20% - Accent6 2 3 2 2" xfId="2426" xr:uid="{00000000-0005-0000-0000-000015250000}"/>
    <cellStyle name="20% - Accent6 2 3 2 2 2" xfId="17575" xr:uid="{00000000-0005-0000-0000-000016250000}"/>
    <cellStyle name="20% - Accent6 2 3 2 20" xfId="46188" xr:uid="{00000000-0005-0000-0000-000017250000}"/>
    <cellStyle name="20% - Accent6 2 3 2 21" xfId="47871" xr:uid="{00000000-0005-0000-0000-000018250000}"/>
    <cellStyle name="20% - Accent6 2 3 2 22" xfId="49554" xr:uid="{00000000-0005-0000-0000-000019250000}"/>
    <cellStyle name="20% - Accent6 2 3 2 23" xfId="51237" xr:uid="{00000000-0005-0000-0000-00001A250000}"/>
    <cellStyle name="20% - Accent6 2 3 2 24" xfId="52920" xr:uid="{00000000-0005-0000-0000-00001B250000}"/>
    <cellStyle name="20% - Accent6 2 3 2 25" xfId="54603" xr:uid="{00000000-0005-0000-0000-00001C250000}"/>
    <cellStyle name="20% - Accent6 2 3 2 26" xfId="56286" xr:uid="{00000000-0005-0000-0000-00001D250000}"/>
    <cellStyle name="20% - Accent6 2 3 2 27" xfId="57969" xr:uid="{00000000-0005-0000-0000-00001E250000}"/>
    <cellStyle name="20% - Accent6 2 3 2 28" xfId="59652" xr:uid="{00000000-0005-0000-0000-00001F250000}"/>
    <cellStyle name="20% - Accent6 2 3 2 29" xfId="61335" xr:uid="{00000000-0005-0000-0000-000020250000}"/>
    <cellStyle name="20% - Accent6 2 3 2 3" xfId="4110" xr:uid="{00000000-0005-0000-0000-000021250000}"/>
    <cellStyle name="20% - Accent6 2 3 2 3 2" xfId="19259" xr:uid="{00000000-0005-0000-0000-000022250000}"/>
    <cellStyle name="20% - Accent6 2 3 2 30" xfId="63018" xr:uid="{00000000-0005-0000-0000-000023250000}"/>
    <cellStyle name="20% - Accent6 2 3 2 4" xfId="5793" xr:uid="{00000000-0005-0000-0000-000024250000}"/>
    <cellStyle name="20% - Accent6 2 3 2 4 2" xfId="20942" xr:uid="{00000000-0005-0000-0000-000025250000}"/>
    <cellStyle name="20% - Accent6 2 3 2 5" xfId="7476" xr:uid="{00000000-0005-0000-0000-000026250000}"/>
    <cellStyle name="20% - Accent6 2 3 2 5 2" xfId="22625" xr:uid="{00000000-0005-0000-0000-000027250000}"/>
    <cellStyle name="20% - Accent6 2 3 2 6" xfId="9159" xr:uid="{00000000-0005-0000-0000-000028250000}"/>
    <cellStyle name="20% - Accent6 2 3 2 6 2" xfId="24308" xr:uid="{00000000-0005-0000-0000-000029250000}"/>
    <cellStyle name="20% - Accent6 2 3 2 7" xfId="10842" xr:uid="{00000000-0005-0000-0000-00002A250000}"/>
    <cellStyle name="20% - Accent6 2 3 2 7 2" xfId="25991" xr:uid="{00000000-0005-0000-0000-00002B250000}"/>
    <cellStyle name="20% - Accent6 2 3 2 8" xfId="12526" xr:uid="{00000000-0005-0000-0000-00002C250000}"/>
    <cellStyle name="20% - Accent6 2 3 2 8 2" xfId="27675" xr:uid="{00000000-0005-0000-0000-00002D250000}"/>
    <cellStyle name="20% - Accent6 2 3 2 9" xfId="14209" xr:uid="{00000000-0005-0000-0000-00002E250000}"/>
    <cellStyle name="20% - Accent6 2 3 2 9 2" xfId="29358" xr:uid="{00000000-0005-0000-0000-00002F250000}"/>
    <cellStyle name="20% - Accent6 2 3 20" xfId="40719" xr:uid="{00000000-0005-0000-0000-000030250000}"/>
    <cellStyle name="20% - Accent6 2 3 21" xfId="42402" xr:uid="{00000000-0005-0000-0000-000031250000}"/>
    <cellStyle name="20% - Accent6 2 3 22" xfId="44085" xr:uid="{00000000-0005-0000-0000-000032250000}"/>
    <cellStyle name="20% - Accent6 2 3 23" xfId="45768" xr:uid="{00000000-0005-0000-0000-000033250000}"/>
    <cellStyle name="20% - Accent6 2 3 24" xfId="47451" xr:uid="{00000000-0005-0000-0000-000034250000}"/>
    <cellStyle name="20% - Accent6 2 3 25" xfId="49134" xr:uid="{00000000-0005-0000-0000-000035250000}"/>
    <cellStyle name="20% - Accent6 2 3 26" xfId="50817" xr:uid="{00000000-0005-0000-0000-000036250000}"/>
    <cellStyle name="20% - Accent6 2 3 27" xfId="52500" xr:uid="{00000000-0005-0000-0000-000037250000}"/>
    <cellStyle name="20% - Accent6 2 3 28" xfId="54183" xr:uid="{00000000-0005-0000-0000-000038250000}"/>
    <cellStyle name="20% - Accent6 2 3 29" xfId="55866" xr:uid="{00000000-0005-0000-0000-000039250000}"/>
    <cellStyle name="20% - Accent6 2 3 3" xfId="1164" xr:uid="{00000000-0005-0000-0000-00003A250000}"/>
    <cellStyle name="20% - Accent6 2 3 3 10" xfId="16313" xr:uid="{00000000-0005-0000-0000-00003B250000}"/>
    <cellStyle name="20% - Accent6 2 3 3 11" xfId="31462" xr:uid="{00000000-0005-0000-0000-00003C250000}"/>
    <cellStyle name="20% - Accent6 2 3 3 12" xfId="33145" xr:uid="{00000000-0005-0000-0000-00003D250000}"/>
    <cellStyle name="20% - Accent6 2 3 3 13" xfId="34828" xr:uid="{00000000-0005-0000-0000-00003E250000}"/>
    <cellStyle name="20% - Accent6 2 3 3 14" xfId="36511" xr:uid="{00000000-0005-0000-0000-00003F250000}"/>
    <cellStyle name="20% - Accent6 2 3 3 15" xfId="38194" xr:uid="{00000000-0005-0000-0000-000040250000}"/>
    <cellStyle name="20% - Accent6 2 3 3 16" xfId="39877" xr:uid="{00000000-0005-0000-0000-000041250000}"/>
    <cellStyle name="20% - Accent6 2 3 3 17" xfId="41560" xr:uid="{00000000-0005-0000-0000-000042250000}"/>
    <cellStyle name="20% - Accent6 2 3 3 18" xfId="43243" xr:uid="{00000000-0005-0000-0000-000043250000}"/>
    <cellStyle name="20% - Accent6 2 3 3 19" xfId="44926" xr:uid="{00000000-0005-0000-0000-000044250000}"/>
    <cellStyle name="20% - Accent6 2 3 3 2" xfId="2847" xr:uid="{00000000-0005-0000-0000-000045250000}"/>
    <cellStyle name="20% - Accent6 2 3 3 2 2" xfId="17996" xr:uid="{00000000-0005-0000-0000-000046250000}"/>
    <cellStyle name="20% - Accent6 2 3 3 20" xfId="46609" xr:uid="{00000000-0005-0000-0000-000047250000}"/>
    <cellStyle name="20% - Accent6 2 3 3 21" xfId="48292" xr:uid="{00000000-0005-0000-0000-000048250000}"/>
    <cellStyle name="20% - Accent6 2 3 3 22" xfId="49975" xr:uid="{00000000-0005-0000-0000-000049250000}"/>
    <cellStyle name="20% - Accent6 2 3 3 23" xfId="51658" xr:uid="{00000000-0005-0000-0000-00004A250000}"/>
    <cellStyle name="20% - Accent6 2 3 3 24" xfId="53341" xr:uid="{00000000-0005-0000-0000-00004B250000}"/>
    <cellStyle name="20% - Accent6 2 3 3 25" xfId="55024" xr:uid="{00000000-0005-0000-0000-00004C250000}"/>
    <cellStyle name="20% - Accent6 2 3 3 26" xfId="56707" xr:uid="{00000000-0005-0000-0000-00004D250000}"/>
    <cellStyle name="20% - Accent6 2 3 3 27" xfId="58390" xr:uid="{00000000-0005-0000-0000-00004E250000}"/>
    <cellStyle name="20% - Accent6 2 3 3 28" xfId="60073" xr:uid="{00000000-0005-0000-0000-00004F250000}"/>
    <cellStyle name="20% - Accent6 2 3 3 29" xfId="61756" xr:uid="{00000000-0005-0000-0000-000050250000}"/>
    <cellStyle name="20% - Accent6 2 3 3 3" xfId="4531" xr:uid="{00000000-0005-0000-0000-000051250000}"/>
    <cellStyle name="20% - Accent6 2 3 3 3 2" xfId="19680" xr:uid="{00000000-0005-0000-0000-000052250000}"/>
    <cellStyle name="20% - Accent6 2 3 3 30" xfId="63439" xr:uid="{00000000-0005-0000-0000-000053250000}"/>
    <cellStyle name="20% - Accent6 2 3 3 4" xfId="6214" xr:uid="{00000000-0005-0000-0000-000054250000}"/>
    <cellStyle name="20% - Accent6 2 3 3 4 2" xfId="21363" xr:uid="{00000000-0005-0000-0000-000055250000}"/>
    <cellStyle name="20% - Accent6 2 3 3 5" xfId="7897" xr:uid="{00000000-0005-0000-0000-000056250000}"/>
    <cellStyle name="20% - Accent6 2 3 3 5 2" xfId="23046" xr:uid="{00000000-0005-0000-0000-000057250000}"/>
    <cellStyle name="20% - Accent6 2 3 3 6" xfId="9580" xr:uid="{00000000-0005-0000-0000-000058250000}"/>
    <cellStyle name="20% - Accent6 2 3 3 6 2" xfId="24729" xr:uid="{00000000-0005-0000-0000-000059250000}"/>
    <cellStyle name="20% - Accent6 2 3 3 7" xfId="11263" xr:uid="{00000000-0005-0000-0000-00005A250000}"/>
    <cellStyle name="20% - Accent6 2 3 3 7 2" xfId="26412" xr:uid="{00000000-0005-0000-0000-00005B250000}"/>
    <cellStyle name="20% - Accent6 2 3 3 8" xfId="12947" xr:uid="{00000000-0005-0000-0000-00005C250000}"/>
    <cellStyle name="20% - Accent6 2 3 3 8 2" xfId="28096" xr:uid="{00000000-0005-0000-0000-00005D250000}"/>
    <cellStyle name="20% - Accent6 2 3 3 9" xfId="14630" xr:uid="{00000000-0005-0000-0000-00005E250000}"/>
    <cellStyle name="20% - Accent6 2 3 3 9 2" xfId="29779" xr:uid="{00000000-0005-0000-0000-00005F250000}"/>
    <cellStyle name="20% - Accent6 2 3 30" xfId="57549" xr:uid="{00000000-0005-0000-0000-000060250000}"/>
    <cellStyle name="20% - Accent6 2 3 31" xfId="59232" xr:uid="{00000000-0005-0000-0000-000061250000}"/>
    <cellStyle name="20% - Accent6 2 3 32" xfId="60915" xr:uid="{00000000-0005-0000-0000-000062250000}"/>
    <cellStyle name="20% - Accent6 2 3 33" xfId="62598" xr:uid="{00000000-0005-0000-0000-000063250000}"/>
    <cellStyle name="20% - Accent6 2 3 4" xfId="1585" xr:uid="{00000000-0005-0000-0000-000064250000}"/>
    <cellStyle name="20% - Accent6 2 3 4 10" xfId="16734" xr:uid="{00000000-0005-0000-0000-000065250000}"/>
    <cellStyle name="20% - Accent6 2 3 4 11" xfId="31883" xr:uid="{00000000-0005-0000-0000-000066250000}"/>
    <cellStyle name="20% - Accent6 2 3 4 12" xfId="33566" xr:uid="{00000000-0005-0000-0000-000067250000}"/>
    <cellStyle name="20% - Accent6 2 3 4 13" xfId="35249" xr:uid="{00000000-0005-0000-0000-000068250000}"/>
    <cellStyle name="20% - Accent6 2 3 4 14" xfId="36932" xr:uid="{00000000-0005-0000-0000-000069250000}"/>
    <cellStyle name="20% - Accent6 2 3 4 15" xfId="38615" xr:uid="{00000000-0005-0000-0000-00006A250000}"/>
    <cellStyle name="20% - Accent6 2 3 4 16" xfId="40298" xr:uid="{00000000-0005-0000-0000-00006B250000}"/>
    <cellStyle name="20% - Accent6 2 3 4 17" xfId="41981" xr:uid="{00000000-0005-0000-0000-00006C250000}"/>
    <cellStyle name="20% - Accent6 2 3 4 18" xfId="43664" xr:uid="{00000000-0005-0000-0000-00006D250000}"/>
    <cellStyle name="20% - Accent6 2 3 4 19" xfId="45347" xr:uid="{00000000-0005-0000-0000-00006E250000}"/>
    <cellStyle name="20% - Accent6 2 3 4 2" xfId="3268" xr:uid="{00000000-0005-0000-0000-00006F250000}"/>
    <cellStyle name="20% - Accent6 2 3 4 2 2" xfId="18417" xr:uid="{00000000-0005-0000-0000-000070250000}"/>
    <cellStyle name="20% - Accent6 2 3 4 20" xfId="47030" xr:uid="{00000000-0005-0000-0000-000071250000}"/>
    <cellStyle name="20% - Accent6 2 3 4 21" xfId="48713" xr:uid="{00000000-0005-0000-0000-000072250000}"/>
    <cellStyle name="20% - Accent6 2 3 4 22" xfId="50396" xr:uid="{00000000-0005-0000-0000-000073250000}"/>
    <cellStyle name="20% - Accent6 2 3 4 23" xfId="52079" xr:uid="{00000000-0005-0000-0000-000074250000}"/>
    <cellStyle name="20% - Accent6 2 3 4 24" xfId="53762" xr:uid="{00000000-0005-0000-0000-000075250000}"/>
    <cellStyle name="20% - Accent6 2 3 4 25" xfId="55445" xr:uid="{00000000-0005-0000-0000-000076250000}"/>
    <cellStyle name="20% - Accent6 2 3 4 26" xfId="57128" xr:uid="{00000000-0005-0000-0000-000077250000}"/>
    <cellStyle name="20% - Accent6 2 3 4 27" xfId="58811" xr:uid="{00000000-0005-0000-0000-000078250000}"/>
    <cellStyle name="20% - Accent6 2 3 4 28" xfId="60494" xr:uid="{00000000-0005-0000-0000-000079250000}"/>
    <cellStyle name="20% - Accent6 2 3 4 29" xfId="62177" xr:uid="{00000000-0005-0000-0000-00007A250000}"/>
    <cellStyle name="20% - Accent6 2 3 4 3" xfId="4952" xr:uid="{00000000-0005-0000-0000-00007B250000}"/>
    <cellStyle name="20% - Accent6 2 3 4 3 2" xfId="20101" xr:uid="{00000000-0005-0000-0000-00007C250000}"/>
    <cellStyle name="20% - Accent6 2 3 4 30" xfId="63860" xr:uid="{00000000-0005-0000-0000-00007D250000}"/>
    <cellStyle name="20% - Accent6 2 3 4 4" xfId="6635" xr:uid="{00000000-0005-0000-0000-00007E250000}"/>
    <cellStyle name="20% - Accent6 2 3 4 4 2" xfId="21784" xr:uid="{00000000-0005-0000-0000-00007F250000}"/>
    <cellStyle name="20% - Accent6 2 3 4 5" xfId="8318" xr:uid="{00000000-0005-0000-0000-000080250000}"/>
    <cellStyle name="20% - Accent6 2 3 4 5 2" xfId="23467" xr:uid="{00000000-0005-0000-0000-000081250000}"/>
    <cellStyle name="20% - Accent6 2 3 4 6" xfId="10001" xr:uid="{00000000-0005-0000-0000-000082250000}"/>
    <cellStyle name="20% - Accent6 2 3 4 6 2" xfId="25150" xr:uid="{00000000-0005-0000-0000-000083250000}"/>
    <cellStyle name="20% - Accent6 2 3 4 7" xfId="11684" xr:uid="{00000000-0005-0000-0000-000084250000}"/>
    <cellStyle name="20% - Accent6 2 3 4 7 2" xfId="26833" xr:uid="{00000000-0005-0000-0000-000085250000}"/>
    <cellStyle name="20% - Accent6 2 3 4 8" xfId="13368" xr:uid="{00000000-0005-0000-0000-000086250000}"/>
    <cellStyle name="20% - Accent6 2 3 4 8 2" xfId="28517" xr:uid="{00000000-0005-0000-0000-000087250000}"/>
    <cellStyle name="20% - Accent6 2 3 4 9" xfId="15051" xr:uid="{00000000-0005-0000-0000-000088250000}"/>
    <cellStyle name="20% - Accent6 2 3 4 9 2" xfId="30200" xr:uid="{00000000-0005-0000-0000-000089250000}"/>
    <cellStyle name="20% - Accent6 2 3 5" xfId="2006" xr:uid="{00000000-0005-0000-0000-00008A250000}"/>
    <cellStyle name="20% - Accent6 2 3 5 2" xfId="17155" xr:uid="{00000000-0005-0000-0000-00008B250000}"/>
    <cellStyle name="20% - Accent6 2 3 6" xfId="3690" xr:uid="{00000000-0005-0000-0000-00008C250000}"/>
    <cellStyle name="20% - Accent6 2 3 6 2" xfId="18839" xr:uid="{00000000-0005-0000-0000-00008D250000}"/>
    <cellStyle name="20% - Accent6 2 3 7" xfId="5373" xr:uid="{00000000-0005-0000-0000-00008E250000}"/>
    <cellStyle name="20% - Accent6 2 3 7 2" xfId="20522" xr:uid="{00000000-0005-0000-0000-00008F250000}"/>
    <cellStyle name="20% - Accent6 2 3 8" xfId="7056" xr:uid="{00000000-0005-0000-0000-000090250000}"/>
    <cellStyle name="20% - Accent6 2 3 8 2" xfId="22205" xr:uid="{00000000-0005-0000-0000-000091250000}"/>
    <cellStyle name="20% - Accent6 2 3 9" xfId="8739" xr:uid="{00000000-0005-0000-0000-000092250000}"/>
    <cellStyle name="20% - Accent6 2 3 9 2" xfId="23888" xr:uid="{00000000-0005-0000-0000-000093250000}"/>
    <cellStyle name="20% - Accent6 2 30" xfId="53973" xr:uid="{00000000-0005-0000-0000-000094250000}"/>
    <cellStyle name="20% - Accent6 2 31" xfId="55656" xr:uid="{00000000-0005-0000-0000-000095250000}"/>
    <cellStyle name="20% - Accent6 2 32" xfId="57339" xr:uid="{00000000-0005-0000-0000-000096250000}"/>
    <cellStyle name="20% - Accent6 2 33" xfId="59022" xr:uid="{00000000-0005-0000-0000-000097250000}"/>
    <cellStyle name="20% - Accent6 2 34" xfId="60705" xr:uid="{00000000-0005-0000-0000-000098250000}"/>
    <cellStyle name="20% - Accent6 2 35" xfId="62388" xr:uid="{00000000-0005-0000-0000-000099250000}"/>
    <cellStyle name="20% - Accent6 2 4" xfId="533" xr:uid="{00000000-0005-0000-0000-00009A250000}"/>
    <cellStyle name="20% - Accent6 2 4 10" xfId="15682" xr:uid="{00000000-0005-0000-0000-00009B250000}"/>
    <cellStyle name="20% - Accent6 2 4 11" xfId="30831" xr:uid="{00000000-0005-0000-0000-00009C250000}"/>
    <cellStyle name="20% - Accent6 2 4 12" xfId="32514" xr:uid="{00000000-0005-0000-0000-00009D250000}"/>
    <cellStyle name="20% - Accent6 2 4 13" xfId="34197" xr:uid="{00000000-0005-0000-0000-00009E250000}"/>
    <cellStyle name="20% - Accent6 2 4 14" xfId="35880" xr:uid="{00000000-0005-0000-0000-00009F250000}"/>
    <cellStyle name="20% - Accent6 2 4 15" xfId="37563" xr:uid="{00000000-0005-0000-0000-0000A0250000}"/>
    <cellStyle name="20% - Accent6 2 4 16" xfId="39246" xr:uid="{00000000-0005-0000-0000-0000A1250000}"/>
    <cellStyle name="20% - Accent6 2 4 17" xfId="40929" xr:uid="{00000000-0005-0000-0000-0000A2250000}"/>
    <cellStyle name="20% - Accent6 2 4 18" xfId="42612" xr:uid="{00000000-0005-0000-0000-0000A3250000}"/>
    <cellStyle name="20% - Accent6 2 4 19" xfId="44295" xr:uid="{00000000-0005-0000-0000-0000A4250000}"/>
    <cellStyle name="20% - Accent6 2 4 2" xfId="2216" xr:uid="{00000000-0005-0000-0000-0000A5250000}"/>
    <cellStyle name="20% - Accent6 2 4 2 2" xfId="17365" xr:uid="{00000000-0005-0000-0000-0000A6250000}"/>
    <cellStyle name="20% - Accent6 2 4 20" xfId="45978" xr:uid="{00000000-0005-0000-0000-0000A7250000}"/>
    <cellStyle name="20% - Accent6 2 4 21" xfId="47661" xr:uid="{00000000-0005-0000-0000-0000A8250000}"/>
    <cellStyle name="20% - Accent6 2 4 22" xfId="49344" xr:uid="{00000000-0005-0000-0000-0000A9250000}"/>
    <cellStyle name="20% - Accent6 2 4 23" xfId="51027" xr:uid="{00000000-0005-0000-0000-0000AA250000}"/>
    <cellStyle name="20% - Accent6 2 4 24" xfId="52710" xr:uid="{00000000-0005-0000-0000-0000AB250000}"/>
    <cellStyle name="20% - Accent6 2 4 25" xfId="54393" xr:uid="{00000000-0005-0000-0000-0000AC250000}"/>
    <cellStyle name="20% - Accent6 2 4 26" xfId="56076" xr:uid="{00000000-0005-0000-0000-0000AD250000}"/>
    <cellStyle name="20% - Accent6 2 4 27" xfId="57759" xr:uid="{00000000-0005-0000-0000-0000AE250000}"/>
    <cellStyle name="20% - Accent6 2 4 28" xfId="59442" xr:uid="{00000000-0005-0000-0000-0000AF250000}"/>
    <cellStyle name="20% - Accent6 2 4 29" xfId="61125" xr:uid="{00000000-0005-0000-0000-0000B0250000}"/>
    <cellStyle name="20% - Accent6 2 4 3" xfId="3900" xr:uid="{00000000-0005-0000-0000-0000B1250000}"/>
    <cellStyle name="20% - Accent6 2 4 3 2" xfId="19049" xr:uid="{00000000-0005-0000-0000-0000B2250000}"/>
    <cellStyle name="20% - Accent6 2 4 30" xfId="62808" xr:uid="{00000000-0005-0000-0000-0000B3250000}"/>
    <cellStyle name="20% - Accent6 2 4 4" xfId="5583" xr:uid="{00000000-0005-0000-0000-0000B4250000}"/>
    <cellStyle name="20% - Accent6 2 4 4 2" xfId="20732" xr:uid="{00000000-0005-0000-0000-0000B5250000}"/>
    <cellStyle name="20% - Accent6 2 4 5" xfId="7266" xr:uid="{00000000-0005-0000-0000-0000B6250000}"/>
    <cellStyle name="20% - Accent6 2 4 5 2" xfId="22415" xr:uid="{00000000-0005-0000-0000-0000B7250000}"/>
    <cellStyle name="20% - Accent6 2 4 6" xfId="8949" xr:uid="{00000000-0005-0000-0000-0000B8250000}"/>
    <cellStyle name="20% - Accent6 2 4 6 2" xfId="24098" xr:uid="{00000000-0005-0000-0000-0000B9250000}"/>
    <cellStyle name="20% - Accent6 2 4 7" xfId="10632" xr:uid="{00000000-0005-0000-0000-0000BA250000}"/>
    <cellStyle name="20% - Accent6 2 4 7 2" xfId="25781" xr:uid="{00000000-0005-0000-0000-0000BB250000}"/>
    <cellStyle name="20% - Accent6 2 4 8" xfId="12316" xr:uid="{00000000-0005-0000-0000-0000BC250000}"/>
    <cellStyle name="20% - Accent6 2 4 8 2" xfId="27465" xr:uid="{00000000-0005-0000-0000-0000BD250000}"/>
    <cellStyle name="20% - Accent6 2 4 9" xfId="13999" xr:uid="{00000000-0005-0000-0000-0000BE250000}"/>
    <cellStyle name="20% - Accent6 2 4 9 2" xfId="29148" xr:uid="{00000000-0005-0000-0000-0000BF250000}"/>
    <cellStyle name="20% - Accent6 2 5" xfId="954" xr:uid="{00000000-0005-0000-0000-0000C0250000}"/>
    <cellStyle name="20% - Accent6 2 5 10" xfId="16103" xr:uid="{00000000-0005-0000-0000-0000C1250000}"/>
    <cellStyle name="20% - Accent6 2 5 11" xfId="31252" xr:uid="{00000000-0005-0000-0000-0000C2250000}"/>
    <cellStyle name="20% - Accent6 2 5 12" xfId="32935" xr:uid="{00000000-0005-0000-0000-0000C3250000}"/>
    <cellStyle name="20% - Accent6 2 5 13" xfId="34618" xr:uid="{00000000-0005-0000-0000-0000C4250000}"/>
    <cellStyle name="20% - Accent6 2 5 14" xfId="36301" xr:uid="{00000000-0005-0000-0000-0000C5250000}"/>
    <cellStyle name="20% - Accent6 2 5 15" xfId="37984" xr:uid="{00000000-0005-0000-0000-0000C6250000}"/>
    <cellStyle name="20% - Accent6 2 5 16" xfId="39667" xr:uid="{00000000-0005-0000-0000-0000C7250000}"/>
    <cellStyle name="20% - Accent6 2 5 17" xfId="41350" xr:uid="{00000000-0005-0000-0000-0000C8250000}"/>
    <cellStyle name="20% - Accent6 2 5 18" xfId="43033" xr:uid="{00000000-0005-0000-0000-0000C9250000}"/>
    <cellStyle name="20% - Accent6 2 5 19" xfId="44716" xr:uid="{00000000-0005-0000-0000-0000CA250000}"/>
    <cellStyle name="20% - Accent6 2 5 2" xfId="2637" xr:uid="{00000000-0005-0000-0000-0000CB250000}"/>
    <cellStyle name="20% - Accent6 2 5 2 2" xfId="17786" xr:uid="{00000000-0005-0000-0000-0000CC250000}"/>
    <cellStyle name="20% - Accent6 2 5 20" xfId="46399" xr:uid="{00000000-0005-0000-0000-0000CD250000}"/>
    <cellStyle name="20% - Accent6 2 5 21" xfId="48082" xr:uid="{00000000-0005-0000-0000-0000CE250000}"/>
    <cellStyle name="20% - Accent6 2 5 22" xfId="49765" xr:uid="{00000000-0005-0000-0000-0000CF250000}"/>
    <cellStyle name="20% - Accent6 2 5 23" xfId="51448" xr:uid="{00000000-0005-0000-0000-0000D0250000}"/>
    <cellStyle name="20% - Accent6 2 5 24" xfId="53131" xr:uid="{00000000-0005-0000-0000-0000D1250000}"/>
    <cellStyle name="20% - Accent6 2 5 25" xfId="54814" xr:uid="{00000000-0005-0000-0000-0000D2250000}"/>
    <cellStyle name="20% - Accent6 2 5 26" xfId="56497" xr:uid="{00000000-0005-0000-0000-0000D3250000}"/>
    <cellStyle name="20% - Accent6 2 5 27" xfId="58180" xr:uid="{00000000-0005-0000-0000-0000D4250000}"/>
    <cellStyle name="20% - Accent6 2 5 28" xfId="59863" xr:uid="{00000000-0005-0000-0000-0000D5250000}"/>
    <cellStyle name="20% - Accent6 2 5 29" xfId="61546" xr:uid="{00000000-0005-0000-0000-0000D6250000}"/>
    <cellStyle name="20% - Accent6 2 5 3" xfId="4321" xr:uid="{00000000-0005-0000-0000-0000D7250000}"/>
    <cellStyle name="20% - Accent6 2 5 3 2" xfId="19470" xr:uid="{00000000-0005-0000-0000-0000D8250000}"/>
    <cellStyle name="20% - Accent6 2 5 30" xfId="63229" xr:uid="{00000000-0005-0000-0000-0000D9250000}"/>
    <cellStyle name="20% - Accent6 2 5 4" xfId="6004" xr:uid="{00000000-0005-0000-0000-0000DA250000}"/>
    <cellStyle name="20% - Accent6 2 5 4 2" xfId="21153" xr:uid="{00000000-0005-0000-0000-0000DB250000}"/>
    <cellStyle name="20% - Accent6 2 5 5" xfId="7687" xr:uid="{00000000-0005-0000-0000-0000DC250000}"/>
    <cellStyle name="20% - Accent6 2 5 5 2" xfId="22836" xr:uid="{00000000-0005-0000-0000-0000DD250000}"/>
    <cellStyle name="20% - Accent6 2 5 6" xfId="9370" xr:uid="{00000000-0005-0000-0000-0000DE250000}"/>
    <cellStyle name="20% - Accent6 2 5 6 2" xfId="24519" xr:uid="{00000000-0005-0000-0000-0000DF250000}"/>
    <cellStyle name="20% - Accent6 2 5 7" xfId="11053" xr:uid="{00000000-0005-0000-0000-0000E0250000}"/>
    <cellStyle name="20% - Accent6 2 5 7 2" xfId="26202" xr:uid="{00000000-0005-0000-0000-0000E1250000}"/>
    <cellStyle name="20% - Accent6 2 5 8" xfId="12737" xr:uid="{00000000-0005-0000-0000-0000E2250000}"/>
    <cellStyle name="20% - Accent6 2 5 8 2" xfId="27886" xr:uid="{00000000-0005-0000-0000-0000E3250000}"/>
    <cellStyle name="20% - Accent6 2 5 9" xfId="14420" xr:uid="{00000000-0005-0000-0000-0000E4250000}"/>
    <cellStyle name="20% - Accent6 2 5 9 2" xfId="29569" xr:uid="{00000000-0005-0000-0000-0000E5250000}"/>
    <cellStyle name="20% - Accent6 2 6" xfId="1375" xr:uid="{00000000-0005-0000-0000-0000E6250000}"/>
    <cellStyle name="20% - Accent6 2 6 10" xfId="16524" xr:uid="{00000000-0005-0000-0000-0000E7250000}"/>
    <cellStyle name="20% - Accent6 2 6 11" xfId="31673" xr:uid="{00000000-0005-0000-0000-0000E8250000}"/>
    <cellStyle name="20% - Accent6 2 6 12" xfId="33356" xr:uid="{00000000-0005-0000-0000-0000E9250000}"/>
    <cellStyle name="20% - Accent6 2 6 13" xfId="35039" xr:uid="{00000000-0005-0000-0000-0000EA250000}"/>
    <cellStyle name="20% - Accent6 2 6 14" xfId="36722" xr:uid="{00000000-0005-0000-0000-0000EB250000}"/>
    <cellStyle name="20% - Accent6 2 6 15" xfId="38405" xr:uid="{00000000-0005-0000-0000-0000EC250000}"/>
    <cellStyle name="20% - Accent6 2 6 16" xfId="40088" xr:uid="{00000000-0005-0000-0000-0000ED250000}"/>
    <cellStyle name="20% - Accent6 2 6 17" xfId="41771" xr:uid="{00000000-0005-0000-0000-0000EE250000}"/>
    <cellStyle name="20% - Accent6 2 6 18" xfId="43454" xr:uid="{00000000-0005-0000-0000-0000EF250000}"/>
    <cellStyle name="20% - Accent6 2 6 19" xfId="45137" xr:uid="{00000000-0005-0000-0000-0000F0250000}"/>
    <cellStyle name="20% - Accent6 2 6 2" xfId="3058" xr:uid="{00000000-0005-0000-0000-0000F1250000}"/>
    <cellStyle name="20% - Accent6 2 6 2 2" xfId="18207" xr:uid="{00000000-0005-0000-0000-0000F2250000}"/>
    <cellStyle name="20% - Accent6 2 6 20" xfId="46820" xr:uid="{00000000-0005-0000-0000-0000F3250000}"/>
    <cellStyle name="20% - Accent6 2 6 21" xfId="48503" xr:uid="{00000000-0005-0000-0000-0000F4250000}"/>
    <cellStyle name="20% - Accent6 2 6 22" xfId="50186" xr:uid="{00000000-0005-0000-0000-0000F5250000}"/>
    <cellStyle name="20% - Accent6 2 6 23" xfId="51869" xr:uid="{00000000-0005-0000-0000-0000F6250000}"/>
    <cellStyle name="20% - Accent6 2 6 24" xfId="53552" xr:uid="{00000000-0005-0000-0000-0000F7250000}"/>
    <cellStyle name="20% - Accent6 2 6 25" xfId="55235" xr:uid="{00000000-0005-0000-0000-0000F8250000}"/>
    <cellStyle name="20% - Accent6 2 6 26" xfId="56918" xr:uid="{00000000-0005-0000-0000-0000F9250000}"/>
    <cellStyle name="20% - Accent6 2 6 27" xfId="58601" xr:uid="{00000000-0005-0000-0000-0000FA250000}"/>
    <cellStyle name="20% - Accent6 2 6 28" xfId="60284" xr:uid="{00000000-0005-0000-0000-0000FB250000}"/>
    <cellStyle name="20% - Accent6 2 6 29" xfId="61967" xr:uid="{00000000-0005-0000-0000-0000FC250000}"/>
    <cellStyle name="20% - Accent6 2 6 3" xfId="4742" xr:uid="{00000000-0005-0000-0000-0000FD250000}"/>
    <cellStyle name="20% - Accent6 2 6 3 2" xfId="19891" xr:uid="{00000000-0005-0000-0000-0000FE250000}"/>
    <cellStyle name="20% - Accent6 2 6 30" xfId="63650" xr:uid="{00000000-0005-0000-0000-0000FF250000}"/>
    <cellStyle name="20% - Accent6 2 6 4" xfId="6425" xr:uid="{00000000-0005-0000-0000-000000260000}"/>
    <cellStyle name="20% - Accent6 2 6 4 2" xfId="21574" xr:uid="{00000000-0005-0000-0000-000001260000}"/>
    <cellStyle name="20% - Accent6 2 6 5" xfId="8108" xr:uid="{00000000-0005-0000-0000-000002260000}"/>
    <cellStyle name="20% - Accent6 2 6 5 2" xfId="23257" xr:uid="{00000000-0005-0000-0000-000003260000}"/>
    <cellStyle name="20% - Accent6 2 6 6" xfId="9791" xr:uid="{00000000-0005-0000-0000-000004260000}"/>
    <cellStyle name="20% - Accent6 2 6 6 2" xfId="24940" xr:uid="{00000000-0005-0000-0000-000005260000}"/>
    <cellStyle name="20% - Accent6 2 6 7" xfId="11474" xr:uid="{00000000-0005-0000-0000-000006260000}"/>
    <cellStyle name="20% - Accent6 2 6 7 2" xfId="26623" xr:uid="{00000000-0005-0000-0000-000007260000}"/>
    <cellStyle name="20% - Accent6 2 6 8" xfId="13158" xr:uid="{00000000-0005-0000-0000-000008260000}"/>
    <cellStyle name="20% - Accent6 2 6 8 2" xfId="28307" xr:uid="{00000000-0005-0000-0000-000009260000}"/>
    <cellStyle name="20% - Accent6 2 6 9" xfId="14841" xr:uid="{00000000-0005-0000-0000-00000A260000}"/>
    <cellStyle name="20% - Accent6 2 6 9 2" xfId="29990" xr:uid="{00000000-0005-0000-0000-00000B260000}"/>
    <cellStyle name="20% - Accent6 2 7" xfId="1796" xr:uid="{00000000-0005-0000-0000-00000C260000}"/>
    <cellStyle name="20% - Accent6 2 7 2" xfId="16945" xr:uid="{00000000-0005-0000-0000-00000D260000}"/>
    <cellStyle name="20% - Accent6 2 8" xfId="3480" xr:uid="{00000000-0005-0000-0000-00000E260000}"/>
    <cellStyle name="20% - Accent6 2 8 2" xfId="18629" xr:uid="{00000000-0005-0000-0000-00000F260000}"/>
    <cellStyle name="20% - Accent6 2 9" xfId="5163" xr:uid="{00000000-0005-0000-0000-000010260000}"/>
    <cellStyle name="20% - Accent6 2 9 2" xfId="20312" xr:uid="{00000000-0005-0000-0000-000011260000}"/>
    <cellStyle name="20% - Accent6 20" xfId="33755" xr:uid="{00000000-0005-0000-0000-000012260000}"/>
    <cellStyle name="20% - Accent6 21" xfId="35438" xr:uid="{00000000-0005-0000-0000-000013260000}"/>
    <cellStyle name="20% - Accent6 22" xfId="37121" xr:uid="{00000000-0005-0000-0000-000014260000}"/>
    <cellStyle name="20% - Accent6 23" xfId="38804" xr:uid="{00000000-0005-0000-0000-000015260000}"/>
    <cellStyle name="20% - Accent6 24" xfId="40487" xr:uid="{00000000-0005-0000-0000-000016260000}"/>
    <cellStyle name="20% - Accent6 25" xfId="42170" xr:uid="{00000000-0005-0000-0000-000017260000}"/>
    <cellStyle name="20% - Accent6 26" xfId="43853" xr:uid="{00000000-0005-0000-0000-000018260000}"/>
    <cellStyle name="20% - Accent6 27" xfId="45536" xr:uid="{00000000-0005-0000-0000-000019260000}"/>
    <cellStyle name="20% - Accent6 28" xfId="47219" xr:uid="{00000000-0005-0000-0000-00001A260000}"/>
    <cellStyle name="20% - Accent6 29" xfId="48902" xr:uid="{00000000-0005-0000-0000-00001B260000}"/>
    <cellStyle name="20% - Accent6 3" xfId="133" xr:uid="{00000000-0005-0000-0000-00001C260000}"/>
    <cellStyle name="20% - Accent6 3 10" xfId="6866" xr:uid="{00000000-0005-0000-0000-00001D260000}"/>
    <cellStyle name="20% - Accent6 3 10 2" xfId="22015" xr:uid="{00000000-0005-0000-0000-00001E260000}"/>
    <cellStyle name="20% - Accent6 3 11" xfId="8549" xr:uid="{00000000-0005-0000-0000-00001F260000}"/>
    <cellStyle name="20% - Accent6 3 11 2" xfId="23698" xr:uid="{00000000-0005-0000-0000-000020260000}"/>
    <cellStyle name="20% - Accent6 3 12" xfId="10232" xr:uid="{00000000-0005-0000-0000-000021260000}"/>
    <cellStyle name="20% - Accent6 3 12 2" xfId="25381" xr:uid="{00000000-0005-0000-0000-000022260000}"/>
    <cellStyle name="20% - Accent6 3 13" xfId="11916" xr:uid="{00000000-0005-0000-0000-000023260000}"/>
    <cellStyle name="20% - Accent6 3 13 2" xfId="27065" xr:uid="{00000000-0005-0000-0000-000024260000}"/>
    <cellStyle name="20% - Accent6 3 14" xfId="13599" xr:uid="{00000000-0005-0000-0000-000025260000}"/>
    <cellStyle name="20% - Accent6 3 14 2" xfId="28748" xr:uid="{00000000-0005-0000-0000-000026260000}"/>
    <cellStyle name="20% - Accent6 3 15" xfId="15282" xr:uid="{00000000-0005-0000-0000-000027260000}"/>
    <cellStyle name="20% - Accent6 3 16" xfId="30431" xr:uid="{00000000-0005-0000-0000-000028260000}"/>
    <cellStyle name="20% - Accent6 3 17" xfId="32114" xr:uid="{00000000-0005-0000-0000-000029260000}"/>
    <cellStyle name="20% - Accent6 3 18" xfId="33797" xr:uid="{00000000-0005-0000-0000-00002A260000}"/>
    <cellStyle name="20% - Accent6 3 19" xfId="35480" xr:uid="{00000000-0005-0000-0000-00002B260000}"/>
    <cellStyle name="20% - Accent6 3 2" xfId="238" xr:uid="{00000000-0005-0000-0000-00002C260000}"/>
    <cellStyle name="20% - Accent6 3 2 10" xfId="8654" xr:uid="{00000000-0005-0000-0000-00002D260000}"/>
    <cellStyle name="20% - Accent6 3 2 10 2" xfId="23803" xr:uid="{00000000-0005-0000-0000-00002E260000}"/>
    <cellStyle name="20% - Accent6 3 2 11" xfId="10337" xr:uid="{00000000-0005-0000-0000-00002F260000}"/>
    <cellStyle name="20% - Accent6 3 2 11 2" xfId="25486" xr:uid="{00000000-0005-0000-0000-000030260000}"/>
    <cellStyle name="20% - Accent6 3 2 12" xfId="12021" xr:uid="{00000000-0005-0000-0000-000031260000}"/>
    <cellStyle name="20% - Accent6 3 2 12 2" xfId="27170" xr:uid="{00000000-0005-0000-0000-000032260000}"/>
    <cellStyle name="20% - Accent6 3 2 13" xfId="13704" xr:uid="{00000000-0005-0000-0000-000033260000}"/>
    <cellStyle name="20% - Accent6 3 2 13 2" xfId="28853" xr:uid="{00000000-0005-0000-0000-000034260000}"/>
    <cellStyle name="20% - Accent6 3 2 14" xfId="15387" xr:uid="{00000000-0005-0000-0000-000035260000}"/>
    <cellStyle name="20% - Accent6 3 2 15" xfId="30536" xr:uid="{00000000-0005-0000-0000-000036260000}"/>
    <cellStyle name="20% - Accent6 3 2 16" xfId="32219" xr:uid="{00000000-0005-0000-0000-000037260000}"/>
    <cellStyle name="20% - Accent6 3 2 17" xfId="33902" xr:uid="{00000000-0005-0000-0000-000038260000}"/>
    <cellStyle name="20% - Accent6 3 2 18" xfId="35585" xr:uid="{00000000-0005-0000-0000-000039260000}"/>
    <cellStyle name="20% - Accent6 3 2 19" xfId="37268" xr:uid="{00000000-0005-0000-0000-00003A260000}"/>
    <cellStyle name="20% - Accent6 3 2 2" xfId="448" xr:uid="{00000000-0005-0000-0000-00003B260000}"/>
    <cellStyle name="20% - Accent6 3 2 2 10" xfId="10547" xr:uid="{00000000-0005-0000-0000-00003C260000}"/>
    <cellStyle name="20% - Accent6 3 2 2 10 2" xfId="25696" xr:uid="{00000000-0005-0000-0000-00003D260000}"/>
    <cellStyle name="20% - Accent6 3 2 2 11" xfId="12231" xr:uid="{00000000-0005-0000-0000-00003E260000}"/>
    <cellStyle name="20% - Accent6 3 2 2 11 2" xfId="27380" xr:uid="{00000000-0005-0000-0000-00003F260000}"/>
    <cellStyle name="20% - Accent6 3 2 2 12" xfId="13914" xr:uid="{00000000-0005-0000-0000-000040260000}"/>
    <cellStyle name="20% - Accent6 3 2 2 12 2" xfId="29063" xr:uid="{00000000-0005-0000-0000-000041260000}"/>
    <cellStyle name="20% - Accent6 3 2 2 13" xfId="15597" xr:uid="{00000000-0005-0000-0000-000042260000}"/>
    <cellStyle name="20% - Accent6 3 2 2 14" xfId="30746" xr:uid="{00000000-0005-0000-0000-000043260000}"/>
    <cellStyle name="20% - Accent6 3 2 2 15" xfId="32429" xr:uid="{00000000-0005-0000-0000-000044260000}"/>
    <cellStyle name="20% - Accent6 3 2 2 16" xfId="34112" xr:uid="{00000000-0005-0000-0000-000045260000}"/>
    <cellStyle name="20% - Accent6 3 2 2 17" xfId="35795" xr:uid="{00000000-0005-0000-0000-000046260000}"/>
    <cellStyle name="20% - Accent6 3 2 2 18" xfId="37478" xr:uid="{00000000-0005-0000-0000-000047260000}"/>
    <cellStyle name="20% - Accent6 3 2 2 19" xfId="39161" xr:uid="{00000000-0005-0000-0000-000048260000}"/>
    <cellStyle name="20% - Accent6 3 2 2 2" xfId="868" xr:uid="{00000000-0005-0000-0000-000049260000}"/>
    <cellStyle name="20% - Accent6 3 2 2 2 10" xfId="16017" xr:uid="{00000000-0005-0000-0000-00004A260000}"/>
    <cellStyle name="20% - Accent6 3 2 2 2 11" xfId="31166" xr:uid="{00000000-0005-0000-0000-00004B260000}"/>
    <cellStyle name="20% - Accent6 3 2 2 2 12" xfId="32849" xr:uid="{00000000-0005-0000-0000-00004C260000}"/>
    <cellStyle name="20% - Accent6 3 2 2 2 13" xfId="34532" xr:uid="{00000000-0005-0000-0000-00004D260000}"/>
    <cellStyle name="20% - Accent6 3 2 2 2 14" xfId="36215" xr:uid="{00000000-0005-0000-0000-00004E260000}"/>
    <cellStyle name="20% - Accent6 3 2 2 2 15" xfId="37898" xr:uid="{00000000-0005-0000-0000-00004F260000}"/>
    <cellStyle name="20% - Accent6 3 2 2 2 16" xfId="39581" xr:uid="{00000000-0005-0000-0000-000050260000}"/>
    <cellStyle name="20% - Accent6 3 2 2 2 17" xfId="41264" xr:uid="{00000000-0005-0000-0000-000051260000}"/>
    <cellStyle name="20% - Accent6 3 2 2 2 18" xfId="42947" xr:uid="{00000000-0005-0000-0000-000052260000}"/>
    <cellStyle name="20% - Accent6 3 2 2 2 19" xfId="44630" xr:uid="{00000000-0005-0000-0000-000053260000}"/>
    <cellStyle name="20% - Accent6 3 2 2 2 2" xfId="2551" xr:uid="{00000000-0005-0000-0000-000054260000}"/>
    <cellStyle name="20% - Accent6 3 2 2 2 2 2" xfId="17700" xr:uid="{00000000-0005-0000-0000-000055260000}"/>
    <cellStyle name="20% - Accent6 3 2 2 2 20" xfId="46313" xr:uid="{00000000-0005-0000-0000-000056260000}"/>
    <cellStyle name="20% - Accent6 3 2 2 2 21" xfId="47996" xr:uid="{00000000-0005-0000-0000-000057260000}"/>
    <cellStyle name="20% - Accent6 3 2 2 2 22" xfId="49679" xr:uid="{00000000-0005-0000-0000-000058260000}"/>
    <cellStyle name="20% - Accent6 3 2 2 2 23" xfId="51362" xr:uid="{00000000-0005-0000-0000-000059260000}"/>
    <cellStyle name="20% - Accent6 3 2 2 2 24" xfId="53045" xr:uid="{00000000-0005-0000-0000-00005A260000}"/>
    <cellStyle name="20% - Accent6 3 2 2 2 25" xfId="54728" xr:uid="{00000000-0005-0000-0000-00005B260000}"/>
    <cellStyle name="20% - Accent6 3 2 2 2 26" xfId="56411" xr:uid="{00000000-0005-0000-0000-00005C260000}"/>
    <cellStyle name="20% - Accent6 3 2 2 2 27" xfId="58094" xr:uid="{00000000-0005-0000-0000-00005D260000}"/>
    <cellStyle name="20% - Accent6 3 2 2 2 28" xfId="59777" xr:uid="{00000000-0005-0000-0000-00005E260000}"/>
    <cellStyle name="20% - Accent6 3 2 2 2 29" xfId="61460" xr:uid="{00000000-0005-0000-0000-00005F260000}"/>
    <cellStyle name="20% - Accent6 3 2 2 2 3" xfId="4235" xr:uid="{00000000-0005-0000-0000-000060260000}"/>
    <cellStyle name="20% - Accent6 3 2 2 2 3 2" xfId="19384" xr:uid="{00000000-0005-0000-0000-000061260000}"/>
    <cellStyle name="20% - Accent6 3 2 2 2 30" xfId="63143" xr:uid="{00000000-0005-0000-0000-000062260000}"/>
    <cellStyle name="20% - Accent6 3 2 2 2 4" xfId="5918" xr:uid="{00000000-0005-0000-0000-000063260000}"/>
    <cellStyle name="20% - Accent6 3 2 2 2 4 2" xfId="21067" xr:uid="{00000000-0005-0000-0000-000064260000}"/>
    <cellStyle name="20% - Accent6 3 2 2 2 5" xfId="7601" xr:uid="{00000000-0005-0000-0000-000065260000}"/>
    <cellStyle name="20% - Accent6 3 2 2 2 5 2" xfId="22750" xr:uid="{00000000-0005-0000-0000-000066260000}"/>
    <cellStyle name="20% - Accent6 3 2 2 2 6" xfId="9284" xr:uid="{00000000-0005-0000-0000-000067260000}"/>
    <cellStyle name="20% - Accent6 3 2 2 2 6 2" xfId="24433" xr:uid="{00000000-0005-0000-0000-000068260000}"/>
    <cellStyle name="20% - Accent6 3 2 2 2 7" xfId="10967" xr:uid="{00000000-0005-0000-0000-000069260000}"/>
    <cellStyle name="20% - Accent6 3 2 2 2 7 2" xfId="26116" xr:uid="{00000000-0005-0000-0000-00006A260000}"/>
    <cellStyle name="20% - Accent6 3 2 2 2 8" xfId="12651" xr:uid="{00000000-0005-0000-0000-00006B260000}"/>
    <cellStyle name="20% - Accent6 3 2 2 2 8 2" xfId="27800" xr:uid="{00000000-0005-0000-0000-00006C260000}"/>
    <cellStyle name="20% - Accent6 3 2 2 2 9" xfId="14334" xr:uid="{00000000-0005-0000-0000-00006D260000}"/>
    <cellStyle name="20% - Accent6 3 2 2 2 9 2" xfId="29483" xr:uid="{00000000-0005-0000-0000-00006E260000}"/>
    <cellStyle name="20% - Accent6 3 2 2 20" xfId="40844" xr:uid="{00000000-0005-0000-0000-00006F260000}"/>
    <cellStyle name="20% - Accent6 3 2 2 21" xfId="42527" xr:uid="{00000000-0005-0000-0000-000070260000}"/>
    <cellStyle name="20% - Accent6 3 2 2 22" xfId="44210" xr:uid="{00000000-0005-0000-0000-000071260000}"/>
    <cellStyle name="20% - Accent6 3 2 2 23" xfId="45893" xr:uid="{00000000-0005-0000-0000-000072260000}"/>
    <cellStyle name="20% - Accent6 3 2 2 24" xfId="47576" xr:uid="{00000000-0005-0000-0000-000073260000}"/>
    <cellStyle name="20% - Accent6 3 2 2 25" xfId="49259" xr:uid="{00000000-0005-0000-0000-000074260000}"/>
    <cellStyle name="20% - Accent6 3 2 2 26" xfId="50942" xr:uid="{00000000-0005-0000-0000-000075260000}"/>
    <cellStyle name="20% - Accent6 3 2 2 27" xfId="52625" xr:uid="{00000000-0005-0000-0000-000076260000}"/>
    <cellStyle name="20% - Accent6 3 2 2 28" xfId="54308" xr:uid="{00000000-0005-0000-0000-000077260000}"/>
    <cellStyle name="20% - Accent6 3 2 2 29" xfId="55991" xr:uid="{00000000-0005-0000-0000-000078260000}"/>
    <cellStyle name="20% - Accent6 3 2 2 3" xfId="1289" xr:uid="{00000000-0005-0000-0000-000079260000}"/>
    <cellStyle name="20% - Accent6 3 2 2 3 10" xfId="16438" xr:uid="{00000000-0005-0000-0000-00007A260000}"/>
    <cellStyle name="20% - Accent6 3 2 2 3 11" xfId="31587" xr:uid="{00000000-0005-0000-0000-00007B260000}"/>
    <cellStyle name="20% - Accent6 3 2 2 3 12" xfId="33270" xr:uid="{00000000-0005-0000-0000-00007C260000}"/>
    <cellStyle name="20% - Accent6 3 2 2 3 13" xfId="34953" xr:uid="{00000000-0005-0000-0000-00007D260000}"/>
    <cellStyle name="20% - Accent6 3 2 2 3 14" xfId="36636" xr:uid="{00000000-0005-0000-0000-00007E260000}"/>
    <cellStyle name="20% - Accent6 3 2 2 3 15" xfId="38319" xr:uid="{00000000-0005-0000-0000-00007F260000}"/>
    <cellStyle name="20% - Accent6 3 2 2 3 16" xfId="40002" xr:uid="{00000000-0005-0000-0000-000080260000}"/>
    <cellStyle name="20% - Accent6 3 2 2 3 17" xfId="41685" xr:uid="{00000000-0005-0000-0000-000081260000}"/>
    <cellStyle name="20% - Accent6 3 2 2 3 18" xfId="43368" xr:uid="{00000000-0005-0000-0000-000082260000}"/>
    <cellStyle name="20% - Accent6 3 2 2 3 19" xfId="45051" xr:uid="{00000000-0005-0000-0000-000083260000}"/>
    <cellStyle name="20% - Accent6 3 2 2 3 2" xfId="2972" xr:uid="{00000000-0005-0000-0000-000084260000}"/>
    <cellStyle name="20% - Accent6 3 2 2 3 2 2" xfId="18121" xr:uid="{00000000-0005-0000-0000-000085260000}"/>
    <cellStyle name="20% - Accent6 3 2 2 3 20" xfId="46734" xr:uid="{00000000-0005-0000-0000-000086260000}"/>
    <cellStyle name="20% - Accent6 3 2 2 3 21" xfId="48417" xr:uid="{00000000-0005-0000-0000-000087260000}"/>
    <cellStyle name="20% - Accent6 3 2 2 3 22" xfId="50100" xr:uid="{00000000-0005-0000-0000-000088260000}"/>
    <cellStyle name="20% - Accent6 3 2 2 3 23" xfId="51783" xr:uid="{00000000-0005-0000-0000-000089260000}"/>
    <cellStyle name="20% - Accent6 3 2 2 3 24" xfId="53466" xr:uid="{00000000-0005-0000-0000-00008A260000}"/>
    <cellStyle name="20% - Accent6 3 2 2 3 25" xfId="55149" xr:uid="{00000000-0005-0000-0000-00008B260000}"/>
    <cellStyle name="20% - Accent6 3 2 2 3 26" xfId="56832" xr:uid="{00000000-0005-0000-0000-00008C260000}"/>
    <cellStyle name="20% - Accent6 3 2 2 3 27" xfId="58515" xr:uid="{00000000-0005-0000-0000-00008D260000}"/>
    <cellStyle name="20% - Accent6 3 2 2 3 28" xfId="60198" xr:uid="{00000000-0005-0000-0000-00008E260000}"/>
    <cellStyle name="20% - Accent6 3 2 2 3 29" xfId="61881" xr:uid="{00000000-0005-0000-0000-00008F260000}"/>
    <cellStyle name="20% - Accent6 3 2 2 3 3" xfId="4656" xr:uid="{00000000-0005-0000-0000-000090260000}"/>
    <cellStyle name="20% - Accent6 3 2 2 3 3 2" xfId="19805" xr:uid="{00000000-0005-0000-0000-000091260000}"/>
    <cellStyle name="20% - Accent6 3 2 2 3 30" xfId="63564" xr:uid="{00000000-0005-0000-0000-000092260000}"/>
    <cellStyle name="20% - Accent6 3 2 2 3 4" xfId="6339" xr:uid="{00000000-0005-0000-0000-000093260000}"/>
    <cellStyle name="20% - Accent6 3 2 2 3 4 2" xfId="21488" xr:uid="{00000000-0005-0000-0000-000094260000}"/>
    <cellStyle name="20% - Accent6 3 2 2 3 5" xfId="8022" xr:uid="{00000000-0005-0000-0000-000095260000}"/>
    <cellStyle name="20% - Accent6 3 2 2 3 5 2" xfId="23171" xr:uid="{00000000-0005-0000-0000-000096260000}"/>
    <cellStyle name="20% - Accent6 3 2 2 3 6" xfId="9705" xr:uid="{00000000-0005-0000-0000-000097260000}"/>
    <cellStyle name="20% - Accent6 3 2 2 3 6 2" xfId="24854" xr:uid="{00000000-0005-0000-0000-000098260000}"/>
    <cellStyle name="20% - Accent6 3 2 2 3 7" xfId="11388" xr:uid="{00000000-0005-0000-0000-000099260000}"/>
    <cellStyle name="20% - Accent6 3 2 2 3 7 2" xfId="26537" xr:uid="{00000000-0005-0000-0000-00009A260000}"/>
    <cellStyle name="20% - Accent6 3 2 2 3 8" xfId="13072" xr:uid="{00000000-0005-0000-0000-00009B260000}"/>
    <cellStyle name="20% - Accent6 3 2 2 3 8 2" xfId="28221" xr:uid="{00000000-0005-0000-0000-00009C260000}"/>
    <cellStyle name="20% - Accent6 3 2 2 3 9" xfId="14755" xr:uid="{00000000-0005-0000-0000-00009D260000}"/>
    <cellStyle name="20% - Accent6 3 2 2 3 9 2" xfId="29904" xr:uid="{00000000-0005-0000-0000-00009E260000}"/>
    <cellStyle name="20% - Accent6 3 2 2 30" xfId="57674" xr:uid="{00000000-0005-0000-0000-00009F260000}"/>
    <cellStyle name="20% - Accent6 3 2 2 31" xfId="59357" xr:uid="{00000000-0005-0000-0000-0000A0260000}"/>
    <cellStyle name="20% - Accent6 3 2 2 32" xfId="61040" xr:uid="{00000000-0005-0000-0000-0000A1260000}"/>
    <cellStyle name="20% - Accent6 3 2 2 33" xfId="62723" xr:uid="{00000000-0005-0000-0000-0000A2260000}"/>
    <cellStyle name="20% - Accent6 3 2 2 4" xfId="1710" xr:uid="{00000000-0005-0000-0000-0000A3260000}"/>
    <cellStyle name="20% - Accent6 3 2 2 4 10" xfId="16859" xr:uid="{00000000-0005-0000-0000-0000A4260000}"/>
    <cellStyle name="20% - Accent6 3 2 2 4 11" xfId="32008" xr:uid="{00000000-0005-0000-0000-0000A5260000}"/>
    <cellStyle name="20% - Accent6 3 2 2 4 12" xfId="33691" xr:uid="{00000000-0005-0000-0000-0000A6260000}"/>
    <cellStyle name="20% - Accent6 3 2 2 4 13" xfId="35374" xr:uid="{00000000-0005-0000-0000-0000A7260000}"/>
    <cellStyle name="20% - Accent6 3 2 2 4 14" xfId="37057" xr:uid="{00000000-0005-0000-0000-0000A8260000}"/>
    <cellStyle name="20% - Accent6 3 2 2 4 15" xfId="38740" xr:uid="{00000000-0005-0000-0000-0000A9260000}"/>
    <cellStyle name="20% - Accent6 3 2 2 4 16" xfId="40423" xr:uid="{00000000-0005-0000-0000-0000AA260000}"/>
    <cellStyle name="20% - Accent6 3 2 2 4 17" xfId="42106" xr:uid="{00000000-0005-0000-0000-0000AB260000}"/>
    <cellStyle name="20% - Accent6 3 2 2 4 18" xfId="43789" xr:uid="{00000000-0005-0000-0000-0000AC260000}"/>
    <cellStyle name="20% - Accent6 3 2 2 4 19" xfId="45472" xr:uid="{00000000-0005-0000-0000-0000AD260000}"/>
    <cellStyle name="20% - Accent6 3 2 2 4 2" xfId="3393" xr:uid="{00000000-0005-0000-0000-0000AE260000}"/>
    <cellStyle name="20% - Accent6 3 2 2 4 2 2" xfId="18542" xr:uid="{00000000-0005-0000-0000-0000AF260000}"/>
    <cellStyle name="20% - Accent6 3 2 2 4 20" xfId="47155" xr:uid="{00000000-0005-0000-0000-0000B0260000}"/>
    <cellStyle name="20% - Accent6 3 2 2 4 21" xfId="48838" xr:uid="{00000000-0005-0000-0000-0000B1260000}"/>
    <cellStyle name="20% - Accent6 3 2 2 4 22" xfId="50521" xr:uid="{00000000-0005-0000-0000-0000B2260000}"/>
    <cellStyle name="20% - Accent6 3 2 2 4 23" xfId="52204" xr:uid="{00000000-0005-0000-0000-0000B3260000}"/>
    <cellStyle name="20% - Accent6 3 2 2 4 24" xfId="53887" xr:uid="{00000000-0005-0000-0000-0000B4260000}"/>
    <cellStyle name="20% - Accent6 3 2 2 4 25" xfId="55570" xr:uid="{00000000-0005-0000-0000-0000B5260000}"/>
    <cellStyle name="20% - Accent6 3 2 2 4 26" xfId="57253" xr:uid="{00000000-0005-0000-0000-0000B6260000}"/>
    <cellStyle name="20% - Accent6 3 2 2 4 27" xfId="58936" xr:uid="{00000000-0005-0000-0000-0000B7260000}"/>
    <cellStyle name="20% - Accent6 3 2 2 4 28" xfId="60619" xr:uid="{00000000-0005-0000-0000-0000B8260000}"/>
    <cellStyle name="20% - Accent6 3 2 2 4 29" xfId="62302" xr:uid="{00000000-0005-0000-0000-0000B9260000}"/>
    <cellStyle name="20% - Accent6 3 2 2 4 3" xfId="5077" xr:uid="{00000000-0005-0000-0000-0000BA260000}"/>
    <cellStyle name="20% - Accent6 3 2 2 4 3 2" xfId="20226" xr:uid="{00000000-0005-0000-0000-0000BB260000}"/>
    <cellStyle name="20% - Accent6 3 2 2 4 30" xfId="63985" xr:uid="{00000000-0005-0000-0000-0000BC260000}"/>
    <cellStyle name="20% - Accent6 3 2 2 4 4" xfId="6760" xr:uid="{00000000-0005-0000-0000-0000BD260000}"/>
    <cellStyle name="20% - Accent6 3 2 2 4 4 2" xfId="21909" xr:uid="{00000000-0005-0000-0000-0000BE260000}"/>
    <cellStyle name="20% - Accent6 3 2 2 4 5" xfId="8443" xr:uid="{00000000-0005-0000-0000-0000BF260000}"/>
    <cellStyle name="20% - Accent6 3 2 2 4 5 2" xfId="23592" xr:uid="{00000000-0005-0000-0000-0000C0260000}"/>
    <cellStyle name="20% - Accent6 3 2 2 4 6" xfId="10126" xr:uid="{00000000-0005-0000-0000-0000C1260000}"/>
    <cellStyle name="20% - Accent6 3 2 2 4 6 2" xfId="25275" xr:uid="{00000000-0005-0000-0000-0000C2260000}"/>
    <cellStyle name="20% - Accent6 3 2 2 4 7" xfId="11809" xr:uid="{00000000-0005-0000-0000-0000C3260000}"/>
    <cellStyle name="20% - Accent6 3 2 2 4 7 2" xfId="26958" xr:uid="{00000000-0005-0000-0000-0000C4260000}"/>
    <cellStyle name="20% - Accent6 3 2 2 4 8" xfId="13493" xr:uid="{00000000-0005-0000-0000-0000C5260000}"/>
    <cellStyle name="20% - Accent6 3 2 2 4 8 2" xfId="28642" xr:uid="{00000000-0005-0000-0000-0000C6260000}"/>
    <cellStyle name="20% - Accent6 3 2 2 4 9" xfId="15176" xr:uid="{00000000-0005-0000-0000-0000C7260000}"/>
    <cellStyle name="20% - Accent6 3 2 2 4 9 2" xfId="30325" xr:uid="{00000000-0005-0000-0000-0000C8260000}"/>
    <cellStyle name="20% - Accent6 3 2 2 5" xfId="2131" xr:uid="{00000000-0005-0000-0000-0000C9260000}"/>
    <cellStyle name="20% - Accent6 3 2 2 5 2" xfId="17280" xr:uid="{00000000-0005-0000-0000-0000CA260000}"/>
    <cellStyle name="20% - Accent6 3 2 2 6" xfId="3815" xr:uid="{00000000-0005-0000-0000-0000CB260000}"/>
    <cellStyle name="20% - Accent6 3 2 2 6 2" xfId="18964" xr:uid="{00000000-0005-0000-0000-0000CC260000}"/>
    <cellStyle name="20% - Accent6 3 2 2 7" xfId="5498" xr:uid="{00000000-0005-0000-0000-0000CD260000}"/>
    <cellStyle name="20% - Accent6 3 2 2 7 2" xfId="20647" xr:uid="{00000000-0005-0000-0000-0000CE260000}"/>
    <cellStyle name="20% - Accent6 3 2 2 8" xfId="7181" xr:uid="{00000000-0005-0000-0000-0000CF260000}"/>
    <cellStyle name="20% - Accent6 3 2 2 8 2" xfId="22330" xr:uid="{00000000-0005-0000-0000-0000D0260000}"/>
    <cellStyle name="20% - Accent6 3 2 2 9" xfId="8864" xr:uid="{00000000-0005-0000-0000-0000D1260000}"/>
    <cellStyle name="20% - Accent6 3 2 2 9 2" xfId="24013" xr:uid="{00000000-0005-0000-0000-0000D2260000}"/>
    <cellStyle name="20% - Accent6 3 2 20" xfId="38951" xr:uid="{00000000-0005-0000-0000-0000D3260000}"/>
    <cellStyle name="20% - Accent6 3 2 21" xfId="40634" xr:uid="{00000000-0005-0000-0000-0000D4260000}"/>
    <cellStyle name="20% - Accent6 3 2 22" xfId="42317" xr:uid="{00000000-0005-0000-0000-0000D5260000}"/>
    <cellStyle name="20% - Accent6 3 2 23" xfId="44000" xr:uid="{00000000-0005-0000-0000-0000D6260000}"/>
    <cellStyle name="20% - Accent6 3 2 24" xfId="45683" xr:uid="{00000000-0005-0000-0000-0000D7260000}"/>
    <cellStyle name="20% - Accent6 3 2 25" xfId="47366" xr:uid="{00000000-0005-0000-0000-0000D8260000}"/>
    <cellStyle name="20% - Accent6 3 2 26" xfId="49049" xr:uid="{00000000-0005-0000-0000-0000D9260000}"/>
    <cellStyle name="20% - Accent6 3 2 27" xfId="50732" xr:uid="{00000000-0005-0000-0000-0000DA260000}"/>
    <cellStyle name="20% - Accent6 3 2 28" xfId="52415" xr:uid="{00000000-0005-0000-0000-0000DB260000}"/>
    <cellStyle name="20% - Accent6 3 2 29" xfId="54098" xr:uid="{00000000-0005-0000-0000-0000DC260000}"/>
    <cellStyle name="20% - Accent6 3 2 3" xfId="658" xr:uid="{00000000-0005-0000-0000-0000DD260000}"/>
    <cellStyle name="20% - Accent6 3 2 3 10" xfId="15807" xr:uid="{00000000-0005-0000-0000-0000DE260000}"/>
    <cellStyle name="20% - Accent6 3 2 3 11" xfId="30956" xr:uid="{00000000-0005-0000-0000-0000DF260000}"/>
    <cellStyle name="20% - Accent6 3 2 3 12" xfId="32639" xr:uid="{00000000-0005-0000-0000-0000E0260000}"/>
    <cellStyle name="20% - Accent6 3 2 3 13" xfId="34322" xr:uid="{00000000-0005-0000-0000-0000E1260000}"/>
    <cellStyle name="20% - Accent6 3 2 3 14" xfId="36005" xr:uid="{00000000-0005-0000-0000-0000E2260000}"/>
    <cellStyle name="20% - Accent6 3 2 3 15" xfId="37688" xr:uid="{00000000-0005-0000-0000-0000E3260000}"/>
    <cellStyle name="20% - Accent6 3 2 3 16" xfId="39371" xr:uid="{00000000-0005-0000-0000-0000E4260000}"/>
    <cellStyle name="20% - Accent6 3 2 3 17" xfId="41054" xr:uid="{00000000-0005-0000-0000-0000E5260000}"/>
    <cellStyle name="20% - Accent6 3 2 3 18" xfId="42737" xr:uid="{00000000-0005-0000-0000-0000E6260000}"/>
    <cellStyle name="20% - Accent6 3 2 3 19" xfId="44420" xr:uid="{00000000-0005-0000-0000-0000E7260000}"/>
    <cellStyle name="20% - Accent6 3 2 3 2" xfId="2341" xr:uid="{00000000-0005-0000-0000-0000E8260000}"/>
    <cellStyle name="20% - Accent6 3 2 3 2 2" xfId="17490" xr:uid="{00000000-0005-0000-0000-0000E9260000}"/>
    <cellStyle name="20% - Accent6 3 2 3 20" xfId="46103" xr:uid="{00000000-0005-0000-0000-0000EA260000}"/>
    <cellStyle name="20% - Accent6 3 2 3 21" xfId="47786" xr:uid="{00000000-0005-0000-0000-0000EB260000}"/>
    <cellStyle name="20% - Accent6 3 2 3 22" xfId="49469" xr:uid="{00000000-0005-0000-0000-0000EC260000}"/>
    <cellStyle name="20% - Accent6 3 2 3 23" xfId="51152" xr:uid="{00000000-0005-0000-0000-0000ED260000}"/>
    <cellStyle name="20% - Accent6 3 2 3 24" xfId="52835" xr:uid="{00000000-0005-0000-0000-0000EE260000}"/>
    <cellStyle name="20% - Accent6 3 2 3 25" xfId="54518" xr:uid="{00000000-0005-0000-0000-0000EF260000}"/>
    <cellStyle name="20% - Accent6 3 2 3 26" xfId="56201" xr:uid="{00000000-0005-0000-0000-0000F0260000}"/>
    <cellStyle name="20% - Accent6 3 2 3 27" xfId="57884" xr:uid="{00000000-0005-0000-0000-0000F1260000}"/>
    <cellStyle name="20% - Accent6 3 2 3 28" xfId="59567" xr:uid="{00000000-0005-0000-0000-0000F2260000}"/>
    <cellStyle name="20% - Accent6 3 2 3 29" xfId="61250" xr:uid="{00000000-0005-0000-0000-0000F3260000}"/>
    <cellStyle name="20% - Accent6 3 2 3 3" xfId="4025" xr:uid="{00000000-0005-0000-0000-0000F4260000}"/>
    <cellStyle name="20% - Accent6 3 2 3 3 2" xfId="19174" xr:uid="{00000000-0005-0000-0000-0000F5260000}"/>
    <cellStyle name="20% - Accent6 3 2 3 30" xfId="62933" xr:uid="{00000000-0005-0000-0000-0000F6260000}"/>
    <cellStyle name="20% - Accent6 3 2 3 4" xfId="5708" xr:uid="{00000000-0005-0000-0000-0000F7260000}"/>
    <cellStyle name="20% - Accent6 3 2 3 4 2" xfId="20857" xr:uid="{00000000-0005-0000-0000-0000F8260000}"/>
    <cellStyle name="20% - Accent6 3 2 3 5" xfId="7391" xr:uid="{00000000-0005-0000-0000-0000F9260000}"/>
    <cellStyle name="20% - Accent6 3 2 3 5 2" xfId="22540" xr:uid="{00000000-0005-0000-0000-0000FA260000}"/>
    <cellStyle name="20% - Accent6 3 2 3 6" xfId="9074" xr:uid="{00000000-0005-0000-0000-0000FB260000}"/>
    <cellStyle name="20% - Accent6 3 2 3 6 2" xfId="24223" xr:uid="{00000000-0005-0000-0000-0000FC260000}"/>
    <cellStyle name="20% - Accent6 3 2 3 7" xfId="10757" xr:uid="{00000000-0005-0000-0000-0000FD260000}"/>
    <cellStyle name="20% - Accent6 3 2 3 7 2" xfId="25906" xr:uid="{00000000-0005-0000-0000-0000FE260000}"/>
    <cellStyle name="20% - Accent6 3 2 3 8" xfId="12441" xr:uid="{00000000-0005-0000-0000-0000FF260000}"/>
    <cellStyle name="20% - Accent6 3 2 3 8 2" xfId="27590" xr:uid="{00000000-0005-0000-0000-000000270000}"/>
    <cellStyle name="20% - Accent6 3 2 3 9" xfId="14124" xr:uid="{00000000-0005-0000-0000-000001270000}"/>
    <cellStyle name="20% - Accent6 3 2 3 9 2" xfId="29273" xr:uid="{00000000-0005-0000-0000-000002270000}"/>
    <cellStyle name="20% - Accent6 3 2 30" xfId="55781" xr:uid="{00000000-0005-0000-0000-000003270000}"/>
    <cellStyle name="20% - Accent6 3 2 31" xfId="57464" xr:uid="{00000000-0005-0000-0000-000004270000}"/>
    <cellStyle name="20% - Accent6 3 2 32" xfId="59147" xr:uid="{00000000-0005-0000-0000-000005270000}"/>
    <cellStyle name="20% - Accent6 3 2 33" xfId="60830" xr:uid="{00000000-0005-0000-0000-000006270000}"/>
    <cellStyle name="20% - Accent6 3 2 34" xfId="62513" xr:uid="{00000000-0005-0000-0000-000007270000}"/>
    <cellStyle name="20% - Accent6 3 2 4" xfId="1079" xr:uid="{00000000-0005-0000-0000-000008270000}"/>
    <cellStyle name="20% - Accent6 3 2 4 10" xfId="16228" xr:uid="{00000000-0005-0000-0000-000009270000}"/>
    <cellStyle name="20% - Accent6 3 2 4 11" xfId="31377" xr:uid="{00000000-0005-0000-0000-00000A270000}"/>
    <cellStyle name="20% - Accent6 3 2 4 12" xfId="33060" xr:uid="{00000000-0005-0000-0000-00000B270000}"/>
    <cellStyle name="20% - Accent6 3 2 4 13" xfId="34743" xr:uid="{00000000-0005-0000-0000-00000C270000}"/>
    <cellStyle name="20% - Accent6 3 2 4 14" xfId="36426" xr:uid="{00000000-0005-0000-0000-00000D270000}"/>
    <cellStyle name="20% - Accent6 3 2 4 15" xfId="38109" xr:uid="{00000000-0005-0000-0000-00000E270000}"/>
    <cellStyle name="20% - Accent6 3 2 4 16" xfId="39792" xr:uid="{00000000-0005-0000-0000-00000F270000}"/>
    <cellStyle name="20% - Accent6 3 2 4 17" xfId="41475" xr:uid="{00000000-0005-0000-0000-000010270000}"/>
    <cellStyle name="20% - Accent6 3 2 4 18" xfId="43158" xr:uid="{00000000-0005-0000-0000-000011270000}"/>
    <cellStyle name="20% - Accent6 3 2 4 19" xfId="44841" xr:uid="{00000000-0005-0000-0000-000012270000}"/>
    <cellStyle name="20% - Accent6 3 2 4 2" xfId="2762" xr:uid="{00000000-0005-0000-0000-000013270000}"/>
    <cellStyle name="20% - Accent6 3 2 4 2 2" xfId="17911" xr:uid="{00000000-0005-0000-0000-000014270000}"/>
    <cellStyle name="20% - Accent6 3 2 4 20" xfId="46524" xr:uid="{00000000-0005-0000-0000-000015270000}"/>
    <cellStyle name="20% - Accent6 3 2 4 21" xfId="48207" xr:uid="{00000000-0005-0000-0000-000016270000}"/>
    <cellStyle name="20% - Accent6 3 2 4 22" xfId="49890" xr:uid="{00000000-0005-0000-0000-000017270000}"/>
    <cellStyle name="20% - Accent6 3 2 4 23" xfId="51573" xr:uid="{00000000-0005-0000-0000-000018270000}"/>
    <cellStyle name="20% - Accent6 3 2 4 24" xfId="53256" xr:uid="{00000000-0005-0000-0000-000019270000}"/>
    <cellStyle name="20% - Accent6 3 2 4 25" xfId="54939" xr:uid="{00000000-0005-0000-0000-00001A270000}"/>
    <cellStyle name="20% - Accent6 3 2 4 26" xfId="56622" xr:uid="{00000000-0005-0000-0000-00001B270000}"/>
    <cellStyle name="20% - Accent6 3 2 4 27" xfId="58305" xr:uid="{00000000-0005-0000-0000-00001C270000}"/>
    <cellStyle name="20% - Accent6 3 2 4 28" xfId="59988" xr:uid="{00000000-0005-0000-0000-00001D270000}"/>
    <cellStyle name="20% - Accent6 3 2 4 29" xfId="61671" xr:uid="{00000000-0005-0000-0000-00001E270000}"/>
    <cellStyle name="20% - Accent6 3 2 4 3" xfId="4446" xr:uid="{00000000-0005-0000-0000-00001F270000}"/>
    <cellStyle name="20% - Accent6 3 2 4 3 2" xfId="19595" xr:uid="{00000000-0005-0000-0000-000020270000}"/>
    <cellStyle name="20% - Accent6 3 2 4 30" xfId="63354" xr:uid="{00000000-0005-0000-0000-000021270000}"/>
    <cellStyle name="20% - Accent6 3 2 4 4" xfId="6129" xr:uid="{00000000-0005-0000-0000-000022270000}"/>
    <cellStyle name="20% - Accent6 3 2 4 4 2" xfId="21278" xr:uid="{00000000-0005-0000-0000-000023270000}"/>
    <cellStyle name="20% - Accent6 3 2 4 5" xfId="7812" xr:uid="{00000000-0005-0000-0000-000024270000}"/>
    <cellStyle name="20% - Accent6 3 2 4 5 2" xfId="22961" xr:uid="{00000000-0005-0000-0000-000025270000}"/>
    <cellStyle name="20% - Accent6 3 2 4 6" xfId="9495" xr:uid="{00000000-0005-0000-0000-000026270000}"/>
    <cellStyle name="20% - Accent6 3 2 4 6 2" xfId="24644" xr:uid="{00000000-0005-0000-0000-000027270000}"/>
    <cellStyle name="20% - Accent6 3 2 4 7" xfId="11178" xr:uid="{00000000-0005-0000-0000-000028270000}"/>
    <cellStyle name="20% - Accent6 3 2 4 7 2" xfId="26327" xr:uid="{00000000-0005-0000-0000-000029270000}"/>
    <cellStyle name="20% - Accent6 3 2 4 8" xfId="12862" xr:uid="{00000000-0005-0000-0000-00002A270000}"/>
    <cellStyle name="20% - Accent6 3 2 4 8 2" xfId="28011" xr:uid="{00000000-0005-0000-0000-00002B270000}"/>
    <cellStyle name="20% - Accent6 3 2 4 9" xfId="14545" xr:uid="{00000000-0005-0000-0000-00002C270000}"/>
    <cellStyle name="20% - Accent6 3 2 4 9 2" xfId="29694" xr:uid="{00000000-0005-0000-0000-00002D270000}"/>
    <cellStyle name="20% - Accent6 3 2 5" xfId="1500" xr:uid="{00000000-0005-0000-0000-00002E270000}"/>
    <cellStyle name="20% - Accent6 3 2 5 10" xfId="16649" xr:uid="{00000000-0005-0000-0000-00002F270000}"/>
    <cellStyle name="20% - Accent6 3 2 5 11" xfId="31798" xr:uid="{00000000-0005-0000-0000-000030270000}"/>
    <cellStyle name="20% - Accent6 3 2 5 12" xfId="33481" xr:uid="{00000000-0005-0000-0000-000031270000}"/>
    <cellStyle name="20% - Accent6 3 2 5 13" xfId="35164" xr:uid="{00000000-0005-0000-0000-000032270000}"/>
    <cellStyle name="20% - Accent6 3 2 5 14" xfId="36847" xr:uid="{00000000-0005-0000-0000-000033270000}"/>
    <cellStyle name="20% - Accent6 3 2 5 15" xfId="38530" xr:uid="{00000000-0005-0000-0000-000034270000}"/>
    <cellStyle name="20% - Accent6 3 2 5 16" xfId="40213" xr:uid="{00000000-0005-0000-0000-000035270000}"/>
    <cellStyle name="20% - Accent6 3 2 5 17" xfId="41896" xr:uid="{00000000-0005-0000-0000-000036270000}"/>
    <cellStyle name="20% - Accent6 3 2 5 18" xfId="43579" xr:uid="{00000000-0005-0000-0000-000037270000}"/>
    <cellStyle name="20% - Accent6 3 2 5 19" xfId="45262" xr:uid="{00000000-0005-0000-0000-000038270000}"/>
    <cellStyle name="20% - Accent6 3 2 5 2" xfId="3183" xr:uid="{00000000-0005-0000-0000-000039270000}"/>
    <cellStyle name="20% - Accent6 3 2 5 2 2" xfId="18332" xr:uid="{00000000-0005-0000-0000-00003A270000}"/>
    <cellStyle name="20% - Accent6 3 2 5 20" xfId="46945" xr:uid="{00000000-0005-0000-0000-00003B270000}"/>
    <cellStyle name="20% - Accent6 3 2 5 21" xfId="48628" xr:uid="{00000000-0005-0000-0000-00003C270000}"/>
    <cellStyle name="20% - Accent6 3 2 5 22" xfId="50311" xr:uid="{00000000-0005-0000-0000-00003D270000}"/>
    <cellStyle name="20% - Accent6 3 2 5 23" xfId="51994" xr:uid="{00000000-0005-0000-0000-00003E270000}"/>
    <cellStyle name="20% - Accent6 3 2 5 24" xfId="53677" xr:uid="{00000000-0005-0000-0000-00003F270000}"/>
    <cellStyle name="20% - Accent6 3 2 5 25" xfId="55360" xr:uid="{00000000-0005-0000-0000-000040270000}"/>
    <cellStyle name="20% - Accent6 3 2 5 26" xfId="57043" xr:uid="{00000000-0005-0000-0000-000041270000}"/>
    <cellStyle name="20% - Accent6 3 2 5 27" xfId="58726" xr:uid="{00000000-0005-0000-0000-000042270000}"/>
    <cellStyle name="20% - Accent6 3 2 5 28" xfId="60409" xr:uid="{00000000-0005-0000-0000-000043270000}"/>
    <cellStyle name="20% - Accent6 3 2 5 29" xfId="62092" xr:uid="{00000000-0005-0000-0000-000044270000}"/>
    <cellStyle name="20% - Accent6 3 2 5 3" xfId="4867" xr:uid="{00000000-0005-0000-0000-000045270000}"/>
    <cellStyle name="20% - Accent6 3 2 5 3 2" xfId="20016" xr:uid="{00000000-0005-0000-0000-000046270000}"/>
    <cellStyle name="20% - Accent6 3 2 5 30" xfId="63775" xr:uid="{00000000-0005-0000-0000-000047270000}"/>
    <cellStyle name="20% - Accent6 3 2 5 4" xfId="6550" xr:uid="{00000000-0005-0000-0000-000048270000}"/>
    <cellStyle name="20% - Accent6 3 2 5 4 2" xfId="21699" xr:uid="{00000000-0005-0000-0000-000049270000}"/>
    <cellStyle name="20% - Accent6 3 2 5 5" xfId="8233" xr:uid="{00000000-0005-0000-0000-00004A270000}"/>
    <cellStyle name="20% - Accent6 3 2 5 5 2" xfId="23382" xr:uid="{00000000-0005-0000-0000-00004B270000}"/>
    <cellStyle name="20% - Accent6 3 2 5 6" xfId="9916" xr:uid="{00000000-0005-0000-0000-00004C270000}"/>
    <cellStyle name="20% - Accent6 3 2 5 6 2" xfId="25065" xr:uid="{00000000-0005-0000-0000-00004D270000}"/>
    <cellStyle name="20% - Accent6 3 2 5 7" xfId="11599" xr:uid="{00000000-0005-0000-0000-00004E270000}"/>
    <cellStyle name="20% - Accent6 3 2 5 7 2" xfId="26748" xr:uid="{00000000-0005-0000-0000-00004F270000}"/>
    <cellStyle name="20% - Accent6 3 2 5 8" xfId="13283" xr:uid="{00000000-0005-0000-0000-000050270000}"/>
    <cellStyle name="20% - Accent6 3 2 5 8 2" xfId="28432" xr:uid="{00000000-0005-0000-0000-000051270000}"/>
    <cellStyle name="20% - Accent6 3 2 5 9" xfId="14966" xr:uid="{00000000-0005-0000-0000-000052270000}"/>
    <cellStyle name="20% - Accent6 3 2 5 9 2" xfId="30115" xr:uid="{00000000-0005-0000-0000-000053270000}"/>
    <cellStyle name="20% - Accent6 3 2 6" xfId="1921" xr:uid="{00000000-0005-0000-0000-000054270000}"/>
    <cellStyle name="20% - Accent6 3 2 6 2" xfId="17070" xr:uid="{00000000-0005-0000-0000-000055270000}"/>
    <cellStyle name="20% - Accent6 3 2 7" xfId="3605" xr:uid="{00000000-0005-0000-0000-000056270000}"/>
    <cellStyle name="20% - Accent6 3 2 7 2" xfId="18754" xr:uid="{00000000-0005-0000-0000-000057270000}"/>
    <cellStyle name="20% - Accent6 3 2 8" xfId="5288" xr:uid="{00000000-0005-0000-0000-000058270000}"/>
    <cellStyle name="20% - Accent6 3 2 8 2" xfId="20437" xr:uid="{00000000-0005-0000-0000-000059270000}"/>
    <cellStyle name="20% - Accent6 3 2 9" xfId="6971" xr:uid="{00000000-0005-0000-0000-00005A270000}"/>
    <cellStyle name="20% - Accent6 3 2 9 2" xfId="22120" xr:uid="{00000000-0005-0000-0000-00005B270000}"/>
    <cellStyle name="20% - Accent6 3 20" xfId="37163" xr:uid="{00000000-0005-0000-0000-00005C270000}"/>
    <cellStyle name="20% - Accent6 3 21" xfId="38846" xr:uid="{00000000-0005-0000-0000-00005D270000}"/>
    <cellStyle name="20% - Accent6 3 22" xfId="40529" xr:uid="{00000000-0005-0000-0000-00005E270000}"/>
    <cellStyle name="20% - Accent6 3 23" xfId="42212" xr:uid="{00000000-0005-0000-0000-00005F270000}"/>
    <cellStyle name="20% - Accent6 3 24" xfId="43895" xr:uid="{00000000-0005-0000-0000-000060270000}"/>
    <cellStyle name="20% - Accent6 3 25" xfId="45578" xr:uid="{00000000-0005-0000-0000-000061270000}"/>
    <cellStyle name="20% - Accent6 3 26" xfId="47261" xr:uid="{00000000-0005-0000-0000-000062270000}"/>
    <cellStyle name="20% - Accent6 3 27" xfId="48944" xr:uid="{00000000-0005-0000-0000-000063270000}"/>
    <cellStyle name="20% - Accent6 3 28" xfId="50627" xr:uid="{00000000-0005-0000-0000-000064270000}"/>
    <cellStyle name="20% - Accent6 3 29" xfId="52310" xr:uid="{00000000-0005-0000-0000-000065270000}"/>
    <cellStyle name="20% - Accent6 3 3" xfId="343" xr:uid="{00000000-0005-0000-0000-000066270000}"/>
    <cellStyle name="20% - Accent6 3 3 10" xfId="10442" xr:uid="{00000000-0005-0000-0000-000067270000}"/>
    <cellStyle name="20% - Accent6 3 3 10 2" xfId="25591" xr:uid="{00000000-0005-0000-0000-000068270000}"/>
    <cellStyle name="20% - Accent6 3 3 11" xfId="12126" xr:uid="{00000000-0005-0000-0000-000069270000}"/>
    <cellStyle name="20% - Accent6 3 3 11 2" xfId="27275" xr:uid="{00000000-0005-0000-0000-00006A270000}"/>
    <cellStyle name="20% - Accent6 3 3 12" xfId="13809" xr:uid="{00000000-0005-0000-0000-00006B270000}"/>
    <cellStyle name="20% - Accent6 3 3 12 2" xfId="28958" xr:uid="{00000000-0005-0000-0000-00006C270000}"/>
    <cellStyle name="20% - Accent6 3 3 13" xfId="15492" xr:uid="{00000000-0005-0000-0000-00006D270000}"/>
    <cellStyle name="20% - Accent6 3 3 14" xfId="30641" xr:uid="{00000000-0005-0000-0000-00006E270000}"/>
    <cellStyle name="20% - Accent6 3 3 15" xfId="32324" xr:uid="{00000000-0005-0000-0000-00006F270000}"/>
    <cellStyle name="20% - Accent6 3 3 16" xfId="34007" xr:uid="{00000000-0005-0000-0000-000070270000}"/>
    <cellStyle name="20% - Accent6 3 3 17" xfId="35690" xr:uid="{00000000-0005-0000-0000-000071270000}"/>
    <cellStyle name="20% - Accent6 3 3 18" xfId="37373" xr:uid="{00000000-0005-0000-0000-000072270000}"/>
    <cellStyle name="20% - Accent6 3 3 19" xfId="39056" xr:uid="{00000000-0005-0000-0000-000073270000}"/>
    <cellStyle name="20% - Accent6 3 3 2" xfId="763" xr:uid="{00000000-0005-0000-0000-000074270000}"/>
    <cellStyle name="20% - Accent6 3 3 2 10" xfId="15912" xr:uid="{00000000-0005-0000-0000-000075270000}"/>
    <cellStyle name="20% - Accent6 3 3 2 11" xfId="31061" xr:uid="{00000000-0005-0000-0000-000076270000}"/>
    <cellStyle name="20% - Accent6 3 3 2 12" xfId="32744" xr:uid="{00000000-0005-0000-0000-000077270000}"/>
    <cellStyle name="20% - Accent6 3 3 2 13" xfId="34427" xr:uid="{00000000-0005-0000-0000-000078270000}"/>
    <cellStyle name="20% - Accent6 3 3 2 14" xfId="36110" xr:uid="{00000000-0005-0000-0000-000079270000}"/>
    <cellStyle name="20% - Accent6 3 3 2 15" xfId="37793" xr:uid="{00000000-0005-0000-0000-00007A270000}"/>
    <cellStyle name="20% - Accent6 3 3 2 16" xfId="39476" xr:uid="{00000000-0005-0000-0000-00007B270000}"/>
    <cellStyle name="20% - Accent6 3 3 2 17" xfId="41159" xr:uid="{00000000-0005-0000-0000-00007C270000}"/>
    <cellStyle name="20% - Accent6 3 3 2 18" xfId="42842" xr:uid="{00000000-0005-0000-0000-00007D270000}"/>
    <cellStyle name="20% - Accent6 3 3 2 19" xfId="44525" xr:uid="{00000000-0005-0000-0000-00007E270000}"/>
    <cellStyle name="20% - Accent6 3 3 2 2" xfId="2446" xr:uid="{00000000-0005-0000-0000-00007F270000}"/>
    <cellStyle name="20% - Accent6 3 3 2 2 2" xfId="17595" xr:uid="{00000000-0005-0000-0000-000080270000}"/>
    <cellStyle name="20% - Accent6 3 3 2 20" xfId="46208" xr:uid="{00000000-0005-0000-0000-000081270000}"/>
    <cellStyle name="20% - Accent6 3 3 2 21" xfId="47891" xr:uid="{00000000-0005-0000-0000-000082270000}"/>
    <cellStyle name="20% - Accent6 3 3 2 22" xfId="49574" xr:uid="{00000000-0005-0000-0000-000083270000}"/>
    <cellStyle name="20% - Accent6 3 3 2 23" xfId="51257" xr:uid="{00000000-0005-0000-0000-000084270000}"/>
    <cellStyle name="20% - Accent6 3 3 2 24" xfId="52940" xr:uid="{00000000-0005-0000-0000-000085270000}"/>
    <cellStyle name="20% - Accent6 3 3 2 25" xfId="54623" xr:uid="{00000000-0005-0000-0000-000086270000}"/>
    <cellStyle name="20% - Accent6 3 3 2 26" xfId="56306" xr:uid="{00000000-0005-0000-0000-000087270000}"/>
    <cellStyle name="20% - Accent6 3 3 2 27" xfId="57989" xr:uid="{00000000-0005-0000-0000-000088270000}"/>
    <cellStyle name="20% - Accent6 3 3 2 28" xfId="59672" xr:uid="{00000000-0005-0000-0000-000089270000}"/>
    <cellStyle name="20% - Accent6 3 3 2 29" xfId="61355" xr:uid="{00000000-0005-0000-0000-00008A270000}"/>
    <cellStyle name="20% - Accent6 3 3 2 3" xfId="4130" xr:uid="{00000000-0005-0000-0000-00008B270000}"/>
    <cellStyle name="20% - Accent6 3 3 2 3 2" xfId="19279" xr:uid="{00000000-0005-0000-0000-00008C270000}"/>
    <cellStyle name="20% - Accent6 3 3 2 30" xfId="63038" xr:uid="{00000000-0005-0000-0000-00008D270000}"/>
    <cellStyle name="20% - Accent6 3 3 2 4" xfId="5813" xr:uid="{00000000-0005-0000-0000-00008E270000}"/>
    <cellStyle name="20% - Accent6 3 3 2 4 2" xfId="20962" xr:uid="{00000000-0005-0000-0000-00008F270000}"/>
    <cellStyle name="20% - Accent6 3 3 2 5" xfId="7496" xr:uid="{00000000-0005-0000-0000-000090270000}"/>
    <cellStyle name="20% - Accent6 3 3 2 5 2" xfId="22645" xr:uid="{00000000-0005-0000-0000-000091270000}"/>
    <cellStyle name="20% - Accent6 3 3 2 6" xfId="9179" xr:uid="{00000000-0005-0000-0000-000092270000}"/>
    <cellStyle name="20% - Accent6 3 3 2 6 2" xfId="24328" xr:uid="{00000000-0005-0000-0000-000093270000}"/>
    <cellStyle name="20% - Accent6 3 3 2 7" xfId="10862" xr:uid="{00000000-0005-0000-0000-000094270000}"/>
    <cellStyle name="20% - Accent6 3 3 2 7 2" xfId="26011" xr:uid="{00000000-0005-0000-0000-000095270000}"/>
    <cellStyle name="20% - Accent6 3 3 2 8" xfId="12546" xr:uid="{00000000-0005-0000-0000-000096270000}"/>
    <cellStyle name="20% - Accent6 3 3 2 8 2" xfId="27695" xr:uid="{00000000-0005-0000-0000-000097270000}"/>
    <cellStyle name="20% - Accent6 3 3 2 9" xfId="14229" xr:uid="{00000000-0005-0000-0000-000098270000}"/>
    <cellStyle name="20% - Accent6 3 3 2 9 2" xfId="29378" xr:uid="{00000000-0005-0000-0000-000099270000}"/>
    <cellStyle name="20% - Accent6 3 3 20" xfId="40739" xr:uid="{00000000-0005-0000-0000-00009A270000}"/>
    <cellStyle name="20% - Accent6 3 3 21" xfId="42422" xr:uid="{00000000-0005-0000-0000-00009B270000}"/>
    <cellStyle name="20% - Accent6 3 3 22" xfId="44105" xr:uid="{00000000-0005-0000-0000-00009C270000}"/>
    <cellStyle name="20% - Accent6 3 3 23" xfId="45788" xr:uid="{00000000-0005-0000-0000-00009D270000}"/>
    <cellStyle name="20% - Accent6 3 3 24" xfId="47471" xr:uid="{00000000-0005-0000-0000-00009E270000}"/>
    <cellStyle name="20% - Accent6 3 3 25" xfId="49154" xr:uid="{00000000-0005-0000-0000-00009F270000}"/>
    <cellStyle name="20% - Accent6 3 3 26" xfId="50837" xr:uid="{00000000-0005-0000-0000-0000A0270000}"/>
    <cellStyle name="20% - Accent6 3 3 27" xfId="52520" xr:uid="{00000000-0005-0000-0000-0000A1270000}"/>
    <cellStyle name="20% - Accent6 3 3 28" xfId="54203" xr:uid="{00000000-0005-0000-0000-0000A2270000}"/>
    <cellStyle name="20% - Accent6 3 3 29" xfId="55886" xr:uid="{00000000-0005-0000-0000-0000A3270000}"/>
    <cellStyle name="20% - Accent6 3 3 3" xfId="1184" xr:uid="{00000000-0005-0000-0000-0000A4270000}"/>
    <cellStyle name="20% - Accent6 3 3 3 10" xfId="16333" xr:uid="{00000000-0005-0000-0000-0000A5270000}"/>
    <cellStyle name="20% - Accent6 3 3 3 11" xfId="31482" xr:uid="{00000000-0005-0000-0000-0000A6270000}"/>
    <cellStyle name="20% - Accent6 3 3 3 12" xfId="33165" xr:uid="{00000000-0005-0000-0000-0000A7270000}"/>
    <cellStyle name="20% - Accent6 3 3 3 13" xfId="34848" xr:uid="{00000000-0005-0000-0000-0000A8270000}"/>
    <cellStyle name="20% - Accent6 3 3 3 14" xfId="36531" xr:uid="{00000000-0005-0000-0000-0000A9270000}"/>
    <cellStyle name="20% - Accent6 3 3 3 15" xfId="38214" xr:uid="{00000000-0005-0000-0000-0000AA270000}"/>
    <cellStyle name="20% - Accent6 3 3 3 16" xfId="39897" xr:uid="{00000000-0005-0000-0000-0000AB270000}"/>
    <cellStyle name="20% - Accent6 3 3 3 17" xfId="41580" xr:uid="{00000000-0005-0000-0000-0000AC270000}"/>
    <cellStyle name="20% - Accent6 3 3 3 18" xfId="43263" xr:uid="{00000000-0005-0000-0000-0000AD270000}"/>
    <cellStyle name="20% - Accent6 3 3 3 19" xfId="44946" xr:uid="{00000000-0005-0000-0000-0000AE270000}"/>
    <cellStyle name="20% - Accent6 3 3 3 2" xfId="2867" xr:uid="{00000000-0005-0000-0000-0000AF270000}"/>
    <cellStyle name="20% - Accent6 3 3 3 2 2" xfId="18016" xr:uid="{00000000-0005-0000-0000-0000B0270000}"/>
    <cellStyle name="20% - Accent6 3 3 3 20" xfId="46629" xr:uid="{00000000-0005-0000-0000-0000B1270000}"/>
    <cellStyle name="20% - Accent6 3 3 3 21" xfId="48312" xr:uid="{00000000-0005-0000-0000-0000B2270000}"/>
    <cellStyle name="20% - Accent6 3 3 3 22" xfId="49995" xr:uid="{00000000-0005-0000-0000-0000B3270000}"/>
    <cellStyle name="20% - Accent6 3 3 3 23" xfId="51678" xr:uid="{00000000-0005-0000-0000-0000B4270000}"/>
    <cellStyle name="20% - Accent6 3 3 3 24" xfId="53361" xr:uid="{00000000-0005-0000-0000-0000B5270000}"/>
    <cellStyle name="20% - Accent6 3 3 3 25" xfId="55044" xr:uid="{00000000-0005-0000-0000-0000B6270000}"/>
    <cellStyle name="20% - Accent6 3 3 3 26" xfId="56727" xr:uid="{00000000-0005-0000-0000-0000B7270000}"/>
    <cellStyle name="20% - Accent6 3 3 3 27" xfId="58410" xr:uid="{00000000-0005-0000-0000-0000B8270000}"/>
    <cellStyle name="20% - Accent6 3 3 3 28" xfId="60093" xr:uid="{00000000-0005-0000-0000-0000B9270000}"/>
    <cellStyle name="20% - Accent6 3 3 3 29" xfId="61776" xr:uid="{00000000-0005-0000-0000-0000BA270000}"/>
    <cellStyle name="20% - Accent6 3 3 3 3" xfId="4551" xr:uid="{00000000-0005-0000-0000-0000BB270000}"/>
    <cellStyle name="20% - Accent6 3 3 3 3 2" xfId="19700" xr:uid="{00000000-0005-0000-0000-0000BC270000}"/>
    <cellStyle name="20% - Accent6 3 3 3 30" xfId="63459" xr:uid="{00000000-0005-0000-0000-0000BD270000}"/>
    <cellStyle name="20% - Accent6 3 3 3 4" xfId="6234" xr:uid="{00000000-0005-0000-0000-0000BE270000}"/>
    <cellStyle name="20% - Accent6 3 3 3 4 2" xfId="21383" xr:uid="{00000000-0005-0000-0000-0000BF270000}"/>
    <cellStyle name="20% - Accent6 3 3 3 5" xfId="7917" xr:uid="{00000000-0005-0000-0000-0000C0270000}"/>
    <cellStyle name="20% - Accent6 3 3 3 5 2" xfId="23066" xr:uid="{00000000-0005-0000-0000-0000C1270000}"/>
    <cellStyle name="20% - Accent6 3 3 3 6" xfId="9600" xr:uid="{00000000-0005-0000-0000-0000C2270000}"/>
    <cellStyle name="20% - Accent6 3 3 3 6 2" xfId="24749" xr:uid="{00000000-0005-0000-0000-0000C3270000}"/>
    <cellStyle name="20% - Accent6 3 3 3 7" xfId="11283" xr:uid="{00000000-0005-0000-0000-0000C4270000}"/>
    <cellStyle name="20% - Accent6 3 3 3 7 2" xfId="26432" xr:uid="{00000000-0005-0000-0000-0000C5270000}"/>
    <cellStyle name="20% - Accent6 3 3 3 8" xfId="12967" xr:uid="{00000000-0005-0000-0000-0000C6270000}"/>
    <cellStyle name="20% - Accent6 3 3 3 8 2" xfId="28116" xr:uid="{00000000-0005-0000-0000-0000C7270000}"/>
    <cellStyle name="20% - Accent6 3 3 3 9" xfId="14650" xr:uid="{00000000-0005-0000-0000-0000C8270000}"/>
    <cellStyle name="20% - Accent6 3 3 3 9 2" xfId="29799" xr:uid="{00000000-0005-0000-0000-0000C9270000}"/>
    <cellStyle name="20% - Accent6 3 3 30" xfId="57569" xr:uid="{00000000-0005-0000-0000-0000CA270000}"/>
    <cellStyle name="20% - Accent6 3 3 31" xfId="59252" xr:uid="{00000000-0005-0000-0000-0000CB270000}"/>
    <cellStyle name="20% - Accent6 3 3 32" xfId="60935" xr:uid="{00000000-0005-0000-0000-0000CC270000}"/>
    <cellStyle name="20% - Accent6 3 3 33" xfId="62618" xr:uid="{00000000-0005-0000-0000-0000CD270000}"/>
    <cellStyle name="20% - Accent6 3 3 4" xfId="1605" xr:uid="{00000000-0005-0000-0000-0000CE270000}"/>
    <cellStyle name="20% - Accent6 3 3 4 10" xfId="16754" xr:uid="{00000000-0005-0000-0000-0000CF270000}"/>
    <cellStyle name="20% - Accent6 3 3 4 11" xfId="31903" xr:uid="{00000000-0005-0000-0000-0000D0270000}"/>
    <cellStyle name="20% - Accent6 3 3 4 12" xfId="33586" xr:uid="{00000000-0005-0000-0000-0000D1270000}"/>
    <cellStyle name="20% - Accent6 3 3 4 13" xfId="35269" xr:uid="{00000000-0005-0000-0000-0000D2270000}"/>
    <cellStyle name="20% - Accent6 3 3 4 14" xfId="36952" xr:uid="{00000000-0005-0000-0000-0000D3270000}"/>
    <cellStyle name="20% - Accent6 3 3 4 15" xfId="38635" xr:uid="{00000000-0005-0000-0000-0000D4270000}"/>
    <cellStyle name="20% - Accent6 3 3 4 16" xfId="40318" xr:uid="{00000000-0005-0000-0000-0000D5270000}"/>
    <cellStyle name="20% - Accent6 3 3 4 17" xfId="42001" xr:uid="{00000000-0005-0000-0000-0000D6270000}"/>
    <cellStyle name="20% - Accent6 3 3 4 18" xfId="43684" xr:uid="{00000000-0005-0000-0000-0000D7270000}"/>
    <cellStyle name="20% - Accent6 3 3 4 19" xfId="45367" xr:uid="{00000000-0005-0000-0000-0000D8270000}"/>
    <cellStyle name="20% - Accent6 3 3 4 2" xfId="3288" xr:uid="{00000000-0005-0000-0000-0000D9270000}"/>
    <cellStyle name="20% - Accent6 3 3 4 2 2" xfId="18437" xr:uid="{00000000-0005-0000-0000-0000DA270000}"/>
    <cellStyle name="20% - Accent6 3 3 4 20" xfId="47050" xr:uid="{00000000-0005-0000-0000-0000DB270000}"/>
    <cellStyle name="20% - Accent6 3 3 4 21" xfId="48733" xr:uid="{00000000-0005-0000-0000-0000DC270000}"/>
    <cellStyle name="20% - Accent6 3 3 4 22" xfId="50416" xr:uid="{00000000-0005-0000-0000-0000DD270000}"/>
    <cellStyle name="20% - Accent6 3 3 4 23" xfId="52099" xr:uid="{00000000-0005-0000-0000-0000DE270000}"/>
    <cellStyle name="20% - Accent6 3 3 4 24" xfId="53782" xr:uid="{00000000-0005-0000-0000-0000DF270000}"/>
    <cellStyle name="20% - Accent6 3 3 4 25" xfId="55465" xr:uid="{00000000-0005-0000-0000-0000E0270000}"/>
    <cellStyle name="20% - Accent6 3 3 4 26" xfId="57148" xr:uid="{00000000-0005-0000-0000-0000E1270000}"/>
    <cellStyle name="20% - Accent6 3 3 4 27" xfId="58831" xr:uid="{00000000-0005-0000-0000-0000E2270000}"/>
    <cellStyle name="20% - Accent6 3 3 4 28" xfId="60514" xr:uid="{00000000-0005-0000-0000-0000E3270000}"/>
    <cellStyle name="20% - Accent6 3 3 4 29" xfId="62197" xr:uid="{00000000-0005-0000-0000-0000E4270000}"/>
    <cellStyle name="20% - Accent6 3 3 4 3" xfId="4972" xr:uid="{00000000-0005-0000-0000-0000E5270000}"/>
    <cellStyle name="20% - Accent6 3 3 4 3 2" xfId="20121" xr:uid="{00000000-0005-0000-0000-0000E6270000}"/>
    <cellStyle name="20% - Accent6 3 3 4 30" xfId="63880" xr:uid="{00000000-0005-0000-0000-0000E7270000}"/>
    <cellStyle name="20% - Accent6 3 3 4 4" xfId="6655" xr:uid="{00000000-0005-0000-0000-0000E8270000}"/>
    <cellStyle name="20% - Accent6 3 3 4 4 2" xfId="21804" xr:uid="{00000000-0005-0000-0000-0000E9270000}"/>
    <cellStyle name="20% - Accent6 3 3 4 5" xfId="8338" xr:uid="{00000000-0005-0000-0000-0000EA270000}"/>
    <cellStyle name="20% - Accent6 3 3 4 5 2" xfId="23487" xr:uid="{00000000-0005-0000-0000-0000EB270000}"/>
    <cellStyle name="20% - Accent6 3 3 4 6" xfId="10021" xr:uid="{00000000-0005-0000-0000-0000EC270000}"/>
    <cellStyle name="20% - Accent6 3 3 4 6 2" xfId="25170" xr:uid="{00000000-0005-0000-0000-0000ED270000}"/>
    <cellStyle name="20% - Accent6 3 3 4 7" xfId="11704" xr:uid="{00000000-0005-0000-0000-0000EE270000}"/>
    <cellStyle name="20% - Accent6 3 3 4 7 2" xfId="26853" xr:uid="{00000000-0005-0000-0000-0000EF270000}"/>
    <cellStyle name="20% - Accent6 3 3 4 8" xfId="13388" xr:uid="{00000000-0005-0000-0000-0000F0270000}"/>
    <cellStyle name="20% - Accent6 3 3 4 8 2" xfId="28537" xr:uid="{00000000-0005-0000-0000-0000F1270000}"/>
    <cellStyle name="20% - Accent6 3 3 4 9" xfId="15071" xr:uid="{00000000-0005-0000-0000-0000F2270000}"/>
    <cellStyle name="20% - Accent6 3 3 4 9 2" xfId="30220" xr:uid="{00000000-0005-0000-0000-0000F3270000}"/>
    <cellStyle name="20% - Accent6 3 3 5" xfId="2026" xr:uid="{00000000-0005-0000-0000-0000F4270000}"/>
    <cellStyle name="20% - Accent6 3 3 5 2" xfId="17175" xr:uid="{00000000-0005-0000-0000-0000F5270000}"/>
    <cellStyle name="20% - Accent6 3 3 6" xfId="3710" xr:uid="{00000000-0005-0000-0000-0000F6270000}"/>
    <cellStyle name="20% - Accent6 3 3 6 2" xfId="18859" xr:uid="{00000000-0005-0000-0000-0000F7270000}"/>
    <cellStyle name="20% - Accent6 3 3 7" xfId="5393" xr:uid="{00000000-0005-0000-0000-0000F8270000}"/>
    <cellStyle name="20% - Accent6 3 3 7 2" xfId="20542" xr:uid="{00000000-0005-0000-0000-0000F9270000}"/>
    <cellStyle name="20% - Accent6 3 3 8" xfId="7076" xr:uid="{00000000-0005-0000-0000-0000FA270000}"/>
    <cellStyle name="20% - Accent6 3 3 8 2" xfId="22225" xr:uid="{00000000-0005-0000-0000-0000FB270000}"/>
    <cellStyle name="20% - Accent6 3 3 9" xfId="8759" xr:uid="{00000000-0005-0000-0000-0000FC270000}"/>
    <cellStyle name="20% - Accent6 3 3 9 2" xfId="23908" xr:uid="{00000000-0005-0000-0000-0000FD270000}"/>
    <cellStyle name="20% - Accent6 3 30" xfId="53993" xr:uid="{00000000-0005-0000-0000-0000FE270000}"/>
    <cellStyle name="20% - Accent6 3 31" xfId="55676" xr:uid="{00000000-0005-0000-0000-0000FF270000}"/>
    <cellStyle name="20% - Accent6 3 32" xfId="57359" xr:uid="{00000000-0005-0000-0000-000000280000}"/>
    <cellStyle name="20% - Accent6 3 33" xfId="59042" xr:uid="{00000000-0005-0000-0000-000001280000}"/>
    <cellStyle name="20% - Accent6 3 34" xfId="60725" xr:uid="{00000000-0005-0000-0000-000002280000}"/>
    <cellStyle name="20% - Accent6 3 35" xfId="62408" xr:uid="{00000000-0005-0000-0000-000003280000}"/>
    <cellStyle name="20% - Accent6 3 4" xfId="553" xr:uid="{00000000-0005-0000-0000-000004280000}"/>
    <cellStyle name="20% - Accent6 3 4 10" xfId="15702" xr:uid="{00000000-0005-0000-0000-000005280000}"/>
    <cellStyle name="20% - Accent6 3 4 11" xfId="30851" xr:uid="{00000000-0005-0000-0000-000006280000}"/>
    <cellStyle name="20% - Accent6 3 4 12" xfId="32534" xr:uid="{00000000-0005-0000-0000-000007280000}"/>
    <cellStyle name="20% - Accent6 3 4 13" xfId="34217" xr:uid="{00000000-0005-0000-0000-000008280000}"/>
    <cellStyle name="20% - Accent6 3 4 14" xfId="35900" xr:uid="{00000000-0005-0000-0000-000009280000}"/>
    <cellStyle name="20% - Accent6 3 4 15" xfId="37583" xr:uid="{00000000-0005-0000-0000-00000A280000}"/>
    <cellStyle name="20% - Accent6 3 4 16" xfId="39266" xr:uid="{00000000-0005-0000-0000-00000B280000}"/>
    <cellStyle name="20% - Accent6 3 4 17" xfId="40949" xr:uid="{00000000-0005-0000-0000-00000C280000}"/>
    <cellStyle name="20% - Accent6 3 4 18" xfId="42632" xr:uid="{00000000-0005-0000-0000-00000D280000}"/>
    <cellStyle name="20% - Accent6 3 4 19" xfId="44315" xr:uid="{00000000-0005-0000-0000-00000E280000}"/>
    <cellStyle name="20% - Accent6 3 4 2" xfId="2236" xr:uid="{00000000-0005-0000-0000-00000F280000}"/>
    <cellStyle name="20% - Accent6 3 4 2 2" xfId="17385" xr:uid="{00000000-0005-0000-0000-000010280000}"/>
    <cellStyle name="20% - Accent6 3 4 20" xfId="45998" xr:uid="{00000000-0005-0000-0000-000011280000}"/>
    <cellStyle name="20% - Accent6 3 4 21" xfId="47681" xr:uid="{00000000-0005-0000-0000-000012280000}"/>
    <cellStyle name="20% - Accent6 3 4 22" xfId="49364" xr:uid="{00000000-0005-0000-0000-000013280000}"/>
    <cellStyle name="20% - Accent6 3 4 23" xfId="51047" xr:uid="{00000000-0005-0000-0000-000014280000}"/>
    <cellStyle name="20% - Accent6 3 4 24" xfId="52730" xr:uid="{00000000-0005-0000-0000-000015280000}"/>
    <cellStyle name="20% - Accent6 3 4 25" xfId="54413" xr:uid="{00000000-0005-0000-0000-000016280000}"/>
    <cellStyle name="20% - Accent6 3 4 26" xfId="56096" xr:uid="{00000000-0005-0000-0000-000017280000}"/>
    <cellStyle name="20% - Accent6 3 4 27" xfId="57779" xr:uid="{00000000-0005-0000-0000-000018280000}"/>
    <cellStyle name="20% - Accent6 3 4 28" xfId="59462" xr:uid="{00000000-0005-0000-0000-000019280000}"/>
    <cellStyle name="20% - Accent6 3 4 29" xfId="61145" xr:uid="{00000000-0005-0000-0000-00001A280000}"/>
    <cellStyle name="20% - Accent6 3 4 3" xfId="3920" xr:uid="{00000000-0005-0000-0000-00001B280000}"/>
    <cellStyle name="20% - Accent6 3 4 3 2" xfId="19069" xr:uid="{00000000-0005-0000-0000-00001C280000}"/>
    <cellStyle name="20% - Accent6 3 4 30" xfId="62828" xr:uid="{00000000-0005-0000-0000-00001D280000}"/>
    <cellStyle name="20% - Accent6 3 4 4" xfId="5603" xr:uid="{00000000-0005-0000-0000-00001E280000}"/>
    <cellStyle name="20% - Accent6 3 4 4 2" xfId="20752" xr:uid="{00000000-0005-0000-0000-00001F280000}"/>
    <cellStyle name="20% - Accent6 3 4 5" xfId="7286" xr:uid="{00000000-0005-0000-0000-000020280000}"/>
    <cellStyle name="20% - Accent6 3 4 5 2" xfId="22435" xr:uid="{00000000-0005-0000-0000-000021280000}"/>
    <cellStyle name="20% - Accent6 3 4 6" xfId="8969" xr:uid="{00000000-0005-0000-0000-000022280000}"/>
    <cellStyle name="20% - Accent6 3 4 6 2" xfId="24118" xr:uid="{00000000-0005-0000-0000-000023280000}"/>
    <cellStyle name="20% - Accent6 3 4 7" xfId="10652" xr:uid="{00000000-0005-0000-0000-000024280000}"/>
    <cellStyle name="20% - Accent6 3 4 7 2" xfId="25801" xr:uid="{00000000-0005-0000-0000-000025280000}"/>
    <cellStyle name="20% - Accent6 3 4 8" xfId="12336" xr:uid="{00000000-0005-0000-0000-000026280000}"/>
    <cellStyle name="20% - Accent6 3 4 8 2" xfId="27485" xr:uid="{00000000-0005-0000-0000-000027280000}"/>
    <cellStyle name="20% - Accent6 3 4 9" xfId="14019" xr:uid="{00000000-0005-0000-0000-000028280000}"/>
    <cellStyle name="20% - Accent6 3 4 9 2" xfId="29168" xr:uid="{00000000-0005-0000-0000-000029280000}"/>
    <cellStyle name="20% - Accent6 3 5" xfId="974" xr:uid="{00000000-0005-0000-0000-00002A280000}"/>
    <cellStyle name="20% - Accent6 3 5 10" xfId="16123" xr:uid="{00000000-0005-0000-0000-00002B280000}"/>
    <cellStyle name="20% - Accent6 3 5 11" xfId="31272" xr:uid="{00000000-0005-0000-0000-00002C280000}"/>
    <cellStyle name="20% - Accent6 3 5 12" xfId="32955" xr:uid="{00000000-0005-0000-0000-00002D280000}"/>
    <cellStyle name="20% - Accent6 3 5 13" xfId="34638" xr:uid="{00000000-0005-0000-0000-00002E280000}"/>
    <cellStyle name="20% - Accent6 3 5 14" xfId="36321" xr:uid="{00000000-0005-0000-0000-00002F280000}"/>
    <cellStyle name="20% - Accent6 3 5 15" xfId="38004" xr:uid="{00000000-0005-0000-0000-000030280000}"/>
    <cellStyle name="20% - Accent6 3 5 16" xfId="39687" xr:uid="{00000000-0005-0000-0000-000031280000}"/>
    <cellStyle name="20% - Accent6 3 5 17" xfId="41370" xr:uid="{00000000-0005-0000-0000-000032280000}"/>
    <cellStyle name="20% - Accent6 3 5 18" xfId="43053" xr:uid="{00000000-0005-0000-0000-000033280000}"/>
    <cellStyle name="20% - Accent6 3 5 19" xfId="44736" xr:uid="{00000000-0005-0000-0000-000034280000}"/>
    <cellStyle name="20% - Accent6 3 5 2" xfId="2657" xr:uid="{00000000-0005-0000-0000-000035280000}"/>
    <cellStyle name="20% - Accent6 3 5 2 2" xfId="17806" xr:uid="{00000000-0005-0000-0000-000036280000}"/>
    <cellStyle name="20% - Accent6 3 5 20" xfId="46419" xr:uid="{00000000-0005-0000-0000-000037280000}"/>
    <cellStyle name="20% - Accent6 3 5 21" xfId="48102" xr:uid="{00000000-0005-0000-0000-000038280000}"/>
    <cellStyle name="20% - Accent6 3 5 22" xfId="49785" xr:uid="{00000000-0005-0000-0000-000039280000}"/>
    <cellStyle name="20% - Accent6 3 5 23" xfId="51468" xr:uid="{00000000-0005-0000-0000-00003A280000}"/>
    <cellStyle name="20% - Accent6 3 5 24" xfId="53151" xr:uid="{00000000-0005-0000-0000-00003B280000}"/>
    <cellStyle name="20% - Accent6 3 5 25" xfId="54834" xr:uid="{00000000-0005-0000-0000-00003C280000}"/>
    <cellStyle name="20% - Accent6 3 5 26" xfId="56517" xr:uid="{00000000-0005-0000-0000-00003D280000}"/>
    <cellStyle name="20% - Accent6 3 5 27" xfId="58200" xr:uid="{00000000-0005-0000-0000-00003E280000}"/>
    <cellStyle name="20% - Accent6 3 5 28" xfId="59883" xr:uid="{00000000-0005-0000-0000-00003F280000}"/>
    <cellStyle name="20% - Accent6 3 5 29" xfId="61566" xr:uid="{00000000-0005-0000-0000-000040280000}"/>
    <cellStyle name="20% - Accent6 3 5 3" xfId="4341" xr:uid="{00000000-0005-0000-0000-000041280000}"/>
    <cellStyle name="20% - Accent6 3 5 3 2" xfId="19490" xr:uid="{00000000-0005-0000-0000-000042280000}"/>
    <cellStyle name="20% - Accent6 3 5 30" xfId="63249" xr:uid="{00000000-0005-0000-0000-000043280000}"/>
    <cellStyle name="20% - Accent6 3 5 4" xfId="6024" xr:uid="{00000000-0005-0000-0000-000044280000}"/>
    <cellStyle name="20% - Accent6 3 5 4 2" xfId="21173" xr:uid="{00000000-0005-0000-0000-000045280000}"/>
    <cellStyle name="20% - Accent6 3 5 5" xfId="7707" xr:uid="{00000000-0005-0000-0000-000046280000}"/>
    <cellStyle name="20% - Accent6 3 5 5 2" xfId="22856" xr:uid="{00000000-0005-0000-0000-000047280000}"/>
    <cellStyle name="20% - Accent6 3 5 6" xfId="9390" xr:uid="{00000000-0005-0000-0000-000048280000}"/>
    <cellStyle name="20% - Accent6 3 5 6 2" xfId="24539" xr:uid="{00000000-0005-0000-0000-000049280000}"/>
    <cellStyle name="20% - Accent6 3 5 7" xfId="11073" xr:uid="{00000000-0005-0000-0000-00004A280000}"/>
    <cellStyle name="20% - Accent6 3 5 7 2" xfId="26222" xr:uid="{00000000-0005-0000-0000-00004B280000}"/>
    <cellStyle name="20% - Accent6 3 5 8" xfId="12757" xr:uid="{00000000-0005-0000-0000-00004C280000}"/>
    <cellStyle name="20% - Accent6 3 5 8 2" xfId="27906" xr:uid="{00000000-0005-0000-0000-00004D280000}"/>
    <cellStyle name="20% - Accent6 3 5 9" xfId="14440" xr:uid="{00000000-0005-0000-0000-00004E280000}"/>
    <cellStyle name="20% - Accent6 3 5 9 2" xfId="29589" xr:uid="{00000000-0005-0000-0000-00004F280000}"/>
    <cellStyle name="20% - Accent6 3 6" xfId="1395" xr:uid="{00000000-0005-0000-0000-000050280000}"/>
    <cellStyle name="20% - Accent6 3 6 10" xfId="16544" xr:uid="{00000000-0005-0000-0000-000051280000}"/>
    <cellStyle name="20% - Accent6 3 6 11" xfId="31693" xr:uid="{00000000-0005-0000-0000-000052280000}"/>
    <cellStyle name="20% - Accent6 3 6 12" xfId="33376" xr:uid="{00000000-0005-0000-0000-000053280000}"/>
    <cellStyle name="20% - Accent6 3 6 13" xfId="35059" xr:uid="{00000000-0005-0000-0000-000054280000}"/>
    <cellStyle name="20% - Accent6 3 6 14" xfId="36742" xr:uid="{00000000-0005-0000-0000-000055280000}"/>
    <cellStyle name="20% - Accent6 3 6 15" xfId="38425" xr:uid="{00000000-0005-0000-0000-000056280000}"/>
    <cellStyle name="20% - Accent6 3 6 16" xfId="40108" xr:uid="{00000000-0005-0000-0000-000057280000}"/>
    <cellStyle name="20% - Accent6 3 6 17" xfId="41791" xr:uid="{00000000-0005-0000-0000-000058280000}"/>
    <cellStyle name="20% - Accent6 3 6 18" xfId="43474" xr:uid="{00000000-0005-0000-0000-000059280000}"/>
    <cellStyle name="20% - Accent6 3 6 19" xfId="45157" xr:uid="{00000000-0005-0000-0000-00005A280000}"/>
    <cellStyle name="20% - Accent6 3 6 2" xfId="3078" xr:uid="{00000000-0005-0000-0000-00005B280000}"/>
    <cellStyle name="20% - Accent6 3 6 2 2" xfId="18227" xr:uid="{00000000-0005-0000-0000-00005C280000}"/>
    <cellStyle name="20% - Accent6 3 6 20" xfId="46840" xr:uid="{00000000-0005-0000-0000-00005D280000}"/>
    <cellStyle name="20% - Accent6 3 6 21" xfId="48523" xr:uid="{00000000-0005-0000-0000-00005E280000}"/>
    <cellStyle name="20% - Accent6 3 6 22" xfId="50206" xr:uid="{00000000-0005-0000-0000-00005F280000}"/>
    <cellStyle name="20% - Accent6 3 6 23" xfId="51889" xr:uid="{00000000-0005-0000-0000-000060280000}"/>
    <cellStyle name="20% - Accent6 3 6 24" xfId="53572" xr:uid="{00000000-0005-0000-0000-000061280000}"/>
    <cellStyle name="20% - Accent6 3 6 25" xfId="55255" xr:uid="{00000000-0005-0000-0000-000062280000}"/>
    <cellStyle name="20% - Accent6 3 6 26" xfId="56938" xr:uid="{00000000-0005-0000-0000-000063280000}"/>
    <cellStyle name="20% - Accent6 3 6 27" xfId="58621" xr:uid="{00000000-0005-0000-0000-000064280000}"/>
    <cellStyle name="20% - Accent6 3 6 28" xfId="60304" xr:uid="{00000000-0005-0000-0000-000065280000}"/>
    <cellStyle name="20% - Accent6 3 6 29" xfId="61987" xr:uid="{00000000-0005-0000-0000-000066280000}"/>
    <cellStyle name="20% - Accent6 3 6 3" xfId="4762" xr:uid="{00000000-0005-0000-0000-000067280000}"/>
    <cellStyle name="20% - Accent6 3 6 3 2" xfId="19911" xr:uid="{00000000-0005-0000-0000-000068280000}"/>
    <cellStyle name="20% - Accent6 3 6 30" xfId="63670" xr:uid="{00000000-0005-0000-0000-000069280000}"/>
    <cellStyle name="20% - Accent6 3 6 4" xfId="6445" xr:uid="{00000000-0005-0000-0000-00006A280000}"/>
    <cellStyle name="20% - Accent6 3 6 4 2" xfId="21594" xr:uid="{00000000-0005-0000-0000-00006B280000}"/>
    <cellStyle name="20% - Accent6 3 6 5" xfId="8128" xr:uid="{00000000-0005-0000-0000-00006C280000}"/>
    <cellStyle name="20% - Accent6 3 6 5 2" xfId="23277" xr:uid="{00000000-0005-0000-0000-00006D280000}"/>
    <cellStyle name="20% - Accent6 3 6 6" xfId="9811" xr:uid="{00000000-0005-0000-0000-00006E280000}"/>
    <cellStyle name="20% - Accent6 3 6 6 2" xfId="24960" xr:uid="{00000000-0005-0000-0000-00006F280000}"/>
    <cellStyle name="20% - Accent6 3 6 7" xfId="11494" xr:uid="{00000000-0005-0000-0000-000070280000}"/>
    <cellStyle name="20% - Accent6 3 6 7 2" xfId="26643" xr:uid="{00000000-0005-0000-0000-000071280000}"/>
    <cellStyle name="20% - Accent6 3 6 8" xfId="13178" xr:uid="{00000000-0005-0000-0000-000072280000}"/>
    <cellStyle name="20% - Accent6 3 6 8 2" xfId="28327" xr:uid="{00000000-0005-0000-0000-000073280000}"/>
    <cellStyle name="20% - Accent6 3 6 9" xfId="14861" xr:uid="{00000000-0005-0000-0000-000074280000}"/>
    <cellStyle name="20% - Accent6 3 6 9 2" xfId="30010" xr:uid="{00000000-0005-0000-0000-000075280000}"/>
    <cellStyle name="20% - Accent6 3 7" xfId="1816" xr:uid="{00000000-0005-0000-0000-000076280000}"/>
    <cellStyle name="20% - Accent6 3 7 2" xfId="16965" xr:uid="{00000000-0005-0000-0000-000077280000}"/>
    <cellStyle name="20% - Accent6 3 8" xfId="3500" xr:uid="{00000000-0005-0000-0000-000078280000}"/>
    <cellStyle name="20% - Accent6 3 8 2" xfId="18649" xr:uid="{00000000-0005-0000-0000-000079280000}"/>
    <cellStyle name="20% - Accent6 3 9" xfId="5183" xr:uid="{00000000-0005-0000-0000-00007A280000}"/>
    <cellStyle name="20% - Accent6 3 9 2" xfId="20332" xr:uid="{00000000-0005-0000-0000-00007B280000}"/>
    <cellStyle name="20% - Accent6 30" xfId="50585" xr:uid="{00000000-0005-0000-0000-00007C280000}"/>
    <cellStyle name="20% - Accent6 31" xfId="52268" xr:uid="{00000000-0005-0000-0000-00007D280000}"/>
    <cellStyle name="20% - Accent6 32" xfId="53951" xr:uid="{00000000-0005-0000-0000-00007E280000}"/>
    <cellStyle name="20% - Accent6 33" xfId="55634" xr:uid="{00000000-0005-0000-0000-00007F280000}"/>
    <cellStyle name="20% - Accent6 34" xfId="57317" xr:uid="{00000000-0005-0000-0000-000080280000}"/>
    <cellStyle name="20% - Accent6 35" xfId="59000" xr:uid="{00000000-0005-0000-0000-000081280000}"/>
    <cellStyle name="20% - Accent6 36" xfId="60683" xr:uid="{00000000-0005-0000-0000-000082280000}"/>
    <cellStyle name="20% - Accent6 37" xfId="62366" xr:uid="{00000000-0005-0000-0000-000083280000}"/>
    <cellStyle name="20% - Accent6 4" xfId="196" xr:uid="{00000000-0005-0000-0000-000084280000}"/>
    <cellStyle name="20% - Accent6 4 10" xfId="8612" xr:uid="{00000000-0005-0000-0000-000085280000}"/>
    <cellStyle name="20% - Accent6 4 10 2" xfId="23761" xr:uid="{00000000-0005-0000-0000-000086280000}"/>
    <cellStyle name="20% - Accent6 4 11" xfId="10295" xr:uid="{00000000-0005-0000-0000-000087280000}"/>
    <cellStyle name="20% - Accent6 4 11 2" xfId="25444" xr:uid="{00000000-0005-0000-0000-000088280000}"/>
    <cellStyle name="20% - Accent6 4 12" xfId="11979" xr:uid="{00000000-0005-0000-0000-000089280000}"/>
    <cellStyle name="20% - Accent6 4 12 2" xfId="27128" xr:uid="{00000000-0005-0000-0000-00008A280000}"/>
    <cellStyle name="20% - Accent6 4 13" xfId="13662" xr:uid="{00000000-0005-0000-0000-00008B280000}"/>
    <cellStyle name="20% - Accent6 4 13 2" xfId="28811" xr:uid="{00000000-0005-0000-0000-00008C280000}"/>
    <cellStyle name="20% - Accent6 4 14" xfId="15345" xr:uid="{00000000-0005-0000-0000-00008D280000}"/>
    <cellStyle name="20% - Accent6 4 15" xfId="30494" xr:uid="{00000000-0005-0000-0000-00008E280000}"/>
    <cellStyle name="20% - Accent6 4 16" xfId="32177" xr:uid="{00000000-0005-0000-0000-00008F280000}"/>
    <cellStyle name="20% - Accent6 4 17" xfId="33860" xr:uid="{00000000-0005-0000-0000-000090280000}"/>
    <cellStyle name="20% - Accent6 4 18" xfId="35543" xr:uid="{00000000-0005-0000-0000-000091280000}"/>
    <cellStyle name="20% - Accent6 4 19" xfId="37226" xr:uid="{00000000-0005-0000-0000-000092280000}"/>
    <cellStyle name="20% - Accent6 4 2" xfId="406" xr:uid="{00000000-0005-0000-0000-000093280000}"/>
    <cellStyle name="20% - Accent6 4 2 10" xfId="10505" xr:uid="{00000000-0005-0000-0000-000094280000}"/>
    <cellStyle name="20% - Accent6 4 2 10 2" xfId="25654" xr:uid="{00000000-0005-0000-0000-000095280000}"/>
    <cellStyle name="20% - Accent6 4 2 11" xfId="12189" xr:uid="{00000000-0005-0000-0000-000096280000}"/>
    <cellStyle name="20% - Accent6 4 2 11 2" xfId="27338" xr:uid="{00000000-0005-0000-0000-000097280000}"/>
    <cellStyle name="20% - Accent6 4 2 12" xfId="13872" xr:uid="{00000000-0005-0000-0000-000098280000}"/>
    <cellStyle name="20% - Accent6 4 2 12 2" xfId="29021" xr:uid="{00000000-0005-0000-0000-000099280000}"/>
    <cellStyle name="20% - Accent6 4 2 13" xfId="15555" xr:uid="{00000000-0005-0000-0000-00009A280000}"/>
    <cellStyle name="20% - Accent6 4 2 14" xfId="30704" xr:uid="{00000000-0005-0000-0000-00009B280000}"/>
    <cellStyle name="20% - Accent6 4 2 15" xfId="32387" xr:uid="{00000000-0005-0000-0000-00009C280000}"/>
    <cellStyle name="20% - Accent6 4 2 16" xfId="34070" xr:uid="{00000000-0005-0000-0000-00009D280000}"/>
    <cellStyle name="20% - Accent6 4 2 17" xfId="35753" xr:uid="{00000000-0005-0000-0000-00009E280000}"/>
    <cellStyle name="20% - Accent6 4 2 18" xfId="37436" xr:uid="{00000000-0005-0000-0000-00009F280000}"/>
    <cellStyle name="20% - Accent6 4 2 19" xfId="39119" xr:uid="{00000000-0005-0000-0000-0000A0280000}"/>
    <cellStyle name="20% - Accent6 4 2 2" xfId="826" xr:uid="{00000000-0005-0000-0000-0000A1280000}"/>
    <cellStyle name="20% - Accent6 4 2 2 10" xfId="15975" xr:uid="{00000000-0005-0000-0000-0000A2280000}"/>
    <cellStyle name="20% - Accent6 4 2 2 11" xfId="31124" xr:uid="{00000000-0005-0000-0000-0000A3280000}"/>
    <cellStyle name="20% - Accent6 4 2 2 12" xfId="32807" xr:uid="{00000000-0005-0000-0000-0000A4280000}"/>
    <cellStyle name="20% - Accent6 4 2 2 13" xfId="34490" xr:uid="{00000000-0005-0000-0000-0000A5280000}"/>
    <cellStyle name="20% - Accent6 4 2 2 14" xfId="36173" xr:uid="{00000000-0005-0000-0000-0000A6280000}"/>
    <cellStyle name="20% - Accent6 4 2 2 15" xfId="37856" xr:uid="{00000000-0005-0000-0000-0000A7280000}"/>
    <cellStyle name="20% - Accent6 4 2 2 16" xfId="39539" xr:uid="{00000000-0005-0000-0000-0000A8280000}"/>
    <cellStyle name="20% - Accent6 4 2 2 17" xfId="41222" xr:uid="{00000000-0005-0000-0000-0000A9280000}"/>
    <cellStyle name="20% - Accent6 4 2 2 18" xfId="42905" xr:uid="{00000000-0005-0000-0000-0000AA280000}"/>
    <cellStyle name="20% - Accent6 4 2 2 19" xfId="44588" xr:uid="{00000000-0005-0000-0000-0000AB280000}"/>
    <cellStyle name="20% - Accent6 4 2 2 2" xfId="2509" xr:uid="{00000000-0005-0000-0000-0000AC280000}"/>
    <cellStyle name="20% - Accent6 4 2 2 2 2" xfId="17658" xr:uid="{00000000-0005-0000-0000-0000AD280000}"/>
    <cellStyle name="20% - Accent6 4 2 2 20" xfId="46271" xr:uid="{00000000-0005-0000-0000-0000AE280000}"/>
    <cellStyle name="20% - Accent6 4 2 2 21" xfId="47954" xr:uid="{00000000-0005-0000-0000-0000AF280000}"/>
    <cellStyle name="20% - Accent6 4 2 2 22" xfId="49637" xr:uid="{00000000-0005-0000-0000-0000B0280000}"/>
    <cellStyle name="20% - Accent6 4 2 2 23" xfId="51320" xr:uid="{00000000-0005-0000-0000-0000B1280000}"/>
    <cellStyle name="20% - Accent6 4 2 2 24" xfId="53003" xr:uid="{00000000-0005-0000-0000-0000B2280000}"/>
    <cellStyle name="20% - Accent6 4 2 2 25" xfId="54686" xr:uid="{00000000-0005-0000-0000-0000B3280000}"/>
    <cellStyle name="20% - Accent6 4 2 2 26" xfId="56369" xr:uid="{00000000-0005-0000-0000-0000B4280000}"/>
    <cellStyle name="20% - Accent6 4 2 2 27" xfId="58052" xr:uid="{00000000-0005-0000-0000-0000B5280000}"/>
    <cellStyle name="20% - Accent6 4 2 2 28" xfId="59735" xr:uid="{00000000-0005-0000-0000-0000B6280000}"/>
    <cellStyle name="20% - Accent6 4 2 2 29" xfId="61418" xr:uid="{00000000-0005-0000-0000-0000B7280000}"/>
    <cellStyle name="20% - Accent6 4 2 2 3" xfId="4193" xr:uid="{00000000-0005-0000-0000-0000B8280000}"/>
    <cellStyle name="20% - Accent6 4 2 2 3 2" xfId="19342" xr:uid="{00000000-0005-0000-0000-0000B9280000}"/>
    <cellStyle name="20% - Accent6 4 2 2 30" xfId="63101" xr:uid="{00000000-0005-0000-0000-0000BA280000}"/>
    <cellStyle name="20% - Accent6 4 2 2 4" xfId="5876" xr:uid="{00000000-0005-0000-0000-0000BB280000}"/>
    <cellStyle name="20% - Accent6 4 2 2 4 2" xfId="21025" xr:uid="{00000000-0005-0000-0000-0000BC280000}"/>
    <cellStyle name="20% - Accent6 4 2 2 5" xfId="7559" xr:uid="{00000000-0005-0000-0000-0000BD280000}"/>
    <cellStyle name="20% - Accent6 4 2 2 5 2" xfId="22708" xr:uid="{00000000-0005-0000-0000-0000BE280000}"/>
    <cellStyle name="20% - Accent6 4 2 2 6" xfId="9242" xr:uid="{00000000-0005-0000-0000-0000BF280000}"/>
    <cellStyle name="20% - Accent6 4 2 2 6 2" xfId="24391" xr:uid="{00000000-0005-0000-0000-0000C0280000}"/>
    <cellStyle name="20% - Accent6 4 2 2 7" xfId="10925" xr:uid="{00000000-0005-0000-0000-0000C1280000}"/>
    <cellStyle name="20% - Accent6 4 2 2 7 2" xfId="26074" xr:uid="{00000000-0005-0000-0000-0000C2280000}"/>
    <cellStyle name="20% - Accent6 4 2 2 8" xfId="12609" xr:uid="{00000000-0005-0000-0000-0000C3280000}"/>
    <cellStyle name="20% - Accent6 4 2 2 8 2" xfId="27758" xr:uid="{00000000-0005-0000-0000-0000C4280000}"/>
    <cellStyle name="20% - Accent6 4 2 2 9" xfId="14292" xr:uid="{00000000-0005-0000-0000-0000C5280000}"/>
    <cellStyle name="20% - Accent6 4 2 2 9 2" xfId="29441" xr:uid="{00000000-0005-0000-0000-0000C6280000}"/>
    <cellStyle name="20% - Accent6 4 2 20" xfId="40802" xr:uid="{00000000-0005-0000-0000-0000C7280000}"/>
    <cellStyle name="20% - Accent6 4 2 21" xfId="42485" xr:uid="{00000000-0005-0000-0000-0000C8280000}"/>
    <cellStyle name="20% - Accent6 4 2 22" xfId="44168" xr:uid="{00000000-0005-0000-0000-0000C9280000}"/>
    <cellStyle name="20% - Accent6 4 2 23" xfId="45851" xr:uid="{00000000-0005-0000-0000-0000CA280000}"/>
    <cellStyle name="20% - Accent6 4 2 24" xfId="47534" xr:uid="{00000000-0005-0000-0000-0000CB280000}"/>
    <cellStyle name="20% - Accent6 4 2 25" xfId="49217" xr:uid="{00000000-0005-0000-0000-0000CC280000}"/>
    <cellStyle name="20% - Accent6 4 2 26" xfId="50900" xr:uid="{00000000-0005-0000-0000-0000CD280000}"/>
    <cellStyle name="20% - Accent6 4 2 27" xfId="52583" xr:uid="{00000000-0005-0000-0000-0000CE280000}"/>
    <cellStyle name="20% - Accent6 4 2 28" xfId="54266" xr:uid="{00000000-0005-0000-0000-0000CF280000}"/>
    <cellStyle name="20% - Accent6 4 2 29" xfId="55949" xr:uid="{00000000-0005-0000-0000-0000D0280000}"/>
    <cellStyle name="20% - Accent6 4 2 3" xfId="1247" xr:uid="{00000000-0005-0000-0000-0000D1280000}"/>
    <cellStyle name="20% - Accent6 4 2 3 10" xfId="16396" xr:uid="{00000000-0005-0000-0000-0000D2280000}"/>
    <cellStyle name="20% - Accent6 4 2 3 11" xfId="31545" xr:uid="{00000000-0005-0000-0000-0000D3280000}"/>
    <cellStyle name="20% - Accent6 4 2 3 12" xfId="33228" xr:uid="{00000000-0005-0000-0000-0000D4280000}"/>
    <cellStyle name="20% - Accent6 4 2 3 13" xfId="34911" xr:uid="{00000000-0005-0000-0000-0000D5280000}"/>
    <cellStyle name="20% - Accent6 4 2 3 14" xfId="36594" xr:uid="{00000000-0005-0000-0000-0000D6280000}"/>
    <cellStyle name="20% - Accent6 4 2 3 15" xfId="38277" xr:uid="{00000000-0005-0000-0000-0000D7280000}"/>
    <cellStyle name="20% - Accent6 4 2 3 16" xfId="39960" xr:uid="{00000000-0005-0000-0000-0000D8280000}"/>
    <cellStyle name="20% - Accent6 4 2 3 17" xfId="41643" xr:uid="{00000000-0005-0000-0000-0000D9280000}"/>
    <cellStyle name="20% - Accent6 4 2 3 18" xfId="43326" xr:uid="{00000000-0005-0000-0000-0000DA280000}"/>
    <cellStyle name="20% - Accent6 4 2 3 19" xfId="45009" xr:uid="{00000000-0005-0000-0000-0000DB280000}"/>
    <cellStyle name="20% - Accent6 4 2 3 2" xfId="2930" xr:uid="{00000000-0005-0000-0000-0000DC280000}"/>
    <cellStyle name="20% - Accent6 4 2 3 2 2" xfId="18079" xr:uid="{00000000-0005-0000-0000-0000DD280000}"/>
    <cellStyle name="20% - Accent6 4 2 3 20" xfId="46692" xr:uid="{00000000-0005-0000-0000-0000DE280000}"/>
    <cellStyle name="20% - Accent6 4 2 3 21" xfId="48375" xr:uid="{00000000-0005-0000-0000-0000DF280000}"/>
    <cellStyle name="20% - Accent6 4 2 3 22" xfId="50058" xr:uid="{00000000-0005-0000-0000-0000E0280000}"/>
    <cellStyle name="20% - Accent6 4 2 3 23" xfId="51741" xr:uid="{00000000-0005-0000-0000-0000E1280000}"/>
    <cellStyle name="20% - Accent6 4 2 3 24" xfId="53424" xr:uid="{00000000-0005-0000-0000-0000E2280000}"/>
    <cellStyle name="20% - Accent6 4 2 3 25" xfId="55107" xr:uid="{00000000-0005-0000-0000-0000E3280000}"/>
    <cellStyle name="20% - Accent6 4 2 3 26" xfId="56790" xr:uid="{00000000-0005-0000-0000-0000E4280000}"/>
    <cellStyle name="20% - Accent6 4 2 3 27" xfId="58473" xr:uid="{00000000-0005-0000-0000-0000E5280000}"/>
    <cellStyle name="20% - Accent6 4 2 3 28" xfId="60156" xr:uid="{00000000-0005-0000-0000-0000E6280000}"/>
    <cellStyle name="20% - Accent6 4 2 3 29" xfId="61839" xr:uid="{00000000-0005-0000-0000-0000E7280000}"/>
    <cellStyle name="20% - Accent6 4 2 3 3" xfId="4614" xr:uid="{00000000-0005-0000-0000-0000E8280000}"/>
    <cellStyle name="20% - Accent6 4 2 3 3 2" xfId="19763" xr:uid="{00000000-0005-0000-0000-0000E9280000}"/>
    <cellStyle name="20% - Accent6 4 2 3 30" xfId="63522" xr:uid="{00000000-0005-0000-0000-0000EA280000}"/>
    <cellStyle name="20% - Accent6 4 2 3 4" xfId="6297" xr:uid="{00000000-0005-0000-0000-0000EB280000}"/>
    <cellStyle name="20% - Accent6 4 2 3 4 2" xfId="21446" xr:uid="{00000000-0005-0000-0000-0000EC280000}"/>
    <cellStyle name="20% - Accent6 4 2 3 5" xfId="7980" xr:uid="{00000000-0005-0000-0000-0000ED280000}"/>
    <cellStyle name="20% - Accent6 4 2 3 5 2" xfId="23129" xr:uid="{00000000-0005-0000-0000-0000EE280000}"/>
    <cellStyle name="20% - Accent6 4 2 3 6" xfId="9663" xr:uid="{00000000-0005-0000-0000-0000EF280000}"/>
    <cellStyle name="20% - Accent6 4 2 3 6 2" xfId="24812" xr:uid="{00000000-0005-0000-0000-0000F0280000}"/>
    <cellStyle name="20% - Accent6 4 2 3 7" xfId="11346" xr:uid="{00000000-0005-0000-0000-0000F1280000}"/>
    <cellStyle name="20% - Accent6 4 2 3 7 2" xfId="26495" xr:uid="{00000000-0005-0000-0000-0000F2280000}"/>
    <cellStyle name="20% - Accent6 4 2 3 8" xfId="13030" xr:uid="{00000000-0005-0000-0000-0000F3280000}"/>
    <cellStyle name="20% - Accent6 4 2 3 8 2" xfId="28179" xr:uid="{00000000-0005-0000-0000-0000F4280000}"/>
    <cellStyle name="20% - Accent6 4 2 3 9" xfId="14713" xr:uid="{00000000-0005-0000-0000-0000F5280000}"/>
    <cellStyle name="20% - Accent6 4 2 3 9 2" xfId="29862" xr:uid="{00000000-0005-0000-0000-0000F6280000}"/>
    <cellStyle name="20% - Accent6 4 2 30" xfId="57632" xr:uid="{00000000-0005-0000-0000-0000F7280000}"/>
    <cellStyle name="20% - Accent6 4 2 31" xfId="59315" xr:uid="{00000000-0005-0000-0000-0000F8280000}"/>
    <cellStyle name="20% - Accent6 4 2 32" xfId="60998" xr:uid="{00000000-0005-0000-0000-0000F9280000}"/>
    <cellStyle name="20% - Accent6 4 2 33" xfId="62681" xr:uid="{00000000-0005-0000-0000-0000FA280000}"/>
    <cellStyle name="20% - Accent6 4 2 4" xfId="1668" xr:uid="{00000000-0005-0000-0000-0000FB280000}"/>
    <cellStyle name="20% - Accent6 4 2 4 10" xfId="16817" xr:uid="{00000000-0005-0000-0000-0000FC280000}"/>
    <cellStyle name="20% - Accent6 4 2 4 11" xfId="31966" xr:uid="{00000000-0005-0000-0000-0000FD280000}"/>
    <cellStyle name="20% - Accent6 4 2 4 12" xfId="33649" xr:uid="{00000000-0005-0000-0000-0000FE280000}"/>
    <cellStyle name="20% - Accent6 4 2 4 13" xfId="35332" xr:uid="{00000000-0005-0000-0000-0000FF280000}"/>
    <cellStyle name="20% - Accent6 4 2 4 14" xfId="37015" xr:uid="{00000000-0005-0000-0000-000000290000}"/>
    <cellStyle name="20% - Accent6 4 2 4 15" xfId="38698" xr:uid="{00000000-0005-0000-0000-000001290000}"/>
    <cellStyle name="20% - Accent6 4 2 4 16" xfId="40381" xr:uid="{00000000-0005-0000-0000-000002290000}"/>
    <cellStyle name="20% - Accent6 4 2 4 17" xfId="42064" xr:uid="{00000000-0005-0000-0000-000003290000}"/>
    <cellStyle name="20% - Accent6 4 2 4 18" xfId="43747" xr:uid="{00000000-0005-0000-0000-000004290000}"/>
    <cellStyle name="20% - Accent6 4 2 4 19" xfId="45430" xr:uid="{00000000-0005-0000-0000-000005290000}"/>
    <cellStyle name="20% - Accent6 4 2 4 2" xfId="3351" xr:uid="{00000000-0005-0000-0000-000006290000}"/>
    <cellStyle name="20% - Accent6 4 2 4 2 2" xfId="18500" xr:uid="{00000000-0005-0000-0000-000007290000}"/>
    <cellStyle name="20% - Accent6 4 2 4 20" xfId="47113" xr:uid="{00000000-0005-0000-0000-000008290000}"/>
    <cellStyle name="20% - Accent6 4 2 4 21" xfId="48796" xr:uid="{00000000-0005-0000-0000-000009290000}"/>
    <cellStyle name="20% - Accent6 4 2 4 22" xfId="50479" xr:uid="{00000000-0005-0000-0000-00000A290000}"/>
    <cellStyle name="20% - Accent6 4 2 4 23" xfId="52162" xr:uid="{00000000-0005-0000-0000-00000B290000}"/>
    <cellStyle name="20% - Accent6 4 2 4 24" xfId="53845" xr:uid="{00000000-0005-0000-0000-00000C290000}"/>
    <cellStyle name="20% - Accent6 4 2 4 25" xfId="55528" xr:uid="{00000000-0005-0000-0000-00000D290000}"/>
    <cellStyle name="20% - Accent6 4 2 4 26" xfId="57211" xr:uid="{00000000-0005-0000-0000-00000E290000}"/>
    <cellStyle name="20% - Accent6 4 2 4 27" xfId="58894" xr:uid="{00000000-0005-0000-0000-00000F290000}"/>
    <cellStyle name="20% - Accent6 4 2 4 28" xfId="60577" xr:uid="{00000000-0005-0000-0000-000010290000}"/>
    <cellStyle name="20% - Accent6 4 2 4 29" xfId="62260" xr:uid="{00000000-0005-0000-0000-000011290000}"/>
    <cellStyle name="20% - Accent6 4 2 4 3" xfId="5035" xr:uid="{00000000-0005-0000-0000-000012290000}"/>
    <cellStyle name="20% - Accent6 4 2 4 3 2" xfId="20184" xr:uid="{00000000-0005-0000-0000-000013290000}"/>
    <cellStyle name="20% - Accent6 4 2 4 30" xfId="63943" xr:uid="{00000000-0005-0000-0000-000014290000}"/>
    <cellStyle name="20% - Accent6 4 2 4 4" xfId="6718" xr:uid="{00000000-0005-0000-0000-000015290000}"/>
    <cellStyle name="20% - Accent6 4 2 4 4 2" xfId="21867" xr:uid="{00000000-0005-0000-0000-000016290000}"/>
    <cellStyle name="20% - Accent6 4 2 4 5" xfId="8401" xr:uid="{00000000-0005-0000-0000-000017290000}"/>
    <cellStyle name="20% - Accent6 4 2 4 5 2" xfId="23550" xr:uid="{00000000-0005-0000-0000-000018290000}"/>
    <cellStyle name="20% - Accent6 4 2 4 6" xfId="10084" xr:uid="{00000000-0005-0000-0000-000019290000}"/>
    <cellStyle name="20% - Accent6 4 2 4 6 2" xfId="25233" xr:uid="{00000000-0005-0000-0000-00001A290000}"/>
    <cellStyle name="20% - Accent6 4 2 4 7" xfId="11767" xr:uid="{00000000-0005-0000-0000-00001B290000}"/>
    <cellStyle name="20% - Accent6 4 2 4 7 2" xfId="26916" xr:uid="{00000000-0005-0000-0000-00001C290000}"/>
    <cellStyle name="20% - Accent6 4 2 4 8" xfId="13451" xr:uid="{00000000-0005-0000-0000-00001D290000}"/>
    <cellStyle name="20% - Accent6 4 2 4 8 2" xfId="28600" xr:uid="{00000000-0005-0000-0000-00001E290000}"/>
    <cellStyle name="20% - Accent6 4 2 4 9" xfId="15134" xr:uid="{00000000-0005-0000-0000-00001F290000}"/>
    <cellStyle name="20% - Accent6 4 2 4 9 2" xfId="30283" xr:uid="{00000000-0005-0000-0000-000020290000}"/>
    <cellStyle name="20% - Accent6 4 2 5" xfId="2089" xr:uid="{00000000-0005-0000-0000-000021290000}"/>
    <cellStyle name="20% - Accent6 4 2 5 2" xfId="17238" xr:uid="{00000000-0005-0000-0000-000022290000}"/>
    <cellStyle name="20% - Accent6 4 2 6" xfId="3773" xr:uid="{00000000-0005-0000-0000-000023290000}"/>
    <cellStyle name="20% - Accent6 4 2 6 2" xfId="18922" xr:uid="{00000000-0005-0000-0000-000024290000}"/>
    <cellStyle name="20% - Accent6 4 2 7" xfId="5456" xr:uid="{00000000-0005-0000-0000-000025290000}"/>
    <cellStyle name="20% - Accent6 4 2 7 2" xfId="20605" xr:uid="{00000000-0005-0000-0000-000026290000}"/>
    <cellStyle name="20% - Accent6 4 2 8" xfId="7139" xr:uid="{00000000-0005-0000-0000-000027290000}"/>
    <cellStyle name="20% - Accent6 4 2 8 2" xfId="22288" xr:uid="{00000000-0005-0000-0000-000028290000}"/>
    <cellStyle name="20% - Accent6 4 2 9" xfId="8822" xr:uid="{00000000-0005-0000-0000-000029290000}"/>
    <cellStyle name="20% - Accent6 4 2 9 2" xfId="23971" xr:uid="{00000000-0005-0000-0000-00002A290000}"/>
    <cellStyle name="20% - Accent6 4 20" xfId="38909" xr:uid="{00000000-0005-0000-0000-00002B290000}"/>
    <cellStyle name="20% - Accent6 4 21" xfId="40592" xr:uid="{00000000-0005-0000-0000-00002C290000}"/>
    <cellStyle name="20% - Accent6 4 22" xfId="42275" xr:uid="{00000000-0005-0000-0000-00002D290000}"/>
    <cellStyle name="20% - Accent6 4 23" xfId="43958" xr:uid="{00000000-0005-0000-0000-00002E290000}"/>
    <cellStyle name="20% - Accent6 4 24" xfId="45641" xr:uid="{00000000-0005-0000-0000-00002F290000}"/>
    <cellStyle name="20% - Accent6 4 25" xfId="47324" xr:uid="{00000000-0005-0000-0000-000030290000}"/>
    <cellStyle name="20% - Accent6 4 26" xfId="49007" xr:uid="{00000000-0005-0000-0000-000031290000}"/>
    <cellStyle name="20% - Accent6 4 27" xfId="50690" xr:uid="{00000000-0005-0000-0000-000032290000}"/>
    <cellStyle name="20% - Accent6 4 28" xfId="52373" xr:uid="{00000000-0005-0000-0000-000033290000}"/>
    <cellStyle name="20% - Accent6 4 29" xfId="54056" xr:uid="{00000000-0005-0000-0000-000034290000}"/>
    <cellStyle name="20% - Accent6 4 3" xfId="616" xr:uid="{00000000-0005-0000-0000-000035290000}"/>
    <cellStyle name="20% - Accent6 4 3 10" xfId="15765" xr:uid="{00000000-0005-0000-0000-000036290000}"/>
    <cellStyle name="20% - Accent6 4 3 11" xfId="30914" xr:uid="{00000000-0005-0000-0000-000037290000}"/>
    <cellStyle name="20% - Accent6 4 3 12" xfId="32597" xr:uid="{00000000-0005-0000-0000-000038290000}"/>
    <cellStyle name="20% - Accent6 4 3 13" xfId="34280" xr:uid="{00000000-0005-0000-0000-000039290000}"/>
    <cellStyle name="20% - Accent6 4 3 14" xfId="35963" xr:uid="{00000000-0005-0000-0000-00003A290000}"/>
    <cellStyle name="20% - Accent6 4 3 15" xfId="37646" xr:uid="{00000000-0005-0000-0000-00003B290000}"/>
    <cellStyle name="20% - Accent6 4 3 16" xfId="39329" xr:uid="{00000000-0005-0000-0000-00003C290000}"/>
    <cellStyle name="20% - Accent6 4 3 17" xfId="41012" xr:uid="{00000000-0005-0000-0000-00003D290000}"/>
    <cellStyle name="20% - Accent6 4 3 18" xfId="42695" xr:uid="{00000000-0005-0000-0000-00003E290000}"/>
    <cellStyle name="20% - Accent6 4 3 19" xfId="44378" xr:uid="{00000000-0005-0000-0000-00003F290000}"/>
    <cellStyle name="20% - Accent6 4 3 2" xfId="2299" xr:uid="{00000000-0005-0000-0000-000040290000}"/>
    <cellStyle name="20% - Accent6 4 3 2 2" xfId="17448" xr:uid="{00000000-0005-0000-0000-000041290000}"/>
    <cellStyle name="20% - Accent6 4 3 20" xfId="46061" xr:uid="{00000000-0005-0000-0000-000042290000}"/>
    <cellStyle name="20% - Accent6 4 3 21" xfId="47744" xr:uid="{00000000-0005-0000-0000-000043290000}"/>
    <cellStyle name="20% - Accent6 4 3 22" xfId="49427" xr:uid="{00000000-0005-0000-0000-000044290000}"/>
    <cellStyle name="20% - Accent6 4 3 23" xfId="51110" xr:uid="{00000000-0005-0000-0000-000045290000}"/>
    <cellStyle name="20% - Accent6 4 3 24" xfId="52793" xr:uid="{00000000-0005-0000-0000-000046290000}"/>
    <cellStyle name="20% - Accent6 4 3 25" xfId="54476" xr:uid="{00000000-0005-0000-0000-000047290000}"/>
    <cellStyle name="20% - Accent6 4 3 26" xfId="56159" xr:uid="{00000000-0005-0000-0000-000048290000}"/>
    <cellStyle name="20% - Accent6 4 3 27" xfId="57842" xr:uid="{00000000-0005-0000-0000-000049290000}"/>
    <cellStyle name="20% - Accent6 4 3 28" xfId="59525" xr:uid="{00000000-0005-0000-0000-00004A290000}"/>
    <cellStyle name="20% - Accent6 4 3 29" xfId="61208" xr:uid="{00000000-0005-0000-0000-00004B290000}"/>
    <cellStyle name="20% - Accent6 4 3 3" xfId="3983" xr:uid="{00000000-0005-0000-0000-00004C290000}"/>
    <cellStyle name="20% - Accent6 4 3 3 2" xfId="19132" xr:uid="{00000000-0005-0000-0000-00004D290000}"/>
    <cellStyle name="20% - Accent6 4 3 30" xfId="62891" xr:uid="{00000000-0005-0000-0000-00004E290000}"/>
    <cellStyle name="20% - Accent6 4 3 4" xfId="5666" xr:uid="{00000000-0005-0000-0000-00004F290000}"/>
    <cellStyle name="20% - Accent6 4 3 4 2" xfId="20815" xr:uid="{00000000-0005-0000-0000-000050290000}"/>
    <cellStyle name="20% - Accent6 4 3 5" xfId="7349" xr:uid="{00000000-0005-0000-0000-000051290000}"/>
    <cellStyle name="20% - Accent6 4 3 5 2" xfId="22498" xr:uid="{00000000-0005-0000-0000-000052290000}"/>
    <cellStyle name="20% - Accent6 4 3 6" xfId="9032" xr:uid="{00000000-0005-0000-0000-000053290000}"/>
    <cellStyle name="20% - Accent6 4 3 6 2" xfId="24181" xr:uid="{00000000-0005-0000-0000-000054290000}"/>
    <cellStyle name="20% - Accent6 4 3 7" xfId="10715" xr:uid="{00000000-0005-0000-0000-000055290000}"/>
    <cellStyle name="20% - Accent6 4 3 7 2" xfId="25864" xr:uid="{00000000-0005-0000-0000-000056290000}"/>
    <cellStyle name="20% - Accent6 4 3 8" xfId="12399" xr:uid="{00000000-0005-0000-0000-000057290000}"/>
    <cellStyle name="20% - Accent6 4 3 8 2" xfId="27548" xr:uid="{00000000-0005-0000-0000-000058290000}"/>
    <cellStyle name="20% - Accent6 4 3 9" xfId="14082" xr:uid="{00000000-0005-0000-0000-000059290000}"/>
    <cellStyle name="20% - Accent6 4 3 9 2" xfId="29231" xr:uid="{00000000-0005-0000-0000-00005A290000}"/>
    <cellStyle name="20% - Accent6 4 30" xfId="55739" xr:uid="{00000000-0005-0000-0000-00005B290000}"/>
    <cellStyle name="20% - Accent6 4 31" xfId="57422" xr:uid="{00000000-0005-0000-0000-00005C290000}"/>
    <cellStyle name="20% - Accent6 4 32" xfId="59105" xr:uid="{00000000-0005-0000-0000-00005D290000}"/>
    <cellStyle name="20% - Accent6 4 33" xfId="60788" xr:uid="{00000000-0005-0000-0000-00005E290000}"/>
    <cellStyle name="20% - Accent6 4 34" xfId="62471" xr:uid="{00000000-0005-0000-0000-00005F290000}"/>
    <cellStyle name="20% - Accent6 4 4" xfId="1037" xr:uid="{00000000-0005-0000-0000-000060290000}"/>
    <cellStyle name="20% - Accent6 4 4 10" xfId="16186" xr:uid="{00000000-0005-0000-0000-000061290000}"/>
    <cellStyle name="20% - Accent6 4 4 11" xfId="31335" xr:uid="{00000000-0005-0000-0000-000062290000}"/>
    <cellStyle name="20% - Accent6 4 4 12" xfId="33018" xr:uid="{00000000-0005-0000-0000-000063290000}"/>
    <cellStyle name="20% - Accent6 4 4 13" xfId="34701" xr:uid="{00000000-0005-0000-0000-000064290000}"/>
    <cellStyle name="20% - Accent6 4 4 14" xfId="36384" xr:uid="{00000000-0005-0000-0000-000065290000}"/>
    <cellStyle name="20% - Accent6 4 4 15" xfId="38067" xr:uid="{00000000-0005-0000-0000-000066290000}"/>
    <cellStyle name="20% - Accent6 4 4 16" xfId="39750" xr:uid="{00000000-0005-0000-0000-000067290000}"/>
    <cellStyle name="20% - Accent6 4 4 17" xfId="41433" xr:uid="{00000000-0005-0000-0000-000068290000}"/>
    <cellStyle name="20% - Accent6 4 4 18" xfId="43116" xr:uid="{00000000-0005-0000-0000-000069290000}"/>
    <cellStyle name="20% - Accent6 4 4 19" xfId="44799" xr:uid="{00000000-0005-0000-0000-00006A290000}"/>
    <cellStyle name="20% - Accent6 4 4 2" xfId="2720" xr:uid="{00000000-0005-0000-0000-00006B290000}"/>
    <cellStyle name="20% - Accent6 4 4 2 2" xfId="17869" xr:uid="{00000000-0005-0000-0000-00006C290000}"/>
    <cellStyle name="20% - Accent6 4 4 20" xfId="46482" xr:uid="{00000000-0005-0000-0000-00006D290000}"/>
    <cellStyle name="20% - Accent6 4 4 21" xfId="48165" xr:uid="{00000000-0005-0000-0000-00006E290000}"/>
    <cellStyle name="20% - Accent6 4 4 22" xfId="49848" xr:uid="{00000000-0005-0000-0000-00006F290000}"/>
    <cellStyle name="20% - Accent6 4 4 23" xfId="51531" xr:uid="{00000000-0005-0000-0000-000070290000}"/>
    <cellStyle name="20% - Accent6 4 4 24" xfId="53214" xr:uid="{00000000-0005-0000-0000-000071290000}"/>
    <cellStyle name="20% - Accent6 4 4 25" xfId="54897" xr:uid="{00000000-0005-0000-0000-000072290000}"/>
    <cellStyle name="20% - Accent6 4 4 26" xfId="56580" xr:uid="{00000000-0005-0000-0000-000073290000}"/>
    <cellStyle name="20% - Accent6 4 4 27" xfId="58263" xr:uid="{00000000-0005-0000-0000-000074290000}"/>
    <cellStyle name="20% - Accent6 4 4 28" xfId="59946" xr:uid="{00000000-0005-0000-0000-000075290000}"/>
    <cellStyle name="20% - Accent6 4 4 29" xfId="61629" xr:uid="{00000000-0005-0000-0000-000076290000}"/>
    <cellStyle name="20% - Accent6 4 4 3" xfId="4404" xr:uid="{00000000-0005-0000-0000-000077290000}"/>
    <cellStyle name="20% - Accent6 4 4 3 2" xfId="19553" xr:uid="{00000000-0005-0000-0000-000078290000}"/>
    <cellStyle name="20% - Accent6 4 4 30" xfId="63312" xr:uid="{00000000-0005-0000-0000-000079290000}"/>
    <cellStyle name="20% - Accent6 4 4 4" xfId="6087" xr:uid="{00000000-0005-0000-0000-00007A290000}"/>
    <cellStyle name="20% - Accent6 4 4 4 2" xfId="21236" xr:uid="{00000000-0005-0000-0000-00007B290000}"/>
    <cellStyle name="20% - Accent6 4 4 5" xfId="7770" xr:uid="{00000000-0005-0000-0000-00007C290000}"/>
    <cellStyle name="20% - Accent6 4 4 5 2" xfId="22919" xr:uid="{00000000-0005-0000-0000-00007D290000}"/>
    <cellStyle name="20% - Accent6 4 4 6" xfId="9453" xr:uid="{00000000-0005-0000-0000-00007E290000}"/>
    <cellStyle name="20% - Accent6 4 4 6 2" xfId="24602" xr:uid="{00000000-0005-0000-0000-00007F290000}"/>
    <cellStyle name="20% - Accent6 4 4 7" xfId="11136" xr:uid="{00000000-0005-0000-0000-000080290000}"/>
    <cellStyle name="20% - Accent6 4 4 7 2" xfId="26285" xr:uid="{00000000-0005-0000-0000-000081290000}"/>
    <cellStyle name="20% - Accent6 4 4 8" xfId="12820" xr:uid="{00000000-0005-0000-0000-000082290000}"/>
    <cellStyle name="20% - Accent6 4 4 8 2" xfId="27969" xr:uid="{00000000-0005-0000-0000-000083290000}"/>
    <cellStyle name="20% - Accent6 4 4 9" xfId="14503" xr:uid="{00000000-0005-0000-0000-000084290000}"/>
    <cellStyle name="20% - Accent6 4 4 9 2" xfId="29652" xr:uid="{00000000-0005-0000-0000-000085290000}"/>
    <cellStyle name="20% - Accent6 4 5" xfId="1458" xr:uid="{00000000-0005-0000-0000-000086290000}"/>
    <cellStyle name="20% - Accent6 4 5 10" xfId="16607" xr:uid="{00000000-0005-0000-0000-000087290000}"/>
    <cellStyle name="20% - Accent6 4 5 11" xfId="31756" xr:uid="{00000000-0005-0000-0000-000088290000}"/>
    <cellStyle name="20% - Accent6 4 5 12" xfId="33439" xr:uid="{00000000-0005-0000-0000-000089290000}"/>
    <cellStyle name="20% - Accent6 4 5 13" xfId="35122" xr:uid="{00000000-0005-0000-0000-00008A290000}"/>
    <cellStyle name="20% - Accent6 4 5 14" xfId="36805" xr:uid="{00000000-0005-0000-0000-00008B290000}"/>
    <cellStyle name="20% - Accent6 4 5 15" xfId="38488" xr:uid="{00000000-0005-0000-0000-00008C290000}"/>
    <cellStyle name="20% - Accent6 4 5 16" xfId="40171" xr:uid="{00000000-0005-0000-0000-00008D290000}"/>
    <cellStyle name="20% - Accent6 4 5 17" xfId="41854" xr:uid="{00000000-0005-0000-0000-00008E290000}"/>
    <cellStyle name="20% - Accent6 4 5 18" xfId="43537" xr:uid="{00000000-0005-0000-0000-00008F290000}"/>
    <cellStyle name="20% - Accent6 4 5 19" xfId="45220" xr:uid="{00000000-0005-0000-0000-000090290000}"/>
    <cellStyle name="20% - Accent6 4 5 2" xfId="3141" xr:uid="{00000000-0005-0000-0000-000091290000}"/>
    <cellStyle name="20% - Accent6 4 5 2 2" xfId="18290" xr:uid="{00000000-0005-0000-0000-000092290000}"/>
    <cellStyle name="20% - Accent6 4 5 20" xfId="46903" xr:uid="{00000000-0005-0000-0000-000093290000}"/>
    <cellStyle name="20% - Accent6 4 5 21" xfId="48586" xr:uid="{00000000-0005-0000-0000-000094290000}"/>
    <cellStyle name="20% - Accent6 4 5 22" xfId="50269" xr:uid="{00000000-0005-0000-0000-000095290000}"/>
    <cellStyle name="20% - Accent6 4 5 23" xfId="51952" xr:uid="{00000000-0005-0000-0000-000096290000}"/>
    <cellStyle name="20% - Accent6 4 5 24" xfId="53635" xr:uid="{00000000-0005-0000-0000-000097290000}"/>
    <cellStyle name="20% - Accent6 4 5 25" xfId="55318" xr:uid="{00000000-0005-0000-0000-000098290000}"/>
    <cellStyle name="20% - Accent6 4 5 26" xfId="57001" xr:uid="{00000000-0005-0000-0000-000099290000}"/>
    <cellStyle name="20% - Accent6 4 5 27" xfId="58684" xr:uid="{00000000-0005-0000-0000-00009A290000}"/>
    <cellStyle name="20% - Accent6 4 5 28" xfId="60367" xr:uid="{00000000-0005-0000-0000-00009B290000}"/>
    <cellStyle name="20% - Accent6 4 5 29" xfId="62050" xr:uid="{00000000-0005-0000-0000-00009C290000}"/>
    <cellStyle name="20% - Accent6 4 5 3" xfId="4825" xr:uid="{00000000-0005-0000-0000-00009D290000}"/>
    <cellStyle name="20% - Accent6 4 5 3 2" xfId="19974" xr:uid="{00000000-0005-0000-0000-00009E290000}"/>
    <cellStyle name="20% - Accent6 4 5 30" xfId="63733" xr:uid="{00000000-0005-0000-0000-00009F290000}"/>
    <cellStyle name="20% - Accent6 4 5 4" xfId="6508" xr:uid="{00000000-0005-0000-0000-0000A0290000}"/>
    <cellStyle name="20% - Accent6 4 5 4 2" xfId="21657" xr:uid="{00000000-0005-0000-0000-0000A1290000}"/>
    <cellStyle name="20% - Accent6 4 5 5" xfId="8191" xr:uid="{00000000-0005-0000-0000-0000A2290000}"/>
    <cellStyle name="20% - Accent6 4 5 5 2" xfId="23340" xr:uid="{00000000-0005-0000-0000-0000A3290000}"/>
    <cellStyle name="20% - Accent6 4 5 6" xfId="9874" xr:uid="{00000000-0005-0000-0000-0000A4290000}"/>
    <cellStyle name="20% - Accent6 4 5 6 2" xfId="25023" xr:uid="{00000000-0005-0000-0000-0000A5290000}"/>
    <cellStyle name="20% - Accent6 4 5 7" xfId="11557" xr:uid="{00000000-0005-0000-0000-0000A6290000}"/>
    <cellStyle name="20% - Accent6 4 5 7 2" xfId="26706" xr:uid="{00000000-0005-0000-0000-0000A7290000}"/>
    <cellStyle name="20% - Accent6 4 5 8" xfId="13241" xr:uid="{00000000-0005-0000-0000-0000A8290000}"/>
    <cellStyle name="20% - Accent6 4 5 8 2" xfId="28390" xr:uid="{00000000-0005-0000-0000-0000A9290000}"/>
    <cellStyle name="20% - Accent6 4 5 9" xfId="14924" xr:uid="{00000000-0005-0000-0000-0000AA290000}"/>
    <cellStyle name="20% - Accent6 4 5 9 2" xfId="30073" xr:uid="{00000000-0005-0000-0000-0000AB290000}"/>
    <cellStyle name="20% - Accent6 4 6" xfId="1879" xr:uid="{00000000-0005-0000-0000-0000AC290000}"/>
    <cellStyle name="20% - Accent6 4 6 2" xfId="17028" xr:uid="{00000000-0005-0000-0000-0000AD290000}"/>
    <cellStyle name="20% - Accent6 4 7" xfId="3563" xr:uid="{00000000-0005-0000-0000-0000AE290000}"/>
    <cellStyle name="20% - Accent6 4 7 2" xfId="18712" xr:uid="{00000000-0005-0000-0000-0000AF290000}"/>
    <cellStyle name="20% - Accent6 4 8" xfId="5246" xr:uid="{00000000-0005-0000-0000-0000B0290000}"/>
    <cellStyle name="20% - Accent6 4 8 2" xfId="20395" xr:uid="{00000000-0005-0000-0000-0000B1290000}"/>
    <cellStyle name="20% - Accent6 4 9" xfId="6929" xr:uid="{00000000-0005-0000-0000-0000B2290000}"/>
    <cellStyle name="20% - Accent6 4 9 2" xfId="22078" xr:uid="{00000000-0005-0000-0000-0000B3290000}"/>
    <cellStyle name="20% - Accent6 5" xfId="301" xr:uid="{00000000-0005-0000-0000-0000B4290000}"/>
    <cellStyle name="20% - Accent6 5 10" xfId="10400" xr:uid="{00000000-0005-0000-0000-0000B5290000}"/>
    <cellStyle name="20% - Accent6 5 10 2" xfId="25549" xr:uid="{00000000-0005-0000-0000-0000B6290000}"/>
    <cellStyle name="20% - Accent6 5 11" xfId="12084" xr:uid="{00000000-0005-0000-0000-0000B7290000}"/>
    <cellStyle name="20% - Accent6 5 11 2" xfId="27233" xr:uid="{00000000-0005-0000-0000-0000B8290000}"/>
    <cellStyle name="20% - Accent6 5 12" xfId="13767" xr:uid="{00000000-0005-0000-0000-0000B9290000}"/>
    <cellStyle name="20% - Accent6 5 12 2" xfId="28916" xr:uid="{00000000-0005-0000-0000-0000BA290000}"/>
    <cellStyle name="20% - Accent6 5 13" xfId="15450" xr:uid="{00000000-0005-0000-0000-0000BB290000}"/>
    <cellStyle name="20% - Accent6 5 14" xfId="30599" xr:uid="{00000000-0005-0000-0000-0000BC290000}"/>
    <cellStyle name="20% - Accent6 5 15" xfId="32282" xr:uid="{00000000-0005-0000-0000-0000BD290000}"/>
    <cellStyle name="20% - Accent6 5 16" xfId="33965" xr:uid="{00000000-0005-0000-0000-0000BE290000}"/>
    <cellStyle name="20% - Accent6 5 17" xfId="35648" xr:uid="{00000000-0005-0000-0000-0000BF290000}"/>
    <cellStyle name="20% - Accent6 5 18" xfId="37331" xr:uid="{00000000-0005-0000-0000-0000C0290000}"/>
    <cellStyle name="20% - Accent6 5 19" xfId="39014" xr:uid="{00000000-0005-0000-0000-0000C1290000}"/>
    <cellStyle name="20% - Accent6 5 2" xfId="721" xr:uid="{00000000-0005-0000-0000-0000C2290000}"/>
    <cellStyle name="20% - Accent6 5 2 10" xfId="15870" xr:uid="{00000000-0005-0000-0000-0000C3290000}"/>
    <cellStyle name="20% - Accent6 5 2 11" xfId="31019" xr:uid="{00000000-0005-0000-0000-0000C4290000}"/>
    <cellStyle name="20% - Accent6 5 2 12" xfId="32702" xr:uid="{00000000-0005-0000-0000-0000C5290000}"/>
    <cellStyle name="20% - Accent6 5 2 13" xfId="34385" xr:uid="{00000000-0005-0000-0000-0000C6290000}"/>
    <cellStyle name="20% - Accent6 5 2 14" xfId="36068" xr:uid="{00000000-0005-0000-0000-0000C7290000}"/>
    <cellStyle name="20% - Accent6 5 2 15" xfId="37751" xr:uid="{00000000-0005-0000-0000-0000C8290000}"/>
    <cellStyle name="20% - Accent6 5 2 16" xfId="39434" xr:uid="{00000000-0005-0000-0000-0000C9290000}"/>
    <cellStyle name="20% - Accent6 5 2 17" xfId="41117" xr:uid="{00000000-0005-0000-0000-0000CA290000}"/>
    <cellStyle name="20% - Accent6 5 2 18" xfId="42800" xr:uid="{00000000-0005-0000-0000-0000CB290000}"/>
    <cellStyle name="20% - Accent6 5 2 19" xfId="44483" xr:uid="{00000000-0005-0000-0000-0000CC290000}"/>
    <cellStyle name="20% - Accent6 5 2 2" xfId="2404" xr:uid="{00000000-0005-0000-0000-0000CD290000}"/>
    <cellStyle name="20% - Accent6 5 2 2 2" xfId="17553" xr:uid="{00000000-0005-0000-0000-0000CE290000}"/>
    <cellStyle name="20% - Accent6 5 2 20" xfId="46166" xr:uid="{00000000-0005-0000-0000-0000CF290000}"/>
    <cellStyle name="20% - Accent6 5 2 21" xfId="47849" xr:uid="{00000000-0005-0000-0000-0000D0290000}"/>
    <cellStyle name="20% - Accent6 5 2 22" xfId="49532" xr:uid="{00000000-0005-0000-0000-0000D1290000}"/>
    <cellStyle name="20% - Accent6 5 2 23" xfId="51215" xr:uid="{00000000-0005-0000-0000-0000D2290000}"/>
    <cellStyle name="20% - Accent6 5 2 24" xfId="52898" xr:uid="{00000000-0005-0000-0000-0000D3290000}"/>
    <cellStyle name="20% - Accent6 5 2 25" xfId="54581" xr:uid="{00000000-0005-0000-0000-0000D4290000}"/>
    <cellStyle name="20% - Accent6 5 2 26" xfId="56264" xr:uid="{00000000-0005-0000-0000-0000D5290000}"/>
    <cellStyle name="20% - Accent6 5 2 27" xfId="57947" xr:uid="{00000000-0005-0000-0000-0000D6290000}"/>
    <cellStyle name="20% - Accent6 5 2 28" xfId="59630" xr:uid="{00000000-0005-0000-0000-0000D7290000}"/>
    <cellStyle name="20% - Accent6 5 2 29" xfId="61313" xr:uid="{00000000-0005-0000-0000-0000D8290000}"/>
    <cellStyle name="20% - Accent6 5 2 3" xfId="4088" xr:uid="{00000000-0005-0000-0000-0000D9290000}"/>
    <cellStyle name="20% - Accent6 5 2 3 2" xfId="19237" xr:uid="{00000000-0005-0000-0000-0000DA290000}"/>
    <cellStyle name="20% - Accent6 5 2 30" xfId="62996" xr:uid="{00000000-0005-0000-0000-0000DB290000}"/>
    <cellStyle name="20% - Accent6 5 2 4" xfId="5771" xr:uid="{00000000-0005-0000-0000-0000DC290000}"/>
    <cellStyle name="20% - Accent6 5 2 4 2" xfId="20920" xr:uid="{00000000-0005-0000-0000-0000DD290000}"/>
    <cellStyle name="20% - Accent6 5 2 5" xfId="7454" xr:uid="{00000000-0005-0000-0000-0000DE290000}"/>
    <cellStyle name="20% - Accent6 5 2 5 2" xfId="22603" xr:uid="{00000000-0005-0000-0000-0000DF290000}"/>
    <cellStyle name="20% - Accent6 5 2 6" xfId="9137" xr:uid="{00000000-0005-0000-0000-0000E0290000}"/>
    <cellStyle name="20% - Accent6 5 2 6 2" xfId="24286" xr:uid="{00000000-0005-0000-0000-0000E1290000}"/>
    <cellStyle name="20% - Accent6 5 2 7" xfId="10820" xr:uid="{00000000-0005-0000-0000-0000E2290000}"/>
    <cellStyle name="20% - Accent6 5 2 7 2" xfId="25969" xr:uid="{00000000-0005-0000-0000-0000E3290000}"/>
    <cellStyle name="20% - Accent6 5 2 8" xfId="12504" xr:uid="{00000000-0005-0000-0000-0000E4290000}"/>
    <cellStyle name="20% - Accent6 5 2 8 2" xfId="27653" xr:uid="{00000000-0005-0000-0000-0000E5290000}"/>
    <cellStyle name="20% - Accent6 5 2 9" xfId="14187" xr:uid="{00000000-0005-0000-0000-0000E6290000}"/>
    <cellStyle name="20% - Accent6 5 2 9 2" xfId="29336" xr:uid="{00000000-0005-0000-0000-0000E7290000}"/>
    <cellStyle name="20% - Accent6 5 20" xfId="40697" xr:uid="{00000000-0005-0000-0000-0000E8290000}"/>
    <cellStyle name="20% - Accent6 5 21" xfId="42380" xr:uid="{00000000-0005-0000-0000-0000E9290000}"/>
    <cellStyle name="20% - Accent6 5 22" xfId="44063" xr:uid="{00000000-0005-0000-0000-0000EA290000}"/>
    <cellStyle name="20% - Accent6 5 23" xfId="45746" xr:uid="{00000000-0005-0000-0000-0000EB290000}"/>
    <cellStyle name="20% - Accent6 5 24" xfId="47429" xr:uid="{00000000-0005-0000-0000-0000EC290000}"/>
    <cellStyle name="20% - Accent6 5 25" xfId="49112" xr:uid="{00000000-0005-0000-0000-0000ED290000}"/>
    <cellStyle name="20% - Accent6 5 26" xfId="50795" xr:uid="{00000000-0005-0000-0000-0000EE290000}"/>
    <cellStyle name="20% - Accent6 5 27" xfId="52478" xr:uid="{00000000-0005-0000-0000-0000EF290000}"/>
    <cellStyle name="20% - Accent6 5 28" xfId="54161" xr:uid="{00000000-0005-0000-0000-0000F0290000}"/>
    <cellStyle name="20% - Accent6 5 29" xfId="55844" xr:uid="{00000000-0005-0000-0000-0000F1290000}"/>
    <cellStyle name="20% - Accent6 5 3" xfId="1142" xr:uid="{00000000-0005-0000-0000-0000F2290000}"/>
    <cellStyle name="20% - Accent6 5 3 10" xfId="16291" xr:uid="{00000000-0005-0000-0000-0000F3290000}"/>
    <cellStyle name="20% - Accent6 5 3 11" xfId="31440" xr:uid="{00000000-0005-0000-0000-0000F4290000}"/>
    <cellStyle name="20% - Accent6 5 3 12" xfId="33123" xr:uid="{00000000-0005-0000-0000-0000F5290000}"/>
    <cellStyle name="20% - Accent6 5 3 13" xfId="34806" xr:uid="{00000000-0005-0000-0000-0000F6290000}"/>
    <cellStyle name="20% - Accent6 5 3 14" xfId="36489" xr:uid="{00000000-0005-0000-0000-0000F7290000}"/>
    <cellStyle name="20% - Accent6 5 3 15" xfId="38172" xr:uid="{00000000-0005-0000-0000-0000F8290000}"/>
    <cellStyle name="20% - Accent6 5 3 16" xfId="39855" xr:uid="{00000000-0005-0000-0000-0000F9290000}"/>
    <cellStyle name="20% - Accent6 5 3 17" xfId="41538" xr:uid="{00000000-0005-0000-0000-0000FA290000}"/>
    <cellStyle name="20% - Accent6 5 3 18" xfId="43221" xr:uid="{00000000-0005-0000-0000-0000FB290000}"/>
    <cellStyle name="20% - Accent6 5 3 19" xfId="44904" xr:uid="{00000000-0005-0000-0000-0000FC290000}"/>
    <cellStyle name="20% - Accent6 5 3 2" xfId="2825" xr:uid="{00000000-0005-0000-0000-0000FD290000}"/>
    <cellStyle name="20% - Accent6 5 3 2 2" xfId="17974" xr:uid="{00000000-0005-0000-0000-0000FE290000}"/>
    <cellStyle name="20% - Accent6 5 3 20" xfId="46587" xr:uid="{00000000-0005-0000-0000-0000FF290000}"/>
    <cellStyle name="20% - Accent6 5 3 21" xfId="48270" xr:uid="{00000000-0005-0000-0000-0000002A0000}"/>
    <cellStyle name="20% - Accent6 5 3 22" xfId="49953" xr:uid="{00000000-0005-0000-0000-0000012A0000}"/>
    <cellStyle name="20% - Accent6 5 3 23" xfId="51636" xr:uid="{00000000-0005-0000-0000-0000022A0000}"/>
    <cellStyle name="20% - Accent6 5 3 24" xfId="53319" xr:uid="{00000000-0005-0000-0000-0000032A0000}"/>
    <cellStyle name="20% - Accent6 5 3 25" xfId="55002" xr:uid="{00000000-0005-0000-0000-0000042A0000}"/>
    <cellStyle name="20% - Accent6 5 3 26" xfId="56685" xr:uid="{00000000-0005-0000-0000-0000052A0000}"/>
    <cellStyle name="20% - Accent6 5 3 27" xfId="58368" xr:uid="{00000000-0005-0000-0000-0000062A0000}"/>
    <cellStyle name="20% - Accent6 5 3 28" xfId="60051" xr:uid="{00000000-0005-0000-0000-0000072A0000}"/>
    <cellStyle name="20% - Accent6 5 3 29" xfId="61734" xr:uid="{00000000-0005-0000-0000-0000082A0000}"/>
    <cellStyle name="20% - Accent6 5 3 3" xfId="4509" xr:uid="{00000000-0005-0000-0000-0000092A0000}"/>
    <cellStyle name="20% - Accent6 5 3 3 2" xfId="19658" xr:uid="{00000000-0005-0000-0000-00000A2A0000}"/>
    <cellStyle name="20% - Accent6 5 3 30" xfId="63417" xr:uid="{00000000-0005-0000-0000-00000B2A0000}"/>
    <cellStyle name="20% - Accent6 5 3 4" xfId="6192" xr:uid="{00000000-0005-0000-0000-00000C2A0000}"/>
    <cellStyle name="20% - Accent6 5 3 4 2" xfId="21341" xr:uid="{00000000-0005-0000-0000-00000D2A0000}"/>
    <cellStyle name="20% - Accent6 5 3 5" xfId="7875" xr:uid="{00000000-0005-0000-0000-00000E2A0000}"/>
    <cellStyle name="20% - Accent6 5 3 5 2" xfId="23024" xr:uid="{00000000-0005-0000-0000-00000F2A0000}"/>
    <cellStyle name="20% - Accent6 5 3 6" xfId="9558" xr:uid="{00000000-0005-0000-0000-0000102A0000}"/>
    <cellStyle name="20% - Accent6 5 3 6 2" xfId="24707" xr:uid="{00000000-0005-0000-0000-0000112A0000}"/>
    <cellStyle name="20% - Accent6 5 3 7" xfId="11241" xr:uid="{00000000-0005-0000-0000-0000122A0000}"/>
    <cellStyle name="20% - Accent6 5 3 7 2" xfId="26390" xr:uid="{00000000-0005-0000-0000-0000132A0000}"/>
    <cellStyle name="20% - Accent6 5 3 8" xfId="12925" xr:uid="{00000000-0005-0000-0000-0000142A0000}"/>
    <cellStyle name="20% - Accent6 5 3 8 2" xfId="28074" xr:uid="{00000000-0005-0000-0000-0000152A0000}"/>
    <cellStyle name="20% - Accent6 5 3 9" xfId="14608" xr:uid="{00000000-0005-0000-0000-0000162A0000}"/>
    <cellStyle name="20% - Accent6 5 3 9 2" xfId="29757" xr:uid="{00000000-0005-0000-0000-0000172A0000}"/>
    <cellStyle name="20% - Accent6 5 30" xfId="57527" xr:uid="{00000000-0005-0000-0000-0000182A0000}"/>
    <cellStyle name="20% - Accent6 5 31" xfId="59210" xr:uid="{00000000-0005-0000-0000-0000192A0000}"/>
    <cellStyle name="20% - Accent6 5 32" xfId="60893" xr:uid="{00000000-0005-0000-0000-00001A2A0000}"/>
    <cellStyle name="20% - Accent6 5 33" xfId="62576" xr:uid="{00000000-0005-0000-0000-00001B2A0000}"/>
    <cellStyle name="20% - Accent6 5 4" xfId="1563" xr:uid="{00000000-0005-0000-0000-00001C2A0000}"/>
    <cellStyle name="20% - Accent6 5 4 10" xfId="16712" xr:uid="{00000000-0005-0000-0000-00001D2A0000}"/>
    <cellStyle name="20% - Accent6 5 4 11" xfId="31861" xr:uid="{00000000-0005-0000-0000-00001E2A0000}"/>
    <cellStyle name="20% - Accent6 5 4 12" xfId="33544" xr:uid="{00000000-0005-0000-0000-00001F2A0000}"/>
    <cellStyle name="20% - Accent6 5 4 13" xfId="35227" xr:uid="{00000000-0005-0000-0000-0000202A0000}"/>
    <cellStyle name="20% - Accent6 5 4 14" xfId="36910" xr:uid="{00000000-0005-0000-0000-0000212A0000}"/>
    <cellStyle name="20% - Accent6 5 4 15" xfId="38593" xr:uid="{00000000-0005-0000-0000-0000222A0000}"/>
    <cellStyle name="20% - Accent6 5 4 16" xfId="40276" xr:uid="{00000000-0005-0000-0000-0000232A0000}"/>
    <cellStyle name="20% - Accent6 5 4 17" xfId="41959" xr:uid="{00000000-0005-0000-0000-0000242A0000}"/>
    <cellStyle name="20% - Accent6 5 4 18" xfId="43642" xr:uid="{00000000-0005-0000-0000-0000252A0000}"/>
    <cellStyle name="20% - Accent6 5 4 19" xfId="45325" xr:uid="{00000000-0005-0000-0000-0000262A0000}"/>
    <cellStyle name="20% - Accent6 5 4 2" xfId="3246" xr:uid="{00000000-0005-0000-0000-0000272A0000}"/>
    <cellStyle name="20% - Accent6 5 4 2 2" xfId="18395" xr:uid="{00000000-0005-0000-0000-0000282A0000}"/>
    <cellStyle name="20% - Accent6 5 4 20" xfId="47008" xr:uid="{00000000-0005-0000-0000-0000292A0000}"/>
    <cellStyle name="20% - Accent6 5 4 21" xfId="48691" xr:uid="{00000000-0005-0000-0000-00002A2A0000}"/>
    <cellStyle name="20% - Accent6 5 4 22" xfId="50374" xr:uid="{00000000-0005-0000-0000-00002B2A0000}"/>
    <cellStyle name="20% - Accent6 5 4 23" xfId="52057" xr:uid="{00000000-0005-0000-0000-00002C2A0000}"/>
    <cellStyle name="20% - Accent6 5 4 24" xfId="53740" xr:uid="{00000000-0005-0000-0000-00002D2A0000}"/>
    <cellStyle name="20% - Accent6 5 4 25" xfId="55423" xr:uid="{00000000-0005-0000-0000-00002E2A0000}"/>
    <cellStyle name="20% - Accent6 5 4 26" xfId="57106" xr:uid="{00000000-0005-0000-0000-00002F2A0000}"/>
    <cellStyle name="20% - Accent6 5 4 27" xfId="58789" xr:uid="{00000000-0005-0000-0000-0000302A0000}"/>
    <cellStyle name="20% - Accent6 5 4 28" xfId="60472" xr:uid="{00000000-0005-0000-0000-0000312A0000}"/>
    <cellStyle name="20% - Accent6 5 4 29" xfId="62155" xr:uid="{00000000-0005-0000-0000-0000322A0000}"/>
    <cellStyle name="20% - Accent6 5 4 3" xfId="4930" xr:uid="{00000000-0005-0000-0000-0000332A0000}"/>
    <cellStyle name="20% - Accent6 5 4 3 2" xfId="20079" xr:uid="{00000000-0005-0000-0000-0000342A0000}"/>
    <cellStyle name="20% - Accent6 5 4 30" xfId="63838" xr:uid="{00000000-0005-0000-0000-0000352A0000}"/>
    <cellStyle name="20% - Accent6 5 4 4" xfId="6613" xr:uid="{00000000-0005-0000-0000-0000362A0000}"/>
    <cellStyle name="20% - Accent6 5 4 4 2" xfId="21762" xr:uid="{00000000-0005-0000-0000-0000372A0000}"/>
    <cellStyle name="20% - Accent6 5 4 5" xfId="8296" xr:uid="{00000000-0005-0000-0000-0000382A0000}"/>
    <cellStyle name="20% - Accent6 5 4 5 2" xfId="23445" xr:uid="{00000000-0005-0000-0000-0000392A0000}"/>
    <cellStyle name="20% - Accent6 5 4 6" xfId="9979" xr:uid="{00000000-0005-0000-0000-00003A2A0000}"/>
    <cellStyle name="20% - Accent6 5 4 6 2" xfId="25128" xr:uid="{00000000-0005-0000-0000-00003B2A0000}"/>
    <cellStyle name="20% - Accent6 5 4 7" xfId="11662" xr:uid="{00000000-0005-0000-0000-00003C2A0000}"/>
    <cellStyle name="20% - Accent6 5 4 7 2" xfId="26811" xr:uid="{00000000-0005-0000-0000-00003D2A0000}"/>
    <cellStyle name="20% - Accent6 5 4 8" xfId="13346" xr:uid="{00000000-0005-0000-0000-00003E2A0000}"/>
    <cellStyle name="20% - Accent6 5 4 8 2" xfId="28495" xr:uid="{00000000-0005-0000-0000-00003F2A0000}"/>
    <cellStyle name="20% - Accent6 5 4 9" xfId="15029" xr:uid="{00000000-0005-0000-0000-0000402A0000}"/>
    <cellStyle name="20% - Accent6 5 4 9 2" xfId="30178" xr:uid="{00000000-0005-0000-0000-0000412A0000}"/>
    <cellStyle name="20% - Accent6 5 5" xfId="1984" xr:uid="{00000000-0005-0000-0000-0000422A0000}"/>
    <cellStyle name="20% - Accent6 5 5 2" xfId="17133" xr:uid="{00000000-0005-0000-0000-0000432A0000}"/>
    <cellStyle name="20% - Accent6 5 6" xfId="3668" xr:uid="{00000000-0005-0000-0000-0000442A0000}"/>
    <cellStyle name="20% - Accent6 5 6 2" xfId="18817" xr:uid="{00000000-0005-0000-0000-0000452A0000}"/>
    <cellStyle name="20% - Accent6 5 7" xfId="5351" xr:uid="{00000000-0005-0000-0000-0000462A0000}"/>
    <cellStyle name="20% - Accent6 5 7 2" xfId="20500" xr:uid="{00000000-0005-0000-0000-0000472A0000}"/>
    <cellStyle name="20% - Accent6 5 8" xfId="7034" xr:uid="{00000000-0005-0000-0000-0000482A0000}"/>
    <cellStyle name="20% - Accent6 5 8 2" xfId="22183" xr:uid="{00000000-0005-0000-0000-0000492A0000}"/>
    <cellStyle name="20% - Accent6 5 9" xfId="8717" xr:uid="{00000000-0005-0000-0000-00004A2A0000}"/>
    <cellStyle name="20% - Accent6 5 9 2" xfId="23866" xr:uid="{00000000-0005-0000-0000-00004B2A0000}"/>
    <cellStyle name="20% - Accent6 6" xfId="511" xr:uid="{00000000-0005-0000-0000-00004C2A0000}"/>
    <cellStyle name="20% - Accent6 6 10" xfId="15660" xr:uid="{00000000-0005-0000-0000-00004D2A0000}"/>
    <cellStyle name="20% - Accent6 6 11" xfId="30809" xr:uid="{00000000-0005-0000-0000-00004E2A0000}"/>
    <cellStyle name="20% - Accent6 6 12" xfId="32492" xr:uid="{00000000-0005-0000-0000-00004F2A0000}"/>
    <cellStyle name="20% - Accent6 6 13" xfId="34175" xr:uid="{00000000-0005-0000-0000-0000502A0000}"/>
    <cellStyle name="20% - Accent6 6 14" xfId="35858" xr:uid="{00000000-0005-0000-0000-0000512A0000}"/>
    <cellStyle name="20% - Accent6 6 15" xfId="37541" xr:uid="{00000000-0005-0000-0000-0000522A0000}"/>
    <cellStyle name="20% - Accent6 6 16" xfId="39224" xr:uid="{00000000-0005-0000-0000-0000532A0000}"/>
    <cellStyle name="20% - Accent6 6 17" xfId="40907" xr:uid="{00000000-0005-0000-0000-0000542A0000}"/>
    <cellStyle name="20% - Accent6 6 18" xfId="42590" xr:uid="{00000000-0005-0000-0000-0000552A0000}"/>
    <cellStyle name="20% - Accent6 6 19" xfId="44273" xr:uid="{00000000-0005-0000-0000-0000562A0000}"/>
    <cellStyle name="20% - Accent6 6 2" xfId="2194" xr:uid="{00000000-0005-0000-0000-0000572A0000}"/>
    <cellStyle name="20% - Accent6 6 2 2" xfId="17343" xr:uid="{00000000-0005-0000-0000-0000582A0000}"/>
    <cellStyle name="20% - Accent6 6 20" xfId="45956" xr:uid="{00000000-0005-0000-0000-0000592A0000}"/>
    <cellStyle name="20% - Accent6 6 21" xfId="47639" xr:uid="{00000000-0005-0000-0000-00005A2A0000}"/>
    <cellStyle name="20% - Accent6 6 22" xfId="49322" xr:uid="{00000000-0005-0000-0000-00005B2A0000}"/>
    <cellStyle name="20% - Accent6 6 23" xfId="51005" xr:uid="{00000000-0005-0000-0000-00005C2A0000}"/>
    <cellStyle name="20% - Accent6 6 24" xfId="52688" xr:uid="{00000000-0005-0000-0000-00005D2A0000}"/>
    <cellStyle name="20% - Accent6 6 25" xfId="54371" xr:uid="{00000000-0005-0000-0000-00005E2A0000}"/>
    <cellStyle name="20% - Accent6 6 26" xfId="56054" xr:uid="{00000000-0005-0000-0000-00005F2A0000}"/>
    <cellStyle name="20% - Accent6 6 27" xfId="57737" xr:uid="{00000000-0005-0000-0000-0000602A0000}"/>
    <cellStyle name="20% - Accent6 6 28" xfId="59420" xr:uid="{00000000-0005-0000-0000-0000612A0000}"/>
    <cellStyle name="20% - Accent6 6 29" xfId="61103" xr:uid="{00000000-0005-0000-0000-0000622A0000}"/>
    <cellStyle name="20% - Accent6 6 3" xfId="3878" xr:uid="{00000000-0005-0000-0000-0000632A0000}"/>
    <cellStyle name="20% - Accent6 6 3 2" xfId="19027" xr:uid="{00000000-0005-0000-0000-0000642A0000}"/>
    <cellStyle name="20% - Accent6 6 30" xfId="62786" xr:uid="{00000000-0005-0000-0000-0000652A0000}"/>
    <cellStyle name="20% - Accent6 6 4" xfId="5561" xr:uid="{00000000-0005-0000-0000-0000662A0000}"/>
    <cellStyle name="20% - Accent6 6 4 2" xfId="20710" xr:uid="{00000000-0005-0000-0000-0000672A0000}"/>
    <cellStyle name="20% - Accent6 6 5" xfId="7244" xr:uid="{00000000-0005-0000-0000-0000682A0000}"/>
    <cellStyle name="20% - Accent6 6 5 2" xfId="22393" xr:uid="{00000000-0005-0000-0000-0000692A0000}"/>
    <cellStyle name="20% - Accent6 6 6" xfId="8927" xr:uid="{00000000-0005-0000-0000-00006A2A0000}"/>
    <cellStyle name="20% - Accent6 6 6 2" xfId="24076" xr:uid="{00000000-0005-0000-0000-00006B2A0000}"/>
    <cellStyle name="20% - Accent6 6 7" xfId="10610" xr:uid="{00000000-0005-0000-0000-00006C2A0000}"/>
    <cellStyle name="20% - Accent6 6 7 2" xfId="25759" xr:uid="{00000000-0005-0000-0000-00006D2A0000}"/>
    <cellStyle name="20% - Accent6 6 8" xfId="12294" xr:uid="{00000000-0005-0000-0000-00006E2A0000}"/>
    <cellStyle name="20% - Accent6 6 8 2" xfId="27443" xr:uid="{00000000-0005-0000-0000-00006F2A0000}"/>
    <cellStyle name="20% - Accent6 6 9" xfId="13977" xr:uid="{00000000-0005-0000-0000-0000702A0000}"/>
    <cellStyle name="20% - Accent6 6 9 2" xfId="29126" xr:uid="{00000000-0005-0000-0000-0000712A0000}"/>
    <cellStyle name="20% - Accent6 7" xfId="932" xr:uid="{00000000-0005-0000-0000-0000722A0000}"/>
    <cellStyle name="20% - Accent6 7 10" xfId="16081" xr:uid="{00000000-0005-0000-0000-0000732A0000}"/>
    <cellStyle name="20% - Accent6 7 11" xfId="31230" xr:uid="{00000000-0005-0000-0000-0000742A0000}"/>
    <cellStyle name="20% - Accent6 7 12" xfId="32913" xr:uid="{00000000-0005-0000-0000-0000752A0000}"/>
    <cellStyle name="20% - Accent6 7 13" xfId="34596" xr:uid="{00000000-0005-0000-0000-0000762A0000}"/>
    <cellStyle name="20% - Accent6 7 14" xfId="36279" xr:uid="{00000000-0005-0000-0000-0000772A0000}"/>
    <cellStyle name="20% - Accent6 7 15" xfId="37962" xr:uid="{00000000-0005-0000-0000-0000782A0000}"/>
    <cellStyle name="20% - Accent6 7 16" xfId="39645" xr:uid="{00000000-0005-0000-0000-0000792A0000}"/>
    <cellStyle name="20% - Accent6 7 17" xfId="41328" xr:uid="{00000000-0005-0000-0000-00007A2A0000}"/>
    <cellStyle name="20% - Accent6 7 18" xfId="43011" xr:uid="{00000000-0005-0000-0000-00007B2A0000}"/>
    <cellStyle name="20% - Accent6 7 19" xfId="44694" xr:uid="{00000000-0005-0000-0000-00007C2A0000}"/>
    <cellStyle name="20% - Accent6 7 2" xfId="2615" xr:uid="{00000000-0005-0000-0000-00007D2A0000}"/>
    <cellStyle name="20% - Accent6 7 2 2" xfId="17764" xr:uid="{00000000-0005-0000-0000-00007E2A0000}"/>
    <cellStyle name="20% - Accent6 7 20" xfId="46377" xr:uid="{00000000-0005-0000-0000-00007F2A0000}"/>
    <cellStyle name="20% - Accent6 7 21" xfId="48060" xr:uid="{00000000-0005-0000-0000-0000802A0000}"/>
    <cellStyle name="20% - Accent6 7 22" xfId="49743" xr:uid="{00000000-0005-0000-0000-0000812A0000}"/>
    <cellStyle name="20% - Accent6 7 23" xfId="51426" xr:uid="{00000000-0005-0000-0000-0000822A0000}"/>
    <cellStyle name="20% - Accent6 7 24" xfId="53109" xr:uid="{00000000-0005-0000-0000-0000832A0000}"/>
    <cellStyle name="20% - Accent6 7 25" xfId="54792" xr:uid="{00000000-0005-0000-0000-0000842A0000}"/>
    <cellStyle name="20% - Accent6 7 26" xfId="56475" xr:uid="{00000000-0005-0000-0000-0000852A0000}"/>
    <cellStyle name="20% - Accent6 7 27" xfId="58158" xr:uid="{00000000-0005-0000-0000-0000862A0000}"/>
    <cellStyle name="20% - Accent6 7 28" xfId="59841" xr:uid="{00000000-0005-0000-0000-0000872A0000}"/>
    <cellStyle name="20% - Accent6 7 29" xfId="61524" xr:uid="{00000000-0005-0000-0000-0000882A0000}"/>
    <cellStyle name="20% - Accent6 7 3" xfId="4299" xr:uid="{00000000-0005-0000-0000-0000892A0000}"/>
    <cellStyle name="20% - Accent6 7 3 2" xfId="19448" xr:uid="{00000000-0005-0000-0000-00008A2A0000}"/>
    <cellStyle name="20% - Accent6 7 30" xfId="63207" xr:uid="{00000000-0005-0000-0000-00008B2A0000}"/>
    <cellStyle name="20% - Accent6 7 4" xfId="5982" xr:uid="{00000000-0005-0000-0000-00008C2A0000}"/>
    <cellStyle name="20% - Accent6 7 4 2" xfId="21131" xr:uid="{00000000-0005-0000-0000-00008D2A0000}"/>
    <cellStyle name="20% - Accent6 7 5" xfId="7665" xr:uid="{00000000-0005-0000-0000-00008E2A0000}"/>
    <cellStyle name="20% - Accent6 7 5 2" xfId="22814" xr:uid="{00000000-0005-0000-0000-00008F2A0000}"/>
    <cellStyle name="20% - Accent6 7 6" xfId="9348" xr:uid="{00000000-0005-0000-0000-0000902A0000}"/>
    <cellStyle name="20% - Accent6 7 6 2" xfId="24497" xr:uid="{00000000-0005-0000-0000-0000912A0000}"/>
    <cellStyle name="20% - Accent6 7 7" xfId="11031" xr:uid="{00000000-0005-0000-0000-0000922A0000}"/>
    <cellStyle name="20% - Accent6 7 7 2" xfId="26180" xr:uid="{00000000-0005-0000-0000-0000932A0000}"/>
    <cellStyle name="20% - Accent6 7 8" xfId="12715" xr:uid="{00000000-0005-0000-0000-0000942A0000}"/>
    <cellStyle name="20% - Accent6 7 8 2" xfId="27864" xr:uid="{00000000-0005-0000-0000-0000952A0000}"/>
    <cellStyle name="20% - Accent6 7 9" xfId="14398" xr:uid="{00000000-0005-0000-0000-0000962A0000}"/>
    <cellStyle name="20% - Accent6 7 9 2" xfId="29547" xr:uid="{00000000-0005-0000-0000-0000972A0000}"/>
    <cellStyle name="20% - Accent6 8" xfId="1353" xr:uid="{00000000-0005-0000-0000-0000982A0000}"/>
    <cellStyle name="20% - Accent6 8 10" xfId="16502" xr:uid="{00000000-0005-0000-0000-0000992A0000}"/>
    <cellStyle name="20% - Accent6 8 11" xfId="31651" xr:uid="{00000000-0005-0000-0000-00009A2A0000}"/>
    <cellStyle name="20% - Accent6 8 12" xfId="33334" xr:uid="{00000000-0005-0000-0000-00009B2A0000}"/>
    <cellStyle name="20% - Accent6 8 13" xfId="35017" xr:uid="{00000000-0005-0000-0000-00009C2A0000}"/>
    <cellStyle name="20% - Accent6 8 14" xfId="36700" xr:uid="{00000000-0005-0000-0000-00009D2A0000}"/>
    <cellStyle name="20% - Accent6 8 15" xfId="38383" xr:uid="{00000000-0005-0000-0000-00009E2A0000}"/>
    <cellStyle name="20% - Accent6 8 16" xfId="40066" xr:uid="{00000000-0005-0000-0000-00009F2A0000}"/>
    <cellStyle name="20% - Accent6 8 17" xfId="41749" xr:uid="{00000000-0005-0000-0000-0000A02A0000}"/>
    <cellStyle name="20% - Accent6 8 18" xfId="43432" xr:uid="{00000000-0005-0000-0000-0000A12A0000}"/>
    <cellStyle name="20% - Accent6 8 19" xfId="45115" xr:uid="{00000000-0005-0000-0000-0000A22A0000}"/>
    <cellStyle name="20% - Accent6 8 2" xfId="3036" xr:uid="{00000000-0005-0000-0000-0000A32A0000}"/>
    <cellStyle name="20% - Accent6 8 2 2" xfId="18185" xr:uid="{00000000-0005-0000-0000-0000A42A0000}"/>
    <cellStyle name="20% - Accent6 8 20" xfId="46798" xr:uid="{00000000-0005-0000-0000-0000A52A0000}"/>
    <cellStyle name="20% - Accent6 8 21" xfId="48481" xr:uid="{00000000-0005-0000-0000-0000A62A0000}"/>
    <cellStyle name="20% - Accent6 8 22" xfId="50164" xr:uid="{00000000-0005-0000-0000-0000A72A0000}"/>
    <cellStyle name="20% - Accent6 8 23" xfId="51847" xr:uid="{00000000-0005-0000-0000-0000A82A0000}"/>
    <cellStyle name="20% - Accent6 8 24" xfId="53530" xr:uid="{00000000-0005-0000-0000-0000A92A0000}"/>
    <cellStyle name="20% - Accent6 8 25" xfId="55213" xr:uid="{00000000-0005-0000-0000-0000AA2A0000}"/>
    <cellStyle name="20% - Accent6 8 26" xfId="56896" xr:uid="{00000000-0005-0000-0000-0000AB2A0000}"/>
    <cellStyle name="20% - Accent6 8 27" xfId="58579" xr:uid="{00000000-0005-0000-0000-0000AC2A0000}"/>
    <cellStyle name="20% - Accent6 8 28" xfId="60262" xr:uid="{00000000-0005-0000-0000-0000AD2A0000}"/>
    <cellStyle name="20% - Accent6 8 29" xfId="61945" xr:uid="{00000000-0005-0000-0000-0000AE2A0000}"/>
    <cellStyle name="20% - Accent6 8 3" xfId="4720" xr:uid="{00000000-0005-0000-0000-0000AF2A0000}"/>
    <cellStyle name="20% - Accent6 8 3 2" xfId="19869" xr:uid="{00000000-0005-0000-0000-0000B02A0000}"/>
    <cellStyle name="20% - Accent6 8 30" xfId="63628" xr:uid="{00000000-0005-0000-0000-0000B12A0000}"/>
    <cellStyle name="20% - Accent6 8 4" xfId="6403" xr:uid="{00000000-0005-0000-0000-0000B22A0000}"/>
    <cellStyle name="20% - Accent6 8 4 2" xfId="21552" xr:uid="{00000000-0005-0000-0000-0000B32A0000}"/>
    <cellStyle name="20% - Accent6 8 5" xfId="8086" xr:uid="{00000000-0005-0000-0000-0000B42A0000}"/>
    <cellStyle name="20% - Accent6 8 5 2" xfId="23235" xr:uid="{00000000-0005-0000-0000-0000B52A0000}"/>
    <cellStyle name="20% - Accent6 8 6" xfId="9769" xr:uid="{00000000-0005-0000-0000-0000B62A0000}"/>
    <cellStyle name="20% - Accent6 8 6 2" xfId="24918" xr:uid="{00000000-0005-0000-0000-0000B72A0000}"/>
    <cellStyle name="20% - Accent6 8 7" xfId="11452" xr:uid="{00000000-0005-0000-0000-0000B82A0000}"/>
    <cellStyle name="20% - Accent6 8 7 2" xfId="26601" xr:uid="{00000000-0005-0000-0000-0000B92A0000}"/>
    <cellStyle name="20% - Accent6 8 8" xfId="13136" xr:uid="{00000000-0005-0000-0000-0000BA2A0000}"/>
    <cellStyle name="20% - Accent6 8 8 2" xfId="28285" xr:uid="{00000000-0005-0000-0000-0000BB2A0000}"/>
    <cellStyle name="20% - Accent6 8 9" xfId="14819" xr:uid="{00000000-0005-0000-0000-0000BC2A0000}"/>
    <cellStyle name="20% - Accent6 8 9 2" xfId="29968" xr:uid="{00000000-0005-0000-0000-0000BD2A0000}"/>
    <cellStyle name="20% - Accent6 9" xfId="1774" xr:uid="{00000000-0005-0000-0000-0000BE2A0000}"/>
    <cellStyle name="20% - Accent6 9 2" xfId="16923" xr:uid="{00000000-0005-0000-0000-0000BF2A0000}"/>
    <cellStyle name="40% - Accent1" xfId="72" builtinId="31" customBuiltin="1"/>
    <cellStyle name="40% - Accent1 10" xfId="3444" xr:uid="{00000000-0005-0000-0000-0000C12A0000}"/>
    <cellStyle name="40% - Accent1 10 2" xfId="18593" xr:uid="{00000000-0005-0000-0000-0000C22A0000}"/>
    <cellStyle name="40% - Accent1 11" xfId="5127" xr:uid="{00000000-0005-0000-0000-0000C32A0000}"/>
    <cellStyle name="40% - Accent1 11 2" xfId="20276" xr:uid="{00000000-0005-0000-0000-0000C42A0000}"/>
    <cellStyle name="40% - Accent1 12" xfId="6810" xr:uid="{00000000-0005-0000-0000-0000C52A0000}"/>
    <cellStyle name="40% - Accent1 12 2" xfId="21959" xr:uid="{00000000-0005-0000-0000-0000C62A0000}"/>
    <cellStyle name="40% - Accent1 13" xfId="8493" xr:uid="{00000000-0005-0000-0000-0000C72A0000}"/>
    <cellStyle name="40% - Accent1 13 2" xfId="23642" xr:uid="{00000000-0005-0000-0000-0000C82A0000}"/>
    <cellStyle name="40% - Accent1 14" xfId="10176" xr:uid="{00000000-0005-0000-0000-0000C92A0000}"/>
    <cellStyle name="40% - Accent1 14 2" xfId="25325" xr:uid="{00000000-0005-0000-0000-0000CA2A0000}"/>
    <cellStyle name="40% - Accent1 15" xfId="11860" xr:uid="{00000000-0005-0000-0000-0000CB2A0000}"/>
    <cellStyle name="40% - Accent1 15 2" xfId="27009" xr:uid="{00000000-0005-0000-0000-0000CC2A0000}"/>
    <cellStyle name="40% - Accent1 16" xfId="13543" xr:uid="{00000000-0005-0000-0000-0000CD2A0000}"/>
    <cellStyle name="40% - Accent1 16 2" xfId="28692" xr:uid="{00000000-0005-0000-0000-0000CE2A0000}"/>
    <cellStyle name="40% - Accent1 17" xfId="15226" xr:uid="{00000000-0005-0000-0000-0000CF2A0000}"/>
    <cellStyle name="40% - Accent1 18" xfId="30375" xr:uid="{00000000-0005-0000-0000-0000D02A0000}"/>
    <cellStyle name="40% - Accent1 19" xfId="32058" xr:uid="{00000000-0005-0000-0000-0000D12A0000}"/>
    <cellStyle name="40% - Accent1 2" xfId="99" xr:uid="{00000000-0005-0000-0000-0000D22A0000}"/>
    <cellStyle name="40% - Accent1 2 10" xfId="6832" xr:uid="{00000000-0005-0000-0000-0000D32A0000}"/>
    <cellStyle name="40% - Accent1 2 10 2" xfId="21981" xr:uid="{00000000-0005-0000-0000-0000D42A0000}"/>
    <cellStyle name="40% - Accent1 2 11" xfId="8515" xr:uid="{00000000-0005-0000-0000-0000D52A0000}"/>
    <cellStyle name="40% - Accent1 2 11 2" xfId="23664" xr:uid="{00000000-0005-0000-0000-0000D62A0000}"/>
    <cellStyle name="40% - Accent1 2 12" xfId="10198" xr:uid="{00000000-0005-0000-0000-0000D72A0000}"/>
    <cellStyle name="40% - Accent1 2 12 2" xfId="25347" xr:uid="{00000000-0005-0000-0000-0000D82A0000}"/>
    <cellStyle name="40% - Accent1 2 13" xfId="11882" xr:uid="{00000000-0005-0000-0000-0000D92A0000}"/>
    <cellStyle name="40% - Accent1 2 13 2" xfId="27031" xr:uid="{00000000-0005-0000-0000-0000DA2A0000}"/>
    <cellStyle name="40% - Accent1 2 14" xfId="13565" xr:uid="{00000000-0005-0000-0000-0000DB2A0000}"/>
    <cellStyle name="40% - Accent1 2 14 2" xfId="28714" xr:uid="{00000000-0005-0000-0000-0000DC2A0000}"/>
    <cellStyle name="40% - Accent1 2 15" xfId="15248" xr:uid="{00000000-0005-0000-0000-0000DD2A0000}"/>
    <cellStyle name="40% - Accent1 2 16" xfId="30397" xr:uid="{00000000-0005-0000-0000-0000DE2A0000}"/>
    <cellStyle name="40% - Accent1 2 17" xfId="32080" xr:uid="{00000000-0005-0000-0000-0000DF2A0000}"/>
    <cellStyle name="40% - Accent1 2 18" xfId="33763" xr:uid="{00000000-0005-0000-0000-0000E02A0000}"/>
    <cellStyle name="40% - Accent1 2 19" xfId="35446" xr:uid="{00000000-0005-0000-0000-0000E12A0000}"/>
    <cellStyle name="40% - Accent1 2 2" xfId="204" xr:uid="{00000000-0005-0000-0000-0000E22A0000}"/>
    <cellStyle name="40% - Accent1 2 2 10" xfId="8620" xr:uid="{00000000-0005-0000-0000-0000E32A0000}"/>
    <cellStyle name="40% - Accent1 2 2 10 2" xfId="23769" xr:uid="{00000000-0005-0000-0000-0000E42A0000}"/>
    <cellStyle name="40% - Accent1 2 2 11" xfId="10303" xr:uid="{00000000-0005-0000-0000-0000E52A0000}"/>
    <cellStyle name="40% - Accent1 2 2 11 2" xfId="25452" xr:uid="{00000000-0005-0000-0000-0000E62A0000}"/>
    <cellStyle name="40% - Accent1 2 2 12" xfId="11987" xr:uid="{00000000-0005-0000-0000-0000E72A0000}"/>
    <cellStyle name="40% - Accent1 2 2 12 2" xfId="27136" xr:uid="{00000000-0005-0000-0000-0000E82A0000}"/>
    <cellStyle name="40% - Accent1 2 2 13" xfId="13670" xr:uid="{00000000-0005-0000-0000-0000E92A0000}"/>
    <cellStyle name="40% - Accent1 2 2 13 2" xfId="28819" xr:uid="{00000000-0005-0000-0000-0000EA2A0000}"/>
    <cellStyle name="40% - Accent1 2 2 14" xfId="15353" xr:uid="{00000000-0005-0000-0000-0000EB2A0000}"/>
    <cellStyle name="40% - Accent1 2 2 15" xfId="30502" xr:uid="{00000000-0005-0000-0000-0000EC2A0000}"/>
    <cellStyle name="40% - Accent1 2 2 16" xfId="32185" xr:uid="{00000000-0005-0000-0000-0000ED2A0000}"/>
    <cellStyle name="40% - Accent1 2 2 17" xfId="33868" xr:uid="{00000000-0005-0000-0000-0000EE2A0000}"/>
    <cellStyle name="40% - Accent1 2 2 18" xfId="35551" xr:uid="{00000000-0005-0000-0000-0000EF2A0000}"/>
    <cellStyle name="40% - Accent1 2 2 19" xfId="37234" xr:uid="{00000000-0005-0000-0000-0000F02A0000}"/>
    <cellStyle name="40% - Accent1 2 2 2" xfId="414" xr:uid="{00000000-0005-0000-0000-0000F12A0000}"/>
    <cellStyle name="40% - Accent1 2 2 2 10" xfId="10513" xr:uid="{00000000-0005-0000-0000-0000F22A0000}"/>
    <cellStyle name="40% - Accent1 2 2 2 10 2" xfId="25662" xr:uid="{00000000-0005-0000-0000-0000F32A0000}"/>
    <cellStyle name="40% - Accent1 2 2 2 11" xfId="12197" xr:uid="{00000000-0005-0000-0000-0000F42A0000}"/>
    <cellStyle name="40% - Accent1 2 2 2 11 2" xfId="27346" xr:uid="{00000000-0005-0000-0000-0000F52A0000}"/>
    <cellStyle name="40% - Accent1 2 2 2 12" xfId="13880" xr:uid="{00000000-0005-0000-0000-0000F62A0000}"/>
    <cellStyle name="40% - Accent1 2 2 2 12 2" xfId="29029" xr:uid="{00000000-0005-0000-0000-0000F72A0000}"/>
    <cellStyle name="40% - Accent1 2 2 2 13" xfId="15563" xr:uid="{00000000-0005-0000-0000-0000F82A0000}"/>
    <cellStyle name="40% - Accent1 2 2 2 14" xfId="30712" xr:uid="{00000000-0005-0000-0000-0000F92A0000}"/>
    <cellStyle name="40% - Accent1 2 2 2 15" xfId="32395" xr:uid="{00000000-0005-0000-0000-0000FA2A0000}"/>
    <cellStyle name="40% - Accent1 2 2 2 16" xfId="34078" xr:uid="{00000000-0005-0000-0000-0000FB2A0000}"/>
    <cellStyle name="40% - Accent1 2 2 2 17" xfId="35761" xr:uid="{00000000-0005-0000-0000-0000FC2A0000}"/>
    <cellStyle name="40% - Accent1 2 2 2 18" xfId="37444" xr:uid="{00000000-0005-0000-0000-0000FD2A0000}"/>
    <cellStyle name="40% - Accent1 2 2 2 19" xfId="39127" xr:uid="{00000000-0005-0000-0000-0000FE2A0000}"/>
    <cellStyle name="40% - Accent1 2 2 2 2" xfId="834" xr:uid="{00000000-0005-0000-0000-0000FF2A0000}"/>
    <cellStyle name="40% - Accent1 2 2 2 2 10" xfId="15983" xr:uid="{00000000-0005-0000-0000-0000002B0000}"/>
    <cellStyle name="40% - Accent1 2 2 2 2 11" xfId="31132" xr:uid="{00000000-0005-0000-0000-0000012B0000}"/>
    <cellStyle name="40% - Accent1 2 2 2 2 12" xfId="32815" xr:uid="{00000000-0005-0000-0000-0000022B0000}"/>
    <cellStyle name="40% - Accent1 2 2 2 2 13" xfId="34498" xr:uid="{00000000-0005-0000-0000-0000032B0000}"/>
    <cellStyle name="40% - Accent1 2 2 2 2 14" xfId="36181" xr:uid="{00000000-0005-0000-0000-0000042B0000}"/>
    <cellStyle name="40% - Accent1 2 2 2 2 15" xfId="37864" xr:uid="{00000000-0005-0000-0000-0000052B0000}"/>
    <cellStyle name="40% - Accent1 2 2 2 2 16" xfId="39547" xr:uid="{00000000-0005-0000-0000-0000062B0000}"/>
    <cellStyle name="40% - Accent1 2 2 2 2 17" xfId="41230" xr:uid="{00000000-0005-0000-0000-0000072B0000}"/>
    <cellStyle name="40% - Accent1 2 2 2 2 18" xfId="42913" xr:uid="{00000000-0005-0000-0000-0000082B0000}"/>
    <cellStyle name="40% - Accent1 2 2 2 2 19" xfId="44596" xr:uid="{00000000-0005-0000-0000-0000092B0000}"/>
    <cellStyle name="40% - Accent1 2 2 2 2 2" xfId="2517" xr:uid="{00000000-0005-0000-0000-00000A2B0000}"/>
    <cellStyle name="40% - Accent1 2 2 2 2 2 2" xfId="17666" xr:uid="{00000000-0005-0000-0000-00000B2B0000}"/>
    <cellStyle name="40% - Accent1 2 2 2 2 20" xfId="46279" xr:uid="{00000000-0005-0000-0000-00000C2B0000}"/>
    <cellStyle name="40% - Accent1 2 2 2 2 21" xfId="47962" xr:uid="{00000000-0005-0000-0000-00000D2B0000}"/>
    <cellStyle name="40% - Accent1 2 2 2 2 22" xfId="49645" xr:uid="{00000000-0005-0000-0000-00000E2B0000}"/>
    <cellStyle name="40% - Accent1 2 2 2 2 23" xfId="51328" xr:uid="{00000000-0005-0000-0000-00000F2B0000}"/>
    <cellStyle name="40% - Accent1 2 2 2 2 24" xfId="53011" xr:uid="{00000000-0005-0000-0000-0000102B0000}"/>
    <cellStyle name="40% - Accent1 2 2 2 2 25" xfId="54694" xr:uid="{00000000-0005-0000-0000-0000112B0000}"/>
    <cellStyle name="40% - Accent1 2 2 2 2 26" xfId="56377" xr:uid="{00000000-0005-0000-0000-0000122B0000}"/>
    <cellStyle name="40% - Accent1 2 2 2 2 27" xfId="58060" xr:uid="{00000000-0005-0000-0000-0000132B0000}"/>
    <cellStyle name="40% - Accent1 2 2 2 2 28" xfId="59743" xr:uid="{00000000-0005-0000-0000-0000142B0000}"/>
    <cellStyle name="40% - Accent1 2 2 2 2 29" xfId="61426" xr:uid="{00000000-0005-0000-0000-0000152B0000}"/>
    <cellStyle name="40% - Accent1 2 2 2 2 3" xfId="4201" xr:uid="{00000000-0005-0000-0000-0000162B0000}"/>
    <cellStyle name="40% - Accent1 2 2 2 2 3 2" xfId="19350" xr:uid="{00000000-0005-0000-0000-0000172B0000}"/>
    <cellStyle name="40% - Accent1 2 2 2 2 30" xfId="63109" xr:uid="{00000000-0005-0000-0000-0000182B0000}"/>
    <cellStyle name="40% - Accent1 2 2 2 2 4" xfId="5884" xr:uid="{00000000-0005-0000-0000-0000192B0000}"/>
    <cellStyle name="40% - Accent1 2 2 2 2 4 2" xfId="21033" xr:uid="{00000000-0005-0000-0000-00001A2B0000}"/>
    <cellStyle name="40% - Accent1 2 2 2 2 5" xfId="7567" xr:uid="{00000000-0005-0000-0000-00001B2B0000}"/>
    <cellStyle name="40% - Accent1 2 2 2 2 5 2" xfId="22716" xr:uid="{00000000-0005-0000-0000-00001C2B0000}"/>
    <cellStyle name="40% - Accent1 2 2 2 2 6" xfId="9250" xr:uid="{00000000-0005-0000-0000-00001D2B0000}"/>
    <cellStyle name="40% - Accent1 2 2 2 2 6 2" xfId="24399" xr:uid="{00000000-0005-0000-0000-00001E2B0000}"/>
    <cellStyle name="40% - Accent1 2 2 2 2 7" xfId="10933" xr:uid="{00000000-0005-0000-0000-00001F2B0000}"/>
    <cellStyle name="40% - Accent1 2 2 2 2 7 2" xfId="26082" xr:uid="{00000000-0005-0000-0000-0000202B0000}"/>
    <cellStyle name="40% - Accent1 2 2 2 2 8" xfId="12617" xr:uid="{00000000-0005-0000-0000-0000212B0000}"/>
    <cellStyle name="40% - Accent1 2 2 2 2 8 2" xfId="27766" xr:uid="{00000000-0005-0000-0000-0000222B0000}"/>
    <cellStyle name="40% - Accent1 2 2 2 2 9" xfId="14300" xr:uid="{00000000-0005-0000-0000-0000232B0000}"/>
    <cellStyle name="40% - Accent1 2 2 2 2 9 2" xfId="29449" xr:uid="{00000000-0005-0000-0000-0000242B0000}"/>
    <cellStyle name="40% - Accent1 2 2 2 20" xfId="40810" xr:uid="{00000000-0005-0000-0000-0000252B0000}"/>
    <cellStyle name="40% - Accent1 2 2 2 21" xfId="42493" xr:uid="{00000000-0005-0000-0000-0000262B0000}"/>
    <cellStyle name="40% - Accent1 2 2 2 22" xfId="44176" xr:uid="{00000000-0005-0000-0000-0000272B0000}"/>
    <cellStyle name="40% - Accent1 2 2 2 23" xfId="45859" xr:uid="{00000000-0005-0000-0000-0000282B0000}"/>
    <cellStyle name="40% - Accent1 2 2 2 24" xfId="47542" xr:uid="{00000000-0005-0000-0000-0000292B0000}"/>
    <cellStyle name="40% - Accent1 2 2 2 25" xfId="49225" xr:uid="{00000000-0005-0000-0000-00002A2B0000}"/>
    <cellStyle name="40% - Accent1 2 2 2 26" xfId="50908" xr:uid="{00000000-0005-0000-0000-00002B2B0000}"/>
    <cellStyle name="40% - Accent1 2 2 2 27" xfId="52591" xr:uid="{00000000-0005-0000-0000-00002C2B0000}"/>
    <cellStyle name="40% - Accent1 2 2 2 28" xfId="54274" xr:uid="{00000000-0005-0000-0000-00002D2B0000}"/>
    <cellStyle name="40% - Accent1 2 2 2 29" xfId="55957" xr:uid="{00000000-0005-0000-0000-00002E2B0000}"/>
    <cellStyle name="40% - Accent1 2 2 2 3" xfId="1255" xr:uid="{00000000-0005-0000-0000-00002F2B0000}"/>
    <cellStyle name="40% - Accent1 2 2 2 3 10" xfId="16404" xr:uid="{00000000-0005-0000-0000-0000302B0000}"/>
    <cellStyle name="40% - Accent1 2 2 2 3 11" xfId="31553" xr:uid="{00000000-0005-0000-0000-0000312B0000}"/>
    <cellStyle name="40% - Accent1 2 2 2 3 12" xfId="33236" xr:uid="{00000000-0005-0000-0000-0000322B0000}"/>
    <cellStyle name="40% - Accent1 2 2 2 3 13" xfId="34919" xr:uid="{00000000-0005-0000-0000-0000332B0000}"/>
    <cellStyle name="40% - Accent1 2 2 2 3 14" xfId="36602" xr:uid="{00000000-0005-0000-0000-0000342B0000}"/>
    <cellStyle name="40% - Accent1 2 2 2 3 15" xfId="38285" xr:uid="{00000000-0005-0000-0000-0000352B0000}"/>
    <cellStyle name="40% - Accent1 2 2 2 3 16" xfId="39968" xr:uid="{00000000-0005-0000-0000-0000362B0000}"/>
    <cellStyle name="40% - Accent1 2 2 2 3 17" xfId="41651" xr:uid="{00000000-0005-0000-0000-0000372B0000}"/>
    <cellStyle name="40% - Accent1 2 2 2 3 18" xfId="43334" xr:uid="{00000000-0005-0000-0000-0000382B0000}"/>
    <cellStyle name="40% - Accent1 2 2 2 3 19" xfId="45017" xr:uid="{00000000-0005-0000-0000-0000392B0000}"/>
    <cellStyle name="40% - Accent1 2 2 2 3 2" xfId="2938" xr:uid="{00000000-0005-0000-0000-00003A2B0000}"/>
    <cellStyle name="40% - Accent1 2 2 2 3 2 2" xfId="18087" xr:uid="{00000000-0005-0000-0000-00003B2B0000}"/>
    <cellStyle name="40% - Accent1 2 2 2 3 20" xfId="46700" xr:uid="{00000000-0005-0000-0000-00003C2B0000}"/>
    <cellStyle name="40% - Accent1 2 2 2 3 21" xfId="48383" xr:uid="{00000000-0005-0000-0000-00003D2B0000}"/>
    <cellStyle name="40% - Accent1 2 2 2 3 22" xfId="50066" xr:uid="{00000000-0005-0000-0000-00003E2B0000}"/>
    <cellStyle name="40% - Accent1 2 2 2 3 23" xfId="51749" xr:uid="{00000000-0005-0000-0000-00003F2B0000}"/>
    <cellStyle name="40% - Accent1 2 2 2 3 24" xfId="53432" xr:uid="{00000000-0005-0000-0000-0000402B0000}"/>
    <cellStyle name="40% - Accent1 2 2 2 3 25" xfId="55115" xr:uid="{00000000-0005-0000-0000-0000412B0000}"/>
    <cellStyle name="40% - Accent1 2 2 2 3 26" xfId="56798" xr:uid="{00000000-0005-0000-0000-0000422B0000}"/>
    <cellStyle name="40% - Accent1 2 2 2 3 27" xfId="58481" xr:uid="{00000000-0005-0000-0000-0000432B0000}"/>
    <cellStyle name="40% - Accent1 2 2 2 3 28" xfId="60164" xr:uid="{00000000-0005-0000-0000-0000442B0000}"/>
    <cellStyle name="40% - Accent1 2 2 2 3 29" xfId="61847" xr:uid="{00000000-0005-0000-0000-0000452B0000}"/>
    <cellStyle name="40% - Accent1 2 2 2 3 3" xfId="4622" xr:uid="{00000000-0005-0000-0000-0000462B0000}"/>
    <cellStyle name="40% - Accent1 2 2 2 3 3 2" xfId="19771" xr:uid="{00000000-0005-0000-0000-0000472B0000}"/>
    <cellStyle name="40% - Accent1 2 2 2 3 30" xfId="63530" xr:uid="{00000000-0005-0000-0000-0000482B0000}"/>
    <cellStyle name="40% - Accent1 2 2 2 3 4" xfId="6305" xr:uid="{00000000-0005-0000-0000-0000492B0000}"/>
    <cellStyle name="40% - Accent1 2 2 2 3 4 2" xfId="21454" xr:uid="{00000000-0005-0000-0000-00004A2B0000}"/>
    <cellStyle name="40% - Accent1 2 2 2 3 5" xfId="7988" xr:uid="{00000000-0005-0000-0000-00004B2B0000}"/>
    <cellStyle name="40% - Accent1 2 2 2 3 5 2" xfId="23137" xr:uid="{00000000-0005-0000-0000-00004C2B0000}"/>
    <cellStyle name="40% - Accent1 2 2 2 3 6" xfId="9671" xr:uid="{00000000-0005-0000-0000-00004D2B0000}"/>
    <cellStyle name="40% - Accent1 2 2 2 3 6 2" xfId="24820" xr:uid="{00000000-0005-0000-0000-00004E2B0000}"/>
    <cellStyle name="40% - Accent1 2 2 2 3 7" xfId="11354" xr:uid="{00000000-0005-0000-0000-00004F2B0000}"/>
    <cellStyle name="40% - Accent1 2 2 2 3 7 2" xfId="26503" xr:uid="{00000000-0005-0000-0000-0000502B0000}"/>
    <cellStyle name="40% - Accent1 2 2 2 3 8" xfId="13038" xr:uid="{00000000-0005-0000-0000-0000512B0000}"/>
    <cellStyle name="40% - Accent1 2 2 2 3 8 2" xfId="28187" xr:uid="{00000000-0005-0000-0000-0000522B0000}"/>
    <cellStyle name="40% - Accent1 2 2 2 3 9" xfId="14721" xr:uid="{00000000-0005-0000-0000-0000532B0000}"/>
    <cellStyle name="40% - Accent1 2 2 2 3 9 2" xfId="29870" xr:uid="{00000000-0005-0000-0000-0000542B0000}"/>
    <cellStyle name="40% - Accent1 2 2 2 30" xfId="57640" xr:uid="{00000000-0005-0000-0000-0000552B0000}"/>
    <cellStyle name="40% - Accent1 2 2 2 31" xfId="59323" xr:uid="{00000000-0005-0000-0000-0000562B0000}"/>
    <cellStyle name="40% - Accent1 2 2 2 32" xfId="61006" xr:uid="{00000000-0005-0000-0000-0000572B0000}"/>
    <cellStyle name="40% - Accent1 2 2 2 33" xfId="62689" xr:uid="{00000000-0005-0000-0000-0000582B0000}"/>
    <cellStyle name="40% - Accent1 2 2 2 4" xfId="1676" xr:uid="{00000000-0005-0000-0000-0000592B0000}"/>
    <cellStyle name="40% - Accent1 2 2 2 4 10" xfId="16825" xr:uid="{00000000-0005-0000-0000-00005A2B0000}"/>
    <cellStyle name="40% - Accent1 2 2 2 4 11" xfId="31974" xr:uid="{00000000-0005-0000-0000-00005B2B0000}"/>
    <cellStyle name="40% - Accent1 2 2 2 4 12" xfId="33657" xr:uid="{00000000-0005-0000-0000-00005C2B0000}"/>
    <cellStyle name="40% - Accent1 2 2 2 4 13" xfId="35340" xr:uid="{00000000-0005-0000-0000-00005D2B0000}"/>
    <cellStyle name="40% - Accent1 2 2 2 4 14" xfId="37023" xr:uid="{00000000-0005-0000-0000-00005E2B0000}"/>
    <cellStyle name="40% - Accent1 2 2 2 4 15" xfId="38706" xr:uid="{00000000-0005-0000-0000-00005F2B0000}"/>
    <cellStyle name="40% - Accent1 2 2 2 4 16" xfId="40389" xr:uid="{00000000-0005-0000-0000-0000602B0000}"/>
    <cellStyle name="40% - Accent1 2 2 2 4 17" xfId="42072" xr:uid="{00000000-0005-0000-0000-0000612B0000}"/>
    <cellStyle name="40% - Accent1 2 2 2 4 18" xfId="43755" xr:uid="{00000000-0005-0000-0000-0000622B0000}"/>
    <cellStyle name="40% - Accent1 2 2 2 4 19" xfId="45438" xr:uid="{00000000-0005-0000-0000-0000632B0000}"/>
    <cellStyle name="40% - Accent1 2 2 2 4 2" xfId="3359" xr:uid="{00000000-0005-0000-0000-0000642B0000}"/>
    <cellStyle name="40% - Accent1 2 2 2 4 2 2" xfId="18508" xr:uid="{00000000-0005-0000-0000-0000652B0000}"/>
    <cellStyle name="40% - Accent1 2 2 2 4 20" xfId="47121" xr:uid="{00000000-0005-0000-0000-0000662B0000}"/>
    <cellStyle name="40% - Accent1 2 2 2 4 21" xfId="48804" xr:uid="{00000000-0005-0000-0000-0000672B0000}"/>
    <cellStyle name="40% - Accent1 2 2 2 4 22" xfId="50487" xr:uid="{00000000-0005-0000-0000-0000682B0000}"/>
    <cellStyle name="40% - Accent1 2 2 2 4 23" xfId="52170" xr:uid="{00000000-0005-0000-0000-0000692B0000}"/>
    <cellStyle name="40% - Accent1 2 2 2 4 24" xfId="53853" xr:uid="{00000000-0005-0000-0000-00006A2B0000}"/>
    <cellStyle name="40% - Accent1 2 2 2 4 25" xfId="55536" xr:uid="{00000000-0005-0000-0000-00006B2B0000}"/>
    <cellStyle name="40% - Accent1 2 2 2 4 26" xfId="57219" xr:uid="{00000000-0005-0000-0000-00006C2B0000}"/>
    <cellStyle name="40% - Accent1 2 2 2 4 27" xfId="58902" xr:uid="{00000000-0005-0000-0000-00006D2B0000}"/>
    <cellStyle name="40% - Accent1 2 2 2 4 28" xfId="60585" xr:uid="{00000000-0005-0000-0000-00006E2B0000}"/>
    <cellStyle name="40% - Accent1 2 2 2 4 29" xfId="62268" xr:uid="{00000000-0005-0000-0000-00006F2B0000}"/>
    <cellStyle name="40% - Accent1 2 2 2 4 3" xfId="5043" xr:uid="{00000000-0005-0000-0000-0000702B0000}"/>
    <cellStyle name="40% - Accent1 2 2 2 4 3 2" xfId="20192" xr:uid="{00000000-0005-0000-0000-0000712B0000}"/>
    <cellStyle name="40% - Accent1 2 2 2 4 30" xfId="63951" xr:uid="{00000000-0005-0000-0000-0000722B0000}"/>
    <cellStyle name="40% - Accent1 2 2 2 4 4" xfId="6726" xr:uid="{00000000-0005-0000-0000-0000732B0000}"/>
    <cellStyle name="40% - Accent1 2 2 2 4 4 2" xfId="21875" xr:uid="{00000000-0005-0000-0000-0000742B0000}"/>
    <cellStyle name="40% - Accent1 2 2 2 4 5" xfId="8409" xr:uid="{00000000-0005-0000-0000-0000752B0000}"/>
    <cellStyle name="40% - Accent1 2 2 2 4 5 2" xfId="23558" xr:uid="{00000000-0005-0000-0000-0000762B0000}"/>
    <cellStyle name="40% - Accent1 2 2 2 4 6" xfId="10092" xr:uid="{00000000-0005-0000-0000-0000772B0000}"/>
    <cellStyle name="40% - Accent1 2 2 2 4 6 2" xfId="25241" xr:uid="{00000000-0005-0000-0000-0000782B0000}"/>
    <cellStyle name="40% - Accent1 2 2 2 4 7" xfId="11775" xr:uid="{00000000-0005-0000-0000-0000792B0000}"/>
    <cellStyle name="40% - Accent1 2 2 2 4 7 2" xfId="26924" xr:uid="{00000000-0005-0000-0000-00007A2B0000}"/>
    <cellStyle name="40% - Accent1 2 2 2 4 8" xfId="13459" xr:uid="{00000000-0005-0000-0000-00007B2B0000}"/>
    <cellStyle name="40% - Accent1 2 2 2 4 8 2" xfId="28608" xr:uid="{00000000-0005-0000-0000-00007C2B0000}"/>
    <cellStyle name="40% - Accent1 2 2 2 4 9" xfId="15142" xr:uid="{00000000-0005-0000-0000-00007D2B0000}"/>
    <cellStyle name="40% - Accent1 2 2 2 4 9 2" xfId="30291" xr:uid="{00000000-0005-0000-0000-00007E2B0000}"/>
    <cellStyle name="40% - Accent1 2 2 2 5" xfId="2097" xr:uid="{00000000-0005-0000-0000-00007F2B0000}"/>
    <cellStyle name="40% - Accent1 2 2 2 5 2" xfId="17246" xr:uid="{00000000-0005-0000-0000-0000802B0000}"/>
    <cellStyle name="40% - Accent1 2 2 2 6" xfId="3781" xr:uid="{00000000-0005-0000-0000-0000812B0000}"/>
    <cellStyle name="40% - Accent1 2 2 2 6 2" xfId="18930" xr:uid="{00000000-0005-0000-0000-0000822B0000}"/>
    <cellStyle name="40% - Accent1 2 2 2 7" xfId="5464" xr:uid="{00000000-0005-0000-0000-0000832B0000}"/>
    <cellStyle name="40% - Accent1 2 2 2 7 2" xfId="20613" xr:uid="{00000000-0005-0000-0000-0000842B0000}"/>
    <cellStyle name="40% - Accent1 2 2 2 8" xfId="7147" xr:uid="{00000000-0005-0000-0000-0000852B0000}"/>
    <cellStyle name="40% - Accent1 2 2 2 8 2" xfId="22296" xr:uid="{00000000-0005-0000-0000-0000862B0000}"/>
    <cellStyle name="40% - Accent1 2 2 2 9" xfId="8830" xr:uid="{00000000-0005-0000-0000-0000872B0000}"/>
    <cellStyle name="40% - Accent1 2 2 2 9 2" xfId="23979" xr:uid="{00000000-0005-0000-0000-0000882B0000}"/>
    <cellStyle name="40% - Accent1 2 2 20" xfId="38917" xr:uid="{00000000-0005-0000-0000-0000892B0000}"/>
    <cellStyle name="40% - Accent1 2 2 21" xfId="40600" xr:uid="{00000000-0005-0000-0000-00008A2B0000}"/>
    <cellStyle name="40% - Accent1 2 2 22" xfId="42283" xr:uid="{00000000-0005-0000-0000-00008B2B0000}"/>
    <cellStyle name="40% - Accent1 2 2 23" xfId="43966" xr:uid="{00000000-0005-0000-0000-00008C2B0000}"/>
    <cellStyle name="40% - Accent1 2 2 24" xfId="45649" xr:uid="{00000000-0005-0000-0000-00008D2B0000}"/>
    <cellStyle name="40% - Accent1 2 2 25" xfId="47332" xr:uid="{00000000-0005-0000-0000-00008E2B0000}"/>
    <cellStyle name="40% - Accent1 2 2 26" xfId="49015" xr:uid="{00000000-0005-0000-0000-00008F2B0000}"/>
    <cellStyle name="40% - Accent1 2 2 27" xfId="50698" xr:uid="{00000000-0005-0000-0000-0000902B0000}"/>
    <cellStyle name="40% - Accent1 2 2 28" xfId="52381" xr:uid="{00000000-0005-0000-0000-0000912B0000}"/>
    <cellStyle name="40% - Accent1 2 2 29" xfId="54064" xr:uid="{00000000-0005-0000-0000-0000922B0000}"/>
    <cellStyle name="40% - Accent1 2 2 3" xfId="624" xr:uid="{00000000-0005-0000-0000-0000932B0000}"/>
    <cellStyle name="40% - Accent1 2 2 3 10" xfId="15773" xr:uid="{00000000-0005-0000-0000-0000942B0000}"/>
    <cellStyle name="40% - Accent1 2 2 3 11" xfId="30922" xr:uid="{00000000-0005-0000-0000-0000952B0000}"/>
    <cellStyle name="40% - Accent1 2 2 3 12" xfId="32605" xr:uid="{00000000-0005-0000-0000-0000962B0000}"/>
    <cellStyle name="40% - Accent1 2 2 3 13" xfId="34288" xr:uid="{00000000-0005-0000-0000-0000972B0000}"/>
    <cellStyle name="40% - Accent1 2 2 3 14" xfId="35971" xr:uid="{00000000-0005-0000-0000-0000982B0000}"/>
    <cellStyle name="40% - Accent1 2 2 3 15" xfId="37654" xr:uid="{00000000-0005-0000-0000-0000992B0000}"/>
    <cellStyle name="40% - Accent1 2 2 3 16" xfId="39337" xr:uid="{00000000-0005-0000-0000-00009A2B0000}"/>
    <cellStyle name="40% - Accent1 2 2 3 17" xfId="41020" xr:uid="{00000000-0005-0000-0000-00009B2B0000}"/>
    <cellStyle name="40% - Accent1 2 2 3 18" xfId="42703" xr:uid="{00000000-0005-0000-0000-00009C2B0000}"/>
    <cellStyle name="40% - Accent1 2 2 3 19" xfId="44386" xr:uid="{00000000-0005-0000-0000-00009D2B0000}"/>
    <cellStyle name="40% - Accent1 2 2 3 2" xfId="2307" xr:uid="{00000000-0005-0000-0000-00009E2B0000}"/>
    <cellStyle name="40% - Accent1 2 2 3 2 2" xfId="17456" xr:uid="{00000000-0005-0000-0000-00009F2B0000}"/>
    <cellStyle name="40% - Accent1 2 2 3 20" xfId="46069" xr:uid="{00000000-0005-0000-0000-0000A02B0000}"/>
    <cellStyle name="40% - Accent1 2 2 3 21" xfId="47752" xr:uid="{00000000-0005-0000-0000-0000A12B0000}"/>
    <cellStyle name="40% - Accent1 2 2 3 22" xfId="49435" xr:uid="{00000000-0005-0000-0000-0000A22B0000}"/>
    <cellStyle name="40% - Accent1 2 2 3 23" xfId="51118" xr:uid="{00000000-0005-0000-0000-0000A32B0000}"/>
    <cellStyle name="40% - Accent1 2 2 3 24" xfId="52801" xr:uid="{00000000-0005-0000-0000-0000A42B0000}"/>
    <cellStyle name="40% - Accent1 2 2 3 25" xfId="54484" xr:uid="{00000000-0005-0000-0000-0000A52B0000}"/>
    <cellStyle name="40% - Accent1 2 2 3 26" xfId="56167" xr:uid="{00000000-0005-0000-0000-0000A62B0000}"/>
    <cellStyle name="40% - Accent1 2 2 3 27" xfId="57850" xr:uid="{00000000-0005-0000-0000-0000A72B0000}"/>
    <cellStyle name="40% - Accent1 2 2 3 28" xfId="59533" xr:uid="{00000000-0005-0000-0000-0000A82B0000}"/>
    <cellStyle name="40% - Accent1 2 2 3 29" xfId="61216" xr:uid="{00000000-0005-0000-0000-0000A92B0000}"/>
    <cellStyle name="40% - Accent1 2 2 3 3" xfId="3991" xr:uid="{00000000-0005-0000-0000-0000AA2B0000}"/>
    <cellStyle name="40% - Accent1 2 2 3 3 2" xfId="19140" xr:uid="{00000000-0005-0000-0000-0000AB2B0000}"/>
    <cellStyle name="40% - Accent1 2 2 3 30" xfId="62899" xr:uid="{00000000-0005-0000-0000-0000AC2B0000}"/>
    <cellStyle name="40% - Accent1 2 2 3 4" xfId="5674" xr:uid="{00000000-0005-0000-0000-0000AD2B0000}"/>
    <cellStyle name="40% - Accent1 2 2 3 4 2" xfId="20823" xr:uid="{00000000-0005-0000-0000-0000AE2B0000}"/>
    <cellStyle name="40% - Accent1 2 2 3 5" xfId="7357" xr:uid="{00000000-0005-0000-0000-0000AF2B0000}"/>
    <cellStyle name="40% - Accent1 2 2 3 5 2" xfId="22506" xr:uid="{00000000-0005-0000-0000-0000B02B0000}"/>
    <cellStyle name="40% - Accent1 2 2 3 6" xfId="9040" xr:uid="{00000000-0005-0000-0000-0000B12B0000}"/>
    <cellStyle name="40% - Accent1 2 2 3 6 2" xfId="24189" xr:uid="{00000000-0005-0000-0000-0000B22B0000}"/>
    <cellStyle name="40% - Accent1 2 2 3 7" xfId="10723" xr:uid="{00000000-0005-0000-0000-0000B32B0000}"/>
    <cellStyle name="40% - Accent1 2 2 3 7 2" xfId="25872" xr:uid="{00000000-0005-0000-0000-0000B42B0000}"/>
    <cellStyle name="40% - Accent1 2 2 3 8" xfId="12407" xr:uid="{00000000-0005-0000-0000-0000B52B0000}"/>
    <cellStyle name="40% - Accent1 2 2 3 8 2" xfId="27556" xr:uid="{00000000-0005-0000-0000-0000B62B0000}"/>
    <cellStyle name="40% - Accent1 2 2 3 9" xfId="14090" xr:uid="{00000000-0005-0000-0000-0000B72B0000}"/>
    <cellStyle name="40% - Accent1 2 2 3 9 2" xfId="29239" xr:uid="{00000000-0005-0000-0000-0000B82B0000}"/>
    <cellStyle name="40% - Accent1 2 2 30" xfId="55747" xr:uid="{00000000-0005-0000-0000-0000B92B0000}"/>
    <cellStyle name="40% - Accent1 2 2 31" xfId="57430" xr:uid="{00000000-0005-0000-0000-0000BA2B0000}"/>
    <cellStyle name="40% - Accent1 2 2 32" xfId="59113" xr:uid="{00000000-0005-0000-0000-0000BB2B0000}"/>
    <cellStyle name="40% - Accent1 2 2 33" xfId="60796" xr:uid="{00000000-0005-0000-0000-0000BC2B0000}"/>
    <cellStyle name="40% - Accent1 2 2 34" xfId="62479" xr:uid="{00000000-0005-0000-0000-0000BD2B0000}"/>
    <cellStyle name="40% - Accent1 2 2 4" xfId="1045" xr:uid="{00000000-0005-0000-0000-0000BE2B0000}"/>
    <cellStyle name="40% - Accent1 2 2 4 10" xfId="16194" xr:uid="{00000000-0005-0000-0000-0000BF2B0000}"/>
    <cellStyle name="40% - Accent1 2 2 4 11" xfId="31343" xr:uid="{00000000-0005-0000-0000-0000C02B0000}"/>
    <cellStyle name="40% - Accent1 2 2 4 12" xfId="33026" xr:uid="{00000000-0005-0000-0000-0000C12B0000}"/>
    <cellStyle name="40% - Accent1 2 2 4 13" xfId="34709" xr:uid="{00000000-0005-0000-0000-0000C22B0000}"/>
    <cellStyle name="40% - Accent1 2 2 4 14" xfId="36392" xr:uid="{00000000-0005-0000-0000-0000C32B0000}"/>
    <cellStyle name="40% - Accent1 2 2 4 15" xfId="38075" xr:uid="{00000000-0005-0000-0000-0000C42B0000}"/>
    <cellStyle name="40% - Accent1 2 2 4 16" xfId="39758" xr:uid="{00000000-0005-0000-0000-0000C52B0000}"/>
    <cellStyle name="40% - Accent1 2 2 4 17" xfId="41441" xr:uid="{00000000-0005-0000-0000-0000C62B0000}"/>
    <cellStyle name="40% - Accent1 2 2 4 18" xfId="43124" xr:uid="{00000000-0005-0000-0000-0000C72B0000}"/>
    <cellStyle name="40% - Accent1 2 2 4 19" xfId="44807" xr:uid="{00000000-0005-0000-0000-0000C82B0000}"/>
    <cellStyle name="40% - Accent1 2 2 4 2" xfId="2728" xr:uid="{00000000-0005-0000-0000-0000C92B0000}"/>
    <cellStyle name="40% - Accent1 2 2 4 2 2" xfId="17877" xr:uid="{00000000-0005-0000-0000-0000CA2B0000}"/>
    <cellStyle name="40% - Accent1 2 2 4 20" xfId="46490" xr:uid="{00000000-0005-0000-0000-0000CB2B0000}"/>
    <cellStyle name="40% - Accent1 2 2 4 21" xfId="48173" xr:uid="{00000000-0005-0000-0000-0000CC2B0000}"/>
    <cellStyle name="40% - Accent1 2 2 4 22" xfId="49856" xr:uid="{00000000-0005-0000-0000-0000CD2B0000}"/>
    <cellStyle name="40% - Accent1 2 2 4 23" xfId="51539" xr:uid="{00000000-0005-0000-0000-0000CE2B0000}"/>
    <cellStyle name="40% - Accent1 2 2 4 24" xfId="53222" xr:uid="{00000000-0005-0000-0000-0000CF2B0000}"/>
    <cellStyle name="40% - Accent1 2 2 4 25" xfId="54905" xr:uid="{00000000-0005-0000-0000-0000D02B0000}"/>
    <cellStyle name="40% - Accent1 2 2 4 26" xfId="56588" xr:uid="{00000000-0005-0000-0000-0000D12B0000}"/>
    <cellStyle name="40% - Accent1 2 2 4 27" xfId="58271" xr:uid="{00000000-0005-0000-0000-0000D22B0000}"/>
    <cellStyle name="40% - Accent1 2 2 4 28" xfId="59954" xr:uid="{00000000-0005-0000-0000-0000D32B0000}"/>
    <cellStyle name="40% - Accent1 2 2 4 29" xfId="61637" xr:uid="{00000000-0005-0000-0000-0000D42B0000}"/>
    <cellStyle name="40% - Accent1 2 2 4 3" xfId="4412" xr:uid="{00000000-0005-0000-0000-0000D52B0000}"/>
    <cellStyle name="40% - Accent1 2 2 4 3 2" xfId="19561" xr:uid="{00000000-0005-0000-0000-0000D62B0000}"/>
    <cellStyle name="40% - Accent1 2 2 4 30" xfId="63320" xr:uid="{00000000-0005-0000-0000-0000D72B0000}"/>
    <cellStyle name="40% - Accent1 2 2 4 4" xfId="6095" xr:uid="{00000000-0005-0000-0000-0000D82B0000}"/>
    <cellStyle name="40% - Accent1 2 2 4 4 2" xfId="21244" xr:uid="{00000000-0005-0000-0000-0000D92B0000}"/>
    <cellStyle name="40% - Accent1 2 2 4 5" xfId="7778" xr:uid="{00000000-0005-0000-0000-0000DA2B0000}"/>
    <cellStyle name="40% - Accent1 2 2 4 5 2" xfId="22927" xr:uid="{00000000-0005-0000-0000-0000DB2B0000}"/>
    <cellStyle name="40% - Accent1 2 2 4 6" xfId="9461" xr:uid="{00000000-0005-0000-0000-0000DC2B0000}"/>
    <cellStyle name="40% - Accent1 2 2 4 6 2" xfId="24610" xr:uid="{00000000-0005-0000-0000-0000DD2B0000}"/>
    <cellStyle name="40% - Accent1 2 2 4 7" xfId="11144" xr:uid="{00000000-0005-0000-0000-0000DE2B0000}"/>
    <cellStyle name="40% - Accent1 2 2 4 7 2" xfId="26293" xr:uid="{00000000-0005-0000-0000-0000DF2B0000}"/>
    <cellStyle name="40% - Accent1 2 2 4 8" xfId="12828" xr:uid="{00000000-0005-0000-0000-0000E02B0000}"/>
    <cellStyle name="40% - Accent1 2 2 4 8 2" xfId="27977" xr:uid="{00000000-0005-0000-0000-0000E12B0000}"/>
    <cellStyle name="40% - Accent1 2 2 4 9" xfId="14511" xr:uid="{00000000-0005-0000-0000-0000E22B0000}"/>
    <cellStyle name="40% - Accent1 2 2 4 9 2" xfId="29660" xr:uid="{00000000-0005-0000-0000-0000E32B0000}"/>
    <cellStyle name="40% - Accent1 2 2 5" xfId="1466" xr:uid="{00000000-0005-0000-0000-0000E42B0000}"/>
    <cellStyle name="40% - Accent1 2 2 5 10" xfId="16615" xr:uid="{00000000-0005-0000-0000-0000E52B0000}"/>
    <cellStyle name="40% - Accent1 2 2 5 11" xfId="31764" xr:uid="{00000000-0005-0000-0000-0000E62B0000}"/>
    <cellStyle name="40% - Accent1 2 2 5 12" xfId="33447" xr:uid="{00000000-0005-0000-0000-0000E72B0000}"/>
    <cellStyle name="40% - Accent1 2 2 5 13" xfId="35130" xr:uid="{00000000-0005-0000-0000-0000E82B0000}"/>
    <cellStyle name="40% - Accent1 2 2 5 14" xfId="36813" xr:uid="{00000000-0005-0000-0000-0000E92B0000}"/>
    <cellStyle name="40% - Accent1 2 2 5 15" xfId="38496" xr:uid="{00000000-0005-0000-0000-0000EA2B0000}"/>
    <cellStyle name="40% - Accent1 2 2 5 16" xfId="40179" xr:uid="{00000000-0005-0000-0000-0000EB2B0000}"/>
    <cellStyle name="40% - Accent1 2 2 5 17" xfId="41862" xr:uid="{00000000-0005-0000-0000-0000EC2B0000}"/>
    <cellStyle name="40% - Accent1 2 2 5 18" xfId="43545" xr:uid="{00000000-0005-0000-0000-0000ED2B0000}"/>
    <cellStyle name="40% - Accent1 2 2 5 19" xfId="45228" xr:uid="{00000000-0005-0000-0000-0000EE2B0000}"/>
    <cellStyle name="40% - Accent1 2 2 5 2" xfId="3149" xr:uid="{00000000-0005-0000-0000-0000EF2B0000}"/>
    <cellStyle name="40% - Accent1 2 2 5 2 2" xfId="18298" xr:uid="{00000000-0005-0000-0000-0000F02B0000}"/>
    <cellStyle name="40% - Accent1 2 2 5 20" xfId="46911" xr:uid="{00000000-0005-0000-0000-0000F12B0000}"/>
    <cellStyle name="40% - Accent1 2 2 5 21" xfId="48594" xr:uid="{00000000-0005-0000-0000-0000F22B0000}"/>
    <cellStyle name="40% - Accent1 2 2 5 22" xfId="50277" xr:uid="{00000000-0005-0000-0000-0000F32B0000}"/>
    <cellStyle name="40% - Accent1 2 2 5 23" xfId="51960" xr:uid="{00000000-0005-0000-0000-0000F42B0000}"/>
    <cellStyle name="40% - Accent1 2 2 5 24" xfId="53643" xr:uid="{00000000-0005-0000-0000-0000F52B0000}"/>
    <cellStyle name="40% - Accent1 2 2 5 25" xfId="55326" xr:uid="{00000000-0005-0000-0000-0000F62B0000}"/>
    <cellStyle name="40% - Accent1 2 2 5 26" xfId="57009" xr:uid="{00000000-0005-0000-0000-0000F72B0000}"/>
    <cellStyle name="40% - Accent1 2 2 5 27" xfId="58692" xr:uid="{00000000-0005-0000-0000-0000F82B0000}"/>
    <cellStyle name="40% - Accent1 2 2 5 28" xfId="60375" xr:uid="{00000000-0005-0000-0000-0000F92B0000}"/>
    <cellStyle name="40% - Accent1 2 2 5 29" xfId="62058" xr:uid="{00000000-0005-0000-0000-0000FA2B0000}"/>
    <cellStyle name="40% - Accent1 2 2 5 3" xfId="4833" xr:uid="{00000000-0005-0000-0000-0000FB2B0000}"/>
    <cellStyle name="40% - Accent1 2 2 5 3 2" xfId="19982" xr:uid="{00000000-0005-0000-0000-0000FC2B0000}"/>
    <cellStyle name="40% - Accent1 2 2 5 30" xfId="63741" xr:uid="{00000000-0005-0000-0000-0000FD2B0000}"/>
    <cellStyle name="40% - Accent1 2 2 5 4" xfId="6516" xr:uid="{00000000-0005-0000-0000-0000FE2B0000}"/>
    <cellStyle name="40% - Accent1 2 2 5 4 2" xfId="21665" xr:uid="{00000000-0005-0000-0000-0000FF2B0000}"/>
    <cellStyle name="40% - Accent1 2 2 5 5" xfId="8199" xr:uid="{00000000-0005-0000-0000-0000002C0000}"/>
    <cellStyle name="40% - Accent1 2 2 5 5 2" xfId="23348" xr:uid="{00000000-0005-0000-0000-0000012C0000}"/>
    <cellStyle name="40% - Accent1 2 2 5 6" xfId="9882" xr:uid="{00000000-0005-0000-0000-0000022C0000}"/>
    <cellStyle name="40% - Accent1 2 2 5 6 2" xfId="25031" xr:uid="{00000000-0005-0000-0000-0000032C0000}"/>
    <cellStyle name="40% - Accent1 2 2 5 7" xfId="11565" xr:uid="{00000000-0005-0000-0000-0000042C0000}"/>
    <cellStyle name="40% - Accent1 2 2 5 7 2" xfId="26714" xr:uid="{00000000-0005-0000-0000-0000052C0000}"/>
    <cellStyle name="40% - Accent1 2 2 5 8" xfId="13249" xr:uid="{00000000-0005-0000-0000-0000062C0000}"/>
    <cellStyle name="40% - Accent1 2 2 5 8 2" xfId="28398" xr:uid="{00000000-0005-0000-0000-0000072C0000}"/>
    <cellStyle name="40% - Accent1 2 2 5 9" xfId="14932" xr:uid="{00000000-0005-0000-0000-0000082C0000}"/>
    <cellStyle name="40% - Accent1 2 2 5 9 2" xfId="30081" xr:uid="{00000000-0005-0000-0000-0000092C0000}"/>
    <cellStyle name="40% - Accent1 2 2 6" xfId="1887" xr:uid="{00000000-0005-0000-0000-00000A2C0000}"/>
    <cellStyle name="40% - Accent1 2 2 6 2" xfId="17036" xr:uid="{00000000-0005-0000-0000-00000B2C0000}"/>
    <cellStyle name="40% - Accent1 2 2 7" xfId="3571" xr:uid="{00000000-0005-0000-0000-00000C2C0000}"/>
    <cellStyle name="40% - Accent1 2 2 7 2" xfId="18720" xr:uid="{00000000-0005-0000-0000-00000D2C0000}"/>
    <cellStyle name="40% - Accent1 2 2 8" xfId="5254" xr:uid="{00000000-0005-0000-0000-00000E2C0000}"/>
    <cellStyle name="40% - Accent1 2 2 8 2" xfId="20403" xr:uid="{00000000-0005-0000-0000-00000F2C0000}"/>
    <cellStyle name="40% - Accent1 2 2 9" xfId="6937" xr:uid="{00000000-0005-0000-0000-0000102C0000}"/>
    <cellStyle name="40% - Accent1 2 2 9 2" xfId="22086" xr:uid="{00000000-0005-0000-0000-0000112C0000}"/>
    <cellStyle name="40% - Accent1 2 20" xfId="37129" xr:uid="{00000000-0005-0000-0000-0000122C0000}"/>
    <cellStyle name="40% - Accent1 2 21" xfId="38812" xr:uid="{00000000-0005-0000-0000-0000132C0000}"/>
    <cellStyle name="40% - Accent1 2 22" xfId="40495" xr:uid="{00000000-0005-0000-0000-0000142C0000}"/>
    <cellStyle name="40% - Accent1 2 23" xfId="42178" xr:uid="{00000000-0005-0000-0000-0000152C0000}"/>
    <cellStyle name="40% - Accent1 2 24" xfId="43861" xr:uid="{00000000-0005-0000-0000-0000162C0000}"/>
    <cellStyle name="40% - Accent1 2 25" xfId="45544" xr:uid="{00000000-0005-0000-0000-0000172C0000}"/>
    <cellStyle name="40% - Accent1 2 26" xfId="47227" xr:uid="{00000000-0005-0000-0000-0000182C0000}"/>
    <cellStyle name="40% - Accent1 2 27" xfId="48910" xr:uid="{00000000-0005-0000-0000-0000192C0000}"/>
    <cellStyle name="40% - Accent1 2 28" xfId="50593" xr:uid="{00000000-0005-0000-0000-00001A2C0000}"/>
    <cellStyle name="40% - Accent1 2 29" xfId="52276" xr:uid="{00000000-0005-0000-0000-00001B2C0000}"/>
    <cellStyle name="40% - Accent1 2 3" xfId="309" xr:uid="{00000000-0005-0000-0000-00001C2C0000}"/>
    <cellStyle name="40% - Accent1 2 3 10" xfId="10408" xr:uid="{00000000-0005-0000-0000-00001D2C0000}"/>
    <cellStyle name="40% - Accent1 2 3 10 2" xfId="25557" xr:uid="{00000000-0005-0000-0000-00001E2C0000}"/>
    <cellStyle name="40% - Accent1 2 3 11" xfId="12092" xr:uid="{00000000-0005-0000-0000-00001F2C0000}"/>
    <cellStyle name="40% - Accent1 2 3 11 2" xfId="27241" xr:uid="{00000000-0005-0000-0000-0000202C0000}"/>
    <cellStyle name="40% - Accent1 2 3 12" xfId="13775" xr:uid="{00000000-0005-0000-0000-0000212C0000}"/>
    <cellStyle name="40% - Accent1 2 3 12 2" xfId="28924" xr:uid="{00000000-0005-0000-0000-0000222C0000}"/>
    <cellStyle name="40% - Accent1 2 3 13" xfId="15458" xr:uid="{00000000-0005-0000-0000-0000232C0000}"/>
    <cellStyle name="40% - Accent1 2 3 14" xfId="30607" xr:uid="{00000000-0005-0000-0000-0000242C0000}"/>
    <cellStyle name="40% - Accent1 2 3 15" xfId="32290" xr:uid="{00000000-0005-0000-0000-0000252C0000}"/>
    <cellStyle name="40% - Accent1 2 3 16" xfId="33973" xr:uid="{00000000-0005-0000-0000-0000262C0000}"/>
    <cellStyle name="40% - Accent1 2 3 17" xfId="35656" xr:uid="{00000000-0005-0000-0000-0000272C0000}"/>
    <cellStyle name="40% - Accent1 2 3 18" xfId="37339" xr:uid="{00000000-0005-0000-0000-0000282C0000}"/>
    <cellStyle name="40% - Accent1 2 3 19" xfId="39022" xr:uid="{00000000-0005-0000-0000-0000292C0000}"/>
    <cellStyle name="40% - Accent1 2 3 2" xfId="729" xr:uid="{00000000-0005-0000-0000-00002A2C0000}"/>
    <cellStyle name="40% - Accent1 2 3 2 10" xfId="15878" xr:uid="{00000000-0005-0000-0000-00002B2C0000}"/>
    <cellStyle name="40% - Accent1 2 3 2 11" xfId="31027" xr:uid="{00000000-0005-0000-0000-00002C2C0000}"/>
    <cellStyle name="40% - Accent1 2 3 2 12" xfId="32710" xr:uid="{00000000-0005-0000-0000-00002D2C0000}"/>
    <cellStyle name="40% - Accent1 2 3 2 13" xfId="34393" xr:uid="{00000000-0005-0000-0000-00002E2C0000}"/>
    <cellStyle name="40% - Accent1 2 3 2 14" xfId="36076" xr:uid="{00000000-0005-0000-0000-00002F2C0000}"/>
    <cellStyle name="40% - Accent1 2 3 2 15" xfId="37759" xr:uid="{00000000-0005-0000-0000-0000302C0000}"/>
    <cellStyle name="40% - Accent1 2 3 2 16" xfId="39442" xr:uid="{00000000-0005-0000-0000-0000312C0000}"/>
    <cellStyle name="40% - Accent1 2 3 2 17" xfId="41125" xr:uid="{00000000-0005-0000-0000-0000322C0000}"/>
    <cellStyle name="40% - Accent1 2 3 2 18" xfId="42808" xr:uid="{00000000-0005-0000-0000-0000332C0000}"/>
    <cellStyle name="40% - Accent1 2 3 2 19" xfId="44491" xr:uid="{00000000-0005-0000-0000-0000342C0000}"/>
    <cellStyle name="40% - Accent1 2 3 2 2" xfId="2412" xr:uid="{00000000-0005-0000-0000-0000352C0000}"/>
    <cellStyle name="40% - Accent1 2 3 2 2 2" xfId="17561" xr:uid="{00000000-0005-0000-0000-0000362C0000}"/>
    <cellStyle name="40% - Accent1 2 3 2 20" xfId="46174" xr:uid="{00000000-0005-0000-0000-0000372C0000}"/>
    <cellStyle name="40% - Accent1 2 3 2 21" xfId="47857" xr:uid="{00000000-0005-0000-0000-0000382C0000}"/>
    <cellStyle name="40% - Accent1 2 3 2 22" xfId="49540" xr:uid="{00000000-0005-0000-0000-0000392C0000}"/>
    <cellStyle name="40% - Accent1 2 3 2 23" xfId="51223" xr:uid="{00000000-0005-0000-0000-00003A2C0000}"/>
    <cellStyle name="40% - Accent1 2 3 2 24" xfId="52906" xr:uid="{00000000-0005-0000-0000-00003B2C0000}"/>
    <cellStyle name="40% - Accent1 2 3 2 25" xfId="54589" xr:uid="{00000000-0005-0000-0000-00003C2C0000}"/>
    <cellStyle name="40% - Accent1 2 3 2 26" xfId="56272" xr:uid="{00000000-0005-0000-0000-00003D2C0000}"/>
    <cellStyle name="40% - Accent1 2 3 2 27" xfId="57955" xr:uid="{00000000-0005-0000-0000-00003E2C0000}"/>
    <cellStyle name="40% - Accent1 2 3 2 28" xfId="59638" xr:uid="{00000000-0005-0000-0000-00003F2C0000}"/>
    <cellStyle name="40% - Accent1 2 3 2 29" xfId="61321" xr:uid="{00000000-0005-0000-0000-0000402C0000}"/>
    <cellStyle name="40% - Accent1 2 3 2 3" xfId="4096" xr:uid="{00000000-0005-0000-0000-0000412C0000}"/>
    <cellStyle name="40% - Accent1 2 3 2 3 2" xfId="19245" xr:uid="{00000000-0005-0000-0000-0000422C0000}"/>
    <cellStyle name="40% - Accent1 2 3 2 30" xfId="63004" xr:uid="{00000000-0005-0000-0000-0000432C0000}"/>
    <cellStyle name="40% - Accent1 2 3 2 4" xfId="5779" xr:uid="{00000000-0005-0000-0000-0000442C0000}"/>
    <cellStyle name="40% - Accent1 2 3 2 4 2" xfId="20928" xr:uid="{00000000-0005-0000-0000-0000452C0000}"/>
    <cellStyle name="40% - Accent1 2 3 2 5" xfId="7462" xr:uid="{00000000-0005-0000-0000-0000462C0000}"/>
    <cellStyle name="40% - Accent1 2 3 2 5 2" xfId="22611" xr:uid="{00000000-0005-0000-0000-0000472C0000}"/>
    <cellStyle name="40% - Accent1 2 3 2 6" xfId="9145" xr:uid="{00000000-0005-0000-0000-0000482C0000}"/>
    <cellStyle name="40% - Accent1 2 3 2 6 2" xfId="24294" xr:uid="{00000000-0005-0000-0000-0000492C0000}"/>
    <cellStyle name="40% - Accent1 2 3 2 7" xfId="10828" xr:uid="{00000000-0005-0000-0000-00004A2C0000}"/>
    <cellStyle name="40% - Accent1 2 3 2 7 2" xfId="25977" xr:uid="{00000000-0005-0000-0000-00004B2C0000}"/>
    <cellStyle name="40% - Accent1 2 3 2 8" xfId="12512" xr:uid="{00000000-0005-0000-0000-00004C2C0000}"/>
    <cellStyle name="40% - Accent1 2 3 2 8 2" xfId="27661" xr:uid="{00000000-0005-0000-0000-00004D2C0000}"/>
    <cellStyle name="40% - Accent1 2 3 2 9" xfId="14195" xr:uid="{00000000-0005-0000-0000-00004E2C0000}"/>
    <cellStyle name="40% - Accent1 2 3 2 9 2" xfId="29344" xr:uid="{00000000-0005-0000-0000-00004F2C0000}"/>
    <cellStyle name="40% - Accent1 2 3 20" xfId="40705" xr:uid="{00000000-0005-0000-0000-0000502C0000}"/>
    <cellStyle name="40% - Accent1 2 3 21" xfId="42388" xr:uid="{00000000-0005-0000-0000-0000512C0000}"/>
    <cellStyle name="40% - Accent1 2 3 22" xfId="44071" xr:uid="{00000000-0005-0000-0000-0000522C0000}"/>
    <cellStyle name="40% - Accent1 2 3 23" xfId="45754" xr:uid="{00000000-0005-0000-0000-0000532C0000}"/>
    <cellStyle name="40% - Accent1 2 3 24" xfId="47437" xr:uid="{00000000-0005-0000-0000-0000542C0000}"/>
    <cellStyle name="40% - Accent1 2 3 25" xfId="49120" xr:uid="{00000000-0005-0000-0000-0000552C0000}"/>
    <cellStyle name="40% - Accent1 2 3 26" xfId="50803" xr:uid="{00000000-0005-0000-0000-0000562C0000}"/>
    <cellStyle name="40% - Accent1 2 3 27" xfId="52486" xr:uid="{00000000-0005-0000-0000-0000572C0000}"/>
    <cellStyle name="40% - Accent1 2 3 28" xfId="54169" xr:uid="{00000000-0005-0000-0000-0000582C0000}"/>
    <cellStyle name="40% - Accent1 2 3 29" xfId="55852" xr:uid="{00000000-0005-0000-0000-0000592C0000}"/>
    <cellStyle name="40% - Accent1 2 3 3" xfId="1150" xr:uid="{00000000-0005-0000-0000-00005A2C0000}"/>
    <cellStyle name="40% - Accent1 2 3 3 10" xfId="16299" xr:uid="{00000000-0005-0000-0000-00005B2C0000}"/>
    <cellStyle name="40% - Accent1 2 3 3 11" xfId="31448" xr:uid="{00000000-0005-0000-0000-00005C2C0000}"/>
    <cellStyle name="40% - Accent1 2 3 3 12" xfId="33131" xr:uid="{00000000-0005-0000-0000-00005D2C0000}"/>
    <cellStyle name="40% - Accent1 2 3 3 13" xfId="34814" xr:uid="{00000000-0005-0000-0000-00005E2C0000}"/>
    <cellStyle name="40% - Accent1 2 3 3 14" xfId="36497" xr:uid="{00000000-0005-0000-0000-00005F2C0000}"/>
    <cellStyle name="40% - Accent1 2 3 3 15" xfId="38180" xr:uid="{00000000-0005-0000-0000-0000602C0000}"/>
    <cellStyle name="40% - Accent1 2 3 3 16" xfId="39863" xr:uid="{00000000-0005-0000-0000-0000612C0000}"/>
    <cellStyle name="40% - Accent1 2 3 3 17" xfId="41546" xr:uid="{00000000-0005-0000-0000-0000622C0000}"/>
    <cellStyle name="40% - Accent1 2 3 3 18" xfId="43229" xr:uid="{00000000-0005-0000-0000-0000632C0000}"/>
    <cellStyle name="40% - Accent1 2 3 3 19" xfId="44912" xr:uid="{00000000-0005-0000-0000-0000642C0000}"/>
    <cellStyle name="40% - Accent1 2 3 3 2" xfId="2833" xr:uid="{00000000-0005-0000-0000-0000652C0000}"/>
    <cellStyle name="40% - Accent1 2 3 3 2 2" xfId="17982" xr:uid="{00000000-0005-0000-0000-0000662C0000}"/>
    <cellStyle name="40% - Accent1 2 3 3 20" xfId="46595" xr:uid="{00000000-0005-0000-0000-0000672C0000}"/>
    <cellStyle name="40% - Accent1 2 3 3 21" xfId="48278" xr:uid="{00000000-0005-0000-0000-0000682C0000}"/>
    <cellStyle name="40% - Accent1 2 3 3 22" xfId="49961" xr:uid="{00000000-0005-0000-0000-0000692C0000}"/>
    <cellStyle name="40% - Accent1 2 3 3 23" xfId="51644" xr:uid="{00000000-0005-0000-0000-00006A2C0000}"/>
    <cellStyle name="40% - Accent1 2 3 3 24" xfId="53327" xr:uid="{00000000-0005-0000-0000-00006B2C0000}"/>
    <cellStyle name="40% - Accent1 2 3 3 25" xfId="55010" xr:uid="{00000000-0005-0000-0000-00006C2C0000}"/>
    <cellStyle name="40% - Accent1 2 3 3 26" xfId="56693" xr:uid="{00000000-0005-0000-0000-00006D2C0000}"/>
    <cellStyle name="40% - Accent1 2 3 3 27" xfId="58376" xr:uid="{00000000-0005-0000-0000-00006E2C0000}"/>
    <cellStyle name="40% - Accent1 2 3 3 28" xfId="60059" xr:uid="{00000000-0005-0000-0000-00006F2C0000}"/>
    <cellStyle name="40% - Accent1 2 3 3 29" xfId="61742" xr:uid="{00000000-0005-0000-0000-0000702C0000}"/>
    <cellStyle name="40% - Accent1 2 3 3 3" xfId="4517" xr:uid="{00000000-0005-0000-0000-0000712C0000}"/>
    <cellStyle name="40% - Accent1 2 3 3 3 2" xfId="19666" xr:uid="{00000000-0005-0000-0000-0000722C0000}"/>
    <cellStyle name="40% - Accent1 2 3 3 30" xfId="63425" xr:uid="{00000000-0005-0000-0000-0000732C0000}"/>
    <cellStyle name="40% - Accent1 2 3 3 4" xfId="6200" xr:uid="{00000000-0005-0000-0000-0000742C0000}"/>
    <cellStyle name="40% - Accent1 2 3 3 4 2" xfId="21349" xr:uid="{00000000-0005-0000-0000-0000752C0000}"/>
    <cellStyle name="40% - Accent1 2 3 3 5" xfId="7883" xr:uid="{00000000-0005-0000-0000-0000762C0000}"/>
    <cellStyle name="40% - Accent1 2 3 3 5 2" xfId="23032" xr:uid="{00000000-0005-0000-0000-0000772C0000}"/>
    <cellStyle name="40% - Accent1 2 3 3 6" xfId="9566" xr:uid="{00000000-0005-0000-0000-0000782C0000}"/>
    <cellStyle name="40% - Accent1 2 3 3 6 2" xfId="24715" xr:uid="{00000000-0005-0000-0000-0000792C0000}"/>
    <cellStyle name="40% - Accent1 2 3 3 7" xfId="11249" xr:uid="{00000000-0005-0000-0000-00007A2C0000}"/>
    <cellStyle name="40% - Accent1 2 3 3 7 2" xfId="26398" xr:uid="{00000000-0005-0000-0000-00007B2C0000}"/>
    <cellStyle name="40% - Accent1 2 3 3 8" xfId="12933" xr:uid="{00000000-0005-0000-0000-00007C2C0000}"/>
    <cellStyle name="40% - Accent1 2 3 3 8 2" xfId="28082" xr:uid="{00000000-0005-0000-0000-00007D2C0000}"/>
    <cellStyle name="40% - Accent1 2 3 3 9" xfId="14616" xr:uid="{00000000-0005-0000-0000-00007E2C0000}"/>
    <cellStyle name="40% - Accent1 2 3 3 9 2" xfId="29765" xr:uid="{00000000-0005-0000-0000-00007F2C0000}"/>
    <cellStyle name="40% - Accent1 2 3 30" xfId="57535" xr:uid="{00000000-0005-0000-0000-0000802C0000}"/>
    <cellStyle name="40% - Accent1 2 3 31" xfId="59218" xr:uid="{00000000-0005-0000-0000-0000812C0000}"/>
    <cellStyle name="40% - Accent1 2 3 32" xfId="60901" xr:uid="{00000000-0005-0000-0000-0000822C0000}"/>
    <cellStyle name="40% - Accent1 2 3 33" xfId="62584" xr:uid="{00000000-0005-0000-0000-0000832C0000}"/>
    <cellStyle name="40% - Accent1 2 3 4" xfId="1571" xr:uid="{00000000-0005-0000-0000-0000842C0000}"/>
    <cellStyle name="40% - Accent1 2 3 4 10" xfId="16720" xr:uid="{00000000-0005-0000-0000-0000852C0000}"/>
    <cellStyle name="40% - Accent1 2 3 4 11" xfId="31869" xr:uid="{00000000-0005-0000-0000-0000862C0000}"/>
    <cellStyle name="40% - Accent1 2 3 4 12" xfId="33552" xr:uid="{00000000-0005-0000-0000-0000872C0000}"/>
    <cellStyle name="40% - Accent1 2 3 4 13" xfId="35235" xr:uid="{00000000-0005-0000-0000-0000882C0000}"/>
    <cellStyle name="40% - Accent1 2 3 4 14" xfId="36918" xr:uid="{00000000-0005-0000-0000-0000892C0000}"/>
    <cellStyle name="40% - Accent1 2 3 4 15" xfId="38601" xr:uid="{00000000-0005-0000-0000-00008A2C0000}"/>
    <cellStyle name="40% - Accent1 2 3 4 16" xfId="40284" xr:uid="{00000000-0005-0000-0000-00008B2C0000}"/>
    <cellStyle name="40% - Accent1 2 3 4 17" xfId="41967" xr:uid="{00000000-0005-0000-0000-00008C2C0000}"/>
    <cellStyle name="40% - Accent1 2 3 4 18" xfId="43650" xr:uid="{00000000-0005-0000-0000-00008D2C0000}"/>
    <cellStyle name="40% - Accent1 2 3 4 19" xfId="45333" xr:uid="{00000000-0005-0000-0000-00008E2C0000}"/>
    <cellStyle name="40% - Accent1 2 3 4 2" xfId="3254" xr:uid="{00000000-0005-0000-0000-00008F2C0000}"/>
    <cellStyle name="40% - Accent1 2 3 4 2 2" xfId="18403" xr:uid="{00000000-0005-0000-0000-0000902C0000}"/>
    <cellStyle name="40% - Accent1 2 3 4 20" xfId="47016" xr:uid="{00000000-0005-0000-0000-0000912C0000}"/>
    <cellStyle name="40% - Accent1 2 3 4 21" xfId="48699" xr:uid="{00000000-0005-0000-0000-0000922C0000}"/>
    <cellStyle name="40% - Accent1 2 3 4 22" xfId="50382" xr:uid="{00000000-0005-0000-0000-0000932C0000}"/>
    <cellStyle name="40% - Accent1 2 3 4 23" xfId="52065" xr:uid="{00000000-0005-0000-0000-0000942C0000}"/>
    <cellStyle name="40% - Accent1 2 3 4 24" xfId="53748" xr:uid="{00000000-0005-0000-0000-0000952C0000}"/>
    <cellStyle name="40% - Accent1 2 3 4 25" xfId="55431" xr:uid="{00000000-0005-0000-0000-0000962C0000}"/>
    <cellStyle name="40% - Accent1 2 3 4 26" xfId="57114" xr:uid="{00000000-0005-0000-0000-0000972C0000}"/>
    <cellStyle name="40% - Accent1 2 3 4 27" xfId="58797" xr:uid="{00000000-0005-0000-0000-0000982C0000}"/>
    <cellStyle name="40% - Accent1 2 3 4 28" xfId="60480" xr:uid="{00000000-0005-0000-0000-0000992C0000}"/>
    <cellStyle name="40% - Accent1 2 3 4 29" xfId="62163" xr:uid="{00000000-0005-0000-0000-00009A2C0000}"/>
    <cellStyle name="40% - Accent1 2 3 4 3" xfId="4938" xr:uid="{00000000-0005-0000-0000-00009B2C0000}"/>
    <cellStyle name="40% - Accent1 2 3 4 3 2" xfId="20087" xr:uid="{00000000-0005-0000-0000-00009C2C0000}"/>
    <cellStyle name="40% - Accent1 2 3 4 30" xfId="63846" xr:uid="{00000000-0005-0000-0000-00009D2C0000}"/>
    <cellStyle name="40% - Accent1 2 3 4 4" xfId="6621" xr:uid="{00000000-0005-0000-0000-00009E2C0000}"/>
    <cellStyle name="40% - Accent1 2 3 4 4 2" xfId="21770" xr:uid="{00000000-0005-0000-0000-00009F2C0000}"/>
    <cellStyle name="40% - Accent1 2 3 4 5" xfId="8304" xr:uid="{00000000-0005-0000-0000-0000A02C0000}"/>
    <cellStyle name="40% - Accent1 2 3 4 5 2" xfId="23453" xr:uid="{00000000-0005-0000-0000-0000A12C0000}"/>
    <cellStyle name="40% - Accent1 2 3 4 6" xfId="9987" xr:uid="{00000000-0005-0000-0000-0000A22C0000}"/>
    <cellStyle name="40% - Accent1 2 3 4 6 2" xfId="25136" xr:uid="{00000000-0005-0000-0000-0000A32C0000}"/>
    <cellStyle name="40% - Accent1 2 3 4 7" xfId="11670" xr:uid="{00000000-0005-0000-0000-0000A42C0000}"/>
    <cellStyle name="40% - Accent1 2 3 4 7 2" xfId="26819" xr:uid="{00000000-0005-0000-0000-0000A52C0000}"/>
    <cellStyle name="40% - Accent1 2 3 4 8" xfId="13354" xr:uid="{00000000-0005-0000-0000-0000A62C0000}"/>
    <cellStyle name="40% - Accent1 2 3 4 8 2" xfId="28503" xr:uid="{00000000-0005-0000-0000-0000A72C0000}"/>
    <cellStyle name="40% - Accent1 2 3 4 9" xfId="15037" xr:uid="{00000000-0005-0000-0000-0000A82C0000}"/>
    <cellStyle name="40% - Accent1 2 3 4 9 2" xfId="30186" xr:uid="{00000000-0005-0000-0000-0000A92C0000}"/>
    <cellStyle name="40% - Accent1 2 3 5" xfId="1992" xr:uid="{00000000-0005-0000-0000-0000AA2C0000}"/>
    <cellStyle name="40% - Accent1 2 3 5 2" xfId="17141" xr:uid="{00000000-0005-0000-0000-0000AB2C0000}"/>
    <cellStyle name="40% - Accent1 2 3 6" xfId="3676" xr:uid="{00000000-0005-0000-0000-0000AC2C0000}"/>
    <cellStyle name="40% - Accent1 2 3 6 2" xfId="18825" xr:uid="{00000000-0005-0000-0000-0000AD2C0000}"/>
    <cellStyle name="40% - Accent1 2 3 7" xfId="5359" xr:uid="{00000000-0005-0000-0000-0000AE2C0000}"/>
    <cellStyle name="40% - Accent1 2 3 7 2" xfId="20508" xr:uid="{00000000-0005-0000-0000-0000AF2C0000}"/>
    <cellStyle name="40% - Accent1 2 3 8" xfId="7042" xr:uid="{00000000-0005-0000-0000-0000B02C0000}"/>
    <cellStyle name="40% - Accent1 2 3 8 2" xfId="22191" xr:uid="{00000000-0005-0000-0000-0000B12C0000}"/>
    <cellStyle name="40% - Accent1 2 3 9" xfId="8725" xr:uid="{00000000-0005-0000-0000-0000B22C0000}"/>
    <cellStyle name="40% - Accent1 2 3 9 2" xfId="23874" xr:uid="{00000000-0005-0000-0000-0000B32C0000}"/>
    <cellStyle name="40% - Accent1 2 30" xfId="53959" xr:uid="{00000000-0005-0000-0000-0000B42C0000}"/>
    <cellStyle name="40% - Accent1 2 31" xfId="55642" xr:uid="{00000000-0005-0000-0000-0000B52C0000}"/>
    <cellStyle name="40% - Accent1 2 32" xfId="57325" xr:uid="{00000000-0005-0000-0000-0000B62C0000}"/>
    <cellStyle name="40% - Accent1 2 33" xfId="59008" xr:uid="{00000000-0005-0000-0000-0000B72C0000}"/>
    <cellStyle name="40% - Accent1 2 34" xfId="60691" xr:uid="{00000000-0005-0000-0000-0000B82C0000}"/>
    <cellStyle name="40% - Accent1 2 35" xfId="62374" xr:uid="{00000000-0005-0000-0000-0000B92C0000}"/>
    <cellStyle name="40% - Accent1 2 4" xfId="519" xr:uid="{00000000-0005-0000-0000-0000BA2C0000}"/>
    <cellStyle name="40% - Accent1 2 4 10" xfId="15668" xr:uid="{00000000-0005-0000-0000-0000BB2C0000}"/>
    <cellStyle name="40% - Accent1 2 4 11" xfId="30817" xr:uid="{00000000-0005-0000-0000-0000BC2C0000}"/>
    <cellStyle name="40% - Accent1 2 4 12" xfId="32500" xr:uid="{00000000-0005-0000-0000-0000BD2C0000}"/>
    <cellStyle name="40% - Accent1 2 4 13" xfId="34183" xr:uid="{00000000-0005-0000-0000-0000BE2C0000}"/>
    <cellStyle name="40% - Accent1 2 4 14" xfId="35866" xr:uid="{00000000-0005-0000-0000-0000BF2C0000}"/>
    <cellStyle name="40% - Accent1 2 4 15" xfId="37549" xr:uid="{00000000-0005-0000-0000-0000C02C0000}"/>
    <cellStyle name="40% - Accent1 2 4 16" xfId="39232" xr:uid="{00000000-0005-0000-0000-0000C12C0000}"/>
    <cellStyle name="40% - Accent1 2 4 17" xfId="40915" xr:uid="{00000000-0005-0000-0000-0000C22C0000}"/>
    <cellStyle name="40% - Accent1 2 4 18" xfId="42598" xr:uid="{00000000-0005-0000-0000-0000C32C0000}"/>
    <cellStyle name="40% - Accent1 2 4 19" xfId="44281" xr:uid="{00000000-0005-0000-0000-0000C42C0000}"/>
    <cellStyle name="40% - Accent1 2 4 2" xfId="2202" xr:uid="{00000000-0005-0000-0000-0000C52C0000}"/>
    <cellStyle name="40% - Accent1 2 4 2 2" xfId="17351" xr:uid="{00000000-0005-0000-0000-0000C62C0000}"/>
    <cellStyle name="40% - Accent1 2 4 20" xfId="45964" xr:uid="{00000000-0005-0000-0000-0000C72C0000}"/>
    <cellStyle name="40% - Accent1 2 4 21" xfId="47647" xr:uid="{00000000-0005-0000-0000-0000C82C0000}"/>
    <cellStyle name="40% - Accent1 2 4 22" xfId="49330" xr:uid="{00000000-0005-0000-0000-0000C92C0000}"/>
    <cellStyle name="40% - Accent1 2 4 23" xfId="51013" xr:uid="{00000000-0005-0000-0000-0000CA2C0000}"/>
    <cellStyle name="40% - Accent1 2 4 24" xfId="52696" xr:uid="{00000000-0005-0000-0000-0000CB2C0000}"/>
    <cellStyle name="40% - Accent1 2 4 25" xfId="54379" xr:uid="{00000000-0005-0000-0000-0000CC2C0000}"/>
    <cellStyle name="40% - Accent1 2 4 26" xfId="56062" xr:uid="{00000000-0005-0000-0000-0000CD2C0000}"/>
    <cellStyle name="40% - Accent1 2 4 27" xfId="57745" xr:uid="{00000000-0005-0000-0000-0000CE2C0000}"/>
    <cellStyle name="40% - Accent1 2 4 28" xfId="59428" xr:uid="{00000000-0005-0000-0000-0000CF2C0000}"/>
    <cellStyle name="40% - Accent1 2 4 29" xfId="61111" xr:uid="{00000000-0005-0000-0000-0000D02C0000}"/>
    <cellStyle name="40% - Accent1 2 4 3" xfId="3886" xr:uid="{00000000-0005-0000-0000-0000D12C0000}"/>
    <cellStyle name="40% - Accent1 2 4 3 2" xfId="19035" xr:uid="{00000000-0005-0000-0000-0000D22C0000}"/>
    <cellStyle name="40% - Accent1 2 4 30" xfId="62794" xr:uid="{00000000-0005-0000-0000-0000D32C0000}"/>
    <cellStyle name="40% - Accent1 2 4 4" xfId="5569" xr:uid="{00000000-0005-0000-0000-0000D42C0000}"/>
    <cellStyle name="40% - Accent1 2 4 4 2" xfId="20718" xr:uid="{00000000-0005-0000-0000-0000D52C0000}"/>
    <cellStyle name="40% - Accent1 2 4 5" xfId="7252" xr:uid="{00000000-0005-0000-0000-0000D62C0000}"/>
    <cellStyle name="40% - Accent1 2 4 5 2" xfId="22401" xr:uid="{00000000-0005-0000-0000-0000D72C0000}"/>
    <cellStyle name="40% - Accent1 2 4 6" xfId="8935" xr:uid="{00000000-0005-0000-0000-0000D82C0000}"/>
    <cellStyle name="40% - Accent1 2 4 6 2" xfId="24084" xr:uid="{00000000-0005-0000-0000-0000D92C0000}"/>
    <cellStyle name="40% - Accent1 2 4 7" xfId="10618" xr:uid="{00000000-0005-0000-0000-0000DA2C0000}"/>
    <cellStyle name="40% - Accent1 2 4 7 2" xfId="25767" xr:uid="{00000000-0005-0000-0000-0000DB2C0000}"/>
    <cellStyle name="40% - Accent1 2 4 8" xfId="12302" xr:uid="{00000000-0005-0000-0000-0000DC2C0000}"/>
    <cellStyle name="40% - Accent1 2 4 8 2" xfId="27451" xr:uid="{00000000-0005-0000-0000-0000DD2C0000}"/>
    <cellStyle name="40% - Accent1 2 4 9" xfId="13985" xr:uid="{00000000-0005-0000-0000-0000DE2C0000}"/>
    <cellStyle name="40% - Accent1 2 4 9 2" xfId="29134" xr:uid="{00000000-0005-0000-0000-0000DF2C0000}"/>
    <cellStyle name="40% - Accent1 2 5" xfId="940" xr:uid="{00000000-0005-0000-0000-0000E02C0000}"/>
    <cellStyle name="40% - Accent1 2 5 10" xfId="16089" xr:uid="{00000000-0005-0000-0000-0000E12C0000}"/>
    <cellStyle name="40% - Accent1 2 5 11" xfId="31238" xr:uid="{00000000-0005-0000-0000-0000E22C0000}"/>
    <cellStyle name="40% - Accent1 2 5 12" xfId="32921" xr:uid="{00000000-0005-0000-0000-0000E32C0000}"/>
    <cellStyle name="40% - Accent1 2 5 13" xfId="34604" xr:uid="{00000000-0005-0000-0000-0000E42C0000}"/>
    <cellStyle name="40% - Accent1 2 5 14" xfId="36287" xr:uid="{00000000-0005-0000-0000-0000E52C0000}"/>
    <cellStyle name="40% - Accent1 2 5 15" xfId="37970" xr:uid="{00000000-0005-0000-0000-0000E62C0000}"/>
    <cellStyle name="40% - Accent1 2 5 16" xfId="39653" xr:uid="{00000000-0005-0000-0000-0000E72C0000}"/>
    <cellStyle name="40% - Accent1 2 5 17" xfId="41336" xr:uid="{00000000-0005-0000-0000-0000E82C0000}"/>
    <cellStyle name="40% - Accent1 2 5 18" xfId="43019" xr:uid="{00000000-0005-0000-0000-0000E92C0000}"/>
    <cellStyle name="40% - Accent1 2 5 19" xfId="44702" xr:uid="{00000000-0005-0000-0000-0000EA2C0000}"/>
    <cellStyle name="40% - Accent1 2 5 2" xfId="2623" xr:uid="{00000000-0005-0000-0000-0000EB2C0000}"/>
    <cellStyle name="40% - Accent1 2 5 2 2" xfId="17772" xr:uid="{00000000-0005-0000-0000-0000EC2C0000}"/>
    <cellStyle name="40% - Accent1 2 5 20" xfId="46385" xr:uid="{00000000-0005-0000-0000-0000ED2C0000}"/>
    <cellStyle name="40% - Accent1 2 5 21" xfId="48068" xr:uid="{00000000-0005-0000-0000-0000EE2C0000}"/>
    <cellStyle name="40% - Accent1 2 5 22" xfId="49751" xr:uid="{00000000-0005-0000-0000-0000EF2C0000}"/>
    <cellStyle name="40% - Accent1 2 5 23" xfId="51434" xr:uid="{00000000-0005-0000-0000-0000F02C0000}"/>
    <cellStyle name="40% - Accent1 2 5 24" xfId="53117" xr:uid="{00000000-0005-0000-0000-0000F12C0000}"/>
    <cellStyle name="40% - Accent1 2 5 25" xfId="54800" xr:uid="{00000000-0005-0000-0000-0000F22C0000}"/>
    <cellStyle name="40% - Accent1 2 5 26" xfId="56483" xr:uid="{00000000-0005-0000-0000-0000F32C0000}"/>
    <cellStyle name="40% - Accent1 2 5 27" xfId="58166" xr:uid="{00000000-0005-0000-0000-0000F42C0000}"/>
    <cellStyle name="40% - Accent1 2 5 28" xfId="59849" xr:uid="{00000000-0005-0000-0000-0000F52C0000}"/>
    <cellStyle name="40% - Accent1 2 5 29" xfId="61532" xr:uid="{00000000-0005-0000-0000-0000F62C0000}"/>
    <cellStyle name="40% - Accent1 2 5 3" xfId="4307" xr:uid="{00000000-0005-0000-0000-0000F72C0000}"/>
    <cellStyle name="40% - Accent1 2 5 3 2" xfId="19456" xr:uid="{00000000-0005-0000-0000-0000F82C0000}"/>
    <cellStyle name="40% - Accent1 2 5 30" xfId="63215" xr:uid="{00000000-0005-0000-0000-0000F92C0000}"/>
    <cellStyle name="40% - Accent1 2 5 4" xfId="5990" xr:uid="{00000000-0005-0000-0000-0000FA2C0000}"/>
    <cellStyle name="40% - Accent1 2 5 4 2" xfId="21139" xr:uid="{00000000-0005-0000-0000-0000FB2C0000}"/>
    <cellStyle name="40% - Accent1 2 5 5" xfId="7673" xr:uid="{00000000-0005-0000-0000-0000FC2C0000}"/>
    <cellStyle name="40% - Accent1 2 5 5 2" xfId="22822" xr:uid="{00000000-0005-0000-0000-0000FD2C0000}"/>
    <cellStyle name="40% - Accent1 2 5 6" xfId="9356" xr:uid="{00000000-0005-0000-0000-0000FE2C0000}"/>
    <cellStyle name="40% - Accent1 2 5 6 2" xfId="24505" xr:uid="{00000000-0005-0000-0000-0000FF2C0000}"/>
    <cellStyle name="40% - Accent1 2 5 7" xfId="11039" xr:uid="{00000000-0005-0000-0000-0000002D0000}"/>
    <cellStyle name="40% - Accent1 2 5 7 2" xfId="26188" xr:uid="{00000000-0005-0000-0000-0000012D0000}"/>
    <cellStyle name="40% - Accent1 2 5 8" xfId="12723" xr:uid="{00000000-0005-0000-0000-0000022D0000}"/>
    <cellStyle name="40% - Accent1 2 5 8 2" xfId="27872" xr:uid="{00000000-0005-0000-0000-0000032D0000}"/>
    <cellStyle name="40% - Accent1 2 5 9" xfId="14406" xr:uid="{00000000-0005-0000-0000-0000042D0000}"/>
    <cellStyle name="40% - Accent1 2 5 9 2" xfId="29555" xr:uid="{00000000-0005-0000-0000-0000052D0000}"/>
    <cellStyle name="40% - Accent1 2 6" xfId="1361" xr:uid="{00000000-0005-0000-0000-0000062D0000}"/>
    <cellStyle name="40% - Accent1 2 6 10" xfId="16510" xr:uid="{00000000-0005-0000-0000-0000072D0000}"/>
    <cellStyle name="40% - Accent1 2 6 11" xfId="31659" xr:uid="{00000000-0005-0000-0000-0000082D0000}"/>
    <cellStyle name="40% - Accent1 2 6 12" xfId="33342" xr:uid="{00000000-0005-0000-0000-0000092D0000}"/>
    <cellStyle name="40% - Accent1 2 6 13" xfId="35025" xr:uid="{00000000-0005-0000-0000-00000A2D0000}"/>
    <cellStyle name="40% - Accent1 2 6 14" xfId="36708" xr:uid="{00000000-0005-0000-0000-00000B2D0000}"/>
    <cellStyle name="40% - Accent1 2 6 15" xfId="38391" xr:uid="{00000000-0005-0000-0000-00000C2D0000}"/>
    <cellStyle name="40% - Accent1 2 6 16" xfId="40074" xr:uid="{00000000-0005-0000-0000-00000D2D0000}"/>
    <cellStyle name="40% - Accent1 2 6 17" xfId="41757" xr:uid="{00000000-0005-0000-0000-00000E2D0000}"/>
    <cellStyle name="40% - Accent1 2 6 18" xfId="43440" xr:uid="{00000000-0005-0000-0000-00000F2D0000}"/>
    <cellStyle name="40% - Accent1 2 6 19" xfId="45123" xr:uid="{00000000-0005-0000-0000-0000102D0000}"/>
    <cellStyle name="40% - Accent1 2 6 2" xfId="3044" xr:uid="{00000000-0005-0000-0000-0000112D0000}"/>
    <cellStyle name="40% - Accent1 2 6 2 2" xfId="18193" xr:uid="{00000000-0005-0000-0000-0000122D0000}"/>
    <cellStyle name="40% - Accent1 2 6 20" xfId="46806" xr:uid="{00000000-0005-0000-0000-0000132D0000}"/>
    <cellStyle name="40% - Accent1 2 6 21" xfId="48489" xr:uid="{00000000-0005-0000-0000-0000142D0000}"/>
    <cellStyle name="40% - Accent1 2 6 22" xfId="50172" xr:uid="{00000000-0005-0000-0000-0000152D0000}"/>
    <cellStyle name="40% - Accent1 2 6 23" xfId="51855" xr:uid="{00000000-0005-0000-0000-0000162D0000}"/>
    <cellStyle name="40% - Accent1 2 6 24" xfId="53538" xr:uid="{00000000-0005-0000-0000-0000172D0000}"/>
    <cellStyle name="40% - Accent1 2 6 25" xfId="55221" xr:uid="{00000000-0005-0000-0000-0000182D0000}"/>
    <cellStyle name="40% - Accent1 2 6 26" xfId="56904" xr:uid="{00000000-0005-0000-0000-0000192D0000}"/>
    <cellStyle name="40% - Accent1 2 6 27" xfId="58587" xr:uid="{00000000-0005-0000-0000-00001A2D0000}"/>
    <cellStyle name="40% - Accent1 2 6 28" xfId="60270" xr:uid="{00000000-0005-0000-0000-00001B2D0000}"/>
    <cellStyle name="40% - Accent1 2 6 29" xfId="61953" xr:uid="{00000000-0005-0000-0000-00001C2D0000}"/>
    <cellStyle name="40% - Accent1 2 6 3" xfId="4728" xr:uid="{00000000-0005-0000-0000-00001D2D0000}"/>
    <cellStyle name="40% - Accent1 2 6 3 2" xfId="19877" xr:uid="{00000000-0005-0000-0000-00001E2D0000}"/>
    <cellStyle name="40% - Accent1 2 6 30" xfId="63636" xr:uid="{00000000-0005-0000-0000-00001F2D0000}"/>
    <cellStyle name="40% - Accent1 2 6 4" xfId="6411" xr:uid="{00000000-0005-0000-0000-0000202D0000}"/>
    <cellStyle name="40% - Accent1 2 6 4 2" xfId="21560" xr:uid="{00000000-0005-0000-0000-0000212D0000}"/>
    <cellStyle name="40% - Accent1 2 6 5" xfId="8094" xr:uid="{00000000-0005-0000-0000-0000222D0000}"/>
    <cellStyle name="40% - Accent1 2 6 5 2" xfId="23243" xr:uid="{00000000-0005-0000-0000-0000232D0000}"/>
    <cellStyle name="40% - Accent1 2 6 6" xfId="9777" xr:uid="{00000000-0005-0000-0000-0000242D0000}"/>
    <cellStyle name="40% - Accent1 2 6 6 2" xfId="24926" xr:uid="{00000000-0005-0000-0000-0000252D0000}"/>
    <cellStyle name="40% - Accent1 2 6 7" xfId="11460" xr:uid="{00000000-0005-0000-0000-0000262D0000}"/>
    <cellStyle name="40% - Accent1 2 6 7 2" xfId="26609" xr:uid="{00000000-0005-0000-0000-0000272D0000}"/>
    <cellStyle name="40% - Accent1 2 6 8" xfId="13144" xr:uid="{00000000-0005-0000-0000-0000282D0000}"/>
    <cellStyle name="40% - Accent1 2 6 8 2" xfId="28293" xr:uid="{00000000-0005-0000-0000-0000292D0000}"/>
    <cellStyle name="40% - Accent1 2 6 9" xfId="14827" xr:uid="{00000000-0005-0000-0000-00002A2D0000}"/>
    <cellStyle name="40% - Accent1 2 6 9 2" xfId="29976" xr:uid="{00000000-0005-0000-0000-00002B2D0000}"/>
    <cellStyle name="40% - Accent1 2 7" xfId="1782" xr:uid="{00000000-0005-0000-0000-00002C2D0000}"/>
    <cellStyle name="40% - Accent1 2 7 2" xfId="16931" xr:uid="{00000000-0005-0000-0000-00002D2D0000}"/>
    <cellStyle name="40% - Accent1 2 8" xfId="3466" xr:uid="{00000000-0005-0000-0000-00002E2D0000}"/>
    <cellStyle name="40% - Accent1 2 8 2" xfId="18615" xr:uid="{00000000-0005-0000-0000-00002F2D0000}"/>
    <cellStyle name="40% - Accent1 2 9" xfId="5149" xr:uid="{00000000-0005-0000-0000-0000302D0000}"/>
    <cellStyle name="40% - Accent1 2 9 2" xfId="20298" xr:uid="{00000000-0005-0000-0000-0000312D0000}"/>
    <cellStyle name="40% - Accent1 20" xfId="33741" xr:uid="{00000000-0005-0000-0000-0000322D0000}"/>
    <cellStyle name="40% - Accent1 21" xfId="35424" xr:uid="{00000000-0005-0000-0000-0000332D0000}"/>
    <cellStyle name="40% - Accent1 22" xfId="37107" xr:uid="{00000000-0005-0000-0000-0000342D0000}"/>
    <cellStyle name="40% - Accent1 23" xfId="38790" xr:uid="{00000000-0005-0000-0000-0000352D0000}"/>
    <cellStyle name="40% - Accent1 24" xfId="40473" xr:uid="{00000000-0005-0000-0000-0000362D0000}"/>
    <cellStyle name="40% - Accent1 25" xfId="42156" xr:uid="{00000000-0005-0000-0000-0000372D0000}"/>
    <cellStyle name="40% - Accent1 26" xfId="43839" xr:uid="{00000000-0005-0000-0000-0000382D0000}"/>
    <cellStyle name="40% - Accent1 27" xfId="45522" xr:uid="{00000000-0005-0000-0000-0000392D0000}"/>
    <cellStyle name="40% - Accent1 28" xfId="47205" xr:uid="{00000000-0005-0000-0000-00003A2D0000}"/>
    <cellStyle name="40% - Accent1 29" xfId="48888" xr:uid="{00000000-0005-0000-0000-00003B2D0000}"/>
    <cellStyle name="40% - Accent1 3" xfId="119" xr:uid="{00000000-0005-0000-0000-00003C2D0000}"/>
    <cellStyle name="40% - Accent1 3 10" xfId="6852" xr:uid="{00000000-0005-0000-0000-00003D2D0000}"/>
    <cellStyle name="40% - Accent1 3 10 2" xfId="22001" xr:uid="{00000000-0005-0000-0000-00003E2D0000}"/>
    <cellStyle name="40% - Accent1 3 11" xfId="8535" xr:uid="{00000000-0005-0000-0000-00003F2D0000}"/>
    <cellStyle name="40% - Accent1 3 11 2" xfId="23684" xr:uid="{00000000-0005-0000-0000-0000402D0000}"/>
    <cellStyle name="40% - Accent1 3 12" xfId="10218" xr:uid="{00000000-0005-0000-0000-0000412D0000}"/>
    <cellStyle name="40% - Accent1 3 12 2" xfId="25367" xr:uid="{00000000-0005-0000-0000-0000422D0000}"/>
    <cellStyle name="40% - Accent1 3 13" xfId="11902" xr:uid="{00000000-0005-0000-0000-0000432D0000}"/>
    <cellStyle name="40% - Accent1 3 13 2" xfId="27051" xr:uid="{00000000-0005-0000-0000-0000442D0000}"/>
    <cellStyle name="40% - Accent1 3 14" xfId="13585" xr:uid="{00000000-0005-0000-0000-0000452D0000}"/>
    <cellStyle name="40% - Accent1 3 14 2" xfId="28734" xr:uid="{00000000-0005-0000-0000-0000462D0000}"/>
    <cellStyle name="40% - Accent1 3 15" xfId="15268" xr:uid="{00000000-0005-0000-0000-0000472D0000}"/>
    <cellStyle name="40% - Accent1 3 16" xfId="30417" xr:uid="{00000000-0005-0000-0000-0000482D0000}"/>
    <cellStyle name="40% - Accent1 3 17" xfId="32100" xr:uid="{00000000-0005-0000-0000-0000492D0000}"/>
    <cellStyle name="40% - Accent1 3 18" xfId="33783" xr:uid="{00000000-0005-0000-0000-00004A2D0000}"/>
    <cellStyle name="40% - Accent1 3 19" xfId="35466" xr:uid="{00000000-0005-0000-0000-00004B2D0000}"/>
    <cellStyle name="40% - Accent1 3 2" xfId="224" xr:uid="{00000000-0005-0000-0000-00004C2D0000}"/>
    <cellStyle name="40% - Accent1 3 2 10" xfId="8640" xr:uid="{00000000-0005-0000-0000-00004D2D0000}"/>
    <cellStyle name="40% - Accent1 3 2 10 2" xfId="23789" xr:uid="{00000000-0005-0000-0000-00004E2D0000}"/>
    <cellStyle name="40% - Accent1 3 2 11" xfId="10323" xr:uid="{00000000-0005-0000-0000-00004F2D0000}"/>
    <cellStyle name="40% - Accent1 3 2 11 2" xfId="25472" xr:uid="{00000000-0005-0000-0000-0000502D0000}"/>
    <cellStyle name="40% - Accent1 3 2 12" xfId="12007" xr:uid="{00000000-0005-0000-0000-0000512D0000}"/>
    <cellStyle name="40% - Accent1 3 2 12 2" xfId="27156" xr:uid="{00000000-0005-0000-0000-0000522D0000}"/>
    <cellStyle name="40% - Accent1 3 2 13" xfId="13690" xr:uid="{00000000-0005-0000-0000-0000532D0000}"/>
    <cellStyle name="40% - Accent1 3 2 13 2" xfId="28839" xr:uid="{00000000-0005-0000-0000-0000542D0000}"/>
    <cellStyle name="40% - Accent1 3 2 14" xfId="15373" xr:uid="{00000000-0005-0000-0000-0000552D0000}"/>
    <cellStyle name="40% - Accent1 3 2 15" xfId="30522" xr:uid="{00000000-0005-0000-0000-0000562D0000}"/>
    <cellStyle name="40% - Accent1 3 2 16" xfId="32205" xr:uid="{00000000-0005-0000-0000-0000572D0000}"/>
    <cellStyle name="40% - Accent1 3 2 17" xfId="33888" xr:uid="{00000000-0005-0000-0000-0000582D0000}"/>
    <cellStyle name="40% - Accent1 3 2 18" xfId="35571" xr:uid="{00000000-0005-0000-0000-0000592D0000}"/>
    <cellStyle name="40% - Accent1 3 2 19" xfId="37254" xr:uid="{00000000-0005-0000-0000-00005A2D0000}"/>
    <cellStyle name="40% - Accent1 3 2 2" xfId="434" xr:uid="{00000000-0005-0000-0000-00005B2D0000}"/>
    <cellStyle name="40% - Accent1 3 2 2 10" xfId="10533" xr:uid="{00000000-0005-0000-0000-00005C2D0000}"/>
    <cellStyle name="40% - Accent1 3 2 2 10 2" xfId="25682" xr:uid="{00000000-0005-0000-0000-00005D2D0000}"/>
    <cellStyle name="40% - Accent1 3 2 2 11" xfId="12217" xr:uid="{00000000-0005-0000-0000-00005E2D0000}"/>
    <cellStyle name="40% - Accent1 3 2 2 11 2" xfId="27366" xr:uid="{00000000-0005-0000-0000-00005F2D0000}"/>
    <cellStyle name="40% - Accent1 3 2 2 12" xfId="13900" xr:uid="{00000000-0005-0000-0000-0000602D0000}"/>
    <cellStyle name="40% - Accent1 3 2 2 12 2" xfId="29049" xr:uid="{00000000-0005-0000-0000-0000612D0000}"/>
    <cellStyle name="40% - Accent1 3 2 2 13" xfId="15583" xr:uid="{00000000-0005-0000-0000-0000622D0000}"/>
    <cellStyle name="40% - Accent1 3 2 2 14" xfId="30732" xr:uid="{00000000-0005-0000-0000-0000632D0000}"/>
    <cellStyle name="40% - Accent1 3 2 2 15" xfId="32415" xr:uid="{00000000-0005-0000-0000-0000642D0000}"/>
    <cellStyle name="40% - Accent1 3 2 2 16" xfId="34098" xr:uid="{00000000-0005-0000-0000-0000652D0000}"/>
    <cellStyle name="40% - Accent1 3 2 2 17" xfId="35781" xr:uid="{00000000-0005-0000-0000-0000662D0000}"/>
    <cellStyle name="40% - Accent1 3 2 2 18" xfId="37464" xr:uid="{00000000-0005-0000-0000-0000672D0000}"/>
    <cellStyle name="40% - Accent1 3 2 2 19" xfId="39147" xr:uid="{00000000-0005-0000-0000-0000682D0000}"/>
    <cellStyle name="40% - Accent1 3 2 2 2" xfId="854" xr:uid="{00000000-0005-0000-0000-0000692D0000}"/>
    <cellStyle name="40% - Accent1 3 2 2 2 10" xfId="16003" xr:uid="{00000000-0005-0000-0000-00006A2D0000}"/>
    <cellStyle name="40% - Accent1 3 2 2 2 11" xfId="31152" xr:uid="{00000000-0005-0000-0000-00006B2D0000}"/>
    <cellStyle name="40% - Accent1 3 2 2 2 12" xfId="32835" xr:uid="{00000000-0005-0000-0000-00006C2D0000}"/>
    <cellStyle name="40% - Accent1 3 2 2 2 13" xfId="34518" xr:uid="{00000000-0005-0000-0000-00006D2D0000}"/>
    <cellStyle name="40% - Accent1 3 2 2 2 14" xfId="36201" xr:uid="{00000000-0005-0000-0000-00006E2D0000}"/>
    <cellStyle name="40% - Accent1 3 2 2 2 15" xfId="37884" xr:uid="{00000000-0005-0000-0000-00006F2D0000}"/>
    <cellStyle name="40% - Accent1 3 2 2 2 16" xfId="39567" xr:uid="{00000000-0005-0000-0000-0000702D0000}"/>
    <cellStyle name="40% - Accent1 3 2 2 2 17" xfId="41250" xr:uid="{00000000-0005-0000-0000-0000712D0000}"/>
    <cellStyle name="40% - Accent1 3 2 2 2 18" xfId="42933" xr:uid="{00000000-0005-0000-0000-0000722D0000}"/>
    <cellStyle name="40% - Accent1 3 2 2 2 19" xfId="44616" xr:uid="{00000000-0005-0000-0000-0000732D0000}"/>
    <cellStyle name="40% - Accent1 3 2 2 2 2" xfId="2537" xr:uid="{00000000-0005-0000-0000-0000742D0000}"/>
    <cellStyle name="40% - Accent1 3 2 2 2 2 2" xfId="17686" xr:uid="{00000000-0005-0000-0000-0000752D0000}"/>
    <cellStyle name="40% - Accent1 3 2 2 2 20" xfId="46299" xr:uid="{00000000-0005-0000-0000-0000762D0000}"/>
    <cellStyle name="40% - Accent1 3 2 2 2 21" xfId="47982" xr:uid="{00000000-0005-0000-0000-0000772D0000}"/>
    <cellStyle name="40% - Accent1 3 2 2 2 22" xfId="49665" xr:uid="{00000000-0005-0000-0000-0000782D0000}"/>
    <cellStyle name="40% - Accent1 3 2 2 2 23" xfId="51348" xr:uid="{00000000-0005-0000-0000-0000792D0000}"/>
    <cellStyle name="40% - Accent1 3 2 2 2 24" xfId="53031" xr:uid="{00000000-0005-0000-0000-00007A2D0000}"/>
    <cellStyle name="40% - Accent1 3 2 2 2 25" xfId="54714" xr:uid="{00000000-0005-0000-0000-00007B2D0000}"/>
    <cellStyle name="40% - Accent1 3 2 2 2 26" xfId="56397" xr:uid="{00000000-0005-0000-0000-00007C2D0000}"/>
    <cellStyle name="40% - Accent1 3 2 2 2 27" xfId="58080" xr:uid="{00000000-0005-0000-0000-00007D2D0000}"/>
    <cellStyle name="40% - Accent1 3 2 2 2 28" xfId="59763" xr:uid="{00000000-0005-0000-0000-00007E2D0000}"/>
    <cellStyle name="40% - Accent1 3 2 2 2 29" xfId="61446" xr:uid="{00000000-0005-0000-0000-00007F2D0000}"/>
    <cellStyle name="40% - Accent1 3 2 2 2 3" xfId="4221" xr:uid="{00000000-0005-0000-0000-0000802D0000}"/>
    <cellStyle name="40% - Accent1 3 2 2 2 3 2" xfId="19370" xr:uid="{00000000-0005-0000-0000-0000812D0000}"/>
    <cellStyle name="40% - Accent1 3 2 2 2 30" xfId="63129" xr:uid="{00000000-0005-0000-0000-0000822D0000}"/>
    <cellStyle name="40% - Accent1 3 2 2 2 4" xfId="5904" xr:uid="{00000000-0005-0000-0000-0000832D0000}"/>
    <cellStyle name="40% - Accent1 3 2 2 2 4 2" xfId="21053" xr:uid="{00000000-0005-0000-0000-0000842D0000}"/>
    <cellStyle name="40% - Accent1 3 2 2 2 5" xfId="7587" xr:uid="{00000000-0005-0000-0000-0000852D0000}"/>
    <cellStyle name="40% - Accent1 3 2 2 2 5 2" xfId="22736" xr:uid="{00000000-0005-0000-0000-0000862D0000}"/>
    <cellStyle name="40% - Accent1 3 2 2 2 6" xfId="9270" xr:uid="{00000000-0005-0000-0000-0000872D0000}"/>
    <cellStyle name="40% - Accent1 3 2 2 2 6 2" xfId="24419" xr:uid="{00000000-0005-0000-0000-0000882D0000}"/>
    <cellStyle name="40% - Accent1 3 2 2 2 7" xfId="10953" xr:uid="{00000000-0005-0000-0000-0000892D0000}"/>
    <cellStyle name="40% - Accent1 3 2 2 2 7 2" xfId="26102" xr:uid="{00000000-0005-0000-0000-00008A2D0000}"/>
    <cellStyle name="40% - Accent1 3 2 2 2 8" xfId="12637" xr:uid="{00000000-0005-0000-0000-00008B2D0000}"/>
    <cellStyle name="40% - Accent1 3 2 2 2 8 2" xfId="27786" xr:uid="{00000000-0005-0000-0000-00008C2D0000}"/>
    <cellStyle name="40% - Accent1 3 2 2 2 9" xfId="14320" xr:uid="{00000000-0005-0000-0000-00008D2D0000}"/>
    <cellStyle name="40% - Accent1 3 2 2 2 9 2" xfId="29469" xr:uid="{00000000-0005-0000-0000-00008E2D0000}"/>
    <cellStyle name="40% - Accent1 3 2 2 20" xfId="40830" xr:uid="{00000000-0005-0000-0000-00008F2D0000}"/>
    <cellStyle name="40% - Accent1 3 2 2 21" xfId="42513" xr:uid="{00000000-0005-0000-0000-0000902D0000}"/>
    <cellStyle name="40% - Accent1 3 2 2 22" xfId="44196" xr:uid="{00000000-0005-0000-0000-0000912D0000}"/>
    <cellStyle name="40% - Accent1 3 2 2 23" xfId="45879" xr:uid="{00000000-0005-0000-0000-0000922D0000}"/>
    <cellStyle name="40% - Accent1 3 2 2 24" xfId="47562" xr:uid="{00000000-0005-0000-0000-0000932D0000}"/>
    <cellStyle name="40% - Accent1 3 2 2 25" xfId="49245" xr:uid="{00000000-0005-0000-0000-0000942D0000}"/>
    <cellStyle name="40% - Accent1 3 2 2 26" xfId="50928" xr:uid="{00000000-0005-0000-0000-0000952D0000}"/>
    <cellStyle name="40% - Accent1 3 2 2 27" xfId="52611" xr:uid="{00000000-0005-0000-0000-0000962D0000}"/>
    <cellStyle name="40% - Accent1 3 2 2 28" xfId="54294" xr:uid="{00000000-0005-0000-0000-0000972D0000}"/>
    <cellStyle name="40% - Accent1 3 2 2 29" xfId="55977" xr:uid="{00000000-0005-0000-0000-0000982D0000}"/>
    <cellStyle name="40% - Accent1 3 2 2 3" xfId="1275" xr:uid="{00000000-0005-0000-0000-0000992D0000}"/>
    <cellStyle name="40% - Accent1 3 2 2 3 10" xfId="16424" xr:uid="{00000000-0005-0000-0000-00009A2D0000}"/>
    <cellStyle name="40% - Accent1 3 2 2 3 11" xfId="31573" xr:uid="{00000000-0005-0000-0000-00009B2D0000}"/>
    <cellStyle name="40% - Accent1 3 2 2 3 12" xfId="33256" xr:uid="{00000000-0005-0000-0000-00009C2D0000}"/>
    <cellStyle name="40% - Accent1 3 2 2 3 13" xfId="34939" xr:uid="{00000000-0005-0000-0000-00009D2D0000}"/>
    <cellStyle name="40% - Accent1 3 2 2 3 14" xfId="36622" xr:uid="{00000000-0005-0000-0000-00009E2D0000}"/>
    <cellStyle name="40% - Accent1 3 2 2 3 15" xfId="38305" xr:uid="{00000000-0005-0000-0000-00009F2D0000}"/>
    <cellStyle name="40% - Accent1 3 2 2 3 16" xfId="39988" xr:uid="{00000000-0005-0000-0000-0000A02D0000}"/>
    <cellStyle name="40% - Accent1 3 2 2 3 17" xfId="41671" xr:uid="{00000000-0005-0000-0000-0000A12D0000}"/>
    <cellStyle name="40% - Accent1 3 2 2 3 18" xfId="43354" xr:uid="{00000000-0005-0000-0000-0000A22D0000}"/>
    <cellStyle name="40% - Accent1 3 2 2 3 19" xfId="45037" xr:uid="{00000000-0005-0000-0000-0000A32D0000}"/>
    <cellStyle name="40% - Accent1 3 2 2 3 2" xfId="2958" xr:uid="{00000000-0005-0000-0000-0000A42D0000}"/>
    <cellStyle name="40% - Accent1 3 2 2 3 2 2" xfId="18107" xr:uid="{00000000-0005-0000-0000-0000A52D0000}"/>
    <cellStyle name="40% - Accent1 3 2 2 3 20" xfId="46720" xr:uid="{00000000-0005-0000-0000-0000A62D0000}"/>
    <cellStyle name="40% - Accent1 3 2 2 3 21" xfId="48403" xr:uid="{00000000-0005-0000-0000-0000A72D0000}"/>
    <cellStyle name="40% - Accent1 3 2 2 3 22" xfId="50086" xr:uid="{00000000-0005-0000-0000-0000A82D0000}"/>
    <cellStyle name="40% - Accent1 3 2 2 3 23" xfId="51769" xr:uid="{00000000-0005-0000-0000-0000A92D0000}"/>
    <cellStyle name="40% - Accent1 3 2 2 3 24" xfId="53452" xr:uid="{00000000-0005-0000-0000-0000AA2D0000}"/>
    <cellStyle name="40% - Accent1 3 2 2 3 25" xfId="55135" xr:uid="{00000000-0005-0000-0000-0000AB2D0000}"/>
    <cellStyle name="40% - Accent1 3 2 2 3 26" xfId="56818" xr:uid="{00000000-0005-0000-0000-0000AC2D0000}"/>
    <cellStyle name="40% - Accent1 3 2 2 3 27" xfId="58501" xr:uid="{00000000-0005-0000-0000-0000AD2D0000}"/>
    <cellStyle name="40% - Accent1 3 2 2 3 28" xfId="60184" xr:uid="{00000000-0005-0000-0000-0000AE2D0000}"/>
    <cellStyle name="40% - Accent1 3 2 2 3 29" xfId="61867" xr:uid="{00000000-0005-0000-0000-0000AF2D0000}"/>
    <cellStyle name="40% - Accent1 3 2 2 3 3" xfId="4642" xr:uid="{00000000-0005-0000-0000-0000B02D0000}"/>
    <cellStyle name="40% - Accent1 3 2 2 3 3 2" xfId="19791" xr:uid="{00000000-0005-0000-0000-0000B12D0000}"/>
    <cellStyle name="40% - Accent1 3 2 2 3 30" xfId="63550" xr:uid="{00000000-0005-0000-0000-0000B22D0000}"/>
    <cellStyle name="40% - Accent1 3 2 2 3 4" xfId="6325" xr:uid="{00000000-0005-0000-0000-0000B32D0000}"/>
    <cellStyle name="40% - Accent1 3 2 2 3 4 2" xfId="21474" xr:uid="{00000000-0005-0000-0000-0000B42D0000}"/>
    <cellStyle name="40% - Accent1 3 2 2 3 5" xfId="8008" xr:uid="{00000000-0005-0000-0000-0000B52D0000}"/>
    <cellStyle name="40% - Accent1 3 2 2 3 5 2" xfId="23157" xr:uid="{00000000-0005-0000-0000-0000B62D0000}"/>
    <cellStyle name="40% - Accent1 3 2 2 3 6" xfId="9691" xr:uid="{00000000-0005-0000-0000-0000B72D0000}"/>
    <cellStyle name="40% - Accent1 3 2 2 3 6 2" xfId="24840" xr:uid="{00000000-0005-0000-0000-0000B82D0000}"/>
    <cellStyle name="40% - Accent1 3 2 2 3 7" xfId="11374" xr:uid="{00000000-0005-0000-0000-0000B92D0000}"/>
    <cellStyle name="40% - Accent1 3 2 2 3 7 2" xfId="26523" xr:uid="{00000000-0005-0000-0000-0000BA2D0000}"/>
    <cellStyle name="40% - Accent1 3 2 2 3 8" xfId="13058" xr:uid="{00000000-0005-0000-0000-0000BB2D0000}"/>
    <cellStyle name="40% - Accent1 3 2 2 3 8 2" xfId="28207" xr:uid="{00000000-0005-0000-0000-0000BC2D0000}"/>
    <cellStyle name="40% - Accent1 3 2 2 3 9" xfId="14741" xr:uid="{00000000-0005-0000-0000-0000BD2D0000}"/>
    <cellStyle name="40% - Accent1 3 2 2 3 9 2" xfId="29890" xr:uid="{00000000-0005-0000-0000-0000BE2D0000}"/>
    <cellStyle name="40% - Accent1 3 2 2 30" xfId="57660" xr:uid="{00000000-0005-0000-0000-0000BF2D0000}"/>
    <cellStyle name="40% - Accent1 3 2 2 31" xfId="59343" xr:uid="{00000000-0005-0000-0000-0000C02D0000}"/>
    <cellStyle name="40% - Accent1 3 2 2 32" xfId="61026" xr:uid="{00000000-0005-0000-0000-0000C12D0000}"/>
    <cellStyle name="40% - Accent1 3 2 2 33" xfId="62709" xr:uid="{00000000-0005-0000-0000-0000C22D0000}"/>
    <cellStyle name="40% - Accent1 3 2 2 4" xfId="1696" xr:uid="{00000000-0005-0000-0000-0000C32D0000}"/>
    <cellStyle name="40% - Accent1 3 2 2 4 10" xfId="16845" xr:uid="{00000000-0005-0000-0000-0000C42D0000}"/>
    <cellStyle name="40% - Accent1 3 2 2 4 11" xfId="31994" xr:uid="{00000000-0005-0000-0000-0000C52D0000}"/>
    <cellStyle name="40% - Accent1 3 2 2 4 12" xfId="33677" xr:uid="{00000000-0005-0000-0000-0000C62D0000}"/>
    <cellStyle name="40% - Accent1 3 2 2 4 13" xfId="35360" xr:uid="{00000000-0005-0000-0000-0000C72D0000}"/>
    <cellStyle name="40% - Accent1 3 2 2 4 14" xfId="37043" xr:uid="{00000000-0005-0000-0000-0000C82D0000}"/>
    <cellStyle name="40% - Accent1 3 2 2 4 15" xfId="38726" xr:uid="{00000000-0005-0000-0000-0000C92D0000}"/>
    <cellStyle name="40% - Accent1 3 2 2 4 16" xfId="40409" xr:uid="{00000000-0005-0000-0000-0000CA2D0000}"/>
    <cellStyle name="40% - Accent1 3 2 2 4 17" xfId="42092" xr:uid="{00000000-0005-0000-0000-0000CB2D0000}"/>
    <cellStyle name="40% - Accent1 3 2 2 4 18" xfId="43775" xr:uid="{00000000-0005-0000-0000-0000CC2D0000}"/>
    <cellStyle name="40% - Accent1 3 2 2 4 19" xfId="45458" xr:uid="{00000000-0005-0000-0000-0000CD2D0000}"/>
    <cellStyle name="40% - Accent1 3 2 2 4 2" xfId="3379" xr:uid="{00000000-0005-0000-0000-0000CE2D0000}"/>
    <cellStyle name="40% - Accent1 3 2 2 4 2 2" xfId="18528" xr:uid="{00000000-0005-0000-0000-0000CF2D0000}"/>
    <cellStyle name="40% - Accent1 3 2 2 4 20" xfId="47141" xr:uid="{00000000-0005-0000-0000-0000D02D0000}"/>
    <cellStyle name="40% - Accent1 3 2 2 4 21" xfId="48824" xr:uid="{00000000-0005-0000-0000-0000D12D0000}"/>
    <cellStyle name="40% - Accent1 3 2 2 4 22" xfId="50507" xr:uid="{00000000-0005-0000-0000-0000D22D0000}"/>
    <cellStyle name="40% - Accent1 3 2 2 4 23" xfId="52190" xr:uid="{00000000-0005-0000-0000-0000D32D0000}"/>
    <cellStyle name="40% - Accent1 3 2 2 4 24" xfId="53873" xr:uid="{00000000-0005-0000-0000-0000D42D0000}"/>
    <cellStyle name="40% - Accent1 3 2 2 4 25" xfId="55556" xr:uid="{00000000-0005-0000-0000-0000D52D0000}"/>
    <cellStyle name="40% - Accent1 3 2 2 4 26" xfId="57239" xr:uid="{00000000-0005-0000-0000-0000D62D0000}"/>
    <cellStyle name="40% - Accent1 3 2 2 4 27" xfId="58922" xr:uid="{00000000-0005-0000-0000-0000D72D0000}"/>
    <cellStyle name="40% - Accent1 3 2 2 4 28" xfId="60605" xr:uid="{00000000-0005-0000-0000-0000D82D0000}"/>
    <cellStyle name="40% - Accent1 3 2 2 4 29" xfId="62288" xr:uid="{00000000-0005-0000-0000-0000D92D0000}"/>
    <cellStyle name="40% - Accent1 3 2 2 4 3" xfId="5063" xr:uid="{00000000-0005-0000-0000-0000DA2D0000}"/>
    <cellStyle name="40% - Accent1 3 2 2 4 3 2" xfId="20212" xr:uid="{00000000-0005-0000-0000-0000DB2D0000}"/>
    <cellStyle name="40% - Accent1 3 2 2 4 30" xfId="63971" xr:uid="{00000000-0005-0000-0000-0000DC2D0000}"/>
    <cellStyle name="40% - Accent1 3 2 2 4 4" xfId="6746" xr:uid="{00000000-0005-0000-0000-0000DD2D0000}"/>
    <cellStyle name="40% - Accent1 3 2 2 4 4 2" xfId="21895" xr:uid="{00000000-0005-0000-0000-0000DE2D0000}"/>
    <cellStyle name="40% - Accent1 3 2 2 4 5" xfId="8429" xr:uid="{00000000-0005-0000-0000-0000DF2D0000}"/>
    <cellStyle name="40% - Accent1 3 2 2 4 5 2" xfId="23578" xr:uid="{00000000-0005-0000-0000-0000E02D0000}"/>
    <cellStyle name="40% - Accent1 3 2 2 4 6" xfId="10112" xr:uid="{00000000-0005-0000-0000-0000E12D0000}"/>
    <cellStyle name="40% - Accent1 3 2 2 4 6 2" xfId="25261" xr:uid="{00000000-0005-0000-0000-0000E22D0000}"/>
    <cellStyle name="40% - Accent1 3 2 2 4 7" xfId="11795" xr:uid="{00000000-0005-0000-0000-0000E32D0000}"/>
    <cellStyle name="40% - Accent1 3 2 2 4 7 2" xfId="26944" xr:uid="{00000000-0005-0000-0000-0000E42D0000}"/>
    <cellStyle name="40% - Accent1 3 2 2 4 8" xfId="13479" xr:uid="{00000000-0005-0000-0000-0000E52D0000}"/>
    <cellStyle name="40% - Accent1 3 2 2 4 8 2" xfId="28628" xr:uid="{00000000-0005-0000-0000-0000E62D0000}"/>
    <cellStyle name="40% - Accent1 3 2 2 4 9" xfId="15162" xr:uid="{00000000-0005-0000-0000-0000E72D0000}"/>
    <cellStyle name="40% - Accent1 3 2 2 4 9 2" xfId="30311" xr:uid="{00000000-0005-0000-0000-0000E82D0000}"/>
    <cellStyle name="40% - Accent1 3 2 2 5" xfId="2117" xr:uid="{00000000-0005-0000-0000-0000E92D0000}"/>
    <cellStyle name="40% - Accent1 3 2 2 5 2" xfId="17266" xr:uid="{00000000-0005-0000-0000-0000EA2D0000}"/>
    <cellStyle name="40% - Accent1 3 2 2 6" xfId="3801" xr:uid="{00000000-0005-0000-0000-0000EB2D0000}"/>
    <cellStyle name="40% - Accent1 3 2 2 6 2" xfId="18950" xr:uid="{00000000-0005-0000-0000-0000EC2D0000}"/>
    <cellStyle name="40% - Accent1 3 2 2 7" xfId="5484" xr:uid="{00000000-0005-0000-0000-0000ED2D0000}"/>
    <cellStyle name="40% - Accent1 3 2 2 7 2" xfId="20633" xr:uid="{00000000-0005-0000-0000-0000EE2D0000}"/>
    <cellStyle name="40% - Accent1 3 2 2 8" xfId="7167" xr:uid="{00000000-0005-0000-0000-0000EF2D0000}"/>
    <cellStyle name="40% - Accent1 3 2 2 8 2" xfId="22316" xr:uid="{00000000-0005-0000-0000-0000F02D0000}"/>
    <cellStyle name="40% - Accent1 3 2 2 9" xfId="8850" xr:uid="{00000000-0005-0000-0000-0000F12D0000}"/>
    <cellStyle name="40% - Accent1 3 2 2 9 2" xfId="23999" xr:uid="{00000000-0005-0000-0000-0000F22D0000}"/>
    <cellStyle name="40% - Accent1 3 2 20" xfId="38937" xr:uid="{00000000-0005-0000-0000-0000F32D0000}"/>
    <cellStyle name="40% - Accent1 3 2 21" xfId="40620" xr:uid="{00000000-0005-0000-0000-0000F42D0000}"/>
    <cellStyle name="40% - Accent1 3 2 22" xfId="42303" xr:uid="{00000000-0005-0000-0000-0000F52D0000}"/>
    <cellStyle name="40% - Accent1 3 2 23" xfId="43986" xr:uid="{00000000-0005-0000-0000-0000F62D0000}"/>
    <cellStyle name="40% - Accent1 3 2 24" xfId="45669" xr:uid="{00000000-0005-0000-0000-0000F72D0000}"/>
    <cellStyle name="40% - Accent1 3 2 25" xfId="47352" xr:uid="{00000000-0005-0000-0000-0000F82D0000}"/>
    <cellStyle name="40% - Accent1 3 2 26" xfId="49035" xr:uid="{00000000-0005-0000-0000-0000F92D0000}"/>
    <cellStyle name="40% - Accent1 3 2 27" xfId="50718" xr:uid="{00000000-0005-0000-0000-0000FA2D0000}"/>
    <cellStyle name="40% - Accent1 3 2 28" xfId="52401" xr:uid="{00000000-0005-0000-0000-0000FB2D0000}"/>
    <cellStyle name="40% - Accent1 3 2 29" xfId="54084" xr:uid="{00000000-0005-0000-0000-0000FC2D0000}"/>
    <cellStyle name="40% - Accent1 3 2 3" xfId="644" xr:uid="{00000000-0005-0000-0000-0000FD2D0000}"/>
    <cellStyle name="40% - Accent1 3 2 3 10" xfId="15793" xr:uid="{00000000-0005-0000-0000-0000FE2D0000}"/>
    <cellStyle name="40% - Accent1 3 2 3 11" xfId="30942" xr:uid="{00000000-0005-0000-0000-0000FF2D0000}"/>
    <cellStyle name="40% - Accent1 3 2 3 12" xfId="32625" xr:uid="{00000000-0005-0000-0000-0000002E0000}"/>
    <cellStyle name="40% - Accent1 3 2 3 13" xfId="34308" xr:uid="{00000000-0005-0000-0000-0000012E0000}"/>
    <cellStyle name="40% - Accent1 3 2 3 14" xfId="35991" xr:uid="{00000000-0005-0000-0000-0000022E0000}"/>
    <cellStyle name="40% - Accent1 3 2 3 15" xfId="37674" xr:uid="{00000000-0005-0000-0000-0000032E0000}"/>
    <cellStyle name="40% - Accent1 3 2 3 16" xfId="39357" xr:uid="{00000000-0005-0000-0000-0000042E0000}"/>
    <cellStyle name="40% - Accent1 3 2 3 17" xfId="41040" xr:uid="{00000000-0005-0000-0000-0000052E0000}"/>
    <cellStyle name="40% - Accent1 3 2 3 18" xfId="42723" xr:uid="{00000000-0005-0000-0000-0000062E0000}"/>
    <cellStyle name="40% - Accent1 3 2 3 19" xfId="44406" xr:uid="{00000000-0005-0000-0000-0000072E0000}"/>
    <cellStyle name="40% - Accent1 3 2 3 2" xfId="2327" xr:uid="{00000000-0005-0000-0000-0000082E0000}"/>
    <cellStyle name="40% - Accent1 3 2 3 2 2" xfId="17476" xr:uid="{00000000-0005-0000-0000-0000092E0000}"/>
    <cellStyle name="40% - Accent1 3 2 3 20" xfId="46089" xr:uid="{00000000-0005-0000-0000-00000A2E0000}"/>
    <cellStyle name="40% - Accent1 3 2 3 21" xfId="47772" xr:uid="{00000000-0005-0000-0000-00000B2E0000}"/>
    <cellStyle name="40% - Accent1 3 2 3 22" xfId="49455" xr:uid="{00000000-0005-0000-0000-00000C2E0000}"/>
    <cellStyle name="40% - Accent1 3 2 3 23" xfId="51138" xr:uid="{00000000-0005-0000-0000-00000D2E0000}"/>
    <cellStyle name="40% - Accent1 3 2 3 24" xfId="52821" xr:uid="{00000000-0005-0000-0000-00000E2E0000}"/>
    <cellStyle name="40% - Accent1 3 2 3 25" xfId="54504" xr:uid="{00000000-0005-0000-0000-00000F2E0000}"/>
    <cellStyle name="40% - Accent1 3 2 3 26" xfId="56187" xr:uid="{00000000-0005-0000-0000-0000102E0000}"/>
    <cellStyle name="40% - Accent1 3 2 3 27" xfId="57870" xr:uid="{00000000-0005-0000-0000-0000112E0000}"/>
    <cellStyle name="40% - Accent1 3 2 3 28" xfId="59553" xr:uid="{00000000-0005-0000-0000-0000122E0000}"/>
    <cellStyle name="40% - Accent1 3 2 3 29" xfId="61236" xr:uid="{00000000-0005-0000-0000-0000132E0000}"/>
    <cellStyle name="40% - Accent1 3 2 3 3" xfId="4011" xr:uid="{00000000-0005-0000-0000-0000142E0000}"/>
    <cellStyle name="40% - Accent1 3 2 3 3 2" xfId="19160" xr:uid="{00000000-0005-0000-0000-0000152E0000}"/>
    <cellStyle name="40% - Accent1 3 2 3 30" xfId="62919" xr:uid="{00000000-0005-0000-0000-0000162E0000}"/>
    <cellStyle name="40% - Accent1 3 2 3 4" xfId="5694" xr:uid="{00000000-0005-0000-0000-0000172E0000}"/>
    <cellStyle name="40% - Accent1 3 2 3 4 2" xfId="20843" xr:uid="{00000000-0005-0000-0000-0000182E0000}"/>
    <cellStyle name="40% - Accent1 3 2 3 5" xfId="7377" xr:uid="{00000000-0005-0000-0000-0000192E0000}"/>
    <cellStyle name="40% - Accent1 3 2 3 5 2" xfId="22526" xr:uid="{00000000-0005-0000-0000-00001A2E0000}"/>
    <cellStyle name="40% - Accent1 3 2 3 6" xfId="9060" xr:uid="{00000000-0005-0000-0000-00001B2E0000}"/>
    <cellStyle name="40% - Accent1 3 2 3 6 2" xfId="24209" xr:uid="{00000000-0005-0000-0000-00001C2E0000}"/>
    <cellStyle name="40% - Accent1 3 2 3 7" xfId="10743" xr:uid="{00000000-0005-0000-0000-00001D2E0000}"/>
    <cellStyle name="40% - Accent1 3 2 3 7 2" xfId="25892" xr:uid="{00000000-0005-0000-0000-00001E2E0000}"/>
    <cellStyle name="40% - Accent1 3 2 3 8" xfId="12427" xr:uid="{00000000-0005-0000-0000-00001F2E0000}"/>
    <cellStyle name="40% - Accent1 3 2 3 8 2" xfId="27576" xr:uid="{00000000-0005-0000-0000-0000202E0000}"/>
    <cellStyle name="40% - Accent1 3 2 3 9" xfId="14110" xr:uid="{00000000-0005-0000-0000-0000212E0000}"/>
    <cellStyle name="40% - Accent1 3 2 3 9 2" xfId="29259" xr:uid="{00000000-0005-0000-0000-0000222E0000}"/>
    <cellStyle name="40% - Accent1 3 2 30" xfId="55767" xr:uid="{00000000-0005-0000-0000-0000232E0000}"/>
    <cellStyle name="40% - Accent1 3 2 31" xfId="57450" xr:uid="{00000000-0005-0000-0000-0000242E0000}"/>
    <cellStyle name="40% - Accent1 3 2 32" xfId="59133" xr:uid="{00000000-0005-0000-0000-0000252E0000}"/>
    <cellStyle name="40% - Accent1 3 2 33" xfId="60816" xr:uid="{00000000-0005-0000-0000-0000262E0000}"/>
    <cellStyle name="40% - Accent1 3 2 34" xfId="62499" xr:uid="{00000000-0005-0000-0000-0000272E0000}"/>
    <cellStyle name="40% - Accent1 3 2 4" xfId="1065" xr:uid="{00000000-0005-0000-0000-0000282E0000}"/>
    <cellStyle name="40% - Accent1 3 2 4 10" xfId="16214" xr:uid="{00000000-0005-0000-0000-0000292E0000}"/>
    <cellStyle name="40% - Accent1 3 2 4 11" xfId="31363" xr:uid="{00000000-0005-0000-0000-00002A2E0000}"/>
    <cellStyle name="40% - Accent1 3 2 4 12" xfId="33046" xr:uid="{00000000-0005-0000-0000-00002B2E0000}"/>
    <cellStyle name="40% - Accent1 3 2 4 13" xfId="34729" xr:uid="{00000000-0005-0000-0000-00002C2E0000}"/>
    <cellStyle name="40% - Accent1 3 2 4 14" xfId="36412" xr:uid="{00000000-0005-0000-0000-00002D2E0000}"/>
    <cellStyle name="40% - Accent1 3 2 4 15" xfId="38095" xr:uid="{00000000-0005-0000-0000-00002E2E0000}"/>
    <cellStyle name="40% - Accent1 3 2 4 16" xfId="39778" xr:uid="{00000000-0005-0000-0000-00002F2E0000}"/>
    <cellStyle name="40% - Accent1 3 2 4 17" xfId="41461" xr:uid="{00000000-0005-0000-0000-0000302E0000}"/>
    <cellStyle name="40% - Accent1 3 2 4 18" xfId="43144" xr:uid="{00000000-0005-0000-0000-0000312E0000}"/>
    <cellStyle name="40% - Accent1 3 2 4 19" xfId="44827" xr:uid="{00000000-0005-0000-0000-0000322E0000}"/>
    <cellStyle name="40% - Accent1 3 2 4 2" xfId="2748" xr:uid="{00000000-0005-0000-0000-0000332E0000}"/>
    <cellStyle name="40% - Accent1 3 2 4 2 2" xfId="17897" xr:uid="{00000000-0005-0000-0000-0000342E0000}"/>
    <cellStyle name="40% - Accent1 3 2 4 20" xfId="46510" xr:uid="{00000000-0005-0000-0000-0000352E0000}"/>
    <cellStyle name="40% - Accent1 3 2 4 21" xfId="48193" xr:uid="{00000000-0005-0000-0000-0000362E0000}"/>
    <cellStyle name="40% - Accent1 3 2 4 22" xfId="49876" xr:uid="{00000000-0005-0000-0000-0000372E0000}"/>
    <cellStyle name="40% - Accent1 3 2 4 23" xfId="51559" xr:uid="{00000000-0005-0000-0000-0000382E0000}"/>
    <cellStyle name="40% - Accent1 3 2 4 24" xfId="53242" xr:uid="{00000000-0005-0000-0000-0000392E0000}"/>
    <cellStyle name="40% - Accent1 3 2 4 25" xfId="54925" xr:uid="{00000000-0005-0000-0000-00003A2E0000}"/>
    <cellStyle name="40% - Accent1 3 2 4 26" xfId="56608" xr:uid="{00000000-0005-0000-0000-00003B2E0000}"/>
    <cellStyle name="40% - Accent1 3 2 4 27" xfId="58291" xr:uid="{00000000-0005-0000-0000-00003C2E0000}"/>
    <cellStyle name="40% - Accent1 3 2 4 28" xfId="59974" xr:uid="{00000000-0005-0000-0000-00003D2E0000}"/>
    <cellStyle name="40% - Accent1 3 2 4 29" xfId="61657" xr:uid="{00000000-0005-0000-0000-00003E2E0000}"/>
    <cellStyle name="40% - Accent1 3 2 4 3" xfId="4432" xr:uid="{00000000-0005-0000-0000-00003F2E0000}"/>
    <cellStyle name="40% - Accent1 3 2 4 3 2" xfId="19581" xr:uid="{00000000-0005-0000-0000-0000402E0000}"/>
    <cellStyle name="40% - Accent1 3 2 4 30" xfId="63340" xr:uid="{00000000-0005-0000-0000-0000412E0000}"/>
    <cellStyle name="40% - Accent1 3 2 4 4" xfId="6115" xr:uid="{00000000-0005-0000-0000-0000422E0000}"/>
    <cellStyle name="40% - Accent1 3 2 4 4 2" xfId="21264" xr:uid="{00000000-0005-0000-0000-0000432E0000}"/>
    <cellStyle name="40% - Accent1 3 2 4 5" xfId="7798" xr:uid="{00000000-0005-0000-0000-0000442E0000}"/>
    <cellStyle name="40% - Accent1 3 2 4 5 2" xfId="22947" xr:uid="{00000000-0005-0000-0000-0000452E0000}"/>
    <cellStyle name="40% - Accent1 3 2 4 6" xfId="9481" xr:uid="{00000000-0005-0000-0000-0000462E0000}"/>
    <cellStyle name="40% - Accent1 3 2 4 6 2" xfId="24630" xr:uid="{00000000-0005-0000-0000-0000472E0000}"/>
    <cellStyle name="40% - Accent1 3 2 4 7" xfId="11164" xr:uid="{00000000-0005-0000-0000-0000482E0000}"/>
    <cellStyle name="40% - Accent1 3 2 4 7 2" xfId="26313" xr:uid="{00000000-0005-0000-0000-0000492E0000}"/>
    <cellStyle name="40% - Accent1 3 2 4 8" xfId="12848" xr:uid="{00000000-0005-0000-0000-00004A2E0000}"/>
    <cellStyle name="40% - Accent1 3 2 4 8 2" xfId="27997" xr:uid="{00000000-0005-0000-0000-00004B2E0000}"/>
    <cellStyle name="40% - Accent1 3 2 4 9" xfId="14531" xr:uid="{00000000-0005-0000-0000-00004C2E0000}"/>
    <cellStyle name="40% - Accent1 3 2 4 9 2" xfId="29680" xr:uid="{00000000-0005-0000-0000-00004D2E0000}"/>
    <cellStyle name="40% - Accent1 3 2 5" xfId="1486" xr:uid="{00000000-0005-0000-0000-00004E2E0000}"/>
    <cellStyle name="40% - Accent1 3 2 5 10" xfId="16635" xr:uid="{00000000-0005-0000-0000-00004F2E0000}"/>
    <cellStyle name="40% - Accent1 3 2 5 11" xfId="31784" xr:uid="{00000000-0005-0000-0000-0000502E0000}"/>
    <cellStyle name="40% - Accent1 3 2 5 12" xfId="33467" xr:uid="{00000000-0005-0000-0000-0000512E0000}"/>
    <cellStyle name="40% - Accent1 3 2 5 13" xfId="35150" xr:uid="{00000000-0005-0000-0000-0000522E0000}"/>
    <cellStyle name="40% - Accent1 3 2 5 14" xfId="36833" xr:uid="{00000000-0005-0000-0000-0000532E0000}"/>
    <cellStyle name="40% - Accent1 3 2 5 15" xfId="38516" xr:uid="{00000000-0005-0000-0000-0000542E0000}"/>
    <cellStyle name="40% - Accent1 3 2 5 16" xfId="40199" xr:uid="{00000000-0005-0000-0000-0000552E0000}"/>
    <cellStyle name="40% - Accent1 3 2 5 17" xfId="41882" xr:uid="{00000000-0005-0000-0000-0000562E0000}"/>
    <cellStyle name="40% - Accent1 3 2 5 18" xfId="43565" xr:uid="{00000000-0005-0000-0000-0000572E0000}"/>
    <cellStyle name="40% - Accent1 3 2 5 19" xfId="45248" xr:uid="{00000000-0005-0000-0000-0000582E0000}"/>
    <cellStyle name="40% - Accent1 3 2 5 2" xfId="3169" xr:uid="{00000000-0005-0000-0000-0000592E0000}"/>
    <cellStyle name="40% - Accent1 3 2 5 2 2" xfId="18318" xr:uid="{00000000-0005-0000-0000-00005A2E0000}"/>
    <cellStyle name="40% - Accent1 3 2 5 20" xfId="46931" xr:uid="{00000000-0005-0000-0000-00005B2E0000}"/>
    <cellStyle name="40% - Accent1 3 2 5 21" xfId="48614" xr:uid="{00000000-0005-0000-0000-00005C2E0000}"/>
    <cellStyle name="40% - Accent1 3 2 5 22" xfId="50297" xr:uid="{00000000-0005-0000-0000-00005D2E0000}"/>
    <cellStyle name="40% - Accent1 3 2 5 23" xfId="51980" xr:uid="{00000000-0005-0000-0000-00005E2E0000}"/>
    <cellStyle name="40% - Accent1 3 2 5 24" xfId="53663" xr:uid="{00000000-0005-0000-0000-00005F2E0000}"/>
    <cellStyle name="40% - Accent1 3 2 5 25" xfId="55346" xr:uid="{00000000-0005-0000-0000-0000602E0000}"/>
    <cellStyle name="40% - Accent1 3 2 5 26" xfId="57029" xr:uid="{00000000-0005-0000-0000-0000612E0000}"/>
    <cellStyle name="40% - Accent1 3 2 5 27" xfId="58712" xr:uid="{00000000-0005-0000-0000-0000622E0000}"/>
    <cellStyle name="40% - Accent1 3 2 5 28" xfId="60395" xr:uid="{00000000-0005-0000-0000-0000632E0000}"/>
    <cellStyle name="40% - Accent1 3 2 5 29" xfId="62078" xr:uid="{00000000-0005-0000-0000-0000642E0000}"/>
    <cellStyle name="40% - Accent1 3 2 5 3" xfId="4853" xr:uid="{00000000-0005-0000-0000-0000652E0000}"/>
    <cellStyle name="40% - Accent1 3 2 5 3 2" xfId="20002" xr:uid="{00000000-0005-0000-0000-0000662E0000}"/>
    <cellStyle name="40% - Accent1 3 2 5 30" xfId="63761" xr:uid="{00000000-0005-0000-0000-0000672E0000}"/>
    <cellStyle name="40% - Accent1 3 2 5 4" xfId="6536" xr:uid="{00000000-0005-0000-0000-0000682E0000}"/>
    <cellStyle name="40% - Accent1 3 2 5 4 2" xfId="21685" xr:uid="{00000000-0005-0000-0000-0000692E0000}"/>
    <cellStyle name="40% - Accent1 3 2 5 5" xfId="8219" xr:uid="{00000000-0005-0000-0000-00006A2E0000}"/>
    <cellStyle name="40% - Accent1 3 2 5 5 2" xfId="23368" xr:uid="{00000000-0005-0000-0000-00006B2E0000}"/>
    <cellStyle name="40% - Accent1 3 2 5 6" xfId="9902" xr:uid="{00000000-0005-0000-0000-00006C2E0000}"/>
    <cellStyle name="40% - Accent1 3 2 5 6 2" xfId="25051" xr:uid="{00000000-0005-0000-0000-00006D2E0000}"/>
    <cellStyle name="40% - Accent1 3 2 5 7" xfId="11585" xr:uid="{00000000-0005-0000-0000-00006E2E0000}"/>
    <cellStyle name="40% - Accent1 3 2 5 7 2" xfId="26734" xr:uid="{00000000-0005-0000-0000-00006F2E0000}"/>
    <cellStyle name="40% - Accent1 3 2 5 8" xfId="13269" xr:uid="{00000000-0005-0000-0000-0000702E0000}"/>
    <cellStyle name="40% - Accent1 3 2 5 8 2" xfId="28418" xr:uid="{00000000-0005-0000-0000-0000712E0000}"/>
    <cellStyle name="40% - Accent1 3 2 5 9" xfId="14952" xr:uid="{00000000-0005-0000-0000-0000722E0000}"/>
    <cellStyle name="40% - Accent1 3 2 5 9 2" xfId="30101" xr:uid="{00000000-0005-0000-0000-0000732E0000}"/>
    <cellStyle name="40% - Accent1 3 2 6" xfId="1907" xr:uid="{00000000-0005-0000-0000-0000742E0000}"/>
    <cellStyle name="40% - Accent1 3 2 6 2" xfId="17056" xr:uid="{00000000-0005-0000-0000-0000752E0000}"/>
    <cellStyle name="40% - Accent1 3 2 7" xfId="3591" xr:uid="{00000000-0005-0000-0000-0000762E0000}"/>
    <cellStyle name="40% - Accent1 3 2 7 2" xfId="18740" xr:uid="{00000000-0005-0000-0000-0000772E0000}"/>
    <cellStyle name="40% - Accent1 3 2 8" xfId="5274" xr:uid="{00000000-0005-0000-0000-0000782E0000}"/>
    <cellStyle name="40% - Accent1 3 2 8 2" xfId="20423" xr:uid="{00000000-0005-0000-0000-0000792E0000}"/>
    <cellStyle name="40% - Accent1 3 2 9" xfId="6957" xr:uid="{00000000-0005-0000-0000-00007A2E0000}"/>
    <cellStyle name="40% - Accent1 3 2 9 2" xfId="22106" xr:uid="{00000000-0005-0000-0000-00007B2E0000}"/>
    <cellStyle name="40% - Accent1 3 20" xfId="37149" xr:uid="{00000000-0005-0000-0000-00007C2E0000}"/>
    <cellStyle name="40% - Accent1 3 21" xfId="38832" xr:uid="{00000000-0005-0000-0000-00007D2E0000}"/>
    <cellStyle name="40% - Accent1 3 22" xfId="40515" xr:uid="{00000000-0005-0000-0000-00007E2E0000}"/>
    <cellStyle name="40% - Accent1 3 23" xfId="42198" xr:uid="{00000000-0005-0000-0000-00007F2E0000}"/>
    <cellStyle name="40% - Accent1 3 24" xfId="43881" xr:uid="{00000000-0005-0000-0000-0000802E0000}"/>
    <cellStyle name="40% - Accent1 3 25" xfId="45564" xr:uid="{00000000-0005-0000-0000-0000812E0000}"/>
    <cellStyle name="40% - Accent1 3 26" xfId="47247" xr:uid="{00000000-0005-0000-0000-0000822E0000}"/>
    <cellStyle name="40% - Accent1 3 27" xfId="48930" xr:uid="{00000000-0005-0000-0000-0000832E0000}"/>
    <cellStyle name="40% - Accent1 3 28" xfId="50613" xr:uid="{00000000-0005-0000-0000-0000842E0000}"/>
    <cellStyle name="40% - Accent1 3 29" xfId="52296" xr:uid="{00000000-0005-0000-0000-0000852E0000}"/>
    <cellStyle name="40% - Accent1 3 3" xfId="329" xr:uid="{00000000-0005-0000-0000-0000862E0000}"/>
    <cellStyle name="40% - Accent1 3 3 10" xfId="10428" xr:uid="{00000000-0005-0000-0000-0000872E0000}"/>
    <cellStyle name="40% - Accent1 3 3 10 2" xfId="25577" xr:uid="{00000000-0005-0000-0000-0000882E0000}"/>
    <cellStyle name="40% - Accent1 3 3 11" xfId="12112" xr:uid="{00000000-0005-0000-0000-0000892E0000}"/>
    <cellStyle name="40% - Accent1 3 3 11 2" xfId="27261" xr:uid="{00000000-0005-0000-0000-00008A2E0000}"/>
    <cellStyle name="40% - Accent1 3 3 12" xfId="13795" xr:uid="{00000000-0005-0000-0000-00008B2E0000}"/>
    <cellStyle name="40% - Accent1 3 3 12 2" xfId="28944" xr:uid="{00000000-0005-0000-0000-00008C2E0000}"/>
    <cellStyle name="40% - Accent1 3 3 13" xfId="15478" xr:uid="{00000000-0005-0000-0000-00008D2E0000}"/>
    <cellStyle name="40% - Accent1 3 3 14" xfId="30627" xr:uid="{00000000-0005-0000-0000-00008E2E0000}"/>
    <cellStyle name="40% - Accent1 3 3 15" xfId="32310" xr:uid="{00000000-0005-0000-0000-00008F2E0000}"/>
    <cellStyle name="40% - Accent1 3 3 16" xfId="33993" xr:uid="{00000000-0005-0000-0000-0000902E0000}"/>
    <cellStyle name="40% - Accent1 3 3 17" xfId="35676" xr:uid="{00000000-0005-0000-0000-0000912E0000}"/>
    <cellStyle name="40% - Accent1 3 3 18" xfId="37359" xr:uid="{00000000-0005-0000-0000-0000922E0000}"/>
    <cellStyle name="40% - Accent1 3 3 19" xfId="39042" xr:uid="{00000000-0005-0000-0000-0000932E0000}"/>
    <cellStyle name="40% - Accent1 3 3 2" xfId="749" xr:uid="{00000000-0005-0000-0000-0000942E0000}"/>
    <cellStyle name="40% - Accent1 3 3 2 10" xfId="15898" xr:uid="{00000000-0005-0000-0000-0000952E0000}"/>
    <cellStyle name="40% - Accent1 3 3 2 11" xfId="31047" xr:uid="{00000000-0005-0000-0000-0000962E0000}"/>
    <cellStyle name="40% - Accent1 3 3 2 12" xfId="32730" xr:uid="{00000000-0005-0000-0000-0000972E0000}"/>
    <cellStyle name="40% - Accent1 3 3 2 13" xfId="34413" xr:uid="{00000000-0005-0000-0000-0000982E0000}"/>
    <cellStyle name="40% - Accent1 3 3 2 14" xfId="36096" xr:uid="{00000000-0005-0000-0000-0000992E0000}"/>
    <cellStyle name="40% - Accent1 3 3 2 15" xfId="37779" xr:uid="{00000000-0005-0000-0000-00009A2E0000}"/>
    <cellStyle name="40% - Accent1 3 3 2 16" xfId="39462" xr:uid="{00000000-0005-0000-0000-00009B2E0000}"/>
    <cellStyle name="40% - Accent1 3 3 2 17" xfId="41145" xr:uid="{00000000-0005-0000-0000-00009C2E0000}"/>
    <cellStyle name="40% - Accent1 3 3 2 18" xfId="42828" xr:uid="{00000000-0005-0000-0000-00009D2E0000}"/>
    <cellStyle name="40% - Accent1 3 3 2 19" xfId="44511" xr:uid="{00000000-0005-0000-0000-00009E2E0000}"/>
    <cellStyle name="40% - Accent1 3 3 2 2" xfId="2432" xr:uid="{00000000-0005-0000-0000-00009F2E0000}"/>
    <cellStyle name="40% - Accent1 3 3 2 2 2" xfId="17581" xr:uid="{00000000-0005-0000-0000-0000A02E0000}"/>
    <cellStyle name="40% - Accent1 3 3 2 20" xfId="46194" xr:uid="{00000000-0005-0000-0000-0000A12E0000}"/>
    <cellStyle name="40% - Accent1 3 3 2 21" xfId="47877" xr:uid="{00000000-0005-0000-0000-0000A22E0000}"/>
    <cellStyle name="40% - Accent1 3 3 2 22" xfId="49560" xr:uid="{00000000-0005-0000-0000-0000A32E0000}"/>
    <cellStyle name="40% - Accent1 3 3 2 23" xfId="51243" xr:uid="{00000000-0005-0000-0000-0000A42E0000}"/>
    <cellStyle name="40% - Accent1 3 3 2 24" xfId="52926" xr:uid="{00000000-0005-0000-0000-0000A52E0000}"/>
    <cellStyle name="40% - Accent1 3 3 2 25" xfId="54609" xr:uid="{00000000-0005-0000-0000-0000A62E0000}"/>
    <cellStyle name="40% - Accent1 3 3 2 26" xfId="56292" xr:uid="{00000000-0005-0000-0000-0000A72E0000}"/>
    <cellStyle name="40% - Accent1 3 3 2 27" xfId="57975" xr:uid="{00000000-0005-0000-0000-0000A82E0000}"/>
    <cellStyle name="40% - Accent1 3 3 2 28" xfId="59658" xr:uid="{00000000-0005-0000-0000-0000A92E0000}"/>
    <cellStyle name="40% - Accent1 3 3 2 29" xfId="61341" xr:uid="{00000000-0005-0000-0000-0000AA2E0000}"/>
    <cellStyle name="40% - Accent1 3 3 2 3" xfId="4116" xr:uid="{00000000-0005-0000-0000-0000AB2E0000}"/>
    <cellStyle name="40% - Accent1 3 3 2 3 2" xfId="19265" xr:uid="{00000000-0005-0000-0000-0000AC2E0000}"/>
    <cellStyle name="40% - Accent1 3 3 2 30" xfId="63024" xr:uid="{00000000-0005-0000-0000-0000AD2E0000}"/>
    <cellStyle name="40% - Accent1 3 3 2 4" xfId="5799" xr:uid="{00000000-0005-0000-0000-0000AE2E0000}"/>
    <cellStyle name="40% - Accent1 3 3 2 4 2" xfId="20948" xr:uid="{00000000-0005-0000-0000-0000AF2E0000}"/>
    <cellStyle name="40% - Accent1 3 3 2 5" xfId="7482" xr:uid="{00000000-0005-0000-0000-0000B02E0000}"/>
    <cellStyle name="40% - Accent1 3 3 2 5 2" xfId="22631" xr:uid="{00000000-0005-0000-0000-0000B12E0000}"/>
    <cellStyle name="40% - Accent1 3 3 2 6" xfId="9165" xr:uid="{00000000-0005-0000-0000-0000B22E0000}"/>
    <cellStyle name="40% - Accent1 3 3 2 6 2" xfId="24314" xr:uid="{00000000-0005-0000-0000-0000B32E0000}"/>
    <cellStyle name="40% - Accent1 3 3 2 7" xfId="10848" xr:uid="{00000000-0005-0000-0000-0000B42E0000}"/>
    <cellStyle name="40% - Accent1 3 3 2 7 2" xfId="25997" xr:uid="{00000000-0005-0000-0000-0000B52E0000}"/>
    <cellStyle name="40% - Accent1 3 3 2 8" xfId="12532" xr:uid="{00000000-0005-0000-0000-0000B62E0000}"/>
    <cellStyle name="40% - Accent1 3 3 2 8 2" xfId="27681" xr:uid="{00000000-0005-0000-0000-0000B72E0000}"/>
    <cellStyle name="40% - Accent1 3 3 2 9" xfId="14215" xr:uid="{00000000-0005-0000-0000-0000B82E0000}"/>
    <cellStyle name="40% - Accent1 3 3 2 9 2" xfId="29364" xr:uid="{00000000-0005-0000-0000-0000B92E0000}"/>
    <cellStyle name="40% - Accent1 3 3 20" xfId="40725" xr:uid="{00000000-0005-0000-0000-0000BA2E0000}"/>
    <cellStyle name="40% - Accent1 3 3 21" xfId="42408" xr:uid="{00000000-0005-0000-0000-0000BB2E0000}"/>
    <cellStyle name="40% - Accent1 3 3 22" xfId="44091" xr:uid="{00000000-0005-0000-0000-0000BC2E0000}"/>
    <cellStyle name="40% - Accent1 3 3 23" xfId="45774" xr:uid="{00000000-0005-0000-0000-0000BD2E0000}"/>
    <cellStyle name="40% - Accent1 3 3 24" xfId="47457" xr:uid="{00000000-0005-0000-0000-0000BE2E0000}"/>
    <cellStyle name="40% - Accent1 3 3 25" xfId="49140" xr:uid="{00000000-0005-0000-0000-0000BF2E0000}"/>
    <cellStyle name="40% - Accent1 3 3 26" xfId="50823" xr:uid="{00000000-0005-0000-0000-0000C02E0000}"/>
    <cellStyle name="40% - Accent1 3 3 27" xfId="52506" xr:uid="{00000000-0005-0000-0000-0000C12E0000}"/>
    <cellStyle name="40% - Accent1 3 3 28" xfId="54189" xr:uid="{00000000-0005-0000-0000-0000C22E0000}"/>
    <cellStyle name="40% - Accent1 3 3 29" xfId="55872" xr:uid="{00000000-0005-0000-0000-0000C32E0000}"/>
    <cellStyle name="40% - Accent1 3 3 3" xfId="1170" xr:uid="{00000000-0005-0000-0000-0000C42E0000}"/>
    <cellStyle name="40% - Accent1 3 3 3 10" xfId="16319" xr:uid="{00000000-0005-0000-0000-0000C52E0000}"/>
    <cellStyle name="40% - Accent1 3 3 3 11" xfId="31468" xr:uid="{00000000-0005-0000-0000-0000C62E0000}"/>
    <cellStyle name="40% - Accent1 3 3 3 12" xfId="33151" xr:uid="{00000000-0005-0000-0000-0000C72E0000}"/>
    <cellStyle name="40% - Accent1 3 3 3 13" xfId="34834" xr:uid="{00000000-0005-0000-0000-0000C82E0000}"/>
    <cellStyle name="40% - Accent1 3 3 3 14" xfId="36517" xr:uid="{00000000-0005-0000-0000-0000C92E0000}"/>
    <cellStyle name="40% - Accent1 3 3 3 15" xfId="38200" xr:uid="{00000000-0005-0000-0000-0000CA2E0000}"/>
    <cellStyle name="40% - Accent1 3 3 3 16" xfId="39883" xr:uid="{00000000-0005-0000-0000-0000CB2E0000}"/>
    <cellStyle name="40% - Accent1 3 3 3 17" xfId="41566" xr:uid="{00000000-0005-0000-0000-0000CC2E0000}"/>
    <cellStyle name="40% - Accent1 3 3 3 18" xfId="43249" xr:uid="{00000000-0005-0000-0000-0000CD2E0000}"/>
    <cellStyle name="40% - Accent1 3 3 3 19" xfId="44932" xr:uid="{00000000-0005-0000-0000-0000CE2E0000}"/>
    <cellStyle name="40% - Accent1 3 3 3 2" xfId="2853" xr:uid="{00000000-0005-0000-0000-0000CF2E0000}"/>
    <cellStyle name="40% - Accent1 3 3 3 2 2" xfId="18002" xr:uid="{00000000-0005-0000-0000-0000D02E0000}"/>
    <cellStyle name="40% - Accent1 3 3 3 20" xfId="46615" xr:uid="{00000000-0005-0000-0000-0000D12E0000}"/>
    <cellStyle name="40% - Accent1 3 3 3 21" xfId="48298" xr:uid="{00000000-0005-0000-0000-0000D22E0000}"/>
    <cellStyle name="40% - Accent1 3 3 3 22" xfId="49981" xr:uid="{00000000-0005-0000-0000-0000D32E0000}"/>
    <cellStyle name="40% - Accent1 3 3 3 23" xfId="51664" xr:uid="{00000000-0005-0000-0000-0000D42E0000}"/>
    <cellStyle name="40% - Accent1 3 3 3 24" xfId="53347" xr:uid="{00000000-0005-0000-0000-0000D52E0000}"/>
    <cellStyle name="40% - Accent1 3 3 3 25" xfId="55030" xr:uid="{00000000-0005-0000-0000-0000D62E0000}"/>
    <cellStyle name="40% - Accent1 3 3 3 26" xfId="56713" xr:uid="{00000000-0005-0000-0000-0000D72E0000}"/>
    <cellStyle name="40% - Accent1 3 3 3 27" xfId="58396" xr:uid="{00000000-0005-0000-0000-0000D82E0000}"/>
    <cellStyle name="40% - Accent1 3 3 3 28" xfId="60079" xr:uid="{00000000-0005-0000-0000-0000D92E0000}"/>
    <cellStyle name="40% - Accent1 3 3 3 29" xfId="61762" xr:uid="{00000000-0005-0000-0000-0000DA2E0000}"/>
    <cellStyle name="40% - Accent1 3 3 3 3" xfId="4537" xr:uid="{00000000-0005-0000-0000-0000DB2E0000}"/>
    <cellStyle name="40% - Accent1 3 3 3 3 2" xfId="19686" xr:uid="{00000000-0005-0000-0000-0000DC2E0000}"/>
    <cellStyle name="40% - Accent1 3 3 3 30" xfId="63445" xr:uid="{00000000-0005-0000-0000-0000DD2E0000}"/>
    <cellStyle name="40% - Accent1 3 3 3 4" xfId="6220" xr:uid="{00000000-0005-0000-0000-0000DE2E0000}"/>
    <cellStyle name="40% - Accent1 3 3 3 4 2" xfId="21369" xr:uid="{00000000-0005-0000-0000-0000DF2E0000}"/>
    <cellStyle name="40% - Accent1 3 3 3 5" xfId="7903" xr:uid="{00000000-0005-0000-0000-0000E02E0000}"/>
    <cellStyle name="40% - Accent1 3 3 3 5 2" xfId="23052" xr:uid="{00000000-0005-0000-0000-0000E12E0000}"/>
    <cellStyle name="40% - Accent1 3 3 3 6" xfId="9586" xr:uid="{00000000-0005-0000-0000-0000E22E0000}"/>
    <cellStyle name="40% - Accent1 3 3 3 6 2" xfId="24735" xr:uid="{00000000-0005-0000-0000-0000E32E0000}"/>
    <cellStyle name="40% - Accent1 3 3 3 7" xfId="11269" xr:uid="{00000000-0005-0000-0000-0000E42E0000}"/>
    <cellStyle name="40% - Accent1 3 3 3 7 2" xfId="26418" xr:uid="{00000000-0005-0000-0000-0000E52E0000}"/>
    <cellStyle name="40% - Accent1 3 3 3 8" xfId="12953" xr:uid="{00000000-0005-0000-0000-0000E62E0000}"/>
    <cellStyle name="40% - Accent1 3 3 3 8 2" xfId="28102" xr:uid="{00000000-0005-0000-0000-0000E72E0000}"/>
    <cellStyle name="40% - Accent1 3 3 3 9" xfId="14636" xr:uid="{00000000-0005-0000-0000-0000E82E0000}"/>
    <cellStyle name="40% - Accent1 3 3 3 9 2" xfId="29785" xr:uid="{00000000-0005-0000-0000-0000E92E0000}"/>
    <cellStyle name="40% - Accent1 3 3 30" xfId="57555" xr:uid="{00000000-0005-0000-0000-0000EA2E0000}"/>
    <cellStyle name="40% - Accent1 3 3 31" xfId="59238" xr:uid="{00000000-0005-0000-0000-0000EB2E0000}"/>
    <cellStyle name="40% - Accent1 3 3 32" xfId="60921" xr:uid="{00000000-0005-0000-0000-0000EC2E0000}"/>
    <cellStyle name="40% - Accent1 3 3 33" xfId="62604" xr:uid="{00000000-0005-0000-0000-0000ED2E0000}"/>
    <cellStyle name="40% - Accent1 3 3 4" xfId="1591" xr:uid="{00000000-0005-0000-0000-0000EE2E0000}"/>
    <cellStyle name="40% - Accent1 3 3 4 10" xfId="16740" xr:uid="{00000000-0005-0000-0000-0000EF2E0000}"/>
    <cellStyle name="40% - Accent1 3 3 4 11" xfId="31889" xr:uid="{00000000-0005-0000-0000-0000F02E0000}"/>
    <cellStyle name="40% - Accent1 3 3 4 12" xfId="33572" xr:uid="{00000000-0005-0000-0000-0000F12E0000}"/>
    <cellStyle name="40% - Accent1 3 3 4 13" xfId="35255" xr:uid="{00000000-0005-0000-0000-0000F22E0000}"/>
    <cellStyle name="40% - Accent1 3 3 4 14" xfId="36938" xr:uid="{00000000-0005-0000-0000-0000F32E0000}"/>
    <cellStyle name="40% - Accent1 3 3 4 15" xfId="38621" xr:uid="{00000000-0005-0000-0000-0000F42E0000}"/>
    <cellStyle name="40% - Accent1 3 3 4 16" xfId="40304" xr:uid="{00000000-0005-0000-0000-0000F52E0000}"/>
    <cellStyle name="40% - Accent1 3 3 4 17" xfId="41987" xr:uid="{00000000-0005-0000-0000-0000F62E0000}"/>
    <cellStyle name="40% - Accent1 3 3 4 18" xfId="43670" xr:uid="{00000000-0005-0000-0000-0000F72E0000}"/>
    <cellStyle name="40% - Accent1 3 3 4 19" xfId="45353" xr:uid="{00000000-0005-0000-0000-0000F82E0000}"/>
    <cellStyle name="40% - Accent1 3 3 4 2" xfId="3274" xr:uid="{00000000-0005-0000-0000-0000F92E0000}"/>
    <cellStyle name="40% - Accent1 3 3 4 2 2" xfId="18423" xr:uid="{00000000-0005-0000-0000-0000FA2E0000}"/>
    <cellStyle name="40% - Accent1 3 3 4 20" xfId="47036" xr:uid="{00000000-0005-0000-0000-0000FB2E0000}"/>
    <cellStyle name="40% - Accent1 3 3 4 21" xfId="48719" xr:uid="{00000000-0005-0000-0000-0000FC2E0000}"/>
    <cellStyle name="40% - Accent1 3 3 4 22" xfId="50402" xr:uid="{00000000-0005-0000-0000-0000FD2E0000}"/>
    <cellStyle name="40% - Accent1 3 3 4 23" xfId="52085" xr:uid="{00000000-0005-0000-0000-0000FE2E0000}"/>
    <cellStyle name="40% - Accent1 3 3 4 24" xfId="53768" xr:uid="{00000000-0005-0000-0000-0000FF2E0000}"/>
    <cellStyle name="40% - Accent1 3 3 4 25" xfId="55451" xr:uid="{00000000-0005-0000-0000-0000002F0000}"/>
    <cellStyle name="40% - Accent1 3 3 4 26" xfId="57134" xr:uid="{00000000-0005-0000-0000-0000012F0000}"/>
    <cellStyle name="40% - Accent1 3 3 4 27" xfId="58817" xr:uid="{00000000-0005-0000-0000-0000022F0000}"/>
    <cellStyle name="40% - Accent1 3 3 4 28" xfId="60500" xr:uid="{00000000-0005-0000-0000-0000032F0000}"/>
    <cellStyle name="40% - Accent1 3 3 4 29" xfId="62183" xr:uid="{00000000-0005-0000-0000-0000042F0000}"/>
    <cellStyle name="40% - Accent1 3 3 4 3" xfId="4958" xr:uid="{00000000-0005-0000-0000-0000052F0000}"/>
    <cellStyle name="40% - Accent1 3 3 4 3 2" xfId="20107" xr:uid="{00000000-0005-0000-0000-0000062F0000}"/>
    <cellStyle name="40% - Accent1 3 3 4 30" xfId="63866" xr:uid="{00000000-0005-0000-0000-0000072F0000}"/>
    <cellStyle name="40% - Accent1 3 3 4 4" xfId="6641" xr:uid="{00000000-0005-0000-0000-0000082F0000}"/>
    <cellStyle name="40% - Accent1 3 3 4 4 2" xfId="21790" xr:uid="{00000000-0005-0000-0000-0000092F0000}"/>
    <cellStyle name="40% - Accent1 3 3 4 5" xfId="8324" xr:uid="{00000000-0005-0000-0000-00000A2F0000}"/>
    <cellStyle name="40% - Accent1 3 3 4 5 2" xfId="23473" xr:uid="{00000000-0005-0000-0000-00000B2F0000}"/>
    <cellStyle name="40% - Accent1 3 3 4 6" xfId="10007" xr:uid="{00000000-0005-0000-0000-00000C2F0000}"/>
    <cellStyle name="40% - Accent1 3 3 4 6 2" xfId="25156" xr:uid="{00000000-0005-0000-0000-00000D2F0000}"/>
    <cellStyle name="40% - Accent1 3 3 4 7" xfId="11690" xr:uid="{00000000-0005-0000-0000-00000E2F0000}"/>
    <cellStyle name="40% - Accent1 3 3 4 7 2" xfId="26839" xr:uid="{00000000-0005-0000-0000-00000F2F0000}"/>
    <cellStyle name="40% - Accent1 3 3 4 8" xfId="13374" xr:uid="{00000000-0005-0000-0000-0000102F0000}"/>
    <cellStyle name="40% - Accent1 3 3 4 8 2" xfId="28523" xr:uid="{00000000-0005-0000-0000-0000112F0000}"/>
    <cellStyle name="40% - Accent1 3 3 4 9" xfId="15057" xr:uid="{00000000-0005-0000-0000-0000122F0000}"/>
    <cellStyle name="40% - Accent1 3 3 4 9 2" xfId="30206" xr:uid="{00000000-0005-0000-0000-0000132F0000}"/>
    <cellStyle name="40% - Accent1 3 3 5" xfId="2012" xr:uid="{00000000-0005-0000-0000-0000142F0000}"/>
    <cellStyle name="40% - Accent1 3 3 5 2" xfId="17161" xr:uid="{00000000-0005-0000-0000-0000152F0000}"/>
    <cellStyle name="40% - Accent1 3 3 6" xfId="3696" xr:uid="{00000000-0005-0000-0000-0000162F0000}"/>
    <cellStyle name="40% - Accent1 3 3 6 2" xfId="18845" xr:uid="{00000000-0005-0000-0000-0000172F0000}"/>
    <cellStyle name="40% - Accent1 3 3 7" xfId="5379" xr:uid="{00000000-0005-0000-0000-0000182F0000}"/>
    <cellStyle name="40% - Accent1 3 3 7 2" xfId="20528" xr:uid="{00000000-0005-0000-0000-0000192F0000}"/>
    <cellStyle name="40% - Accent1 3 3 8" xfId="7062" xr:uid="{00000000-0005-0000-0000-00001A2F0000}"/>
    <cellStyle name="40% - Accent1 3 3 8 2" xfId="22211" xr:uid="{00000000-0005-0000-0000-00001B2F0000}"/>
    <cellStyle name="40% - Accent1 3 3 9" xfId="8745" xr:uid="{00000000-0005-0000-0000-00001C2F0000}"/>
    <cellStyle name="40% - Accent1 3 3 9 2" xfId="23894" xr:uid="{00000000-0005-0000-0000-00001D2F0000}"/>
    <cellStyle name="40% - Accent1 3 30" xfId="53979" xr:uid="{00000000-0005-0000-0000-00001E2F0000}"/>
    <cellStyle name="40% - Accent1 3 31" xfId="55662" xr:uid="{00000000-0005-0000-0000-00001F2F0000}"/>
    <cellStyle name="40% - Accent1 3 32" xfId="57345" xr:uid="{00000000-0005-0000-0000-0000202F0000}"/>
    <cellStyle name="40% - Accent1 3 33" xfId="59028" xr:uid="{00000000-0005-0000-0000-0000212F0000}"/>
    <cellStyle name="40% - Accent1 3 34" xfId="60711" xr:uid="{00000000-0005-0000-0000-0000222F0000}"/>
    <cellStyle name="40% - Accent1 3 35" xfId="62394" xr:uid="{00000000-0005-0000-0000-0000232F0000}"/>
    <cellStyle name="40% - Accent1 3 4" xfId="539" xr:uid="{00000000-0005-0000-0000-0000242F0000}"/>
    <cellStyle name="40% - Accent1 3 4 10" xfId="15688" xr:uid="{00000000-0005-0000-0000-0000252F0000}"/>
    <cellStyle name="40% - Accent1 3 4 11" xfId="30837" xr:uid="{00000000-0005-0000-0000-0000262F0000}"/>
    <cellStyle name="40% - Accent1 3 4 12" xfId="32520" xr:uid="{00000000-0005-0000-0000-0000272F0000}"/>
    <cellStyle name="40% - Accent1 3 4 13" xfId="34203" xr:uid="{00000000-0005-0000-0000-0000282F0000}"/>
    <cellStyle name="40% - Accent1 3 4 14" xfId="35886" xr:uid="{00000000-0005-0000-0000-0000292F0000}"/>
    <cellStyle name="40% - Accent1 3 4 15" xfId="37569" xr:uid="{00000000-0005-0000-0000-00002A2F0000}"/>
    <cellStyle name="40% - Accent1 3 4 16" xfId="39252" xr:uid="{00000000-0005-0000-0000-00002B2F0000}"/>
    <cellStyle name="40% - Accent1 3 4 17" xfId="40935" xr:uid="{00000000-0005-0000-0000-00002C2F0000}"/>
    <cellStyle name="40% - Accent1 3 4 18" xfId="42618" xr:uid="{00000000-0005-0000-0000-00002D2F0000}"/>
    <cellStyle name="40% - Accent1 3 4 19" xfId="44301" xr:uid="{00000000-0005-0000-0000-00002E2F0000}"/>
    <cellStyle name="40% - Accent1 3 4 2" xfId="2222" xr:uid="{00000000-0005-0000-0000-00002F2F0000}"/>
    <cellStyle name="40% - Accent1 3 4 2 2" xfId="17371" xr:uid="{00000000-0005-0000-0000-0000302F0000}"/>
    <cellStyle name="40% - Accent1 3 4 20" xfId="45984" xr:uid="{00000000-0005-0000-0000-0000312F0000}"/>
    <cellStyle name="40% - Accent1 3 4 21" xfId="47667" xr:uid="{00000000-0005-0000-0000-0000322F0000}"/>
    <cellStyle name="40% - Accent1 3 4 22" xfId="49350" xr:uid="{00000000-0005-0000-0000-0000332F0000}"/>
    <cellStyle name="40% - Accent1 3 4 23" xfId="51033" xr:uid="{00000000-0005-0000-0000-0000342F0000}"/>
    <cellStyle name="40% - Accent1 3 4 24" xfId="52716" xr:uid="{00000000-0005-0000-0000-0000352F0000}"/>
    <cellStyle name="40% - Accent1 3 4 25" xfId="54399" xr:uid="{00000000-0005-0000-0000-0000362F0000}"/>
    <cellStyle name="40% - Accent1 3 4 26" xfId="56082" xr:uid="{00000000-0005-0000-0000-0000372F0000}"/>
    <cellStyle name="40% - Accent1 3 4 27" xfId="57765" xr:uid="{00000000-0005-0000-0000-0000382F0000}"/>
    <cellStyle name="40% - Accent1 3 4 28" xfId="59448" xr:uid="{00000000-0005-0000-0000-0000392F0000}"/>
    <cellStyle name="40% - Accent1 3 4 29" xfId="61131" xr:uid="{00000000-0005-0000-0000-00003A2F0000}"/>
    <cellStyle name="40% - Accent1 3 4 3" xfId="3906" xr:uid="{00000000-0005-0000-0000-00003B2F0000}"/>
    <cellStyle name="40% - Accent1 3 4 3 2" xfId="19055" xr:uid="{00000000-0005-0000-0000-00003C2F0000}"/>
    <cellStyle name="40% - Accent1 3 4 30" xfId="62814" xr:uid="{00000000-0005-0000-0000-00003D2F0000}"/>
    <cellStyle name="40% - Accent1 3 4 4" xfId="5589" xr:uid="{00000000-0005-0000-0000-00003E2F0000}"/>
    <cellStyle name="40% - Accent1 3 4 4 2" xfId="20738" xr:uid="{00000000-0005-0000-0000-00003F2F0000}"/>
    <cellStyle name="40% - Accent1 3 4 5" xfId="7272" xr:uid="{00000000-0005-0000-0000-0000402F0000}"/>
    <cellStyle name="40% - Accent1 3 4 5 2" xfId="22421" xr:uid="{00000000-0005-0000-0000-0000412F0000}"/>
    <cellStyle name="40% - Accent1 3 4 6" xfId="8955" xr:uid="{00000000-0005-0000-0000-0000422F0000}"/>
    <cellStyle name="40% - Accent1 3 4 6 2" xfId="24104" xr:uid="{00000000-0005-0000-0000-0000432F0000}"/>
    <cellStyle name="40% - Accent1 3 4 7" xfId="10638" xr:uid="{00000000-0005-0000-0000-0000442F0000}"/>
    <cellStyle name="40% - Accent1 3 4 7 2" xfId="25787" xr:uid="{00000000-0005-0000-0000-0000452F0000}"/>
    <cellStyle name="40% - Accent1 3 4 8" xfId="12322" xr:uid="{00000000-0005-0000-0000-0000462F0000}"/>
    <cellStyle name="40% - Accent1 3 4 8 2" xfId="27471" xr:uid="{00000000-0005-0000-0000-0000472F0000}"/>
    <cellStyle name="40% - Accent1 3 4 9" xfId="14005" xr:uid="{00000000-0005-0000-0000-0000482F0000}"/>
    <cellStyle name="40% - Accent1 3 4 9 2" xfId="29154" xr:uid="{00000000-0005-0000-0000-0000492F0000}"/>
    <cellStyle name="40% - Accent1 3 5" xfId="960" xr:uid="{00000000-0005-0000-0000-00004A2F0000}"/>
    <cellStyle name="40% - Accent1 3 5 10" xfId="16109" xr:uid="{00000000-0005-0000-0000-00004B2F0000}"/>
    <cellStyle name="40% - Accent1 3 5 11" xfId="31258" xr:uid="{00000000-0005-0000-0000-00004C2F0000}"/>
    <cellStyle name="40% - Accent1 3 5 12" xfId="32941" xr:uid="{00000000-0005-0000-0000-00004D2F0000}"/>
    <cellStyle name="40% - Accent1 3 5 13" xfId="34624" xr:uid="{00000000-0005-0000-0000-00004E2F0000}"/>
    <cellStyle name="40% - Accent1 3 5 14" xfId="36307" xr:uid="{00000000-0005-0000-0000-00004F2F0000}"/>
    <cellStyle name="40% - Accent1 3 5 15" xfId="37990" xr:uid="{00000000-0005-0000-0000-0000502F0000}"/>
    <cellStyle name="40% - Accent1 3 5 16" xfId="39673" xr:uid="{00000000-0005-0000-0000-0000512F0000}"/>
    <cellStyle name="40% - Accent1 3 5 17" xfId="41356" xr:uid="{00000000-0005-0000-0000-0000522F0000}"/>
    <cellStyle name="40% - Accent1 3 5 18" xfId="43039" xr:uid="{00000000-0005-0000-0000-0000532F0000}"/>
    <cellStyle name="40% - Accent1 3 5 19" xfId="44722" xr:uid="{00000000-0005-0000-0000-0000542F0000}"/>
    <cellStyle name="40% - Accent1 3 5 2" xfId="2643" xr:uid="{00000000-0005-0000-0000-0000552F0000}"/>
    <cellStyle name="40% - Accent1 3 5 2 2" xfId="17792" xr:uid="{00000000-0005-0000-0000-0000562F0000}"/>
    <cellStyle name="40% - Accent1 3 5 20" xfId="46405" xr:uid="{00000000-0005-0000-0000-0000572F0000}"/>
    <cellStyle name="40% - Accent1 3 5 21" xfId="48088" xr:uid="{00000000-0005-0000-0000-0000582F0000}"/>
    <cellStyle name="40% - Accent1 3 5 22" xfId="49771" xr:uid="{00000000-0005-0000-0000-0000592F0000}"/>
    <cellStyle name="40% - Accent1 3 5 23" xfId="51454" xr:uid="{00000000-0005-0000-0000-00005A2F0000}"/>
    <cellStyle name="40% - Accent1 3 5 24" xfId="53137" xr:uid="{00000000-0005-0000-0000-00005B2F0000}"/>
    <cellStyle name="40% - Accent1 3 5 25" xfId="54820" xr:uid="{00000000-0005-0000-0000-00005C2F0000}"/>
    <cellStyle name="40% - Accent1 3 5 26" xfId="56503" xr:uid="{00000000-0005-0000-0000-00005D2F0000}"/>
    <cellStyle name="40% - Accent1 3 5 27" xfId="58186" xr:uid="{00000000-0005-0000-0000-00005E2F0000}"/>
    <cellStyle name="40% - Accent1 3 5 28" xfId="59869" xr:uid="{00000000-0005-0000-0000-00005F2F0000}"/>
    <cellStyle name="40% - Accent1 3 5 29" xfId="61552" xr:uid="{00000000-0005-0000-0000-0000602F0000}"/>
    <cellStyle name="40% - Accent1 3 5 3" xfId="4327" xr:uid="{00000000-0005-0000-0000-0000612F0000}"/>
    <cellStyle name="40% - Accent1 3 5 3 2" xfId="19476" xr:uid="{00000000-0005-0000-0000-0000622F0000}"/>
    <cellStyle name="40% - Accent1 3 5 30" xfId="63235" xr:uid="{00000000-0005-0000-0000-0000632F0000}"/>
    <cellStyle name="40% - Accent1 3 5 4" xfId="6010" xr:uid="{00000000-0005-0000-0000-0000642F0000}"/>
    <cellStyle name="40% - Accent1 3 5 4 2" xfId="21159" xr:uid="{00000000-0005-0000-0000-0000652F0000}"/>
    <cellStyle name="40% - Accent1 3 5 5" xfId="7693" xr:uid="{00000000-0005-0000-0000-0000662F0000}"/>
    <cellStyle name="40% - Accent1 3 5 5 2" xfId="22842" xr:uid="{00000000-0005-0000-0000-0000672F0000}"/>
    <cellStyle name="40% - Accent1 3 5 6" xfId="9376" xr:uid="{00000000-0005-0000-0000-0000682F0000}"/>
    <cellStyle name="40% - Accent1 3 5 6 2" xfId="24525" xr:uid="{00000000-0005-0000-0000-0000692F0000}"/>
    <cellStyle name="40% - Accent1 3 5 7" xfId="11059" xr:uid="{00000000-0005-0000-0000-00006A2F0000}"/>
    <cellStyle name="40% - Accent1 3 5 7 2" xfId="26208" xr:uid="{00000000-0005-0000-0000-00006B2F0000}"/>
    <cellStyle name="40% - Accent1 3 5 8" xfId="12743" xr:uid="{00000000-0005-0000-0000-00006C2F0000}"/>
    <cellStyle name="40% - Accent1 3 5 8 2" xfId="27892" xr:uid="{00000000-0005-0000-0000-00006D2F0000}"/>
    <cellStyle name="40% - Accent1 3 5 9" xfId="14426" xr:uid="{00000000-0005-0000-0000-00006E2F0000}"/>
    <cellStyle name="40% - Accent1 3 5 9 2" xfId="29575" xr:uid="{00000000-0005-0000-0000-00006F2F0000}"/>
    <cellStyle name="40% - Accent1 3 6" xfId="1381" xr:uid="{00000000-0005-0000-0000-0000702F0000}"/>
    <cellStyle name="40% - Accent1 3 6 10" xfId="16530" xr:uid="{00000000-0005-0000-0000-0000712F0000}"/>
    <cellStyle name="40% - Accent1 3 6 11" xfId="31679" xr:uid="{00000000-0005-0000-0000-0000722F0000}"/>
    <cellStyle name="40% - Accent1 3 6 12" xfId="33362" xr:uid="{00000000-0005-0000-0000-0000732F0000}"/>
    <cellStyle name="40% - Accent1 3 6 13" xfId="35045" xr:uid="{00000000-0005-0000-0000-0000742F0000}"/>
    <cellStyle name="40% - Accent1 3 6 14" xfId="36728" xr:uid="{00000000-0005-0000-0000-0000752F0000}"/>
    <cellStyle name="40% - Accent1 3 6 15" xfId="38411" xr:uid="{00000000-0005-0000-0000-0000762F0000}"/>
    <cellStyle name="40% - Accent1 3 6 16" xfId="40094" xr:uid="{00000000-0005-0000-0000-0000772F0000}"/>
    <cellStyle name="40% - Accent1 3 6 17" xfId="41777" xr:uid="{00000000-0005-0000-0000-0000782F0000}"/>
    <cellStyle name="40% - Accent1 3 6 18" xfId="43460" xr:uid="{00000000-0005-0000-0000-0000792F0000}"/>
    <cellStyle name="40% - Accent1 3 6 19" xfId="45143" xr:uid="{00000000-0005-0000-0000-00007A2F0000}"/>
    <cellStyle name="40% - Accent1 3 6 2" xfId="3064" xr:uid="{00000000-0005-0000-0000-00007B2F0000}"/>
    <cellStyle name="40% - Accent1 3 6 2 2" xfId="18213" xr:uid="{00000000-0005-0000-0000-00007C2F0000}"/>
    <cellStyle name="40% - Accent1 3 6 20" xfId="46826" xr:uid="{00000000-0005-0000-0000-00007D2F0000}"/>
    <cellStyle name="40% - Accent1 3 6 21" xfId="48509" xr:uid="{00000000-0005-0000-0000-00007E2F0000}"/>
    <cellStyle name="40% - Accent1 3 6 22" xfId="50192" xr:uid="{00000000-0005-0000-0000-00007F2F0000}"/>
    <cellStyle name="40% - Accent1 3 6 23" xfId="51875" xr:uid="{00000000-0005-0000-0000-0000802F0000}"/>
    <cellStyle name="40% - Accent1 3 6 24" xfId="53558" xr:uid="{00000000-0005-0000-0000-0000812F0000}"/>
    <cellStyle name="40% - Accent1 3 6 25" xfId="55241" xr:uid="{00000000-0005-0000-0000-0000822F0000}"/>
    <cellStyle name="40% - Accent1 3 6 26" xfId="56924" xr:uid="{00000000-0005-0000-0000-0000832F0000}"/>
    <cellStyle name="40% - Accent1 3 6 27" xfId="58607" xr:uid="{00000000-0005-0000-0000-0000842F0000}"/>
    <cellStyle name="40% - Accent1 3 6 28" xfId="60290" xr:uid="{00000000-0005-0000-0000-0000852F0000}"/>
    <cellStyle name="40% - Accent1 3 6 29" xfId="61973" xr:uid="{00000000-0005-0000-0000-0000862F0000}"/>
    <cellStyle name="40% - Accent1 3 6 3" xfId="4748" xr:uid="{00000000-0005-0000-0000-0000872F0000}"/>
    <cellStyle name="40% - Accent1 3 6 3 2" xfId="19897" xr:uid="{00000000-0005-0000-0000-0000882F0000}"/>
    <cellStyle name="40% - Accent1 3 6 30" xfId="63656" xr:uid="{00000000-0005-0000-0000-0000892F0000}"/>
    <cellStyle name="40% - Accent1 3 6 4" xfId="6431" xr:uid="{00000000-0005-0000-0000-00008A2F0000}"/>
    <cellStyle name="40% - Accent1 3 6 4 2" xfId="21580" xr:uid="{00000000-0005-0000-0000-00008B2F0000}"/>
    <cellStyle name="40% - Accent1 3 6 5" xfId="8114" xr:uid="{00000000-0005-0000-0000-00008C2F0000}"/>
    <cellStyle name="40% - Accent1 3 6 5 2" xfId="23263" xr:uid="{00000000-0005-0000-0000-00008D2F0000}"/>
    <cellStyle name="40% - Accent1 3 6 6" xfId="9797" xr:uid="{00000000-0005-0000-0000-00008E2F0000}"/>
    <cellStyle name="40% - Accent1 3 6 6 2" xfId="24946" xr:uid="{00000000-0005-0000-0000-00008F2F0000}"/>
    <cellStyle name="40% - Accent1 3 6 7" xfId="11480" xr:uid="{00000000-0005-0000-0000-0000902F0000}"/>
    <cellStyle name="40% - Accent1 3 6 7 2" xfId="26629" xr:uid="{00000000-0005-0000-0000-0000912F0000}"/>
    <cellStyle name="40% - Accent1 3 6 8" xfId="13164" xr:uid="{00000000-0005-0000-0000-0000922F0000}"/>
    <cellStyle name="40% - Accent1 3 6 8 2" xfId="28313" xr:uid="{00000000-0005-0000-0000-0000932F0000}"/>
    <cellStyle name="40% - Accent1 3 6 9" xfId="14847" xr:uid="{00000000-0005-0000-0000-0000942F0000}"/>
    <cellStyle name="40% - Accent1 3 6 9 2" xfId="29996" xr:uid="{00000000-0005-0000-0000-0000952F0000}"/>
    <cellStyle name="40% - Accent1 3 7" xfId="1802" xr:uid="{00000000-0005-0000-0000-0000962F0000}"/>
    <cellStyle name="40% - Accent1 3 7 2" xfId="16951" xr:uid="{00000000-0005-0000-0000-0000972F0000}"/>
    <cellStyle name="40% - Accent1 3 8" xfId="3486" xr:uid="{00000000-0005-0000-0000-0000982F0000}"/>
    <cellStyle name="40% - Accent1 3 8 2" xfId="18635" xr:uid="{00000000-0005-0000-0000-0000992F0000}"/>
    <cellStyle name="40% - Accent1 3 9" xfId="5169" xr:uid="{00000000-0005-0000-0000-00009A2F0000}"/>
    <cellStyle name="40% - Accent1 3 9 2" xfId="20318" xr:uid="{00000000-0005-0000-0000-00009B2F0000}"/>
    <cellStyle name="40% - Accent1 30" xfId="50571" xr:uid="{00000000-0005-0000-0000-00009C2F0000}"/>
    <cellStyle name="40% - Accent1 31" xfId="52254" xr:uid="{00000000-0005-0000-0000-00009D2F0000}"/>
    <cellStyle name="40% - Accent1 32" xfId="53937" xr:uid="{00000000-0005-0000-0000-00009E2F0000}"/>
    <cellStyle name="40% - Accent1 33" xfId="55620" xr:uid="{00000000-0005-0000-0000-00009F2F0000}"/>
    <cellStyle name="40% - Accent1 34" xfId="57303" xr:uid="{00000000-0005-0000-0000-0000A02F0000}"/>
    <cellStyle name="40% - Accent1 35" xfId="58986" xr:uid="{00000000-0005-0000-0000-0000A12F0000}"/>
    <cellStyle name="40% - Accent1 36" xfId="60669" xr:uid="{00000000-0005-0000-0000-0000A22F0000}"/>
    <cellStyle name="40% - Accent1 37" xfId="62352" xr:uid="{00000000-0005-0000-0000-0000A32F0000}"/>
    <cellStyle name="40% - Accent1 4" xfId="182" xr:uid="{00000000-0005-0000-0000-0000A42F0000}"/>
    <cellStyle name="40% - Accent1 4 10" xfId="8598" xr:uid="{00000000-0005-0000-0000-0000A52F0000}"/>
    <cellStyle name="40% - Accent1 4 10 2" xfId="23747" xr:uid="{00000000-0005-0000-0000-0000A62F0000}"/>
    <cellStyle name="40% - Accent1 4 11" xfId="10281" xr:uid="{00000000-0005-0000-0000-0000A72F0000}"/>
    <cellStyle name="40% - Accent1 4 11 2" xfId="25430" xr:uid="{00000000-0005-0000-0000-0000A82F0000}"/>
    <cellStyle name="40% - Accent1 4 12" xfId="11965" xr:uid="{00000000-0005-0000-0000-0000A92F0000}"/>
    <cellStyle name="40% - Accent1 4 12 2" xfId="27114" xr:uid="{00000000-0005-0000-0000-0000AA2F0000}"/>
    <cellStyle name="40% - Accent1 4 13" xfId="13648" xr:uid="{00000000-0005-0000-0000-0000AB2F0000}"/>
    <cellStyle name="40% - Accent1 4 13 2" xfId="28797" xr:uid="{00000000-0005-0000-0000-0000AC2F0000}"/>
    <cellStyle name="40% - Accent1 4 14" xfId="15331" xr:uid="{00000000-0005-0000-0000-0000AD2F0000}"/>
    <cellStyle name="40% - Accent1 4 15" xfId="30480" xr:uid="{00000000-0005-0000-0000-0000AE2F0000}"/>
    <cellStyle name="40% - Accent1 4 16" xfId="32163" xr:uid="{00000000-0005-0000-0000-0000AF2F0000}"/>
    <cellStyle name="40% - Accent1 4 17" xfId="33846" xr:uid="{00000000-0005-0000-0000-0000B02F0000}"/>
    <cellStyle name="40% - Accent1 4 18" xfId="35529" xr:uid="{00000000-0005-0000-0000-0000B12F0000}"/>
    <cellStyle name="40% - Accent1 4 19" xfId="37212" xr:uid="{00000000-0005-0000-0000-0000B22F0000}"/>
    <cellStyle name="40% - Accent1 4 2" xfId="392" xr:uid="{00000000-0005-0000-0000-0000B32F0000}"/>
    <cellStyle name="40% - Accent1 4 2 10" xfId="10491" xr:uid="{00000000-0005-0000-0000-0000B42F0000}"/>
    <cellStyle name="40% - Accent1 4 2 10 2" xfId="25640" xr:uid="{00000000-0005-0000-0000-0000B52F0000}"/>
    <cellStyle name="40% - Accent1 4 2 11" xfId="12175" xr:uid="{00000000-0005-0000-0000-0000B62F0000}"/>
    <cellStyle name="40% - Accent1 4 2 11 2" xfId="27324" xr:uid="{00000000-0005-0000-0000-0000B72F0000}"/>
    <cellStyle name="40% - Accent1 4 2 12" xfId="13858" xr:uid="{00000000-0005-0000-0000-0000B82F0000}"/>
    <cellStyle name="40% - Accent1 4 2 12 2" xfId="29007" xr:uid="{00000000-0005-0000-0000-0000B92F0000}"/>
    <cellStyle name="40% - Accent1 4 2 13" xfId="15541" xr:uid="{00000000-0005-0000-0000-0000BA2F0000}"/>
    <cellStyle name="40% - Accent1 4 2 14" xfId="30690" xr:uid="{00000000-0005-0000-0000-0000BB2F0000}"/>
    <cellStyle name="40% - Accent1 4 2 15" xfId="32373" xr:uid="{00000000-0005-0000-0000-0000BC2F0000}"/>
    <cellStyle name="40% - Accent1 4 2 16" xfId="34056" xr:uid="{00000000-0005-0000-0000-0000BD2F0000}"/>
    <cellStyle name="40% - Accent1 4 2 17" xfId="35739" xr:uid="{00000000-0005-0000-0000-0000BE2F0000}"/>
    <cellStyle name="40% - Accent1 4 2 18" xfId="37422" xr:uid="{00000000-0005-0000-0000-0000BF2F0000}"/>
    <cellStyle name="40% - Accent1 4 2 19" xfId="39105" xr:uid="{00000000-0005-0000-0000-0000C02F0000}"/>
    <cellStyle name="40% - Accent1 4 2 2" xfId="812" xr:uid="{00000000-0005-0000-0000-0000C12F0000}"/>
    <cellStyle name="40% - Accent1 4 2 2 10" xfId="15961" xr:uid="{00000000-0005-0000-0000-0000C22F0000}"/>
    <cellStyle name="40% - Accent1 4 2 2 11" xfId="31110" xr:uid="{00000000-0005-0000-0000-0000C32F0000}"/>
    <cellStyle name="40% - Accent1 4 2 2 12" xfId="32793" xr:uid="{00000000-0005-0000-0000-0000C42F0000}"/>
    <cellStyle name="40% - Accent1 4 2 2 13" xfId="34476" xr:uid="{00000000-0005-0000-0000-0000C52F0000}"/>
    <cellStyle name="40% - Accent1 4 2 2 14" xfId="36159" xr:uid="{00000000-0005-0000-0000-0000C62F0000}"/>
    <cellStyle name="40% - Accent1 4 2 2 15" xfId="37842" xr:uid="{00000000-0005-0000-0000-0000C72F0000}"/>
    <cellStyle name="40% - Accent1 4 2 2 16" xfId="39525" xr:uid="{00000000-0005-0000-0000-0000C82F0000}"/>
    <cellStyle name="40% - Accent1 4 2 2 17" xfId="41208" xr:uid="{00000000-0005-0000-0000-0000C92F0000}"/>
    <cellStyle name="40% - Accent1 4 2 2 18" xfId="42891" xr:uid="{00000000-0005-0000-0000-0000CA2F0000}"/>
    <cellStyle name="40% - Accent1 4 2 2 19" xfId="44574" xr:uid="{00000000-0005-0000-0000-0000CB2F0000}"/>
    <cellStyle name="40% - Accent1 4 2 2 2" xfId="2495" xr:uid="{00000000-0005-0000-0000-0000CC2F0000}"/>
    <cellStyle name="40% - Accent1 4 2 2 2 2" xfId="17644" xr:uid="{00000000-0005-0000-0000-0000CD2F0000}"/>
    <cellStyle name="40% - Accent1 4 2 2 20" xfId="46257" xr:uid="{00000000-0005-0000-0000-0000CE2F0000}"/>
    <cellStyle name="40% - Accent1 4 2 2 21" xfId="47940" xr:uid="{00000000-0005-0000-0000-0000CF2F0000}"/>
    <cellStyle name="40% - Accent1 4 2 2 22" xfId="49623" xr:uid="{00000000-0005-0000-0000-0000D02F0000}"/>
    <cellStyle name="40% - Accent1 4 2 2 23" xfId="51306" xr:uid="{00000000-0005-0000-0000-0000D12F0000}"/>
    <cellStyle name="40% - Accent1 4 2 2 24" xfId="52989" xr:uid="{00000000-0005-0000-0000-0000D22F0000}"/>
    <cellStyle name="40% - Accent1 4 2 2 25" xfId="54672" xr:uid="{00000000-0005-0000-0000-0000D32F0000}"/>
    <cellStyle name="40% - Accent1 4 2 2 26" xfId="56355" xr:uid="{00000000-0005-0000-0000-0000D42F0000}"/>
    <cellStyle name="40% - Accent1 4 2 2 27" xfId="58038" xr:uid="{00000000-0005-0000-0000-0000D52F0000}"/>
    <cellStyle name="40% - Accent1 4 2 2 28" xfId="59721" xr:uid="{00000000-0005-0000-0000-0000D62F0000}"/>
    <cellStyle name="40% - Accent1 4 2 2 29" xfId="61404" xr:uid="{00000000-0005-0000-0000-0000D72F0000}"/>
    <cellStyle name="40% - Accent1 4 2 2 3" xfId="4179" xr:uid="{00000000-0005-0000-0000-0000D82F0000}"/>
    <cellStyle name="40% - Accent1 4 2 2 3 2" xfId="19328" xr:uid="{00000000-0005-0000-0000-0000D92F0000}"/>
    <cellStyle name="40% - Accent1 4 2 2 30" xfId="63087" xr:uid="{00000000-0005-0000-0000-0000DA2F0000}"/>
    <cellStyle name="40% - Accent1 4 2 2 4" xfId="5862" xr:uid="{00000000-0005-0000-0000-0000DB2F0000}"/>
    <cellStyle name="40% - Accent1 4 2 2 4 2" xfId="21011" xr:uid="{00000000-0005-0000-0000-0000DC2F0000}"/>
    <cellStyle name="40% - Accent1 4 2 2 5" xfId="7545" xr:uid="{00000000-0005-0000-0000-0000DD2F0000}"/>
    <cellStyle name="40% - Accent1 4 2 2 5 2" xfId="22694" xr:uid="{00000000-0005-0000-0000-0000DE2F0000}"/>
    <cellStyle name="40% - Accent1 4 2 2 6" xfId="9228" xr:uid="{00000000-0005-0000-0000-0000DF2F0000}"/>
    <cellStyle name="40% - Accent1 4 2 2 6 2" xfId="24377" xr:uid="{00000000-0005-0000-0000-0000E02F0000}"/>
    <cellStyle name="40% - Accent1 4 2 2 7" xfId="10911" xr:uid="{00000000-0005-0000-0000-0000E12F0000}"/>
    <cellStyle name="40% - Accent1 4 2 2 7 2" xfId="26060" xr:uid="{00000000-0005-0000-0000-0000E22F0000}"/>
    <cellStyle name="40% - Accent1 4 2 2 8" xfId="12595" xr:uid="{00000000-0005-0000-0000-0000E32F0000}"/>
    <cellStyle name="40% - Accent1 4 2 2 8 2" xfId="27744" xr:uid="{00000000-0005-0000-0000-0000E42F0000}"/>
    <cellStyle name="40% - Accent1 4 2 2 9" xfId="14278" xr:uid="{00000000-0005-0000-0000-0000E52F0000}"/>
    <cellStyle name="40% - Accent1 4 2 2 9 2" xfId="29427" xr:uid="{00000000-0005-0000-0000-0000E62F0000}"/>
    <cellStyle name="40% - Accent1 4 2 20" xfId="40788" xr:uid="{00000000-0005-0000-0000-0000E72F0000}"/>
    <cellStyle name="40% - Accent1 4 2 21" xfId="42471" xr:uid="{00000000-0005-0000-0000-0000E82F0000}"/>
    <cellStyle name="40% - Accent1 4 2 22" xfId="44154" xr:uid="{00000000-0005-0000-0000-0000E92F0000}"/>
    <cellStyle name="40% - Accent1 4 2 23" xfId="45837" xr:uid="{00000000-0005-0000-0000-0000EA2F0000}"/>
    <cellStyle name="40% - Accent1 4 2 24" xfId="47520" xr:uid="{00000000-0005-0000-0000-0000EB2F0000}"/>
    <cellStyle name="40% - Accent1 4 2 25" xfId="49203" xr:uid="{00000000-0005-0000-0000-0000EC2F0000}"/>
    <cellStyle name="40% - Accent1 4 2 26" xfId="50886" xr:uid="{00000000-0005-0000-0000-0000ED2F0000}"/>
    <cellStyle name="40% - Accent1 4 2 27" xfId="52569" xr:uid="{00000000-0005-0000-0000-0000EE2F0000}"/>
    <cellStyle name="40% - Accent1 4 2 28" xfId="54252" xr:uid="{00000000-0005-0000-0000-0000EF2F0000}"/>
    <cellStyle name="40% - Accent1 4 2 29" xfId="55935" xr:uid="{00000000-0005-0000-0000-0000F02F0000}"/>
    <cellStyle name="40% - Accent1 4 2 3" xfId="1233" xr:uid="{00000000-0005-0000-0000-0000F12F0000}"/>
    <cellStyle name="40% - Accent1 4 2 3 10" xfId="16382" xr:uid="{00000000-0005-0000-0000-0000F22F0000}"/>
    <cellStyle name="40% - Accent1 4 2 3 11" xfId="31531" xr:uid="{00000000-0005-0000-0000-0000F32F0000}"/>
    <cellStyle name="40% - Accent1 4 2 3 12" xfId="33214" xr:uid="{00000000-0005-0000-0000-0000F42F0000}"/>
    <cellStyle name="40% - Accent1 4 2 3 13" xfId="34897" xr:uid="{00000000-0005-0000-0000-0000F52F0000}"/>
    <cellStyle name="40% - Accent1 4 2 3 14" xfId="36580" xr:uid="{00000000-0005-0000-0000-0000F62F0000}"/>
    <cellStyle name="40% - Accent1 4 2 3 15" xfId="38263" xr:uid="{00000000-0005-0000-0000-0000F72F0000}"/>
    <cellStyle name="40% - Accent1 4 2 3 16" xfId="39946" xr:uid="{00000000-0005-0000-0000-0000F82F0000}"/>
    <cellStyle name="40% - Accent1 4 2 3 17" xfId="41629" xr:uid="{00000000-0005-0000-0000-0000F92F0000}"/>
    <cellStyle name="40% - Accent1 4 2 3 18" xfId="43312" xr:uid="{00000000-0005-0000-0000-0000FA2F0000}"/>
    <cellStyle name="40% - Accent1 4 2 3 19" xfId="44995" xr:uid="{00000000-0005-0000-0000-0000FB2F0000}"/>
    <cellStyle name="40% - Accent1 4 2 3 2" xfId="2916" xr:uid="{00000000-0005-0000-0000-0000FC2F0000}"/>
    <cellStyle name="40% - Accent1 4 2 3 2 2" xfId="18065" xr:uid="{00000000-0005-0000-0000-0000FD2F0000}"/>
    <cellStyle name="40% - Accent1 4 2 3 20" xfId="46678" xr:uid="{00000000-0005-0000-0000-0000FE2F0000}"/>
    <cellStyle name="40% - Accent1 4 2 3 21" xfId="48361" xr:uid="{00000000-0005-0000-0000-0000FF2F0000}"/>
    <cellStyle name="40% - Accent1 4 2 3 22" xfId="50044" xr:uid="{00000000-0005-0000-0000-000000300000}"/>
    <cellStyle name="40% - Accent1 4 2 3 23" xfId="51727" xr:uid="{00000000-0005-0000-0000-000001300000}"/>
    <cellStyle name="40% - Accent1 4 2 3 24" xfId="53410" xr:uid="{00000000-0005-0000-0000-000002300000}"/>
    <cellStyle name="40% - Accent1 4 2 3 25" xfId="55093" xr:uid="{00000000-0005-0000-0000-000003300000}"/>
    <cellStyle name="40% - Accent1 4 2 3 26" xfId="56776" xr:uid="{00000000-0005-0000-0000-000004300000}"/>
    <cellStyle name="40% - Accent1 4 2 3 27" xfId="58459" xr:uid="{00000000-0005-0000-0000-000005300000}"/>
    <cellStyle name="40% - Accent1 4 2 3 28" xfId="60142" xr:uid="{00000000-0005-0000-0000-000006300000}"/>
    <cellStyle name="40% - Accent1 4 2 3 29" xfId="61825" xr:uid="{00000000-0005-0000-0000-000007300000}"/>
    <cellStyle name="40% - Accent1 4 2 3 3" xfId="4600" xr:uid="{00000000-0005-0000-0000-000008300000}"/>
    <cellStyle name="40% - Accent1 4 2 3 3 2" xfId="19749" xr:uid="{00000000-0005-0000-0000-000009300000}"/>
    <cellStyle name="40% - Accent1 4 2 3 30" xfId="63508" xr:uid="{00000000-0005-0000-0000-00000A300000}"/>
    <cellStyle name="40% - Accent1 4 2 3 4" xfId="6283" xr:uid="{00000000-0005-0000-0000-00000B300000}"/>
    <cellStyle name="40% - Accent1 4 2 3 4 2" xfId="21432" xr:uid="{00000000-0005-0000-0000-00000C300000}"/>
    <cellStyle name="40% - Accent1 4 2 3 5" xfId="7966" xr:uid="{00000000-0005-0000-0000-00000D300000}"/>
    <cellStyle name="40% - Accent1 4 2 3 5 2" xfId="23115" xr:uid="{00000000-0005-0000-0000-00000E300000}"/>
    <cellStyle name="40% - Accent1 4 2 3 6" xfId="9649" xr:uid="{00000000-0005-0000-0000-00000F300000}"/>
    <cellStyle name="40% - Accent1 4 2 3 6 2" xfId="24798" xr:uid="{00000000-0005-0000-0000-000010300000}"/>
    <cellStyle name="40% - Accent1 4 2 3 7" xfId="11332" xr:uid="{00000000-0005-0000-0000-000011300000}"/>
    <cellStyle name="40% - Accent1 4 2 3 7 2" xfId="26481" xr:uid="{00000000-0005-0000-0000-000012300000}"/>
    <cellStyle name="40% - Accent1 4 2 3 8" xfId="13016" xr:uid="{00000000-0005-0000-0000-000013300000}"/>
    <cellStyle name="40% - Accent1 4 2 3 8 2" xfId="28165" xr:uid="{00000000-0005-0000-0000-000014300000}"/>
    <cellStyle name="40% - Accent1 4 2 3 9" xfId="14699" xr:uid="{00000000-0005-0000-0000-000015300000}"/>
    <cellStyle name="40% - Accent1 4 2 3 9 2" xfId="29848" xr:uid="{00000000-0005-0000-0000-000016300000}"/>
    <cellStyle name="40% - Accent1 4 2 30" xfId="57618" xr:uid="{00000000-0005-0000-0000-000017300000}"/>
    <cellStyle name="40% - Accent1 4 2 31" xfId="59301" xr:uid="{00000000-0005-0000-0000-000018300000}"/>
    <cellStyle name="40% - Accent1 4 2 32" xfId="60984" xr:uid="{00000000-0005-0000-0000-000019300000}"/>
    <cellStyle name="40% - Accent1 4 2 33" xfId="62667" xr:uid="{00000000-0005-0000-0000-00001A300000}"/>
    <cellStyle name="40% - Accent1 4 2 4" xfId="1654" xr:uid="{00000000-0005-0000-0000-00001B300000}"/>
    <cellStyle name="40% - Accent1 4 2 4 10" xfId="16803" xr:uid="{00000000-0005-0000-0000-00001C300000}"/>
    <cellStyle name="40% - Accent1 4 2 4 11" xfId="31952" xr:uid="{00000000-0005-0000-0000-00001D300000}"/>
    <cellStyle name="40% - Accent1 4 2 4 12" xfId="33635" xr:uid="{00000000-0005-0000-0000-00001E300000}"/>
    <cellStyle name="40% - Accent1 4 2 4 13" xfId="35318" xr:uid="{00000000-0005-0000-0000-00001F300000}"/>
    <cellStyle name="40% - Accent1 4 2 4 14" xfId="37001" xr:uid="{00000000-0005-0000-0000-000020300000}"/>
    <cellStyle name="40% - Accent1 4 2 4 15" xfId="38684" xr:uid="{00000000-0005-0000-0000-000021300000}"/>
    <cellStyle name="40% - Accent1 4 2 4 16" xfId="40367" xr:uid="{00000000-0005-0000-0000-000022300000}"/>
    <cellStyle name="40% - Accent1 4 2 4 17" xfId="42050" xr:uid="{00000000-0005-0000-0000-000023300000}"/>
    <cellStyle name="40% - Accent1 4 2 4 18" xfId="43733" xr:uid="{00000000-0005-0000-0000-000024300000}"/>
    <cellStyle name="40% - Accent1 4 2 4 19" xfId="45416" xr:uid="{00000000-0005-0000-0000-000025300000}"/>
    <cellStyle name="40% - Accent1 4 2 4 2" xfId="3337" xr:uid="{00000000-0005-0000-0000-000026300000}"/>
    <cellStyle name="40% - Accent1 4 2 4 2 2" xfId="18486" xr:uid="{00000000-0005-0000-0000-000027300000}"/>
    <cellStyle name="40% - Accent1 4 2 4 20" xfId="47099" xr:uid="{00000000-0005-0000-0000-000028300000}"/>
    <cellStyle name="40% - Accent1 4 2 4 21" xfId="48782" xr:uid="{00000000-0005-0000-0000-000029300000}"/>
    <cellStyle name="40% - Accent1 4 2 4 22" xfId="50465" xr:uid="{00000000-0005-0000-0000-00002A300000}"/>
    <cellStyle name="40% - Accent1 4 2 4 23" xfId="52148" xr:uid="{00000000-0005-0000-0000-00002B300000}"/>
    <cellStyle name="40% - Accent1 4 2 4 24" xfId="53831" xr:uid="{00000000-0005-0000-0000-00002C300000}"/>
    <cellStyle name="40% - Accent1 4 2 4 25" xfId="55514" xr:uid="{00000000-0005-0000-0000-00002D300000}"/>
    <cellStyle name="40% - Accent1 4 2 4 26" xfId="57197" xr:uid="{00000000-0005-0000-0000-00002E300000}"/>
    <cellStyle name="40% - Accent1 4 2 4 27" xfId="58880" xr:uid="{00000000-0005-0000-0000-00002F300000}"/>
    <cellStyle name="40% - Accent1 4 2 4 28" xfId="60563" xr:uid="{00000000-0005-0000-0000-000030300000}"/>
    <cellStyle name="40% - Accent1 4 2 4 29" xfId="62246" xr:uid="{00000000-0005-0000-0000-000031300000}"/>
    <cellStyle name="40% - Accent1 4 2 4 3" xfId="5021" xr:uid="{00000000-0005-0000-0000-000032300000}"/>
    <cellStyle name="40% - Accent1 4 2 4 3 2" xfId="20170" xr:uid="{00000000-0005-0000-0000-000033300000}"/>
    <cellStyle name="40% - Accent1 4 2 4 30" xfId="63929" xr:uid="{00000000-0005-0000-0000-000034300000}"/>
    <cellStyle name="40% - Accent1 4 2 4 4" xfId="6704" xr:uid="{00000000-0005-0000-0000-000035300000}"/>
    <cellStyle name="40% - Accent1 4 2 4 4 2" xfId="21853" xr:uid="{00000000-0005-0000-0000-000036300000}"/>
    <cellStyle name="40% - Accent1 4 2 4 5" xfId="8387" xr:uid="{00000000-0005-0000-0000-000037300000}"/>
    <cellStyle name="40% - Accent1 4 2 4 5 2" xfId="23536" xr:uid="{00000000-0005-0000-0000-000038300000}"/>
    <cellStyle name="40% - Accent1 4 2 4 6" xfId="10070" xr:uid="{00000000-0005-0000-0000-000039300000}"/>
    <cellStyle name="40% - Accent1 4 2 4 6 2" xfId="25219" xr:uid="{00000000-0005-0000-0000-00003A300000}"/>
    <cellStyle name="40% - Accent1 4 2 4 7" xfId="11753" xr:uid="{00000000-0005-0000-0000-00003B300000}"/>
    <cellStyle name="40% - Accent1 4 2 4 7 2" xfId="26902" xr:uid="{00000000-0005-0000-0000-00003C300000}"/>
    <cellStyle name="40% - Accent1 4 2 4 8" xfId="13437" xr:uid="{00000000-0005-0000-0000-00003D300000}"/>
    <cellStyle name="40% - Accent1 4 2 4 8 2" xfId="28586" xr:uid="{00000000-0005-0000-0000-00003E300000}"/>
    <cellStyle name="40% - Accent1 4 2 4 9" xfId="15120" xr:uid="{00000000-0005-0000-0000-00003F300000}"/>
    <cellStyle name="40% - Accent1 4 2 4 9 2" xfId="30269" xr:uid="{00000000-0005-0000-0000-000040300000}"/>
    <cellStyle name="40% - Accent1 4 2 5" xfId="2075" xr:uid="{00000000-0005-0000-0000-000041300000}"/>
    <cellStyle name="40% - Accent1 4 2 5 2" xfId="17224" xr:uid="{00000000-0005-0000-0000-000042300000}"/>
    <cellStyle name="40% - Accent1 4 2 6" xfId="3759" xr:uid="{00000000-0005-0000-0000-000043300000}"/>
    <cellStyle name="40% - Accent1 4 2 6 2" xfId="18908" xr:uid="{00000000-0005-0000-0000-000044300000}"/>
    <cellStyle name="40% - Accent1 4 2 7" xfId="5442" xr:uid="{00000000-0005-0000-0000-000045300000}"/>
    <cellStyle name="40% - Accent1 4 2 7 2" xfId="20591" xr:uid="{00000000-0005-0000-0000-000046300000}"/>
    <cellStyle name="40% - Accent1 4 2 8" xfId="7125" xr:uid="{00000000-0005-0000-0000-000047300000}"/>
    <cellStyle name="40% - Accent1 4 2 8 2" xfId="22274" xr:uid="{00000000-0005-0000-0000-000048300000}"/>
    <cellStyle name="40% - Accent1 4 2 9" xfId="8808" xr:uid="{00000000-0005-0000-0000-000049300000}"/>
    <cellStyle name="40% - Accent1 4 2 9 2" xfId="23957" xr:uid="{00000000-0005-0000-0000-00004A300000}"/>
    <cellStyle name="40% - Accent1 4 20" xfId="38895" xr:uid="{00000000-0005-0000-0000-00004B300000}"/>
    <cellStyle name="40% - Accent1 4 21" xfId="40578" xr:uid="{00000000-0005-0000-0000-00004C300000}"/>
    <cellStyle name="40% - Accent1 4 22" xfId="42261" xr:uid="{00000000-0005-0000-0000-00004D300000}"/>
    <cellStyle name="40% - Accent1 4 23" xfId="43944" xr:uid="{00000000-0005-0000-0000-00004E300000}"/>
    <cellStyle name="40% - Accent1 4 24" xfId="45627" xr:uid="{00000000-0005-0000-0000-00004F300000}"/>
    <cellStyle name="40% - Accent1 4 25" xfId="47310" xr:uid="{00000000-0005-0000-0000-000050300000}"/>
    <cellStyle name="40% - Accent1 4 26" xfId="48993" xr:uid="{00000000-0005-0000-0000-000051300000}"/>
    <cellStyle name="40% - Accent1 4 27" xfId="50676" xr:uid="{00000000-0005-0000-0000-000052300000}"/>
    <cellStyle name="40% - Accent1 4 28" xfId="52359" xr:uid="{00000000-0005-0000-0000-000053300000}"/>
    <cellStyle name="40% - Accent1 4 29" xfId="54042" xr:uid="{00000000-0005-0000-0000-000054300000}"/>
    <cellStyle name="40% - Accent1 4 3" xfId="602" xr:uid="{00000000-0005-0000-0000-000055300000}"/>
    <cellStyle name="40% - Accent1 4 3 10" xfId="15751" xr:uid="{00000000-0005-0000-0000-000056300000}"/>
    <cellStyle name="40% - Accent1 4 3 11" xfId="30900" xr:uid="{00000000-0005-0000-0000-000057300000}"/>
    <cellStyle name="40% - Accent1 4 3 12" xfId="32583" xr:uid="{00000000-0005-0000-0000-000058300000}"/>
    <cellStyle name="40% - Accent1 4 3 13" xfId="34266" xr:uid="{00000000-0005-0000-0000-000059300000}"/>
    <cellStyle name="40% - Accent1 4 3 14" xfId="35949" xr:uid="{00000000-0005-0000-0000-00005A300000}"/>
    <cellStyle name="40% - Accent1 4 3 15" xfId="37632" xr:uid="{00000000-0005-0000-0000-00005B300000}"/>
    <cellStyle name="40% - Accent1 4 3 16" xfId="39315" xr:uid="{00000000-0005-0000-0000-00005C300000}"/>
    <cellStyle name="40% - Accent1 4 3 17" xfId="40998" xr:uid="{00000000-0005-0000-0000-00005D300000}"/>
    <cellStyle name="40% - Accent1 4 3 18" xfId="42681" xr:uid="{00000000-0005-0000-0000-00005E300000}"/>
    <cellStyle name="40% - Accent1 4 3 19" xfId="44364" xr:uid="{00000000-0005-0000-0000-00005F300000}"/>
    <cellStyle name="40% - Accent1 4 3 2" xfId="2285" xr:uid="{00000000-0005-0000-0000-000060300000}"/>
    <cellStyle name="40% - Accent1 4 3 2 2" xfId="17434" xr:uid="{00000000-0005-0000-0000-000061300000}"/>
    <cellStyle name="40% - Accent1 4 3 20" xfId="46047" xr:uid="{00000000-0005-0000-0000-000062300000}"/>
    <cellStyle name="40% - Accent1 4 3 21" xfId="47730" xr:uid="{00000000-0005-0000-0000-000063300000}"/>
    <cellStyle name="40% - Accent1 4 3 22" xfId="49413" xr:uid="{00000000-0005-0000-0000-000064300000}"/>
    <cellStyle name="40% - Accent1 4 3 23" xfId="51096" xr:uid="{00000000-0005-0000-0000-000065300000}"/>
    <cellStyle name="40% - Accent1 4 3 24" xfId="52779" xr:uid="{00000000-0005-0000-0000-000066300000}"/>
    <cellStyle name="40% - Accent1 4 3 25" xfId="54462" xr:uid="{00000000-0005-0000-0000-000067300000}"/>
    <cellStyle name="40% - Accent1 4 3 26" xfId="56145" xr:uid="{00000000-0005-0000-0000-000068300000}"/>
    <cellStyle name="40% - Accent1 4 3 27" xfId="57828" xr:uid="{00000000-0005-0000-0000-000069300000}"/>
    <cellStyle name="40% - Accent1 4 3 28" xfId="59511" xr:uid="{00000000-0005-0000-0000-00006A300000}"/>
    <cellStyle name="40% - Accent1 4 3 29" xfId="61194" xr:uid="{00000000-0005-0000-0000-00006B300000}"/>
    <cellStyle name="40% - Accent1 4 3 3" xfId="3969" xr:uid="{00000000-0005-0000-0000-00006C300000}"/>
    <cellStyle name="40% - Accent1 4 3 3 2" xfId="19118" xr:uid="{00000000-0005-0000-0000-00006D300000}"/>
    <cellStyle name="40% - Accent1 4 3 30" xfId="62877" xr:uid="{00000000-0005-0000-0000-00006E300000}"/>
    <cellStyle name="40% - Accent1 4 3 4" xfId="5652" xr:uid="{00000000-0005-0000-0000-00006F300000}"/>
    <cellStyle name="40% - Accent1 4 3 4 2" xfId="20801" xr:uid="{00000000-0005-0000-0000-000070300000}"/>
    <cellStyle name="40% - Accent1 4 3 5" xfId="7335" xr:uid="{00000000-0005-0000-0000-000071300000}"/>
    <cellStyle name="40% - Accent1 4 3 5 2" xfId="22484" xr:uid="{00000000-0005-0000-0000-000072300000}"/>
    <cellStyle name="40% - Accent1 4 3 6" xfId="9018" xr:uid="{00000000-0005-0000-0000-000073300000}"/>
    <cellStyle name="40% - Accent1 4 3 6 2" xfId="24167" xr:uid="{00000000-0005-0000-0000-000074300000}"/>
    <cellStyle name="40% - Accent1 4 3 7" xfId="10701" xr:uid="{00000000-0005-0000-0000-000075300000}"/>
    <cellStyle name="40% - Accent1 4 3 7 2" xfId="25850" xr:uid="{00000000-0005-0000-0000-000076300000}"/>
    <cellStyle name="40% - Accent1 4 3 8" xfId="12385" xr:uid="{00000000-0005-0000-0000-000077300000}"/>
    <cellStyle name="40% - Accent1 4 3 8 2" xfId="27534" xr:uid="{00000000-0005-0000-0000-000078300000}"/>
    <cellStyle name="40% - Accent1 4 3 9" xfId="14068" xr:uid="{00000000-0005-0000-0000-000079300000}"/>
    <cellStyle name="40% - Accent1 4 3 9 2" xfId="29217" xr:uid="{00000000-0005-0000-0000-00007A300000}"/>
    <cellStyle name="40% - Accent1 4 30" xfId="55725" xr:uid="{00000000-0005-0000-0000-00007B300000}"/>
    <cellStyle name="40% - Accent1 4 31" xfId="57408" xr:uid="{00000000-0005-0000-0000-00007C300000}"/>
    <cellStyle name="40% - Accent1 4 32" xfId="59091" xr:uid="{00000000-0005-0000-0000-00007D300000}"/>
    <cellStyle name="40% - Accent1 4 33" xfId="60774" xr:uid="{00000000-0005-0000-0000-00007E300000}"/>
    <cellStyle name="40% - Accent1 4 34" xfId="62457" xr:uid="{00000000-0005-0000-0000-00007F300000}"/>
    <cellStyle name="40% - Accent1 4 4" xfId="1023" xr:uid="{00000000-0005-0000-0000-000080300000}"/>
    <cellStyle name="40% - Accent1 4 4 10" xfId="16172" xr:uid="{00000000-0005-0000-0000-000081300000}"/>
    <cellStyle name="40% - Accent1 4 4 11" xfId="31321" xr:uid="{00000000-0005-0000-0000-000082300000}"/>
    <cellStyle name="40% - Accent1 4 4 12" xfId="33004" xr:uid="{00000000-0005-0000-0000-000083300000}"/>
    <cellStyle name="40% - Accent1 4 4 13" xfId="34687" xr:uid="{00000000-0005-0000-0000-000084300000}"/>
    <cellStyle name="40% - Accent1 4 4 14" xfId="36370" xr:uid="{00000000-0005-0000-0000-000085300000}"/>
    <cellStyle name="40% - Accent1 4 4 15" xfId="38053" xr:uid="{00000000-0005-0000-0000-000086300000}"/>
    <cellStyle name="40% - Accent1 4 4 16" xfId="39736" xr:uid="{00000000-0005-0000-0000-000087300000}"/>
    <cellStyle name="40% - Accent1 4 4 17" xfId="41419" xr:uid="{00000000-0005-0000-0000-000088300000}"/>
    <cellStyle name="40% - Accent1 4 4 18" xfId="43102" xr:uid="{00000000-0005-0000-0000-000089300000}"/>
    <cellStyle name="40% - Accent1 4 4 19" xfId="44785" xr:uid="{00000000-0005-0000-0000-00008A300000}"/>
    <cellStyle name="40% - Accent1 4 4 2" xfId="2706" xr:uid="{00000000-0005-0000-0000-00008B300000}"/>
    <cellStyle name="40% - Accent1 4 4 2 2" xfId="17855" xr:uid="{00000000-0005-0000-0000-00008C300000}"/>
    <cellStyle name="40% - Accent1 4 4 20" xfId="46468" xr:uid="{00000000-0005-0000-0000-00008D300000}"/>
    <cellStyle name="40% - Accent1 4 4 21" xfId="48151" xr:uid="{00000000-0005-0000-0000-00008E300000}"/>
    <cellStyle name="40% - Accent1 4 4 22" xfId="49834" xr:uid="{00000000-0005-0000-0000-00008F300000}"/>
    <cellStyle name="40% - Accent1 4 4 23" xfId="51517" xr:uid="{00000000-0005-0000-0000-000090300000}"/>
    <cellStyle name="40% - Accent1 4 4 24" xfId="53200" xr:uid="{00000000-0005-0000-0000-000091300000}"/>
    <cellStyle name="40% - Accent1 4 4 25" xfId="54883" xr:uid="{00000000-0005-0000-0000-000092300000}"/>
    <cellStyle name="40% - Accent1 4 4 26" xfId="56566" xr:uid="{00000000-0005-0000-0000-000093300000}"/>
    <cellStyle name="40% - Accent1 4 4 27" xfId="58249" xr:uid="{00000000-0005-0000-0000-000094300000}"/>
    <cellStyle name="40% - Accent1 4 4 28" xfId="59932" xr:uid="{00000000-0005-0000-0000-000095300000}"/>
    <cellStyle name="40% - Accent1 4 4 29" xfId="61615" xr:uid="{00000000-0005-0000-0000-000096300000}"/>
    <cellStyle name="40% - Accent1 4 4 3" xfId="4390" xr:uid="{00000000-0005-0000-0000-000097300000}"/>
    <cellStyle name="40% - Accent1 4 4 3 2" xfId="19539" xr:uid="{00000000-0005-0000-0000-000098300000}"/>
    <cellStyle name="40% - Accent1 4 4 30" xfId="63298" xr:uid="{00000000-0005-0000-0000-000099300000}"/>
    <cellStyle name="40% - Accent1 4 4 4" xfId="6073" xr:uid="{00000000-0005-0000-0000-00009A300000}"/>
    <cellStyle name="40% - Accent1 4 4 4 2" xfId="21222" xr:uid="{00000000-0005-0000-0000-00009B300000}"/>
    <cellStyle name="40% - Accent1 4 4 5" xfId="7756" xr:uid="{00000000-0005-0000-0000-00009C300000}"/>
    <cellStyle name="40% - Accent1 4 4 5 2" xfId="22905" xr:uid="{00000000-0005-0000-0000-00009D300000}"/>
    <cellStyle name="40% - Accent1 4 4 6" xfId="9439" xr:uid="{00000000-0005-0000-0000-00009E300000}"/>
    <cellStyle name="40% - Accent1 4 4 6 2" xfId="24588" xr:uid="{00000000-0005-0000-0000-00009F300000}"/>
    <cellStyle name="40% - Accent1 4 4 7" xfId="11122" xr:uid="{00000000-0005-0000-0000-0000A0300000}"/>
    <cellStyle name="40% - Accent1 4 4 7 2" xfId="26271" xr:uid="{00000000-0005-0000-0000-0000A1300000}"/>
    <cellStyle name="40% - Accent1 4 4 8" xfId="12806" xr:uid="{00000000-0005-0000-0000-0000A2300000}"/>
    <cellStyle name="40% - Accent1 4 4 8 2" xfId="27955" xr:uid="{00000000-0005-0000-0000-0000A3300000}"/>
    <cellStyle name="40% - Accent1 4 4 9" xfId="14489" xr:uid="{00000000-0005-0000-0000-0000A4300000}"/>
    <cellStyle name="40% - Accent1 4 4 9 2" xfId="29638" xr:uid="{00000000-0005-0000-0000-0000A5300000}"/>
    <cellStyle name="40% - Accent1 4 5" xfId="1444" xr:uid="{00000000-0005-0000-0000-0000A6300000}"/>
    <cellStyle name="40% - Accent1 4 5 10" xfId="16593" xr:uid="{00000000-0005-0000-0000-0000A7300000}"/>
    <cellStyle name="40% - Accent1 4 5 11" xfId="31742" xr:uid="{00000000-0005-0000-0000-0000A8300000}"/>
    <cellStyle name="40% - Accent1 4 5 12" xfId="33425" xr:uid="{00000000-0005-0000-0000-0000A9300000}"/>
    <cellStyle name="40% - Accent1 4 5 13" xfId="35108" xr:uid="{00000000-0005-0000-0000-0000AA300000}"/>
    <cellStyle name="40% - Accent1 4 5 14" xfId="36791" xr:uid="{00000000-0005-0000-0000-0000AB300000}"/>
    <cellStyle name="40% - Accent1 4 5 15" xfId="38474" xr:uid="{00000000-0005-0000-0000-0000AC300000}"/>
    <cellStyle name="40% - Accent1 4 5 16" xfId="40157" xr:uid="{00000000-0005-0000-0000-0000AD300000}"/>
    <cellStyle name="40% - Accent1 4 5 17" xfId="41840" xr:uid="{00000000-0005-0000-0000-0000AE300000}"/>
    <cellStyle name="40% - Accent1 4 5 18" xfId="43523" xr:uid="{00000000-0005-0000-0000-0000AF300000}"/>
    <cellStyle name="40% - Accent1 4 5 19" xfId="45206" xr:uid="{00000000-0005-0000-0000-0000B0300000}"/>
    <cellStyle name="40% - Accent1 4 5 2" xfId="3127" xr:uid="{00000000-0005-0000-0000-0000B1300000}"/>
    <cellStyle name="40% - Accent1 4 5 2 2" xfId="18276" xr:uid="{00000000-0005-0000-0000-0000B2300000}"/>
    <cellStyle name="40% - Accent1 4 5 20" xfId="46889" xr:uid="{00000000-0005-0000-0000-0000B3300000}"/>
    <cellStyle name="40% - Accent1 4 5 21" xfId="48572" xr:uid="{00000000-0005-0000-0000-0000B4300000}"/>
    <cellStyle name="40% - Accent1 4 5 22" xfId="50255" xr:uid="{00000000-0005-0000-0000-0000B5300000}"/>
    <cellStyle name="40% - Accent1 4 5 23" xfId="51938" xr:uid="{00000000-0005-0000-0000-0000B6300000}"/>
    <cellStyle name="40% - Accent1 4 5 24" xfId="53621" xr:uid="{00000000-0005-0000-0000-0000B7300000}"/>
    <cellStyle name="40% - Accent1 4 5 25" xfId="55304" xr:uid="{00000000-0005-0000-0000-0000B8300000}"/>
    <cellStyle name="40% - Accent1 4 5 26" xfId="56987" xr:uid="{00000000-0005-0000-0000-0000B9300000}"/>
    <cellStyle name="40% - Accent1 4 5 27" xfId="58670" xr:uid="{00000000-0005-0000-0000-0000BA300000}"/>
    <cellStyle name="40% - Accent1 4 5 28" xfId="60353" xr:uid="{00000000-0005-0000-0000-0000BB300000}"/>
    <cellStyle name="40% - Accent1 4 5 29" xfId="62036" xr:uid="{00000000-0005-0000-0000-0000BC300000}"/>
    <cellStyle name="40% - Accent1 4 5 3" xfId="4811" xr:uid="{00000000-0005-0000-0000-0000BD300000}"/>
    <cellStyle name="40% - Accent1 4 5 3 2" xfId="19960" xr:uid="{00000000-0005-0000-0000-0000BE300000}"/>
    <cellStyle name="40% - Accent1 4 5 30" xfId="63719" xr:uid="{00000000-0005-0000-0000-0000BF300000}"/>
    <cellStyle name="40% - Accent1 4 5 4" xfId="6494" xr:uid="{00000000-0005-0000-0000-0000C0300000}"/>
    <cellStyle name="40% - Accent1 4 5 4 2" xfId="21643" xr:uid="{00000000-0005-0000-0000-0000C1300000}"/>
    <cellStyle name="40% - Accent1 4 5 5" xfId="8177" xr:uid="{00000000-0005-0000-0000-0000C2300000}"/>
    <cellStyle name="40% - Accent1 4 5 5 2" xfId="23326" xr:uid="{00000000-0005-0000-0000-0000C3300000}"/>
    <cellStyle name="40% - Accent1 4 5 6" xfId="9860" xr:uid="{00000000-0005-0000-0000-0000C4300000}"/>
    <cellStyle name="40% - Accent1 4 5 6 2" xfId="25009" xr:uid="{00000000-0005-0000-0000-0000C5300000}"/>
    <cellStyle name="40% - Accent1 4 5 7" xfId="11543" xr:uid="{00000000-0005-0000-0000-0000C6300000}"/>
    <cellStyle name="40% - Accent1 4 5 7 2" xfId="26692" xr:uid="{00000000-0005-0000-0000-0000C7300000}"/>
    <cellStyle name="40% - Accent1 4 5 8" xfId="13227" xr:uid="{00000000-0005-0000-0000-0000C8300000}"/>
    <cellStyle name="40% - Accent1 4 5 8 2" xfId="28376" xr:uid="{00000000-0005-0000-0000-0000C9300000}"/>
    <cellStyle name="40% - Accent1 4 5 9" xfId="14910" xr:uid="{00000000-0005-0000-0000-0000CA300000}"/>
    <cellStyle name="40% - Accent1 4 5 9 2" xfId="30059" xr:uid="{00000000-0005-0000-0000-0000CB300000}"/>
    <cellStyle name="40% - Accent1 4 6" xfId="1865" xr:uid="{00000000-0005-0000-0000-0000CC300000}"/>
    <cellStyle name="40% - Accent1 4 6 2" xfId="17014" xr:uid="{00000000-0005-0000-0000-0000CD300000}"/>
    <cellStyle name="40% - Accent1 4 7" xfId="3549" xr:uid="{00000000-0005-0000-0000-0000CE300000}"/>
    <cellStyle name="40% - Accent1 4 7 2" xfId="18698" xr:uid="{00000000-0005-0000-0000-0000CF300000}"/>
    <cellStyle name="40% - Accent1 4 8" xfId="5232" xr:uid="{00000000-0005-0000-0000-0000D0300000}"/>
    <cellStyle name="40% - Accent1 4 8 2" xfId="20381" xr:uid="{00000000-0005-0000-0000-0000D1300000}"/>
    <cellStyle name="40% - Accent1 4 9" xfId="6915" xr:uid="{00000000-0005-0000-0000-0000D2300000}"/>
    <cellStyle name="40% - Accent1 4 9 2" xfId="22064" xr:uid="{00000000-0005-0000-0000-0000D3300000}"/>
    <cellStyle name="40% - Accent1 5" xfId="287" xr:uid="{00000000-0005-0000-0000-0000D4300000}"/>
    <cellStyle name="40% - Accent1 5 10" xfId="10386" xr:uid="{00000000-0005-0000-0000-0000D5300000}"/>
    <cellStyle name="40% - Accent1 5 10 2" xfId="25535" xr:uid="{00000000-0005-0000-0000-0000D6300000}"/>
    <cellStyle name="40% - Accent1 5 11" xfId="12070" xr:uid="{00000000-0005-0000-0000-0000D7300000}"/>
    <cellStyle name="40% - Accent1 5 11 2" xfId="27219" xr:uid="{00000000-0005-0000-0000-0000D8300000}"/>
    <cellStyle name="40% - Accent1 5 12" xfId="13753" xr:uid="{00000000-0005-0000-0000-0000D9300000}"/>
    <cellStyle name="40% - Accent1 5 12 2" xfId="28902" xr:uid="{00000000-0005-0000-0000-0000DA300000}"/>
    <cellStyle name="40% - Accent1 5 13" xfId="15436" xr:uid="{00000000-0005-0000-0000-0000DB300000}"/>
    <cellStyle name="40% - Accent1 5 14" xfId="30585" xr:uid="{00000000-0005-0000-0000-0000DC300000}"/>
    <cellStyle name="40% - Accent1 5 15" xfId="32268" xr:uid="{00000000-0005-0000-0000-0000DD300000}"/>
    <cellStyle name="40% - Accent1 5 16" xfId="33951" xr:uid="{00000000-0005-0000-0000-0000DE300000}"/>
    <cellStyle name="40% - Accent1 5 17" xfId="35634" xr:uid="{00000000-0005-0000-0000-0000DF300000}"/>
    <cellStyle name="40% - Accent1 5 18" xfId="37317" xr:uid="{00000000-0005-0000-0000-0000E0300000}"/>
    <cellStyle name="40% - Accent1 5 19" xfId="39000" xr:uid="{00000000-0005-0000-0000-0000E1300000}"/>
    <cellStyle name="40% - Accent1 5 2" xfId="707" xr:uid="{00000000-0005-0000-0000-0000E2300000}"/>
    <cellStyle name="40% - Accent1 5 2 10" xfId="15856" xr:uid="{00000000-0005-0000-0000-0000E3300000}"/>
    <cellStyle name="40% - Accent1 5 2 11" xfId="31005" xr:uid="{00000000-0005-0000-0000-0000E4300000}"/>
    <cellStyle name="40% - Accent1 5 2 12" xfId="32688" xr:uid="{00000000-0005-0000-0000-0000E5300000}"/>
    <cellStyle name="40% - Accent1 5 2 13" xfId="34371" xr:uid="{00000000-0005-0000-0000-0000E6300000}"/>
    <cellStyle name="40% - Accent1 5 2 14" xfId="36054" xr:uid="{00000000-0005-0000-0000-0000E7300000}"/>
    <cellStyle name="40% - Accent1 5 2 15" xfId="37737" xr:uid="{00000000-0005-0000-0000-0000E8300000}"/>
    <cellStyle name="40% - Accent1 5 2 16" xfId="39420" xr:uid="{00000000-0005-0000-0000-0000E9300000}"/>
    <cellStyle name="40% - Accent1 5 2 17" xfId="41103" xr:uid="{00000000-0005-0000-0000-0000EA300000}"/>
    <cellStyle name="40% - Accent1 5 2 18" xfId="42786" xr:uid="{00000000-0005-0000-0000-0000EB300000}"/>
    <cellStyle name="40% - Accent1 5 2 19" xfId="44469" xr:uid="{00000000-0005-0000-0000-0000EC300000}"/>
    <cellStyle name="40% - Accent1 5 2 2" xfId="2390" xr:uid="{00000000-0005-0000-0000-0000ED300000}"/>
    <cellStyle name="40% - Accent1 5 2 2 2" xfId="17539" xr:uid="{00000000-0005-0000-0000-0000EE300000}"/>
    <cellStyle name="40% - Accent1 5 2 20" xfId="46152" xr:uid="{00000000-0005-0000-0000-0000EF300000}"/>
    <cellStyle name="40% - Accent1 5 2 21" xfId="47835" xr:uid="{00000000-0005-0000-0000-0000F0300000}"/>
    <cellStyle name="40% - Accent1 5 2 22" xfId="49518" xr:uid="{00000000-0005-0000-0000-0000F1300000}"/>
    <cellStyle name="40% - Accent1 5 2 23" xfId="51201" xr:uid="{00000000-0005-0000-0000-0000F2300000}"/>
    <cellStyle name="40% - Accent1 5 2 24" xfId="52884" xr:uid="{00000000-0005-0000-0000-0000F3300000}"/>
    <cellStyle name="40% - Accent1 5 2 25" xfId="54567" xr:uid="{00000000-0005-0000-0000-0000F4300000}"/>
    <cellStyle name="40% - Accent1 5 2 26" xfId="56250" xr:uid="{00000000-0005-0000-0000-0000F5300000}"/>
    <cellStyle name="40% - Accent1 5 2 27" xfId="57933" xr:uid="{00000000-0005-0000-0000-0000F6300000}"/>
    <cellStyle name="40% - Accent1 5 2 28" xfId="59616" xr:uid="{00000000-0005-0000-0000-0000F7300000}"/>
    <cellStyle name="40% - Accent1 5 2 29" xfId="61299" xr:uid="{00000000-0005-0000-0000-0000F8300000}"/>
    <cellStyle name="40% - Accent1 5 2 3" xfId="4074" xr:uid="{00000000-0005-0000-0000-0000F9300000}"/>
    <cellStyle name="40% - Accent1 5 2 3 2" xfId="19223" xr:uid="{00000000-0005-0000-0000-0000FA300000}"/>
    <cellStyle name="40% - Accent1 5 2 30" xfId="62982" xr:uid="{00000000-0005-0000-0000-0000FB300000}"/>
    <cellStyle name="40% - Accent1 5 2 4" xfId="5757" xr:uid="{00000000-0005-0000-0000-0000FC300000}"/>
    <cellStyle name="40% - Accent1 5 2 4 2" xfId="20906" xr:uid="{00000000-0005-0000-0000-0000FD300000}"/>
    <cellStyle name="40% - Accent1 5 2 5" xfId="7440" xr:uid="{00000000-0005-0000-0000-0000FE300000}"/>
    <cellStyle name="40% - Accent1 5 2 5 2" xfId="22589" xr:uid="{00000000-0005-0000-0000-0000FF300000}"/>
    <cellStyle name="40% - Accent1 5 2 6" xfId="9123" xr:uid="{00000000-0005-0000-0000-000000310000}"/>
    <cellStyle name="40% - Accent1 5 2 6 2" xfId="24272" xr:uid="{00000000-0005-0000-0000-000001310000}"/>
    <cellStyle name="40% - Accent1 5 2 7" xfId="10806" xr:uid="{00000000-0005-0000-0000-000002310000}"/>
    <cellStyle name="40% - Accent1 5 2 7 2" xfId="25955" xr:uid="{00000000-0005-0000-0000-000003310000}"/>
    <cellStyle name="40% - Accent1 5 2 8" xfId="12490" xr:uid="{00000000-0005-0000-0000-000004310000}"/>
    <cellStyle name="40% - Accent1 5 2 8 2" xfId="27639" xr:uid="{00000000-0005-0000-0000-000005310000}"/>
    <cellStyle name="40% - Accent1 5 2 9" xfId="14173" xr:uid="{00000000-0005-0000-0000-000006310000}"/>
    <cellStyle name="40% - Accent1 5 2 9 2" xfId="29322" xr:uid="{00000000-0005-0000-0000-000007310000}"/>
    <cellStyle name="40% - Accent1 5 20" xfId="40683" xr:uid="{00000000-0005-0000-0000-000008310000}"/>
    <cellStyle name="40% - Accent1 5 21" xfId="42366" xr:uid="{00000000-0005-0000-0000-000009310000}"/>
    <cellStyle name="40% - Accent1 5 22" xfId="44049" xr:uid="{00000000-0005-0000-0000-00000A310000}"/>
    <cellStyle name="40% - Accent1 5 23" xfId="45732" xr:uid="{00000000-0005-0000-0000-00000B310000}"/>
    <cellStyle name="40% - Accent1 5 24" xfId="47415" xr:uid="{00000000-0005-0000-0000-00000C310000}"/>
    <cellStyle name="40% - Accent1 5 25" xfId="49098" xr:uid="{00000000-0005-0000-0000-00000D310000}"/>
    <cellStyle name="40% - Accent1 5 26" xfId="50781" xr:uid="{00000000-0005-0000-0000-00000E310000}"/>
    <cellStyle name="40% - Accent1 5 27" xfId="52464" xr:uid="{00000000-0005-0000-0000-00000F310000}"/>
    <cellStyle name="40% - Accent1 5 28" xfId="54147" xr:uid="{00000000-0005-0000-0000-000010310000}"/>
    <cellStyle name="40% - Accent1 5 29" xfId="55830" xr:uid="{00000000-0005-0000-0000-000011310000}"/>
    <cellStyle name="40% - Accent1 5 3" xfId="1128" xr:uid="{00000000-0005-0000-0000-000012310000}"/>
    <cellStyle name="40% - Accent1 5 3 10" xfId="16277" xr:uid="{00000000-0005-0000-0000-000013310000}"/>
    <cellStyle name="40% - Accent1 5 3 11" xfId="31426" xr:uid="{00000000-0005-0000-0000-000014310000}"/>
    <cellStyle name="40% - Accent1 5 3 12" xfId="33109" xr:uid="{00000000-0005-0000-0000-000015310000}"/>
    <cellStyle name="40% - Accent1 5 3 13" xfId="34792" xr:uid="{00000000-0005-0000-0000-000016310000}"/>
    <cellStyle name="40% - Accent1 5 3 14" xfId="36475" xr:uid="{00000000-0005-0000-0000-000017310000}"/>
    <cellStyle name="40% - Accent1 5 3 15" xfId="38158" xr:uid="{00000000-0005-0000-0000-000018310000}"/>
    <cellStyle name="40% - Accent1 5 3 16" xfId="39841" xr:uid="{00000000-0005-0000-0000-000019310000}"/>
    <cellStyle name="40% - Accent1 5 3 17" xfId="41524" xr:uid="{00000000-0005-0000-0000-00001A310000}"/>
    <cellStyle name="40% - Accent1 5 3 18" xfId="43207" xr:uid="{00000000-0005-0000-0000-00001B310000}"/>
    <cellStyle name="40% - Accent1 5 3 19" xfId="44890" xr:uid="{00000000-0005-0000-0000-00001C310000}"/>
    <cellStyle name="40% - Accent1 5 3 2" xfId="2811" xr:uid="{00000000-0005-0000-0000-00001D310000}"/>
    <cellStyle name="40% - Accent1 5 3 2 2" xfId="17960" xr:uid="{00000000-0005-0000-0000-00001E310000}"/>
    <cellStyle name="40% - Accent1 5 3 20" xfId="46573" xr:uid="{00000000-0005-0000-0000-00001F310000}"/>
    <cellStyle name="40% - Accent1 5 3 21" xfId="48256" xr:uid="{00000000-0005-0000-0000-000020310000}"/>
    <cellStyle name="40% - Accent1 5 3 22" xfId="49939" xr:uid="{00000000-0005-0000-0000-000021310000}"/>
    <cellStyle name="40% - Accent1 5 3 23" xfId="51622" xr:uid="{00000000-0005-0000-0000-000022310000}"/>
    <cellStyle name="40% - Accent1 5 3 24" xfId="53305" xr:uid="{00000000-0005-0000-0000-000023310000}"/>
    <cellStyle name="40% - Accent1 5 3 25" xfId="54988" xr:uid="{00000000-0005-0000-0000-000024310000}"/>
    <cellStyle name="40% - Accent1 5 3 26" xfId="56671" xr:uid="{00000000-0005-0000-0000-000025310000}"/>
    <cellStyle name="40% - Accent1 5 3 27" xfId="58354" xr:uid="{00000000-0005-0000-0000-000026310000}"/>
    <cellStyle name="40% - Accent1 5 3 28" xfId="60037" xr:uid="{00000000-0005-0000-0000-000027310000}"/>
    <cellStyle name="40% - Accent1 5 3 29" xfId="61720" xr:uid="{00000000-0005-0000-0000-000028310000}"/>
    <cellStyle name="40% - Accent1 5 3 3" xfId="4495" xr:uid="{00000000-0005-0000-0000-000029310000}"/>
    <cellStyle name="40% - Accent1 5 3 3 2" xfId="19644" xr:uid="{00000000-0005-0000-0000-00002A310000}"/>
    <cellStyle name="40% - Accent1 5 3 30" xfId="63403" xr:uid="{00000000-0005-0000-0000-00002B310000}"/>
    <cellStyle name="40% - Accent1 5 3 4" xfId="6178" xr:uid="{00000000-0005-0000-0000-00002C310000}"/>
    <cellStyle name="40% - Accent1 5 3 4 2" xfId="21327" xr:uid="{00000000-0005-0000-0000-00002D310000}"/>
    <cellStyle name="40% - Accent1 5 3 5" xfId="7861" xr:uid="{00000000-0005-0000-0000-00002E310000}"/>
    <cellStyle name="40% - Accent1 5 3 5 2" xfId="23010" xr:uid="{00000000-0005-0000-0000-00002F310000}"/>
    <cellStyle name="40% - Accent1 5 3 6" xfId="9544" xr:uid="{00000000-0005-0000-0000-000030310000}"/>
    <cellStyle name="40% - Accent1 5 3 6 2" xfId="24693" xr:uid="{00000000-0005-0000-0000-000031310000}"/>
    <cellStyle name="40% - Accent1 5 3 7" xfId="11227" xr:uid="{00000000-0005-0000-0000-000032310000}"/>
    <cellStyle name="40% - Accent1 5 3 7 2" xfId="26376" xr:uid="{00000000-0005-0000-0000-000033310000}"/>
    <cellStyle name="40% - Accent1 5 3 8" xfId="12911" xr:uid="{00000000-0005-0000-0000-000034310000}"/>
    <cellStyle name="40% - Accent1 5 3 8 2" xfId="28060" xr:uid="{00000000-0005-0000-0000-000035310000}"/>
    <cellStyle name="40% - Accent1 5 3 9" xfId="14594" xr:uid="{00000000-0005-0000-0000-000036310000}"/>
    <cellStyle name="40% - Accent1 5 3 9 2" xfId="29743" xr:uid="{00000000-0005-0000-0000-000037310000}"/>
    <cellStyle name="40% - Accent1 5 30" xfId="57513" xr:uid="{00000000-0005-0000-0000-000038310000}"/>
    <cellStyle name="40% - Accent1 5 31" xfId="59196" xr:uid="{00000000-0005-0000-0000-000039310000}"/>
    <cellStyle name="40% - Accent1 5 32" xfId="60879" xr:uid="{00000000-0005-0000-0000-00003A310000}"/>
    <cellStyle name="40% - Accent1 5 33" xfId="62562" xr:uid="{00000000-0005-0000-0000-00003B310000}"/>
    <cellStyle name="40% - Accent1 5 4" xfId="1549" xr:uid="{00000000-0005-0000-0000-00003C310000}"/>
    <cellStyle name="40% - Accent1 5 4 10" xfId="16698" xr:uid="{00000000-0005-0000-0000-00003D310000}"/>
    <cellStyle name="40% - Accent1 5 4 11" xfId="31847" xr:uid="{00000000-0005-0000-0000-00003E310000}"/>
    <cellStyle name="40% - Accent1 5 4 12" xfId="33530" xr:uid="{00000000-0005-0000-0000-00003F310000}"/>
    <cellStyle name="40% - Accent1 5 4 13" xfId="35213" xr:uid="{00000000-0005-0000-0000-000040310000}"/>
    <cellStyle name="40% - Accent1 5 4 14" xfId="36896" xr:uid="{00000000-0005-0000-0000-000041310000}"/>
    <cellStyle name="40% - Accent1 5 4 15" xfId="38579" xr:uid="{00000000-0005-0000-0000-000042310000}"/>
    <cellStyle name="40% - Accent1 5 4 16" xfId="40262" xr:uid="{00000000-0005-0000-0000-000043310000}"/>
    <cellStyle name="40% - Accent1 5 4 17" xfId="41945" xr:uid="{00000000-0005-0000-0000-000044310000}"/>
    <cellStyle name="40% - Accent1 5 4 18" xfId="43628" xr:uid="{00000000-0005-0000-0000-000045310000}"/>
    <cellStyle name="40% - Accent1 5 4 19" xfId="45311" xr:uid="{00000000-0005-0000-0000-000046310000}"/>
    <cellStyle name="40% - Accent1 5 4 2" xfId="3232" xr:uid="{00000000-0005-0000-0000-000047310000}"/>
    <cellStyle name="40% - Accent1 5 4 2 2" xfId="18381" xr:uid="{00000000-0005-0000-0000-000048310000}"/>
    <cellStyle name="40% - Accent1 5 4 20" xfId="46994" xr:uid="{00000000-0005-0000-0000-000049310000}"/>
    <cellStyle name="40% - Accent1 5 4 21" xfId="48677" xr:uid="{00000000-0005-0000-0000-00004A310000}"/>
    <cellStyle name="40% - Accent1 5 4 22" xfId="50360" xr:uid="{00000000-0005-0000-0000-00004B310000}"/>
    <cellStyle name="40% - Accent1 5 4 23" xfId="52043" xr:uid="{00000000-0005-0000-0000-00004C310000}"/>
    <cellStyle name="40% - Accent1 5 4 24" xfId="53726" xr:uid="{00000000-0005-0000-0000-00004D310000}"/>
    <cellStyle name="40% - Accent1 5 4 25" xfId="55409" xr:uid="{00000000-0005-0000-0000-00004E310000}"/>
    <cellStyle name="40% - Accent1 5 4 26" xfId="57092" xr:uid="{00000000-0005-0000-0000-00004F310000}"/>
    <cellStyle name="40% - Accent1 5 4 27" xfId="58775" xr:uid="{00000000-0005-0000-0000-000050310000}"/>
    <cellStyle name="40% - Accent1 5 4 28" xfId="60458" xr:uid="{00000000-0005-0000-0000-000051310000}"/>
    <cellStyle name="40% - Accent1 5 4 29" xfId="62141" xr:uid="{00000000-0005-0000-0000-000052310000}"/>
    <cellStyle name="40% - Accent1 5 4 3" xfId="4916" xr:uid="{00000000-0005-0000-0000-000053310000}"/>
    <cellStyle name="40% - Accent1 5 4 3 2" xfId="20065" xr:uid="{00000000-0005-0000-0000-000054310000}"/>
    <cellStyle name="40% - Accent1 5 4 30" xfId="63824" xr:uid="{00000000-0005-0000-0000-000055310000}"/>
    <cellStyle name="40% - Accent1 5 4 4" xfId="6599" xr:uid="{00000000-0005-0000-0000-000056310000}"/>
    <cellStyle name="40% - Accent1 5 4 4 2" xfId="21748" xr:uid="{00000000-0005-0000-0000-000057310000}"/>
    <cellStyle name="40% - Accent1 5 4 5" xfId="8282" xr:uid="{00000000-0005-0000-0000-000058310000}"/>
    <cellStyle name="40% - Accent1 5 4 5 2" xfId="23431" xr:uid="{00000000-0005-0000-0000-000059310000}"/>
    <cellStyle name="40% - Accent1 5 4 6" xfId="9965" xr:uid="{00000000-0005-0000-0000-00005A310000}"/>
    <cellStyle name="40% - Accent1 5 4 6 2" xfId="25114" xr:uid="{00000000-0005-0000-0000-00005B310000}"/>
    <cellStyle name="40% - Accent1 5 4 7" xfId="11648" xr:uid="{00000000-0005-0000-0000-00005C310000}"/>
    <cellStyle name="40% - Accent1 5 4 7 2" xfId="26797" xr:uid="{00000000-0005-0000-0000-00005D310000}"/>
    <cellStyle name="40% - Accent1 5 4 8" xfId="13332" xr:uid="{00000000-0005-0000-0000-00005E310000}"/>
    <cellStyle name="40% - Accent1 5 4 8 2" xfId="28481" xr:uid="{00000000-0005-0000-0000-00005F310000}"/>
    <cellStyle name="40% - Accent1 5 4 9" xfId="15015" xr:uid="{00000000-0005-0000-0000-000060310000}"/>
    <cellStyle name="40% - Accent1 5 4 9 2" xfId="30164" xr:uid="{00000000-0005-0000-0000-000061310000}"/>
    <cellStyle name="40% - Accent1 5 5" xfId="1970" xr:uid="{00000000-0005-0000-0000-000062310000}"/>
    <cellStyle name="40% - Accent1 5 5 2" xfId="17119" xr:uid="{00000000-0005-0000-0000-000063310000}"/>
    <cellStyle name="40% - Accent1 5 6" xfId="3654" xr:uid="{00000000-0005-0000-0000-000064310000}"/>
    <cellStyle name="40% - Accent1 5 6 2" xfId="18803" xr:uid="{00000000-0005-0000-0000-000065310000}"/>
    <cellStyle name="40% - Accent1 5 7" xfId="5337" xr:uid="{00000000-0005-0000-0000-000066310000}"/>
    <cellStyle name="40% - Accent1 5 7 2" xfId="20486" xr:uid="{00000000-0005-0000-0000-000067310000}"/>
    <cellStyle name="40% - Accent1 5 8" xfId="7020" xr:uid="{00000000-0005-0000-0000-000068310000}"/>
    <cellStyle name="40% - Accent1 5 8 2" xfId="22169" xr:uid="{00000000-0005-0000-0000-000069310000}"/>
    <cellStyle name="40% - Accent1 5 9" xfId="8703" xr:uid="{00000000-0005-0000-0000-00006A310000}"/>
    <cellStyle name="40% - Accent1 5 9 2" xfId="23852" xr:uid="{00000000-0005-0000-0000-00006B310000}"/>
    <cellStyle name="40% - Accent1 6" xfId="497" xr:uid="{00000000-0005-0000-0000-00006C310000}"/>
    <cellStyle name="40% - Accent1 6 10" xfId="15646" xr:uid="{00000000-0005-0000-0000-00006D310000}"/>
    <cellStyle name="40% - Accent1 6 11" xfId="30795" xr:uid="{00000000-0005-0000-0000-00006E310000}"/>
    <cellStyle name="40% - Accent1 6 12" xfId="32478" xr:uid="{00000000-0005-0000-0000-00006F310000}"/>
    <cellStyle name="40% - Accent1 6 13" xfId="34161" xr:uid="{00000000-0005-0000-0000-000070310000}"/>
    <cellStyle name="40% - Accent1 6 14" xfId="35844" xr:uid="{00000000-0005-0000-0000-000071310000}"/>
    <cellStyle name="40% - Accent1 6 15" xfId="37527" xr:uid="{00000000-0005-0000-0000-000072310000}"/>
    <cellStyle name="40% - Accent1 6 16" xfId="39210" xr:uid="{00000000-0005-0000-0000-000073310000}"/>
    <cellStyle name="40% - Accent1 6 17" xfId="40893" xr:uid="{00000000-0005-0000-0000-000074310000}"/>
    <cellStyle name="40% - Accent1 6 18" xfId="42576" xr:uid="{00000000-0005-0000-0000-000075310000}"/>
    <cellStyle name="40% - Accent1 6 19" xfId="44259" xr:uid="{00000000-0005-0000-0000-000076310000}"/>
    <cellStyle name="40% - Accent1 6 2" xfId="2180" xr:uid="{00000000-0005-0000-0000-000077310000}"/>
    <cellStyle name="40% - Accent1 6 2 2" xfId="17329" xr:uid="{00000000-0005-0000-0000-000078310000}"/>
    <cellStyle name="40% - Accent1 6 20" xfId="45942" xr:uid="{00000000-0005-0000-0000-000079310000}"/>
    <cellStyle name="40% - Accent1 6 21" xfId="47625" xr:uid="{00000000-0005-0000-0000-00007A310000}"/>
    <cellStyle name="40% - Accent1 6 22" xfId="49308" xr:uid="{00000000-0005-0000-0000-00007B310000}"/>
    <cellStyle name="40% - Accent1 6 23" xfId="50991" xr:uid="{00000000-0005-0000-0000-00007C310000}"/>
    <cellStyle name="40% - Accent1 6 24" xfId="52674" xr:uid="{00000000-0005-0000-0000-00007D310000}"/>
    <cellStyle name="40% - Accent1 6 25" xfId="54357" xr:uid="{00000000-0005-0000-0000-00007E310000}"/>
    <cellStyle name="40% - Accent1 6 26" xfId="56040" xr:uid="{00000000-0005-0000-0000-00007F310000}"/>
    <cellStyle name="40% - Accent1 6 27" xfId="57723" xr:uid="{00000000-0005-0000-0000-000080310000}"/>
    <cellStyle name="40% - Accent1 6 28" xfId="59406" xr:uid="{00000000-0005-0000-0000-000081310000}"/>
    <cellStyle name="40% - Accent1 6 29" xfId="61089" xr:uid="{00000000-0005-0000-0000-000082310000}"/>
    <cellStyle name="40% - Accent1 6 3" xfId="3864" xr:uid="{00000000-0005-0000-0000-000083310000}"/>
    <cellStyle name="40% - Accent1 6 3 2" xfId="19013" xr:uid="{00000000-0005-0000-0000-000084310000}"/>
    <cellStyle name="40% - Accent1 6 30" xfId="62772" xr:uid="{00000000-0005-0000-0000-000085310000}"/>
    <cellStyle name="40% - Accent1 6 4" xfId="5547" xr:uid="{00000000-0005-0000-0000-000086310000}"/>
    <cellStyle name="40% - Accent1 6 4 2" xfId="20696" xr:uid="{00000000-0005-0000-0000-000087310000}"/>
    <cellStyle name="40% - Accent1 6 5" xfId="7230" xr:uid="{00000000-0005-0000-0000-000088310000}"/>
    <cellStyle name="40% - Accent1 6 5 2" xfId="22379" xr:uid="{00000000-0005-0000-0000-000089310000}"/>
    <cellStyle name="40% - Accent1 6 6" xfId="8913" xr:uid="{00000000-0005-0000-0000-00008A310000}"/>
    <cellStyle name="40% - Accent1 6 6 2" xfId="24062" xr:uid="{00000000-0005-0000-0000-00008B310000}"/>
    <cellStyle name="40% - Accent1 6 7" xfId="10596" xr:uid="{00000000-0005-0000-0000-00008C310000}"/>
    <cellStyle name="40% - Accent1 6 7 2" xfId="25745" xr:uid="{00000000-0005-0000-0000-00008D310000}"/>
    <cellStyle name="40% - Accent1 6 8" xfId="12280" xr:uid="{00000000-0005-0000-0000-00008E310000}"/>
    <cellStyle name="40% - Accent1 6 8 2" xfId="27429" xr:uid="{00000000-0005-0000-0000-00008F310000}"/>
    <cellStyle name="40% - Accent1 6 9" xfId="13963" xr:uid="{00000000-0005-0000-0000-000090310000}"/>
    <cellStyle name="40% - Accent1 6 9 2" xfId="29112" xr:uid="{00000000-0005-0000-0000-000091310000}"/>
    <cellStyle name="40% - Accent1 7" xfId="918" xr:uid="{00000000-0005-0000-0000-000092310000}"/>
    <cellStyle name="40% - Accent1 7 10" xfId="16067" xr:uid="{00000000-0005-0000-0000-000093310000}"/>
    <cellStyle name="40% - Accent1 7 11" xfId="31216" xr:uid="{00000000-0005-0000-0000-000094310000}"/>
    <cellStyle name="40% - Accent1 7 12" xfId="32899" xr:uid="{00000000-0005-0000-0000-000095310000}"/>
    <cellStyle name="40% - Accent1 7 13" xfId="34582" xr:uid="{00000000-0005-0000-0000-000096310000}"/>
    <cellStyle name="40% - Accent1 7 14" xfId="36265" xr:uid="{00000000-0005-0000-0000-000097310000}"/>
    <cellStyle name="40% - Accent1 7 15" xfId="37948" xr:uid="{00000000-0005-0000-0000-000098310000}"/>
    <cellStyle name="40% - Accent1 7 16" xfId="39631" xr:uid="{00000000-0005-0000-0000-000099310000}"/>
    <cellStyle name="40% - Accent1 7 17" xfId="41314" xr:uid="{00000000-0005-0000-0000-00009A310000}"/>
    <cellStyle name="40% - Accent1 7 18" xfId="42997" xr:uid="{00000000-0005-0000-0000-00009B310000}"/>
    <cellStyle name="40% - Accent1 7 19" xfId="44680" xr:uid="{00000000-0005-0000-0000-00009C310000}"/>
    <cellStyle name="40% - Accent1 7 2" xfId="2601" xr:uid="{00000000-0005-0000-0000-00009D310000}"/>
    <cellStyle name="40% - Accent1 7 2 2" xfId="17750" xr:uid="{00000000-0005-0000-0000-00009E310000}"/>
    <cellStyle name="40% - Accent1 7 20" xfId="46363" xr:uid="{00000000-0005-0000-0000-00009F310000}"/>
    <cellStyle name="40% - Accent1 7 21" xfId="48046" xr:uid="{00000000-0005-0000-0000-0000A0310000}"/>
    <cellStyle name="40% - Accent1 7 22" xfId="49729" xr:uid="{00000000-0005-0000-0000-0000A1310000}"/>
    <cellStyle name="40% - Accent1 7 23" xfId="51412" xr:uid="{00000000-0005-0000-0000-0000A2310000}"/>
    <cellStyle name="40% - Accent1 7 24" xfId="53095" xr:uid="{00000000-0005-0000-0000-0000A3310000}"/>
    <cellStyle name="40% - Accent1 7 25" xfId="54778" xr:uid="{00000000-0005-0000-0000-0000A4310000}"/>
    <cellStyle name="40% - Accent1 7 26" xfId="56461" xr:uid="{00000000-0005-0000-0000-0000A5310000}"/>
    <cellStyle name="40% - Accent1 7 27" xfId="58144" xr:uid="{00000000-0005-0000-0000-0000A6310000}"/>
    <cellStyle name="40% - Accent1 7 28" xfId="59827" xr:uid="{00000000-0005-0000-0000-0000A7310000}"/>
    <cellStyle name="40% - Accent1 7 29" xfId="61510" xr:uid="{00000000-0005-0000-0000-0000A8310000}"/>
    <cellStyle name="40% - Accent1 7 3" xfId="4285" xr:uid="{00000000-0005-0000-0000-0000A9310000}"/>
    <cellStyle name="40% - Accent1 7 3 2" xfId="19434" xr:uid="{00000000-0005-0000-0000-0000AA310000}"/>
    <cellStyle name="40% - Accent1 7 30" xfId="63193" xr:uid="{00000000-0005-0000-0000-0000AB310000}"/>
    <cellStyle name="40% - Accent1 7 4" xfId="5968" xr:uid="{00000000-0005-0000-0000-0000AC310000}"/>
    <cellStyle name="40% - Accent1 7 4 2" xfId="21117" xr:uid="{00000000-0005-0000-0000-0000AD310000}"/>
    <cellStyle name="40% - Accent1 7 5" xfId="7651" xr:uid="{00000000-0005-0000-0000-0000AE310000}"/>
    <cellStyle name="40% - Accent1 7 5 2" xfId="22800" xr:uid="{00000000-0005-0000-0000-0000AF310000}"/>
    <cellStyle name="40% - Accent1 7 6" xfId="9334" xr:uid="{00000000-0005-0000-0000-0000B0310000}"/>
    <cellStyle name="40% - Accent1 7 6 2" xfId="24483" xr:uid="{00000000-0005-0000-0000-0000B1310000}"/>
    <cellStyle name="40% - Accent1 7 7" xfId="11017" xr:uid="{00000000-0005-0000-0000-0000B2310000}"/>
    <cellStyle name="40% - Accent1 7 7 2" xfId="26166" xr:uid="{00000000-0005-0000-0000-0000B3310000}"/>
    <cellStyle name="40% - Accent1 7 8" xfId="12701" xr:uid="{00000000-0005-0000-0000-0000B4310000}"/>
    <cellStyle name="40% - Accent1 7 8 2" xfId="27850" xr:uid="{00000000-0005-0000-0000-0000B5310000}"/>
    <cellStyle name="40% - Accent1 7 9" xfId="14384" xr:uid="{00000000-0005-0000-0000-0000B6310000}"/>
    <cellStyle name="40% - Accent1 7 9 2" xfId="29533" xr:uid="{00000000-0005-0000-0000-0000B7310000}"/>
    <cellStyle name="40% - Accent1 8" xfId="1339" xr:uid="{00000000-0005-0000-0000-0000B8310000}"/>
    <cellStyle name="40% - Accent1 8 10" xfId="16488" xr:uid="{00000000-0005-0000-0000-0000B9310000}"/>
    <cellStyle name="40% - Accent1 8 11" xfId="31637" xr:uid="{00000000-0005-0000-0000-0000BA310000}"/>
    <cellStyle name="40% - Accent1 8 12" xfId="33320" xr:uid="{00000000-0005-0000-0000-0000BB310000}"/>
    <cellStyle name="40% - Accent1 8 13" xfId="35003" xr:uid="{00000000-0005-0000-0000-0000BC310000}"/>
    <cellStyle name="40% - Accent1 8 14" xfId="36686" xr:uid="{00000000-0005-0000-0000-0000BD310000}"/>
    <cellStyle name="40% - Accent1 8 15" xfId="38369" xr:uid="{00000000-0005-0000-0000-0000BE310000}"/>
    <cellStyle name="40% - Accent1 8 16" xfId="40052" xr:uid="{00000000-0005-0000-0000-0000BF310000}"/>
    <cellStyle name="40% - Accent1 8 17" xfId="41735" xr:uid="{00000000-0005-0000-0000-0000C0310000}"/>
    <cellStyle name="40% - Accent1 8 18" xfId="43418" xr:uid="{00000000-0005-0000-0000-0000C1310000}"/>
    <cellStyle name="40% - Accent1 8 19" xfId="45101" xr:uid="{00000000-0005-0000-0000-0000C2310000}"/>
    <cellStyle name="40% - Accent1 8 2" xfId="3022" xr:uid="{00000000-0005-0000-0000-0000C3310000}"/>
    <cellStyle name="40% - Accent1 8 2 2" xfId="18171" xr:uid="{00000000-0005-0000-0000-0000C4310000}"/>
    <cellStyle name="40% - Accent1 8 20" xfId="46784" xr:uid="{00000000-0005-0000-0000-0000C5310000}"/>
    <cellStyle name="40% - Accent1 8 21" xfId="48467" xr:uid="{00000000-0005-0000-0000-0000C6310000}"/>
    <cellStyle name="40% - Accent1 8 22" xfId="50150" xr:uid="{00000000-0005-0000-0000-0000C7310000}"/>
    <cellStyle name="40% - Accent1 8 23" xfId="51833" xr:uid="{00000000-0005-0000-0000-0000C8310000}"/>
    <cellStyle name="40% - Accent1 8 24" xfId="53516" xr:uid="{00000000-0005-0000-0000-0000C9310000}"/>
    <cellStyle name="40% - Accent1 8 25" xfId="55199" xr:uid="{00000000-0005-0000-0000-0000CA310000}"/>
    <cellStyle name="40% - Accent1 8 26" xfId="56882" xr:uid="{00000000-0005-0000-0000-0000CB310000}"/>
    <cellStyle name="40% - Accent1 8 27" xfId="58565" xr:uid="{00000000-0005-0000-0000-0000CC310000}"/>
    <cellStyle name="40% - Accent1 8 28" xfId="60248" xr:uid="{00000000-0005-0000-0000-0000CD310000}"/>
    <cellStyle name="40% - Accent1 8 29" xfId="61931" xr:uid="{00000000-0005-0000-0000-0000CE310000}"/>
    <cellStyle name="40% - Accent1 8 3" xfId="4706" xr:uid="{00000000-0005-0000-0000-0000CF310000}"/>
    <cellStyle name="40% - Accent1 8 3 2" xfId="19855" xr:uid="{00000000-0005-0000-0000-0000D0310000}"/>
    <cellStyle name="40% - Accent1 8 30" xfId="63614" xr:uid="{00000000-0005-0000-0000-0000D1310000}"/>
    <cellStyle name="40% - Accent1 8 4" xfId="6389" xr:uid="{00000000-0005-0000-0000-0000D2310000}"/>
    <cellStyle name="40% - Accent1 8 4 2" xfId="21538" xr:uid="{00000000-0005-0000-0000-0000D3310000}"/>
    <cellStyle name="40% - Accent1 8 5" xfId="8072" xr:uid="{00000000-0005-0000-0000-0000D4310000}"/>
    <cellStyle name="40% - Accent1 8 5 2" xfId="23221" xr:uid="{00000000-0005-0000-0000-0000D5310000}"/>
    <cellStyle name="40% - Accent1 8 6" xfId="9755" xr:uid="{00000000-0005-0000-0000-0000D6310000}"/>
    <cellStyle name="40% - Accent1 8 6 2" xfId="24904" xr:uid="{00000000-0005-0000-0000-0000D7310000}"/>
    <cellStyle name="40% - Accent1 8 7" xfId="11438" xr:uid="{00000000-0005-0000-0000-0000D8310000}"/>
    <cellStyle name="40% - Accent1 8 7 2" xfId="26587" xr:uid="{00000000-0005-0000-0000-0000D9310000}"/>
    <cellStyle name="40% - Accent1 8 8" xfId="13122" xr:uid="{00000000-0005-0000-0000-0000DA310000}"/>
    <cellStyle name="40% - Accent1 8 8 2" xfId="28271" xr:uid="{00000000-0005-0000-0000-0000DB310000}"/>
    <cellStyle name="40% - Accent1 8 9" xfId="14805" xr:uid="{00000000-0005-0000-0000-0000DC310000}"/>
    <cellStyle name="40% - Accent1 8 9 2" xfId="29954" xr:uid="{00000000-0005-0000-0000-0000DD310000}"/>
    <cellStyle name="40% - Accent1 9" xfId="1760" xr:uid="{00000000-0005-0000-0000-0000DE310000}"/>
    <cellStyle name="40% - Accent1 9 2" xfId="16909" xr:uid="{00000000-0005-0000-0000-0000DF310000}"/>
    <cellStyle name="40% - Accent2" xfId="76" builtinId="35" customBuiltin="1"/>
    <cellStyle name="40% - Accent2 10" xfId="3447" xr:uid="{00000000-0005-0000-0000-0000E1310000}"/>
    <cellStyle name="40% - Accent2 10 2" xfId="18596" xr:uid="{00000000-0005-0000-0000-0000E2310000}"/>
    <cellStyle name="40% - Accent2 11" xfId="5130" xr:uid="{00000000-0005-0000-0000-0000E3310000}"/>
    <cellStyle name="40% - Accent2 11 2" xfId="20279" xr:uid="{00000000-0005-0000-0000-0000E4310000}"/>
    <cellStyle name="40% - Accent2 12" xfId="6813" xr:uid="{00000000-0005-0000-0000-0000E5310000}"/>
    <cellStyle name="40% - Accent2 12 2" xfId="21962" xr:uid="{00000000-0005-0000-0000-0000E6310000}"/>
    <cellStyle name="40% - Accent2 13" xfId="8496" xr:uid="{00000000-0005-0000-0000-0000E7310000}"/>
    <cellStyle name="40% - Accent2 13 2" xfId="23645" xr:uid="{00000000-0005-0000-0000-0000E8310000}"/>
    <cellStyle name="40% - Accent2 14" xfId="10179" xr:uid="{00000000-0005-0000-0000-0000E9310000}"/>
    <cellStyle name="40% - Accent2 14 2" xfId="25328" xr:uid="{00000000-0005-0000-0000-0000EA310000}"/>
    <cellStyle name="40% - Accent2 15" xfId="11863" xr:uid="{00000000-0005-0000-0000-0000EB310000}"/>
    <cellStyle name="40% - Accent2 15 2" xfId="27012" xr:uid="{00000000-0005-0000-0000-0000EC310000}"/>
    <cellStyle name="40% - Accent2 16" xfId="13546" xr:uid="{00000000-0005-0000-0000-0000ED310000}"/>
    <cellStyle name="40% - Accent2 16 2" xfId="28695" xr:uid="{00000000-0005-0000-0000-0000EE310000}"/>
    <cellStyle name="40% - Accent2 17" xfId="15229" xr:uid="{00000000-0005-0000-0000-0000EF310000}"/>
    <cellStyle name="40% - Accent2 18" xfId="30378" xr:uid="{00000000-0005-0000-0000-0000F0310000}"/>
    <cellStyle name="40% - Accent2 19" xfId="32061" xr:uid="{00000000-0005-0000-0000-0000F1310000}"/>
    <cellStyle name="40% - Accent2 2" xfId="102" xr:uid="{00000000-0005-0000-0000-0000F2310000}"/>
    <cellStyle name="40% - Accent2 2 10" xfId="6835" xr:uid="{00000000-0005-0000-0000-0000F3310000}"/>
    <cellStyle name="40% - Accent2 2 10 2" xfId="21984" xr:uid="{00000000-0005-0000-0000-0000F4310000}"/>
    <cellStyle name="40% - Accent2 2 11" xfId="8518" xr:uid="{00000000-0005-0000-0000-0000F5310000}"/>
    <cellStyle name="40% - Accent2 2 11 2" xfId="23667" xr:uid="{00000000-0005-0000-0000-0000F6310000}"/>
    <cellStyle name="40% - Accent2 2 12" xfId="10201" xr:uid="{00000000-0005-0000-0000-0000F7310000}"/>
    <cellStyle name="40% - Accent2 2 12 2" xfId="25350" xr:uid="{00000000-0005-0000-0000-0000F8310000}"/>
    <cellStyle name="40% - Accent2 2 13" xfId="11885" xr:uid="{00000000-0005-0000-0000-0000F9310000}"/>
    <cellStyle name="40% - Accent2 2 13 2" xfId="27034" xr:uid="{00000000-0005-0000-0000-0000FA310000}"/>
    <cellStyle name="40% - Accent2 2 14" xfId="13568" xr:uid="{00000000-0005-0000-0000-0000FB310000}"/>
    <cellStyle name="40% - Accent2 2 14 2" xfId="28717" xr:uid="{00000000-0005-0000-0000-0000FC310000}"/>
    <cellStyle name="40% - Accent2 2 15" xfId="15251" xr:uid="{00000000-0005-0000-0000-0000FD310000}"/>
    <cellStyle name="40% - Accent2 2 16" xfId="30400" xr:uid="{00000000-0005-0000-0000-0000FE310000}"/>
    <cellStyle name="40% - Accent2 2 17" xfId="32083" xr:uid="{00000000-0005-0000-0000-0000FF310000}"/>
    <cellStyle name="40% - Accent2 2 18" xfId="33766" xr:uid="{00000000-0005-0000-0000-000000320000}"/>
    <cellStyle name="40% - Accent2 2 19" xfId="35449" xr:uid="{00000000-0005-0000-0000-000001320000}"/>
    <cellStyle name="40% - Accent2 2 2" xfId="207" xr:uid="{00000000-0005-0000-0000-000002320000}"/>
    <cellStyle name="40% - Accent2 2 2 10" xfId="8623" xr:uid="{00000000-0005-0000-0000-000003320000}"/>
    <cellStyle name="40% - Accent2 2 2 10 2" xfId="23772" xr:uid="{00000000-0005-0000-0000-000004320000}"/>
    <cellStyle name="40% - Accent2 2 2 11" xfId="10306" xr:uid="{00000000-0005-0000-0000-000005320000}"/>
    <cellStyle name="40% - Accent2 2 2 11 2" xfId="25455" xr:uid="{00000000-0005-0000-0000-000006320000}"/>
    <cellStyle name="40% - Accent2 2 2 12" xfId="11990" xr:uid="{00000000-0005-0000-0000-000007320000}"/>
    <cellStyle name="40% - Accent2 2 2 12 2" xfId="27139" xr:uid="{00000000-0005-0000-0000-000008320000}"/>
    <cellStyle name="40% - Accent2 2 2 13" xfId="13673" xr:uid="{00000000-0005-0000-0000-000009320000}"/>
    <cellStyle name="40% - Accent2 2 2 13 2" xfId="28822" xr:uid="{00000000-0005-0000-0000-00000A320000}"/>
    <cellStyle name="40% - Accent2 2 2 14" xfId="15356" xr:uid="{00000000-0005-0000-0000-00000B320000}"/>
    <cellStyle name="40% - Accent2 2 2 15" xfId="30505" xr:uid="{00000000-0005-0000-0000-00000C320000}"/>
    <cellStyle name="40% - Accent2 2 2 16" xfId="32188" xr:uid="{00000000-0005-0000-0000-00000D320000}"/>
    <cellStyle name="40% - Accent2 2 2 17" xfId="33871" xr:uid="{00000000-0005-0000-0000-00000E320000}"/>
    <cellStyle name="40% - Accent2 2 2 18" xfId="35554" xr:uid="{00000000-0005-0000-0000-00000F320000}"/>
    <cellStyle name="40% - Accent2 2 2 19" xfId="37237" xr:uid="{00000000-0005-0000-0000-000010320000}"/>
    <cellStyle name="40% - Accent2 2 2 2" xfId="417" xr:uid="{00000000-0005-0000-0000-000011320000}"/>
    <cellStyle name="40% - Accent2 2 2 2 10" xfId="10516" xr:uid="{00000000-0005-0000-0000-000012320000}"/>
    <cellStyle name="40% - Accent2 2 2 2 10 2" xfId="25665" xr:uid="{00000000-0005-0000-0000-000013320000}"/>
    <cellStyle name="40% - Accent2 2 2 2 11" xfId="12200" xr:uid="{00000000-0005-0000-0000-000014320000}"/>
    <cellStyle name="40% - Accent2 2 2 2 11 2" xfId="27349" xr:uid="{00000000-0005-0000-0000-000015320000}"/>
    <cellStyle name="40% - Accent2 2 2 2 12" xfId="13883" xr:uid="{00000000-0005-0000-0000-000016320000}"/>
    <cellStyle name="40% - Accent2 2 2 2 12 2" xfId="29032" xr:uid="{00000000-0005-0000-0000-000017320000}"/>
    <cellStyle name="40% - Accent2 2 2 2 13" xfId="15566" xr:uid="{00000000-0005-0000-0000-000018320000}"/>
    <cellStyle name="40% - Accent2 2 2 2 14" xfId="30715" xr:uid="{00000000-0005-0000-0000-000019320000}"/>
    <cellStyle name="40% - Accent2 2 2 2 15" xfId="32398" xr:uid="{00000000-0005-0000-0000-00001A320000}"/>
    <cellStyle name="40% - Accent2 2 2 2 16" xfId="34081" xr:uid="{00000000-0005-0000-0000-00001B320000}"/>
    <cellStyle name="40% - Accent2 2 2 2 17" xfId="35764" xr:uid="{00000000-0005-0000-0000-00001C320000}"/>
    <cellStyle name="40% - Accent2 2 2 2 18" xfId="37447" xr:uid="{00000000-0005-0000-0000-00001D320000}"/>
    <cellStyle name="40% - Accent2 2 2 2 19" xfId="39130" xr:uid="{00000000-0005-0000-0000-00001E320000}"/>
    <cellStyle name="40% - Accent2 2 2 2 2" xfId="837" xr:uid="{00000000-0005-0000-0000-00001F320000}"/>
    <cellStyle name="40% - Accent2 2 2 2 2 10" xfId="15986" xr:uid="{00000000-0005-0000-0000-000020320000}"/>
    <cellStyle name="40% - Accent2 2 2 2 2 11" xfId="31135" xr:uid="{00000000-0005-0000-0000-000021320000}"/>
    <cellStyle name="40% - Accent2 2 2 2 2 12" xfId="32818" xr:uid="{00000000-0005-0000-0000-000022320000}"/>
    <cellStyle name="40% - Accent2 2 2 2 2 13" xfId="34501" xr:uid="{00000000-0005-0000-0000-000023320000}"/>
    <cellStyle name="40% - Accent2 2 2 2 2 14" xfId="36184" xr:uid="{00000000-0005-0000-0000-000024320000}"/>
    <cellStyle name="40% - Accent2 2 2 2 2 15" xfId="37867" xr:uid="{00000000-0005-0000-0000-000025320000}"/>
    <cellStyle name="40% - Accent2 2 2 2 2 16" xfId="39550" xr:uid="{00000000-0005-0000-0000-000026320000}"/>
    <cellStyle name="40% - Accent2 2 2 2 2 17" xfId="41233" xr:uid="{00000000-0005-0000-0000-000027320000}"/>
    <cellStyle name="40% - Accent2 2 2 2 2 18" xfId="42916" xr:uid="{00000000-0005-0000-0000-000028320000}"/>
    <cellStyle name="40% - Accent2 2 2 2 2 19" xfId="44599" xr:uid="{00000000-0005-0000-0000-000029320000}"/>
    <cellStyle name="40% - Accent2 2 2 2 2 2" xfId="2520" xr:uid="{00000000-0005-0000-0000-00002A320000}"/>
    <cellStyle name="40% - Accent2 2 2 2 2 2 2" xfId="17669" xr:uid="{00000000-0005-0000-0000-00002B320000}"/>
    <cellStyle name="40% - Accent2 2 2 2 2 20" xfId="46282" xr:uid="{00000000-0005-0000-0000-00002C320000}"/>
    <cellStyle name="40% - Accent2 2 2 2 2 21" xfId="47965" xr:uid="{00000000-0005-0000-0000-00002D320000}"/>
    <cellStyle name="40% - Accent2 2 2 2 2 22" xfId="49648" xr:uid="{00000000-0005-0000-0000-00002E320000}"/>
    <cellStyle name="40% - Accent2 2 2 2 2 23" xfId="51331" xr:uid="{00000000-0005-0000-0000-00002F320000}"/>
    <cellStyle name="40% - Accent2 2 2 2 2 24" xfId="53014" xr:uid="{00000000-0005-0000-0000-000030320000}"/>
    <cellStyle name="40% - Accent2 2 2 2 2 25" xfId="54697" xr:uid="{00000000-0005-0000-0000-000031320000}"/>
    <cellStyle name="40% - Accent2 2 2 2 2 26" xfId="56380" xr:uid="{00000000-0005-0000-0000-000032320000}"/>
    <cellStyle name="40% - Accent2 2 2 2 2 27" xfId="58063" xr:uid="{00000000-0005-0000-0000-000033320000}"/>
    <cellStyle name="40% - Accent2 2 2 2 2 28" xfId="59746" xr:uid="{00000000-0005-0000-0000-000034320000}"/>
    <cellStyle name="40% - Accent2 2 2 2 2 29" xfId="61429" xr:uid="{00000000-0005-0000-0000-000035320000}"/>
    <cellStyle name="40% - Accent2 2 2 2 2 3" xfId="4204" xr:uid="{00000000-0005-0000-0000-000036320000}"/>
    <cellStyle name="40% - Accent2 2 2 2 2 3 2" xfId="19353" xr:uid="{00000000-0005-0000-0000-000037320000}"/>
    <cellStyle name="40% - Accent2 2 2 2 2 30" xfId="63112" xr:uid="{00000000-0005-0000-0000-000038320000}"/>
    <cellStyle name="40% - Accent2 2 2 2 2 4" xfId="5887" xr:uid="{00000000-0005-0000-0000-000039320000}"/>
    <cellStyle name="40% - Accent2 2 2 2 2 4 2" xfId="21036" xr:uid="{00000000-0005-0000-0000-00003A320000}"/>
    <cellStyle name="40% - Accent2 2 2 2 2 5" xfId="7570" xr:uid="{00000000-0005-0000-0000-00003B320000}"/>
    <cellStyle name="40% - Accent2 2 2 2 2 5 2" xfId="22719" xr:uid="{00000000-0005-0000-0000-00003C320000}"/>
    <cellStyle name="40% - Accent2 2 2 2 2 6" xfId="9253" xr:uid="{00000000-0005-0000-0000-00003D320000}"/>
    <cellStyle name="40% - Accent2 2 2 2 2 6 2" xfId="24402" xr:uid="{00000000-0005-0000-0000-00003E320000}"/>
    <cellStyle name="40% - Accent2 2 2 2 2 7" xfId="10936" xr:uid="{00000000-0005-0000-0000-00003F320000}"/>
    <cellStyle name="40% - Accent2 2 2 2 2 7 2" xfId="26085" xr:uid="{00000000-0005-0000-0000-000040320000}"/>
    <cellStyle name="40% - Accent2 2 2 2 2 8" xfId="12620" xr:uid="{00000000-0005-0000-0000-000041320000}"/>
    <cellStyle name="40% - Accent2 2 2 2 2 8 2" xfId="27769" xr:uid="{00000000-0005-0000-0000-000042320000}"/>
    <cellStyle name="40% - Accent2 2 2 2 2 9" xfId="14303" xr:uid="{00000000-0005-0000-0000-000043320000}"/>
    <cellStyle name="40% - Accent2 2 2 2 2 9 2" xfId="29452" xr:uid="{00000000-0005-0000-0000-000044320000}"/>
    <cellStyle name="40% - Accent2 2 2 2 20" xfId="40813" xr:uid="{00000000-0005-0000-0000-000045320000}"/>
    <cellStyle name="40% - Accent2 2 2 2 21" xfId="42496" xr:uid="{00000000-0005-0000-0000-000046320000}"/>
    <cellStyle name="40% - Accent2 2 2 2 22" xfId="44179" xr:uid="{00000000-0005-0000-0000-000047320000}"/>
    <cellStyle name="40% - Accent2 2 2 2 23" xfId="45862" xr:uid="{00000000-0005-0000-0000-000048320000}"/>
    <cellStyle name="40% - Accent2 2 2 2 24" xfId="47545" xr:uid="{00000000-0005-0000-0000-000049320000}"/>
    <cellStyle name="40% - Accent2 2 2 2 25" xfId="49228" xr:uid="{00000000-0005-0000-0000-00004A320000}"/>
    <cellStyle name="40% - Accent2 2 2 2 26" xfId="50911" xr:uid="{00000000-0005-0000-0000-00004B320000}"/>
    <cellStyle name="40% - Accent2 2 2 2 27" xfId="52594" xr:uid="{00000000-0005-0000-0000-00004C320000}"/>
    <cellStyle name="40% - Accent2 2 2 2 28" xfId="54277" xr:uid="{00000000-0005-0000-0000-00004D320000}"/>
    <cellStyle name="40% - Accent2 2 2 2 29" xfId="55960" xr:uid="{00000000-0005-0000-0000-00004E320000}"/>
    <cellStyle name="40% - Accent2 2 2 2 3" xfId="1258" xr:uid="{00000000-0005-0000-0000-00004F320000}"/>
    <cellStyle name="40% - Accent2 2 2 2 3 10" xfId="16407" xr:uid="{00000000-0005-0000-0000-000050320000}"/>
    <cellStyle name="40% - Accent2 2 2 2 3 11" xfId="31556" xr:uid="{00000000-0005-0000-0000-000051320000}"/>
    <cellStyle name="40% - Accent2 2 2 2 3 12" xfId="33239" xr:uid="{00000000-0005-0000-0000-000052320000}"/>
    <cellStyle name="40% - Accent2 2 2 2 3 13" xfId="34922" xr:uid="{00000000-0005-0000-0000-000053320000}"/>
    <cellStyle name="40% - Accent2 2 2 2 3 14" xfId="36605" xr:uid="{00000000-0005-0000-0000-000054320000}"/>
    <cellStyle name="40% - Accent2 2 2 2 3 15" xfId="38288" xr:uid="{00000000-0005-0000-0000-000055320000}"/>
    <cellStyle name="40% - Accent2 2 2 2 3 16" xfId="39971" xr:uid="{00000000-0005-0000-0000-000056320000}"/>
    <cellStyle name="40% - Accent2 2 2 2 3 17" xfId="41654" xr:uid="{00000000-0005-0000-0000-000057320000}"/>
    <cellStyle name="40% - Accent2 2 2 2 3 18" xfId="43337" xr:uid="{00000000-0005-0000-0000-000058320000}"/>
    <cellStyle name="40% - Accent2 2 2 2 3 19" xfId="45020" xr:uid="{00000000-0005-0000-0000-000059320000}"/>
    <cellStyle name="40% - Accent2 2 2 2 3 2" xfId="2941" xr:uid="{00000000-0005-0000-0000-00005A320000}"/>
    <cellStyle name="40% - Accent2 2 2 2 3 2 2" xfId="18090" xr:uid="{00000000-0005-0000-0000-00005B320000}"/>
    <cellStyle name="40% - Accent2 2 2 2 3 20" xfId="46703" xr:uid="{00000000-0005-0000-0000-00005C320000}"/>
    <cellStyle name="40% - Accent2 2 2 2 3 21" xfId="48386" xr:uid="{00000000-0005-0000-0000-00005D320000}"/>
    <cellStyle name="40% - Accent2 2 2 2 3 22" xfId="50069" xr:uid="{00000000-0005-0000-0000-00005E320000}"/>
    <cellStyle name="40% - Accent2 2 2 2 3 23" xfId="51752" xr:uid="{00000000-0005-0000-0000-00005F320000}"/>
    <cellStyle name="40% - Accent2 2 2 2 3 24" xfId="53435" xr:uid="{00000000-0005-0000-0000-000060320000}"/>
    <cellStyle name="40% - Accent2 2 2 2 3 25" xfId="55118" xr:uid="{00000000-0005-0000-0000-000061320000}"/>
    <cellStyle name="40% - Accent2 2 2 2 3 26" xfId="56801" xr:uid="{00000000-0005-0000-0000-000062320000}"/>
    <cellStyle name="40% - Accent2 2 2 2 3 27" xfId="58484" xr:uid="{00000000-0005-0000-0000-000063320000}"/>
    <cellStyle name="40% - Accent2 2 2 2 3 28" xfId="60167" xr:uid="{00000000-0005-0000-0000-000064320000}"/>
    <cellStyle name="40% - Accent2 2 2 2 3 29" xfId="61850" xr:uid="{00000000-0005-0000-0000-000065320000}"/>
    <cellStyle name="40% - Accent2 2 2 2 3 3" xfId="4625" xr:uid="{00000000-0005-0000-0000-000066320000}"/>
    <cellStyle name="40% - Accent2 2 2 2 3 3 2" xfId="19774" xr:uid="{00000000-0005-0000-0000-000067320000}"/>
    <cellStyle name="40% - Accent2 2 2 2 3 30" xfId="63533" xr:uid="{00000000-0005-0000-0000-000068320000}"/>
    <cellStyle name="40% - Accent2 2 2 2 3 4" xfId="6308" xr:uid="{00000000-0005-0000-0000-000069320000}"/>
    <cellStyle name="40% - Accent2 2 2 2 3 4 2" xfId="21457" xr:uid="{00000000-0005-0000-0000-00006A320000}"/>
    <cellStyle name="40% - Accent2 2 2 2 3 5" xfId="7991" xr:uid="{00000000-0005-0000-0000-00006B320000}"/>
    <cellStyle name="40% - Accent2 2 2 2 3 5 2" xfId="23140" xr:uid="{00000000-0005-0000-0000-00006C320000}"/>
    <cellStyle name="40% - Accent2 2 2 2 3 6" xfId="9674" xr:uid="{00000000-0005-0000-0000-00006D320000}"/>
    <cellStyle name="40% - Accent2 2 2 2 3 6 2" xfId="24823" xr:uid="{00000000-0005-0000-0000-00006E320000}"/>
    <cellStyle name="40% - Accent2 2 2 2 3 7" xfId="11357" xr:uid="{00000000-0005-0000-0000-00006F320000}"/>
    <cellStyle name="40% - Accent2 2 2 2 3 7 2" xfId="26506" xr:uid="{00000000-0005-0000-0000-000070320000}"/>
    <cellStyle name="40% - Accent2 2 2 2 3 8" xfId="13041" xr:uid="{00000000-0005-0000-0000-000071320000}"/>
    <cellStyle name="40% - Accent2 2 2 2 3 8 2" xfId="28190" xr:uid="{00000000-0005-0000-0000-000072320000}"/>
    <cellStyle name="40% - Accent2 2 2 2 3 9" xfId="14724" xr:uid="{00000000-0005-0000-0000-000073320000}"/>
    <cellStyle name="40% - Accent2 2 2 2 3 9 2" xfId="29873" xr:uid="{00000000-0005-0000-0000-000074320000}"/>
    <cellStyle name="40% - Accent2 2 2 2 30" xfId="57643" xr:uid="{00000000-0005-0000-0000-000075320000}"/>
    <cellStyle name="40% - Accent2 2 2 2 31" xfId="59326" xr:uid="{00000000-0005-0000-0000-000076320000}"/>
    <cellStyle name="40% - Accent2 2 2 2 32" xfId="61009" xr:uid="{00000000-0005-0000-0000-000077320000}"/>
    <cellStyle name="40% - Accent2 2 2 2 33" xfId="62692" xr:uid="{00000000-0005-0000-0000-000078320000}"/>
    <cellStyle name="40% - Accent2 2 2 2 4" xfId="1679" xr:uid="{00000000-0005-0000-0000-000079320000}"/>
    <cellStyle name="40% - Accent2 2 2 2 4 10" xfId="16828" xr:uid="{00000000-0005-0000-0000-00007A320000}"/>
    <cellStyle name="40% - Accent2 2 2 2 4 11" xfId="31977" xr:uid="{00000000-0005-0000-0000-00007B320000}"/>
    <cellStyle name="40% - Accent2 2 2 2 4 12" xfId="33660" xr:uid="{00000000-0005-0000-0000-00007C320000}"/>
    <cellStyle name="40% - Accent2 2 2 2 4 13" xfId="35343" xr:uid="{00000000-0005-0000-0000-00007D320000}"/>
    <cellStyle name="40% - Accent2 2 2 2 4 14" xfId="37026" xr:uid="{00000000-0005-0000-0000-00007E320000}"/>
    <cellStyle name="40% - Accent2 2 2 2 4 15" xfId="38709" xr:uid="{00000000-0005-0000-0000-00007F320000}"/>
    <cellStyle name="40% - Accent2 2 2 2 4 16" xfId="40392" xr:uid="{00000000-0005-0000-0000-000080320000}"/>
    <cellStyle name="40% - Accent2 2 2 2 4 17" xfId="42075" xr:uid="{00000000-0005-0000-0000-000081320000}"/>
    <cellStyle name="40% - Accent2 2 2 2 4 18" xfId="43758" xr:uid="{00000000-0005-0000-0000-000082320000}"/>
    <cellStyle name="40% - Accent2 2 2 2 4 19" xfId="45441" xr:uid="{00000000-0005-0000-0000-000083320000}"/>
    <cellStyle name="40% - Accent2 2 2 2 4 2" xfId="3362" xr:uid="{00000000-0005-0000-0000-000084320000}"/>
    <cellStyle name="40% - Accent2 2 2 2 4 2 2" xfId="18511" xr:uid="{00000000-0005-0000-0000-000085320000}"/>
    <cellStyle name="40% - Accent2 2 2 2 4 20" xfId="47124" xr:uid="{00000000-0005-0000-0000-000086320000}"/>
    <cellStyle name="40% - Accent2 2 2 2 4 21" xfId="48807" xr:uid="{00000000-0005-0000-0000-000087320000}"/>
    <cellStyle name="40% - Accent2 2 2 2 4 22" xfId="50490" xr:uid="{00000000-0005-0000-0000-000088320000}"/>
    <cellStyle name="40% - Accent2 2 2 2 4 23" xfId="52173" xr:uid="{00000000-0005-0000-0000-000089320000}"/>
    <cellStyle name="40% - Accent2 2 2 2 4 24" xfId="53856" xr:uid="{00000000-0005-0000-0000-00008A320000}"/>
    <cellStyle name="40% - Accent2 2 2 2 4 25" xfId="55539" xr:uid="{00000000-0005-0000-0000-00008B320000}"/>
    <cellStyle name="40% - Accent2 2 2 2 4 26" xfId="57222" xr:uid="{00000000-0005-0000-0000-00008C320000}"/>
    <cellStyle name="40% - Accent2 2 2 2 4 27" xfId="58905" xr:uid="{00000000-0005-0000-0000-00008D320000}"/>
    <cellStyle name="40% - Accent2 2 2 2 4 28" xfId="60588" xr:uid="{00000000-0005-0000-0000-00008E320000}"/>
    <cellStyle name="40% - Accent2 2 2 2 4 29" xfId="62271" xr:uid="{00000000-0005-0000-0000-00008F320000}"/>
    <cellStyle name="40% - Accent2 2 2 2 4 3" xfId="5046" xr:uid="{00000000-0005-0000-0000-000090320000}"/>
    <cellStyle name="40% - Accent2 2 2 2 4 3 2" xfId="20195" xr:uid="{00000000-0005-0000-0000-000091320000}"/>
    <cellStyle name="40% - Accent2 2 2 2 4 30" xfId="63954" xr:uid="{00000000-0005-0000-0000-000092320000}"/>
    <cellStyle name="40% - Accent2 2 2 2 4 4" xfId="6729" xr:uid="{00000000-0005-0000-0000-000093320000}"/>
    <cellStyle name="40% - Accent2 2 2 2 4 4 2" xfId="21878" xr:uid="{00000000-0005-0000-0000-000094320000}"/>
    <cellStyle name="40% - Accent2 2 2 2 4 5" xfId="8412" xr:uid="{00000000-0005-0000-0000-000095320000}"/>
    <cellStyle name="40% - Accent2 2 2 2 4 5 2" xfId="23561" xr:uid="{00000000-0005-0000-0000-000096320000}"/>
    <cellStyle name="40% - Accent2 2 2 2 4 6" xfId="10095" xr:uid="{00000000-0005-0000-0000-000097320000}"/>
    <cellStyle name="40% - Accent2 2 2 2 4 6 2" xfId="25244" xr:uid="{00000000-0005-0000-0000-000098320000}"/>
    <cellStyle name="40% - Accent2 2 2 2 4 7" xfId="11778" xr:uid="{00000000-0005-0000-0000-000099320000}"/>
    <cellStyle name="40% - Accent2 2 2 2 4 7 2" xfId="26927" xr:uid="{00000000-0005-0000-0000-00009A320000}"/>
    <cellStyle name="40% - Accent2 2 2 2 4 8" xfId="13462" xr:uid="{00000000-0005-0000-0000-00009B320000}"/>
    <cellStyle name="40% - Accent2 2 2 2 4 8 2" xfId="28611" xr:uid="{00000000-0005-0000-0000-00009C320000}"/>
    <cellStyle name="40% - Accent2 2 2 2 4 9" xfId="15145" xr:uid="{00000000-0005-0000-0000-00009D320000}"/>
    <cellStyle name="40% - Accent2 2 2 2 4 9 2" xfId="30294" xr:uid="{00000000-0005-0000-0000-00009E320000}"/>
    <cellStyle name="40% - Accent2 2 2 2 5" xfId="2100" xr:uid="{00000000-0005-0000-0000-00009F320000}"/>
    <cellStyle name="40% - Accent2 2 2 2 5 2" xfId="17249" xr:uid="{00000000-0005-0000-0000-0000A0320000}"/>
    <cellStyle name="40% - Accent2 2 2 2 6" xfId="3784" xr:uid="{00000000-0005-0000-0000-0000A1320000}"/>
    <cellStyle name="40% - Accent2 2 2 2 6 2" xfId="18933" xr:uid="{00000000-0005-0000-0000-0000A2320000}"/>
    <cellStyle name="40% - Accent2 2 2 2 7" xfId="5467" xr:uid="{00000000-0005-0000-0000-0000A3320000}"/>
    <cellStyle name="40% - Accent2 2 2 2 7 2" xfId="20616" xr:uid="{00000000-0005-0000-0000-0000A4320000}"/>
    <cellStyle name="40% - Accent2 2 2 2 8" xfId="7150" xr:uid="{00000000-0005-0000-0000-0000A5320000}"/>
    <cellStyle name="40% - Accent2 2 2 2 8 2" xfId="22299" xr:uid="{00000000-0005-0000-0000-0000A6320000}"/>
    <cellStyle name="40% - Accent2 2 2 2 9" xfId="8833" xr:uid="{00000000-0005-0000-0000-0000A7320000}"/>
    <cellStyle name="40% - Accent2 2 2 2 9 2" xfId="23982" xr:uid="{00000000-0005-0000-0000-0000A8320000}"/>
    <cellStyle name="40% - Accent2 2 2 20" xfId="38920" xr:uid="{00000000-0005-0000-0000-0000A9320000}"/>
    <cellStyle name="40% - Accent2 2 2 21" xfId="40603" xr:uid="{00000000-0005-0000-0000-0000AA320000}"/>
    <cellStyle name="40% - Accent2 2 2 22" xfId="42286" xr:uid="{00000000-0005-0000-0000-0000AB320000}"/>
    <cellStyle name="40% - Accent2 2 2 23" xfId="43969" xr:uid="{00000000-0005-0000-0000-0000AC320000}"/>
    <cellStyle name="40% - Accent2 2 2 24" xfId="45652" xr:uid="{00000000-0005-0000-0000-0000AD320000}"/>
    <cellStyle name="40% - Accent2 2 2 25" xfId="47335" xr:uid="{00000000-0005-0000-0000-0000AE320000}"/>
    <cellStyle name="40% - Accent2 2 2 26" xfId="49018" xr:uid="{00000000-0005-0000-0000-0000AF320000}"/>
    <cellStyle name="40% - Accent2 2 2 27" xfId="50701" xr:uid="{00000000-0005-0000-0000-0000B0320000}"/>
    <cellStyle name="40% - Accent2 2 2 28" xfId="52384" xr:uid="{00000000-0005-0000-0000-0000B1320000}"/>
    <cellStyle name="40% - Accent2 2 2 29" xfId="54067" xr:uid="{00000000-0005-0000-0000-0000B2320000}"/>
    <cellStyle name="40% - Accent2 2 2 3" xfId="627" xr:uid="{00000000-0005-0000-0000-0000B3320000}"/>
    <cellStyle name="40% - Accent2 2 2 3 10" xfId="15776" xr:uid="{00000000-0005-0000-0000-0000B4320000}"/>
    <cellStyle name="40% - Accent2 2 2 3 11" xfId="30925" xr:uid="{00000000-0005-0000-0000-0000B5320000}"/>
    <cellStyle name="40% - Accent2 2 2 3 12" xfId="32608" xr:uid="{00000000-0005-0000-0000-0000B6320000}"/>
    <cellStyle name="40% - Accent2 2 2 3 13" xfId="34291" xr:uid="{00000000-0005-0000-0000-0000B7320000}"/>
    <cellStyle name="40% - Accent2 2 2 3 14" xfId="35974" xr:uid="{00000000-0005-0000-0000-0000B8320000}"/>
    <cellStyle name="40% - Accent2 2 2 3 15" xfId="37657" xr:uid="{00000000-0005-0000-0000-0000B9320000}"/>
    <cellStyle name="40% - Accent2 2 2 3 16" xfId="39340" xr:uid="{00000000-0005-0000-0000-0000BA320000}"/>
    <cellStyle name="40% - Accent2 2 2 3 17" xfId="41023" xr:uid="{00000000-0005-0000-0000-0000BB320000}"/>
    <cellStyle name="40% - Accent2 2 2 3 18" xfId="42706" xr:uid="{00000000-0005-0000-0000-0000BC320000}"/>
    <cellStyle name="40% - Accent2 2 2 3 19" xfId="44389" xr:uid="{00000000-0005-0000-0000-0000BD320000}"/>
    <cellStyle name="40% - Accent2 2 2 3 2" xfId="2310" xr:uid="{00000000-0005-0000-0000-0000BE320000}"/>
    <cellStyle name="40% - Accent2 2 2 3 2 2" xfId="17459" xr:uid="{00000000-0005-0000-0000-0000BF320000}"/>
    <cellStyle name="40% - Accent2 2 2 3 20" xfId="46072" xr:uid="{00000000-0005-0000-0000-0000C0320000}"/>
    <cellStyle name="40% - Accent2 2 2 3 21" xfId="47755" xr:uid="{00000000-0005-0000-0000-0000C1320000}"/>
    <cellStyle name="40% - Accent2 2 2 3 22" xfId="49438" xr:uid="{00000000-0005-0000-0000-0000C2320000}"/>
    <cellStyle name="40% - Accent2 2 2 3 23" xfId="51121" xr:uid="{00000000-0005-0000-0000-0000C3320000}"/>
    <cellStyle name="40% - Accent2 2 2 3 24" xfId="52804" xr:uid="{00000000-0005-0000-0000-0000C4320000}"/>
    <cellStyle name="40% - Accent2 2 2 3 25" xfId="54487" xr:uid="{00000000-0005-0000-0000-0000C5320000}"/>
    <cellStyle name="40% - Accent2 2 2 3 26" xfId="56170" xr:uid="{00000000-0005-0000-0000-0000C6320000}"/>
    <cellStyle name="40% - Accent2 2 2 3 27" xfId="57853" xr:uid="{00000000-0005-0000-0000-0000C7320000}"/>
    <cellStyle name="40% - Accent2 2 2 3 28" xfId="59536" xr:uid="{00000000-0005-0000-0000-0000C8320000}"/>
    <cellStyle name="40% - Accent2 2 2 3 29" xfId="61219" xr:uid="{00000000-0005-0000-0000-0000C9320000}"/>
    <cellStyle name="40% - Accent2 2 2 3 3" xfId="3994" xr:uid="{00000000-0005-0000-0000-0000CA320000}"/>
    <cellStyle name="40% - Accent2 2 2 3 3 2" xfId="19143" xr:uid="{00000000-0005-0000-0000-0000CB320000}"/>
    <cellStyle name="40% - Accent2 2 2 3 30" xfId="62902" xr:uid="{00000000-0005-0000-0000-0000CC320000}"/>
    <cellStyle name="40% - Accent2 2 2 3 4" xfId="5677" xr:uid="{00000000-0005-0000-0000-0000CD320000}"/>
    <cellStyle name="40% - Accent2 2 2 3 4 2" xfId="20826" xr:uid="{00000000-0005-0000-0000-0000CE320000}"/>
    <cellStyle name="40% - Accent2 2 2 3 5" xfId="7360" xr:uid="{00000000-0005-0000-0000-0000CF320000}"/>
    <cellStyle name="40% - Accent2 2 2 3 5 2" xfId="22509" xr:uid="{00000000-0005-0000-0000-0000D0320000}"/>
    <cellStyle name="40% - Accent2 2 2 3 6" xfId="9043" xr:uid="{00000000-0005-0000-0000-0000D1320000}"/>
    <cellStyle name="40% - Accent2 2 2 3 6 2" xfId="24192" xr:uid="{00000000-0005-0000-0000-0000D2320000}"/>
    <cellStyle name="40% - Accent2 2 2 3 7" xfId="10726" xr:uid="{00000000-0005-0000-0000-0000D3320000}"/>
    <cellStyle name="40% - Accent2 2 2 3 7 2" xfId="25875" xr:uid="{00000000-0005-0000-0000-0000D4320000}"/>
    <cellStyle name="40% - Accent2 2 2 3 8" xfId="12410" xr:uid="{00000000-0005-0000-0000-0000D5320000}"/>
    <cellStyle name="40% - Accent2 2 2 3 8 2" xfId="27559" xr:uid="{00000000-0005-0000-0000-0000D6320000}"/>
    <cellStyle name="40% - Accent2 2 2 3 9" xfId="14093" xr:uid="{00000000-0005-0000-0000-0000D7320000}"/>
    <cellStyle name="40% - Accent2 2 2 3 9 2" xfId="29242" xr:uid="{00000000-0005-0000-0000-0000D8320000}"/>
    <cellStyle name="40% - Accent2 2 2 30" xfId="55750" xr:uid="{00000000-0005-0000-0000-0000D9320000}"/>
    <cellStyle name="40% - Accent2 2 2 31" xfId="57433" xr:uid="{00000000-0005-0000-0000-0000DA320000}"/>
    <cellStyle name="40% - Accent2 2 2 32" xfId="59116" xr:uid="{00000000-0005-0000-0000-0000DB320000}"/>
    <cellStyle name="40% - Accent2 2 2 33" xfId="60799" xr:uid="{00000000-0005-0000-0000-0000DC320000}"/>
    <cellStyle name="40% - Accent2 2 2 34" xfId="62482" xr:uid="{00000000-0005-0000-0000-0000DD320000}"/>
    <cellStyle name="40% - Accent2 2 2 4" xfId="1048" xr:uid="{00000000-0005-0000-0000-0000DE320000}"/>
    <cellStyle name="40% - Accent2 2 2 4 10" xfId="16197" xr:uid="{00000000-0005-0000-0000-0000DF320000}"/>
    <cellStyle name="40% - Accent2 2 2 4 11" xfId="31346" xr:uid="{00000000-0005-0000-0000-0000E0320000}"/>
    <cellStyle name="40% - Accent2 2 2 4 12" xfId="33029" xr:uid="{00000000-0005-0000-0000-0000E1320000}"/>
    <cellStyle name="40% - Accent2 2 2 4 13" xfId="34712" xr:uid="{00000000-0005-0000-0000-0000E2320000}"/>
    <cellStyle name="40% - Accent2 2 2 4 14" xfId="36395" xr:uid="{00000000-0005-0000-0000-0000E3320000}"/>
    <cellStyle name="40% - Accent2 2 2 4 15" xfId="38078" xr:uid="{00000000-0005-0000-0000-0000E4320000}"/>
    <cellStyle name="40% - Accent2 2 2 4 16" xfId="39761" xr:uid="{00000000-0005-0000-0000-0000E5320000}"/>
    <cellStyle name="40% - Accent2 2 2 4 17" xfId="41444" xr:uid="{00000000-0005-0000-0000-0000E6320000}"/>
    <cellStyle name="40% - Accent2 2 2 4 18" xfId="43127" xr:uid="{00000000-0005-0000-0000-0000E7320000}"/>
    <cellStyle name="40% - Accent2 2 2 4 19" xfId="44810" xr:uid="{00000000-0005-0000-0000-0000E8320000}"/>
    <cellStyle name="40% - Accent2 2 2 4 2" xfId="2731" xr:uid="{00000000-0005-0000-0000-0000E9320000}"/>
    <cellStyle name="40% - Accent2 2 2 4 2 2" xfId="17880" xr:uid="{00000000-0005-0000-0000-0000EA320000}"/>
    <cellStyle name="40% - Accent2 2 2 4 20" xfId="46493" xr:uid="{00000000-0005-0000-0000-0000EB320000}"/>
    <cellStyle name="40% - Accent2 2 2 4 21" xfId="48176" xr:uid="{00000000-0005-0000-0000-0000EC320000}"/>
    <cellStyle name="40% - Accent2 2 2 4 22" xfId="49859" xr:uid="{00000000-0005-0000-0000-0000ED320000}"/>
    <cellStyle name="40% - Accent2 2 2 4 23" xfId="51542" xr:uid="{00000000-0005-0000-0000-0000EE320000}"/>
    <cellStyle name="40% - Accent2 2 2 4 24" xfId="53225" xr:uid="{00000000-0005-0000-0000-0000EF320000}"/>
    <cellStyle name="40% - Accent2 2 2 4 25" xfId="54908" xr:uid="{00000000-0005-0000-0000-0000F0320000}"/>
    <cellStyle name="40% - Accent2 2 2 4 26" xfId="56591" xr:uid="{00000000-0005-0000-0000-0000F1320000}"/>
    <cellStyle name="40% - Accent2 2 2 4 27" xfId="58274" xr:uid="{00000000-0005-0000-0000-0000F2320000}"/>
    <cellStyle name="40% - Accent2 2 2 4 28" xfId="59957" xr:uid="{00000000-0005-0000-0000-0000F3320000}"/>
    <cellStyle name="40% - Accent2 2 2 4 29" xfId="61640" xr:uid="{00000000-0005-0000-0000-0000F4320000}"/>
    <cellStyle name="40% - Accent2 2 2 4 3" xfId="4415" xr:uid="{00000000-0005-0000-0000-0000F5320000}"/>
    <cellStyle name="40% - Accent2 2 2 4 3 2" xfId="19564" xr:uid="{00000000-0005-0000-0000-0000F6320000}"/>
    <cellStyle name="40% - Accent2 2 2 4 30" xfId="63323" xr:uid="{00000000-0005-0000-0000-0000F7320000}"/>
    <cellStyle name="40% - Accent2 2 2 4 4" xfId="6098" xr:uid="{00000000-0005-0000-0000-0000F8320000}"/>
    <cellStyle name="40% - Accent2 2 2 4 4 2" xfId="21247" xr:uid="{00000000-0005-0000-0000-0000F9320000}"/>
    <cellStyle name="40% - Accent2 2 2 4 5" xfId="7781" xr:uid="{00000000-0005-0000-0000-0000FA320000}"/>
    <cellStyle name="40% - Accent2 2 2 4 5 2" xfId="22930" xr:uid="{00000000-0005-0000-0000-0000FB320000}"/>
    <cellStyle name="40% - Accent2 2 2 4 6" xfId="9464" xr:uid="{00000000-0005-0000-0000-0000FC320000}"/>
    <cellStyle name="40% - Accent2 2 2 4 6 2" xfId="24613" xr:uid="{00000000-0005-0000-0000-0000FD320000}"/>
    <cellStyle name="40% - Accent2 2 2 4 7" xfId="11147" xr:uid="{00000000-0005-0000-0000-0000FE320000}"/>
    <cellStyle name="40% - Accent2 2 2 4 7 2" xfId="26296" xr:uid="{00000000-0005-0000-0000-0000FF320000}"/>
    <cellStyle name="40% - Accent2 2 2 4 8" xfId="12831" xr:uid="{00000000-0005-0000-0000-000000330000}"/>
    <cellStyle name="40% - Accent2 2 2 4 8 2" xfId="27980" xr:uid="{00000000-0005-0000-0000-000001330000}"/>
    <cellStyle name="40% - Accent2 2 2 4 9" xfId="14514" xr:uid="{00000000-0005-0000-0000-000002330000}"/>
    <cellStyle name="40% - Accent2 2 2 4 9 2" xfId="29663" xr:uid="{00000000-0005-0000-0000-000003330000}"/>
    <cellStyle name="40% - Accent2 2 2 5" xfId="1469" xr:uid="{00000000-0005-0000-0000-000004330000}"/>
    <cellStyle name="40% - Accent2 2 2 5 10" xfId="16618" xr:uid="{00000000-0005-0000-0000-000005330000}"/>
    <cellStyle name="40% - Accent2 2 2 5 11" xfId="31767" xr:uid="{00000000-0005-0000-0000-000006330000}"/>
    <cellStyle name="40% - Accent2 2 2 5 12" xfId="33450" xr:uid="{00000000-0005-0000-0000-000007330000}"/>
    <cellStyle name="40% - Accent2 2 2 5 13" xfId="35133" xr:uid="{00000000-0005-0000-0000-000008330000}"/>
    <cellStyle name="40% - Accent2 2 2 5 14" xfId="36816" xr:uid="{00000000-0005-0000-0000-000009330000}"/>
    <cellStyle name="40% - Accent2 2 2 5 15" xfId="38499" xr:uid="{00000000-0005-0000-0000-00000A330000}"/>
    <cellStyle name="40% - Accent2 2 2 5 16" xfId="40182" xr:uid="{00000000-0005-0000-0000-00000B330000}"/>
    <cellStyle name="40% - Accent2 2 2 5 17" xfId="41865" xr:uid="{00000000-0005-0000-0000-00000C330000}"/>
    <cellStyle name="40% - Accent2 2 2 5 18" xfId="43548" xr:uid="{00000000-0005-0000-0000-00000D330000}"/>
    <cellStyle name="40% - Accent2 2 2 5 19" xfId="45231" xr:uid="{00000000-0005-0000-0000-00000E330000}"/>
    <cellStyle name="40% - Accent2 2 2 5 2" xfId="3152" xr:uid="{00000000-0005-0000-0000-00000F330000}"/>
    <cellStyle name="40% - Accent2 2 2 5 2 2" xfId="18301" xr:uid="{00000000-0005-0000-0000-000010330000}"/>
    <cellStyle name="40% - Accent2 2 2 5 20" xfId="46914" xr:uid="{00000000-0005-0000-0000-000011330000}"/>
    <cellStyle name="40% - Accent2 2 2 5 21" xfId="48597" xr:uid="{00000000-0005-0000-0000-000012330000}"/>
    <cellStyle name="40% - Accent2 2 2 5 22" xfId="50280" xr:uid="{00000000-0005-0000-0000-000013330000}"/>
    <cellStyle name="40% - Accent2 2 2 5 23" xfId="51963" xr:uid="{00000000-0005-0000-0000-000014330000}"/>
    <cellStyle name="40% - Accent2 2 2 5 24" xfId="53646" xr:uid="{00000000-0005-0000-0000-000015330000}"/>
    <cellStyle name="40% - Accent2 2 2 5 25" xfId="55329" xr:uid="{00000000-0005-0000-0000-000016330000}"/>
    <cellStyle name="40% - Accent2 2 2 5 26" xfId="57012" xr:uid="{00000000-0005-0000-0000-000017330000}"/>
    <cellStyle name="40% - Accent2 2 2 5 27" xfId="58695" xr:uid="{00000000-0005-0000-0000-000018330000}"/>
    <cellStyle name="40% - Accent2 2 2 5 28" xfId="60378" xr:uid="{00000000-0005-0000-0000-000019330000}"/>
    <cellStyle name="40% - Accent2 2 2 5 29" xfId="62061" xr:uid="{00000000-0005-0000-0000-00001A330000}"/>
    <cellStyle name="40% - Accent2 2 2 5 3" xfId="4836" xr:uid="{00000000-0005-0000-0000-00001B330000}"/>
    <cellStyle name="40% - Accent2 2 2 5 3 2" xfId="19985" xr:uid="{00000000-0005-0000-0000-00001C330000}"/>
    <cellStyle name="40% - Accent2 2 2 5 30" xfId="63744" xr:uid="{00000000-0005-0000-0000-00001D330000}"/>
    <cellStyle name="40% - Accent2 2 2 5 4" xfId="6519" xr:uid="{00000000-0005-0000-0000-00001E330000}"/>
    <cellStyle name="40% - Accent2 2 2 5 4 2" xfId="21668" xr:uid="{00000000-0005-0000-0000-00001F330000}"/>
    <cellStyle name="40% - Accent2 2 2 5 5" xfId="8202" xr:uid="{00000000-0005-0000-0000-000020330000}"/>
    <cellStyle name="40% - Accent2 2 2 5 5 2" xfId="23351" xr:uid="{00000000-0005-0000-0000-000021330000}"/>
    <cellStyle name="40% - Accent2 2 2 5 6" xfId="9885" xr:uid="{00000000-0005-0000-0000-000022330000}"/>
    <cellStyle name="40% - Accent2 2 2 5 6 2" xfId="25034" xr:uid="{00000000-0005-0000-0000-000023330000}"/>
    <cellStyle name="40% - Accent2 2 2 5 7" xfId="11568" xr:uid="{00000000-0005-0000-0000-000024330000}"/>
    <cellStyle name="40% - Accent2 2 2 5 7 2" xfId="26717" xr:uid="{00000000-0005-0000-0000-000025330000}"/>
    <cellStyle name="40% - Accent2 2 2 5 8" xfId="13252" xr:uid="{00000000-0005-0000-0000-000026330000}"/>
    <cellStyle name="40% - Accent2 2 2 5 8 2" xfId="28401" xr:uid="{00000000-0005-0000-0000-000027330000}"/>
    <cellStyle name="40% - Accent2 2 2 5 9" xfId="14935" xr:uid="{00000000-0005-0000-0000-000028330000}"/>
    <cellStyle name="40% - Accent2 2 2 5 9 2" xfId="30084" xr:uid="{00000000-0005-0000-0000-000029330000}"/>
    <cellStyle name="40% - Accent2 2 2 6" xfId="1890" xr:uid="{00000000-0005-0000-0000-00002A330000}"/>
    <cellStyle name="40% - Accent2 2 2 6 2" xfId="17039" xr:uid="{00000000-0005-0000-0000-00002B330000}"/>
    <cellStyle name="40% - Accent2 2 2 7" xfId="3574" xr:uid="{00000000-0005-0000-0000-00002C330000}"/>
    <cellStyle name="40% - Accent2 2 2 7 2" xfId="18723" xr:uid="{00000000-0005-0000-0000-00002D330000}"/>
    <cellStyle name="40% - Accent2 2 2 8" xfId="5257" xr:uid="{00000000-0005-0000-0000-00002E330000}"/>
    <cellStyle name="40% - Accent2 2 2 8 2" xfId="20406" xr:uid="{00000000-0005-0000-0000-00002F330000}"/>
    <cellStyle name="40% - Accent2 2 2 9" xfId="6940" xr:uid="{00000000-0005-0000-0000-000030330000}"/>
    <cellStyle name="40% - Accent2 2 2 9 2" xfId="22089" xr:uid="{00000000-0005-0000-0000-000031330000}"/>
    <cellStyle name="40% - Accent2 2 20" xfId="37132" xr:uid="{00000000-0005-0000-0000-000032330000}"/>
    <cellStyle name="40% - Accent2 2 21" xfId="38815" xr:uid="{00000000-0005-0000-0000-000033330000}"/>
    <cellStyle name="40% - Accent2 2 22" xfId="40498" xr:uid="{00000000-0005-0000-0000-000034330000}"/>
    <cellStyle name="40% - Accent2 2 23" xfId="42181" xr:uid="{00000000-0005-0000-0000-000035330000}"/>
    <cellStyle name="40% - Accent2 2 24" xfId="43864" xr:uid="{00000000-0005-0000-0000-000036330000}"/>
    <cellStyle name="40% - Accent2 2 25" xfId="45547" xr:uid="{00000000-0005-0000-0000-000037330000}"/>
    <cellStyle name="40% - Accent2 2 26" xfId="47230" xr:uid="{00000000-0005-0000-0000-000038330000}"/>
    <cellStyle name="40% - Accent2 2 27" xfId="48913" xr:uid="{00000000-0005-0000-0000-000039330000}"/>
    <cellStyle name="40% - Accent2 2 28" xfId="50596" xr:uid="{00000000-0005-0000-0000-00003A330000}"/>
    <cellStyle name="40% - Accent2 2 29" xfId="52279" xr:uid="{00000000-0005-0000-0000-00003B330000}"/>
    <cellStyle name="40% - Accent2 2 3" xfId="312" xr:uid="{00000000-0005-0000-0000-00003C330000}"/>
    <cellStyle name="40% - Accent2 2 3 10" xfId="10411" xr:uid="{00000000-0005-0000-0000-00003D330000}"/>
    <cellStyle name="40% - Accent2 2 3 10 2" xfId="25560" xr:uid="{00000000-0005-0000-0000-00003E330000}"/>
    <cellStyle name="40% - Accent2 2 3 11" xfId="12095" xr:uid="{00000000-0005-0000-0000-00003F330000}"/>
    <cellStyle name="40% - Accent2 2 3 11 2" xfId="27244" xr:uid="{00000000-0005-0000-0000-000040330000}"/>
    <cellStyle name="40% - Accent2 2 3 12" xfId="13778" xr:uid="{00000000-0005-0000-0000-000041330000}"/>
    <cellStyle name="40% - Accent2 2 3 12 2" xfId="28927" xr:uid="{00000000-0005-0000-0000-000042330000}"/>
    <cellStyle name="40% - Accent2 2 3 13" xfId="15461" xr:uid="{00000000-0005-0000-0000-000043330000}"/>
    <cellStyle name="40% - Accent2 2 3 14" xfId="30610" xr:uid="{00000000-0005-0000-0000-000044330000}"/>
    <cellStyle name="40% - Accent2 2 3 15" xfId="32293" xr:uid="{00000000-0005-0000-0000-000045330000}"/>
    <cellStyle name="40% - Accent2 2 3 16" xfId="33976" xr:uid="{00000000-0005-0000-0000-000046330000}"/>
    <cellStyle name="40% - Accent2 2 3 17" xfId="35659" xr:uid="{00000000-0005-0000-0000-000047330000}"/>
    <cellStyle name="40% - Accent2 2 3 18" xfId="37342" xr:uid="{00000000-0005-0000-0000-000048330000}"/>
    <cellStyle name="40% - Accent2 2 3 19" xfId="39025" xr:uid="{00000000-0005-0000-0000-000049330000}"/>
    <cellStyle name="40% - Accent2 2 3 2" xfId="732" xr:uid="{00000000-0005-0000-0000-00004A330000}"/>
    <cellStyle name="40% - Accent2 2 3 2 10" xfId="15881" xr:uid="{00000000-0005-0000-0000-00004B330000}"/>
    <cellStyle name="40% - Accent2 2 3 2 11" xfId="31030" xr:uid="{00000000-0005-0000-0000-00004C330000}"/>
    <cellStyle name="40% - Accent2 2 3 2 12" xfId="32713" xr:uid="{00000000-0005-0000-0000-00004D330000}"/>
    <cellStyle name="40% - Accent2 2 3 2 13" xfId="34396" xr:uid="{00000000-0005-0000-0000-00004E330000}"/>
    <cellStyle name="40% - Accent2 2 3 2 14" xfId="36079" xr:uid="{00000000-0005-0000-0000-00004F330000}"/>
    <cellStyle name="40% - Accent2 2 3 2 15" xfId="37762" xr:uid="{00000000-0005-0000-0000-000050330000}"/>
    <cellStyle name="40% - Accent2 2 3 2 16" xfId="39445" xr:uid="{00000000-0005-0000-0000-000051330000}"/>
    <cellStyle name="40% - Accent2 2 3 2 17" xfId="41128" xr:uid="{00000000-0005-0000-0000-000052330000}"/>
    <cellStyle name="40% - Accent2 2 3 2 18" xfId="42811" xr:uid="{00000000-0005-0000-0000-000053330000}"/>
    <cellStyle name="40% - Accent2 2 3 2 19" xfId="44494" xr:uid="{00000000-0005-0000-0000-000054330000}"/>
    <cellStyle name="40% - Accent2 2 3 2 2" xfId="2415" xr:uid="{00000000-0005-0000-0000-000055330000}"/>
    <cellStyle name="40% - Accent2 2 3 2 2 2" xfId="17564" xr:uid="{00000000-0005-0000-0000-000056330000}"/>
    <cellStyle name="40% - Accent2 2 3 2 20" xfId="46177" xr:uid="{00000000-0005-0000-0000-000057330000}"/>
    <cellStyle name="40% - Accent2 2 3 2 21" xfId="47860" xr:uid="{00000000-0005-0000-0000-000058330000}"/>
    <cellStyle name="40% - Accent2 2 3 2 22" xfId="49543" xr:uid="{00000000-0005-0000-0000-000059330000}"/>
    <cellStyle name="40% - Accent2 2 3 2 23" xfId="51226" xr:uid="{00000000-0005-0000-0000-00005A330000}"/>
    <cellStyle name="40% - Accent2 2 3 2 24" xfId="52909" xr:uid="{00000000-0005-0000-0000-00005B330000}"/>
    <cellStyle name="40% - Accent2 2 3 2 25" xfId="54592" xr:uid="{00000000-0005-0000-0000-00005C330000}"/>
    <cellStyle name="40% - Accent2 2 3 2 26" xfId="56275" xr:uid="{00000000-0005-0000-0000-00005D330000}"/>
    <cellStyle name="40% - Accent2 2 3 2 27" xfId="57958" xr:uid="{00000000-0005-0000-0000-00005E330000}"/>
    <cellStyle name="40% - Accent2 2 3 2 28" xfId="59641" xr:uid="{00000000-0005-0000-0000-00005F330000}"/>
    <cellStyle name="40% - Accent2 2 3 2 29" xfId="61324" xr:uid="{00000000-0005-0000-0000-000060330000}"/>
    <cellStyle name="40% - Accent2 2 3 2 3" xfId="4099" xr:uid="{00000000-0005-0000-0000-000061330000}"/>
    <cellStyle name="40% - Accent2 2 3 2 3 2" xfId="19248" xr:uid="{00000000-0005-0000-0000-000062330000}"/>
    <cellStyle name="40% - Accent2 2 3 2 30" xfId="63007" xr:uid="{00000000-0005-0000-0000-000063330000}"/>
    <cellStyle name="40% - Accent2 2 3 2 4" xfId="5782" xr:uid="{00000000-0005-0000-0000-000064330000}"/>
    <cellStyle name="40% - Accent2 2 3 2 4 2" xfId="20931" xr:uid="{00000000-0005-0000-0000-000065330000}"/>
    <cellStyle name="40% - Accent2 2 3 2 5" xfId="7465" xr:uid="{00000000-0005-0000-0000-000066330000}"/>
    <cellStyle name="40% - Accent2 2 3 2 5 2" xfId="22614" xr:uid="{00000000-0005-0000-0000-000067330000}"/>
    <cellStyle name="40% - Accent2 2 3 2 6" xfId="9148" xr:uid="{00000000-0005-0000-0000-000068330000}"/>
    <cellStyle name="40% - Accent2 2 3 2 6 2" xfId="24297" xr:uid="{00000000-0005-0000-0000-000069330000}"/>
    <cellStyle name="40% - Accent2 2 3 2 7" xfId="10831" xr:uid="{00000000-0005-0000-0000-00006A330000}"/>
    <cellStyle name="40% - Accent2 2 3 2 7 2" xfId="25980" xr:uid="{00000000-0005-0000-0000-00006B330000}"/>
    <cellStyle name="40% - Accent2 2 3 2 8" xfId="12515" xr:uid="{00000000-0005-0000-0000-00006C330000}"/>
    <cellStyle name="40% - Accent2 2 3 2 8 2" xfId="27664" xr:uid="{00000000-0005-0000-0000-00006D330000}"/>
    <cellStyle name="40% - Accent2 2 3 2 9" xfId="14198" xr:uid="{00000000-0005-0000-0000-00006E330000}"/>
    <cellStyle name="40% - Accent2 2 3 2 9 2" xfId="29347" xr:uid="{00000000-0005-0000-0000-00006F330000}"/>
    <cellStyle name="40% - Accent2 2 3 20" xfId="40708" xr:uid="{00000000-0005-0000-0000-000070330000}"/>
    <cellStyle name="40% - Accent2 2 3 21" xfId="42391" xr:uid="{00000000-0005-0000-0000-000071330000}"/>
    <cellStyle name="40% - Accent2 2 3 22" xfId="44074" xr:uid="{00000000-0005-0000-0000-000072330000}"/>
    <cellStyle name="40% - Accent2 2 3 23" xfId="45757" xr:uid="{00000000-0005-0000-0000-000073330000}"/>
    <cellStyle name="40% - Accent2 2 3 24" xfId="47440" xr:uid="{00000000-0005-0000-0000-000074330000}"/>
    <cellStyle name="40% - Accent2 2 3 25" xfId="49123" xr:uid="{00000000-0005-0000-0000-000075330000}"/>
    <cellStyle name="40% - Accent2 2 3 26" xfId="50806" xr:uid="{00000000-0005-0000-0000-000076330000}"/>
    <cellStyle name="40% - Accent2 2 3 27" xfId="52489" xr:uid="{00000000-0005-0000-0000-000077330000}"/>
    <cellStyle name="40% - Accent2 2 3 28" xfId="54172" xr:uid="{00000000-0005-0000-0000-000078330000}"/>
    <cellStyle name="40% - Accent2 2 3 29" xfId="55855" xr:uid="{00000000-0005-0000-0000-000079330000}"/>
    <cellStyle name="40% - Accent2 2 3 3" xfId="1153" xr:uid="{00000000-0005-0000-0000-00007A330000}"/>
    <cellStyle name="40% - Accent2 2 3 3 10" xfId="16302" xr:uid="{00000000-0005-0000-0000-00007B330000}"/>
    <cellStyle name="40% - Accent2 2 3 3 11" xfId="31451" xr:uid="{00000000-0005-0000-0000-00007C330000}"/>
    <cellStyle name="40% - Accent2 2 3 3 12" xfId="33134" xr:uid="{00000000-0005-0000-0000-00007D330000}"/>
    <cellStyle name="40% - Accent2 2 3 3 13" xfId="34817" xr:uid="{00000000-0005-0000-0000-00007E330000}"/>
    <cellStyle name="40% - Accent2 2 3 3 14" xfId="36500" xr:uid="{00000000-0005-0000-0000-00007F330000}"/>
    <cellStyle name="40% - Accent2 2 3 3 15" xfId="38183" xr:uid="{00000000-0005-0000-0000-000080330000}"/>
    <cellStyle name="40% - Accent2 2 3 3 16" xfId="39866" xr:uid="{00000000-0005-0000-0000-000081330000}"/>
    <cellStyle name="40% - Accent2 2 3 3 17" xfId="41549" xr:uid="{00000000-0005-0000-0000-000082330000}"/>
    <cellStyle name="40% - Accent2 2 3 3 18" xfId="43232" xr:uid="{00000000-0005-0000-0000-000083330000}"/>
    <cellStyle name="40% - Accent2 2 3 3 19" xfId="44915" xr:uid="{00000000-0005-0000-0000-000084330000}"/>
    <cellStyle name="40% - Accent2 2 3 3 2" xfId="2836" xr:uid="{00000000-0005-0000-0000-000085330000}"/>
    <cellStyle name="40% - Accent2 2 3 3 2 2" xfId="17985" xr:uid="{00000000-0005-0000-0000-000086330000}"/>
    <cellStyle name="40% - Accent2 2 3 3 20" xfId="46598" xr:uid="{00000000-0005-0000-0000-000087330000}"/>
    <cellStyle name="40% - Accent2 2 3 3 21" xfId="48281" xr:uid="{00000000-0005-0000-0000-000088330000}"/>
    <cellStyle name="40% - Accent2 2 3 3 22" xfId="49964" xr:uid="{00000000-0005-0000-0000-000089330000}"/>
    <cellStyle name="40% - Accent2 2 3 3 23" xfId="51647" xr:uid="{00000000-0005-0000-0000-00008A330000}"/>
    <cellStyle name="40% - Accent2 2 3 3 24" xfId="53330" xr:uid="{00000000-0005-0000-0000-00008B330000}"/>
    <cellStyle name="40% - Accent2 2 3 3 25" xfId="55013" xr:uid="{00000000-0005-0000-0000-00008C330000}"/>
    <cellStyle name="40% - Accent2 2 3 3 26" xfId="56696" xr:uid="{00000000-0005-0000-0000-00008D330000}"/>
    <cellStyle name="40% - Accent2 2 3 3 27" xfId="58379" xr:uid="{00000000-0005-0000-0000-00008E330000}"/>
    <cellStyle name="40% - Accent2 2 3 3 28" xfId="60062" xr:uid="{00000000-0005-0000-0000-00008F330000}"/>
    <cellStyle name="40% - Accent2 2 3 3 29" xfId="61745" xr:uid="{00000000-0005-0000-0000-000090330000}"/>
    <cellStyle name="40% - Accent2 2 3 3 3" xfId="4520" xr:uid="{00000000-0005-0000-0000-000091330000}"/>
    <cellStyle name="40% - Accent2 2 3 3 3 2" xfId="19669" xr:uid="{00000000-0005-0000-0000-000092330000}"/>
    <cellStyle name="40% - Accent2 2 3 3 30" xfId="63428" xr:uid="{00000000-0005-0000-0000-000093330000}"/>
    <cellStyle name="40% - Accent2 2 3 3 4" xfId="6203" xr:uid="{00000000-0005-0000-0000-000094330000}"/>
    <cellStyle name="40% - Accent2 2 3 3 4 2" xfId="21352" xr:uid="{00000000-0005-0000-0000-000095330000}"/>
    <cellStyle name="40% - Accent2 2 3 3 5" xfId="7886" xr:uid="{00000000-0005-0000-0000-000096330000}"/>
    <cellStyle name="40% - Accent2 2 3 3 5 2" xfId="23035" xr:uid="{00000000-0005-0000-0000-000097330000}"/>
    <cellStyle name="40% - Accent2 2 3 3 6" xfId="9569" xr:uid="{00000000-0005-0000-0000-000098330000}"/>
    <cellStyle name="40% - Accent2 2 3 3 6 2" xfId="24718" xr:uid="{00000000-0005-0000-0000-000099330000}"/>
    <cellStyle name="40% - Accent2 2 3 3 7" xfId="11252" xr:uid="{00000000-0005-0000-0000-00009A330000}"/>
    <cellStyle name="40% - Accent2 2 3 3 7 2" xfId="26401" xr:uid="{00000000-0005-0000-0000-00009B330000}"/>
    <cellStyle name="40% - Accent2 2 3 3 8" xfId="12936" xr:uid="{00000000-0005-0000-0000-00009C330000}"/>
    <cellStyle name="40% - Accent2 2 3 3 8 2" xfId="28085" xr:uid="{00000000-0005-0000-0000-00009D330000}"/>
    <cellStyle name="40% - Accent2 2 3 3 9" xfId="14619" xr:uid="{00000000-0005-0000-0000-00009E330000}"/>
    <cellStyle name="40% - Accent2 2 3 3 9 2" xfId="29768" xr:uid="{00000000-0005-0000-0000-00009F330000}"/>
    <cellStyle name="40% - Accent2 2 3 30" xfId="57538" xr:uid="{00000000-0005-0000-0000-0000A0330000}"/>
    <cellStyle name="40% - Accent2 2 3 31" xfId="59221" xr:uid="{00000000-0005-0000-0000-0000A1330000}"/>
    <cellStyle name="40% - Accent2 2 3 32" xfId="60904" xr:uid="{00000000-0005-0000-0000-0000A2330000}"/>
    <cellStyle name="40% - Accent2 2 3 33" xfId="62587" xr:uid="{00000000-0005-0000-0000-0000A3330000}"/>
    <cellStyle name="40% - Accent2 2 3 4" xfId="1574" xr:uid="{00000000-0005-0000-0000-0000A4330000}"/>
    <cellStyle name="40% - Accent2 2 3 4 10" xfId="16723" xr:uid="{00000000-0005-0000-0000-0000A5330000}"/>
    <cellStyle name="40% - Accent2 2 3 4 11" xfId="31872" xr:uid="{00000000-0005-0000-0000-0000A6330000}"/>
    <cellStyle name="40% - Accent2 2 3 4 12" xfId="33555" xr:uid="{00000000-0005-0000-0000-0000A7330000}"/>
    <cellStyle name="40% - Accent2 2 3 4 13" xfId="35238" xr:uid="{00000000-0005-0000-0000-0000A8330000}"/>
    <cellStyle name="40% - Accent2 2 3 4 14" xfId="36921" xr:uid="{00000000-0005-0000-0000-0000A9330000}"/>
    <cellStyle name="40% - Accent2 2 3 4 15" xfId="38604" xr:uid="{00000000-0005-0000-0000-0000AA330000}"/>
    <cellStyle name="40% - Accent2 2 3 4 16" xfId="40287" xr:uid="{00000000-0005-0000-0000-0000AB330000}"/>
    <cellStyle name="40% - Accent2 2 3 4 17" xfId="41970" xr:uid="{00000000-0005-0000-0000-0000AC330000}"/>
    <cellStyle name="40% - Accent2 2 3 4 18" xfId="43653" xr:uid="{00000000-0005-0000-0000-0000AD330000}"/>
    <cellStyle name="40% - Accent2 2 3 4 19" xfId="45336" xr:uid="{00000000-0005-0000-0000-0000AE330000}"/>
    <cellStyle name="40% - Accent2 2 3 4 2" xfId="3257" xr:uid="{00000000-0005-0000-0000-0000AF330000}"/>
    <cellStyle name="40% - Accent2 2 3 4 2 2" xfId="18406" xr:uid="{00000000-0005-0000-0000-0000B0330000}"/>
    <cellStyle name="40% - Accent2 2 3 4 20" xfId="47019" xr:uid="{00000000-0005-0000-0000-0000B1330000}"/>
    <cellStyle name="40% - Accent2 2 3 4 21" xfId="48702" xr:uid="{00000000-0005-0000-0000-0000B2330000}"/>
    <cellStyle name="40% - Accent2 2 3 4 22" xfId="50385" xr:uid="{00000000-0005-0000-0000-0000B3330000}"/>
    <cellStyle name="40% - Accent2 2 3 4 23" xfId="52068" xr:uid="{00000000-0005-0000-0000-0000B4330000}"/>
    <cellStyle name="40% - Accent2 2 3 4 24" xfId="53751" xr:uid="{00000000-0005-0000-0000-0000B5330000}"/>
    <cellStyle name="40% - Accent2 2 3 4 25" xfId="55434" xr:uid="{00000000-0005-0000-0000-0000B6330000}"/>
    <cellStyle name="40% - Accent2 2 3 4 26" xfId="57117" xr:uid="{00000000-0005-0000-0000-0000B7330000}"/>
    <cellStyle name="40% - Accent2 2 3 4 27" xfId="58800" xr:uid="{00000000-0005-0000-0000-0000B8330000}"/>
    <cellStyle name="40% - Accent2 2 3 4 28" xfId="60483" xr:uid="{00000000-0005-0000-0000-0000B9330000}"/>
    <cellStyle name="40% - Accent2 2 3 4 29" xfId="62166" xr:uid="{00000000-0005-0000-0000-0000BA330000}"/>
    <cellStyle name="40% - Accent2 2 3 4 3" xfId="4941" xr:uid="{00000000-0005-0000-0000-0000BB330000}"/>
    <cellStyle name="40% - Accent2 2 3 4 3 2" xfId="20090" xr:uid="{00000000-0005-0000-0000-0000BC330000}"/>
    <cellStyle name="40% - Accent2 2 3 4 30" xfId="63849" xr:uid="{00000000-0005-0000-0000-0000BD330000}"/>
    <cellStyle name="40% - Accent2 2 3 4 4" xfId="6624" xr:uid="{00000000-0005-0000-0000-0000BE330000}"/>
    <cellStyle name="40% - Accent2 2 3 4 4 2" xfId="21773" xr:uid="{00000000-0005-0000-0000-0000BF330000}"/>
    <cellStyle name="40% - Accent2 2 3 4 5" xfId="8307" xr:uid="{00000000-0005-0000-0000-0000C0330000}"/>
    <cellStyle name="40% - Accent2 2 3 4 5 2" xfId="23456" xr:uid="{00000000-0005-0000-0000-0000C1330000}"/>
    <cellStyle name="40% - Accent2 2 3 4 6" xfId="9990" xr:uid="{00000000-0005-0000-0000-0000C2330000}"/>
    <cellStyle name="40% - Accent2 2 3 4 6 2" xfId="25139" xr:uid="{00000000-0005-0000-0000-0000C3330000}"/>
    <cellStyle name="40% - Accent2 2 3 4 7" xfId="11673" xr:uid="{00000000-0005-0000-0000-0000C4330000}"/>
    <cellStyle name="40% - Accent2 2 3 4 7 2" xfId="26822" xr:uid="{00000000-0005-0000-0000-0000C5330000}"/>
    <cellStyle name="40% - Accent2 2 3 4 8" xfId="13357" xr:uid="{00000000-0005-0000-0000-0000C6330000}"/>
    <cellStyle name="40% - Accent2 2 3 4 8 2" xfId="28506" xr:uid="{00000000-0005-0000-0000-0000C7330000}"/>
    <cellStyle name="40% - Accent2 2 3 4 9" xfId="15040" xr:uid="{00000000-0005-0000-0000-0000C8330000}"/>
    <cellStyle name="40% - Accent2 2 3 4 9 2" xfId="30189" xr:uid="{00000000-0005-0000-0000-0000C9330000}"/>
    <cellStyle name="40% - Accent2 2 3 5" xfId="1995" xr:uid="{00000000-0005-0000-0000-0000CA330000}"/>
    <cellStyle name="40% - Accent2 2 3 5 2" xfId="17144" xr:uid="{00000000-0005-0000-0000-0000CB330000}"/>
    <cellStyle name="40% - Accent2 2 3 6" xfId="3679" xr:uid="{00000000-0005-0000-0000-0000CC330000}"/>
    <cellStyle name="40% - Accent2 2 3 6 2" xfId="18828" xr:uid="{00000000-0005-0000-0000-0000CD330000}"/>
    <cellStyle name="40% - Accent2 2 3 7" xfId="5362" xr:uid="{00000000-0005-0000-0000-0000CE330000}"/>
    <cellStyle name="40% - Accent2 2 3 7 2" xfId="20511" xr:uid="{00000000-0005-0000-0000-0000CF330000}"/>
    <cellStyle name="40% - Accent2 2 3 8" xfId="7045" xr:uid="{00000000-0005-0000-0000-0000D0330000}"/>
    <cellStyle name="40% - Accent2 2 3 8 2" xfId="22194" xr:uid="{00000000-0005-0000-0000-0000D1330000}"/>
    <cellStyle name="40% - Accent2 2 3 9" xfId="8728" xr:uid="{00000000-0005-0000-0000-0000D2330000}"/>
    <cellStyle name="40% - Accent2 2 3 9 2" xfId="23877" xr:uid="{00000000-0005-0000-0000-0000D3330000}"/>
    <cellStyle name="40% - Accent2 2 30" xfId="53962" xr:uid="{00000000-0005-0000-0000-0000D4330000}"/>
    <cellStyle name="40% - Accent2 2 31" xfId="55645" xr:uid="{00000000-0005-0000-0000-0000D5330000}"/>
    <cellStyle name="40% - Accent2 2 32" xfId="57328" xr:uid="{00000000-0005-0000-0000-0000D6330000}"/>
    <cellStyle name="40% - Accent2 2 33" xfId="59011" xr:uid="{00000000-0005-0000-0000-0000D7330000}"/>
    <cellStyle name="40% - Accent2 2 34" xfId="60694" xr:uid="{00000000-0005-0000-0000-0000D8330000}"/>
    <cellStyle name="40% - Accent2 2 35" xfId="62377" xr:uid="{00000000-0005-0000-0000-0000D9330000}"/>
    <cellStyle name="40% - Accent2 2 4" xfId="522" xr:uid="{00000000-0005-0000-0000-0000DA330000}"/>
    <cellStyle name="40% - Accent2 2 4 10" xfId="15671" xr:uid="{00000000-0005-0000-0000-0000DB330000}"/>
    <cellStyle name="40% - Accent2 2 4 11" xfId="30820" xr:uid="{00000000-0005-0000-0000-0000DC330000}"/>
    <cellStyle name="40% - Accent2 2 4 12" xfId="32503" xr:uid="{00000000-0005-0000-0000-0000DD330000}"/>
    <cellStyle name="40% - Accent2 2 4 13" xfId="34186" xr:uid="{00000000-0005-0000-0000-0000DE330000}"/>
    <cellStyle name="40% - Accent2 2 4 14" xfId="35869" xr:uid="{00000000-0005-0000-0000-0000DF330000}"/>
    <cellStyle name="40% - Accent2 2 4 15" xfId="37552" xr:uid="{00000000-0005-0000-0000-0000E0330000}"/>
    <cellStyle name="40% - Accent2 2 4 16" xfId="39235" xr:uid="{00000000-0005-0000-0000-0000E1330000}"/>
    <cellStyle name="40% - Accent2 2 4 17" xfId="40918" xr:uid="{00000000-0005-0000-0000-0000E2330000}"/>
    <cellStyle name="40% - Accent2 2 4 18" xfId="42601" xr:uid="{00000000-0005-0000-0000-0000E3330000}"/>
    <cellStyle name="40% - Accent2 2 4 19" xfId="44284" xr:uid="{00000000-0005-0000-0000-0000E4330000}"/>
    <cellStyle name="40% - Accent2 2 4 2" xfId="2205" xr:uid="{00000000-0005-0000-0000-0000E5330000}"/>
    <cellStyle name="40% - Accent2 2 4 2 2" xfId="17354" xr:uid="{00000000-0005-0000-0000-0000E6330000}"/>
    <cellStyle name="40% - Accent2 2 4 20" xfId="45967" xr:uid="{00000000-0005-0000-0000-0000E7330000}"/>
    <cellStyle name="40% - Accent2 2 4 21" xfId="47650" xr:uid="{00000000-0005-0000-0000-0000E8330000}"/>
    <cellStyle name="40% - Accent2 2 4 22" xfId="49333" xr:uid="{00000000-0005-0000-0000-0000E9330000}"/>
    <cellStyle name="40% - Accent2 2 4 23" xfId="51016" xr:uid="{00000000-0005-0000-0000-0000EA330000}"/>
    <cellStyle name="40% - Accent2 2 4 24" xfId="52699" xr:uid="{00000000-0005-0000-0000-0000EB330000}"/>
    <cellStyle name="40% - Accent2 2 4 25" xfId="54382" xr:uid="{00000000-0005-0000-0000-0000EC330000}"/>
    <cellStyle name="40% - Accent2 2 4 26" xfId="56065" xr:uid="{00000000-0005-0000-0000-0000ED330000}"/>
    <cellStyle name="40% - Accent2 2 4 27" xfId="57748" xr:uid="{00000000-0005-0000-0000-0000EE330000}"/>
    <cellStyle name="40% - Accent2 2 4 28" xfId="59431" xr:uid="{00000000-0005-0000-0000-0000EF330000}"/>
    <cellStyle name="40% - Accent2 2 4 29" xfId="61114" xr:uid="{00000000-0005-0000-0000-0000F0330000}"/>
    <cellStyle name="40% - Accent2 2 4 3" xfId="3889" xr:uid="{00000000-0005-0000-0000-0000F1330000}"/>
    <cellStyle name="40% - Accent2 2 4 3 2" xfId="19038" xr:uid="{00000000-0005-0000-0000-0000F2330000}"/>
    <cellStyle name="40% - Accent2 2 4 30" xfId="62797" xr:uid="{00000000-0005-0000-0000-0000F3330000}"/>
    <cellStyle name="40% - Accent2 2 4 4" xfId="5572" xr:uid="{00000000-0005-0000-0000-0000F4330000}"/>
    <cellStyle name="40% - Accent2 2 4 4 2" xfId="20721" xr:uid="{00000000-0005-0000-0000-0000F5330000}"/>
    <cellStyle name="40% - Accent2 2 4 5" xfId="7255" xr:uid="{00000000-0005-0000-0000-0000F6330000}"/>
    <cellStyle name="40% - Accent2 2 4 5 2" xfId="22404" xr:uid="{00000000-0005-0000-0000-0000F7330000}"/>
    <cellStyle name="40% - Accent2 2 4 6" xfId="8938" xr:uid="{00000000-0005-0000-0000-0000F8330000}"/>
    <cellStyle name="40% - Accent2 2 4 6 2" xfId="24087" xr:uid="{00000000-0005-0000-0000-0000F9330000}"/>
    <cellStyle name="40% - Accent2 2 4 7" xfId="10621" xr:uid="{00000000-0005-0000-0000-0000FA330000}"/>
    <cellStyle name="40% - Accent2 2 4 7 2" xfId="25770" xr:uid="{00000000-0005-0000-0000-0000FB330000}"/>
    <cellStyle name="40% - Accent2 2 4 8" xfId="12305" xr:uid="{00000000-0005-0000-0000-0000FC330000}"/>
    <cellStyle name="40% - Accent2 2 4 8 2" xfId="27454" xr:uid="{00000000-0005-0000-0000-0000FD330000}"/>
    <cellStyle name="40% - Accent2 2 4 9" xfId="13988" xr:uid="{00000000-0005-0000-0000-0000FE330000}"/>
    <cellStyle name="40% - Accent2 2 4 9 2" xfId="29137" xr:uid="{00000000-0005-0000-0000-0000FF330000}"/>
    <cellStyle name="40% - Accent2 2 5" xfId="943" xr:uid="{00000000-0005-0000-0000-000000340000}"/>
    <cellStyle name="40% - Accent2 2 5 10" xfId="16092" xr:uid="{00000000-0005-0000-0000-000001340000}"/>
    <cellStyle name="40% - Accent2 2 5 11" xfId="31241" xr:uid="{00000000-0005-0000-0000-000002340000}"/>
    <cellStyle name="40% - Accent2 2 5 12" xfId="32924" xr:uid="{00000000-0005-0000-0000-000003340000}"/>
    <cellStyle name="40% - Accent2 2 5 13" xfId="34607" xr:uid="{00000000-0005-0000-0000-000004340000}"/>
    <cellStyle name="40% - Accent2 2 5 14" xfId="36290" xr:uid="{00000000-0005-0000-0000-000005340000}"/>
    <cellStyle name="40% - Accent2 2 5 15" xfId="37973" xr:uid="{00000000-0005-0000-0000-000006340000}"/>
    <cellStyle name="40% - Accent2 2 5 16" xfId="39656" xr:uid="{00000000-0005-0000-0000-000007340000}"/>
    <cellStyle name="40% - Accent2 2 5 17" xfId="41339" xr:uid="{00000000-0005-0000-0000-000008340000}"/>
    <cellStyle name="40% - Accent2 2 5 18" xfId="43022" xr:uid="{00000000-0005-0000-0000-000009340000}"/>
    <cellStyle name="40% - Accent2 2 5 19" xfId="44705" xr:uid="{00000000-0005-0000-0000-00000A340000}"/>
    <cellStyle name="40% - Accent2 2 5 2" xfId="2626" xr:uid="{00000000-0005-0000-0000-00000B340000}"/>
    <cellStyle name="40% - Accent2 2 5 2 2" xfId="17775" xr:uid="{00000000-0005-0000-0000-00000C340000}"/>
    <cellStyle name="40% - Accent2 2 5 20" xfId="46388" xr:uid="{00000000-0005-0000-0000-00000D340000}"/>
    <cellStyle name="40% - Accent2 2 5 21" xfId="48071" xr:uid="{00000000-0005-0000-0000-00000E340000}"/>
    <cellStyle name="40% - Accent2 2 5 22" xfId="49754" xr:uid="{00000000-0005-0000-0000-00000F340000}"/>
    <cellStyle name="40% - Accent2 2 5 23" xfId="51437" xr:uid="{00000000-0005-0000-0000-000010340000}"/>
    <cellStyle name="40% - Accent2 2 5 24" xfId="53120" xr:uid="{00000000-0005-0000-0000-000011340000}"/>
    <cellStyle name="40% - Accent2 2 5 25" xfId="54803" xr:uid="{00000000-0005-0000-0000-000012340000}"/>
    <cellStyle name="40% - Accent2 2 5 26" xfId="56486" xr:uid="{00000000-0005-0000-0000-000013340000}"/>
    <cellStyle name="40% - Accent2 2 5 27" xfId="58169" xr:uid="{00000000-0005-0000-0000-000014340000}"/>
    <cellStyle name="40% - Accent2 2 5 28" xfId="59852" xr:uid="{00000000-0005-0000-0000-000015340000}"/>
    <cellStyle name="40% - Accent2 2 5 29" xfId="61535" xr:uid="{00000000-0005-0000-0000-000016340000}"/>
    <cellStyle name="40% - Accent2 2 5 3" xfId="4310" xr:uid="{00000000-0005-0000-0000-000017340000}"/>
    <cellStyle name="40% - Accent2 2 5 3 2" xfId="19459" xr:uid="{00000000-0005-0000-0000-000018340000}"/>
    <cellStyle name="40% - Accent2 2 5 30" xfId="63218" xr:uid="{00000000-0005-0000-0000-000019340000}"/>
    <cellStyle name="40% - Accent2 2 5 4" xfId="5993" xr:uid="{00000000-0005-0000-0000-00001A340000}"/>
    <cellStyle name="40% - Accent2 2 5 4 2" xfId="21142" xr:uid="{00000000-0005-0000-0000-00001B340000}"/>
    <cellStyle name="40% - Accent2 2 5 5" xfId="7676" xr:uid="{00000000-0005-0000-0000-00001C340000}"/>
    <cellStyle name="40% - Accent2 2 5 5 2" xfId="22825" xr:uid="{00000000-0005-0000-0000-00001D340000}"/>
    <cellStyle name="40% - Accent2 2 5 6" xfId="9359" xr:uid="{00000000-0005-0000-0000-00001E340000}"/>
    <cellStyle name="40% - Accent2 2 5 6 2" xfId="24508" xr:uid="{00000000-0005-0000-0000-00001F340000}"/>
    <cellStyle name="40% - Accent2 2 5 7" xfId="11042" xr:uid="{00000000-0005-0000-0000-000020340000}"/>
    <cellStyle name="40% - Accent2 2 5 7 2" xfId="26191" xr:uid="{00000000-0005-0000-0000-000021340000}"/>
    <cellStyle name="40% - Accent2 2 5 8" xfId="12726" xr:uid="{00000000-0005-0000-0000-000022340000}"/>
    <cellStyle name="40% - Accent2 2 5 8 2" xfId="27875" xr:uid="{00000000-0005-0000-0000-000023340000}"/>
    <cellStyle name="40% - Accent2 2 5 9" xfId="14409" xr:uid="{00000000-0005-0000-0000-000024340000}"/>
    <cellStyle name="40% - Accent2 2 5 9 2" xfId="29558" xr:uid="{00000000-0005-0000-0000-000025340000}"/>
    <cellStyle name="40% - Accent2 2 6" xfId="1364" xr:uid="{00000000-0005-0000-0000-000026340000}"/>
    <cellStyle name="40% - Accent2 2 6 10" xfId="16513" xr:uid="{00000000-0005-0000-0000-000027340000}"/>
    <cellStyle name="40% - Accent2 2 6 11" xfId="31662" xr:uid="{00000000-0005-0000-0000-000028340000}"/>
    <cellStyle name="40% - Accent2 2 6 12" xfId="33345" xr:uid="{00000000-0005-0000-0000-000029340000}"/>
    <cellStyle name="40% - Accent2 2 6 13" xfId="35028" xr:uid="{00000000-0005-0000-0000-00002A340000}"/>
    <cellStyle name="40% - Accent2 2 6 14" xfId="36711" xr:uid="{00000000-0005-0000-0000-00002B340000}"/>
    <cellStyle name="40% - Accent2 2 6 15" xfId="38394" xr:uid="{00000000-0005-0000-0000-00002C340000}"/>
    <cellStyle name="40% - Accent2 2 6 16" xfId="40077" xr:uid="{00000000-0005-0000-0000-00002D340000}"/>
    <cellStyle name="40% - Accent2 2 6 17" xfId="41760" xr:uid="{00000000-0005-0000-0000-00002E340000}"/>
    <cellStyle name="40% - Accent2 2 6 18" xfId="43443" xr:uid="{00000000-0005-0000-0000-00002F340000}"/>
    <cellStyle name="40% - Accent2 2 6 19" xfId="45126" xr:uid="{00000000-0005-0000-0000-000030340000}"/>
    <cellStyle name="40% - Accent2 2 6 2" xfId="3047" xr:uid="{00000000-0005-0000-0000-000031340000}"/>
    <cellStyle name="40% - Accent2 2 6 2 2" xfId="18196" xr:uid="{00000000-0005-0000-0000-000032340000}"/>
    <cellStyle name="40% - Accent2 2 6 20" xfId="46809" xr:uid="{00000000-0005-0000-0000-000033340000}"/>
    <cellStyle name="40% - Accent2 2 6 21" xfId="48492" xr:uid="{00000000-0005-0000-0000-000034340000}"/>
    <cellStyle name="40% - Accent2 2 6 22" xfId="50175" xr:uid="{00000000-0005-0000-0000-000035340000}"/>
    <cellStyle name="40% - Accent2 2 6 23" xfId="51858" xr:uid="{00000000-0005-0000-0000-000036340000}"/>
    <cellStyle name="40% - Accent2 2 6 24" xfId="53541" xr:uid="{00000000-0005-0000-0000-000037340000}"/>
    <cellStyle name="40% - Accent2 2 6 25" xfId="55224" xr:uid="{00000000-0005-0000-0000-000038340000}"/>
    <cellStyle name="40% - Accent2 2 6 26" xfId="56907" xr:uid="{00000000-0005-0000-0000-000039340000}"/>
    <cellStyle name="40% - Accent2 2 6 27" xfId="58590" xr:uid="{00000000-0005-0000-0000-00003A340000}"/>
    <cellStyle name="40% - Accent2 2 6 28" xfId="60273" xr:uid="{00000000-0005-0000-0000-00003B340000}"/>
    <cellStyle name="40% - Accent2 2 6 29" xfId="61956" xr:uid="{00000000-0005-0000-0000-00003C340000}"/>
    <cellStyle name="40% - Accent2 2 6 3" xfId="4731" xr:uid="{00000000-0005-0000-0000-00003D340000}"/>
    <cellStyle name="40% - Accent2 2 6 3 2" xfId="19880" xr:uid="{00000000-0005-0000-0000-00003E340000}"/>
    <cellStyle name="40% - Accent2 2 6 30" xfId="63639" xr:uid="{00000000-0005-0000-0000-00003F340000}"/>
    <cellStyle name="40% - Accent2 2 6 4" xfId="6414" xr:uid="{00000000-0005-0000-0000-000040340000}"/>
    <cellStyle name="40% - Accent2 2 6 4 2" xfId="21563" xr:uid="{00000000-0005-0000-0000-000041340000}"/>
    <cellStyle name="40% - Accent2 2 6 5" xfId="8097" xr:uid="{00000000-0005-0000-0000-000042340000}"/>
    <cellStyle name="40% - Accent2 2 6 5 2" xfId="23246" xr:uid="{00000000-0005-0000-0000-000043340000}"/>
    <cellStyle name="40% - Accent2 2 6 6" xfId="9780" xr:uid="{00000000-0005-0000-0000-000044340000}"/>
    <cellStyle name="40% - Accent2 2 6 6 2" xfId="24929" xr:uid="{00000000-0005-0000-0000-000045340000}"/>
    <cellStyle name="40% - Accent2 2 6 7" xfId="11463" xr:uid="{00000000-0005-0000-0000-000046340000}"/>
    <cellStyle name="40% - Accent2 2 6 7 2" xfId="26612" xr:uid="{00000000-0005-0000-0000-000047340000}"/>
    <cellStyle name="40% - Accent2 2 6 8" xfId="13147" xr:uid="{00000000-0005-0000-0000-000048340000}"/>
    <cellStyle name="40% - Accent2 2 6 8 2" xfId="28296" xr:uid="{00000000-0005-0000-0000-000049340000}"/>
    <cellStyle name="40% - Accent2 2 6 9" xfId="14830" xr:uid="{00000000-0005-0000-0000-00004A340000}"/>
    <cellStyle name="40% - Accent2 2 6 9 2" xfId="29979" xr:uid="{00000000-0005-0000-0000-00004B340000}"/>
    <cellStyle name="40% - Accent2 2 7" xfId="1785" xr:uid="{00000000-0005-0000-0000-00004C340000}"/>
    <cellStyle name="40% - Accent2 2 7 2" xfId="16934" xr:uid="{00000000-0005-0000-0000-00004D340000}"/>
    <cellStyle name="40% - Accent2 2 8" xfId="3469" xr:uid="{00000000-0005-0000-0000-00004E340000}"/>
    <cellStyle name="40% - Accent2 2 8 2" xfId="18618" xr:uid="{00000000-0005-0000-0000-00004F340000}"/>
    <cellStyle name="40% - Accent2 2 9" xfId="5152" xr:uid="{00000000-0005-0000-0000-000050340000}"/>
    <cellStyle name="40% - Accent2 2 9 2" xfId="20301" xr:uid="{00000000-0005-0000-0000-000051340000}"/>
    <cellStyle name="40% - Accent2 20" xfId="33744" xr:uid="{00000000-0005-0000-0000-000052340000}"/>
    <cellStyle name="40% - Accent2 21" xfId="35427" xr:uid="{00000000-0005-0000-0000-000053340000}"/>
    <cellStyle name="40% - Accent2 22" xfId="37110" xr:uid="{00000000-0005-0000-0000-000054340000}"/>
    <cellStyle name="40% - Accent2 23" xfId="38793" xr:uid="{00000000-0005-0000-0000-000055340000}"/>
    <cellStyle name="40% - Accent2 24" xfId="40476" xr:uid="{00000000-0005-0000-0000-000056340000}"/>
    <cellStyle name="40% - Accent2 25" xfId="42159" xr:uid="{00000000-0005-0000-0000-000057340000}"/>
    <cellStyle name="40% - Accent2 26" xfId="43842" xr:uid="{00000000-0005-0000-0000-000058340000}"/>
    <cellStyle name="40% - Accent2 27" xfId="45525" xr:uid="{00000000-0005-0000-0000-000059340000}"/>
    <cellStyle name="40% - Accent2 28" xfId="47208" xr:uid="{00000000-0005-0000-0000-00005A340000}"/>
    <cellStyle name="40% - Accent2 29" xfId="48891" xr:uid="{00000000-0005-0000-0000-00005B340000}"/>
    <cellStyle name="40% - Accent2 3" xfId="122" xr:uid="{00000000-0005-0000-0000-00005C340000}"/>
    <cellStyle name="40% - Accent2 3 10" xfId="6855" xr:uid="{00000000-0005-0000-0000-00005D340000}"/>
    <cellStyle name="40% - Accent2 3 10 2" xfId="22004" xr:uid="{00000000-0005-0000-0000-00005E340000}"/>
    <cellStyle name="40% - Accent2 3 11" xfId="8538" xr:uid="{00000000-0005-0000-0000-00005F340000}"/>
    <cellStyle name="40% - Accent2 3 11 2" xfId="23687" xr:uid="{00000000-0005-0000-0000-000060340000}"/>
    <cellStyle name="40% - Accent2 3 12" xfId="10221" xr:uid="{00000000-0005-0000-0000-000061340000}"/>
    <cellStyle name="40% - Accent2 3 12 2" xfId="25370" xr:uid="{00000000-0005-0000-0000-000062340000}"/>
    <cellStyle name="40% - Accent2 3 13" xfId="11905" xr:uid="{00000000-0005-0000-0000-000063340000}"/>
    <cellStyle name="40% - Accent2 3 13 2" xfId="27054" xr:uid="{00000000-0005-0000-0000-000064340000}"/>
    <cellStyle name="40% - Accent2 3 14" xfId="13588" xr:uid="{00000000-0005-0000-0000-000065340000}"/>
    <cellStyle name="40% - Accent2 3 14 2" xfId="28737" xr:uid="{00000000-0005-0000-0000-000066340000}"/>
    <cellStyle name="40% - Accent2 3 15" xfId="15271" xr:uid="{00000000-0005-0000-0000-000067340000}"/>
    <cellStyle name="40% - Accent2 3 16" xfId="30420" xr:uid="{00000000-0005-0000-0000-000068340000}"/>
    <cellStyle name="40% - Accent2 3 17" xfId="32103" xr:uid="{00000000-0005-0000-0000-000069340000}"/>
    <cellStyle name="40% - Accent2 3 18" xfId="33786" xr:uid="{00000000-0005-0000-0000-00006A340000}"/>
    <cellStyle name="40% - Accent2 3 19" xfId="35469" xr:uid="{00000000-0005-0000-0000-00006B340000}"/>
    <cellStyle name="40% - Accent2 3 2" xfId="227" xr:uid="{00000000-0005-0000-0000-00006C340000}"/>
    <cellStyle name="40% - Accent2 3 2 10" xfId="8643" xr:uid="{00000000-0005-0000-0000-00006D340000}"/>
    <cellStyle name="40% - Accent2 3 2 10 2" xfId="23792" xr:uid="{00000000-0005-0000-0000-00006E340000}"/>
    <cellStyle name="40% - Accent2 3 2 11" xfId="10326" xr:uid="{00000000-0005-0000-0000-00006F340000}"/>
    <cellStyle name="40% - Accent2 3 2 11 2" xfId="25475" xr:uid="{00000000-0005-0000-0000-000070340000}"/>
    <cellStyle name="40% - Accent2 3 2 12" xfId="12010" xr:uid="{00000000-0005-0000-0000-000071340000}"/>
    <cellStyle name="40% - Accent2 3 2 12 2" xfId="27159" xr:uid="{00000000-0005-0000-0000-000072340000}"/>
    <cellStyle name="40% - Accent2 3 2 13" xfId="13693" xr:uid="{00000000-0005-0000-0000-000073340000}"/>
    <cellStyle name="40% - Accent2 3 2 13 2" xfId="28842" xr:uid="{00000000-0005-0000-0000-000074340000}"/>
    <cellStyle name="40% - Accent2 3 2 14" xfId="15376" xr:uid="{00000000-0005-0000-0000-000075340000}"/>
    <cellStyle name="40% - Accent2 3 2 15" xfId="30525" xr:uid="{00000000-0005-0000-0000-000076340000}"/>
    <cellStyle name="40% - Accent2 3 2 16" xfId="32208" xr:uid="{00000000-0005-0000-0000-000077340000}"/>
    <cellStyle name="40% - Accent2 3 2 17" xfId="33891" xr:uid="{00000000-0005-0000-0000-000078340000}"/>
    <cellStyle name="40% - Accent2 3 2 18" xfId="35574" xr:uid="{00000000-0005-0000-0000-000079340000}"/>
    <cellStyle name="40% - Accent2 3 2 19" xfId="37257" xr:uid="{00000000-0005-0000-0000-00007A340000}"/>
    <cellStyle name="40% - Accent2 3 2 2" xfId="437" xr:uid="{00000000-0005-0000-0000-00007B340000}"/>
    <cellStyle name="40% - Accent2 3 2 2 10" xfId="10536" xr:uid="{00000000-0005-0000-0000-00007C340000}"/>
    <cellStyle name="40% - Accent2 3 2 2 10 2" xfId="25685" xr:uid="{00000000-0005-0000-0000-00007D340000}"/>
    <cellStyle name="40% - Accent2 3 2 2 11" xfId="12220" xr:uid="{00000000-0005-0000-0000-00007E340000}"/>
    <cellStyle name="40% - Accent2 3 2 2 11 2" xfId="27369" xr:uid="{00000000-0005-0000-0000-00007F340000}"/>
    <cellStyle name="40% - Accent2 3 2 2 12" xfId="13903" xr:uid="{00000000-0005-0000-0000-000080340000}"/>
    <cellStyle name="40% - Accent2 3 2 2 12 2" xfId="29052" xr:uid="{00000000-0005-0000-0000-000081340000}"/>
    <cellStyle name="40% - Accent2 3 2 2 13" xfId="15586" xr:uid="{00000000-0005-0000-0000-000082340000}"/>
    <cellStyle name="40% - Accent2 3 2 2 14" xfId="30735" xr:uid="{00000000-0005-0000-0000-000083340000}"/>
    <cellStyle name="40% - Accent2 3 2 2 15" xfId="32418" xr:uid="{00000000-0005-0000-0000-000084340000}"/>
    <cellStyle name="40% - Accent2 3 2 2 16" xfId="34101" xr:uid="{00000000-0005-0000-0000-000085340000}"/>
    <cellStyle name="40% - Accent2 3 2 2 17" xfId="35784" xr:uid="{00000000-0005-0000-0000-000086340000}"/>
    <cellStyle name="40% - Accent2 3 2 2 18" xfId="37467" xr:uid="{00000000-0005-0000-0000-000087340000}"/>
    <cellStyle name="40% - Accent2 3 2 2 19" xfId="39150" xr:uid="{00000000-0005-0000-0000-000088340000}"/>
    <cellStyle name="40% - Accent2 3 2 2 2" xfId="857" xr:uid="{00000000-0005-0000-0000-000089340000}"/>
    <cellStyle name="40% - Accent2 3 2 2 2 10" xfId="16006" xr:uid="{00000000-0005-0000-0000-00008A340000}"/>
    <cellStyle name="40% - Accent2 3 2 2 2 11" xfId="31155" xr:uid="{00000000-0005-0000-0000-00008B340000}"/>
    <cellStyle name="40% - Accent2 3 2 2 2 12" xfId="32838" xr:uid="{00000000-0005-0000-0000-00008C340000}"/>
    <cellStyle name="40% - Accent2 3 2 2 2 13" xfId="34521" xr:uid="{00000000-0005-0000-0000-00008D340000}"/>
    <cellStyle name="40% - Accent2 3 2 2 2 14" xfId="36204" xr:uid="{00000000-0005-0000-0000-00008E340000}"/>
    <cellStyle name="40% - Accent2 3 2 2 2 15" xfId="37887" xr:uid="{00000000-0005-0000-0000-00008F340000}"/>
    <cellStyle name="40% - Accent2 3 2 2 2 16" xfId="39570" xr:uid="{00000000-0005-0000-0000-000090340000}"/>
    <cellStyle name="40% - Accent2 3 2 2 2 17" xfId="41253" xr:uid="{00000000-0005-0000-0000-000091340000}"/>
    <cellStyle name="40% - Accent2 3 2 2 2 18" xfId="42936" xr:uid="{00000000-0005-0000-0000-000092340000}"/>
    <cellStyle name="40% - Accent2 3 2 2 2 19" xfId="44619" xr:uid="{00000000-0005-0000-0000-000093340000}"/>
    <cellStyle name="40% - Accent2 3 2 2 2 2" xfId="2540" xr:uid="{00000000-0005-0000-0000-000094340000}"/>
    <cellStyle name="40% - Accent2 3 2 2 2 2 2" xfId="17689" xr:uid="{00000000-0005-0000-0000-000095340000}"/>
    <cellStyle name="40% - Accent2 3 2 2 2 20" xfId="46302" xr:uid="{00000000-0005-0000-0000-000096340000}"/>
    <cellStyle name="40% - Accent2 3 2 2 2 21" xfId="47985" xr:uid="{00000000-0005-0000-0000-000097340000}"/>
    <cellStyle name="40% - Accent2 3 2 2 2 22" xfId="49668" xr:uid="{00000000-0005-0000-0000-000098340000}"/>
    <cellStyle name="40% - Accent2 3 2 2 2 23" xfId="51351" xr:uid="{00000000-0005-0000-0000-000099340000}"/>
    <cellStyle name="40% - Accent2 3 2 2 2 24" xfId="53034" xr:uid="{00000000-0005-0000-0000-00009A340000}"/>
    <cellStyle name="40% - Accent2 3 2 2 2 25" xfId="54717" xr:uid="{00000000-0005-0000-0000-00009B340000}"/>
    <cellStyle name="40% - Accent2 3 2 2 2 26" xfId="56400" xr:uid="{00000000-0005-0000-0000-00009C340000}"/>
    <cellStyle name="40% - Accent2 3 2 2 2 27" xfId="58083" xr:uid="{00000000-0005-0000-0000-00009D340000}"/>
    <cellStyle name="40% - Accent2 3 2 2 2 28" xfId="59766" xr:uid="{00000000-0005-0000-0000-00009E340000}"/>
    <cellStyle name="40% - Accent2 3 2 2 2 29" xfId="61449" xr:uid="{00000000-0005-0000-0000-00009F340000}"/>
    <cellStyle name="40% - Accent2 3 2 2 2 3" xfId="4224" xr:uid="{00000000-0005-0000-0000-0000A0340000}"/>
    <cellStyle name="40% - Accent2 3 2 2 2 3 2" xfId="19373" xr:uid="{00000000-0005-0000-0000-0000A1340000}"/>
    <cellStyle name="40% - Accent2 3 2 2 2 30" xfId="63132" xr:uid="{00000000-0005-0000-0000-0000A2340000}"/>
    <cellStyle name="40% - Accent2 3 2 2 2 4" xfId="5907" xr:uid="{00000000-0005-0000-0000-0000A3340000}"/>
    <cellStyle name="40% - Accent2 3 2 2 2 4 2" xfId="21056" xr:uid="{00000000-0005-0000-0000-0000A4340000}"/>
    <cellStyle name="40% - Accent2 3 2 2 2 5" xfId="7590" xr:uid="{00000000-0005-0000-0000-0000A5340000}"/>
    <cellStyle name="40% - Accent2 3 2 2 2 5 2" xfId="22739" xr:uid="{00000000-0005-0000-0000-0000A6340000}"/>
    <cellStyle name="40% - Accent2 3 2 2 2 6" xfId="9273" xr:uid="{00000000-0005-0000-0000-0000A7340000}"/>
    <cellStyle name="40% - Accent2 3 2 2 2 6 2" xfId="24422" xr:uid="{00000000-0005-0000-0000-0000A8340000}"/>
    <cellStyle name="40% - Accent2 3 2 2 2 7" xfId="10956" xr:uid="{00000000-0005-0000-0000-0000A9340000}"/>
    <cellStyle name="40% - Accent2 3 2 2 2 7 2" xfId="26105" xr:uid="{00000000-0005-0000-0000-0000AA340000}"/>
    <cellStyle name="40% - Accent2 3 2 2 2 8" xfId="12640" xr:uid="{00000000-0005-0000-0000-0000AB340000}"/>
    <cellStyle name="40% - Accent2 3 2 2 2 8 2" xfId="27789" xr:uid="{00000000-0005-0000-0000-0000AC340000}"/>
    <cellStyle name="40% - Accent2 3 2 2 2 9" xfId="14323" xr:uid="{00000000-0005-0000-0000-0000AD340000}"/>
    <cellStyle name="40% - Accent2 3 2 2 2 9 2" xfId="29472" xr:uid="{00000000-0005-0000-0000-0000AE340000}"/>
    <cellStyle name="40% - Accent2 3 2 2 20" xfId="40833" xr:uid="{00000000-0005-0000-0000-0000AF340000}"/>
    <cellStyle name="40% - Accent2 3 2 2 21" xfId="42516" xr:uid="{00000000-0005-0000-0000-0000B0340000}"/>
    <cellStyle name="40% - Accent2 3 2 2 22" xfId="44199" xr:uid="{00000000-0005-0000-0000-0000B1340000}"/>
    <cellStyle name="40% - Accent2 3 2 2 23" xfId="45882" xr:uid="{00000000-0005-0000-0000-0000B2340000}"/>
    <cellStyle name="40% - Accent2 3 2 2 24" xfId="47565" xr:uid="{00000000-0005-0000-0000-0000B3340000}"/>
    <cellStyle name="40% - Accent2 3 2 2 25" xfId="49248" xr:uid="{00000000-0005-0000-0000-0000B4340000}"/>
    <cellStyle name="40% - Accent2 3 2 2 26" xfId="50931" xr:uid="{00000000-0005-0000-0000-0000B5340000}"/>
    <cellStyle name="40% - Accent2 3 2 2 27" xfId="52614" xr:uid="{00000000-0005-0000-0000-0000B6340000}"/>
    <cellStyle name="40% - Accent2 3 2 2 28" xfId="54297" xr:uid="{00000000-0005-0000-0000-0000B7340000}"/>
    <cellStyle name="40% - Accent2 3 2 2 29" xfId="55980" xr:uid="{00000000-0005-0000-0000-0000B8340000}"/>
    <cellStyle name="40% - Accent2 3 2 2 3" xfId="1278" xr:uid="{00000000-0005-0000-0000-0000B9340000}"/>
    <cellStyle name="40% - Accent2 3 2 2 3 10" xfId="16427" xr:uid="{00000000-0005-0000-0000-0000BA340000}"/>
    <cellStyle name="40% - Accent2 3 2 2 3 11" xfId="31576" xr:uid="{00000000-0005-0000-0000-0000BB340000}"/>
    <cellStyle name="40% - Accent2 3 2 2 3 12" xfId="33259" xr:uid="{00000000-0005-0000-0000-0000BC340000}"/>
    <cellStyle name="40% - Accent2 3 2 2 3 13" xfId="34942" xr:uid="{00000000-0005-0000-0000-0000BD340000}"/>
    <cellStyle name="40% - Accent2 3 2 2 3 14" xfId="36625" xr:uid="{00000000-0005-0000-0000-0000BE340000}"/>
    <cellStyle name="40% - Accent2 3 2 2 3 15" xfId="38308" xr:uid="{00000000-0005-0000-0000-0000BF340000}"/>
    <cellStyle name="40% - Accent2 3 2 2 3 16" xfId="39991" xr:uid="{00000000-0005-0000-0000-0000C0340000}"/>
    <cellStyle name="40% - Accent2 3 2 2 3 17" xfId="41674" xr:uid="{00000000-0005-0000-0000-0000C1340000}"/>
    <cellStyle name="40% - Accent2 3 2 2 3 18" xfId="43357" xr:uid="{00000000-0005-0000-0000-0000C2340000}"/>
    <cellStyle name="40% - Accent2 3 2 2 3 19" xfId="45040" xr:uid="{00000000-0005-0000-0000-0000C3340000}"/>
    <cellStyle name="40% - Accent2 3 2 2 3 2" xfId="2961" xr:uid="{00000000-0005-0000-0000-0000C4340000}"/>
    <cellStyle name="40% - Accent2 3 2 2 3 2 2" xfId="18110" xr:uid="{00000000-0005-0000-0000-0000C5340000}"/>
    <cellStyle name="40% - Accent2 3 2 2 3 20" xfId="46723" xr:uid="{00000000-0005-0000-0000-0000C6340000}"/>
    <cellStyle name="40% - Accent2 3 2 2 3 21" xfId="48406" xr:uid="{00000000-0005-0000-0000-0000C7340000}"/>
    <cellStyle name="40% - Accent2 3 2 2 3 22" xfId="50089" xr:uid="{00000000-0005-0000-0000-0000C8340000}"/>
    <cellStyle name="40% - Accent2 3 2 2 3 23" xfId="51772" xr:uid="{00000000-0005-0000-0000-0000C9340000}"/>
    <cellStyle name="40% - Accent2 3 2 2 3 24" xfId="53455" xr:uid="{00000000-0005-0000-0000-0000CA340000}"/>
    <cellStyle name="40% - Accent2 3 2 2 3 25" xfId="55138" xr:uid="{00000000-0005-0000-0000-0000CB340000}"/>
    <cellStyle name="40% - Accent2 3 2 2 3 26" xfId="56821" xr:uid="{00000000-0005-0000-0000-0000CC340000}"/>
    <cellStyle name="40% - Accent2 3 2 2 3 27" xfId="58504" xr:uid="{00000000-0005-0000-0000-0000CD340000}"/>
    <cellStyle name="40% - Accent2 3 2 2 3 28" xfId="60187" xr:uid="{00000000-0005-0000-0000-0000CE340000}"/>
    <cellStyle name="40% - Accent2 3 2 2 3 29" xfId="61870" xr:uid="{00000000-0005-0000-0000-0000CF340000}"/>
    <cellStyle name="40% - Accent2 3 2 2 3 3" xfId="4645" xr:uid="{00000000-0005-0000-0000-0000D0340000}"/>
    <cellStyle name="40% - Accent2 3 2 2 3 3 2" xfId="19794" xr:uid="{00000000-0005-0000-0000-0000D1340000}"/>
    <cellStyle name="40% - Accent2 3 2 2 3 30" xfId="63553" xr:uid="{00000000-0005-0000-0000-0000D2340000}"/>
    <cellStyle name="40% - Accent2 3 2 2 3 4" xfId="6328" xr:uid="{00000000-0005-0000-0000-0000D3340000}"/>
    <cellStyle name="40% - Accent2 3 2 2 3 4 2" xfId="21477" xr:uid="{00000000-0005-0000-0000-0000D4340000}"/>
    <cellStyle name="40% - Accent2 3 2 2 3 5" xfId="8011" xr:uid="{00000000-0005-0000-0000-0000D5340000}"/>
    <cellStyle name="40% - Accent2 3 2 2 3 5 2" xfId="23160" xr:uid="{00000000-0005-0000-0000-0000D6340000}"/>
    <cellStyle name="40% - Accent2 3 2 2 3 6" xfId="9694" xr:uid="{00000000-0005-0000-0000-0000D7340000}"/>
    <cellStyle name="40% - Accent2 3 2 2 3 6 2" xfId="24843" xr:uid="{00000000-0005-0000-0000-0000D8340000}"/>
    <cellStyle name="40% - Accent2 3 2 2 3 7" xfId="11377" xr:uid="{00000000-0005-0000-0000-0000D9340000}"/>
    <cellStyle name="40% - Accent2 3 2 2 3 7 2" xfId="26526" xr:uid="{00000000-0005-0000-0000-0000DA340000}"/>
    <cellStyle name="40% - Accent2 3 2 2 3 8" xfId="13061" xr:uid="{00000000-0005-0000-0000-0000DB340000}"/>
    <cellStyle name="40% - Accent2 3 2 2 3 8 2" xfId="28210" xr:uid="{00000000-0005-0000-0000-0000DC340000}"/>
    <cellStyle name="40% - Accent2 3 2 2 3 9" xfId="14744" xr:uid="{00000000-0005-0000-0000-0000DD340000}"/>
    <cellStyle name="40% - Accent2 3 2 2 3 9 2" xfId="29893" xr:uid="{00000000-0005-0000-0000-0000DE340000}"/>
    <cellStyle name="40% - Accent2 3 2 2 30" xfId="57663" xr:uid="{00000000-0005-0000-0000-0000DF340000}"/>
    <cellStyle name="40% - Accent2 3 2 2 31" xfId="59346" xr:uid="{00000000-0005-0000-0000-0000E0340000}"/>
    <cellStyle name="40% - Accent2 3 2 2 32" xfId="61029" xr:uid="{00000000-0005-0000-0000-0000E1340000}"/>
    <cellStyle name="40% - Accent2 3 2 2 33" xfId="62712" xr:uid="{00000000-0005-0000-0000-0000E2340000}"/>
    <cellStyle name="40% - Accent2 3 2 2 4" xfId="1699" xr:uid="{00000000-0005-0000-0000-0000E3340000}"/>
    <cellStyle name="40% - Accent2 3 2 2 4 10" xfId="16848" xr:uid="{00000000-0005-0000-0000-0000E4340000}"/>
    <cellStyle name="40% - Accent2 3 2 2 4 11" xfId="31997" xr:uid="{00000000-0005-0000-0000-0000E5340000}"/>
    <cellStyle name="40% - Accent2 3 2 2 4 12" xfId="33680" xr:uid="{00000000-0005-0000-0000-0000E6340000}"/>
    <cellStyle name="40% - Accent2 3 2 2 4 13" xfId="35363" xr:uid="{00000000-0005-0000-0000-0000E7340000}"/>
    <cellStyle name="40% - Accent2 3 2 2 4 14" xfId="37046" xr:uid="{00000000-0005-0000-0000-0000E8340000}"/>
    <cellStyle name="40% - Accent2 3 2 2 4 15" xfId="38729" xr:uid="{00000000-0005-0000-0000-0000E9340000}"/>
    <cellStyle name="40% - Accent2 3 2 2 4 16" xfId="40412" xr:uid="{00000000-0005-0000-0000-0000EA340000}"/>
    <cellStyle name="40% - Accent2 3 2 2 4 17" xfId="42095" xr:uid="{00000000-0005-0000-0000-0000EB340000}"/>
    <cellStyle name="40% - Accent2 3 2 2 4 18" xfId="43778" xr:uid="{00000000-0005-0000-0000-0000EC340000}"/>
    <cellStyle name="40% - Accent2 3 2 2 4 19" xfId="45461" xr:uid="{00000000-0005-0000-0000-0000ED340000}"/>
    <cellStyle name="40% - Accent2 3 2 2 4 2" xfId="3382" xr:uid="{00000000-0005-0000-0000-0000EE340000}"/>
    <cellStyle name="40% - Accent2 3 2 2 4 2 2" xfId="18531" xr:uid="{00000000-0005-0000-0000-0000EF340000}"/>
    <cellStyle name="40% - Accent2 3 2 2 4 20" xfId="47144" xr:uid="{00000000-0005-0000-0000-0000F0340000}"/>
    <cellStyle name="40% - Accent2 3 2 2 4 21" xfId="48827" xr:uid="{00000000-0005-0000-0000-0000F1340000}"/>
    <cellStyle name="40% - Accent2 3 2 2 4 22" xfId="50510" xr:uid="{00000000-0005-0000-0000-0000F2340000}"/>
    <cellStyle name="40% - Accent2 3 2 2 4 23" xfId="52193" xr:uid="{00000000-0005-0000-0000-0000F3340000}"/>
    <cellStyle name="40% - Accent2 3 2 2 4 24" xfId="53876" xr:uid="{00000000-0005-0000-0000-0000F4340000}"/>
    <cellStyle name="40% - Accent2 3 2 2 4 25" xfId="55559" xr:uid="{00000000-0005-0000-0000-0000F5340000}"/>
    <cellStyle name="40% - Accent2 3 2 2 4 26" xfId="57242" xr:uid="{00000000-0005-0000-0000-0000F6340000}"/>
    <cellStyle name="40% - Accent2 3 2 2 4 27" xfId="58925" xr:uid="{00000000-0005-0000-0000-0000F7340000}"/>
    <cellStyle name="40% - Accent2 3 2 2 4 28" xfId="60608" xr:uid="{00000000-0005-0000-0000-0000F8340000}"/>
    <cellStyle name="40% - Accent2 3 2 2 4 29" xfId="62291" xr:uid="{00000000-0005-0000-0000-0000F9340000}"/>
    <cellStyle name="40% - Accent2 3 2 2 4 3" xfId="5066" xr:uid="{00000000-0005-0000-0000-0000FA340000}"/>
    <cellStyle name="40% - Accent2 3 2 2 4 3 2" xfId="20215" xr:uid="{00000000-0005-0000-0000-0000FB340000}"/>
    <cellStyle name="40% - Accent2 3 2 2 4 30" xfId="63974" xr:uid="{00000000-0005-0000-0000-0000FC340000}"/>
    <cellStyle name="40% - Accent2 3 2 2 4 4" xfId="6749" xr:uid="{00000000-0005-0000-0000-0000FD340000}"/>
    <cellStyle name="40% - Accent2 3 2 2 4 4 2" xfId="21898" xr:uid="{00000000-0005-0000-0000-0000FE340000}"/>
    <cellStyle name="40% - Accent2 3 2 2 4 5" xfId="8432" xr:uid="{00000000-0005-0000-0000-0000FF340000}"/>
    <cellStyle name="40% - Accent2 3 2 2 4 5 2" xfId="23581" xr:uid="{00000000-0005-0000-0000-000000350000}"/>
    <cellStyle name="40% - Accent2 3 2 2 4 6" xfId="10115" xr:uid="{00000000-0005-0000-0000-000001350000}"/>
    <cellStyle name="40% - Accent2 3 2 2 4 6 2" xfId="25264" xr:uid="{00000000-0005-0000-0000-000002350000}"/>
    <cellStyle name="40% - Accent2 3 2 2 4 7" xfId="11798" xr:uid="{00000000-0005-0000-0000-000003350000}"/>
    <cellStyle name="40% - Accent2 3 2 2 4 7 2" xfId="26947" xr:uid="{00000000-0005-0000-0000-000004350000}"/>
    <cellStyle name="40% - Accent2 3 2 2 4 8" xfId="13482" xr:uid="{00000000-0005-0000-0000-000005350000}"/>
    <cellStyle name="40% - Accent2 3 2 2 4 8 2" xfId="28631" xr:uid="{00000000-0005-0000-0000-000006350000}"/>
    <cellStyle name="40% - Accent2 3 2 2 4 9" xfId="15165" xr:uid="{00000000-0005-0000-0000-000007350000}"/>
    <cellStyle name="40% - Accent2 3 2 2 4 9 2" xfId="30314" xr:uid="{00000000-0005-0000-0000-000008350000}"/>
    <cellStyle name="40% - Accent2 3 2 2 5" xfId="2120" xr:uid="{00000000-0005-0000-0000-000009350000}"/>
    <cellStyle name="40% - Accent2 3 2 2 5 2" xfId="17269" xr:uid="{00000000-0005-0000-0000-00000A350000}"/>
    <cellStyle name="40% - Accent2 3 2 2 6" xfId="3804" xr:uid="{00000000-0005-0000-0000-00000B350000}"/>
    <cellStyle name="40% - Accent2 3 2 2 6 2" xfId="18953" xr:uid="{00000000-0005-0000-0000-00000C350000}"/>
    <cellStyle name="40% - Accent2 3 2 2 7" xfId="5487" xr:uid="{00000000-0005-0000-0000-00000D350000}"/>
    <cellStyle name="40% - Accent2 3 2 2 7 2" xfId="20636" xr:uid="{00000000-0005-0000-0000-00000E350000}"/>
    <cellStyle name="40% - Accent2 3 2 2 8" xfId="7170" xr:uid="{00000000-0005-0000-0000-00000F350000}"/>
    <cellStyle name="40% - Accent2 3 2 2 8 2" xfId="22319" xr:uid="{00000000-0005-0000-0000-000010350000}"/>
    <cellStyle name="40% - Accent2 3 2 2 9" xfId="8853" xr:uid="{00000000-0005-0000-0000-000011350000}"/>
    <cellStyle name="40% - Accent2 3 2 2 9 2" xfId="24002" xr:uid="{00000000-0005-0000-0000-000012350000}"/>
    <cellStyle name="40% - Accent2 3 2 20" xfId="38940" xr:uid="{00000000-0005-0000-0000-000013350000}"/>
    <cellStyle name="40% - Accent2 3 2 21" xfId="40623" xr:uid="{00000000-0005-0000-0000-000014350000}"/>
    <cellStyle name="40% - Accent2 3 2 22" xfId="42306" xr:uid="{00000000-0005-0000-0000-000015350000}"/>
    <cellStyle name="40% - Accent2 3 2 23" xfId="43989" xr:uid="{00000000-0005-0000-0000-000016350000}"/>
    <cellStyle name="40% - Accent2 3 2 24" xfId="45672" xr:uid="{00000000-0005-0000-0000-000017350000}"/>
    <cellStyle name="40% - Accent2 3 2 25" xfId="47355" xr:uid="{00000000-0005-0000-0000-000018350000}"/>
    <cellStyle name="40% - Accent2 3 2 26" xfId="49038" xr:uid="{00000000-0005-0000-0000-000019350000}"/>
    <cellStyle name="40% - Accent2 3 2 27" xfId="50721" xr:uid="{00000000-0005-0000-0000-00001A350000}"/>
    <cellStyle name="40% - Accent2 3 2 28" xfId="52404" xr:uid="{00000000-0005-0000-0000-00001B350000}"/>
    <cellStyle name="40% - Accent2 3 2 29" xfId="54087" xr:uid="{00000000-0005-0000-0000-00001C350000}"/>
    <cellStyle name="40% - Accent2 3 2 3" xfId="647" xr:uid="{00000000-0005-0000-0000-00001D350000}"/>
    <cellStyle name="40% - Accent2 3 2 3 10" xfId="15796" xr:uid="{00000000-0005-0000-0000-00001E350000}"/>
    <cellStyle name="40% - Accent2 3 2 3 11" xfId="30945" xr:uid="{00000000-0005-0000-0000-00001F350000}"/>
    <cellStyle name="40% - Accent2 3 2 3 12" xfId="32628" xr:uid="{00000000-0005-0000-0000-000020350000}"/>
    <cellStyle name="40% - Accent2 3 2 3 13" xfId="34311" xr:uid="{00000000-0005-0000-0000-000021350000}"/>
    <cellStyle name="40% - Accent2 3 2 3 14" xfId="35994" xr:uid="{00000000-0005-0000-0000-000022350000}"/>
    <cellStyle name="40% - Accent2 3 2 3 15" xfId="37677" xr:uid="{00000000-0005-0000-0000-000023350000}"/>
    <cellStyle name="40% - Accent2 3 2 3 16" xfId="39360" xr:uid="{00000000-0005-0000-0000-000024350000}"/>
    <cellStyle name="40% - Accent2 3 2 3 17" xfId="41043" xr:uid="{00000000-0005-0000-0000-000025350000}"/>
    <cellStyle name="40% - Accent2 3 2 3 18" xfId="42726" xr:uid="{00000000-0005-0000-0000-000026350000}"/>
    <cellStyle name="40% - Accent2 3 2 3 19" xfId="44409" xr:uid="{00000000-0005-0000-0000-000027350000}"/>
    <cellStyle name="40% - Accent2 3 2 3 2" xfId="2330" xr:uid="{00000000-0005-0000-0000-000028350000}"/>
    <cellStyle name="40% - Accent2 3 2 3 2 2" xfId="17479" xr:uid="{00000000-0005-0000-0000-000029350000}"/>
    <cellStyle name="40% - Accent2 3 2 3 20" xfId="46092" xr:uid="{00000000-0005-0000-0000-00002A350000}"/>
    <cellStyle name="40% - Accent2 3 2 3 21" xfId="47775" xr:uid="{00000000-0005-0000-0000-00002B350000}"/>
    <cellStyle name="40% - Accent2 3 2 3 22" xfId="49458" xr:uid="{00000000-0005-0000-0000-00002C350000}"/>
    <cellStyle name="40% - Accent2 3 2 3 23" xfId="51141" xr:uid="{00000000-0005-0000-0000-00002D350000}"/>
    <cellStyle name="40% - Accent2 3 2 3 24" xfId="52824" xr:uid="{00000000-0005-0000-0000-00002E350000}"/>
    <cellStyle name="40% - Accent2 3 2 3 25" xfId="54507" xr:uid="{00000000-0005-0000-0000-00002F350000}"/>
    <cellStyle name="40% - Accent2 3 2 3 26" xfId="56190" xr:uid="{00000000-0005-0000-0000-000030350000}"/>
    <cellStyle name="40% - Accent2 3 2 3 27" xfId="57873" xr:uid="{00000000-0005-0000-0000-000031350000}"/>
    <cellStyle name="40% - Accent2 3 2 3 28" xfId="59556" xr:uid="{00000000-0005-0000-0000-000032350000}"/>
    <cellStyle name="40% - Accent2 3 2 3 29" xfId="61239" xr:uid="{00000000-0005-0000-0000-000033350000}"/>
    <cellStyle name="40% - Accent2 3 2 3 3" xfId="4014" xr:uid="{00000000-0005-0000-0000-000034350000}"/>
    <cellStyle name="40% - Accent2 3 2 3 3 2" xfId="19163" xr:uid="{00000000-0005-0000-0000-000035350000}"/>
    <cellStyle name="40% - Accent2 3 2 3 30" xfId="62922" xr:uid="{00000000-0005-0000-0000-000036350000}"/>
    <cellStyle name="40% - Accent2 3 2 3 4" xfId="5697" xr:uid="{00000000-0005-0000-0000-000037350000}"/>
    <cellStyle name="40% - Accent2 3 2 3 4 2" xfId="20846" xr:uid="{00000000-0005-0000-0000-000038350000}"/>
    <cellStyle name="40% - Accent2 3 2 3 5" xfId="7380" xr:uid="{00000000-0005-0000-0000-000039350000}"/>
    <cellStyle name="40% - Accent2 3 2 3 5 2" xfId="22529" xr:uid="{00000000-0005-0000-0000-00003A350000}"/>
    <cellStyle name="40% - Accent2 3 2 3 6" xfId="9063" xr:uid="{00000000-0005-0000-0000-00003B350000}"/>
    <cellStyle name="40% - Accent2 3 2 3 6 2" xfId="24212" xr:uid="{00000000-0005-0000-0000-00003C350000}"/>
    <cellStyle name="40% - Accent2 3 2 3 7" xfId="10746" xr:uid="{00000000-0005-0000-0000-00003D350000}"/>
    <cellStyle name="40% - Accent2 3 2 3 7 2" xfId="25895" xr:uid="{00000000-0005-0000-0000-00003E350000}"/>
    <cellStyle name="40% - Accent2 3 2 3 8" xfId="12430" xr:uid="{00000000-0005-0000-0000-00003F350000}"/>
    <cellStyle name="40% - Accent2 3 2 3 8 2" xfId="27579" xr:uid="{00000000-0005-0000-0000-000040350000}"/>
    <cellStyle name="40% - Accent2 3 2 3 9" xfId="14113" xr:uid="{00000000-0005-0000-0000-000041350000}"/>
    <cellStyle name="40% - Accent2 3 2 3 9 2" xfId="29262" xr:uid="{00000000-0005-0000-0000-000042350000}"/>
    <cellStyle name="40% - Accent2 3 2 30" xfId="55770" xr:uid="{00000000-0005-0000-0000-000043350000}"/>
    <cellStyle name="40% - Accent2 3 2 31" xfId="57453" xr:uid="{00000000-0005-0000-0000-000044350000}"/>
    <cellStyle name="40% - Accent2 3 2 32" xfId="59136" xr:uid="{00000000-0005-0000-0000-000045350000}"/>
    <cellStyle name="40% - Accent2 3 2 33" xfId="60819" xr:uid="{00000000-0005-0000-0000-000046350000}"/>
    <cellStyle name="40% - Accent2 3 2 34" xfId="62502" xr:uid="{00000000-0005-0000-0000-000047350000}"/>
    <cellStyle name="40% - Accent2 3 2 4" xfId="1068" xr:uid="{00000000-0005-0000-0000-000048350000}"/>
    <cellStyle name="40% - Accent2 3 2 4 10" xfId="16217" xr:uid="{00000000-0005-0000-0000-000049350000}"/>
    <cellStyle name="40% - Accent2 3 2 4 11" xfId="31366" xr:uid="{00000000-0005-0000-0000-00004A350000}"/>
    <cellStyle name="40% - Accent2 3 2 4 12" xfId="33049" xr:uid="{00000000-0005-0000-0000-00004B350000}"/>
    <cellStyle name="40% - Accent2 3 2 4 13" xfId="34732" xr:uid="{00000000-0005-0000-0000-00004C350000}"/>
    <cellStyle name="40% - Accent2 3 2 4 14" xfId="36415" xr:uid="{00000000-0005-0000-0000-00004D350000}"/>
    <cellStyle name="40% - Accent2 3 2 4 15" xfId="38098" xr:uid="{00000000-0005-0000-0000-00004E350000}"/>
    <cellStyle name="40% - Accent2 3 2 4 16" xfId="39781" xr:uid="{00000000-0005-0000-0000-00004F350000}"/>
    <cellStyle name="40% - Accent2 3 2 4 17" xfId="41464" xr:uid="{00000000-0005-0000-0000-000050350000}"/>
    <cellStyle name="40% - Accent2 3 2 4 18" xfId="43147" xr:uid="{00000000-0005-0000-0000-000051350000}"/>
    <cellStyle name="40% - Accent2 3 2 4 19" xfId="44830" xr:uid="{00000000-0005-0000-0000-000052350000}"/>
    <cellStyle name="40% - Accent2 3 2 4 2" xfId="2751" xr:uid="{00000000-0005-0000-0000-000053350000}"/>
    <cellStyle name="40% - Accent2 3 2 4 2 2" xfId="17900" xr:uid="{00000000-0005-0000-0000-000054350000}"/>
    <cellStyle name="40% - Accent2 3 2 4 20" xfId="46513" xr:uid="{00000000-0005-0000-0000-000055350000}"/>
    <cellStyle name="40% - Accent2 3 2 4 21" xfId="48196" xr:uid="{00000000-0005-0000-0000-000056350000}"/>
    <cellStyle name="40% - Accent2 3 2 4 22" xfId="49879" xr:uid="{00000000-0005-0000-0000-000057350000}"/>
    <cellStyle name="40% - Accent2 3 2 4 23" xfId="51562" xr:uid="{00000000-0005-0000-0000-000058350000}"/>
    <cellStyle name="40% - Accent2 3 2 4 24" xfId="53245" xr:uid="{00000000-0005-0000-0000-000059350000}"/>
    <cellStyle name="40% - Accent2 3 2 4 25" xfId="54928" xr:uid="{00000000-0005-0000-0000-00005A350000}"/>
    <cellStyle name="40% - Accent2 3 2 4 26" xfId="56611" xr:uid="{00000000-0005-0000-0000-00005B350000}"/>
    <cellStyle name="40% - Accent2 3 2 4 27" xfId="58294" xr:uid="{00000000-0005-0000-0000-00005C350000}"/>
    <cellStyle name="40% - Accent2 3 2 4 28" xfId="59977" xr:uid="{00000000-0005-0000-0000-00005D350000}"/>
    <cellStyle name="40% - Accent2 3 2 4 29" xfId="61660" xr:uid="{00000000-0005-0000-0000-00005E350000}"/>
    <cellStyle name="40% - Accent2 3 2 4 3" xfId="4435" xr:uid="{00000000-0005-0000-0000-00005F350000}"/>
    <cellStyle name="40% - Accent2 3 2 4 3 2" xfId="19584" xr:uid="{00000000-0005-0000-0000-000060350000}"/>
    <cellStyle name="40% - Accent2 3 2 4 30" xfId="63343" xr:uid="{00000000-0005-0000-0000-000061350000}"/>
    <cellStyle name="40% - Accent2 3 2 4 4" xfId="6118" xr:uid="{00000000-0005-0000-0000-000062350000}"/>
    <cellStyle name="40% - Accent2 3 2 4 4 2" xfId="21267" xr:uid="{00000000-0005-0000-0000-000063350000}"/>
    <cellStyle name="40% - Accent2 3 2 4 5" xfId="7801" xr:uid="{00000000-0005-0000-0000-000064350000}"/>
    <cellStyle name="40% - Accent2 3 2 4 5 2" xfId="22950" xr:uid="{00000000-0005-0000-0000-000065350000}"/>
    <cellStyle name="40% - Accent2 3 2 4 6" xfId="9484" xr:uid="{00000000-0005-0000-0000-000066350000}"/>
    <cellStyle name="40% - Accent2 3 2 4 6 2" xfId="24633" xr:uid="{00000000-0005-0000-0000-000067350000}"/>
    <cellStyle name="40% - Accent2 3 2 4 7" xfId="11167" xr:uid="{00000000-0005-0000-0000-000068350000}"/>
    <cellStyle name="40% - Accent2 3 2 4 7 2" xfId="26316" xr:uid="{00000000-0005-0000-0000-000069350000}"/>
    <cellStyle name="40% - Accent2 3 2 4 8" xfId="12851" xr:uid="{00000000-0005-0000-0000-00006A350000}"/>
    <cellStyle name="40% - Accent2 3 2 4 8 2" xfId="28000" xr:uid="{00000000-0005-0000-0000-00006B350000}"/>
    <cellStyle name="40% - Accent2 3 2 4 9" xfId="14534" xr:uid="{00000000-0005-0000-0000-00006C350000}"/>
    <cellStyle name="40% - Accent2 3 2 4 9 2" xfId="29683" xr:uid="{00000000-0005-0000-0000-00006D350000}"/>
    <cellStyle name="40% - Accent2 3 2 5" xfId="1489" xr:uid="{00000000-0005-0000-0000-00006E350000}"/>
    <cellStyle name="40% - Accent2 3 2 5 10" xfId="16638" xr:uid="{00000000-0005-0000-0000-00006F350000}"/>
    <cellStyle name="40% - Accent2 3 2 5 11" xfId="31787" xr:uid="{00000000-0005-0000-0000-000070350000}"/>
    <cellStyle name="40% - Accent2 3 2 5 12" xfId="33470" xr:uid="{00000000-0005-0000-0000-000071350000}"/>
    <cellStyle name="40% - Accent2 3 2 5 13" xfId="35153" xr:uid="{00000000-0005-0000-0000-000072350000}"/>
    <cellStyle name="40% - Accent2 3 2 5 14" xfId="36836" xr:uid="{00000000-0005-0000-0000-000073350000}"/>
    <cellStyle name="40% - Accent2 3 2 5 15" xfId="38519" xr:uid="{00000000-0005-0000-0000-000074350000}"/>
    <cellStyle name="40% - Accent2 3 2 5 16" xfId="40202" xr:uid="{00000000-0005-0000-0000-000075350000}"/>
    <cellStyle name="40% - Accent2 3 2 5 17" xfId="41885" xr:uid="{00000000-0005-0000-0000-000076350000}"/>
    <cellStyle name="40% - Accent2 3 2 5 18" xfId="43568" xr:uid="{00000000-0005-0000-0000-000077350000}"/>
    <cellStyle name="40% - Accent2 3 2 5 19" xfId="45251" xr:uid="{00000000-0005-0000-0000-000078350000}"/>
    <cellStyle name="40% - Accent2 3 2 5 2" xfId="3172" xr:uid="{00000000-0005-0000-0000-000079350000}"/>
    <cellStyle name="40% - Accent2 3 2 5 2 2" xfId="18321" xr:uid="{00000000-0005-0000-0000-00007A350000}"/>
    <cellStyle name="40% - Accent2 3 2 5 20" xfId="46934" xr:uid="{00000000-0005-0000-0000-00007B350000}"/>
    <cellStyle name="40% - Accent2 3 2 5 21" xfId="48617" xr:uid="{00000000-0005-0000-0000-00007C350000}"/>
    <cellStyle name="40% - Accent2 3 2 5 22" xfId="50300" xr:uid="{00000000-0005-0000-0000-00007D350000}"/>
    <cellStyle name="40% - Accent2 3 2 5 23" xfId="51983" xr:uid="{00000000-0005-0000-0000-00007E350000}"/>
    <cellStyle name="40% - Accent2 3 2 5 24" xfId="53666" xr:uid="{00000000-0005-0000-0000-00007F350000}"/>
    <cellStyle name="40% - Accent2 3 2 5 25" xfId="55349" xr:uid="{00000000-0005-0000-0000-000080350000}"/>
    <cellStyle name="40% - Accent2 3 2 5 26" xfId="57032" xr:uid="{00000000-0005-0000-0000-000081350000}"/>
    <cellStyle name="40% - Accent2 3 2 5 27" xfId="58715" xr:uid="{00000000-0005-0000-0000-000082350000}"/>
    <cellStyle name="40% - Accent2 3 2 5 28" xfId="60398" xr:uid="{00000000-0005-0000-0000-000083350000}"/>
    <cellStyle name="40% - Accent2 3 2 5 29" xfId="62081" xr:uid="{00000000-0005-0000-0000-000084350000}"/>
    <cellStyle name="40% - Accent2 3 2 5 3" xfId="4856" xr:uid="{00000000-0005-0000-0000-000085350000}"/>
    <cellStyle name="40% - Accent2 3 2 5 3 2" xfId="20005" xr:uid="{00000000-0005-0000-0000-000086350000}"/>
    <cellStyle name="40% - Accent2 3 2 5 30" xfId="63764" xr:uid="{00000000-0005-0000-0000-000087350000}"/>
    <cellStyle name="40% - Accent2 3 2 5 4" xfId="6539" xr:uid="{00000000-0005-0000-0000-000088350000}"/>
    <cellStyle name="40% - Accent2 3 2 5 4 2" xfId="21688" xr:uid="{00000000-0005-0000-0000-000089350000}"/>
    <cellStyle name="40% - Accent2 3 2 5 5" xfId="8222" xr:uid="{00000000-0005-0000-0000-00008A350000}"/>
    <cellStyle name="40% - Accent2 3 2 5 5 2" xfId="23371" xr:uid="{00000000-0005-0000-0000-00008B350000}"/>
    <cellStyle name="40% - Accent2 3 2 5 6" xfId="9905" xr:uid="{00000000-0005-0000-0000-00008C350000}"/>
    <cellStyle name="40% - Accent2 3 2 5 6 2" xfId="25054" xr:uid="{00000000-0005-0000-0000-00008D350000}"/>
    <cellStyle name="40% - Accent2 3 2 5 7" xfId="11588" xr:uid="{00000000-0005-0000-0000-00008E350000}"/>
    <cellStyle name="40% - Accent2 3 2 5 7 2" xfId="26737" xr:uid="{00000000-0005-0000-0000-00008F350000}"/>
    <cellStyle name="40% - Accent2 3 2 5 8" xfId="13272" xr:uid="{00000000-0005-0000-0000-000090350000}"/>
    <cellStyle name="40% - Accent2 3 2 5 8 2" xfId="28421" xr:uid="{00000000-0005-0000-0000-000091350000}"/>
    <cellStyle name="40% - Accent2 3 2 5 9" xfId="14955" xr:uid="{00000000-0005-0000-0000-000092350000}"/>
    <cellStyle name="40% - Accent2 3 2 5 9 2" xfId="30104" xr:uid="{00000000-0005-0000-0000-000093350000}"/>
    <cellStyle name="40% - Accent2 3 2 6" xfId="1910" xr:uid="{00000000-0005-0000-0000-000094350000}"/>
    <cellStyle name="40% - Accent2 3 2 6 2" xfId="17059" xr:uid="{00000000-0005-0000-0000-000095350000}"/>
    <cellStyle name="40% - Accent2 3 2 7" xfId="3594" xr:uid="{00000000-0005-0000-0000-000096350000}"/>
    <cellStyle name="40% - Accent2 3 2 7 2" xfId="18743" xr:uid="{00000000-0005-0000-0000-000097350000}"/>
    <cellStyle name="40% - Accent2 3 2 8" xfId="5277" xr:uid="{00000000-0005-0000-0000-000098350000}"/>
    <cellStyle name="40% - Accent2 3 2 8 2" xfId="20426" xr:uid="{00000000-0005-0000-0000-000099350000}"/>
    <cellStyle name="40% - Accent2 3 2 9" xfId="6960" xr:uid="{00000000-0005-0000-0000-00009A350000}"/>
    <cellStyle name="40% - Accent2 3 2 9 2" xfId="22109" xr:uid="{00000000-0005-0000-0000-00009B350000}"/>
    <cellStyle name="40% - Accent2 3 20" xfId="37152" xr:uid="{00000000-0005-0000-0000-00009C350000}"/>
    <cellStyle name="40% - Accent2 3 21" xfId="38835" xr:uid="{00000000-0005-0000-0000-00009D350000}"/>
    <cellStyle name="40% - Accent2 3 22" xfId="40518" xr:uid="{00000000-0005-0000-0000-00009E350000}"/>
    <cellStyle name="40% - Accent2 3 23" xfId="42201" xr:uid="{00000000-0005-0000-0000-00009F350000}"/>
    <cellStyle name="40% - Accent2 3 24" xfId="43884" xr:uid="{00000000-0005-0000-0000-0000A0350000}"/>
    <cellStyle name="40% - Accent2 3 25" xfId="45567" xr:uid="{00000000-0005-0000-0000-0000A1350000}"/>
    <cellStyle name="40% - Accent2 3 26" xfId="47250" xr:uid="{00000000-0005-0000-0000-0000A2350000}"/>
    <cellStyle name="40% - Accent2 3 27" xfId="48933" xr:uid="{00000000-0005-0000-0000-0000A3350000}"/>
    <cellStyle name="40% - Accent2 3 28" xfId="50616" xr:uid="{00000000-0005-0000-0000-0000A4350000}"/>
    <cellStyle name="40% - Accent2 3 29" xfId="52299" xr:uid="{00000000-0005-0000-0000-0000A5350000}"/>
    <cellStyle name="40% - Accent2 3 3" xfId="332" xr:uid="{00000000-0005-0000-0000-0000A6350000}"/>
    <cellStyle name="40% - Accent2 3 3 10" xfId="10431" xr:uid="{00000000-0005-0000-0000-0000A7350000}"/>
    <cellStyle name="40% - Accent2 3 3 10 2" xfId="25580" xr:uid="{00000000-0005-0000-0000-0000A8350000}"/>
    <cellStyle name="40% - Accent2 3 3 11" xfId="12115" xr:uid="{00000000-0005-0000-0000-0000A9350000}"/>
    <cellStyle name="40% - Accent2 3 3 11 2" xfId="27264" xr:uid="{00000000-0005-0000-0000-0000AA350000}"/>
    <cellStyle name="40% - Accent2 3 3 12" xfId="13798" xr:uid="{00000000-0005-0000-0000-0000AB350000}"/>
    <cellStyle name="40% - Accent2 3 3 12 2" xfId="28947" xr:uid="{00000000-0005-0000-0000-0000AC350000}"/>
    <cellStyle name="40% - Accent2 3 3 13" xfId="15481" xr:uid="{00000000-0005-0000-0000-0000AD350000}"/>
    <cellStyle name="40% - Accent2 3 3 14" xfId="30630" xr:uid="{00000000-0005-0000-0000-0000AE350000}"/>
    <cellStyle name="40% - Accent2 3 3 15" xfId="32313" xr:uid="{00000000-0005-0000-0000-0000AF350000}"/>
    <cellStyle name="40% - Accent2 3 3 16" xfId="33996" xr:uid="{00000000-0005-0000-0000-0000B0350000}"/>
    <cellStyle name="40% - Accent2 3 3 17" xfId="35679" xr:uid="{00000000-0005-0000-0000-0000B1350000}"/>
    <cellStyle name="40% - Accent2 3 3 18" xfId="37362" xr:uid="{00000000-0005-0000-0000-0000B2350000}"/>
    <cellStyle name="40% - Accent2 3 3 19" xfId="39045" xr:uid="{00000000-0005-0000-0000-0000B3350000}"/>
    <cellStyle name="40% - Accent2 3 3 2" xfId="752" xr:uid="{00000000-0005-0000-0000-0000B4350000}"/>
    <cellStyle name="40% - Accent2 3 3 2 10" xfId="15901" xr:uid="{00000000-0005-0000-0000-0000B5350000}"/>
    <cellStyle name="40% - Accent2 3 3 2 11" xfId="31050" xr:uid="{00000000-0005-0000-0000-0000B6350000}"/>
    <cellStyle name="40% - Accent2 3 3 2 12" xfId="32733" xr:uid="{00000000-0005-0000-0000-0000B7350000}"/>
    <cellStyle name="40% - Accent2 3 3 2 13" xfId="34416" xr:uid="{00000000-0005-0000-0000-0000B8350000}"/>
    <cellStyle name="40% - Accent2 3 3 2 14" xfId="36099" xr:uid="{00000000-0005-0000-0000-0000B9350000}"/>
    <cellStyle name="40% - Accent2 3 3 2 15" xfId="37782" xr:uid="{00000000-0005-0000-0000-0000BA350000}"/>
    <cellStyle name="40% - Accent2 3 3 2 16" xfId="39465" xr:uid="{00000000-0005-0000-0000-0000BB350000}"/>
    <cellStyle name="40% - Accent2 3 3 2 17" xfId="41148" xr:uid="{00000000-0005-0000-0000-0000BC350000}"/>
    <cellStyle name="40% - Accent2 3 3 2 18" xfId="42831" xr:uid="{00000000-0005-0000-0000-0000BD350000}"/>
    <cellStyle name="40% - Accent2 3 3 2 19" xfId="44514" xr:uid="{00000000-0005-0000-0000-0000BE350000}"/>
    <cellStyle name="40% - Accent2 3 3 2 2" xfId="2435" xr:uid="{00000000-0005-0000-0000-0000BF350000}"/>
    <cellStyle name="40% - Accent2 3 3 2 2 2" xfId="17584" xr:uid="{00000000-0005-0000-0000-0000C0350000}"/>
    <cellStyle name="40% - Accent2 3 3 2 20" xfId="46197" xr:uid="{00000000-0005-0000-0000-0000C1350000}"/>
    <cellStyle name="40% - Accent2 3 3 2 21" xfId="47880" xr:uid="{00000000-0005-0000-0000-0000C2350000}"/>
    <cellStyle name="40% - Accent2 3 3 2 22" xfId="49563" xr:uid="{00000000-0005-0000-0000-0000C3350000}"/>
    <cellStyle name="40% - Accent2 3 3 2 23" xfId="51246" xr:uid="{00000000-0005-0000-0000-0000C4350000}"/>
    <cellStyle name="40% - Accent2 3 3 2 24" xfId="52929" xr:uid="{00000000-0005-0000-0000-0000C5350000}"/>
    <cellStyle name="40% - Accent2 3 3 2 25" xfId="54612" xr:uid="{00000000-0005-0000-0000-0000C6350000}"/>
    <cellStyle name="40% - Accent2 3 3 2 26" xfId="56295" xr:uid="{00000000-0005-0000-0000-0000C7350000}"/>
    <cellStyle name="40% - Accent2 3 3 2 27" xfId="57978" xr:uid="{00000000-0005-0000-0000-0000C8350000}"/>
    <cellStyle name="40% - Accent2 3 3 2 28" xfId="59661" xr:uid="{00000000-0005-0000-0000-0000C9350000}"/>
    <cellStyle name="40% - Accent2 3 3 2 29" xfId="61344" xr:uid="{00000000-0005-0000-0000-0000CA350000}"/>
    <cellStyle name="40% - Accent2 3 3 2 3" xfId="4119" xr:uid="{00000000-0005-0000-0000-0000CB350000}"/>
    <cellStyle name="40% - Accent2 3 3 2 3 2" xfId="19268" xr:uid="{00000000-0005-0000-0000-0000CC350000}"/>
    <cellStyle name="40% - Accent2 3 3 2 30" xfId="63027" xr:uid="{00000000-0005-0000-0000-0000CD350000}"/>
    <cellStyle name="40% - Accent2 3 3 2 4" xfId="5802" xr:uid="{00000000-0005-0000-0000-0000CE350000}"/>
    <cellStyle name="40% - Accent2 3 3 2 4 2" xfId="20951" xr:uid="{00000000-0005-0000-0000-0000CF350000}"/>
    <cellStyle name="40% - Accent2 3 3 2 5" xfId="7485" xr:uid="{00000000-0005-0000-0000-0000D0350000}"/>
    <cellStyle name="40% - Accent2 3 3 2 5 2" xfId="22634" xr:uid="{00000000-0005-0000-0000-0000D1350000}"/>
    <cellStyle name="40% - Accent2 3 3 2 6" xfId="9168" xr:uid="{00000000-0005-0000-0000-0000D2350000}"/>
    <cellStyle name="40% - Accent2 3 3 2 6 2" xfId="24317" xr:uid="{00000000-0005-0000-0000-0000D3350000}"/>
    <cellStyle name="40% - Accent2 3 3 2 7" xfId="10851" xr:uid="{00000000-0005-0000-0000-0000D4350000}"/>
    <cellStyle name="40% - Accent2 3 3 2 7 2" xfId="26000" xr:uid="{00000000-0005-0000-0000-0000D5350000}"/>
    <cellStyle name="40% - Accent2 3 3 2 8" xfId="12535" xr:uid="{00000000-0005-0000-0000-0000D6350000}"/>
    <cellStyle name="40% - Accent2 3 3 2 8 2" xfId="27684" xr:uid="{00000000-0005-0000-0000-0000D7350000}"/>
    <cellStyle name="40% - Accent2 3 3 2 9" xfId="14218" xr:uid="{00000000-0005-0000-0000-0000D8350000}"/>
    <cellStyle name="40% - Accent2 3 3 2 9 2" xfId="29367" xr:uid="{00000000-0005-0000-0000-0000D9350000}"/>
    <cellStyle name="40% - Accent2 3 3 20" xfId="40728" xr:uid="{00000000-0005-0000-0000-0000DA350000}"/>
    <cellStyle name="40% - Accent2 3 3 21" xfId="42411" xr:uid="{00000000-0005-0000-0000-0000DB350000}"/>
    <cellStyle name="40% - Accent2 3 3 22" xfId="44094" xr:uid="{00000000-0005-0000-0000-0000DC350000}"/>
    <cellStyle name="40% - Accent2 3 3 23" xfId="45777" xr:uid="{00000000-0005-0000-0000-0000DD350000}"/>
    <cellStyle name="40% - Accent2 3 3 24" xfId="47460" xr:uid="{00000000-0005-0000-0000-0000DE350000}"/>
    <cellStyle name="40% - Accent2 3 3 25" xfId="49143" xr:uid="{00000000-0005-0000-0000-0000DF350000}"/>
    <cellStyle name="40% - Accent2 3 3 26" xfId="50826" xr:uid="{00000000-0005-0000-0000-0000E0350000}"/>
    <cellStyle name="40% - Accent2 3 3 27" xfId="52509" xr:uid="{00000000-0005-0000-0000-0000E1350000}"/>
    <cellStyle name="40% - Accent2 3 3 28" xfId="54192" xr:uid="{00000000-0005-0000-0000-0000E2350000}"/>
    <cellStyle name="40% - Accent2 3 3 29" xfId="55875" xr:uid="{00000000-0005-0000-0000-0000E3350000}"/>
    <cellStyle name="40% - Accent2 3 3 3" xfId="1173" xr:uid="{00000000-0005-0000-0000-0000E4350000}"/>
    <cellStyle name="40% - Accent2 3 3 3 10" xfId="16322" xr:uid="{00000000-0005-0000-0000-0000E5350000}"/>
    <cellStyle name="40% - Accent2 3 3 3 11" xfId="31471" xr:uid="{00000000-0005-0000-0000-0000E6350000}"/>
    <cellStyle name="40% - Accent2 3 3 3 12" xfId="33154" xr:uid="{00000000-0005-0000-0000-0000E7350000}"/>
    <cellStyle name="40% - Accent2 3 3 3 13" xfId="34837" xr:uid="{00000000-0005-0000-0000-0000E8350000}"/>
    <cellStyle name="40% - Accent2 3 3 3 14" xfId="36520" xr:uid="{00000000-0005-0000-0000-0000E9350000}"/>
    <cellStyle name="40% - Accent2 3 3 3 15" xfId="38203" xr:uid="{00000000-0005-0000-0000-0000EA350000}"/>
    <cellStyle name="40% - Accent2 3 3 3 16" xfId="39886" xr:uid="{00000000-0005-0000-0000-0000EB350000}"/>
    <cellStyle name="40% - Accent2 3 3 3 17" xfId="41569" xr:uid="{00000000-0005-0000-0000-0000EC350000}"/>
    <cellStyle name="40% - Accent2 3 3 3 18" xfId="43252" xr:uid="{00000000-0005-0000-0000-0000ED350000}"/>
    <cellStyle name="40% - Accent2 3 3 3 19" xfId="44935" xr:uid="{00000000-0005-0000-0000-0000EE350000}"/>
    <cellStyle name="40% - Accent2 3 3 3 2" xfId="2856" xr:uid="{00000000-0005-0000-0000-0000EF350000}"/>
    <cellStyle name="40% - Accent2 3 3 3 2 2" xfId="18005" xr:uid="{00000000-0005-0000-0000-0000F0350000}"/>
    <cellStyle name="40% - Accent2 3 3 3 20" xfId="46618" xr:uid="{00000000-0005-0000-0000-0000F1350000}"/>
    <cellStyle name="40% - Accent2 3 3 3 21" xfId="48301" xr:uid="{00000000-0005-0000-0000-0000F2350000}"/>
    <cellStyle name="40% - Accent2 3 3 3 22" xfId="49984" xr:uid="{00000000-0005-0000-0000-0000F3350000}"/>
    <cellStyle name="40% - Accent2 3 3 3 23" xfId="51667" xr:uid="{00000000-0005-0000-0000-0000F4350000}"/>
    <cellStyle name="40% - Accent2 3 3 3 24" xfId="53350" xr:uid="{00000000-0005-0000-0000-0000F5350000}"/>
    <cellStyle name="40% - Accent2 3 3 3 25" xfId="55033" xr:uid="{00000000-0005-0000-0000-0000F6350000}"/>
    <cellStyle name="40% - Accent2 3 3 3 26" xfId="56716" xr:uid="{00000000-0005-0000-0000-0000F7350000}"/>
    <cellStyle name="40% - Accent2 3 3 3 27" xfId="58399" xr:uid="{00000000-0005-0000-0000-0000F8350000}"/>
    <cellStyle name="40% - Accent2 3 3 3 28" xfId="60082" xr:uid="{00000000-0005-0000-0000-0000F9350000}"/>
    <cellStyle name="40% - Accent2 3 3 3 29" xfId="61765" xr:uid="{00000000-0005-0000-0000-0000FA350000}"/>
    <cellStyle name="40% - Accent2 3 3 3 3" xfId="4540" xr:uid="{00000000-0005-0000-0000-0000FB350000}"/>
    <cellStyle name="40% - Accent2 3 3 3 3 2" xfId="19689" xr:uid="{00000000-0005-0000-0000-0000FC350000}"/>
    <cellStyle name="40% - Accent2 3 3 3 30" xfId="63448" xr:uid="{00000000-0005-0000-0000-0000FD350000}"/>
    <cellStyle name="40% - Accent2 3 3 3 4" xfId="6223" xr:uid="{00000000-0005-0000-0000-0000FE350000}"/>
    <cellStyle name="40% - Accent2 3 3 3 4 2" xfId="21372" xr:uid="{00000000-0005-0000-0000-0000FF350000}"/>
    <cellStyle name="40% - Accent2 3 3 3 5" xfId="7906" xr:uid="{00000000-0005-0000-0000-000000360000}"/>
    <cellStyle name="40% - Accent2 3 3 3 5 2" xfId="23055" xr:uid="{00000000-0005-0000-0000-000001360000}"/>
    <cellStyle name="40% - Accent2 3 3 3 6" xfId="9589" xr:uid="{00000000-0005-0000-0000-000002360000}"/>
    <cellStyle name="40% - Accent2 3 3 3 6 2" xfId="24738" xr:uid="{00000000-0005-0000-0000-000003360000}"/>
    <cellStyle name="40% - Accent2 3 3 3 7" xfId="11272" xr:uid="{00000000-0005-0000-0000-000004360000}"/>
    <cellStyle name="40% - Accent2 3 3 3 7 2" xfId="26421" xr:uid="{00000000-0005-0000-0000-000005360000}"/>
    <cellStyle name="40% - Accent2 3 3 3 8" xfId="12956" xr:uid="{00000000-0005-0000-0000-000006360000}"/>
    <cellStyle name="40% - Accent2 3 3 3 8 2" xfId="28105" xr:uid="{00000000-0005-0000-0000-000007360000}"/>
    <cellStyle name="40% - Accent2 3 3 3 9" xfId="14639" xr:uid="{00000000-0005-0000-0000-000008360000}"/>
    <cellStyle name="40% - Accent2 3 3 3 9 2" xfId="29788" xr:uid="{00000000-0005-0000-0000-000009360000}"/>
    <cellStyle name="40% - Accent2 3 3 30" xfId="57558" xr:uid="{00000000-0005-0000-0000-00000A360000}"/>
    <cellStyle name="40% - Accent2 3 3 31" xfId="59241" xr:uid="{00000000-0005-0000-0000-00000B360000}"/>
    <cellStyle name="40% - Accent2 3 3 32" xfId="60924" xr:uid="{00000000-0005-0000-0000-00000C360000}"/>
    <cellStyle name="40% - Accent2 3 3 33" xfId="62607" xr:uid="{00000000-0005-0000-0000-00000D360000}"/>
    <cellStyle name="40% - Accent2 3 3 4" xfId="1594" xr:uid="{00000000-0005-0000-0000-00000E360000}"/>
    <cellStyle name="40% - Accent2 3 3 4 10" xfId="16743" xr:uid="{00000000-0005-0000-0000-00000F360000}"/>
    <cellStyle name="40% - Accent2 3 3 4 11" xfId="31892" xr:uid="{00000000-0005-0000-0000-000010360000}"/>
    <cellStyle name="40% - Accent2 3 3 4 12" xfId="33575" xr:uid="{00000000-0005-0000-0000-000011360000}"/>
    <cellStyle name="40% - Accent2 3 3 4 13" xfId="35258" xr:uid="{00000000-0005-0000-0000-000012360000}"/>
    <cellStyle name="40% - Accent2 3 3 4 14" xfId="36941" xr:uid="{00000000-0005-0000-0000-000013360000}"/>
    <cellStyle name="40% - Accent2 3 3 4 15" xfId="38624" xr:uid="{00000000-0005-0000-0000-000014360000}"/>
    <cellStyle name="40% - Accent2 3 3 4 16" xfId="40307" xr:uid="{00000000-0005-0000-0000-000015360000}"/>
    <cellStyle name="40% - Accent2 3 3 4 17" xfId="41990" xr:uid="{00000000-0005-0000-0000-000016360000}"/>
    <cellStyle name="40% - Accent2 3 3 4 18" xfId="43673" xr:uid="{00000000-0005-0000-0000-000017360000}"/>
    <cellStyle name="40% - Accent2 3 3 4 19" xfId="45356" xr:uid="{00000000-0005-0000-0000-000018360000}"/>
    <cellStyle name="40% - Accent2 3 3 4 2" xfId="3277" xr:uid="{00000000-0005-0000-0000-000019360000}"/>
    <cellStyle name="40% - Accent2 3 3 4 2 2" xfId="18426" xr:uid="{00000000-0005-0000-0000-00001A360000}"/>
    <cellStyle name="40% - Accent2 3 3 4 20" xfId="47039" xr:uid="{00000000-0005-0000-0000-00001B360000}"/>
    <cellStyle name="40% - Accent2 3 3 4 21" xfId="48722" xr:uid="{00000000-0005-0000-0000-00001C360000}"/>
    <cellStyle name="40% - Accent2 3 3 4 22" xfId="50405" xr:uid="{00000000-0005-0000-0000-00001D360000}"/>
    <cellStyle name="40% - Accent2 3 3 4 23" xfId="52088" xr:uid="{00000000-0005-0000-0000-00001E360000}"/>
    <cellStyle name="40% - Accent2 3 3 4 24" xfId="53771" xr:uid="{00000000-0005-0000-0000-00001F360000}"/>
    <cellStyle name="40% - Accent2 3 3 4 25" xfId="55454" xr:uid="{00000000-0005-0000-0000-000020360000}"/>
    <cellStyle name="40% - Accent2 3 3 4 26" xfId="57137" xr:uid="{00000000-0005-0000-0000-000021360000}"/>
    <cellStyle name="40% - Accent2 3 3 4 27" xfId="58820" xr:uid="{00000000-0005-0000-0000-000022360000}"/>
    <cellStyle name="40% - Accent2 3 3 4 28" xfId="60503" xr:uid="{00000000-0005-0000-0000-000023360000}"/>
    <cellStyle name="40% - Accent2 3 3 4 29" xfId="62186" xr:uid="{00000000-0005-0000-0000-000024360000}"/>
    <cellStyle name="40% - Accent2 3 3 4 3" xfId="4961" xr:uid="{00000000-0005-0000-0000-000025360000}"/>
    <cellStyle name="40% - Accent2 3 3 4 3 2" xfId="20110" xr:uid="{00000000-0005-0000-0000-000026360000}"/>
    <cellStyle name="40% - Accent2 3 3 4 30" xfId="63869" xr:uid="{00000000-0005-0000-0000-000027360000}"/>
    <cellStyle name="40% - Accent2 3 3 4 4" xfId="6644" xr:uid="{00000000-0005-0000-0000-000028360000}"/>
    <cellStyle name="40% - Accent2 3 3 4 4 2" xfId="21793" xr:uid="{00000000-0005-0000-0000-000029360000}"/>
    <cellStyle name="40% - Accent2 3 3 4 5" xfId="8327" xr:uid="{00000000-0005-0000-0000-00002A360000}"/>
    <cellStyle name="40% - Accent2 3 3 4 5 2" xfId="23476" xr:uid="{00000000-0005-0000-0000-00002B360000}"/>
    <cellStyle name="40% - Accent2 3 3 4 6" xfId="10010" xr:uid="{00000000-0005-0000-0000-00002C360000}"/>
    <cellStyle name="40% - Accent2 3 3 4 6 2" xfId="25159" xr:uid="{00000000-0005-0000-0000-00002D360000}"/>
    <cellStyle name="40% - Accent2 3 3 4 7" xfId="11693" xr:uid="{00000000-0005-0000-0000-00002E360000}"/>
    <cellStyle name="40% - Accent2 3 3 4 7 2" xfId="26842" xr:uid="{00000000-0005-0000-0000-00002F360000}"/>
    <cellStyle name="40% - Accent2 3 3 4 8" xfId="13377" xr:uid="{00000000-0005-0000-0000-000030360000}"/>
    <cellStyle name="40% - Accent2 3 3 4 8 2" xfId="28526" xr:uid="{00000000-0005-0000-0000-000031360000}"/>
    <cellStyle name="40% - Accent2 3 3 4 9" xfId="15060" xr:uid="{00000000-0005-0000-0000-000032360000}"/>
    <cellStyle name="40% - Accent2 3 3 4 9 2" xfId="30209" xr:uid="{00000000-0005-0000-0000-000033360000}"/>
    <cellStyle name="40% - Accent2 3 3 5" xfId="2015" xr:uid="{00000000-0005-0000-0000-000034360000}"/>
    <cellStyle name="40% - Accent2 3 3 5 2" xfId="17164" xr:uid="{00000000-0005-0000-0000-000035360000}"/>
    <cellStyle name="40% - Accent2 3 3 6" xfId="3699" xr:uid="{00000000-0005-0000-0000-000036360000}"/>
    <cellStyle name="40% - Accent2 3 3 6 2" xfId="18848" xr:uid="{00000000-0005-0000-0000-000037360000}"/>
    <cellStyle name="40% - Accent2 3 3 7" xfId="5382" xr:uid="{00000000-0005-0000-0000-000038360000}"/>
    <cellStyle name="40% - Accent2 3 3 7 2" xfId="20531" xr:uid="{00000000-0005-0000-0000-000039360000}"/>
    <cellStyle name="40% - Accent2 3 3 8" xfId="7065" xr:uid="{00000000-0005-0000-0000-00003A360000}"/>
    <cellStyle name="40% - Accent2 3 3 8 2" xfId="22214" xr:uid="{00000000-0005-0000-0000-00003B360000}"/>
    <cellStyle name="40% - Accent2 3 3 9" xfId="8748" xr:uid="{00000000-0005-0000-0000-00003C360000}"/>
    <cellStyle name="40% - Accent2 3 3 9 2" xfId="23897" xr:uid="{00000000-0005-0000-0000-00003D360000}"/>
    <cellStyle name="40% - Accent2 3 30" xfId="53982" xr:uid="{00000000-0005-0000-0000-00003E360000}"/>
    <cellStyle name="40% - Accent2 3 31" xfId="55665" xr:uid="{00000000-0005-0000-0000-00003F360000}"/>
    <cellStyle name="40% - Accent2 3 32" xfId="57348" xr:uid="{00000000-0005-0000-0000-000040360000}"/>
    <cellStyle name="40% - Accent2 3 33" xfId="59031" xr:uid="{00000000-0005-0000-0000-000041360000}"/>
    <cellStyle name="40% - Accent2 3 34" xfId="60714" xr:uid="{00000000-0005-0000-0000-000042360000}"/>
    <cellStyle name="40% - Accent2 3 35" xfId="62397" xr:uid="{00000000-0005-0000-0000-000043360000}"/>
    <cellStyle name="40% - Accent2 3 4" xfId="542" xr:uid="{00000000-0005-0000-0000-000044360000}"/>
    <cellStyle name="40% - Accent2 3 4 10" xfId="15691" xr:uid="{00000000-0005-0000-0000-000045360000}"/>
    <cellStyle name="40% - Accent2 3 4 11" xfId="30840" xr:uid="{00000000-0005-0000-0000-000046360000}"/>
    <cellStyle name="40% - Accent2 3 4 12" xfId="32523" xr:uid="{00000000-0005-0000-0000-000047360000}"/>
    <cellStyle name="40% - Accent2 3 4 13" xfId="34206" xr:uid="{00000000-0005-0000-0000-000048360000}"/>
    <cellStyle name="40% - Accent2 3 4 14" xfId="35889" xr:uid="{00000000-0005-0000-0000-000049360000}"/>
    <cellStyle name="40% - Accent2 3 4 15" xfId="37572" xr:uid="{00000000-0005-0000-0000-00004A360000}"/>
    <cellStyle name="40% - Accent2 3 4 16" xfId="39255" xr:uid="{00000000-0005-0000-0000-00004B360000}"/>
    <cellStyle name="40% - Accent2 3 4 17" xfId="40938" xr:uid="{00000000-0005-0000-0000-00004C360000}"/>
    <cellStyle name="40% - Accent2 3 4 18" xfId="42621" xr:uid="{00000000-0005-0000-0000-00004D360000}"/>
    <cellStyle name="40% - Accent2 3 4 19" xfId="44304" xr:uid="{00000000-0005-0000-0000-00004E360000}"/>
    <cellStyle name="40% - Accent2 3 4 2" xfId="2225" xr:uid="{00000000-0005-0000-0000-00004F360000}"/>
    <cellStyle name="40% - Accent2 3 4 2 2" xfId="17374" xr:uid="{00000000-0005-0000-0000-000050360000}"/>
    <cellStyle name="40% - Accent2 3 4 20" xfId="45987" xr:uid="{00000000-0005-0000-0000-000051360000}"/>
    <cellStyle name="40% - Accent2 3 4 21" xfId="47670" xr:uid="{00000000-0005-0000-0000-000052360000}"/>
    <cellStyle name="40% - Accent2 3 4 22" xfId="49353" xr:uid="{00000000-0005-0000-0000-000053360000}"/>
    <cellStyle name="40% - Accent2 3 4 23" xfId="51036" xr:uid="{00000000-0005-0000-0000-000054360000}"/>
    <cellStyle name="40% - Accent2 3 4 24" xfId="52719" xr:uid="{00000000-0005-0000-0000-000055360000}"/>
    <cellStyle name="40% - Accent2 3 4 25" xfId="54402" xr:uid="{00000000-0005-0000-0000-000056360000}"/>
    <cellStyle name="40% - Accent2 3 4 26" xfId="56085" xr:uid="{00000000-0005-0000-0000-000057360000}"/>
    <cellStyle name="40% - Accent2 3 4 27" xfId="57768" xr:uid="{00000000-0005-0000-0000-000058360000}"/>
    <cellStyle name="40% - Accent2 3 4 28" xfId="59451" xr:uid="{00000000-0005-0000-0000-000059360000}"/>
    <cellStyle name="40% - Accent2 3 4 29" xfId="61134" xr:uid="{00000000-0005-0000-0000-00005A360000}"/>
    <cellStyle name="40% - Accent2 3 4 3" xfId="3909" xr:uid="{00000000-0005-0000-0000-00005B360000}"/>
    <cellStyle name="40% - Accent2 3 4 3 2" xfId="19058" xr:uid="{00000000-0005-0000-0000-00005C360000}"/>
    <cellStyle name="40% - Accent2 3 4 30" xfId="62817" xr:uid="{00000000-0005-0000-0000-00005D360000}"/>
    <cellStyle name="40% - Accent2 3 4 4" xfId="5592" xr:uid="{00000000-0005-0000-0000-00005E360000}"/>
    <cellStyle name="40% - Accent2 3 4 4 2" xfId="20741" xr:uid="{00000000-0005-0000-0000-00005F360000}"/>
    <cellStyle name="40% - Accent2 3 4 5" xfId="7275" xr:uid="{00000000-0005-0000-0000-000060360000}"/>
    <cellStyle name="40% - Accent2 3 4 5 2" xfId="22424" xr:uid="{00000000-0005-0000-0000-000061360000}"/>
    <cellStyle name="40% - Accent2 3 4 6" xfId="8958" xr:uid="{00000000-0005-0000-0000-000062360000}"/>
    <cellStyle name="40% - Accent2 3 4 6 2" xfId="24107" xr:uid="{00000000-0005-0000-0000-000063360000}"/>
    <cellStyle name="40% - Accent2 3 4 7" xfId="10641" xr:uid="{00000000-0005-0000-0000-000064360000}"/>
    <cellStyle name="40% - Accent2 3 4 7 2" xfId="25790" xr:uid="{00000000-0005-0000-0000-000065360000}"/>
    <cellStyle name="40% - Accent2 3 4 8" xfId="12325" xr:uid="{00000000-0005-0000-0000-000066360000}"/>
    <cellStyle name="40% - Accent2 3 4 8 2" xfId="27474" xr:uid="{00000000-0005-0000-0000-000067360000}"/>
    <cellStyle name="40% - Accent2 3 4 9" xfId="14008" xr:uid="{00000000-0005-0000-0000-000068360000}"/>
    <cellStyle name="40% - Accent2 3 4 9 2" xfId="29157" xr:uid="{00000000-0005-0000-0000-000069360000}"/>
    <cellStyle name="40% - Accent2 3 5" xfId="963" xr:uid="{00000000-0005-0000-0000-00006A360000}"/>
    <cellStyle name="40% - Accent2 3 5 10" xfId="16112" xr:uid="{00000000-0005-0000-0000-00006B360000}"/>
    <cellStyle name="40% - Accent2 3 5 11" xfId="31261" xr:uid="{00000000-0005-0000-0000-00006C360000}"/>
    <cellStyle name="40% - Accent2 3 5 12" xfId="32944" xr:uid="{00000000-0005-0000-0000-00006D360000}"/>
    <cellStyle name="40% - Accent2 3 5 13" xfId="34627" xr:uid="{00000000-0005-0000-0000-00006E360000}"/>
    <cellStyle name="40% - Accent2 3 5 14" xfId="36310" xr:uid="{00000000-0005-0000-0000-00006F360000}"/>
    <cellStyle name="40% - Accent2 3 5 15" xfId="37993" xr:uid="{00000000-0005-0000-0000-000070360000}"/>
    <cellStyle name="40% - Accent2 3 5 16" xfId="39676" xr:uid="{00000000-0005-0000-0000-000071360000}"/>
    <cellStyle name="40% - Accent2 3 5 17" xfId="41359" xr:uid="{00000000-0005-0000-0000-000072360000}"/>
    <cellStyle name="40% - Accent2 3 5 18" xfId="43042" xr:uid="{00000000-0005-0000-0000-000073360000}"/>
    <cellStyle name="40% - Accent2 3 5 19" xfId="44725" xr:uid="{00000000-0005-0000-0000-000074360000}"/>
    <cellStyle name="40% - Accent2 3 5 2" xfId="2646" xr:uid="{00000000-0005-0000-0000-000075360000}"/>
    <cellStyle name="40% - Accent2 3 5 2 2" xfId="17795" xr:uid="{00000000-0005-0000-0000-000076360000}"/>
    <cellStyle name="40% - Accent2 3 5 20" xfId="46408" xr:uid="{00000000-0005-0000-0000-000077360000}"/>
    <cellStyle name="40% - Accent2 3 5 21" xfId="48091" xr:uid="{00000000-0005-0000-0000-000078360000}"/>
    <cellStyle name="40% - Accent2 3 5 22" xfId="49774" xr:uid="{00000000-0005-0000-0000-000079360000}"/>
    <cellStyle name="40% - Accent2 3 5 23" xfId="51457" xr:uid="{00000000-0005-0000-0000-00007A360000}"/>
    <cellStyle name="40% - Accent2 3 5 24" xfId="53140" xr:uid="{00000000-0005-0000-0000-00007B360000}"/>
    <cellStyle name="40% - Accent2 3 5 25" xfId="54823" xr:uid="{00000000-0005-0000-0000-00007C360000}"/>
    <cellStyle name="40% - Accent2 3 5 26" xfId="56506" xr:uid="{00000000-0005-0000-0000-00007D360000}"/>
    <cellStyle name="40% - Accent2 3 5 27" xfId="58189" xr:uid="{00000000-0005-0000-0000-00007E360000}"/>
    <cellStyle name="40% - Accent2 3 5 28" xfId="59872" xr:uid="{00000000-0005-0000-0000-00007F360000}"/>
    <cellStyle name="40% - Accent2 3 5 29" xfId="61555" xr:uid="{00000000-0005-0000-0000-000080360000}"/>
    <cellStyle name="40% - Accent2 3 5 3" xfId="4330" xr:uid="{00000000-0005-0000-0000-000081360000}"/>
    <cellStyle name="40% - Accent2 3 5 3 2" xfId="19479" xr:uid="{00000000-0005-0000-0000-000082360000}"/>
    <cellStyle name="40% - Accent2 3 5 30" xfId="63238" xr:uid="{00000000-0005-0000-0000-000083360000}"/>
    <cellStyle name="40% - Accent2 3 5 4" xfId="6013" xr:uid="{00000000-0005-0000-0000-000084360000}"/>
    <cellStyle name="40% - Accent2 3 5 4 2" xfId="21162" xr:uid="{00000000-0005-0000-0000-000085360000}"/>
    <cellStyle name="40% - Accent2 3 5 5" xfId="7696" xr:uid="{00000000-0005-0000-0000-000086360000}"/>
    <cellStyle name="40% - Accent2 3 5 5 2" xfId="22845" xr:uid="{00000000-0005-0000-0000-000087360000}"/>
    <cellStyle name="40% - Accent2 3 5 6" xfId="9379" xr:uid="{00000000-0005-0000-0000-000088360000}"/>
    <cellStyle name="40% - Accent2 3 5 6 2" xfId="24528" xr:uid="{00000000-0005-0000-0000-000089360000}"/>
    <cellStyle name="40% - Accent2 3 5 7" xfId="11062" xr:uid="{00000000-0005-0000-0000-00008A360000}"/>
    <cellStyle name="40% - Accent2 3 5 7 2" xfId="26211" xr:uid="{00000000-0005-0000-0000-00008B360000}"/>
    <cellStyle name="40% - Accent2 3 5 8" xfId="12746" xr:uid="{00000000-0005-0000-0000-00008C360000}"/>
    <cellStyle name="40% - Accent2 3 5 8 2" xfId="27895" xr:uid="{00000000-0005-0000-0000-00008D360000}"/>
    <cellStyle name="40% - Accent2 3 5 9" xfId="14429" xr:uid="{00000000-0005-0000-0000-00008E360000}"/>
    <cellStyle name="40% - Accent2 3 5 9 2" xfId="29578" xr:uid="{00000000-0005-0000-0000-00008F360000}"/>
    <cellStyle name="40% - Accent2 3 6" xfId="1384" xr:uid="{00000000-0005-0000-0000-000090360000}"/>
    <cellStyle name="40% - Accent2 3 6 10" xfId="16533" xr:uid="{00000000-0005-0000-0000-000091360000}"/>
    <cellStyle name="40% - Accent2 3 6 11" xfId="31682" xr:uid="{00000000-0005-0000-0000-000092360000}"/>
    <cellStyle name="40% - Accent2 3 6 12" xfId="33365" xr:uid="{00000000-0005-0000-0000-000093360000}"/>
    <cellStyle name="40% - Accent2 3 6 13" xfId="35048" xr:uid="{00000000-0005-0000-0000-000094360000}"/>
    <cellStyle name="40% - Accent2 3 6 14" xfId="36731" xr:uid="{00000000-0005-0000-0000-000095360000}"/>
    <cellStyle name="40% - Accent2 3 6 15" xfId="38414" xr:uid="{00000000-0005-0000-0000-000096360000}"/>
    <cellStyle name="40% - Accent2 3 6 16" xfId="40097" xr:uid="{00000000-0005-0000-0000-000097360000}"/>
    <cellStyle name="40% - Accent2 3 6 17" xfId="41780" xr:uid="{00000000-0005-0000-0000-000098360000}"/>
    <cellStyle name="40% - Accent2 3 6 18" xfId="43463" xr:uid="{00000000-0005-0000-0000-000099360000}"/>
    <cellStyle name="40% - Accent2 3 6 19" xfId="45146" xr:uid="{00000000-0005-0000-0000-00009A360000}"/>
    <cellStyle name="40% - Accent2 3 6 2" xfId="3067" xr:uid="{00000000-0005-0000-0000-00009B360000}"/>
    <cellStyle name="40% - Accent2 3 6 2 2" xfId="18216" xr:uid="{00000000-0005-0000-0000-00009C360000}"/>
    <cellStyle name="40% - Accent2 3 6 20" xfId="46829" xr:uid="{00000000-0005-0000-0000-00009D360000}"/>
    <cellStyle name="40% - Accent2 3 6 21" xfId="48512" xr:uid="{00000000-0005-0000-0000-00009E360000}"/>
    <cellStyle name="40% - Accent2 3 6 22" xfId="50195" xr:uid="{00000000-0005-0000-0000-00009F360000}"/>
    <cellStyle name="40% - Accent2 3 6 23" xfId="51878" xr:uid="{00000000-0005-0000-0000-0000A0360000}"/>
    <cellStyle name="40% - Accent2 3 6 24" xfId="53561" xr:uid="{00000000-0005-0000-0000-0000A1360000}"/>
    <cellStyle name="40% - Accent2 3 6 25" xfId="55244" xr:uid="{00000000-0005-0000-0000-0000A2360000}"/>
    <cellStyle name="40% - Accent2 3 6 26" xfId="56927" xr:uid="{00000000-0005-0000-0000-0000A3360000}"/>
    <cellStyle name="40% - Accent2 3 6 27" xfId="58610" xr:uid="{00000000-0005-0000-0000-0000A4360000}"/>
    <cellStyle name="40% - Accent2 3 6 28" xfId="60293" xr:uid="{00000000-0005-0000-0000-0000A5360000}"/>
    <cellStyle name="40% - Accent2 3 6 29" xfId="61976" xr:uid="{00000000-0005-0000-0000-0000A6360000}"/>
    <cellStyle name="40% - Accent2 3 6 3" xfId="4751" xr:uid="{00000000-0005-0000-0000-0000A7360000}"/>
    <cellStyle name="40% - Accent2 3 6 3 2" xfId="19900" xr:uid="{00000000-0005-0000-0000-0000A8360000}"/>
    <cellStyle name="40% - Accent2 3 6 30" xfId="63659" xr:uid="{00000000-0005-0000-0000-0000A9360000}"/>
    <cellStyle name="40% - Accent2 3 6 4" xfId="6434" xr:uid="{00000000-0005-0000-0000-0000AA360000}"/>
    <cellStyle name="40% - Accent2 3 6 4 2" xfId="21583" xr:uid="{00000000-0005-0000-0000-0000AB360000}"/>
    <cellStyle name="40% - Accent2 3 6 5" xfId="8117" xr:uid="{00000000-0005-0000-0000-0000AC360000}"/>
    <cellStyle name="40% - Accent2 3 6 5 2" xfId="23266" xr:uid="{00000000-0005-0000-0000-0000AD360000}"/>
    <cellStyle name="40% - Accent2 3 6 6" xfId="9800" xr:uid="{00000000-0005-0000-0000-0000AE360000}"/>
    <cellStyle name="40% - Accent2 3 6 6 2" xfId="24949" xr:uid="{00000000-0005-0000-0000-0000AF360000}"/>
    <cellStyle name="40% - Accent2 3 6 7" xfId="11483" xr:uid="{00000000-0005-0000-0000-0000B0360000}"/>
    <cellStyle name="40% - Accent2 3 6 7 2" xfId="26632" xr:uid="{00000000-0005-0000-0000-0000B1360000}"/>
    <cellStyle name="40% - Accent2 3 6 8" xfId="13167" xr:uid="{00000000-0005-0000-0000-0000B2360000}"/>
    <cellStyle name="40% - Accent2 3 6 8 2" xfId="28316" xr:uid="{00000000-0005-0000-0000-0000B3360000}"/>
    <cellStyle name="40% - Accent2 3 6 9" xfId="14850" xr:uid="{00000000-0005-0000-0000-0000B4360000}"/>
    <cellStyle name="40% - Accent2 3 6 9 2" xfId="29999" xr:uid="{00000000-0005-0000-0000-0000B5360000}"/>
    <cellStyle name="40% - Accent2 3 7" xfId="1805" xr:uid="{00000000-0005-0000-0000-0000B6360000}"/>
    <cellStyle name="40% - Accent2 3 7 2" xfId="16954" xr:uid="{00000000-0005-0000-0000-0000B7360000}"/>
    <cellStyle name="40% - Accent2 3 8" xfId="3489" xr:uid="{00000000-0005-0000-0000-0000B8360000}"/>
    <cellStyle name="40% - Accent2 3 8 2" xfId="18638" xr:uid="{00000000-0005-0000-0000-0000B9360000}"/>
    <cellStyle name="40% - Accent2 3 9" xfId="5172" xr:uid="{00000000-0005-0000-0000-0000BA360000}"/>
    <cellStyle name="40% - Accent2 3 9 2" xfId="20321" xr:uid="{00000000-0005-0000-0000-0000BB360000}"/>
    <cellStyle name="40% - Accent2 30" xfId="50574" xr:uid="{00000000-0005-0000-0000-0000BC360000}"/>
    <cellStyle name="40% - Accent2 31" xfId="52257" xr:uid="{00000000-0005-0000-0000-0000BD360000}"/>
    <cellStyle name="40% - Accent2 32" xfId="53940" xr:uid="{00000000-0005-0000-0000-0000BE360000}"/>
    <cellStyle name="40% - Accent2 33" xfId="55623" xr:uid="{00000000-0005-0000-0000-0000BF360000}"/>
    <cellStyle name="40% - Accent2 34" xfId="57306" xr:uid="{00000000-0005-0000-0000-0000C0360000}"/>
    <cellStyle name="40% - Accent2 35" xfId="58989" xr:uid="{00000000-0005-0000-0000-0000C1360000}"/>
    <cellStyle name="40% - Accent2 36" xfId="60672" xr:uid="{00000000-0005-0000-0000-0000C2360000}"/>
    <cellStyle name="40% - Accent2 37" xfId="62355" xr:uid="{00000000-0005-0000-0000-0000C3360000}"/>
    <cellStyle name="40% - Accent2 4" xfId="185" xr:uid="{00000000-0005-0000-0000-0000C4360000}"/>
    <cellStyle name="40% - Accent2 4 10" xfId="8601" xr:uid="{00000000-0005-0000-0000-0000C5360000}"/>
    <cellStyle name="40% - Accent2 4 10 2" xfId="23750" xr:uid="{00000000-0005-0000-0000-0000C6360000}"/>
    <cellStyle name="40% - Accent2 4 11" xfId="10284" xr:uid="{00000000-0005-0000-0000-0000C7360000}"/>
    <cellStyle name="40% - Accent2 4 11 2" xfId="25433" xr:uid="{00000000-0005-0000-0000-0000C8360000}"/>
    <cellStyle name="40% - Accent2 4 12" xfId="11968" xr:uid="{00000000-0005-0000-0000-0000C9360000}"/>
    <cellStyle name="40% - Accent2 4 12 2" xfId="27117" xr:uid="{00000000-0005-0000-0000-0000CA360000}"/>
    <cellStyle name="40% - Accent2 4 13" xfId="13651" xr:uid="{00000000-0005-0000-0000-0000CB360000}"/>
    <cellStyle name="40% - Accent2 4 13 2" xfId="28800" xr:uid="{00000000-0005-0000-0000-0000CC360000}"/>
    <cellStyle name="40% - Accent2 4 14" xfId="15334" xr:uid="{00000000-0005-0000-0000-0000CD360000}"/>
    <cellStyle name="40% - Accent2 4 15" xfId="30483" xr:uid="{00000000-0005-0000-0000-0000CE360000}"/>
    <cellStyle name="40% - Accent2 4 16" xfId="32166" xr:uid="{00000000-0005-0000-0000-0000CF360000}"/>
    <cellStyle name="40% - Accent2 4 17" xfId="33849" xr:uid="{00000000-0005-0000-0000-0000D0360000}"/>
    <cellStyle name="40% - Accent2 4 18" xfId="35532" xr:uid="{00000000-0005-0000-0000-0000D1360000}"/>
    <cellStyle name="40% - Accent2 4 19" xfId="37215" xr:uid="{00000000-0005-0000-0000-0000D2360000}"/>
    <cellStyle name="40% - Accent2 4 2" xfId="395" xr:uid="{00000000-0005-0000-0000-0000D3360000}"/>
    <cellStyle name="40% - Accent2 4 2 10" xfId="10494" xr:uid="{00000000-0005-0000-0000-0000D4360000}"/>
    <cellStyle name="40% - Accent2 4 2 10 2" xfId="25643" xr:uid="{00000000-0005-0000-0000-0000D5360000}"/>
    <cellStyle name="40% - Accent2 4 2 11" xfId="12178" xr:uid="{00000000-0005-0000-0000-0000D6360000}"/>
    <cellStyle name="40% - Accent2 4 2 11 2" xfId="27327" xr:uid="{00000000-0005-0000-0000-0000D7360000}"/>
    <cellStyle name="40% - Accent2 4 2 12" xfId="13861" xr:uid="{00000000-0005-0000-0000-0000D8360000}"/>
    <cellStyle name="40% - Accent2 4 2 12 2" xfId="29010" xr:uid="{00000000-0005-0000-0000-0000D9360000}"/>
    <cellStyle name="40% - Accent2 4 2 13" xfId="15544" xr:uid="{00000000-0005-0000-0000-0000DA360000}"/>
    <cellStyle name="40% - Accent2 4 2 14" xfId="30693" xr:uid="{00000000-0005-0000-0000-0000DB360000}"/>
    <cellStyle name="40% - Accent2 4 2 15" xfId="32376" xr:uid="{00000000-0005-0000-0000-0000DC360000}"/>
    <cellStyle name="40% - Accent2 4 2 16" xfId="34059" xr:uid="{00000000-0005-0000-0000-0000DD360000}"/>
    <cellStyle name="40% - Accent2 4 2 17" xfId="35742" xr:uid="{00000000-0005-0000-0000-0000DE360000}"/>
    <cellStyle name="40% - Accent2 4 2 18" xfId="37425" xr:uid="{00000000-0005-0000-0000-0000DF360000}"/>
    <cellStyle name="40% - Accent2 4 2 19" xfId="39108" xr:uid="{00000000-0005-0000-0000-0000E0360000}"/>
    <cellStyle name="40% - Accent2 4 2 2" xfId="815" xr:uid="{00000000-0005-0000-0000-0000E1360000}"/>
    <cellStyle name="40% - Accent2 4 2 2 10" xfId="15964" xr:uid="{00000000-0005-0000-0000-0000E2360000}"/>
    <cellStyle name="40% - Accent2 4 2 2 11" xfId="31113" xr:uid="{00000000-0005-0000-0000-0000E3360000}"/>
    <cellStyle name="40% - Accent2 4 2 2 12" xfId="32796" xr:uid="{00000000-0005-0000-0000-0000E4360000}"/>
    <cellStyle name="40% - Accent2 4 2 2 13" xfId="34479" xr:uid="{00000000-0005-0000-0000-0000E5360000}"/>
    <cellStyle name="40% - Accent2 4 2 2 14" xfId="36162" xr:uid="{00000000-0005-0000-0000-0000E6360000}"/>
    <cellStyle name="40% - Accent2 4 2 2 15" xfId="37845" xr:uid="{00000000-0005-0000-0000-0000E7360000}"/>
    <cellStyle name="40% - Accent2 4 2 2 16" xfId="39528" xr:uid="{00000000-0005-0000-0000-0000E8360000}"/>
    <cellStyle name="40% - Accent2 4 2 2 17" xfId="41211" xr:uid="{00000000-0005-0000-0000-0000E9360000}"/>
    <cellStyle name="40% - Accent2 4 2 2 18" xfId="42894" xr:uid="{00000000-0005-0000-0000-0000EA360000}"/>
    <cellStyle name="40% - Accent2 4 2 2 19" xfId="44577" xr:uid="{00000000-0005-0000-0000-0000EB360000}"/>
    <cellStyle name="40% - Accent2 4 2 2 2" xfId="2498" xr:uid="{00000000-0005-0000-0000-0000EC360000}"/>
    <cellStyle name="40% - Accent2 4 2 2 2 2" xfId="17647" xr:uid="{00000000-0005-0000-0000-0000ED360000}"/>
    <cellStyle name="40% - Accent2 4 2 2 20" xfId="46260" xr:uid="{00000000-0005-0000-0000-0000EE360000}"/>
    <cellStyle name="40% - Accent2 4 2 2 21" xfId="47943" xr:uid="{00000000-0005-0000-0000-0000EF360000}"/>
    <cellStyle name="40% - Accent2 4 2 2 22" xfId="49626" xr:uid="{00000000-0005-0000-0000-0000F0360000}"/>
    <cellStyle name="40% - Accent2 4 2 2 23" xfId="51309" xr:uid="{00000000-0005-0000-0000-0000F1360000}"/>
    <cellStyle name="40% - Accent2 4 2 2 24" xfId="52992" xr:uid="{00000000-0005-0000-0000-0000F2360000}"/>
    <cellStyle name="40% - Accent2 4 2 2 25" xfId="54675" xr:uid="{00000000-0005-0000-0000-0000F3360000}"/>
    <cellStyle name="40% - Accent2 4 2 2 26" xfId="56358" xr:uid="{00000000-0005-0000-0000-0000F4360000}"/>
    <cellStyle name="40% - Accent2 4 2 2 27" xfId="58041" xr:uid="{00000000-0005-0000-0000-0000F5360000}"/>
    <cellStyle name="40% - Accent2 4 2 2 28" xfId="59724" xr:uid="{00000000-0005-0000-0000-0000F6360000}"/>
    <cellStyle name="40% - Accent2 4 2 2 29" xfId="61407" xr:uid="{00000000-0005-0000-0000-0000F7360000}"/>
    <cellStyle name="40% - Accent2 4 2 2 3" xfId="4182" xr:uid="{00000000-0005-0000-0000-0000F8360000}"/>
    <cellStyle name="40% - Accent2 4 2 2 3 2" xfId="19331" xr:uid="{00000000-0005-0000-0000-0000F9360000}"/>
    <cellStyle name="40% - Accent2 4 2 2 30" xfId="63090" xr:uid="{00000000-0005-0000-0000-0000FA360000}"/>
    <cellStyle name="40% - Accent2 4 2 2 4" xfId="5865" xr:uid="{00000000-0005-0000-0000-0000FB360000}"/>
    <cellStyle name="40% - Accent2 4 2 2 4 2" xfId="21014" xr:uid="{00000000-0005-0000-0000-0000FC360000}"/>
    <cellStyle name="40% - Accent2 4 2 2 5" xfId="7548" xr:uid="{00000000-0005-0000-0000-0000FD360000}"/>
    <cellStyle name="40% - Accent2 4 2 2 5 2" xfId="22697" xr:uid="{00000000-0005-0000-0000-0000FE360000}"/>
    <cellStyle name="40% - Accent2 4 2 2 6" xfId="9231" xr:uid="{00000000-0005-0000-0000-0000FF360000}"/>
    <cellStyle name="40% - Accent2 4 2 2 6 2" xfId="24380" xr:uid="{00000000-0005-0000-0000-000000370000}"/>
    <cellStyle name="40% - Accent2 4 2 2 7" xfId="10914" xr:uid="{00000000-0005-0000-0000-000001370000}"/>
    <cellStyle name="40% - Accent2 4 2 2 7 2" xfId="26063" xr:uid="{00000000-0005-0000-0000-000002370000}"/>
    <cellStyle name="40% - Accent2 4 2 2 8" xfId="12598" xr:uid="{00000000-0005-0000-0000-000003370000}"/>
    <cellStyle name="40% - Accent2 4 2 2 8 2" xfId="27747" xr:uid="{00000000-0005-0000-0000-000004370000}"/>
    <cellStyle name="40% - Accent2 4 2 2 9" xfId="14281" xr:uid="{00000000-0005-0000-0000-000005370000}"/>
    <cellStyle name="40% - Accent2 4 2 2 9 2" xfId="29430" xr:uid="{00000000-0005-0000-0000-000006370000}"/>
    <cellStyle name="40% - Accent2 4 2 20" xfId="40791" xr:uid="{00000000-0005-0000-0000-000007370000}"/>
    <cellStyle name="40% - Accent2 4 2 21" xfId="42474" xr:uid="{00000000-0005-0000-0000-000008370000}"/>
    <cellStyle name="40% - Accent2 4 2 22" xfId="44157" xr:uid="{00000000-0005-0000-0000-000009370000}"/>
    <cellStyle name="40% - Accent2 4 2 23" xfId="45840" xr:uid="{00000000-0005-0000-0000-00000A370000}"/>
    <cellStyle name="40% - Accent2 4 2 24" xfId="47523" xr:uid="{00000000-0005-0000-0000-00000B370000}"/>
    <cellStyle name="40% - Accent2 4 2 25" xfId="49206" xr:uid="{00000000-0005-0000-0000-00000C370000}"/>
    <cellStyle name="40% - Accent2 4 2 26" xfId="50889" xr:uid="{00000000-0005-0000-0000-00000D370000}"/>
    <cellStyle name="40% - Accent2 4 2 27" xfId="52572" xr:uid="{00000000-0005-0000-0000-00000E370000}"/>
    <cellStyle name="40% - Accent2 4 2 28" xfId="54255" xr:uid="{00000000-0005-0000-0000-00000F370000}"/>
    <cellStyle name="40% - Accent2 4 2 29" xfId="55938" xr:uid="{00000000-0005-0000-0000-000010370000}"/>
    <cellStyle name="40% - Accent2 4 2 3" xfId="1236" xr:uid="{00000000-0005-0000-0000-000011370000}"/>
    <cellStyle name="40% - Accent2 4 2 3 10" xfId="16385" xr:uid="{00000000-0005-0000-0000-000012370000}"/>
    <cellStyle name="40% - Accent2 4 2 3 11" xfId="31534" xr:uid="{00000000-0005-0000-0000-000013370000}"/>
    <cellStyle name="40% - Accent2 4 2 3 12" xfId="33217" xr:uid="{00000000-0005-0000-0000-000014370000}"/>
    <cellStyle name="40% - Accent2 4 2 3 13" xfId="34900" xr:uid="{00000000-0005-0000-0000-000015370000}"/>
    <cellStyle name="40% - Accent2 4 2 3 14" xfId="36583" xr:uid="{00000000-0005-0000-0000-000016370000}"/>
    <cellStyle name="40% - Accent2 4 2 3 15" xfId="38266" xr:uid="{00000000-0005-0000-0000-000017370000}"/>
    <cellStyle name="40% - Accent2 4 2 3 16" xfId="39949" xr:uid="{00000000-0005-0000-0000-000018370000}"/>
    <cellStyle name="40% - Accent2 4 2 3 17" xfId="41632" xr:uid="{00000000-0005-0000-0000-000019370000}"/>
    <cellStyle name="40% - Accent2 4 2 3 18" xfId="43315" xr:uid="{00000000-0005-0000-0000-00001A370000}"/>
    <cellStyle name="40% - Accent2 4 2 3 19" xfId="44998" xr:uid="{00000000-0005-0000-0000-00001B370000}"/>
    <cellStyle name="40% - Accent2 4 2 3 2" xfId="2919" xr:uid="{00000000-0005-0000-0000-00001C370000}"/>
    <cellStyle name="40% - Accent2 4 2 3 2 2" xfId="18068" xr:uid="{00000000-0005-0000-0000-00001D370000}"/>
    <cellStyle name="40% - Accent2 4 2 3 20" xfId="46681" xr:uid="{00000000-0005-0000-0000-00001E370000}"/>
    <cellStyle name="40% - Accent2 4 2 3 21" xfId="48364" xr:uid="{00000000-0005-0000-0000-00001F370000}"/>
    <cellStyle name="40% - Accent2 4 2 3 22" xfId="50047" xr:uid="{00000000-0005-0000-0000-000020370000}"/>
    <cellStyle name="40% - Accent2 4 2 3 23" xfId="51730" xr:uid="{00000000-0005-0000-0000-000021370000}"/>
    <cellStyle name="40% - Accent2 4 2 3 24" xfId="53413" xr:uid="{00000000-0005-0000-0000-000022370000}"/>
    <cellStyle name="40% - Accent2 4 2 3 25" xfId="55096" xr:uid="{00000000-0005-0000-0000-000023370000}"/>
    <cellStyle name="40% - Accent2 4 2 3 26" xfId="56779" xr:uid="{00000000-0005-0000-0000-000024370000}"/>
    <cellStyle name="40% - Accent2 4 2 3 27" xfId="58462" xr:uid="{00000000-0005-0000-0000-000025370000}"/>
    <cellStyle name="40% - Accent2 4 2 3 28" xfId="60145" xr:uid="{00000000-0005-0000-0000-000026370000}"/>
    <cellStyle name="40% - Accent2 4 2 3 29" xfId="61828" xr:uid="{00000000-0005-0000-0000-000027370000}"/>
    <cellStyle name="40% - Accent2 4 2 3 3" xfId="4603" xr:uid="{00000000-0005-0000-0000-000028370000}"/>
    <cellStyle name="40% - Accent2 4 2 3 3 2" xfId="19752" xr:uid="{00000000-0005-0000-0000-000029370000}"/>
    <cellStyle name="40% - Accent2 4 2 3 30" xfId="63511" xr:uid="{00000000-0005-0000-0000-00002A370000}"/>
    <cellStyle name="40% - Accent2 4 2 3 4" xfId="6286" xr:uid="{00000000-0005-0000-0000-00002B370000}"/>
    <cellStyle name="40% - Accent2 4 2 3 4 2" xfId="21435" xr:uid="{00000000-0005-0000-0000-00002C370000}"/>
    <cellStyle name="40% - Accent2 4 2 3 5" xfId="7969" xr:uid="{00000000-0005-0000-0000-00002D370000}"/>
    <cellStyle name="40% - Accent2 4 2 3 5 2" xfId="23118" xr:uid="{00000000-0005-0000-0000-00002E370000}"/>
    <cellStyle name="40% - Accent2 4 2 3 6" xfId="9652" xr:uid="{00000000-0005-0000-0000-00002F370000}"/>
    <cellStyle name="40% - Accent2 4 2 3 6 2" xfId="24801" xr:uid="{00000000-0005-0000-0000-000030370000}"/>
    <cellStyle name="40% - Accent2 4 2 3 7" xfId="11335" xr:uid="{00000000-0005-0000-0000-000031370000}"/>
    <cellStyle name="40% - Accent2 4 2 3 7 2" xfId="26484" xr:uid="{00000000-0005-0000-0000-000032370000}"/>
    <cellStyle name="40% - Accent2 4 2 3 8" xfId="13019" xr:uid="{00000000-0005-0000-0000-000033370000}"/>
    <cellStyle name="40% - Accent2 4 2 3 8 2" xfId="28168" xr:uid="{00000000-0005-0000-0000-000034370000}"/>
    <cellStyle name="40% - Accent2 4 2 3 9" xfId="14702" xr:uid="{00000000-0005-0000-0000-000035370000}"/>
    <cellStyle name="40% - Accent2 4 2 3 9 2" xfId="29851" xr:uid="{00000000-0005-0000-0000-000036370000}"/>
    <cellStyle name="40% - Accent2 4 2 30" xfId="57621" xr:uid="{00000000-0005-0000-0000-000037370000}"/>
    <cellStyle name="40% - Accent2 4 2 31" xfId="59304" xr:uid="{00000000-0005-0000-0000-000038370000}"/>
    <cellStyle name="40% - Accent2 4 2 32" xfId="60987" xr:uid="{00000000-0005-0000-0000-000039370000}"/>
    <cellStyle name="40% - Accent2 4 2 33" xfId="62670" xr:uid="{00000000-0005-0000-0000-00003A370000}"/>
    <cellStyle name="40% - Accent2 4 2 4" xfId="1657" xr:uid="{00000000-0005-0000-0000-00003B370000}"/>
    <cellStyle name="40% - Accent2 4 2 4 10" xfId="16806" xr:uid="{00000000-0005-0000-0000-00003C370000}"/>
    <cellStyle name="40% - Accent2 4 2 4 11" xfId="31955" xr:uid="{00000000-0005-0000-0000-00003D370000}"/>
    <cellStyle name="40% - Accent2 4 2 4 12" xfId="33638" xr:uid="{00000000-0005-0000-0000-00003E370000}"/>
    <cellStyle name="40% - Accent2 4 2 4 13" xfId="35321" xr:uid="{00000000-0005-0000-0000-00003F370000}"/>
    <cellStyle name="40% - Accent2 4 2 4 14" xfId="37004" xr:uid="{00000000-0005-0000-0000-000040370000}"/>
    <cellStyle name="40% - Accent2 4 2 4 15" xfId="38687" xr:uid="{00000000-0005-0000-0000-000041370000}"/>
    <cellStyle name="40% - Accent2 4 2 4 16" xfId="40370" xr:uid="{00000000-0005-0000-0000-000042370000}"/>
    <cellStyle name="40% - Accent2 4 2 4 17" xfId="42053" xr:uid="{00000000-0005-0000-0000-000043370000}"/>
    <cellStyle name="40% - Accent2 4 2 4 18" xfId="43736" xr:uid="{00000000-0005-0000-0000-000044370000}"/>
    <cellStyle name="40% - Accent2 4 2 4 19" xfId="45419" xr:uid="{00000000-0005-0000-0000-000045370000}"/>
    <cellStyle name="40% - Accent2 4 2 4 2" xfId="3340" xr:uid="{00000000-0005-0000-0000-000046370000}"/>
    <cellStyle name="40% - Accent2 4 2 4 2 2" xfId="18489" xr:uid="{00000000-0005-0000-0000-000047370000}"/>
    <cellStyle name="40% - Accent2 4 2 4 20" xfId="47102" xr:uid="{00000000-0005-0000-0000-000048370000}"/>
    <cellStyle name="40% - Accent2 4 2 4 21" xfId="48785" xr:uid="{00000000-0005-0000-0000-000049370000}"/>
    <cellStyle name="40% - Accent2 4 2 4 22" xfId="50468" xr:uid="{00000000-0005-0000-0000-00004A370000}"/>
    <cellStyle name="40% - Accent2 4 2 4 23" xfId="52151" xr:uid="{00000000-0005-0000-0000-00004B370000}"/>
    <cellStyle name="40% - Accent2 4 2 4 24" xfId="53834" xr:uid="{00000000-0005-0000-0000-00004C370000}"/>
    <cellStyle name="40% - Accent2 4 2 4 25" xfId="55517" xr:uid="{00000000-0005-0000-0000-00004D370000}"/>
    <cellStyle name="40% - Accent2 4 2 4 26" xfId="57200" xr:uid="{00000000-0005-0000-0000-00004E370000}"/>
    <cellStyle name="40% - Accent2 4 2 4 27" xfId="58883" xr:uid="{00000000-0005-0000-0000-00004F370000}"/>
    <cellStyle name="40% - Accent2 4 2 4 28" xfId="60566" xr:uid="{00000000-0005-0000-0000-000050370000}"/>
    <cellStyle name="40% - Accent2 4 2 4 29" xfId="62249" xr:uid="{00000000-0005-0000-0000-000051370000}"/>
    <cellStyle name="40% - Accent2 4 2 4 3" xfId="5024" xr:uid="{00000000-0005-0000-0000-000052370000}"/>
    <cellStyle name="40% - Accent2 4 2 4 3 2" xfId="20173" xr:uid="{00000000-0005-0000-0000-000053370000}"/>
    <cellStyle name="40% - Accent2 4 2 4 30" xfId="63932" xr:uid="{00000000-0005-0000-0000-000054370000}"/>
    <cellStyle name="40% - Accent2 4 2 4 4" xfId="6707" xr:uid="{00000000-0005-0000-0000-000055370000}"/>
    <cellStyle name="40% - Accent2 4 2 4 4 2" xfId="21856" xr:uid="{00000000-0005-0000-0000-000056370000}"/>
    <cellStyle name="40% - Accent2 4 2 4 5" xfId="8390" xr:uid="{00000000-0005-0000-0000-000057370000}"/>
    <cellStyle name="40% - Accent2 4 2 4 5 2" xfId="23539" xr:uid="{00000000-0005-0000-0000-000058370000}"/>
    <cellStyle name="40% - Accent2 4 2 4 6" xfId="10073" xr:uid="{00000000-0005-0000-0000-000059370000}"/>
    <cellStyle name="40% - Accent2 4 2 4 6 2" xfId="25222" xr:uid="{00000000-0005-0000-0000-00005A370000}"/>
    <cellStyle name="40% - Accent2 4 2 4 7" xfId="11756" xr:uid="{00000000-0005-0000-0000-00005B370000}"/>
    <cellStyle name="40% - Accent2 4 2 4 7 2" xfId="26905" xr:uid="{00000000-0005-0000-0000-00005C370000}"/>
    <cellStyle name="40% - Accent2 4 2 4 8" xfId="13440" xr:uid="{00000000-0005-0000-0000-00005D370000}"/>
    <cellStyle name="40% - Accent2 4 2 4 8 2" xfId="28589" xr:uid="{00000000-0005-0000-0000-00005E370000}"/>
    <cellStyle name="40% - Accent2 4 2 4 9" xfId="15123" xr:uid="{00000000-0005-0000-0000-00005F370000}"/>
    <cellStyle name="40% - Accent2 4 2 4 9 2" xfId="30272" xr:uid="{00000000-0005-0000-0000-000060370000}"/>
    <cellStyle name="40% - Accent2 4 2 5" xfId="2078" xr:uid="{00000000-0005-0000-0000-000061370000}"/>
    <cellStyle name="40% - Accent2 4 2 5 2" xfId="17227" xr:uid="{00000000-0005-0000-0000-000062370000}"/>
    <cellStyle name="40% - Accent2 4 2 6" xfId="3762" xr:uid="{00000000-0005-0000-0000-000063370000}"/>
    <cellStyle name="40% - Accent2 4 2 6 2" xfId="18911" xr:uid="{00000000-0005-0000-0000-000064370000}"/>
    <cellStyle name="40% - Accent2 4 2 7" xfId="5445" xr:uid="{00000000-0005-0000-0000-000065370000}"/>
    <cellStyle name="40% - Accent2 4 2 7 2" xfId="20594" xr:uid="{00000000-0005-0000-0000-000066370000}"/>
    <cellStyle name="40% - Accent2 4 2 8" xfId="7128" xr:uid="{00000000-0005-0000-0000-000067370000}"/>
    <cellStyle name="40% - Accent2 4 2 8 2" xfId="22277" xr:uid="{00000000-0005-0000-0000-000068370000}"/>
    <cellStyle name="40% - Accent2 4 2 9" xfId="8811" xr:uid="{00000000-0005-0000-0000-000069370000}"/>
    <cellStyle name="40% - Accent2 4 2 9 2" xfId="23960" xr:uid="{00000000-0005-0000-0000-00006A370000}"/>
    <cellStyle name="40% - Accent2 4 20" xfId="38898" xr:uid="{00000000-0005-0000-0000-00006B370000}"/>
    <cellStyle name="40% - Accent2 4 21" xfId="40581" xr:uid="{00000000-0005-0000-0000-00006C370000}"/>
    <cellStyle name="40% - Accent2 4 22" xfId="42264" xr:uid="{00000000-0005-0000-0000-00006D370000}"/>
    <cellStyle name="40% - Accent2 4 23" xfId="43947" xr:uid="{00000000-0005-0000-0000-00006E370000}"/>
    <cellStyle name="40% - Accent2 4 24" xfId="45630" xr:uid="{00000000-0005-0000-0000-00006F370000}"/>
    <cellStyle name="40% - Accent2 4 25" xfId="47313" xr:uid="{00000000-0005-0000-0000-000070370000}"/>
    <cellStyle name="40% - Accent2 4 26" xfId="48996" xr:uid="{00000000-0005-0000-0000-000071370000}"/>
    <cellStyle name="40% - Accent2 4 27" xfId="50679" xr:uid="{00000000-0005-0000-0000-000072370000}"/>
    <cellStyle name="40% - Accent2 4 28" xfId="52362" xr:uid="{00000000-0005-0000-0000-000073370000}"/>
    <cellStyle name="40% - Accent2 4 29" xfId="54045" xr:uid="{00000000-0005-0000-0000-000074370000}"/>
    <cellStyle name="40% - Accent2 4 3" xfId="605" xr:uid="{00000000-0005-0000-0000-000075370000}"/>
    <cellStyle name="40% - Accent2 4 3 10" xfId="15754" xr:uid="{00000000-0005-0000-0000-000076370000}"/>
    <cellStyle name="40% - Accent2 4 3 11" xfId="30903" xr:uid="{00000000-0005-0000-0000-000077370000}"/>
    <cellStyle name="40% - Accent2 4 3 12" xfId="32586" xr:uid="{00000000-0005-0000-0000-000078370000}"/>
    <cellStyle name="40% - Accent2 4 3 13" xfId="34269" xr:uid="{00000000-0005-0000-0000-000079370000}"/>
    <cellStyle name="40% - Accent2 4 3 14" xfId="35952" xr:uid="{00000000-0005-0000-0000-00007A370000}"/>
    <cellStyle name="40% - Accent2 4 3 15" xfId="37635" xr:uid="{00000000-0005-0000-0000-00007B370000}"/>
    <cellStyle name="40% - Accent2 4 3 16" xfId="39318" xr:uid="{00000000-0005-0000-0000-00007C370000}"/>
    <cellStyle name="40% - Accent2 4 3 17" xfId="41001" xr:uid="{00000000-0005-0000-0000-00007D370000}"/>
    <cellStyle name="40% - Accent2 4 3 18" xfId="42684" xr:uid="{00000000-0005-0000-0000-00007E370000}"/>
    <cellStyle name="40% - Accent2 4 3 19" xfId="44367" xr:uid="{00000000-0005-0000-0000-00007F370000}"/>
    <cellStyle name="40% - Accent2 4 3 2" xfId="2288" xr:uid="{00000000-0005-0000-0000-000080370000}"/>
    <cellStyle name="40% - Accent2 4 3 2 2" xfId="17437" xr:uid="{00000000-0005-0000-0000-000081370000}"/>
    <cellStyle name="40% - Accent2 4 3 20" xfId="46050" xr:uid="{00000000-0005-0000-0000-000082370000}"/>
    <cellStyle name="40% - Accent2 4 3 21" xfId="47733" xr:uid="{00000000-0005-0000-0000-000083370000}"/>
    <cellStyle name="40% - Accent2 4 3 22" xfId="49416" xr:uid="{00000000-0005-0000-0000-000084370000}"/>
    <cellStyle name="40% - Accent2 4 3 23" xfId="51099" xr:uid="{00000000-0005-0000-0000-000085370000}"/>
    <cellStyle name="40% - Accent2 4 3 24" xfId="52782" xr:uid="{00000000-0005-0000-0000-000086370000}"/>
    <cellStyle name="40% - Accent2 4 3 25" xfId="54465" xr:uid="{00000000-0005-0000-0000-000087370000}"/>
    <cellStyle name="40% - Accent2 4 3 26" xfId="56148" xr:uid="{00000000-0005-0000-0000-000088370000}"/>
    <cellStyle name="40% - Accent2 4 3 27" xfId="57831" xr:uid="{00000000-0005-0000-0000-000089370000}"/>
    <cellStyle name="40% - Accent2 4 3 28" xfId="59514" xr:uid="{00000000-0005-0000-0000-00008A370000}"/>
    <cellStyle name="40% - Accent2 4 3 29" xfId="61197" xr:uid="{00000000-0005-0000-0000-00008B370000}"/>
    <cellStyle name="40% - Accent2 4 3 3" xfId="3972" xr:uid="{00000000-0005-0000-0000-00008C370000}"/>
    <cellStyle name="40% - Accent2 4 3 3 2" xfId="19121" xr:uid="{00000000-0005-0000-0000-00008D370000}"/>
    <cellStyle name="40% - Accent2 4 3 30" xfId="62880" xr:uid="{00000000-0005-0000-0000-00008E370000}"/>
    <cellStyle name="40% - Accent2 4 3 4" xfId="5655" xr:uid="{00000000-0005-0000-0000-00008F370000}"/>
    <cellStyle name="40% - Accent2 4 3 4 2" xfId="20804" xr:uid="{00000000-0005-0000-0000-000090370000}"/>
    <cellStyle name="40% - Accent2 4 3 5" xfId="7338" xr:uid="{00000000-0005-0000-0000-000091370000}"/>
    <cellStyle name="40% - Accent2 4 3 5 2" xfId="22487" xr:uid="{00000000-0005-0000-0000-000092370000}"/>
    <cellStyle name="40% - Accent2 4 3 6" xfId="9021" xr:uid="{00000000-0005-0000-0000-000093370000}"/>
    <cellStyle name="40% - Accent2 4 3 6 2" xfId="24170" xr:uid="{00000000-0005-0000-0000-000094370000}"/>
    <cellStyle name="40% - Accent2 4 3 7" xfId="10704" xr:uid="{00000000-0005-0000-0000-000095370000}"/>
    <cellStyle name="40% - Accent2 4 3 7 2" xfId="25853" xr:uid="{00000000-0005-0000-0000-000096370000}"/>
    <cellStyle name="40% - Accent2 4 3 8" xfId="12388" xr:uid="{00000000-0005-0000-0000-000097370000}"/>
    <cellStyle name="40% - Accent2 4 3 8 2" xfId="27537" xr:uid="{00000000-0005-0000-0000-000098370000}"/>
    <cellStyle name="40% - Accent2 4 3 9" xfId="14071" xr:uid="{00000000-0005-0000-0000-000099370000}"/>
    <cellStyle name="40% - Accent2 4 3 9 2" xfId="29220" xr:uid="{00000000-0005-0000-0000-00009A370000}"/>
    <cellStyle name="40% - Accent2 4 30" xfId="55728" xr:uid="{00000000-0005-0000-0000-00009B370000}"/>
    <cellStyle name="40% - Accent2 4 31" xfId="57411" xr:uid="{00000000-0005-0000-0000-00009C370000}"/>
    <cellStyle name="40% - Accent2 4 32" xfId="59094" xr:uid="{00000000-0005-0000-0000-00009D370000}"/>
    <cellStyle name="40% - Accent2 4 33" xfId="60777" xr:uid="{00000000-0005-0000-0000-00009E370000}"/>
    <cellStyle name="40% - Accent2 4 34" xfId="62460" xr:uid="{00000000-0005-0000-0000-00009F370000}"/>
    <cellStyle name="40% - Accent2 4 4" xfId="1026" xr:uid="{00000000-0005-0000-0000-0000A0370000}"/>
    <cellStyle name="40% - Accent2 4 4 10" xfId="16175" xr:uid="{00000000-0005-0000-0000-0000A1370000}"/>
    <cellStyle name="40% - Accent2 4 4 11" xfId="31324" xr:uid="{00000000-0005-0000-0000-0000A2370000}"/>
    <cellStyle name="40% - Accent2 4 4 12" xfId="33007" xr:uid="{00000000-0005-0000-0000-0000A3370000}"/>
    <cellStyle name="40% - Accent2 4 4 13" xfId="34690" xr:uid="{00000000-0005-0000-0000-0000A4370000}"/>
    <cellStyle name="40% - Accent2 4 4 14" xfId="36373" xr:uid="{00000000-0005-0000-0000-0000A5370000}"/>
    <cellStyle name="40% - Accent2 4 4 15" xfId="38056" xr:uid="{00000000-0005-0000-0000-0000A6370000}"/>
    <cellStyle name="40% - Accent2 4 4 16" xfId="39739" xr:uid="{00000000-0005-0000-0000-0000A7370000}"/>
    <cellStyle name="40% - Accent2 4 4 17" xfId="41422" xr:uid="{00000000-0005-0000-0000-0000A8370000}"/>
    <cellStyle name="40% - Accent2 4 4 18" xfId="43105" xr:uid="{00000000-0005-0000-0000-0000A9370000}"/>
    <cellStyle name="40% - Accent2 4 4 19" xfId="44788" xr:uid="{00000000-0005-0000-0000-0000AA370000}"/>
    <cellStyle name="40% - Accent2 4 4 2" xfId="2709" xr:uid="{00000000-0005-0000-0000-0000AB370000}"/>
    <cellStyle name="40% - Accent2 4 4 2 2" xfId="17858" xr:uid="{00000000-0005-0000-0000-0000AC370000}"/>
    <cellStyle name="40% - Accent2 4 4 20" xfId="46471" xr:uid="{00000000-0005-0000-0000-0000AD370000}"/>
    <cellStyle name="40% - Accent2 4 4 21" xfId="48154" xr:uid="{00000000-0005-0000-0000-0000AE370000}"/>
    <cellStyle name="40% - Accent2 4 4 22" xfId="49837" xr:uid="{00000000-0005-0000-0000-0000AF370000}"/>
    <cellStyle name="40% - Accent2 4 4 23" xfId="51520" xr:uid="{00000000-0005-0000-0000-0000B0370000}"/>
    <cellStyle name="40% - Accent2 4 4 24" xfId="53203" xr:uid="{00000000-0005-0000-0000-0000B1370000}"/>
    <cellStyle name="40% - Accent2 4 4 25" xfId="54886" xr:uid="{00000000-0005-0000-0000-0000B2370000}"/>
    <cellStyle name="40% - Accent2 4 4 26" xfId="56569" xr:uid="{00000000-0005-0000-0000-0000B3370000}"/>
    <cellStyle name="40% - Accent2 4 4 27" xfId="58252" xr:uid="{00000000-0005-0000-0000-0000B4370000}"/>
    <cellStyle name="40% - Accent2 4 4 28" xfId="59935" xr:uid="{00000000-0005-0000-0000-0000B5370000}"/>
    <cellStyle name="40% - Accent2 4 4 29" xfId="61618" xr:uid="{00000000-0005-0000-0000-0000B6370000}"/>
    <cellStyle name="40% - Accent2 4 4 3" xfId="4393" xr:uid="{00000000-0005-0000-0000-0000B7370000}"/>
    <cellStyle name="40% - Accent2 4 4 3 2" xfId="19542" xr:uid="{00000000-0005-0000-0000-0000B8370000}"/>
    <cellStyle name="40% - Accent2 4 4 30" xfId="63301" xr:uid="{00000000-0005-0000-0000-0000B9370000}"/>
    <cellStyle name="40% - Accent2 4 4 4" xfId="6076" xr:uid="{00000000-0005-0000-0000-0000BA370000}"/>
    <cellStyle name="40% - Accent2 4 4 4 2" xfId="21225" xr:uid="{00000000-0005-0000-0000-0000BB370000}"/>
    <cellStyle name="40% - Accent2 4 4 5" xfId="7759" xr:uid="{00000000-0005-0000-0000-0000BC370000}"/>
    <cellStyle name="40% - Accent2 4 4 5 2" xfId="22908" xr:uid="{00000000-0005-0000-0000-0000BD370000}"/>
    <cellStyle name="40% - Accent2 4 4 6" xfId="9442" xr:uid="{00000000-0005-0000-0000-0000BE370000}"/>
    <cellStyle name="40% - Accent2 4 4 6 2" xfId="24591" xr:uid="{00000000-0005-0000-0000-0000BF370000}"/>
    <cellStyle name="40% - Accent2 4 4 7" xfId="11125" xr:uid="{00000000-0005-0000-0000-0000C0370000}"/>
    <cellStyle name="40% - Accent2 4 4 7 2" xfId="26274" xr:uid="{00000000-0005-0000-0000-0000C1370000}"/>
    <cellStyle name="40% - Accent2 4 4 8" xfId="12809" xr:uid="{00000000-0005-0000-0000-0000C2370000}"/>
    <cellStyle name="40% - Accent2 4 4 8 2" xfId="27958" xr:uid="{00000000-0005-0000-0000-0000C3370000}"/>
    <cellStyle name="40% - Accent2 4 4 9" xfId="14492" xr:uid="{00000000-0005-0000-0000-0000C4370000}"/>
    <cellStyle name="40% - Accent2 4 4 9 2" xfId="29641" xr:uid="{00000000-0005-0000-0000-0000C5370000}"/>
    <cellStyle name="40% - Accent2 4 5" xfId="1447" xr:uid="{00000000-0005-0000-0000-0000C6370000}"/>
    <cellStyle name="40% - Accent2 4 5 10" xfId="16596" xr:uid="{00000000-0005-0000-0000-0000C7370000}"/>
    <cellStyle name="40% - Accent2 4 5 11" xfId="31745" xr:uid="{00000000-0005-0000-0000-0000C8370000}"/>
    <cellStyle name="40% - Accent2 4 5 12" xfId="33428" xr:uid="{00000000-0005-0000-0000-0000C9370000}"/>
    <cellStyle name="40% - Accent2 4 5 13" xfId="35111" xr:uid="{00000000-0005-0000-0000-0000CA370000}"/>
    <cellStyle name="40% - Accent2 4 5 14" xfId="36794" xr:uid="{00000000-0005-0000-0000-0000CB370000}"/>
    <cellStyle name="40% - Accent2 4 5 15" xfId="38477" xr:uid="{00000000-0005-0000-0000-0000CC370000}"/>
    <cellStyle name="40% - Accent2 4 5 16" xfId="40160" xr:uid="{00000000-0005-0000-0000-0000CD370000}"/>
    <cellStyle name="40% - Accent2 4 5 17" xfId="41843" xr:uid="{00000000-0005-0000-0000-0000CE370000}"/>
    <cellStyle name="40% - Accent2 4 5 18" xfId="43526" xr:uid="{00000000-0005-0000-0000-0000CF370000}"/>
    <cellStyle name="40% - Accent2 4 5 19" xfId="45209" xr:uid="{00000000-0005-0000-0000-0000D0370000}"/>
    <cellStyle name="40% - Accent2 4 5 2" xfId="3130" xr:uid="{00000000-0005-0000-0000-0000D1370000}"/>
    <cellStyle name="40% - Accent2 4 5 2 2" xfId="18279" xr:uid="{00000000-0005-0000-0000-0000D2370000}"/>
    <cellStyle name="40% - Accent2 4 5 20" xfId="46892" xr:uid="{00000000-0005-0000-0000-0000D3370000}"/>
    <cellStyle name="40% - Accent2 4 5 21" xfId="48575" xr:uid="{00000000-0005-0000-0000-0000D4370000}"/>
    <cellStyle name="40% - Accent2 4 5 22" xfId="50258" xr:uid="{00000000-0005-0000-0000-0000D5370000}"/>
    <cellStyle name="40% - Accent2 4 5 23" xfId="51941" xr:uid="{00000000-0005-0000-0000-0000D6370000}"/>
    <cellStyle name="40% - Accent2 4 5 24" xfId="53624" xr:uid="{00000000-0005-0000-0000-0000D7370000}"/>
    <cellStyle name="40% - Accent2 4 5 25" xfId="55307" xr:uid="{00000000-0005-0000-0000-0000D8370000}"/>
    <cellStyle name="40% - Accent2 4 5 26" xfId="56990" xr:uid="{00000000-0005-0000-0000-0000D9370000}"/>
    <cellStyle name="40% - Accent2 4 5 27" xfId="58673" xr:uid="{00000000-0005-0000-0000-0000DA370000}"/>
    <cellStyle name="40% - Accent2 4 5 28" xfId="60356" xr:uid="{00000000-0005-0000-0000-0000DB370000}"/>
    <cellStyle name="40% - Accent2 4 5 29" xfId="62039" xr:uid="{00000000-0005-0000-0000-0000DC370000}"/>
    <cellStyle name="40% - Accent2 4 5 3" xfId="4814" xr:uid="{00000000-0005-0000-0000-0000DD370000}"/>
    <cellStyle name="40% - Accent2 4 5 3 2" xfId="19963" xr:uid="{00000000-0005-0000-0000-0000DE370000}"/>
    <cellStyle name="40% - Accent2 4 5 30" xfId="63722" xr:uid="{00000000-0005-0000-0000-0000DF370000}"/>
    <cellStyle name="40% - Accent2 4 5 4" xfId="6497" xr:uid="{00000000-0005-0000-0000-0000E0370000}"/>
    <cellStyle name="40% - Accent2 4 5 4 2" xfId="21646" xr:uid="{00000000-0005-0000-0000-0000E1370000}"/>
    <cellStyle name="40% - Accent2 4 5 5" xfId="8180" xr:uid="{00000000-0005-0000-0000-0000E2370000}"/>
    <cellStyle name="40% - Accent2 4 5 5 2" xfId="23329" xr:uid="{00000000-0005-0000-0000-0000E3370000}"/>
    <cellStyle name="40% - Accent2 4 5 6" xfId="9863" xr:uid="{00000000-0005-0000-0000-0000E4370000}"/>
    <cellStyle name="40% - Accent2 4 5 6 2" xfId="25012" xr:uid="{00000000-0005-0000-0000-0000E5370000}"/>
    <cellStyle name="40% - Accent2 4 5 7" xfId="11546" xr:uid="{00000000-0005-0000-0000-0000E6370000}"/>
    <cellStyle name="40% - Accent2 4 5 7 2" xfId="26695" xr:uid="{00000000-0005-0000-0000-0000E7370000}"/>
    <cellStyle name="40% - Accent2 4 5 8" xfId="13230" xr:uid="{00000000-0005-0000-0000-0000E8370000}"/>
    <cellStyle name="40% - Accent2 4 5 8 2" xfId="28379" xr:uid="{00000000-0005-0000-0000-0000E9370000}"/>
    <cellStyle name="40% - Accent2 4 5 9" xfId="14913" xr:uid="{00000000-0005-0000-0000-0000EA370000}"/>
    <cellStyle name="40% - Accent2 4 5 9 2" xfId="30062" xr:uid="{00000000-0005-0000-0000-0000EB370000}"/>
    <cellStyle name="40% - Accent2 4 6" xfId="1868" xr:uid="{00000000-0005-0000-0000-0000EC370000}"/>
    <cellStyle name="40% - Accent2 4 6 2" xfId="17017" xr:uid="{00000000-0005-0000-0000-0000ED370000}"/>
    <cellStyle name="40% - Accent2 4 7" xfId="3552" xr:uid="{00000000-0005-0000-0000-0000EE370000}"/>
    <cellStyle name="40% - Accent2 4 7 2" xfId="18701" xr:uid="{00000000-0005-0000-0000-0000EF370000}"/>
    <cellStyle name="40% - Accent2 4 8" xfId="5235" xr:uid="{00000000-0005-0000-0000-0000F0370000}"/>
    <cellStyle name="40% - Accent2 4 8 2" xfId="20384" xr:uid="{00000000-0005-0000-0000-0000F1370000}"/>
    <cellStyle name="40% - Accent2 4 9" xfId="6918" xr:uid="{00000000-0005-0000-0000-0000F2370000}"/>
    <cellStyle name="40% - Accent2 4 9 2" xfId="22067" xr:uid="{00000000-0005-0000-0000-0000F3370000}"/>
    <cellStyle name="40% - Accent2 5" xfId="290" xr:uid="{00000000-0005-0000-0000-0000F4370000}"/>
    <cellStyle name="40% - Accent2 5 10" xfId="10389" xr:uid="{00000000-0005-0000-0000-0000F5370000}"/>
    <cellStyle name="40% - Accent2 5 10 2" xfId="25538" xr:uid="{00000000-0005-0000-0000-0000F6370000}"/>
    <cellStyle name="40% - Accent2 5 11" xfId="12073" xr:uid="{00000000-0005-0000-0000-0000F7370000}"/>
    <cellStyle name="40% - Accent2 5 11 2" xfId="27222" xr:uid="{00000000-0005-0000-0000-0000F8370000}"/>
    <cellStyle name="40% - Accent2 5 12" xfId="13756" xr:uid="{00000000-0005-0000-0000-0000F9370000}"/>
    <cellStyle name="40% - Accent2 5 12 2" xfId="28905" xr:uid="{00000000-0005-0000-0000-0000FA370000}"/>
    <cellStyle name="40% - Accent2 5 13" xfId="15439" xr:uid="{00000000-0005-0000-0000-0000FB370000}"/>
    <cellStyle name="40% - Accent2 5 14" xfId="30588" xr:uid="{00000000-0005-0000-0000-0000FC370000}"/>
    <cellStyle name="40% - Accent2 5 15" xfId="32271" xr:uid="{00000000-0005-0000-0000-0000FD370000}"/>
    <cellStyle name="40% - Accent2 5 16" xfId="33954" xr:uid="{00000000-0005-0000-0000-0000FE370000}"/>
    <cellStyle name="40% - Accent2 5 17" xfId="35637" xr:uid="{00000000-0005-0000-0000-0000FF370000}"/>
    <cellStyle name="40% - Accent2 5 18" xfId="37320" xr:uid="{00000000-0005-0000-0000-000000380000}"/>
    <cellStyle name="40% - Accent2 5 19" xfId="39003" xr:uid="{00000000-0005-0000-0000-000001380000}"/>
    <cellStyle name="40% - Accent2 5 2" xfId="710" xr:uid="{00000000-0005-0000-0000-000002380000}"/>
    <cellStyle name="40% - Accent2 5 2 10" xfId="15859" xr:uid="{00000000-0005-0000-0000-000003380000}"/>
    <cellStyle name="40% - Accent2 5 2 11" xfId="31008" xr:uid="{00000000-0005-0000-0000-000004380000}"/>
    <cellStyle name="40% - Accent2 5 2 12" xfId="32691" xr:uid="{00000000-0005-0000-0000-000005380000}"/>
    <cellStyle name="40% - Accent2 5 2 13" xfId="34374" xr:uid="{00000000-0005-0000-0000-000006380000}"/>
    <cellStyle name="40% - Accent2 5 2 14" xfId="36057" xr:uid="{00000000-0005-0000-0000-000007380000}"/>
    <cellStyle name="40% - Accent2 5 2 15" xfId="37740" xr:uid="{00000000-0005-0000-0000-000008380000}"/>
    <cellStyle name="40% - Accent2 5 2 16" xfId="39423" xr:uid="{00000000-0005-0000-0000-000009380000}"/>
    <cellStyle name="40% - Accent2 5 2 17" xfId="41106" xr:uid="{00000000-0005-0000-0000-00000A380000}"/>
    <cellStyle name="40% - Accent2 5 2 18" xfId="42789" xr:uid="{00000000-0005-0000-0000-00000B380000}"/>
    <cellStyle name="40% - Accent2 5 2 19" xfId="44472" xr:uid="{00000000-0005-0000-0000-00000C380000}"/>
    <cellStyle name="40% - Accent2 5 2 2" xfId="2393" xr:uid="{00000000-0005-0000-0000-00000D380000}"/>
    <cellStyle name="40% - Accent2 5 2 2 2" xfId="17542" xr:uid="{00000000-0005-0000-0000-00000E380000}"/>
    <cellStyle name="40% - Accent2 5 2 20" xfId="46155" xr:uid="{00000000-0005-0000-0000-00000F380000}"/>
    <cellStyle name="40% - Accent2 5 2 21" xfId="47838" xr:uid="{00000000-0005-0000-0000-000010380000}"/>
    <cellStyle name="40% - Accent2 5 2 22" xfId="49521" xr:uid="{00000000-0005-0000-0000-000011380000}"/>
    <cellStyle name="40% - Accent2 5 2 23" xfId="51204" xr:uid="{00000000-0005-0000-0000-000012380000}"/>
    <cellStyle name="40% - Accent2 5 2 24" xfId="52887" xr:uid="{00000000-0005-0000-0000-000013380000}"/>
    <cellStyle name="40% - Accent2 5 2 25" xfId="54570" xr:uid="{00000000-0005-0000-0000-000014380000}"/>
    <cellStyle name="40% - Accent2 5 2 26" xfId="56253" xr:uid="{00000000-0005-0000-0000-000015380000}"/>
    <cellStyle name="40% - Accent2 5 2 27" xfId="57936" xr:uid="{00000000-0005-0000-0000-000016380000}"/>
    <cellStyle name="40% - Accent2 5 2 28" xfId="59619" xr:uid="{00000000-0005-0000-0000-000017380000}"/>
    <cellStyle name="40% - Accent2 5 2 29" xfId="61302" xr:uid="{00000000-0005-0000-0000-000018380000}"/>
    <cellStyle name="40% - Accent2 5 2 3" xfId="4077" xr:uid="{00000000-0005-0000-0000-000019380000}"/>
    <cellStyle name="40% - Accent2 5 2 3 2" xfId="19226" xr:uid="{00000000-0005-0000-0000-00001A380000}"/>
    <cellStyle name="40% - Accent2 5 2 30" xfId="62985" xr:uid="{00000000-0005-0000-0000-00001B380000}"/>
    <cellStyle name="40% - Accent2 5 2 4" xfId="5760" xr:uid="{00000000-0005-0000-0000-00001C380000}"/>
    <cellStyle name="40% - Accent2 5 2 4 2" xfId="20909" xr:uid="{00000000-0005-0000-0000-00001D380000}"/>
    <cellStyle name="40% - Accent2 5 2 5" xfId="7443" xr:uid="{00000000-0005-0000-0000-00001E380000}"/>
    <cellStyle name="40% - Accent2 5 2 5 2" xfId="22592" xr:uid="{00000000-0005-0000-0000-00001F380000}"/>
    <cellStyle name="40% - Accent2 5 2 6" xfId="9126" xr:uid="{00000000-0005-0000-0000-000020380000}"/>
    <cellStyle name="40% - Accent2 5 2 6 2" xfId="24275" xr:uid="{00000000-0005-0000-0000-000021380000}"/>
    <cellStyle name="40% - Accent2 5 2 7" xfId="10809" xr:uid="{00000000-0005-0000-0000-000022380000}"/>
    <cellStyle name="40% - Accent2 5 2 7 2" xfId="25958" xr:uid="{00000000-0005-0000-0000-000023380000}"/>
    <cellStyle name="40% - Accent2 5 2 8" xfId="12493" xr:uid="{00000000-0005-0000-0000-000024380000}"/>
    <cellStyle name="40% - Accent2 5 2 8 2" xfId="27642" xr:uid="{00000000-0005-0000-0000-000025380000}"/>
    <cellStyle name="40% - Accent2 5 2 9" xfId="14176" xr:uid="{00000000-0005-0000-0000-000026380000}"/>
    <cellStyle name="40% - Accent2 5 2 9 2" xfId="29325" xr:uid="{00000000-0005-0000-0000-000027380000}"/>
    <cellStyle name="40% - Accent2 5 20" xfId="40686" xr:uid="{00000000-0005-0000-0000-000028380000}"/>
    <cellStyle name="40% - Accent2 5 21" xfId="42369" xr:uid="{00000000-0005-0000-0000-000029380000}"/>
    <cellStyle name="40% - Accent2 5 22" xfId="44052" xr:uid="{00000000-0005-0000-0000-00002A380000}"/>
    <cellStyle name="40% - Accent2 5 23" xfId="45735" xr:uid="{00000000-0005-0000-0000-00002B380000}"/>
    <cellStyle name="40% - Accent2 5 24" xfId="47418" xr:uid="{00000000-0005-0000-0000-00002C380000}"/>
    <cellStyle name="40% - Accent2 5 25" xfId="49101" xr:uid="{00000000-0005-0000-0000-00002D380000}"/>
    <cellStyle name="40% - Accent2 5 26" xfId="50784" xr:uid="{00000000-0005-0000-0000-00002E380000}"/>
    <cellStyle name="40% - Accent2 5 27" xfId="52467" xr:uid="{00000000-0005-0000-0000-00002F380000}"/>
    <cellStyle name="40% - Accent2 5 28" xfId="54150" xr:uid="{00000000-0005-0000-0000-000030380000}"/>
    <cellStyle name="40% - Accent2 5 29" xfId="55833" xr:uid="{00000000-0005-0000-0000-000031380000}"/>
    <cellStyle name="40% - Accent2 5 3" xfId="1131" xr:uid="{00000000-0005-0000-0000-000032380000}"/>
    <cellStyle name="40% - Accent2 5 3 10" xfId="16280" xr:uid="{00000000-0005-0000-0000-000033380000}"/>
    <cellStyle name="40% - Accent2 5 3 11" xfId="31429" xr:uid="{00000000-0005-0000-0000-000034380000}"/>
    <cellStyle name="40% - Accent2 5 3 12" xfId="33112" xr:uid="{00000000-0005-0000-0000-000035380000}"/>
    <cellStyle name="40% - Accent2 5 3 13" xfId="34795" xr:uid="{00000000-0005-0000-0000-000036380000}"/>
    <cellStyle name="40% - Accent2 5 3 14" xfId="36478" xr:uid="{00000000-0005-0000-0000-000037380000}"/>
    <cellStyle name="40% - Accent2 5 3 15" xfId="38161" xr:uid="{00000000-0005-0000-0000-000038380000}"/>
    <cellStyle name="40% - Accent2 5 3 16" xfId="39844" xr:uid="{00000000-0005-0000-0000-000039380000}"/>
    <cellStyle name="40% - Accent2 5 3 17" xfId="41527" xr:uid="{00000000-0005-0000-0000-00003A380000}"/>
    <cellStyle name="40% - Accent2 5 3 18" xfId="43210" xr:uid="{00000000-0005-0000-0000-00003B380000}"/>
    <cellStyle name="40% - Accent2 5 3 19" xfId="44893" xr:uid="{00000000-0005-0000-0000-00003C380000}"/>
    <cellStyle name="40% - Accent2 5 3 2" xfId="2814" xr:uid="{00000000-0005-0000-0000-00003D380000}"/>
    <cellStyle name="40% - Accent2 5 3 2 2" xfId="17963" xr:uid="{00000000-0005-0000-0000-00003E380000}"/>
    <cellStyle name="40% - Accent2 5 3 20" xfId="46576" xr:uid="{00000000-0005-0000-0000-00003F380000}"/>
    <cellStyle name="40% - Accent2 5 3 21" xfId="48259" xr:uid="{00000000-0005-0000-0000-000040380000}"/>
    <cellStyle name="40% - Accent2 5 3 22" xfId="49942" xr:uid="{00000000-0005-0000-0000-000041380000}"/>
    <cellStyle name="40% - Accent2 5 3 23" xfId="51625" xr:uid="{00000000-0005-0000-0000-000042380000}"/>
    <cellStyle name="40% - Accent2 5 3 24" xfId="53308" xr:uid="{00000000-0005-0000-0000-000043380000}"/>
    <cellStyle name="40% - Accent2 5 3 25" xfId="54991" xr:uid="{00000000-0005-0000-0000-000044380000}"/>
    <cellStyle name="40% - Accent2 5 3 26" xfId="56674" xr:uid="{00000000-0005-0000-0000-000045380000}"/>
    <cellStyle name="40% - Accent2 5 3 27" xfId="58357" xr:uid="{00000000-0005-0000-0000-000046380000}"/>
    <cellStyle name="40% - Accent2 5 3 28" xfId="60040" xr:uid="{00000000-0005-0000-0000-000047380000}"/>
    <cellStyle name="40% - Accent2 5 3 29" xfId="61723" xr:uid="{00000000-0005-0000-0000-000048380000}"/>
    <cellStyle name="40% - Accent2 5 3 3" xfId="4498" xr:uid="{00000000-0005-0000-0000-000049380000}"/>
    <cellStyle name="40% - Accent2 5 3 3 2" xfId="19647" xr:uid="{00000000-0005-0000-0000-00004A380000}"/>
    <cellStyle name="40% - Accent2 5 3 30" xfId="63406" xr:uid="{00000000-0005-0000-0000-00004B380000}"/>
    <cellStyle name="40% - Accent2 5 3 4" xfId="6181" xr:uid="{00000000-0005-0000-0000-00004C380000}"/>
    <cellStyle name="40% - Accent2 5 3 4 2" xfId="21330" xr:uid="{00000000-0005-0000-0000-00004D380000}"/>
    <cellStyle name="40% - Accent2 5 3 5" xfId="7864" xr:uid="{00000000-0005-0000-0000-00004E380000}"/>
    <cellStyle name="40% - Accent2 5 3 5 2" xfId="23013" xr:uid="{00000000-0005-0000-0000-00004F380000}"/>
    <cellStyle name="40% - Accent2 5 3 6" xfId="9547" xr:uid="{00000000-0005-0000-0000-000050380000}"/>
    <cellStyle name="40% - Accent2 5 3 6 2" xfId="24696" xr:uid="{00000000-0005-0000-0000-000051380000}"/>
    <cellStyle name="40% - Accent2 5 3 7" xfId="11230" xr:uid="{00000000-0005-0000-0000-000052380000}"/>
    <cellStyle name="40% - Accent2 5 3 7 2" xfId="26379" xr:uid="{00000000-0005-0000-0000-000053380000}"/>
    <cellStyle name="40% - Accent2 5 3 8" xfId="12914" xr:uid="{00000000-0005-0000-0000-000054380000}"/>
    <cellStyle name="40% - Accent2 5 3 8 2" xfId="28063" xr:uid="{00000000-0005-0000-0000-000055380000}"/>
    <cellStyle name="40% - Accent2 5 3 9" xfId="14597" xr:uid="{00000000-0005-0000-0000-000056380000}"/>
    <cellStyle name="40% - Accent2 5 3 9 2" xfId="29746" xr:uid="{00000000-0005-0000-0000-000057380000}"/>
    <cellStyle name="40% - Accent2 5 30" xfId="57516" xr:uid="{00000000-0005-0000-0000-000058380000}"/>
    <cellStyle name="40% - Accent2 5 31" xfId="59199" xr:uid="{00000000-0005-0000-0000-000059380000}"/>
    <cellStyle name="40% - Accent2 5 32" xfId="60882" xr:uid="{00000000-0005-0000-0000-00005A380000}"/>
    <cellStyle name="40% - Accent2 5 33" xfId="62565" xr:uid="{00000000-0005-0000-0000-00005B380000}"/>
    <cellStyle name="40% - Accent2 5 4" xfId="1552" xr:uid="{00000000-0005-0000-0000-00005C380000}"/>
    <cellStyle name="40% - Accent2 5 4 10" xfId="16701" xr:uid="{00000000-0005-0000-0000-00005D380000}"/>
    <cellStyle name="40% - Accent2 5 4 11" xfId="31850" xr:uid="{00000000-0005-0000-0000-00005E380000}"/>
    <cellStyle name="40% - Accent2 5 4 12" xfId="33533" xr:uid="{00000000-0005-0000-0000-00005F380000}"/>
    <cellStyle name="40% - Accent2 5 4 13" xfId="35216" xr:uid="{00000000-0005-0000-0000-000060380000}"/>
    <cellStyle name="40% - Accent2 5 4 14" xfId="36899" xr:uid="{00000000-0005-0000-0000-000061380000}"/>
    <cellStyle name="40% - Accent2 5 4 15" xfId="38582" xr:uid="{00000000-0005-0000-0000-000062380000}"/>
    <cellStyle name="40% - Accent2 5 4 16" xfId="40265" xr:uid="{00000000-0005-0000-0000-000063380000}"/>
    <cellStyle name="40% - Accent2 5 4 17" xfId="41948" xr:uid="{00000000-0005-0000-0000-000064380000}"/>
    <cellStyle name="40% - Accent2 5 4 18" xfId="43631" xr:uid="{00000000-0005-0000-0000-000065380000}"/>
    <cellStyle name="40% - Accent2 5 4 19" xfId="45314" xr:uid="{00000000-0005-0000-0000-000066380000}"/>
    <cellStyle name="40% - Accent2 5 4 2" xfId="3235" xr:uid="{00000000-0005-0000-0000-000067380000}"/>
    <cellStyle name="40% - Accent2 5 4 2 2" xfId="18384" xr:uid="{00000000-0005-0000-0000-000068380000}"/>
    <cellStyle name="40% - Accent2 5 4 20" xfId="46997" xr:uid="{00000000-0005-0000-0000-000069380000}"/>
    <cellStyle name="40% - Accent2 5 4 21" xfId="48680" xr:uid="{00000000-0005-0000-0000-00006A380000}"/>
    <cellStyle name="40% - Accent2 5 4 22" xfId="50363" xr:uid="{00000000-0005-0000-0000-00006B380000}"/>
    <cellStyle name="40% - Accent2 5 4 23" xfId="52046" xr:uid="{00000000-0005-0000-0000-00006C380000}"/>
    <cellStyle name="40% - Accent2 5 4 24" xfId="53729" xr:uid="{00000000-0005-0000-0000-00006D380000}"/>
    <cellStyle name="40% - Accent2 5 4 25" xfId="55412" xr:uid="{00000000-0005-0000-0000-00006E380000}"/>
    <cellStyle name="40% - Accent2 5 4 26" xfId="57095" xr:uid="{00000000-0005-0000-0000-00006F380000}"/>
    <cellStyle name="40% - Accent2 5 4 27" xfId="58778" xr:uid="{00000000-0005-0000-0000-000070380000}"/>
    <cellStyle name="40% - Accent2 5 4 28" xfId="60461" xr:uid="{00000000-0005-0000-0000-000071380000}"/>
    <cellStyle name="40% - Accent2 5 4 29" xfId="62144" xr:uid="{00000000-0005-0000-0000-000072380000}"/>
    <cellStyle name="40% - Accent2 5 4 3" xfId="4919" xr:uid="{00000000-0005-0000-0000-000073380000}"/>
    <cellStyle name="40% - Accent2 5 4 3 2" xfId="20068" xr:uid="{00000000-0005-0000-0000-000074380000}"/>
    <cellStyle name="40% - Accent2 5 4 30" xfId="63827" xr:uid="{00000000-0005-0000-0000-000075380000}"/>
    <cellStyle name="40% - Accent2 5 4 4" xfId="6602" xr:uid="{00000000-0005-0000-0000-000076380000}"/>
    <cellStyle name="40% - Accent2 5 4 4 2" xfId="21751" xr:uid="{00000000-0005-0000-0000-000077380000}"/>
    <cellStyle name="40% - Accent2 5 4 5" xfId="8285" xr:uid="{00000000-0005-0000-0000-000078380000}"/>
    <cellStyle name="40% - Accent2 5 4 5 2" xfId="23434" xr:uid="{00000000-0005-0000-0000-000079380000}"/>
    <cellStyle name="40% - Accent2 5 4 6" xfId="9968" xr:uid="{00000000-0005-0000-0000-00007A380000}"/>
    <cellStyle name="40% - Accent2 5 4 6 2" xfId="25117" xr:uid="{00000000-0005-0000-0000-00007B380000}"/>
    <cellStyle name="40% - Accent2 5 4 7" xfId="11651" xr:uid="{00000000-0005-0000-0000-00007C380000}"/>
    <cellStyle name="40% - Accent2 5 4 7 2" xfId="26800" xr:uid="{00000000-0005-0000-0000-00007D380000}"/>
    <cellStyle name="40% - Accent2 5 4 8" xfId="13335" xr:uid="{00000000-0005-0000-0000-00007E380000}"/>
    <cellStyle name="40% - Accent2 5 4 8 2" xfId="28484" xr:uid="{00000000-0005-0000-0000-00007F380000}"/>
    <cellStyle name="40% - Accent2 5 4 9" xfId="15018" xr:uid="{00000000-0005-0000-0000-000080380000}"/>
    <cellStyle name="40% - Accent2 5 4 9 2" xfId="30167" xr:uid="{00000000-0005-0000-0000-000081380000}"/>
    <cellStyle name="40% - Accent2 5 5" xfId="1973" xr:uid="{00000000-0005-0000-0000-000082380000}"/>
    <cellStyle name="40% - Accent2 5 5 2" xfId="17122" xr:uid="{00000000-0005-0000-0000-000083380000}"/>
    <cellStyle name="40% - Accent2 5 6" xfId="3657" xr:uid="{00000000-0005-0000-0000-000084380000}"/>
    <cellStyle name="40% - Accent2 5 6 2" xfId="18806" xr:uid="{00000000-0005-0000-0000-000085380000}"/>
    <cellStyle name="40% - Accent2 5 7" xfId="5340" xr:uid="{00000000-0005-0000-0000-000086380000}"/>
    <cellStyle name="40% - Accent2 5 7 2" xfId="20489" xr:uid="{00000000-0005-0000-0000-000087380000}"/>
    <cellStyle name="40% - Accent2 5 8" xfId="7023" xr:uid="{00000000-0005-0000-0000-000088380000}"/>
    <cellStyle name="40% - Accent2 5 8 2" xfId="22172" xr:uid="{00000000-0005-0000-0000-000089380000}"/>
    <cellStyle name="40% - Accent2 5 9" xfId="8706" xr:uid="{00000000-0005-0000-0000-00008A380000}"/>
    <cellStyle name="40% - Accent2 5 9 2" xfId="23855" xr:uid="{00000000-0005-0000-0000-00008B380000}"/>
    <cellStyle name="40% - Accent2 6" xfId="500" xr:uid="{00000000-0005-0000-0000-00008C380000}"/>
    <cellStyle name="40% - Accent2 6 10" xfId="15649" xr:uid="{00000000-0005-0000-0000-00008D380000}"/>
    <cellStyle name="40% - Accent2 6 11" xfId="30798" xr:uid="{00000000-0005-0000-0000-00008E380000}"/>
    <cellStyle name="40% - Accent2 6 12" xfId="32481" xr:uid="{00000000-0005-0000-0000-00008F380000}"/>
    <cellStyle name="40% - Accent2 6 13" xfId="34164" xr:uid="{00000000-0005-0000-0000-000090380000}"/>
    <cellStyle name="40% - Accent2 6 14" xfId="35847" xr:uid="{00000000-0005-0000-0000-000091380000}"/>
    <cellStyle name="40% - Accent2 6 15" xfId="37530" xr:uid="{00000000-0005-0000-0000-000092380000}"/>
    <cellStyle name="40% - Accent2 6 16" xfId="39213" xr:uid="{00000000-0005-0000-0000-000093380000}"/>
    <cellStyle name="40% - Accent2 6 17" xfId="40896" xr:uid="{00000000-0005-0000-0000-000094380000}"/>
    <cellStyle name="40% - Accent2 6 18" xfId="42579" xr:uid="{00000000-0005-0000-0000-000095380000}"/>
    <cellStyle name="40% - Accent2 6 19" xfId="44262" xr:uid="{00000000-0005-0000-0000-000096380000}"/>
    <cellStyle name="40% - Accent2 6 2" xfId="2183" xr:uid="{00000000-0005-0000-0000-000097380000}"/>
    <cellStyle name="40% - Accent2 6 2 2" xfId="17332" xr:uid="{00000000-0005-0000-0000-000098380000}"/>
    <cellStyle name="40% - Accent2 6 20" xfId="45945" xr:uid="{00000000-0005-0000-0000-000099380000}"/>
    <cellStyle name="40% - Accent2 6 21" xfId="47628" xr:uid="{00000000-0005-0000-0000-00009A380000}"/>
    <cellStyle name="40% - Accent2 6 22" xfId="49311" xr:uid="{00000000-0005-0000-0000-00009B380000}"/>
    <cellStyle name="40% - Accent2 6 23" xfId="50994" xr:uid="{00000000-0005-0000-0000-00009C380000}"/>
    <cellStyle name="40% - Accent2 6 24" xfId="52677" xr:uid="{00000000-0005-0000-0000-00009D380000}"/>
    <cellStyle name="40% - Accent2 6 25" xfId="54360" xr:uid="{00000000-0005-0000-0000-00009E380000}"/>
    <cellStyle name="40% - Accent2 6 26" xfId="56043" xr:uid="{00000000-0005-0000-0000-00009F380000}"/>
    <cellStyle name="40% - Accent2 6 27" xfId="57726" xr:uid="{00000000-0005-0000-0000-0000A0380000}"/>
    <cellStyle name="40% - Accent2 6 28" xfId="59409" xr:uid="{00000000-0005-0000-0000-0000A1380000}"/>
    <cellStyle name="40% - Accent2 6 29" xfId="61092" xr:uid="{00000000-0005-0000-0000-0000A2380000}"/>
    <cellStyle name="40% - Accent2 6 3" xfId="3867" xr:uid="{00000000-0005-0000-0000-0000A3380000}"/>
    <cellStyle name="40% - Accent2 6 3 2" xfId="19016" xr:uid="{00000000-0005-0000-0000-0000A4380000}"/>
    <cellStyle name="40% - Accent2 6 30" xfId="62775" xr:uid="{00000000-0005-0000-0000-0000A5380000}"/>
    <cellStyle name="40% - Accent2 6 4" xfId="5550" xr:uid="{00000000-0005-0000-0000-0000A6380000}"/>
    <cellStyle name="40% - Accent2 6 4 2" xfId="20699" xr:uid="{00000000-0005-0000-0000-0000A7380000}"/>
    <cellStyle name="40% - Accent2 6 5" xfId="7233" xr:uid="{00000000-0005-0000-0000-0000A8380000}"/>
    <cellStyle name="40% - Accent2 6 5 2" xfId="22382" xr:uid="{00000000-0005-0000-0000-0000A9380000}"/>
    <cellStyle name="40% - Accent2 6 6" xfId="8916" xr:uid="{00000000-0005-0000-0000-0000AA380000}"/>
    <cellStyle name="40% - Accent2 6 6 2" xfId="24065" xr:uid="{00000000-0005-0000-0000-0000AB380000}"/>
    <cellStyle name="40% - Accent2 6 7" xfId="10599" xr:uid="{00000000-0005-0000-0000-0000AC380000}"/>
    <cellStyle name="40% - Accent2 6 7 2" xfId="25748" xr:uid="{00000000-0005-0000-0000-0000AD380000}"/>
    <cellStyle name="40% - Accent2 6 8" xfId="12283" xr:uid="{00000000-0005-0000-0000-0000AE380000}"/>
    <cellStyle name="40% - Accent2 6 8 2" xfId="27432" xr:uid="{00000000-0005-0000-0000-0000AF380000}"/>
    <cellStyle name="40% - Accent2 6 9" xfId="13966" xr:uid="{00000000-0005-0000-0000-0000B0380000}"/>
    <cellStyle name="40% - Accent2 6 9 2" xfId="29115" xr:uid="{00000000-0005-0000-0000-0000B1380000}"/>
    <cellStyle name="40% - Accent2 7" xfId="921" xr:uid="{00000000-0005-0000-0000-0000B2380000}"/>
    <cellStyle name="40% - Accent2 7 10" xfId="16070" xr:uid="{00000000-0005-0000-0000-0000B3380000}"/>
    <cellStyle name="40% - Accent2 7 11" xfId="31219" xr:uid="{00000000-0005-0000-0000-0000B4380000}"/>
    <cellStyle name="40% - Accent2 7 12" xfId="32902" xr:uid="{00000000-0005-0000-0000-0000B5380000}"/>
    <cellStyle name="40% - Accent2 7 13" xfId="34585" xr:uid="{00000000-0005-0000-0000-0000B6380000}"/>
    <cellStyle name="40% - Accent2 7 14" xfId="36268" xr:uid="{00000000-0005-0000-0000-0000B7380000}"/>
    <cellStyle name="40% - Accent2 7 15" xfId="37951" xr:uid="{00000000-0005-0000-0000-0000B8380000}"/>
    <cellStyle name="40% - Accent2 7 16" xfId="39634" xr:uid="{00000000-0005-0000-0000-0000B9380000}"/>
    <cellStyle name="40% - Accent2 7 17" xfId="41317" xr:uid="{00000000-0005-0000-0000-0000BA380000}"/>
    <cellStyle name="40% - Accent2 7 18" xfId="43000" xr:uid="{00000000-0005-0000-0000-0000BB380000}"/>
    <cellStyle name="40% - Accent2 7 19" xfId="44683" xr:uid="{00000000-0005-0000-0000-0000BC380000}"/>
    <cellStyle name="40% - Accent2 7 2" xfId="2604" xr:uid="{00000000-0005-0000-0000-0000BD380000}"/>
    <cellStyle name="40% - Accent2 7 2 2" xfId="17753" xr:uid="{00000000-0005-0000-0000-0000BE380000}"/>
    <cellStyle name="40% - Accent2 7 20" xfId="46366" xr:uid="{00000000-0005-0000-0000-0000BF380000}"/>
    <cellStyle name="40% - Accent2 7 21" xfId="48049" xr:uid="{00000000-0005-0000-0000-0000C0380000}"/>
    <cellStyle name="40% - Accent2 7 22" xfId="49732" xr:uid="{00000000-0005-0000-0000-0000C1380000}"/>
    <cellStyle name="40% - Accent2 7 23" xfId="51415" xr:uid="{00000000-0005-0000-0000-0000C2380000}"/>
    <cellStyle name="40% - Accent2 7 24" xfId="53098" xr:uid="{00000000-0005-0000-0000-0000C3380000}"/>
    <cellStyle name="40% - Accent2 7 25" xfId="54781" xr:uid="{00000000-0005-0000-0000-0000C4380000}"/>
    <cellStyle name="40% - Accent2 7 26" xfId="56464" xr:uid="{00000000-0005-0000-0000-0000C5380000}"/>
    <cellStyle name="40% - Accent2 7 27" xfId="58147" xr:uid="{00000000-0005-0000-0000-0000C6380000}"/>
    <cellStyle name="40% - Accent2 7 28" xfId="59830" xr:uid="{00000000-0005-0000-0000-0000C7380000}"/>
    <cellStyle name="40% - Accent2 7 29" xfId="61513" xr:uid="{00000000-0005-0000-0000-0000C8380000}"/>
    <cellStyle name="40% - Accent2 7 3" xfId="4288" xr:uid="{00000000-0005-0000-0000-0000C9380000}"/>
    <cellStyle name="40% - Accent2 7 3 2" xfId="19437" xr:uid="{00000000-0005-0000-0000-0000CA380000}"/>
    <cellStyle name="40% - Accent2 7 30" xfId="63196" xr:uid="{00000000-0005-0000-0000-0000CB380000}"/>
    <cellStyle name="40% - Accent2 7 4" xfId="5971" xr:uid="{00000000-0005-0000-0000-0000CC380000}"/>
    <cellStyle name="40% - Accent2 7 4 2" xfId="21120" xr:uid="{00000000-0005-0000-0000-0000CD380000}"/>
    <cellStyle name="40% - Accent2 7 5" xfId="7654" xr:uid="{00000000-0005-0000-0000-0000CE380000}"/>
    <cellStyle name="40% - Accent2 7 5 2" xfId="22803" xr:uid="{00000000-0005-0000-0000-0000CF380000}"/>
    <cellStyle name="40% - Accent2 7 6" xfId="9337" xr:uid="{00000000-0005-0000-0000-0000D0380000}"/>
    <cellStyle name="40% - Accent2 7 6 2" xfId="24486" xr:uid="{00000000-0005-0000-0000-0000D1380000}"/>
    <cellStyle name="40% - Accent2 7 7" xfId="11020" xr:uid="{00000000-0005-0000-0000-0000D2380000}"/>
    <cellStyle name="40% - Accent2 7 7 2" xfId="26169" xr:uid="{00000000-0005-0000-0000-0000D3380000}"/>
    <cellStyle name="40% - Accent2 7 8" xfId="12704" xr:uid="{00000000-0005-0000-0000-0000D4380000}"/>
    <cellStyle name="40% - Accent2 7 8 2" xfId="27853" xr:uid="{00000000-0005-0000-0000-0000D5380000}"/>
    <cellStyle name="40% - Accent2 7 9" xfId="14387" xr:uid="{00000000-0005-0000-0000-0000D6380000}"/>
    <cellStyle name="40% - Accent2 7 9 2" xfId="29536" xr:uid="{00000000-0005-0000-0000-0000D7380000}"/>
    <cellStyle name="40% - Accent2 8" xfId="1342" xr:uid="{00000000-0005-0000-0000-0000D8380000}"/>
    <cellStyle name="40% - Accent2 8 10" xfId="16491" xr:uid="{00000000-0005-0000-0000-0000D9380000}"/>
    <cellStyle name="40% - Accent2 8 11" xfId="31640" xr:uid="{00000000-0005-0000-0000-0000DA380000}"/>
    <cellStyle name="40% - Accent2 8 12" xfId="33323" xr:uid="{00000000-0005-0000-0000-0000DB380000}"/>
    <cellStyle name="40% - Accent2 8 13" xfId="35006" xr:uid="{00000000-0005-0000-0000-0000DC380000}"/>
    <cellStyle name="40% - Accent2 8 14" xfId="36689" xr:uid="{00000000-0005-0000-0000-0000DD380000}"/>
    <cellStyle name="40% - Accent2 8 15" xfId="38372" xr:uid="{00000000-0005-0000-0000-0000DE380000}"/>
    <cellStyle name="40% - Accent2 8 16" xfId="40055" xr:uid="{00000000-0005-0000-0000-0000DF380000}"/>
    <cellStyle name="40% - Accent2 8 17" xfId="41738" xr:uid="{00000000-0005-0000-0000-0000E0380000}"/>
    <cellStyle name="40% - Accent2 8 18" xfId="43421" xr:uid="{00000000-0005-0000-0000-0000E1380000}"/>
    <cellStyle name="40% - Accent2 8 19" xfId="45104" xr:uid="{00000000-0005-0000-0000-0000E2380000}"/>
    <cellStyle name="40% - Accent2 8 2" xfId="3025" xr:uid="{00000000-0005-0000-0000-0000E3380000}"/>
    <cellStyle name="40% - Accent2 8 2 2" xfId="18174" xr:uid="{00000000-0005-0000-0000-0000E4380000}"/>
    <cellStyle name="40% - Accent2 8 20" xfId="46787" xr:uid="{00000000-0005-0000-0000-0000E5380000}"/>
    <cellStyle name="40% - Accent2 8 21" xfId="48470" xr:uid="{00000000-0005-0000-0000-0000E6380000}"/>
    <cellStyle name="40% - Accent2 8 22" xfId="50153" xr:uid="{00000000-0005-0000-0000-0000E7380000}"/>
    <cellStyle name="40% - Accent2 8 23" xfId="51836" xr:uid="{00000000-0005-0000-0000-0000E8380000}"/>
    <cellStyle name="40% - Accent2 8 24" xfId="53519" xr:uid="{00000000-0005-0000-0000-0000E9380000}"/>
    <cellStyle name="40% - Accent2 8 25" xfId="55202" xr:uid="{00000000-0005-0000-0000-0000EA380000}"/>
    <cellStyle name="40% - Accent2 8 26" xfId="56885" xr:uid="{00000000-0005-0000-0000-0000EB380000}"/>
    <cellStyle name="40% - Accent2 8 27" xfId="58568" xr:uid="{00000000-0005-0000-0000-0000EC380000}"/>
    <cellStyle name="40% - Accent2 8 28" xfId="60251" xr:uid="{00000000-0005-0000-0000-0000ED380000}"/>
    <cellStyle name="40% - Accent2 8 29" xfId="61934" xr:uid="{00000000-0005-0000-0000-0000EE380000}"/>
    <cellStyle name="40% - Accent2 8 3" xfId="4709" xr:uid="{00000000-0005-0000-0000-0000EF380000}"/>
    <cellStyle name="40% - Accent2 8 3 2" xfId="19858" xr:uid="{00000000-0005-0000-0000-0000F0380000}"/>
    <cellStyle name="40% - Accent2 8 30" xfId="63617" xr:uid="{00000000-0005-0000-0000-0000F1380000}"/>
    <cellStyle name="40% - Accent2 8 4" xfId="6392" xr:uid="{00000000-0005-0000-0000-0000F2380000}"/>
    <cellStyle name="40% - Accent2 8 4 2" xfId="21541" xr:uid="{00000000-0005-0000-0000-0000F3380000}"/>
    <cellStyle name="40% - Accent2 8 5" xfId="8075" xr:uid="{00000000-0005-0000-0000-0000F4380000}"/>
    <cellStyle name="40% - Accent2 8 5 2" xfId="23224" xr:uid="{00000000-0005-0000-0000-0000F5380000}"/>
    <cellStyle name="40% - Accent2 8 6" xfId="9758" xr:uid="{00000000-0005-0000-0000-0000F6380000}"/>
    <cellStyle name="40% - Accent2 8 6 2" xfId="24907" xr:uid="{00000000-0005-0000-0000-0000F7380000}"/>
    <cellStyle name="40% - Accent2 8 7" xfId="11441" xr:uid="{00000000-0005-0000-0000-0000F8380000}"/>
    <cellStyle name="40% - Accent2 8 7 2" xfId="26590" xr:uid="{00000000-0005-0000-0000-0000F9380000}"/>
    <cellStyle name="40% - Accent2 8 8" xfId="13125" xr:uid="{00000000-0005-0000-0000-0000FA380000}"/>
    <cellStyle name="40% - Accent2 8 8 2" xfId="28274" xr:uid="{00000000-0005-0000-0000-0000FB380000}"/>
    <cellStyle name="40% - Accent2 8 9" xfId="14808" xr:uid="{00000000-0005-0000-0000-0000FC380000}"/>
    <cellStyle name="40% - Accent2 8 9 2" xfId="29957" xr:uid="{00000000-0005-0000-0000-0000FD380000}"/>
    <cellStyle name="40% - Accent2 9" xfId="1763" xr:uid="{00000000-0005-0000-0000-0000FE380000}"/>
    <cellStyle name="40% - Accent2 9 2" xfId="16912" xr:uid="{00000000-0005-0000-0000-0000FF380000}"/>
    <cellStyle name="40% - Accent3" xfId="80" builtinId="39" customBuiltin="1"/>
    <cellStyle name="40% - Accent3 10" xfId="3450" xr:uid="{00000000-0005-0000-0000-000001390000}"/>
    <cellStyle name="40% - Accent3 10 2" xfId="18599" xr:uid="{00000000-0005-0000-0000-000002390000}"/>
    <cellStyle name="40% - Accent3 11" xfId="5133" xr:uid="{00000000-0005-0000-0000-000003390000}"/>
    <cellStyle name="40% - Accent3 11 2" xfId="20282" xr:uid="{00000000-0005-0000-0000-000004390000}"/>
    <cellStyle name="40% - Accent3 12" xfId="6816" xr:uid="{00000000-0005-0000-0000-000005390000}"/>
    <cellStyle name="40% - Accent3 12 2" xfId="21965" xr:uid="{00000000-0005-0000-0000-000006390000}"/>
    <cellStyle name="40% - Accent3 13" xfId="8499" xr:uid="{00000000-0005-0000-0000-000007390000}"/>
    <cellStyle name="40% - Accent3 13 2" xfId="23648" xr:uid="{00000000-0005-0000-0000-000008390000}"/>
    <cellStyle name="40% - Accent3 14" xfId="10182" xr:uid="{00000000-0005-0000-0000-000009390000}"/>
    <cellStyle name="40% - Accent3 14 2" xfId="25331" xr:uid="{00000000-0005-0000-0000-00000A390000}"/>
    <cellStyle name="40% - Accent3 15" xfId="11866" xr:uid="{00000000-0005-0000-0000-00000B390000}"/>
    <cellStyle name="40% - Accent3 15 2" xfId="27015" xr:uid="{00000000-0005-0000-0000-00000C390000}"/>
    <cellStyle name="40% - Accent3 16" xfId="13549" xr:uid="{00000000-0005-0000-0000-00000D390000}"/>
    <cellStyle name="40% - Accent3 16 2" xfId="28698" xr:uid="{00000000-0005-0000-0000-00000E390000}"/>
    <cellStyle name="40% - Accent3 17" xfId="15232" xr:uid="{00000000-0005-0000-0000-00000F390000}"/>
    <cellStyle name="40% - Accent3 18" xfId="30381" xr:uid="{00000000-0005-0000-0000-000010390000}"/>
    <cellStyle name="40% - Accent3 19" xfId="32064" xr:uid="{00000000-0005-0000-0000-000011390000}"/>
    <cellStyle name="40% - Accent3 2" xfId="105" xr:uid="{00000000-0005-0000-0000-000012390000}"/>
    <cellStyle name="40% - Accent3 2 10" xfId="6838" xr:uid="{00000000-0005-0000-0000-000013390000}"/>
    <cellStyle name="40% - Accent3 2 10 2" xfId="21987" xr:uid="{00000000-0005-0000-0000-000014390000}"/>
    <cellStyle name="40% - Accent3 2 11" xfId="8521" xr:uid="{00000000-0005-0000-0000-000015390000}"/>
    <cellStyle name="40% - Accent3 2 11 2" xfId="23670" xr:uid="{00000000-0005-0000-0000-000016390000}"/>
    <cellStyle name="40% - Accent3 2 12" xfId="10204" xr:uid="{00000000-0005-0000-0000-000017390000}"/>
    <cellStyle name="40% - Accent3 2 12 2" xfId="25353" xr:uid="{00000000-0005-0000-0000-000018390000}"/>
    <cellStyle name="40% - Accent3 2 13" xfId="11888" xr:uid="{00000000-0005-0000-0000-000019390000}"/>
    <cellStyle name="40% - Accent3 2 13 2" xfId="27037" xr:uid="{00000000-0005-0000-0000-00001A390000}"/>
    <cellStyle name="40% - Accent3 2 14" xfId="13571" xr:uid="{00000000-0005-0000-0000-00001B390000}"/>
    <cellStyle name="40% - Accent3 2 14 2" xfId="28720" xr:uid="{00000000-0005-0000-0000-00001C390000}"/>
    <cellStyle name="40% - Accent3 2 15" xfId="15254" xr:uid="{00000000-0005-0000-0000-00001D390000}"/>
    <cellStyle name="40% - Accent3 2 16" xfId="30403" xr:uid="{00000000-0005-0000-0000-00001E390000}"/>
    <cellStyle name="40% - Accent3 2 17" xfId="32086" xr:uid="{00000000-0005-0000-0000-00001F390000}"/>
    <cellStyle name="40% - Accent3 2 18" xfId="33769" xr:uid="{00000000-0005-0000-0000-000020390000}"/>
    <cellStyle name="40% - Accent3 2 19" xfId="35452" xr:uid="{00000000-0005-0000-0000-000021390000}"/>
    <cellStyle name="40% - Accent3 2 2" xfId="210" xr:uid="{00000000-0005-0000-0000-000022390000}"/>
    <cellStyle name="40% - Accent3 2 2 10" xfId="8626" xr:uid="{00000000-0005-0000-0000-000023390000}"/>
    <cellStyle name="40% - Accent3 2 2 10 2" xfId="23775" xr:uid="{00000000-0005-0000-0000-000024390000}"/>
    <cellStyle name="40% - Accent3 2 2 11" xfId="10309" xr:uid="{00000000-0005-0000-0000-000025390000}"/>
    <cellStyle name="40% - Accent3 2 2 11 2" xfId="25458" xr:uid="{00000000-0005-0000-0000-000026390000}"/>
    <cellStyle name="40% - Accent3 2 2 12" xfId="11993" xr:uid="{00000000-0005-0000-0000-000027390000}"/>
    <cellStyle name="40% - Accent3 2 2 12 2" xfId="27142" xr:uid="{00000000-0005-0000-0000-000028390000}"/>
    <cellStyle name="40% - Accent3 2 2 13" xfId="13676" xr:uid="{00000000-0005-0000-0000-000029390000}"/>
    <cellStyle name="40% - Accent3 2 2 13 2" xfId="28825" xr:uid="{00000000-0005-0000-0000-00002A390000}"/>
    <cellStyle name="40% - Accent3 2 2 14" xfId="15359" xr:uid="{00000000-0005-0000-0000-00002B390000}"/>
    <cellStyle name="40% - Accent3 2 2 15" xfId="30508" xr:uid="{00000000-0005-0000-0000-00002C390000}"/>
    <cellStyle name="40% - Accent3 2 2 16" xfId="32191" xr:uid="{00000000-0005-0000-0000-00002D390000}"/>
    <cellStyle name="40% - Accent3 2 2 17" xfId="33874" xr:uid="{00000000-0005-0000-0000-00002E390000}"/>
    <cellStyle name="40% - Accent3 2 2 18" xfId="35557" xr:uid="{00000000-0005-0000-0000-00002F390000}"/>
    <cellStyle name="40% - Accent3 2 2 19" xfId="37240" xr:uid="{00000000-0005-0000-0000-000030390000}"/>
    <cellStyle name="40% - Accent3 2 2 2" xfId="420" xr:uid="{00000000-0005-0000-0000-000031390000}"/>
    <cellStyle name="40% - Accent3 2 2 2 10" xfId="10519" xr:uid="{00000000-0005-0000-0000-000032390000}"/>
    <cellStyle name="40% - Accent3 2 2 2 10 2" xfId="25668" xr:uid="{00000000-0005-0000-0000-000033390000}"/>
    <cellStyle name="40% - Accent3 2 2 2 11" xfId="12203" xr:uid="{00000000-0005-0000-0000-000034390000}"/>
    <cellStyle name="40% - Accent3 2 2 2 11 2" xfId="27352" xr:uid="{00000000-0005-0000-0000-000035390000}"/>
    <cellStyle name="40% - Accent3 2 2 2 12" xfId="13886" xr:uid="{00000000-0005-0000-0000-000036390000}"/>
    <cellStyle name="40% - Accent3 2 2 2 12 2" xfId="29035" xr:uid="{00000000-0005-0000-0000-000037390000}"/>
    <cellStyle name="40% - Accent3 2 2 2 13" xfId="15569" xr:uid="{00000000-0005-0000-0000-000038390000}"/>
    <cellStyle name="40% - Accent3 2 2 2 14" xfId="30718" xr:uid="{00000000-0005-0000-0000-000039390000}"/>
    <cellStyle name="40% - Accent3 2 2 2 15" xfId="32401" xr:uid="{00000000-0005-0000-0000-00003A390000}"/>
    <cellStyle name="40% - Accent3 2 2 2 16" xfId="34084" xr:uid="{00000000-0005-0000-0000-00003B390000}"/>
    <cellStyle name="40% - Accent3 2 2 2 17" xfId="35767" xr:uid="{00000000-0005-0000-0000-00003C390000}"/>
    <cellStyle name="40% - Accent3 2 2 2 18" xfId="37450" xr:uid="{00000000-0005-0000-0000-00003D390000}"/>
    <cellStyle name="40% - Accent3 2 2 2 19" xfId="39133" xr:uid="{00000000-0005-0000-0000-00003E390000}"/>
    <cellStyle name="40% - Accent3 2 2 2 2" xfId="840" xr:uid="{00000000-0005-0000-0000-00003F390000}"/>
    <cellStyle name="40% - Accent3 2 2 2 2 10" xfId="15989" xr:uid="{00000000-0005-0000-0000-000040390000}"/>
    <cellStyle name="40% - Accent3 2 2 2 2 11" xfId="31138" xr:uid="{00000000-0005-0000-0000-000041390000}"/>
    <cellStyle name="40% - Accent3 2 2 2 2 12" xfId="32821" xr:uid="{00000000-0005-0000-0000-000042390000}"/>
    <cellStyle name="40% - Accent3 2 2 2 2 13" xfId="34504" xr:uid="{00000000-0005-0000-0000-000043390000}"/>
    <cellStyle name="40% - Accent3 2 2 2 2 14" xfId="36187" xr:uid="{00000000-0005-0000-0000-000044390000}"/>
    <cellStyle name="40% - Accent3 2 2 2 2 15" xfId="37870" xr:uid="{00000000-0005-0000-0000-000045390000}"/>
    <cellStyle name="40% - Accent3 2 2 2 2 16" xfId="39553" xr:uid="{00000000-0005-0000-0000-000046390000}"/>
    <cellStyle name="40% - Accent3 2 2 2 2 17" xfId="41236" xr:uid="{00000000-0005-0000-0000-000047390000}"/>
    <cellStyle name="40% - Accent3 2 2 2 2 18" xfId="42919" xr:uid="{00000000-0005-0000-0000-000048390000}"/>
    <cellStyle name="40% - Accent3 2 2 2 2 19" xfId="44602" xr:uid="{00000000-0005-0000-0000-000049390000}"/>
    <cellStyle name="40% - Accent3 2 2 2 2 2" xfId="2523" xr:uid="{00000000-0005-0000-0000-00004A390000}"/>
    <cellStyle name="40% - Accent3 2 2 2 2 2 2" xfId="17672" xr:uid="{00000000-0005-0000-0000-00004B390000}"/>
    <cellStyle name="40% - Accent3 2 2 2 2 20" xfId="46285" xr:uid="{00000000-0005-0000-0000-00004C390000}"/>
    <cellStyle name="40% - Accent3 2 2 2 2 21" xfId="47968" xr:uid="{00000000-0005-0000-0000-00004D390000}"/>
    <cellStyle name="40% - Accent3 2 2 2 2 22" xfId="49651" xr:uid="{00000000-0005-0000-0000-00004E390000}"/>
    <cellStyle name="40% - Accent3 2 2 2 2 23" xfId="51334" xr:uid="{00000000-0005-0000-0000-00004F390000}"/>
    <cellStyle name="40% - Accent3 2 2 2 2 24" xfId="53017" xr:uid="{00000000-0005-0000-0000-000050390000}"/>
    <cellStyle name="40% - Accent3 2 2 2 2 25" xfId="54700" xr:uid="{00000000-0005-0000-0000-000051390000}"/>
    <cellStyle name="40% - Accent3 2 2 2 2 26" xfId="56383" xr:uid="{00000000-0005-0000-0000-000052390000}"/>
    <cellStyle name="40% - Accent3 2 2 2 2 27" xfId="58066" xr:uid="{00000000-0005-0000-0000-000053390000}"/>
    <cellStyle name="40% - Accent3 2 2 2 2 28" xfId="59749" xr:uid="{00000000-0005-0000-0000-000054390000}"/>
    <cellStyle name="40% - Accent3 2 2 2 2 29" xfId="61432" xr:uid="{00000000-0005-0000-0000-000055390000}"/>
    <cellStyle name="40% - Accent3 2 2 2 2 3" xfId="4207" xr:uid="{00000000-0005-0000-0000-000056390000}"/>
    <cellStyle name="40% - Accent3 2 2 2 2 3 2" xfId="19356" xr:uid="{00000000-0005-0000-0000-000057390000}"/>
    <cellStyle name="40% - Accent3 2 2 2 2 30" xfId="63115" xr:uid="{00000000-0005-0000-0000-000058390000}"/>
    <cellStyle name="40% - Accent3 2 2 2 2 4" xfId="5890" xr:uid="{00000000-0005-0000-0000-000059390000}"/>
    <cellStyle name="40% - Accent3 2 2 2 2 4 2" xfId="21039" xr:uid="{00000000-0005-0000-0000-00005A390000}"/>
    <cellStyle name="40% - Accent3 2 2 2 2 5" xfId="7573" xr:uid="{00000000-0005-0000-0000-00005B390000}"/>
    <cellStyle name="40% - Accent3 2 2 2 2 5 2" xfId="22722" xr:uid="{00000000-0005-0000-0000-00005C390000}"/>
    <cellStyle name="40% - Accent3 2 2 2 2 6" xfId="9256" xr:uid="{00000000-0005-0000-0000-00005D390000}"/>
    <cellStyle name="40% - Accent3 2 2 2 2 6 2" xfId="24405" xr:uid="{00000000-0005-0000-0000-00005E390000}"/>
    <cellStyle name="40% - Accent3 2 2 2 2 7" xfId="10939" xr:uid="{00000000-0005-0000-0000-00005F390000}"/>
    <cellStyle name="40% - Accent3 2 2 2 2 7 2" xfId="26088" xr:uid="{00000000-0005-0000-0000-000060390000}"/>
    <cellStyle name="40% - Accent3 2 2 2 2 8" xfId="12623" xr:uid="{00000000-0005-0000-0000-000061390000}"/>
    <cellStyle name="40% - Accent3 2 2 2 2 8 2" xfId="27772" xr:uid="{00000000-0005-0000-0000-000062390000}"/>
    <cellStyle name="40% - Accent3 2 2 2 2 9" xfId="14306" xr:uid="{00000000-0005-0000-0000-000063390000}"/>
    <cellStyle name="40% - Accent3 2 2 2 2 9 2" xfId="29455" xr:uid="{00000000-0005-0000-0000-000064390000}"/>
    <cellStyle name="40% - Accent3 2 2 2 20" xfId="40816" xr:uid="{00000000-0005-0000-0000-000065390000}"/>
    <cellStyle name="40% - Accent3 2 2 2 21" xfId="42499" xr:uid="{00000000-0005-0000-0000-000066390000}"/>
    <cellStyle name="40% - Accent3 2 2 2 22" xfId="44182" xr:uid="{00000000-0005-0000-0000-000067390000}"/>
    <cellStyle name="40% - Accent3 2 2 2 23" xfId="45865" xr:uid="{00000000-0005-0000-0000-000068390000}"/>
    <cellStyle name="40% - Accent3 2 2 2 24" xfId="47548" xr:uid="{00000000-0005-0000-0000-000069390000}"/>
    <cellStyle name="40% - Accent3 2 2 2 25" xfId="49231" xr:uid="{00000000-0005-0000-0000-00006A390000}"/>
    <cellStyle name="40% - Accent3 2 2 2 26" xfId="50914" xr:uid="{00000000-0005-0000-0000-00006B390000}"/>
    <cellStyle name="40% - Accent3 2 2 2 27" xfId="52597" xr:uid="{00000000-0005-0000-0000-00006C390000}"/>
    <cellStyle name="40% - Accent3 2 2 2 28" xfId="54280" xr:uid="{00000000-0005-0000-0000-00006D390000}"/>
    <cellStyle name="40% - Accent3 2 2 2 29" xfId="55963" xr:uid="{00000000-0005-0000-0000-00006E390000}"/>
    <cellStyle name="40% - Accent3 2 2 2 3" xfId="1261" xr:uid="{00000000-0005-0000-0000-00006F390000}"/>
    <cellStyle name="40% - Accent3 2 2 2 3 10" xfId="16410" xr:uid="{00000000-0005-0000-0000-000070390000}"/>
    <cellStyle name="40% - Accent3 2 2 2 3 11" xfId="31559" xr:uid="{00000000-0005-0000-0000-000071390000}"/>
    <cellStyle name="40% - Accent3 2 2 2 3 12" xfId="33242" xr:uid="{00000000-0005-0000-0000-000072390000}"/>
    <cellStyle name="40% - Accent3 2 2 2 3 13" xfId="34925" xr:uid="{00000000-0005-0000-0000-000073390000}"/>
    <cellStyle name="40% - Accent3 2 2 2 3 14" xfId="36608" xr:uid="{00000000-0005-0000-0000-000074390000}"/>
    <cellStyle name="40% - Accent3 2 2 2 3 15" xfId="38291" xr:uid="{00000000-0005-0000-0000-000075390000}"/>
    <cellStyle name="40% - Accent3 2 2 2 3 16" xfId="39974" xr:uid="{00000000-0005-0000-0000-000076390000}"/>
    <cellStyle name="40% - Accent3 2 2 2 3 17" xfId="41657" xr:uid="{00000000-0005-0000-0000-000077390000}"/>
    <cellStyle name="40% - Accent3 2 2 2 3 18" xfId="43340" xr:uid="{00000000-0005-0000-0000-000078390000}"/>
    <cellStyle name="40% - Accent3 2 2 2 3 19" xfId="45023" xr:uid="{00000000-0005-0000-0000-000079390000}"/>
    <cellStyle name="40% - Accent3 2 2 2 3 2" xfId="2944" xr:uid="{00000000-0005-0000-0000-00007A390000}"/>
    <cellStyle name="40% - Accent3 2 2 2 3 2 2" xfId="18093" xr:uid="{00000000-0005-0000-0000-00007B390000}"/>
    <cellStyle name="40% - Accent3 2 2 2 3 20" xfId="46706" xr:uid="{00000000-0005-0000-0000-00007C390000}"/>
    <cellStyle name="40% - Accent3 2 2 2 3 21" xfId="48389" xr:uid="{00000000-0005-0000-0000-00007D390000}"/>
    <cellStyle name="40% - Accent3 2 2 2 3 22" xfId="50072" xr:uid="{00000000-0005-0000-0000-00007E390000}"/>
    <cellStyle name="40% - Accent3 2 2 2 3 23" xfId="51755" xr:uid="{00000000-0005-0000-0000-00007F390000}"/>
    <cellStyle name="40% - Accent3 2 2 2 3 24" xfId="53438" xr:uid="{00000000-0005-0000-0000-000080390000}"/>
    <cellStyle name="40% - Accent3 2 2 2 3 25" xfId="55121" xr:uid="{00000000-0005-0000-0000-000081390000}"/>
    <cellStyle name="40% - Accent3 2 2 2 3 26" xfId="56804" xr:uid="{00000000-0005-0000-0000-000082390000}"/>
    <cellStyle name="40% - Accent3 2 2 2 3 27" xfId="58487" xr:uid="{00000000-0005-0000-0000-000083390000}"/>
    <cellStyle name="40% - Accent3 2 2 2 3 28" xfId="60170" xr:uid="{00000000-0005-0000-0000-000084390000}"/>
    <cellStyle name="40% - Accent3 2 2 2 3 29" xfId="61853" xr:uid="{00000000-0005-0000-0000-000085390000}"/>
    <cellStyle name="40% - Accent3 2 2 2 3 3" xfId="4628" xr:uid="{00000000-0005-0000-0000-000086390000}"/>
    <cellStyle name="40% - Accent3 2 2 2 3 3 2" xfId="19777" xr:uid="{00000000-0005-0000-0000-000087390000}"/>
    <cellStyle name="40% - Accent3 2 2 2 3 30" xfId="63536" xr:uid="{00000000-0005-0000-0000-000088390000}"/>
    <cellStyle name="40% - Accent3 2 2 2 3 4" xfId="6311" xr:uid="{00000000-0005-0000-0000-000089390000}"/>
    <cellStyle name="40% - Accent3 2 2 2 3 4 2" xfId="21460" xr:uid="{00000000-0005-0000-0000-00008A390000}"/>
    <cellStyle name="40% - Accent3 2 2 2 3 5" xfId="7994" xr:uid="{00000000-0005-0000-0000-00008B390000}"/>
    <cellStyle name="40% - Accent3 2 2 2 3 5 2" xfId="23143" xr:uid="{00000000-0005-0000-0000-00008C390000}"/>
    <cellStyle name="40% - Accent3 2 2 2 3 6" xfId="9677" xr:uid="{00000000-0005-0000-0000-00008D390000}"/>
    <cellStyle name="40% - Accent3 2 2 2 3 6 2" xfId="24826" xr:uid="{00000000-0005-0000-0000-00008E390000}"/>
    <cellStyle name="40% - Accent3 2 2 2 3 7" xfId="11360" xr:uid="{00000000-0005-0000-0000-00008F390000}"/>
    <cellStyle name="40% - Accent3 2 2 2 3 7 2" xfId="26509" xr:uid="{00000000-0005-0000-0000-000090390000}"/>
    <cellStyle name="40% - Accent3 2 2 2 3 8" xfId="13044" xr:uid="{00000000-0005-0000-0000-000091390000}"/>
    <cellStyle name="40% - Accent3 2 2 2 3 8 2" xfId="28193" xr:uid="{00000000-0005-0000-0000-000092390000}"/>
    <cellStyle name="40% - Accent3 2 2 2 3 9" xfId="14727" xr:uid="{00000000-0005-0000-0000-000093390000}"/>
    <cellStyle name="40% - Accent3 2 2 2 3 9 2" xfId="29876" xr:uid="{00000000-0005-0000-0000-000094390000}"/>
    <cellStyle name="40% - Accent3 2 2 2 30" xfId="57646" xr:uid="{00000000-0005-0000-0000-000095390000}"/>
    <cellStyle name="40% - Accent3 2 2 2 31" xfId="59329" xr:uid="{00000000-0005-0000-0000-000096390000}"/>
    <cellStyle name="40% - Accent3 2 2 2 32" xfId="61012" xr:uid="{00000000-0005-0000-0000-000097390000}"/>
    <cellStyle name="40% - Accent3 2 2 2 33" xfId="62695" xr:uid="{00000000-0005-0000-0000-000098390000}"/>
    <cellStyle name="40% - Accent3 2 2 2 4" xfId="1682" xr:uid="{00000000-0005-0000-0000-000099390000}"/>
    <cellStyle name="40% - Accent3 2 2 2 4 10" xfId="16831" xr:uid="{00000000-0005-0000-0000-00009A390000}"/>
    <cellStyle name="40% - Accent3 2 2 2 4 11" xfId="31980" xr:uid="{00000000-0005-0000-0000-00009B390000}"/>
    <cellStyle name="40% - Accent3 2 2 2 4 12" xfId="33663" xr:uid="{00000000-0005-0000-0000-00009C390000}"/>
    <cellStyle name="40% - Accent3 2 2 2 4 13" xfId="35346" xr:uid="{00000000-0005-0000-0000-00009D390000}"/>
    <cellStyle name="40% - Accent3 2 2 2 4 14" xfId="37029" xr:uid="{00000000-0005-0000-0000-00009E390000}"/>
    <cellStyle name="40% - Accent3 2 2 2 4 15" xfId="38712" xr:uid="{00000000-0005-0000-0000-00009F390000}"/>
    <cellStyle name="40% - Accent3 2 2 2 4 16" xfId="40395" xr:uid="{00000000-0005-0000-0000-0000A0390000}"/>
    <cellStyle name="40% - Accent3 2 2 2 4 17" xfId="42078" xr:uid="{00000000-0005-0000-0000-0000A1390000}"/>
    <cellStyle name="40% - Accent3 2 2 2 4 18" xfId="43761" xr:uid="{00000000-0005-0000-0000-0000A2390000}"/>
    <cellStyle name="40% - Accent3 2 2 2 4 19" xfId="45444" xr:uid="{00000000-0005-0000-0000-0000A3390000}"/>
    <cellStyle name="40% - Accent3 2 2 2 4 2" xfId="3365" xr:uid="{00000000-0005-0000-0000-0000A4390000}"/>
    <cellStyle name="40% - Accent3 2 2 2 4 2 2" xfId="18514" xr:uid="{00000000-0005-0000-0000-0000A5390000}"/>
    <cellStyle name="40% - Accent3 2 2 2 4 20" xfId="47127" xr:uid="{00000000-0005-0000-0000-0000A6390000}"/>
    <cellStyle name="40% - Accent3 2 2 2 4 21" xfId="48810" xr:uid="{00000000-0005-0000-0000-0000A7390000}"/>
    <cellStyle name="40% - Accent3 2 2 2 4 22" xfId="50493" xr:uid="{00000000-0005-0000-0000-0000A8390000}"/>
    <cellStyle name="40% - Accent3 2 2 2 4 23" xfId="52176" xr:uid="{00000000-0005-0000-0000-0000A9390000}"/>
    <cellStyle name="40% - Accent3 2 2 2 4 24" xfId="53859" xr:uid="{00000000-0005-0000-0000-0000AA390000}"/>
    <cellStyle name="40% - Accent3 2 2 2 4 25" xfId="55542" xr:uid="{00000000-0005-0000-0000-0000AB390000}"/>
    <cellStyle name="40% - Accent3 2 2 2 4 26" xfId="57225" xr:uid="{00000000-0005-0000-0000-0000AC390000}"/>
    <cellStyle name="40% - Accent3 2 2 2 4 27" xfId="58908" xr:uid="{00000000-0005-0000-0000-0000AD390000}"/>
    <cellStyle name="40% - Accent3 2 2 2 4 28" xfId="60591" xr:uid="{00000000-0005-0000-0000-0000AE390000}"/>
    <cellStyle name="40% - Accent3 2 2 2 4 29" xfId="62274" xr:uid="{00000000-0005-0000-0000-0000AF390000}"/>
    <cellStyle name="40% - Accent3 2 2 2 4 3" xfId="5049" xr:uid="{00000000-0005-0000-0000-0000B0390000}"/>
    <cellStyle name="40% - Accent3 2 2 2 4 3 2" xfId="20198" xr:uid="{00000000-0005-0000-0000-0000B1390000}"/>
    <cellStyle name="40% - Accent3 2 2 2 4 30" xfId="63957" xr:uid="{00000000-0005-0000-0000-0000B2390000}"/>
    <cellStyle name="40% - Accent3 2 2 2 4 4" xfId="6732" xr:uid="{00000000-0005-0000-0000-0000B3390000}"/>
    <cellStyle name="40% - Accent3 2 2 2 4 4 2" xfId="21881" xr:uid="{00000000-0005-0000-0000-0000B4390000}"/>
    <cellStyle name="40% - Accent3 2 2 2 4 5" xfId="8415" xr:uid="{00000000-0005-0000-0000-0000B5390000}"/>
    <cellStyle name="40% - Accent3 2 2 2 4 5 2" xfId="23564" xr:uid="{00000000-0005-0000-0000-0000B6390000}"/>
    <cellStyle name="40% - Accent3 2 2 2 4 6" xfId="10098" xr:uid="{00000000-0005-0000-0000-0000B7390000}"/>
    <cellStyle name="40% - Accent3 2 2 2 4 6 2" xfId="25247" xr:uid="{00000000-0005-0000-0000-0000B8390000}"/>
    <cellStyle name="40% - Accent3 2 2 2 4 7" xfId="11781" xr:uid="{00000000-0005-0000-0000-0000B9390000}"/>
    <cellStyle name="40% - Accent3 2 2 2 4 7 2" xfId="26930" xr:uid="{00000000-0005-0000-0000-0000BA390000}"/>
    <cellStyle name="40% - Accent3 2 2 2 4 8" xfId="13465" xr:uid="{00000000-0005-0000-0000-0000BB390000}"/>
    <cellStyle name="40% - Accent3 2 2 2 4 8 2" xfId="28614" xr:uid="{00000000-0005-0000-0000-0000BC390000}"/>
    <cellStyle name="40% - Accent3 2 2 2 4 9" xfId="15148" xr:uid="{00000000-0005-0000-0000-0000BD390000}"/>
    <cellStyle name="40% - Accent3 2 2 2 4 9 2" xfId="30297" xr:uid="{00000000-0005-0000-0000-0000BE390000}"/>
    <cellStyle name="40% - Accent3 2 2 2 5" xfId="2103" xr:uid="{00000000-0005-0000-0000-0000BF390000}"/>
    <cellStyle name="40% - Accent3 2 2 2 5 2" xfId="17252" xr:uid="{00000000-0005-0000-0000-0000C0390000}"/>
    <cellStyle name="40% - Accent3 2 2 2 6" xfId="3787" xr:uid="{00000000-0005-0000-0000-0000C1390000}"/>
    <cellStyle name="40% - Accent3 2 2 2 6 2" xfId="18936" xr:uid="{00000000-0005-0000-0000-0000C2390000}"/>
    <cellStyle name="40% - Accent3 2 2 2 7" xfId="5470" xr:uid="{00000000-0005-0000-0000-0000C3390000}"/>
    <cellStyle name="40% - Accent3 2 2 2 7 2" xfId="20619" xr:uid="{00000000-0005-0000-0000-0000C4390000}"/>
    <cellStyle name="40% - Accent3 2 2 2 8" xfId="7153" xr:uid="{00000000-0005-0000-0000-0000C5390000}"/>
    <cellStyle name="40% - Accent3 2 2 2 8 2" xfId="22302" xr:uid="{00000000-0005-0000-0000-0000C6390000}"/>
    <cellStyle name="40% - Accent3 2 2 2 9" xfId="8836" xr:uid="{00000000-0005-0000-0000-0000C7390000}"/>
    <cellStyle name="40% - Accent3 2 2 2 9 2" xfId="23985" xr:uid="{00000000-0005-0000-0000-0000C8390000}"/>
    <cellStyle name="40% - Accent3 2 2 20" xfId="38923" xr:uid="{00000000-0005-0000-0000-0000C9390000}"/>
    <cellStyle name="40% - Accent3 2 2 21" xfId="40606" xr:uid="{00000000-0005-0000-0000-0000CA390000}"/>
    <cellStyle name="40% - Accent3 2 2 22" xfId="42289" xr:uid="{00000000-0005-0000-0000-0000CB390000}"/>
    <cellStyle name="40% - Accent3 2 2 23" xfId="43972" xr:uid="{00000000-0005-0000-0000-0000CC390000}"/>
    <cellStyle name="40% - Accent3 2 2 24" xfId="45655" xr:uid="{00000000-0005-0000-0000-0000CD390000}"/>
    <cellStyle name="40% - Accent3 2 2 25" xfId="47338" xr:uid="{00000000-0005-0000-0000-0000CE390000}"/>
    <cellStyle name="40% - Accent3 2 2 26" xfId="49021" xr:uid="{00000000-0005-0000-0000-0000CF390000}"/>
    <cellStyle name="40% - Accent3 2 2 27" xfId="50704" xr:uid="{00000000-0005-0000-0000-0000D0390000}"/>
    <cellStyle name="40% - Accent3 2 2 28" xfId="52387" xr:uid="{00000000-0005-0000-0000-0000D1390000}"/>
    <cellStyle name="40% - Accent3 2 2 29" xfId="54070" xr:uid="{00000000-0005-0000-0000-0000D2390000}"/>
    <cellStyle name="40% - Accent3 2 2 3" xfId="630" xr:uid="{00000000-0005-0000-0000-0000D3390000}"/>
    <cellStyle name="40% - Accent3 2 2 3 10" xfId="15779" xr:uid="{00000000-0005-0000-0000-0000D4390000}"/>
    <cellStyle name="40% - Accent3 2 2 3 11" xfId="30928" xr:uid="{00000000-0005-0000-0000-0000D5390000}"/>
    <cellStyle name="40% - Accent3 2 2 3 12" xfId="32611" xr:uid="{00000000-0005-0000-0000-0000D6390000}"/>
    <cellStyle name="40% - Accent3 2 2 3 13" xfId="34294" xr:uid="{00000000-0005-0000-0000-0000D7390000}"/>
    <cellStyle name="40% - Accent3 2 2 3 14" xfId="35977" xr:uid="{00000000-0005-0000-0000-0000D8390000}"/>
    <cellStyle name="40% - Accent3 2 2 3 15" xfId="37660" xr:uid="{00000000-0005-0000-0000-0000D9390000}"/>
    <cellStyle name="40% - Accent3 2 2 3 16" xfId="39343" xr:uid="{00000000-0005-0000-0000-0000DA390000}"/>
    <cellStyle name="40% - Accent3 2 2 3 17" xfId="41026" xr:uid="{00000000-0005-0000-0000-0000DB390000}"/>
    <cellStyle name="40% - Accent3 2 2 3 18" xfId="42709" xr:uid="{00000000-0005-0000-0000-0000DC390000}"/>
    <cellStyle name="40% - Accent3 2 2 3 19" xfId="44392" xr:uid="{00000000-0005-0000-0000-0000DD390000}"/>
    <cellStyle name="40% - Accent3 2 2 3 2" xfId="2313" xr:uid="{00000000-0005-0000-0000-0000DE390000}"/>
    <cellStyle name="40% - Accent3 2 2 3 2 2" xfId="17462" xr:uid="{00000000-0005-0000-0000-0000DF390000}"/>
    <cellStyle name="40% - Accent3 2 2 3 20" xfId="46075" xr:uid="{00000000-0005-0000-0000-0000E0390000}"/>
    <cellStyle name="40% - Accent3 2 2 3 21" xfId="47758" xr:uid="{00000000-0005-0000-0000-0000E1390000}"/>
    <cellStyle name="40% - Accent3 2 2 3 22" xfId="49441" xr:uid="{00000000-0005-0000-0000-0000E2390000}"/>
    <cellStyle name="40% - Accent3 2 2 3 23" xfId="51124" xr:uid="{00000000-0005-0000-0000-0000E3390000}"/>
    <cellStyle name="40% - Accent3 2 2 3 24" xfId="52807" xr:uid="{00000000-0005-0000-0000-0000E4390000}"/>
    <cellStyle name="40% - Accent3 2 2 3 25" xfId="54490" xr:uid="{00000000-0005-0000-0000-0000E5390000}"/>
    <cellStyle name="40% - Accent3 2 2 3 26" xfId="56173" xr:uid="{00000000-0005-0000-0000-0000E6390000}"/>
    <cellStyle name="40% - Accent3 2 2 3 27" xfId="57856" xr:uid="{00000000-0005-0000-0000-0000E7390000}"/>
    <cellStyle name="40% - Accent3 2 2 3 28" xfId="59539" xr:uid="{00000000-0005-0000-0000-0000E8390000}"/>
    <cellStyle name="40% - Accent3 2 2 3 29" xfId="61222" xr:uid="{00000000-0005-0000-0000-0000E9390000}"/>
    <cellStyle name="40% - Accent3 2 2 3 3" xfId="3997" xr:uid="{00000000-0005-0000-0000-0000EA390000}"/>
    <cellStyle name="40% - Accent3 2 2 3 3 2" xfId="19146" xr:uid="{00000000-0005-0000-0000-0000EB390000}"/>
    <cellStyle name="40% - Accent3 2 2 3 30" xfId="62905" xr:uid="{00000000-0005-0000-0000-0000EC390000}"/>
    <cellStyle name="40% - Accent3 2 2 3 4" xfId="5680" xr:uid="{00000000-0005-0000-0000-0000ED390000}"/>
    <cellStyle name="40% - Accent3 2 2 3 4 2" xfId="20829" xr:uid="{00000000-0005-0000-0000-0000EE390000}"/>
    <cellStyle name="40% - Accent3 2 2 3 5" xfId="7363" xr:uid="{00000000-0005-0000-0000-0000EF390000}"/>
    <cellStyle name="40% - Accent3 2 2 3 5 2" xfId="22512" xr:uid="{00000000-0005-0000-0000-0000F0390000}"/>
    <cellStyle name="40% - Accent3 2 2 3 6" xfId="9046" xr:uid="{00000000-0005-0000-0000-0000F1390000}"/>
    <cellStyle name="40% - Accent3 2 2 3 6 2" xfId="24195" xr:uid="{00000000-0005-0000-0000-0000F2390000}"/>
    <cellStyle name="40% - Accent3 2 2 3 7" xfId="10729" xr:uid="{00000000-0005-0000-0000-0000F3390000}"/>
    <cellStyle name="40% - Accent3 2 2 3 7 2" xfId="25878" xr:uid="{00000000-0005-0000-0000-0000F4390000}"/>
    <cellStyle name="40% - Accent3 2 2 3 8" xfId="12413" xr:uid="{00000000-0005-0000-0000-0000F5390000}"/>
    <cellStyle name="40% - Accent3 2 2 3 8 2" xfId="27562" xr:uid="{00000000-0005-0000-0000-0000F6390000}"/>
    <cellStyle name="40% - Accent3 2 2 3 9" xfId="14096" xr:uid="{00000000-0005-0000-0000-0000F7390000}"/>
    <cellStyle name="40% - Accent3 2 2 3 9 2" xfId="29245" xr:uid="{00000000-0005-0000-0000-0000F8390000}"/>
    <cellStyle name="40% - Accent3 2 2 30" xfId="55753" xr:uid="{00000000-0005-0000-0000-0000F9390000}"/>
    <cellStyle name="40% - Accent3 2 2 31" xfId="57436" xr:uid="{00000000-0005-0000-0000-0000FA390000}"/>
    <cellStyle name="40% - Accent3 2 2 32" xfId="59119" xr:uid="{00000000-0005-0000-0000-0000FB390000}"/>
    <cellStyle name="40% - Accent3 2 2 33" xfId="60802" xr:uid="{00000000-0005-0000-0000-0000FC390000}"/>
    <cellStyle name="40% - Accent3 2 2 34" xfId="62485" xr:uid="{00000000-0005-0000-0000-0000FD390000}"/>
    <cellStyle name="40% - Accent3 2 2 4" xfId="1051" xr:uid="{00000000-0005-0000-0000-0000FE390000}"/>
    <cellStyle name="40% - Accent3 2 2 4 10" xfId="16200" xr:uid="{00000000-0005-0000-0000-0000FF390000}"/>
    <cellStyle name="40% - Accent3 2 2 4 11" xfId="31349" xr:uid="{00000000-0005-0000-0000-0000003A0000}"/>
    <cellStyle name="40% - Accent3 2 2 4 12" xfId="33032" xr:uid="{00000000-0005-0000-0000-0000013A0000}"/>
    <cellStyle name="40% - Accent3 2 2 4 13" xfId="34715" xr:uid="{00000000-0005-0000-0000-0000023A0000}"/>
    <cellStyle name="40% - Accent3 2 2 4 14" xfId="36398" xr:uid="{00000000-0005-0000-0000-0000033A0000}"/>
    <cellStyle name="40% - Accent3 2 2 4 15" xfId="38081" xr:uid="{00000000-0005-0000-0000-0000043A0000}"/>
    <cellStyle name="40% - Accent3 2 2 4 16" xfId="39764" xr:uid="{00000000-0005-0000-0000-0000053A0000}"/>
    <cellStyle name="40% - Accent3 2 2 4 17" xfId="41447" xr:uid="{00000000-0005-0000-0000-0000063A0000}"/>
    <cellStyle name="40% - Accent3 2 2 4 18" xfId="43130" xr:uid="{00000000-0005-0000-0000-0000073A0000}"/>
    <cellStyle name="40% - Accent3 2 2 4 19" xfId="44813" xr:uid="{00000000-0005-0000-0000-0000083A0000}"/>
    <cellStyle name="40% - Accent3 2 2 4 2" xfId="2734" xr:uid="{00000000-0005-0000-0000-0000093A0000}"/>
    <cellStyle name="40% - Accent3 2 2 4 2 2" xfId="17883" xr:uid="{00000000-0005-0000-0000-00000A3A0000}"/>
    <cellStyle name="40% - Accent3 2 2 4 20" xfId="46496" xr:uid="{00000000-0005-0000-0000-00000B3A0000}"/>
    <cellStyle name="40% - Accent3 2 2 4 21" xfId="48179" xr:uid="{00000000-0005-0000-0000-00000C3A0000}"/>
    <cellStyle name="40% - Accent3 2 2 4 22" xfId="49862" xr:uid="{00000000-0005-0000-0000-00000D3A0000}"/>
    <cellStyle name="40% - Accent3 2 2 4 23" xfId="51545" xr:uid="{00000000-0005-0000-0000-00000E3A0000}"/>
    <cellStyle name="40% - Accent3 2 2 4 24" xfId="53228" xr:uid="{00000000-0005-0000-0000-00000F3A0000}"/>
    <cellStyle name="40% - Accent3 2 2 4 25" xfId="54911" xr:uid="{00000000-0005-0000-0000-0000103A0000}"/>
    <cellStyle name="40% - Accent3 2 2 4 26" xfId="56594" xr:uid="{00000000-0005-0000-0000-0000113A0000}"/>
    <cellStyle name="40% - Accent3 2 2 4 27" xfId="58277" xr:uid="{00000000-0005-0000-0000-0000123A0000}"/>
    <cellStyle name="40% - Accent3 2 2 4 28" xfId="59960" xr:uid="{00000000-0005-0000-0000-0000133A0000}"/>
    <cellStyle name="40% - Accent3 2 2 4 29" xfId="61643" xr:uid="{00000000-0005-0000-0000-0000143A0000}"/>
    <cellStyle name="40% - Accent3 2 2 4 3" xfId="4418" xr:uid="{00000000-0005-0000-0000-0000153A0000}"/>
    <cellStyle name="40% - Accent3 2 2 4 3 2" xfId="19567" xr:uid="{00000000-0005-0000-0000-0000163A0000}"/>
    <cellStyle name="40% - Accent3 2 2 4 30" xfId="63326" xr:uid="{00000000-0005-0000-0000-0000173A0000}"/>
    <cellStyle name="40% - Accent3 2 2 4 4" xfId="6101" xr:uid="{00000000-0005-0000-0000-0000183A0000}"/>
    <cellStyle name="40% - Accent3 2 2 4 4 2" xfId="21250" xr:uid="{00000000-0005-0000-0000-0000193A0000}"/>
    <cellStyle name="40% - Accent3 2 2 4 5" xfId="7784" xr:uid="{00000000-0005-0000-0000-00001A3A0000}"/>
    <cellStyle name="40% - Accent3 2 2 4 5 2" xfId="22933" xr:uid="{00000000-0005-0000-0000-00001B3A0000}"/>
    <cellStyle name="40% - Accent3 2 2 4 6" xfId="9467" xr:uid="{00000000-0005-0000-0000-00001C3A0000}"/>
    <cellStyle name="40% - Accent3 2 2 4 6 2" xfId="24616" xr:uid="{00000000-0005-0000-0000-00001D3A0000}"/>
    <cellStyle name="40% - Accent3 2 2 4 7" xfId="11150" xr:uid="{00000000-0005-0000-0000-00001E3A0000}"/>
    <cellStyle name="40% - Accent3 2 2 4 7 2" xfId="26299" xr:uid="{00000000-0005-0000-0000-00001F3A0000}"/>
    <cellStyle name="40% - Accent3 2 2 4 8" xfId="12834" xr:uid="{00000000-0005-0000-0000-0000203A0000}"/>
    <cellStyle name="40% - Accent3 2 2 4 8 2" xfId="27983" xr:uid="{00000000-0005-0000-0000-0000213A0000}"/>
    <cellStyle name="40% - Accent3 2 2 4 9" xfId="14517" xr:uid="{00000000-0005-0000-0000-0000223A0000}"/>
    <cellStyle name="40% - Accent3 2 2 4 9 2" xfId="29666" xr:uid="{00000000-0005-0000-0000-0000233A0000}"/>
    <cellStyle name="40% - Accent3 2 2 5" xfId="1472" xr:uid="{00000000-0005-0000-0000-0000243A0000}"/>
    <cellStyle name="40% - Accent3 2 2 5 10" xfId="16621" xr:uid="{00000000-0005-0000-0000-0000253A0000}"/>
    <cellStyle name="40% - Accent3 2 2 5 11" xfId="31770" xr:uid="{00000000-0005-0000-0000-0000263A0000}"/>
    <cellStyle name="40% - Accent3 2 2 5 12" xfId="33453" xr:uid="{00000000-0005-0000-0000-0000273A0000}"/>
    <cellStyle name="40% - Accent3 2 2 5 13" xfId="35136" xr:uid="{00000000-0005-0000-0000-0000283A0000}"/>
    <cellStyle name="40% - Accent3 2 2 5 14" xfId="36819" xr:uid="{00000000-0005-0000-0000-0000293A0000}"/>
    <cellStyle name="40% - Accent3 2 2 5 15" xfId="38502" xr:uid="{00000000-0005-0000-0000-00002A3A0000}"/>
    <cellStyle name="40% - Accent3 2 2 5 16" xfId="40185" xr:uid="{00000000-0005-0000-0000-00002B3A0000}"/>
    <cellStyle name="40% - Accent3 2 2 5 17" xfId="41868" xr:uid="{00000000-0005-0000-0000-00002C3A0000}"/>
    <cellStyle name="40% - Accent3 2 2 5 18" xfId="43551" xr:uid="{00000000-0005-0000-0000-00002D3A0000}"/>
    <cellStyle name="40% - Accent3 2 2 5 19" xfId="45234" xr:uid="{00000000-0005-0000-0000-00002E3A0000}"/>
    <cellStyle name="40% - Accent3 2 2 5 2" xfId="3155" xr:uid="{00000000-0005-0000-0000-00002F3A0000}"/>
    <cellStyle name="40% - Accent3 2 2 5 2 2" xfId="18304" xr:uid="{00000000-0005-0000-0000-0000303A0000}"/>
    <cellStyle name="40% - Accent3 2 2 5 20" xfId="46917" xr:uid="{00000000-0005-0000-0000-0000313A0000}"/>
    <cellStyle name="40% - Accent3 2 2 5 21" xfId="48600" xr:uid="{00000000-0005-0000-0000-0000323A0000}"/>
    <cellStyle name="40% - Accent3 2 2 5 22" xfId="50283" xr:uid="{00000000-0005-0000-0000-0000333A0000}"/>
    <cellStyle name="40% - Accent3 2 2 5 23" xfId="51966" xr:uid="{00000000-0005-0000-0000-0000343A0000}"/>
    <cellStyle name="40% - Accent3 2 2 5 24" xfId="53649" xr:uid="{00000000-0005-0000-0000-0000353A0000}"/>
    <cellStyle name="40% - Accent3 2 2 5 25" xfId="55332" xr:uid="{00000000-0005-0000-0000-0000363A0000}"/>
    <cellStyle name="40% - Accent3 2 2 5 26" xfId="57015" xr:uid="{00000000-0005-0000-0000-0000373A0000}"/>
    <cellStyle name="40% - Accent3 2 2 5 27" xfId="58698" xr:uid="{00000000-0005-0000-0000-0000383A0000}"/>
    <cellStyle name="40% - Accent3 2 2 5 28" xfId="60381" xr:uid="{00000000-0005-0000-0000-0000393A0000}"/>
    <cellStyle name="40% - Accent3 2 2 5 29" xfId="62064" xr:uid="{00000000-0005-0000-0000-00003A3A0000}"/>
    <cellStyle name="40% - Accent3 2 2 5 3" xfId="4839" xr:uid="{00000000-0005-0000-0000-00003B3A0000}"/>
    <cellStyle name="40% - Accent3 2 2 5 3 2" xfId="19988" xr:uid="{00000000-0005-0000-0000-00003C3A0000}"/>
    <cellStyle name="40% - Accent3 2 2 5 30" xfId="63747" xr:uid="{00000000-0005-0000-0000-00003D3A0000}"/>
    <cellStyle name="40% - Accent3 2 2 5 4" xfId="6522" xr:uid="{00000000-0005-0000-0000-00003E3A0000}"/>
    <cellStyle name="40% - Accent3 2 2 5 4 2" xfId="21671" xr:uid="{00000000-0005-0000-0000-00003F3A0000}"/>
    <cellStyle name="40% - Accent3 2 2 5 5" xfId="8205" xr:uid="{00000000-0005-0000-0000-0000403A0000}"/>
    <cellStyle name="40% - Accent3 2 2 5 5 2" xfId="23354" xr:uid="{00000000-0005-0000-0000-0000413A0000}"/>
    <cellStyle name="40% - Accent3 2 2 5 6" xfId="9888" xr:uid="{00000000-0005-0000-0000-0000423A0000}"/>
    <cellStyle name="40% - Accent3 2 2 5 6 2" xfId="25037" xr:uid="{00000000-0005-0000-0000-0000433A0000}"/>
    <cellStyle name="40% - Accent3 2 2 5 7" xfId="11571" xr:uid="{00000000-0005-0000-0000-0000443A0000}"/>
    <cellStyle name="40% - Accent3 2 2 5 7 2" xfId="26720" xr:uid="{00000000-0005-0000-0000-0000453A0000}"/>
    <cellStyle name="40% - Accent3 2 2 5 8" xfId="13255" xr:uid="{00000000-0005-0000-0000-0000463A0000}"/>
    <cellStyle name="40% - Accent3 2 2 5 8 2" xfId="28404" xr:uid="{00000000-0005-0000-0000-0000473A0000}"/>
    <cellStyle name="40% - Accent3 2 2 5 9" xfId="14938" xr:uid="{00000000-0005-0000-0000-0000483A0000}"/>
    <cellStyle name="40% - Accent3 2 2 5 9 2" xfId="30087" xr:uid="{00000000-0005-0000-0000-0000493A0000}"/>
    <cellStyle name="40% - Accent3 2 2 6" xfId="1893" xr:uid="{00000000-0005-0000-0000-00004A3A0000}"/>
    <cellStyle name="40% - Accent3 2 2 6 2" xfId="17042" xr:uid="{00000000-0005-0000-0000-00004B3A0000}"/>
    <cellStyle name="40% - Accent3 2 2 7" xfId="3577" xr:uid="{00000000-0005-0000-0000-00004C3A0000}"/>
    <cellStyle name="40% - Accent3 2 2 7 2" xfId="18726" xr:uid="{00000000-0005-0000-0000-00004D3A0000}"/>
    <cellStyle name="40% - Accent3 2 2 8" xfId="5260" xr:uid="{00000000-0005-0000-0000-00004E3A0000}"/>
    <cellStyle name="40% - Accent3 2 2 8 2" xfId="20409" xr:uid="{00000000-0005-0000-0000-00004F3A0000}"/>
    <cellStyle name="40% - Accent3 2 2 9" xfId="6943" xr:uid="{00000000-0005-0000-0000-0000503A0000}"/>
    <cellStyle name="40% - Accent3 2 2 9 2" xfId="22092" xr:uid="{00000000-0005-0000-0000-0000513A0000}"/>
    <cellStyle name="40% - Accent3 2 20" xfId="37135" xr:uid="{00000000-0005-0000-0000-0000523A0000}"/>
    <cellStyle name="40% - Accent3 2 21" xfId="38818" xr:uid="{00000000-0005-0000-0000-0000533A0000}"/>
    <cellStyle name="40% - Accent3 2 22" xfId="40501" xr:uid="{00000000-0005-0000-0000-0000543A0000}"/>
    <cellStyle name="40% - Accent3 2 23" xfId="42184" xr:uid="{00000000-0005-0000-0000-0000553A0000}"/>
    <cellStyle name="40% - Accent3 2 24" xfId="43867" xr:uid="{00000000-0005-0000-0000-0000563A0000}"/>
    <cellStyle name="40% - Accent3 2 25" xfId="45550" xr:uid="{00000000-0005-0000-0000-0000573A0000}"/>
    <cellStyle name="40% - Accent3 2 26" xfId="47233" xr:uid="{00000000-0005-0000-0000-0000583A0000}"/>
    <cellStyle name="40% - Accent3 2 27" xfId="48916" xr:uid="{00000000-0005-0000-0000-0000593A0000}"/>
    <cellStyle name="40% - Accent3 2 28" xfId="50599" xr:uid="{00000000-0005-0000-0000-00005A3A0000}"/>
    <cellStyle name="40% - Accent3 2 29" xfId="52282" xr:uid="{00000000-0005-0000-0000-00005B3A0000}"/>
    <cellStyle name="40% - Accent3 2 3" xfId="315" xr:uid="{00000000-0005-0000-0000-00005C3A0000}"/>
    <cellStyle name="40% - Accent3 2 3 10" xfId="10414" xr:uid="{00000000-0005-0000-0000-00005D3A0000}"/>
    <cellStyle name="40% - Accent3 2 3 10 2" xfId="25563" xr:uid="{00000000-0005-0000-0000-00005E3A0000}"/>
    <cellStyle name="40% - Accent3 2 3 11" xfId="12098" xr:uid="{00000000-0005-0000-0000-00005F3A0000}"/>
    <cellStyle name="40% - Accent3 2 3 11 2" xfId="27247" xr:uid="{00000000-0005-0000-0000-0000603A0000}"/>
    <cellStyle name="40% - Accent3 2 3 12" xfId="13781" xr:uid="{00000000-0005-0000-0000-0000613A0000}"/>
    <cellStyle name="40% - Accent3 2 3 12 2" xfId="28930" xr:uid="{00000000-0005-0000-0000-0000623A0000}"/>
    <cellStyle name="40% - Accent3 2 3 13" xfId="15464" xr:uid="{00000000-0005-0000-0000-0000633A0000}"/>
    <cellStyle name="40% - Accent3 2 3 14" xfId="30613" xr:uid="{00000000-0005-0000-0000-0000643A0000}"/>
    <cellStyle name="40% - Accent3 2 3 15" xfId="32296" xr:uid="{00000000-0005-0000-0000-0000653A0000}"/>
    <cellStyle name="40% - Accent3 2 3 16" xfId="33979" xr:uid="{00000000-0005-0000-0000-0000663A0000}"/>
    <cellStyle name="40% - Accent3 2 3 17" xfId="35662" xr:uid="{00000000-0005-0000-0000-0000673A0000}"/>
    <cellStyle name="40% - Accent3 2 3 18" xfId="37345" xr:uid="{00000000-0005-0000-0000-0000683A0000}"/>
    <cellStyle name="40% - Accent3 2 3 19" xfId="39028" xr:uid="{00000000-0005-0000-0000-0000693A0000}"/>
    <cellStyle name="40% - Accent3 2 3 2" xfId="735" xr:uid="{00000000-0005-0000-0000-00006A3A0000}"/>
    <cellStyle name="40% - Accent3 2 3 2 10" xfId="15884" xr:uid="{00000000-0005-0000-0000-00006B3A0000}"/>
    <cellStyle name="40% - Accent3 2 3 2 11" xfId="31033" xr:uid="{00000000-0005-0000-0000-00006C3A0000}"/>
    <cellStyle name="40% - Accent3 2 3 2 12" xfId="32716" xr:uid="{00000000-0005-0000-0000-00006D3A0000}"/>
    <cellStyle name="40% - Accent3 2 3 2 13" xfId="34399" xr:uid="{00000000-0005-0000-0000-00006E3A0000}"/>
    <cellStyle name="40% - Accent3 2 3 2 14" xfId="36082" xr:uid="{00000000-0005-0000-0000-00006F3A0000}"/>
    <cellStyle name="40% - Accent3 2 3 2 15" xfId="37765" xr:uid="{00000000-0005-0000-0000-0000703A0000}"/>
    <cellStyle name="40% - Accent3 2 3 2 16" xfId="39448" xr:uid="{00000000-0005-0000-0000-0000713A0000}"/>
    <cellStyle name="40% - Accent3 2 3 2 17" xfId="41131" xr:uid="{00000000-0005-0000-0000-0000723A0000}"/>
    <cellStyle name="40% - Accent3 2 3 2 18" xfId="42814" xr:uid="{00000000-0005-0000-0000-0000733A0000}"/>
    <cellStyle name="40% - Accent3 2 3 2 19" xfId="44497" xr:uid="{00000000-0005-0000-0000-0000743A0000}"/>
    <cellStyle name="40% - Accent3 2 3 2 2" xfId="2418" xr:uid="{00000000-0005-0000-0000-0000753A0000}"/>
    <cellStyle name="40% - Accent3 2 3 2 2 2" xfId="17567" xr:uid="{00000000-0005-0000-0000-0000763A0000}"/>
    <cellStyle name="40% - Accent3 2 3 2 20" xfId="46180" xr:uid="{00000000-0005-0000-0000-0000773A0000}"/>
    <cellStyle name="40% - Accent3 2 3 2 21" xfId="47863" xr:uid="{00000000-0005-0000-0000-0000783A0000}"/>
    <cellStyle name="40% - Accent3 2 3 2 22" xfId="49546" xr:uid="{00000000-0005-0000-0000-0000793A0000}"/>
    <cellStyle name="40% - Accent3 2 3 2 23" xfId="51229" xr:uid="{00000000-0005-0000-0000-00007A3A0000}"/>
    <cellStyle name="40% - Accent3 2 3 2 24" xfId="52912" xr:uid="{00000000-0005-0000-0000-00007B3A0000}"/>
    <cellStyle name="40% - Accent3 2 3 2 25" xfId="54595" xr:uid="{00000000-0005-0000-0000-00007C3A0000}"/>
    <cellStyle name="40% - Accent3 2 3 2 26" xfId="56278" xr:uid="{00000000-0005-0000-0000-00007D3A0000}"/>
    <cellStyle name="40% - Accent3 2 3 2 27" xfId="57961" xr:uid="{00000000-0005-0000-0000-00007E3A0000}"/>
    <cellStyle name="40% - Accent3 2 3 2 28" xfId="59644" xr:uid="{00000000-0005-0000-0000-00007F3A0000}"/>
    <cellStyle name="40% - Accent3 2 3 2 29" xfId="61327" xr:uid="{00000000-0005-0000-0000-0000803A0000}"/>
    <cellStyle name="40% - Accent3 2 3 2 3" xfId="4102" xr:uid="{00000000-0005-0000-0000-0000813A0000}"/>
    <cellStyle name="40% - Accent3 2 3 2 3 2" xfId="19251" xr:uid="{00000000-0005-0000-0000-0000823A0000}"/>
    <cellStyle name="40% - Accent3 2 3 2 30" xfId="63010" xr:uid="{00000000-0005-0000-0000-0000833A0000}"/>
    <cellStyle name="40% - Accent3 2 3 2 4" xfId="5785" xr:uid="{00000000-0005-0000-0000-0000843A0000}"/>
    <cellStyle name="40% - Accent3 2 3 2 4 2" xfId="20934" xr:uid="{00000000-0005-0000-0000-0000853A0000}"/>
    <cellStyle name="40% - Accent3 2 3 2 5" xfId="7468" xr:uid="{00000000-0005-0000-0000-0000863A0000}"/>
    <cellStyle name="40% - Accent3 2 3 2 5 2" xfId="22617" xr:uid="{00000000-0005-0000-0000-0000873A0000}"/>
    <cellStyle name="40% - Accent3 2 3 2 6" xfId="9151" xr:uid="{00000000-0005-0000-0000-0000883A0000}"/>
    <cellStyle name="40% - Accent3 2 3 2 6 2" xfId="24300" xr:uid="{00000000-0005-0000-0000-0000893A0000}"/>
    <cellStyle name="40% - Accent3 2 3 2 7" xfId="10834" xr:uid="{00000000-0005-0000-0000-00008A3A0000}"/>
    <cellStyle name="40% - Accent3 2 3 2 7 2" xfId="25983" xr:uid="{00000000-0005-0000-0000-00008B3A0000}"/>
    <cellStyle name="40% - Accent3 2 3 2 8" xfId="12518" xr:uid="{00000000-0005-0000-0000-00008C3A0000}"/>
    <cellStyle name="40% - Accent3 2 3 2 8 2" xfId="27667" xr:uid="{00000000-0005-0000-0000-00008D3A0000}"/>
    <cellStyle name="40% - Accent3 2 3 2 9" xfId="14201" xr:uid="{00000000-0005-0000-0000-00008E3A0000}"/>
    <cellStyle name="40% - Accent3 2 3 2 9 2" xfId="29350" xr:uid="{00000000-0005-0000-0000-00008F3A0000}"/>
    <cellStyle name="40% - Accent3 2 3 20" xfId="40711" xr:uid="{00000000-0005-0000-0000-0000903A0000}"/>
    <cellStyle name="40% - Accent3 2 3 21" xfId="42394" xr:uid="{00000000-0005-0000-0000-0000913A0000}"/>
    <cellStyle name="40% - Accent3 2 3 22" xfId="44077" xr:uid="{00000000-0005-0000-0000-0000923A0000}"/>
    <cellStyle name="40% - Accent3 2 3 23" xfId="45760" xr:uid="{00000000-0005-0000-0000-0000933A0000}"/>
    <cellStyle name="40% - Accent3 2 3 24" xfId="47443" xr:uid="{00000000-0005-0000-0000-0000943A0000}"/>
    <cellStyle name="40% - Accent3 2 3 25" xfId="49126" xr:uid="{00000000-0005-0000-0000-0000953A0000}"/>
    <cellStyle name="40% - Accent3 2 3 26" xfId="50809" xr:uid="{00000000-0005-0000-0000-0000963A0000}"/>
    <cellStyle name="40% - Accent3 2 3 27" xfId="52492" xr:uid="{00000000-0005-0000-0000-0000973A0000}"/>
    <cellStyle name="40% - Accent3 2 3 28" xfId="54175" xr:uid="{00000000-0005-0000-0000-0000983A0000}"/>
    <cellStyle name="40% - Accent3 2 3 29" xfId="55858" xr:uid="{00000000-0005-0000-0000-0000993A0000}"/>
    <cellStyle name="40% - Accent3 2 3 3" xfId="1156" xr:uid="{00000000-0005-0000-0000-00009A3A0000}"/>
    <cellStyle name="40% - Accent3 2 3 3 10" xfId="16305" xr:uid="{00000000-0005-0000-0000-00009B3A0000}"/>
    <cellStyle name="40% - Accent3 2 3 3 11" xfId="31454" xr:uid="{00000000-0005-0000-0000-00009C3A0000}"/>
    <cellStyle name="40% - Accent3 2 3 3 12" xfId="33137" xr:uid="{00000000-0005-0000-0000-00009D3A0000}"/>
    <cellStyle name="40% - Accent3 2 3 3 13" xfId="34820" xr:uid="{00000000-0005-0000-0000-00009E3A0000}"/>
    <cellStyle name="40% - Accent3 2 3 3 14" xfId="36503" xr:uid="{00000000-0005-0000-0000-00009F3A0000}"/>
    <cellStyle name="40% - Accent3 2 3 3 15" xfId="38186" xr:uid="{00000000-0005-0000-0000-0000A03A0000}"/>
    <cellStyle name="40% - Accent3 2 3 3 16" xfId="39869" xr:uid="{00000000-0005-0000-0000-0000A13A0000}"/>
    <cellStyle name="40% - Accent3 2 3 3 17" xfId="41552" xr:uid="{00000000-0005-0000-0000-0000A23A0000}"/>
    <cellStyle name="40% - Accent3 2 3 3 18" xfId="43235" xr:uid="{00000000-0005-0000-0000-0000A33A0000}"/>
    <cellStyle name="40% - Accent3 2 3 3 19" xfId="44918" xr:uid="{00000000-0005-0000-0000-0000A43A0000}"/>
    <cellStyle name="40% - Accent3 2 3 3 2" xfId="2839" xr:uid="{00000000-0005-0000-0000-0000A53A0000}"/>
    <cellStyle name="40% - Accent3 2 3 3 2 2" xfId="17988" xr:uid="{00000000-0005-0000-0000-0000A63A0000}"/>
    <cellStyle name="40% - Accent3 2 3 3 20" xfId="46601" xr:uid="{00000000-0005-0000-0000-0000A73A0000}"/>
    <cellStyle name="40% - Accent3 2 3 3 21" xfId="48284" xr:uid="{00000000-0005-0000-0000-0000A83A0000}"/>
    <cellStyle name="40% - Accent3 2 3 3 22" xfId="49967" xr:uid="{00000000-0005-0000-0000-0000A93A0000}"/>
    <cellStyle name="40% - Accent3 2 3 3 23" xfId="51650" xr:uid="{00000000-0005-0000-0000-0000AA3A0000}"/>
    <cellStyle name="40% - Accent3 2 3 3 24" xfId="53333" xr:uid="{00000000-0005-0000-0000-0000AB3A0000}"/>
    <cellStyle name="40% - Accent3 2 3 3 25" xfId="55016" xr:uid="{00000000-0005-0000-0000-0000AC3A0000}"/>
    <cellStyle name="40% - Accent3 2 3 3 26" xfId="56699" xr:uid="{00000000-0005-0000-0000-0000AD3A0000}"/>
    <cellStyle name="40% - Accent3 2 3 3 27" xfId="58382" xr:uid="{00000000-0005-0000-0000-0000AE3A0000}"/>
    <cellStyle name="40% - Accent3 2 3 3 28" xfId="60065" xr:uid="{00000000-0005-0000-0000-0000AF3A0000}"/>
    <cellStyle name="40% - Accent3 2 3 3 29" xfId="61748" xr:uid="{00000000-0005-0000-0000-0000B03A0000}"/>
    <cellStyle name="40% - Accent3 2 3 3 3" xfId="4523" xr:uid="{00000000-0005-0000-0000-0000B13A0000}"/>
    <cellStyle name="40% - Accent3 2 3 3 3 2" xfId="19672" xr:uid="{00000000-0005-0000-0000-0000B23A0000}"/>
    <cellStyle name="40% - Accent3 2 3 3 30" xfId="63431" xr:uid="{00000000-0005-0000-0000-0000B33A0000}"/>
    <cellStyle name="40% - Accent3 2 3 3 4" xfId="6206" xr:uid="{00000000-0005-0000-0000-0000B43A0000}"/>
    <cellStyle name="40% - Accent3 2 3 3 4 2" xfId="21355" xr:uid="{00000000-0005-0000-0000-0000B53A0000}"/>
    <cellStyle name="40% - Accent3 2 3 3 5" xfId="7889" xr:uid="{00000000-0005-0000-0000-0000B63A0000}"/>
    <cellStyle name="40% - Accent3 2 3 3 5 2" xfId="23038" xr:uid="{00000000-0005-0000-0000-0000B73A0000}"/>
    <cellStyle name="40% - Accent3 2 3 3 6" xfId="9572" xr:uid="{00000000-0005-0000-0000-0000B83A0000}"/>
    <cellStyle name="40% - Accent3 2 3 3 6 2" xfId="24721" xr:uid="{00000000-0005-0000-0000-0000B93A0000}"/>
    <cellStyle name="40% - Accent3 2 3 3 7" xfId="11255" xr:uid="{00000000-0005-0000-0000-0000BA3A0000}"/>
    <cellStyle name="40% - Accent3 2 3 3 7 2" xfId="26404" xr:uid="{00000000-0005-0000-0000-0000BB3A0000}"/>
    <cellStyle name="40% - Accent3 2 3 3 8" xfId="12939" xr:uid="{00000000-0005-0000-0000-0000BC3A0000}"/>
    <cellStyle name="40% - Accent3 2 3 3 8 2" xfId="28088" xr:uid="{00000000-0005-0000-0000-0000BD3A0000}"/>
    <cellStyle name="40% - Accent3 2 3 3 9" xfId="14622" xr:uid="{00000000-0005-0000-0000-0000BE3A0000}"/>
    <cellStyle name="40% - Accent3 2 3 3 9 2" xfId="29771" xr:uid="{00000000-0005-0000-0000-0000BF3A0000}"/>
    <cellStyle name="40% - Accent3 2 3 30" xfId="57541" xr:uid="{00000000-0005-0000-0000-0000C03A0000}"/>
    <cellStyle name="40% - Accent3 2 3 31" xfId="59224" xr:uid="{00000000-0005-0000-0000-0000C13A0000}"/>
    <cellStyle name="40% - Accent3 2 3 32" xfId="60907" xr:uid="{00000000-0005-0000-0000-0000C23A0000}"/>
    <cellStyle name="40% - Accent3 2 3 33" xfId="62590" xr:uid="{00000000-0005-0000-0000-0000C33A0000}"/>
    <cellStyle name="40% - Accent3 2 3 4" xfId="1577" xr:uid="{00000000-0005-0000-0000-0000C43A0000}"/>
    <cellStyle name="40% - Accent3 2 3 4 10" xfId="16726" xr:uid="{00000000-0005-0000-0000-0000C53A0000}"/>
    <cellStyle name="40% - Accent3 2 3 4 11" xfId="31875" xr:uid="{00000000-0005-0000-0000-0000C63A0000}"/>
    <cellStyle name="40% - Accent3 2 3 4 12" xfId="33558" xr:uid="{00000000-0005-0000-0000-0000C73A0000}"/>
    <cellStyle name="40% - Accent3 2 3 4 13" xfId="35241" xr:uid="{00000000-0005-0000-0000-0000C83A0000}"/>
    <cellStyle name="40% - Accent3 2 3 4 14" xfId="36924" xr:uid="{00000000-0005-0000-0000-0000C93A0000}"/>
    <cellStyle name="40% - Accent3 2 3 4 15" xfId="38607" xr:uid="{00000000-0005-0000-0000-0000CA3A0000}"/>
    <cellStyle name="40% - Accent3 2 3 4 16" xfId="40290" xr:uid="{00000000-0005-0000-0000-0000CB3A0000}"/>
    <cellStyle name="40% - Accent3 2 3 4 17" xfId="41973" xr:uid="{00000000-0005-0000-0000-0000CC3A0000}"/>
    <cellStyle name="40% - Accent3 2 3 4 18" xfId="43656" xr:uid="{00000000-0005-0000-0000-0000CD3A0000}"/>
    <cellStyle name="40% - Accent3 2 3 4 19" xfId="45339" xr:uid="{00000000-0005-0000-0000-0000CE3A0000}"/>
    <cellStyle name="40% - Accent3 2 3 4 2" xfId="3260" xr:uid="{00000000-0005-0000-0000-0000CF3A0000}"/>
    <cellStyle name="40% - Accent3 2 3 4 2 2" xfId="18409" xr:uid="{00000000-0005-0000-0000-0000D03A0000}"/>
    <cellStyle name="40% - Accent3 2 3 4 20" xfId="47022" xr:uid="{00000000-0005-0000-0000-0000D13A0000}"/>
    <cellStyle name="40% - Accent3 2 3 4 21" xfId="48705" xr:uid="{00000000-0005-0000-0000-0000D23A0000}"/>
    <cellStyle name="40% - Accent3 2 3 4 22" xfId="50388" xr:uid="{00000000-0005-0000-0000-0000D33A0000}"/>
    <cellStyle name="40% - Accent3 2 3 4 23" xfId="52071" xr:uid="{00000000-0005-0000-0000-0000D43A0000}"/>
    <cellStyle name="40% - Accent3 2 3 4 24" xfId="53754" xr:uid="{00000000-0005-0000-0000-0000D53A0000}"/>
    <cellStyle name="40% - Accent3 2 3 4 25" xfId="55437" xr:uid="{00000000-0005-0000-0000-0000D63A0000}"/>
    <cellStyle name="40% - Accent3 2 3 4 26" xfId="57120" xr:uid="{00000000-0005-0000-0000-0000D73A0000}"/>
    <cellStyle name="40% - Accent3 2 3 4 27" xfId="58803" xr:uid="{00000000-0005-0000-0000-0000D83A0000}"/>
    <cellStyle name="40% - Accent3 2 3 4 28" xfId="60486" xr:uid="{00000000-0005-0000-0000-0000D93A0000}"/>
    <cellStyle name="40% - Accent3 2 3 4 29" xfId="62169" xr:uid="{00000000-0005-0000-0000-0000DA3A0000}"/>
    <cellStyle name="40% - Accent3 2 3 4 3" xfId="4944" xr:uid="{00000000-0005-0000-0000-0000DB3A0000}"/>
    <cellStyle name="40% - Accent3 2 3 4 3 2" xfId="20093" xr:uid="{00000000-0005-0000-0000-0000DC3A0000}"/>
    <cellStyle name="40% - Accent3 2 3 4 30" xfId="63852" xr:uid="{00000000-0005-0000-0000-0000DD3A0000}"/>
    <cellStyle name="40% - Accent3 2 3 4 4" xfId="6627" xr:uid="{00000000-0005-0000-0000-0000DE3A0000}"/>
    <cellStyle name="40% - Accent3 2 3 4 4 2" xfId="21776" xr:uid="{00000000-0005-0000-0000-0000DF3A0000}"/>
    <cellStyle name="40% - Accent3 2 3 4 5" xfId="8310" xr:uid="{00000000-0005-0000-0000-0000E03A0000}"/>
    <cellStyle name="40% - Accent3 2 3 4 5 2" xfId="23459" xr:uid="{00000000-0005-0000-0000-0000E13A0000}"/>
    <cellStyle name="40% - Accent3 2 3 4 6" xfId="9993" xr:uid="{00000000-0005-0000-0000-0000E23A0000}"/>
    <cellStyle name="40% - Accent3 2 3 4 6 2" xfId="25142" xr:uid="{00000000-0005-0000-0000-0000E33A0000}"/>
    <cellStyle name="40% - Accent3 2 3 4 7" xfId="11676" xr:uid="{00000000-0005-0000-0000-0000E43A0000}"/>
    <cellStyle name="40% - Accent3 2 3 4 7 2" xfId="26825" xr:uid="{00000000-0005-0000-0000-0000E53A0000}"/>
    <cellStyle name="40% - Accent3 2 3 4 8" xfId="13360" xr:uid="{00000000-0005-0000-0000-0000E63A0000}"/>
    <cellStyle name="40% - Accent3 2 3 4 8 2" xfId="28509" xr:uid="{00000000-0005-0000-0000-0000E73A0000}"/>
    <cellStyle name="40% - Accent3 2 3 4 9" xfId="15043" xr:uid="{00000000-0005-0000-0000-0000E83A0000}"/>
    <cellStyle name="40% - Accent3 2 3 4 9 2" xfId="30192" xr:uid="{00000000-0005-0000-0000-0000E93A0000}"/>
    <cellStyle name="40% - Accent3 2 3 5" xfId="1998" xr:uid="{00000000-0005-0000-0000-0000EA3A0000}"/>
    <cellStyle name="40% - Accent3 2 3 5 2" xfId="17147" xr:uid="{00000000-0005-0000-0000-0000EB3A0000}"/>
    <cellStyle name="40% - Accent3 2 3 6" xfId="3682" xr:uid="{00000000-0005-0000-0000-0000EC3A0000}"/>
    <cellStyle name="40% - Accent3 2 3 6 2" xfId="18831" xr:uid="{00000000-0005-0000-0000-0000ED3A0000}"/>
    <cellStyle name="40% - Accent3 2 3 7" xfId="5365" xr:uid="{00000000-0005-0000-0000-0000EE3A0000}"/>
    <cellStyle name="40% - Accent3 2 3 7 2" xfId="20514" xr:uid="{00000000-0005-0000-0000-0000EF3A0000}"/>
    <cellStyle name="40% - Accent3 2 3 8" xfId="7048" xr:uid="{00000000-0005-0000-0000-0000F03A0000}"/>
    <cellStyle name="40% - Accent3 2 3 8 2" xfId="22197" xr:uid="{00000000-0005-0000-0000-0000F13A0000}"/>
    <cellStyle name="40% - Accent3 2 3 9" xfId="8731" xr:uid="{00000000-0005-0000-0000-0000F23A0000}"/>
    <cellStyle name="40% - Accent3 2 3 9 2" xfId="23880" xr:uid="{00000000-0005-0000-0000-0000F33A0000}"/>
    <cellStyle name="40% - Accent3 2 30" xfId="53965" xr:uid="{00000000-0005-0000-0000-0000F43A0000}"/>
    <cellStyle name="40% - Accent3 2 31" xfId="55648" xr:uid="{00000000-0005-0000-0000-0000F53A0000}"/>
    <cellStyle name="40% - Accent3 2 32" xfId="57331" xr:uid="{00000000-0005-0000-0000-0000F63A0000}"/>
    <cellStyle name="40% - Accent3 2 33" xfId="59014" xr:uid="{00000000-0005-0000-0000-0000F73A0000}"/>
    <cellStyle name="40% - Accent3 2 34" xfId="60697" xr:uid="{00000000-0005-0000-0000-0000F83A0000}"/>
    <cellStyle name="40% - Accent3 2 35" xfId="62380" xr:uid="{00000000-0005-0000-0000-0000F93A0000}"/>
    <cellStyle name="40% - Accent3 2 4" xfId="525" xr:uid="{00000000-0005-0000-0000-0000FA3A0000}"/>
    <cellStyle name="40% - Accent3 2 4 10" xfId="15674" xr:uid="{00000000-0005-0000-0000-0000FB3A0000}"/>
    <cellStyle name="40% - Accent3 2 4 11" xfId="30823" xr:uid="{00000000-0005-0000-0000-0000FC3A0000}"/>
    <cellStyle name="40% - Accent3 2 4 12" xfId="32506" xr:uid="{00000000-0005-0000-0000-0000FD3A0000}"/>
    <cellStyle name="40% - Accent3 2 4 13" xfId="34189" xr:uid="{00000000-0005-0000-0000-0000FE3A0000}"/>
    <cellStyle name="40% - Accent3 2 4 14" xfId="35872" xr:uid="{00000000-0005-0000-0000-0000FF3A0000}"/>
    <cellStyle name="40% - Accent3 2 4 15" xfId="37555" xr:uid="{00000000-0005-0000-0000-0000003B0000}"/>
    <cellStyle name="40% - Accent3 2 4 16" xfId="39238" xr:uid="{00000000-0005-0000-0000-0000013B0000}"/>
    <cellStyle name="40% - Accent3 2 4 17" xfId="40921" xr:uid="{00000000-0005-0000-0000-0000023B0000}"/>
    <cellStyle name="40% - Accent3 2 4 18" xfId="42604" xr:uid="{00000000-0005-0000-0000-0000033B0000}"/>
    <cellStyle name="40% - Accent3 2 4 19" xfId="44287" xr:uid="{00000000-0005-0000-0000-0000043B0000}"/>
    <cellStyle name="40% - Accent3 2 4 2" xfId="2208" xr:uid="{00000000-0005-0000-0000-0000053B0000}"/>
    <cellStyle name="40% - Accent3 2 4 2 2" xfId="17357" xr:uid="{00000000-0005-0000-0000-0000063B0000}"/>
    <cellStyle name="40% - Accent3 2 4 20" xfId="45970" xr:uid="{00000000-0005-0000-0000-0000073B0000}"/>
    <cellStyle name="40% - Accent3 2 4 21" xfId="47653" xr:uid="{00000000-0005-0000-0000-0000083B0000}"/>
    <cellStyle name="40% - Accent3 2 4 22" xfId="49336" xr:uid="{00000000-0005-0000-0000-0000093B0000}"/>
    <cellStyle name="40% - Accent3 2 4 23" xfId="51019" xr:uid="{00000000-0005-0000-0000-00000A3B0000}"/>
    <cellStyle name="40% - Accent3 2 4 24" xfId="52702" xr:uid="{00000000-0005-0000-0000-00000B3B0000}"/>
    <cellStyle name="40% - Accent3 2 4 25" xfId="54385" xr:uid="{00000000-0005-0000-0000-00000C3B0000}"/>
    <cellStyle name="40% - Accent3 2 4 26" xfId="56068" xr:uid="{00000000-0005-0000-0000-00000D3B0000}"/>
    <cellStyle name="40% - Accent3 2 4 27" xfId="57751" xr:uid="{00000000-0005-0000-0000-00000E3B0000}"/>
    <cellStyle name="40% - Accent3 2 4 28" xfId="59434" xr:uid="{00000000-0005-0000-0000-00000F3B0000}"/>
    <cellStyle name="40% - Accent3 2 4 29" xfId="61117" xr:uid="{00000000-0005-0000-0000-0000103B0000}"/>
    <cellStyle name="40% - Accent3 2 4 3" xfId="3892" xr:uid="{00000000-0005-0000-0000-0000113B0000}"/>
    <cellStyle name="40% - Accent3 2 4 3 2" xfId="19041" xr:uid="{00000000-0005-0000-0000-0000123B0000}"/>
    <cellStyle name="40% - Accent3 2 4 30" xfId="62800" xr:uid="{00000000-0005-0000-0000-0000133B0000}"/>
    <cellStyle name="40% - Accent3 2 4 4" xfId="5575" xr:uid="{00000000-0005-0000-0000-0000143B0000}"/>
    <cellStyle name="40% - Accent3 2 4 4 2" xfId="20724" xr:uid="{00000000-0005-0000-0000-0000153B0000}"/>
    <cellStyle name="40% - Accent3 2 4 5" xfId="7258" xr:uid="{00000000-0005-0000-0000-0000163B0000}"/>
    <cellStyle name="40% - Accent3 2 4 5 2" xfId="22407" xr:uid="{00000000-0005-0000-0000-0000173B0000}"/>
    <cellStyle name="40% - Accent3 2 4 6" xfId="8941" xr:uid="{00000000-0005-0000-0000-0000183B0000}"/>
    <cellStyle name="40% - Accent3 2 4 6 2" xfId="24090" xr:uid="{00000000-0005-0000-0000-0000193B0000}"/>
    <cellStyle name="40% - Accent3 2 4 7" xfId="10624" xr:uid="{00000000-0005-0000-0000-00001A3B0000}"/>
    <cellStyle name="40% - Accent3 2 4 7 2" xfId="25773" xr:uid="{00000000-0005-0000-0000-00001B3B0000}"/>
    <cellStyle name="40% - Accent3 2 4 8" xfId="12308" xr:uid="{00000000-0005-0000-0000-00001C3B0000}"/>
    <cellStyle name="40% - Accent3 2 4 8 2" xfId="27457" xr:uid="{00000000-0005-0000-0000-00001D3B0000}"/>
    <cellStyle name="40% - Accent3 2 4 9" xfId="13991" xr:uid="{00000000-0005-0000-0000-00001E3B0000}"/>
    <cellStyle name="40% - Accent3 2 4 9 2" xfId="29140" xr:uid="{00000000-0005-0000-0000-00001F3B0000}"/>
    <cellStyle name="40% - Accent3 2 5" xfId="946" xr:uid="{00000000-0005-0000-0000-0000203B0000}"/>
    <cellStyle name="40% - Accent3 2 5 10" xfId="16095" xr:uid="{00000000-0005-0000-0000-0000213B0000}"/>
    <cellStyle name="40% - Accent3 2 5 11" xfId="31244" xr:uid="{00000000-0005-0000-0000-0000223B0000}"/>
    <cellStyle name="40% - Accent3 2 5 12" xfId="32927" xr:uid="{00000000-0005-0000-0000-0000233B0000}"/>
    <cellStyle name="40% - Accent3 2 5 13" xfId="34610" xr:uid="{00000000-0005-0000-0000-0000243B0000}"/>
    <cellStyle name="40% - Accent3 2 5 14" xfId="36293" xr:uid="{00000000-0005-0000-0000-0000253B0000}"/>
    <cellStyle name="40% - Accent3 2 5 15" xfId="37976" xr:uid="{00000000-0005-0000-0000-0000263B0000}"/>
    <cellStyle name="40% - Accent3 2 5 16" xfId="39659" xr:uid="{00000000-0005-0000-0000-0000273B0000}"/>
    <cellStyle name="40% - Accent3 2 5 17" xfId="41342" xr:uid="{00000000-0005-0000-0000-0000283B0000}"/>
    <cellStyle name="40% - Accent3 2 5 18" xfId="43025" xr:uid="{00000000-0005-0000-0000-0000293B0000}"/>
    <cellStyle name="40% - Accent3 2 5 19" xfId="44708" xr:uid="{00000000-0005-0000-0000-00002A3B0000}"/>
    <cellStyle name="40% - Accent3 2 5 2" xfId="2629" xr:uid="{00000000-0005-0000-0000-00002B3B0000}"/>
    <cellStyle name="40% - Accent3 2 5 2 2" xfId="17778" xr:uid="{00000000-0005-0000-0000-00002C3B0000}"/>
    <cellStyle name="40% - Accent3 2 5 20" xfId="46391" xr:uid="{00000000-0005-0000-0000-00002D3B0000}"/>
    <cellStyle name="40% - Accent3 2 5 21" xfId="48074" xr:uid="{00000000-0005-0000-0000-00002E3B0000}"/>
    <cellStyle name="40% - Accent3 2 5 22" xfId="49757" xr:uid="{00000000-0005-0000-0000-00002F3B0000}"/>
    <cellStyle name="40% - Accent3 2 5 23" xfId="51440" xr:uid="{00000000-0005-0000-0000-0000303B0000}"/>
    <cellStyle name="40% - Accent3 2 5 24" xfId="53123" xr:uid="{00000000-0005-0000-0000-0000313B0000}"/>
    <cellStyle name="40% - Accent3 2 5 25" xfId="54806" xr:uid="{00000000-0005-0000-0000-0000323B0000}"/>
    <cellStyle name="40% - Accent3 2 5 26" xfId="56489" xr:uid="{00000000-0005-0000-0000-0000333B0000}"/>
    <cellStyle name="40% - Accent3 2 5 27" xfId="58172" xr:uid="{00000000-0005-0000-0000-0000343B0000}"/>
    <cellStyle name="40% - Accent3 2 5 28" xfId="59855" xr:uid="{00000000-0005-0000-0000-0000353B0000}"/>
    <cellStyle name="40% - Accent3 2 5 29" xfId="61538" xr:uid="{00000000-0005-0000-0000-0000363B0000}"/>
    <cellStyle name="40% - Accent3 2 5 3" xfId="4313" xr:uid="{00000000-0005-0000-0000-0000373B0000}"/>
    <cellStyle name="40% - Accent3 2 5 3 2" xfId="19462" xr:uid="{00000000-0005-0000-0000-0000383B0000}"/>
    <cellStyle name="40% - Accent3 2 5 30" xfId="63221" xr:uid="{00000000-0005-0000-0000-0000393B0000}"/>
    <cellStyle name="40% - Accent3 2 5 4" xfId="5996" xr:uid="{00000000-0005-0000-0000-00003A3B0000}"/>
    <cellStyle name="40% - Accent3 2 5 4 2" xfId="21145" xr:uid="{00000000-0005-0000-0000-00003B3B0000}"/>
    <cellStyle name="40% - Accent3 2 5 5" xfId="7679" xr:uid="{00000000-0005-0000-0000-00003C3B0000}"/>
    <cellStyle name="40% - Accent3 2 5 5 2" xfId="22828" xr:uid="{00000000-0005-0000-0000-00003D3B0000}"/>
    <cellStyle name="40% - Accent3 2 5 6" xfId="9362" xr:uid="{00000000-0005-0000-0000-00003E3B0000}"/>
    <cellStyle name="40% - Accent3 2 5 6 2" xfId="24511" xr:uid="{00000000-0005-0000-0000-00003F3B0000}"/>
    <cellStyle name="40% - Accent3 2 5 7" xfId="11045" xr:uid="{00000000-0005-0000-0000-0000403B0000}"/>
    <cellStyle name="40% - Accent3 2 5 7 2" xfId="26194" xr:uid="{00000000-0005-0000-0000-0000413B0000}"/>
    <cellStyle name="40% - Accent3 2 5 8" xfId="12729" xr:uid="{00000000-0005-0000-0000-0000423B0000}"/>
    <cellStyle name="40% - Accent3 2 5 8 2" xfId="27878" xr:uid="{00000000-0005-0000-0000-0000433B0000}"/>
    <cellStyle name="40% - Accent3 2 5 9" xfId="14412" xr:uid="{00000000-0005-0000-0000-0000443B0000}"/>
    <cellStyle name="40% - Accent3 2 5 9 2" xfId="29561" xr:uid="{00000000-0005-0000-0000-0000453B0000}"/>
    <cellStyle name="40% - Accent3 2 6" xfId="1367" xr:uid="{00000000-0005-0000-0000-0000463B0000}"/>
    <cellStyle name="40% - Accent3 2 6 10" xfId="16516" xr:uid="{00000000-0005-0000-0000-0000473B0000}"/>
    <cellStyle name="40% - Accent3 2 6 11" xfId="31665" xr:uid="{00000000-0005-0000-0000-0000483B0000}"/>
    <cellStyle name="40% - Accent3 2 6 12" xfId="33348" xr:uid="{00000000-0005-0000-0000-0000493B0000}"/>
    <cellStyle name="40% - Accent3 2 6 13" xfId="35031" xr:uid="{00000000-0005-0000-0000-00004A3B0000}"/>
    <cellStyle name="40% - Accent3 2 6 14" xfId="36714" xr:uid="{00000000-0005-0000-0000-00004B3B0000}"/>
    <cellStyle name="40% - Accent3 2 6 15" xfId="38397" xr:uid="{00000000-0005-0000-0000-00004C3B0000}"/>
    <cellStyle name="40% - Accent3 2 6 16" xfId="40080" xr:uid="{00000000-0005-0000-0000-00004D3B0000}"/>
    <cellStyle name="40% - Accent3 2 6 17" xfId="41763" xr:uid="{00000000-0005-0000-0000-00004E3B0000}"/>
    <cellStyle name="40% - Accent3 2 6 18" xfId="43446" xr:uid="{00000000-0005-0000-0000-00004F3B0000}"/>
    <cellStyle name="40% - Accent3 2 6 19" xfId="45129" xr:uid="{00000000-0005-0000-0000-0000503B0000}"/>
    <cellStyle name="40% - Accent3 2 6 2" xfId="3050" xr:uid="{00000000-0005-0000-0000-0000513B0000}"/>
    <cellStyle name="40% - Accent3 2 6 2 2" xfId="18199" xr:uid="{00000000-0005-0000-0000-0000523B0000}"/>
    <cellStyle name="40% - Accent3 2 6 20" xfId="46812" xr:uid="{00000000-0005-0000-0000-0000533B0000}"/>
    <cellStyle name="40% - Accent3 2 6 21" xfId="48495" xr:uid="{00000000-0005-0000-0000-0000543B0000}"/>
    <cellStyle name="40% - Accent3 2 6 22" xfId="50178" xr:uid="{00000000-0005-0000-0000-0000553B0000}"/>
    <cellStyle name="40% - Accent3 2 6 23" xfId="51861" xr:uid="{00000000-0005-0000-0000-0000563B0000}"/>
    <cellStyle name="40% - Accent3 2 6 24" xfId="53544" xr:uid="{00000000-0005-0000-0000-0000573B0000}"/>
    <cellStyle name="40% - Accent3 2 6 25" xfId="55227" xr:uid="{00000000-0005-0000-0000-0000583B0000}"/>
    <cellStyle name="40% - Accent3 2 6 26" xfId="56910" xr:uid="{00000000-0005-0000-0000-0000593B0000}"/>
    <cellStyle name="40% - Accent3 2 6 27" xfId="58593" xr:uid="{00000000-0005-0000-0000-00005A3B0000}"/>
    <cellStyle name="40% - Accent3 2 6 28" xfId="60276" xr:uid="{00000000-0005-0000-0000-00005B3B0000}"/>
    <cellStyle name="40% - Accent3 2 6 29" xfId="61959" xr:uid="{00000000-0005-0000-0000-00005C3B0000}"/>
    <cellStyle name="40% - Accent3 2 6 3" xfId="4734" xr:uid="{00000000-0005-0000-0000-00005D3B0000}"/>
    <cellStyle name="40% - Accent3 2 6 3 2" xfId="19883" xr:uid="{00000000-0005-0000-0000-00005E3B0000}"/>
    <cellStyle name="40% - Accent3 2 6 30" xfId="63642" xr:uid="{00000000-0005-0000-0000-00005F3B0000}"/>
    <cellStyle name="40% - Accent3 2 6 4" xfId="6417" xr:uid="{00000000-0005-0000-0000-0000603B0000}"/>
    <cellStyle name="40% - Accent3 2 6 4 2" xfId="21566" xr:uid="{00000000-0005-0000-0000-0000613B0000}"/>
    <cellStyle name="40% - Accent3 2 6 5" xfId="8100" xr:uid="{00000000-0005-0000-0000-0000623B0000}"/>
    <cellStyle name="40% - Accent3 2 6 5 2" xfId="23249" xr:uid="{00000000-0005-0000-0000-0000633B0000}"/>
    <cellStyle name="40% - Accent3 2 6 6" xfId="9783" xr:uid="{00000000-0005-0000-0000-0000643B0000}"/>
    <cellStyle name="40% - Accent3 2 6 6 2" xfId="24932" xr:uid="{00000000-0005-0000-0000-0000653B0000}"/>
    <cellStyle name="40% - Accent3 2 6 7" xfId="11466" xr:uid="{00000000-0005-0000-0000-0000663B0000}"/>
    <cellStyle name="40% - Accent3 2 6 7 2" xfId="26615" xr:uid="{00000000-0005-0000-0000-0000673B0000}"/>
    <cellStyle name="40% - Accent3 2 6 8" xfId="13150" xr:uid="{00000000-0005-0000-0000-0000683B0000}"/>
    <cellStyle name="40% - Accent3 2 6 8 2" xfId="28299" xr:uid="{00000000-0005-0000-0000-0000693B0000}"/>
    <cellStyle name="40% - Accent3 2 6 9" xfId="14833" xr:uid="{00000000-0005-0000-0000-00006A3B0000}"/>
    <cellStyle name="40% - Accent3 2 6 9 2" xfId="29982" xr:uid="{00000000-0005-0000-0000-00006B3B0000}"/>
    <cellStyle name="40% - Accent3 2 7" xfId="1788" xr:uid="{00000000-0005-0000-0000-00006C3B0000}"/>
    <cellStyle name="40% - Accent3 2 7 2" xfId="16937" xr:uid="{00000000-0005-0000-0000-00006D3B0000}"/>
    <cellStyle name="40% - Accent3 2 8" xfId="3472" xr:uid="{00000000-0005-0000-0000-00006E3B0000}"/>
    <cellStyle name="40% - Accent3 2 8 2" xfId="18621" xr:uid="{00000000-0005-0000-0000-00006F3B0000}"/>
    <cellStyle name="40% - Accent3 2 9" xfId="5155" xr:uid="{00000000-0005-0000-0000-0000703B0000}"/>
    <cellStyle name="40% - Accent3 2 9 2" xfId="20304" xr:uid="{00000000-0005-0000-0000-0000713B0000}"/>
    <cellStyle name="40% - Accent3 20" xfId="33747" xr:uid="{00000000-0005-0000-0000-0000723B0000}"/>
    <cellStyle name="40% - Accent3 21" xfId="35430" xr:uid="{00000000-0005-0000-0000-0000733B0000}"/>
    <cellStyle name="40% - Accent3 22" xfId="37113" xr:uid="{00000000-0005-0000-0000-0000743B0000}"/>
    <cellStyle name="40% - Accent3 23" xfId="38796" xr:uid="{00000000-0005-0000-0000-0000753B0000}"/>
    <cellStyle name="40% - Accent3 24" xfId="40479" xr:uid="{00000000-0005-0000-0000-0000763B0000}"/>
    <cellStyle name="40% - Accent3 25" xfId="42162" xr:uid="{00000000-0005-0000-0000-0000773B0000}"/>
    <cellStyle name="40% - Accent3 26" xfId="43845" xr:uid="{00000000-0005-0000-0000-0000783B0000}"/>
    <cellStyle name="40% - Accent3 27" xfId="45528" xr:uid="{00000000-0005-0000-0000-0000793B0000}"/>
    <cellStyle name="40% - Accent3 28" xfId="47211" xr:uid="{00000000-0005-0000-0000-00007A3B0000}"/>
    <cellStyle name="40% - Accent3 29" xfId="48894" xr:uid="{00000000-0005-0000-0000-00007B3B0000}"/>
    <cellStyle name="40% - Accent3 3" xfId="125" xr:uid="{00000000-0005-0000-0000-00007C3B0000}"/>
    <cellStyle name="40% - Accent3 3 10" xfId="6858" xr:uid="{00000000-0005-0000-0000-00007D3B0000}"/>
    <cellStyle name="40% - Accent3 3 10 2" xfId="22007" xr:uid="{00000000-0005-0000-0000-00007E3B0000}"/>
    <cellStyle name="40% - Accent3 3 11" xfId="8541" xr:uid="{00000000-0005-0000-0000-00007F3B0000}"/>
    <cellStyle name="40% - Accent3 3 11 2" xfId="23690" xr:uid="{00000000-0005-0000-0000-0000803B0000}"/>
    <cellStyle name="40% - Accent3 3 12" xfId="10224" xr:uid="{00000000-0005-0000-0000-0000813B0000}"/>
    <cellStyle name="40% - Accent3 3 12 2" xfId="25373" xr:uid="{00000000-0005-0000-0000-0000823B0000}"/>
    <cellStyle name="40% - Accent3 3 13" xfId="11908" xr:uid="{00000000-0005-0000-0000-0000833B0000}"/>
    <cellStyle name="40% - Accent3 3 13 2" xfId="27057" xr:uid="{00000000-0005-0000-0000-0000843B0000}"/>
    <cellStyle name="40% - Accent3 3 14" xfId="13591" xr:uid="{00000000-0005-0000-0000-0000853B0000}"/>
    <cellStyle name="40% - Accent3 3 14 2" xfId="28740" xr:uid="{00000000-0005-0000-0000-0000863B0000}"/>
    <cellStyle name="40% - Accent3 3 15" xfId="15274" xr:uid="{00000000-0005-0000-0000-0000873B0000}"/>
    <cellStyle name="40% - Accent3 3 16" xfId="30423" xr:uid="{00000000-0005-0000-0000-0000883B0000}"/>
    <cellStyle name="40% - Accent3 3 17" xfId="32106" xr:uid="{00000000-0005-0000-0000-0000893B0000}"/>
    <cellStyle name="40% - Accent3 3 18" xfId="33789" xr:uid="{00000000-0005-0000-0000-00008A3B0000}"/>
    <cellStyle name="40% - Accent3 3 19" xfId="35472" xr:uid="{00000000-0005-0000-0000-00008B3B0000}"/>
    <cellStyle name="40% - Accent3 3 2" xfId="230" xr:uid="{00000000-0005-0000-0000-00008C3B0000}"/>
    <cellStyle name="40% - Accent3 3 2 10" xfId="8646" xr:uid="{00000000-0005-0000-0000-00008D3B0000}"/>
    <cellStyle name="40% - Accent3 3 2 10 2" xfId="23795" xr:uid="{00000000-0005-0000-0000-00008E3B0000}"/>
    <cellStyle name="40% - Accent3 3 2 11" xfId="10329" xr:uid="{00000000-0005-0000-0000-00008F3B0000}"/>
    <cellStyle name="40% - Accent3 3 2 11 2" xfId="25478" xr:uid="{00000000-0005-0000-0000-0000903B0000}"/>
    <cellStyle name="40% - Accent3 3 2 12" xfId="12013" xr:uid="{00000000-0005-0000-0000-0000913B0000}"/>
    <cellStyle name="40% - Accent3 3 2 12 2" xfId="27162" xr:uid="{00000000-0005-0000-0000-0000923B0000}"/>
    <cellStyle name="40% - Accent3 3 2 13" xfId="13696" xr:uid="{00000000-0005-0000-0000-0000933B0000}"/>
    <cellStyle name="40% - Accent3 3 2 13 2" xfId="28845" xr:uid="{00000000-0005-0000-0000-0000943B0000}"/>
    <cellStyle name="40% - Accent3 3 2 14" xfId="15379" xr:uid="{00000000-0005-0000-0000-0000953B0000}"/>
    <cellStyle name="40% - Accent3 3 2 15" xfId="30528" xr:uid="{00000000-0005-0000-0000-0000963B0000}"/>
    <cellStyle name="40% - Accent3 3 2 16" xfId="32211" xr:uid="{00000000-0005-0000-0000-0000973B0000}"/>
    <cellStyle name="40% - Accent3 3 2 17" xfId="33894" xr:uid="{00000000-0005-0000-0000-0000983B0000}"/>
    <cellStyle name="40% - Accent3 3 2 18" xfId="35577" xr:uid="{00000000-0005-0000-0000-0000993B0000}"/>
    <cellStyle name="40% - Accent3 3 2 19" xfId="37260" xr:uid="{00000000-0005-0000-0000-00009A3B0000}"/>
    <cellStyle name="40% - Accent3 3 2 2" xfId="440" xr:uid="{00000000-0005-0000-0000-00009B3B0000}"/>
    <cellStyle name="40% - Accent3 3 2 2 10" xfId="10539" xr:uid="{00000000-0005-0000-0000-00009C3B0000}"/>
    <cellStyle name="40% - Accent3 3 2 2 10 2" xfId="25688" xr:uid="{00000000-0005-0000-0000-00009D3B0000}"/>
    <cellStyle name="40% - Accent3 3 2 2 11" xfId="12223" xr:uid="{00000000-0005-0000-0000-00009E3B0000}"/>
    <cellStyle name="40% - Accent3 3 2 2 11 2" xfId="27372" xr:uid="{00000000-0005-0000-0000-00009F3B0000}"/>
    <cellStyle name="40% - Accent3 3 2 2 12" xfId="13906" xr:uid="{00000000-0005-0000-0000-0000A03B0000}"/>
    <cellStyle name="40% - Accent3 3 2 2 12 2" xfId="29055" xr:uid="{00000000-0005-0000-0000-0000A13B0000}"/>
    <cellStyle name="40% - Accent3 3 2 2 13" xfId="15589" xr:uid="{00000000-0005-0000-0000-0000A23B0000}"/>
    <cellStyle name="40% - Accent3 3 2 2 14" xfId="30738" xr:uid="{00000000-0005-0000-0000-0000A33B0000}"/>
    <cellStyle name="40% - Accent3 3 2 2 15" xfId="32421" xr:uid="{00000000-0005-0000-0000-0000A43B0000}"/>
    <cellStyle name="40% - Accent3 3 2 2 16" xfId="34104" xr:uid="{00000000-0005-0000-0000-0000A53B0000}"/>
    <cellStyle name="40% - Accent3 3 2 2 17" xfId="35787" xr:uid="{00000000-0005-0000-0000-0000A63B0000}"/>
    <cellStyle name="40% - Accent3 3 2 2 18" xfId="37470" xr:uid="{00000000-0005-0000-0000-0000A73B0000}"/>
    <cellStyle name="40% - Accent3 3 2 2 19" xfId="39153" xr:uid="{00000000-0005-0000-0000-0000A83B0000}"/>
    <cellStyle name="40% - Accent3 3 2 2 2" xfId="860" xr:uid="{00000000-0005-0000-0000-0000A93B0000}"/>
    <cellStyle name="40% - Accent3 3 2 2 2 10" xfId="16009" xr:uid="{00000000-0005-0000-0000-0000AA3B0000}"/>
    <cellStyle name="40% - Accent3 3 2 2 2 11" xfId="31158" xr:uid="{00000000-0005-0000-0000-0000AB3B0000}"/>
    <cellStyle name="40% - Accent3 3 2 2 2 12" xfId="32841" xr:uid="{00000000-0005-0000-0000-0000AC3B0000}"/>
    <cellStyle name="40% - Accent3 3 2 2 2 13" xfId="34524" xr:uid="{00000000-0005-0000-0000-0000AD3B0000}"/>
    <cellStyle name="40% - Accent3 3 2 2 2 14" xfId="36207" xr:uid="{00000000-0005-0000-0000-0000AE3B0000}"/>
    <cellStyle name="40% - Accent3 3 2 2 2 15" xfId="37890" xr:uid="{00000000-0005-0000-0000-0000AF3B0000}"/>
    <cellStyle name="40% - Accent3 3 2 2 2 16" xfId="39573" xr:uid="{00000000-0005-0000-0000-0000B03B0000}"/>
    <cellStyle name="40% - Accent3 3 2 2 2 17" xfId="41256" xr:uid="{00000000-0005-0000-0000-0000B13B0000}"/>
    <cellStyle name="40% - Accent3 3 2 2 2 18" xfId="42939" xr:uid="{00000000-0005-0000-0000-0000B23B0000}"/>
    <cellStyle name="40% - Accent3 3 2 2 2 19" xfId="44622" xr:uid="{00000000-0005-0000-0000-0000B33B0000}"/>
    <cellStyle name="40% - Accent3 3 2 2 2 2" xfId="2543" xr:uid="{00000000-0005-0000-0000-0000B43B0000}"/>
    <cellStyle name="40% - Accent3 3 2 2 2 2 2" xfId="17692" xr:uid="{00000000-0005-0000-0000-0000B53B0000}"/>
    <cellStyle name="40% - Accent3 3 2 2 2 20" xfId="46305" xr:uid="{00000000-0005-0000-0000-0000B63B0000}"/>
    <cellStyle name="40% - Accent3 3 2 2 2 21" xfId="47988" xr:uid="{00000000-0005-0000-0000-0000B73B0000}"/>
    <cellStyle name="40% - Accent3 3 2 2 2 22" xfId="49671" xr:uid="{00000000-0005-0000-0000-0000B83B0000}"/>
    <cellStyle name="40% - Accent3 3 2 2 2 23" xfId="51354" xr:uid="{00000000-0005-0000-0000-0000B93B0000}"/>
    <cellStyle name="40% - Accent3 3 2 2 2 24" xfId="53037" xr:uid="{00000000-0005-0000-0000-0000BA3B0000}"/>
    <cellStyle name="40% - Accent3 3 2 2 2 25" xfId="54720" xr:uid="{00000000-0005-0000-0000-0000BB3B0000}"/>
    <cellStyle name="40% - Accent3 3 2 2 2 26" xfId="56403" xr:uid="{00000000-0005-0000-0000-0000BC3B0000}"/>
    <cellStyle name="40% - Accent3 3 2 2 2 27" xfId="58086" xr:uid="{00000000-0005-0000-0000-0000BD3B0000}"/>
    <cellStyle name="40% - Accent3 3 2 2 2 28" xfId="59769" xr:uid="{00000000-0005-0000-0000-0000BE3B0000}"/>
    <cellStyle name="40% - Accent3 3 2 2 2 29" xfId="61452" xr:uid="{00000000-0005-0000-0000-0000BF3B0000}"/>
    <cellStyle name="40% - Accent3 3 2 2 2 3" xfId="4227" xr:uid="{00000000-0005-0000-0000-0000C03B0000}"/>
    <cellStyle name="40% - Accent3 3 2 2 2 3 2" xfId="19376" xr:uid="{00000000-0005-0000-0000-0000C13B0000}"/>
    <cellStyle name="40% - Accent3 3 2 2 2 30" xfId="63135" xr:uid="{00000000-0005-0000-0000-0000C23B0000}"/>
    <cellStyle name="40% - Accent3 3 2 2 2 4" xfId="5910" xr:uid="{00000000-0005-0000-0000-0000C33B0000}"/>
    <cellStyle name="40% - Accent3 3 2 2 2 4 2" xfId="21059" xr:uid="{00000000-0005-0000-0000-0000C43B0000}"/>
    <cellStyle name="40% - Accent3 3 2 2 2 5" xfId="7593" xr:uid="{00000000-0005-0000-0000-0000C53B0000}"/>
    <cellStyle name="40% - Accent3 3 2 2 2 5 2" xfId="22742" xr:uid="{00000000-0005-0000-0000-0000C63B0000}"/>
    <cellStyle name="40% - Accent3 3 2 2 2 6" xfId="9276" xr:uid="{00000000-0005-0000-0000-0000C73B0000}"/>
    <cellStyle name="40% - Accent3 3 2 2 2 6 2" xfId="24425" xr:uid="{00000000-0005-0000-0000-0000C83B0000}"/>
    <cellStyle name="40% - Accent3 3 2 2 2 7" xfId="10959" xr:uid="{00000000-0005-0000-0000-0000C93B0000}"/>
    <cellStyle name="40% - Accent3 3 2 2 2 7 2" xfId="26108" xr:uid="{00000000-0005-0000-0000-0000CA3B0000}"/>
    <cellStyle name="40% - Accent3 3 2 2 2 8" xfId="12643" xr:uid="{00000000-0005-0000-0000-0000CB3B0000}"/>
    <cellStyle name="40% - Accent3 3 2 2 2 8 2" xfId="27792" xr:uid="{00000000-0005-0000-0000-0000CC3B0000}"/>
    <cellStyle name="40% - Accent3 3 2 2 2 9" xfId="14326" xr:uid="{00000000-0005-0000-0000-0000CD3B0000}"/>
    <cellStyle name="40% - Accent3 3 2 2 2 9 2" xfId="29475" xr:uid="{00000000-0005-0000-0000-0000CE3B0000}"/>
    <cellStyle name="40% - Accent3 3 2 2 20" xfId="40836" xr:uid="{00000000-0005-0000-0000-0000CF3B0000}"/>
    <cellStyle name="40% - Accent3 3 2 2 21" xfId="42519" xr:uid="{00000000-0005-0000-0000-0000D03B0000}"/>
    <cellStyle name="40% - Accent3 3 2 2 22" xfId="44202" xr:uid="{00000000-0005-0000-0000-0000D13B0000}"/>
    <cellStyle name="40% - Accent3 3 2 2 23" xfId="45885" xr:uid="{00000000-0005-0000-0000-0000D23B0000}"/>
    <cellStyle name="40% - Accent3 3 2 2 24" xfId="47568" xr:uid="{00000000-0005-0000-0000-0000D33B0000}"/>
    <cellStyle name="40% - Accent3 3 2 2 25" xfId="49251" xr:uid="{00000000-0005-0000-0000-0000D43B0000}"/>
    <cellStyle name="40% - Accent3 3 2 2 26" xfId="50934" xr:uid="{00000000-0005-0000-0000-0000D53B0000}"/>
    <cellStyle name="40% - Accent3 3 2 2 27" xfId="52617" xr:uid="{00000000-0005-0000-0000-0000D63B0000}"/>
    <cellStyle name="40% - Accent3 3 2 2 28" xfId="54300" xr:uid="{00000000-0005-0000-0000-0000D73B0000}"/>
    <cellStyle name="40% - Accent3 3 2 2 29" xfId="55983" xr:uid="{00000000-0005-0000-0000-0000D83B0000}"/>
    <cellStyle name="40% - Accent3 3 2 2 3" xfId="1281" xr:uid="{00000000-0005-0000-0000-0000D93B0000}"/>
    <cellStyle name="40% - Accent3 3 2 2 3 10" xfId="16430" xr:uid="{00000000-0005-0000-0000-0000DA3B0000}"/>
    <cellStyle name="40% - Accent3 3 2 2 3 11" xfId="31579" xr:uid="{00000000-0005-0000-0000-0000DB3B0000}"/>
    <cellStyle name="40% - Accent3 3 2 2 3 12" xfId="33262" xr:uid="{00000000-0005-0000-0000-0000DC3B0000}"/>
    <cellStyle name="40% - Accent3 3 2 2 3 13" xfId="34945" xr:uid="{00000000-0005-0000-0000-0000DD3B0000}"/>
    <cellStyle name="40% - Accent3 3 2 2 3 14" xfId="36628" xr:uid="{00000000-0005-0000-0000-0000DE3B0000}"/>
    <cellStyle name="40% - Accent3 3 2 2 3 15" xfId="38311" xr:uid="{00000000-0005-0000-0000-0000DF3B0000}"/>
    <cellStyle name="40% - Accent3 3 2 2 3 16" xfId="39994" xr:uid="{00000000-0005-0000-0000-0000E03B0000}"/>
    <cellStyle name="40% - Accent3 3 2 2 3 17" xfId="41677" xr:uid="{00000000-0005-0000-0000-0000E13B0000}"/>
    <cellStyle name="40% - Accent3 3 2 2 3 18" xfId="43360" xr:uid="{00000000-0005-0000-0000-0000E23B0000}"/>
    <cellStyle name="40% - Accent3 3 2 2 3 19" xfId="45043" xr:uid="{00000000-0005-0000-0000-0000E33B0000}"/>
    <cellStyle name="40% - Accent3 3 2 2 3 2" xfId="2964" xr:uid="{00000000-0005-0000-0000-0000E43B0000}"/>
    <cellStyle name="40% - Accent3 3 2 2 3 2 2" xfId="18113" xr:uid="{00000000-0005-0000-0000-0000E53B0000}"/>
    <cellStyle name="40% - Accent3 3 2 2 3 20" xfId="46726" xr:uid="{00000000-0005-0000-0000-0000E63B0000}"/>
    <cellStyle name="40% - Accent3 3 2 2 3 21" xfId="48409" xr:uid="{00000000-0005-0000-0000-0000E73B0000}"/>
    <cellStyle name="40% - Accent3 3 2 2 3 22" xfId="50092" xr:uid="{00000000-0005-0000-0000-0000E83B0000}"/>
    <cellStyle name="40% - Accent3 3 2 2 3 23" xfId="51775" xr:uid="{00000000-0005-0000-0000-0000E93B0000}"/>
    <cellStyle name="40% - Accent3 3 2 2 3 24" xfId="53458" xr:uid="{00000000-0005-0000-0000-0000EA3B0000}"/>
    <cellStyle name="40% - Accent3 3 2 2 3 25" xfId="55141" xr:uid="{00000000-0005-0000-0000-0000EB3B0000}"/>
    <cellStyle name="40% - Accent3 3 2 2 3 26" xfId="56824" xr:uid="{00000000-0005-0000-0000-0000EC3B0000}"/>
    <cellStyle name="40% - Accent3 3 2 2 3 27" xfId="58507" xr:uid="{00000000-0005-0000-0000-0000ED3B0000}"/>
    <cellStyle name="40% - Accent3 3 2 2 3 28" xfId="60190" xr:uid="{00000000-0005-0000-0000-0000EE3B0000}"/>
    <cellStyle name="40% - Accent3 3 2 2 3 29" xfId="61873" xr:uid="{00000000-0005-0000-0000-0000EF3B0000}"/>
    <cellStyle name="40% - Accent3 3 2 2 3 3" xfId="4648" xr:uid="{00000000-0005-0000-0000-0000F03B0000}"/>
    <cellStyle name="40% - Accent3 3 2 2 3 3 2" xfId="19797" xr:uid="{00000000-0005-0000-0000-0000F13B0000}"/>
    <cellStyle name="40% - Accent3 3 2 2 3 30" xfId="63556" xr:uid="{00000000-0005-0000-0000-0000F23B0000}"/>
    <cellStyle name="40% - Accent3 3 2 2 3 4" xfId="6331" xr:uid="{00000000-0005-0000-0000-0000F33B0000}"/>
    <cellStyle name="40% - Accent3 3 2 2 3 4 2" xfId="21480" xr:uid="{00000000-0005-0000-0000-0000F43B0000}"/>
    <cellStyle name="40% - Accent3 3 2 2 3 5" xfId="8014" xr:uid="{00000000-0005-0000-0000-0000F53B0000}"/>
    <cellStyle name="40% - Accent3 3 2 2 3 5 2" xfId="23163" xr:uid="{00000000-0005-0000-0000-0000F63B0000}"/>
    <cellStyle name="40% - Accent3 3 2 2 3 6" xfId="9697" xr:uid="{00000000-0005-0000-0000-0000F73B0000}"/>
    <cellStyle name="40% - Accent3 3 2 2 3 6 2" xfId="24846" xr:uid="{00000000-0005-0000-0000-0000F83B0000}"/>
    <cellStyle name="40% - Accent3 3 2 2 3 7" xfId="11380" xr:uid="{00000000-0005-0000-0000-0000F93B0000}"/>
    <cellStyle name="40% - Accent3 3 2 2 3 7 2" xfId="26529" xr:uid="{00000000-0005-0000-0000-0000FA3B0000}"/>
    <cellStyle name="40% - Accent3 3 2 2 3 8" xfId="13064" xr:uid="{00000000-0005-0000-0000-0000FB3B0000}"/>
    <cellStyle name="40% - Accent3 3 2 2 3 8 2" xfId="28213" xr:uid="{00000000-0005-0000-0000-0000FC3B0000}"/>
    <cellStyle name="40% - Accent3 3 2 2 3 9" xfId="14747" xr:uid="{00000000-0005-0000-0000-0000FD3B0000}"/>
    <cellStyle name="40% - Accent3 3 2 2 3 9 2" xfId="29896" xr:uid="{00000000-0005-0000-0000-0000FE3B0000}"/>
    <cellStyle name="40% - Accent3 3 2 2 30" xfId="57666" xr:uid="{00000000-0005-0000-0000-0000FF3B0000}"/>
    <cellStyle name="40% - Accent3 3 2 2 31" xfId="59349" xr:uid="{00000000-0005-0000-0000-0000003C0000}"/>
    <cellStyle name="40% - Accent3 3 2 2 32" xfId="61032" xr:uid="{00000000-0005-0000-0000-0000013C0000}"/>
    <cellStyle name="40% - Accent3 3 2 2 33" xfId="62715" xr:uid="{00000000-0005-0000-0000-0000023C0000}"/>
    <cellStyle name="40% - Accent3 3 2 2 4" xfId="1702" xr:uid="{00000000-0005-0000-0000-0000033C0000}"/>
    <cellStyle name="40% - Accent3 3 2 2 4 10" xfId="16851" xr:uid="{00000000-0005-0000-0000-0000043C0000}"/>
    <cellStyle name="40% - Accent3 3 2 2 4 11" xfId="32000" xr:uid="{00000000-0005-0000-0000-0000053C0000}"/>
    <cellStyle name="40% - Accent3 3 2 2 4 12" xfId="33683" xr:uid="{00000000-0005-0000-0000-0000063C0000}"/>
    <cellStyle name="40% - Accent3 3 2 2 4 13" xfId="35366" xr:uid="{00000000-0005-0000-0000-0000073C0000}"/>
    <cellStyle name="40% - Accent3 3 2 2 4 14" xfId="37049" xr:uid="{00000000-0005-0000-0000-0000083C0000}"/>
    <cellStyle name="40% - Accent3 3 2 2 4 15" xfId="38732" xr:uid="{00000000-0005-0000-0000-0000093C0000}"/>
    <cellStyle name="40% - Accent3 3 2 2 4 16" xfId="40415" xr:uid="{00000000-0005-0000-0000-00000A3C0000}"/>
    <cellStyle name="40% - Accent3 3 2 2 4 17" xfId="42098" xr:uid="{00000000-0005-0000-0000-00000B3C0000}"/>
    <cellStyle name="40% - Accent3 3 2 2 4 18" xfId="43781" xr:uid="{00000000-0005-0000-0000-00000C3C0000}"/>
    <cellStyle name="40% - Accent3 3 2 2 4 19" xfId="45464" xr:uid="{00000000-0005-0000-0000-00000D3C0000}"/>
    <cellStyle name="40% - Accent3 3 2 2 4 2" xfId="3385" xr:uid="{00000000-0005-0000-0000-00000E3C0000}"/>
    <cellStyle name="40% - Accent3 3 2 2 4 2 2" xfId="18534" xr:uid="{00000000-0005-0000-0000-00000F3C0000}"/>
    <cellStyle name="40% - Accent3 3 2 2 4 20" xfId="47147" xr:uid="{00000000-0005-0000-0000-0000103C0000}"/>
    <cellStyle name="40% - Accent3 3 2 2 4 21" xfId="48830" xr:uid="{00000000-0005-0000-0000-0000113C0000}"/>
    <cellStyle name="40% - Accent3 3 2 2 4 22" xfId="50513" xr:uid="{00000000-0005-0000-0000-0000123C0000}"/>
    <cellStyle name="40% - Accent3 3 2 2 4 23" xfId="52196" xr:uid="{00000000-0005-0000-0000-0000133C0000}"/>
    <cellStyle name="40% - Accent3 3 2 2 4 24" xfId="53879" xr:uid="{00000000-0005-0000-0000-0000143C0000}"/>
    <cellStyle name="40% - Accent3 3 2 2 4 25" xfId="55562" xr:uid="{00000000-0005-0000-0000-0000153C0000}"/>
    <cellStyle name="40% - Accent3 3 2 2 4 26" xfId="57245" xr:uid="{00000000-0005-0000-0000-0000163C0000}"/>
    <cellStyle name="40% - Accent3 3 2 2 4 27" xfId="58928" xr:uid="{00000000-0005-0000-0000-0000173C0000}"/>
    <cellStyle name="40% - Accent3 3 2 2 4 28" xfId="60611" xr:uid="{00000000-0005-0000-0000-0000183C0000}"/>
    <cellStyle name="40% - Accent3 3 2 2 4 29" xfId="62294" xr:uid="{00000000-0005-0000-0000-0000193C0000}"/>
    <cellStyle name="40% - Accent3 3 2 2 4 3" xfId="5069" xr:uid="{00000000-0005-0000-0000-00001A3C0000}"/>
    <cellStyle name="40% - Accent3 3 2 2 4 3 2" xfId="20218" xr:uid="{00000000-0005-0000-0000-00001B3C0000}"/>
    <cellStyle name="40% - Accent3 3 2 2 4 30" xfId="63977" xr:uid="{00000000-0005-0000-0000-00001C3C0000}"/>
    <cellStyle name="40% - Accent3 3 2 2 4 4" xfId="6752" xr:uid="{00000000-0005-0000-0000-00001D3C0000}"/>
    <cellStyle name="40% - Accent3 3 2 2 4 4 2" xfId="21901" xr:uid="{00000000-0005-0000-0000-00001E3C0000}"/>
    <cellStyle name="40% - Accent3 3 2 2 4 5" xfId="8435" xr:uid="{00000000-0005-0000-0000-00001F3C0000}"/>
    <cellStyle name="40% - Accent3 3 2 2 4 5 2" xfId="23584" xr:uid="{00000000-0005-0000-0000-0000203C0000}"/>
    <cellStyle name="40% - Accent3 3 2 2 4 6" xfId="10118" xr:uid="{00000000-0005-0000-0000-0000213C0000}"/>
    <cellStyle name="40% - Accent3 3 2 2 4 6 2" xfId="25267" xr:uid="{00000000-0005-0000-0000-0000223C0000}"/>
    <cellStyle name="40% - Accent3 3 2 2 4 7" xfId="11801" xr:uid="{00000000-0005-0000-0000-0000233C0000}"/>
    <cellStyle name="40% - Accent3 3 2 2 4 7 2" xfId="26950" xr:uid="{00000000-0005-0000-0000-0000243C0000}"/>
    <cellStyle name="40% - Accent3 3 2 2 4 8" xfId="13485" xr:uid="{00000000-0005-0000-0000-0000253C0000}"/>
    <cellStyle name="40% - Accent3 3 2 2 4 8 2" xfId="28634" xr:uid="{00000000-0005-0000-0000-0000263C0000}"/>
    <cellStyle name="40% - Accent3 3 2 2 4 9" xfId="15168" xr:uid="{00000000-0005-0000-0000-0000273C0000}"/>
    <cellStyle name="40% - Accent3 3 2 2 4 9 2" xfId="30317" xr:uid="{00000000-0005-0000-0000-0000283C0000}"/>
    <cellStyle name="40% - Accent3 3 2 2 5" xfId="2123" xr:uid="{00000000-0005-0000-0000-0000293C0000}"/>
    <cellStyle name="40% - Accent3 3 2 2 5 2" xfId="17272" xr:uid="{00000000-0005-0000-0000-00002A3C0000}"/>
    <cellStyle name="40% - Accent3 3 2 2 6" xfId="3807" xr:uid="{00000000-0005-0000-0000-00002B3C0000}"/>
    <cellStyle name="40% - Accent3 3 2 2 6 2" xfId="18956" xr:uid="{00000000-0005-0000-0000-00002C3C0000}"/>
    <cellStyle name="40% - Accent3 3 2 2 7" xfId="5490" xr:uid="{00000000-0005-0000-0000-00002D3C0000}"/>
    <cellStyle name="40% - Accent3 3 2 2 7 2" xfId="20639" xr:uid="{00000000-0005-0000-0000-00002E3C0000}"/>
    <cellStyle name="40% - Accent3 3 2 2 8" xfId="7173" xr:uid="{00000000-0005-0000-0000-00002F3C0000}"/>
    <cellStyle name="40% - Accent3 3 2 2 8 2" xfId="22322" xr:uid="{00000000-0005-0000-0000-0000303C0000}"/>
    <cellStyle name="40% - Accent3 3 2 2 9" xfId="8856" xr:uid="{00000000-0005-0000-0000-0000313C0000}"/>
    <cellStyle name="40% - Accent3 3 2 2 9 2" xfId="24005" xr:uid="{00000000-0005-0000-0000-0000323C0000}"/>
    <cellStyle name="40% - Accent3 3 2 20" xfId="38943" xr:uid="{00000000-0005-0000-0000-0000333C0000}"/>
    <cellStyle name="40% - Accent3 3 2 21" xfId="40626" xr:uid="{00000000-0005-0000-0000-0000343C0000}"/>
    <cellStyle name="40% - Accent3 3 2 22" xfId="42309" xr:uid="{00000000-0005-0000-0000-0000353C0000}"/>
    <cellStyle name="40% - Accent3 3 2 23" xfId="43992" xr:uid="{00000000-0005-0000-0000-0000363C0000}"/>
    <cellStyle name="40% - Accent3 3 2 24" xfId="45675" xr:uid="{00000000-0005-0000-0000-0000373C0000}"/>
    <cellStyle name="40% - Accent3 3 2 25" xfId="47358" xr:uid="{00000000-0005-0000-0000-0000383C0000}"/>
    <cellStyle name="40% - Accent3 3 2 26" xfId="49041" xr:uid="{00000000-0005-0000-0000-0000393C0000}"/>
    <cellStyle name="40% - Accent3 3 2 27" xfId="50724" xr:uid="{00000000-0005-0000-0000-00003A3C0000}"/>
    <cellStyle name="40% - Accent3 3 2 28" xfId="52407" xr:uid="{00000000-0005-0000-0000-00003B3C0000}"/>
    <cellStyle name="40% - Accent3 3 2 29" xfId="54090" xr:uid="{00000000-0005-0000-0000-00003C3C0000}"/>
    <cellStyle name="40% - Accent3 3 2 3" xfId="650" xr:uid="{00000000-0005-0000-0000-00003D3C0000}"/>
    <cellStyle name="40% - Accent3 3 2 3 10" xfId="15799" xr:uid="{00000000-0005-0000-0000-00003E3C0000}"/>
    <cellStyle name="40% - Accent3 3 2 3 11" xfId="30948" xr:uid="{00000000-0005-0000-0000-00003F3C0000}"/>
    <cellStyle name="40% - Accent3 3 2 3 12" xfId="32631" xr:uid="{00000000-0005-0000-0000-0000403C0000}"/>
    <cellStyle name="40% - Accent3 3 2 3 13" xfId="34314" xr:uid="{00000000-0005-0000-0000-0000413C0000}"/>
    <cellStyle name="40% - Accent3 3 2 3 14" xfId="35997" xr:uid="{00000000-0005-0000-0000-0000423C0000}"/>
    <cellStyle name="40% - Accent3 3 2 3 15" xfId="37680" xr:uid="{00000000-0005-0000-0000-0000433C0000}"/>
    <cellStyle name="40% - Accent3 3 2 3 16" xfId="39363" xr:uid="{00000000-0005-0000-0000-0000443C0000}"/>
    <cellStyle name="40% - Accent3 3 2 3 17" xfId="41046" xr:uid="{00000000-0005-0000-0000-0000453C0000}"/>
    <cellStyle name="40% - Accent3 3 2 3 18" xfId="42729" xr:uid="{00000000-0005-0000-0000-0000463C0000}"/>
    <cellStyle name="40% - Accent3 3 2 3 19" xfId="44412" xr:uid="{00000000-0005-0000-0000-0000473C0000}"/>
    <cellStyle name="40% - Accent3 3 2 3 2" xfId="2333" xr:uid="{00000000-0005-0000-0000-0000483C0000}"/>
    <cellStyle name="40% - Accent3 3 2 3 2 2" xfId="17482" xr:uid="{00000000-0005-0000-0000-0000493C0000}"/>
    <cellStyle name="40% - Accent3 3 2 3 20" xfId="46095" xr:uid="{00000000-0005-0000-0000-00004A3C0000}"/>
    <cellStyle name="40% - Accent3 3 2 3 21" xfId="47778" xr:uid="{00000000-0005-0000-0000-00004B3C0000}"/>
    <cellStyle name="40% - Accent3 3 2 3 22" xfId="49461" xr:uid="{00000000-0005-0000-0000-00004C3C0000}"/>
    <cellStyle name="40% - Accent3 3 2 3 23" xfId="51144" xr:uid="{00000000-0005-0000-0000-00004D3C0000}"/>
    <cellStyle name="40% - Accent3 3 2 3 24" xfId="52827" xr:uid="{00000000-0005-0000-0000-00004E3C0000}"/>
    <cellStyle name="40% - Accent3 3 2 3 25" xfId="54510" xr:uid="{00000000-0005-0000-0000-00004F3C0000}"/>
    <cellStyle name="40% - Accent3 3 2 3 26" xfId="56193" xr:uid="{00000000-0005-0000-0000-0000503C0000}"/>
    <cellStyle name="40% - Accent3 3 2 3 27" xfId="57876" xr:uid="{00000000-0005-0000-0000-0000513C0000}"/>
    <cellStyle name="40% - Accent3 3 2 3 28" xfId="59559" xr:uid="{00000000-0005-0000-0000-0000523C0000}"/>
    <cellStyle name="40% - Accent3 3 2 3 29" xfId="61242" xr:uid="{00000000-0005-0000-0000-0000533C0000}"/>
    <cellStyle name="40% - Accent3 3 2 3 3" xfId="4017" xr:uid="{00000000-0005-0000-0000-0000543C0000}"/>
    <cellStyle name="40% - Accent3 3 2 3 3 2" xfId="19166" xr:uid="{00000000-0005-0000-0000-0000553C0000}"/>
    <cellStyle name="40% - Accent3 3 2 3 30" xfId="62925" xr:uid="{00000000-0005-0000-0000-0000563C0000}"/>
    <cellStyle name="40% - Accent3 3 2 3 4" xfId="5700" xr:uid="{00000000-0005-0000-0000-0000573C0000}"/>
    <cellStyle name="40% - Accent3 3 2 3 4 2" xfId="20849" xr:uid="{00000000-0005-0000-0000-0000583C0000}"/>
    <cellStyle name="40% - Accent3 3 2 3 5" xfId="7383" xr:uid="{00000000-0005-0000-0000-0000593C0000}"/>
    <cellStyle name="40% - Accent3 3 2 3 5 2" xfId="22532" xr:uid="{00000000-0005-0000-0000-00005A3C0000}"/>
    <cellStyle name="40% - Accent3 3 2 3 6" xfId="9066" xr:uid="{00000000-0005-0000-0000-00005B3C0000}"/>
    <cellStyle name="40% - Accent3 3 2 3 6 2" xfId="24215" xr:uid="{00000000-0005-0000-0000-00005C3C0000}"/>
    <cellStyle name="40% - Accent3 3 2 3 7" xfId="10749" xr:uid="{00000000-0005-0000-0000-00005D3C0000}"/>
    <cellStyle name="40% - Accent3 3 2 3 7 2" xfId="25898" xr:uid="{00000000-0005-0000-0000-00005E3C0000}"/>
    <cellStyle name="40% - Accent3 3 2 3 8" xfId="12433" xr:uid="{00000000-0005-0000-0000-00005F3C0000}"/>
    <cellStyle name="40% - Accent3 3 2 3 8 2" xfId="27582" xr:uid="{00000000-0005-0000-0000-0000603C0000}"/>
    <cellStyle name="40% - Accent3 3 2 3 9" xfId="14116" xr:uid="{00000000-0005-0000-0000-0000613C0000}"/>
    <cellStyle name="40% - Accent3 3 2 3 9 2" xfId="29265" xr:uid="{00000000-0005-0000-0000-0000623C0000}"/>
    <cellStyle name="40% - Accent3 3 2 30" xfId="55773" xr:uid="{00000000-0005-0000-0000-0000633C0000}"/>
    <cellStyle name="40% - Accent3 3 2 31" xfId="57456" xr:uid="{00000000-0005-0000-0000-0000643C0000}"/>
    <cellStyle name="40% - Accent3 3 2 32" xfId="59139" xr:uid="{00000000-0005-0000-0000-0000653C0000}"/>
    <cellStyle name="40% - Accent3 3 2 33" xfId="60822" xr:uid="{00000000-0005-0000-0000-0000663C0000}"/>
    <cellStyle name="40% - Accent3 3 2 34" xfId="62505" xr:uid="{00000000-0005-0000-0000-0000673C0000}"/>
    <cellStyle name="40% - Accent3 3 2 4" xfId="1071" xr:uid="{00000000-0005-0000-0000-0000683C0000}"/>
    <cellStyle name="40% - Accent3 3 2 4 10" xfId="16220" xr:uid="{00000000-0005-0000-0000-0000693C0000}"/>
    <cellStyle name="40% - Accent3 3 2 4 11" xfId="31369" xr:uid="{00000000-0005-0000-0000-00006A3C0000}"/>
    <cellStyle name="40% - Accent3 3 2 4 12" xfId="33052" xr:uid="{00000000-0005-0000-0000-00006B3C0000}"/>
    <cellStyle name="40% - Accent3 3 2 4 13" xfId="34735" xr:uid="{00000000-0005-0000-0000-00006C3C0000}"/>
    <cellStyle name="40% - Accent3 3 2 4 14" xfId="36418" xr:uid="{00000000-0005-0000-0000-00006D3C0000}"/>
    <cellStyle name="40% - Accent3 3 2 4 15" xfId="38101" xr:uid="{00000000-0005-0000-0000-00006E3C0000}"/>
    <cellStyle name="40% - Accent3 3 2 4 16" xfId="39784" xr:uid="{00000000-0005-0000-0000-00006F3C0000}"/>
    <cellStyle name="40% - Accent3 3 2 4 17" xfId="41467" xr:uid="{00000000-0005-0000-0000-0000703C0000}"/>
    <cellStyle name="40% - Accent3 3 2 4 18" xfId="43150" xr:uid="{00000000-0005-0000-0000-0000713C0000}"/>
    <cellStyle name="40% - Accent3 3 2 4 19" xfId="44833" xr:uid="{00000000-0005-0000-0000-0000723C0000}"/>
    <cellStyle name="40% - Accent3 3 2 4 2" xfId="2754" xr:uid="{00000000-0005-0000-0000-0000733C0000}"/>
    <cellStyle name="40% - Accent3 3 2 4 2 2" xfId="17903" xr:uid="{00000000-0005-0000-0000-0000743C0000}"/>
    <cellStyle name="40% - Accent3 3 2 4 20" xfId="46516" xr:uid="{00000000-0005-0000-0000-0000753C0000}"/>
    <cellStyle name="40% - Accent3 3 2 4 21" xfId="48199" xr:uid="{00000000-0005-0000-0000-0000763C0000}"/>
    <cellStyle name="40% - Accent3 3 2 4 22" xfId="49882" xr:uid="{00000000-0005-0000-0000-0000773C0000}"/>
    <cellStyle name="40% - Accent3 3 2 4 23" xfId="51565" xr:uid="{00000000-0005-0000-0000-0000783C0000}"/>
    <cellStyle name="40% - Accent3 3 2 4 24" xfId="53248" xr:uid="{00000000-0005-0000-0000-0000793C0000}"/>
    <cellStyle name="40% - Accent3 3 2 4 25" xfId="54931" xr:uid="{00000000-0005-0000-0000-00007A3C0000}"/>
    <cellStyle name="40% - Accent3 3 2 4 26" xfId="56614" xr:uid="{00000000-0005-0000-0000-00007B3C0000}"/>
    <cellStyle name="40% - Accent3 3 2 4 27" xfId="58297" xr:uid="{00000000-0005-0000-0000-00007C3C0000}"/>
    <cellStyle name="40% - Accent3 3 2 4 28" xfId="59980" xr:uid="{00000000-0005-0000-0000-00007D3C0000}"/>
    <cellStyle name="40% - Accent3 3 2 4 29" xfId="61663" xr:uid="{00000000-0005-0000-0000-00007E3C0000}"/>
    <cellStyle name="40% - Accent3 3 2 4 3" xfId="4438" xr:uid="{00000000-0005-0000-0000-00007F3C0000}"/>
    <cellStyle name="40% - Accent3 3 2 4 3 2" xfId="19587" xr:uid="{00000000-0005-0000-0000-0000803C0000}"/>
    <cellStyle name="40% - Accent3 3 2 4 30" xfId="63346" xr:uid="{00000000-0005-0000-0000-0000813C0000}"/>
    <cellStyle name="40% - Accent3 3 2 4 4" xfId="6121" xr:uid="{00000000-0005-0000-0000-0000823C0000}"/>
    <cellStyle name="40% - Accent3 3 2 4 4 2" xfId="21270" xr:uid="{00000000-0005-0000-0000-0000833C0000}"/>
    <cellStyle name="40% - Accent3 3 2 4 5" xfId="7804" xr:uid="{00000000-0005-0000-0000-0000843C0000}"/>
    <cellStyle name="40% - Accent3 3 2 4 5 2" xfId="22953" xr:uid="{00000000-0005-0000-0000-0000853C0000}"/>
    <cellStyle name="40% - Accent3 3 2 4 6" xfId="9487" xr:uid="{00000000-0005-0000-0000-0000863C0000}"/>
    <cellStyle name="40% - Accent3 3 2 4 6 2" xfId="24636" xr:uid="{00000000-0005-0000-0000-0000873C0000}"/>
    <cellStyle name="40% - Accent3 3 2 4 7" xfId="11170" xr:uid="{00000000-0005-0000-0000-0000883C0000}"/>
    <cellStyle name="40% - Accent3 3 2 4 7 2" xfId="26319" xr:uid="{00000000-0005-0000-0000-0000893C0000}"/>
    <cellStyle name="40% - Accent3 3 2 4 8" xfId="12854" xr:uid="{00000000-0005-0000-0000-00008A3C0000}"/>
    <cellStyle name="40% - Accent3 3 2 4 8 2" xfId="28003" xr:uid="{00000000-0005-0000-0000-00008B3C0000}"/>
    <cellStyle name="40% - Accent3 3 2 4 9" xfId="14537" xr:uid="{00000000-0005-0000-0000-00008C3C0000}"/>
    <cellStyle name="40% - Accent3 3 2 4 9 2" xfId="29686" xr:uid="{00000000-0005-0000-0000-00008D3C0000}"/>
    <cellStyle name="40% - Accent3 3 2 5" xfId="1492" xr:uid="{00000000-0005-0000-0000-00008E3C0000}"/>
    <cellStyle name="40% - Accent3 3 2 5 10" xfId="16641" xr:uid="{00000000-0005-0000-0000-00008F3C0000}"/>
    <cellStyle name="40% - Accent3 3 2 5 11" xfId="31790" xr:uid="{00000000-0005-0000-0000-0000903C0000}"/>
    <cellStyle name="40% - Accent3 3 2 5 12" xfId="33473" xr:uid="{00000000-0005-0000-0000-0000913C0000}"/>
    <cellStyle name="40% - Accent3 3 2 5 13" xfId="35156" xr:uid="{00000000-0005-0000-0000-0000923C0000}"/>
    <cellStyle name="40% - Accent3 3 2 5 14" xfId="36839" xr:uid="{00000000-0005-0000-0000-0000933C0000}"/>
    <cellStyle name="40% - Accent3 3 2 5 15" xfId="38522" xr:uid="{00000000-0005-0000-0000-0000943C0000}"/>
    <cellStyle name="40% - Accent3 3 2 5 16" xfId="40205" xr:uid="{00000000-0005-0000-0000-0000953C0000}"/>
    <cellStyle name="40% - Accent3 3 2 5 17" xfId="41888" xr:uid="{00000000-0005-0000-0000-0000963C0000}"/>
    <cellStyle name="40% - Accent3 3 2 5 18" xfId="43571" xr:uid="{00000000-0005-0000-0000-0000973C0000}"/>
    <cellStyle name="40% - Accent3 3 2 5 19" xfId="45254" xr:uid="{00000000-0005-0000-0000-0000983C0000}"/>
    <cellStyle name="40% - Accent3 3 2 5 2" xfId="3175" xr:uid="{00000000-0005-0000-0000-0000993C0000}"/>
    <cellStyle name="40% - Accent3 3 2 5 2 2" xfId="18324" xr:uid="{00000000-0005-0000-0000-00009A3C0000}"/>
    <cellStyle name="40% - Accent3 3 2 5 20" xfId="46937" xr:uid="{00000000-0005-0000-0000-00009B3C0000}"/>
    <cellStyle name="40% - Accent3 3 2 5 21" xfId="48620" xr:uid="{00000000-0005-0000-0000-00009C3C0000}"/>
    <cellStyle name="40% - Accent3 3 2 5 22" xfId="50303" xr:uid="{00000000-0005-0000-0000-00009D3C0000}"/>
    <cellStyle name="40% - Accent3 3 2 5 23" xfId="51986" xr:uid="{00000000-0005-0000-0000-00009E3C0000}"/>
    <cellStyle name="40% - Accent3 3 2 5 24" xfId="53669" xr:uid="{00000000-0005-0000-0000-00009F3C0000}"/>
    <cellStyle name="40% - Accent3 3 2 5 25" xfId="55352" xr:uid="{00000000-0005-0000-0000-0000A03C0000}"/>
    <cellStyle name="40% - Accent3 3 2 5 26" xfId="57035" xr:uid="{00000000-0005-0000-0000-0000A13C0000}"/>
    <cellStyle name="40% - Accent3 3 2 5 27" xfId="58718" xr:uid="{00000000-0005-0000-0000-0000A23C0000}"/>
    <cellStyle name="40% - Accent3 3 2 5 28" xfId="60401" xr:uid="{00000000-0005-0000-0000-0000A33C0000}"/>
    <cellStyle name="40% - Accent3 3 2 5 29" xfId="62084" xr:uid="{00000000-0005-0000-0000-0000A43C0000}"/>
    <cellStyle name="40% - Accent3 3 2 5 3" xfId="4859" xr:uid="{00000000-0005-0000-0000-0000A53C0000}"/>
    <cellStyle name="40% - Accent3 3 2 5 3 2" xfId="20008" xr:uid="{00000000-0005-0000-0000-0000A63C0000}"/>
    <cellStyle name="40% - Accent3 3 2 5 30" xfId="63767" xr:uid="{00000000-0005-0000-0000-0000A73C0000}"/>
    <cellStyle name="40% - Accent3 3 2 5 4" xfId="6542" xr:uid="{00000000-0005-0000-0000-0000A83C0000}"/>
    <cellStyle name="40% - Accent3 3 2 5 4 2" xfId="21691" xr:uid="{00000000-0005-0000-0000-0000A93C0000}"/>
    <cellStyle name="40% - Accent3 3 2 5 5" xfId="8225" xr:uid="{00000000-0005-0000-0000-0000AA3C0000}"/>
    <cellStyle name="40% - Accent3 3 2 5 5 2" xfId="23374" xr:uid="{00000000-0005-0000-0000-0000AB3C0000}"/>
    <cellStyle name="40% - Accent3 3 2 5 6" xfId="9908" xr:uid="{00000000-0005-0000-0000-0000AC3C0000}"/>
    <cellStyle name="40% - Accent3 3 2 5 6 2" xfId="25057" xr:uid="{00000000-0005-0000-0000-0000AD3C0000}"/>
    <cellStyle name="40% - Accent3 3 2 5 7" xfId="11591" xr:uid="{00000000-0005-0000-0000-0000AE3C0000}"/>
    <cellStyle name="40% - Accent3 3 2 5 7 2" xfId="26740" xr:uid="{00000000-0005-0000-0000-0000AF3C0000}"/>
    <cellStyle name="40% - Accent3 3 2 5 8" xfId="13275" xr:uid="{00000000-0005-0000-0000-0000B03C0000}"/>
    <cellStyle name="40% - Accent3 3 2 5 8 2" xfId="28424" xr:uid="{00000000-0005-0000-0000-0000B13C0000}"/>
    <cellStyle name="40% - Accent3 3 2 5 9" xfId="14958" xr:uid="{00000000-0005-0000-0000-0000B23C0000}"/>
    <cellStyle name="40% - Accent3 3 2 5 9 2" xfId="30107" xr:uid="{00000000-0005-0000-0000-0000B33C0000}"/>
    <cellStyle name="40% - Accent3 3 2 6" xfId="1913" xr:uid="{00000000-0005-0000-0000-0000B43C0000}"/>
    <cellStyle name="40% - Accent3 3 2 6 2" xfId="17062" xr:uid="{00000000-0005-0000-0000-0000B53C0000}"/>
    <cellStyle name="40% - Accent3 3 2 7" xfId="3597" xr:uid="{00000000-0005-0000-0000-0000B63C0000}"/>
    <cellStyle name="40% - Accent3 3 2 7 2" xfId="18746" xr:uid="{00000000-0005-0000-0000-0000B73C0000}"/>
    <cellStyle name="40% - Accent3 3 2 8" xfId="5280" xr:uid="{00000000-0005-0000-0000-0000B83C0000}"/>
    <cellStyle name="40% - Accent3 3 2 8 2" xfId="20429" xr:uid="{00000000-0005-0000-0000-0000B93C0000}"/>
    <cellStyle name="40% - Accent3 3 2 9" xfId="6963" xr:uid="{00000000-0005-0000-0000-0000BA3C0000}"/>
    <cellStyle name="40% - Accent3 3 2 9 2" xfId="22112" xr:uid="{00000000-0005-0000-0000-0000BB3C0000}"/>
    <cellStyle name="40% - Accent3 3 20" xfId="37155" xr:uid="{00000000-0005-0000-0000-0000BC3C0000}"/>
    <cellStyle name="40% - Accent3 3 21" xfId="38838" xr:uid="{00000000-0005-0000-0000-0000BD3C0000}"/>
    <cellStyle name="40% - Accent3 3 22" xfId="40521" xr:uid="{00000000-0005-0000-0000-0000BE3C0000}"/>
    <cellStyle name="40% - Accent3 3 23" xfId="42204" xr:uid="{00000000-0005-0000-0000-0000BF3C0000}"/>
    <cellStyle name="40% - Accent3 3 24" xfId="43887" xr:uid="{00000000-0005-0000-0000-0000C03C0000}"/>
    <cellStyle name="40% - Accent3 3 25" xfId="45570" xr:uid="{00000000-0005-0000-0000-0000C13C0000}"/>
    <cellStyle name="40% - Accent3 3 26" xfId="47253" xr:uid="{00000000-0005-0000-0000-0000C23C0000}"/>
    <cellStyle name="40% - Accent3 3 27" xfId="48936" xr:uid="{00000000-0005-0000-0000-0000C33C0000}"/>
    <cellStyle name="40% - Accent3 3 28" xfId="50619" xr:uid="{00000000-0005-0000-0000-0000C43C0000}"/>
    <cellStyle name="40% - Accent3 3 29" xfId="52302" xr:uid="{00000000-0005-0000-0000-0000C53C0000}"/>
    <cellStyle name="40% - Accent3 3 3" xfId="335" xr:uid="{00000000-0005-0000-0000-0000C63C0000}"/>
    <cellStyle name="40% - Accent3 3 3 10" xfId="10434" xr:uid="{00000000-0005-0000-0000-0000C73C0000}"/>
    <cellStyle name="40% - Accent3 3 3 10 2" xfId="25583" xr:uid="{00000000-0005-0000-0000-0000C83C0000}"/>
    <cellStyle name="40% - Accent3 3 3 11" xfId="12118" xr:uid="{00000000-0005-0000-0000-0000C93C0000}"/>
    <cellStyle name="40% - Accent3 3 3 11 2" xfId="27267" xr:uid="{00000000-0005-0000-0000-0000CA3C0000}"/>
    <cellStyle name="40% - Accent3 3 3 12" xfId="13801" xr:uid="{00000000-0005-0000-0000-0000CB3C0000}"/>
    <cellStyle name="40% - Accent3 3 3 12 2" xfId="28950" xr:uid="{00000000-0005-0000-0000-0000CC3C0000}"/>
    <cellStyle name="40% - Accent3 3 3 13" xfId="15484" xr:uid="{00000000-0005-0000-0000-0000CD3C0000}"/>
    <cellStyle name="40% - Accent3 3 3 14" xfId="30633" xr:uid="{00000000-0005-0000-0000-0000CE3C0000}"/>
    <cellStyle name="40% - Accent3 3 3 15" xfId="32316" xr:uid="{00000000-0005-0000-0000-0000CF3C0000}"/>
    <cellStyle name="40% - Accent3 3 3 16" xfId="33999" xr:uid="{00000000-0005-0000-0000-0000D03C0000}"/>
    <cellStyle name="40% - Accent3 3 3 17" xfId="35682" xr:uid="{00000000-0005-0000-0000-0000D13C0000}"/>
    <cellStyle name="40% - Accent3 3 3 18" xfId="37365" xr:uid="{00000000-0005-0000-0000-0000D23C0000}"/>
    <cellStyle name="40% - Accent3 3 3 19" xfId="39048" xr:uid="{00000000-0005-0000-0000-0000D33C0000}"/>
    <cellStyle name="40% - Accent3 3 3 2" xfId="755" xr:uid="{00000000-0005-0000-0000-0000D43C0000}"/>
    <cellStyle name="40% - Accent3 3 3 2 10" xfId="15904" xr:uid="{00000000-0005-0000-0000-0000D53C0000}"/>
    <cellStyle name="40% - Accent3 3 3 2 11" xfId="31053" xr:uid="{00000000-0005-0000-0000-0000D63C0000}"/>
    <cellStyle name="40% - Accent3 3 3 2 12" xfId="32736" xr:uid="{00000000-0005-0000-0000-0000D73C0000}"/>
    <cellStyle name="40% - Accent3 3 3 2 13" xfId="34419" xr:uid="{00000000-0005-0000-0000-0000D83C0000}"/>
    <cellStyle name="40% - Accent3 3 3 2 14" xfId="36102" xr:uid="{00000000-0005-0000-0000-0000D93C0000}"/>
    <cellStyle name="40% - Accent3 3 3 2 15" xfId="37785" xr:uid="{00000000-0005-0000-0000-0000DA3C0000}"/>
    <cellStyle name="40% - Accent3 3 3 2 16" xfId="39468" xr:uid="{00000000-0005-0000-0000-0000DB3C0000}"/>
    <cellStyle name="40% - Accent3 3 3 2 17" xfId="41151" xr:uid="{00000000-0005-0000-0000-0000DC3C0000}"/>
    <cellStyle name="40% - Accent3 3 3 2 18" xfId="42834" xr:uid="{00000000-0005-0000-0000-0000DD3C0000}"/>
    <cellStyle name="40% - Accent3 3 3 2 19" xfId="44517" xr:uid="{00000000-0005-0000-0000-0000DE3C0000}"/>
    <cellStyle name="40% - Accent3 3 3 2 2" xfId="2438" xr:uid="{00000000-0005-0000-0000-0000DF3C0000}"/>
    <cellStyle name="40% - Accent3 3 3 2 2 2" xfId="17587" xr:uid="{00000000-0005-0000-0000-0000E03C0000}"/>
    <cellStyle name="40% - Accent3 3 3 2 20" xfId="46200" xr:uid="{00000000-0005-0000-0000-0000E13C0000}"/>
    <cellStyle name="40% - Accent3 3 3 2 21" xfId="47883" xr:uid="{00000000-0005-0000-0000-0000E23C0000}"/>
    <cellStyle name="40% - Accent3 3 3 2 22" xfId="49566" xr:uid="{00000000-0005-0000-0000-0000E33C0000}"/>
    <cellStyle name="40% - Accent3 3 3 2 23" xfId="51249" xr:uid="{00000000-0005-0000-0000-0000E43C0000}"/>
    <cellStyle name="40% - Accent3 3 3 2 24" xfId="52932" xr:uid="{00000000-0005-0000-0000-0000E53C0000}"/>
    <cellStyle name="40% - Accent3 3 3 2 25" xfId="54615" xr:uid="{00000000-0005-0000-0000-0000E63C0000}"/>
    <cellStyle name="40% - Accent3 3 3 2 26" xfId="56298" xr:uid="{00000000-0005-0000-0000-0000E73C0000}"/>
    <cellStyle name="40% - Accent3 3 3 2 27" xfId="57981" xr:uid="{00000000-0005-0000-0000-0000E83C0000}"/>
    <cellStyle name="40% - Accent3 3 3 2 28" xfId="59664" xr:uid="{00000000-0005-0000-0000-0000E93C0000}"/>
    <cellStyle name="40% - Accent3 3 3 2 29" xfId="61347" xr:uid="{00000000-0005-0000-0000-0000EA3C0000}"/>
    <cellStyle name="40% - Accent3 3 3 2 3" xfId="4122" xr:uid="{00000000-0005-0000-0000-0000EB3C0000}"/>
    <cellStyle name="40% - Accent3 3 3 2 3 2" xfId="19271" xr:uid="{00000000-0005-0000-0000-0000EC3C0000}"/>
    <cellStyle name="40% - Accent3 3 3 2 30" xfId="63030" xr:uid="{00000000-0005-0000-0000-0000ED3C0000}"/>
    <cellStyle name="40% - Accent3 3 3 2 4" xfId="5805" xr:uid="{00000000-0005-0000-0000-0000EE3C0000}"/>
    <cellStyle name="40% - Accent3 3 3 2 4 2" xfId="20954" xr:uid="{00000000-0005-0000-0000-0000EF3C0000}"/>
    <cellStyle name="40% - Accent3 3 3 2 5" xfId="7488" xr:uid="{00000000-0005-0000-0000-0000F03C0000}"/>
    <cellStyle name="40% - Accent3 3 3 2 5 2" xfId="22637" xr:uid="{00000000-0005-0000-0000-0000F13C0000}"/>
    <cellStyle name="40% - Accent3 3 3 2 6" xfId="9171" xr:uid="{00000000-0005-0000-0000-0000F23C0000}"/>
    <cellStyle name="40% - Accent3 3 3 2 6 2" xfId="24320" xr:uid="{00000000-0005-0000-0000-0000F33C0000}"/>
    <cellStyle name="40% - Accent3 3 3 2 7" xfId="10854" xr:uid="{00000000-0005-0000-0000-0000F43C0000}"/>
    <cellStyle name="40% - Accent3 3 3 2 7 2" xfId="26003" xr:uid="{00000000-0005-0000-0000-0000F53C0000}"/>
    <cellStyle name="40% - Accent3 3 3 2 8" xfId="12538" xr:uid="{00000000-0005-0000-0000-0000F63C0000}"/>
    <cellStyle name="40% - Accent3 3 3 2 8 2" xfId="27687" xr:uid="{00000000-0005-0000-0000-0000F73C0000}"/>
    <cellStyle name="40% - Accent3 3 3 2 9" xfId="14221" xr:uid="{00000000-0005-0000-0000-0000F83C0000}"/>
    <cellStyle name="40% - Accent3 3 3 2 9 2" xfId="29370" xr:uid="{00000000-0005-0000-0000-0000F93C0000}"/>
    <cellStyle name="40% - Accent3 3 3 20" xfId="40731" xr:uid="{00000000-0005-0000-0000-0000FA3C0000}"/>
    <cellStyle name="40% - Accent3 3 3 21" xfId="42414" xr:uid="{00000000-0005-0000-0000-0000FB3C0000}"/>
    <cellStyle name="40% - Accent3 3 3 22" xfId="44097" xr:uid="{00000000-0005-0000-0000-0000FC3C0000}"/>
    <cellStyle name="40% - Accent3 3 3 23" xfId="45780" xr:uid="{00000000-0005-0000-0000-0000FD3C0000}"/>
    <cellStyle name="40% - Accent3 3 3 24" xfId="47463" xr:uid="{00000000-0005-0000-0000-0000FE3C0000}"/>
    <cellStyle name="40% - Accent3 3 3 25" xfId="49146" xr:uid="{00000000-0005-0000-0000-0000FF3C0000}"/>
    <cellStyle name="40% - Accent3 3 3 26" xfId="50829" xr:uid="{00000000-0005-0000-0000-0000003D0000}"/>
    <cellStyle name="40% - Accent3 3 3 27" xfId="52512" xr:uid="{00000000-0005-0000-0000-0000013D0000}"/>
    <cellStyle name="40% - Accent3 3 3 28" xfId="54195" xr:uid="{00000000-0005-0000-0000-0000023D0000}"/>
    <cellStyle name="40% - Accent3 3 3 29" xfId="55878" xr:uid="{00000000-0005-0000-0000-0000033D0000}"/>
    <cellStyle name="40% - Accent3 3 3 3" xfId="1176" xr:uid="{00000000-0005-0000-0000-0000043D0000}"/>
    <cellStyle name="40% - Accent3 3 3 3 10" xfId="16325" xr:uid="{00000000-0005-0000-0000-0000053D0000}"/>
    <cellStyle name="40% - Accent3 3 3 3 11" xfId="31474" xr:uid="{00000000-0005-0000-0000-0000063D0000}"/>
    <cellStyle name="40% - Accent3 3 3 3 12" xfId="33157" xr:uid="{00000000-0005-0000-0000-0000073D0000}"/>
    <cellStyle name="40% - Accent3 3 3 3 13" xfId="34840" xr:uid="{00000000-0005-0000-0000-0000083D0000}"/>
    <cellStyle name="40% - Accent3 3 3 3 14" xfId="36523" xr:uid="{00000000-0005-0000-0000-0000093D0000}"/>
    <cellStyle name="40% - Accent3 3 3 3 15" xfId="38206" xr:uid="{00000000-0005-0000-0000-00000A3D0000}"/>
    <cellStyle name="40% - Accent3 3 3 3 16" xfId="39889" xr:uid="{00000000-0005-0000-0000-00000B3D0000}"/>
    <cellStyle name="40% - Accent3 3 3 3 17" xfId="41572" xr:uid="{00000000-0005-0000-0000-00000C3D0000}"/>
    <cellStyle name="40% - Accent3 3 3 3 18" xfId="43255" xr:uid="{00000000-0005-0000-0000-00000D3D0000}"/>
    <cellStyle name="40% - Accent3 3 3 3 19" xfId="44938" xr:uid="{00000000-0005-0000-0000-00000E3D0000}"/>
    <cellStyle name="40% - Accent3 3 3 3 2" xfId="2859" xr:uid="{00000000-0005-0000-0000-00000F3D0000}"/>
    <cellStyle name="40% - Accent3 3 3 3 2 2" xfId="18008" xr:uid="{00000000-0005-0000-0000-0000103D0000}"/>
    <cellStyle name="40% - Accent3 3 3 3 20" xfId="46621" xr:uid="{00000000-0005-0000-0000-0000113D0000}"/>
    <cellStyle name="40% - Accent3 3 3 3 21" xfId="48304" xr:uid="{00000000-0005-0000-0000-0000123D0000}"/>
    <cellStyle name="40% - Accent3 3 3 3 22" xfId="49987" xr:uid="{00000000-0005-0000-0000-0000133D0000}"/>
    <cellStyle name="40% - Accent3 3 3 3 23" xfId="51670" xr:uid="{00000000-0005-0000-0000-0000143D0000}"/>
    <cellStyle name="40% - Accent3 3 3 3 24" xfId="53353" xr:uid="{00000000-0005-0000-0000-0000153D0000}"/>
    <cellStyle name="40% - Accent3 3 3 3 25" xfId="55036" xr:uid="{00000000-0005-0000-0000-0000163D0000}"/>
    <cellStyle name="40% - Accent3 3 3 3 26" xfId="56719" xr:uid="{00000000-0005-0000-0000-0000173D0000}"/>
    <cellStyle name="40% - Accent3 3 3 3 27" xfId="58402" xr:uid="{00000000-0005-0000-0000-0000183D0000}"/>
    <cellStyle name="40% - Accent3 3 3 3 28" xfId="60085" xr:uid="{00000000-0005-0000-0000-0000193D0000}"/>
    <cellStyle name="40% - Accent3 3 3 3 29" xfId="61768" xr:uid="{00000000-0005-0000-0000-00001A3D0000}"/>
    <cellStyle name="40% - Accent3 3 3 3 3" xfId="4543" xr:uid="{00000000-0005-0000-0000-00001B3D0000}"/>
    <cellStyle name="40% - Accent3 3 3 3 3 2" xfId="19692" xr:uid="{00000000-0005-0000-0000-00001C3D0000}"/>
    <cellStyle name="40% - Accent3 3 3 3 30" xfId="63451" xr:uid="{00000000-0005-0000-0000-00001D3D0000}"/>
    <cellStyle name="40% - Accent3 3 3 3 4" xfId="6226" xr:uid="{00000000-0005-0000-0000-00001E3D0000}"/>
    <cellStyle name="40% - Accent3 3 3 3 4 2" xfId="21375" xr:uid="{00000000-0005-0000-0000-00001F3D0000}"/>
    <cellStyle name="40% - Accent3 3 3 3 5" xfId="7909" xr:uid="{00000000-0005-0000-0000-0000203D0000}"/>
    <cellStyle name="40% - Accent3 3 3 3 5 2" xfId="23058" xr:uid="{00000000-0005-0000-0000-0000213D0000}"/>
    <cellStyle name="40% - Accent3 3 3 3 6" xfId="9592" xr:uid="{00000000-0005-0000-0000-0000223D0000}"/>
    <cellStyle name="40% - Accent3 3 3 3 6 2" xfId="24741" xr:uid="{00000000-0005-0000-0000-0000233D0000}"/>
    <cellStyle name="40% - Accent3 3 3 3 7" xfId="11275" xr:uid="{00000000-0005-0000-0000-0000243D0000}"/>
    <cellStyle name="40% - Accent3 3 3 3 7 2" xfId="26424" xr:uid="{00000000-0005-0000-0000-0000253D0000}"/>
    <cellStyle name="40% - Accent3 3 3 3 8" xfId="12959" xr:uid="{00000000-0005-0000-0000-0000263D0000}"/>
    <cellStyle name="40% - Accent3 3 3 3 8 2" xfId="28108" xr:uid="{00000000-0005-0000-0000-0000273D0000}"/>
    <cellStyle name="40% - Accent3 3 3 3 9" xfId="14642" xr:uid="{00000000-0005-0000-0000-0000283D0000}"/>
    <cellStyle name="40% - Accent3 3 3 3 9 2" xfId="29791" xr:uid="{00000000-0005-0000-0000-0000293D0000}"/>
    <cellStyle name="40% - Accent3 3 3 30" xfId="57561" xr:uid="{00000000-0005-0000-0000-00002A3D0000}"/>
    <cellStyle name="40% - Accent3 3 3 31" xfId="59244" xr:uid="{00000000-0005-0000-0000-00002B3D0000}"/>
    <cellStyle name="40% - Accent3 3 3 32" xfId="60927" xr:uid="{00000000-0005-0000-0000-00002C3D0000}"/>
    <cellStyle name="40% - Accent3 3 3 33" xfId="62610" xr:uid="{00000000-0005-0000-0000-00002D3D0000}"/>
    <cellStyle name="40% - Accent3 3 3 4" xfId="1597" xr:uid="{00000000-0005-0000-0000-00002E3D0000}"/>
    <cellStyle name="40% - Accent3 3 3 4 10" xfId="16746" xr:uid="{00000000-0005-0000-0000-00002F3D0000}"/>
    <cellStyle name="40% - Accent3 3 3 4 11" xfId="31895" xr:uid="{00000000-0005-0000-0000-0000303D0000}"/>
    <cellStyle name="40% - Accent3 3 3 4 12" xfId="33578" xr:uid="{00000000-0005-0000-0000-0000313D0000}"/>
    <cellStyle name="40% - Accent3 3 3 4 13" xfId="35261" xr:uid="{00000000-0005-0000-0000-0000323D0000}"/>
    <cellStyle name="40% - Accent3 3 3 4 14" xfId="36944" xr:uid="{00000000-0005-0000-0000-0000333D0000}"/>
    <cellStyle name="40% - Accent3 3 3 4 15" xfId="38627" xr:uid="{00000000-0005-0000-0000-0000343D0000}"/>
    <cellStyle name="40% - Accent3 3 3 4 16" xfId="40310" xr:uid="{00000000-0005-0000-0000-0000353D0000}"/>
    <cellStyle name="40% - Accent3 3 3 4 17" xfId="41993" xr:uid="{00000000-0005-0000-0000-0000363D0000}"/>
    <cellStyle name="40% - Accent3 3 3 4 18" xfId="43676" xr:uid="{00000000-0005-0000-0000-0000373D0000}"/>
    <cellStyle name="40% - Accent3 3 3 4 19" xfId="45359" xr:uid="{00000000-0005-0000-0000-0000383D0000}"/>
    <cellStyle name="40% - Accent3 3 3 4 2" xfId="3280" xr:uid="{00000000-0005-0000-0000-0000393D0000}"/>
    <cellStyle name="40% - Accent3 3 3 4 2 2" xfId="18429" xr:uid="{00000000-0005-0000-0000-00003A3D0000}"/>
    <cellStyle name="40% - Accent3 3 3 4 20" xfId="47042" xr:uid="{00000000-0005-0000-0000-00003B3D0000}"/>
    <cellStyle name="40% - Accent3 3 3 4 21" xfId="48725" xr:uid="{00000000-0005-0000-0000-00003C3D0000}"/>
    <cellStyle name="40% - Accent3 3 3 4 22" xfId="50408" xr:uid="{00000000-0005-0000-0000-00003D3D0000}"/>
    <cellStyle name="40% - Accent3 3 3 4 23" xfId="52091" xr:uid="{00000000-0005-0000-0000-00003E3D0000}"/>
    <cellStyle name="40% - Accent3 3 3 4 24" xfId="53774" xr:uid="{00000000-0005-0000-0000-00003F3D0000}"/>
    <cellStyle name="40% - Accent3 3 3 4 25" xfId="55457" xr:uid="{00000000-0005-0000-0000-0000403D0000}"/>
    <cellStyle name="40% - Accent3 3 3 4 26" xfId="57140" xr:uid="{00000000-0005-0000-0000-0000413D0000}"/>
    <cellStyle name="40% - Accent3 3 3 4 27" xfId="58823" xr:uid="{00000000-0005-0000-0000-0000423D0000}"/>
    <cellStyle name="40% - Accent3 3 3 4 28" xfId="60506" xr:uid="{00000000-0005-0000-0000-0000433D0000}"/>
    <cellStyle name="40% - Accent3 3 3 4 29" xfId="62189" xr:uid="{00000000-0005-0000-0000-0000443D0000}"/>
    <cellStyle name="40% - Accent3 3 3 4 3" xfId="4964" xr:uid="{00000000-0005-0000-0000-0000453D0000}"/>
    <cellStyle name="40% - Accent3 3 3 4 3 2" xfId="20113" xr:uid="{00000000-0005-0000-0000-0000463D0000}"/>
    <cellStyle name="40% - Accent3 3 3 4 30" xfId="63872" xr:uid="{00000000-0005-0000-0000-0000473D0000}"/>
    <cellStyle name="40% - Accent3 3 3 4 4" xfId="6647" xr:uid="{00000000-0005-0000-0000-0000483D0000}"/>
    <cellStyle name="40% - Accent3 3 3 4 4 2" xfId="21796" xr:uid="{00000000-0005-0000-0000-0000493D0000}"/>
    <cellStyle name="40% - Accent3 3 3 4 5" xfId="8330" xr:uid="{00000000-0005-0000-0000-00004A3D0000}"/>
    <cellStyle name="40% - Accent3 3 3 4 5 2" xfId="23479" xr:uid="{00000000-0005-0000-0000-00004B3D0000}"/>
    <cellStyle name="40% - Accent3 3 3 4 6" xfId="10013" xr:uid="{00000000-0005-0000-0000-00004C3D0000}"/>
    <cellStyle name="40% - Accent3 3 3 4 6 2" xfId="25162" xr:uid="{00000000-0005-0000-0000-00004D3D0000}"/>
    <cellStyle name="40% - Accent3 3 3 4 7" xfId="11696" xr:uid="{00000000-0005-0000-0000-00004E3D0000}"/>
    <cellStyle name="40% - Accent3 3 3 4 7 2" xfId="26845" xr:uid="{00000000-0005-0000-0000-00004F3D0000}"/>
    <cellStyle name="40% - Accent3 3 3 4 8" xfId="13380" xr:uid="{00000000-0005-0000-0000-0000503D0000}"/>
    <cellStyle name="40% - Accent3 3 3 4 8 2" xfId="28529" xr:uid="{00000000-0005-0000-0000-0000513D0000}"/>
    <cellStyle name="40% - Accent3 3 3 4 9" xfId="15063" xr:uid="{00000000-0005-0000-0000-0000523D0000}"/>
    <cellStyle name="40% - Accent3 3 3 4 9 2" xfId="30212" xr:uid="{00000000-0005-0000-0000-0000533D0000}"/>
    <cellStyle name="40% - Accent3 3 3 5" xfId="2018" xr:uid="{00000000-0005-0000-0000-0000543D0000}"/>
    <cellStyle name="40% - Accent3 3 3 5 2" xfId="17167" xr:uid="{00000000-0005-0000-0000-0000553D0000}"/>
    <cellStyle name="40% - Accent3 3 3 6" xfId="3702" xr:uid="{00000000-0005-0000-0000-0000563D0000}"/>
    <cellStyle name="40% - Accent3 3 3 6 2" xfId="18851" xr:uid="{00000000-0005-0000-0000-0000573D0000}"/>
    <cellStyle name="40% - Accent3 3 3 7" xfId="5385" xr:uid="{00000000-0005-0000-0000-0000583D0000}"/>
    <cellStyle name="40% - Accent3 3 3 7 2" xfId="20534" xr:uid="{00000000-0005-0000-0000-0000593D0000}"/>
    <cellStyle name="40% - Accent3 3 3 8" xfId="7068" xr:uid="{00000000-0005-0000-0000-00005A3D0000}"/>
    <cellStyle name="40% - Accent3 3 3 8 2" xfId="22217" xr:uid="{00000000-0005-0000-0000-00005B3D0000}"/>
    <cellStyle name="40% - Accent3 3 3 9" xfId="8751" xr:uid="{00000000-0005-0000-0000-00005C3D0000}"/>
    <cellStyle name="40% - Accent3 3 3 9 2" xfId="23900" xr:uid="{00000000-0005-0000-0000-00005D3D0000}"/>
    <cellStyle name="40% - Accent3 3 30" xfId="53985" xr:uid="{00000000-0005-0000-0000-00005E3D0000}"/>
    <cellStyle name="40% - Accent3 3 31" xfId="55668" xr:uid="{00000000-0005-0000-0000-00005F3D0000}"/>
    <cellStyle name="40% - Accent3 3 32" xfId="57351" xr:uid="{00000000-0005-0000-0000-0000603D0000}"/>
    <cellStyle name="40% - Accent3 3 33" xfId="59034" xr:uid="{00000000-0005-0000-0000-0000613D0000}"/>
    <cellStyle name="40% - Accent3 3 34" xfId="60717" xr:uid="{00000000-0005-0000-0000-0000623D0000}"/>
    <cellStyle name="40% - Accent3 3 35" xfId="62400" xr:uid="{00000000-0005-0000-0000-0000633D0000}"/>
    <cellStyle name="40% - Accent3 3 4" xfId="545" xr:uid="{00000000-0005-0000-0000-0000643D0000}"/>
    <cellStyle name="40% - Accent3 3 4 10" xfId="15694" xr:uid="{00000000-0005-0000-0000-0000653D0000}"/>
    <cellStyle name="40% - Accent3 3 4 11" xfId="30843" xr:uid="{00000000-0005-0000-0000-0000663D0000}"/>
    <cellStyle name="40% - Accent3 3 4 12" xfId="32526" xr:uid="{00000000-0005-0000-0000-0000673D0000}"/>
    <cellStyle name="40% - Accent3 3 4 13" xfId="34209" xr:uid="{00000000-0005-0000-0000-0000683D0000}"/>
    <cellStyle name="40% - Accent3 3 4 14" xfId="35892" xr:uid="{00000000-0005-0000-0000-0000693D0000}"/>
    <cellStyle name="40% - Accent3 3 4 15" xfId="37575" xr:uid="{00000000-0005-0000-0000-00006A3D0000}"/>
    <cellStyle name="40% - Accent3 3 4 16" xfId="39258" xr:uid="{00000000-0005-0000-0000-00006B3D0000}"/>
    <cellStyle name="40% - Accent3 3 4 17" xfId="40941" xr:uid="{00000000-0005-0000-0000-00006C3D0000}"/>
    <cellStyle name="40% - Accent3 3 4 18" xfId="42624" xr:uid="{00000000-0005-0000-0000-00006D3D0000}"/>
    <cellStyle name="40% - Accent3 3 4 19" xfId="44307" xr:uid="{00000000-0005-0000-0000-00006E3D0000}"/>
    <cellStyle name="40% - Accent3 3 4 2" xfId="2228" xr:uid="{00000000-0005-0000-0000-00006F3D0000}"/>
    <cellStyle name="40% - Accent3 3 4 2 2" xfId="17377" xr:uid="{00000000-0005-0000-0000-0000703D0000}"/>
    <cellStyle name="40% - Accent3 3 4 20" xfId="45990" xr:uid="{00000000-0005-0000-0000-0000713D0000}"/>
    <cellStyle name="40% - Accent3 3 4 21" xfId="47673" xr:uid="{00000000-0005-0000-0000-0000723D0000}"/>
    <cellStyle name="40% - Accent3 3 4 22" xfId="49356" xr:uid="{00000000-0005-0000-0000-0000733D0000}"/>
    <cellStyle name="40% - Accent3 3 4 23" xfId="51039" xr:uid="{00000000-0005-0000-0000-0000743D0000}"/>
    <cellStyle name="40% - Accent3 3 4 24" xfId="52722" xr:uid="{00000000-0005-0000-0000-0000753D0000}"/>
    <cellStyle name="40% - Accent3 3 4 25" xfId="54405" xr:uid="{00000000-0005-0000-0000-0000763D0000}"/>
    <cellStyle name="40% - Accent3 3 4 26" xfId="56088" xr:uid="{00000000-0005-0000-0000-0000773D0000}"/>
    <cellStyle name="40% - Accent3 3 4 27" xfId="57771" xr:uid="{00000000-0005-0000-0000-0000783D0000}"/>
    <cellStyle name="40% - Accent3 3 4 28" xfId="59454" xr:uid="{00000000-0005-0000-0000-0000793D0000}"/>
    <cellStyle name="40% - Accent3 3 4 29" xfId="61137" xr:uid="{00000000-0005-0000-0000-00007A3D0000}"/>
    <cellStyle name="40% - Accent3 3 4 3" xfId="3912" xr:uid="{00000000-0005-0000-0000-00007B3D0000}"/>
    <cellStyle name="40% - Accent3 3 4 3 2" xfId="19061" xr:uid="{00000000-0005-0000-0000-00007C3D0000}"/>
    <cellStyle name="40% - Accent3 3 4 30" xfId="62820" xr:uid="{00000000-0005-0000-0000-00007D3D0000}"/>
    <cellStyle name="40% - Accent3 3 4 4" xfId="5595" xr:uid="{00000000-0005-0000-0000-00007E3D0000}"/>
    <cellStyle name="40% - Accent3 3 4 4 2" xfId="20744" xr:uid="{00000000-0005-0000-0000-00007F3D0000}"/>
    <cellStyle name="40% - Accent3 3 4 5" xfId="7278" xr:uid="{00000000-0005-0000-0000-0000803D0000}"/>
    <cellStyle name="40% - Accent3 3 4 5 2" xfId="22427" xr:uid="{00000000-0005-0000-0000-0000813D0000}"/>
    <cellStyle name="40% - Accent3 3 4 6" xfId="8961" xr:uid="{00000000-0005-0000-0000-0000823D0000}"/>
    <cellStyle name="40% - Accent3 3 4 6 2" xfId="24110" xr:uid="{00000000-0005-0000-0000-0000833D0000}"/>
    <cellStyle name="40% - Accent3 3 4 7" xfId="10644" xr:uid="{00000000-0005-0000-0000-0000843D0000}"/>
    <cellStyle name="40% - Accent3 3 4 7 2" xfId="25793" xr:uid="{00000000-0005-0000-0000-0000853D0000}"/>
    <cellStyle name="40% - Accent3 3 4 8" xfId="12328" xr:uid="{00000000-0005-0000-0000-0000863D0000}"/>
    <cellStyle name="40% - Accent3 3 4 8 2" xfId="27477" xr:uid="{00000000-0005-0000-0000-0000873D0000}"/>
    <cellStyle name="40% - Accent3 3 4 9" xfId="14011" xr:uid="{00000000-0005-0000-0000-0000883D0000}"/>
    <cellStyle name="40% - Accent3 3 4 9 2" xfId="29160" xr:uid="{00000000-0005-0000-0000-0000893D0000}"/>
    <cellStyle name="40% - Accent3 3 5" xfId="966" xr:uid="{00000000-0005-0000-0000-00008A3D0000}"/>
    <cellStyle name="40% - Accent3 3 5 10" xfId="16115" xr:uid="{00000000-0005-0000-0000-00008B3D0000}"/>
    <cellStyle name="40% - Accent3 3 5 11" xfId="31264" xr:uid="{00000000-0005-0000-0000-00008C3D0000}"/>
    <cellStyle name="40% - Accent3 3 5 12" xfId="32947" xr:uid="{00000000-0005-0000-0000-00008D3D0000}"/>
    <cellStyle name="40% - Accent3 3 5 13" xfId="34630" xr:uid="{00000000-0005-0000-0000-00008E3D0000}"/>
    <cellStyle name="40% - Accent3 3 5 14" xfId="36313" xr:uid="{00000000-0005-0000-0000-00008F3D0000}"/>
    <cellStyle name="40% - Accent3 3 5 15" xfId="37996" xr:uid="{00000000-0005-0000-0000-0000903D0000}"/>
    <cellStyle name="40% - Accent3 3 5 16" xfId="39679" xr:uid="{00000000-0005-0000-0000-0000913D0000}"/>
    <cellStyle name="40% - Accent3 3 5 17" xfId="41362" xr:uid="{00000000-0005-0000-0000-0000923D0000}"/>
    <cellStyle name="40% - Accent3 3 5 18" xfId="43045" xr:uid="{00000000-0005-0000-0000-0000933D0000}"/>
    <cellStyle name="40% - Accent3 3 5 19" xfId="44728" xr:uid="{00000000-0005-0000-0000-0000943D0000}"/>
    <cellStyle name="40% - Accent3 3 5 2" xfId="2649" xr:uid="{00000000-0005-0000-0000-0000953D0000}"/>
    <cellStyle name="40% - Accent3 3 5 2 2" xfId="17798" xr:uid="{00000000-0005-0000-0000-0000963D0000}"/>
    <cellStyle name="40% - Accent3 3 5 20" xfId="46411" xr:uid="{00000000-0005-0000-0000-0000973D0000}"/>
    <cellStyle name="40% - Accent3 3 5 21" xfId="48094" xr:uid="{00000000-0005-0000-0000-0000983D0000}"/>
    <cellStyle name="40% - Accent3 3 5 22" xfId="49777" xr:uid="{00000000-0005-0000-0000-0000993D0000}"/>
    <cellStyle name="40% - Accent3 3 5 23" xfId="51460" xr:uid="{00000000-0005-0000-0000-00009A3D0000}"/>
    <cellStyle name="40% - Accent3 3 5 24" xfId="53143" xr:uid="{00000000-0005-0000-0000-00009B3D0000}"/>
    <cellStyle name="40% - Accent3 3 5 25" xfId="54826" xr:uid="{00000000-0005-0000-0000-00009C3D0000}"/>
    <cellStyle name="40% - Accent3 3 5 26" xfId="56509" xr:uid="{00000000-0005-0000-0000-00009D3D0000}"/>
    <cellStyle name="40% - Accent3 3 5 27" xfId="58192" xr:uid="{00000000-0005-0000-0000-00009E3D0000}"/>
    <cellStyle name="40% - Accent3 3 5 28" xfId="59875" xr:uid="{00000000-0005-0000-0000-00009F3D0000}"/>
    <cellStyle name="40% - Accent3 3 5 29" xfId="61558" xr:uid="{00000000-0005-0000-0000-0000A03D0000}"/>
    <cellStyle name="40% - Accent3 3 5 3" xfId="4333" xr:uid="{00000000-0005-0000-0000-0000A13D0000}"/>
    <cellStyle name="40% - Accent3 3 5 3 2" xfId="19482" xr:uid="{00000000-0005-0000-0000-0000A23D0000}"/>
    <cellStyle name="40% - Accent3 3 5 30" xfId="63241" xr:uid="{00000000-0005-0000-0000-0000A33D0000}"/>
    <cellStyle name="40% - Accent3 3 5 4" xfId="6016" xr:uid="{00000000-0005-0000-0000-0000A43D0000}"/>
    <cellStyle name="40% - Accent3 3 5 4 2" xfId="21165" xr:uid="{00000000-0005-0000-0000-0000A53D0000}"/>
    <cellStyle name="40% - Accent3 3 5 5" xfId="7699" xr:uid="{00000000-0005-0000-0000-0000A63D0000}"/>
    <cellStyle name="40% - Accent3 3 5 5 2" xfId="22848" xr:uid="{00000000-0005-0000-0000-0000A73D0000}"/>
    <cellStyle name="40% - Accent3 3 5 6" xfId="9382" xr:uid="{00000000-0005-0000-0000-0000A83D0000}"/>
    <cellStyle name="40% - Accent3 3 5 6 2" xfId="24531" xr:uid="{00000000-0005-0000-0000-0000A93D0000}"/>
    <cellStyle name="40% - Accent3 3 5 7" xfId="11065" xr:uid="{00000000-0005-0000-0000-0000AA3D0000}"/>
    <cellStyle name="40% - Accent3 3 5 7 2" xfId="26214" xr:uid="{00000000-0005-0000-0000-0000AB3D0000}"/>
    <cellStyle name="40% - Accent3 3 5 8" xfId="12749" xr:uid="{00000000-0005-0000-0000-0000AC3D0000}"/>
    <cellStyle name="40% - Accent3 3 5 8 2" xfId="27898" xr:uid="{00000000-0005-0000-0000-0000AD3D0000}"/>
    <cellStyle name="40% - Accent3 3 5 9" xfId="14432" xr:uid="{00000000-0005-0000-0000-0000AE3D0000}"/>
    <cellStyle name="40% - Accent3 3 5 9 2" xfId="29581" xr:uid="{00000000-0005-0000-0000-0000AF3D0000}"/>
    <cellStyle name="40% - Accent3 3 6" xfId="1387" xr:uid="{00000000-0005-0000-0000-0000B03D0000}"/>
    <cellStyle name="40% - Accent3 3 6 10" xfId="16536" xr:uid="{00000000-0005-0000-0000-0000B13D0000}"/>
    <cellStyle name="40% - Accent3 3 6 11" xfId="31685" xr:uid="{00000000-0005-0000-0000-0000B23D0000}"/>
    <cellStyle name="40% - Accent3 3 6 12" xfId="33368" xr:uid="{00000000-0005-0000-0000-0000B33D0000}"/>
    <cellStyle name="40% - Accent3 3 6 13" xfId="35051" xr:uid="{00000000-0005-0000-0000-0000B43D0000}"/>
    <cellStyle name="40% - Accent3 3 6 14" xfId="36734" xr:uid="{00000000-0005-0000-0000-0000B53D0000}"/>
    <cellStyle name="40% - Accent3 3 6 15" xfId="38417" xr:uid="{00000000-0005-0000-0000-0000B63D0000}"/>
    <cellStyle name="40% - Accent3 3 6 16" xfId="40100" xr:uid="{00000000-0005-0000-0000-0000B73D0000}"/>
    <cellStyle name="40% - Accent3 3 6 17" xfId="41783" xr:uid="{00000000-0005-0000-0000-0000B83D0000}"/>
    <cellStyle name="40% - Accent3 3 6 18" xfId="43466" xr:uid="{00000000-0005-0000-0000-0000B93D0000}"/>
    <cellStyle name="40% - Accent3 3 6 19" xfId="45149" xr:uid="{00000000-0005-0000-0000-0000BA3D0000}"/>
    <cellStyle name="40% - Accent3 3 6 2" xfId="3070" xr:uid="{00000000-0005-0000-0000-0000BB3D0000}"/>
    <cellStyle name="40% - Accent3 3 6 2 2" xfId="18219" xr:uid="{00000000-0005-0000-0000-0000BC3D0000}"/>
    <cellStyle name="40% - Accent3 3 6 20" xfId="46832" xr:uid="{00000000-0005-0000-0000-0000BD3D0000}"/>
    <cellStyle name="40% - Accent3 3 6 21" xfId="48515" xr:uid="{00000000-0005-0000-0000-0000BE3D0000}"/>
    <cellStyle name="40% - Accent3 3 6 22" xfId="50198" xr:uid="{00000000-0005-0000-0000-0000BF3D0000}"/>
    <cellStyle name="40% - Accent3 3 6 23" xfId="51881" xr:uid="{00000000-0005-0000-0000-0000C03D0000}"/>
    <cellStyle name="40% - Accent3 3 6 24" xfId="53564" xr:uid="{00000000-0005-0000-0000-0000C13D0000}"/>
    <cellStyle name="40% - Accent3 3 6 25" xfId="55247" xr:uid="{00000000-0005-0000-0000-0000C23D0000}"/>
    <cellStyle name="40% - Accent3 3 6 26" xfId="56930" xr:uid="{00000000-0005-0000-0000-0000C33D0000}"/>
    <cellStyle name="40% - Accent3 3 6 27" xfId="58613" xr:uid="{00000000-0005-0000-0000-0000C43D0000}"/>
    <cellStyle name="40% - Accent3 3 6 28" xfId="60296" xr:uid="{00000000-0005-0000-0000-0000C53D0000}"/>
    <cellStyle name="40% - Accent3 3 6 29" xfId="61979" xr:uid="{00000000-0005-0000-0000-0000C63D0000}"/>
    <cellStyle name="40% - Accent3 3 6 3" xfId="4754" xr:uid="{00000000-0005-0000-0000-0000C73D0000}"/>
    <cellStyle name="40% - Accent3 3 6 3 2" xfId="19903" xr:uid="{00000000-0005-0000-0000-0000C83D0000}"/>
    <cellStyle name="40% - Accent3 3 6 30" xfId="63662" xr:uid="{00000000-0005-0000-0000-0000C93D0000}"/>
    <cellStyle name="40% - Accent3 3 6 4" xfId="6437" xr:uid="{00000000-0005-0000-0000-0000CA3D0000}"/>
    <cellStyle name="40% - Accent3 3 6 4 2" xfId="21586" xr:uid="{00000000-0005-0000-0000-0000CB3D0000}"/>
    <cellStyle name="40% - Accent3 3 6 5" xfId="8120" xr:uid="{00000000-0005-0000-0000-0000CC3D0000}"/>
    <cellStyle name="40% - Accent3 3 6 5 2" xfId="23269" xr:uid="{00000000-0005-0000-0000-0000CD3D0000}"/>
    <cellStyle name="40% - Accent3 3 6 6" xfId="9803" xr:uid="{00000000-0005-0000-0000-0000CE3D0000}"/>
    <cellStyle name="40% - Accent3 3 6 6 2" xfId="24952" xr:uid="{00000000-0005-0000-0000-0000CF3D0000}"/>
    <cellStyle name="40% - Accent3 3 6 7" xfId="11486" xr:uid="{00000000-0005-0000-0000-0000D03D0000}"/>
    <cellStyle name="40% - Accent3 3 6 7 2" xfId="26635" xr:uid="{00000000-0005-0000-0000-0000D13D0000}"/>
    <cellStyle name="40% - Accent3 3 6 8" xfId="13170" xr:uid="{00000000-0005-0000-0000-0000D23D0000}"/>
    <cellStyle name="40% - Accent3 3 6 8 2" xfId="28319" xr:uid="{00000000-0005-0000-0000-0000D33D0000}"/>
    <cellStyle name="40% - Accent3 3 6 9" xfId="14853" xr:uid="{00000000-0005-0000-0000-0000D43D0000}"/>
    <cellStyle name="40% - Accent3 3 6 9 2" xfId="30002" xr:uid="{00000000-0005-0000-0000-0000D53D0000}"/>
    <cellStyle name="40% - Accent3 3 7" xfId="1808" xr:uid="{00000000-0005-0000-0000-0000D63D0000}"/>
    <cellStyle name="40% - Accent3 3 7 2" xfId="16957" xr:uid="{00000000-0005-0000-0000-0000D73D0000}"/>
    <cellStyle name="40% - Accent3 3 8" xfId="3492" xr:uid="{00000000-0005-0000-0000-0000D83D0000}"/>
    <cellStyle name="40% - Accent3 3 8 2" xfId="18641" xr:uid="{00000000-0005-0000-0000-0000D93D0000}"/>
    <cellStyle name="40% - Accent3 3 9" xfId="5175" xr:uid="{00000000-0005-0000-0000-0000DA3D0000}"/>
    <cellStyle name="40% - Accent3 3 9 2" xfId="20324" xr:uid="{00000000-0005-0000-0000-0000DB3D0000}"/>
    <cellStyle name="40% - Accent3 30" xfId="50577" xr:uid="{00000000-0005-0000-0000-0000DC3D0000}"/>
    <cellStyle name="40% - Accent3 31" xfId="52260" xr:uid="{00000000-0005-0000-0000-0000DD3D0000}"/>
    <cellStyle name="40% - Accent3 32" xfId="53943" xr:uid="{00000000-0005-0000-0000-0000DE3D0000}"/>
    <cellStyle name="40% - Accent3 33" xfId="55626" xr:uid="{00000000-0005-0000-0000-0000DF3D0000}"/>
    <cellStyle name="40% - Accent3 34" xfId="57309" xr:uid="{00000000-0005-0000-0000-0000E03D0000}"/>
    <cellStyle name="40% - Accent3 35" xfId="58992" xr:uid="{00000000-0005-0000-0000-0000E13D0000}"/>
    <cellStyle name="40% - Accent3 36" xfId="60675" xr:uid="{00000000-0005-0000-0000-0000E23D0000}"/>
    <cellStyle name="40% - Accent3 37" xfId="62358" xr:uid="{00000000-0005-0000-0000-0000E33D0000}"/>
    <cellStyle name="40% - Accent3 4" xfId="188" xr:uid="{00000000-0005-0000-0000-0000E43D0000}"/>
    <cellStyle name="40% - Accent3 4 10" xfId="8604" xr:uid="{00000000-0005-0000-0000-0000E53D0000}"/>
    <cellStyle name="40% - Accent3 4 10 2" xfId="23753" xr:uid="{00000000-0005-0000-0000-0000E63D0000}"/>
    <cellStyle name="40% - Accent3 4 11" xfId="10287" xr:uid="{00000000-0005-0000-0000-0000E73D0000}"/>
    <cellStyle name="40% - Accent3 4 11 2" xfId="25436" xr:uid="{00000000-0005-0000-0000-0000E83D0000}"/>
    <cellStyle name="40% - Accent3 4 12" xfId="11971" xr:uid="{00000000-0005-0000-0000-0000E93D0000}"/>
    <cellStyle name="40% - Accent3 4 12 2" xfId="27120" xr:uid="{00000000-0005-0000-0000-0000EA3D0000}"/>
    <cellStyle name="40% - Accent3 4 13" xfId="13654" xr:uid="{00000000-0005-0000-0000-0000EB3D0000}"/>
    <cellStyle name="40% - Accent3 4 13 2" xfId="28803" xr:uid="{00000000-0005-0000-0000-0000EC3D0000}"/>
    <cellStyle name="40% - Accent3 4 14" xfId="15337" xr:uid="{00000000-0005-0000-0000-0000ED3D0000}"/>
    <cellStyle name="40% - Accent3 4 15" xfId="30486" xr:uid="{00000000-0005-0000-0000-0000EE3D0000}"/>
    <cellStyle name="40% - Accent3 4 16" xfId="32169" xr:uid="{00000000-0005-0000-0000-0000EF3D0000}"/>
    <cellStyle name="40% - Accent3 4 17" xfId="33852" xr:uid="{00000000-0005-0000-0000-0000F03D0000}"/>
    <cellStyle name="40% - Accent3 4 18" xfId="35535" xr:uid="{00000000-0005-0000-0000-0000F13D0000}"/>
    <cellStyle name="40% - Accent3 4 19" xfId="37218" xr:uid="{00000000-0005-0000-0000-0000F23D0000}"/>
    <cellStyle name="40% - Accent3 4 2" xfId="398" xr:uid="{00000000-0005-0000-0000-0000F33D0000}"/>
    <cellStyle name="40% - Accent3 4 2 10" xfId="10497" xr:uid="{00000000-0005-0000-0000-0000F43D0000}"/>
    <cellStyle name="40% - Accent3 4 2 10 2" xfId="25646" xr:uid="{00000000-0005-0000-0000-0000F53D0000}"/>
    <cellStyle name="40% - Accent3 4 2 11" xfId="12181" xr:uid="{00000000-0005-0000-0000-0000F63D0000}"/>
    <cellStyle name="40% - Accent3 4 2 11 2" xfId="27330" xr:uid="{00000000-0005-0000-0000-0000F73D0000}"/>
    <cellStyle name="40% - Accent3 4 2 12" xfId="13864" xr:uid="{00000000-0005-0000-0000-0000F83D0000}"/>
    <cellStyle name="40% - Accent3 4 2 12 2" xfId="29013" xr:uid="{00000000-0005-0000-0000-0000F93D0000}"/>
    <cellStyle name="40% - Accent3 4 2 13" xfId="15547" xr:uid="{00000000-0005-0000-0000-0000FA3D0000}"/>
    <cellStyle name="40% - Accent3 4 2 14" xfId="30696" xr:uid="{00000000-0005-0000-0000-0000FB3D0000}"/>
    <cellStyle name="40% - Accent3 4 2 15" xfId="32379" xr:uid="{00000000-0005-0000-0000-0000FC3D0000}"/>
    <cellStyle name="40% - Accent3 4 2 16" xfId="34062" xr:uid="{00000000-0005-0000-0000-0000FD3D0000}"/>
    <cellStyle name="40% - Accent3 4 2 17" xfId="35745" xr:uid="{00000000-0005-0000-0000-0000FE3D0000}"/>
    <cellStyle name="40% - Accent3 4 2 18" xfId="37428" xr:uid="{00000000-0005-0000-0000-0000FF3D0000}"/>
    <cellStyle name="40% - Accent3 4 2 19" xfId="39111" xr:uid="{00000000-0005-0000-0000-0000003E0000}"/>
    <cellStyle name="40% - Accent3 4 2 2" xfId="818" xr:uid="{00000000-0005-0000-0000-0000013E0000}"/>
    <cellStyle name="40% - Accent3 4 2 2 10" xfId="15967" xr:uid="{00000000-0005-0000-0000-0000023E0000}"/>
    <cellStyle name="40% - Accent3 4 2 2 11" xfId="31116" xr:uid="{00000000-0005-0000-0000-0000033E0000}"/>
    <cellStyle name="40% - Accent3 4 2 2 12" xfId="32799" xr:uid="{00000000-0005-0000-0000-0000043E0000}"/>
    <cellStyle name="40% - Accent3 4 2 2 13" xfId="34482" xr:uid="{00000000-0005-0000-0000-0000053E0000}"/>
    <cellStyle name="40% - Accent3 4 2 2 14" xfId="36165" xr:uid="{00000000-0005-0000-0000-0000063E0000}"/>
    <cellStyle name="40% - Accent3 4 2 2 15" xfId="37848" xr:uid="{00000000-0005-0000-0000-0000073E0000}"/>
    <cellStyle name="40% - Accent3 4 2 2 16" xfId="39531" xr:uid="{00000000-0005-0000-0000-0000083E0000}"/>
    <cellStyle name="40% - Accent3 4 2 2 17" xfId="41214" xr:uid="{00000000-0005-0000-0000-0000093E0000}"/>
    <cellStyle name="40% - Accent3 4 2 2 18" xfId="42897" xr:uid="{00000000-0005-0000-0000-00000A3E0000}"/>
    <cellStyle name="40% - Accent3 4 2 2 19" xfId="44580" xr:uid="{00000000-0005-0000-0000-00000B3E0000}"/>
    <cellStyle name="40% - Accent3 4 2 2 2" xfId="2501" xr:uid="{00000000-0005-0000-0000-00000C3E0000}"/>
    <cellStyle name="40% - Accent3 4 2 2 2 2" xfId="17650" xr:uid="{00000000-0005-0000-0000-00000D3E0000}"/>
    <cellStyle name="40% - Accent3 4 2 2 20" xfId="46263" xr:uid="{00000000-0005-0000-0000-00000E3E0000}"/>
    <cellStyle name="40% - Accent3 4 2 2 21" xfId="47946" xr:uid="{00000000-0005-0000-0000-00000F3E0000}"/>
    <cellStyle name="40% - Accent3 4 2 2 22" xfId="49629" xr:uid="{00000000-0005-0000-0000-0000103E0000}"/>
    <cellStyle name="40% - Accent3 4 2 2 23" xfId="51312" xr:uid="{00000000-0005-0000-0000-0000113E0000}"/>
    <cellStyle name="40% - Accent3 4 2 2 24" xfId="52995" xr:uid="{00000000-0005-0000-0000-0000123E0000}"/>
    <cellStyle name="40% - Accent3 4 2 2 25" xfId="54678" xr:uid="{00000000-0005-0000-0000-0000133E0000}"/>
    <cellStyle name="40% - Accent3 4 2 2 26" xfId="56361" xr:uid="{00000000-0005-0000-0000-0000143E0000}"/>
    <cellStyle name="40% - Accent3 4 2 2 27" xfId="58044" xr:uid="{00000000-0005-0000-0000-0000153E0000}"/>
    <cellStyle name="40% - Accent3 4 2 2 28" xfId="59727" xr:uid="{00000000-0005-0000-0000-0000163E0000}"/>
    <cellStyle name="40% - Accent3 4 2 2 29" xfId="61410" xr:uid="{00000000-0005-0000-0000-0000173E0000}"/>
    <cellStyle name="40% - Accent3 4 2 2 3" xfId="4185" xr:uid="{00000000-0005-0000-0000-0000183E0000}"/>
    <cellStyle name="40% - Accent3 4 2 2 3 2" xfId="19334" xr:uid="{00000000-0005-0000-0000-0000193E0000}"/>
    <cellStyle name="40% - Accent3 4 2 2 30" xfId="63093" xr:uid="{00000000-0005-0000-0000-00001A3E0000}"/>
    <cellStyle name="40% - Accent3 4 2 2 4" xfId="5868" xr:uid="{00000000-0005-0000-0000-00001B3E0000}"/>
    <cellStyle name="40% - Accent3 4 2 2 4 2" xfId="21017" xr:uid="{00000000-0005-0000-0000-00001C3E0000}"/>
    <cellStyle name="40% - Accent3 4 2 2 5" xfId="7551" xr:uid="{00000000-0005-0000-0000-00001D3E0000}"/>
    <cellStyle name="40% - Accent3 4 2 2 5 2" xfId="22700" xr:uid="{00000000-0005-0000-0000-00001E3E0000}"/>
    <cellStyle name="40% - Accent3 4 2 2 6" xfId="9234" xr:uid="{00000000-0005-0000-0000-00001F3E0000}"/>
    <cellStyle name="40% - Accent3 4 2 2 6 2" xfId="24383" xr:uid="{00000000-0005-0000-0000-0000203E0000}"/>
    <cellStyle name="40% - Accent3 4 2 2 7" xfId="10917" xr:uid="{00000000-0005-0000-0000-0000213E0000}"/>
    <cellStyle name="40% - Accent3 4 2 2 7 2" xfId="26066" xr:uid="{00000000-0005-0000-0000-0000223E0000}"/>
    <cellStyle name="40% - Accent3 4 2 2 8" xfId="12601" xr:uid="{00000000-0005-0000-0000-0000233E0000}"/>
    <cellStyle name="40% - Accent3 4 2 2 8 2" xfId="27750" xr:uid="{00000000-0005-0000-0000-0000243E0000}"/>
    <cellStyle name="40% - Accent3 4 2 2 9" xfId="14284" xr:uid="{00000000-0005-0000-0000-0000253E0000}"/>
    <cellStyle name="40% - Accent3 4 2 2 9 2" xfId="29433" xr:uid="{00000000-0005-0000-0000-0000263E0000}"/>
    <cellStyle name="40% - Accent3 4 2 20" xfId="40794" xr:uid="{00000000-0005-0000-0000-0000273E0000}"/>
    <cellStyle name="40% - Accent3 4 2 21" xfId="42477" xr:uid="{00000000-0005-0000-0000-0000283E0000}"/>
    <cellStyle name="40% - Accent3 4 2 22" xfId="44160" xr:uid="{00000000-0005-0000-0000-0000293E0000}"/>
    <cellStyle name="40% - Accent3 4 2 23" xfId="45843" xr:uid="{00000000-0005-0000-0000-00002A3E0000}"/>
    <cellStyle name="40% - Accent3 4 2 24" xfId="47526" xr:uid="{00000000-0005-0000-0000-00002B3E0000}"/>
    <cellStyle name="40% - Accent3 4 2 25" xfId="49209" xr:uid="{00000000-0005-0000-0000-00002C3E0000}"/>
    <cellStyle name="40% - Accent3 4 2 26" xfId="50892" xr:uid="{00000000-0005-0000-0000-00002D3E0000}"/>
    <cellStyle name="40% - Accent3 4 2 27" xfId="52575" xr:uid="{00000000-0005-0000-0000-00002E3E0000}"/>
    <cellStyle name="40% - Accent3 4 2 28" xfId="54258" xr:uid="{00000000-0005-0000-0000-00002F3E0000}"/>
    <cellStyle name="40% - Accent3 4 2 29" xfId="55941" xr:uid="{00000000-0005-0000-0000-0000303E0000}"/>
    <cellStyle name="40% - Accent3 4 2 3" xfId="1239" xr:uid="{00000000-0005-0000-0000-0000313E0000}"/>
    <cellStyle name="40% - Accent3 4 2 3 10" xfId="16388" xr:uid="{00000000-0005-0000-0000-0000323E0000}"/>
    <cellStyle name="40% - Accent3 4 2 3 11" xfId="31537" xr:uid="{00000000-0005-0000-0000-0000333E0000}"/>
    <cellStyle name="40% - Accent3 4 2 3 12" xfId="33220" xr:uid="{00000000-0005-0000-0000-0000343E0000}"/>
    <cellStyle name="40% - Accent3 4 2 3 13" xfId="34903" xr:uid="{00000000-0005-0000-0000-0000353E0000}"/>
    <cellStyle name="40% - Accent3 4 2 3 14" xfId="36586" xr:uid="{00000000-0005-0000-0000-0000363E0000}"/>
    <cellStyle name="40% - Accent3 4 2 3 15" xfId="38269" xr:uid="{00000000-0005-0000-0000-0000373E0000}"/>
    <cellStyle name="40% - Accent3 4 2 3 16" xfId="39952" xr:uid="{00000000-0005-0000-0000-0000383E0000}"/>
    <cellStyle name="40% - Accent3 4 2 3 17" xfId="41635" xr:uid="{00000000-0005-0000-0000-0000393E0000}"/>
    <cellStyle name="40% - Accent3 4 2 3 18" xfId="43318" xr:uid="{00000000-0005-0000-0000-00003A3E0000}"/>
    <cellStyle name="40% - Accent3 4 2 3 19" xfId="45001" xr:uid="{00000000-0005-0000-0000-00003B3E0000}"/>
    <cellStyle name="40% - Accent3 4 2 3 2" xfId="2922" xr:uid="{00000000-0005-0000-0000-00003C3E0000}"/>
    <cellStyle name="40% - Accent3 4 2 3 2 2" xfId="18071" xr:uid="{00000000-0005-0000-0000-00003D3E0000}"/>
    <cellStyle name="40% - Accent3 4 2 3 20" xfId="46684" xr:uid="{00000000-0005-0000-0000-00003E3E0000}"/>
    <cellStyle name="40% - Accent3 4 2 3 21" xfId="48367" xr:uid="{00000000-0005-0000-0000-00003F3E0000}"/>
    <cellStyle name="40% - Accent3 4 2 3 22" xfId="50050" xr:uid="{00000000-0005-0000-0000-0000403E0000}"/>
    <cellStyle name="40% - Accent3 4 2 3 23" xfId="51733" xr:uid="{00000000-0005-0000-0000-0000413E0000}"/>
    <cellStyle name="40% - Accent3 4 2 3 24" xfId="53416" xr:uid="{00000000-0005-0000-0000-0000423E0000}"/>
    <cellStyle name="40% - Accent3 4 2 3 25" xfId="55099" xr:uid="{00000000-0005-0000-0000-0000433E0000}"/>
    <cellStyle name="40% - Accent3 4 2 3 26" xfId="56782" xr:uid="{00000000-0005-0000-0000-0000443E0000}"/>
    <cellStyle name="40% - Accent3 4 2 3 27" xfId="58465" xr:uid="{00000000-0005-0000-0000-0000453E0000}"/>
    <cellStyle name="40% - Accent3 4 2 3 28" xfId="60148" xr:uid="{00000000-0005-0000-0000-0000463E0000}"/>
    <cellStyle name="40% - Accent3 4 2 3 29" xfId="61831" xr:uid="{00000000-0005-0000-0000-0000473E0000}"/>
    <cellStyle name="40% - Accent3 4 2 3 3" xfId="4606" xr:uid="{00000000-0005-0000-0000-0000483E0000}"/>
    <cellStyle name="40% - Accent3 4 2 3 3 2" xfId="19755" xr:uid="{00000000-0005-0000-0000-0000493E0000}"/>
    <cellStyle name="40% - Accent3 4 2 3 30" xfId="63514" xr:uid="{00000000-0005-0000-0000-00004A3E0000}"/>
    <cellStyle name="40% - Accent3 4 2 3 4" xfId="6289" xr:uid="{00000000-0005-0000-0000-00004B3E0000}"/>
    <cellStyle name="40% - Accent3 4 2 3 4 2" xfId="21438" xr:uid="{00000000-0005-0000-0000-00004C3E0000}"/>
    <cellStyle name="40% - Accent3 4 2 3 5" xfId="7972" xr:uid="{00000000-0005-0000-0000-00004D3E0000}"/>
    <cellStyle name="40% - Accent3 4 2 3 5 2" xfId="23121" xr:uid="{00000000-0005-0000-0000-00004E3E0000}"/>
    <cellStyle name="40% - Accent3 4 2 3 6" xfId="9655" xr:uid="{00000000-0005-0000-0000-00004F3E0000}"/>
    <cellStyle name="40% - Accent3 4 2 3 6 2" xfId="24804" xr:uid="{00000000-0005-0000-0000-0000503E0000}"/>
    <cellStyle name="40% - Accent3 4 2 3 7" xfId="11338" xr:uid="{00000000-0005-0000-0000-0000513E0000}"/>
    <cellStyle name="40% - Accent3 4 2 3 7 2" xfId="26487" xr:uid="{00000000-0005-0000-0000-0000523E0000}"/>
    <cellStyle name="40% - Accent3 4 2 3 8" xfId="13022" xr:uid="{00000000-0005-0000-0000-0000533E0000}"/>
    <cellStyle name="40% - Accent3 4 2 3 8 2" xfId="28171" xr:uid="{00000000-0005-0000-0000-0000543E0000}"/>
    <cellStyle name="40% - Accent3 4 2 3 9" xfId="14705" xr:uid="{00000000-0005-0000-0000-0000553E0000}"/>
    <cellStyle name="40% - Accent3 4 2 3 9 2" xfId="29854" xr:uid="{00000000-0005-0000-0000-0000563E0000}"/>
    <cellStyle name="40% - Accent3 4 2 30" xfId="57624" xr:uid="{00000000-0005-0000-0000-0000573E0000}"/>
    <cellStyle name="40% - Accent3 4 2 31" xfId="59307" xr:uid="{00000000-0005-0000-0000-0000583E0000}"/>
    <cellStyle name="40% - Accent3 4 2 32" xfId="60990" xr:uid="{00000000-0005-0000-0000-0000593E0000}"/>
    <cellStyle name="40% - Accent3 4 2 33" xfId="62673" xr:uid="{00000000-0005-0000-0000-00005A3E0000}"/>
    <cellStyle name="40% - Accent3 4 2 4" xfId="1660" xr:uid="{00000000-0005-0000-0000-00005B3E0000}"/>
    <cellStyle name="40% - Accent3 4 2 4 10" xfId="16809" xr:uid="{00000000-0005-0000-0000-00005C3E0000}"/>
    <cellStyle name="40% - Accent3 4 2 4 11" xfId="31958" xr:uid="{00000000-0005-0000-0000-00005D3E0000}"/>
    <cellStyle name="40% - Accent3 4 2 4 12" xfId="33641" xr:uid="{00000000-0005-0000-0000-00005E3E0000}"/>
    <cellStyle name="40% - Accent3 4 2 4 13" xfId="35324" xr:uid="{00000000-0005-0000-0000-00005F3E0000}"/>
    <cellStyle name="40% - Accent3 4 2 4 14" xfId="37007" xr:uid="{00000000-0005-0000-0000-0000603E0000}"/>
    <cellStyle name="40% - Accent3 4 2 4 15" xfId="38690" xr:uid="{00000000-0005-0000-0000-0000613E0000}"/>
    <cellStyle name="40% - Accent3 4 2 4 16" xfId="40373" xr:uid="{00000000-0005-0000-0000-0000623E0000}"/>
    <cellStyle name="40% - Accent3 4 2 4 17" xfId="42056" xr:uid="{00000000-0005-0000-0000-0000633E0000}"/>
    <cellStyle name="40% - Accent3 4 2 4 18" xfId="43739" xr:uid="{00000000-0005-0000-0000-0000643E0000}"/>
    <cellStyle name="40% - Accent3 4 2 4 19" xfId="45422" xr:uid="{00000000-0005-0000-0000-0000653E0000}"/>
    <cellStyle name="40% - Accent3 4 2 4 2" xfId="3343" xr:uid="{00000000-0005-0000-0000-0000663E0000}"/>
    <cellStyle name="40% - Accent3 4 2 4 2 2" xfId="18492" xr:uid="{00000000-0005-0000-0000-0000673E0000}"/>
    <cellStyle name="40% - Accent3 4 2 4 20" xfId="47105" xr:uid="{00000000-0005-0000-0000-0000683E0000}"/>
    <cellStyle name="40% - Accent3 4 2 4 21" xfId="48788" xr:uid="{00000000-0005-0000-0000-0000693E0000}"/>
    <cellStyle name="40% - Accent3 4 2 4 22" xfId="50471" xr:uid="{00000000-0005-0000-0000-00006A3E0000}"/>
    <cellStyle name="40% - Accent3 4 2 4 23" xfId="52154" xr:uid="{00000000-0005-0000-0000-00006B3E0000}"/>
    <cellStyle name="40% - Accent3 4 2 4 24" xfId="53837" xr:uid="{00000000-0005-0000-0000-00006C3E0000}"/>
    <cellStyle name="40% - Accent3 4 2 4 25" xfId="55520" xr:uid="{00000000-0005-0000-0000-00006D3E0000}"/>
    <cellStyle name="40% - Accent3 4 2 4 26" xfId="57203" xr:uid="{00000000-0005-0000-0000-00006E3E0000}"/>
    <cellStyle name="40% - Accent3 4 2 4 27" xfId="58886" xr:uid="{00000000-0005-0000-0000-00006F3E0000}"/>
    <cellStyle name="40% - Accent3 4 2 4 28" xfId="60569" xr:uid="{00000000-0005-0000-0000-0000703E0000}"/>
    <cellStyle name="40% - Accent3 4 2 4 29" xfId="62252" xr:uid="{00000000-0005-0000-0000-0000713E0000}"/>
    <cellStyle name="40% - Accent3 4 2 4 3" xfId="5027" xr:uid="{00000000-0005-0000-0000-0000723E0000}"/>
    <cellStyle name="40% - Accent3 4 2 4 3 2" xfId="20176" xr:uid="{00000000-0005-0000-0000-0000733E0000}"/>
    <cellStyle name="40% - Accent3 4 2 4 30" xfId="63935" xr:uid="{00000000-0005-0000-0000-0000743E0000}"/>
    <cellStyle name="40% - Accent3 4 2 4 4" xfId="6710" xr:uid="{00000000-0005-0000-0000-0000753E0000}"/>
    <cellStyle name="40% - Accent3 4 2 4 4 2" xfId="21859" xr:uid="{00000000-0005-0000-0000-0000763E0000}"/>
    <cellStyle name="40% - Accent3 4 2 4 5" xfId="8393" xr:uid="{00000000-0005-0000-0000-0000773E0000}"/>
    <cellStyle name="40% - Accent3 4 2 4 5 2" xfId="23542" xr:uid="{00000000-0005-0000-0000-0000783E0000}"/>
    <cellStyle name="40% - Accent3 4 2 4 6" xfId="10076" xr:uid="{00000000-0005-0000-0000-0000793E0000}"/>
    <cellStyle name="40% - Accent3 4 2 4 6 2" xfId="25225" xr:uid="{00000000-0005-0000-0000-00007A3E0000}"/>
    <cellStyle name="40% - Accent3 4 2 4 7" xfId="11759" xr:uid="{00000000-0005-0000-0000-00007B3E0000}"/>
    <cellStyle name="40% - Accent3 4 2 4 7 2" xfId="26908" xr:uid="{00000000-0005-0000-0000-00007C3E0000}"/>
    <cellStyle name="40% - Accent3 4 2 4 8" xfId="13443" xr:uid="{00000000-0005-0000-0000-00007D3E0000}"/>
    <cellStyle name="40% - Accent3 4 2 4 8 2" xfId="28592" xr:uid="{00000000-0005-0000-0000-00007E3E0000}"/>
    <cellStyle name="40% - Accent3 4 2 4 9" xfId="15126" xr:uid="{00000000-0005-0000-0000-00007F3E0000}"/>
    <cellStyle name="40% - Accent3 4 2 4 9 2" xfId="30275" xr:uid="{00000000-0005-0000-0000-0000803E0000}"/>
    <cellStyle name="40% - Accent3 4 2 5" xfId="2081" xr:uid="{00000000-0005-0000-0000-0000813E0000}"/>
    <cellStyle name="40% - Accent3 4 2 5 2" xfId="17230" xr:uid="{00000000-0005-0000-0000-0000823E0000}"/>
    <cellStyle name="40% - Accent3 4 2 6" xfId="3765" xr:uid="{00000000-0005-0000-0000-0000833E0000}"/>
    <cellStyle name="40% - Accent3 4 2 6 2" xfId="18914" xr:uid="{00000000-0005-0000-0000-0000843E0000}"/>
    <cellStyle name="40% - Accent3 4 2 7" xfId="5448" xr:uid="{00000000-0005-0000-0000-0000853E0000}"/>
    <cellStyle name="40% - Accent3 4 2 7 2" xfId="20597" xr:uid="{00000000-0005-0000-0000-0000863E0000}"/>
    <cellStyle name="40% - Accent3 4 2 8" xfId="7131" xr:uid="{00000000-0005-0000-0000-0000873E0000}"/>
    <cellStyle name="40% - Accent3 4 2 8 2" xfId="22280" xr:uid="{00000000-0005-0000-0000-0000883E0000}"/>
    <cellStyle name="40% - Accent3 4 2 9" xfId="8814" xr:uid="{00000000-0005-0000-0000-0000893E0000}"/>
    <cellStyle name="40% - Accent3 4 2 9 2" xfId="23963" xr:uid="{00000000-0005-0000-0000-00008A3E0000}"/>
    <cellStyle name="40% - Accent3 4 20" xfId="38901" xr:uid="{00000000-0005-0000-0000-00008B3E0000}"/>
    <cellStyle name="40% - Accent3 4 21" xfId="40584" xr:uid="{00000000-0005-0000-0000-00008C3E0000}"/>
    <cellStyle name="40% - Accent3 4 22" xfId="42267" xr:uid="{00000000-0005-0000-0000-00008D3E0000}"/>
    <cellStyle name="40% - Accent3 4 23" xfId="43950" xr:uid="{00000000-0005-0000-0000-00008E3E0000}"/>
    <cellStyle name="40% - Accent3 4 24" xfId="45633" xr:uid="{00000000-0005-0000-0000-00008F3E0000}"/>
    <cellStyle name="40% - Accent3 4 25" xfId="47316" xr:uid="{00000000-0005-0000-0000-0000903E0000}"/>
    <cellStyle name="40% - Accent3 4 26" xfId="48999" xr:uid="{00000000-0005-0000-0000-0000913E0000}"/>
    <cellStyle name="40% - Accent3 4 27" xfId="50682" xr:uid="{00000000-0005-0000-0000-0000923E0000}"/>
    <cellStyle name="40% - Accent3 4 28" xfId="52365" xr:uid="{00000000-0005-0000-0000-0000933E0000}"/>
    <cellStyle name="40% - Accent3 4 29" xfId="54048" xr:uid="{00000000-0005-0000-0000-0000943E0000}"/>
    <cellStyle name="40% - Accent3 4 3" xfId="608" xr:uid="{00000000-0005-0000-0000-0000953E0000}"/>
    <cellStyle name="40% - Accent3 4 3 10" xfId="15757" xr:uid="{00000000-0005-0000-0000-0000963E0000}"/>
    <cellStyle name="40% - Accent3 4 3 11" xfId="30906" xr:uid="{00000000-0005-0000-0000-0000973E0000}"/>
    <cellStyle name="40% - Accent3 4 3 12" xfId="32589" xr:uid="{00000000-0005-0000-0000-0000983E0000}"/>
    <cellStyle name="40% - Accent3 4 3 13" xfId="34272" xr:uid="{00000000-0005-0000-0000-0000993E0000}"/>
    <cellStyle name="40% - Accent3 4 3 14" xfId="35955" xr:uid="{00000000-0005-0000-0000-00009A3E0000}"/>
    <cellStyle name="40% - Accent3 4 3 15" xfId="37638" xr:uid="{00000000-0005-0000-0000-00009B3E0000}"/>
    <cellStyle name="40% - Accent3 4 3 16" xfId="39321" xr:uid="{00000000-0005-0000-0000-00009C3E0000}"/>
    <cellStyle name="40% - Accent3 4 3 17" xfId="41004" xr:uid="{00000000-0005-0000-0000-00009D3E0000}"/>
    <cellStyle name="40% - Accent3 4 3 18" xfId="42687" xr:uid="{00000000-0005-0000-0000-00009E3E0000}"/>
    <cellStyle name="40% - Accent3 4 3 19" xfId="44370" xr:uid="{00000000-0005-0000-0000-00009F3E0000}"/>
    <cellStyle name="40% - Accent3 4 3 2" xfId="2291" xr:uid="{00000000-0005-0000-0000-0000A03E0000}"/>
    <cellStyle name="40% - Accent3 4 3 2 2" xfId="17440" xr:uid="{00000000-0005-0000-0000-0000A13E0000}"/>
    <cellStyle name="40% - Accent3 4 3 20" xfId="46053" xr:uid="{00000000-0005-0000-0000-0000A23E0000}"/>
    <cellStyle name="40% - Accent3 4 3 21" xfId="47736" xr:uid="{00000000-0005-0000-0000-0000A33E0000}"/>
    <cellStyle name="40% - Accent3 4 3 22" xfId="49419" xr:uid="{00000000-0005-0000-0000-0000A43E0000}"/>
    <cellStyle name="40% - Accent3 4 3 23" xfId="51102" xr:uid="{00000000-0005-0000-0000-0000A53E0000}"/>
    <cellStyle name="40% - Accent3 4 3 24" xfId="52785" xr:uid="{00000000-0005-0000-0000-0000A63E0000}"/>
    <cellStyle name="40% - Accent3 4 3 25" xfId="54468" xr:uid="{00000000-0005-0000-0000-0000A73E0000}"/>
    <cellStyle name="40% - Accent3 4 3 26" xfId="56151" xr:uid="{00000000-0005-0000-0000-0000A83E0000}"/>
    <cellStyle name="40% - Accent3 4 3 27" xfId="57834" xr:uid="{00000000-0005-0000-0000-0000A93E0000}"/>
    <cellStyle name="40% - Accent3 4 3 28" xfId="59517" xr:uid="{00000000-0005-0000-0000-0000AA3E0000}"/>
    <cellStyle name="40% - Accent3 4 3 29" xfId="61200" xr:uid="{00000000-0005-0000-0000-0000AB3E0000}"/>
    <cellStyle name="40% - Accent3 4 3 3" xfId="3975" xr:uid="{00000000-0005-0000-0000-0000AC3E0000}"/>
    <cellStyle name="40% - Accent3 4 3 3 2" xfId="19124" xr:uid="{00000000-0005-0000-0000-0000AD3E0000}"/>
    <cellStyle name="40% - Accent3 4 3 30" xfId="62883" xr:uid="{00000000-0005-0000-0000-0000AE3E0000}"/>
    <cellStyle name="40% - Accent3 4 3 4" xfId="5658" xr:uid="{00000000-0005-0000-0000-0000AF3E0000}"/>
    <cellStyle name="40% - Accent3 4 3 4 2" xfId="20807" xr:uid="{00000000-0005-0000-0000-0000B03E0000}"/>
    <cellStyle name="40% - Accent3 4 3 5" xfId="7341" xr:uid="{00000000-0005-0000-0000-0000B13E0000}"/>
    <cellStyle name="40% - Accent3 4 3 5 2" xfId="22490" xr:uid="{00000000-0005-0000-0000-0000B23E0000}"/>
    <cellStyle name="40% - Accent3 4 3 6" xfId="9024" xr:uid="{00000000-0005-0000-0000-0000B33E0000}"/>
    <cellStyle name="40% - Accent3 4 3 6 2" xfId="24173" xr:uid="{00000000-0005-0000-0000-0000B43E0000}"/>
    <cellStyle name="40% - Accent3 4 3 7" xfId="10707" xr:uid="{00000000-0005-0000-0000-0000B53E0000}"/>
    <cellStyle name="40% - Accent3 4 3 7 2" xfId="25856" xr:uid="{00000000-0005-0000-0000-0000B63E0000}"/>
    <cellStyle name="40% - Accent3 4 3 8" xfId="12391" xr:uid="{00000000-0005-0000-0000-0000B73E0000}"/>
    <cellStyle name="40% - Accent3 4 3 8 2" xfId="27540" xr:uid="{00000000-0005-0000-0000-0000B83E0000}"/>
    <cellStyle name="40% - Accent3 4 3 9" xfId="14074" xr:uid="{00000000-0005-0000-0000-0000B93E0000}"/>
    <cellStyle name="40% - Accent3 4 3 9 2" xfId="29223" xr:uid="{00000000-0005-0000-0000-0000BA3E0000}"/>
    <cellStyle name="40% - Accent3 4 30" xfId="55731" xr:uid="{00000000-0005-0000-0000-0000BB3E0000}"/>
    <cellStyle name="40% - Accent3 4 31" xfId="57414" xr:uid="{00000000-0005-0000-0000-0000BC3E0000}"/>
    <cellStyle name="40% - Accent3 4 32" xfId="59097" xr:uid="{00000000-0005-0000-0000-0000BD3E0000}"/>
    <cellStyle name="40% - Accent3 4 33" xfId="60780" xr:uid="{00000000-0005-0000-0000-0000BE3E0000}"/>
    <cellStyle name="40% - Accent3 4 34" xfId="62463" xr:uid="{00000000-0005-0000-0000-0000BF3E0000}"/>
    <cellStyle name="40% - Accent3 4 4" xfId="1029" xr:uid="{00000000-0005-0000-0000-0000C03E0000}"/>
    <cellStyle name="40% - Accent3 4 4 10" xfId="16178" xr:uid="{00000000-0005-0000-0000-0000C13E0000}"/>
    <cellStyle name="40% - Accent3 4 4 11" xfId="31327" xr:uid="{00000000-0005-0000-0000-0000C23E0000}"/>
    <cellStyle name="40% - Accent3 4 4 12" xfId="33010" xr:uid="{00000000-0005-0000-0000-0000C33E0000}"/>
    <cellStyle name="40% - Accent3 4 4 13" xfId="34693" xr:uid="{00000000-0005-0000-0000-0000C43E0000}"/>
    <cellStyle name="40% - Accent3 4 4 14" xfId="36376" xr:uid="{00000000-0005-0000-0000-0000C53E0000}"/>
    <cellStyle name="40% - Accent3 4 4 15" xfId="38059" xr:uid="{00000000-0005-0000-0000-0000C63E0000}"/>
    <cellStyle name="40% - Accent3 4 4 16" xfId="39742" xr:uid="{00000000-0005-0000-0000-0000C73E0000}"/>
    <cellStyle name="40% - Accent3 4 4 17" xfId="41425" xr:uid="{00000000-0005-0000-0000-0000C83E0000}"/>
    <cellStyle name="40% - Accent3 4 4 18" xfId="43108" xr:uid="{00000000-0005-0000-0000-0000C93E0000}"/>
    <cellStyle name="40% - Accent3 4 4 19" xfId="44791" xr:uid="{00000000-0005-0000-0000-0000CA3E0000}"/>
    <cellStyle name="40% - Accent3 4 4 2" xfId="2712" xr:uid="{00000000-0005-0000-0000-0000CB3E0000}"/>
    <cellStyle name="40% - Accent3 4 4 2 2" xfId="17861" xr:uid="{00000000-0005-0000-0000-0000CC3E0000}"/>
    <cellStyle name="40% - Accent3 4 4 20" xfId="46474" xr:uid="{00000000-0005-0000-0000-0000CD3E0000}"/>
    <cellStyle name="40% - Accent3 4 4 21" xfId="48157" xr:uid="{00000000-0005-0000-0000-0000CE3E0000}"/>
    <cellStyle name="40% - Accent3 4 4 22" xfId="49840" xr:uid="{00000000-0005-0000-0000-0000CF3E0000}"/>
    <cellStyle name="40% - Accent3 4 4 23" xfId="51523" xr:uid="{00000000-0005-0000-0000-0000D03E0000}"/>
    <cellStyle name="40% - Accent3 4 4 24" xfId="53206" xr:uid="{00000000-0005-0000-0000-0000D13E0000}"/>
    <cellStyle name="40% - Accent3 4 4 25" xfId="54889" xr:uid="{00000000-0005-0000-0000-0000D23E0000}"/>
    <cellStyle name="40% - Accent3 4 4 26" xfId="56572" xr:uid="{00000000-0005-0000-0000-0000D33E0000}"/>
    <cellStyle name="40% - Accent3 4 4 27" xfId="58255" xr:uid="{00000000-0005-0000-0000-0000D43E0000}"/>
    <cellStyle name="40% - Accent3 4 4 28" xfId="59938" xr:uid="{00000000-0005-0000-0000-0000D53E0000}"/>
    <cellStyle name="40% - Accent3 4 4 29" xfId="61621" xr:uid="{00000000-0005-0000-0000-0000D63E0000}"/>
    <cellStyle name="40% - Accent3 4 4 3" xfId="4396" xr:uid="{00000000-0005-0000-0000-0000D73E0000}"/>
    <cellStyle name="40% - Accent3 4 4 3 2" xfId="19545" xr:uid="{00000000-0005-0000-0000-0000D83E0000}"/>
    <cellStyle name="40% - Accent3 4 4 30" xfId="63304" xr:uid="{00000000-0005-0000-0000-0000D93E0000}"/>
    <cellStyle name="40% - Accent3 4 4 4" xfId="6079" xr:uid="{00000000-0005-0000-0000-0000DA3E0000}"/>
    <cellStyle name="40% - Accent3 4 4 4 2" xfId="21228" xr:uid="{00000000-0005-0000-0000-0000DB3E0000}"/>
    <cellStyle name="40% - Accent3 4 4 5" xfId="7762" xr:uid="{00000000-0005-0000-0000-0000DC3E0000}"/>
    <cellStyle name="40% - Accent3 4 4 5 2" xfId="22911" xr:uid="{00000000-0005-0000-0000-0000DD3E0000}"/>
    <cellStyle name="40% - Accent3 4 4 6" xfId="9445" xr:uid="{00000000-0005-0000-0000-0000DE3E0000}"/>
    <cellStyle name="40% - Accent3 4 4 6 2" xfId="24594" xr:uid="{00000000-0005-0000-0000-0000DF3E0000}"/>
    <cellStyle name="40% - Accent3 4 4 7" xfId="11128" xr:uid="{00000000-0005-0000-0000-0000E03E0000}"/>
    <cellStyle name="40% - Accent3 4 4 7 2" xfId="26277" xr:uid="{00000000-0005-0000-0000-0000E13E0000}"/>
    <cellStyle name="40% - Accent3 4 4 8" xfId="12812" xr:uid="{00000000-0005-0000-0000-0000E23E0000}"/>
    <cellStyle name="40% - Accent3 4 4 8 2" xfId="27961" xr:uid="{00000000-0005-0000-0000-0000E33E0000}"/>
    <cellStyle name="40% - Accent3 4 4 9" xfId="14495" xr:uid="{00000000-0005-0000-0000-0000E43E0000}"/>
    <cellStyle name="40% - Accent3 4 4 9 2" xfId="29644" xr:uid="{00000000-0005-0000-0000-0000E53E0000}"/>
    <cellStyle name="40% - Accent3 4 5" xfId="1450" xr:uid="{00000000-0005-0000-0000-0000E63E0000}"/>
    <cellStyle name="40% - Accent3 4 5 10" xfId="16599" xr:uid="{00000000-0005-0000-0000-0000E73E0000}"/>
    <cellStyle name="40% - Accent3 4 5 11" xfId="31748" xr:uid="{00000000-0005-0000-0000-0000E83E0000}"/>
    <cellStyle name="40% - Accent3 4 5 12" xfId="33431" xr:uid="{00000000-0005-0000-0000-0000E93E0000}"/>
    <cellStyle name="40% - Accent3 4 5 13" xfId="35114" xr:uid="{00000000-0005-0000-0000-0000EA3E0000}"/>
    <cellStyle name="40% - Accent3 4 5 14" xfId="36797" xr:uid="{00000000-0005-0000-0000-0000EB3E0000}"/>
    <cellStyle name="40% - Accent3 4 5 15" xfId="38480" xr:uid="{00000000-0005-0000-0000-0000EC3E0000}"/>
    <cellStyle name="40% - Accent3 4 5 16" xfId="40163" xr:uid="{00000000-0005-0000-0000-0000ED3E0000}"/>
    <cellStyle name="40% - Accent3 4 5 17" xfId="41846" xr:uid="{00000000-0005-0000-0000-0000EE3E0000}"/>
    <cellStyle name="40% - Accent3 4 5 18" xfId="43529" xr:uid="{00000000-0005-0000-0000-0000EF3E0000}"/>
    <cellStyle name="40% - Accent3 4 5 19" xfId="45212" xr:uid="{00000000-0005-0000-0000-0000F03E0000}"/>
    <cellStyle name="40% - Accent3 4 5 2" xfId="3133" xr:uid="{00000000-0005-0000-0000-0000F13E0000}"/>
    <cellStyle name="40% - Accent3 4 5 2 2" xfId="18282" xr:uid="{00000000-0005-0000-0000-0000F23E0000}"/>
    <cellStyle name="40% - Accent3 4 5 20" xfId="46895" xr:uid="{00000000-0005-0000-0000-0000F33E0000}"/>
    <cellStyle name="40% - Accent3 4 5 21" xfId="48578" xr:uid="{00000000-0005-0000-0000-0000F43E0000}"/>
    <cellStyle name="40% - Accent3 4 5 22" xfId="50261" xr:uid="{00000000-0005-0000-0000-0000F53E0000}"/>
    <cellStyle name="40% - Accent3 4 5 23" xfId="51944" xr:uid="{00000000-0005-0000-0000-0000F63E0000}"/>
    <cellStyle name="40% - Accent3 4 5 24" xfId="53627" xr:uid="{00000000-0005-0000-0000-0000F73E0000}"/>
    <cellStyle name="40% - Accent3 4 5 25" xfId="55310" xr:uid="{00000000-0005-0000-0000-0000F83E0000}"/>
    <cellStyle name="40% - Accent3 4 5 26" xfId="56993" xr:uid="{00000000-0005-0000-0000-0000F93E0000}"/>
    <cellStyle name="40% - Accent3 4 5 27" xfId="58676" xr:uid="{00000000-0005-0000-0000-0000FA3E0000}"/>
    <cellStyle name="40% - Accent3 4 5 28" xfId="60359" xr:uid="{00000000-0005-0000-0000-0000FB3E0000}"/>
    <cellStyle name="40% - Accent3 4 5 29" xfId="62042" xr:uid="{00000000-0005-0000-0000-0000FC3E0000}"/>
    <cellStyle name="40% - Accent3 4 5 3" xfId="4817" xr:uid="{00000000-0005-0000-0000-0000FD3E0000}"/>
    <cellStyle name="40% - Accent3 4 5 3 2" xfId="19966" xr:uid="{00000000-0005-0000-0000-0000FE3E0000}"/>
    <cellStyle name="40% - Accent3 4 5 30" xfId="63725" xr:uid="{00000000-0005-0000-0000-0000FF3E0000}"/>
    <cellStyle name="40% - Accent3 4 5 4" xfId="6500" xr:uid="{00000000-0005-0000-0000-0000003F0000}"/>
    <cellStyle name="40% - Accent3 4 5 4 2" xfId="21649" xr:uid="{00000000-0005-0000-0000-0000013F0000}"/>
    <cellStyle name="40% - Accent3 4 5 5" xfId="8183" xr:uid="{00000000-0005-0000-0000-0000023F0000}"/>
    <cellStyle name="40% - Accent3 4 5 5 2" xfId="23332" xr:uid="{00000000-0005-0000-0000-0000033F0000}"/>
    <cellStyle name="40% - Accent3 4 5 6" xfId="9866" xr:uid="{00000000-0005-0000-0000-0000043F0000}"/>
    <cellStyle name="40% - Accent3 4 5 6 2" xfId="25015" xr:uid="{00000000-0005-0000-0000-0000053F0000}"/>
    <cellStyle name="40% - Accent3 4 5 7" xfId="11549" xr:uid="{00000000-0005-0000-0000-0000063F0000}"/>
    <cellStyle name="40% - Accent3 4 5 7 2" xfId="26698" xr:uid="{00000000-0005-0000-0000-0000073F0000}"/>
    <cellStyle name="40% - Accent3 4 5 8" xfId="13233" xr:uid="{00000000-0005-0000-0000-0000083F0000}"/>
    <cellStyle name="40% - Accent3 4 5 8 2" xfId="28382" xr:uid="{00000000-0005-0000-0000-0000093F0000}"/>
    <cellStyle name="40% - Accent3 4 5 9" xfId="14916" xr:uid="{00000000-0005-0000-0000-00000A3F0000}"/>
    <cellStyle name="40% - Accent3 4 5 9 2" xfId="30065" xr:uid="{00000000-0005-0000-0000-00000B3F0000}"/>
    <cellStyle name="40% - Accent3 4 6" xfId="1871" xr:uid="{00000000-0005-0000-0000-00000C3F0000}"/>
    <cellStyle name="40% - Accent3 4 6 2" xfId="17020" xr:uid="{00000000-0005-0000-0000-00000D3F0000}"/>
    <cellStyle name="40% - Accent3 4 7" xfId="3555" xr:uid="{00000000-0005-0000-0000-00000E3F0000}"/>
    <cellStyle name="40% - Accent3 4 7 2" xfId="18704" xr:uid="{00000000-0005-0000-0000-00000F3F0000}"/>
    <cellStyle name="40% - Accent3 4 8" xfId="5238" xr:uid="{00000000-0005-0000-0000-0000103F0000}"/>
    <cellStyle name="40% - Accent3 4 8 2" xfId="20387" xr:uid="{00000000-0005-0000-0000-0000113F0000}"/>
    <cellStyle name="40% - Accent3 4 9" xfId="6921" xr:uid="{00000000-0005-0000-0000-0000123F0000}"/>
    <cellStyle name="40% - Accent3 4 9 2" xfId="22070" xr:uid="{00000000-0005-0000-0000-0000133F0000}"/>
    <cellStyle name="40% - Accent3 5" xfId="293" xr:uid="{00000000-0005-0000-0000-0000143F0000}"/>
    <cellStyle name="40% - Accent3 5 10" xfId="10392" xr:uid="{00000000-0005-0000-0000-0000153F0000}"/>
    <cellStyle name="40% - Accent3 5 10 2" xfId="25541" xr:uid="{00000000-0005-0000-0000-0000163F0000}"/>
    <cellStyle name="40% - Accent3 5 11" xfId="12076" xr:uid="{00000000-0005-0000-0000-0000173F0000}"/>
    <cellStyle name="40% - Accent3 5 11 2" xfId="27225" xr:uid="{00000000-0005-0000-0000-0000183F0000}"/>
    <cellStyle name="40% - Accent3 5 12" xfId="13759" xr:uid="{00000000-0005-0000-0000-0000193F0000}"/>
    <cellStyle name="40% - Accent3 5 12 2" xfId="28908" xr:uid="{00000000-0005-0000-0000-00001A3F0000}"/>
    <cellStyle name="40% - Accent3 5 13" xfId="15442" xr:uid="{00000000-0005-0000-0000-00001B3F0000}"/>
    <cellStyle name="40% - Accent3 5 14" xfId="30591" xr:uid="{00000000-0005-0000-0000-00001C3F0000}"/>
    <cellStyle name="40% - Accent3 5 15" xfId="32274" xr:uid="{00000000-0005-0000-0000-00001D3F0000}"/>
    <cellStyle name="40% - Accent3 5 16" xfId="33957" xr:uid="{00000000-0005-0000-0000-00001E3F0000}"/>
    <cellStyle name="40% - Accent3 5 17" xfId="35640" xr:uid="{00000000-0005-0000-0000-00001F3F0000}"/>
    <cellStyle name="40% - Accent3 5 18" xfId="37323" xr:uid="{00000000-0005-0000-0000-0000203F0000}"/>
    <cellStyle name="40% - Accent3 5 19" xfId="39006" xr:uid="{00000000-0005-0000-0000-0000213F0000}"/>
    <cellStyle name="40% - Accent3 5 2" xfId="713" xr:uid="{00000000-0005-0000-0000-0000223F0000}"/>
    <cellStyle name="40% - Accent3 5 2 10" xfId="15862" xr:uid="{00000000-0005-0000-0000-0000233F0000}"/>
    <cellStyle name="40% - Accent3 5 2 11" xfId="31011" xr:uid="{00000000-0005-0000-0000-0000243F0000}"/>
    <cellStyle name="40% - Accent3 5 2 12" xfId="32694" xr:uid="{00000000-0005-0000-0000-0000253F0000}"/>
    <cellStyle name="40% - Accent3 5 2 13" xfId="34377" xr:uid="{00000000-0005-0000-0000-0000263F0000}"/>
    <cellStyle name="40% - Accent3 5 2 14" xfId="36060" xr:uid="{00000000-0005-0000-0000-0000273F0000}"/>
    <cellStyle name="40% - Accent3 5 2 15" xfId="37743" xr:uid="{00000000-0005-0000-0000-0000283F0000}"/>
    <cellStyle name="40% - Accent3 5 2 16" xfId="39426" xr:uid="{00000000-0005-0000-0000-0000293F0000}"/>
    <cellStyle name="40% - Accent3 5 2 17" xfId="41109" xr:uid="{00000000-0005-0000-0000-00002A3F0000}"/>
    <cellStyle name="40% - Accent3 5 2 18" xfId="42792" xr:uid="{00000000-0005-0000-0000-00002B3F0000}"/>
    <cellStyle name="40% - Accent3 5 2 19" xfId="44475" xr:uid="{00000000-0005-0000-0000-00002C3F0000}"/>
    <cellStyle name="40% - Accent3 5 2 2" xfId="2396" xr:uid="{00000000-0005-0000-0000-00002D3F0000}"/>
    <cellStyle name="40% - Accent3 5 2 2 2" xfId="17545" xr:uid="{00000000-0005-0000-0000-00002E3F0000}"/>
    <cellStyle name="40% - Accent3 5 2 20" xfId="46158" xr:uid="{00000000-0005-0000-0000-00002F3F0000}"/>
    <cellStyle name="40% - Accent3 5 2 21" xfId="47841" xr:uid="{00000000-0005-0000-0000-0000303F0000}"/>
    <cellStyle name="40% - Accent3 5 2 22" xfId="49524" xr:uid="{00000000-0005-0000-0000-0000313F0000}"/>
    <cellStyle name="40% - Accent3 5 2 23" xfId="51207" xr:uid="{00000000-0005-0000-0000-0000323F0000}"/>
    <cellStyle name="40% - Accent3 5 2 24" xfId="52890" xr:uid="{00000000-0005-0000-0000-0000333F0000}"/>
    <cellStyle name="40% - Accent3 5 2 25" xfId="54573" xr:uid="{00000000-0005-0000-0000-0000343F0000}"/>
    <cellStyle name="40% - Accent3 5 2 26" xfId="56256" xr:uid="{00000000-0005-0000-0000-0000353F0000}"/>
    <cellStyle name="40% - Accent3 5 2 27" xfId="57939" xr:uid="{00000000-0005-0000-0000-0000363F0000}"/>
    <cellStyle name="40% - Accent3 5 2 28" xfId="59622" xr:uid="{00000000-0005-0000-0000-0000373F0000}"/>
    <cellStyle name="40% - Accent3 5 2 29" xfId="61305" xr:uid="{00000000-0005-0000-0000-0000383F0000}"/>
    <cellStyle name="40% - Accent3 5 2 3" xfId="4080" xr:uid="{00000000-0005-0000-0000-0000393F0000}"/>
    <cellStyle name="40% - Accent3 5 2 3 2" xfId="19229" xr:uid="{00000000-0005-0000-0000-00003A3F0000}"/>
    <cellStyle name="40% - Accent3 5 2 30" xfId="62988" xr:uid="{00000000-0005-0000-0000-00003B3F0000}"/>
    <cellStyle name="40% - Accent3 5 2 4" xfId="5763" xr:uid="{00000000-0005-0000-0000-00003C3F0000}"/>
    <cellStyle name="40% - Accent3 5 2 4 2" xfId="20912" xr:uid="{00000000-0005-0000-0000-00003D3F0000}"/>
    <cellStyle name="40% - Accent3 5 2 5" xfId="7446" xr:uid="{00000000-0005-0000-0000-00003E3F0000}"/>
    <cellStyle name="40% - Accent3 5 2 5 2" xfId="22595" xr:uid="{00000000-0005-0000-0000-00003F3F0000}"/>
    <cellStyle name="40% - Accent3 5 2 6" xfId="9129" xr:uid="{00000000-0005-0000-0000-0000403F0000}"/>
    <cellStyle name="40% - Accent3 5 2 6 2" xfId="24278" xr:uid="{00000000-0005-0000-0000-0000413F0000}"/>
    <cellStyle name="40% - Accent3 5 2 7" xfId="10812" xr:uid="{00000000-0005-0000-0000-0000423F0000}"/>
    <cellStyle name="40% - Accent3 5 2 7 2" xfId="25961" xr:uid="{00000000-0005-0000-0000-0000433F0000}"/>
    <cellStyle name="40% - Accent3 5 2 8" xfId="12496" xr:uid="{00000000-0005-0000-0000-0000443F0000}"/>
    <cellStyle name="40% - Accent3 5 2 8 2" xfId="27645" xr:uid="{00000000-0005-0000-0000-0000453F0000}"/>
    <cellStyle name="40% - Accent3 5 2 9" xfId="14179" xr:uid="{00000000-0005-0000-0000-0000463F0000}"/>
    <cellStyle name="40% - Accent3 5 2 9 2" xfId="29328" xr:uid="{00000000-0005-0000-0000-0000473F0000}"/>
    <cellStyle name="40% - Accent3 5 20" xfId="40689" xr:uid="{00000000-0005-0000-0000-0000483F0000}"/>
    <cellStyle name="40% - Accent3 5 21" xfId="42372" xr:uid="{00000000-0005-0000-0000-0000493F0000}"/>
    <cellStyle name="40% - Accent3 5 22" xfId="44055" xr:uid="{00000000-0005-0000-0000-00004A3F0000}"/>
    <cellStyle name="40% - Accent3 5 23" xfId="45738" xr:uid="{00000000-0005-0000-0000-00004B3F0000}"/>
    <cellStyle name="40% - Accent3 5 24" xfId="47421" xr:uid="{00000000-0005-0000-0000-00004C3F0000}"/>
    <cellStyle name="40% - Accent3 5 25" xfId="49104" xr:uid="{00000000-0005-0000-0000-00004D3F0000}"/>
    <cellStyle name="40% - Accent3 5 26" xfId="50787" xr:uid="{00000000-0005-0000-0000-00004E3F0000}"/>
    <cellStyle name="40% - Accent3 5 27" xfId="52470" xr:uid="{00000000-0005-0000-0000-00004F3F0000}"/>
    <cellStyle name="40% - Accent3 5 28" xfId="54153" xr:uid="{00000000-0005-0000-0000-0000503F0000}"/>
    <cellStyle name="40% - Accent3 5 29" xfId="55836" xr:uid="{00000000-0005-0000-0000-0000513F0000}"/>
    <cellStyle name="40% - Accent3 5 3" xfId="1134" xr:uid="{00000000-0005-0000-0000-0000523F0000}"/>
    <cellStyle name="40% - Accent3 5 3 10" xfId="16283" xr:uid="{00000000-0005-0000-0000-0000533F0000}"/>
    <cellStyle name="40% - Accent3 5 3 11" xfId="31432" xr:uid="{00000000-0005-0000-0000-0000543F0000}"/>
    <cellStyle name="40% - Accent3 5 3 12" xfId="33115" xr:uid="{00000000-0005-0000-0000-0000553F0000}"/>
    <cellStyle name="40% - Accent3 5 3 13" xfId="34798" xr:uid="{00000000-0005-0000-0000-0000563F0000}"/>
    <cellStyle name="40% - Accent3 5 3 14" xfId="36481" xr:uid="{00000000-0005-0000-0000-0000573F0000}"/>
    <cellStyle name="40% - Accent3 5 3 15" xfId="38164" xr:uid="{00000000-0005-0000-0000-0000583F0000}"/>
    <cellStyle name="40% - Accent3 5 3 16" xfId="39847" xr:uid="{00000000-0005-0000-0000-0000593F0000}"/>
    <cellStyle name="40% - Accent3 5 3 17" xfId="41530" xr:uid="{00000000-0005-0000-0000-00005A3F0000}"/>
    <cellStyle name="40% - Accent3 5 3 18" xfId="43213" xr:uid="{00000000-0005-0000-0000-00005B3F0000}"/>
    <cellStyle name="40% - Accent3 5 3 19" xfId="44896" xr:uid="{00000000-0005-0000-0000-00005C3F0000}"/>
    <cellStyle name="40% - Accent3 5 3 2" xfId="2817" xr:uid="{00000000-0005-0000-0000-00005D3F0000}"/>
    <cellStyle name="40% - Accent3 5 3 2 2" xfId="17966" xr:uid="{00000000-0005-0000-0000-00005E3F0000}"/>
    <cellStyle name="40% - Accent3 5 3 20" xfId="46579" xr:uid="{00000000-0005-0000-0000-00005F3F0000}"/>
    <cellStyle name="40% - Accent3 5 3 21" xfId="48262" xr:uid="{00000000-0005-0000-0000-0000603F0000}"/>
    <cellStyle name="40% - Accent3 5 3 22" xfId="49945" xr:uid="{00000000-0005-0000-0000-0000613F0000}"/>
    <cellStyle name="40% - Accent3 5 3 23" xfId="51628" xr:uid="{00000000-0005-0000-0000-0000623F0000}"/>
    <cellStyle name="40% - Accent3 5 3 24" xfId="53311" xr:uid="{00000000-0005-0000-0000-0000633F0000}"/>
    <cellStyle name="40% - Accent3 5 3 25" xfId="54994" xr:uid="{00000000-0005-0000-0000-0000643F0000}"/>
    <cellStyle name="40% - Accent3 5 3 26" xfId="56677" xr:uid="{00000000-0005-0000-0000-0000653F0000}"/>
    <cellStyle name="40% - Accent3 5 3 27" xfId="58360" xr:uid="{00000000-0005-0000-0000-0000663F0000}"/>
    <cellStyle name="40% - Accent3 5 3 28" xfId="60043" xr:uid="{00000000-0005-0000-0000-0000673F0000}"/>
    <cellStyle name="40% - Accent3 5 3 29" xfId="61726" xr:uid="{00000000-0005-0000-0000-0000683F0000}"/>
    <cellStyle name="40% - Accent3 5 3 3" xfId="4501" xr:uid="{00000000-0005-0000-0000-0000693F0000}"/>
    <cellStyle name="40% - Accent3 5 3 3 2" xfId="19650" xr:uid="{00000000-0005-0000-0000-00006A3F0000}"/>
    <cellStyle name="40% - Accent3 5 3 30" xfId="63409" xr:uid="{00000000-0005-0000-0000-00006B3F0000}"/>
    <cellStyle name="40% - Accent3 5 3 4" xfId="6184" xr:uid="{00000000-0005-0000-0000-00006C3F0000}"/>
    <cellStyle name="40% - Accent3 5 3 4 2" xfId="21333" xr:uid="{00000000-0005-0000-0000-00006D3F0000}"/>
    <cellStyle name="40% - Accent3 5 3 5" xfId="7867" xr:uid="{00000000-0005-0000-0000-00006E3F0000}"/>
    <cellStyle name="40% - Accent3 5 3 5 2" xfId="23016" xr:uid="{00000000-0005-0000-0000-00006F3F0000}"/>
    <cellStyle name="40% - Accent3 5 3 6" xfId="9550" xr:uid="{00000000-0005-0000-0000-0000703F0000}"/>
    <cellStyle name="40% - Accent3 5 3 6 2" xfId="24699" xr:uid="{00000000-0005-0000-0000-0000713F0000}"/>
    <cellStyle name="40% - Accent3 5 3 7" xfId="11233" xr:uid="{00000000-0005-0000-0000-0000723F0000}"/>
    <cellStyle name="40% - Accent3 5 3 7 2" xfId="26382" xr:uid="{00000000-0005-0000-0000-0000733F0000}"/>
    <cellStyle name="40% - Accent3 5 3 8" xfId="12917" xr:uid="{00000000-0005-0000-0000-0000743F0000}"/>
    <cellStyle name="40% - Accent3 5 3 8 2" xfId="28066" xr:uid="{00000000-0005-0000-0000-0000753F0000}"/>
    <cellStyle name="40% - Accent3 5 3 9" xfId="14600" xr:uid="{00000000-0005-0000-0000-0000763F0000}"/>
    <cellStyle name="40% - Accent3 5 3 9 2" xfId="29749" xr:uid="{00000000-0005-0000-0000-0000773F0000}"/>
    <cellStyle name="40% - Accent3 5 30" xfId="57519" xr:uid="{00000000-0005-0000-0000-0000783F0000}"/>
    <cellStyle name="40% - Accent3 5 31" xfId="59202" xr:uid="{00000000-0005-0000-0000-0000793F0000}"/>
    <cellStyle name="40% - Accent3 5 32" xfId="60885" xr:uid="{00000000-0005-0000-0000-00007A3F0000}"/>
    <cellStyle name="40% - Accent3 5 33" xfId="62568" xr:uid="{00000000-0005-0000-0000-00007B3F0000}"/>
    <cellStyle name="40% - Accent3 5 4" xfId="1555" xr:uid="{00000000-0005-0000-0000-00007C3F0000}"/>
    <cellStyle name="40% - Accent3 5 4 10" xfId="16704" xr:uid="{00000000-0005-0000-0000-00007D3F0000}"/>
    <cellStyle name="40% - Accent3 5 4 11" xfId="31853" xr:uid="{00000000-0005-0000-0000-00007E3F0000}"/>
    <cellStyle name="40% - Accent3 5 4 12" xfId="33536" xr:uid="{00000000-0005-0000-0000-00007F3F0000}"/>
    <cellStyle name="40% - Accent3 5 4 13" xfId="35219" xr:uid="{00000000-0005-0000-0000-0000803F0000}"/>
    <cellStyle name="40% - Accent3 5 4 14" xfId="36902" xr:uid="{00000000-0005-0000-0000-0000813F0000}"/>
    <cellStyle name="40% - Accent3 5 4 15" xfId="38585" xr:uid="{00000000-0005-0000-0000-0000823F0000}"/>
    <cellStyle name="40% - Accent3 5 4 16" xfId="40268" xr:uid="{00000000-0005-0000-0000-0000833F0000}"/>
    <cellStyle name="40% - Accent3 5 4 17" xfId="41951" xr:uid="{00000000-0005-0000-0000-0000843F0000}"/>
    <cellStyle name="40% - Accent3 5 4 18" xfId="43634" xr:uid="{00000000-0005-0000-0000-0000853F0000}"/>
    <cellStyle name="40% - Accent3 5 4 19" xfId="45317" xr:uid="{00000000-0005-0000-0000-0000863F0000}"/>
    <cellStyle name="40% - Accent3 5 4 2" xfId="3238" xr:uid="{00000000-0005-0000-0000-0000873F0000}"/>
    <cellStyle name="40% - Accent3 5 4 2 2" xfId="18387" xr:uid="{00000000-0005-0000-0000-0000883F0000}"/>
    <cellStyle name="40% - Accent3 5 4 20" xfId="47000" xr:uid="{00000000-0005-0000-0000-0000893F0000}"/>
    <cellStyle name="40% - Accent3 5 4 21" xfId="48683" xr:uid="{00000000-0005-0000-0000-00008A3F0000}"/>
    <cellStyle name="40% - Accent3 5 4 22" xfId="50366" xr:uid="{00000000-0005-0000-0000-00008B3F0000}"/>
    <cellStyle name="40% - Accent3 5 4 23" xfId="52049" xr:uid="{00000000-0005-0000-0000-00008C3F0000}"/>
    <cellStyle name="40% - Accent3 5 4 24" xfId="53732" xr:uid="{00000000-0005-0000-0000-00008D3F0000}"/>
    <cellStyle name="40% - Accent3 5 4 25" xfId="55415" xr:uid="{00000000-0005-0000-0000-00008E3F0000}"/>
    <cellStyle name="40% - Accent3 5 4 26" xfId="57098" xr:uid="{00000000-0005-0000-0000-00008F3F0000}"/>
    <cellStyle name="40% - Accent3 5 4 27" xfId="58781" xr:uid="{00000000-0005-0000-0000-0000903F0000}"/>
    <cellStyle name="40% - Accent3 5 4 28" xfId="60464" xr:uid="{00000000-0005-0000-0000-0000913F0000}"/>
    <cellStyle name="40% - Accent3 5 4 29" xfId="62147" xr:uid="{00000000-0005-0000-0000-0000923F0000}"/>
    <cellStyle name="40% - Accent3 5 4 3" xfId="4922" xr:uid="{00000000-0005-0000-0000-0000933F0000}"/>
    <cellStyle name="40% - Accent3 5 4 3 2" xfId="20071" xr:uid="{00000000-0005-0000-0000-0000943F0000}"/>
    <cellStyle name="40% - Accent3 5 4 30" xfId="63830" xr:uid="{00000000-0005-0000-0000-0000953F0000}"/>
    <cellStyle name="40% - Accent3 5 4 4" xfId="6605" xr:uid="{00000000-0005-0000-0000-0000963F0000}"/>
    <cellStyle name="40% - Accent3 5 4 4 2" xfId="21754" xr:uid="{00000000-0005-0000-0000-0000973F0000}"/>
    <cellStyle name="40% - Accent3 5 4 5" xfId="8288" xr:uid="{00000000-0005-0000-0000-0000983F0000}"/>
    <cellStyle name="40% - Accent3 5 4 5 2" xfId="23437" xr:uid="{00000000-0005-0000-0000-0000993F0000}"/>
    <cellStyle name="40% - Accent3 5 4 6" xfId="9971" xr:uid="{00000000-0005-0000-0000-00009A3F0000}"/>
    <cellStyle name="40% - Accent3 5 4 6 2" xfId="25120" xr:uid="{00000000-0005-0000-0000-00009B3F0000}"/>
    <cellStyle name="40% - Accent3 5 4 7" xfId="11654" xr:uid="{00000000-0005-0000-0000-00009C3F0000}"/>
    <cellStyle name="40% - Accent3 5 4 7 2" xfId="26803" xr:uid="{00000000-0005-0000-0000-00009D3F0000}"/>
    <cellStyle name="40% - Accent3 5 4 8" xfId="13338" xr:uid="{00000000-0005-0000-0000-00009E3F0000}"/>
    <cellStyle name="40% - Accent3 5 4 8 2" xfId="28487" xr:uid="{00000000-0005-0000-0000-00009F3F0000}"/>
    <cellStyle name="40% - Accent3 5 4 9" xfId="15021" xr:uid="{00000000-0005-0000-0000-0000A03F0000}"/>
    <cellStyle name="40% - Accent3 5 4 9 2" xfId="30170" xr:uid="{00000000-0005-0000-0000-0000A13F0000}"/>
    <cellStyle name="40% - Accent3 5 5" xfId="1976" xr:uid="{00000000-0005-0000-0000-0000A23F0000}"/>
    <cellStyle name="40% - Accent3 5 5 2" xfId="17125" xr:uid="{00000000-0005-0000-0000-0000A33F0000}"/>
    <cellStyle name="40% - Accent3 5 6" xfId="3660" xr:uid="{00000000-0005-0000-0000-0000A43F0000}"/>
    <cellStyle name="40% - Accent3 5 6 2" xfId="18809" xr:uid="{00000000-0005-0000-0000-0000A53F0000}"/>
    <cellStyle name="40% - Accent3 5 7" xfId="5343" xr:uid="{00000000-0005-0000-0000-0000A63F0000}"/>
    <cellStyle name="40% - Accent3 5 7 2" xfId="20492" xr:uid="{00000000-0005-0000-0000-0000A73F0000}"/>
    <cellStyle name="40% - Accent3 5 8" xfId="7026" xr:uid="{00000000-0005-0000-0000-0000A83F0000}"/>
    <cellStyle name="40% - Accent3 5 8 2" xfId="22175" xr:uid="{00000000-0005-0000-0000-0000A93F0000}"/>
    <cellStyle name="40% - Accent3 5 9" xfId="8709" xr:uid="{00000000-0005-0000-0000-0000AA3F0000}"/>
    <cellStyle name="40% - Accent3 5 9 2" xfId="23858" xr:uid="{00000000-0005-0000-0000-0000AB3F0000}"/>
    <cellStyle name="40% - Accent3 6" xfId="503" xr:uid="{00000000-0005-0000-0000-0000AC3F0000}"/>
    <cellStyle name="40% - Accent3 6 10" xfId="15652" xr:uid="{00000000-0005-0000-0000-0000AD3F0000}"/>
    <cellStyle name="40% - Accent3 6 11" xfId="30801" xr:uid="{00000000-0005-0000-0000-0000AE3F0000}"/>
    <cellStyle name="40% - Accent3 6 12" xfId="32484" xr:uid="{00000000-0005-0000-0000-0000AF3F0000}"/>
    <cellStyle name="40% - Accent3 6 13" xfId="34167" xr:uid="{00000000-0005-0000-0000-0000B03F0000}"/>
    <cellStyle name="40% - Accent3 6 14" xfId="35850" xr:uid="{00000000-0005-0000-0000-0000B13F0000}"/>
    <cellStyle name="40% - Accent3 6 15" xfId="37533" xr:uid="{00000000-0005-0000-0000-0000B23F0000}"/>
    <cellStyle name="40% - Accent3 6 16" xfId="39216" xr:uid="{00000000-0005-0000-0000-0000B33F0000}"/>
    <cellStyle name="40% - Accent3 6 17" xfId="40899" xr:uid="{00000000-0005-0000-0000-0000B43F0000}"/>
    <cellStyle name="40% - Accent3 6 18" xfId="42582" xr:uid="{00000000-0005-0000-0000-0000B53F0000}"/>
    <cellStyle name="40% - Accent3 6 19" xfId="44265" xr:uid="{00000000-0005-0000-0000-0000B63F0000}"/>
    <cellStyle name="40% - Accent3 6 2" xfId="2186" xr:uid="{00000000-0005-0000-0000-0000B73F0000}"/>
    <cellStyle name="40% - Accent3 6 2 2" xfId="17335" xr:uid="{00000000-0005-0000-0000-0000B83F0000}"/>
    <cellStyle name="40% - Accent3 6 20" xfId="45948" xr:uid="{00000000-0005-0000-0000-0000B93F0000}"/>
    <cellStyle name="40% - Accent3 6 21" xfId="47631" xr:uid="{00000000-0005-0000-0000-0000BA3F0000}"/>
    <cellStyle name="40% - Accent3 6 22" xfId="49314" xr:uid="{00000000-0005-0000-0000-0000BB3F0000}"/>
    <cellStyle name="40% - Accent3 6 23" xfId="50997" xr:uid="{00000000-0005-0000-0000-0000BC3F0000}"/>
    <cellStyle name="40% - Accent3 6 24" xfId="52680" xr:uid="{00000000-0005-0000-0000-0000BD3F0000}"/>
    <cellStyle name="40% - Accent3 6 25" xfId="54363" xr:uid="{00000000-0005-0000-0000-0000BE3F0000}"/>
    <cellStyle name="40% - Accent3 6 26" xfId="56046" xr:uid="{00000000-0005-0000-0000-0000BF3F0000}"/>
    <cellStyle name="40% - Accent3 6 27" xfId="57729" xr:uid="{00000000-0005-0000-0000-0000C03F0000}"/>
    <cellStyle name="40% - Accent3 6 28" xfId="59412" xr:uid="{00000000-0005-0000-0000-0000C13F0000}"/>
    <cellStyle name="40% - Accent3 6 29" xfId="61095" xr:uid="{00000000-0005-0000-0000-0000C23F0000}"/>
    <cellStyle name="40% - Accent3 6 3" xfId="3870" xr:uid="{00000000-0005-0000-0000-0000C33F0000}"/>
    <cellStyle name="40% - Accent3 6 3 2" xfId="19019" xr:uid="{00000000-0005-0000-0000-0000C43F0000}"/>
    <cellStyle name="40% - Accent3 6 30" xfId="62778" xr:uid="{00000000-0005-0000-0000-0000C53F0000}"/>
    <cellStyle name="40% - Accent3 6 4" xfId="5553" xr:uid="{00000000-0005-0000-0000-0000C63F0000}"/>
    <cellStyle name="40% - Accent3 6 4 2" xfId="20702" xr:uid="{00000000-0005-0000-0000-0000C73F0000}"/>
    <cellStyle name="40% - Accent3 6 5" xfId="7236" xr:uid="{00000000-0005-0000-0000-0000C83F0000}"/>
    <cellStyle name="40% - Accent3 6 5 2" xfId="22385" xr:uid="{00000000-0005-0000-0000-0000C93F0000}"/>
    <cellStyle name="40% - Accent3 6 6" xfId="8919" xr:uid="{00000000-0005-0000-0000-0000CA3F0000}"/>
    <cellStyle name="40% - Accent3 6 6 2" xfId="24068" xr:uid="{00000000-0005-0000-0000-0000CB3F0000}"/>
    <cellStyle name="40% - Accent3 6 7" xfId="10602" xr:uid="{00000000-0005-0000-0000-0000CC3F0000}"/>
    <cellStyle name="40% - Accent3 6 7 2" xfId="25751" xr:uid="{00000000-0005-0000-0000-0000CD3F0000}"/>
    <cellStyle name="40% - Accent3 6 8" xfId="12286" xr:uid="{00000000-0005-0000-0000-0000CE3F0000}"/>
    <cellStyle name="40% - Accent3 6 8 2" xfId="27435" xr:uid="{00000000-0005-0000-0000-0000CF3F0000}"/>
    <cellStyle name="40% - Accent3 6 9" xfId="13969" xr:uid="{00000000-0005-0000-0000-0000D03F0000}"/>
    <cellStyle name="40% - Accent3 6 9 2" xfId="29118" xr:uid="{00000000-0005-0000-0000-0000D13F0000}"/>
    <cellStyle name="40% - Accent3 7" xfId="924" xr:uid="{00000000-0005-0000-0000-0000D23F0000}"/>
    <cellStyle name="40% - Accent3 7 10" xfId="16073" xr:uid="{00000000-0005-0000-0000-0000D33F0000}"/>
    <cellStyle name="40% - Accent3 7 11" xfId="31222" xr:uid="{00000000-0005-0000-0000-0000D43F0000}"/>
    <cellStyle name="40% - Accent3 7 12" xfId="32905" xr:uid="{00000000-0005-0000-0000-0000D53F0000}"/>
    <cellStyle name="40% - Accent3 7 13" xfId="34588" xr:uid="{00000000-0005-0000-0000-0000D63F0000}"/>
    <cellStyle name="40% - Accent3 7 14" xfId="36271" xr:uid="{00000000-0005-0000-0000-0000D73F0000}"/>
    <cellStyle name="40% - Accent3 7 15" xfId="37954" xr:uid="{00000000-0005-0000-0000-0000D83F0000}"/>
    <cellStyle name="40% - Accent3 7 16" xfId="39637" xr:uid="{00000000-0005-0000-0000-0000D93F0000}"/>
    <cellStyle name="40% - Accent3 7 17" xfId="41320" xr:uid="{00000000-0005-0000-0000-0000DA3F0000}"/>
    <cellStyle name="40% - Accent3 7 18" xfId="43003" xr:uid="{00000000-0005-0000-0000-0000DB3F0000}"/>
    <cellStyle name="40% - Accent3 7 19" xfId="44686" xr:uid="{00000000-0005-0000-0000-0000DC3F0000}"/>
    <cellStyle name="40% - Accent3 7 2" xfId="2607" xr:uid="{00000000-0005-0000-0000-0000DD3F0000}"/>
    <cellStyle name="40% - Accent3 7 2 2" xfId="17756" xr:uid="{00000000-0005-0000-0000-0000DE3F0000}"/>
    <cellStyle name="40% - Accent3 7 20" xfId="46369" xr:uid="{00000000-0005-0000-0000-0000DF3F0000}"/>
    <cellStyle name="40% - Accent3 7 21" xfId="48052" xr:uid="{00000000-0005-0000-0000-0000E03F0000}"/>
    <cellStyle name="40% - Accent3 7 22" xfId="49735" xr:uid="{00000000-0005-0000-0000-0000E13F0000}"/>
    <cellStyle name="40% - Accent3 7 23" xfId="51418" xr:uid="{00000000-0005-0000-0000-0000E23F0000}"/>
    <cellStyle name="40% - Accent3 7 24" xfId="53101" xr:uid="{00000000-0005-0000-0000-0000E33F0000}"/>
    <cellStyle name="40% - Accent3 7 25" xfId="54784" xr:uid="{00000000-0005-0000-0000-0000E43F0000}"/>
    <cellStyle name="40% - Accent3 7 26" xfId="56467" xr:uid="{00000000-0005-0000-0000-0000E53F0000}"/>
    <cellStyle name="40% - Accent3 7 27" xfId="58150" xr:uid="{00000000-0005-0000-0000-0000E63F0000}"/>
    <cellStyle name="40% - Accent3 7 28" xfId="59833" xr:uid="{00000000-0005-0000-0000-0000E73F0000}"/>
    <cellStyle name="40% - Accent3 7 29" xfId="61516" xr:uid="{00000000-0005-0000-0000-0000E83F0000}"/>
    <cellStyle name="40% - Accent3 7 3" xfId="4291" xr:uid="{00000000-0005-0000-0000-0000E93F0000}"/>
    <cellStyle name="40% - Accent3 7 3 2" xfId="19440" xr:uid="{00000000-0005-0000-0000-0000EA3F0000}"/>
    <cellStyle name="40% - Accent3 7 30" xfId="63199" xr:uid="{00000000-0005-0000-0000-0000EB3F0000}"/>
    <cellStyle name="40% - Accent3 7 4" xfId="5974" xr:uid="{00000000-0005-0000-0000-0000EC3F0000}"/>
    <cellStyle name="40% - Accent3 7 4 2" xfId="21123" xr:uid="{00000000-0005-0000-0000-0000ED3F0000}"/>
    <cellStyle name="40% - Accent3 7 5" xfId="7657" xr:uid="{00000000-0005-0000-0000-0000EE3F0000}"/>
    <cellStyle name="40% - Accent3 7 5 2" xfId="22806" xr:uid="{00000000-0005-0000-0000-0000EF3F0000}"/>
    <cellStyle name="40% - Accent3 7 6" xfId="9340" xr:uid="{00000000-0005-0000-0000-0000F03F0000}"/>
    <cellStyle name="40% - Accent3 7 6 2" xfId="24489" xr:uid="{00000000-0005-0000-0000-0000F13F0000}"/>
    <cellStyle name="40% - Accent3 7 7" xfId="11023" xr:uid="{00000000-0005-0000-0000-0000F23F0000}"/>
    <cellStyle name="40% - Accent3 7 7 2" xfId="26172" xr:uid="{00000000-0005-0000-0000-0000F33F0000}"/>
    <cellStyle name="40% - Accent3 7 8" xfId="12707" xr:uid="{00000000-0005-0000-0000-0000F43F0000}"/>
    <cellStyle name="40% - Accent3 7 8 2" xfId="27856" xr:uid="{00000000-0005-0000-0000-0000F53F0000}"/>
    <cellStyle name="40% - Accent3 7 9" xfId="14390" xr:uid="{00000000-0005-0000-0000-0000F63F0000}"/>
    <cellStyle name="40% - Accent3 7 9 2" xfId="29539" xr:uid="{00000000-0005-0000-0000-0000F73F0000}"/>
    <cellStyle name="40% - Accent3 8" xfId="1345" xr:uid="{00000000-0005-0000-0000-0000F83F0000}"/>
    <cellStyle name="40% - Accent3 8 10" xfId="16494" xr:uid="{00000000-0005-0000-0000-0000F93F0000}"/>
    <cellStyle name="40% - Accent3 8 11" xfId="31643" xr:uid="{00000000-0005-0000-0000-0000FA3F0000}"/>
    <cellStyle name="40% - Accent3 8 12" xfId="33326" xr:uid="{00000000-0005-0000-0000-0000FB3F0000}"/>
    <cellStyle name="40% - Accent3 8 13" xfId="35009" xr:uid="{00000000-0005-0000-0000-0000FC3F0000}"/>
    <cellStyle name="40% - Accent3 8 14" xfId="36692" xr:uid="{00000000-0005-0000-0000-0000FD3F0000}"/>
    <cellStyle name="40% - Accent3 8 15" xfId="38375" xr:uid="{00000000-0005-0000-0000-0000FE3F0000}"/>
    <cellStyle name="40% - Accent3 8 16" xfId="40058" xr:uid="{00000000-0005-0000-0000-0000FF3F0000}"/>
    <cellStyle name="40% - Accent3 8 17" xfId="41741" xr:uid="{00000000-0005-0000-0000-000000400000}"/>
    <cellStyle name="40% - Accent3 8 18" xfId="43424" xr:uid="{00000000-0005-0000-0000-000001400000}"/>
    <cellStyle name="40% - Accent3 8 19" xfId="45107" xr:uid="{00000000-0005-0000-0000-000002400000}"/>
    <cellStyle name="40% - Accent3 8 2" xfId="3028" xr:uid="{00000000-0005-0000-0000-000003400000}"/>
    <cellStyle name="40% - Accent3 8 2 2" xfId="18177" xr:uid="{00000000-0005-0000-0000-000004400000}"/>
    <cellStyle name="40% - Accent3 8 20" xfId="46790" xr:uid="{00000000-0005-0000-0000-000005400000}"/>
    <cellStyle name="40% - Accent3 8 21" xfId="48473" xr:uid="{00000000-0005-0000-0000-000006400000}"/>
    <cellStyle name="40% - Accent3 8 22" xfId="50156" xr:uid="{00000000-0005-0000-0000-000007400000}"/>
    <cellStyle name="40% - Accent3 8 23" xfId="51839" xr:uid="{00000000-0005-0000-0000-000008400000}"/>
    <cellStyle name="40% - Accent3 8 24" xfId="53522" xr:uid="{00000000-0005-0000-0000-000009400000}"/>
    <cellStyle name="40% - Accent3 8 25" xfId="55205" xr:uid="{00000000-0005-0000-0000-00000A400000}"/>
    <cellStyle name="40% - Accent3 8 26" xfId="56888" xr:uid="{00000000-0005-0000-0000-00000B400000}"/>
    <cellStyle name="40% - Accent3 8 27" xfId="58571" xr:uid="{00000000-0005-0000-0000-00000C400000}"/>
    <cellStyle name="40% - Accent3 8 28" xfId="60254" xr:uid="{00000000-0005-0000-0000-00000D400000}"/>
    <cellStyle name="40% - Accent3 8 29" xfId="61937" xr:uid="{00000000-0005-0000-0000-00000E400000}"/>
    <cellStyle name="40% - Accent3 8 3" xfId="4712" xr:uid="{00000000-0005-0000-0000-00000F400000}"/>
    <cellStyle name="40% - Accent3 8 3 2" xfId="19861" xr:uid="{00000000-0005-0000-0000-000010400000}"/>
    <cellStyle name="40% - Accent3 8 30" xfId="63620" xr:uid="{00000000-0005-0000-0000-000011400000}"/>
    <cellStyle name="40% - Accent3 8 4" xfId="6395" xr:uid="{00000000-0005-0000-0000-000012400000}"/>
    <cellStyle name="40% - Accent3 8 4 2" xfId="21544" xr:uid="{00000000-0005-0000-0000-000013400000}"/>
    <cellStyle name="40% - Accent3 8 5" xfId="8078" xr:uid="{00000000-0005-0000-0000-000014400000}"/>
    <cellStyle name="40% - Accent3 8 5 2" xfId="23227" xr:uid="{00000000-0005-0000-0000-000015400000}"/>
    <cellStyle name="40% - Accent3 8 6" xfId="9761" xr:uid="{00000000-0005-0000-0000-000016400000}"/>
    <cellStyle name="40% - Accent3 8 6 2" xfId="24910" xr:uid="{00000000-0005-0000-0000-000017400000}"/>
    <cellStyle name="40% - Accent3 8 7" xfId="11444" xr:uid="{00000000-0005-0000-0000-000018400000}"/>
    <cellStyle name="40% - Accent3 8 7 2" xfId="26593" xr:uid="{00000000-0005-0000-0000-000019400000}"/>
    <cellStyle name="40% - Accent3 8 8" xfId="13128" xr:uid="{00000000-0005-0000-0000-00001A400000}"/>
    <cellStyle name="40% - Accent3 8 8 2" xfId="28277" xr:uid="{00000000-0005-0000-0000-00001B400000}"/>
    <cellStyle name="40% - Accent3 8 9" xfId="14811" xr:uid="{00000000-0005-0000-0000-00001C400000}"/>
    <cellStyle name="40% - Accent3 8 9 2" xfId="29960" xr:uid="{00000000-0005-0000-0000-00001D400000}"/>
    <cellStyle name="40% - Accent3 9" xfId="1766" xr:uid="{00000000-0005-0000-0000-00001E400000}"/>
    <cellStyle name="40% - Accent3 9 2" xfId="16915" xr:uid="{00000000-0005-0000-0000-00001F400000}"/>
    <cellStyle name="40% - Accent4" xfId="84" builtinId="43" customBuiltin="1"/>
    <cellStyle name="40% - Accent4 10" xfId="3453" xr:uid="{00000000-0005-0000-0000-000021400000}"/>
    <cellStyle name="40% - Accent4 10 2" xfId="18602" xr:uid="{00000000-0005-0000-0000-000022400000}"/>
    <cellStyle name="40% - Accent4 11" xfId="5136" xr:uid="{00000000-0005-0000-0000-000023400000}"/>
    <cellStyle name="40% - Accent4 11 2" xfId="20285" xr:uid="{00000000-0005-0000-0000-000024400000}"/>
    <cellStyle name="40% - Accent4 12" xfId="6819" xr:uid="{00000000-0005-0000-0000-000025400000}"/>
    <cellStyle name="40% - Accent4 12 2" xfId="21968" xr:uid="{00000000-0005-0000-0000-000026400000}"/>
    <cellStyle name="40% - Accent4 13" xfId="8502" xr:uid="{00000000-0005-0000-0000-000027400000}"/>
    <cellStyle name="40% - Accent4 13 2" xfId="23651" xr:uid="{00000000-0005-0000-0000-000028400000}"/>
    <cellStyle name="40% - Accent4 14" xfId="10185" xr:uid="{00000000-0005-0000-0000-000029400000}"/>
    <cellStyle name="40% - Accent4 14 2" xfId="25334" xr:uid="{00000000-0005-0000-0000-00002A400000}"/>
    <cellStyle name="40% - Accent4 15" xfId="11869" xr:uid="{00000000-0005-0000-0000-00002B400000}"/>
    <cellStyle name="40% - Accent4 15 2" xfId="27018" xr:uid="{00000000-0005-0000-0000-00002C400000}"/>
    <cellStyle name="40% - Accent4 16" xfId="13552" xr:uid="{00000000-0005-0000-0000-00002D400000}"/>
    <cellStyle name="40% - Accent4 16 2" xfId="28701" xr:uid="{00000000-0005-0000-0000-00002E400000}"/>
    <cellStyle name="40% - Accent4 17" xfId="15235" xr:uid="{00000000-0005-0000-0000-00002F400000}"/>
    <cellStyle name="40% - Accent4 18" xfId="30384" xr:uid="{00000000-0005-0000-0000-000030400000}"/>
    <cellStyle name="40% - Accent4 19" xfId="32067" xr:uid="{00000000-0005-0000-0000-000031400000}"/>
    <cellStyle name="40% - Accent4 2" xfId="108" xr:uid="{00000000-0005-0000-0000-000032400000}"/>
    <cellStyle name="40% - Accent4 2 10" xfId="6841" xr:uid="{00000000-0005-0000-0000-000033400000}"/>
    <cellStyle name="40% - Accent4 2 10 2" xfId="21990" xr:uid="{00000000-0005-0000-0000-000034400000}"/>
    <cellStyle name="40% - Accent4 2 11" xfId="8524" xr:uid="{00000000-0005-0000-0000-000035400000}"/>
    <cellStyle name="40% - Accent4 2 11 2" xfId="23673" xr:uid="{00000000-0005-0000-0000-000036400000}"/>
    <cellStyle name="40% - Accent4 2 12" xfId="10207" xr:uid="{00000000-0005-0000-0000-000037400000}"/>
    <cellStyle name="40% - Accent4 2 12 2" xfId="25356" xr:uid="{00000000-0005-0000-0000-000038400000}"/>
    <cellStyle name="40% - Accent4 2 13" xfId="11891" xr:uid="{00000000-0005-0000-0000-000039400000}"/>
    <cellStyle name="40% - Accent4 2 13 2" xfId="27040" xr:uid="{00000000-0005-0000-0000-00003A400000}"/>
    <cellStyle name="40% - Accent4 2 14" xfId="13574" xr:uid="{00000000-0005-0000-0000-00003B400000}"/>
    <cellStyle name="40% - Accent4 2 14 2" xfId="28723" xr:uid="{00000000-0005-0000-0000-00003C400000}"/>
    <cellStyle name="40% - Accent4 2 15" xfId="15257" xr:uid="{00000000-0005-0000-0000-00003D400000}"/>
    <cellStyle name="40% - Accent4 2 16" xfId="30406" xr:uid="{00000000-0005-0000-0000-00003E400000}"/>
    <cellStyle name="40% - Accent4 2 17" xfId="32089" xr:uid="{00000000-0005-0000-0000-00003F400000}"/>
    <cellStyle name="40% - Accent4 2 18" xfId="33772" xr:uid="{00000000-0005-0000-0000-000040400000}"/>
    <cellStyle name="40% - Accent4 2 19" xfId="35455" xr:uid="{00000000-0005-0000-0000-000041400000}"/>
    <cellStyle name="40% - Accent4 2 2" xfId="213" xr:uid="{00000000-0005-0000-0000-000042400000}"/>
    <cellStyle name="40% - Accent4 2 2 10" xfId="8629" xr:uid="{00000000-0005-0000-0000-000043400000}"/>
    <cellStyle name="40% - Accent4 2 2 10 2" xfId="23778" xr:uid="{00000000-0005-0000-0000-000044400000}"/>
    <cellStyle name="40% - Accent4 2 2 11" xfId="10312" xr:uid="{00000000-0005-0000-0000-000045400000}"/>
    <cellStyle name="40% - Accent4 2 2 11 2" xfId="25461" xr:uid="{00000000-0005-0000-0000-000046400000}"/>
    <cellStyle name="40% - Accent4 2 2 12" xfId="11996" xr:uid="{00000000-0005-0000-0000-000047400000}"/>
    <cellStyle name="40% - Accent4 2 2 12 2" xfId="27145" xr:uid="{00000000-0005-0000-0000-000048400000}"/>
    <cellStyle name="40% - Accent4 2 2 13" xfId="13679" xr:uid="{00000000-0005-0000-0000-000049400000}"/>
    <cellStyle name="40% - Accent4 2 2 13 2" xfId="28828" xr:uid="{00000000-0005-0000-0000-00004A400000}"/>
    <cellStyle name="40% - Accent4 2 2 14" xfId="15362" xr:uid="{00000000-0005-0000-0000-00004B400000}"/>
    <cellStyle name="40% - Accent4 2 2 15" xfId="30511" xr:uid="{00000000-0005-0000-0000-00004C400000}"/>
    <cellStyle name="40% - Accent4 2 2 16" xfId="32194" xr:uid="{00000000-0005-0000-0000-00004D400000}"/>
    <cellStyle name="40% - Accent4 2 2 17" xfId="33877" xr:uid="{00000000-0005-0000-0000-00004E400000}"/>
    <cellStyle name="40% - Accent4 2 2 18" xfId="35560" xr:uid="{00000000-0005-0000-0000-00004F400000}"/>
    <cellStyle name="40% - Accent4 2 2 19" xfId="37243" xr:uid="{00000000-0005-0000-0000-000050400000}"/>
    <cellStyle name="40% - Accent4 2 2 2" xfId="423" xr:uid="{00000000-0005-0000-0000-000051400000}"/>
    <cellStyle name="40% - Accent4 2 2 2 10" xfId="10522" xr:uid="{00000000-0005-0000-0000-000052400000}"/>
    <cellStyle name="40% - Accent4 2 2 2 10 2" xfId="25671" xr:uid="{00000000-0005-0000-0000-000053400000}"/>
    <cellStyle name="40% - Accent4 2 2 2 11" xfId="12206" xr:uid="{00000000-0005-0000-0000-000054400000}"/>
    <cellStyle name="40% - Accent4 2 2 2 11 2" xfId="27355" xr:uid="{00000000-0005-0000-0000-000055400000}"/>
    <cellStyle name="40% - Accent4 2 2 2 12" xfId="13889" xr:uid="{00000000-0005-0000-0000-000056400000}"/>
    <cellStyle name="40% - Accent4 2 2 2 12 2" xfId="29038" xr:uid="{00000000-0005-0000-0000-000057400000}"/>
    <cellStyle name="40% - Accent4 2 2 2 13" xfId="15572" xr:uid="{00000000-0005-0000-0000-000058400000}"/>
    <cellStyle name="40% - Accent4 2 2 2 14" xfId="30721" xr:uid="{00000000-0005-0000-0000-000059400000}"/>
    <cellStyle name="40% - Accent4 2 2 2 15" xfId="32404" xr:uid="{00000000-0005-0000-0000-00005A400000}"/>
    <cellStyle name="40% - Accent4 2 2 2 16" xfId="34087" xr:uid="{00000000-0005-0000-0000-00005B400000}"/>
    <cellStyle name="40% - Accent4 2 2 2 17" xfId="35770" xr:uid="{00000000-0005-0000-0000-00005C400000}"/>
    <cellStyle name="40% - Accent4 2 2 2 18" xfId="37453" xr:uid="{00000000-0005-0000-0000-00005D400000}"/>
    <cellStyle name="40% - Accent4 2 2 2 19" xfId="39136" xr:uid="{00000000-0005-0000-0000-00005E400000}"/>
    <cellStyle name="40% - Accent4 2 2 2 2" xfId="843" xr:uid="{00000000-0005-0000-0000-00005F400000}"/>
    <cellStyle name="40% - Accent4 2 2 2 2 10" xfId="15992" xr:uid="{00000000-0005-0000-0000-000060400000}"/>
    <cellStyle name="40% - Accent4 2 2 2 2 11" xfId="31141" xr:uid="{00000000-0005-0000-0000-000061400000}"/>
    <cellStyle name="40% - Accent4 2 2 2 2 12" xfId="32824" xr:uid="{00000000-0005-0000-0000-000062400000}"/>
    <cellStyle name="40% - Accent4 2 2 2 2 13" xfId="34507" xr:uid="{00000000-0005-0000-0000-000063400000}"/>
    <cellStyle name="40% - Accent4 2 2 2 2 14" xfId="36190" xr:uid="{00000000-0005-0000-0000-000064400000}"/>
    <cellStyle name="40% - Accent4 2 2 2 2 15" xfId="37873" xr:uid="{00000000-0005-0000-0000-000065400000}"/>
    <cellStyle name="40% - Accent4 2 2 2 2 16" xfId="39556" xr:uid="{00000000-0005-0000-0000-000066400000}"/>
    <cellStyle name="40% - Accent4 2 2 2 2 17" xfId="41239" xr:uid="{00000000-0005-0000-0000-000067400000}"/>
    <cellStyle name="40% - Accent4 2 2 2 2 18" xfId="42922" xr:uid="{00000000-0005-0000-0000-000068400000}"/>
    <cellStyle name="40% - Accent4 2 2 2 2 19" xfId="44605" xr:uid="{00000000-0005-0000-0000-000069400000}"/>
    <cellStyle name="40% - Accent4 2 2 2 2 2" xfId="2526" xr:uid="{00000000-0005-0000-0000-00006A400000}"/>
    <cellStyle name="40% - Accent4 2 2 2 2 2 2" xfId="17675" xr:uid="{00000000-0005-0000-0000-00006B400000}"/>
    <cellStyle name="40% - Accent4 2 2 2 2 20" xfId="46288" xr:uid="{00000000-0005-0000-0000-00006C400000}"/>
    <cellStyle name="40% - Accent4 2 2 2 2 21" xfId="47971" xr:uid="{00000000-0005-0000-0000-00006D400000}"/>
    <cellStyle name="40% - Accent4 2 2 2 2 22" xfId="49654" xr:uid="{00000000-0005-0000-0000-00006E400000}"/>
    <cellStyle name="40% - Accent4 2 2 2 2 23" xfId="51337" xr:uid="{00000000-0005-0000-0000-00006F400000}"/>
    <cellStyle name="40% - Accent4 2 2 2 2 24" xfId="53020" xr:uid="{00000000-0005-0000-0000-000070400000}"/>
    <cellStyle name="40% - Accent4 2 2 2 2 25" xfId="54703" xr:uid="{00000000-0005-0000-0000-000071400000}"/>
    <cellStyle name="40% - Accent4 2 2 2 2 26" xfId="56386" xr:uid="{00000000-0005-0000-0000-000072400000}"/>
    <cellStyle name="40% - Accent4 2 2 2 2 27" xfId="58069" xr:uid="{00000000-0005-0000-0000-000073400000}"/>
    <cellStyle name="40% - Accent4 2 2 2 2 28" xfId="59752" xr:uid="{00000000-0005-0000-0000-000074400000}"/>
    <cellStyle name="40% - Accent4 2 2 2 2 29" xfId="61435" xr:uid="{00000000-0005-0000-0000-000075400000}"/>
    <cellStyle name="40% - Accent4 2 2 2 2 3" xfId="4210" xr:uid="{00000000-0005-0000-0000-000076400000}"/>
    <cellStyle name="40% - Accent4 2 2 2 2 3 2" xfId="19359" xr:uid="{00000000-0005-0000-0000-000077400000}"/>
    <cellStyle name="40% - Accent4 2 2 2 2 30" xfId="63118" xr:uid="{00000000-0005-0000-0000-000078400000}"/>
    <cellStyle name="40% - Accent4 2 2 2 2 4" xfId="5893" xr:uid="{00000000-0005-0000-0000-000079400000}"/>
    <cellStyle name="40% - Accent4 2 2 2 2 4 2" xfId="21042" xr:uid="{00000000-0005-0000-0000-00007A400000}"/>
    <cellStyle name="40% - Accent4 2 2 2 2 5" xfId="7576" xr:uid="{00000000-0005-0000-0000-00007B400000}"/>
    <cellStyle name="40% - Accent4 2 2 2 2 5 2" xfId="22725" xr:uid="{00000000-0005-0000-0000-00007C400000}"/>
    <cellStyle name="40% - Accent4 2 2 2 2 6" xfId="9259" xr:uid="{00000000-0005-0000-0000-00007D400000}"/>
    <cellStyle name="40% - Accent4 2 2 2 2 6 2" xfId="24408" xr:uid="{00000000-0005-0000-0000-00007E400000}"/>
    <cellStyle name="40% - Accent4 2 2 2 2 7" xfId="10942" xr:uid="{00000000-0005-0000-0000-00007F400000}"/>
    <cellStyle name="40% - Accent4 2 2 2 2 7 2" xfId="26091" xr:uid="{00000000-0005-0000-0000-000080400000}"/>
    <cellStyle name="40% - Accent4 2 2 2 2 8" xfId="12626" xr:uid="{00000000-0005-0000-0000-000081400000}"/>
    <cellStyle name="40% - Accent4 2 2 2 2 8 2" xfId="27775" xr:uid="{00000000-0005-0000-0000-000082400000}"/>
    <cellStyle name="40% - Accent4 2 2 2 2 9" xfId="14309" xr:uid="{00000000-0005-0000-0000-000083400000}"/>
    <cellStyle name="40% - Accent4 2 2 2 2 9 2" xfId="29458" xr:uid="{00000000-0005-0000-0000-000084400000}"/>
    <cellStyle name="40% - Accent4 2 2 2 20" xfId="40819" xr:uid="{00000000-0005-0000-0000-000085400000}"/>
    <cellStyle name="40% - Accent4 2 2 2 21" xfId="42502" xr:uid="{00000000-0005-0000-0000-000086400000}"/>
    <cellStyle name="40% - Accent4 2 2 2 22" xfId="44185" xr:uid="{00000000-0005-0000-0000-000087400000}"/>
    <cellStyle name="40% - Accent4 2 2 2 23" xfId="45868" xr:uid="{00000000-0005-0000-0000-000088400000}"/>
    <cellStyle name="40% - Accent4 2 2 2 24" xfId="47551" xr:uid="{00000000-0005-0000-0000-000089400000}"/>
    <cellStyle name="40% - Accent4 2 2 2 25" xfId="49234" xr:uid="{00000000-0005-0000-0000-00008A400000}"/>
    <cellStyle name="40% - Accent4 2 2 2 26" xfId="50917" xr:uid="{00000000-0005-0000-0000-00008B400000}"/>
    <cellStyle name="40% - Accent4 2 2 2 27" xfId="52600" xr:uid="{00000000-0005-0000-0000-00008C400000}"/>
    <cellStyle name="40% - Accent4 2 2 2 28" xfId="54283" xr:uid="{00000000-0005-0000-0000-00008D400000}"/>
    <cellStyle name="40% - Accent4 2 2 2 29" xfId="55966" xr:uid="{00000000-0005-0000-0000-00008E400000}"/>
    <cellStyle name="40% - Accent4 2 2 2 3" xfId="1264" xr:uid="{00000000-0005-0000-0000-00008F400000}"/>
    <cellStyle name="40% - Accent4 2 2 2 3 10" xfId="16413" xr:uid="{00000000-0005-0000-0000-000090400000}"/>
    <cellStyle name="40% - Accent4 2 2 2 3 11" xfId="31562" xr:uid="{00000000-0005-0000-0000-000091400000}"/>
    <cellStyle name="40% - Accent4 2 2 2 3 12" xfId="33245" xr:uid="{00000000-0005-0000-0000-000092400000}"/>
    <cellStyle name="40% - Accent4 2 2 2 3 13" xfId="34928" xr:uid="{00000000-0005-0000-0000-000093400000}"/>
    <cellStyle name="40% - Accent4 2 2 2 3 14" xfId="36611" xr:uid="{00000000-0005-0000-0000-000094400000}"/>
    <cellStyle name="40% - Accent4 2 2 2 3 15" xfId="38294" xr:uid="{00000000-0005-0000-0000-000095400000}"/>
    <cellStyle name="40% - Accent4 2 2 2 3 16" xfId="39977" xr:uid="{00000000-0005-0000-0000-000096400000}"/>
    <cellStyle name="40% - Accent4 2 2 2 3 17" xfId="41660" xr:uid="{00000000-0005-0000-0000-000097400000}"/>
    <cellStyle name="40% - Accent4 2 2 2 3 18" xfId="43343" xr:uid="{00000000-0005-0000-0000-000098400000}"/>
    <cellStyle name="40% - Accent4 2 2 2 3 19" xfId="45026" xr:uid="{00000000-0005-0000-0000-000099400000}"/>
    <cellStyle name="40% - Accent4 2 2 2 3 2" xfId="2947" xr:uid="{00000000-0005-0000-0000-00009A400000}"/>
    <cellStyle name="40% - Accent4 2 2 2 3 2 2" xfId="18096" xr:uid="{00000000-0005-0000-0000-00009B400000}"/>
    <cellStyle name="40% - Accent4 2 2 2 3 20" xfId="46709" xr:uid="{00000000-0005-0000-0000-00009C400000}"/>
    <cellStyle name="40% - Accent4 2 2 2 3 21" xfId="48392" xr:uid="{00000000-0005-0000-0000-00009D400000}"/>
    <cellStyle name="40% - Accent4 2 2 2 3 22" xfId="50075" xr:uid="{00000000-0005-0000-0000-00009E400000}"/>
    <cellStyle name="40% - Accent4 2 2 2 3 23" xfId="51758" xr:uid="{00000000-0005-0000-0000-00009F400000}"/>
    <cellStyle name="40% - Accent4 2 2 2 3 24" xfId="53441" xr:uid="{00000000-0005-0000-0000-0000A0400000}"/>
    <cellStyle name="40% - Accent4 2 2 2 3 25" xfId="55124" xr:uid="{00000000-0005-0000-0000-0000A1400000}"/>
    <cellStyle name="40% - Accent4 2 2 2 3 26" xfId="56807" xr:uid="{00000000-0005-0000-0000-0000A2400000}"/>
    <cellStyle name="40% - Accent4 2 2 2 3 27" xfId="58490" xr:uid="{00000000-0005-0000-0000-0000A3400000}"/>
    <cellStyle name="40% - Accent4 2 2 2 3 28" xfId="60173" xr:uid="{00000000-0005-0000-0000-0000A4400000}"/>
    <cellStyle name="40% - Accent4 2 2 2 3 29" xfId="61856" xr:uid="{00000000-0005-0000-0000-0000A5400000}"/>
    <cellStyle name="40% - Accent4 2 2 2 3 3" xfId="4631" xr:uid="{00000000-0005-0000-0000-0000A6400000}"/>
    <cellStyle name="40% - Accent4 2 2 2 3 3 2" xfId="19780" xr:uid="{00000000-0005-0000-0000-0000A7400000}"/>
    <cellStyle name="40% - Accent4 2 2 2 3 30" xfId="63539" xr:uid="{00000000-0005-0000-0000-0000A8400000}"/>
    <cellStyle name="40% - Accent4 2 2 2 3 4" xfId="6314" xr:uid="{00000000-0005-0000-0000-0000A9400000}"/>
    <cellStyle name="40% - Accent4 2 2 2 3 4 2" xfId="21463" xr:uid="{00000000-0005-0000-0000-0000AA400000}"/>
    <cellStyle name="40% - Accent4 2 2 2 3 5" xfId="7997" xr:uid="{00000000-0005-0000-0000-0000AB400000}"/>
    <cellStyle name="40% - Accent4 2 2 2 3 5 2" xfId="23146" xr:uid="{00000000-0005-0000-0000-0000AC400000}"/>
    <cellStyle name="40% - Accent4 2 2 2 3 6" xfId="9680" xr:uid="{00000000-0005-0000-0000-0000AD400000}"/>
    <cellStyle name="40% - Accent4 2 2 2 3 6 2" xfId="24829" xr:uid="{00000000-0005-0000-0000-0000AE400000}"/>
    <cellStyle name="40% - Accent4 2 2 2 3 7" xfId="11363" xr:uid="{00000000-0005-0000-0000-0000AF400000}"/>
    <cellStyle name="40% - Accent4 2 2 2 3 7 2" xfId="26512" xr:uid="{00000000-0005-0000-0000-0000B0400000}"/>
    <cellStyle name="40% - Accent4 2 2 2 3 8" xfId="13047" xr:uid="{00000000-0005-0000-0000-0000B1400000}"/>
    <cellStyle name="40% - Accent4 2 2 2 3 8 2" xfId="28196" xr:uid="{00000000-0005-0000-0000-0000B2400000}"/>
    <cellStyle name="40% - Accent4 2 2 2 3 9" xfId="14730" xr:uid="{00000000-0005-0000-0000-0000B3400000}"/>
    <cellStyle name="40% - Accent4 2 2 2 3 9 2" xfId="29879" xr:uid="{00000000-0005-0000-0000-0000B4400000}"/>
    <cellStyle name="40% - Accent4 2 2 2 30" xfId="57649" xr:uid="{00000000-0005-0000-0000-0000B5400000}"/>
    <cellStyle name="40% - Accent4 2 2 2 31" xfId="59332" xr:uid="{00000000-0005-0000-0000-0000B6400000}"/>
    <cellStyle name="40% - Accent4 2 2 2 32" xfId="61015" xr:uid="{00000000-0005-0000-0000-0000B7400000}"/>
    <cellStyle name="40% - Accent4 2 2 2 33" xfId="62698" xr:uid="{00000000-0005-0000-0000-0000B8400000}"/>
    <cellStyle name="40% - Accent4 2 2 2 4" xfId="1685" xr:uid="{00000000-0005-0000-0000-0000B9400000}"/>
    <cellStyle name="40% - Accent4 2 2 2 4 10" xfId="16834" xr:uid="{00000000-0005-0000-0000-0000BA400000}"/>
    <cellStyle name="40% - Accent4 2 2 2 4 11" xfId="31983" xr:uid="{00000000-0005-0000-0000-0000BB400000}"/>
    <cellStyle name="40% - Accent4 2 2 2 4 12" xfId="33666" xr:uid="{00000000-0005-0000-0000-0000BC400000}"/>
    <cellStyle name="40% - Accent4 2 2 2 4 13" xfId="35349" xr:uid="{00000000-0005-0000-0000-0000BD400000}"/>
    <cellStyle name="40% - Accent4 2 2 2 4 14" xfId="37032" xr:uid="{00000000-0005-0000-0000-0000BE400000}"/>
    <cellStyle name="40% - Accent4 2 2 2 4 15" xfId="38715" xr:uid="{00000000-0005-0000-0000-0000BF400000}"/>
    <cellStyle name="40% - Accent4 2 2 2 4 16" xfId="40398" xr:uid="{00000000-0005-0000-0000-0000C0400000}"/>
    <cellStyle name="40% - Accent4 2 2 2 4 17" xfId="42081" xr:uid="{00000000-0005-0000-0000-0000C1400000}"/>
    <cellStyle name="40% - Accent4 2 2 2 4 18" xfId="43764" xr:uid="{00000000-0005-0000-0000-0000C2400000}"/>
    <cellStyle name="40% - Accent4 2 2 2 4 19" xfId="45447" xr:uid="{00000000-0005-0000-0000-0000C3400000}"/>
    <cellStyle name="40% - Accent4 2 2 2 4 2" xfId="3368" xr:uid="{00000000-0005-0000-0000-0000C4400000}"/>
    <cellStyle name="40% - Accent4 2 2 2 4 2 2" xfId="18517" xr:uid="{00000000-0005-0000-0000-0000C5400000}"/>
    <cellStyle name="40% - Accent4 2 2 2 4 20" xfId="47130" xr:uid="{00000000-0005-0000-0000-0000C6400000}"/>
    <cellStyle name="40% - Accent4 2 2 2 4 21" xfId="48813" xr:uid="{00000000-0005-0000-0000-0000C7400000}"/>
    <cellStyle name="40% - Accent4 2 2 2 4 22" xfId="50496" xr:uid="{00000000-0005-0000-0000-0000C8400000}"/>
    <cellStyle name="40% - Accent4 2 2 2 4 23" xfId="52179" xr:uid="{00000000-0005-0000-0000-0000C9400000}"/>
    <cellStyle name="40% - Accent4 2 2 2 4 24" xfId="53862" xr:uid="{00000000-0005-0000-0000-0000CA400000}"/>
    <cellStyle name="40% - Accent4 2 2 2 4 25" xfId="55545" xr:uid="{00000000-0005-0000-0000-0000CB400000}"/>
    <cellStyle name="40% - Accent4 2 2 2 4 26" xfId="57228" xr:uid="{00000000-0005-0000-0000-0000CC400000}"/>
    <cellStyle name="40% - Accent4 2 2 2 4 27" xfId="58911" xr:uid="{00000000-0005-0000-0000-0000CD400000}"/>
    <cellStyle name="40% - Accent4 2 2 2 4 28" xfId="60594" xr:uid="{00000000-0005-0000-0000-0000CE400000}"/>
    <cellStyle name="40% - Accent4 2 2 2 4 29" xfId="62277" xr:uid="{00000000-0005-0000-0000-0000CF400000}"/>
    <cellStyle name="40% - Accent4 2 2 2 4 3" xfId="5052" xr:uid="{00000000-0005-0000-0000-0000D0400000}"/>
    <cellStyle name="40% - Accent4 2 2 2 4 3 2" xfId="20201" xr:uid="{00000000-0005-0000-0000-0000D1400000}"/>
    <cellStyle name="40% - Accent4 2 2 2 4 30" xfId="63960" xr:uid="{00000000-0005-0000-0000-0000D2400000}"/>
    <cellStyle name="40% - Accent4 2 2 2 4 4" xfId="6735" xr:uid="{00000000-0005-0000-0000-0000D3400000}"/>
    <cellStyle name="40% - Accent4 2 2 2 4 4 2" xfId="21884" xr:uid="{00000000-0005-0000-0000-0000D4400000}"/>
    <cellStyle name="40% - Accent4 2 2 2 4 5" xfId="8418" xr:uid="{00000000-0005-0000-0000-0000D5400000}"/>
    <cellStyle name="40% - Accent4 2 2 2 4 5 2" xfId="23567" xr:uid="{00000000-0005-0000-0000-0000D6400000}"/>
    <cellStyle name="40% - Accent4 2 2 2 4 6" xfId="10101" xr:uid="{00000000-0005-0000-0000-0000D7400000}"/>
    <cellStyle name="40% - Accent4 2 2 2 4 6 2" xfId="25250" xr:uid="{00000000-0005-0000-0000-0000D8400000}"/>
    <cellStyle name="40% - Accent4 2 2 2 4 7" xfId="11784" xr:uid="{00000000-0005-0000-0000-0000D9400000}"/>
    <cellStyle name="40% - Accent4 2 2 2 4 7 2" xfId="26933" xr:uid="{00000000-0005-0000-0000-0000DA400000}"/>
    <cellStyle name="40% - Accent4 2 2 2 4 8" xfId="13468" xr:uid="{00000000-0005-0000-0000-0000DB400000}"/>
    <cellStyle name="40% - Accent4 2 2 2 4 8 2" xfId="28617" xr:uid="{00000000-0005-0000-0000-0000DC400000}"/>
    <cellStyle name="40% - Accent4 2 2 2 4 9" xfId="15151" xr:uid="{00000000-0005-0000-0000-0000DD400000}"/>
    <cellStyle name="40% - Accent4 2 2 2 4 9 2" xfId="30300" xr:uid="{00000000-0005-0000-0000-0000DE400000}"/>
    <cellStyle name="40% - Accent4 2 2 2 5" xfId="2106" xr:uid="{00000000-0005-0000-0000-0000DF400000}"/>
    <cellStyle name="40% - Accent4 2 2 2 5 2" xfId="17255" xr:uid="{00000000-0005-0000-0000-0000E0400000}"/>
    <cellStyle name="40% - Accent4 2 2 2 6" xfId="3790" xr:uid="{00000000-0005-0000-0000-0000E1400000}"/>
    <cellStyle name="40% - Accent4 2 2 2 6 2" xfId="18939" xr:uid="{00000000-0005-0000-0000-0000E2400000}"/>
    <cellStyle name="40% - Accent4 2 2 2 7" xfId="5473" xr:uid="{00000000-0005-0000-0000-0000E3400000}"/>
    <cellStyle name="40% - Accent4 2 2 2 7 2" xfId="20622" xr:uid="{00000000-0005-0000-0000-0000E4400000}"/>
    <cellStyle name="40% - Accent4 2 2 2 8" xfId="7156" xr:uid="{00000000-0005-0000-0000-0000E5400000}"/>
    <cellStyle name="40% - Accent4 2 2 2 8 2" xfId="22305" xr:uid="{00000000-0005-0000-0000-0000E6400000}"/>
    <cellStyle name="40% - Accent4 2 2 2 9" xfId="8839" xr:uid="{00000000-0005-0000-0000-0000E7400000}"/>
    <cellStyle name="40% - Accent4 2 2 2 9 2" xfId="23988" xr:uid="{00000000-0005-0000-0000-0000E8400000}"/>
    <cellStyle name="40% - Accent4 2 2 20" xfId="38926" xr:uid="{00000000-0005-0000-0000-0000E9400000}"/>
    <cellStyle name="40% - Accent4 2 2 21" xfId="40609" xr:uid="{00000000-0005-0000-0000-0000EA400000}"/>
    <cellStyle name="40% - Accent4 2 2 22" xfId="42292" xr:uid="{00000000-0005-0000-0000-0000EB400000}"/>
    <cellStyle name="40% - Accent4 2 2 23" xfId="43975" xr:uid="{00000000-0005-0000-0000-0000EC400000}"/>
    <cellStyle name="40% - Accent4 2 2 24" xfId="45658" xr:uid="{00000000-0005-0000-0000-0000ED400000}"/>
    <cellStyle name="40% - Accent4 2 2 25" xfId="47341" xr:uid="{00000000-0005-0000-0000-0000EE400000}"/>
    <cellStyle name="40% - Accent4 2 2 26" xfId="49024" xr:uid="{00000000-0005-0000-0000-0000EF400000}"/>
    <cellStyle name="40% - Accent4 2 2 27" xfId="50707" xr:uid="{00000000-0005-0000-0000-0000F0400000}"/>
    <cellStyle name="40% - Accent4 2 2 28" xfId="52390" xr:uid="{00000000-0005-0000-0000-0000F1400000}"/>
    <cellStyle name="40% - Accent4 2 2 29" xfId="54073" xr:uid="{00000000-0005-0000-0000-0000F2400000}"/>
    <cellStyle name="40% - Accent4 2 2 3" xfId="633" xr:uid="{00000000-0005-0000-0000-0000F3400000}"/>
    <cellStyle name="40% - Accent4 2 2 3 10" xfId="15782" xr:uid="{00000000-0005-0000-0000-0000F4400000}"/>
    <cellStyle name="40% - Accent4 2 2 3 11" xfId="30931" xr:uid="{00000000-0005-0000-0000-0000F5400000}"/>
    <cellStyle name="40% - Accent4 2 2 3 12" xfId="32614" xr:uid="{00000000-0005-0000-0000-0000F6400000}"/>
    <cellStyle name="40% - Accent4 2 2 3 13" xfId="34297" xr:uid="{00000000-0005-0000-0000-0000F7400000}"/>
    <cellStyle name="40% - Accent4 2 2 3 14" xfId="35980" xr:uid="{00000000-0005-0000-0000-0000F8400000}"/>
    <cellStyle name="40% - Accent4 2 2 3 15" xfId="37663" xr:uid="{00000000-0005-0000-0000-0000F9400000}"/>
    <cellStyle name="40% - Accent4 2 2 3 16" xfId="39346" xr:uid="{00000000-0005-0000-0000-0000FA400000}"/>
    <cellStyle name="40% - Accent4 2 2 3 17" xfId="41029" xr:uid="{00000000-0005-0000-0000-0000FB400000}"/>
    <cellStyle name="40% - Accent4 2 2 3 18" xfId="42712" xr:uid="{00000000-0005-0000-0000-0000FC400000}"/>
    <cellStyle name="40% - Accent4 2 2 3 19" xfId="44395" xr:uid="{00000000-0005-0000-0000-0000FD400000}"/>
    <cellStyle name="40% - Accent4 2 2 3 2" xfId="2316" xr:uid="{00000000-0005-0000-0000-0000FE400000}"/>
    <cellStyle name="40% - Accent4 2 2 3 2 2" xfId="17465" xr:uid="{00000000-0005-0000-0000-0000FF400000}"/>
    <cellStyle name="40% - Accent4 2 2 3 20" xfId="46078" xr:uid="{00000000-0005-0000-0000-000000410000}"/>
    <cellStyle name="40% - Accent4 2 2 3 21" xfId="47761" xr:uid="{00000000-0005-0000-0000-000001410000}"/>
    <cellStyle name="40% - Accent4 2 2 3 22" xfId="49444" xr:uid="{00000000-0005-0000-0000-000002410000}"/>
    <cellStyle name="40% - Accent4 2 2 3 23" xfId="51127" xr:uid="{00000000-0005-0000-0000-000003410000}"/>
    <cellStyle name="40% - Accent4 2 2 3 24" xfId="52810" xr:uid="{00000000-0005-0000-0000-000004410000}"/>
    <cellStyle name="40% - Accent4 2 2 3 25" xfId="54493" xr:uid="{00000000-0005-0000-0000-000005410000}"/>
    <cellStyle name="40% - Accent4 2 2 3 26" xfId="56176" xr:uid="{00000000-0005-0000-0000-000006410000}"/>
    <cellStyle name="40% - Accent4 2 2 3 27" xfId="57859" xr:uid="{00000000-0005-0000-0000-000007410000}"/>
    <cellStyle name="40% - Accent4 2 2 3 28" xfId="59542" xr:uid="{00000000-0005-0000-0000-000008410000}"/>
    <cellStyle name="40% - Accent4 2 2 3 29" xfId="61225" xr:uid="{00000000-0005-0000-0000-000009410000}"/>
    <cellStyle name="40% - Accent4 2 2 3 3" xfId="4000" xr:uid="{00000000-0005-0000-0000-00000A410000}"/>
    <cellStyle name="40% - Accent4 2 2 3 3 2" xfId="19149" xr:uid="{00000000-0005-0000-0000-00000B410000}"/>
    <cellStyle name="40% - Accent4 2 2 3 30" xfId="62908" xr:uid="{00000000-0005-0000-0000-00000C410000}"/>
    <cellStyle name="40% - Accent4 2 2 3 4" xfId="5683" xr:uid="{00000000-0005-0000-0000-00000D410000}"/>
    <cellStyle name="40% - Accent4 2 2 3 4 2" xfId="20832" xr:uid="{00000000-0005-0000-0000-00000E410000}"/>
    <cellStyle name="40% - Accent4 2 2 3 5" xfId="7366" xr:uid="{00000000-0005-0000-0000-00000F410000}"/>
    <cellStyle name="40% - Accent4 2 2 3 5 2" xfId="22515" xr:uid="{00000000-0005-0000-0000-000010410000}"/>
    <cellStyle name="40% - Accent4 2 2 3 6" xfId="9049" xr:uid="{00000000-0005-0000-0000-000011410000}"/>
    <cellStyle name="40% - Accent4 2 2 3 6 2" xfId="24198" xr:uid="{00000000-0005-0000-0000-000012410000}"/>
    <cellStyle name="40% - Accent4 2 2 3 7" xfId="10732" xr:uid="{00000000-0005-0000-0000-000013410000}"/>
    <cellStyle name="40% - Accent4 2 2 3 7 2" xfId="25881" xr:uid="{00000000-0005-0000-0000-000014410000}"/>
    <cellStyle name="40% - Accent4 2 2 3 8" xfId="12416" xr:uid="{00000000-0005-0000-0000-000015410000}"/>
    <cellStyle name="40% - Accent4 2 2 3 8 2" xfId="27565" xr:uid="{00000000-0005-0000-0000-000016410000}"/>
    <cellStyle name="40% - Accent4 2 2 3 9" xfId="14099" xr:uid="{00000000-0005-0000-0000-000017410000}"/>
    <cellStyle name="40% - Accent4 2 2 3 9 2" xfId="29248" xr:uid="{00000000-0005-0000-0000-000018410000}"/>
    <cellStyle name="40% - Accent4 2 2 30" xfId="55756" xr:uid="{00000000-0005-0000-0000-000019410000}"/>
    <cellStyle name="40% - Accent4 2 2 31" xfId="57439" xr:uid="{00000000-0005-0000-0000-00001A410000}"/>
    <cellStyle name="40% - Accent4 2 2 32" xfId="59122" xr:uid="{00000000-0005-0000-0000-00001B410000}"/>
    <cellStyle name="40% - Accent4 2 2 33" xfId="60805" xr:uid="{00000000-0005-0000-0000-00001C410000}"/>
    <cellStyle name="40% - Accent4 2 2 34" xfId="62488" xr:uid="{00000000-0005-0000-0000-00001D410000}"/>
    <cellStyle name="40% - Accent4 2 2 4" xfId="1054" xr:uid="{00000000-0005-0000-0000-00001E410000}"/>
    <cellStyle name="40% - Accent4 2 2 4 10" xfId="16203" xr:uid="{00000000-0005-0000-0000-00001F410000}"/>
    <cellStyle name="40% - Accent4 2 2 4 11" xfId="31352" xr:uid="{00000000-0005-0000-0000-000020410000}"/>
    <cellStyle name="40% - Accent4 2 2 4 12" xfId="33035" xr:uid="{00000000-0005-0000-0000-000021410000}"/>
    <cellStyle name="40% - Accent4 2 2 4 13" xfId="34718" xr:uid="{00000000-0005-0000-0000-000022410000}"/>
    <cellStyle name="40% - Accent4 2 2 4 14" xfId="36401" xr:uid="{00000000-0005-0000-0000-000023410000}"/>
    <cellStyle name="40% - Accent4 2 2 4 15" xfId="38084" xr:uid="{00000000-0005-0000-0000-000024410000}"/>
    <cellStyle name="40% - Accent4 2 2 4 16" xfId="39767" xr:uid="{00000000-0005-0000-0000-000025410000}"/>
    <cellStyle name="40% - Accent4 2 2 4 17" xfId="41450" xr:uid="{00000000-0005-0000-0000-000026410000}"/>
    <cellStyle name="40% - Accent4 2 2 4 18" xfId="43133" xr:uid="{00000000-0005-0000-0000-000027410000}"/>
    <cellStyle name="40% - Accent4 2 2 4 19" xfId="44816" xr:uid="{00000000-0005-0000-0000-000028410000}"/>
    <cellStyle name="40% - Accent4 2 2 4 2" xfId="2737" xr:uid="{00000000-0005-0000-0000-000029410000}"/>
    <cellStyle name="40% - Accent4 2 2 4 2 2" xfId="17886" xr:uid="{00000000-0005-0000-0000-00002A410000}"/>
    <cellStyle name="40% - Accent4 2 2 4 20" xfId="46499" xr:uid="{00000000-0005-0000-0000-00002B410000}"/>
    <cellStyle name="40% - Accent4 2 2 4 21" xfId="48182" xr:uid="{00000000-0005-0000-0000-00002C410000}"/>
    <cellStyle name="40% - Accent4 2 2 4 22" xfId="49865" xr:uid="{00000000-0005-0000-0000-00002D410000}"/>
    <cellStyle name="40% - Accent4 2 2 4 23" xfId="51548" xr:uid="{00000000-0005-0000-0000-00002E410000}"/>
    <cellStyle name="40% - Accent4 2 2 4 24" xfId="53231" xr:uid="{00000000-0005-0000-0000-00002F410000}"/>
    <cellStyle name="40% - Accent4 2 2 4 25" xfId="54914" xr:uid="{00000000-0005-0000-0000-000030410000}"/>
    <cellStyle name="40% - Accent4 2 2 4 26" xfId="56597" xr:uid="{00000000-0005-0000-0000-000031410000}"/>
    <cellStyle name="40% - Accent4 2 2 4 27" xfId="58280" xr:uid="{00000000-0005-0000-0000-000032410000}"/>
    <cellStyle name="40% - Accent4 2 2 4 28" xfId="59963" xr:uid="{00000000-0005-0000-0000-000033410000}"/>
    <cellStyle name="40% - Accent4 2 2 4 29" xfId="61646" xr:uid="{00000000-0005-0000-0000-000034410000}"/>
    <cellStyle name="40% - Accent4 2 2 4 3" xfId="4421" xr:uid="{00000000-0005-0000-0000-000035410000}"/>
    <cellStyle name="40% - Accent4 2 2 4 3 2" xfId="19570" xr:uid="{00000000-0005-0000-0000-000036410000}"/>
    <cellStyle name="40% - Accent4 2 2 4 30" xfId="63329" xr:uid="{00000000-0005-0000-0000-000037410000}"/>
    <cellStyle name="40% - Accent4 2 2 4 4" xfId="6104" xr:uid="{00000000-0005-0000-0000-000038410000}"/>
    <cellStyle name="40% - Accent4 2 2 4 4 2" xfId="21253" xr:uid="{00000000-0005-0000-0000-000039410000}"/>
    <cellStyle name="40% - Accent4 2 2 4 5" xfId="7787" xr:uid="{00000000-0005-0000-0000-00003A410000}"/>
    <cellStyle name="40% - Accent4 2 2 4 5 2" xfId="22936" xr:uid="{00000000-0005-0000-0000-00003B410000}"/>
    <cellStyle name="40% - Accent4 2 2 4 6" xfId="9470" xr:uid="{00000000-0005-0000-0000-00003C410000}"/>
    <cellStyle name="40% - Accent4 2 2 4 6 2" xfId="24619" xr:uid="{00000000-0005-0000-0000-00003D410000}"/>
    <cellStyle name="40% - Accent4 2 2 4 7" xfId="11153" xr:uid="{00000000-0005-0000-0000-00003E410000}"/>
    <cellStyle name="40% - Accent4 2 2 4 7 2" xfId="26302" xr:uid="{00000000-0005-0000-0000-00003F410000}"/>
    <cellStyle name="40% - Accent4 2 2 4 8" xfId="12837" xr:uid="{00000000-0005-0000-0000-000040410000}"/>
    <cellStyle name="40% - Accent4 2 2 4 8 2" xfId="27986" xr:uid="{00000000-0005-0000-0000-000041410000}"/>
    <cellStyle name="40% - Accent4 2 2 4 9" xfId="14520" xr:uid="{00000000-0005-0000-0000-000042410000}"/>
    <cellStyle name="40% - Accent4 2 2 4 9 2" xfId="29669" xr:uid="{00000000-0005-0000-0000-000043410000}"/>
    <cellStyle name="40% - Accent4 2 2 5" xfId="1475" xr:uid="{00000000-0005-0000-0000-000044410000}"/>
    <cellStyle name="40% - Accent4 2 2 5 10" xfId="16624" xr:uid="{00000000-0005-0000-0000-000045410000}"/>
    <cellStyle name="40% - Accent4 2 2 5 11" xfId="31773" xr:uid="{00000000-0005-0000-0000-000046410000}"/>
    <cellStyle name="40% - Accent4 2 2 5 12" xfId="33456" xr:uid="{00000000-0005-0000-0000-000047410000}"/>
    <cellStyle name="40% - Accent4 2 2 5 13" xfId="35139" xr:uid="{00000000-0005-0000-0000-000048410000}"/>
    <cellStyle name="40% - Accent4 2 2 5 14" xfId="36822" xr:uid="{00000000-0005-0000-0000-000049410000}"/>
    <cellStyle name="40% - Accent4 2 2 5 15" xfId="38505" xr:uid="{00000000-0005-0000-0000-00004A410000}"/>
    <cellStyle name="40% - Accent4 2 2 5 16" xfId="40188" xr:uid="{00000000-0005-0000-0000-00004B410000}"/>
    <cellStyle name="40% - Accent4 2 2 5 17" xfId="41871" xr:uid="{00000000-0005-0000-0000-00004C410000}"/>
    <cellStyle name="40% - Accent4 2 2 5 18" xfId="43554" xr:uid="{00000000-0005-0000-0000-00004D410000}"/>
    <cellStyle name="40% - Accent4 2 2 5 19" xfId="45237" xr:uid="{00000000-0005-0000-0000-00004E410000}"/>
    <cellStyle name="40% - Accent4 2 2 5 2" xfId="3158" xr:uid="{00000000-0005-0000-0000-00004F410000}"/>
    <cellStyle name="40% - Accent4 2 2 5 2 2" xfId="18307" xr:uid="{00000000-0005-0000-0000-000050410000}"/>
    <cellStyle name="40% - Accent4 2 2 5 20" xfId="46920" xr:uid="{00000000-0005-0000-0000-000051410000}"/>
    <cellStyle name="40% - Accent4 2 2 5 21" xfId="48603" xr:uid="{00000000-0005-0000-0000-000052410000}"/>
    <cellStyle name="40% - Accent4 2 2 5 22" xfId="50286" xr:uid="{00000000-0005-0000-0000-000053410000}"/>
    <cellStyle name="40% - Accent4 2 2 5 23" xfId="51969" xr:uid="{00000000-0005-0000-0000-000054410000}"/>
    <cellStyle name="40% - Accent4 2 2 5 24" xfId="53652" xr:uid="{00000000-0005-0000-0000-000055410000}"/>
    <cellStyle name="40% - Accent4 2 2 5 25" xfId="55335" xr:uid="{00000000-0005-0000-0000-000056410000}"/>
    <cellStyle name="40% - Accent4 2 2 5 26" xfId="57018" xr:uid="{00000000-0005-0000-0000-000057410000}"/>
    <cellStyle name="40% - Accent4 2 2 5 27" xfId="58701" xr:uid="{00000000-0005-0000-0000-000058410000}"/>
    <cellStyle name="40% - Accent4 2 2 5 28" xfId="60384" xr:uid="{00000000-0005-0000-0000-000059410000}"/>
    <cellStyle name="40% - Accent4 2 2 5 29" xfId="62067" xr:uid="{00000000-0005-0000-0000-00005A410000}"/>
    <cellStyle name="40% - Accent4 2 2 5 3" xfId="4842" xr:uid="{00000000-0005-0000-0000-00005B410000}"/>
    <cellStyle name="40% - Accent4 2 2 5 3 2" xfId="19991" xr:uid="{00000000-0005-0000-0000-00005C410000}"/>
    <cellStyle name="40% - Accent4 2 2 5 30" xfId="63750" xr:uid="{00000000-0005-0000-0000-00005D410000}"/>
    <cellStyle name="40% - Accent4 2 2 5 4" xfId="6525" xr:uid="{00000000-0005-0000-0000-00005E410000}"/>
    <cellStyle name="40% - Accent4 2 2 5 4 2" xfId="21674" xr:uid="{00000000-0005-0000-0000-00005F410000}"/>
    <cellStyle name="40% - Accent4 2 2 5 5" xfId="8208" xr:uid="{00000000-0005-0000-0000-000060410000}"/>
    <cellStyle name="40% - Accent4 2 2 5 5 2" xfId="23357" xr:uid="{00000000-0005-0000-0000-000061410000}"/>
    <cellStyle name="40% - Accent4 2 2 5 6" xfId="9891" xr:uid="{00000000-0005-0000-0000-000062410000}"/>
    <cellStyle name="40% - Accent4 2 2 5 6 2" xfId="25040" xr:uid="{00000000-0005-0000-0000-000063410000}"/>
    <cellStyle name="40% - Accent4 2 2 5 7" xfId="11574" xr:uid="{00000000-0005-0000-0000-000064410000}"/>
    <cellStyle name="40% - Accent4 2 2 5 7 2" xfId="26723" xr:uid="{00000000-0005-0000-0000-000065410000}"/>
    <cellStyle name="40% - Accent4 2 2 5 8" xfId="13258" xr:uid="{00000000-0005-0000-0000-000066410000}"/>
    <cellStyle name="40% - Accent4 2 2 5 8 2" xfId="28407" xr:uid="{00000000-0005-0000-0000-000067410000}"/>
    <cellStyle name="40% - Accent4 2 2 5 9" xfId="14941" xr:uid="{00000000-0005-0000-0000-000068410000}"/>
    <cellStyle name="40% - Accent4 2 2 5 9 2" xfId="30090" xr:uid="{00000000-0005-0000-0000-000069410000}"/>
    <cellStyle name="40% - Accent4 2 2 6" xfId="1896" xr:uid="{00000000-0005-0000-0000-00006A410000}"/>
    <cellStyle name="40% - Accent4 2 2 6 2" xfId="17045" xr:uid="{00000000-0005-0000-0000-00006B410000}"/>
    <cellStyle name="40% - Accent4 2 2 7" xfId="3580" xr:uid="{00000000-0005-0000-0000-00006C410000}"/>
    <cellStyle name="40% - Accent4 2 2 7 2" xfId="18729" xr:uid="{00000000-0005-0000-0000-00006D410000}"/>
    <cellStyle name="40% - Accent4 2 2 8" xfId="5263" xr:uid="{00000000-0005-0000-0000-00006E410000}"/>
    <cellStyle name="40% - Accent4 2 2 8 2" xfId="20412" xr:uid="{00000000-0005-0000-0000-00006F410000}"/>
    <cellStyle name="40% - Accent4 2 2 9" xfId="6946" xr:uid="{00000000-0005-0000-0000-000070410000}"/>
    <cellStyle name="40% - Accent4 2 2 9 2" xfId="22095" xr:uid="{00000000-0005-0000-0000-000071410000}"/>
    <cellStyle name="40% - Accent4 2 20" xfId="37138" xr:uid="{00000000-0005-0000-0000-000072410000}"/>
    <cellStyle name="40% - Accent4 2 21" xfId="38821" xr:uid="{00000000-0005-0000-0000-000073410000}"/>
    <cellStyle name="40% - Accent4 2 22" xfId="40504" xr:uid="{00000000-0005-0000-0000-000074410000}"/>
    <cellStyle name="40% - Accent4 2 23" xfId="42187" xr:uid="{00000000-0005-0000-0000-000075410000}"/>
    <cellStyle name="40% - Accent4 2 24" xfId="43870" xr:uid="{00000000-0005-0000-0000-000076410000}"/>
    <cellStyle name="40% - Accent4 2 25" xfId="45553" xr:uid="{00000000-0005-0000-0000-000077410000}"/>
    <cellStyle name="40% - Accent4 2 26" xfId="47236" xr:uid="{00000000-0005-0000-0000-000078410000}"/>
    <cellStyle name="40% - Accent4 2 27" xfId="48919" xr:uid="{00000000-0005-0000-0000-000079410000}"/>
    <cellStyle name="40% - Accent4 2 28" xfId="50602" xr:uid="{00000000-0005-0000-0000-00007A410000}"/>
    <cellStyle name="40% - Accent4 2 29" xfId="52285" xr:uid="{00000000-0005-0000-0000-00007B410000}"/>
    <cellStyle name="40% - Accent4 2 3" xfId="318" xr:uid="{00000000-0005-0000-0000-00007C410000}"/>
    <cellStyle name="40% - Accent4 2 3 10" xfId="10417" xr:uid="{00000000-0005-0000-0000-00007D410000}"/>
    <cellStyle name="40% - Accent4 2 3 10 2" xfId="25566" xr:uid="{00000000-0005-0000-0000-00007E410000}"/>
    <cellStyle name="40% - Accent4 2 3 11" xfId="12101" xr:uid="{00000000-0005-0000-0000-00007F410000}"/>
    <cellStyle name="40% - Accent4 2 3 11 2" xfId="27250" xr:uid="{00000000-0005-0000-0000-000080410000}"/>
    <cellStyle name="40% - Accent4 2 3 12" xfId="13784" xr:uid="{00000000-0005-0000-0000-000081410000}"/>
    <cellStyle name="40% - Accent4 2 3 12 2" xfId="28933" xr:uid="{00000000-0005-0000-0000-000082410000}"/>
    <cellStyle name="40% - Accent4 2 3 13" xfId="15467" xr:uid="{00000000-0005-0000-0000-000083410000}"/>
    <cellStyle name="40% - Accent4 2 3 14" xfId="30616" xr:uid="{00000000-0005-0000-0000-000084410000}"/>
    <cellStyle name="40% - Accent4 2 3 15" xfId="32299" xr:uid="{00000000-0005-0000-0000-000085410000}"/>
    <cellStyle name="40% - Accent4 2 3 16" xfId="33982" xr:uid="{00000000-0005-0000-0000-000086410000}"/>
    <cellStyle name="40% - Accent4 2 3 17" xfId="35665" xr:uid="{00000000-0005-0000-0000-000087410000}"/>
    <cellStyle name="40% - Accent4 2 3 18" xfId="37348" xr:uid="{00000000-0005-0000-0000-000088410000}"/>
    <cellStyle name="40% - Accent4 2 3 19" xfId="39031" xr:uid="{00000000-0005-0000-0000-000089410000}"/>
    <cellStyle name="40% - Accent4 2 3 2" xfId="738" xr:uid="{00000000-0005-0000-0000-00008A410000}"/>
    <cellStyle name="40% - Accent4 2 3 2 10" xfId="15887" xr:uid="{00000000-0005-0000-0000-00008B410000}"/>
    <cellStyle name="40% - Accent4 2 3 2 11" xfId="31036" xr:uid="{00000000-0005-0000-0000-00008C410000}"/>
    <cellStyle name="40% - Accent4 2 3 2 12" xfId="32719" xr:uid="{00000000-0005-0000-0000-00008D410000}"/>
    <cellStyle name="40% - Accent4 2 3 2 13" xfId="34402" xr:uid="{00000000-0005-0000-0000-00008E410000}"/>
    <cellStyle name="40% - Accent4 2 3 2 14" xfId="36085" xr:uid="{00000000-0005-0000-0000-00008F410000}"/>
    <cellStyle name="40% - Accent4 2 3 2 15" xfId="37768" xr:uid="{00000000-0005-0000-0000-000090410000}"/>
    <cellStyle name="40% - Accent4 2 3 2 16" xfId="39451" xr:uid="{00000000-0005-0000-0000-000091410000}"/>
    <cellStyle name="40% - Accent4 2 3 2 17" xfId="41134" xr:uid="{00000000-0005-0000-0000-000092410000}"/>
    <cellStyle name="40% - Accent4 2 3 2 18" xfId="42817" xr:uid="{00000000-0005-0000-0000-000093410000}"/>
    <cellStyle name="40% - Accent4 2 3 2 19" xfId="44500" xr:uid="{00000000-0005-0000-0000-000094410000}"/>
    <cellStyle name="40% - Accent4 2 3 2 2" xfId="2421" xr:uid="{00000000-0005-0000-0000-000095410000}"/>
    <cellStyle name="40% - Accent4 2 3 2 2 2" xfId="17570" xr:uid="{00000000-0005-0000-0000-000096410000}"/>
    <cellStyle name="40% - Accent4 2 3 2 20" xfId="46183" xr:uid="{00000000-0005-0000-0000-000097410000}"/>
    <cellStyle name="40% - Accent4 2 3 2 21" xfId="47866" xr:uid="{00000000-0005-0000-0000-000098410000}"/>
    <cellStyle name="40% - Accent4 2 3 2 22" xfId="49549" xr:uid="{00000000-0005-0000-0000-000099410000}"/>
    <cellStyle name="40% - Accent4 2 3 2 23" xfId="51232" xr:uid="{00000000-0005-0000-0000-00009A410000}"/>
    <cellStyle name="40% - Accent4 2 3 2 24" xfId="52915" xr:uid="{00000000-0005-0000-0000-00009B410000}"/>
    <cellStyle name="40% - Accent4 2 3 2 25" xfId="54598" xr:uid="{00000000-0005-0000-0000-00009C410000}"/>
    <cellStyle name="40% - Accent4 2 3 2 26" xfId="56281" xr:uid="{00000000-0005-0000-0000-00009D410000}"/>
    <cellStyle name="40% - Accent4 2 3 2 27" xfId="57964" xr:uid="{00000000-0005-0000-0000-00009E410000}"/>
    <cellStyle name="40% - Accent4 2 3 2 28" xfId="59647" xr:uid="{00000000-0005-0000-0000-00009F410000}"/>
    <cellStyle name="40% - Accent4 2 3 2 29" xfId="61330" xr:uid="{00000000-0005-0000-0000-0000A0410000}"/>
    <cellStyle name="40% - Accent4 2 3 2 3" xfId="4105" xr:uid="{00000000-0005-0000-0000-0000A1410000}"/>
    <cellStyle name="40% - Accent4 2 3 2 3 2" xfId="19254" xr:uid="{00000000-0005-0000-0000-0000A2410000}"/>
    <cellStyle name="40% - Accent4 2 3 2 30" xfId="63013" xr:uid="{00000000-0005-0000-0000-0000A3410000}"/>
    <cellStyle name="40% - Accent4 2 3 2 4" xfId="5788" xr:uid="{00000000-0005-0000-0000-0000A4410000}"/>
    <cellStyle name="40% - Accent4 2 3 2 4 2" xfId="20937" xr:uid="{00000000-0005-0000-0000-0000A5410000}"/>
    <cellStyle name="40% - Accent4 2 3 2 5" xfId="7471" xr:uid="{00000000-0005-0000-0000-0000A6410000}"/>
    <cellStyle name="40% - Accent4 2 3 2 5 2" xfId="22620" xr:uid="{00000000-0005-0000-0000-0000A7410000}"/>
    <cellStyle name="40% - Accent4 2 3 2 6" xfId="9154" xr:uid="{00000000-0005-0000-0000-0000A8410000}"/>
    <cellStyle name="40% - Accent4 2 3 2 6 2" xfId="24303" xr:uid="{00000000-0005-0000-0000-0000A9410000}"/>
    <cellStyle name="40% - Accent4 2 3 2 7" xfId="10837" xr:uid="{00000000-0005-0000-0000-0000AA410000}"/>
    <cellStyle name="40% - Accent4 2 3 2 7 2" xfId="25986" xr:uid="{00000000-0005-0000-0000-0000AB410000}"/>
    <cellStyle name="40% - Accent4 2 3 2 8" xfId="12521" xr:uid="{00000000-0005-0000-0000-0000AC410000}"/>
    <cellStyle name="40% - Accent4 2 3 2 8 2" xfId="27670" xr:uid="{00000000-0005-0000-0000-0000AD410000}"/>
    <cellStyle name="40% - Accent4 2 3 2 9" xfId="14204" xr:uid="{00000000-0005-0000-0000-0000AE410000}"/>
    <cellStyle name="40% - Accent4 2 3 2 9 2" xfId="29353" xr:uid="{00000000-0005-0000-0000-0000AF410000}"/>
    <cellStyle name="40% - Accent4 2 3 20" xfId="40714" xr:uid="{00000000-0005-0000-0000-0000B0410000}"/>
    <cellStyle name="40% - Accent4 2 3 21" xfId="42397" xr:uid="{00000000-0005-0000-0000-0000B1410000}"/>
    <cellStyle name="40% - Accent4 2 3 22" xfId="44080" xr:uid="{00000000-0005-0000-0000-0000B2410000}"/>
    <cellStyle name="40% - Accent4 2 3 23" xfId="45763" xr:uid="{00000000-0005-0000-0000-0000B3410000}"/>
    <cellStyle name="40% - Accent4 2 3 24" xfId="47446" xr:uid="{00000000-0005-0000-0000-0000B4410000}"/>
    <cellStyle name="40% - Accent4 2 3 25" xfId="49129" xr:uid="{00000000-0005-0000-0000-0000B5410000}"/>
    <cellStyle name="40% - Accent4 2 3 26" xfId="50812" xr:uid="{00000000-0005-0000-0000-0000B6410000}"/>
    <cellStyle name="40% - Accent4 2 3 27" xfId="52495" xr:uid="{00000000-0005-0000-0000-0000B7410000}"/>
    <cellStyle name="40% - Accent4 2 3 28" xfId="54178" xr:uid="{00000000-0005-0000-0000-0000B8410000}"/>
    <cellStyle name="40% - Accent4 2 3 29" xfId="55861" xr:uid="{00000000-0005-0000-0000-0000B9410000}"/>
    <cellStyle name="40% - Accent4 2 3 3" xfId="1159" xr:uid="{00000000-0005-0000-0000-0000BA410000}"/>
    <cellStyle name="40% - Accent4 2 3 3 10" xfId="16308" xr:uid="{00000000-0005-0000-0000-0000BB410000}"/>
    <cellStyle name="40% - Accent4 2 3 3 11" xfId="31457" xr:uid="{00000000-0005-0000-0000-0000BC410000}"/>
    <cellStyle name="40% - Accent4 2 3 3 12" xfId="33140" xr:uid="{00000000-0005-0000-0000-0000BD410000}"/>
    <cellStyle name="40% - Accent4 2 3 3 13" xfId="34823" xr:uid="{00000000-0005-0000-0000-0000BE410000}"/>
    <cellStyle name="40% - Accent4 2 3 3 14" xfId="36506" xr:uid="{00000000-0005-0000-0000-0000BF410000}"/>
    <cellStyle name="40% - Accent4 2 3 3 15" xfId="38189" xr:uid="{00000000-0005-0000-0000-0000C0410000}"/>
    <cellStyle name="40% - Accent4 2 3 3 16" xfId="39872" xr:uid="{00000000-0005-0000-0000-0000C1410000}"/>
    <cellStyle name="40% - Accent4 2 3 3 17" xfId="41555" xr:uid="{00000000-0005-0000-0000-0000C2410000}"/>
    <cellStyle name="40% - Accent4 2 3 3 18" xfId="43238" xr:uid="{00000000-0005-0000-0000-0000C3410000}"/>
    <cellStyle name="40% - Accent4 2 3 3 19" xfId="44921" xr:uid="{00000000-0005-0000-0000-0000C4410000}"/>
    <cellStyle name="40% - Accent4 2 3 3 2" xfId="2842" xr:uid="{00000000-0005-0000-0000-0000C5410000}"/>
    <cellStyle name="40% - Accent4 2 3 3 2 2" xfId="17991" xr:uid="{00000000-0005-0000-0000-0000C6410000}"/>
    <cellStyle name="40% - Accent4 2 3 3 20" xfId="46604" xr:uid="{00000000-0005-0000-0000-0000C7410000}"/>
    <cellStyle name="40% - Accent4 2 3 3 21" xfId="48287" xr:uid="{00000000-0005-0000-0000-0000C8410000}"/>
    <cellStyle name="40% - Accent4 2 3 3 22" xfId="49970" xr:uid="{00000000-0005-0000-0000-0000C9410000}"/>
    <cellStyle name="40% - Accent4 2 3 3 23" xfId="51653" xr:uid="{00000000-0005-0000-0000-0000CA410000}"/>
    <cellStyle name="40% - Accent4 2 3 3 24" xfId="53336" xr:uid="{00000000-0005-0000-0000-0000CB410000}"/>
    <cellStyle name="40% - Accent4 2 3 3 25" xfId="55019" xr:uid="{00000000-0005-0000-0000-0000CC410000}"/>
    <cellStyle name="40% - Accent4 2 3 3 26" xfId="56702" xr:uid="{00000000-0005-0000-0000-0000CD410000}"/>
    <cellStyle name="40% - Accent4 2 3 3 27" xfId="58385" xr:uid="{00000000-0005-0000-0000-0000CE410000}"/>
    <cellStyle name="40% - Accent4 2 3 3 28" xfId="60068" xr:uid="{00000000-0005-0000-0000-0000CF410000}"/>
    <cellStyle name="40% - Accent4 2 3 3 29" xfId="61751" xr:uid="{00000000-0005-0000-0000-0000D0410000}"/>
    <cellStyle name="40% - Accent4 2 3 3 3" xfId="4526" xr:uid="{00000000-0005-0000-0000-0000D1410000}"/>
    <cellStyle name="40% - Accent4 2 3 3 3 2" xfId="19675" xr:uid="{00000000-0005-0000-0000-0000D2410000}"/>
    <cellStyle name="40% - Accent4 2 3 3 30" xfId="63434" xr:uid="{00000000-0005-0000-0000-0000D3410000}"/>
    <cellStyle name="40% - Accent4 2 3 3 4" xfId="6209" xr:uid="{00000000-0005-0000-0000-0000D4410000}"/>
    <cellStyle name="40% - Accent4 2 3 3 4 2" xfId="21358" xr:uid="{00000000-0005-0000-0000-0000D5410000}"/>
    <cellStyle name="40% - Accent4 2 3 3 5" xfId="7892" xr:uid="{00000000-0005-0000-0000-0000D6410000}"/>
    <cellStyle name="40% - Accent4 2 3 3 5 2" xfId="23041" xr:uid="{00000000-0005-0000-0000-0000D7410000}"/>
    <cellStyle name="40% - Accent4 2 3 3 6" xfId="9575" xr:uid="{00000000-0005-0000-0000-0000D8410000}"/>
    <cellStyle name="40% - Accent4 2 3 3 6 2" xfId="24724" xr:uid="{00000000-0005-0000-0000-0000D9410000}"/>
    <cellStyle name="40% - Accent4 2 3 3 7" xfId="11258" xr:uid="{00000000-0005-0000-0000-0000DA410000}"/>
    <cellStyle name="40% - Accent4 2 3 3 7 2" xfId="26407" xr:uid="{00000000-0005-0000-0000-0000DB410000}"/>
    <cellStyle name="40% - Accent4 2 3 3 8" xfId="12942" xr:uid="{00000000-0005-0000-0000-0000DC410000}"/>
    <cellStyle name="40% - Accent4 2 3 3 8 2" xfId="28091" xr:uid="{00000000-0005-0000-0000-0000DD410000}"/>
    <cellStyle name="40% - Accent4 2 3 3 9" xfId="14625" xr:uid="{00000000-0005-0000-0000-0000DE410000}"/>
    <cellStyle name="40% - Accent4 2 3 3 9 2" xfId="29774" xr:uid="{00000000-0005-0000-0000-0000DF410000}"/>
    <cellStyle name="40% - Accent4 2 3 30" xfId="57544" xr:uid="{00000000-0005-0000-0000-0000E0410000}"/>
    <cellStyle name="40% - Accent4 2 3 31" xfId="59227" xr:uid="{00000000-0005-0000-0000-0000E1410000}"/>
    <cellStyle name="40% - Accent4 2 3 32" xfId="60910" xr:uid="{00000000-0005-0000-0000-0000E2410000}"/>
    <cellStyle name="40% - Accent4 2 3 33" xfId="62593" xr:uid="{00000000-0005-0000-0000-0000E3410000}"/>
    <cellStyle name="40% - Accent4 2 3 4" xfId="1580" xr:uid="{00000000-0005-0000-0000-0000E4410000}"/>
    <cellStyle name="40% - Accent4 2 3 4 10" xfId="16729" xr:uid="{00000000-0005-0000-0000-0000E5410000}"/>
    <cellStyle name="40% - Accent4 2 3 4 11" xfId="31878" xr:uid="{00000000-0005-0000-0000-0000E6410000}"/>
    <cellStyle name="40% - Accent4 2 3 4 12" xfId="33561" xr:uid="{00000000-0005-0000-0000-0000E7410000}"/>
    <cellStyle name="40% - Accent4 2 3 4 13" xfId="35244" xr:uid="{00000000-0005-0000-0000-0000E8410000}"/>
    <cellStyle name="40% - Accent4 2 3 4 14" xfId="36927" xr:uid="{00000000-0005-0000-0000-0000E9410000}"/>
    <cellStyle name="40% - Accent4 2 3 4 15" xfId="38610" xr:uid="{00000000-0005-0000-0000-0000EA410000}"/>
    <cellStyle name="40% - Accent4 2 3 4 16" xfId="40293" xr:uid="{00000000-0005-0000-0000-0000EB410000}"/>
    <cellStyle name="40% - Accent4 2 3 4 17" xfId="41976" xr:uid="{00000000-0005-0000-0000-0000EC410000}"/>
    <cellStyle name="40% - Accent4 2 3 4 18" xfId="43659" xr:uid="{00000000-0005-0000-0000-0000ED410000}"/>
    <cellStyle name="40% - Accent4 2 3 4 19" xfId="45342" xr:uid="{00000000-0005-0000-0000-0000EE410000}"/>
    <cellStyle name="40% - Accent4 2 3 4 2" xfId="3263" xr:uid="{00000000-0005-0000-0000-0000EF410000}"/>
    <cellStyle name="40% - Accent4 2 3 4 2 2" xfId="18412" xr:uid="{00000000-0005-0000-0000-0000F0410000}"/>
    <cellStyle name="40% - Accent4 2 3 4 20" xfId="47025" xr:uid="{00000000-0005-0000-0000-0000F1410000}"/>
    <cellStyle name="40% - Accent4 2 3 4 21" xfId="48708" xr:uid="{00000000-0005-0000-0000-0000F2410000}"/>
    <cellStyle name="40% - Accent4 2 3 4 22" xfId="50391" xr:uid="{00000000-0005-0000-0000-0000F3410000}"/>
    <cellStyle name="40% - Accent4 2 3 4 23" xfId="52074" xr:uid="{00000000-0005-0000-0000-0000F4410000}"/>
    <cellStyle name="40% - Accent4 2 3 4 24" xfId="53757" xr:uid="{00000000-0005-0000-0000-0000F5410000}"/>
    <cellStyle name="40% - Accent4 2 3 4 25" xfId="55440" xr:uid="{00000000-0005-0000-0000-0000F6410000}"/>
    <cellStyle name="40% - Accent4 2 3 4 26" xfId="57123" xr:uid="{00000000-0005-0000-0000-0000F7410000}"/>
    <cellStyle name="40% - Accent4 2 3 4 27" xfId="58806" xr:uid="{00000000-0005-0000-0000-0000F8410000}"/>
    <cellStyle name="40% - Accent4 2 3 4 28" xfId="60489" xr:uid="{00000000-0005-0000-0000-0000F9410000}"/>
    <cellStyle name="40% - Accent4 2 3 4 29" xfId="62172" xr:uid="{00000000-0005-0000-0000-0000FA410000}"/>
    <cellStyle name="40% - Accent4 2 3 4 3" xfId="4947" xr:uid="{00000000-0005-0000-0000-0000FB410000}"/>
    <cellStyle name="40% - Accent4 2 3 4 3 2" xfId="20096" xr:uid="{00000000-0005-0000-0000-0000FC410000}"/>
    <cellStyle name="40% - Accent4 2 3 4 30" xfId="63855" xr:uid="{00000000-0005-0000-0000-0000FD410000}"/>
    <cellStyle name="40% - Accent4 2 3 4 4" xfId="6630" xr:uid="{00000000-0005-0000-0000-0000FE410000}"/>
    <cellStyle name="40% - Accent4 2 3 4 4 2" xfId="21779" xr:uid="{00000000-0005-0000-0000-0000FF410000}"/>
    <cellStyle name="40% - Accent4 2 3 4 5" xfId="8313" xr:uid="{00000000-0005-0000-0000-000000420000}"/>
    <cellStyle name="40% - Accent4 2 3 4 5 2" xfId="23462" xr:uid="{00000000-0005-0000-0000-000001420000}"/>
    <cellStyle name="40% - Accent4 2 3 4 6" xfId="9996" xr:uid="{00000000-0005-0000-0000-000002420000}"/>
    <cellStyle name="40% - Accent4 2 3 4 6 2" xfId="25145" xr:uid="{00000000-0005-0000-0000-000003420000}"/>
    <cellStyle name="40% - Accent4 2 3 4 7" xfId="11679" xr:uid="{00000000-0005-0000-0000-000004420000}"/>
    <cellStyle name="40% - Accent4 2 3 4 7 2" xfId="26828" xr:uid="{00000000-0005-0000-0000-000005420000}"/>
    <cellStyle name="40% - Accent4 2 3 4 8" xfId="13363" xr:uid="{00000000-0005-0000-0000-000006420000}"/>
    <cellStyle name="40% - Accent4 2 3 4 8 2" xfId="28512" xr:uid="{00000000-0005-0000-0000-000007420000}"/>
    <cellStyle name="40% - Accent4 2 3 4 9" xfId="15046" xr:uid="{00000000-0005-0000-0000-000008420000}"/>
    <cellStyle name="40% - Accent4 2 3 4 9 2" xfId="30195" xr:uid="{00000000-0005-0000-0000-000009420000}"/>
    <cellStyle name="40% - Accent4 2 3 5" xfId="2001" xr:uid="{00000000-0005-0000-0000-00000A420000}"/>
    <cellStyle name="40% - Accent4 2 3 5 2" xfId="17150" xr:uid="{00000000-0005-0000-0000-00000B420000}"/>
    <cellStyle name="40% - Accent4 2 3 6" xfId="3685" xr:uid="{00000000-0005-0000-0000-00000C420000}"/>
    <cellStyle name="40% - Accent4 2 3 6 2" xfId="18834" xr:uid="{00000000-0005-0000-0000-00000D420000}"/>
    <cellStyle name="40% - Accent4 2 3 7" xfId="5368" xr:uid="{00000000-0005-0000-0000-00000E420000}"/>
    <cellStyle name="40% - Accent4 2 3 7 2" xfId="20517" xr:uid="{00000000-0005-0000-0000-00000F420000}"/>
    <cellStyle name="40% - Accent4 2 3 8" xfId="7051" xr:uid="{00000000-0005-0000-0000-000010420000}"/>
    <cellStyle name="40% - Accent4 2 3 8 2" xfId="22200" xr:uid="{00000000-0005-0000-0000-000011420000}"/>
    <cellStyle name="40% - Accent4 2 3 9" xfId="8734" xr:uid="{00000000-0005-0000-0000-000012420000}"/>
    <cellStyle name="40% - Accent4 2 3 9 2" xfId="23883" xr:uid="{00000000-0005-0000-0000-000013420000}"/>
    <cellStyle name="40% - Accent4 2 30" xfId="53968" xr:uid="{00000000-0005-0000-0000-000014420000}"/>
    <cellStyle name="40% - Accent4 2 31" xfId="55651" xr:uid="{00000000-0005-0000-0000-000015420000}"/>
    <cellStyle name="40% - Accent4 2 32" xfId="57334" xr:uid="{00000000-0005-0000-0000-000016420000}"/>
    <cellStyle name="40% - Accent4 2 33" xfId="59017" xr:uid="{00000000-0005-0000-0000-000017420000}"/>
    <cellStyle name="40% - Accent4 2 34" xfId="60700" xr:uid="{00000000-0005-0000-0000-000018420000}"/>
    <cellStyle name="40% - Accent4 2 35" xfId="62383" xr:uid="{00000000-0005-0000-0000-000019420000}"/>
    <cellStyle name="40% - Accent4 2 4" xfId="528" xr:uid="{00000000-0005-0000-0000-00001A420000}"/>
    <cellStyle name="40% - Accent4 2 4 10" xfId="15677" xr:uid="{00000000-0005-0000-0000-00001B420000}"/>
    <cellStyle name="40% - Accent4 2 4 11" xfId="30826" xr:uid="{00000000-0005-0000-0000-00001C420000}"/>
    <cellStyle name="40% - Accent4 2 4 12" xfId="32509" xr:uid="{00000000-0005-0000-0000-00001D420000}"/>
    <cellStyle name="40% - Accent4 2 4 13" xfId="34192" xr:uid="{00000000-0005-0000-0000-00001E420000}"/>
    <cellStyle name="40% - Accent4 2 4 14" xfId="35875" xr:uid="{00000000-0005-0000-0000-00001F420000}"/>
    <cellStyle name="40% - Accent4 2 4 15" xfId="37558" xr:uid="{00000000-0005-0000-0000-000020420000}"/>
    <cellStyle name="40% - Accent4 2 4 16" xfId="39241" xr:uid="{00000000-0005-0000-0000-000021420000}"/>
    <cellStyle name="40% - Accent4 2 4 17" xfId="40924" xr:uid="{00000000-0005-0000-0000-000022420000}"/>
    <cellStyle name="40% - Accent4 2 4 18" xfId="42607" xr:uid="{00000000-0005-0000-0000-000023420000}"/>
    <cellStyle name="40% - Accent4 2 4 19" xfId="44290" xr:uid="{00000000-0005-0000-0000-000024420000}"/>
    <cellStyle name="40% - Accent4 2 4 2" xfId="2211" xr:uid="{00000000-0005-0000-0000-000025420000}"/>
    <cellStyle name="40% - Accent4 2 4 2 2" xfId="17360" xr:uid="{00000000-0005-0000-0000-000026420000}"/>
    <cellStyle name="40% - Accent4 2 4 20" xfId="45973" xr:uid="{00000000-0005-0000-0000-000027420000}"/>
    <cellStyle name="40% - Accent4 2 4 21" xfId="47656" xr:uid="{00000000-0005-0000-0000-000028420000}"/>
    <cellStyle name="40% - Accent4 2 4 22" xfId="49339" xr:uid="{00000000-0005-0000-0000-000029420000}"/>
    <cellStyle name="40% - Accent4 2 4 23" xfId="51022" xr:uid="{00000000-0005-0000-0000-00002A420000}"/>
    <cellStyle name="40% - Accent4 2 4 24" xfId="52705" xr:uid="{00000000-0005-0000-0000-00002B420000}"/>
    <cellStyle name="40% - Accent4 2 4 25" xfId="54388" xr:uid="{00000000-0005-0000-0000-00002C420000}"/>
    <cellStyle name="40% - Accent4 2 4 26" xfId="56071" xr:uid="{00000000-0005-0000-0000-00002D420000}"/>
    <cellStyle name="40% - Accent4 2 4 27" xfId="57754" xr:uid="{00000000-0005-0000-0000-00002E420000}"/>
    <cellStyle name="40% - Accent4 2 4 28" xfId="59437" xr:uid="{00000000-0005-0000-0000-00002F420000}"/>
    <cellStyle name="40% - Accent4 2 4 29" xfId="61120" xr:uid="{00000000-0005-0000-0000-000030420000}"/>
    <cellStyle name="40% - Accent4 2 4 3" xfId="3895" xr:uid="{00000000-0005-0000-0000-000031420000}"/>
    <cellStyle name="40% - Accent4 2 4 3 2" xfId="19044" xr:uid="{00000000-0005-0000-0000-000032420000}"/>
    <cellStyle name="40% - Accent4 2 4 30" xfId="62803" xr:uid="{00000000-0005-0000-0000-000033420000}"/>
    <cellStyle name="40% - Accent4 2 4 4" xfId="5578" xr:uid="{00000000-0005-0000-0000-000034420000}"/>
    <cellStyle name="40% - Accent4 2 4 4 2" xfId="20727" xr:uid="{00000000-0005-0000-0000-000035420000}"/>
    <cellStyle name="40% - Accent4 2 4 5" xfId="7261" xr:uid="{00000000-0005-0000-0000-000036420000}"/>
    <cellStyle name="40% - Accent4 2 4 5 2" xfId="22410" xr:uid="{00000000-0005-0000-0000-000037420000}"/>
    <cellStyle name="40% - Accent4 2 4 6" xfId="8944" xr:uid="{00000000-0005-0000-0000-000038420000}"/>
    <cellStyle name="40% - Accent4 2 4 6 2" xfId="24093" xr:uid="{00000000-0005-0000-0000-000039420000}"/>
    <cellStyle name="40% - Accent4 2 4 7" xfId="10627" xr:uid="{00000000-0005-0000-0000-00003A420000}"/>
    <cellStyle name="40% - Accent4 2 4 7 2" xfId="25776" xr:uid="{00000000-0005-0000-0000-00003B420000}"/>
    <cellStyle name="40% - Accent4 2 4 8" xfId="12311" xr:uid="{00000000-0005-0000-0000-00003C420000}"/>
    <cellStyle name="40% - Accent4 2 4 8 2" xfId="27460" xr:uid="{00000000-0005-0000-0000-00003D420000}"/>
    <cellStyle name="40% - Accent4 2 4 9" xfId="13994" xr:uid="{00000000-0005-0000-0000-00003E420000}"/>
    <cellStyle name="40% - Accent4 2 4 9 2" xfId="29143" xr:uid="{00000000-0005-0000-0000-00003F420000}"/>
    <cellStyle name="40% - Accent4 2 5" xfId="949" xr:uid="{00000000-0005-0000-0000-000040420000}"/>
    <cellStyle name="40% - Accent4 2 5 10" xfId="16098" xr:uid="{00000000-0005-0000-0000-000041420000}"/>
    <cellStyle name="40% - Accent4 2 5 11" xfId="31247" xr:uid="{00000000-0005-0000-0000-000042420000}"/>
    <cellStyle name="40% - Accent4 2 5 12" xfId="32930" xr:uid="{00000000-0005-0000-0000-000043420000}"/>
    <cellStyle name="40% - Accent4 2 5 13" xfId="34613" xr:uid="{00000000-0005-0000-0000-000044420000}"/>
    <cellStyle name="40% - Accent4 2 5 14" xfId="36296" xr:uid="{00000000-0005-0000-0000-000045420000}"/>
    <cellStyle name="40% - Accent4 2 5 15" xfId="37979" xr:uid="{00000000-0005-0000-0000-000046420000}"/>
    <cellStyle name="40% - Accent4 2 5 16" xfId="39662" xr:uid="{00000000-0005-0000-0000-000047420000}"/>
    <cellStyle name="40% - Accent4 2 5 17" xfId="41345" xr:uid="{00000000-0005-0000-0000-000048420000}"/>
    <cellStyle name="40% - Accent4 2 5 18" xfId="43028" xr:uid="{00000000-0005-0000-0000-000049420000}"/>
    <cellStyle name="40% - Accent4 2 5 19" xfId="44711" xr:uid="{00000000-0005-0000-0000-00004A420000}"/>
    <cellStyle name="40% - Accent4 2 5 2" xfId="2632" xr:uid="{00000000-0005-0000-0000-00004B420000}"/>
    <cellStyle name="40% - Accent4 2 5 2 2" xfId="17781" xr:uid="{00000000-0005-0000-0000-00004C420000}"/>
    <cellStyle name="40% - Accent4 2 5 20" xfId="46394" xr:uid="{00000000-0005-0000-0000-00004D420000}"/>
    <cellStyle name="40% - Accent4 2 5 21" xfId="48077" xr:uid="{00000000-0005-0000-0000-00004E420000}"/>
    <cellStyle name="40% - Accent4 2 5 22" xfId="49760" xr:uid="{00000000-0005-0000-0000-00004F420000}"/>
    <cellStyle name="40% - Accent4 2 5 23" xfId="51443" xr:uid="{00000000-0005-0000-0000-000050420000}"/>
    <cellStyle name="40% - Accent4 2 5 24" xfId="53126" xr:uid="{00000000-0005-0000-0000-000051420000}"/>
    <cellStyle name="40% - Accent4 2 5 25" xfId="54809" xr:uid="{00000000-0005-0000-0000-000052420000}"/>
    <cellStyle name="40% - Accent4 2 5 26" xfId="56492" xr:uid="{00000000-0005-0000-0000-000053420000}"/>
    <cellStyle name="40% - Accent4 2 5 27" xfId="58175" xr:uid="{00000000-0005-0000-0000-000054420000}"/>
    <cellStyle name="40% - Accent4 2 5 28" xfId="59858" xr:uid="{00000000-0005-0000-0000-000055420000}"/>
    <cellStyle name="40% - Accent4 2 5 29" xfId="61541" xr:uid="{00000000-0005-0000-0000-000056420000}"/>
    <cellStyle name="40% - Accent4 2 5 3" xfId="4316" xr:uid="{00000000-0005-0000-0000-000057420000}"/>
    <cellStyle name="40% - Accent4 2 5 3 2" xfId="19465" xr:uid="{00000000-0005-0000-0000-000058420000}"/>
    <cellStyle name="40% - Accent4 2 5 30" xfId="63224" xr:uid="{00000000-0005-0000-0000-000059420000}"/>
    <cellStyle name="40% - Accent4 2 5 4" xfId="5999" xr:uid="{00000000-0005-0000-0000-00005A420000}"/>
    <cellStyle name="40% - Accent4 2 5 4 2" xfId="21148" xr:uid="{00000000-0005-0000-0000-00005B420000}"/>
    <cellStyle name="40% - Accent4 2 5 5" xfId="7682" xr:uid="{00000000-0005-0000-0000-00005C420000}"/>
    <cellStyle name="40% - Accent4 2 5 5 2" xfId="22831" xr:uid="{00000000-0005-0000-0000-00005D420000}"/>
    <cellStyle name="40% - Accent4 2 5 6" xfId="9365" xr:uid="{00000000-0005-0000-0000-00005E420000}"/>
    <cellStyle name="40% - Accent4 2 5 6 2" xfId="24514" xr:uid="{00000000-0005-0000-0000-00005F420000}"/>
    <cellStyle name="40% - Accent4 2 5 7" xfId="11048" xr:uid="{00000000-0005-0000-0000-000060420000}"/>
    <cellStyle name="40% - Accent4 2 5 7 2" xfId="26197" xr:uid="{00000000-0005-0000-0000-000061420000}"/>
    <cellStyle name="40% - Accent4 2 5 8" xfId="12732" xr:uid="{00000000-0005-0000-0000-000062420000}"/>
    <cellStyle name="40% - Accent4 2 5 8 2" xfId="27881" xr:uid="{00000000-0005-0000-0000-000063420000}"/>
    <cellStyle name="40% - Accent4 2 5 9" xfId="14415" xr:uid="{00000000-0005-0000-0000-000064420000}"/>
    <cellStyle name="40% - Accent4 2 5 9 2" xfId="29564" xr:uid="{00000000-0005-0000-0000-000065420000}"/>
    <cellStyle name="40% - Accent4 2 6" xfId="1370" xr:uid="{00000000-0005-0000-0000-000066420000}"/>
    <cellStyle name="40% - Accent4 2 6 10" xfId="16519" xr:uid="{00000000-0005-0000-0000-000067420000}"/>
    <cellStyle name="40% - Accent4 2 6 11" xfId="31668" xr:uid="{00000000-0005-0000-0000-000068420000}"/>
    <cellStyle name="40% - Accent4 2 6 12" xfId="33351" xr:uid="{00000000-0005-0000-0000-000069420000}"/>
    <cellStyle name="40% - Accent4 2 6 13" xfId="35034" xr:uid="{00000000-0005-0000-0000-00006A420000}"/>
    <cellStyle name="40% - Accent4 2 6 14" xfId="36717" xr:uid="{00000000-0005-0000-0000-00006B420000}"/>
    <cellStyle name="40% - Accent4 2 6 15" xfId="38400" xr:uid="{00000000-0005-0000-0000-00006C420000}"/>
    <cellStyle name="40% - Accent4 2 6 16" xfId="40083" xr:uid="{00000000-0005-0000-0000-00006D420000}"/>
    <cellStyle name="40% - Accent4 2 6 17" xfId="41766" xr:uid="{00000000-0005-0000-0000-00006E420000}"/>
    <cellStyle name="40% - Accent4 2 6 18" xfId="43449" xr:uid="{00000000-0005-0000-0000-00006F420000}"/>
    <cellStyle name="40% - Accent4 2 6 19" xfId="45132" xr:uid="{00000000-0005-0000-0000-000070420000}"/>
    <cellStyle name="40% - Accent4 2 6 2" xfId="3053" xr:uid="{00000000-0005-0000-0000-000071420000}"/>
    <cellStyle name="40% - Accent4 2 6 2 2" xfId="18202" xr:uid="{00000000-0005-0000-0000-000072420000}"/>
    <cellStyle name="40% - Accent4 2 6 20" xfId="46815" xr:uid="{00000000-0005-0000-0000-000073420000}"/>
    <cellStyle name="40% - Accent4 2 6 21" xfId="48498" xr:uid="{00000000-0005-0000-0000-000074420000}"/>
    <cellStyle name="40% - Accent4 2 6 22" xfId="50181" xr:uid="{00000000-0005-0000-0000-000075420000}"/>
    <cellStyle name="40% - Accent4 2 6 23" xfId="51864" xr:uid="{00000000-0005-0000-0000-000076420000}"/>
    <cellStyle name="40% - Accent4 2 6 24" xfId="53547" xr:uid="{00000000-0005-0000-0000-000077420000}"/>
    <cellStyle name="40% - Accent4 2 6 25" xfId="55230" xr:uid="{00000000-0005-0000-0000-000078420000}"/>
    <cellStyle name="40% - Accent4 2 6 26" xfId="56913" xr:uid="{00000000-0005-0000-0000-000079420000}"/>
    <cellStyle name="40% - Accent4 2 6 27" xfId="58596" xr:uid="{00000000-0005-0000-0000-00007A420000}"/>
    <cellStyle name="40% - Accent4 2 6 28" xfId="60279" xr:uid="{00000000-0005-0000-0000-00007B420000}"/>
    <cellStyle name="40% - Accent4 2 6 29" xfId="61962" xr:uid="{00000000-0005-0000-0000-00007C420000}"/>
    <cellStyle name="40% - Accent4 2 6 3" xfId="4737" xr:uid="{00000000-0005-0000-0000-00007D420000}"/>
    <cellStyle name="40% - Accent4 2 6 3 2" xfId="19886" xr:uid="{00000000-0005-0000-0000-00007E420000}"/>
    <cellStyle name="40% - Accent4 2 6 30" xfId="63645" xr:uid="{00000000-0005-0000-0000-00007F420000}"/>
    <cellStyle name="40% - Accent4 2 6 4" xfId="6420" xr:uid="{00000000-0005-0000-0000-000080420000}"/>
    <cellStyle name="40% - Accent4 2 6 4 2" xfId="21569" xr:uid="{00000000-0005-0000-0000-000081420000}"/>
    <cellStyle name="40% - Accent4 2 6 5" xfId="8103" xr:uid="{00000000-0005-0000-0000-000082420000}"/>
    <cellStyle name="40% - Accent4 2 6 5 2" xfId="23252" xr:uid="{00000000-0005-0000-0000-000083420000}"/>
    <cellStyle name="40% - Accent4 2 6 6" xfId="9786" xr:uid="{00000000-0005-0000-0000-000084420000}"/>
    <cellStyle name="40% - Accent4 2 6 6 2" xfId="24935" xr:uid="{00000000-0005-0000-0000-000085420000}"/>
    <cellStyle name="40% - Accent4 2 6 7" xfId="11469" xr:uid="{00000000-0005-0000-0000-000086420000}"/>
    <cellStyle name="40% - Accent4 2 6 7 2" xfId="26618" xr:uid="{00000000-0005-0000-0000-000087420000}"/>
    <cellStyle name="40% - Accent4 2 6 8" xfId="13153" xr:uid="{00000000-0005-0000-0000-000088420000}"/>
    <cellStyle name="40% - Accent4 2 6 8 2" xfId="28302" xr:uid="{00000000-0005-0000-0000-000089420000}"/>
    <cellStyle name="40% - Accent4 2 6 9" xfId="14836" xr:uid="{00000000-0005-0000-0000-00008A420000}"/>
    <cellStyle name="40% - Accent4 2 6 9 2" xfId="29985" xr:uid="{00000000-0005-0000-0000-00008B420000}"/>
    <cellStyle name="40% - Accent4 2 7" xfId="1791" xr:uid="{00000000-0005-0000-0000-00008C420000}"/>
    <cellStyle name="40% - Accent4 2 7 2" xfId="16940" xr:uid="{00000000-0005-0000-0000-00008D420000}"/>
    <cellStyle name="40% - Accent4 2 8" xfId="3475" xr:uid="{00000000-0005-0000-0000-00008E420000}"/>
    <cellStyle name="40% - Accent4 2 8 2" xfId="18624" xr:uid="{00000000-0005-0000-0000-00008F420000}"/>
    <cellStyle name="40% - Accent4 2 9" xfId="5158" xr:uid="{00000000-0005-0000-0000-000090420000}"/>
    <cellStyle name="40% - Accent4 2 9 2" xfId="20307" xr:uid="{00000000-0005-0000-0000-000091420000}"/>
    <cellStyle name="40% - Accent4 20" xfId="33750" xr:uid="{00000000-0005-0000-0000-000092420000}"/>
    <cellStyle name="40% - Accent4 21" xfId="35433" xr:uid="{00000000-0005-0000-0000-000093420000}"/>
    <cellStyle name="40% - Accent4 22" xfId="37116" xr:uid="{00000000-0005-0000-0000-000094420000}"/>
    <cellStyle name="40% - Accent4 23" xfId="38799" xr:uid="{00000000-0005-0000-0000-000095420000}"/>
    <cellStyle name="40% - Accent4 24" xfId="40482" xr:uid="{00000000-0005-0000-0000-000096420000}"/>
    <cellStyle name="40% - Accent4 25" xfId="42165" xr:uid="{00000000-0005-0000-0000-000097420000}"/>
    <cellStyle name="40% - Accent4 26" xfId="43848" xr:uid="{00000000-0005-0000-0000-000098420000}"/>
    <cellStyle name="40% - Accent4 27" xfId="45531" xr:uid="{00000000-0005-0000-0000-000099420000}"/>
    <cellStyle name="40% - Accent4 28" xfId="47214" xr:uid="{00000000-0005-0000-0000-00009A420000}"/>
    <cellStyle name="40% - Accent4 29" xfId="48897" xr:uid="{00000000-0005-0000-0000-00009B420000}"/>
    <cellStyle name="40% - Accent4 3" xfId="128" xr:uid="{00000000-0005-0000-0000-00009C420000}"/>
    <cellStyle name="40% - Accent4 3 10" xfId="6861" xr:uid="{00000000-0005-0000-0000-00009D420000}"/>
    <cellStyle name="40% - Accent4 3 10 2" xfId="22010" xr:uid="{00000000-0005-0000-0000-00009E420000}"/>
    <cellStyle name="40% - Accent4 3 11" xfId="8544" xr:uid="{00000000-0005-0000-0000-00009F420000}"/>
    <cellStyle name="40% - Accent4 3 11 2" xfId="23693" xr:uid="{00000000-0005-0000-0000-0000A0420000}"/>
    <cellStyle name="40% - Accent4 3 12" xfId="10227" xr:uid="{00000000-0005-0000-0000-0000A1420000}"/>
    <cellStyle name="40% - Accent4 3 12 2" xfId="25376" xr:uid="{00000000-0005-0000-0000-0000A2420000}"/>
    <cellStyle name="40% - Accent4 3 13" xfId="11911" xr:uid="{00000000-0005-0000-0000-0000A3420000}"/>
    <cellStyle name="40% - Accent4 3 13 2" xfId="27060" xr:uid="{00000000-0005-0000-0000-0000A4420000}"/>
    <cellStyle name="40% - Accent4 3 14" xfId="13594" xr:uid="{00000000-0005-0000-0000-0000A5420000}"/>
    <cellStyle name="40% - Accent4 3 14 2" xfId="28743" xr:uid="{00000000-0005-0000-0000-0000A6420000}"/>
    <cellStyle name="40% - Accent4 3 15" xfId="15277" xr:uid="{00000000-0005-0000-0000-0000A7420000}"/>
    <cellStyle name="40% - Accent4 3 16" xfId="30426" xr:uid="{00000000-0005-0000-0000-0000A8420000}"/>
    <cellStyle name="40% - Accent4 3 17" xfId="32109" xr:uid="{00000000-0005-0000-0000-0000A9420000}"/>
    <cellStyle name="40% - Accent4 3 18" xfId="33792" xr:uid="{00000000-0005-0000-0000-0000AA420000}"/>
    <cellStyle name="40% - Accent4 3 19" xfId="35475" xr:uid="{00000000-0005-0000-0000-0000AB420000}"/>
    <cellStyle name="40% - Accent4 3 2" xfId="233" xr:uid="{00000000-0005-0000-0000-0000AC420000}"/>
    <cellStyle name="40% - Accent4 3 2 10" xfId="8649" xr:uid="{00000000-0005-0000-0000-0000AD420000}"/>
    <cellStyle name="40% - Accent4 3 2 10 2" xfId="23798" xr:uid="{00000000-0005-0000-0000-0000AE420000}"/>
    <cellStyle name="40% - Accent4 3 2 11" xfId="10332" xr:uid="{00000000-0005-0000-0000-0000AF420000}"/>
    <cellStyle name="40% - Accent4 3 2 11 2" xfId="25481" xr:uid="{00000000-0005-0000-0000-0000B0420000}"/>
    <cellStyle name="40% - Accent4 3 2 12" xfId="12016" xr:uid="{00000000-0005-0000-0000-0000B1420000}"/>
    <cellStyle name="40% - Accent4 3 2 12 2" xfId="27165" xr:uid="{00000000-0005-0000-0000-0000B2420000}"/>
    <cellStyle name="40% - Accent4 3 2 13" xfId="13699" xr:uid="{00000000-0005-0000-0000-0000B3420000}"/>
    <cellStyle name="40% - Accent4 3 2 13 2" xfId="28848" xr:uid="{00000000-0005-0000-0000-0000B4420000}"/>
    <cellStyle name="40% - Accent4 3 2 14" xfId="15382" xr:uid="{00000000-0005-0000-0000-0000B5420000}"/>
    <cellStyle name="40% - Accent4 3 2 15" xfId="30531" xr:uid="{00000000-0005-0000-0000-0000B6420000}"/>
    <cellStyle name="40% - Accent4 3 2 16" xfId="32214" xr:uid="{00000000-0005-0000-0000-0000B7420000}"/>
    <cellStyle name="40% - Accent4 3 2 17" xfId="33897" xr:uid="{00000000-0005-0000-0000-0000B8420000}"/>
    <cellStyle name="40% - Accent4 3 2 18" xfId="35580" xr:uid="{00000000-0005-0000-0000-0000B9420000}"/>
    <cellStyle name="40% - Accent4 3 2 19" xfId="37263" xr:uid="{00000000-0005-0000-0000-0000BA420000}"/>
    <cellStyle name="40% - Accent4 3 2 2" xfId="443" xr:uid="{00000000-0005-0000-0000-0000BB420000}"/>
    <cellStyle name="40% - Accent4 3 2 2 10" xfId="10542" xr:uid="{00000000-0005-0000-0000-0000BC420000}"/>
    <cellStyle name="40% - Accent4 3 2 2 10 2" xfId="25691" xr:uid="{00000000-0005-0000-0000-0000BD420000}"/>
    <cellStyle name="40% - Accent4 3 2 2 11" xfId="12226" xr:uid="{00000000-0005-0000-0000-0000BE420000}"/>
    <cellStyle name="40% - Accent4 3 2 2 11 2" xfId="27375" xr:uid="{00000000-0005-0000-0000-0000BF420000}"/>
    <cellStyle name="40% - Accent4 3 2 2 12" xfId="13909" xr:uid="{00000000-0005-0000-0000-0000C0420000}"/>
    <cellStyle name="40% - Accent4 3 2 2 12 2" xfId="29058" xr:uid="{00000000-0005-0000-0000-0000C1420000}"/>
    <cellStyle name="40% - Accent4 3 2 2 13" xfId="15592" xr:uid="{00000000-0005-0000-0000-0000C2420000}"/>
    <cellStyle name="40% - Accent4 3 2 2 14" xfId="30741" xr:uid="{00000000-0005-0000-0000-0000C3420000}"/>
    <cellStyle name="40% - Accent4 3 2 2 15" xfId="32424" xr:uid="{00000000-0005-0000-0000-0000C4420000}"/>
    <cellStyle name="40% - Accent4 3 2 2 16" xfId="34107" xr:uid="{00000000-0005-0000-0000-0000C5420000}"/>
    <cellStyle name="40% - Accent4 3 2 2 17" xfId="35790" xr:uid="{00000000-0005-0000-0000-0000C6420000}"/>
    <cellStyle name="40% - Accent4 3 2 2 18" xfId="37473" xr:uid="{00000000-0005-0000-0000-0000C7420000}"/>
    <cellStyle name="40% - Accent4 3 2 2 19" xfId="39156" xr:uid="{00000000-0005-0000-0000-0000C8420000}"/>
    <cellStyle name="40% - Accent4 3 2 2 2" xfId="863" xr:uid="{00000000-0005-0000-0000-0000C9420000}"/>
    <cellStyle name="40% - Accent4 3 2 2 2 10" xfId="16012" xr:uid="{00000000-0005-0000-0000-0000CA420000}"/>
    <cellStyle name="40% - Accent4 3 2 2 2 11" xfId="31161" xr:uid="{00000000-0005-0000-0000-0000CB420000}"/>
    <cellStyle name="40% - Accent4 3 2 2 2 12" xfId="32844" xr:uid="{00000000-0005-0000-0000-0000CC420000}"/>
    <cellStyle name="40% - Accent4 3 2 2 2 13" xfId="34527" xr:uid="{00000000-0005-0000-0000-0000CD420000}"/>
    <cellStyle name="40% - Accent4 3 2 2 2 14" xfId="36210" xr:uid="{00000000-0005-0000-0000-0000CE420000}"/>
    <cellStyle name="40% - Accent4 3 2 2 2 15" xfId="37893" xr:uid="{00000000-0005-0000-0000-0000CF420000}"/>
    <cellStyle name="40% - Accent4 3 2 2 2 16" xfId="39576" xr:uid="{00000000-0005-0000-0000-0000D0420000}"/>
    <cellStyle name="40% - Accent4 3 2 2 2 17" xfId="41259" xr:uid="{00000000-0005-0000-0000-0000D1420000}"/>
    <cellStyle name="40% - Accent4 3 2 2 2 18" xfId="42942" xr:uid="{00000000-0005-0000-0000-0000D2420000}"/>
    <cellStyle name="40% - Accent4 3 2 2 2 19" xfId="44625" xr:uid="{00000000-0005-0000-0000-0000D3420000}"/>
    <cellStyle name="40% - Accent4 3 2 2 2 2" xfId="2546" xr:uid="{00000000-0005-0000-0000-0000D4420000}"/>
    <cellStyle name="40% - Accent4 3 2 2 2 2 2" xfId="17695" xr:uid="{00000000-0005-0000-0000-0000D5420000}"/>
    <cellStyle name="40% - Accent4 3 2 2 2 20" xfId="46308" xr:uid="{00000000-0005-0000-0000-0000D6420000}"/>
    <cellStyle name="40% - Accent4 3 2 2 2 21" xfId="47991" xr:uid="{00000000-0005-0000-0000-0000D7420000}"/>
    <cellStyle name="40% - Accent4 3 2 2 2 22" xfId="49674" xr:uid="{00000000-0005-0000-0000-0000D8420000}"/>
    <cellStyle name="40% - Accent4 3 2 2 2 23" xfId="51357" xr:uid="{00000000-0005-0000-0000-0000D9420000}"/>
    <cellStyle name="40% - Accent4 3 2 2 2 24" xfId="53040" xr:uid="{00000000-0005-0000-0000-0000DA420000}"/>
    <cellStyle name="40% - Accent4 3 2 2 2 25" xfId="54723" xr:uid="{00000000-0005-0000-0000-0000DB420000}"/>
    <cellStyle name="40% - Accent4 3 2 2 2 26" xfId="56406" xr:uid="{00000000-0005-0000-0000-0000DC420000}"/>
    <cellStyle name="40% - Accent4 3 2 2 2 27" xfId="58089" xr:uid="{00000000-0005-0000-0000-0000DD420000}"/>
    <cellStyle name="40% - Accent4 3 2 2 2 28" xfId="59772" xr:uid="{00000000-0005-0000-0000-0000DE420000}"/>
    <cellStyle name="40% - Accent4 3 2 2 2 29" xfId="61455" xr:uid="{00000000-0005-0000-0000-0000DF420000}"/>
    <cellStyle name="40% - Accent4 3 2 2 2 3" xfId="4230" xr:uid="{00000000-0005-0000-0000-0000E0420000}"/>
    <cellStyle name="40% - Accent4 3 2 2 2 3 2" xfId="19379" xr:uid="{00000000-0005-0000-0000-0000E1420000}"/>
    <cellStyle name="40% - Accent4 3 2 2 2 30" xfId="63138" xr:uid="{00000000-0005-0000-0000-0000E2420000}"/>
    <cellStyle name="40% - Accent4 3 2 2 2 4" xfId="5913" xr:uid="{00000000-0005-0000-0000-0000E3420000}"/>
    <cellStyle name="40% - Accent4 3 2 2 2 4 2" xfId="21062" xr:uid="{00000000-0005-0000-0000-0000E4420000}"/>
    <cellStyle name="40% - Accent4 3 2 2 2 5" xfId="7596" xr:uid="{00000000-0005-0000-0000-0000E5420000}"/>
    <cellStyle name="40% - Accent4 3 2 2 2 5 2" xfId="22745" xr:uid="{00000000-0005-0000-0000-0000E6420000}"/>
    <cellStyle name="40% - Accent4 3 2 2 2 6" xfId="9279" xr:uid="{00000000-0005-0000-0000-0000E7420000}"/>
    <cellStyle name="40% - Accent4 3 2 2 2 6 2" xfId="24428" xr:uid="{00000000-0005-0000-0000-0000E8420000}"/>
    <cellStyle name="40% - Accent4 3 2 2 2 7" xfId="10962" xr:uid="{00000000-0005-0000-0000-0000E9420000}"/>
    <cellStyle name="40% - Accent4 3 2 2 2 7 2" xfId="26111" xr:uid="{00000000-0005-0000-0000-0000EA420000}"/>
    <cellStyle name="40% - Accent4 3 2 2 2 8" xfId="12646" xr:uid="{00000000-0005-0000-0000-0000EB420000}"/>
    <cellStyle name="40% - Accent4 3 2 2 2 8 2" xfId="27795" xr:uid="{00000000-0005-0000-0000-0000EC420000}"/>
    <cellStyle name="40% - Accent4 3 2 2 2 9" xfId="14329" xr:uid="{00000000-0005-0000-0000-0000ED420000}"/>
    <cellStyle name="40% - Accent4 3 2 2 2 9 2" xfId="29478" xr:uid="{00000000-0005-0000-0000-0000EE420000}"/>
    <cellStyle name="40% - Accent4 3 2 2 20" xfId="40839" xr:uid="{00000000-0005-0000-0000-0000EF420000}"/>
    <cellStyle name="40% - Accent4 3 2 2 21" xfId="42522" xr:uid="{00000000-0005-0000-0000-0000F0420000}"/>
    <cellStyle name="40% - Accent4 3 2 2 22" xfId="44205" xr:uid="{00000000-0005-0000-0000-0000F1420000}"/>
    <cellStyle name="40% - Accent4 3 2 2 23" xfId="45888" xr:uid="{00000000-0005-0000-0000-0000F2420000}"/>
    <cellStyle name="40% - Accent4 3 2 2 24" xfId="47571" xr:uid="{00000000-0005-0000-0000-0000F3420000}"/>
    <cellStyle name="40% - Accent4 3 2 2 25" xfId="49254" xr:uid="{00000000-0005-0000-0000-0000F4420000}"/>
    <cellStyle name="40% - Accent4 3 2 2 26" xfId="50937" xr:uid="{00000000-0005-0000-0000-0000F5420000}"/>
    <cellStyle name="40% - Accent4 3 2 2 27" xfId="52620" xr:uid="{00000000-0005-0000-0000-0000F6420000}"/>
    <cellStyle name="40% - Accent4 3 2 2 28" xfId="54303" xr:uid="{00000000-0005-0000-0000-0000F7420000}"/>
    <cellStyle name="40% - Accent4 3 2 2 29" xfId="55986" xr:uid="{00000000-0005-0000-0000-0000F8420000}"/>
    <cellStyle name="40% - Accent4 3 2 2 3" xfId="1284" xr:uid="{00000000-0005-0000-0000-0000F9420000}"/>
    <cellStyle name="40% - Accent4 3 2 2 3 10" xfId="16433" xr:uid="{00000000-0005-0000-0000-0000FA420000}"/>
    <cellStyle name="40% - Accent4 3 2 2 3 11" xfId="31582" xr:uid="{00000000-0005-0000-0000-0000FB420000}"/>
    <cellStyle name="40% - Accent4 3 2 2 3 12" xfId="33265" xr:uid="{00000000-0005-0000-0000-0000FC420000}"/>
    <cellStyle name="40% - Accent4 3 2 2 3 13" xfId="34948" xr:uid="{00000000-0005-0000-0000-0000FD420000}"/>
    <cellStyle name="40% - Accent4 3 2 2 3 14" xfId="36631" xr:uid="{00000000-0005-0000-0000-0000FE420000}"/>
    <cellStyle name="40% - Accent4 3 2 2 3 15" xfId="38314" xr:uid="{00000000-0005-0000-0000-0000FF420000}"/>
    <cellStyle name="40% - Accent4 3 2 2 3 16" xfId="39997" xr:uid="{00000000-0005-0000-0000-000000430000}"/>
    <cellStyle name="40% - Accent4 3 2 2 3 17" xfId="41680" xr:uid="{00000000-0005-0000-0000-000001430000}"/>
    <cellStyle name="40% - Accent4 3 2 2 3 18" xfId="43363" xr:uid="{00000000-0005-0000-0000-000002430000}"/>
    <cellStyle name="40% - Accent4 3 2 2 3 19" xfId="45046" xr:uid="{00000000-0005-0000-0000-000003430000}"/>
    <cellStyle name="40% - Accent4 3 2 2 3 2" xfId="2967" xr:uid="{00000000-0005-0000-0000-000004430000}"/>
    <cellStyle name="40% - Accent4 3 2 2 3 2 2" xfId="18116" xr:uid="{00000000-0005-0000-0000-000005430000}"/>
    <cellStyle name="40% - Accent4 3 2 2 3 20" xfId="46729" xr:uid="{00000000-0005-0000-0000-000006430000}"/>
    <cellStyle name="40% - Accent4 3 2 2 3 21" xfId="48412" xr:uid="{00000000-0005-0000-0000-000007430000}"/>
    <cellStyle name="40% - Accent4 3 2 2 3 22" xfId="50095" xr:uid="{00000000-0005-0000-0000-000008430000}"/>
    <cellStyle name="40% - Accent4 3 2 2 3 23" xfId="51778" xr:uid="{00000000-0005-0000-0000-000009430000}"/>
    <cellStyle name="40% - Accent4 3 2 2 3 24" xfId="53461" xr:uid="{00000000-0005-0000-0000-00000A430000}"/>
    <cellStyle name="40% - Accent4 3 2 2 3 25" xfId="55144" xr:uid="{00000000-0005-0000-0000-00000B430000}"/>
    <cellStyle name="40% - Accent4 3 2 2 3 26" xfId="56827" xr:uid="{00000000-0005-0000-0000-00000C430000}"/>
    <cellStyle name="40% - Accent4 3 2 2 3 27" xfId="58510" xr:uid="{00000000-0005-0000-0000-00000D430000}"/>
    <cellStyle name="40% - Accent4 3 2 2 3 28" xfId="60193" xr:uid="{00000000-0005-0000-0000-00000E430000}"/>
    <cellStyle name="40% - Accent4 3 2 2 3 29" xfId="61876" xr:uid="{00000000-0005-0000-0000-00000F430000}"/>
    <cellStyle name="40% - Accent4 3 2 2 3 3" xfId="4651" xr:uid="{00000000-0005-0000-0000-000010430000}"/>
    <cellStyle name="40% - Accent4 3 2 2 3 3 2" xfId="19800" xr:uid="{00000000-0005-0000-0000-000011430000}"/>
    <cellStyle name="40% - Accent4 3 2 2 3 30" xfId="63559" xr:uid="{00000000-0005-0000-0000-000012430000}"/>
    <cellStyle name="40% - Accent4 3 2 2 3 4" xfId="6334" xr:uid="{00000000-0005-0000-0000-000013430000}"/>
    <cellStyle name="40% - Accent4 3 2 2 3 4 2" xfId="21483" xr:uid="{00000000-0005-0000-0000-000014430000}"/>
    <cellStyle name="40% - Accent4 3 2 2 3 5" xfId="8017" xr:uid="{00000000-0005-0000-0000-000015430000}"/>
    <cellStyle name="40% - Accent4 3 2 2 3 5 2" xfId="23166" xr:uid="{00000000-0005-0000-0000-000016430000}"/>
    <cellStyle name="40% - Accent4 3 2 2 3 6" xfId="9700" xr:uid="{00000000-0005-0000-0000-000017430000}"/>
    <cellStyle name="40% - Accent4 3 2 2 3 6 2" xfId="24849" xr:uid="{00000000-0005-0000-0000-000018430000}"/>
    <cellStyle name="40% - Accent4 3 2 2 3 7" xfId="11383" xr:uid="{00000000-0005-0000-0000-000019430000}"/>
    <cellStyle name="40% - Accent4 3 2 2 3 7 2" xfId="26532" xr:uid="{00000000-0005-0000-0000-00001A430000}"/>
    <cellStyle name="40% - Accent4 3 2 2 3 8" xfId="13067" xr:uid="{00000000-0005-0000-0000-00001B430000}"/>
    <cellStyle name="40% - Accent4 3 2 2 3 8 2" xfId="28216" xr:uid="{00000000-0005-0000-0000-00001C430000}"/>
    <cellStyle name="40% - Accent4 3 2 2 3 9" xfId="14750" xr:uid="{00000000-0005-0000-0000-00001D430000}"/>
    <cellStyle name="40% - Accent4 3 2 2 3 9 2" xfId="29899" xr:uid="{00000000-0005-0000-0000-00001E430000}"/>
    <cellStyle name="40% - Accent4 3 2 2 30" xfId="57669" xr:uid="{00000000-0005-0000-0000-00001F430000}"/>
    <cellStyle name="40% - Accent4 3 2 2 31" xfId="59352" xr:uid="{00000000-0005-0000-0000-000020430000}"/>
    <cellStyle name="40% - Accent4 3 2 2 32" xfId="61035" xr:uid="{00000000-0005-0000-0000-000021430000}"/>
    <cellStyle name="40% - Accent4 3 2 2 33" xfId="62718" xr:uid="{00000000-0005-0000-0000-000022430000}"/>
    <cellStyle name="40% - Accent4 3 2 2 4" xfId="1705" xr:uid="{00000000-0005-0000-0000-000023430000}"/>
    <cellStyle name="40% - Accent4 3 2 2 4 10" xfId="16854" xr:uid="{00000000-0005-0000-0000-000024430000}"/>
    <cellStyle name="40% - Accent4 3 2 2 4 11" xfId="32003" xr:uid="{00000000-0005-0000-0000-000025430000}"/>
    <cellStyle name="40% - Accent4 3 2 2 4 12" xfId="33686" xr:uid="{00000000-0005-0000-0000-000026430000}"/>
    <cellStyle name="40% - Accent4 3 2 2 4 13" xfId="35369" xr:uid="{00000000-0005-0000-0000-000027430000}"/>
    <cellStyle name="40% - Accent4 3 2 2 4 14" xfId="37052" xr:uid="{00000000-0005-0000-0000-000028430000}"/>
    <cellStyle name="40% - Accent4 3 2 2 4 15" xfId="38735" xr:uid="{00000000-0005-0000-0000-000029430000}"/>
    <cellStyle name="40% - Accent4 3 2 2 4 16" xfId="40418" xr:uid="{00000000-0005-0000-0000-00002A430000}"/>
    <cellStyle name="40% - Accent4 3 2 2 4 17" xfId="42101" xr:uid="{00000000-0005-0000-0000-00002B430000}"/>
    <cellStyle name="40% - Accent4 3 2 2 4 18" xfId="43784" xr:uid="{00000000-0005-0000-0000-00002C430000}"/>
    <cellStyle name="40% - Accent4 3 2 2 4 19" xfId="45467" xr:uid="{00000000-0005-0000-0000-00002D430000}"/>
    <cellStyle name="40% - Accent4 3 2 2 4 2" xfId="3388" xr:uid="{00000000-0005-0000-0000-00002E430000}"/>
    <cellStyle name="40% - Accent4 3 2 2 4 2 2" xfId="18537" xr:uid="{00000000-0005-0000-0000-00002F430000}"/>
    <cellStyle name="40% - Accent4 3 2 2 4 20" xfId="47150" xr:uid="{00000000-0005-0000-0000-000030430000}"/>
    <cellStyle name="40% - Accent4 3 2 2 4 21" xfId="48833" xr:uid="{00000000-0005-0000-0000-000031430000}"/>
    <cellStyle name="40% - Accent4 3 2 2 4 22" xfId="50516" xr:uid="{00000000-0005-0000-0000-000032430000}"/>
    <cellStyle name="40% - Accent4 3 2 2 4 23" xfId="52199" xr:uid="{00000000-0005-0000-0000-000033430000}"/>
    <cellStyle name="40% - Accent4 3 2 2 4 24" xfId="53882" xr:uid="{00000000-0005-0000-0000-000034430000}"/>
    <cellStyle name="40% - Accent4 3 2 2 4 25" xfId="55565" xr:uid="{00000000-0005-0000-0000-000035430000}"/>
    <cellStyle name="40% - Accent4 3 2 2 4 26" xfId="57248" xr:uid="{00000000-0005-0000-0000-000036430000}"/>
    <cellStyle name="40% - Accent4 3 2 2 4 27" xfId="58931" xr:uid="{00000000-0005-0000-0000-000037430000}"/>
    <cellStyle name="40% - Accent4 3 2 2 4 28" xfId="60614" xr:uid="{00000000-0005-0000-0000-000038430000}"/>
    <cellStyle name="40% - Accent4 3 2 2 4 29" xfId="62297" xr:uid="{00000000-0005-0000-0000-000039430000}"/>
    <cellStyle name="40% - Accent4 3 2 2 4 3" xfId="5072" xr:uid="{00000000-0005-0000-0000-00003A430000}"/>
    <cellStyle name="40% - Accent4 3 2 2 4 3 2" xfId="20221" xr:uid="{00000000-0005-0000-0000-00003B430000}"/>
    <cellStyle name="40% - Accent4 3 2 2 4 30" xfId="63980" xr:uid="{00000000-0005-0000-0000-00003C430000}"/>
    <cellStyle name="40% - Accent4 3 2 2 4 4" xfId="6755" xr:uid="{00000000-0005-0000-0000-00003D430000}"/>
    <cellStyle name="40% - Accent4 3 2 2 4 4 2" xfId="21904" xr:uid="{00000000-0005-0000-0000-00003E430000}"/>
    <cellStyle name="40% - Accent4 3 2 2 4 5" xfId="8438" xr:uid="{00000000-0005-0000-0000-00003F430000}"/>
    <cellStyle name="40% - Accent4 3 2 2 4 5 2" xfId="23587" xr:uid="{00000000-0005-0000-0000-000040430000}"/>
    <cellStyle name="40% - Accent4 3 2 2 4 6" xfId="10121" xr:uid="{00000000-0005-0000-0000-000041430000}"/>
    <cellStyle name="40% - Accent4 3 2 2 4 6 2" xfId="25270" xr:uid="{00000000-0005-0000-0000-000042430000}"/>
    <cellStyle name="40% - Accent4 3 2 2 4 7" xfId="11804" xr:uid="{00000000-0005-0000-0000-000043430000}"/>
    <cellStyle name="40% - Accent4 3 2 2 4 7 2" xfId="26953" xr:uid="{00000000-0005-0000-0000-000044430000}"/>
    <cellStyle name="40% - Accent4 3 2 2 4 8" xfId="13488" xr:uid="{00000000-0005-0000-0000-000045430000}"/>
    <cellStyle name="40% - Accent4 3 2 2 4 8 2" xfId="28637" xr:uid="{00000000-0005-0000-0000-000046430000}"/>
    <cellStyle name="40% - Accent4 3 2 2 4 9" xfId="15171" xr:uid="{00000000-0005-0000-0000-000047430000}"/>
    <cellStyle name="40% - Accent4 3 2 2 4 9 2" xfId="30320" xr:uid="{00000000-0005-0000-0000-000048430000}"/>
    <cellStyle name="40% - Accent4 3 2 2 5" xfId="2126" xr:uid="{00000000-0005-0000-0000-000049430000}"/>
    <cellStyle name="40% - Accent4 3 2 2 5 2" xfId="17275" xr:uid="{00000000-0005-0000-0000-00004A430000}"/>
    <cellStyle name="40% - Accent4 3 2 2 6" xfId="3810" xr:uid="{00000000-0005-0000-0000-00004B430000}"/>
    <cellStyle name="40% - Accent4 3 2 2 6 2" xfId="18959" xr:uid="{00000000-0005-0000-0000-00004C430000}"/>
    <cellStyle name="40% - Accent4 3 2 2 7" xfId="5493" xr:uid="{00000000-0005-0000-0000-00004D430000}"/>
    <cellStyle name="40% - Accent4 3 2 2 7 2" xfId="20642" xr:uid="{00000000-0005-0000-0000-00004E430000}"/>
    <cellStyle name="40% - Accent4 3 2 2 8" xfId="7176" xr:uid="{00000000-0005-0000-0000-00004F430000}"/>
    <cellStyle name="40% - Accent4 3 2 2 8 2" xfId="22325" xr:uid="{00000000-0005-0000-0000-000050430000}"/>
    <cellStyle name="40% - Accent4 3 2 2 9" xfId="8859" xr:uid="{00000000-0005-0000-0000-000051430000}"/>
    <cellStyle name="40% - Accent4 3 2 2 9 2" xfId="24008" xr:uid="{00000000-0005-0000-0000-000052430000}"/>
    <cellStyle name="40% - Accent4 3 2 20" xfId="38946" xr:uid="{00000000-0005-0000-0000-000053430000}"/>
    <cellStyle name="40% - Accent4 3 2 21" xfId="40629" xr:uid="{00000000-0005-0000-0000-000054430000}"/>
    <cellStyle name="40% - Accent4 3 2 22" xfId="42312" xr:uid="{00000000-0005-0000-0000-000055430000}"/>
    <cellStyle name="40% - Accent4 3 2 23" xfId="43995" xr:uid="{00000000-0005-0000-0000-000056430000}"/>
    <cellStyle name="40% - Accent4 3 2 24" xfId="45678" xr:uid="{00000000-0005-0000-0000-000057430000}"/>
    <cellStyle name="40% - Accent4 3 2 25" xfId="47361" xr:uid="{00000000-0005-0000-0000-000058430000}"/>
    <cellStyle name="40% - Accent4 3 2 26" xfId="49044" xr:uid="{00000000-0005-0000-0000-000059430000}"/>
    <cellStyle name="40% - Accent4 3 2 27" xfId="50727" xr:uid="{00000000-0005-0000-0000-00005A430000}"/>
    <cellStyle name="40% - Accent4 3 2 28" xfId="52410" xr:uid="{00000000-0005-0000-0000-00005B430000}"/>
    <cellStyle name="40% - Accent4 3 2 29" xfId="54093" xr:uid="{00000000-0005-0000-0000-00005C430000}"/>
    <cellStyle name="40% - Accent4 3 2 3" xfId="653" xr:uid="{00000000-0005-0000-0000-00005D430000}"/>
    <cellStyle name="40% - Accent4 3 2 3 10" xfId="15802" xr:uid="{00000000-0005-0000-0000-00005E430000}"/>
    <cellStyle name="40% - Accent4 3 2 3 11" xfId="30951" xr:uid="{00000000-0005-0000-0000-00005F430000}"/>
    <cellStyle name="40% - Accent4 3 2 3 12" xfId="32634" xr:uid="{00000000-0005-0000-0000-000060430000}"/>
    <cellStyle name="40% - Accent4 3 2 3 13" xfId="34317" xr:uid="{00000000-0005-0000-0000-000061430000}"/>
    <cellStyle name="40% - Accent4 3 2 3 14" xfId="36000" xr:uid="{00000000-0005-0000-0000-000062430000}"/>
    <cellStyle name="40% - Accent4 3 2 3 15" xfId="37683" xr:uid="{00000000-0005-0000-0000-000063430000}"/>
    <cellStyle name="40% - Accent4 3 2 3 16" xfId="39366" xr:uid="{00000000-0005-0000-0000-000064430000}"/>
    <cellStyle name="40% - Accent4 3 2 3 17" xfId="41049" xr:uid="{00000000-0005-0000-0000-000065430000}"/>
    <cellStyle name="40% - Accent4 3 2 3 18" xfId="42732" xr:uid="{00000000-0005-0000-0000-000066430000}"/>
    <cellStyle name="40% - Accent4 3 2 3 19" xfId="44415" xr:uid="{00000000-0005-0000-0000-000067430000}"/>
    <cellStyle name="40% - Accent4 3 2 3 2" xfId="2336" xr:uid="{00000000-0005-0000-0000-000068430000}"/>
    <cellStyle name="40% - Accent4 3 2 3 2 2" xfId="17485" xr:uid="{00000000-0005-0000-0000-000069430000}"/>
    <cellStyle name="40% - Accent4 3 2 3 20" xfId="46098" xr:uid="{00000000-0005-0000-0000-00006A430000}"/>
    <cellStyle name="40% - Accent4 3 2 3 21" xfId="47781" xr:uid="{00000000-0005-0000-0000-00006B430000}"/>
    <cellStyle name="40% - Accent4 3 2 3 22" xfId="49464" xr:uid="{00000000-0005-0000-0000-00006C430000}"/>
    <cellStyle name="40% - Accent4 3 2 3 23" xfId="51147" xr:uid="{00000000-0005-0000-0000-00006D430000}"/>
    <cellStyle name="40% - Accent4 3 2 3 24" xfId="52830" xr:uid="{00000000-0005-0000-0000-00006E430000}"/>
    <cellStyle name="40% - Accent4 3 2 3 25" xfId="54513" xr:uid="{00000000-0005-0000-0000-00006F430000}"/>
    <cellStyle name="40% - Accent4 3 2 3 26" xfId="56196" xr:uid="{00000000-0005-0000-0000-000070430000}"/>
    <cellStyle name="40% - Accent4 3 2 3 27" xfId="57879" xr:uid="{00000000-0005-0000-0000-000071430000}"/>
    <cellStyle name="40% - Accent4 3 2 3 28" xfId="59562" xr:uid="{00000000-0005-0000-0000-000072430000}"/>
    <cellStyle name="40% - Accent4 3 2 3 29" xfId="61245" xr:uid="{00000000-0005-0000-0000-000073430000}"/>
    <cellStyle name="40% - Accent4 3 2 3 3" xfId="4020" xr:uid="{00000000-0005-0000-0000-000074430000}"/>
    <cellStyle name="40% - Accent4 3 2 3 3 2" xfId="19169" xr:uid="{00000000-0005-0000-0000-000075430000}"/>
    <cellStyle name="40% - Accent4 3 2 3 30" xfId="62928" xr:uid="{00000000-0005-0000-0000-000076430000}"/>
    <cellStyle name="40% - Accent4 3 2 3 4" xfId="5703" xr:uid="{00000000-0005-0000-0000-000077430000}"/>
    <cellStyle name="40% - Accent4 3 2 3 4 2" xfId="20852" xr:uid="{00000000-0005-0000-0000-000078430000}"/>
    <cellStyle name="40% - Accent4 3 2 3 5" xfId="7386" xr:uid="{00000000-0005-0000-0000-000079430000}"/>
    <cellStyle name="40% - Accent4 3 2 3 5 2" xfId="22535" xr:uid="{00000000-0005-0000-0000-00007A430000}"/>
    <cellStyle name="40% - Accent4 3 2 3 6" xfId="9069" xr:uid="{00000000-0005-0000-0000-00007B430000}"/>
    <cellStyle name="40% - Accent4 3 2 3 6 2" xfId="24218" xr:uid="{00000000-0005-0000-0000-00007C430000}"/>
    <cellStyle name="40% - Accent4 3 2 3 7" xfId="10752" xr:uid="{00000000-0005-0000-0000-00007D430000}"/>
    <cellStyle name="40% - Accent4 3 2 3 7 2" xfId="25901" xr:uid="{00000000-0005-0000-0000-00007E430000}"/>
    <cellStyle name="40% - Accent4 3 2 3 8" xfId="12436" xr:uid="{00000000-0005-0000-0000-00007F430000}"/>
    <cellStyle name="40% - Accent4 3 2 3 8 2" xfId="27585" xr:uid="{00000000-0005-0000-0000-000080430000}"/>
    <cellStyle name="40% - Accent4 3 2 3 9" xfId="14119" xr:uid="{00000000-0005-0000-0000-000081430000}"/>
    <cellStyle name="40% - Accent4 3 2 3 9 2" xfId="29268" xr:uid="{00000000-0005-0000-0000-000082430000}"/>
    <cellStyle name="40% - Accent4 3 2 30" xfId="55776" xr:uid="{00000000-0005-0000-0000-000083430000}"/>
    <cellStyle name="40% - Accent4 3 2 31" xfId="57459" xr:uid="{00000000-0005-0000-0000-000084430000}"/>
    <cellStyle name="40% - Accent4 3 2 32" xfId="59142" xr:uid="{00000000-0005-0000-0000-000085430000}"/>
    <cellStyle name="40% - Accent4 3 2 33" xfId="60825" xr:uid="{00000000-0005-0000-0000-000086430000}"/>
    <cellStyle name="40% - Accent4 3 2 34" xfId="62508" xr:uid="{00000000-0005-0000-0000-000087430000}"/>
    <cellStyle name="40% - Accent4 3 2 4" xfId="1074" xr:uid="{00000000-0005-0000-0000-000088430000}"/>
    <cellStyle name="40% - Accent4 3 2 4 10" xfId="16223" xr:uid="{00000000-0005-0000-0000-000089430000}"/>
    <cellStyle name="40% - Accent4 3 2 4 11" xfId="31372" xr:uid="{00000000-0005-0000-0000-00008A430000}"/>
    <cellStyle name="40% - Accent4 3 2 4 12" xfId="33055" xr:uid="{00000000-0005-0000-0000-00008B430000}"/>
    <cellStyle name="40% - Accent4 3 2 4 13" xfId="34738" xr:uid="{00000000-0005-0000-0000-00008C430000}"/>
    <cellStyle name="40% - Accent4 3 2 4 14" xfId="36421" xr:uid="{00000000-0005-0000-0000-00008D430000}"/>
    <cellStyle name="40% - Accent4 3 2 4 15" xfId="38104" xr:uid="{00000000-0005-0000-0000-00008E430000}"/>
    <cellStyle name="40% - Accent4 3 2 4 16" xfId="39787" xr:uid="{00000000-0005-0000-0000-00008F430000}"/>
    <cellStyle name="40% - Accent4 3 2 4 17" xfId="41470" xr:uid="{00000000-0005-0000-0000-000090430000}"/>
    <cellStyle name="40% - Accent4 3 2 4 18" xfId="43153" xr:uid="{00000000-0005-0000-0000-000091430000}"/>
    <cellStyle name="40% - Accent4 3 2 4 19" xfId="44836" xr:uid="{00000000-0005-0000-0000-000092430000}"/>
    <cellStyle name="40% - Accent4 3 2 4 2" xfId="2757" xr:uid="{00000000-0005-0000-0000-000093430000}"/>
    <cellStyle name="40% - Accent4 3 2 4 2 2" xfId="17906" xr:uid="{00000000-0005-0000-0000-000094430000}"/>
    <cellStyle name="40% - Accent4 3 2 4 20" xfId="46519" xr:uid="{00000000-0005-0000-0000-000095430000}"/>
    <cellStyle name="40% - Accent4 3 2 4 21" xfId="48202" xr:uid="{00000000-0005-0000-0000-000096430000}"/>
    <cellStyle name="40% - Accent4 3 2 4 22" xfId="49885" xr:uid="{00000000-0005-0000-0000-000097430000}"/>
    <cellStyle name="40% - Accent4 3 2 4 23" xfId="51568" xr:uid="{00000000-0005-0000-0000-000098430000}"/>
    <cellStyle name="40% - Accent4 3 2 4 24" xfId="53251" xr:uid="{00000000-0005-0000-0000-000099430000}"/>
    <cellStyle name="40% - Accent4 3 2 4 25" xfId="54934" xr:uid="{00000000-0005-0000-0000-00009A430000}"/>
    <cellStyle name="40% - Accent4 3 2 4 26" xfId="56617" xr:uid="{00000000-0005-0000-0000-00009B430000}"/>
    <cellStyle name="40% - Accent4 3 2 4 27" xfId="58300" xr:uid="{00000000-0005-0000-0000-00009C430000}"/>
    <cellStyle name="40% - Accent4 3 2 4 28" xfId="59983" xr:uid="{00000000-0005-0000-0000-00009D430000}"/>
    <cellStyle name="40% - Accent4 3 2 4 29" xfId="61666" xr:uid="{00000000-0005-0000-0000-00009E430000}"/>
    <cellStyle name="40% - Accent4 3 2 4 3" xfId="4441" xr:uid="{00000000-0005-0000-0000-00009F430000}"/>
    <cellStyle name="40% - Accent4 3 2 4 3 2" xfId="19590" xr:uid="{00000000-0005-0000-0000-0000A0430000}"/>
    <cellStyle name="40% - Accent4 3 2 4 30" xfId="63349" xr:uid="{00000000-0005-0000-0000-0000A1430000}"/>
    <cellStyle name="40% - Accent4 3 2 4 4" xfId="6124" xr:uid="{00000000-0005-0000-0000-0000A2430000}"/>
    <cellStyle name="40% - Accent4 3 2 4 4 2" xfId="21273" xr:uid="{00000000-0005-0000-0000-0000A3430000}"/>
    <cellStyle name="40% - Accent4 3 2 4 5" xfId="7807" xr:uid="{00000000-0005-0000-0000-0000A4430000}"/>
    <cellStyle name="40% - Accent4 3 2 4 5 2" xfId="22956" xr:uid="{00000000-0005-0000-0000-0000A5430000}"/>
    <cellStyle name="40% - Accent4 3 2 4 6" xfId="9490" xr:uid="{00000000-0005-0000-0000-0000A6430000}"/>
    <cellStyle name="40% - Accent4 3 2 4 6 2" xfId="24639" xr:uid="{00000000-0005-0000-0000-0000A7430000}"/>
    <cellStyle name="40% - Accent4 3 2 4 7" xfId="11173" xr:uid="{00000000-0005-0000-0000-0000A8430000}"/>
    <cellStyle name="40% - Accent4 3 2 4 7 2" xfId="26322" xr:uid="{00000000-0005-0000-0000-0000A9430000}"/>
    <cellStyle name="40% - Accent4 3 2 4 8" xfId="12857" xr:uid="{00000000-0005-0000-0000-0000AA430000}"/>
    <cellStyle name="40% - Accent4 3 2 4 8 2" xfId="28006" xr:uid="{00000000-0005-0000-0000-0000AB430000}"/>
    <cellStyle name="40% - Accent4 3 2 4 9" xfId="14540" xr:uid="{00000000-0005-0000-0000-0000AC430000}"/>
    <cellStyle name="40% - Accent4 3 2 4 9 2" xfId="29689" xr:uid="{00000000-0005-0000-0000-0000AD430000}"/>
    <cellStyle name="40% - Accent4 3 2 5" xfId="1495" xr:uid="{00000000-0005-0000-0000-0000AE430000}"/>
    <cellStyle name="40% - Accent4 3 2 5 10" xfId="16644" xr:uid="{00000000-0005-0000-0000-0000AF430000}"/>
    <cellStyle name="40% - Accent4 3 2 5 11" xfId="31793" xr:uid="{00000000-0005-0000-0000-0000B0430000}"/>
    <cellStyle name="40% - Accent4 3 2 5 12" xfId="33476" xr:uid="{00000000-0005-0000-0000-0000B1430000}"/>
    <cellStyle name="40% - Accent4 3 2 5 13" xfId="35159" xr:uid="{00000000-0005-0000-0000-0000B2430000}"/>
    <cellStyle name="40% - Accent4 3 2 5 14" xfId="36842" xr:uid="{00000000-0005-0000-0000-0000B3430000}"/>
    <cellStyle name="40% - Accent4 3 2 5 15" xfId="38525" xr:uid="{00000000-0005-0000-0000-0000B4430000}"/>
    <cellStyle name="40% - Accent4 3 2 5 16" xfId="40208" xr:uid="{00000000-0005-0000-0000-0000B5430000}"/>
    <cellStyle name="40% - Accent4 3 2 5 17" xfId="41891" xr:uid="{00000000-0005-0000-0000-0000B6430000}"/>
    <cellStyle name="40% - Accent4 3 2 5 18" xfId="43574" xr:uid="{00000000-0005-0000-0000-0000B7430000}"/>
    <cellStyle name="40% - Accent4 3 2 5 19" xfId="45257" xr:uid="{00000000-0005-0000-0000-0000B8430000}"/>
    <cellStyle name="40% - Accent4 3 2 5 2" xfId="3178" xr:uid="{00000000-0005-0000-0000-0000B9430000}"/>
    <cellStyle name="40% - Accent4 3 2 5 2 2" xfId="18327" xr:uid="{00000000-0005-0000-0000-0000BA430000}"/>
    <cellStyle name="40% - Accent4 3 2 5 20" xfId="46940" xr:uid="{00000000-0005-0000-0000-0000BB430000}"/>
    <cellStyle name="40% - Accent4 3 2 5 21" xfId="48623" xr:uid="{00000000-0005-0000-0000-0000BC430000}"/>
    <cellStyle name="40% - Accent4 3 2 5 22" xfId="50306" xr:uid="{00000000-0005-0000-0000-0000BD430000}"/>
    <cellStyle name="40% - Accent4 3 2 5 23" xfId="51989" xr:uid="{00000000-0005-0000-0000-0000BE430000}"/>
    <cellStyle name="40% - Accent4 3 2 5 24" xfId="53672" xr:uid="{00000000-0005-0000-0000-0000BF430000}"/>
    <cellStyle name="40% - Accent4 3 2 5 25" xfId="55355" xr:uid="{00000000-0005-0000-0000-0000C0430000}"/>
    <cellStyle name="40% - Accent4 3 2 5 26" xfId="57038" xr:uid="{00000000-0005-0000-0000-0000C1430000}"/>
    <cellStyle name="40% - Accent4 3 2 5 27" xfId="58721" xr:uid="{00000000-0005-0000-0000-0000C2430000}"/>
    <cellStyle name="40% - Accent4 3 2 5 28" xfId="60404" xr:uid="{00000000-0005-0000-0000-0000C3430000}"/>
    <cellStyle name="40% - Accent4 3 2 5 29" xfId="62087" xr:uid="{00000000-0005-0000-0000-0000C4430000}"/>
    <cellStyle name="40% - Accent4 3 2 5 3" xfId="4862" xr:uid="{00000000-0005-0000-0000-0000C5430000}"/>
    <cellStyle name="40% - Accent4 3 2 5 3 2" xfId="20011" xr:uid="{00000000-0005-0000-0000-0000C6430000}"/>
    <cellStyle name="40% - Accent4 3 2 5 30" xfId="63770" xr:uid="{00000000-0005-0000-0000-0000C7430000}"/>
    <cellStyle name="40% - Accent4 3 2 5 4" xfId="6545" xr:uid="{00000000-0005-0000-0000-0000C8430000}"/>
    <cellStyle name="40% - Accent4 3 2 5 4 2" xfId="21694" xr:uid="{00000000-0005-0000-0000-0000C9430000}"/>
    <cellStyle name="40% - Accent4 3 2 5 5" xfId="8228" xr:uid="{00000000-0005-0000-0000-0000CA430000}"/>
    <cellStyle name="40% - Accent4 3 2 5 5 2" xfId="23377" xr:uid="{00000000-0005-0000-0000-0000CB430000}"/>
    <cellStyle name="40% - Accent4 3 2 5 6" xfId="9911" xr:uid="{00000000-0005-0000-0000-0000CC430000}"/>
    <cellStyle name="40% - Accent4 3 2 5 6 2" xfId="25060" xr:uid="{00000000-0005-0000-0000-0000CD430000}"/>
    <cellStyle name="40% - Accent4 3 2 5 7" xfId="11594" xr:uid="{00000000-0005-0000-0000-0000CE430000}"/>
    <cellStyle name="40% - Accent4 3 2 5 7 2" xfId="26743" xr:uid="{00000000-0005-0000-0000-0000CF430000}"/>
    <cellStyle name="40% - Accent4 3 2 5 8" xfId="13278" xr:uid="{00000000-0005-0000-0000-0000D0430000}"/>
    <cellStyle name="40% - Accent4 3 2 5 8 2" xfId="28427" xr:uid="{00000000-0005-0000-0000-0000D1430000}"/>
    <cellStyle name="40% - Accent4 3 2 5 9" xfId="14961" xr:uid="{00000000-0005-0000-0000-0000D2430000}"/>
    <cellStyle name="40% - Accent4 3 2 5 9 2" xfId="30110" xr:uid="{00000000-0005-0000-0000-0000D3430000}"/>
    <cellStyle name="40% - Accent4 3 2 6" xfId="1916" xr:uid="{00000000-0005-0000-0000-0000D4430000}"/>
    <cellStyle name="40% - Accent4 3 2 6 2" xfId="17065" xr:uid="{00000000-0005-0000-0000-0000D5430000}"/>
    <cellStyle name="40% - Accent4 3 2 7" xfId="3600" xr:uid="{00000000-0005-0000-0000-0000D6430000}"/>
    <cellStyle name="40% - Accent4 3 2 7 2" xfId="18749" xr:uid="{00000000-0005-0000-0000-0000D7430000}"/>
    <cellStyle name="40% - Accent4 3 2 8" xfId="5283" xr:uid="{00000000-0005-0000-0000-0000D8430000}"/>
    <cellStyle name="40% - Accent4 3 2 8 2" xfId="20432" xr:uid="{00000000-0005-0000-0000-0000D9430000}"/>
    <cellStyle name="40% - Accent4 3 2 9" xfId="6966" xr:uid="{00000000-0005-0000-0000-0000DA430000}"/>
    <cellStyle name="40% - Accent4 3 2 9 2" xfId="22115" xr:uid="{00000000-0005-0000-0000-0000DB430000}"/>
    <cellStyle name="40% - Accent4 3 20" xfId="37158" xr:uid="{00000000-0005-0000-0000-0000DC430000}"/>
    <cellStyle name="40% - Accent4 3 21" xfId="38841" xr:uid="{00000000-0005-0000-0000-0000DD430000}"/>
    <cellStyle name="40% - Accent4 3 22" xfId="40524" xr:uid="{00000000-0005-0000-0000-0000DE430000}"/>
    <cellStyle name="40% - Accent4 3 23" xfId="42207" xr:uid="{00000000-0005-0000-0000-0000DF430000}"/>
    <cellStyle name="40% - Accent4 3 24" xfId="43890" xr:uid="{00000000-0005-0000-0000-0000E0430000}"/>
    <cellStyle name="40% - Accent4 3 25" xfId="45573" xr:uid="{00000000-0005-0000-0000-0000E1430000}"/>
    <cellStyle name="40% - Accent4 3 26" xfId="47256" xr:uid="{00000000-0005-0000-0000-0000E2430000}"/>
    <cellStyle name="40% - Accent4 3 27" xfId="48939" xr:uid="{00000000-0005-0000-0000-0000E3430000}"/>
    <cellStyle name="40% - Accent4 3 28" xfId="50622" xr:uid="{00000000-0005-0000-0000-0000E4430000}"/>
    <cellStyle name="40% - Accent4 3 29" xfId="52305" xr:uid="{00000000-0005-0000-0000-0000E5430000}"/>
    <cellStyle name="40% - Accent4 3 3" xfId="338" xr:uid="{00000000-0005-0000-0000-0000E6430000}"/>
    <cellStyle name="40% - Accent4 3 3 10" xfId="10437" xr:uid="{00000000-0005-0000-0000-0000E7430000}"/>
    <cellStyle name="40% - Accent4 3 3 10 2" xfId="25586" xr:uid="{00000000-0005-0000-0000-0000E8430000}"/>
    <cellStyle name="40% - Accent4 3 3 11" xfId="12121" xr:uid="{00000000-0005-0000-0000-0000E9430000}"/>
    <cellStyle name="40% - Accent4 3 3 11 2" xfId="27270" xr:uid="{00000000-0005-0000-0000-0000EA430000}"/>
    <cellStyle name="40% - Accent4 3 3 12" xfId="13804" xr:uid="{00000000-0005-0000-0000-0000EB430000}"/>
    <cellStyle name="40% - Accent4 3 3 12 2" xfId="28953" xr:uid="{00000000-0005-0000-0000-0000EC430000}"/>
    <cellStyle name="40% - Accent4 3 3 13" xfId="15487" xr:uid="{00000000-0005-0000-0000-0000ED430000}"/>
    <cellStyle name="40% - Accent4 3 3 14" xfId="30636" xr:uid="{00000000-0005-0000-0000-0000EE430000}"/>
    <cellStyle name="40% - Accent4 3 3 15" xfId="32319" xr:uid="{00000000-0005-0000-0000-0000EF430000}"/>
    <cellStyle name="40% - Accent4 3 3 16" xfId="34002" xr:uid="{00000000-0005-0000-0000-0000F0430000}"/>
    <cellStyle name="40% - Accent4 3 3 17" xfId="35685" xr:uid="{00000000-0005-0000-0000-0000F1430000}"/>
    <cellStyle name="40% - Accent4 3 3 18" xfId="37368" xr:uid="{00000000-0005-0000-0000-0000F2430000}"/>
    <cellStyle name="40% - Accent4 3 3 19" xfId="39051" xr:uid="{00000000-0005-0000-0000-0000F3430000}"/>
    <cellStyle name="40% - Accent4 3 3 2" xfId="758" xr:uid="{00000000-0005-0000-0000-0000F4430000}"/>
    <cellStyle name="40% - Accent4 3 3 2 10" xfId="15907" xr:uid="{00000000-0005-0000-0000-0000F5430000}"/>
    <cellStyle name="40% - Accent4 3 3 2 11" xfId="31056" xr:uid="{00000000-0005-0000-0000-0000F6430000}"/>
    <cellStyle name="40% - Accent4 3 3 2 12" xfId="32739" xr:uid="{00000000-0005-0000-0000-0000F7430000}"/>
    <cellStyle name="40% - Accent4 3 3 2 13" xfId="34422" xr:uid="{00000000-0005-0000-0000-0000F8430000}"/>
    <cellStyle name="40% - Accent4 3 3 2 14" xfId="36105" xr:uid="{00000000-0005-0000-0000-0000F9430000}"/>
    <cellStyle name="40% - Accent4 3 3 2 15" xfId="37788" xr:uid="{00000000-0005-0000-0000-0000FA430000}"/>
    <cellStyle name="40% - Accent4 3 3 2 16" xfId="39471" xr:uid="{00000000-0005-0000-0000-0000FB430000}"/>
    <cellStyle name="40% - Accent4 3 3 2 17" xfId="41154" xr:uid="{00000000-0005-0000-0000-0000FC430000}"/>
    <cellStyle name="40% - Accent4 3 3 2 18" xfId="42837" xr:uid="{00000000-0005-0000-0000-0000FD430000}"/>
    <cellStyle name="40% - Accent4 3 3 2 19" xfId="44520" xr:uid="{00000000-0005-0000-0000-0000FE430000}"/>
    <cellStyle name="40% - Accent4 3 3 2 2" xfId="2441" xr:uid="{00000000-0005-0000-0000-0000FF430000}"/>
    <cellStyle name="40% - Accent4 3 3 2 2 2" xfId="17590" xr:uid="{00000000-0005-0000-0000-000000440000}"/>
    <cellStyle name="40% - Accent4 3 3 2 20" xfId="46203" xr:uid="{00000000-0005-0000-0000-000001440000}"/>
    <cellStyle name="40% - Accent4 3 3 2 21" xfId="47886" xr:uid="{00000000-0005-0000-0000-000002440000}"/>
    <cellStyle name="40% - Accent4 3 3 2 22" xfId="49569" xr:uid="{00000000-0005-0000-0000-000003440000}"/>
    <cellStyle name="40% - Accent4 3 3 2 23" xfId="51252" xr:uid="{00000000-0005-0000-0000-000004440000}"/>
    <cellStyle name="40% - Accent4 3 3 2 24" xfId="52935" xr:uid="{00000000-0005-0000-0000-000005440000}"/>
    <cellStyle name="40% - Accent4 3 3 2 25" xfId="54618" xr:uid="{00000000-0005-0000-0000-000006440000}"/>
    <cellStyle name="40% - Accent4 3 3 2 26" xfId="56301" xr:uid="{00000000-0005-0000-0000-000007440000}"/>
    <cellStyle name="40% - Accent4 3 3 2 27" xfId="57984" xr:uid="{00000000-0005-0000-0000-000008440000}"/>
    <cellStyle name="40% - Accent4 3 3 2 28" xfId="59667" xr:uid="{00000000-0005-0000-0000-000009440000}"/>
    <cellStyle name="40% - Accent4 3 3 2 29" xfId="61350" xr:uid="{00000000-0005-0000-0000-00000A440000}"/>
    <cellStyle name="40% - Accent4 3 3 2 3" xfId="4125" xr:uid="{00000000-0005-0000-0000-00000B440000}"/>
    <cellStyle name="40% - Accent4 3 3 2 3 2" xfId="19274" xr:uid="{00000000-0005-0000-0000-00000C440000}"/>
    <cellStyle name="40% - Accent4 3 3 2 30" xfId="63033" xr:uid="{00000000-0005-0000-0000-00000D440000}"/>
    <cellStyle name="40% - Accent4 3 3 2 4" xfId="5808" xr:uid="{00000000-0005-0000-0000-00000E440000}"/>
    <cellStyle name="40% - Accent4 3 3 2 4 2" xfId="20957" xr:uid="{00000000-0005-0000-0000-00000F440000}"/>
    <cellStyle name="40% - Accent4 3 3 2 5" xfId="7491" xr:uid="{00000000-0005-0000-0000-000010440000}"/>
    <cellStyle name="40% - Accent4 3 3 2 5 2" xfId="22640" xr:uid="{00000000-0005-0000-0000-000011440000}"/>
    <cellStyle name="40% - Accent4 3 3 2 6" xfId="9174" xr:uid="{00000000-0005-0000-0000-000012440000}"/>
    <cellStyle name="40% - Accent4 3 3 2 6 2" xfId="24323" xr:uid="{00000000-0005-0000-0000-000013440000}"/>
    <cellStyle name="40% - Accent4 3 3 2 7" xfId="10857" xr:uid="{00000000-0005-0000-0000-000014440000}"/>
    <cellStyle name="40% - Accent4 3 3 2 7 2" xfId="26006" xr:uid="{00000000-0005-0000-0000-000015440000}"/>
    <cellStyle name="40% - Accent4 3 3 2 8" xfId="12541" xr:uid="{00000000-0005-0000-0000-000016440000}"/>
    <cellStyle name="40% - Accent4 3 3 2 8 2" xfId="27690" xr:uid="{00000000-0005-0000-0000-000017440000}"/>
    <cellStyle name="40% - Accent4 3 3 2 9" xfId="14224" xr:uid="{00000000-0005-0000-0000-000018440000}"/>
    <cellStyle name="40% - Accent4 3 3 2 9 2" xfId="29373" xr:uid="{00000000-0005-0000-0000-000019440000}"/>
    <cellStyle name="40% - Accent4 3 3 20" xfId="40734" xr:uid="{00000000-0005-0000-0000-00001A440000}"/>
    <cellStyle name="40% - Accent4 3 3 21" xfId="42417" xr:uid="{00000000-0005-0000-0000-00001B440000}"/>
    <cellStyle name="40% - Accent4 3 3 22" xfId="44100" xr:uid="{00000000-0005-0000-0000-00001C440000}"/>
    <cellStyle name="40% - Accent4 3 3 23" xfId="45783" xr:uid="{00000000-0005-0000-0000-00001D440000}"/>
    <cellStyle name="40% - Accent4 3 3 24" xfId="47466" xr:uid="{00000000-0005-0000-0000-00001E440000}"/>
    <cellStyle name="40% - Accent4 3 3 25" xfId="49149" xr:uid="{00000000-0005-0000-0000-00001F440000}"/>
    <cellStyle name="40% - Accent4 3 3 26" xfId="50832" xr:uid="{00000000-0005-0000-0000-000020440000}"/>
    <cellStyle name="40% - Accent4 3 3 27" xfId="52515" xr:uid="{00000000-0005-0000-0000-000021440000}"/>
    <cellStyle name="40% - Accent4 3 3 28" xfId="54198" xr:uid="{00000000-0005-0000-0000-000022440000}"/>
    <cellStyle name="40% - Accent4 3 3 29" xfId="55881" xr:uid="{00000000-0005-0000-0000-000023440000}"/>
    <cellStyle name="40% - Accent4 3 3 3" xfId="1179" xr:uid="{00000000-0005-0000-0000-000024440000}"/>
    <cellStyle name="40% - Accent4 3 3 3 10" xfId="16328" xr:uid="{00000000-0005-0000-0000-000025440000}"/>
    <cellStyle name="40% - Accent4 3 3 3 11" xfId="31477" xr:uid="{00000000-0005-0000-0000-000026440000}"/>
    <cellStyle name="40% - Accent4 3 3 3 12" xfId="33160" xr:uid="{00000000-0005-0000-0000-000027440000}"/>
    <cellStyle name="40% - Accent4 3 3 3 13" xfId="34843" xr:uid="{00000000-0005-0000-0000-000028440000}"/>
    <cellStyle name="40% - Accent4 3 3 3 14" xfId="36526" xr:uid="{00000000-0005-0000-0000-000029440000}"/>
    <cellStyle name="40% - Accent4 3 3 3 15" xfId="38209" xr:uid="{00000000-0005-0000-0000-00002A440000}"/>
    <cellStyle name="40% - Accent4 3 3 3 16" xfId="39892" xr:uid="{00000000-0005-0000-0000-00002B440000}"/>
    <cellStyle name="40% - Accent4 3 3 3 17" xfId="41575" xr:uid="{00000000-0005-0000-0000-00002C440000}"/>
    <cellStyle name="40% - Accent4 3 3 3 18" xfId="43258" xr:uid="{00000000-0005-0000-0000-00002D440000}"/>
    <cellStyle name="40% - Accent4 3 3 3 19" xfId="44941" xr:uid="{00000000-0005-0000-0000-00002E440000}"/>
    <cellStyle name="40% - Accent4 3 3 3 2" xfId="2862" xr:uid="{00000000-0005-0000-0000-00002F440000}"/>
    <cellStyle name="40% - Accent4 3 3 3 2 2" xfId="18011" xr:uid="{00000000-0005-0000-0000-000030440000}"/>
    <cellStyle name="40% - Accent4 3 3 3 20" xfId="46624" xr:uid="{00000000-0005-0000-0000-000031440000}"/>
    <cellStyle name="40% - Accent4 3 3 3 21" xfId="48307" xr:uid="{00000000-0005-0000-0000-000032440000}"/>
    <cellStyle name="40% - Accent4 3 3 3 22" xfId="49990" xr:uid="{00000000-0005-0000-0000-000033440000}"/>
    <cellStyle name="40% - Accent4 3 3 3 23" xfId="51673" xr:uid="{00000000-0005-0000-0000-000034440000}"/>
    <cellStyle name="40% - Accent4 3 3 3 24" xfId="53356" xr:uid="{00000000-0005-0000-0000-000035440000}"/>
    <cellStyle name="40% - Accent4 3 3 3 25" xfId="55039" xr:uid="{00000000-0005-0000-0000-000036440000}"/>
    <cellStyle name="40% - Accent4 3 3 3 26" xfId="56722" xr:uid="{00000000-0005-0000-0000-000037440000}"/>
    <cellStyle name="40% - Accent4 3 3 3 27" xfId="58405" xr:uid="{00000000-0005-0000-0000-000038440000}"/>
    <cellStyle name="40% - Accent4 3 3 3 28" xfId="60088" xr:uid="{00000000-0005-0000-0000-000039440000}"/>
    <cellStyle name="40% - Accent4 3 3 3 29" xfId="61771" xr:uid="{00000000-0005-0000-0000-00003A440000}"/>
    <cellStyle name="40% - Accent4 3 3 3 3" xfId="4546" xr:uid="{00000000-0005-0000-0000-00003B440000}"/>
    <cellStyle name="40% - Accent4 3 3 3 3 2" xfId="19695" xr:uid="{00000000-0005-0000-0000-00003C440000}"/>
    <cellStyle name="40% - Accent4 3 3 3 30" xfId="63454" xr:uid="{00000000-0005-0000-0000-00003D440000}"/>
    <cellStyle name="40% - Accent4 3 3 3 4" xfId="6229" xr:uid="{00000000-0005-0000-0000-00003E440000}"/>
    <cellStyle name="40% - Accent4 3 3 3 4 2" xfId="21378" xr:uid="{00000000-0005-0000-0000-00003F440000}"/>
    <cellStyle name="40% - Accent4 3 3 3 5" xfId="7912" xr:uid="{00000000-0005-0000-0000-000040440000}"/>
    <cellStyle name="40% - Accent4 3 3 3 5 2" xfId="23061" xr:uid="{00000000-0005-0000-0000-000041440000}"/>
    <cellStyle name="40% - Accent4 3 3 3 6" xfId="9595" xr:uid="{00000000-0005-0000-0000-000042440000}"/>
    <cellStyle name="40% - Accent4 3 3 3 6 2" xfId="24744" xr:uid="{00000000-0005-0000-0000-000043440000}"/>
    <cellStyle name="40% - Accent4 3 3 3 7" xfId="11278" xr:uid="{00000000-0005-0000-0000-000044440000}"/>
    <cellStyle name="40% - Accent4 3 3 3 7 2" xfId="26427" xr:uid="{00000000-0005-0000-0000-000045440000}"/>
    <cellStyle name="40% - Accent4 3 3 3 8" xfId="12962" xr:uid="{00000000-0005-0000-0000-000046440000}"/>
    <cellStyle name="40% - Accent4 3 3 3 8 2" xfId="28111" xr:uid="{00000000-0005-0000-0000-000047440000}"/>
    <cellStyle name="40% - Accent4 3 3 3 9" xfId="14645" xr:uid="{00000000-0005-0000-0000-000048440000}"/>
    <cellStyle name="40% - Accent4 3 3 3 9 2" xfId="29794" xr:uid="{00000000-0005-0000-0000-000049440000}"/>
    <cellStyle name="40% - Accent4 3 3 30" xfId="57564" xr:uid="{00000000-0005-0000-0000-00004A440000}"/>
    <cellStyle name="40% - Accent4 3 3 31" xfId="59247" xr:uid="{00000000-0005-0000-0000-00004B440000}"/>
    <cellStyle name="40% - Accent4 3 3 32" xfId="60930" xr:uid="{00000000-0005-0000-0000-00004C440000}"/>
    <cellStyle name="40% - Accent4 3 3 33" xfId="62613" xr:uid="{00000000-0005-0000-0000-00004D440000}"/>
    <cellStyle name="40% - Accent4 3 3 4" xfId="1600" xr:uid="{00000000-0005-0000-0000-00004E440000}"/>
    <cellStyle name="40% - Accent4 3 3 4 10" xfId="16749" xr:uid="{00000000-0005-0000-0000-00004F440000}"/>
    <cellStyle name="40% - Accent4 3 3 4 11" xfId="31898" xr:uid="{00000000-0005-0000-0000-000050440000}"/>
    <cellStyle name="40% - Accent4 3 3 4 12" xfId="33581" xr:uid="{00000000-0005-0000-0000-000051440000}"/>
    <cellStyle name="40% - Accent4 3 3 4 13" xfId="35264" xr:uid="{00000000-0005-0000-0000-000052440000}"/>
    <cellStyle name="40% - Accent4 3 3 4 14" xfId="36947" xr:uid="{00000000-0005-0000-0000-000053440000}"/>
    <cellStyle name="40% - Accent4 3 3 4 15" xfId="38630" xr:uid="{00000000-0005-0000-0000-000054440000}"/>
    <cellStyle name="40% - Accent4 3 3 4 16" xfId="40313" xr:uid="{00000000-0005-0000-0000-000055440000}"/>
    <cellStyle name="40% - Accent4 3 3 4 17" xfId="41996" xr:uid="{00000000-0005-0000-0000-000056440000}"/>
    <cellStyle name="40% - Accent4 3 3 4 18" xfId="43679" xr:uid="{00000000-0005-0000-0000-000057440000}"/>
    <cellStyle name="40% - Accent4 3 3 4 19" xfId="45362" xr:uid="{00000000-0005-0000-0000-000058440000}"/>
    <cellStyle name="40% - Accent4 3 3 4 2" xfId="3283" xr:uid="{00000000-0005-0000-0000-000059440000}"/>
    <cellStyle name="40% - Accent4 3 3 4 2 2" xfId="18432" xr:uid="{00000000-0005-0000-0000-00005A440000}"/>
    <cellStyle name="40% - Accent4 3 3 4 20" xfId="47045" xr:uid="{00000000-0005-0000-0000-00005B440000}"/>
    <cellStyle name="40% - Accent4 3 3 4 21" xfId="48728" xr:uid="{00000000-0005-0000-0000-00005C440000}"/>
    <cellStyle name="40% - Accent4 3 3 4 22" xfId="50411" xr:uid="{00000000-0005-0000-0000-00005D440000}"/>
    <cellStyle name="40% - Accent4 3 3 4 23" xfId="52094" xr:uid="{00000000-0005-0000-0000-00005E440000}"/>
    <cellStyle name="40% - Accent4 3 3 4 24" xfId="53777" xr:uid="{00000000-0005-0000-0000-00005F440000}"/>
    <cellStyle name="40% - Accent4 3 3 4 25" xfId="55460" xr:uid="{00000000-0005-0000-0000-000060440000}"/>
    <cellStyle name="40% - Accent4 3 3 4 26" xfId="57143" xr:uid="{00000000-0005-0000-0000-000061440000}"/>
    <cellStyle name="40% - Accent4 3 3 4 27" xfId="58826" xr:uid="{00000000-0005-0000-0000-000062440000}"/>
    <cellStyle name="40% - Accent4 3 3 4 28" xfId="60509" xr:uid="{00000000-0005-0000-0000-000063440000}"/>
    <cellStyle name="40% - Accent4 3 3 4 29" xfId="62192" xr:uid="{00000000-0005-0000-0000-000064440000}"/>
    <cellStyle name="40% - Accent4 3 3 4 3" xfId="4967" xr:uid="{00000000-0005-0000-0000-000065440000}"/>
    <cellStyle name="40% - Accent4 3 3 4 3 2" xfId="20116" xr:uid="{00000000-0005-0000-0000-000066440000}"/>
    <cellStyle name="40% - Accent4 3 3 4 30" xfId="63875" xr:uid="{00000000-0005-0000-0000-000067440000}"/>
    <cellStyle name="40% - Accent4 3 3 4 4" xfId="6650" xr:uid="{00000000-0005-0000-0000-000068440000}"/>
    <cellStyle name="40% - Accent4 3 3 4 4 2" xfId="21799" xr:uid="{00000000-0005-0000-0000-000069440000}"/>
    <cellStyle name="40% - Accent4 3 3 4 5" xfId="8333" xr:uid="{00000000-0005-0000-0000-00006A440000}"/>
    <cellStyle name="40% - Accent4 3 3 4 5 2" xfId="23482" xr:uid="{00000000-0005-0000-0000-00006B440000}"/>
    <cellStyle name="40% - Accent4 3 3 4 6" xfId="10016" xr:uid="{00000000-0005-0000-0000-00006C440000}"/>
    <cellStyle name="40% - Accent4 3 3 4 6 2" xfId="25165" xr:uid="{00000000-0005-0000-0000-00006D440000}"/>
    <cellStyle name="40% - Accent4 3 3 4 7" xfId="11699" xr:uid="{00000000-0005-0000-0000-00006E440000}"/>
    <cellStyle name="40% - Accent4 3 3 4 7 2" xfId="26848" xr:uid="{00000000-0005-0000-0000-00006F440000}"/>
    <cellStyle name="40% - Accent4 3 3 4 8" xfId="13383" xr:uid="{00000000-0005-0000-0000-000070440000}"/>
    <cellStyle name="40% - Accent4 3 3 4 8 2" xfId="28532" xr:uid="{00000000-0005-0000-0000-000071440000}"/>
    <cellStyle name="40% - Accent4 3 3 4 9" xfId="15066" xr:uid="{00000000-0005-0000-0000-000072440000}"/>
    <cellStyle name="40% - Accent4 3 3 4 9 2" xfId="30215" xr:uid="{00000000-0005-0000-0000-000073440000}"/>
    <cellStyle name="40% - Accent4 3 3 5" xfId="2021" xr:uid="{00000000-0005-0000-0000-000074440000}"/>
    <cellStyle name="40% - Accent4 3 3 5 2" xfId="17170" xr:uid="{00000000-0005-0000-0000-000075440000}"/>
    <cellStyle name="40% - Accent4 3 3 6" xfId="3705" xr:uid="{00000000-0005-0000-0000-000076440000}"/>
    <cellStyle name="40% - Accent4 3 3 6 2" xfId="18854" xr:uid="{00000000-0005-0000-0000-000077440000}"/>
    <cellStyle name="40% - Accent4 3 3 7" xfId="5388" xr:uid="{00000000-0005-0000-0000-000078440000}"/>
    <cellStyle name="40% - Accent4 3 3 7 2" xfId="20537" xr:uid="{00000000-0005-0000-0000-000079440000}"/>
    <cellStyle name="40% - Accent4 3 3 8" xfId="7071" xr:uid="{00000000-0005-0000-0000-00007A440000}"/>
    <cellStyle name="40% - Accent4 3 3 8 2" xfId="22220" xr:uid="{00000000-0005-0000-0000-00007B440000}"/>
    <cellStyle name="40% - Accent4 3 3 9" xfId="8754" xr:uid="{00000000-0005-0000-0000-00007C440000}"/>
    <cellStyle name="40% - Accent4 3 3 9 2" xfId="23903" xr:uid="{00000000-0005-0000-0000-00007D440000}"/>
    <cellStyle name="40% - Accent4 3 30" xfId="53988" xr:uid="{00000000-0005-0000-0000-00007E440000}"/>
    <cellStyle name="40% - Accent4 3 31" xfId="55671" xr:uid="{00000000-0005-0000-0000-00007F440000}"/>
    <cellStyle name="40% - Accent4 3 32" xfId="57354" xr:uid="{00000000-0005-0000-0000-000080440000}"/>
    <cellStyle name="40% - Accent4 3 33" xfId="59037" xr:uid="{00000000-0005-0000-0000-000081440000}"/>
    <cellStyle name="40% - Accent4 3 34" xfId="60720" xr:uid="{00000000-0005-0000-0000-000082440000}"/>
    <cellStyle name="40% - Accent4 3 35" xfId="62403" xr:uid="{00000000-0005-0000-0000-000083440000}"/>
    <cellStyle name="40% - Accent4 3 4" xfId="548" xr:uid="{00000000-0005-0000-0000-000084440000}"/>
    <cellStyle name="40% - Accent4 3 4 10" xfId="15697" xr:uid="{00000000-0005-0000-0000-000085440000}"/>
    <cellStyle name="40% - Accent4 3 4 11" xfId="30846" xr:uid="{00000000-0005-0000-0000-000086440000}"/>
    <cellStyle name="40% - Accent4 3 4 12" xfId="32529" xr:uid="{00000000-0005-0000-0000-000087440000}"/>
    <cellStyle name="40% - Accent4 3 4 13" xfId="34212" xr:uid="{00000000-0005-0000-0000-000088440000}"/>
    <cellStyle name="40% - Accent4 3 4 14" xfId="35895" xr:uid="{00000000-0005-0000-0000-000089440000}"/>
    <cellStyle name="40% - Accent4 3 4 15" xfId="37578" xr:uid="{00000000-0005-0000-0000-00008A440000}"/>
    <cellStyle name="40% - Accent4 3 4 16" xfId="39261" xr:uid="{00000000-0005-0000-0000-00008B440000}"/>
    <cellStyle name="40% - Accent4 3 4 17" xfId="40944" xr:uid="{00000000-0005-0000-0000-00008C440000}"/>
    <cellStyle name="40% - Accent4 3 4 18" xfId="42627" xr:uid="{00000000-0005-0000-0000-00008D440000}"/>
    <cellStyle name="40% - Accent4 3 4 19" xfId="44310" xr:uid="{00000000-0005-0000-0000-00008E440000}"/>
    <cellStyle name="40% - Accent4 3 4 2" xfId="2231" xr:uid="{00000000-0005-0000-0000-00008F440000}"/>
    <cellStyle name="40% - Accent4 3 4 2 2" xfId="17380" xr:uid="{00000000-0005-0000-0000-000090440000}"/>
    <cellStyle name="40% - Accent4 3 4 20" xfId="45993" xr:uid="{00000000-0005-0000-0000-000091440000}"/>
    <cellStyle name="40% - Accent4 3 4 21" xfId="47676" xr:uid="{00000000-0005-0000-0000-000092440000}"/>
    <cellStyle name="40% - Accent4 3 4 22" xfId="49359" xr:uid="{00000000-0005-0000-0000-000093440000}"/>
    <cellStyle name="40% - Accent4 3 4 23" xfId="51042" xr:uid="{00000000-0005-0000-0000-000094440000}"/>
    <cellStyle name="40% - Accent4 3 4 24" xfId="52725" xr:uid="{00000000-0005-0000-0000-000095440000}"/>
    <cellStyle name="40% - Accent4 3 4 25" xfId="54408" xr:uid="{00000000-0005-0000-0000-000096440000}"/>
    <cellStyle name="40% - Accent4 3 4 26" xfId="56091" xr:uid="{00000000-0005-0000-0000-000097440000}"/>
    <cellStyle name="40% - Accent4 3 4 27" xfId="57774" xr:uid="{00000000-0005-0000-0000-000098440000}"/>
    <cellStyle name="40% - Accent4 3 4 28" xfId="59457" xr:uid="{00000000-0005-0000-0000-000099440000}"/>
    <cellStyle name="40% - Accent4 3 4 29" xfId="61140" xr:uid="{00000000-0005-0000-0000-00009A440000}"/>
    <cellStyle name="40% - Accent4 3 4 3" xfId="3915" xr:uid="{00000000-0005-0000-0000-00009B440000}"/>
    <cellStyle name="40% - Accent4 3 4 3 2" xfId="19064" xr:uid="{00000000-0005-0000-0000-00009C440000}"/>
    <cellStyle name="40% - Accent4 3 4 30" xfId="62823" xr:uid="{00000000-0005-0000-0000-00009D440000}"/>
    <cellStyle name="40% - Accent4 3 4 4" xfId="5598" xr:uid="{00000000-0005-0000-0000-00009E440000}"/>
    <cellStyle name="40% - Accent4 3 4 4 2" xfId="20747" xr:uid="{00000000-0005-0000-0000-00009F440000}"/>
    <cellStyle name="40% - Accent4 3 4 5" xfId="7281" xr:uid="{00000000-0005-0000-0000-0000A0440000}"/>
    <cellStyle name="40% - Accent4 3 4 5 2" xfId="22430" xr:uid="{00000000-0005-0000-0000-0000A1440000}"/>
    <cellStyle name="40% - Accent4 3 4 6" xfId="8964" xr:uid="{00000000-0005-0000-0000-0000A2440000}"/>
    <cellStyle name="40% - Accent4 3 4 6 2" xfId="24113" xr:uid="{00000000-0005-0000-0000-0000A3440000}"/>
    <cellStyle name="40% - Accent4 3 4 7" xfId="10647" xr:uid="{00000000-0005-0000-0000-0000A4440000}"/>
    <cellStyle name="40% - Accent4 3 4 7 2" xfId="25796" xr:uid="{00000000-0005-0000-0000-0000A5440000}"/>
    <cellStyle name="40% - Accent4 3 4 8" xfId="12331" xr:uid="{00000000-0005-0000-0000-0000A6440000}"/>
    <cellStyle name="40% - Accent4 3 4 8 2" xfId="27480" xr:uid="{00000000-0005-0000-0000-0000A7440000}"/>
    <cellStyle name="40% - Accent4 3 4 9" xfId="14014" xr:uid="{00000000-0005-0000-0000-0000A8440000}"/>
    <cellStyle name="40% - Accent4 3 4 9 2" xfId="29163" xr:uid="{00000000-0005-0000-0000-0000A9440000}"/>
    <cellStyle name="40% - Accent4 3 5" xfId="969" xr:uid="{00000000-0005-0000-0000-0000AA440000}"/>
    <cellStyle name="40% - Accent4 3 5 10" xfId="16118" xr:uid="{00000000-0005-0000-0000-0000AB440000}"/>
    <cellStyle name="40% - Accent4 3 5 11" xfId="31267" xr:uid="{00000000-0005-0000-0000-0000AC440000}"/>
    <cellStyle name="40% - Accent4 3 5 12" xfId="32950" xr:uid="{00000000-0005-0000-0000-0000AD440000}"/>
    <cellStyle name="40% - Accent4 3 5 13" xfId="34633" xr:uid="{00000000-0005-0000-0000-0000AE440000}"/>
    <cellStyle name="40% - Accent4 3 5 14" xfId="36316" xr:uid="{00000000-0005-0000-0000-0000AF440000}"/>
    <cellStyle name="40% - Accent4 3 5 15" xfId="37999" xr:uid="{00000000-0005-0000-0000-0000B0440000}"/>
    <cellStyle name="40% - Accent4 3 5 16" xfId="39682" xr:uid="{00000000-0005-0000-0000-0000B1440000}"/>
    <cellStyle name="40% - Accent4 3 5 17" xfId="41365" xr:uid="{00000000-0005-0000-0000-0000B2440000}"/>
    <cellStyle name="40% - Accent4 3 5 18" xfId="43048" xr:uid="{00000000-0005-0000-0000-0000B3440000}"/>
    <cellStyle name="40% - Accent4 3 5 19" xfId="44731" xr:uid="{00000000-0005-0000-0000-0000B4440000}"/>
    <cellStyle name="40% - Accent4 3 5 2" xfId="2652" xr:uid="{00000000-0005-0000-0000-0000B5440000}"/>
    <cellStyle name="40% - Accent4 3 5 2 2" xfId="17801" xr:uid="{00000000-0005-0000-0000-0000B6440000}"/>
    <cellStyle name="40% - Accent4 3 5 20" xfId="46414" xr:uid="{00000000-0005-0000-0000-0000B7440000}"/>
    <cellStyle name="40% - Accent4 3 5 21" xfId="48097" xr:uid="{00000000-0005-0000-0000-0000B8440000}"/>
    <cellStyle name="40% - Accent4 3 5 22" xfId="49780" xr:uid="{00000000-0005-0000-0000-0000B9440000}"/>
    <cellStyle name="40% - Accent4 3 5 23" xfId="51463" xr:uid="{00000000-0005-0000-0000-0000BA440000}"/>
    <cellStyle name="40% - Accent4 3 5 24" xfId="53146" xr:uid="{00000000-0005-0000-0000-0000BB440000}"/>
    <cellStyle name="40% - Accent4 3 5 25" xfId="54829" xr:uid="{00000000-0005-0000-0000-0000BC440000}"/>
    <cellStyle name="40% - Accent4 3 5 26" xfId="56512" xr:uid="{00000000-0005-0000-0000-0000BD440000}"/>
    <cellStyle name="40% - Accent4 3 5 27" xfId="58195" xr:uid="{00000000-0005-0000-0000-0000BE440000}"/>
    <cellStyle name="40% - Accent4 3 5 28" xfId="59878" xr:uid="{00000000-0005-0000-0000-0000BF440000}"/>
    <cellStyle name="40% - Accent4 3 5 29" xfId="61561" xr:uid="{00000000-0005-0000-0000-0000C0440000}"/>
    <cellStyle name="40% - Accent4 3 5 3" xfId="4336" xr:uid="{00000000-0005-0000-0000-0000C1440000}"/>
    <cellStyle name="40% - Accent4 3 5 3 2" xfId="19485" xr:uid="{00000000-0005-0000-0000-0000C2440000}"/>
    <cellStyle name="40% - Accent4 3 5 30" xfId="63244" xr:uid="{00000000-0005-0000-0000-0000C3440000}"/>
    <cellStyle name="40% - Accent4 3 5 4" xfId="6019" xr:uid="{00000000-0005-0000-0000-0000C4440000}"/>
    <cellStyle name="40% - Accent4 3 5 4 2" xfId="21168" xr:uid="{00000000-0005-0000-0000-0000C5440000}"/>
    <cellStyle name="40% - Accent4 3 5 5" xfId="7702" xr:uid="{00000000-0005-0000-0000-0000C6440000}"/>
    <cellStyle name="40% - Accent4 3 5 5 2" xfId="22851" xr:uid="{00000000-0005-0000-0000-0000C7440000}"/>
    <cellStyle name="40% - Accent4 3 5 6" xfId="9385" xr:uid="{00000000-0005-0000-0000-0000C8440000}"/>
    <cellStyle name="40% - Accent4 3 5 6 2" xfId="24534" xr:uid="{00000000-0005-0000-0000-0000C9440000}"/>
    <cellStyle name="40% - Accent4 3 5 7" xfId="11068" xr:uid="{00000000-0005-0000-0000-0000CA440000}"/>
    <cellStyle name="40% - Accent4 3 5 7 2" xfId="26217" xr:uid="{00000000-0005-0000-0000-0000CB440000}"/>
    <cellStyle name="40% - Accent4 3 5 8" xfId="12752" xr:uid="{00000000-0005-0000-0000-0000CC440000}"/>
    <cellStyle name="40% - Accent4 3 5 8 2" xfId="27901" xr:uid="{00000000-0005-0000-0000-0000CD440000}"/>
    <cellStyle name="40% - Accent4 3 5 9" xfId="14435" xr:uid="{00000000-0005-0000-0000-0000CE440000}"/>
    <cellStyle name="40% - Accent4 3 5 9 2" xfId="29584" xr:uid="{00000000-0005-0000-0000-0000CF440000}"/>
    <cellStyle name="40% - Accent4 3 6" xfId="1390" xr:uid="{00000000-0005-0000-0000-0000D0440000}"/>
    <cellStyle name="40% - Accent4 3 6 10" xfId="16539" xr:uid="{00000000-0005-0000-0000-0000D1440000}"/>
    <cellStyle name="40% - Accent4 3 6 11" xfId="31688" xr:uid="{00000000-0005-0000-0000-0000D2440000}"/>
    <cellStyle name="40% - Accent4 3 6 12" xfId="33371" xr:uid="{00000000-0005-0000-0000-0000D3440000}"/>
    <cellStyle name="40% - Accent4 3 6 13" xfId="35054" xr:uid="{00000000-0005-0000-0000-0000D4440000}"/>
    <cellStyle name="40% - Accent4 3 6 14" xfId="36737" xr:uid="{00000000-0005-0000-0000-0000D5440000}"/>
    <cellStyle name="40% - Accent4 3 6 15" xfId="38420" xr:uid="{00000000-0005-0000-0000-0000D6440000}"/>
    <cellStyle name="40% - Accent4 3 6 16" xfId="40103" xr:uid="{00000000-0005-0000-0000-0000D7440000}"/>
    <cellStyle name="40% - Accent4 3 6 17" xfId="41786" xr:uid="{00000000-0005-0000-0000-0000D8440000}"/>
    <cellStyle name="40% - Accent4 3 6 18" xfId="43469" xr:uid="{00000000-0005-0000-0000-0000D9440000}"/>
    <cellStyle name="40% - Accent4 3 6 19" xfId="45152" xr:uid="{00000000-0005-0000-0000-0000DA440000}"/>
    <cellStyle name="40% - Accent4 3 6 2" xfId="3073" xr:uid="{00000000-0005-0000-0000-0000DB440000}"/>
    <cellStyle name="40% - Accent4 3 6 2 2" xfId="18222" xr:uid="{00000000-0005-0000-0000-0000DC440000}"/>
    <cellStyle name="40% - Accent4 3 6 20" xfId="46835" xr:uid="{00000000-0005-0000-0000-0000DD440000}"/>
    <cellStyle name="40% - Accent4 3 6 21" xfId="48518" xr:uid="{00000000-0005-0000-0000-0000DE440000}"/>
    <cellStyle name="40% - Accent4 3 6 22" xfId="50201" xr:uid="{00000000-0005-0000-0000-0000DF440000}"/>
    <cellStyle name="40% - Accent4 3 6 23" xfId="51884" xr:uid="{00000000-0005-0000-0000-0000E0440000}"/>
    <cellStyle name="40% - Accent4 3 6 24" xfId="53567" xr:uid="{00000000-0005-0000-0000-0000E1440000}"/>
    <cellStyle name="40% - Accent4 3 6 25" xfId="55250" xr:uid="{00000000-0005-0000-0000-0000E2440000}"/>
    <cellStyle name="40% - Accent4 3 6 26" xfId="56933" xr:uid="{00000000-0005-0000-0000-0000E3440000}"/>
    <cellStyle name="40% - Accent4 3 6 27" xfId="58616" xr:uid="{00000000-0005-0000-0000-0000E4440000}"/>
    <cellStyle name="40% - Accent4 3 6 28" xfId="60299" xr:uid="{00000000-0005-0000-0000-0000E5440000}"/>
    <cellStyle name="40% - Accent4 3 6 29" xfId="61982" xr:uid="{00000000-0005-0000-0000-0000E6440000}"/>
    <cellStyle name="40% - Accent4 3 6 3" xfId="4757" xr:uid="{00000000-0005-0000-0000-0000E7440000}"/>
    <cellStyle name="40% - Accent4 3 6 3 2" xfId="19906" xr:uid="{00000000-0005-0000-0000-0000E8440000}"/>
    <cellStyle name="40% - Accent4 3 6 30" xfId="63665" xr:uid="{00000000-0005-0000-0000-0000E9440000}"/>
    <cellStyle name="40% - Accent4 3 6 4" xfId="6440" xr:uid="{00000000-0005-0000-0000-0000EA440000}"/>
    <cellStyle name="40% - Accent4 3 6 4 2" xfId="21589" xr:uid="{00000000-0005-0000-0000-0000EB440000}"/>
    <cellStyle name="40% - Accent4 3 6 5" xfId="8123" xr:uid="{00000000-0005-0000-0000-0000EC440000}"/>
    <cellStyle name="40% - Accent4 3 6 5 2" xfId="23272" xr:uid="{00000000-0005-0000-0000-0000ED440000}"/>
    <cellStyle name="40% - Accent4 3 6 6" xfId="9806" xr:uid="{00000000-0005-0000-0000-0000EE440000}"/>
    <cellStyle name="40% - Accent4 3 6 6 2" xfId="24955" xr:uid="{00000000-0005-0000-0000-0000EF440000}"/>
    <cellStyle name="40% - Accent4 3 6 7" xfId="11489" xr:uid="{00000000-0005-0000-0000-0000F0440000}"/>
    <cellStyle name="40% - Accent4 3 6 7 2" xfId="26638" xr:uid="{00000000-0005-0000-0000-0000F1440000}"/>
    <cellStyle name="40% - Accent4 3 6 8" xfId="13173" xr:uid="{00000000-0005-0000-0000-0000F2440000}"/>
    <cellStyle name="40% - Accent4 3 6 8 2" xfId="28322" xr:uid="{00000000-0005-0000-0000-0000F3440000}"/>
    <cellStyle name="40% - Accent4 3 6 9" xfId="14856" xr:uid="{00000000-0005-0000-0000-0000F4440000}"/>
    <cellStyle name="40% - Accent4 3 6 9 2" xfId="30005" xr:uid="{00000000-0005-0000-0000-0000F5440000}"/>
    <cellStyle name="40% - Accent4 3 7" xfId="1811" xr:uid="{00000000-0005-0000-0000-0000F6440000}"/>
    <cellStyle name="40% - Accent4 3 7 2" xfId="16960" xr:uid="{00000000-0005-0000-0000-0000F7440000}"/>
    <cellStyle name="40% - Accent4 3 8" xfId="3495" xr:uid="{00000000-0005-0000-0000-0000F8440000}"/>
    <cellStyle name="40% - Accent4 3 8 2" xfId="18644" xr:uid="{00000000-0005-0000-0000-0000F9440000}"/>
    <cellStyle name="40% - Accent4 3 9" xfId="5178" xr:uid="{00000000-0005-0000-0000-0000FA440000}"/>
    <cellStyle name="40% - Accent4 3 9 2" xfId="20327" xr:uid="{00000000-0005-0000-0000-0000FB440000}"/>
    <cellStyle name="40% - Accent4 30" xfId="50580" xr:uid="{00000000-0005-0000-0000-0000FC440000}"/>
    <cellStyle name="40% - Accent4 31" xfId="52263" xr:uid="{00000000-0005-0000-0000-0000FD440000}"/>
    <cellStyle name="40% - Accent4 32" xfId="53946" xr:uid="{00000000-0005-0000-0000-0000FE440000}"/>
    <cellStyle name="40% - Accent4 33" xfId="55629" xr:uid="{00000000-0005-0000-0000-0000FF440000}"/>
    <cellStyle name="40% - Accent4 34" xfId="57312" xr:uid="{00000000-0005-0000-0000-000000450000}"/>
    <cellStyle name="40% - Accent4 35" xfId="58995" xr:uid="{00000000-0005-0000-0000-000001450000}"/>
    <cellStyle name="40% - Accent4 36" xfId="60678" xr:uid="{00000000-0005-0000-0000-000002450000}"/>
    <cellStyle name="40% - Accent4 37" xfId="62361" xr:uid="{00000000-0005-0000-0000-000003450000}"/>
    <cellStyle name="40% - Accent4 4" xfId="191" xr:uid="{00000000-0005-0000-0000-000004450000}"/>
    <cellStyle name="40% - Accent4 4 10" xfId="8607" xr:uid="{00000000-0005-0000-0000-000005450000}"/>
    <cellStyle name="40% - Accent4 4 10 2" xfId="23756" xr:uid="{00000000-0005-0000-0000-000006450000}"/>
    <cellStyle name="40% - Accent4 4 11" xfId="10290" xr:uid="{00000000-0005-0000-0000-000007450000}"/>
    <cellStyle name="40% - Accent4 4 11 2" xfId="25439" xr:uid="{00000000-0005-0000-0000-000008450000}"/>
    <cellStyle name="40% - Accent4 4 12" xfId="11974" xr:uid="{00000000-0005-0000-0000-000009450000}"/>
    <cellStyle name="40% - Accent4 4 12 2" xfId="27123" xr:uid="{00000000-0005-0000-0000-00000A450000}"/>
    <cellStyle name="40% - Accent4 4 13" xfId="13657" xr:uid="{00000000-0005-0000-0000-00000B450000}"/>
    <cellStyle name="40% - Accent4 4 13 2" xfId="28806" xr:uid="{00000000-0005-0000-0000-00000C450000}"/>
    <cellStyle name="40% - Accent4 4 14" xfId="15340" xr:uid="{00000000-0005-0000-0000-00000D450000}"/>
    <cellStyle name="40% - Accent4 4 15" xfId="30489" xr:uid="{00000000-0005-0000-0000-00000E450000}"/>
    <cellStyle name="40% - Accent4 4 16" xfId="32172" xr:uid="{00000000-0005-0000-0000-00000F450000}"/>
    <cellStyle name="40% - Accent4 4 17" xfId="33855" xr:uid="{00000000-0005-0000-0000-000010450000}"/>
    <cellStyle name="40% - Accent4 4 18" xfId="35538" xr:uid="{00000000-0005-0000-0000-000011450000}"/>
    <cellStyle name="40% - Accent4 4 19" xfId="37221" xr:uid="{00000000-0005-0000-0000-000012450000}"/>
    <cellStyle name="40% - Accent4 4 2" xfId="401" xr:uid="{00000000-0005-0000-0000-000013450000}"/>
    <cellStyle name="40% - Accent4 4 2 10" xfId="10500" xr:uid="{00000000-0005-0000-0000-000014450000}"/>
    <cellStyle name="40% - Accent4 4 2 10 2" xfId="25649" xr:uid="{00000000-0005-0000-0000-000015450000}"/>
    <cellStyle name="40% - Accent4 4 2 11" xfId="12184" xr:uid="{00000000-0005-0000-0000-000016450000}"/>
    <cellStyle name="40% - Accent4 4 2 11 2" xfId="27333" xr:uid="{00000000-0005-0000-0000-000017450000}"/>
    <cellStyle name="40% - Accent4 4 2 12" xfId="13867" xr:uid="{00000000-0005-0000-0000-000018450000}"/>
    <cellStyle name="40% - Accent4 4 2 12 2" xfId="29016" xr:uid="{00000000-0005-0000-0000-000019450000}"/>
    <cellStyle name="40% - Accent4 4 2 13" xfId="15550" xr:uid="{00000000-0005-0000-0000-00001A450000}"/>
    <cellStyle name="40% - Accent4 4 2 14" xfId="30699" xr:uid="{00000000-0005-0000-0000-00001B450000}"/>
    <cellStyle name="40% - Accent4 4 2 15" xfId="32382" xr:uid="{00000000-0005-0000-0000-00001C450000}"/>
    <cellStyle name="40% - Accent4 4 2 16" xfId="34065" xr:uid="{00000000-0005-0000-0000-00001D450000}"/>
    <cellStyle name="40% - Accent4 4 2 17" xfId="35748" xr:uid="{00000000-0005-0000-0000-00001E450000}"/>
    <cellStyle name="40% - Accent4 4 2 18" xfId="37431" xr:uid="{00000000-0005-0000-0000-00001F450000}"/>
    <cellStyle name="40% - Accent4 4 2 19" xfId="39114" xr:uid="{00000000-0005-0000-0000-000020450000}"/>
    <cellStyle name="40% - Accent4 4 2 2" xfId="821" xr:uid="{00000000-0005-0000-0000-000021450000}"/>
    <cellStyle name="40% - Accent4 4 2 2 10" xfId="15970" xr:uid="{00000000-0005-0000-0000-000022450000}"/>
    <cellStyle name="40% - Accent4 4 2 2 11" xfId="31119" xr:uid="{00000000-0005-0000-0000-000023450000}"/>
    <cellStyle name="40% - Accent4 4 2 2 12" xfId="32802" xr:uid="{00000000-0005-0000-0000-000024450000}"/>
    <cellStyle name="40% - Accent4 4 2 2 13" xfId="34485" xr:uid="{00000000-0005-0000-0000-000025450000}"/>
    <cellStyle name="40% - Accent4 4 2 2 14" xfId="36168" xr:uid="{00000000-0005-0000-0000-000026450000}"/>
    <cellStyle name="40% - Accent4 4 2 2 15" xfId="37851" xr:uid="{00000000-0005-0000-0000-000027450000}"/>
    <cellStyle name="40% - Accent4 4 2 2 16" xfId="39534" xr:uid="{00000000-0005-0000-0000-000028450000}"/>
    <cellStyle name="40% - Accent4 4 2 2 17" xfId="41217" xr:uid="{00000000-0005-0000-0000-000029450000}"/>
    <cellStyle name="40% - Accent4 4 2 2 18" xfId="42900" xr:uid="{00000000-0005-0000-0000-00002A450000}"/>
    <cellStyle name="40% - Accent4 4 2 2 19" xfId="44583" xr:uid="{00000000-0005-0000-0000-00002B450000}"/>
    <cellStyle name="40% - Accent4 4 2 2 2" xfId="2504" xr:uid="{00000000-0005-0000-0000-00002C450000}"/>
    <cellStyle name="40% - Accent4 4 2 2 2 2" xfId="17653" xr:uid="{00000000-0005-0000-0000-00002D450000}"/>
    <cellStyle name="40% - Accent4 4 2 2 20" xfId="46266" xr:uid="{00000000-0005-0000-0000-00002E450000}"/>
    <cellStyle name="40% - Accent4 4 2 2 21" xfId="47949" xr:uid="{00000000-0005-0000-0000-00002F450000}"/>
    <cellStyle name="40% - Accent4 4 2 2 22" xfId="49632" xr:uid="{00000000-0005-0000-0000-000030450000}"/>
    <cellStyle name="40% - Accent4 4 2 2 23" xfId="51315" xr:uid="{00000000-0005-0000-0000-000031450000}"/>
    <cellStyle name="40% - Accent4 4 2 2 24" xfId="52998" xr:uid="{00000000-0005-0000-0000-000032450000}"/>
    <cellStyle name="40% - Accent4 4 2 2 25" xfId="54681" xr:uid="{00000000-0005-0000-0000-000033450000}"/>
    <cellStyle name="40% - Accent4 4 2 2 26" xfId="56364" xr:uid="{00000000-0005-0000-0000-000034450000}"/>
    <cellStyle name="40% - Accent4 4 2 2 27" xfId="58047" xr:uid="{00000000-0005-0000-0000-000035450000}"/>
    <cellStyle name="40% - Accent4 4 2 2 28" xfId="59730" xr:uid="{00000000-0005-0000-0000-000036450000}"/>
    <cellStyle name="40% - Accent4 4 2 2 29" xfId="61413" xr:uid="{00000000-0005-0000-0000-000037450000}"/>
    <cellStyle name="40% - Accent4 4 2 2 3" xfId="4188" xr:uid="{00000000-0005-0000-0000-000038450000}"/>
    <cellStyle name="40% - Accent4 4 2 2 3 2" xfId="19337" xr:uid="{00000000-0005-0000-0000-000039450000}"/>
    <cellStyle name="40% - Accent4 4 2 2 30" xfId="63096" xr:uid="{00000000-0005-0000-0000-00003A450000}"/>
    <cellStyle name="40% - Accent4 4 2 2 4" xfId="5871" xr:uid="{00000000-0005-0000-0000-00003B450000}"/>
    <cellStyle name="40% - Accent4 4 2 2 4 2" xfId="21020" xr:uid="{00000000-0005-0000-0000-00003C450000}"/>
    <cellStyle name="40% - Accent4 4 2 2 5" xfId="7554" xr:uid="{00000000-0005-0000-0000-00003D450000}"/>
    <cellStyle name="40% - Accent4 4 2 2 5 2" xfId="22703" xr:uid="{00000000-0005-0000-0000-00003E450000}"/>
    <cellStyle name="40% - Accent4 4 2 2 6" xfId="9237" xr:uid="{00000000-0005-0000-0000-00003F450000}"/>
    <cellStyle name="40% - Accent4 4 2 2 6 2" xfId="24386" xr:uid="{00000000-0005-0000-0000-000040450000}"/>
    <cellStyle name="40% - Accent4 4 2 2 7" xfId="10920" xr:uid="{00000000-0005-0000-0000-000041450000}"/>
    <cellStyle name="40% - Accent4 4 2 2 7 2" xfId="26069" xr:uid="{00000000-0005-0000-0000-000042450000}"/>
    <cellStyle name="40% - Accent4 4 2 2 8" xfId="12604" xr:uid="{00000000-0005-0000-0000-000043450000}"/>
    <cellStyle name="40% - Accent4 4 2 2 8 2" xfId="27753" xr:uid="{00000000-0005-0000-0000-000044450000}"/>
    <cellStyle name="40% - Accent4 4 2 2 9" xfId="14287" xr:uid="{00000000-0005-0000-0000-000045450000}"/>
    <cellStyle name="40% - Accent4 4 2 2 9 2" xfId="29436" xr:uid="{00000000-0005-0000-0000-000046450000}"/>
    <cellStyle name="40% - Accent4 4 2 20" xfId="40797" xr:uid="{00000000-0005-0000-0000-000047450000}"/>
    <cellStyle name="40% - Accent4 4 2 21" xfId="42480" xr:uid="{00000000-0005-0000-0000-000048450000}"/>
    <cellStyle name="40% - Accent4 4 2 22" xfId="44163" xr:uid="{00000000-0005-0000-0000-000049450000}"/>
    <cellStyle name="40% - Accent4 4 2 23" xfId="45846" xr:uid="{00000000-0005-0000-0000-00004A450000}"/>
    <cellStyle name="40% - Accent4 4 2 24" xfId="47529" xr:uid="{00000000-0005-0000-0000-00004B450000}"/>
    <cellStyle name="40% - Accent4 4 2 25" xfId="49212" xr:uid="{00000000-0005-0000-0000-00004C450000}"/>
    <cellStyle name="40% - Accent4 4 2 26" xfId="50895" xr:uid="{00000000-0005-0000-0000-00004D450000}"/>
    <cellStyle name="40% - Accent4 4 2 27" xfId="52578" xr:uid="{00000000-0005-0000-0000-00004E450000}"/>
    <cellStyle name="40% - Accent4 4 2 28" xfId="54261" xr:uid="{00000000-0005-0000-0000-00004F450000}"/>
    <cellStyle name="40% - Accent4 4 2 29" xfId="55944" xr:uid="{00000000-0005-0000-0000-000050450000}"/>
    <cellStyle name="40% - Accent4 4 2 3" xfId="1242" xr:uid="{00000000-0005-0000-0000-000051450000}"/>
    <cellStyle name="40% - Accent4 4 2 3 10" xfId="16391" xr:uid="{00000000-0005-0000-0000-000052450000}"/>
    <cellStyle name="40% - Accent4 4 2 3 11" xfId="31540" xr:uid="{00000000-0005-0000-0000-000053450000}"/>
    <cellStyle name="40% - Accent4 4 2 3 12" xfId="33223" xr:uid="{00000000-0005-0000-0000-000054450000}"/>
    <cellStyle name="40% - Accent4 4 2 3 13" xfId="34906" xr:uid="{00000000-0005-0000-0000-000055450000}"/>
    <cellStyle name="40% - Accent4 4 2 3 14" xfId="36589" xr:uid="{00000000-0005-0000-0000-000056450000}"/>
    <cellStyle name="40% - Accent4 4 2 3 15" xfId="38272" xr:uid="{00000000-0005-0000-0000-000057450000}"/>
    <cellStyle name="40% - Accent4 4 2 3 16" xfId="39955" xr:uid="{00000000-0005-0000-0000-000058450000}"/>
    <cellStyle name="40% - Accent4 4 2 3 17" xfId="41638" xr:uid="{00000000-0005-0000-0000-000059450000}"/>
    <cellStyle name="40% - Accent4 4 2 3 18" xfId="43321" xr:uid="{00000000-0005-0000-0000-00005A450000}"/>
    <cellStyle name="40% - Accent4 4 2 3 19" xfId="45004" xr:uid="{00000000-0005-0000-0000-00005B450000}"/>
    <cellStyle name="40% - Accent4 4 2 3 2" xfId="2925" xr:uid="{00000000-0005-0000-0000-00005C450000}"/>
    <cellStyle name="40% - Accent4 4 2 3 2 2" xfId="18074" xr:uid="{00000000-0005-0000-0000-00005D450000}"/>
    <cellStyle name="40% - Accent4 4 2 3 20" xfId="46687" xr:uid="{00000000-0005-0000-0000-00005E450000}"/>
    <cellStyle name="40% - Accent4 4 2 3 21" xfId="48370" xr:uid="{00000000-0005-0000-0000-00005F450000}"/>
    <cellStyle name="40% - Accent4 4 2 3 22" xfId="50053" xr:uid="{00000000-0005-0000-0000-000060450000}"/>
    <cellStyle name="40% - Accent4 4 2 3 23" xfId="51736" xr:uid="{00000000-0005-0000-0000-000061450000}"/>
    <cellStyle name="40% - Accent4 4 2 3 24" xfId="53419" xr:uid="{00000000-0005-0000-0000-000062450000}"/>
    <cellStyle name="40% - Accent4 4 2 3 25" xfId="55102" xr:uid="{00000000-0005-0000-0000-000063450000}"/>
    <cellStyle name="40% - Accent4 4 2 3 26" xfId="56785" xr:uid="{00000000-0005-0000-0000-000064450000}"/>
    <cellStyle name="40% - Accent4 4 2 3 27" xfId="58468" xr:uid="{00000000-0005-0000-0000-000065450000}"/>
    <cellStyle name="40% - Accent4 4 2 3 28" xfId="60151" xr:uid="{00000000-0005-0000-0000-000066450000}"/>
    <cellStyle name="40% - Accent4 4 2 3 29" xfId="61834" xr:uid="{00000000-0005-0000-0000-000067450000}"/>
    <cellStyle name="40% - Accent4 4 2 3 3" xfId="4609" xr:uid="{00000000-0005-0000-0000-000068450000}"/>
    <cellStyle name="40% - Accent4 4 2 3 3 2" xfId="19758" xr:uid="{00000000-0005-0000-0000-000069450000}"/>
    <cellStyle name="40% - Accent4 4 2 3 30" xfId="63517" xr:uid="{00000000-0005-0000-0000-00006A450000}"/>
    <cellStyle name="40% - Accent4 4 2 3 4" xfId="6292" xr:uid="{00000000-0005-0000-0000-00006B450000}"/>
    <cellStyle name="40% - Accent4 4 2 3 4 2" xfId="21441" xr:uid="{00000000-0005-0000-0000-00006C450000}"/>
    <cellStyle name="40% - Accent4 4 2 3 5" xfId="7975" xr:uid="{00000000-0005-0000-0000-00006D450000}"/>
    <cellStyle name="40% - Accent4 4 2 3 5 2" xfId="23124" xr:uid="{00000000-0005-0000-0000-00006E450000}"/>
    <cellStyle name="40% - Accent4 4 2 3 6" xfId="9658" xr:uid="{00000000-0005-0000-0000-00006F450000}"/>
    <cellStyle name="40% - Accent4 4 2 3 6 2" xfId="24807" xr:uid="{00000000-0005-0000-0000-000070450000}"/>
    <cellStyle name="40% - Accent4 4 2 3 7" xfId="11341" xr:uid="{00000000-0005-0000-0000-000071450000}"/>
    <cellStyle name="40% - Accent4 4 2 3 7 2" xfId="26490" xr:uid="{00000000-0005-0000-0000-000072450000}"/>
    <cellStyle name="40% - Accent4 4 2 3 8" xfId="13025" xr:uid="{00000000-0005-0000-0000-000073450000}"/>
    <cellStyle name="40% - Accent4 4 2 3 8 2" xfId="28174" xr:uid="{00000000-0005-0000-0000-000074450000}"/>
    <cellStyle name="40% - Accent4 4 2 3 9" xfId="14708" xr:uid="{00000000-0005-0000-0000-000075450000}"/>
    <cellStyle name="40% - Accent4 4 2 3 9 2" xfId="29857" xr:uid="{00000000-0005-0000-0000-000076450000}"/>
    <cellStyle name="40% - Accent4 4 2 30" xfId="57627" xr:uid="{00000000-0005-0000-0000-000077450000}"/>
    <cellStyle name="40% - Accent4 4 2 31" xfId="59310" xr:uid="{00000000-0005-0000-0000-000078450000}"/>
    <cellStyle name="40% - Accent4 4 2 32" xfId="60993" xr:uid="{00000000-0005-0000-0000-000079450000}"/>
    <cellStyle name="40% - Accent4 4 2 33" xfId="62676" xr:uid="{00000000-0005-0000-0000-00007A450000}"/>
    <cellStyle name="40% - Accent4 4 2 4" xfId="1663" xr:uid="{00000000-0005-0000-0000-00007B450000}"/>
    <cellStyle name="40% - Accent4 4 2 4 10" xfId="16812" xr:uid="{00000000-0005-0000-0000-00007C450000}"/>
    <cellStyle name="40% - Accent4 4 2 4 11" xfId="31961" xr:uid="{00000000-0005-0000-0000-00007D450000}"/>
    <cellStyle name="40% - Accent4 4 2 4 12" xfId="33644" xr:uid="{00000000-0005-0000-0000-00007E450000}"/>
    <cellStyle name="40% - Accent4 4 2 4 13" xfId="35327" xr:uid="{00000000-0005-0000-0000-00007F450000}"/>
    <cellStyle name="40% - Accent4 4 2 4 14" xfId="37010" xr:uid="{00000000-0005-0000-0000-000080450000}"/>
    <cellStyle name="40% - Accent4 4 2 4 15" xfId="38693" xr:uid="{00000000-0005-0000-0000-000081450000}"/>
    <cellStyle name="40% - Accent4 4 2 4 16" xfId="40376" xr:uid="{00000000-0005-0000-0000-000082450000}"/>
    <cellStyle name="40% - Accent4 4 2 4 17" xfId="42059" xr:uid="{00000000-0005-0000-0000-000083450000}"/>
    <cellStyle name="40% - Accent4 4 2 4 18" xfId="43742" xr:uid="{00000000-0005-0000-0000-000084450000}"/>
    <cellStyle name="40% - Accent4 4 2 4 19" xfId="45425" xr:uid="{00000000-0005-0000-0000-000085450000}"/>
    <cellStyle name="40% - Accent4 4 2 4 2" xfId="3346" xr:uid="{00000000-0005-0000-0000-000086450000}"/>
    <cellStyle name="40% - Accent4 4 2 4 2 2" xfId="18495" xr:uid="{00000000-0005-0000-0000-000087450000}"/>
    <cellStyle name="40% - Accent4 4 2 4 20" xfId="47108" xr:uid="{00000000-0005-0000-0000-000088450000}"/>
    <cellStyle name="40% - Accent4 4 2 4 21" xfId="48791" xr:uid="{00000000-0005-0000-0000-000089450000}"/>
    <cellStyle name="40% - Accent4 4 2 4 22" xfId="50474" xr:uid="{00000000-0005-0000-0000-00008A450000}"/>
    <cellStyle name="40% - Accent4 4 2 4 23" xfId="52157" xr:uid="{00000000-0005-0000-0000-00008B450000}"/>
    <cellStyle name="40% - Accent4 4 2 4 24" xfId="53840" xr:uid="{00000000-0005-0000-0000-00008C450000}"/>
    <cellStyle name="40% - Accent4 4 2 4 25" xfId="55523" xr:uid="{00000000-0005-0000-0000-00008D450000}"/>
    <cellStyle name="40% - Accent4 4 2 4 26" xfId="57206" xr:uid="{00000000-0005-0000-0000-00008E450000}"/>
    <cellStyle name="40% - Accent4 4 2 4 27" xfId="58889" xr:uid="{00000000-0005-0000-0000-00008F450000}"/>
    <cellStyle name="40% - Accent4 4 2 4 28" xfId="60572" xr:uid="{00000000-0005-0000-0000-000090450000}"/>
    <cellStyle name="40% - Accent4 4 2 4 29" xfId="62255" xr:uid="{00000000-0005-0000-0000-000091450000}"/>
    <cellStyle name="40% - Accent4 4 2 4 3" xfId="5030" xr:uid="{00000000-0005-0000-0000-000092450000}"/>
    <cellStyle name="40% - Accent4 4 2 4 3 2" xfId="20179" xr:uid="{00000000-0005-0000-0000-000093450000}"/>
    <cellStyle name="40% - Accent4 4 2 4 30" xfId="63938" xr:uid="{00000000-0005-0000-0000-000094450000}"/>
    <cellStyle name="40% - Accent4 4 2 4 4" xfId="6713" xr:uid="{00000000-0005-0000-0000-000095450000}"/>
    <cellStyle name="40% - Accent4 4 2 4 4 2" xfId="21862" xr:uid="{00000000-0005-0000-0000-000096450000}"/>
    <cellStyle name="40% - Accent4 4 2 4 5" xfId="8396" xr:uid="{00000000-0005-0000-0000-000097450000}"/>
    <cellStyle name="40% - Accent4 4 2 4 5 2" xfId="23545" xr:uid="{00000000-0005-0000-0000-000098450000}"/>
    <cellStyle name="40% - Accent4 4 2 4 6" xfId="10079" xr:uid="{00000000-0005-0000-0000-000099450000}"/>
    <cellStyle name="40% - Accent4 4 2 4 6 2" xfId="25228" xr:uid="{00000000-0005-0000-0000-00009A450000}"/>
    <cellStyle name="40% - Accent4 4 2 4 7" xfId="11762" xr:uid="{00000000-0005-0000-0000-00009B450000}"/>
    <cellStyle name="40% - Accent4 4 2 4 7 2" xfId="26911" xr:uid="{00000000-0005-0000-0000-00009C450000}"/>
    <cellStyle name="40% - Accent4 4 2 4 8" xfId="13446" xr:uid="{00000000-0005-0000-0000-00009D450000}"/>
    <cellStyle name="40% - Accent4 4 2 4 8 2" xfId="28595" xr:uid="{00000000-0005-0000-0000-00009E450000}"/>
    <cellStyle name="40% - Accent4 4 2 4 9" xfId="15129" xr:uid="{00000000-0005-0000-0000-00009F450000}"/>
    <cellStyle name="40% - Accent4 4 2 4 9 2" xfId="30278" xr:uid="{00000000-0005-0000-0000-0000A0450000}"/>
    <cellStyle name="40% - Accent4 4 2 5" xfId="2084" xr:uid="{00000000-0005-0000-0000-0000A1450000}"/>
    <cellStyle name="40% - Accent4 4 2 5 2" xfId="17233" xr:uid="{00000000-0005-0000-0000-0000A2450000}"/>
    <cellStyle name="40% - Accent4 4 2 6" xfId="3768" xr:uid="{00000000-0005-0000-0000-0000A3450000}"/>
    <cellStyle name="40% - Accent4 4 2 6 2" xfId="18917" xr:uid="{00000000-0005-0000-0000-0000A4450000}"/>
    <cellStyle name="40% - Accent4 4 2 7" xfId="5451" xr:uid="{00000000-0005-0000-0000-0000A5450000}"/>
    <cellStyle name="40% - Accent4 4 2 7 2" xfId="20600" xr:uid="{00000000-0005-0000-0000-0000A6450000}"/>
    <cellStyle name="40% - Accent4 4 2 8" xfId="7134" xr:uid="{00000000-0005-0000-0000-0000A7450000}"/>
    <cellStyle name="40% - Accent4 4 2 8 2" xfId="22283" xr:uid="{00000000-0005-0000-0000-0000A8450000}"/>
    <cellStyle name="40% - Accent4 4 2 9" xfId="8817" xr:uid="{00000000-0005-0000-0000-0000A9450000}"/>
    <cellStyle name="40% - Accent4 4 2 9 2" xfId="23966" xr:uid="{00000000-0005-0000-0000-0000AA450000}"/>
    <cellStyle name="40% - Accent4 4 20" xfId="38904" xr:uid="{00000000-0005-0000-0000-0000AB450000}"/>
    <cellStyle name="40% - Accent4 4 21" xfId="40587" xr:uid="{00000000-0005-0000-0000-0000AC450000}"/>
    <cellStyle name="40% - Accent4 4 22" xfId="42270" xr:uid="{00000000-0005-0000-0000-0000AD450000}"/>
    <cellStyle name="40% - Accent4 4 23" xfId="43953" xr:uid="{00000000-0005-0000-0000-0000AE450000}"/>
    <cellStyle name="40% - Accent4 4 24" xfId="45636" xr:uid="{00000000-0005-0000-0000-0000AF450000}"/>
    <cellStyle name="40% - Accent4 4 25" xfId="47319" xr:uid="{00000000-0005-0000-0000-0000B0450000}"/>
    <cellStyle name="40% - Accent4 4 26" xfId="49002" xr:uid="{00000000-0005-0000-0000-0000B1450000}"/>
    <cellStyle name="40% - Accent4 4 27" xfId="50685" xr:uid="{00000000-0005-0000-0000-0000B2450000}"/>
    <cellStyle name="40% - Accent4 4 28" xfId="52368" xr:uid="{00000000-0005-0000-0000-0000B3450000}"/>
    <cellStyle name="40% - Accent4 4 29" xfId="54051" xr:uid="{00000000-0005-0000-0000-0000B4450000}"/>
    <cellStyle name="40% - Accent4 4 3" xfId="611" xr:uid="{00000000-0005-0000-0000-0000B5450000}"/>
    <cellStyle name="40% - Accent4 4 3 10" xfId="15760" xr:uid="{00000000-0005-0000-0000-0000B6450000}"/>
    <cellStyle name="40% - Accent4 4 3 11" xfId="30909" xr:uid="{00000000-0005-0000-0000-0000B7450000}"/>
    <cellStyle name="40% - Accent4 4 3 12" xfId="32592" xr:uid="{00000000-0005-0000-0000-0000B8450000}"/>
    <cellStyle name="40% - Accent4 4 3 13" xfId="34275" xr:uid="{00000000-0005-0000-0000-0000B9450000}"/>
    <cellStyle name="40% - Accent4 4 3 14" xfId="35958" xr:uid="{00000000-0005-0000-0000-0000BA450000}"/>
    <cellStyle name="40% - Accent4 4 3 15" xfId="37641" xr:uid="{00000000-0005-0000-0000-0000BB450000}"/>
    <cellStyle name="40% - Accent4 4 3 16" xfId="39324" xr:uid="{00000000-0005-0000-0000-0000BC450000}"/>
    <cellStyle name="40% - Accent4 4 3 17" xfId="41007" xr:uid="{00000000-0005-0000-0000-0000BD450000}"/>
    <cellStyle name="40% - Accent4 4 3 18" xfId="42690" xr:uid="{00000000-0005-0000-0000-0000BE450000}"/>
    <cellStyle name="40% - Accent4 4 3 19" xfId="44373" xr:uid="{00000000-0005-0000-0000-0000BF450000}"/>
    <cellStyle name="40% - Accent4 4 3 2" xfId="2294" xr:uid="{00000000-0005-0000-0000-0000C0450000}"/>
    <cellStyle name="40% - Accent4 4 3 2 2" xfId="17443" xr:uid="{00000000-0005-0000-0000-0000C1450000}"/>
    <cellStyle name="40% - Accent4 4 3 20" xfId="46056" xr:uid="{00000000-0005-0000-0000-0000C2450000}"/>
    <cellStyle name="40% - Accent4 4 3 21" xfId="47739" xr:uid="{00000000-0005-0000-0000-0000C3450000}"/>
    <cellStyle name="40% - Accent4 4 3 22" xfId="49422" xr:uid="{00000000-0005-0000-0000-0000C4450000}"/>
    <cellStyle name="40% - Accent4 4 3 23" xfId="51105" xr:uid="{00000000-0005-0000-0000-0000C5450000}"/>
    <cellStyle name="40% - Accent4 4 3 24" xfId="52788" xr:uid="{00000000-0005-0000-0000-0000C6450000}"/>
    <cellStyle name="40% - Accent4 4 3 25" xfId="54471" xr:uid="{00000000-0005-0000-0000-0000C7450000}"/>
    <cellStyle name="40% - Accent4 4 3 26" xfId="56154" xr:uid="{00000000-0005-0000-0000-0000C8450000}"/>
    <cellStyle name="40% - Accent4 4 3 27" xfId="57837" xr:uid="{00000000-0005-0000-0000-0000C9450000}"/>
    <cellStyle name="40% - Accent4 4 3 28" xfId="59520" xr:uid="{00000000-0005-0000-0000-0000CA450000}"/>
    <cellStyle name="40% - Accent4 4 3 29" xfId="61203" xr:uid="{00000000-0005-0000-0000-0000CB450000}"/>
    <cellStyle name="40% - Accent4 4 3 3" xfId="3978" xr:uid="{00000000-0005-0000-0000-0000CC450000}"/>
    <cellStyle name="40% - Accent4 4 3 3 2" xfId="19127" xr:uid="{00000000-0005-0000-0000-0000CD450000}"/>
    <cellStyle name="40% - Accent4 4 3 30" xfId="62886" xr:uid="{00000000-0005-0000-0000-0000CE450000}"/>
    <cellStyle name="40% - Accent4 4 3 4" xfId="5661" xr:uid="{00000000-0005-0000-0000-0000CF450000}"/>
    <cellStyle name="40% - Accent4 4 3 4 2" xfId="20810" xr:uid="{00000000-0005-0000-0000-0000D0450000}"/>
    <cellStyle name="40% - Accent4 4 3 5" xfId="7344" xr:uid="{00000000-0005-0000-0000-0000D1450000}"/>
    <cellStyle name="40% - Accent4 4 3 5 2" xfId="22493" xr:uid="{00000000-0005-0000-0000-0000D2450000}"/>
    <cellStyle name="40% - Accent4 4 3 6" xfId="9027" xr:uid="{00000000-0005-0000-0000-0000D3450000}"/>
    <cellStyle name="40% - Accent4 4 3 6 2" xfId="24176" xr:uid="{00000000-0005-0000-0000-0000D4450000}"/>
    <cellStyle name="40% - Accent4 4 3 7" xfId="10710" xr:uid="{00000000-0005-0000-0000-0000D5450000}"/>
    <cellStyle name="40% - Accent4 4 3 7 2" xfId="25859" xr:uid="{00000000-0005-0000-0000-0000D6450000}"/>
    <cellStyle name="40% - Accent4 4 3 8" xfId="12394" xr:uid="{00000000-0005-0000-0000-0000D7450000}"/>
    <cellStyle name="40% - Accent4 4 3 8 2" xfId="27543" xr:uid="{00000000-0005-0000-0000-0000D8450000}"/>
    <cellStyle name="40% - Accent4 4 3 9" xfId="14077" xr:uid="{00000000-0005-0000-0000-0000D9450000}"/>
    <cellStyle name="40% - Accent4 4 3 9 2" xfId="29226" xr:uid="{00000000-0005-0000-0000-0000DA450000}"/>
    <cellStyle name="40% - Accent4 4 30" xfId="55734" xr:uid="{00000000-0005-0000-0000-0000DB450000}"/>
    <cellStyle name="40% - Accent4 4 31" xfId="57417" xr:uid="{00000000-0005-0000-0000-0000DC450000}"/>
    <cellStyle name="40% - Accent4 4 32" xfId="59100" xr:uid="{00000000-0005-0000-0000-0000DD450000}"/>
    <cellStyle name="40% - Accent4 4 33" xfId="60783" xr:uid="{00000000-0005-0000-0000-0000DE450000}"/>
    <cellStyle name="40% - Accent4 4 34" xfId="62466" xr:uid="{00000000-0005-0000-0000-0000DF450000}"/>
    <cellStyle name="40% - Accent4 4 4" xfId="1032" xr:uid="{00000000-0005-0000-0000-0000E0450000}"/>
    <cellStyle name="40% - Accent4 4 4 10" xfId="16181" xr:uid="{00000000-0005-0000-0000-0000E1450000}"/>
    <cellStyle name="40% - Accent4 4 4 11" xfId="31330" xr:uid="{00000000-0005-0000-0000-0000E2450000}"/>
    <cellStyle name="40% - Accent4 4 4 12" xfId="33013" xr:uid="{00000000-0005-0000-0000-0000E3450000}"/>
    <cellStyle name="40% - Accent4 4 4 13" xfId="34696" xr:uid="{00000000-0005-0000-0000-0000E4450000}"/>
    <cellStyle name="40% - Accent4 4 4 14" xfId="36379" xr:uid="{00000000-0005-0000-0000-0000E5450000}"/>
    <cellStyle name="40% - Accent4 4 4 15" xfId="38062" xr:uid="{00000000-0005-0000-0000-0000E6450000}"/>
    <cellStyle name="40% - Accent4 4 4 16" xfId="39745" xr:uid="{00000000-0005-0000-0000-0000E7450000}"/>
    <cellStyle name="40% - Accent4 4 4 17" xfId="41428" xr:uid="{00000000-0005-0000-0000-0000E8450000}"/>
    <cellStyle name="40% - Accent4 4 4 18" xfId="43111" xr:uid="{00000000-0005-0000-0000-0000E9450000}"/>
    <cellStyle name="40% - Accent4 4 4 19" xfId="44794" xr:uid="{00000000-0005-0000-0000-0000EA450000}"/>
    <cellStyle name="40% - Accent4 4 4 2" xfId="2715" xr:uid="{00000000-0005-0000-0000-0000EB450000}"/>
    <cellStyle name="40% - Accent4 4 4 2 2" xfId="17864" xr:uid="{00000000-0005-0000-0000-0000EC450000}"/>
    <cellStyle name="40% - Accent4 4 4 20" xfId="46477" xr:uid="{00000000-0005-0000-0000-0000ED450000}"/>
    <cellStyle name="40% - Accent4 4 4 21" xfId="48160" xr:uid="{00000000-0005-0000-0000-0000EE450000}"/>
    <cellStyle name="40% - Accent4 4 4 22" xfId="49843" xr:uid="{00000000-0005-0000-0000-0000EF450000}"/>
    <cellStyle name="40% - Accent4 4 4 23" xfId="51526" xr:uid="{00000000-0005-0000-0000-0000F0450000}"/>
    <cellStyle name="40% - Accent4 4 4 24" xfId="53209" xr:uid="{00000000-0005-0000-0000-0000F1450000}"/>
    <cellStyle name="40% - Accent4 4 4 25" xfId="54892" xr:uid="{00000000-0005-0000-0000-0000F2450000}"/>
    <cellStyle name="40% - Accent4 4 4 26" xfId="56575" xr:uid="{00000000-0005-0000-0000-0000F3450000}"/>
    <cellStyle name="40% - Accent4 4 4 27" xfId="58258" xr:uid="{00000000-0005-0000-0000-0000F4450000}"/>
    <cellStyle name="40% - Accent4 4 4 28" xfId="59941" xr:uid="{00000000-0005-0000-0000-0000F5450000}"/>
    <cellStyle name="40% - Accent4 4 4 29" xfId="61624" xr:uid="{00000000-0005-0000-0000-0000F6450000}"/>
    <cellStyle name="40% - Accent4 4 4 3" xfId="4399" xr:uid="{00000000-0005-0000-0000-0000F7450000}"/>
    <cellStyle name="40% - Accent4 4 4 3 2" xfId="19548" xr:uid="{00000000-0005-0000-0000-0000F8450000}"/>
    <cellStyle name="40% - Accent4 4 4 30" xfId="63307" xr:uid="{00000000-0005-0000-0000-0000F9450000}"/>
    <cellStyle name="40% - Accent4 4 4 4" xfId="6082" xr:uid="{00000000-0005-0000-0000-0000FA450000}"/>
    <cellStyle name="40% - Accent4 4 4 4 2" xfId="21231" xr:uid="{00000000-0005-0000-0000-0000FB450000}"/>
    <cellStyle name="40% - Accent4 4 4 5" xfId="7765" xr:uid="{00000000-0005-0000-0000-0000FC450000}"/>
    <cellStyle name="40% - Accent4 4 4 5 2" xfId="22914" xr:uid="{00000000-0005-0000-0000-0000FD450000}"/>
    <cellStyle name="40% - Accent4 4 4 6" xfId="9448" xr:uid="{00000000-0005-0000-0000-0000FE450000}"/>
    <cellStyle name="40% - Accent4 4 4 6 2" xfId="24597" xr:uid="{00000000-0005-0000-0000-0000FF450000}"/>
    <cellStyle name="40% - Accent4 4 4 7" xfId="11131" xr:uid="{00000000-0005-0000-0000-000000460000}"/>
    <cellStyle name="40% - Accent4 4 4 7 2" xfId="26280" xr:uid="{00000000-0005-0000-0000-000001460000}"/>
    <cellStyle name="40% - Accent4 4 4 8" xfId="12815" xr:uid="{00000000-0005-0000-0000-000002460000}"/>
    <cellStyle name="40% - Accent4 4 4 8 2" xfId="27964" xr:uid="{00000000-0005-0000-0000-000003460000}"/>
    <cellStyle name="40% - Accent4 4 4 9" xfId="14498" xr:uid="{00000000-0005-0000-0000-000004460000}"/>
    <cellStyle name="40% - Accent4 4 4 9 2" xfId="29647" xr:uid="{00000000-0005-0000-0000-000005460000}"/>
    <cellStyle name="40% - Accent4 4 5" xfId="1453" xr:uid="{00000000-0005-0000-0000-000006460000}"/>
    <cellStyle name="40% - Accent4 4 5 10" xfId="16602" xr:uid="{00000000-0005-0000-0000-000007460000}"/>
    <cellStyle name="40% - Accent4 4 5 11" xfId="31751" xr:uid="{00000000-0005-0000-0000-000008460000}"/>
    <cellStyle name="40% - Accent4 4 5 12" xfId="33434" xr:uid="{00000000-0005-0000-0000-000009460000}"/>
    <cellStyle name="40% - Accent4 4 5 13" xfId="35117" xr:uid="{00000000-0005-0000-0000-00000A460000}"/>
    <cellStyle name="40% - Accent4 4 5 14" xfId="36800" xr:uid="{00000000-0005-0000-0000-00000B460000}"/>
    <cellStyle name="40% - Accent4 4 5 15" xfId="38483" xr:uid="{00000000-0005-0000-0000-00000C460000}"/>
    <cellStyle name="40% - Accent4 4 5 16" xfId="40166" xr:uid="{00000000-0005-0000-0000-00000D460000}"/>
    <cellStyle name="40% - Accent4 4 5 17" xfId="41849" xr:uid="{00000000-0005-0000-0000-00000E460000}"/>
    <cellStyle name="40% - Accent4 4 5 18" xfId="43532" xr:uid="{00000000-0005-0000-0000-00000F460000}"/>
    <cellStyle name="40% - Accent4 4 5 19" xfId="45215" xr:uid="{00000000-0005-0000-0000-000010460000}"/>
    <cellStyle name="40% - Accent4 4 5 2" xfId="3136" xr:uid="{00000000-0005-0000-0000-000011460000}"/>
    <cellStyle name="40% - Accent4 4 5 2 2" xfId="18285" xr:uid="{00000000-0005-0000-0000-000012460000}"/>
    <cellStyle name="40% - Accent4 4 5 20" xfId="46898" xr:uid="{00000000-0005-0000-0000-000013460000}"/>
    <cellStyle name="40% - Accent4 4 5 21" xfId="48581" xr:uid="{00000000-0005-0000-0000-000014460000}"/>
    <cellStyle name="40% - Accent4 4 5 22" xfId="50264" xr:uid="{00000000-0005-0000-0000-000015460000}"/>
    <cellStyle name="40% - Accent4 4 5 23" xfId="51947" xr:uid="{00000000-0005-0000-0000-000016460000}"/>
    <cellStyle name="40% - Accent4 4 5 24" xfId="53630" xr:uid="{00000000-0005-0000-0000-000017460000}"/>
    <cellStyle name="40% - Accent4 4 5 25" xfId="55313" xr:uid="{00000000-0005-0000-0000-000018460000}"/>
    <cellStyle name="40% - Accent4 4 5 26" xfId="56996" xr:uid="{00000000-0005-0000-0000-000019460000}"/>
    <cellStyle name="40% - Accent4 4 5 27" xfId="58679" xr:uid="{00000000-0005-0000-0000-00001A460000}"/>
    <cellStyle name="40% - Accent4 4 5 28" xfId="60362" xr:uid="{00000000-0005-0000-0000-00001B460000}"/>
    <cellStyle name="40% - Accent4 4 5 29" xfId="62045" xr:uid="{00000000-0005-0000-0000-00001C460000}"/>
    <cellStyle name="40% - Accent4 4 5 3" xfId="4820" xr:uid="{00000000-0005-0000-0000-00001D460000}"/>
    <cellStyle name="40% - Accent4 4 5 3 2" xfId="19969" xr:uid="{00000000-0005-0000-0000-00001E460000}"/>
    <cellStyle name="40% - Accent4 4 5 30" xfId="63728" xr:uid="{00000000-0005-0000-0000-00001F460000}"/>
    <cellStyle name="40% - Accent4 4 5 4" xfId="6503" xr:uid="{00000000-0005-0000-0000-000020460000}"/>
    <cellStyle name="40% - Accent4 4 5 4 2" xfId="21652" xr:uid="{00000000-0005-0000-0000-000021460000}"/>
    <cellStyle name="40% - Accent4 4 5 5" xfId="8186" xr:uid="{00000000-0005-0000-0000-000022460000}"/>
    <cellStyle name="40% - Accent4 4 5 5 2" xfId="23335" xr:uid="{00000000-0005-0000-0000-000023460000}"/>
    <cellStyle name="40% - Accent4 4 5 6" xfId="9869" xr:uid="{00000000-0005-0000-0000-000024460000}"/>
    <cellStyle name="40% - Accent4 4 5 6 2" xfId="25018" xr:uid="{00000000-0005-0000-0000-000025460000}"/>
    <cellStyle name="40% - Accent4 4 5 7" xfId="11552" xr:uid="{00000000-0005-0000-0000-000026460000}"/>
    <cellStyle name="40% - Accent4 4 5 7 2" xfId="26701" xr:uid="{00000000-0005-0000-0000-000027460000}"/>
    <cellStyle name="40% - Accent4 4 5 8" xfId="13236" xr:uid="{00000000-0005-0000-0000-000028460000}"/>
    <cellStyle name="40% - Accent4 4 5 8 2" xfId="28385" xr:uid="{00000000-0005-0000-0000-000029460000}"/>
    <cellStyle name="40% - Accent4 4 5 9" xfId="14919" xr:uid="{00000000-0005-0000-0000-00002A460000}"/>
    <cellStyle name="40% - Accent4 4 5 9 2" xfId="30068" xr:uid="{00000000-0005-0000-0000-00002B460000}"/>
    <cellStyle name="40% - Accent4 4 6" xfId="1874" xr:uid="{00000000-0005-0000-0000-00002C460000}"/>
    <cellStyle name="40% - Accent4 4 6 2" xfId="17023" xr:uid="{00000000-0005-0000-0000-00002D460000}"/>
    <cellStyle name="40% - Accent4 4 7" xfId="3558" xr:uid="{00000000-0005-0000-0000-00002E460000}"/>
    <cellStyle name="40% - Accent4 4 7 2" xfId="18707" xr:uid="{00000000-0005-0000-0000-00002F460000}"/>
    <cellStyle name="40% - Accent4 4 8" xfId="5241" xr:uid="{00000000-0005-0000-0000-000030460000}"/>
    <cellStyle name="40% - Accent4 4 8 2" xfId="20390" xr:uid="{00000000-0005-0000-0000-000031460000}"/>
    <cellStyle name="40% - Accent4 4 9" xfId="6924" xr:uid="{00000000-0005-0000-0000-000032460000}"/>
    <cellStyle name="40% - Accent4 4 9 2" xfId="22073" xr:uid="{00000000-0005-0000-0000-000033460000}"/>
    <cellStyle name="40% - Accent4 5" xfId="296" xr:uid="{00000000-0005-0000-0000-000034460000}"/>
    <cellStyle name="40% - Accent4 5 10" xfId="10395" xr:uid="{00000000-0005-0000-0000-000035460000}"/>
    <cellStyle name="40% - Accent4 5 10 2" xfId="25544" xr:uid="{00000000-0005-0000-0000-000036460000}"/>
    <cellStyle name="40% - Accent4 5 11" xfId="12079" xr:uid="{00000000-0005-0000-0000-000037460000}"/>
    <cellStyle name="40% - Accent4 5 11 2" xfId="27228" xr:uid="{00000000-0005-0000-0000-000038460000}"/>
    <cellStyle name="40% - Accent4 5 12" xfId="13762" xr:uid="{00000000-0005-0000-0000-000039460000}"/>
    <cellStyle name="40% - Accent4 5 12 2" xfId="28911" xr:uid="{00000000-0005-0000-0000-00003A460000}"/>
    <cellStyle name="40% - Accent4 5 13" xfId="15445" xr:uid="{00000000-0005-0000-0000-00003B460000}"/>
    <cellStyle name="40% - Accent4 5 14" xfId="30594" xr:uid="{00000000-0005-0000-0000-00003C460000}"/>
    <cellStyle name="40% - Accent4 5 15" xfId="32277" xr:uid="{00000000-0005-0000-0000-00003D460000}"/>
    <cellStyle name="40% - Accent4 5 16" xfId="33960" xr:uid="{00000000-0005-0000-0000-00003E460000}"/>
    <cellStyle name="40% - Accent4 5 17" xfId="35643" xr:uid="{00000000-0005-0000-0000-00003F460000}"/>
    <cellStyle name="40% - Accent4 5 18" xfId="37326" xr:uid="{00000000-0005-0000-0000-000040460000}"/>
    <cellStyle name="40% - Accent4 5 19" xfId="39009" xr:uid="{00000000-0005-0000-0000-000041460000}"/>
    <cellStyle name="40% - Accent4 5 2" xfId="716" xr:uid="{00000000-0005-0000-0000-000042460000}"/>
    <cellStyle name="40% - Accent4 5 2 10" xfId="15865" xr:uid="{00000000-0005-0000-0000-000043460000}"/>
    <cellStyle name="40% - Accent4 5 2 11" xfId="31014" xr:uid="{00000000-0005-0000-0000-000044460000}"/>
    <cellStyle name="40% - Accent4 5 2 12" xfId="32697" xr:uid="{00000000-0005-0000-0000-000045460000}"/>
    <cellStyle name="40% - Accent4 5 2 13" xfId="34380" xr:uid="{00000000-0005-0000-0000-000046460000}"/>
    <cellStyle name="40% - Accent4 5 2 14" xfId="36063" xr:uid="{00000000-0005-0000-0000-000047460000}"/>
    <cellStyle name="40% - Accent4 5 2 15" xfId="37746" xr:uid="{00000000-0005-0000-0000-000048460000}"/>
    <cellStyle name="40% - Accent4 5 2 16" xfId="39429" xr:uid="{00000000-0005-0000-0000-000049460000}"/>
    <cellStyle name="40% - Accent4 5 2 17" xfId="41112" xr:uid="{00000000-0005-0000-0000-00004A460000}"/>
    <cellStyle name="40% - Accent4 5 2 18" xfId="42795" xr:uid="{00000000-0005-0000-0000-00004B460000}"/>
    <cellStyle name="40% - Accent4 5 2 19" xfId="44478" xr:uid="{00000000-0005-0000-0000-00004C460000}"/>
    <cellStyle name="40% - Accent4 5 2 2" xfId="2399" xr:uid="{00000000-0005-0000-0000-00004D460000}"/>
    <cellStyle name="40% - Accent4 5 2 2 2" xfId="17548" xr:uid="{00000000-0005-0000-0000-00004E460000}"/>
    <cellStyle name="40% - Accent4 5 2 20" xfId="46161" xr:uid="{00000000-0005-0000-0000-00004F460000}"/>
    <cellStyle name="40% - Accent4 5 2 21" xfId="47844" xr:uid="{00000000-0005-0000-0000-000050460000}"/>
    <cellStyle name="40% - Accent4 5 2 22" xfId="49527" xr:uid="{00000000-0005-0000-0000-000051460000}"/>
    <cellStyle name="40% - Accent4 5 2 23" xfId="51210" xr:uid="{00000000-0005-0000-0000-000052460000}"/>
    <cellStyle name="40% - Accent4 5 2 24" xfId="52893" xr:uid="{00000000-0005-0000-0000-000053460000}"/>
    <cellStyle name="40% - Accent4 5 2 25" xfId="54576" xr:uid="{00000000-0005-0000-0000-000054460000}"/>
    <cellStyle name="40% - Accent4 5 2 26" xfId="56259" xr:uid="{00000000-0005-0000-0000-000055460000}"/>
    <cellStyle name="40% - Accent4 5 2 27" xfId="57942" xr:uid="{00000000-0005-0000-0000-000056460000}"/>
    <cellStyle name="40% - Accent4 5 2 28" xfId="59625" xr:uid="{00000000-0005-0000-0000-000057460000}"/>
    <cellStyle name="40% - Accent4 5 2 29" xfId="61308" xr:uid="{00000000-0005-0000-0000-000058460000}"/>
    <cellStyle name="40% - Accent4 5 2 3" xfId="4083" xr:uid="{00000000-0005-0000-0000-000059460000}"/>
    <cellStyle name="40% - Accent4 5 2 3 2" xfId="19232" xr:uid="{00000000-0005-0000-0000-00005A460000}"/>
    <cellStyle name="40% - Accent4 5 2 30" xfId="62991" xr:uid="{00000000-0005-0000-0000-00005B460000}"/>
    <cellStyle name="40% - Accent4 5 2 4" xfId="5766" xr:uid="{00000000-0005-0000-0000-00005C460000}"/>
    <cellStyle name="40% - Accent4 5 2 4 2" xfId="20915" xr:uid="{00000000-0005-0000-0000-00005D460000}"/>
    <cellStyle name="40% - Accent4 5 2 5" xfId="7449" xr:uid="{00000000-0005-0000-0000-00005E460000}"/>
    <cellStyle name="40% - Accent4 5 2 5 2" xfId="22598" xr:uid="{00000000-0005-0000-0000-00005F460000}"/>
    <cellStyle name="40% - Accent4 5 2 6" xfId="9132" xr:uid="{00000000-0005-0000-0000-000060460000}"/>
    <cellStyle name="40% - Accent4 5 2 6 2" xfId="24281" xr:uid="{00000000-0005-0000-0000-000061460000}"/>
    <cellStyle name="40% - Accent4 5 2 7" xfId="10815" xr:uid="{00000000-0005-0000-0000-000062460000}"/>
    <cellStyle name="40% - Accent4 5 2 7 2" xfId="25964" xr:uid="{00000000-0005-0000-0000-000063460000}"/>
    <cellStyle name="40% - Accent4 5 2 8" xfId="12499" xr:uid="{00000000-0005-0000-0000-000064460000}"/>
    <cellStyle name="40% - Accent4 5 2 8 2" xfId="27648" xr:uid="{00000000-0005-0000-0000-000065460000}"/>
    <cellStyle name="40% - Accent4 5 2 9" xfId="14182" xr:uid="{00000000-0005-0000-0000-000066460000}"/>
    <cellStyle name="40% - Accent4 5 2 9 2" xfId="29331" xr:uid="{00000000-0005-0000-0000-000067460000}"/>
    <cellStyle name="40% - Accent4 5 20" xfId="40692" xr:uid="{00000000-0005-0000-0000-000068460000}"/>
    <cellStyle name="40% - Accent4 5 21" xfId="42375" xr:uid="{00000000-0005-0000-0000-000069460000}"/>
    <cellStyle name="40% - Accent4 5 22" xfId="44058" xr:uid="{00000000-0005-0000-0000-00006A460000}"/>
    <cellStyle name="40% - Accent4 5 23" xfId="45741" xr:uid="{00000000-0005-0000-0000-00006B460000}"/>
    <cellStyle name="40% - Accent4 5 24" xfId="47424" xr:uid="{00000000-0005-0000-0000-00006C460000}"/>
    <cellStyle name="40% - Accent4 5 25" xfId="49107" xr:uid="{00000000-0005-0000-0000-00006D460000}"/>
    <cellStyle name="40% - Accent4 5 26" xfId="50790" xr:uid="{00000000-0005-0000-0000-00006E460000}"/>
    <cellStyle name="40% - Accent4 5 27" xfId="52473" xr:uid="{00000000-0005-0000-0000-00006F460000}"/>
    <cellStyle name="40% - Accent4 5 28" xfId="54156" xr:uid="{00000000-0005-0000-0000-000070460000}"/>
    <cellStyle name="40% - Accent4 5 29" xfId="55839" xr:uid="{00000000-0005-0000-0000-000071460000}"/>
    <cellStyle name="40% - Accent4 5 3" xfId="1137" xr:uid="{00000000-0005-0000-0000-000072460000}"/>
    <cellStyle name="40% - Accent4 5 3 10" xfId="16286" xr:uid="{00000000-0005-0000-0000-000073460000}"/>
    <cellStyle name="40% - Accent4 5 3 11" xfId="31435" xr:uid="{00000000-0005-0000-0000-000074460000}"/>
    <cellStyle name="40% - Accent4 5 3 12" xfId="33118" xr:uid="{00000000-0005-0000-0000-000075460000}"/>
    <cellStyle name="40% - Accent4 5 3 13" xfId="34801" xr:uid="{00000000-0005-0000-0000-000076460000}"/>
    <cellStyle name="40% - Accent4 5 3 14" xfId="36484" xr:uid="{00000000-0005-0000-0000-000077460000}"/>
    <cellStyle name="40% - Accent4 5 3 15" xfId="38167" xr:uid="{00000000-0005-0000-0000-000078460000}"/>
    <cellStyle name="40% - Accent4 5 3 16" xfId="39850" xr:uid="{00000000-0005-0000-0000-000079460000}"/>
    <cellStyle name="40% - Accent4 5 3 17" xfId="41533" xr:uid="{00000000-0005-0000-0000-00007A460000}"/>
    <cellStyle name="40% - Accent4 5 3 18" xfId="43216" xr:uid="{00000000-0005-0000-0000-00007B460000}"/>
    <cellStyle name="40% - Accent4 5 3 19" xfId="44899" xr:uid="{00000000-0005-0000-0000-00007C460000}"/>
    <cellStyle name="40% - Accent4 5 3 2" xfId="2820" xr:uid="{00000000-0005-0000-0000-00007D460000}"/>
    <cellStyle name="40% - Accent4 5 3 2 2" xfId="17969" xr:uid="{00000000-0005-0000-0000-00007E460000}"/>
    <cellStyle name="40% - Accent4 5 3 20" xfId="46582" xr:uid="{00000000-0005-0000-0000-00007F460000}"/>
    <cellStyle name="40% - Accent4 5 3 21" xfId="48265" xr:uid="{00000000-0005-0000-0000-000080460000}"/>
    <cellStyle name="40% - Accent4 5 3 22" xfId="49948" xr:uid="{00000000-0005-0000-0000-000081460000}"/>
    <cellStyle name="40% - Accent4 5 3 23" xfId="51631" xr:uid="{00000000-0005-0000-0000-000082460000}"/>
    <cellStyle name="40% - Accent4 5 3 24" xfId="53314" xr:uid="{00000000-0005-0000-0000-000083460000}"/>
    <cellStyle name="40% - Accent4 5 3 25" xfId="54997" xr:uid="{00000000-0005-0000-0000-000084460000}"/>
    <cellStyle name="40% - Accent4 5 3 26" xfId="56680" xr:uid="{00000000-0005-0000-0000-000085460000}"/>
    <cellStyle name="40% - Accent4 5 3 27" xfId="58363" xr:uid="{00000000-0005-0000-0000-000086460000}"/>
    <cellStyle name="40% - Accent4 5 3 28" xfId="60046" xr:uid="{00000000-0005-0000-0000-000087460000}"/>
    <cellStyle name="40% - Accent4 5 3 29" xfId="61729" xr:uid="{00000000-0005-0000-0000-000088460000}"/>
    <cellStyle name="40% - Accent4 5 3 3" xfId="4504" xr:uid="{00000000-0005-0000-0000-000089460000}"/>
    <cellStyle name="40% - Accent4 5 3 3 2" xfId="19653" xr:uid="{00000000-0005-0000-0000-00008A460000}"/>
    <cellStyle name="40% - Accent4 5 3 30" xfId="63412" xr:uid="{00000000-0005-0000-0000-00008B460000}"/>
    <cellStyle name="40% - Accent4 5 3 4" xfId="6187" xr:uid="{00000000-0005-0000-0000-00008C460000}"/>
    <cellStyle name="40% - Accent4 5 3 4 2" xfId="21336" xr:uid="{00000000-0005-0000-0000-00008D460000}"/>
    <cellStyle name="40% - Accent4 5 3 5" xfId="7870" xr:uid="{00000000-0005-0000-0000-00008E460000}"/>
    <cellStyle name="40% - Accent4 5 3 5 2" xfId="23019" xr:uid="{00000000-0005-0000-0000-00008F460000}"/>
    <cellStyle name="40% - Accent4 5 3 6" xfId="9553" xr:uid="{00000000-0005-0000-0000-000090460000}"/>
    <cellStyle name="40% - Accent4 5 3 6 2" xfId="24702" xr:uid="{00000000-0005-0000-0000-000091460000}"/>
    <cellStyle name="40% - Accent4 5 3 7" xfId="11236" xr:uid="{00000000-0005-0000-0000-000092460000}"/>
    <cellStyle name="40% - Accent4 5 3 7 2" xfId="26385" xr:uid="{00000000-0005-0000-0000-000093460000}"/>
    <cellStyle name="40% - Accent4 5 3 8" xfId="12920" xr:uid="{00000000-0005-0000-0000-000094460000}"/>
    <cellStyle name="40% - Accent4 5 3 8 2" xfId="28069" xr:uid="{00000000-0005-0000-0000-000095460000}"/>
    <cellStyle name="40% - Accent4 5 3 9" xfId="14603" xr:uid="{00000000-0005-0000-0000-000096460000}"/>
    <cellStyle name="40% - Accent4 5 3 9 2" xfId="29752" xr:uid="{00000000-0005-0000-0000-000097460000}"/>
    <cellStyle name="40% - Accent4 5 30" xfId="57522" xr:uid="{00000000-0005-0000-0000-000098460000}"/>
    <cellStyle name="40% - Accent4 5 31" xfId="59205" xr:uid="{00000000-0005-0000-0000-000099460000}"/>
    <cellStyle name="40% - Accent4 5 32" xfId="60888" xr:uid="{00000000-0005-0000-0000-00009A460000}"/>
    <cellStyle name="40% - Accent4 5 33" xfId="62571" xr:uid="{00000000-0005-0000-0000-00009B460000}"/>
    <cellStyle name="40% - Accent4 5 4" xfId="1558" xr:uid="{00000000-0005-0000-0000-00009C460000}"/>
    <cellStyle name="40% - Accent4 5 4 10" xfId="16707" xr:uid="{00000000-0005-0000-0000-00009D460000}"/>
    <cellStyle name="40% - Accent4 5 4 11" xfId="31856" xr:uid="{00000000-0005-0000-0000-00009E460000}"/>
    <cellStyle name="40% - Accent4 5 4 12" xfId="33539" xr:uid="{00000000-0005-0000-0000-00009F460000}"/>
    <cellStyle name="40% - Accent4 5 4 13" xfId="35222" xr:uid="{00000000-0005-0000-0000-0000A0460000}"/>
    <cellStyle name="40% - Accent4 5 4 14" xfId="36905" xr:uid="{00000000-0005-0000-0000-0000A1460000}"/>
    <cellStyle name="40% - Accent4 5 4 15" xfId="38588" xr:uid="{00000000-0005-0000-0000-0000A2460000}"/>
    <cellStyle name="40% - Accent4 5 4 16" xfId="40271" xr:uid="{00000000-0005-0000-0000-0000A3460000}"/>
    <cellStyle name="40% - Accent4 5 4 17" xfId="41954" xr:uid="{00000000-0005-0000-0000-0000A4460000}"/>
    <cellStyle name="40% - Accent4 5 4 18" xfId="43637" xr:uid="{00000000-0005-0000-0000-0000A5460000}"/>
    <cellStyle name="40% - Accent4 5 4 19" xfId="45320" xr:uid="{00000000-0005-0000-0000-0000A6460000}"/>
    <cellStyle name="40% - Accent4 5 4 2" xfId="3241" xr:uid="{00000000-0005-0000-0000-0000A7460000}"/>
    <cellStyle name="40% - Accent4 5 4 2 2" xfId="18390" xr:uid="{00000000-0005-0000-0000-0000A8460000}"/>
    <cellStyle name="40% - Accent4 5 4 20" xfId="47003" xr:uid="{00000000-0005-0000-0000-0000A9460000}"/>
    <cellStyle name="40% - Accent4 5 4 21" xfId="48686" xr:uid="{00000000-0005-0000-0000-0000AA460000}"/>
    <cellStyle name="40% - Accent4 5 4 22" xfId="50369" xr:uid="{00000000-0005-0000-0000-0000AB460000}"/>
    <cellStyle name="40% - Accent4 5 4 23" xfId="52052" xr:uid="{00000000-0005-0000-0000-0000AC460000}"/>
    <cellStyle name="40% - Accent4 5 4 24" xfId="53735" xr:uid="{00000000-0005-0000-0000-0000AD460000}"/>
    <cellStyle name="40% - Accent4 5 4 25" xfId="55418" xr:uid="{00000000-0005-0000-0000-0000AE460000}"/>
    <cellStyle name="40% - Accent4 5 4 26" xfId="57101" xr:uid="{00000000-0005-0000-0000-0000AF460000}"/>
    <cellStyle name="40% - Accent4 5 4 27" xfId="58784" xr:uid="{00000000-0005-0000-0000-0000B0460000}"/>
    <cellStyle name="40% - Accent4 5 4 28" xfId="60467" xr:uid="{00000000-0005-0000-0000-0000B1460000}"/>
    <cellStyle name="40% - Accent4 5 4 29" xfId="62150" xr:uid="{00000000-0005-0000-0000-0000B2460000}"/>
    <cellStyle name="40% - Accent4 5 4 3" xfId="4925" xr:uid="{00000000-0005-0000-0000-0000B3460000}"/>
    <cellStyle name="40% - Accent4 5 4 3 2" xfId="20074" xr:uid="{00000000-0005-0000-0000-0000B4460000}"/>
    <cellStyle name="40% - Accent4 5 4 30" xfId="63833" xr:uid="{00000000-0005-0000-0000-0000B5460000}"/>
    <cellStyle name="40% - Accent4 5 4 4" xfId="6608" xr:uid="{00000000-0005-0000-0000-0000B6460000}"/>
    <cellStyle name="40% - Accent4 5 4 4 2" xfId="21757" xr:uid="{00000000-0005-0000-0000-0000B7460000}"/>
    <cellStyle name="40% - Accent4 5 4 5" xfId="8291" xr:uid="{00000000-0005-0000-0000-0000B8460000}"/>
    <cellStyle name="40% - Accent4 5 4 5 2" xfId="23440" xr:uid="{00000000-0005-0000-0000-0000B9460000}"/>
    <cellStyle name="40% - Accent4 5 4 6" xfId="9974" xr:uid="{00000000-0005-0000-0000-0000BA460000}"/>
    <cellStyle name="40% - Accent4 5 4 6 2" xfId="25123" xr:uid="{00000000-0005-0000-0000-0000BB460000}"/>
    <cellStyle name="40% - Accent4 5 4 7" xfId="11657" xr:uid="{00000000-0005-0000-0000-0000BC460000}"/>
    <cellStyle name="40% - Accent4 5 4 7 2" xfId="26806" xr:uid="{00000000-0005-0000-0000-0000BD460000}"/>
    <cellStyle name="40% - Accent4 5 4 8" xfId="13341" xr:uid="{00000000-0005-0000-0000-0000BE460000}"/>
    <cellStyle name="40% - Accent4 5 4 8 2" xfId="28490" xr:uid="{00000000-0005-0000-0000-0000BF460000}"/>
    <cellStyle name="40% - Accent4 5 4 9" xfId="15024" xr:uid="{00000000-0005-0000-0000-0000C0460000}"/>
    <cellStyle name="40% - Accent4 5 4 9 2" xfId="30173" xr:uid="{00000000-0005-0000-0000-0000C1460000}"/>
    <cellStyle name="40% - Accent4 5 5" xfId="1979" xr:uid="{00000000-0005-0000-0000-0000C2460000}"/>
    <cellStyle name="40% - Accent4 5 5 2" xfId="17128" xr:uid="{00000000-0005-0000-0000-0000C3460000}"/>
    <cellStyle name="40% - Accent4 5 6" xfId="3663" xr:uid="{00000000-0005-0000-0000-0000C4460000}"/>
    <cellStyle name="40% - Accent4 5 6 2" xfId="18812" xr:uid="{00000000-0005-0000-0000-0000C5460000}"/>
    <cellStyle name="40% - Accent4 5 7" xfId="5346" xr:uid="{00000000-0005-0000-0000-0000C6460000}"/>
    <cellStyle name="40% - Accent4 5 7 2" xfId="20495" xr:uid="{00000000-0005-0000-0000-0000C7460000}"/>
    <cellStyle name="40% - Accent4 5 8" xfId="7029" xr:uid="{00000000-0005-0000-0000-0000C8460000}"/>
    <cellStyle name="40% - Accent4 5 8 2" xfId="22178" xr:uid="{00000000-0005-0000-0000-0000C9460000}"/>
    <cellStyle name="40% - Accent4 5 9" xfId="8712" xr:uid="{00000000-0005-0000-0000-0000CA460000}"/>
    <cellStyle name="40% - Accent4 5 9 2" xfId="23861" xr:uid="{00000000-0005-0000-0000-0000CB460000}"/>
    <cellStyle name="40% - Accent4 6" xfId="506" xr:uid="{00000000-0005-0000-0000-0000CC460000}"/>
    <cellStyle name="40% - Accent4 6 10" xfId="15655" xr:uid="{00000000-0005-0000-0000-0000CD460000}"/>
    <cellStyle name="40% - Accent4 6 11" xfId="30804" xr:uid="{00000000-0005-0000-0000-0000CE460000}"/>
    <cellStyle name="40% - Accent4 6 12" xfId="32487" xr:uid="{00000000-0005-0000-0000-0000CF460000}"/>
    <cellStyle name="40% - Accent4 6 13" xfId="34170" xr:uid="{00000000-0005-0000-0000-0000D0460000}"/>
    <cellStyle name="40% - Accent4 6 14" xfId="35853" xr:uid="{00000000-0005-0000-0000-0000D1460000}"/>
    <cellStyle name="40% - Accent4 6 15" xfId="37536" xr:uid="{00000000-0005-0000-0000-0000D2460000}"/>
    <cellStyle name="40% - Accent4 6 16" xfId="39219" xr:uid="{00000000-0005-0000-0000-0000D3460000}"/>
    <cellStyle name="40% - Accent4 6 17" xfId="40902" xr:uid="{00000000-0005-0000-0000-0000D4460000}"/>
    <cellStyle name="40% - Accent4 6 18" xfId="42585" xr:uid="{00000000-0005-0000-0000-0000D5460000}"/>
    <cellStyle name="40% - Accent4 6 19" xfId="44268" xr:uid="{00000000-0005-0000-0000-0000D6460000}"/>
    <cellStyle name="40% - Accent4 6 2" xfId="2189" xr:uid="{00000000-0005-0000-0000-0000D7460000}"/>
    <cellStyle name="40% - Accent4 6 2 2" xfId="17338" xr:uid="{00000000-0005-0000-0000-0000D8460000}"/>
    <cellStyle name="40% - Accent4 6 20" xfId="45951" xr:uid="{00000000-0005-0000-0000-0000D9460000}"/>
    <cellStyle name="40% - Accent4 6 21" xfId="47634" xr:uid="{00000000-0005-0000-0000-0000DA460000}"/>
    <cellStyle name="40% - Accent4 6 22" xfId="49317" xr:uid="{00000000-0005-0000-0000-0000DB460000}"/>
    <cellStyle name="40% - Accent4 6 23" xfId="51000" xr:uid="{00000000-0005-0000-0000-0000DC460000}"/>
    <cellStyle name="40% - Accent4 6 24" xfId="52683" xr:uid="{00000000-0005-0000-0000-0000DD460000}"/>
    <cellStyle name="40% - Accent4 6 25" xfId="54366" xr:uid="{00000000-0005-0000-0000-0000DE460000}"/>
    <cellStyle name="40% - Accent4 6 26" xfId="56049" xr:uid="{00000000-0005-0000-0000-0000DF460000}"/>
    <cellStyle name="40% - Accent4 6 27" xfId="57732" xr:uid="{00000000-0005-0000-0000-0000E0460000}"/>
    <cellStyle name="40% - Accent4 6 28" xfId="59415" xr:uid="{00000000-0005-0000-0000-0000E1460000}"/>
    <cellStyle name="40% - Accent4 6 29" xfId="61098" xr:uid="{00000000-0005-0000-0000-0000E2460000}"/>
    <cellStyle name="40% - Accent4 6 3" xfId="3873" xr:uid="{00000000-0005-0000-0000-0000E3460000}"/>
    <cellStyle name="40% - Accent4 6 3 2" xfId="19022" xr:uid="{00000000-0005-0000-0000-0000E4460000}"/>
    <cellStyle name="40% - Accent4 6 30" xfId="62781" xr:uid="{00000000-0005-0000-0000-0000E5460000}"/>
    <cellStyle name="40% - Accent4 6 4" xfId="5556" xr:uid="{00000000-0005-0000-0000-0000E6460000}"/>
    <cellStyle name="40% - Accent4 6 4 2" xfId="20705" xr:uid="{00000000-0005-0000-0000-0000E7460000}"/>
    <cellStyle name="40% - Accent4 6 5" xfId="7239" xr:uid="{00000000-0005-0000-0000-0000E8460000}"/>
    <cellStyle name="40% - Accent4 6 5 2" xfId="22388" xr:uid="{00000000-0005-0000-0000-0000E9460000}"/>
    <cellStyle name="40% - Accent4 6 6" xfId="8922" xr:uid="{00000000-0005-0000-0000-0000EA460000}"/>
    <cellStyle name="40% - Accent4 6 6 2" xfId="24071" xr:uid="{00000000-0005-0000-0000-0000EB460000}"/>
    <cellStyle name="40% - Accent4 6 7" xfId="10605" xr:uid="{00000000-0005-0000-0000-0000EC460000}"/>
    <cellStyle name="40% - Accent4 6 7 2" xfId="25754" xr:uid="{00000000-0005-0000-0000-0000ED460000}"/>
    <cellStyle name="40% - Accent4 6 8" xfId="12289" xr:uid="{00000000-0005-0000-0000-0000EE460000}"/>
    <cellStyle name="40% - Accent4 6 8 2" xfId="27438" xr:uid="{00000000-0005-0000-0000-0000EF460000}"/>
    <cellStyle name="40% - Accent4 6 9" xfId="13972" xr:uid="{00000000-0005-0000-0000-0000F0460000}"/>
    <cellStyle name="40% - Accent4 6 9 2" xfId="29121" xr:uid="{00000000-0005-0000-0000-0000F1460000}"/>
    <cellStyle name="40% - Accent4 7" xfId="927" xr:uid="{00000000-0005-0000-0000-0000F2460000}"/>
    <cellStyle name="40% - Accent4 7 10" xfId="16076" xr:uid="{00000000-0005-0000-0000-0000F3460000}"/>
    <cellStyle name="40% - Accent4 7 11" xfId="31225" xr:uid="{00000000-0005-0000-0000-0000F4460000}"/>
    <cellStyle name="40% - Accent4 7 12" xfId="32908" xr:uid="{00000000-0005-0000-0000-0000F5460000}"/>
    <cellStyle name="40% - Accent4 7 13" xfId="34591" xr:uid="{00000000-0005-0000-0000-0000F6460000}"/>
    <cellStyle name="40% - Accent4 7 14" xfId="36274" xr:uid="{00000000-0005-0000-0000-0000F7460000}"/>
    <cellStyle name="40% - Accent4 7 15" xfId="37957" xr:uid="{00000000-0005-0000-0000-0000F8460000}"/>
    <cellStyle name="40% - Accent4 7 16" xfId="39640" xr:uid="{00000000-0005-0000-0000-0000F9460000}"/>
    <cellStyle name="40% - Accent4 7 17" xfId="41323" xr:uid="{00000000-0005-0000-0000-0000FA460000}"/>
    <cellStyle name="40% - Accent4 7 18" xfId="43006" xr:uid="{00000000-0005-0000-0000-0000FB460000}"/>
    <cellStyle name="40% - Accent4 7 19" xfId="44689" xr:uid="{00000000-0005-0000-0000-0000FC460000}"/>
    <cellStyle name="40% - Accent4 7 2" xfId="2610" xr:uid="{00000000-0005-0000-0000-0000FD460000}"/>
    <cellStyle name="40% - Accent4 7 2 2" xfId="17759" xr:uid="{00000000-0005-0000-0000-0000FE460000}"/>
    <cellStyle name="40% - Accent4 7 20" xfId="46372" xr:uid="{00000000-0005-0000-0000-0000FF460000}"/>
    <cellStyle name="40% - Accent4 7 21" xfId="48055" xr:uid="{00000000-0005-0000-0000-000000470000}"/>
    <cellStyle name="40% - Accent4 7 22" xfId="49738" xr:uid="{00000000-0005-0000-0000-000001470000}"/>
    <cellStyle name="40% - Accent4 7 23" xfId="51421" xr:uid="{00000000-0005-0000-0000-000002470000}"/>
    <cellStyle name="40% - Accent4 7 24" xfId="53104" xr:uid="{00000000-0005-0000-0000-000003470000}"/>
    <cellStyle name="40% - Accent4 7 25" xfId="54787" xr:uid="{00000000-0005-0000-0000-000004470000}"/>
    <cellStyle name="40% - Accent4 7 26" xfId="56470" xr:uid="{00000000-0005-0000-0000-000005470000}"/>
    <cellStyle name="40% - Accent4 7 27" xfId="58153" xr:uid="{00000000-0005-0000-0000-000006470000}"/>
    <cellStyle name="40% - Accent4 7 28" xfId="59836" xr:uid="{00000000-0005-0000-0000-000007470000}"/>
    <cellStyle name="40% - Accent4 7 29" xfId="61519" xr:uid="{00000000-0005-0000-0000-000008470000}"/>
    <cellStyle name="40% - Accent4 7 3" xfId="4294" xr:uid="{00000000-0005-0000-0000-000009470000}"/>
    <cellStyle name="40% - Accent4 7 3 2" xfId="19443" xr:uid="{00000000-0005-0000-0000-00000A470000}"/>
    <cellStyle name="40% - Accent4 7 30" xfId="63202" xr:uid="{00000000-0005-0000-0000-00000B470000}"/>
    <cellStyle name="40% - Accent4 7 4" xfId="5977" xr:uid="{00000000-0005-0000-0000-00000C470000}"/>
    <cellStyle name="40% - Accent4 7 4 2" xfId="21126" xr:uid="{00000000-0005-0000-0000-00000D470000}"/>
    <cellStyle name="40% - Accent4 7 5" xfId="7660" xr:uid="{00000000-0005-0000-0000-00000E470000}"/>
    <cellStyle name="40% - Accent4 7 5 2" xfId="22809" xr:uid="{00000000-0005-0000-0000-00000F470000}"/>
    <cellStyle name="40% - Accent4 7 6" xfId="9343" xr:uid="{00000000-0005-0000-0000-000010470000}"/>
    <cellStyle name="40% - Accent4 7 6 2" xfId="24492" xr:uid="{00000000-0005-0000-0000-000011470000}"/>
    <cellStyle name="40% - Accent4 7 7" xfId="11026" xr:uid="{00000000-0005-0000-0000-000012470000}"/>
    <cellStyle name="40% - Accent4 7 7 2" xfId="26175" xr:uid="{00000000-0005-0000-0000-000013470000}"/>
    <cellStyle name="40% - Accent4 7 8" xfId="12710" xr:uid="{00000000-0005-0000-0000-000014470000}"/>
    <cellStyle name="40% - Accent4 7 8 2" xfId="27859" xr:uid="{00000000-0005-0000-0000-000015470000}"/>
    <cellStyle name="40% - Accent4 7 9" xfId="14393" xr:uid="{00000000-0005-0000-0000-000016470000}"/>
    <cellStyle name="40% - Accent4 7 9 2" xfId="29542" xr:uid="{00000000-0005-0000-0000-000017470000}"/>
    <cellStyle name="40% - Accent4 8" xfId="1348" xr:uid="{00000000-0005-0000-0000-000018470000}"/>
    <cellStyle name="40% - Accent4 8 10" xfId="16497" xr:uid="{00000000-0005-0000-0000-000019470000}"/>
    <cellStyle name="40% - Accent4 8 11" xfId="31646" xr:uid="{00000000-0005-0000-0000-00001A470000}"/>
    <cellStyle name="40% - Accent4 8 12" xfId="33329" xr:uid="{00000000-0005-0000-0000-00001B470000}"/>
    <cellStyle name="40% - Accent4 8 13" xfId="35012" xr:uid="{00000000-0005-0000-0000-00001C470000}"/>
    <cellStyle name="40% - Accent4 8 14" xfId="36695" xr:uid="{00000000-0005-0000-0000-00001D470000}"/>
    <cellStyle name="40% - Accent4 8 15" xfId="38378" xr:uid="{00000000-0005-0000-0000-00001E470000}"/>
    <cellStyle name="40% - Accent4 8 16" xfId="40061" xr:uid="{00000000-0005-0000-0000-00001F470000}"/>
    <cellStyle name="40% - Accent4 8 17" xfId="41744" xr:uid="{00000000-0005-0000-0000-000020470000}"/>
    <cellStyle name="40% - Accent4 8 18" xfId="43427" xr:uid="{00000000-0005-0000-0000-000021470000}"/>
    <cellStyle name="40% - Accent4 8 19" xfId="45110" xr:uid="{00000000-0005-0000-0000-000022470000}"/>
    <cellStyle name="40% - Accent4 8 2" xfId="3031" xr:uid="{00000000-0005-0000-0000-000023470000}"/>
    <cellStyle name="40% - Accent4 8 2 2" xfId="18180" xr:uid="{00000000-0005-0000-0000-000024470000}"/>
    <cellStyle name="40% - Accent4 8 20" xfId="46793" xr:uid="{00000000-0005-0000-0000-000025470000}"/>
    <cellStyle name="40% - Accent4 8 21" xfId="48476" xr:uid="{00000000-0005-0000-0000-000026470000}"/>
    <cellStyle name="40% - Accent4 8 22" xfId="50159" xr:uid="{00000000-0005-0000-0000-000027470000}"/>
    <cellStyle name="40% - Accent4 8 23" xfId="51842" xr:uid="{00000000-0005-0000-0000-000028470000}"/>
    <cellStyle name="40% - Accent4 8 24" xfId="53525" xr:uid="{00000000-0005-0000-0000-000029470000}"/>
    <cellStyle name="40% - Accent4 8 25" xfId="55208" xr:uid="{00000000-0005-0000-0000-00002A470000}"/>
    <cellStyle name="40% - Accent4 8 26" xfId="56891" xr:uid="{00000000-0005-0000-0000-00002B470000}"/>
    <cellStyle name="40% - Accent4 8 27" xfId="58574" xr:uid="{00000000-0005-0000-0000-00002C470000}"/>
    <cellStyle name="40% - Accent4 8 28" xfId="60257" xr:uid="{00000000-0005-0000-0000-00002D470000}"/>
    <cellStyle name="40% - Accent4 8 29" xfId="61940" xr:uid="{00000000-0005-0000-0000-00002E470000}"/>
    <cellStyle name="40% - Accent4 8 3" xfId="4715" xr:uid="{00000000-0005-0000-0000-00002F470000}"/>
    <cellStyle name="40% - Accent4 8 3 2" xfId="19864" xr:uid="{00000000-0005-0000-0000-000030470000}"/>
    <cellStyle name="40% - Accent4 8 30" xfId="63623" xr:uid="{00000000-0005-0000-0000-000031470000}"/>
    <cellStyle name="40% - Accent4 8 4" xfId="6398" xr:uid="{00000000-0005-0000-0000-000032470000}"/>
    <cellStyle name="40% - Accent4 8 4 2" xfId="21547" xr:uid="{00000000-0005-0000-0000-000033470000}"/>
    <cellStyle name="40% - Accent4 8 5" xfId="8081" xr:uid="{00000000-0005-0000-0000-000034470000}"/>
    <cellStyle name="40% - Accent4 8 5 2" xfId="23230" xr:uid="{00000000-0005-0000-0000-000035470000}"/>
    <cellStyle name="40% - Accent4 8 6" xfId="9764" xr:uid="{00000000-0005-0000-0000-000036470000}"/>
    <cellStyle name="40% - Accent4 8 6 2" xfId="24913" xr:uid="{00000000-0005-0000-0000-000037470000}"/>
    <cellStyle name="40% - Accent4 8 7" xfId="11447" xr:uid="{00000000-0005-0000-0000-000038470000}"/>
    <cellStyle name="40% - Accent4 8 7 2" xfId="26596" xr:uid="{00000000-0005-0000-0000-000039470000}"/>
    <cellStyle name="40% - Accent4 8 8" xfId="13131" xr:uid="{00000000-0005-0000-0000-00003A470000}"/>
    <cellStyle name="40% - Accent4 8 8 2" xfId="28280" xr:uid="{00000000-0005-0000-0000-00003B470000}"/>
    <cellStyle name="40% - Accent4 8 9" xfId="14814" xr:uid="{00000000-0005-0000-0000-00003C470000}"/>
    <cellStyle name="40% - Accent4 8 9 2" xfId="29963" xr:uid="{00000000-0005-0000-0000-00003D470000}"/>
    <cellStyle name="40% - Accent4 9" xfId="1769" xr:uid="{00000000-0005-0000-0000-00003E470000}"/>
    <cellStyle name="40% - Accent4 9 2" xfId="16918" xr:uid="{00000000-0005-0000-0000-00003F470000}"/>
    <cellStyle name="40% - Accent5" xfId="88" builtinId="47" customBuiltin="1"/>
    <cellStyle name="40% - Accent5 10" xfId="3456" xr:uid="{00000000-0005-0000-0000-000041470000}"/>
    <cellStyle name="40% - Accent5 10 2" xfId="18605" xr:uid="{00000000-0005-0000-0000-000042470000}"/>
    <cellStyle name="40% - Accent5 11" xfId="5139" xr:uid="{00000000-0005-0000-0000-000043470000}"/>
    <cellStyle name="40% - Accent5 11 2" xfId="20288" xr:uid="{00000000-0005-0000-0000-000044470000}"/>
    <cellStyle name="40% - Accent5 12" xfId="6822" xr:uid="{00000000-0005-0000-0000-000045470000}"/>
    <cellStyle name="40% - Accent5 12 2" xfId="21971" xr:uid="{00000000-0005-0000-0000-000046470000}"/>
    <cellStyle name="40% - Accent5 13" xfId="8505" xr:uid="{00000000-0005-0000-0000-000047470000}"/>
    <cellStyle name="40% - Accent5 13 2" xfId="23654" xr:uid="{00000000-0005-0000-0000-000048470000}"/>
    <cellStyle name="40% - Accent5 14" xfId="10188" xr:uid="{00000000-0005-0000-0000-000049470000}"/>
    <cellStyle name="40% - Accent5 14 2" xfId="25337" xr:uid="{00000000-0005-0000-0000-00004A470000}"/>
    <cellStyle name="40% - Accent5 15" xfId="11872" xr:uid="{00000000-0005-0000-0000-00004B470000}"/>
    <cellStyle name="40% - Accent5 15 2" xfId="27021" xr:uid="{00000000-0005-0000-0000-00004C470000}"/>
    <cellStyle name="40% - Accent5 16" xfId="13555" xr:uid="{00000000-0005-0000-0000-00004D470000}"/>
    <cellStyle name="40% - Accent5 16 2" xfId="28704" xr:uid="{00000000-0005-0000-0000-00004E470000}"/>
    <cellStyle name="40% - Accent5 17" xfId="15238" xr:uid="{00000000-0005-0000-0000-00004F470000}"/>
    <cellStyle name="40% - Accent5 18" xfId="30387" xr:uid="{00000000-0005-0000-0000-000050470000}"/>
    <cellStyle name="40% - Accent5 19" xfId="32070" xr:uid="{00000000-0005-0000-0000-000051470000}"/>
    <cellStyle name="40% - Accent5 2" xfId="111" xr:uid="{00000000-0005-0000-0000-000052470000}"/>
    <cellStyle name="40% - Accent5 2 10" xfId="6844" xr:uid="{00000000-0005-0000-0000-000053470000}"/>
    <cellStyle name="40% - Accent5 2 10 2" xfId="21993" xr:uid="{00000000-0005-0000-0000-000054470000}"/>
    <cellStyle name="40% - Accent5 2 11" xfId="8527" xr:uid="{00000000-0005-0000-0000-000055470000}"/>
    <cellStyle name="40% - Accent5 2 11 2" xfId="23676" xr:uid="{00000000-0005-0000-0000-000056470000}"/>
    <cellStyle name="40% - Accent5 2 12" xfId="10210" xr:uid="{00000000-0005-0000-0000-000057470000}"/>
    <cellStyle name="40% - Accent5 2 12 2" xfId="25359" xr:uid="{00000000-0005-0000-0000-000058470000}"/>
    <cellStyle name="40% - Accent5 2 13" xfId="11894" xr:uid="{00000000-0005-0000-0000-000059470000}"/>
    <cellStyle name="40% - Accent5 2 13 2" xfId="27043" xr:uid="{00000000-0005-0000-0000-00005A470000}"/>
    <cellStyle name="40% - Accent5 2 14" xfId="13577" xr:uid="{00000000-0005-0000-0000-00005B470000}"/>
    <cellStyle name="40% - Accent5 2 14 2" xfId="28726" xr:uid="{00000000-0005-0000-0000-00005C470000}"/>
    <cellStyle name="40% - Accent5 2 15" xfId="15260" xr:uid="{00000000-0005-0000-0000-00005D470000}"/>
    <cellStyle name="40% - Accent5 2 16" xfId="30409" xr:uid="{00000000-0005-0000-0000-00005E470000}"/>
    <cellStyle name="40% - Accent5 2 17" xfId="32092" xr:uid="{00000000-0005-0000-0000-00005F470000}"/>
    <cellStyle name="40% - Accent5 2 18" xfId="33775" xr:uid="{00000000-0005-0000-0000-000060470000}"/>
    <cellStyle name="40% - Accent5 2 19" xfId="35458" xr:uid="{00000000-0005-0000-0000-000061470000}"/>
    <cellStyle name="40% - Accent5 2 2" xfId="216" xr:uid="{00000000-0005-0000-0000-000062470000}"/>
    <cellStyle name="40% - Accent5 2 2 10" xfId="8632" xr:uid="{00000000-0005-0000-0000-000063470000}"/>
    <cellStyle name="40% - Accent5 2 2 10 2" xfId="23781" xr:uid="{00000000-0005-0000-0000-000064470000}"/>
    <cellStyle name="40% - Accent5 2 2 11" xfId="10315" xr:uid="{00000000-0005-0000-0000-000065470000}"/>
    <cellStyle name="40% - Accent5 2 2 11 2" xfId="25464" xr:uid="{00000000-0005-0000-0000-000066470000}"/>
    <cellStyle name="40% - Accent5 2 2 12" xfId="11999" xr:uid="{00000000-0005-0000-0000-000067470000}"/>
    <cellStyle name="40% - Accent5 2 2 12 2" xfId="27148" xr:uid="{00000000-0005-0000-0000-000068470000}"/>
    <cellStyle name="40% - Accent5 2 2 13" xfId="13682" xr:uid="{00000000-0005-0000-0000-000069470000}"/>
    <cellStyle name="40% - Accent5 2 2 13 2" xfId="28831" xr:uid="{00000000-0005-0000-0000-00006A470000}"/>
    <cellStyle name="40% - Accent5 2 2 14" xfId="15365" xr:uid="{00000000-0005-0000-0000-00006B470000}"/>
    <cellStyle name="40% - Accent5 2 2 15" xfId="30514" xr:uid="{00000000-0005-0000-0000-00006C470000}"/>
    <cellStyle name="40% - Accent5 2 2 16" xfId="32197" xr:uid="{00000000-0005-0000-0000-00006D470000}"/>
    <cellStyle name="40% - Accent5 2 2 17" xfId="33880" xr:uid="{00000000-0005-0000-0000-00006E470000}"/>
    <cellStyle name="40% - Accent5 2 2 18" xfId="35563" xr:uid="{00000000-0005-0000-0000-00006F470000}"/>
    <cellStyle name="40% - Accent5 2 2 19" xfId="37246" xr:uid="{00000000-0005-0000-0000-000070470000}"/>
    <cellStyle name="40% - Accent5 2 2 2" xfId="426" xr:uid="{00000000-0005-0000-0000-000071470000}"/>
    <cellStyle name="40% - Accent5 2 2 2 10" xfId="10525" xr:uid="{00000000-0005-0000-0000-000072470000}"/>
    <cellStyle name="40% - Accent5 2 2 2 10 2" xfId="25674" xr:uid="{00000000-0005-0000-0000-000073470000}"/>
    <cellStyle name="40% - Accent5 2 2 2 11" xfId="12209" xr:uid="{00000000-0005-0000-0000-000074470000}"/>
    <cellStyle name="40% - Accent5 2 2 2 11 2" xfId="27358" xr:uid="{00000000-0005-0000-0000-000075470000}"/>
    <cellStyle name="40% - Accent5 2 2 2 12" xfId="13892" xr:uid="{00000000-0005-0000-0000-000076470000}"/>
    <cellStyle name="40% - Accent5 2 2 2 12 2" xfId="29041" xr:uid="{00000000-0005-0000-0000-000077470000}"/>
    <cellStyle name="40% - Accent5 2 2 2 13" xfId="15575" xr:uid="{00000000-0005-0000-0000-000078470000}"/>
    <cellStyle name="40% - Accent5 2 2 2 14" xfId="30724" xr:uid="{00000000-0005-0000-0000-000079470000}"/>
    <cellStyle name="40% - Accent5 2 2 2 15" xfId="32407" xr:uid="{00000000-0005-0000-0000-00007A470000}"/>
    <cellStyle name="40% - Accent5 2 2 2 16" xfId="34090" xr:uid="{00000000-0005-0000-0000-00007B470000}"/>
    <cellStyle name="40% - Accent5 2 2 2 17" xfId="35773" xr:uid="{00000000-0005-0000-0000-00007C470000}"/>
    <cellStyle name="40% - Accent5 2 2 2 18" xfId="37456" xr:uid="{00000000-0005-0000-0000-00007D470000}"/>
    <cellStyle name="40% - Accent5 2 2 2 19" xfId="39139" xr:uid="{00000000-0005-0000-0000-00007E470000}"/>
    <cellStyle name="40% - Accent5 2 2 2 2" xfId="846" xr:uid="{00000000-0005-0000-0000-00007F470000}"/>
    <cellStyle name="40% - Accent5 2 2 2 2 10" xfId="15995" xr:uid="{00000000-0005-0000-0000-000080470000}"/>
    <cellStyle name="40% - Accent5 2 2 2 2 11" xfId="31144" xr:uid="{00000000-0005-0000-0000-000081470000}"/>
    <cellStyle name="40% - Accent5 2 2 2 2 12" xfId="32827" xr:uid="{00000000-0005-0000-0000-000082470000}"/>
    <cellStyle name="40% - Accent5 2 2 2 2 13" xfId="34510" xr:uid="{00000000-0005-0000-0000-000083470000}"/>
    <cellStyle name="40% - Accent5 2 2 2 2 14" xfId="36193" xr:uid="{00000000-0005-0000-0000-000084470000}"/>
    <cellStyle name="40% - Accent5 2 2 2 2 15" xfId="37876" xr:uid="{00000000-0005-0000-0000-000085470000}"/>
    <cellStyle name="40% - Accent5 2 2 2 2 16" xfId="39559" xr:uid="{00000000-0005-0000-0000-000086470000}"/>
    <cellStyle name="40% - Accent5 2 2 2 2 17" xfId="41242" xr:uid="{00000000-0005-0000-0000-000087470000}"/>
    <cellStyle name="40% - Accent5 2 2 2 2 18" xfId="42925" xr:uid="{00000000-0005-0000-0000-000088470000}"/>
    <cellStyle name="40% - Accent5 2 2 2 2 19" xfId="44608" xr:uid="{00000000-0005-0000-0000-000089470000}"/>
    <cellStyle name="40% - Accent5 2 2 2 2 2" xfId="2529" xr:uid="{00000000-0005-0000-0000-00008A470000}"/>
    <cellStyle name="40% - Accent5 2 2 2 2 2 2" xfId="17678" xr:uid="{00000000-0005-0000-0000-00008B470000}"/>
    <cellStyle name="40% - Accent5 2 2 2 2 20" xfId="46291" xr:uid="{00000000-0005-0000-0000-00008C470000}"/>
    <cellStyle name="40% - Accent5 2 2 2 2 21" xfId="47974" xr:uid="{00000000-0005-0000-0000-00008D470000}"/>
    <cellStyle name="40% - Accent5 2 2 2 2 22" xfId="49657" xr:uid="{00000000-0005-0000-0000-00008E470000}"/>
    <cellStyle name="40% - Accent5 2 2 2 2 23" xfId="51340" xr:uid="{00000000-0005-0000-0000-00008F470000}"/>
    <cellStyle name="40% - Accent5 2 2 2 2 24" xfId="53023" xr:uid="{00000000-0005-0000-0000-000090470000}"/>
    <cellStyle name="40% - Accent5 2 2 2 2 25" xfId="54706" xr:uid="{00000000-0005-0000-0000-000091470000}"/>
    <cellStyle name="40% - Accent5 2 2 2 2 26" xfId="56389" xr:uid="{00000000-0005-0000-0000-000092470000}"/>
    <cellStyle name="40% - Accent5 2 2 2 2 27" xfId="58072" xr:uid="{00000000-0005-0000-0000-000093470000}"/>
    <cellStyle name="40% - Accent5 2 2 2 2 28" xfId="59755" xr:uid="{00000000-0005-0000-0000-000094470000}"/>
    <cellStyle name="40% - Accent5 2 2 2 2 29" xfId="61438" xr:uid="{00000000-0005-0000-0000-000095470000}"/>
    <cellStyle name="40% - Accent5 2 2 2 2 3" xfId="4213" xr:uid="{00000000-0005-0000-0000-000096470000}"/>
    <cellStyle name="40% - Accent5 2 2 2 2 3 2" xfId="19362" xr:uid="{00000000-0005-0000-0000-000097470000}"/>
    <cellStyle name="40% - Accent5 2 2 2 2 30" xfId="63121" xr:uid="{00000000-0005-0000-0000-000098470000}"/>
    <cellStyle name="40% - Accent5 2 2 2 2 4" xfId="5896" xr:uid="{00000000-0005-0000-0000-000099470000}"/>
    <cellStyle name="40% - Accent5 2 2 2 2 4 2" xfId="21045" xr:uid="{00000000-0005-0000-0000-00009A470000}"/>
    <cellStyle name="40% - Accent5 2 2 2 2 5" xfId="7579" xr:uid="{00000000-0005-0000-0000-00009B470000}"/>
    <cellStyle name="40% - Accent5 2 2 2 2 5 2" xfId="22728" xr:uid="{00000000-0005-0000-0000-00009C470000}"/>
    <cellStyle name="40% - Accent5 2 2 2 2 6" xfId="9262" xr:uid="{00000000-0005-0000-0000-00009D470000}"/>
    <cellStyle name="40% - Accent5 2 2 2 2 6 2" xfId="24411" xr:uid="{00000000-0005-0000-0000-00009E470000}"/>
    <cellStyle name="40% - Accent5 2 2 2 2 7" xfId="10945" xr:uid="{00000000-0005-0000-0000-00009F470000}"/>
    <cellStyle name="40% - Accent5 2 2 2 2 7 2" xfId="26094" xr:uid="{00000000-0005-0000-0000-0000A0470000}"/>
    <cellStyle name="40% - Accent5 2 2 2 2 8" xfId="12629" xr:uid="{00000000-0005-0000-0000-0000A1470000}"/>
    <cellStyle name="40% - Accent5 2 2 2 2 8 2" xfId="27778" xr:uid="{00000000-0005-0000-0000-0000A2470000}"/>
    <cellStyle name="40% - Accent5 2 2 2 2 9" xfId="14312" xr:uid="{00000000-0005-0000-0000-0000A3470000}"/>
    <cellStyle name="40% - Accent5 2 2 2 2 9 2" xfId="29461" xr:uid="{00000000-0005-0000-0000-0000A4470000}"/>
    <cellStyle name="40% - Accent5 2 2 2 20" xfId="40822" xr:uid="{00000000-0005-0000-0000-0000A5470000}"/>
    <cellStyle name="40% - Accent5 2 2 2 21" xfId="42505" xr:uid="{00000000-0005-0000-0000-0000A6470000}"/>
    <cellStyle name="40% - Accent5 2 2 2 22" xfId="44188" xr:uid="{00000000-0005-0000-0000-0000A7470000}"/>
    <cellStyle name="40% - Accent5 2 2 2 23" xfId="45871" xr:uid="{00000000-0005-0000-0000-0000A8470000}"/>
    <cellStyle name="40% - Accent5 2 2 2 24" xfId="47554" xr:uid="{00000000-0005-0000-0000-0000A9470000}"/>
    <cellStyle name="40% - Accent5 2 2 2 25" xfId="49237" xr:uid="{00000000-0005-0000-0000-0000AA470000}"/>
    <cellStyle name="40% - Accent5 2 2 2 26" xfId="50920" xr:uid="{00000000-0005-0000-0000-0000AB470000}"/>
    <cellStyle name="40% - Accent5 2 2 2 27" xfId="52603" xr:uid="{00000000-0005-0000-0000-0000AC470000}"/>
    <cellStyle name="40% - Accent5 2 2 2 28" xfId="54286" xr:uid="{00000000-0005-0000-0000-0000AD470000}"/>
    <cellStyle name="40% - Accent5 2 2 2 29" xfId="55969" xr:uid="{00000000-0005-0000-0000-0000AE470000}"/>
    <cellStyle name="40% - Accent5 2 2 2 3" xfId="1267" xr:uid="{00000000-0005-0000-0000-0000AF470000}"/>
    <cellStyle name="40% - Accent5 2 2 2 3 10" xfId="16416" xr:uid="{00000000-0005-0000-0000-0000B0470000}"/>
    <cellStyle name="40% - Accent5 2 2 2 3 11" xfId="31565" xr:uid="{00000000-0005-0000-0000-0000B1470000}"/>
    <cellStyle name="40% - Accent5 2 2 2 3 12" xfId="33248" xr:uid="{00000000-0005-0000-0000-0000B2470000}"/>
    <cellStyle name="40% - Accent5 2 2 2 3 13" xfId="34931" xr:uid="{00000000-0005-0000-0000-0000B3470000}"/>
    <cellStyle name="40% - Accent5 2 2 2 3 14" xfId="36614" xr:uid="{00000000-0005-0000-0000-0000B4470000}"/>
    <cellStyle name="40% - Accent5 2 2 2 3 15" xfId="38297" xr:uid="{00000000-0005-0000-0000-0000B5470000}"/>
    <cellStyle name="40% - Accent5 2 2 2 3 16" xfId="39980" xr:uid="{00000000-0005-0000-0000-0000B6470000}"/>
    <cellStyle name="40% - Accent5 2 2 2 3 17" xfId="41663" xr:uid="{00000000-0005-0000-0000-0000B7470000}"/>
    <cellStyle name="40% - Accent5 2 2 2 3 18" xfId="43346" xr:uid="{00000000-0005-0000-0000-0000B8470000}"/>
    <cellStyle name="40% - Accent5 2 2 2 3 19" xfId="45029" xr:uid="{00000000-0005-0000-0000-0000B9470000}"/>
    <cellStyle name="40% - Accent5 2 2 2 3 2" xfId="2950" xr:uid="{00000000-0005-0000-0000-0000BA470000}"/>
    <cellStyle name="40% - Accent5 2 2 2 3 2 2" xfId="18099" xr:uid="{00000000-0005-0000-0000-0000BB470000}"/>
    <cellStyle name="40% - Accent5 2 2 2 3 20" xfId="46712" xr:uid="{00000000-0005-0000-0000-0000BC470000}"/>
    <cellStyle name="40% - Accent5 2 2 2 3 21" xfId="48395" xr:uid="{00000000-0005-0000-0000-0000BD470000}"/>
    <cellStyle name="40% - Accent5 2 2 2 3 22" xfId="50078" xr:uid="{00000000-0005-0000-0000-0000BE470000}"/>
    <cellStyle name="40% - Accent5 2 2 2 3 23" xfId="51761" xr:uid="{00000000-0005-0000-0000-0000BF470000}"/>
    <cellStyle name="40% - Accent5 2 2 2 3 24" xfId="53444" xr:uid="{00000000-0005-0000-0000-0000C0470000}"/>
    <cellStyle name="40% - Accent5 2 2 2 3 25" xfId="55127" xr:uid="{00000000-0005-0000-0000-0000C1470000}"/>
    <cellStyle name="40% - Accent5 2 2 2 3 26" xfId="56810" xr:uid="{00000000-0005-0000-0000-0000C2470000}"/>
    <cellStyle name="40% - Accent5 2 2 2 3 27" xfId="58493" xr:uid="{00000000-0005-0000-0000-0000C3470000}"/>
    <cellStyle name="40% - Accent5 2 2 2 3 28" xfId="60176" xr:uid="{00000000-0005-0000-0000-0000C4470000}"/>
    <cellStyle name="40% - Accent5 2 2 2 3 29" xfId="61859" xr:uid="{00000000-0005-0000-0000-0000C5470000}"/>
    <cellStyle name="40% - Accent5 2 2 2 3 3" xfId="4634" xr:uid="{00000000-0005-0000-0000-0000C6470000}"/>
    <cellStyle name="40% - Accent5 2 2 2 3 3 2" xfId="19783" xr:uid="{00000000-0005-0000-0000-0000C7470000}"/>
    <cellStyle name="40% - Accent5 2 2 2 3 30" xfId="63542" xr:uid="{00000000-0005-0000-0000-0000C8470000}"/>
    <cellStyle name="40% - Accent5 2 2 2 3 4" xfId="6317" xr:uid="{00000000-0005-0000-0000-0000C9470000}"/>
    <cellStyle name="40% - Accent5 2 2 2 3 4 2" xfId="21466" xr:uid="{00000000-0005-0000-0000-0000CA470000}"/>
    <cellStyle name="40% - Accent5 2 2 2 3 5" xfId="8000" xr:uid="{00000000-0005-0000-0000-0000CB470000}"/>
    <cellStyle name="40% - Accent5 2 2 2 3 5 2" xfId="23149" xr:uid="{00000000-0005-0000-0000-0000CC470000}"/>
    <cellStyle name="40% - Accent5 2 2 2 3 6" xfId="9683" xr:uid="{00000000-0005-0000-0000-0000CD470000}"/>
    <cellStyle name="40% - Accent5 2 2 2 3 6 2" xfId="24832" xr:uid="{00000000-0005-0000-0000-0000CE470000}"/>
    <cellStyle name="40% - Accent5 2 2 2 3 7" xfId="11366" xr:uid="{00000000-0005-0000-0000-0000CF470000}"/>
    <cellStyle name="40% - Accent5 2 2 2 3 7 2" xfId="26515" xr:uid="{00000000-0005-0000-0000-0000D0470000}"/>
    <cellStyle name="40% - Accent5 2 2 2 3 8" xfId="13050" xr:uid="{00000000-0005-0000-0000-0000D1470000}"/>
    <cellStyle name="40% - Accent5 2 2 2 3 8 2" xfId="28199" xr:uid="{00000000-0005-0000-0000-0000D2470000}"/>
    <cellStyle name="40% - Accent5 2 2 2 3 9" xfId="14733" xr:uid="{00000000-0005-0000-0000-0000D3470000}"/>
    <cellStyle name="40% - Accent5 2 2 2 3 9 2" xfId="29882" xr:uid="{00000000-0005-0000-0000-0000D4470000}"/>
    <cellStyle name="40% - Accent5 2 2 2 30" xfId="57652" xr:uid="{00000000-0005-0000-0000-0000D5470000}"/>
    <cellStyle name="40% - Accent5 2 2 2 31" xfId="59335" xr:uid="{00000000-0005-0000-0000-0000D6470000}"/>
    <cellStyle name="40% - Accent5 2 2 2 32" xfId="61018" xr:uid="{00000000-0005-0000-0000-0000D7470000}"/>
    <cellStyle name="40% - Accent5 2 2 2 33" xfId="62701" xr:uid="{00000000-0005-0000-0000-0000D8470000}"/>
    <cellStyle name="40% - Accent5 2 2 2 4" xfId="1688" xr:uid="{00000000-0005-0000-0000-0000D9470000}"/>
    <cellStyle name="40% - Accent5 2 2 2 4 10" xfId="16837" xr:uid="{00000000-0005-0000-0000-0000DA470000}"/>
    <cellStyle name="40% - Accent5 2 2 2 4 11" xfId="31986" xr:uid="{00000000-0005-0000-0000-0000DB470000}"/>
    <cellStyle name="40% - Accent5 2 2 2 4 12" xfId="33669" xr:uid="{00000000-0005-0000-0000-0000DC470000}"/>
    <cellStyle name="40% - Accent5 2 2 2 4 13" xfId="35352" xr:uid="{00000000-0005-0000-0000-0000DD470000}"/>
    <cellStyle name="40% - Accent5 2 2 2 4 14" xfId="37035" xr:uid="{00000000-0005-0000-0000-0000DE470000}"/>
    <cellStyle name="40% - Accent5 2 2 2 4 15" xfId="38718" xr:uid="{00000000-0005-0000-0000-0000DF470000}"/>
    <cellStyle name="40% - Accent5 2 2 2 4 16" xfId="40401" xr:uid="{00000000-0005-0000-0000-0000E0470000}"/>
    <cellStyle name="40% - Accent5 2 2 2 4 17" xfId="42084" xr:uid="{00000000-0005-0000-0000-0000E1470000}"/>
    <cellStyle name="40% - Accent5 2 2 2 4 18" xfId="43767" xr:uid="{00000000-0005-0000-0000-0000E2470000}"/>
    <cellStyle name="40% - Accent5 2 2 2 4 19" xfId="45450" xr:uid="{00000000-0005-0000-0000-0000E3470000}"/>
    <cellStyle name="40% - Accent5 2 2 2 4 2" xfId="3371" xr:uid="{00000000-0005-0000-0000-0000E4470000}"/>
    <cellStyle name="40% - Accent5 2 2 2 4 2 2" xfId="18520" xr:uid="{00000000-0005-0000-0000-0000E5470000}"/>
    <cellStyle name="40% - Accent5 2 2 2 4 20" xfId="47133" xr:uid="{00000000-0005-0000-0000-0000E6470000}"/>
    <cellStyle name="40% - Accent5 2 2 2 4 21" xfId="48816" xr:uid="{00000000-0005-0000-0000-0000E7470000}"/>
    <cellStyle name="40% - Accent5 2 2 2 4 22" xfId="50499" xr:uid="{00000000-0005-0000-0000-0000E8470000}"/>
    <cellStyle name="40% - Accent5 2 2 2 4 23" xfId="52182" xr:uid="{00000000-0005-0000-0000-0000E9470000}"/>
    <cellStyle name="40% - Accent5 2 2 2 4 24" xfId="53865" xr:uid="{00000000-0005-0000-0000-0000EA470000}"/>
    <cellStyle name="40% - Accent5 2 2 2 4 25" xfId="55548" xr:uid="{00000000-0005-0000-0000-0000EB470000}"/>
    <cellStyle name="40% - Accent5 2 2 2 4 26" xfId="57231" xr:uid="{00000000-0005-0000-0000-0000EC470000}"/>
    <cellStyle name="40% - Accent5 2 2 2 4 27" xfId="58914" xr:uid="{00000000-0005-0000-0000-0000ED470000}"/>
    <cellStyle name="40% - Accent5 2 2 2 4 28" xfId="60597" xr:uid="{00000000-0005-0000-0000-0000EE470000}"/>
    <cellStyle name="40% - Accent5 2 2 2 4 29" xfId="62280" xr:uid="{00000000-0005-0000-0000-0000EF470000}"/>
    <cellStyle name="40% - Accent5 2 2 2 4 3" xfId="5055" xr:uid="{00000000-0005-0000-0000-0000F0470000}"/>
    <cellStyle name="40% - Accent5 2 2 2 4 3 2" xfId="20204" xr:uid="{00000000-0005-0000-0000-0000F1470000}"/>
    <cellStyle name="40% - Accent5 2 2 2 4 30" xfId="63963" xr:uid="{00000000-0005-0000-0000-0000F2470000}"/>
    <cellStyle name="40% - Accent5 2 2 2 4 4" xfId="6738" xr:uid="{00000000-0005-0000-0000-0000F3470000}"/>
    <cellStyle name="40% - Accent5 2 2 2 4 4 2" xfId="21887" xr:uid="{00000000-0005-0000-0000-0000F4470000}"/>
    <cellStyle name="40% - Accent5 2 2 2 4 5" xfId="8421" xr:uid="{00000000-0005-0000-0000-0000F5470000}"/>
    <cellStyle name="40% - Accent5 2 2 2 4 5 2" xfId="23570" xr:uid="{00000000-0005-0000-0000-0000F6470000}"/>
    <cellStyle name="40% - Accent5 2 2 2 4 6" xfId="10104" xr:uid="{00000000-0005-0000-0000-0000F7470000}"/>
    <cellStyle name="40% - Accent5 2 2 2 4 6 2" xfId="25253" xr:uid="{00000000-0005-0000-0000-0000F8470000}"/>
    <cellStyle name="40% - Accent5 2 2 2 4 7" xfId="11787" xr:uid="{00000000-0005-0000-0000-0000F9470000}"/>
    <cellStyle name="40% - Accent5 2 2 2 4 7 2" xfId="26936" xr:uid="{00000000-0005-0000-0000-0000FA470000}"/>
    <cellStyle name="40% - Accent5 2 2 2 4 8" xfId="13471" xr:uid="{00000000-0005-0000-0000-0000FB470000}"/>
    <cellStyle name="40% - Accent5 2 2 2 4 8 2" xfId="28620" xr:uid="{00000000-0005-0000-0000-0000FC470000}"/>
    <cellStyle name="40% - Accent5 2 2 2 4 9" xfId="15154" xr:uid="{00000000-0005-0000-0000-0000FD470000}"/>
    <cellStyle name="40% - Accent5 2 2 2 4 9 2" xfId="30303" xr:uid="{00000000-0005-0000-0000-0000FE470000}"/>
    <cellStyle name="40% - Accent5 2 2 2 5" xfId="2109" xr:uid="{00000000-0005-0000-0000-0000FF470000}"/>
    <cellStyle name="40% - Accent5 2 2 2 5 2" xfId="17258" xr:uid="{00000000-0005-0000-0000-000000480000}"/>
    <cellStyle name="40% - Accent5 2 2 2 6" xfId="3793" xr:uid="{00000000-0005-0000-0000-000001480000}"/>
    <cellStyle name="40% - Accent5 2 2 2 6 2" xfId="18942" xr:uid="{00000000-0005-0000-0000-000002480000}"/>
    <cellStyle name="40% - Accent5 2 2 2 7" xfId="5476" xr:uid="{00000000-0005-0000-0000-000003480000}"/>
    <cellStyle name="40% - Accent5 2 2 2 7 2" xfId="20625" xr:uid="{00000000-0005-0000-0000-000004480000}"/>
    <cellStyle name="40% - Accent5 2 2 2 8" xfId="7159" xr:uid="{00000000-0005-0000-0000-000005480000}"/>
    <cellStyle name="40% - Accent5 2 2 2 8 2" xfId="22308" xr:uid="{00000000-0005-0000-0000-000006480000}"/>
    <cellStyle name="40% - Accent5 2 2 2 9" xfId="8842" xr:uid="{00000000-0005-0000-0000-000007480000}"/>
    <cellStyle name="40% - Accent5 2 2 2 9 2" xfId="23991" xr:uid="{00000000-0005-0000-0000-000008480000}"/>
    <cellStyle name="40% - Accent5 2 2 20" xfId="38929" xr:uid="{00000000-0005-0000-0000-000009480000}"/>
    <cellStyle name="40% - Accent5 2 2 21" xfId="40612" xr:uid="{00000000-0005-0000-0000-00000A480000}"/>
    <cellStyle name="40% - Accent5 2 2 22" xfId="42295" xr:uid="{00000000-0005-0000-0000-00000B480000}"/>
    <cellStyle name="40% - Accent5 2 2 23" xfId="43978" xr:uid="{00000000-0005-0000-0000-00000C480000}"/>
    <cellStyle name="40% - Accent5 2 2 24" xfId="45661" xr:uid="{00000000-0005-0000-0000-00000D480000}"/>
    <cellStyle name="40% - Accent5 2 2 25" xfId="47344" xr:uid="{00000000-0005-0000-0000-00000E480000}"/>
    <cellStyle name="40% - Accent5 2 2 26" xfId="49027" xr:uid="{00000000-0005-0000-0000-00000F480000}"/>
    <cellStyle name="40% - Accent5 2 2 27" xfId="50710" xr:uid="{00000000-0005-0000-0000-000010480000}"/>
    <cellStyle name="40% - Accent5 2 2 28" xfId="52393" xr:uid="{00000000-0005-0000-0000-000011480000}"/>
    <cellStyle name="40% - Accent5 2 2 29" xfId="54076" xr:uid="{00000000-0005-0000-0000-000012480000}"/>
    <cellStyle name="40% - Accent5 2 2 3" xfId="636" xr:uid="{00000000-0005-0000-0000-000013480000}"/>
    <cellStyle name="40% - Accent5 2 2 3 10" xfId="15785" xr:uid="{00000000-0005-0000-0000-000014480000}"/>
    <cellStyle name="40% - Accent5 2 2 3 11" xfId="30934" xr:uid="{00000000-0005-0000-0000-000015480000}"/>
    <cellStyle name="40% - Accent5 2 2 3 12" xfId="32617" xr:uid="{00000000-0005-0000-0000-000016480000}"/>
    <cellStyle name="40% - Accent5 2 2 3 13" xfId="34300" xr:uid="{00000000-0005-0000-0000-000017480000}"/>
    <cellStyle name="40% - Accent5 2 2 3 14" xfId="35983" xr:uid="{00000000-0005-0000-0000-000018480000}"/>
    <cellStyle name="40% - Accent5 2 2 3 15" xfId="37666" xr:uid="{00000000-0005-0000-0000-000019480000}"/>
    <cellStyle name="40% - Accent5 2 2 3 16" xfId="39349" xr:uid="{00000000-0005-0000-0000-00001A480000}"/>
    <cellStyle name="40% - Accent5 2 2 3 17" xfId="41032" xr:uid="{00000000-0005-0000-0000-00001B480000}"/>
    <cellStyle name="40% - Accent5 2 2 3 18" xfId="42715" xr:uid="{00000000-0005-0000-0000-00001C480000}"/>
    <cellStyle name="40% - Accent5 2 2 3 19" xfId="44398" xr:uid="{00000000-0005-0000-0000-00001D480000}"/>
    <cellStyle name="40% - Accent5 2 2 3 2" xfId="2319" xr:uid="{00000000-0005-0000-0000-00001E480000}"/>
    <cellStyle name="40% - Accent5 2 2 3 2 2" xfId="17468" xr:uid="{00000000-0005-0000-0000-00001F480000}"/>
    <cellStyle name="40% - Accent5 2 2 3 20" xfId="46081" xr:uid="{00000000-0005-0000-0000-000020480000}"/>
    <cellStyle name="40% - Accent5 2 2 3 21" xfId="47764" xr:uid="{00000000-0005-0000-0000-000021480000}"/>
    <cellStyle name="40% - Accent5 2 2 3 22" xfId="49447" xr:uid="{00000000-0005-0000-0000-000022480000}"/>
    <cellStyle name="40% - Accent5 2 2 3 23" xfId="51130" xr:uid="{00000000-0005-0000-0000-000023480000}"/>
    <cellStyle name="40% - Accent5 2 2 3 24" xfId="52813" xr:uid="{00000000-0005-0000-0000-000024480000}"/>
    <cellStyle name="40% - Accent5 2 2 3 25" xfId="54496" xr:uid="{00000000-0005-0000-0000-000025480000}"/>
    <cellStyle name="40% - Accent5 2 2 3 26" xfId="56179" xr:uid="{00000000-0005-0000-0000-000026480000}"/>
    <cellStyle name="40% - Accent5 2 2 3 27" xfId="57862" xr:uid="{00000000-0005-0000-0000-000027480000}"/>
    <cellStyle name="40% - Accent5 2 2 3 28" xfId="59545" xr:uid="{00000000-0005-0000-0000-000028480000}"/>
    <cellStyle name="40% - Accent5 2 2 3 29" xfId="61228" xr:uid="{00000000-0005-0000-0000-000029480000}"/>
    <cellStyle name="40% - Accent5 2 2 3 3" xfId="4003" xr:uid="{00000000-0005-0000-0000-00002A480000}"/>
    <cellStyle name="40% - Accent5 2 2 3 3 2" xfId="19152" xr:uid="{00000000-0005-0000-0000-00002B480000}"/>
    <cellStyle name="40% - Accent5 2 2 3 30" xfId="62911" xr:uid="{00000000-0005-0000-0000-00002C480000}"/>
    <cellStyle name="40% - Accent5 2 2 3 4" xfId="5686" xr:uid="{00000000-0005-0000-0000-00002D480000}"/>
    <cellStyle name="40% - Accent5 2 2 3 4 2" xfId="20835" xr:uid="{00000000-0005-0000-0000-00002E480000}"/>
    <cellStyle name="40% - Accent5 2 2 3 5" xfId="7369" xr:uid="{00000000-0005-0000-0000-00002F480000}"/>
    <cellStyle name="40% - Accent5 2 2 3 5 2" xfId="22518" xr:uid="{00000000-0005-0000-0000-000030480000}"/>
    <cellStyle name="40% - Accent5 2 2 3 6" xfId="9052" xr:uid="{00000000-0005-0000-0000-000031480000}"/>
    <cellStyle name="40% - Accent5 2 2 3 6 2" xfId="24201" xr:uid="{00000000-0005-0000-0000-000032480000}"/>
    <cellStyle name="40% - Accent5 2 2 3 7" xfId="10735" xr:uid="{00000000-0005-0000-0000-000033480000}"/>
    <cellStyle name="40% - Accent5 2 2 3 7 2" xfId="25884" xr:uid="{00000000-0005-0000-0000-000034480000}"/>
    <cellStyle name="40% - Accent5 2 2 3 8" xfId="12419" xr:uid="{00000000-0005-0000-0000-000035480000}"/>
    <cellStyle name="40% - Accent5 2 2 3 8 2" xfId="27568" xr:uid="{00000000-0005-0000-0000-000036480000}"/>
    <cellStyle name="40% - Accent5 2 2 3 9" xfId="14102" xr:uid="{00000000-0005-0000-0000-000037480000}"/>
    <cellStyle name="40% - Accent5 2 2 3 9 2" xfId="29251" xr:uid="{00000000-0005-0000-0000-000038480000}"/>
    <cellStyle name="40% - Accent5 2 2 30" xfId="55759" xr:uid="{00000000-0005-0000-0000-000039480000}"/>
    <cellStyle name="40% - Accent5 2 2 31" xfId="57442" xr:uid="{00000000-0005-0000-0000-00003A480000}"/>
    <cellStyle name="40% - Accent5 2 2 32" xfId="59125" xr:uid="{00000000-0005-0000-0000-00003B480000}"/>
    <cellStyle name="40% - Accent5 2 2 33" xfId="60808" xr:uid="{00000000-0005-0000-0000-00003C480000}"/>
    <cellStyle name="40% - Accent5 2 2 34" xfId="62491" xr:uid="{00000000-0005-0000-0000-00003D480000}"/>
    <cellStyle name="40% - Accent5 2 2 4" xfId="1057" xr:uid="{00000000-0005-0000-0000-00003E480000}"/>
    <cellStyle name="40% - Accent5 2 2 4 10" xfId="16206" xr:uid="{00000000-0005-0000-0000-00003F480000}"/>
    <cellStyle name="40% - Accent5 2 2 4 11" xfId="31355" xr:uid="{00000000-0005-0000-0000-000040480000}"/>
    <cellStyle name="40% - Accent5 2 2 4 12" xfId="33038" xr:uid="{00000000-0005-0000-0000-000041480000}"/>
    <cellStyle name="40% - Accent5 2 2 4 13" xfId="34721" xr:uid="{00000000-0005-0000-0000-000042480000}"/>
    <cellStyle name="40% - Accent5 2 2 4 14" xfId="36404" xr:uid="{00000000-0005-0000-0000-000043480000}"/>
    <cellStyle name="40% - Accent5 2 2 4 15" xfId="38087" xr:uid="{00000000-0005-0000-0000-000044480000}"/>
    <cellStyle name="40% - Accent5 2 2 4 16" xfId="39770" xr:uid="{00000000-0005-0000-0000-000045480000}"/>
    <cellStyle name="40% - Accent5 2 2 4 17" xfId="41453" xr:uid="{00000000-0005-0000-0000-000046480000}"/>
    <cellStyle name="40% - Accent5 2 2 4 18" xfId="43136" xr:uid="{00000000-0005-0000-0000-000047480000}"/>
    <cellStyle name="40% - Accent5 2 2 4 19" xfId="44819" xr:uid="{00000000-0005-0000-0000-000048480000}"/>
    <cellStyle name="40% - Accent5 2 2 4 2" xfId="2740" xr:uid="{00000000-0005-0000-0000-000049480000}"/>
    <cellStyle name="40% - Accent5 2 2 4 2 2" xfId="17889" xr:uid="{00000000-0005-0000-0000-00004A480000}"/>
    <cellStyle name="40% - Accent5 2 2 4 20" xfId="46502" xr:uid="{00000000-0005-0000-0000-00004B480000}"/>
    <cellStyle name="40% - Accent5 2 2 4 21" xfId="48185" xr:uid="{00000000-0005-0000-0000-00004C480000}"/>
    <cellStyle name="40% - Accent5 2 2 4 22" xfId="49868" xr:uid="{00000000-0005-0000-0000-00004D480000}"/>
    <cellStyle name="40% - Accent5 2 2 4 23" xfId="51551" xr:uid="{00000000-0005-0000-0000-00004E480000}"/>
    <cellStyle name="40% - Accent5 2 2 4 24" xfId="53234" xr:uid="{00000000-0005-0000-0000-00004F480000}"/>
    <cellStyle name="40% - Accent5 2 2 4 25" xfId="54917" xr:uid="{00000000-0005-0000-0000-000050480000}"/>
    <cellStyle name="40% - Accent5 2 2 4 26" xfId="56600" xr:uid="{00000000-0005-0000-0000-000051480000}"/>
    <cellStyle name="40% - Accent5 2 2 4 27" xfId="58283" xr:uid="{00000000-0005-0000-0000-000052480000}"/>
    <cellStyle name="40% - Accent5 2 2 4 28" xfId="59966" xr:uid="{00000000-0005-0000-0000-000053480000}"/>
    <cellStyle name="40% - Accent5 2 2 4 29" xfId="61649" xr:uid="{00000000-0005-0000-0000-000054480000}"/>
    <cellStyle name="40% - Accent5 2 2 4 3" xfId="4424" xr:uid="{00000000-0005-0000-0000-000055480000}"/>
    <cellStyle name="40% - Accent5 2 2 4 3 2" xfId="19573" xr:uid="{00000000-0005-0000-0000-000056480000}"/>
    <cellStyle name="40% - Accent5 2 2 4 30" xfId="63332" xr:uid="{00000000-0005-0000-0000-000057480000}"/>
    <cellStyle name="40% - Accent5 2 2 4 4" xfId="6107" xr:uid="{00000000-0005-0000-0000-000058480000}"/>
    <cellStyle name="40% - Accent5 2 2 4 4 2" xfId="21256" xr:uid="{00000000-0005-0000-0000-000059480000}"/>
    <cellStyle name="40% - Accent5 2 2 4 5" xfId="7790" xr:uid="{00000000-0005-0000-0000-00005A480000}"/>
    <cellStyle name="40% - Accent5 2 2 4 5 2" xfId="22939" xr:uid="{00000000-0005-0000-0000-00005B480000}"/>
    <cellStyle name="40% - Accent5 2 2 4 6" xfId="9473" xr:uid="{00000000-0005-0000-0000-00005C480000}"/>
    <cellStyle name="40% - Accent5 2 2 4 6 2" xfId="24622" xr:uid="{00000000-0005-0000-0000-00005D480000}"/>
    <cellStyle name="40% - Accent5 2 2 4 7" xfId="11156" xr:uid="{00000000-0005-0000-0000-00005E480000}"/>
    <cellStyle name="40% - Accent5 2 2 4 7 2" xfId="26305" xr:uid="{00000000-0005-0000-0000-00005F480000}"/>
    <cellStyle name="40% - Accent5 2 2 4 8" xfId="12840" xr:uid="{00000000-0005-0000-0000-000060480000}"/>
    <cellStyle name="40% - Accent5 2 2 4 8 2" xfId="27989" xr:uid="{00000000-0005-0000-0000-000061480000}"/>
    <cellStyle name="40% - Accent5 2 2 4 9" xfId="14523" xr:uid="{00000000-0005-0000-0000-000062480000}"/>
    <cellStyle name="40% - Accent5 2 2 4 9 2" xfId="29672" xr:uid="{00000000-0005-0000-0000-000063480000}"/>
    <cellStyle name="40% - Accent5 2 2 5" xfId="1478" xr:uid="{00000000-0005-0000-0000-000064480000}"/>
    <cellStyle name="40% - Accent5 2 2 5 10" xfId="16627" xr:uid="{00000000-0005-0000-0000-000065480000}"/>
    <cellStyle name="40% - Accent5 2 2 5 11" xfId="31776" xr:uid="{00000000-0005-0000-0000-000066480000}"/>
    <cellStyle name="40% - Accent5 2 2 5 12" xfId="33459" xr:uid="{00000000-0005-0000-0000-000067480000}"/>
    <cellStyle name="40% - Accent5 2 2 5 13" xfId="35142" xr:uid="{00000000-0005-0000-0000-000068480000}"/>
    <cellStyle name="40% - Accent5 2 2 5 14" xfId="36825" xr:uid="{00000000-0005-0000-0000-000069480000}"/>
    <cellStyle name="40% - Accent5 2 2 5 15" xfId="38508" xr:uid="{00000000-0005-0000-0000-00006A480000}"/>
    <cellStyle name="40% - Accent5 2 2 5 16" xfId="40191" xr:uid="{00000000-0005-0000-0000-00006B480000}"/>
    <cellStyle name="40% - Accent5 2 2 5 17" xfId="41874" xr:uid="{00000000-0005-0000-0000-00006C480000}"/>
    <cellStyle name="40% - Accent5 2 2 5 18" xfId="43557" xr:uid="{00000000-0005-0000-0000-00006D480000}"/>
    <cellStyle name="40% - Accent5 2 2 5 19" xfId="45240" xr:uid="{00000000-0005-0000-0000-00006E480000}"/>
    <cellStyle name="40% - Accent5 2 2 5 2" xfId="3161" xr:uid="{00000000-0005-0000-0000-00006F480000}"/>
    <cellStyle name="40% - Accent5 2 2 5 2 2" xfId="18310" xr:uid="{00000000-0005-0000-0000-000070480000}"/>
    <cellStyle name="40% - Accent5 2 2 5 20" xfId="46923" xr:uid="{00000000-0005-0000-0000-000071480000}"/>
    <cellStyle name="40% - Accent5 2 2 5 21" xfId="48606" xr:uid="{00000000-0005-0000-0000-000072480000}"/>
    <cellStyle name="40% - Accent5 2 2 5 22" xfId="50289" xr:uid="{00000000-0005-0000-0000-000073480000}"/>
    <cellStyle name="40% - Accent5 2 2 5 23" xfId="51972" xr:uid="{00000000-0005-0000-0000-000074480000}"/>
    <cellStyle name="40% - Accent5 2 2 5 24" xfId="53655" xr:uid="{00000000-0005-0000-0000-000075480000}"/>
    <cellStyle name="40% - Accent5 2 2 5 25" xfId="55338" xr:uid="{00000000-0005-0000-0000-000076480000}"/>
    <cellStyle name="40% - Accent5 2 2 5 26" xfId="57021" xr:uid="{00000000-0005-0000-0000-000077480000}"/>
    <cellStyle name="40% - Accent5 2 2 5 27" xfId="58704" xr:uid="{00000000-0005-0000-0000-000078480000}"/>
    <cellStyle name="40% - Accent5 2 2 5 28" xfId="60387" xr:uid="{00000000-0005-0000-0000-000079480000}"/>
    <cellStyle name="40% - Accent5 2 2 5 29" xfId="62070" xr:uid="{00000000-0005-0000-0000-00007A480000}"/>
    <cellStyle name="40% - Accent5 2 2 5 3" xfId="4845" xr:uid="{00000000-0005-0000-0000-00007B480000}"/>
    <cellStyle name="40% - Accent5 2 2 5 3 2" xfId="19994" xr:uid="{00000000-0005-0000-0000-00007C480000}"/>
    <cellStyle name="40% - Accent5 2 2 5 30" xfId="63753" xr:uid="{00000000-0005-0000-0000-00007D480000}"/>
    <cellStyle name="40% - Accent5 2 2 5 4" xfId="6528" xr:uid="{00000000-0005-0000-0000-00007E480000}"/>
    <cellStyle name="40% - Accent5 2 2 5 4 2" xfId="21677" xr:uid="{00000000-0005-0000-0000-00007F480000}"/>
    <cellStyle name="40% - Accent5 2 2 5 5" xfId="8211" xr:uid="{00000000-0005-0000-0000-000080480000}"/>
    <cellStyle name="40% - Accent5 2 2 5 5 2" xfId="23360" xr:uid="{00000000-0005-0000-0000-000081480000}"/>
    <cellStyle name="40% - Accent5 2 2 5 6" xfId="9894" xr:uid="{00000000-0005-0000-0000-000082480000}"/>
    <cellStyle name="40% - Accent5 2 2 5 6 2" xfId="25043" xr:uid="{00000000-0005-0000-0000-000083480000}"/>
    <cellStyle name="40% - Accent5 2 2 5 7" xfId="11577" xr:uid="{00000000-0005-0000-0000-000084480000}"/>
    <cellStyle name="40% - Accent5 2 2 5 7 2" xfId="26726" xr:uid="{00000000-0005-0000-0000-000085480000}"/>
    <cellStyle name="40% - Accent5 2 2 5 8" xfId="13261" xr:uid="{00000000-0005-0000-0000-000086480000}"/>
    <cellStyle name="40% - Accent5 2 2 5 8 2" xfId="28410" xr:uid="{00000000-0005-0000-0000-000087480000}"/>
    <cellStyle name="40% - Accent5 2 2 5 9" xfId="14944" xr:uid="{00000000-0005-0000-0000-000088480000}"/>
    <cellStyle name="40% - Accent5 2 2 5 9 2" xfId="30093" xr:uid="{00000000-0005-0000-0000-000089480000}"/>
    <cellStyle name="40% - Accent5 2 2 6" xfId="1899" xr:uid="{00000000-0005-0000-0000-00008A480000}"/>
    <cellStyle name="40% - Accent5 2 2 6 2" xfId="17048" xr:uid="{00000000-0005-0000-0000-00008B480000}"/>
    <cellStyle name="40% - Accent5 2 2 7" xfId="3583" xr:uid="{00000000-0005-0000-0000-00008C480000}"/>
    <cellStyle name="40% - Accent5 2 2 7 2" xfId="18732" xr:uid="{00000000-0005-0000-0000-00008D480000}"/>
    <cellStyle name="40% - Accent5 2 2 8" xfId="5266" xr:uid="{00000000-0005-0000-0000-00008E480000}"/>
    <cellStyle name="40% - Accent5 2 2 8 2" xfId="20415" xr:uid="{00000000-0005-0000-0000-00008F480000}"/>
    <cellStyle name="40% - Accent5 2 2 9" xfId="6949" xr:uid="{00000000-0005-0000-0000-000090480000}"/>
    <cellStyle name="40% - Accent5 2 2 9 2" xfId="22098" xr:uid="{00000000-0005-0000-0000-000091480000}"/>
    <cellStyle name="40% - Accent5 2 20" xfId="37141" xr:uid="{00000000-0005-0000-0000-000092480000}"/>
    <cellStyle name="40% - Accent5 2 21" xfId="38824" xr:uid="{00000000-0005-0000-0000-000093480000}"/>
    <cellStyle name="40% - Accent5 2 22" xfId="40507" xr:uid="{00000000-0005-0000-0000-000094480000}"/>
    <cellStyle name="40% - Accent5 2 23" xfId="42190" xr:uid="{00000000-0005-0000-0000-000095480000}"/>
    <cellStyle name="40% - Accent5 2 24" xfId="43873" xr:uid="{00000000-0005-0000-0000-000096480000}"/>
    <cellStyle name="40% - Accent5 2 25" xfId="45556" xr:uid="{00000000-0005-0000-0000-000097480000}"/>
    <cellStyle name="40% - Accent5 2 26" xfId="47239" xr:uid="{00000000-0005-0000-0000-000098480000}"/>
    <cellStyle name="40% - Accent5 2 27" xfId="48922" xr:uid="{00000000-0005-0000-0000-000099480000}"/>
    <cellStyle name="40% - Accent5 2 28" xfId="50605" xr:uid="{00000000-0005-0000-0000-00009A480000}"/>
    <cellStyle name="40% - Accent5 2 29" xfId="52288" xr:uid="{00000000-0005-0000-0000-00009B480000}"/>
    <cellStyle name="40% - Accent5 2 3" xfId="321" xr:uid="{00000000-0005-0000-0000-00009C480000}"/>
    <cellStyle name="40% - Accent5 2 3 10" xfId="10420" xr:uid="{00000000-0005-0000-0000-00009D480000}"/>
    <cellStyle name="40% - Accent5 2 3 10 2" xfId="25569" xr:uid="{00000000-0005-0000-0000-00009E480000}"/>
    <cellStyle name="40% - Accent5 2 3 11" xfId="12104" xr:uid="{00000000-0005-0000-0000-00009F480000}"/>
    <cellStyle name="40% - Accent5 2 3 11 2" xfId="27253" xr:uid="{00000000-0005-0000-0000-0000A0480000}"/>
    <cellStyle name="40% - Accent5 2 3 12" xfId="13787" xr:uid="{00000000-0005-0000-0000-0000A1480000}"/>
    <cellStyle name="40% - Accent5 2 3 12 2" xfId="28936" xr:uid="{00000000-0005-0000-0000-0000A2480000}"/>
    <cellStyle name="40% - Accent5 2 3 13" xfId="15470" xr:uid="{00000000-0005-0000-0000-0000A3480000}"/>
    <cellStyle name="40% - Accent5 2 3 14" xfId="30619" xr:uid="{00000000-0005-0000-0000-0000A4480000}"/>
    <cellStyle name="40% - Accent5 2 3 15" xfId="32302" xr:uid="{00000000-0005-0000-0000-0000A5480000}"/>
    <cellStyle name="40% - Accent5 2 3 16" xfId="33985" xr:uid="{00000000-0005-0000-0000-0000A6480000}"/>
    <cellStyle name="40% - Accent5 2 3 17" xfId="35668" xr:uid="{00000000-0005-0000-0000-0000A7480000}"/>
    <cellStyle name="40% - Accent5 2 3 18" xfId="37351" xr:uid="{00000000-0005-0000-0000-0000A8480000}"/>
    <cellStyle name="40% - Accent5 2 3 19" xfId="39034" xr:uid="{00000000-0005-0000-0000-0000A9480000}"/>
    <cellStyle name="40% - Accent5 2 3 2" xfId="741" xr:uid="{00000000-0005-0000-0000-0000AA480000}"/>
    <cellStyle name="40% - Accent5 2 3 2 10" xfId="15890" xr:uid="{00000000-0005-0000-0000-0000AB480000}"/>
    <cellStyle name="40% - Accent5 2 3 2 11" xfId="31039" xr:uid="{00000000-0005-0000-0000-0000AC480000}"/>
    <cellStyle name="40% - Accent5 2 3 2 12" xfId="32722" xr:uid="{00000000-0005-0000-0000-0000AD480000}"/>
    <cellStyle name="40% - Accent5 2 3 2 13" xfId="34405" xr:uid="{00000000-0005-0000-0000-0000AE480000}"/>
    <cellStyle name="40% - Accent5 2 3 2 14" xfId="36088" xr:uid="{00000000-0005-0000-0000-0000AF480000}"/>
    <cellStyle name="40% - Accent5 2 3 2 15" xfId="37771" xr:uid="{00000000-0005-0000-0000-0000B0480000}"/>
    <cellStyle name="40% - Accent5 2 3 2 16" xfId="39454" xr:uid="{00000000-0005-0000-0000-0000B1480000}"/>
    <cellStyle name="40% - Accent5 2 3 2 17" xfId="41137" xr:uid="{00000000-0005-0000-0000-0000B2480000}"/>
    <cellStyle name="40% - Accent5 2 3 2 18" xfId="42820" xr:uid="{00000000-0005-0000-0000-0000B3480000}"/>
    <cellStyle name="40% - Accent5 2 3 2 19" xfId="44503" xr:uid="{00000000-0005-0000-0000-0000B4480000}"/>
    <cellStyle name="40% - Accent5 2 3 2 2" xfId="2424" xr:uid="{00000000-0005-0000-0000-0000B5480000}"/>
    <cellStyle name="40% - Accent5 2 3 2 2 2" xfId="17573" xr:uid="{00000000-0005-0000-0000-0000B6480000}"/>
    <cellStyle name="40% - Accent5 2 3 2 20" xfId="46186" xr:uid="{00000000-0005-0000-0000-0000B7480000}"/>
    <cellStyle name="40% - Accent5 2 3 2 21" xfId="47869" xr:uid="{00000000-0005-0000-0000-0000B8480000}"/>
    <cellStyle name="40% - Accent5 2 3 2 22" xfId="49552" xr:uid="{00000000-0005-0000-0000-0000B9480000}"/>
    <cellStyle name="40% - Accent5 2 3 2 23" xfId="51235" xr:uid="{00000000-0005-0000-0000-0000BA480000}"/>
    <cellStyle name="40% - Accent5 2 3 2 24" xfId="52918" xr:uid="{00000000-0005-0000-0000-0000BB480000}"/>
    <cellStyle name="40% - Accent5 2 3 2 25" xfId="54601" xr:uid="{00000000-0005-0000-0000-0000BC480000}"/>
    <cellStyle name="40% - Accent5 2 3 2 26" xfId="56284" xr:uid="{00000000-0005-0000-0000-0000BD480000}"/>
    <cellStyle name="40% - Accent5 2 3 2 27" xfId="57967" xr:uid="{00000000-0005-0000-0000-0000BE480000}"/>
    <cellStyle name="40% - Accent5 2 3 2 28" xfId="59650" xr:uid="{00000000-0005-0000-0000-0000BF480000}"/>
    <cellStyle name="40% - Accent5 2 3 2 29" xfId="61333" xr:uid="{00000000-0005-0000-0000-0000C0480000}"/>
    <cellStyle name="40% - Accent5 2 3 2 3" xfId="4108" xr:uid="{00000000-0005-0000-0000-0000C1480000}"/>
    <cellStyle name="40% - Accent5 2 3 2 3 2" xfId="19257" xr:uid="{00000000-0005-0000-0000-0000C2480000}"/>
    <cellStyle name="40% - Accent5 2 3 2 30" xfId="63016" xr:uid="{00000000-0005-0000-0000-0000C3480000}"/>
    <cellStyle name="40% - Accent5 2 3 2 4" xfId="5791" xr:uid="{00000000-0005-0000-0000-0000C4480000}"/>
    <cellStyle name="40% - Accent5 2 3 2 4 2" xfId="20940" xr:uid="{00000000-0005-0000-0000-0000C5480000}"/>
    <cellStyle name="40% - Accent5 2 3 2 5" xfId="7474" xr:uid="{00000000-0005-0000-0000-0000C6480000}"/>
    <cellStyle name="40% - Accent5 2 3 2 5 2" xfId="22623" xr:uid="{00000000-0005-0000-0000-0000C7480000}"/>
    <cellStyle name="40% - Accent5 2 3 2 6" xfId="9157" xr:uid="{00000000-0005-0000-0000-0000C8480000}"/>
    <cellStyle name="40% - Accent5 2 3 2 6 2" xfId="24306" xr:uid="{00000000-0005-0000-0000-0000C9480000}"/>
    <cellStyle name="40% - Accent5 2 3 2 7" xfId="10840" xr:uid="{00000000-0005-0000-0000-0000CA480000}"/>
    <cellStyle name="40% - Accent5 2 3 2 7 2" xfId="25989" xr:uid="{00000000-0005-0000-0000-0000CB480000}"/>
    <cellStyle name="40% - Accent5 2 3 2 8" xfId="12524" xr:uid="{00000000-0005-0000-0000-0000CC480000}"/>
    <cellStyle name="40% - Accent5 2 3 2 8 2" xfId="27673" xr:uid="{00000000-0005-0000-0000-0000CD480000}"/>
    <cellStyle name="40% - Accent5 2 3 2 9" xfId="14207" xr:uid="{00000000-0005-0000-0000-0000CE480000}"/>
    <cellStyle name="40% - Accent5 2 3 2 9 2" xfId="29356" xr:uid="{00000000-0005-0000-0000-0000CF480000}"/>
    <cellStyle name="40% - Accent5 2 3 20" xfId="40717" xr:uid="{00000000-0005-0000-0000-0000D0480000}"/>
    <cellStyle name="40% - Accent5 2 3 21" xfId="42400" xr:uid="{00000000-0005-0000-0000-0000D1480000}"/>
    <cellStyle name="40% - Accent5 2 3 22" xfId="44083" xr:uid="{00000000-0005-0000-0000-0000D2480000}"/>
    <cellStyle name="40% - Accent5 2 3 23" xfId="45766" xr:uid="{00000000-0005-0000-0000-0000D3480000}"/>
    <cellStyle name="40% - Accent5 2 3 24" xfId="47449" xr:uid="{00000000-0005-0000-0000-0000D4480000}"/>
    <cellStyle name="40% - Accent5 2 3 25" xfId="49132" xr:uid="{00000000-0005-0000-0000-0000D5480000}"/>
    <cellStyle name="40% - Accent5 2 3 26" xfId="50815" xr:uid="{00000000-0005-0000-0000-0000D6480000}"/>
    <cellStyle name="40% - Accent5 2 3 27" xfId="52498" xr:uid="{00000000-0005-0000-0000-0000D7480000}"/>
    <cellStyle name="40% - Accent5 2 3 28" xfId="54181" xr:uid="{00000000-0005-0000-0000-0000D8480000}"/>
    <cellStyle name="40% - Accent5 2 3 29" xfId="55864" xr:uid="{00000000-0005-0000-0000-0000D9480000}"/>
    <cellStyle name="40% - Accent5 2 3 3" xfId="1162" xr:uid="{00000000-0005-0000-0000-0000DA480000}"/>
    <cellStyle name="40% - Accent5 2 3 3 10" xfId="16311" xr:uid="{00000000-0005-0000-0000-0000DB480000}"/>
    <cellStyle name="40% - Accent5 2 3 3 11" xfId="31460" xr:uid="{00000000-0005-0000-0000-0000DC480000}"/>
    <cellStyle name="40% - Accent5 2 3 3 12" xfId="33143" xr:uid="{00000000-0005-0000-0000-0000DD480000}"/>
    <cellStyle name="40% - Accent5 2 3 3 13" xfId="34826" xr:uid="{00000000-0005-0000-0000-0000DE480000}"/>
    <cellStyle name="40% - Accent5 2 3 3 14" xfId="36509" xr:uid="{00000000-0005-0000-0000-0000DF480000}"/>
    <cellStyle name="40% - Accent5 2 3 3 15" xfId="38192" xr:uid="{00000000-0005-0000-0000-0000E0480000}"/>
    <cellStyle name="40% - Accent5 2 3 3 16" xfId="39875" xr:uid="{00000000-0005-0000-0000-0000E1480000}"/>
    <cellStyle name="40% - Accent5 2 3 3 17" xfId="41558" xr:uid="{00000000-0005-0000-0000-0000E2480000}"/>
    <cellStyle name="40% - Accent5 2 3 3 18" xfId="43241" xr:uid="{00000000-0005-0000-0000-0000E3480000}"/>
    <cellStyle name="40% - Accent5 2 3 3 19" xfId="44924" xr:uid="{00000000-0005-0000-0000-0000E4480000}"/>
    <cellStyle name="40% - Accent5 2 3 3 2" xfId="2845" xr:uid="{00000000-0005-0000-0000-0000E5480000}"/>
    <cellStyle name="40% - Accent5 2 3 3 2 2" xfId="17994" xr:uid="{00000000-0005-0000-0000-0000E6480000}"/>
    <cellStyle name="40% - Accent5 2 3 3 20" xfId="46607" xr:uid="{00000000-0005-0000-0000-0000E7480000}"/>
    <cellStyle name="40% - Accent5 2 3 3 21" xfId="48290" xr:uid="{00000000-0005-0000-0000-0000E8480000}"/>
    <cellStyle name="40% - Accent5 2 3 3 22" xfId="49973" xr:uid="{00000000-0005-0000-0000-0000E9480000}"/>
    <cellStyle name="40% - Accent5 2 3 3 23" xfId="51656" xr:uid="{00000000-0005-0000-0000-0000EA480000}"/>
    <cellStyle name="40% - Accent5 2 3 3 24" xfId="53339" xr:uid="{00000000-0005-0000-0000-0000EB480000}"/>
    <cellStyle name="40% - Accent5 2 3 3 25" xfId="55022" xr:uid="{00000000-0005-0000-0000-0000EC480000}"/>
    <cellStyle name="40% - Accent5 2 3 3 26" xfId="56705" xr:uid="{00000000-0005-0000-0000-0000ED480000}"/>
    <cellStyle name="40% - Accent5 2 3 3 27" xfId="58388" xr:uid="{00000000-0005-0000-0000-0000EE480000}"/>
    <cellStyle name="40% - Accent5 2 3 3 28" xfId="60071" xr:uid="{00000000-0005-0000-0000-0000EF480000}"/>
    <cellStyle name="40% - Accent5 2 3 3 29" xfId="61754" xr:uid="{00000000-0005-0000-0000-0000F0480000}"/>
    <cellStyle name="40% - Accent5 2 3 3 3" xfId="4529" xr:uid="{00000000-0005-0000-0000-0000F1480000}"/>
    <cellStyle name="40% - Accent5 2 3 3 3 2" xfId="19678" xr:uid="{00000000-0005-0000-0000-0000F2480000}"/>
    <cellStyle name="40% - Accent5 2 3 3 30" xfId="63437" xr:uid="{00000000-0005-0000-0000-0000F3480000}"/>
    <cellStyle name="40% - Accent5 2 3 3 4" xfId="6212" xr:uid="{00000000-0005-0000-0000-0000F4480000}"/>
    <cellStyle name="40% - Accent5 2 3 3 4 2" xfId="21361" xr:uid="{00000000-0005-0000-0000-0000F5480000}"/>
    <cellStyle name="40% - Accent5 2 3 3 5" xfId="7895" xr:uid="{00000000-0005-0000-0000-0000F6480000}"/>
    <cellStyle name="40% - Accent5 2 3 3 5 2" xfId="23044" xr:uid="{00000000-0005-0000-0000-0000F7480000}"/>
    <cellStyle name="40% - Accent5 2 3 3 6" xfId="9578" xr:uid="{00000000-0005-0000-0000-0000F8480000}"/>
    <cellStyle name="40% - Accent5 2 3 3 6 2" xfId="24727" xr:uid="{00000000-0005-0000-0000-0000F9480000}"/>
    <cellStyle name="40% - Accent5 2 3 3 7" xfId="11261" xr:uid="{00000000-0005-0000-0000-0000FA480000}"/>
    <cellStyle name="40% - Accent5 2 3 3 7 2" xfId="26410" xr:uid="{00000000-0005-0000-0000-0000FB480000}"/>
    <cellStyle name="40% - Accent5 2 3 3 8" xfId="12945" xr:uid="{00000000-0005-0000-0000-0000FC480000}"/>
    <cellStyle name="40% - Accent5 2 3 3 8 2" xfId="28094" xr:uid="{00000000-0005-0000-0000-0000FD480000}"/>
    <cellStyle name="40% - Accent5 2 3 3 9" xfId="14628" xr:uid="{00000000-0005-0000-0000-0000FE480000}"/>
    <cellStyle name="40% - Accent5 2 3 3 9 2" xfId="29777" xr:uid="{00000000-0005-0000-0000-0000FF480000}"/>
    <cellStyle name="40% - Accent5 2 3 30" xfId="57547" xr:uid="{00000000-0005-0000-0000-000000490000}"/>
    <cellStyle name="40% - Accent5 2 3 31" xfId="59230" xr:uid="{00000000-0005-0000-0000-000001490000}"/>
    <cellStyle name="40% - Accent5 2 3 32" xfId="60913" xr:uid="{00000000-0005-0000-0000-000002490000}"/>
    <cellStyle name="40% - Accent5 2 3 33" xfId="62596" xr:uid="{00000000-0005-0000-0000-000003490000}"/>
    <cellStyle name="40% - Accent5 2 3 4" xfId="1583" xr:uid="{00000000-0005-0000-0000-000004490000}"/>
    <cellStyle name="40% - Accent5 2 3 4 10" xfId="16732" xr:uid="{00000000-0005-0000-0000-000005490000}"/>
    <cellStyle name="40% - Accent5 2 3 4 11" xfId="31881" xr:uid="{00000000-0005-0000-0000-000006490000}"/>
    <cellStyle name="40% - Accent5 2 3 4 12" xfId="33564" xr:uid="{00000000-0005-0000-0000-000007490000}"/>
    <cellStyle name="40% - Accent5 2 3 4 13" xfId="35247" xr:uid="{00000000-0005-0000-0000-000008490000}"/>
    <cellStyle name="40% - Accent5 2 3 4 14" xfId="36930" xr:uid="{00000000-0005-0000-0000-000009490000}"/>
    <cellStyle name="40% - Accent5 2 3 4 15" xfId="38613" xr:uid="{00000000-0005-0000-0000-00000A490000}"/>
    <cellStyle name="40% - Accent5 2 3 4 16" xfId="40296" xr:uid="{00000000-0005-0000-0000-00000B490000}"/>
    <cellStyle name="40% - Accent5 2 3 4 17" xfId="41979" xr:uid="{00000000-0005-0000-0000-00000C490000}"/>
    <cellStyle name="40% - Accent5 2 3 4 18" xfId="43662" xr:uid="{00000000-0005-0000-0000-00000D490000}"/>
    <cellStyle name="40% - Accent5 2 3 4 19" xfId="45345" xr:uid="{00000000-0005-0000-0000-00000E490000}"/>
    <cellStyle name="40% - Accent5 2 3 4 2" xfId="3266" xr:uid="{00000000-0005-0000-0000-00000F490000}"/>
    <cellStyle name="40% - Accent5 2 3 4 2 2" xfId="18415" xr:uid="{00000000-0005-0000-0000-000010490000}"/>
    <cellStyle name="40% - Accent5 2 3 4 20" xfId="47028" xr:uid="{00000000-0005-0000-0000-000011490000}"/>
    <cellStyle name="40% - Accent5 2 3 4 21" xfId="48711" xr:uid="{00000000-0005-0000-0000-000012490000}"/>
    <cellStyle name="40% - Accent5 2 3 4 22" xfId="50394" xr:uid="{00000000-0005-0000-0000-000013490000}"/>
    <cellStyle name="40% - Accent5 2 3 4 23" xfId="52077" xr:uid="{00000000-0005-0000-0000-000014490000}"/>
    <cellStyle name="40% - Accent5 2 3 4 24" xfId="53760" xr:uid="{00000000-0005-0000-0000-000015490000}"/>
    <cellStyle name="40% - Accent5 2 3 4 25" xfId="55443" xr:uid="{00000000-0005-0000-0000-000016490000}"/>
    <cellStyle name="40% - Accent5 2 3 4 26" xfId="57126" xr:uid="{00000000-0005-0000-0000-000017490000}"/>
    <cellStyle name="40% - Accent5 2 3 4 27" xfId="58809" xr:uid="{00000000-0005-0000-0000-000018490000}"/>
    <cellStyle name="40% - Accent5 2 3 4 28" xfId="60492" xr:uid="{00000000-0005-0000-0000-000019490000}"/>
    <cellStyle name="40% - Accent5 2 3 4 29" xfId="62175" xr:uid="{00000000-0005-0000-0000-00001A490000}"/>
    <cellStyle name="40% - Accent5 2 3 4 3" xfId="4950" xr:uid="{00000000-0005-0000-0000-00001B490000}"/>
    <cellStyle name="40% - Accent5 2 3 4 3 2" xfId="20099" xr:uid="{00000000-0005-0000-0000-00001C490000}"/>
    <cellStyle name="40% - Accent5 2 3 4 30" xfId="63858" xr:uid="{00000000-0005-0000-0000-00001D490000}"/>
    <cellStyle name="40% - Accent5 2 3 4 4" xfId="6633" xr:uid="{00000000-0005-0000-0000-00001E490000}"/>
    <cellStyle name="40% - Accent5 2 3 4 4 2" xfId="21782" xr:uid="{00000000-0005-0000-0000-00001F490000}"/>
    <cellStyle name="40% - Accent5 2 3 4 5" xfId="8316" xr:uid="{00000000-0005-0000-0000-000020490000}"/>
    <cellStyle name="40% - Accent5 2 3 4 5 2" xfId="23465" xr:uid="{00000000-0005-0000-0000-000021490000}"/>
    <cellStyle name="40% - Accent5 2 3 4 6" xfId="9999" xr:uid="{00000000-0005-0000-0000-000022490000}"/>
    <cellStyle name="40% - Accent5 2 3 4 6 2" xfId="25148" xr:uid="{00000000-0005-0000-0000-000023490000}"/>
    <cellStyle name="40% - Accent5 2 3 4 7" xfId="11682" xr:uid="{00000000-0005-0000-0000-000024490000}"/>
    <cellStyle name="40% - Accent5 2 3 4 7 2" xfId="26831" xr:uid="{00000000-0005-0000-0000-000025490000}"/>
    <cellStyle name="40% - Accent5 2 3 4 8" xfId="13366" xr:uid="{00000000-0005-0000-0000-000026490000}"/>
    <cellStyle name="40% - Accent5 2 3 4 8 2" xfId="28515" xr:uid="{00000000-0005-0000-0000-000027490000}"/>
    <cellStyle name="40% - Accent5 2 3 4 9" xfId="15049" xr:uid="{00000000-0005-0000-0000-000028490000}"/>
    <cellStyle name="40% - Accent5 2 3 4 9 2" xfId="30198" xr:uid="{00000000-0005-0000-0000-000029490000}"/>
    <cellStyle name="40% - Accent5 2 3 5" xfId="2004" xr:uid="{00000000-0005-0000-0000-00002A490000}"/>
    <cellStyle name="40% - Accent5 2 3 5 2" xfId="17153" xr:uid="{00000000-0005-0000-0000-00002B490000}"/>
    <cellStyle name="40% - Accent5 2 3 6" xfId="3688" xr:uid="{00000000-0005-0000-0000-00002C490000}"/>
    <cellStyle name="40% - Accent5 2 3 6 2" xfId="18837" xr:uid="{00000000-0005-0000-0000-00002D490000}"/>
    <cellStyle name="40% - Accent5 2 3 7" xfId="5371" xr:uid="{00000000-0005-0000-0000-00002E490000}"/>
    <cellStyle name="40% - Accent5 2 3 7 2" xfId="20520" xr:uid="{00000000-0005-0000-0000-00002F490000}"/>
    <cellStyle name="40% - Accent5 2 3 8" xfId="7054" xr:uid="{00000000-0005-0000-0000-000030490000}"/>
    <cellStyle name="40% - Accent5 2 3 8 2" xfId="22203" xr:uid="{00000000-0005-0000-0000-000031490000}"/>
    <cellStyle name="40% - Accent5 2 3 9" xfId="8737" xr:uid="{00000000-0005-0000-0000-000032490000}"/>
    <cellStyle name="40% - Accent5 2 3 9 2" xfId="23886" xr:uid="{00000000-0005-0000-0000-000033490000}"/>
    <cellStyle name="40% - Accent5 2 30" xfId="53971" xr:uid="{00000000-0005-0000-0000-000034490000}"/>
    <cellStyle name="40% - Accent5 2 31" xfId="55654" xr:uid="{00000000-0005-0000-0000-000035490000}"/>
    <cellStyle name="40% - Accent5 2 32" xfId="57337" xr:uid="{00000000-0005-0000-0000-000036490000}"/>
    <cellStyle name="40% - Accent5 2 33" xfId="59020" xr:uid="{00000000-0005-0000-0000-000037490000}"/>
    <cellStyle name="40% - Accent5 2 34" xfId="60703" xr:uid="{00000000-0005-0000-0000-000038490000}"/>
    <cellStyle name="40% - Accent5 2 35" xfId="62386" xr:uid="{00000000-0005-0000-0000-000039490000}"/>
    <cellStyle name="40% - Accent5 2 4" xfId="531" xr:uid="{00000000-0005-0000-0000-00003A490000}"/>
    <cellStyle name="40% - Accent5 2 4 10" xfId="15680" xr:uid="{00000000-0005-0000-0000-00003B490000}"/>
    <cellStyle name="40% - Accent5 2 4 11" xfId="30829" xr:uid="{00000000-0005-0000-0000-00003C490000}"/>
    <cellStyle name="40% - Accent5 2 4 12" xfId="32512" xr:uid="{00000000-0005-0000-0000-00003D490000}"/>
    <cellStyle name="40% - Accent5 2 4 13" xfId="34195" xr:uid="{00000000-0005-0000-0000-00003E490000}"/>
    <cellStyle name="40% - Accent5 2 4 14" xfId="35878" xr:uid="{00000000-0005-0000-0000-00003F490000}"/>
    <cellStyle name="40% - Accent5 2 4 15" xfId="37561" xr:uid="{00000000-0005-0000-0000-000040490000}"/>
    <cellStyle name="40% - Accent5 2 4 16" xfId="39244" xr:uid="{00000000-0005-0000-0000-000041490000}"/>
    <cellStyle name="40% - Accent5 2 4 17" xfId="40927" xr:uid="{00000000-0005-0000-0000-000042490000}"/>
    <cellStyle name="40% - Accent5 2 4 18" xfId="42610" xr:uid="{00000000-0005-0000-0000-000043490000}"/>
    <cellStyle name="40% - Accent5 2 4 19" xfId="44293" xr:uid="{00000000-0005-0000-0000-000044490000}"/>
    <cellStyle name="40% - Accent5 2 4 2" xfId="2214" xr:uid="{00000000-0005-0000-0000-000045490000}"/>
    <cellStyle name="40% - Accent5 2 4 2 2" xfId="17363" xr:uid="{00000000-0005-0000-0000-000046490000}"/>
    <cellStyle name="40% - Accent5 2 4 20" xfId="45976" xr:uid="{00000000-0005-0000-0000-000047490000}"/>
    <cellStyle name="40% - Accent5 2 4 21" xfId="47659" xr:uid="{00000000-0005-0000-0000-000048490000}"/>
    <cellStyle name="40% - Accent5 2 4 22" xfId="49342" xr:uid="{00000000-0005-0000-0000-000049490000}"/>
    <cellStyle name="40% - Accent5 2 4 23" xfId="51025" xr:uid="{00000000-0005-0000-0000-00004A490000}"/>
    <cellStyle name="40% - Accent5 2 4 24" xfId="52708" xr:uid="{00000000-0005-0000-0000-00004B490000}"/>
    <cellStyle name="40% - Accent5 2 4 25" xfId="54391" xr:uid="{00000000-0005-0000-0000-00004C490000}"/>
    <cellStyle name="40% - Accent5 2 4 26" xfId="56074" xr:uid="{00000000-0005-0000-0000-00004D490000}"/>
    <cellStyle name="40% - Accent5 2 4 27" xfId="57757" xr:uid="{00000000-0005-0000-0000-00004E490000}"/>
    <cellStyle name="40% - Accent5 2 4 28" xfId="59440" xr:uid="{00000000-0005-0000-0000-00004F490000}"/>
    <cellStyle name="40% - Accent5 2 4 29" xfId="61123" xr:uid="{00000000-0005-0000-0000-000050490000}"/>
    <cellStyle name="40% - Accent5 2 4 3" xfId="3898" xr:uid="{00000000-0005-0000-0000-000051490000}"/>
    <cellStyle name="40% - Accent5 2 4 3 2" xfId="19047" xr:uid="{00000000-0005-0000-0000-000052490000}"/>
    <cellStyle name="40% - Accent5 2 4 30" xfId="62806" xr:uid="{00000000-0005-0000-0000-000053490000}"/>
    <cellStyle name="40% - Accent5 2 4 4" xfId="5581" xr:uid="{00000000-0005-0000-0000-000054490000}"/>
    <cellStyle name="40% - Accent5 2 4 4 2" xfId="20730" xr:uid="{00000000-0005-0000-0000-000055490000}"/>
    <cellStyle name="40% - Accent5 2 4 5" xfId="7264" xr:uid="{00000000-0005-0000-0000-000056490000}"/>
    <cellStyle name="40% - Accent5 2 4 5 2" xfId="22413" xr:uid="{00000000-0005-0000-0000-000057490000}"/>
    <cellStyle name="40% - Accent5 2 4 6" xfId="8947" xr:uid="{00000000-0005-0000-0000-000058490000}"/>
    <cellStyle name="40% - Accent5 2 4 6 2" xfId="24096" xr:uid="{00000000-0005-0000-0000-000059490000}"/>
    <cellStyle name="40% - Accent5 2 4 7" xfId="10630" xr:uid="{00000000-0005-0000-0000-00005A490000}"/>
    <cellStyle name="40% - Accent5 2 4 7 2" xfId="25779" xr:uid="{00000000-0005-0000-0000-00005B490000}"/>
    <cellStyle name="40% - Accent5 2 4 8" xfId="12314" xr:uid="{00000000-0005-0000-0000-00005C490000}"/>
    <cellStyle name="40% - Accent5 2 4 8 2" xfId="27463" xr:uid="{00000000-0005-0000-0000-00005D490000}"/>
    <cellStyle name="40% - Accent5 2 4 9" xfId="13997" xr:uid="{00000000-0005-0000-0000-00005E490000}"/>
    <cellStyle name="40% - Accent5 2 4 9 2" xfId="29146" xr:uid="{00000000-0005-0000-0000-00005F490000}"/>
    <cellStyle name="40% - Accent5 2 5" xfId="952" xr:uid="{00000000-0005-0000-0000-000060490000}"/>
    <cellStyle name="40% - Accent5 2 5 10" xfId="16101" xr:uid="{00000000-0005-0000-0000-000061490000}"/>
    <cellStyle name="40% - Accent5 2 5 11" xfId="31250" xr:uid="{00000000-0005-0000-0000-000062490000}"/>
    <cellStyle name="40% - Accent5 2 5 12" xfId="32933" xr:uid="{00000000-0005-0000-0000-000063490000}"/>
    <cellStyle name="40% - Accent5 2 5 13" xfId="34616" xr:uid="{00000000-0005-0000-0000-000064490000}"/>
    <cellStyle name="40% - Accent5 2 5 14" xfId="36299" xr:uid="{00000000-0005-0000-0000-000065490000}"/>
    <cellStyle name="40% - Accent5 2 5 15" xfId="37982" xr:uid="{00000000-0005-0000-0000-000066490000}"/>
    <cellStyle name="40% - Accent5 2 5 16" xfId="39665" xr:uid="{00000000-0005-0000-0000-000067490000}"/>
    <cellStyle name="40% - Accent5 2 5 17" xfId="41348" xr:uid="{00000000-0005-0000-0000-000068490000}"/>
    <cellStyle name="40% - Accent5 2 5 18" xfId="43031" xr:uid="{00000000-0005-0000-0000-000069490000}"/>
    <cellStyle name="40% - Accent5 2 5 19" xfId="44714" xr:uid="{00000000-0005-0000-0000-00006A490000}"/>
    <cellStyle name="40% - Accent5 2 5 2" xfId="2635" xr:uid="{00000000-0005-0000-0000-00006B490000}"/>
    <cellStyle name="40% - Accent5 2 5 2 2" xfId="17784" xr:uid="{00000000-0005-0000-0000-00006C490000}"/>
    <cellStyle name="40% - Accent5 2 5 20" xfId="46397" xr:uid="{00000000-0005-0000-0000-00006D490000}"/>
    <cellStyle name="40% - Accent5 2 5 21" xfId="48080" xr:uid="{00000000-0005-0000-0000-00006E490000}"/>
    <cellStyle name="40% - Accent5 2 5 22" xfId="49763" xr:uid="{00000000-0005-0000-0000-00006F490000}"/>
    <cellStyle name="40% - Accent5 2 5 23" xfId="51446" xr:uid="{00000000-0005-0000-0000-000070490000}"/>
    <cellStyle name="40% - Accent5 2 5 24" xfId="53129" xr:uid="{00000000-0005-0000-0000-000071490000}"/>
    <cellStyle name="40% - Accent5 2 5 25" xfId="54812" xr:uid="{00000000-0005-0000-0000-000072490000}"/>
    <cellStyle name="40% - Accent5 2 5 26" xfId="56495" xr:uid="{00000000-0005-0000-0000-000073490000}"/>
    <cellStyle name="40% - Accent5 2 5 27" xfId="58178" xr:uid="{00000000-0005-0000-0000-000074490000}"/>
    <cellStyle name="40% - Accent5 2 5 28" xfId="59861" xr:uid="{00000000-0005-0000-0000-000075490000}"/>
    <cellStyle name="40% - Accent5 2 5 29" xfId="61544" xr:uid="{00000000-0005-0000-0000-000076490000}"/>
    <cellStyle name="40% - Accent5 2 5 3" xfId="4319" xr:uid="{00000000-0005-0000-0000-000077490000}"/>
    <cellStyle name="40% - Accent5 2 5 3 2" xfId="19468" xr:uid="{00000000-0005-0000-0000-000078490000}"/>
    <cellStyle name="40% - Accent5 2 5 30" xfId="63227" xr:uid="{00000000-0005-0000-0000-000079490000}"/>
    <cellStyle name="40% - Accent5 2 5 4" xfId="6002" xr:uid="{00000000-0005-0000-0000-00007A490000}"/>
    <cellStyle name="40% - Accent5 2 5 4 2" xfId="21151" xr:uid="{00000000-0005-0000-0000-00007B490000}"/>
    <cellStyle name="40% - Accent5 2 5 5" xfId="7685" xr:uid="{00000000-0005-0000-0000-00007C490000}"/>
    <cellStyle name="40% - Accent5 2 5 5 2" xfId="22834" xr:uid="{00000000-0005-0000-0000-00007D490000}"/>
    <cellStyle name="40% - Accent5 2 5 6" xfId="9368" xr:uid="{00000000-0005-0000-0000-00007E490000}"/>
    <cellStyle name="40% - Accent5 2 5 6 2" xfId="24517" xr:uid="{00000000-0005-0000-0000-00007F490000}"/>
    <cellStyle name="40% - Accent5 2 5 7" xfId="11051" xr:uid="{00000000-0005-0000-0000-000080490000}"/>
    <cellStyle name="40% - Accent5 2 5 7 2" xfId="26200" xr:uid="{00000000-0005-0000-0000-000081490000}"/>
    <cellStyle name="40% - Accent5 2 5 8" xfId="12735" xr:uid="{00000000-0005-0000-0000-000082490000}"/>
    <cellStyle name="40% - Accent5 2 5 8 2" xfId="27884" xr:uid="{00000000-0005-0000-0000-000083490000}"/>
    <cellStyle name="40% - Accent5 2 5 9" xfId="14418" xr:uid="{00000000-0005-0000-0000-000084490000}"/>
    <cellStyle name="40% - Accent5 2 5 9 2" xfId="29567" xr:uid="{00000000-0005-0000-0000-000085490000}"/>
    <cellStyle name="40% - Accent5 2 6" xfId="1373" xr:uid="{00000000-0005-0000-0000-000086490000}"/>
    <cellStyle name="40% - Accent5 2 6 10" xfId="16522" xr:uid="{00000000-0005-0000-0000-000087490000}"/>
    <cellStyle name="40% - Accent5 2 6 11" xfId="31671" xr:uid="{00000000-0005-0000-0000-000088490000}"/>
    <cellStyle name="40% - Accent5 2 6 12" xfId="33354" xr:uid="{00000000-0005-0000-0000-000089490000}"/>
    <cellStyle name="40% - Accent5 2 6 13" xfId="35037" xr:uid="{00000000-0005-0000-0000-00008A490000}"/>
    <cellStyle name="40% - Accent5 2 6 14" xfId="36720" xr:uid="{00000000-0005-0000-0000-00008B490000}"/>
    <cellStyle name="40% - Accent5 2 6 15" xfId="38403" xr:uid="{00000000-0005-0000-0000-00008C490000}"/>
    <cellStyle name="40% - Accent5 2 6 16" xfId="40086" xr:uid="{00000000-0005-0000-0000-00008D490000}"/>
    <cellStyle name="40% - Accent5 2 6 17" xfId="41769" xr:uid="{00000000-0005-0000-0000-00008E490000}"/>
    <cellStyle name="40% - Accent5 2 6 18" xfId="43452" xr:uid="{00000000-0005-0000-0000-00008F490000}"/>
    <cellStyle name="40% - Accent5 2 6 19" xfId="45135" xr:uid="{00000000-0005-0000-0000-000090490000}"/>
    <cellStyle name="40% - Accent5 2 6 2" xfId="3056" xr:uid="{00000000-0005-0000-0000-000091490000}"/>
    <cellStyle name="40% - Accent5 2 6 2 2" xfId="18205" xr:uid="{00000000-0005-0000-0000-000092490000}"/>
    <cellStyle name="40% - Accent5 2 6 20" xfId="46818" xr:uid="{00000000-0005-0000-0000-000093490000}"/>
    <cellStyle name="40% - Accent5 2 6 21" xfId="48501" xr:uid="{00000000-0005-0000-0000-000094490000}"/>
    <cellStyle name="40% - Accent5 2 6 22" xfId="50184" xr:uid="{00000000-0005-0000-0000-000095490000}"/>
    <cellStyle name="40% - Accent5 2 6 23" xfId="51867" xr:uid="{00000000-0005-0000-0000-000096490000}"/>
    <cellStyle name="40% - Accent5 2 6 24" xfId="53550" xr:uid="{00000000-0005-0000-0000-000097490000}"/>
    <cellStyle name="40% - Accent5 2 6 25" xfId="55233" xr:uid="{00000000-0005-0000-0000-000098490000}"/>
    <cellStyle name="40% - Accent5 2 6 26" xfId="56916" xr:uid="{00000000-0005-0000-0000-000099490000}"/>
    <cellStyle name="40% - Accent5 2 6 27" xfId="58599" xr:uid="{00000000-0005-0000-0000-00009A490000}"/>
    <cellStyle name="40% - Accent5 2 6 28" xfId="60282" xr:uid="{00000000-0005-0000-0000-00009B490000}"/>
    <cellStyle name="40% - Accent5 2 6 29" xfId="61965" xr:uid="{00000000-0005-0000-0000-00009C490000}"/>
    <cellStyle name="40% - Accent5 2 6 3" xfId="4740" xr:uid="{00000000-0005-0000-0000-00009D490000}"/>
    <cellStyle name="40% - Accent5 2 6 3 2" xfId="19889" xr:uid="{00000000-0005-0000-0000-00009E490000}"/>
    <cellStyle name="40% - Accent5 2 6 30" xfId="63648" xr:uid="{00000000-0005-0000-0000-00009F490000}"/>
    <cellStyle name="40% - Accent5 2 6 4" xfId="6423" xr:uid="{00000000-0005-0000-0000-0000A0490000}"/>
    <cellStyle name="40% - Accent5 2 6 4 2" xfId="21572" xr:uid="{00000000-0005-0000-0000-0000A1490000}"/>
    <cellStyle name="40% - Accent5 2 6 5" xfId="8106" xr:uid="{00000000-0005-0000-0000-0000A2490000}"/>
    <cellStyle name="40% - Accent5 2 6 5 2" xfId="23255" xr:uid="{00000000-0005-0000-0000-0000A3490000}"/>
    <cellStyle name="40% - Accent5 2 6 6" xfId="9789" xr:uid="{00000000-0005-0000-0000-0000A4490000}"/>
    <cellStyle name="40% - Accent5 2 6 6 2" xfId="24938" xr:uid="{00000000-0005-0000-0000-0000A5490000}"/>
    <cellStyle name="40% - Accent5 2 6 7" xfId="11472" xr:uid="{00000000-0005-0000-0000-0000A6490000}"/>
    <cellStyle name="40% - Accent5 2 6 7 2" xfId="26621" xr:uid="{00000000-0005-0000-0000-0000A7490000}"/>
    <cellStyle name="40% - Accent5 2 6 8" xfId="13156" xr:uid="{00000000-0005-0000-0000-0000A8490000}"/>
    <cellStyle name="40% - Accent5 2 6 8 2" xfId="28305" xr:uid="{00000000-0005-0000-0000-0000A9490000}"/>
    <cellStyle name="40% - Accent5 2 6 9" xfId="14839" xr:uid="{00000000-0005-0000-0000-0000AA490000}"/>
    <cellStyle name="40% - Accent5 2 6 9 2" xfId="29988" xr:uid="{00000000-0005-0000-0000-0000AB490000}"/>
    <cellStyle name="40% - Accent5 2 7" xfId="1794" xr:uid="{00000000-0005-0000-0000-0000AC490000}"/>
    <cellStyle name="40% - Accent5 2 7 2" xfId="16943" xr:uid="{00000000-0005-0000-0000-0000AD490000}"/>
    <cellStyle name="40% - Accent5 2 8" xfId="3478" xr:uid="{00000000-0005-0000-0000-0000AE490000}"/>
    <cellStyle name="40% - Accent5 2 8 2" xfId="18627" xr:uid="{00000000-0005-0000-0000-0000AF490000}"/>
    <cellStyle name="40% - Accent5 2 9" xfId="5161" xr:uid="{00000000-0005-0000-0000-0000B0490000}"/>
    <cellStyle name="40% - Accent5 2 9 2" xfId="20310" xr:uid="{00000000-0005-0000-0000-0000B1490000}"/>
    <cellStyle name="40% - Accent5 20" xfId="33753" xr:uid="{00000000-0005-0000-0000-0000B2490000}"/>
    <cellStyle name="40% - Accent5 21" xfId="35436" xr:uid="{00000000-0005-0000-0000-0000B3490000}"/>
    <cellStyle name="40% - Accent5 22" xfId="37119" xr:uid="{00000000-0005-0000-0000-0000B4490000}"/>
    <cellStyle name="40% - Accent5 23" xfId="38802" xr:uid="{00000000-0005-0000-0000-0000B5490000}"/>
    <cellStyle name="40% - Accent5 24" xfId="40485" xr:uid="{00000000-0005-0000-0000-0000B6490000}"/>
    <cellStyle name="40% - Accent5 25" xfId="42168" xr:uid="{00000000-0005-0000-0000-0000B7490000}"/>
    <cellStyle name="40% - Accent5 26" xfId="43851" xr:uid="{00000000-0005-0000-0000-0000B8490000}"/>
    <cellStyle name="40% - Accent5 27" xfId="45534" xr:uid="{00000000-0005-0000-0000-0000B9490000}"/>
    <cellStyle name="40% - Accent5 28" xfId="47217" xr:uid="{00000000-0005-0000-0000-0000BA490000}"/>
    <cellStyle name="40% - Accent5 29" xfId="48900" xr:uid="{00000000-0005-0000-0000-0000BB490000}"/>
    <cellStyle name="40% - Accent5 3" xfId="131" xr:uid="{00000000-0005-0000-0000-0000BC490000}"/>
    <cellStyle name="40% - Accent5 3 10" xfId="6864" xr:uid="{00000000-0005-0000-0000-0000BD490000}"/>
    <cellStyle name="40% - Accent5 3 10 2" xfId="22013" xr:uid="{00000000-0005-0000-0000-0000BE490000}"/>
    <cellStyle name="40% - Accent5 3 11" xfId="8547" xr:uid="{00000000-0005-0000-0000-0000BF490000}"/>
    <cellStyle name="40% - Accent5 3 11 2" xfId="23696" xr:uid="{00000000-0005-0000-0000-0000C0490000}"/>
    <cellStyle name="40% - Accent5 3 12" xfId="10230" xr:uid="{00000000-0005-0000-0000-0000C1490000}"/>
    <cellStyle name="40% - Accent5 3 12 2" xfId="25379" xr:uid="{00000000-0005-0000-0000-0000C2490000}"/>
    <cellStyle name="40% - Accent5 3 13" xfId="11914" xr:uid="{00000000-0005-0000-0000-0000C3490000}"/>
    <cellStyle name="40% - Accent5 3 13 2" xfId="27063" xr:uid="{00000000-0005-0000-0000-0000C4490000}"/>
    <cellStyle name="40% - Accent5 3 14" xfId="13597" xr:uid="{00000000-0005-0000-0000-0000C5490000}"/>
    <cellStyle name="40% - Accent5 3 14 2" xfId="28746" xr:uid="{00000000-0005-0000-0000-0000C6490000}"/>
    <cellStyle name="40% - Accent5 3 15" xfId="15280" xr:uid="{00000000-0005-0000-0000-0000C7490000}"/>
    <cellStyle name="40% - Accent5 3 16" xfId="30429" xr:uid="{00000000-0005-0000-0000-0000C8490000}"/>
    <cellStyle name="40% - Accent5 3 17" xfId="32112" xr:uid="{00000000-0005-0000-0000-0000C9490000}"/>
    <cellStyle name="40% - Accent5 3 18" xfId="33795" xr:uid="{00000000-0005-0000-0000-0000CA490000}"/>
    <cellStyle name="40% - Accent5 3 19" xfId="35478" xr:uid="{00000000-0005-0000-0000-0000CB490000}"/>
    <cellStyle name="40% - Accent5 3 2" xfId="236" xr:uid="{00000000-0005-0000-0000-0000CC490000}"/>
    <cellStyle name="40% - Accent5 3 2 10" xfId="8652" xr:uid="{00000000-0005-0000-0000-0000CD490000}"/>
    <cellStyle name="40% - Accent5 3 2 10 2" xfId="23801" xr:uid="{00000000-0005-0000-0000-0000CE490000}"/>
    <cellStyle name="40% - Accent5 3 2 11" xfId="10335" xr:uid="{00000000-0005-0000-0000-0000CF490000}"/>
    <cellStyle name="40% - Accent5 3 2 11 2" xfId="25484" xr:uid="{00000000-0005-0000-0000-0000D0490000}"/>
    <cellStyle name="40% - Accent5 3 2 12" xfId="12019" xr:uid="{00000000-0005-0000-0000-0000D1490000}"/>
    <cellStyle name="40% - Accent5 3 2 12 2" xfId="27168" xr:uid="{00000000-0005-0000-0000-0000D2490000}"/>
    <cellStyle name="40% - Accent5 3 2 13" xfId="13702" xr:uid="{00000000-0005-0000-0000-0000D3490000}"/>
    <cellStyle name="40% - Accent5 3 2 13 2" xfId="28851" xr:uid="{00000000-0005-0000-0000-0000D4490000}"/>
    <cellStyle name="40% - Accent5 3 2 14" xfId="15385" xr:uid="{00000000-0005-0000-0000-0000D5490000}"/>
    <cellStyle name="40% - Accent5 3 2 15" xfId="30534" xr:uid="{00000000-0005-0000-0000-0000D6490000}"/>
    <cellStyle name="40% - Accent5 3 2 16" xfId="32217" xr:uid="{00000000-0005-0000-0000-0000D7490000}"/>
    <cellStyle name="40% - Accent5 3 2 17" xfId="33900" xr:uid="{00000000-0005-0000-0000-0000D8490000}"/>
    <cellStyle name="40% - Accent5 3 2 18" xfId="35583" xr:uid="{00000000-0005-0000-0000-0000D9490000}"/>
    <cellStyle name="40% - Accent5 3 2 19" xfId="37266" xr:uid="{00000000-0005-0000-0000-0000DA490000}"/>
    <cellStyle name="40% - Accent5 3 2 2" xfId="446" xr:uid="{00000000-0005-0000-0000-0000DB490000}"/>
    <cellStyle name="40% - Accent5 3 2 2 10" xfId="10545" xr:uid="{00000000-0005-0000-0000-0000DC490000}"/>
    <cellStyle name="40% - Accent5 3 2 2 10 2" xfId="25694" xr:uid="{00000000-0005-0000-0000-0000DD490000}"/>
    <cellStyle name="40% - Accent5 3 2 2 11" xfId="12229" xr:uid="{00000000-0005-0000-0000-0000DE490000}"/>
    <cellStyle name="40% - Accent5 3 2 2 11 2" xfId="27378" xr:uid="{00000000-0005-0000-0000-0000DF490000}"/>
    <cellStyle name="40% - Accent5 3 2 2 12" xfId="13912" xr:uid="{00000000-0005-0000-0000-0000E0490000}"/>
    <cellStyle name="40% - Accent5 3 2 2 12 2" xfId="29061" xr:uid="{00000000-0005-0000-0000-0000E1490000}"/>
    <cellStyle name="40% - Accent5 3 2 2 13" xfId="15595" xr:uid="{00000000-0005-0000-0000-0000E2490000}"/>
    <cellStyle name="40% - Accent5 3 2 2 14" xfId="30744" xr:uid="{00000000-0005-0000-0000-0000E3490000}"/>
    <cellStyle name="40% - Accent5 3 2 2 15" xfId="32427" xr:uid="{00000000-0005-0000-0000-0000E4490000}"/>
    <cellStyle name="40% - Accent5 3 2 2 16" xfId="34110" xr:uid="{00000000-0005-0000-0000-0000E5490000}"/>
    <cellStyle name="40% - Accent5 3 2 2 17" xfId="35793" xr:uid="{00000000-0005-0000-0000-0000E6490000}"/>
    <cellStyle name="40% - Accent5 3 2 2 18" xfId="37476" xr:uid="{00000000-0005-0000-0000-0000E7490000}"/>
    <cellStyle name="40% - Accent5 3 2 2 19" xfId="39159" xr:uid="{00000000-0005-0000-0000-0000E8490000}"/>
    <cellStyle name="40% - Accent5 3 2 2 2" xfId="866" xr:uid="{00000000-0005-0000-0000-0000E9490000}"/>
    <cellStyle name="40% - Accent5 3 2 2 2 10" xfId="16015" xr:uid="{00000000-0005-0000-0000-0000EA490000}"/>
    <cellStyle name="40% - Accent5 3 2 2 2 11" xfId="31164" xr:uid="{00000000-0005-0000-0000-0000EB490000}"/>
    <cellStyle name="40% - Accent5 3 2 2 2 12" xfId="32847" xr:uid="{00000000-0005-0000-0000-0000EC490000}"/>
    <cellStyle name="40% - Accent5 3 2 2 2 13" xfId="34530" xr:uid="{00000000-0005-0000-0000-0000ED490000}"/>
    <cellStyle name="40% - Accent5 3 2 2 2 14" xfId="36213" xr:uid="{00000000-0005-0000-0000-0000EE490000}"/>
    <cellStyle name="40% - Accent5 3 2 2 2 15" xfId="37896" xr:uid="{00000000-0005-0000-0000-0000EF490000}"/>
    <cellStyle name="40% - Accent5 3 2 2 2 16" xfId="39579" xr:uid="{00000000-0005-0000-0000-0000F0490000}"/>
    <cellStyle name="40% - Accent5 3 2 2 2 17" xfId="41262" xr:uid="{00000000-0005-0000-0000-0000F1490000}"/>
    <cellStyle name="40% - Accent5 3 2 2 2 18" xfId="42945" xr:uid="{00000000-0005-0000-0000-0000F2490000}"/>
    <cellStyle name="40% - Accent5 3 2 2 2 19" xfId="44628" xr:uid="{00000000-0005-0000-0000-0000F3490000}"/>
    <cellStyle name="40% - Accent5 3 2 2 2 2" xfId="2549" xr:uid="{00000000-0005-0000-0000-0000F4490000}"/>
    <cellStyle name="40% - Accent5 3 2 2 2 2 2" xfId="17698" xr:uid="{00000000-0005-0000-0000-0000F5490000}"/>
    <cellStyle name="40% - Accent5 3 2 2 2 20" xfId="46311" xr:uid="{00000000-0005-0000-0000-0000F6490000}"/>
    <cellStyle name="40% - Accent5 3 2 2 2 21" xfId="47994" xr:uid="{00000000-0005-0000-0000-0000F7490000}"/>
    <cellStyle name="40% - Accent5 3 2 2 2 22" xfId="49677" xr:uid="{00000000-0005-0000-0000-0000F8490000}"/>
    <cellStyle name="40% - Accent5 3 2 2 2 23" xfId="51360" xr:uid="{00000000-0005-0000-0000-0000F9490000}"/>
    <cellStyle name="40% - Accent5 3 2 2 2 24" xfId="53043" xr:uid="{00000000-0005-0000-0000-0000FA490000}"/>
    <cellStyle name="40% - Accent5 3 2 2 2 25" xfId="54726" xr:uid="{00000000-0005-0000-0000-0000FB490000}"/>
    <cellStyle name="40% - Accent5 3 2 2 2 26" xfId="56409" xr:uid="{00000000-0005-0000-0000-0000FC490000}"/>
    <cellStyle name="40% - Accent5 3 2 2 2 27" xfId="58092" xr:uid="{00000000-0005-0000-0000-0000FD490000}"/>
    <cellStyle name="40% - Accent5 3 2 2 2 28" xfId="59775" xr:uid="{00000000-0005-0000-0000-0000FE490000}"/>
    <cellStyle name="40% - Accent5 3 2 2 2 29" xfId="61458" xr:uid="{00000000-0005-0000-0000-0000FF490000}"/>
    <cellStyle name="40% - Accent5 3 2 2 2 3" xfId="4233" xr:uid="{00000000-0005-0000-0000-0000004A0000}"/>
    <cellStyle name="40% - Accent5 3 2 2 2 3 2" xfId="19382" xr:uid="{00000000-0005-0000-0000-0000014A0000}"/>
    <cellStyle name="40% - Accent5 3 2 2 2 30" xfId="63141" xr:uid="{00000000-0005-0000-0000-0000024A0000}"/>
    <cellStyle name="40% - Accent5 3 2 2 2 4" xfId="5916" xr:uid="{00000000-0005-0000-0000-0000034A0000}"/>
    <cellStyle name="40% - Accent5 3 2 2 2 4 2" xfId="21065" xr:uid="{00000000-0005-0000-0000-0000044A0000}"/>
    <cellStyle name="40% - Accent5 3 2 2 2 5" xfId="7599" xr:uid="{00000000-0005-0000-0000-0000054A0000}"/>
    <cellStyle name="40% - Accent5 3 2 2 2 5 2" xfId="22748" xr:uid="{00000000-0005-0000-0000-0000064A0000}"/>
    <cellStyle name="40% - Accent5 3 2 2 2 6" xfId="9282" xr:uid="{00000000-0005-0000-0000-0000074A0000}"/>
    <cellStyle name="40% - Accent5 3 2 2 2 6 2" xfId="24431" xr:uid="{00000000-0005-0000-0000-0000084A0000}"/>
    <cellStyle name="40% - Accent5 3 2 2 2 7" xfId="10965" xr:uid="{00000000-0005-0000-0000-0000094A0000}"/>
    <cellStyle name="40% - Accent5 3 2 2 2 7 2" xfId="26114" xr:uid="{00000000-0005-0000-0000-00000A4A0000}"/>
    <cellStyle name="40% - Accent5 3 2 2 2 8" xfId="12649" xr:uid="{00000000-0005-0000-0000-00000B4A0000}"/>
    <cellStyle name="40% - Accent5 3 2 2 2 8 2" xfId="27798" xr:uid="{00000000-0005-0000-0000-00000C4A0000}"/>
    <cellStyle name="40% - Accent5 3 2 2 2 9" xfId="14332" xr:uid="{00000000-0005-0000-0000-00000D4A0000}"/>
    <cellStyle name="40% - Accent5 3 2 2 2 9 2" xfId="29481" xr:uid="{00000000-0005-0000-0000-00000E4A0000}"/>
    <cellStyle name="40% - Accent5 3 2 2 20" xfId="40842" xr:uid="{00000000-0005-0000-0000-00000F4A0000}"/>
    <cellStyle name="40% - Accent5 3 2 2 21" xfId="42525" xr:uid="{00000000-0005-0000-0000-0000104A0000}"/>
    <cellStyle name="40% - Accent5 3 2 2 22" xfId="44208" xr:uid="{00000000-0005-0000-0000-0000114A0000}"/>
    <cellStyle name="40% - Accent5 3 2 2 23" xfId="45891" xr:uid="{00000000-0005-0000-0000-0000124A0000}"/>
    <cellStyle name="40% - Accent5 3 2 2 24" xfId="47574" xr:uid="{00000000-0005-0000-0000-0000134A0000}"/>
    <cellStyle name="40% - Accent5 3 2 2 25" xfId="49257" xr:uid="{00000000-0005-0000-0000-0000144A0000}"/>
    <cellStyle name="40% - Accent5 3 2 2 26" xfId="50940" xr:uid="{00000000-0005-0000-0000-0000154A0000}"/>
    <cellStyle name="40% - Accent5 3 2 2 27" xfId="52623" xr:uid="{00000000-0005-0000-0000-0000164A0000}"/>
    <cellStyle name="40% - Accent5 3 2 2 28" xfId="54306" xr:uid="{00000000-0005-0000-0000-0000174A0000}"/>
    <cellStyle name="40% - Accent5 3 2 2 29" xfId="55989" xr:uid="{00000000-0005-0000-0000-0000184A0000}"/>
    <cellStyle name="40% - Accent5 3 2 2 3" xfId="1287" xr:uid="{00000000-0005-0000-0000-0000194A0000}"/>
    <cellStyle name="40% - Accent5 3 2 2 3 10" xfId="16436" xr:uid="{00000000-0005-0000-0000-00001A4A0000}"/>
    <cellStyle name="40% - Accent5 3 2 2 3 11" xfId="31585" xr:uid="{00000000-0005-0000-0000-00001B4A0000}"/>
    <cellStyle name="40% - Accent5 3 2 2 3 12" xfId="33268" xr:uid="{00000000-0005-0000-0000-00001C4A0000}"/>
    <cellStyle name="40% - Accent5 3 2 2 3 13" xfId="34951" xr:uid="{00000000-0005-0000-0000-00001D4A0000}"/>
    <cellStyle name="40% - Accent5 3 2 2 3 14" xfId="36634" xr:uid="{00000000-0005-0000-0000-00001E4A0000}"/>
    <cellStyle name="40% - Accent5 3 2 2 3 15" xfId="38317" xr:uid="{00000000-0005-0000-0000-00001F4A0000}"/>
    <cellStyle name="40% - Accent5 3 2 2 3 16" xfId="40000" xr:uid="{00000000-0005-0000-0000-0000204A0000}"/>
    <cellStyle name="40% - Accent5 3 2 2 3 17" xfId="41683" xr:uid="{00000000-0005-0000-0000-0000214A0000}"/>
    <cellStyle name="40% - Accent5 3 2 2 3 18" xfId="43366" xr:uid="{00000000-0005-0000-0000-0000224A0000}"/>
    <cellStyle name="40% - Accent5 3 2 2 3 19" xfId="45049" xr:uid="{00000000-0005-0000-0000-0000234A0000}"/>
    <cellStyle name="40% - Accent5 3 2 2 3 2" xfId="2970" xr:uid="{00000000-0005-0000-0000-0000244A0000}"/>
    <cellStyle name="40% - Accent5 3 2 2 3 2 2" xfId="18119" xr:uid="{00000000-0005-0000-0000-0000254A0000}"/>
    <cellStyle name="40% - Accent5 3 2 2 3 20" xfId="46732" xr:uid="{00000000-0005-0000-0000-0000264A0000}"/>
    <cellStyle name="40% - Accent5 3 2 2 3 21" xfId="48415" xr:uid="{00000000-0005-0000-0000-0000274A0000}"/>
    <cellStyle name="40% - Accent5 3 2 2 3 22" xfId="50098" xr:uid="{00000000-0005-0000-0000-0000284A0000}"/>
    <cellStyle name="40% - Accent5 3 2 2 3 23" xfId="51781" xr:uid="{00000000-0005-0000-0000-0000294A0000}"/>
    <cellStyle name="40% - Accent5 3 2 2 3 24" xfId="53464" xr:uid="{00000000-0005-0000-0000-00002A4A0000}"/>
    <cellStyle name="40% - Accent5 3 2 2 3 25" xfId="55147" xr:uid="{00000000-0005-0000-0000-00002B4A0000}"/>
    <cellStyle name="40% - Accent5 3 2 2 3 26" xfId="56830" xr:uid="{00000000-0005-0000-0000-00002C4A0000}"/>
    <cellStyle name="40% - Accent5 3 2 2 3 27" xfId="58513" xr:uid="{00000000-0005-0000-0000-00002D4A0000}"/>
    <cellStyle name="40% - Accent5 3 2 2 3 28" xfId="60196" xr:uid="{00000000-0005-0000-0000-00002E4A0000}"/>
    <cellStyle name="40% - Accent5 3 2 2 3 29" xfId="61879" xr:uid="{00000000-0005-0000-0000-00002F4A0000}"/>
    <cellStyle name="40% - Accent5 3 2 2 3 3" xfId="4654" xr:uid="{00000000-0005-0000-0000-0000304A0000}"/>
    <cellStyle name="40% - Accent5 3 2 2 3 3 2" xfId="19803" xr:uid="{00000000-0005-0000-0000-0000314A0000}"/>
    <cellStyle name="40% - Accent5 3 2 2 3 30" xfId="63562" xr:uid="{00000000-0005-0000-0000-0000324A0000}"/>
    <cellStyle name="40% - Accent5 3 2 2 3 4" xfId="6337" xr:uid="{00000000-0005-0000-0000-0000334A0000}"/>
    <cellStyle name="40% - Accent5 3 2 2 3 4 2" xfId="21486" xr:uid="{00000000-0005-0000-0000-0000344A0000}"/>
    <cellStyle name="40% - Accent5 3 2 2 3 5" xfId="8020" xr:uid="{00000000-0005-0000-0000-0000354A0000}"/>
    <cellStyle name="40% - Accent5 3 2 2 3 5 2" xfId="23169" xr:uid="{00000000-0005-0000-0000-0000364A0000}"/>
    <cellStyle name="40% - Accent5 3 2 2 3 6" xfId="9703" xr:uid="{00000000-0005-0000-0000-0000374A0000}"/>
    <cellStyle name="40% - Accent5 3 2 2 3 6 2" xfId="24852" xr:uid="{00000000-0005-0000-0000-0000384A0000}"/>
    <cellStyle name="40% - Accent5 3 2 2 3 7" xfId="11386" xr:uid="{00000000-0005-0000-0000-0000394A0000}"/>
    <cellStyle name="40% - Accent5 3 2 2 3 7 2" xfId="26535" xr:uid="{00000000-0005-0000-0000-00003A4A0000}"/>
    <cellStyle name="40% - Accent5 3 2 2 3 8" xfId="13070" xr:uid="{00000000-0005-0000-0000-00003B4A0000}"/>
    <cellStyle name="40% - Accent5 3 2 2 3 8 2" xfId="28219" xr:uid="{00000000-0005-0000-0000-00003C4A0000}"/>
    <cellStyle name="40% - Accent5 3 2 2 3 9" xfId="14753" xr:uid="{00000000-0005-0000-0000-00003D4A0000}"/>
    <cellStyle name="40% - Accent5 3 2 2 3 9 2" xfId="29902" xr:uid="{00000000-0005-0000-0000-00003E4A0000}"/>
    <cellStyle name="40% - Accent5 3 2 2 30" xfId="57672" xr:uid="{00000000-0005-0000-0000-00003F4A0000}"/>
    <cellStyle name="40% - Accent5 3 2 2 31" xfId="59355" xr:uid="{00000000-0005-0000-0000-0000404A0000}"/>
    <cellStyle name="40% - Accent5 3 2 2 32" xfId="61038" xr:uid="{00000000-0005-0000-0000-0000414A0000}"/>
    <cellStyle name="40% - Accent5 3 2 2 33" xfId="62721" xr:uid="{00000000-0005-0000-0000-0000424A0000}"/>
    <cellStyle name="40% - Accent5 3 2 2 4" xfId="1708" xr:uid="{00000000-0005-0000-0000-0000434A0000}"/>
    <cellStyle name="40% - Accent5 3 2 2 4 10" xfId="16857" xr:uid="{00000000-0005-0000-0000-0000444A0000}"/>
    <cellStyle name="40% - Accent5 3 2 2 4 11" xfId="32006" xr:uid="{00000000-0005-0000-0000-0000454A0000}"/>
    <cellStyle name="40% - Accent5 3 2 2 4 12" xfId="33689" xr:uid="{00000000-0005-0000-0000-0000464A0000}"/>
    <cellStyle name="40% - Accent5 3 2 2 4 13" xfId="35372" xr:uid="{00000000-0005-0000-0000-0000474A0000}"/>
    <cellStyle name="40% - Accent5 3 2 2 4 14" xfId="37055" xr:uid="{00000000-0005-0000-0000-0000484A0000}"/>
    <cellStyle name="40% - Accent5 3 2 2 4 15" xfId="38738" xr:uid="{00000000-0005-0000-0000-0000494A0000}"/>
    <cellStyle name="40% - Accent5 3 2 2 4 16" xfId="40421" xr:uid="{00000000-0005-0000-0000-00004A4A0000}"/>
    <cellStyle name="40% - Accent5 3 2 2 4 17" xfId="42104" xr:uid="{00000000-0005-0000-0000-00004B4A0000}"/>
    <cellStyle name="40% - Accent5 3 2 2 4 18" xfId="43787" xr:uid="{00000000-0005-0000-0000-00004C4A0000}"/>
    <cellStyle name="40% - Accent5 3 2 2 4 19" xfId="45470" xr:uid="{00000000-0005-0000-0000-00004D4A0000}"/>
    <cellStyle name="40% - Accent5 3 2 2 4 2" xfId="3391" xr:uid="{00000000-0005-0000-0000-00004E4A0000}"/>
    <cellStyle name="40% - Accent5 3 2 2 4 2 2" xfId="18540" xr:uid="{00000000-0005-0000-0000-00004F4A0000}"/>
    <cellStyle name="40% - Accent5 3 2 2 4 20" xfId="47153" xr:uid="{00000000-0005-0000-0000-0000504A0000}"/>
    <cellStyle name="40% - Accent5 3 2 2 4 21" xfId="48836" xr:uid="{00000000-0005-0000-0000-0000514A0000}"/>
    <cellStyle name="40% - Accent5 3 2 2 4 22" xfId="50519" xr:uid="{00000000-0005-0000-0000-0000524A0000}"/>
    <cellStyle name="40% - Accent5 3 2 2 4 23" xfId="52202" xr:uid="{00000000-0005-0000-0000-0000534A0000}"/>
    <cellStyle name="40% - Accent5 3 2 2 4 24" xfId="53885" xr:uid="{00000000-0005-0000-0000-0000544A0000}"/>
    <cellStyle name="40% - Accent5 3 2 2 4 25" xfId="55568" xr:uid="{00000000-0005-0000-0000-0000554A0000}"/>
    <cellStyle name="40% - Accent5 3 2 2 4 26" xfId="57251" xr:uid="{00000000-0005-0000-0000-0000564A0000}"/>
    <cellStyle name="40% - Accent5 3 2 2 4 27" xfId="58934" xr:uid="{00000000-0005-0000-0000-0000574A0000}"/>
    <cellStyle name="40% - Accent5 3 2 2 4 28" xfId="60617" xr:uid="{00000000-0005-0000-0000-0000584A0000}"/>
    <cellStyle name="40% - Accent5 3 2 2 4 29" xfId="62300" xr:uid="{00000000-0005-0000-0000-0000594A0000}"/>
    <cellStyle name="40% - Accent5 3 2 2 4 3" xfId="5075" xr:uid="{00000000-0005-0000-0000-00005A4A0000}"/>
    <cellStyle name="40% - Accent5 3 2 2 4 3 2" xfId="20224" xr:uid="{00000000-0005-0000-0000-00005B4A0000}"/>
    <cellStyle name="40% - Accent5 3 2 2 4 30" xfId="63983" xr:uid="{00000000-0005-0000-0000-00005C4A0000}"/>
    <cellStyle name="40% - Accent5 3 2 2 4 4" xfId="6758" xr:uid="{00000000-0005-0000-0000-00005D4A0000}"/>
    <cellStyle name="40% - Accent5 3 2 2 4 4 2" xfId="21907" xr:uid="{00000000-0005-0000-0000-00005E4A0000}"/>
    <cellStyle name="40% - Accent5 3 2 2 4 5" xfId="8441" xr:uid="{00000000-0005-0000-0000-00005F4A0000}"/>
    <cellStyle name="40% - Accent5 3 2 2 4 5 2" xfId="23590" xr:uid="{00000000-0005-0000-0000-0000604A0000}"/>
    <cellStyle name="40% - Accent5 3 2 2 4 6" xfId="10124" xr:uid="{00000000-0005-0000-0000-0000614A0000}"/>
    <cellStyle name="40% - Accent5 3 2 2 4 6 2" xfId="25273" xr:uid="{00000000-0005-0000-0000-0000624A0000}"/>
    <cellStyle name="40% - Accent5 3 2 2 4 7" xfId="11807" xr:uid="{00000000-0005-0000-0000-0000634A0000}"/>
    <cellStyle name="40% - Accent5 3 2 2 4 7 2" xfId="26956" xr:uid="{00000000-0005-0000-0000-0000644A0000}"/>
    <cellStyle name="40% - Accent5 3 2 2 4 8" xfId="13491" xr:uid="{00000000-0005-0000-0000-0000654A0000}"/>
    <cellStyle name="40% - Accent5 3 2 2 4 8 2" xfId="28640" xr:uid="{00000000-0005-0000-0000-0000664A0000}"/>
    <cellStyle name="40% - Accent5 3 2 2 4 9" xfId="15174" xr:uid="{00000000-0005-0000-0000-0000674A0000}"/>
    <cellStyle name="40% - Accent5 3 2 2 4 9 2" xfId="30323" xr:uid="{00000000-0005-0000-0000-0000684A0000}"/>
    <cellStyle name="40% - Accent5 3 2 2 5" xfId="2129" xr:uid="{00000000-0005-0000-0000-0000694A0000}"/>
    <cellStyle name="40% - Accent5 3 2 2 5 2" xfId="17278" xr:uid="{00000000-0005-0000-0000-00006A4A0000}"/>
    <cellStyle name="40% - Accent5 3 2 2 6" xfId="3813" xr:uid="{00000000-0005-0000-0000-00006B4A0000}"/>
    <cellStyle name="40% - Accent5 3 2 2 6 2" xfId="18962" xr:uid="{00000000-0005-0000-0000-00006C4A0000}"/>
    <cellStyle name="40% - Accent5 3 2 2 7" xfId="5496" xr:uid="{00000000-0005-0000-0000-00006D4A0000}"/>
    <cellStyle name="40% - Accent5 3 2 2 7 2" xfId="20645" xr:uid="{00000000-0005-0000-0000-00006E4A0000}"/>
    <cellStyle name="40% - Accent5 3 2 2 8" xfId="7179" xr:uid="{00000000-0005-0000-0000-00006F4A0000}"/>
    <cellStyle name="40% - Accent5 3 2 2 8 2" xfId="22328" xr:uid="{00000000-0005-0000-0000-0000704A0000}"/>
    <cellStyle name="40% - Accent5 3 2 2 9" xfId="8862" xr:uid="{00000000-0005-0000-0000-0000714A0000}"/>
    <cellStyle name="40% - Accent5 3 2 2 9 2" xfId="24011" xr:uid="{00000000-0005-0000-0000-0000724A0000}"/>
    <cellStyle name="40% - Accent5 3 2 20" xfId="38949" xr:uid="{00000000-0005-0000-0000-0000734A0000}"/>
    <cellStyle name="40% - Accent5 3 2 21" xfId="40632" xr:uid="{00000000-0005-0000-0000-0000744A0000}"/>
    <cellStyle name="40% - Accent5 3 2 22" xfId="42315" xr:uid="{00000000-0005-0000-0000-0000754A0000}"/>
    <cellStyle name="40% - Accent5 3 2 23" xfId="43998" xr:uid="{00000000-0005-0000-0000-0000764A0000}"/>
    <cellStyle name="40% - Accent5 3 2 24" xfId="45681" xr:uid="{00000000-0005-0000-0000-0000774A0000}"/>
    <cellStyle name="40% - Accent5 3 2 25" xfId="47364" xr:uid="{00000000-0005-0000-0000-0000784A0000}"/>
    <cellStyle name="40% - Accent5 3 2 26" xfId="49047" xr:uid="{00000000-0005-0000-0000-0000794A0000}"/>
    <cellStyle name="40% - Accent5 3 2 27" xfId="50730" xr:uid="{00000000-0005-0000-0000-00007A4A0000}"/>
    <cellStyle name="40% - Accent5 3 2 28" xfId="52413" xr:uid="{00000000-0005-0000-0000-00007B4A0000}"/>
    <cellStyle name="40% - Accent5 3 2 29" xfId="54096" xr:uid="{00000000-0005-0000-0000-00007C4A0000}"/>
    <cellStyle name="40% - Accent5 3 2 3" xfId="656" xr:uid="{00000000-0005-0000-0000-00007D4A0000}"/>
    <cellStyle name="40% - Accent5 3 2 3 10" xfId="15805" xr:uid="{00000000-0005-0000-0000-00007E4A0000}"/>
    <cellStyle name="40% - Accent5 3 2 3 11" xfId="30954" xr:uid="{00000000-0005-0000-0000-00007F4A0000}"/>
    <cellStyle name="40% - Accent5 3 2 3 12" xfId="32637" xr:uid="{00000000-0005-0000-0000-0000804A0000}"/>
    <cellStyle name="40% - Accent5 3 2 3 13" xfId="34320" xr:uid="{00000000-0005-0000-0000-0000814A0000}"/>
    <cellStyle name="40% - Accent5 3 2 3 14" xfId="36003" xr:uid="{00000000-0005-0000-0000-0000824A0000}"/>
    <cellStyle name="40% - Accent5 3 2 3 15" xfId="37686" xr:uid="{00000000-0005-0000-0000-0000834A0000}"/>
    <cellStyle name="40% - Accent5 3 2 3 16" xfId="39369" xr:uid="{00000000-0005-0000-0000-0000844A0000}"/>
    <cellStyle name="40% - Accent5 3 2 3 17" xfId="41052" xr:uid="{00000000-0005-0000-0000-0000854A0000}"/>
    <cellStyle name="40% - Accent5 3 2 3 18" xfId="42735" xr:uid="{00000000-0005-0000-0000-0000864A0000}"/>
    <cellStyle name="40% - Accent5 3 2 3 19" xfId="44418" xr:uid="{00000000-0005-0000-0000-0000874A0000}"/>
    <cellStyle name="40% - Accent5 3 2 3 2" xfId="2339" xr:uid="{00000000-0005-0000-0000-0000884A0000}"/>
    <cellStyle name="40% - Accent5 3 2 3 2 2" xfId="17488" xr:uid="{00000000-0005-0000-0000-0000894A0000}"/>
    <cellStyle name="40% - Accent5 3 2 3 20" xfId="46101" xr:uid="{00000000-0005-0000-0000-00008A4A0000}"/>
    <cellStyle name="40% - Accent5 3 2 3 21" xfId="47784" xr:uid="{00000000-0005-0000-0000-00008B4A0000}"/>
    <cellStyle name="40% - Accent5 3 2 3 22" xfId="49467" xr:uid="{00000000-0005-0000-0000-00008C4A0000}"/>
    <cellStyle name="40% - Accent5 3 2 3 23" xfId="51150" xr:uid="{00000000-0005-0000-0000-00008D4A0000}"/>
    <cellStyle name="40% - Accent5 3 2 3 24" xfId="52833" xr:uid="{00000000-0005-0000-0000-00008E4A0000}"/>
    <cellStyle name="40% - Accent5 3 2 3 25" xfId="54516" xr:uid="{00000000-0005-0000-0000-00008F4A0000}"/>
    <cellStyle name="40% - Accent5 3 2 3 26" xfId="56199" xr:uid="{00000000-0005-0000-0000-0000904A0000}"/>
    <cellStyle name="40% - Accent5 3 2 3 27" xfId="57882" xr:uid="{00000000-0005-0000-0000-0000914A0000}"/>
    <cellStyle name="40% - Accent5 3 2 3 28" xfId="59565" xr:uid="{00000000-0005-0000-0000-0000924A0000}"/>
    <cellStyle name="40% - Accent5 3 2 3 29" xfId="61248" xr:uid="{00000000-0005-0000-0000-0000934A0000}"/>
    <cellStyle name="40% - Accent5 3 2 3 3" xfId="4023" xr:uid="{00000000-0005-0000-0000-0000944A0000}"/>
    <cellStyle name="40% - Accent5 3 2 3 3 2" xfId="19172" xr:uid="{00000000-0005-0000-0000-0000954A0000}"/>
    <cellStyle name="40% - Accent5 3 2 3 30" xfId="62931" xr:uid="{00000000-0005-0000-0000-0000964A0000}"/>
    <cellStyle name="40% - Accent5 3 2 3 4" xfId="5706" xr:uid="{00000000-0005-0000-0000-0000974A0000}"/>
    <cellStyle name="40% - Accent5 3 2 3 4 2" xfId="20855" xr:uid="{00000000-0005-0000-0000-0000984A0000}"/>
    <cellStyle name="40% - Accent5 3 2 3 5" xfId="7389" xr:uid="{00000000-0005-0000-0000-0000994A0000}"/>
    <cellStyle name="40% - Accent5 3 2 3 5 2" xfId="22538" xr:uid="{00000000-0005-0000-0000-00009A4A0000}"/>
    <cellStyle name="40% - Accent5 3 2 3 6" xfId="9072" xr:uid="{00000000-0005-0000-0000-00009B4A0000}"/>
    <cellStyle name="40% - Accent5 3 2 3 6 2" xfId="24221" xr:uid="{00000000-0005-0000-0000-00009C4A0000}"/>
    <cellStyle name="40% - Accent5 3 2 3 7" xfId="10755" xr:uid="{00000000-0005-0000-0000-00009D4A0000}"/>
    <cellStyle name="40% - Accent5 3 2 3 7 2" xfId="25904" xr:uid="{00000000-0005-0000-0000-00009E4A0000}"/>
    <cellStyle name="40% - Accent5 3 2 3 8" xfId="12439" xr:uid="{00000000-0005-0000-0000-00009F4A0000}"/>
    <cellStyle name="40% - Accent5 3 2 3 8 2" xfId="27588" xr:uid="{00000000-0005-0000-0000-0000A04A0000}"/>
    <cellStyle name="40% - Accent5 3 2 3 9" xfId="14122" xr:uid="{00000000-0005-0000-0000-0000A14A0000}"/>
    <cellStyle name="40% - Accent5 3 2 3 9 2" xfId="29271" xr:uid="{00000000-0005-0000-0000-0000A24A0000}"/>
    <cellStyle name="40% - Accent5 3 2 30" xfId="55779" xr:uid="{00000000-0005-0000-0000-0000A34A0000}"/>
    <cellStyle name="40% - Accent5 3 2 31" xfId="57462" xr:uid="{00000000-0005-0000-0000-0000A44A0000}"/>
    <cellStyle name="40% - Accent5 3 2 32" xfId="59145" xr:uid="{00000000-0005-0000-0000-0000A54A0000}"/>
    <cellStyle name="40% - Accent5 3 2 33" xfId="60828" xr:uid="{00000000-0005-0000-0000-0000A64A0000}"/>
    <cellStyle name="40% - Accent5 3 2 34" xfId="62511" xr:uid="{00000000-0005-0000-0000-0000A74A0000}"/>
    <cellStyle name="40% - Accent5 3 2 4" xfId="1077" xr:uid="{00000000-0005-0000-0000-0000A84A0000}"/>
    <cellStyle name="40% - Accent5 3 2 4 10" xfId="16226" xr:uid="{00000000-0005-0000-0000-0000A94A0000}"/>
    <cellStyle name="40% - Accent5 3 2 4 11" xfId="31375" xr:uid="{00000000-0005-0000-0000-0000AA4A0000}"/>
    <cellStyle name="40% - Accent5 3 2 4 12" xfId="33058" xr:uid="{00000000-0005-0000-0000-0000AB4A0000}"/>
    <cellStyle name="40% - Accent5 3 2 4 13" xfId="34741" xr:uid="{00000000-0005-0000-0000-0000AC4A0000}"/>
    <cellStyle name="40% - Accent5 3 2 4 14" xfId="36424" xr:uid="{00000000-0005-0000-0000-0000AD4A0000}"/>
    <cellStyle name="40% - Accent5 3 2 4 15" xfId="38107" xr:uid="{00000000-0005-0000-0000-0000AE4A0000}"/>
    <cellStyle name="40% - Accent5 3 2 4 16" xfId="39790" xr:uid="{00000000-0005-0000-0000-0000AF4A0000}"/>
    <cellStyle name="40% - Accent5 3 2 4 17" xfId="41473" xr:uid="{00000000-0005-0000-0000-0000B04A0000}"/>
    <cellStyle name="40% - Accent5 3 2 4 18" xfId="43156" xr:uid="{00000000-0005-0000-0000-0000B14A0000}"/>
    <cellStyle name="40% - Accent5 3 2 4 19" xfId="44839" xr:uid="{00000000-0005-0000-0000-0000B24A0000}"/>
    <cellStyle name="40% - Accent5 3 2 4 2" xfId="2760" xr:uid="{00000000-0005-0000-0000-0000B34A0000}"/>
    <cellStyle name="40% - Accent5 3 2 4 2 2" xfId="17909" xr:uid="{00000000-0005-0000-0000-0000B44A0000}"/>
    <cellStyle name="40% - Accent5 3 2 4 20" xfId="46522" xr:uid="{00000000-0005-0000-0000-0000B54A0000}"/>
    <cellStyle name="40% - Accent5 3 2 4 21" xfId="48205" xr:uid="{00000000-0005-0000-0000-0000B64A0000}"/>
    <cellStyle name="40% - Accent5 3 2 4 22" xfId="49888" xr:uid="{00000000-0005-0000-0000-0000B74A0000}"/>
    <cellStyle name="40% - Accent5 3 2 4 23" xfId="51571" xr:uid="{00000000-0005-0000-0000-0000B84A0000}"/>
    <cellStyle name="40% - Accent5 3 2 4 24" xfId="53254" xr:uid="{00000000-0005-0000-0000-0000B94A0000}"/>
    <cellStyle name="40% - Accent5 3 2 4 25" xfId="54937" xr:uid="{00000000-0005-0000-0000-0000BA4A0000}"/>
    <cellStyle name="40% - Accent5 3 2 4 26" xfId="56620" xr:uid="{00000000-0005-0000-0000-0000BB4A0000}"/>
    <cellStyle name="40% - Accent5 3 2 4 27" xfId="58303" xr:uid="{00000000-0005-0000-0000-0000BC4A0000}"/>
    <cellStyle name="40% - Accent5 3 2 4 28" xfId="59986" xr:uid="{00000000-0005-0000-0000-0000BD4A0000}"/>
    <cellStyle name="40% - Accent5 3 2 4 29" xfId="61669" xr:uid="{00000000-0005-0000-0000-0000BE4A0000}"/>
    <cellStyle name="40% - Accent5 3 2 4 3" xfId="4444" xr:uid="{00000000-0005-0000-0000-0000BF4A0000}"/>
    <cellStyle name="40% - Accent5 3 2 4 3 2" xfId="19593" xr:uid="{00000000-0005-0000-0000-0000C04A0000}"/>
    <cellStyle name="40% - Accent5 3 2 4 30" xfId="63352" xr:uid="{00000000-0005-0000-0000-0000C14A0000}"/>
    <cellStyle name="40% - Accent5 3 2 4 4" xfId="6127" xr:uid="{00000000-0005-0000-0000-0000C24A0000}"/>
    <cellStyle name="40% - Accent5 3 2 4 4 2" xfId="21276" xr:uid="{00000000-0005-0000-0000-0000C34A0000}"/>
    <cellStyle name="40% - Accent5 3 2 4 5" xfId="7810" xr:uid="{00000000-0005-0000-0000-0000C44A0000}"/>
    <cellStyle name="40% - Accent5 3 2 4 5 2" xfId="22959" xr:uid="{00000000-0005-0000-0000-0000C54A0000}"/>
    <cellStyle name="40% - Accent5 3 2 4 6" xfId="9493" xr:uid="{00000000-0005-0000-0000-0000C64A0000}"/>
    <cellStyle name="40% - Accent5 3 2 4 6 2" xfId="24642" xr:uid="{00000000-0005-0000-0000-0000C74A0000}"/>
    <cellStyle name="40% - Accent5 3 2 4 7" xfId="11176" xr:uid="{00000000-0005-0000-0000-0000C84A0000}"/>
    <cellStyle name="40% - Accent5 3 2 4 7 2" xfId="26325" xr:uid="{00000000-0005-0000-0000-0000C94A0000}"/>
    <cellStyle name="40% - Accent5 3 2 4 8" xfId="12860" xr:uid="{00000000-0005-0000-0000-0000CA4A0000}"/>
    <cellStyle name="40% - Accent5 3 2 4 8 2" xfId="28009" xr:uid="{00000000-0005-0000-0000-0000CB4A0000}"/>
    <cellStyle name="40% - Accent5 3 2 4 9" xfId="14543" xr:uid="{00000000-0005-0000-0000-0000CC4A0000}"/>
    <cellStyle name="40% - Accent5 3 2 4 9 2" xfId="29692" xr:uid="{00000000-0005-0000-0000-0000CD4A0000}"/>
    <cellStyle name="40% - Accent5 3 2 5" xfId="1498" xr:uid="{00000000-0005-0000-0000-0000CE4A0000}"/>
    <cellStyle name="40% - Accent5 3 2 5 10" xfId="16647" xr:uid="{00000000-0005-0000-0000-0000CF4A0000}"/>
    <cellStyle name="40% - Accent5 3 2 5 11" xfId="31796" xr:uid="{00000000-0005-0000-0000-0000D04A0000}"/>
    <cellStyle name="40% - Accent5 3 2 5 12" xfId="33479" xr:uid="{00000000-0005-0000-0000-0000D14A0000}"/>
    <cellStyle name="40% - Accent5 3 2 5 13" xfId="35162" xr:uid="{00000000-0005-0000-0000-0000D24A0000}"/>
    <cellStyle name="40% - Accent5 3 2 5 14" xfId="36845" xr:uid="{00000000-0005-0000-0000-0000D34A0000}"/>
    <cellStyle name="40% - Accent5 3 2 5 15" xfId="38528" xr:uid="{00000000-0005-0000-0000-0000D44A0000}"/>
    <cellStyle name="40% - Accent5 3 2 5 16" xfId="40211" xr:uid="{00000000-0005-0000-0000-0000D54A0000}"/>
    <cellStyle name="40% - Accent5 3 2 5 17" xfId="41894" xr:uid="{00000000-0005-0000-0000-0000D64A0000}"/>
    <cellStyle name="40% - Accent5 3 2 5 18" xfId="43577" xr:uid="{00000000-0005-0000-0000-0000D74A0000}"/>
    <cellStyle name="40% - Accent5 3 2 5 19" xfId="45260" xr:uid="{00000000-0005-0000-0000-0000D84A0000}"/>
    <cellStyle name="40% - Accent5 3 2 5 2" xfId="3181" xr:uid="{00000000-0005-0000-0000-0000D94A0000}"/>
    <cellStyle name="40% - Accent5 3 2 5 2 2" xfId="18330" xr:uid="{00000000-0005-0000-0000-0000DA4A0000}"/>
    <cellStyle name="40% - Accent5 3 2 5 20" xfId="46943" xr:uid="{00000000-0005-0000-0000-0000DB4A0000}"/>
    <cellStyle name="40% - Accent5 3 2 5 21" xfId="48626" xr:uid="{00000000-0005-0000-0000-0000DC4A0000}"/>
    <cellStyle name="40% - Accent5 3 2 5 22" xfId="50309" xr:uid="{00000000-0005-0000-0000-0000DD4A0000}"/>
    <cellStyle name="40% - Accent5 3 2 5 23" xfId="51992" xr:uid="{00000000-0005-0000-0000-0000DE4A0000}"/>
    <cellStyle name="40% - Accent5 3 2 5 24" xfId="53675" xr:uid="{00000000-0005-0000-0000-0000DF4A0000}"/>
    <cellStyle name="40% - Accent5 3 2 5 25" xfId="55358" xr:uid="{00000000-0005-0000-0000-0000E04A0000}"/>
    <cellStyle name="40% - Accent5 3 2 5 26" xfId="57041" xr:uid="{00000000-0005-0000-0000-0000E14A0000}"/>
    <cellStyle name="40% - Accent5 3 2 5 27" xfId="58724" xr:uid="{00000000-0005-0000-0000-0000E24A0000}"/>
    <cellStyle name="40% - Accent5 3 2 5 28" xfId="60407" xr:uid="{00000000-0005-0000-0000-0000E34A0000}"/>
    <cellStyle name="40% - Accent5 3 2 5 29" xfId="62090" xr:uid="{00000000-0005-0000-0000-0000E44A0000}"/>
    <cellStyle name="40% - Accent5 3 2 5 3" xfId="4865" xr:uid="{00000000-0005-0000-0000-0000E54A0000}"/>
    <cellStyle name="40% - Accent5 3 2 5 3 2" xfId="20014" xr:uid="{00000000-0005-0000-0000-0000E64A0000}"/>
    <cellStyle name="40% - Accent5 3 2 5 30" xfId="63773" xr:uid="{00000000-0005-0000-0000-0000E74A0000}"/>
    <cellStyle name="40% - Accent5 3 2 5 4" xfId="6548" xr:uid="{00000000-0005-0000-0000-0000E84A0000}"/>
    <cellStyle name="40% - Accent5 3 2 5 4 2" xfId="21697" xr:uid="{00000000-0005-0000-0000-0000E94A0000}"/>
    <cellStyle name="40% - Accent5 3 2 5 5" xfId="8231" xr:uid="{00000000-0005-0000-0000-0000EA4A0000}"/>
    <cellStyle name="40% - Accent5 3 2 5 5 2" xfId="23380" xr:uid="{00000000-0005-0000-0000-0000EB4A0000}"/>
    <cellStyle name="40% - Accent5 3 2 5 6" xfId="9914" xr:uid="{00000000-0005-0000-0000-0000EC4A0000}"/>
    <cellStyle name="40% - Accent5 3 2 5 6 2" xfId="25063" xr:uid="{00000000-0005-0000-0000-0000ED4A0000}"/>
    <cellStyle name="40% - Accent5 3 2 5 7" xfId="11597" xr:uid="{00000000-0005-0000-0000-0000EE4A0000}"/>
    <cellStyle name="40% - Accent5 3 2 5 7 2" xfId="26746" xr:uid="{00000000-0005-0000-0000-0000EF4A0000}"/>
    <cellStyle name="40% - Accent5 3 2 5 8" xfId="13281" xr:uid="{00000000-0005-0000-0000-0000F04A0000}"/>
    <cellStyle name="40% - Accent5 3 2 5 8 2" xfId="28430" xr:uid="{00000000-0005-0000-0000-0000F14A0000}"/>
    <cellStyle name="40% - Accent5 3 2 5 9" xfId="14964" xr:uid="{00000000-0005-0000-0000-0000F24A0000}"/>
    <cellStyle name="40% - Accent5 3 2 5 9 2" xfId="30113" xr:uid="{00000000-0005-0000-0000-0000F34A0000}"/>
    <cellStyle name="40% - Accent5 3 2 6" xfId="1919" xr:uid="{00000000-0005-0000-0000-0000F44A0000}"/>
    <cellStyle name="40% - Accent5 3 2 6 2" xfId="17068" xr:uid="{00000000-0005-0000-0000-0000F54A0000}"/>
    <cellStyle name="40% - Accent5 3 2 7" xfId="3603" xr:uid="{00000000-0005-0000-0000-0000F64A0000}"/>
    <cellStyle name="40% - Accent5 3 2 7 2" xfId="18752" xr:uid="{00000000-0005-0000-0000-0000F74A0000}"/>
    <cellStyle name="40% - Accent5 3 2 8" xfId="5286" xr:uid="{00000000-0005-0000-0000-0000F84A0000}"/>
    <cellStyle name="40% - Accent5 3 2 8 2" xfId="20435" xr:uid="{00000000-0005-0000-0000-0000F94A0000}"/>
    <cellStyle name="40% - Accent5 3 2 9" xfId="6969" xr:uid="{00000000-0005-0000-0000-0000FA4A0000}"/>
    <cellStyle name="40% - Accent5 3 2 9 2" xfId="22118" xr:uid="{00000000-0005-0000-0000-0000FB4A0000}"/>
    <cellStyle name="40% - Accent5 3 20" xfId="37161" xr:uid="{00000000-0005-0000-0000-0000FC4A0000}"/>
    <cellStyle name="40% - Accent5 3 21" xfId="38844" xr:uid="{00000000-0005-0000-0000-0000FD4A0000}"/>
    <cellStyle name="40% - Accent5 3 22" xfId="40527" xr:uid="{00000000-0005-0000-0000-0000FE4A0000}"/>
    <cellStyle name="40% - Accent5 3 23" xfId="42210" xr:uid="{00000000-0005-0000-0000-0000FF4A0000}"/>
    <cellStyle name="40% - Accent5 3 24" xfId="43893" xr:uid="{00000000-0005-0000-0000-0000004B0000}"/>
    <cellStyle name="40% - Accent5 3 25" xfId="45576" xr:uid="{00000000-0005-0000-0000-0000014B0000}"/>
    <cellStyle name="40% - Accent5 3 26" xfId="47259" xr:uid="{00000000-0005-0000-0000-0000024B0000}"/>
    <cellStyle name="40% - Accent5 3 27" xfId="48942" xr:uid="{00000000-0005-0000-0000-0000034B0000}"/>
    <cellStyle name="40% - Accent5 3 28" xfId="50625" xr:uid="{00000000-0005-0000-0000-0000044B0000}"/>
    <cellStyle name="40% - Accent5 3 29" xfId="52308" xr:uid="{00000000-0005-0000-0000-0000054B0000}"/>
    <cellStyle name="40% - Accent5 3 3" xfId="341" xr:uid="{00000000-0005-0000-0000-0000064B0000}"/>
    <cellStyle name="40% - Accent5 3 3 10" xfId="10440" xr:uid="{00000000-0005-0000-0000-0000074B0000}"/>
    <cellStyle name="40% - Accent5 3 3 10 2" xfId="25589" xr:uid="{00000000-0005-0000-0000-0000084B0000}"/>
    <cellStyle name="40% - Accent5 3 3 11" xfId="12124" xr:uid="{00000000-0005-0000-0000-0000094B0000}"/>
    <cellStyle name="40% - Accent5 3 3 11 2" xfId="27273" xr:uid="{00000000-0005-0000-0000-00000A4B0000}"/>
    <cellStyle name="40% - Accent5 3 3 12" xfId="13807" xr:uid="{00000000-0005-0000-0000-00000B4B0000}"/>
    <cellStyle name="40% - Accent5 3 3 12 2" xfId="28956" xr:uid="{00000000-0005-0000-0000-00000C4B0000}"/>
    <cellStyle name="40% - Accent5 3 3 13" xfId="15490" xr:uid="{00000000-0005-0000-0000-00000D4B0000}"/>
    <cellStyle name="40% - Accent5 3 3 14" xfId="30639" xr:uid="{00000000-0005-0000-0000-00000E4B0000}"/>
    <cellStyle name="40% - Accent5 3 3 15" xfId="32322" xr:uid="{00000000-0005-0000-0000-00000F4B0000}"/>
    <cellStyle name="40% - Accent5 3 3 16" xfId="34005" xr:uid="{00000000-0005-0000-0000-0000104B0000}"/>
    <cellStyle name="40% - Accent5 3 3 17" xfId="35688" xr:uid="{00000000-0005-0000-0000-0000114B0000}"/>
    <cellStyle name="40% - Accent5 3 3 18" xfId="37371" xr:uid="{00000000-0005-0000-0000-0000124B0000}"/>
    <cellStyle name="40% - Accent5 3 3 19" xfId="39054" xr:uid="{00000000-0005-0000-0000-0000134B0000}"/>
    <cellStyle name="40% - Accent5 3 3 2" xfId="761" xr:uid="{00000000-0005-0000-0000-0000144B0000}"/>
    <cellStyle name="40% - Accent5 3 3 2 10" xfId="15910" xr:uid="{00000000-0005-0000-0000-0000154B0000}"/>
    <cellStyle name="40% - Accent5 3 3 2 11" xfId="31059" xr:uid="{00000000-0005-0000-0000-0000164B0000}"/>
    <cellStyle name="40% - Accent5 3 3 2 12" xfId="32742" xr:uid="{00000000-0005-0000-0000-0000174B0000}"/>
    <cellStyle name="40% - Accent5 3 3 2 13" xfId="34425" xr:uid="{00000000-0005-0000-0000-0000184B0000}"/>
    <cellStyle name="40% - Accent5 3 3 2 14" xfId="36108" xr:uid="{00000000-0005-0000-0000-0000194B0000}"/>
    <cellStyle name="40% - Accent5 3 3 2 15" xfId="37791" xr:uid="{00000000-0005-0000-0000-00001A4B0000}"/>
    <cellStyle name="40% - Accent5 3 3 2 16" xfId="39474" xr:uid="{00000000-0005-0000-0000-00001B4B0000}"/>
    <cellStyle name="40% - Accent5 3 3 2 17" xfId="41157" xr:uid="{00000000-0005-0000-0000-00001C4B0000}"/>
    <cellStyle name="40% - Accent5 3 3 2 18" xfId="42840" xr:uid="{00000000-0005-0000-0000-00001D4B0000}"/>
    <cellStyle name="40% - Accent5 3 3 2 19" xfId="44523" xr:uid="{00000000-0005-0000-0000-00001E4B0000}"/>
    <cellStyle name="40% - Accent5 3 3 2 2" xfId="2444" xr:uid="{00000000-0005-0000-0000-00001F4B0000}"/>
    <cellStyle name="40% - Accent5 3 3 2 2 2" xfId="17593" xr:uid="{00000000-0005-0000-0000-0000204B0000}"/>
    <cellStyle name="40% - Accent5 3 3 2 20" xfId="46206" xr:uid="{00000000-0005-0000-0000-0000214B0000}"/>
    <cellStyle name="40% - Accent5 3 3 2 21" xfId="47889" xr:uid="{00000000-0005-0000-0000-0000224B0000}"/>
    <cellStyle name="40% - Accent5 3 3 2 22" xfId="49572" xr:uid="{00000000-0005-0000-0000-0000234B0000}"/>
    <cellStyle name="40% - Accent5 3 3 2 23" xfId="51255" xr:uid="{00000000-0005-0000-0000-0000244B0000}"/>
    <cellStyle name="40% - Accent5 3 3 2 24" xfId="52938" xr:uid="{00000000-0005-0000-0000-0000254B0000}"/>
    <cellStyle name="40% - Accent5 3 3 2 25" xfId="54621" xr:uid="{00000000-0005-0000-0000-0000264B0000}"/>
    <cellStyle name="40% - Accent5 3 3 2 26" xfId="56304" xr:uid="{00000000-0005-0000-0000-0000274B0000}"/>
    <cellStyle name="40% - Accent5 3 3 2 27" xfId="57987" xr:uid="{00000000-0005-0000-0000-0000284B0000}"/>
    <cellStyle name="40% - Accent5 3 3 2 28" xfId="59670" xr:uid="{00000000-0005-0000-0000-0000294B0000}"/>
    <cellStyle name="40% - Accent5 3 3 2 29" xfId="61353" xr:uid="{00000000-0005-0000-0000-00002A4B0000}"/>
    <cellStyle name="40% - Accent5 3 3 2 3" xfId="4128" xr:uid="{00000000-0005-0000-0000-00002B4B0000}"/>
    <cellStyle name="40% - Accent5 3 3 2 3 2" xfId="19277" xr:uid="{00000000-0005-0000-0000-00002C4B0000}"/>
    <cellStyle name="40% - Accent5 3 3 2 30" xfId="63036" xr:uid="{00000000-0005-0000-0000-00002D4B0000}"/>
    <cellStyle name="40% - Accent5 3 3 2 4" xfId="5811" xr:uid="{00000000-0005-0000-0000-00002E4B0000}"/>
    <cellStyle name="40% - Accent5 3 3 2 4 2" xfId="20960" xr:uid="{00000000-0005-0000-0000-00002F4B0000}"/>
    <cellStyle name="40% - Accent5 3 3 2 5" xfId="7494" xr:uid="{00000000-0005-0000-0000-0000304B0000}"/>
    <cellStyle name="40% - Accent5 3 3 2 5 2" xfId="22643" xr:uid="{00000000-0005-0000-0000-0000314B0000}"/>
    <cellStyle name="40% - Accent5 3 3 2 6" xfId="9177" xr:uid="{00000000-0005-0000-0000-0000324B0000}"/>
    <cellStyle name="40% - Accent5 3 3 2 6 2" xfId="24326" xr:uid="{00000000-0005-0000-0000-0000334B0000}"/>
    <cellStyle name="40% - Accent5 3 3 2 7" xfId="10860" xr:uid="{00000000-0005-0000-0000-0000344B0000}"/>
    <cellStyle name="40% - Accent5 3 3 2 7 2" xfId="26009" xr:uid="{00000000-0005-0000-0000-0000354B0000}"/>
    <cellStyle name="40% - Accent5 3 3 2 8" xfId="12544" xr:uid="{00000000-0005-0000-0000-0000364B0000}"/>
    <cellStyle name="40% - Accent5 3 3 2 8 2" xfId="27693" xr:uid="{00000000-0005-0000-0000-0000374B0000}"/>
    <cellStyle name="40% - Accent5 3 3 2 9" xfId="14227" xr:uid="{00000000-0005-0000-0000-0000384B0000}"/>
    <cellStyle name="40% - Accent5 3 3 2 9 2" xfId="29376" xr:uid="{00000000-0005-0000-0000-0000394B0000}"/>
    <cellStyle name="40% - Accent5 3 3 20" xfId="40737" xr:uid="{00000000-0005-0000-0000-00003A4B0000}"/>
    <cellStyle name="40% - Accent5 3 3 21" xfId="42420" xr:uid="{00000000-0005-0000-0000-00003B4B0000}"/>
    <cellStyle name="40% - Accent5 3 3 22" xfId="44103" xr:uid="{00000000-0005-0000-0000-00003C4B0000}"/>
    <cellStyle name="40% - Accent5 3 3 23" xfId="45786" xr:uid="{00000000-0005-0000-0000-00003D4B0000}"/>
    <cellStyle name="40% - Accent5 3 3 24" xfId="47469" xr:uid="{00000000-0005-0000-0000-00003E4B0000}"/>
    <cellStyle name="40% - Accent5 3 3 25" xfId="49152" xr:uid="{00000000-0005-0000-0000-00003F4B0000}"/>
    <cellStyle name="40% - Accent5 3 3 26" xfId="50835" xr:uid="{00000000-0005-0000-0000-0000404B0000}"/>
    <cellStyle name="40% - Accent5 3 3 27" xfId="52518" xr:uid="{00000000-0005-0000-0000-0000414B0000}"/>
    <cellStyle name="40% - Accent5 3 3 28" xfId="54201" xr:uid="{00000000-0005-0000-0000-0000424B0000}"/>
    <cellStyle name="40% - Accent5 3 3 29" xfId="55884" xr:uid="{00000000-0005-0000-0000-0000434B0000}"/>
    <cellStyle name="40% - Accent5 3 3 3" xfId="1182" xr:uid="{00000000-0005-0000-0000-0000444B0000}"/>
    <cellStyle name="40% - Accent5 3 3 3 10" xfId="16331" xr:uid="{00000000-0005-0000-0000-0000454B0000}"/>
    <cellStyle name="40% - Accent5 3 3 3 11" xfId="31480" xr:uid="{00000000-0005-0000-0000-0000464B0000}"/>
    <cellStyle name="40% - Accent5 3 3 3 12" xfId="33163" xr:uid="{00000000-0005-0000-0000-0000474B0000}"/>
    <cellStyle name="40% - Accent5 3 3 3 13" xfId="34846" xr:uid="{00000000-0005-0000-0000-0000484B0000}"/>
    <cellStyle name="40% - Accent5 3 3 3 14" xfId="36529" xr:uid="{00000000-0005-0000-0000-0000494B0000}"/>
    <cellStyle name="40% - Accent5 3 3 3 15" xfId="38212" xr:uid="{00000000-0005-0000-0000-00004A4B0000}"/>
    <cellStyle name="40% - Accent5 3 3 3 16" xfId="39895" xr:uid="{00000000-0005-0000-0000-00004B4B0000}"/>
    <cellStyle name="40% - Accent5 3 3 3 17" xfId="41578" xr:uid="{00000000-0005-0000-0000-00004C4B0000}"/>
    <cellStyle name="40% - Accent5 3 3 3 18" xfId="43261" xr:uid="{00000000-0005-0000-0000-00004D4B0000}"/>
    <cellStyle name="40% - Accent5 3 3 3 19" xfId="44944" xr:uid="{00000000-0005-0000-0000-00004E4B0000}"/>
    <cellStyle name="40% - Accent5 3 3 3 2" xfId="2865" xr:uid="{00000000-0005-0000-0000-00004F4B0000}"/>
    <cellStyle name="40% - Accent5 3 3 3 2 2" xfId="18014" xr:uid="{00000000-0005-0000-0000-0000504B0000}"/>
    <cellStyle name="40% - Accent5 3 3 3 20" xfId="46627" xr:uid="{00000000-0005-0000-0000-0000514B0000}"/>
    <cellStyle name="40% - Accent5 3 3 3 21" xfId="48310" xr:uid="{00000000-0005-0000-0000-0000524B0000}"/>
    <cellStyle name="40% - Accent5 3 3 3 22" xfId="49993" xr:uid="{00000000-0005-0000-0000-0000534B0000}"/>
    <cellStyle name="40% - Accent5 3 3 3 23" xfId="51676" xr:uid="{00000000-0005-0000-0000-0000544B0000}"/>
    <cellStyle name="40% - Accent5 3 3 3 24" xfId="53359" xr:uid="{00000000-0005-0000-0000-0000554B0000}"/>
    <cellStyle name="40% - Accent5 3 3 3 25" xfId="55042" xr:uid="{00000000-0005-0000-0000-0000564B0000}"/>
    <cellStyle name="40% - Accent5 3 3 3 26" xfId="56725" xr:uid="{00000000-0005-0000-0000-0000574B0000}"/>
    <cellStyle name="40% - Accent5 3 3 3 27" xfId="58408" xr:uid="{00000000-0005-0000-0000-0000584B0000}"/>
    <cellStyle name="40% - Accent5 3 3 3 28" xfId="60091" xr:uid="{00000000-0005-0000-0000-0000594B0000}"/>
    <cellStyle name="40% - Accent5 3 3 3 29" xfId="61774" xr:uid="{00000000-0005-0000-0000-00005A4B0000}"/>
    <cellStyle name="40% - Accent5 3 3 3 3" xfId="4549" xr:uid="{00000000-0005-0000-0000-00005B4B0000}"/>
    <cellStyle name="40% - Accent5 3 3 3 3 2" xfId="19698" xr:uid="{00000000-0005-0000-0000-00005C4B0000}"/>
    <cellStyle name="40% - Accent5 3 3 3 30" xfId="63457" xr:uid="{00000000-0005-0000-0000-00005D4B0000}"/>
    <cellStyle name="40% - Accent5 3 3 3 4" xfId="6232" xr:uid="{00000000-0005-0000-0000-00005E4B0000}"/>
    <cellStyle name="40% - Accent5 3 3 3 4 2" xfId="21381" xr:uid="{00000000-0005-0000-0000-00005F4B0000}"/>
    <cellStyle name="40% - Accent5 3 3 3 5" xfId="7915" xr:uid="{00000000-0005-0000-0000-0000604B0000}"/>
    <cellStyle name="40% - Accent5 3 3 3 5 2" xfId="23064" xr:uid="{00000000-0005-0000-0000-0000614B0000}"/>
    <cellStyle name="40% - Accent5 3 3 3 6" xfId="9598" xr:uid="{00000000-0005-0000-0000-0000624B0000}"/>
    <cellStyle name="40% - Accent5 3 3 3 6 2" xfId="24747" xr:uid="{00000000-0005-0000-0000-0000634B0000}"/>
    <cellStyle name="40% - Accent5 3 3 3 7" xfId="11281" xr:uid="{00000000-0005-0000-0000-0000644B0000}"/>
    <cellStyle name="40% - Accent5 3 3 3 7 2" xfId="26430" xr:uid="{00000000-0005-0000-0000-0000654B0000}"/>
    <cellStyle name="40% - Accent5 3 3 3 8" xfId="12965" xr:uid="{00000000-0005-0000-0000-0000664B0000}"/>
    <cellStyle name="40% - Accent5 3 3 3 8 2" xfId="28114" xr:uid="{00000000-0005-0000-0000-0000674B0000}"/>
    <cellStyle name="40% - Accent5 3 3 3 9" xfId="14648" xr:uid="{00000000-0005-0000-0000-0000684B0000}"/>
    <cellStyle name="40% - Accent5 3 3 3 9 2" xfId="29797" xr:uid="{00000000-0005-0000-0000-0000694B0000}"/>
    <cellStyle name="40% - Accent5 3 3 30" xfId="57567" xr:uid="{00000000-0005-0000-0000-00006A4B0000}"/>
    <cellStyle name="40% - Accent5 3 3 31" xfId="59250" xr:uid="{00000000-0005-0000-0000-00006B4B0000}"/>
    <cellStyle name="40% - Accent5 3 3 32" xfId="60933" xr:uid="{00000000-0005-0000-0000-00006C4B0000}"/>
    <cellStyle name="40% - Accent5 3 3 33" xfId="62616" xr:uid="{00000000-0005-0000-0000-00006D4B0000}"/>
    <cellStyle name="40% - Accent5 3 3 4" xfId="1603" xr:uid="{00000000-0005-0000-0000-00006E4B0000}"/>
    <cellStyle name="40% - Accent5 3 3 4 10" xfId="16752" xr:uid="{00000000-0005-0000-0000-00006F4B0000}"/>
    <cellStyle name="40% - Accent5 3 3 4 11" xfId="31901" xr:uid="{00000000-0005-0000-0000-0000704B0000}"/>
    <cellStyle name="40% - Accent5 3 3 4 12" xfId="33584" xr:uid="{00000000-0005-0000-0000-0000714B0000}"/>
    <cellStyle name="40% - Accent5 3 3 4 13" xfId="35267" xr:uid="{00000000-0005-0000-0000-0000724B0000}"/>
    <cellStyle name="40% - Accent5 3 3 4 14" xfId="36950" xr:uid="{00000000-0005-0000-0000-0000734B0000}"/>
    <cellStyle name="40% - Accent5 3 3 4 15" xfId="38633" xr:uid="{00000000-0005-0000-0000-0000744B0000}"/>
    <cellStyle name="40% - Accent5 3 3 4 16" xfId="40316" xr:uid="{00000000-0005-0000-0000-0000754B0000}"/>
    <cellStyle name="40% - Accent5 3 3 4 17" xfId="41999" xr:uid="{00000000-0005-0000-0000-0000764B0000}"/>
    <cellStyle name="40% - Accent5 3 3 4 18" xfId="43682" xr:uid="{00000000-0005-0000-0000-0000774B0000}"/>
    <cellStyle name="40% - Accent5 3 3 4 19" xfId="45365" xr:uid="{00000000-0005-0000-0000-0000784B0000}"/>
    <cellStyle name="40% - Accent5 3 3 4 2" xfId="3286" xr:uid="{00000000-0005-0000-0000-0000794B0000}"/>
    <cellStyle name="40% - Accent5 3 3 4 2 2" xfId="18435" xr:uid="{00000000-0005-0000-0000-00007A4B0000}"/>
    <cellStyle name="40% - Accent5 3 3 4 20" xfId="47048" xr:uid="{00000000-0005-0000-0000-00007B4B0000}"/>
    <cellStyle name="40% - Accent5 3 3 4 21" xfId="48731" xr:uid="{00000000-0005-0000-0000-00007C4B0000}"/>
    <cellStyle name="40% - Accent5 3 3 4 22" xfId="50414" xr:uid="{00000000-0005-0000-0000-00007D4B0000}"/>
    <cellStyle name="40% - Accent5 3 3 4 23" xfId="52097" xr:uid="{00000000-0005-0000-0000-00007E4B0000}"/>
    <cellStyle name="40% - Accent5 3 3 4 24" xfId="53780" xr:uid="{00000000-0005-0000-0000-00007F4B0000}"/>
    <cellStyle name="40% - Accent5 3 3 4 25" xfId="55463" xr:uid="{00000000-0005-0000-0000-0000804B0000}"/>
    <cellStyle name="40% - Accent5 3 3 4 26" xfId="57146" xr:uid="{00000000-0005-0000-0000-0000814B0000}"/>
    <cellStyle name="40% - Accent5 3 3 4 27" xfId="58829" xr:uid="{00000000-0005-0000-0000-0000824B0000}"/>
    <cellStyle name="40% - Accent5 3 3 4 28" xfId="60512" xr:uid="{00000000-0005-0000-0000-0000834B0000}"/>
    <cellStyle name="40% - Accent5 3 3 4 29" xfId="62195" xr:uid="{00000000-0005-0000-0000-0000844B0000}"/>
    <cellStyle name="40% - Accent5 3 3 4 3" xfId="4970" xr:uid="{00000000-0005-0000-0000-0000854B0000}"/>
    <cellStyle name="40% - Accent5 3 3 4 3 2" xfId="20119" xr:uid="{00000000-0005-0000-0000-0000864B0000}"/>
    <cellStyle name="40% - Accent5 3 3 4 30" xfId="63878" xr:uid="{00000000-0005-0000-0000-0000874B0000}"/>
    <cellStyle name="40% - Accent5 3 3 4 4" xfId="6653" xr:uid="{00000000-0005-0000-0000-0000884B0000}"/>
    <cellStyle name="40% - Accent5 3 3 4 4 2" xfId="21802" xr:uid="{00000000-0005-0000-0000-0000894B0000}"/>
    <cellStyle name="40% - Accent5 3 3 4 5" xfId="8336" xr:uid="{00000000-0005-0000-0000-00008A4B0000}"/>
    <cellStyle name="40% - Accent5 3 3 4 5 2" xfId="23485" xr:uid="{00000000-0005-0000-0000-00008B4B0000}"/>
    <cellStyle name="40% - Accent5 3 3 4 6" xfId="10019" xr:uid="{00000000-0005-0000-0000-00008C4B0000}"/>
    <cellStyle name="40% - Accent5 3 3 4 6 2" xfId="25168" xr:uid="{00000000-0005-0000-0000-00008D4B0000}"/>
    <cellStyle name="40% - Accent5 3 3 4 7" xfId="11702" xr:uid="{00000000-0005-0000-0000-00008E4B0000}"/>
    <cellStyle name="40% - Accent5 3 3 4 7 2" xfId="26851" xr:uid="{00000000-0005-0000-0000-00008F4B0000}"/>
    <cellStyle name="40% - Accent5 3 3 4 8" xfId="13386" xr:uid="{00000000-0005-0000-0000-0000904B0000}"/>
    <cellStyle name="40% - Accent5 3 3 4 8 2" xfId="28535" xr:uid="{00000000-0005-0000-0000-0000914B0000}"/>
    <cellStyle name="40% - Accent5 3 3 4 9" xfId="15069" xr:uid="{00000000-0005-0000-0000-0000924B0000}"/>
    <cellStyle name="40% - Accent5 3 3 4 9 2" xfId="30218" xr:uid="{00000000-0005-0000-0000-0000934B0000}"/>
    <cellStyle name="40% - Accent5 3 3 5" xfId="2024" xr:uid="{00000000-0005-0000-0000-0000944B0000}"/>
    <cellStyle name="40% - Accent5 3 3 5 2" xfId="17173" xr:uid="{00000000-0005-0000-0000-0000954B0000}"/>
    <cellStyle name="40% - Accent5 3 3 6" xfId="3708" xr:uid="{00000000-0005-0000-0000-0000964B0000}"/>
    <cellStyle name="40% - Accent5 3 3 6 2" xfId="18857" xr:uid="{00000000-0005-0000-0000-0000974B0000}"/>
    <cellStyle name="40% - Accent5 3 3 7" xfId="5391" xr:uid="{00000000-0005-0000-0000-0000984B0000}"/>
    <cellStyle name="40% - Accent5 3 3 7 2" xfId="20540" xr:uid="{00000000-0005-0000-0000-0000994B0000}"/>
    <cellStyle name="40% - Accent5 3 3 8" xfId="7074" xr:uid="{00000000-0005-0000-0000-00009A4B0000}"/>
    <cellStyle name="40% - Accent5 3 3 8 2" xfId="22223" xr:uid="{00000000-0005-0000-0000-00009B4B0000}"/>
    <cellStyle name="40% - Accent5 3 3 9" xfId="8757" xr:uid="{00000000-0005-0000-0000-00009C4B0000}"/>
    <cellStyle name="40% - Accent5 3 3 9 2" xfId="23906" xr:uid="{00000000-0005-0000-0000-00009D4B0000}"/>
    <cellStyle name="40% - Accent5 3 30" xfId="53991" xr:uid="{00000000-0005-0000-0000-00009E4B0000}"/>
    <cellStyle name="40% - Accent5 3 31" xfId="55674" xr:uid="{00000000-0005-0000-0000-00009F4B0000}"/>
    <cellStyle name="40% - Accent5 3 32" xfId="57357" xr:uid="{00000000-0005-0000-0000-0000A04B0000}"/>
    <cellStyle name="40% - Accent5 3 33" xfId="59040" xr:uid="{00000000-0005-0000-0000-0000A14B0000}"/>
    <cellStyle name="40% - Accent5 3 34" xfId="60723" xr:uid="{00000000-0005-0000-0000-0000A24B0000}"/>
    <cellStyle name="40% - Accent5 3 35" xfId="62406" xr:uid="{00000000-0005-0000-0000-0000A34B0000}"/>
    <cellStyle name="40% - Accent5 3 4" xfId="551" xr:uid="{00000000-0005-0000-0000-0000A44B0000}"/>
    <cellStyle name="40% - Accent5 3 4 10" xfId="15700" xr:uid="{00000000-0005-0000-0000-0000A54B0000}"/>
    <cellStyle name="40% - Accent5 3 4 11" xfId="30849" xr:uid="{00000000-0005-0000-0000-0000A64B0000}"/>
    <cellStyle name="40% - Accent5 3 4 12" xfId="32532" xr:uid="{00000000-0005-0000-0000-0000A74B0000}"/>
    <cellStyle name="40% - Accent5 3 4 13" xfId="34215" xr:uid="{00000000-0005-0000-0000-0000A84B0000}"/>
    <cellStyle name="40% - Accent5 3 4 14" xfId="35898" xr:uid="{00000000-0005-0000-0000-0000A94B0000}"/>
    <cellStyle name="40% - Accent5 3 4 15" xfId="37581" xr:uid="{00000000-0005-0000-0000-0000AA4B0000}"/>
    <cellStyle name="40% - Accent5 3 4 16" xfId="39264" xr:uid="{00000000-0005-0000-0000-0000AB4B0000}"/>
    <cellStyle name="40% - Accent5 3 4 17" xfId="40947" xr:uid="{00000000-0005-0000-0000-0000AC4B0000}"/>
    <cellStyle name="40% - Accent5 3 4 18" xfId="42630" xr:uid="{00000000-0005-0000-0000-0000AD4B0000}"/>
    <cellStyle name="40% - Accent5 3 4 19" xfId="44313" xr:uid="{00000000-0005-0000-0000-0000AE4B0000}"/>
    <cellStyle name="40% - Accent5 3 4 2" xfId="2234" xr:uid="{00000000-0005-0000-0000-0000AF4B0000}"/>
    <cellStyle name="40% - Accent5 3 4 2 2" xfId="17383" xr:uid="{00000000-0005-0000-0000-0000B04B0000}"/>
    <cellStyle name="40% - Accent5 3 4 20" xfId="45996" xr:uid="{00000000-0005-0000-0000-0000B14B0000}"/>
    <cellStyle name="40% - Accent5 3 4 21" xfId="47679" xr:uid="{00000000-0005-0000-0000-0000B24B0000}"/>
    <cellStyle name="40% - Accent5 3 4 22" xfId="49362" xr:uid="{00000000-0005-0000-0000-0000B34B0000}"/>
    <cellStyle name="40% - Accent5 3 4 23" xfId="51045" xr:uid="{00000000-0005-0000-0000-0000B44B0000}"/>
    <cellStyle name="40% - Accent5 3 4 24" xfId="52728" xr:uid="{00000000-0005-0000-0000-0000B54B0000}"/>
    <cellStyle name="40% - Accent5 3 4 25" xfId="54411" xr:uid="{00000000-0005-0000-0000-0000B64B0000}"/>
    <cellStyle name="40% - Accent5 3 4 26" xfId="56094" xr:uid="{00000000-0005-0000-0000-0000B74B0000}"/>
    <cellStyle name="40% - Accent5 3 4 27" xfId="57777" xr:uid="{00000000-0005-0000-0000-0000B84B0000}"/>
    <cellStyle name="40% - Accent5 3 4 28" xfId="59460" xr:uid="{00000000-0005-0000-0000-0000B94B0000}"/>
    <cellStyle name="40% - Accent5 3 4 29" xfId="61143" xr:uid="{00000000-0005-0000-0000-0000BA4B0000}"/>
    <cellStyle name="40% - Accent5 3 4 3" xfId="3918" xr:uid="{00000000-0005-0000-0000-0000BB4B0000}"/>
    <cellStyle name="40% - Accent5 3 4 3 2" xfId="19067" xr:uid="{00000000-0005-0000-0000-0000BC4B0000}"/>
    <cellStyle name="40% - Accent5 3 4 30" xfId="62826" xr:uid="{00000000-0005-0000-0000-0000BD4B0000}"/>
    <cellStyle name="40% - Accent5 3 4 4" xfId="5601" xr:uid="{00000000-0005-0000-0000-0000BE4B0000}"/>
    <cellStyle name="40% - Accent5 3 4 4 2" xfId="20750" xr:uid="{00000000-0005-0000-0000-0000BF4B0000}"/>
    <cellStyle name="40% - Accent5 3 4 5" xfId="7284" xr:uid="{00000000-0005-0000-0000-0000C04B0000}"/>
    <cellStyle name="40% - Accent5 3 4 5 2" xfId="22433" xr:uid="{00000000-0005-0000-0000-0000C14B0000}"/>
    <cellStyle name="40% - Accent5 3 4 6" xfId="8967" xr:uid="{00000000-0005-0000-0000-0000C24B0000}"/>
    <cellStyle name="40% - Accent5 3 4 6 2" xfId="24116" xr:uid="{00000000-0005-0000-0000-0000C34B0000}"/>
    <cellStyle name="40% - Accent5 3 4 7" xfId="10650" xr:uid="{00000000-0005-0000-0000-0000C44B0000}"/>
    <cellStyle name="40% - Accent5 3 4 7 2" xfId="25799" xr:uid="{00000000-0005-0000-0000-0000C54B0000}"/>
    <cellStyle name="40% - Accent5 3 4 8" xfId="12334" xr:uid="{00000000-0005-0000-0000-0000C64B0000}"/>
    <cellStyle name="40% - Accent5 3 4 8 2" xfId="27483" xr:uid="{00000000-0005-0000-0000-0000C74B0000}"/>
    <cellStyle name="40% - Accent5 3 4 9" xfId="14017" xr:uid="{00000000-0005-0000-0000-0000C84B0000}"/>
    <cellStyle name="40% - Accent5 3 4 9 2" xfId="29166" xr:uid="{00000000-0005-0000-0000-0000C94B0000}"/>
    <cellStyle name="40% - Accent5 3 5" xfId="972" xr:uid="{00000000-0005-0000-0000-0000CA4B0000}"/>
    <cellStyle name="40% - Accent5 3 5 10" xfId="16121" xr:uid="{00000000-0005-0000-0000-0000CB4B0000}"/>
    <cellStyle name="40% - Accent5 3 5 11" xfId="31270" xr:uid="{00000000-0005-0000-0000-0000CC4B0000}"/>
    <cellStyle name="40% - Accent5 3 5 12" xfId="32953" xr:uid="{00000000-0005-0000-0000-0000CD4B0000}"/>
    <cellStyle name="40% - Accent5 3 5 13" xfId="34636" xr:uid="{00000000-0005-0000-0000-0000CE4B0000}"/>
    <cellStyle name="40% - Accent5 3 5 14" xfId="36319" xr:uid="{00000000-0005-0000-0000-0000CF4B0000}"/>
    <cellStyle name="40% - Accent5 3 5 15" xfId="38002" xr:uid="{00000000-0005-0000-0000-0000D04B0000}"/>
    <cellStyle name="40% - Accent5 3 5 16" xfId="39685" xr:uid="{00000000-0005-0000-0000-0000D14B0000}"/>
    <cellStyle name="40% - Accent5 3 5 17" xfId="41368" xr:uid="{00000000-0005-0000-0000-0000D24B0000}"/>
    <cellStyle name="40% - Accent5 3 5 18" xfId="43051" xr:uid="{00000000-0005-0000-0000-0000D34B0000}"/>
    <cellStyle name="40% - Accent5 3 5 19" xfId="44734" xr:uid="{00000000-0005-0000-0000-0000D44B0000}"/>
    <cellStyle name="40% - Accent5 3 5 2" xfId="2655" xr:uid="{00000000-0005-0000-0000-0000D54B0000}"/>
    <cellStyle name="40% - Accent5 3 5 2 2" xfId="17804" xr:uid="{00000000-0005-0000-0000-0000D64B0000}"/>
    <cellStyle name="40% - Accent5 3 5 20" xfId="46417" xr:uid="{00000000-0005-0000-0000-0000D74B0000}"/>
    <cellStyle name="40% - Accent5 3 5 21" xfId="48100" xr:uid="{00000000-0005-0000-0000-0000D84B0000}"/>
    <cellStyle name="40% - Accent5 3 5 22" xfId="49783" xr:uid="{00000000-0005-0000-0000-0000D94B0000}"/>
    <cellStyle name="40% - Accent5 3 5 23" xfId="51466" xr:uid="{00000000-0005-0000-0000-0000DA4B0000}"/>
    <cellStyle name="40% - Accent5 3 5 24" xfId="53149" xr:uid="{00000000-0005-0000-0000-0000DB4B0000}"/>
    <cellStyle name="40% - Accent5 3 5 25" xfId="54832" xr:uid="{00000000-0005-0000-0000-0000DC4B0000}"/>
    <cellStyle name="40% - Accent5 3 5 26" xfId="56515" xr:uid="{00000000-0005-0000-0000-0000DD4B0000}"/>
    <cellStyle name="40% - Accent5 3 5 27" xfId="58198" xr:uid="{00000000-0005-0000-0000-0000DE4B0000}"/>
    <cellStyle name="40% - Accent5 3 5 28" xfId="59881" xr:uid="{00000000-0005-0000-0000-0000DF4B0000}"/>
    <cellStyle name="40% - Accent5 3 5 29" xfId="61564" xr:uid="{00000000-0005-0000-0000-0000E04B0000}"/>
    <cellStyle name="40% - Accent5 3 5 3" xfId="4339" xr:uid="{00000000-0005-0000-0000-0000E14B0000}"/>
    <cellStyle name="40% - Accent5 3 5 3 2" xfId="19488" xr:uid="{00000000-0005-0000-0000-0000E24B0000}"/>
    <cellStyle name="40% - Accent5 3 5 30" xfId="63247" xr:uid="{00000000-0005-0000-0000-0000E34B0000}"/>
    <cellStyle name="40% - Accent5 3 5 4" xfId="6022" xr:uid="{00000000-0005-0000-0000-0000E44B0000}"/>
    <cellStyle name="40% - Accent5 3 5 4 2" xfId="21171" xr:uid="{00000000-0005-0000-0000-0000E54B0000}"/>
    <cellStyle name="40% - Accent5 3 5 5" xfId="7705" xr:uid="{00000000-0005-0000-0000-0000E64B0000}"/>
    <cellStyle name="40% - Accent5 3 5 5 2" xfId="22854" xr:uid="{00000000-0005-0000-0000-0000E74B0000}"/>
    <cellStyle name="40% - Accent5 3 5 6" xfId="9388" xr:uid="{00000000-0005-0000-0000-0000E84B0000}"/>
    <cellStyle name="40% - Accent5 3 5 6 2" xfId="24537" xr:uid="{00000000-0005-0000-0000-0000E94B0000}"/>
    <cellStyle name="40% - Accent5 3 5 7" xfId="11071" xr:uid="{00000000-0005-0000-0000-0000EA4B0000}"/>
    <cellStyle name="40% - Accent5 3 5 7 2" xfId="26220" xr:uid="{00000000-0005-0000-0000-0000EB4B0000}"/>
    <cellStyle name="40% - Accent5 3 5 8" xfId="12755" xr:uid="{00000000-0005-0000-0000-0000EC4B0000}"/>
    <cellStyle name="40% - Accent5 3 5 8 2" xfId="27904" xr:uid="{00000000-0005-0000-0000-0000ED4B0000}"/>
    <cellStyle name="40% - Accent5 3 5 9" xfId="14438" xr:uid="{00000000-0005-0000-0000-0000EE4B0000}"/>
    <cellStyle name="40% - Accent5 3 5 9 2" xfId="29587" xr:uid="{00000000-0005-0000-0000-0000EF4B0000}"/>
    <cellStyle name="40% - Accent5 3 6" xfId="1393" xr:uid="{00000000-0005-0000-0000-0000F04B0000}"/>
    <cellStyle name="40% - Accent5 3 6 10" xfId="16542" xr:uid="{00000000-0005-0000-0000-0000F14B0000}"/>
    <cellStyle name="40% - Accent5 3 6 11" xfId="31691" xr:uid="{00000000-0005-0000-0000-0000F24B0000}"/>
    <cellStyle name="40% - Accent5 3 6 12" xfId="33374" xr:uid="{00000000-0005-0000-0000-0000F34B0000}"/>
    <cellStyle name="40% - Accent5 3 6 13" xfId="35057" xr:uid="{00000000-0005-0000-0000-0000F44B0000}"/>
    <cellStyle name="40% - Accent5 3 6 14" xfId="36740" xr:uid="{00000000-0005-0000-0000-0000F54B0000}"/>
    <cellStyle name="40% - Accent5 3 6 15" xfId="38423" xr:uid="{00000000-0005-0000-0000-0000F64B0000}"/>
    <cellStyle name="40% - Accent5 3 6 16" xfId="40106" xr:uid="{00000000-0005-0000-0000-0000F74B0000}"/>
    <cellStyle name="40% - Accent5 3 6 17" xfId="41789" xr:uid="{00000000-0005-0000-0000-0000F84B0000}"/>
    <cellStyle name="40% - Accent5 3 6 18" xfId="43472" xr:uid="{00000000-0005-0000-0000-0000F94B0000}"/>
    <cellStyle name="40% - Accent5 3 6 19" xfId="45155" xr:uid="{00000000-0005-0000-0000-0000FA4B0000}"/>
    <cellStyle name="40% - Accent5 3 6 2" xfId="3076" xr:uid="{00000000-0005-0000-0000-0000FB4B0000}"/>
    <cellStyle name="40% - Accent5 3 6 2 2" xfId="18225" xr:uid="{00000000-0005-0000-0000-0000FC4B0000}"/>
    <cellStyle name="40% - Accent5 3 6 20" xfId="46838" xr:uid="{00000000-0005-0000-0000-0000FD4B0000}"/>
    <cellStyle name="40% - Accent5 3 6 21" xfId="48521" xr:uid="{00000000-0005-0000-0000-0000FE4B0000}"/>
    <cellStyle name="40% - Accent5 3 6 22" xfId="50204" xr:uid="{00000000-0005-0000-0000-0000FF4B0000}"/>
    <cellStyle name="40% - Accent5 3 6 23" xfId="51887" xr:uid="{00000000-0005-0000-0000-0000004C0000}"/>
    <cellStyle name="40% - Accent5 3 6 24" xfId="53570" xr:uid="{00000000-0005-0000-0000-0000014C0000}"/>
    <cellStyle name="40% - Accent5 3 6 25" xfId="55253" xr:uid="{00000000-0005-0000-0000-0000024C0000}"/>
    <cellStyle name="40% - Accent5 3 6 26" xfId="56936" xr:uid="{00000000-0005-0000-0000-0000034C0000}"/>
    <cellStyle name="40% - Accent5 3 6 27" xfId="58619" xr:uid="{00000000-0005-0000-0000-0000044C0000}"/>
    <cellStyle name="40% - Accent5 3 6 28" xfId="60302" xr:uid="{00000000-0005-0000-0000-0000054C0000}"/>
    <cellStyle name="40% - Accent5 3 6 29" xfId="61985" xr:uid="{00000000-0005-0000-0000-0000064C0000}"/>
    <cellStyle name="40% - Accent5 3 6 3" xfId="4760" xr:uid="{00000000-0005-0000-0000-0000074C0000}"/>
    <cellStyle name="40% - Accent5 3 6 3 2" xfId="19909" xr:uid="{00000000-0005-0000-0000-0000084C0000}"/>
    <cellStyle name="40% - Accent5 3 6 30" xfId="63668" xr:uid="{00000000-0005-0000-0000-0000094C0000}"/>
    <cellStyle name="40% - Accent5 3 6 4" xfId="6443" xr:uid="{00000000-0005-0000-0000-00000A4C0000}"/>
    <cellStyle name="40% - Accent5 3 6 4 2" xfId="21592" xr:uid="{00000000-0005-0000-0000-00000B4C0000}"/>
    <cellStyle name="40% - Accent5 3 6 5" xfId="8126" xr:uid="{00000000-0005-0000-0000-00000C4C0000}"/>
    <cellStyle name="40% - Accent5 3 6 5 2" xfId="23275" xr:uid="{00000000-0005-0000-0000-00000D4C0000}"/>
    <cellStyle name="40% - Accent5 3 6 6" xfId="9809" xr:uid="{00000000-0005-0000-0000-00000E4C0000}"/>
    <cellStyle name="40% - Accent5 3 6 6 2" xfId="24958" xr:uid="{00000000-0005-0000-0000-00000F4C0000}"/>
    <cellStyle name="40% - Accent5 3 6 7" xfId="11492" xr:uid="{00000000-0005-0000-0000-0000104C0000}"/>
    <cellStyle name="40% - Accent5 3 6 7 2" xfId="26641" xr:uid="{00000000-0005-0000-0000-0000114C0000}"/>
    <cellStyle name="40% - Accent5 3 6 8" xfId="13176" xr:uid="{00000000-0005-0000-0000-0000124C0000}"/>
    <cellStyle name="40% - Accent5 3 6 8 2" xfId="28325" xr:uid="{00000000-0005-0000-0000-0000134C0000}"/>
    <cellStyle name="40% - Accent5 3 6 9" xfId="14859" xr:uid="{00000000-0005-0000-0000-0000144C0000}"/>
    <cellStyle name="40% - Accent5 3 6 9 2" xfId="30008" xr:uid="{00000000-0005-0000-0000-0000154C0000}"/>
    <cellStyle name="40% - Accent5 3 7" xfId="1814" xr:uid="{00000000-0005-0000-0000-0000164C0000}"/>
    <cellStyle name="40% - Accent5 3 7 2" xfId="16963" xr:uid="{00000000-0005-0000-0000-0000174C0000}"/>
    <cellStyle name="40% - Accent5 3 8" xfId="3498" xr:uid="{00000000-0005-0000-0000-0000184C0000}"/>
    <cellStyle name="40% - Accent5 3 8 2" xfId="18647" xr:uid="{00000000-0005-0000-0000-0000194C0000}"/>
    <cellStyle name="40% - Accent5 3 9" xfId="5181" xr:uid="{00000000-0005-0000-0000-00001A4C0000}"/>
    <cellStyle name="40% - Accent5 3 9 2" xfId="20330" xr:uid="{00000000-0005-0000-0000-00001B4C0000}"/>
    <cellStyle name="40% - Accent5 30" xfId="50583" xr:uid="{00000000-0005-0000-0000-00001C4C0000}"/>
    <cellStyle name="40% - Accent5 31" xfId="52266" xr:uid="{00000000-0005-0000-0000-00001D4C0000}"/>
    <cellStyle name="40% - Accent5 32" xfId="53949" xr:uid="{00000000-0005-0000-0000-00001E4C0000}"/>
    <cellStyle name="40% - Accent5 33" xfId="55632" xr:uid="{00000000-0005-0000-0000-00001F4C0000}"/>
    <cellStyle name="40% - Accent5 34" xfId="57315" xr:uid="{00000000-0005-0000-0000-0000204C0000}"/>
    <cellStyle name="40% - Accent5 35" xfId="58998" xr:uid="{00000000-0005-0000-0000-0000214C0000}"/>
    <cellStyle name="40% - Accent5 36" xfId="60681" xr:uid="{00000000-0005-0000-0000-0000224C0000}"/>
    <cellStyle name="40% - Accent5 37" xfId="62364" xr:uid="{00000000-0005-0000-0000-0000234C0000}"/>
    <cellStyle name="40% - Accent5 4" xfId="194" xr:uid="{00000000-0005-0000-0000-0000244C0000}"/>
    <cellStyle name="40% - Accent5 4 10" xfId="8610" xr:uid="{00000000-0005-0000-0000-0000254C0000}"/>
    <cellStyle name="40% - Accent5 4 10 2" xfId="23759" xr:uid="{00000000-0005-0000-0000-0000264C0000}"/>
    <cellStyle name="40% - Accent5 4 11" xfId="10293" xr:uid="{00000000-0005-0000-0000-0000274C0000}"/>
    <cellStyle name="40% - Accent5 4 11 2" xfId="25442" xr:uid="{00000000-0005-0000-0000-0000284C0000}"/>
    <cellStyle name="40% - Accent5 4 12" xfId="11977" xr:uid="{00000000-0005-0000-0000-0000294C0000}"/>
    <cellStyle name="40% - Accent5 4 12 2" xfId="27126" xr:uid="{00000000-0005-0000-0000-00002A4C0000}"/>
    <cellStyle name="40% - Accent5 4 13" xfId="13660" xr:uid="{00000000-0005-0000-0000-00002B4C0000}"/>
    <cellStyle name="40% - Accent5 4 13 2" xfId="28809" xr:uid="{00000000-0005-0000-0000-00002C4C0000}"/>
    <cellStyle name="40% - Accent5 4 14" xfId="15343" xr:uid="{00000000-0005-0000-0000-00002D4C0000}"/>
    <cellStyle name="40% - Accent5 4 15" xfId="30492" xr:uid="{00000000-0005-0000-0000-00002E4C0000}"/>
    <cellStyle name="40% - Accent5 4 16" xfId="32175" xr:uid="{00000000-0005-0000-0000-00002F4C0000}"/>
    <cellStyle name="40% - Accent5 4 17" xfId="33858" xr:uid="{00000000-0005-0000-0000-0000304C0000}"/>
    <cellStyle name="40% - Accent5 4 18" xfId="35541" xr:uid="{00000000-0005-0000-0000-0000314C0000}"/>
    <cellStyle name="40% - Accent5 4 19" xfId="37224" xr:uid="{00000000-0005-0000-0000-0000324C0000}"/>
    <cellStyle name="40% - Accent5 4 2" xfId="404" xr:uid="{00000000-0005-0000-0000-0000334C0000}"/>
    <cellStyle name="40% - Accent5 4 2 10" xfId="10503" xr:uid="{00000000-0005-0000-0000-0000344C0000}"/>
    <cellStyle name="40% - Accent5 4 2 10 2" xfId="25652" xr:uid="{00000000-0005-0000-0000-0000354C0000}"/>
    <cellStyle name="40% - Accent5 4 2 11" xfId="12187" xr:uid="{00000000-0005-0000-0000-0000364C0000}"/>
    <cellStyle name="40% - Accent5 4 2 11 2" xfId="27336" xr:uid="{00000000-0005-0000-0000-0000374C0000}"/>
    <cellStyle name="40% - Accent5 4 2 12" xfId="13870" xr:uid="{00000000-0005-0000-0000-0000384C0000}"/>
    <cellStyle name="40% - Accent5 4 2 12 2" xfId="29019" xr:uid="{00000000-0005-0000-0000-0000394C0000}"/>
    <cellStyle name="40% - Accent5 4 2 13" xfId="15553" xr:uid="{00000000-0005-0000-0000-00003A4C0000}"/>
    <cellStyle name="40% - Accent5 4 2 14" xfId="30702" xr:uid="{00000000-0005-0000-0000-00003B4C0000}"/>
    <cellStyle name="40% - Accent5 4 2 15" xfId="32385" xr:uid="{00000000-0005-0000-0000-00003C4C0000}"/>
    <cellStyle name="40% - Accent5 4 2 16" xfId="34068" xr:uid="{00000000-0005-0000-0000-00003D4C0000}"/>
    <cellStyle name="40% - Accent5 4 2 17" xfId="35751" xr:uid="{00000000-0005-0000-0000-00003E4C0000}"/>
    <cellStyle name="40% - Accent5 4 2 18" xfId="37434" xr:uid="{00000000-0005-0000-0000-00003F4C0000}"/>
    <cellStyle name="40% - Accent5 4 2 19" xfId="39117" xr:uid="{00000000-0005-0000-0000-0000404C0000}"/>
    <cellStyle name="40% - Accent5 4 2 2" xfId="824" xr:uid="{00000000-0005-0000-0000-0000414C0000}"/>
    <cellStyle name="40% - Accent5 4 2 2 10" xfId="15973" xr:uid="{00000000-0005-0000-0000-0000424C0000}"/>
    <cellStyle name="40% - Accent5 4 2 2 11" xfId="31122" xr:uid="{00000000-0005-0000-0000-0000434C0000}"/>
    <cellStyle name="40% - Accent5 4 2 2 12" xfId="32805" xr:uid="{00000000-0005-0000-0000-0000444C0000}"/>
    <cellStyle name="40% - Accent5 4 2 2 13" xfId="34488" xr:uid="{00000000-0005-0000-0000-0000454C0000}"/>
    <cellStyle name="40% - Accent5 4 2 2 14" xfId="36171" xr:uid="{00000000-0005-0000-0000-0000464C0000}"/>
    <cellStyle name="40% - Accent5 4 2 2 15" xfId="37854" xr:uid="{00000000-0005-0000-0000-0000474C0000}"/>
    <cellStyle name="40% - Accent5 4 2 2 16" xfId="39537" xr:uid="{00000000-0005-0000-0000-0000484C0000}"/>
    <cellStyle name="40% - Accent5 4 2 2 17" xfId="41220" xr:uid="{00000000-0005-0000-0000-0000494C0000}"/>
    <cellStyle name="40% - Accent5 4 2 2 18" xfId="42903" xr:uid="{00000000-0005-0000-0000-00004A4C0000}"/>
    <cellStyle name="40% - Accent5 4 2 2 19" xfId="44586" xr:uid="{00000000-0005-0000-0000-00004B4C0000}"/>
    <cellStyle name="40% - Accent5 4 2 2 2" xfId="2507" xr:uid="{00000000-0005-0000-0000-00004C4C0000}"/>
    <cellStyle name="40% - Accent5 4 2 2 2 2" xfId="17656" xr:uid="{00000000-0005-0000-0000-00004D4C0000}"/>
    <cellStyle name="40% - Accent5 4 2 2 20" xfId="46269" xr:uid="{00000000-0005-0000-0000-00004E4C0000}"/>
    <cellStyle name="40% - Accent5 4 2 2 21" xfId="47952" xr:uid="{00000000-0005-0000-0000-00004F4C0000}"/>
    <cellStyle name="40% - Accent5 4 2 2 22" xfId="49635" xr:uid="{00000000-0005-0000-0000-0000504C0000}"/>
    <cellStyle name="40% - Accent5 4 2 2 23" xfId="51318" xr:uid="{00000000-0005-0000-0000-0000514C0000}"/>
    <cellStyle name="40% - Accent5 4 2 2 24" xfId="53001" xr:uid="{00000000-0005-0000-0000-0000524C0000}"/>
    <cellStyle name="40% - Accent5 4 2 2 25" xfId="54684" xr:uid="{00000000-0005-0000-0000-0000534C0000}"/>
    <cellStyle name="40% - Accent5 4 2 2 26" xfId="56367" xr:uid="{00000000-0005-0000-0000-0000544C0000}"/>
    <cellStyle name="40% - Accent5 4 2 2 27" xfId="58050" xr:uid="{00000000-0005-0000-0000-0000554C0000}"/>
    <cellStyle name="40% - Accent5 4 2 2 28" xfId="59733" xr:uid="{00000000-0005-0000-0000-0000564C0000}"/>
    <cellStyle name="40% - Accent5 4 2 2 29" xfId="61416" xr:uid="{00000000-0005-0000-0000-0000574C0000}"/>
    <cellStyle name="40% - Accent5 4 2 2 3" xfId="4191" xr:uid="{00000000-0005-0000-0000-0000584C0000}"/>
    <cellStyle name="40% - Accent5 4 2 2 3 2" xfId="19340" xr:uid="{00000000-0005-0000-0000-0000594C0000}"/>
    <cellStyle name="40% - Accent5 4 2 2 30" xfId="63099" xr:uid="{00000000-0005-0000-0000-00005A4C0000}"/>
    <cellStyle name="40% - Accent5 4 2 2 4" xfId="5874" xr:uid="{00000000-0005-0000-0000-00005B4C0000}"/>
    <cellStyle name="40% - Accent5 4 2 2 4 2" xfId="21023" xr:uid="{00000000-0005-0000-0000-00005C4C0000}"/>
    <cellStyle name="40% - Accent5 4 2 2 5" xfId="7557" xr:uid="{00000000-0005-0000-0000-00005D4C0000}"/>
    <cellStyle name="40% - Accent5 4 2 2 5 2" xfId="22706" xr:uid="{00000000-0005-0000-0000-00005E4C0000}"/>
    <cellStyle name="40% - Accent5 4 2 2 6" xfId="9240" xr:uid="{00000000-0005-0000-0000-00005F4C0000}"/>
    <cellStyle name="40% - Accent5 4 2 2 6 2" xfId="24389" xr:uid="{00000000-0005-0000-0000-0000604C0000}"/>
    <cellStyle name="40% - Accent5 4 2 2 7" xfId="10923" xr:uid="{00000000-0005-0000-0000-0000614C0000}"/>
    <cellStyle name="40% - Accent5 4 2 2 7 2" xfId="26072" xr:uid="{00000000-0005-0000-0000-0000624C0000}"/>
    <cellStyle name="40% - Accent5 4 2 2 8" xfId="12607" xr:uid="{00000000-0005-0000-0000-0000634C0000}"/>
    <cellStyle name="40% - Accent5 4 2 2 8 2" xfId="27756" xr:uid="{00000000-0005-0000-0000-0000644C0000}"/>
    <cellStyle name="40% - Accent5 4 2 2 9" xfId="14290" xr:uid="{00000000-0005-0000-0000-0000654C0000}"/>
    <cellStyle name="40% - Accent5 4 2 2 9 2" xfId="29439" xr:uid="{00000000-0005-0000-0000-0000664C0000}"/>
    <cellStyle name="40% - Accent5 4 2 20" xfId="40800" xr:uid="{00000000-0005-0000-0000-0000674C0000}"/>
    <cellStyle name="40% - Accent5 4 2 21" xfId="42483" xr:uid="{00000000-0005-0000-0000-0000684C0000}"/>
    <cellStyle name="40% - Accent5 4 2 22" xfId="44166" xr:uid="{00000000-0005-0000-0000-0000694C0000}"/>
    <cellStyle name="40% - Accent5 4 2 23" xfId="45849" xr:uid="{00000000-0005-0000-0000-00006A4C0000}"/>
    <cellStyle name="40% - Accent5 4 2 24" xfId="47532" xr:uid="{00000000-0005-0000-0000-00006B4C0000}"/>
    <cellStyle name="40% - Accent5 4 2 25" xfId="49215" xr:uid="{00000000-0005-0000-0000-00006C4C0000}"/>
    <cellStyle name="40% - Accent5 4 2 26" xfId="50898" xr:uid="{00000000-0005-0000-0000-00006D4C0000}"/>
    <cellStyle name="40% - Accent5 4 2 27" xfId="52581" xr:uid="{00000000-0005-0000-0000-00006E4C0000}"/>
    <cellStyle name="40% - Accent5 4 2 28" xfId="54264" xr:uid="{00000000-0005-0000-0000-00006F4C0000}"/>
    <cellStyle name="40% - Accent5 4 2 29" xfId="55947" xr:uid="{00000000-0005-0000-0000-0000704C0000}"/>
    <cellStyle name="40% - Accent5 4 2 3" xfId="1245" xr:uid="{00000000-0005-0000-0000-0000714C0000}"/>
    <cellStyle name="40% - Accent5 4 2 3 10" xfId="16394" xr:uid="{00000000-0005-0000-0000-0000724C0000}"/>
    <cellStyle name="40% - Accent5 4 2 3 11" xfId="31543" xr:uid="{00000000-0005-0000-0000-0000734C0000}"/>
    <cellStyle name="40% - Accent5 4 2 3 12" xfId="33226" xr:uid="{00000000-0005-0000-0000-0000744C0000}"/>
    <cellStyle name="40% - Accent5 4 2 3 13" xfId="34909" xr:uid="{00000000-0005-0000-0000-0000754C0000}"/>
    <cellStyle name="40% - Accent5 4 2 3 14" xfId="36592" xr:uid="{00000000-0005-0000-0000-0000764C0000}"/>
    <cellStyle name="40% - Accent5 4 2 3 15" xfId="38275" xr:uid="{00000000-0005-0000-0000-0000774C0000}"/>
    <cellStyle name="40% - Accent5 4 2 3 16" xfId="39958" xr:uid="{00000000-0005-0000-0000-0000784C0000}"/>
    <cellStyle name="40% - Accent5 4 2 3 17" xfId="41641" xr:uid="{00000000-0005-0000-0000-0000794C0000}"/>
    <cellStyle name="40% - Accent5 4 2 3 18" xfId="43324" xr:uid="{00000000-0005-0000-0000-00007A4C0000}"/>
    <cellStyle name="40% - Accent5 4 2 3 19" xfId="45007" xr:uid="{00000000-0005-0000-0000-00007B4C0000}"/>
    <cellStyle name="40% - Accent5 4 2 3 2" xfId="2928" xr:uid="{00000000-0005-0000-0000-00007C4C0000}"/>
    <cellStyle name="40% - Accent5 4 2 3 2 2" xfId="18077" xr:uid="{00000000-0005-0000-0000-00007D4C0000}"/>
    <cellStyle name="40% - Accent5 4 2 3 20" xfId="46690" xr:uid="{00000000-0005-0000-0000-00007E4C0000}"/>
    <cellStyle name="40% - Accent5 4 2 3 21" xfId="48373" xr:uid="{00000000-0005-0000-0000-00007F4C0000}"/>
    <cellStyle name="40% - Accent5 4 2 3 22" xfId="50056" xr:uid="{00000000-0005-0000-0000-0000804C0000}"/>
    <cellStyle name="40% - Accent5 4 2 3 23" xfId="51739" xr:uid="{00000000-0005-0000-0000-0000814C0000}"/>
    <cellStyle name="40% - Accent5 4 2 3 24" xfId="53422" xr:uid="{00000000-0005-0000-0000-0000824C0000}"/>
    <cellStyle name="40% - Accent5 4 2 3 25" xfId="55105" xr:uid="{00000000-0005-0000-0000-0000834C0000}"/>
    <cellStyle name="40% - Accent5 4 2 3 26" xfId="56788" xr:uid="{00000000-0005-0000-0000-0000844C0000}"/>
    <cellStyle name="40% - Accent5 4 2 3 27" xfId="58471" xr:uid="{00000000-0005-0000-0000-0000854C0000}"/>
    <cellStyle name="40% - Accent5 4 2 3 28" xfId="60154" xr:uid="{00000000-0005-0000-0000-0000864C0000}"/>
    <cellStyle name="40% - Accent5 4 2 3 29" xfId="61837" xr:uid="{00000000-0005-0000-0000-0000874C0000}"/>
    <cellStyle name="40% - Accent5 4 2 3 3" xfId="4612" xr:uid="{00000000-0005-0000-0000-0000884C0000}"/>
    <cellStyle name="40% - Accent5 4 2 3 3 2" xfId="19761" xr:uid="{00000000-0005-0000-0000-0000894C0000}"/>
    <cellStyle name="40% - Accent5 4 2 3 30" xfId="63520" xr:uid="{00000000-0005-0000-0000-00008A4C0000}"/>
    <cellStyle name="40% - Accent5 4 2 3 4" xfId="6295" xr:uid="{00000000-0005-0000-0000-00008B4C0000}"/>
    <cellStyle name="40% - Accent5 4 2 3 4 2" xfId="21444" xr:uid="{00000000-0005-0000-0000-00008C4C0000}"/>
    <cellStyle name="40% - Accent5 4 2 3 5" xfId="7978" xr:uid="{00000000-0005-0000-0000-00008D4C0000}"/>
    <cellStyle name="40% - Accent5 4 2 3 5 2" xfId="23127" xr:uid="{00000000-0005-0000-0000-00008E4C0000}"/>
    <cellStyle name="40% - Accent5 4 2 3 6" xfId="9661" xr:uid="{00000000-0005-0000-0000-00008F4C0000}"/>
    <cellStyle name="40% - Accent5 4 2 3 6 2" xfId="24810" xr:uid="{00000000-0005-0000-0000-0000904C0000}"/>
    <cellStyle name="40% - Accent5 4 2 3 7" xfId="11344" xr:uid="{00000000-0005-0000-0000-0000914C0000}"/>
    <cellStyle name="40% - Accent5 4 2 3 7 2" xfId="26493" xr:uid="{00000000-0005-0000-0000-0000924C0000}"/>
    <cellStyle name="40% - Accent5 4 2 3 8" xfId="13028" xr:uid="{00000000-0005-0000-0000-0000934C0000}"/>
    <cellStyle name="40% - Accent5 4 2 3 8 2" xfId="28177" xr:uid="{00000000-0005-0000-0000-0000944C0000}"/>
    <cellStyle name="40% - Accent5 4 2 3 9" xfId="14711" xr:uid="{00000000-0005-0000-0000-0000954C0000}"/>
    <cellStyle name="40% - Accent5 4 2 3 9 2" xfId="29860" xr:uid="{00000000-0005-0000-0000-0000964C0000}"/>
    <cellStyle name="40% - Accent5 4 2 30" xfId="57630" xr:uid="{00000000-0005-0000-0000-0000974C0000}"/>
    <cellStyle name="40% - Accent5 4 2 31" xfId="59313" xr:uid="{00000000-0005-0000-0000-0000984C0000}"/>
    <cellStyle name="40% - Accent5 4 2 32" xfId="60996" xr:uid="{00000000-0005-0000-0000-0000994C0000}"/>
    <cellStyle name="40% - Accent5 4 2 33" xfId="62679" xr:uid="{00000000-0005-0000-0000-00009A4C0000}"/>
    <cellStyle name="40% - Accent5 4 2 4" xfId="1666" xr:uid="{00000000-0005-0000-0000-00009B4C0000}"/>
    <cellStyle name="40% - Accent5 4 2 4 10" xfId="16815" xr:uid="{00000000-0005-0000-0000-00009C4C0000}"/>
    <cellStyle name="40% - Accent5 4 2 4 11" xfId="31964" xr:uid="{00000000-0005-0000-0000-00009D4C0000}"/>
    <cellStyle name="40% - Accent5 4 2 4 12" xfId="33647" xr:uid="{00000000-0005-0000-0000-00009E4C0000}"/>
    <cellStyle name="40% - Accent5 4 2 4 13" xfId="35330" xr:uid="{00000000-0005-0000-0000-00009F4C0000}"/>
    <cellStyle name="40% - Accent5 4 2 4 14" xfId="37013" xr:uid="{00000000-0005-0000-0000-0000A04C0000}"/>
    <cellStyle name="40% - Accent5 4 2 4 15" xfId="38696" xr:uid="{00000000-0005-0000-0000-0000A14C0000}"/>
    <cellStyle name="40% - Accent5 4 2 4 16" xfId="40379" xr:uid="{00000000-0005-0000-0000-0000A24C0000}"/>
    <cellStyle name="40% - Accent5 4 2 4 17" xfId="42062" xr:uid="{00000000-0005-0000-0000-0000A34C0000}"/>
    <cellStyle name="40% - Accent5 4 2 4 18" xfId="43745" xr:uid="{00000000-0005-0000-0000-0000A44C0000}"/>
    <cellStyle name="40% - Accent5 4 2 4 19" xfId="45428" xr:uid="{00000000-0005-0000-0000-0000A54C0000}"/>
    <cellStyle name="40% - Accent5 4 2 4 2" xfId="3349" xr:uid="{00000000-0005-0000-0000-0000A64C0000}"/>
    <cellStyle name="40% - Accent5 4 2 4 2 2" xfId="18498" xr:uid="{00000000-0005-0000-0000-0000A74C0000}"/>
    <cellStyle name="40% - Accent5 4 2 4 20" xfId="47111" xr:uid="{00000000-0005-0000-0000-0000A84C0000}"/>
    <cellStyle name="40% - Accent5 4 2 4 21" xfId="48794" xr:uid="{00000000-0005-0000-0000-0000A94C0000}"/>
    <cellStyle name="40% - Accent5 4 2 4 22" xfId="50477" xr:uid="{00000000-0005-0000-0000-0000AA4C0000}"/>
    <cellStyle name="40% - Accent5 4 2 4 23" xfId="52160" xr:uid="{00000000-0005-0000-0000-0000AB4C0000}"/>
    <cellStyle name="40% - Accent5 4 2 4 24" xfId="53843" xr:uid="{00000000-0005-0000-0000-0000AC4C0000}"/>
    <cellStyle name="40% - Accent5 4 2 4 25" xfId="55526" xr:uid="{00000000-0005-0000-0000-0000AD4C0000}"/>
    <cellStyle name="40% - Accent5 4 2 4 26" xfId="57209" xr:uid="{00000000-0005-0000-0000-0000AE4C0000}"/>
    <cellStyle name="40% - Accent5 4 2 4 27" xfId="58892" xr:uid="{00000000-0005-0000-0000-0000AF4C0000}"/>
    <cellStyle name="40% - Accent5 4 2 4 28" xfId="60575" xr:uid="{00000000-0005-0000-0000-0000B04C0000}"/>
    <cellStyle name="40% - Accent5 4 2 4 29" xfId="62258" xr:uid="{00000000-0005-0000-0000-0000B14C0000}"/>
    <cellStyle name="40% - Accent5 4 2 4 3" xfId="5033" xr:uid="{00000000-0005-0000-0000-0000B24C0000}"/>
    <cellStyle name="40% - Accent5 4 2 4 3 2" xfId="20182" xr:uid="{00000000-0005-0000-0000-0000B34C0000}"/>
    <cellStyle name="40% - Accent5 4 2 4 30" xfId="63941" xr:uid="{00000000-0005-0000-0000-0000B44C0000}"/>
    <cellStyle name="40% - Accent5 4 2 4 4" xfId="6716" xr:uid="{00000000-0005-0000-0000-0000B54C0000}"/>
    <cellStyle name="40% - Accent5 4 2 4 4 2" xfId="21865" xr:uid="{00000000-0005-0000-0000-0000B64C0000}"/>
    <cellStyle name="40% - Accent5 4 2 4 5" xfId="8399" xr:uid="{00000000-0005-0000-0000-0000B74C0000}"/>
    <cellStyle name="40% - Accent5 4 2 4 5 2" xfId="23548" xr:uid="{00000000-0005-0000-0000-0000B84C0000}"/>
    <cellStyle name="40% - Accent5 4 2 4 6" xfId="10082" xr:uid="{00000000-0005-0000-0000-0000B94C0000}"/>
    <cellStyle name="40% - Accent5 4 2 4 6 2" xfId="25231" xr:uid="{00000000-0005-0000-0000-0000BA4C0000}"/>
    <cellStyle name="40% - Accent5 4 2 4 7" xfId="11765" xr:uid="{00000000-0005-0000-0000-0000BB4C0000}"/>
    <cellStyle name="40% - Accent5 4 2 4 7 2" xfId="26914" xr:uid="{00000000-0005-0000-0000-0000BC4C0000}"/>
    <cellStyle name="40% - Accent5 4 2 4 8" xfId="13449" xr:uid="{00000000-0005-0000-0000-0000BD4C0000}"/>
    <cellStyle name="40% - Accent5 4 2 4 8 2" xfId="28598" xr:uid="{00000000-0005-0000-0000-0000BE4C0000}"/>
    <cellStyle name="40% - Accent5 4 2 4 9" xfId="15132" xr:uid="{00000000-0005-0000-0000-0000BF4C0000}"/>
    <cellStyle name="40% - Accent5 4 2 4 9 2" xfId="30281" xr:uid="{00000000-0005-0000-0000-0000C04C0000}"/>
    <cellStyle name="40% - Accent5 4 2 5" xfId="2087" xr:uid="{00000000-0005-0000-0000-0000C14C0000}"/>
    <cellStyle name="40% - Accent5 4 2 5 2" xfId="17236" xr:uid="{00000000-0005-0000-0000-0000C24C0000}"/>
    <cellStyle name="40% - Accent5 4 2 6" xfId="3771" xr:uid="{00000000-0005-0000-0000-0000C34C0000}"/>
    <cellStyle name="40% - Accent5 4 2 6 2" xfId="18920" xr:uid="{00000000-0005-0000-0000-0000C44C0000}"/>
    <cellStyle name="40% - Accent5 4 2 7" xfId="5454" xr:uid="{00000000-0005-0000-0000-0000C54C0000}"/>
    <cellStyle name="40% - Accent5 4 2 7 2" xfId="20603" xr:uid="{00000000-0005-0000-0000-0000C64C0000}"/>
    <cellStyle name="40% - Accent5 4 2 8" xfId="7137" xr:uid="{00000000-0005-0000-0000-0000C74C0000}"/>
    <cellStyle name="40% - Accent5 4 2 8 2" xfId="22286" xr:uid="{00000000-0005-0000-0000-0000C84C0000}"/>
    <cellStyle name="40% - Accent5 4 2 9" xfId="8820" xr:uid="{00000000-0005-0000-0000-0000C94C0000}"/>
    <cellStyle name="40% - Accent5 4 2 9 2" xfId="23969" xr:uid="{00000000-0005-0000-0000-0000CA4C0000}"/>
    <cellStyle name="40% - Accent5 4 20" xfId="38907" xr:uid="{00000000-0005-0000-0000-0000CB4C0000}"/>
    <cellStyle name="40% - Accent5 4 21" xfId="40590" xr:uid="{00000000-0005-0000-0000-0000CC4C0000}"/>
    <cellStyle name="40% - Accent5 4 22" xfId="42273" xr:uid="{00000000-0005-0000-0000-0000CD4C0000}"/>
    <cellStyle name="40% - Accent5 4 23" xfId="43956" xr:uid="{00000000-0005-0000-0000-0000CE4C0000}"/>
    <cellStyle name="40% - Accent5 4 24" xfId="45639" xr:uid="{00000000-0005-0000-0000-0000CF4C0000}"/>
    <cellStyle name="40% - Accent5 4 25" xfId="47322" xr:uid="{00000000-0005-0000-0000-0000D04C0000}"/>
    <cellStyle name="40% - Accent5 4 26" xfId="49005" xr:uid="{00000000-0005-0000-0000-0000D14C0000}"/>
    <cellStyle name="40% - Accent5 4 27" xfId="50688" xr:uid="{00000000-0005-0000-0000-0000D24C0000}"/>
    <cellStyle name="40% - Accent5 4 28" xfId="52371" xr:uid="{00000000-0005-0000-0000-0000D34C0000}"/>
    <cellStyle name="40% - Accent5 4 29" xfId="54054" xr:uid="{00000000-0005-0000-0000-0000D44C0000}"/>
    <cellStyle name="40% - Accent5 4 3" xfId="614" xr:uid="{00000000-0005-0000-0000-0000D54C0000}"/>
    <cellStyle name="40% - Accent5 4 3 10" xfId="15763" xr:uid="{00000000-0005-0000-0000-0000D64C0000}"/>
    <cellStyle name="40% - Accent5 4 3 11" xfId="30912" xr:uid="{00000000-0005-0000-0000-0000D74C0000}"/>
    <cellStyle name="40% - Accent5 4 3 12" xfId="32595" xr:uid="{00000000-0005-0000-0000-0000D84C0000}"/>
    <cellStyle name="40% - Accent5 4 3 13" xfId="34278" xr:uid="{00000000-0005-0000-0000-0000D94C0000}"/>
    <cellStyle name="40% - Accent5 4 3 14" xfId="35961" xr:uid="{00000000-0005-0000-0000-0000DA4C0000}"/>
    <cellStyle name="40% - Accent5 4 3 15" xfId="37644" xr:uid="{00000000-0005-0000-0000-0000DB4C0000}"/>
    <cellStyle name="40% - Accent5 4 3 16" xfId="39327" xr:uid="{00000000-0005-0000-0000-0000DC4C0000}"/>
    <cellStyle name="40% - Accent5 4 3 17" xfId="41010" xr:uid="{00000000-0005-0000-0000-0000DD4C0000}"/>
    <cellStyle name="40% - Accent5 4 3 18" xfId="42693" xr:uid="{00000000-0005-0000-0000-0000DE4C0000}"/>
    <cellStyle name="40% - Accent5 4 3 19" xfId="44376" xr:uid="{00000000-0005-0000-0000-0000DF4C0000}"/>
    <cellStyle name="40% - Accent5 4 3 2" xfId="2297" xr:uid="{00000000-0005-0000-0000-0000E04C0000}"/>
    <cellStyle name="40% - Accent5 4 3 2 2" xfId="17446" xr:uid="{00000000-0005-0000-0000-0000E14C0000}"/>
    <cellStyle name="40% - Accent5 4 3 20" xfId="46059" xr:uid="{00000000-0005-0000-0000-0000E24C0000}"/>
    <cellStyle name="40% - Accent5 4 3 21" xfId="47742" xr:uid="{00000000-0005-0000-0000-0000E34C0000}"/>
    <cellStyle name="40% - Accent5 4 3 22" xfId="49425" xr:uid="{00000000-0005-0000-0000-0000E44C0000}"/>
    <cellStyle name="40% - Accent5 4 3 23" xfId="51108" xr:uid="{00000000-0005-0000-0000-0000E54C0000}"/>
    <cellStyle name="40% - Accent5 4 3 24" xfId="52791" xr:uid="{00000000-0005-0000-0000-0000E64C0000}"/>
    <cellStyle name="40% - Accent5 4 3 25" xfId="54474" xr:uid="{00000000-0005-0000-0000-0000E74C0000}"/>
    <cellStyle name="40% - Accent5 4 3 26" xfId="56157" xr:uid="{00000000-0005-0000-0000-0000E84C0000}"/>
    <cellStyle name="40% - Accent5 4 3 27" xfId="57840" xr:uid="{00000000-0005-0000-0000-0000E94C0000}"/>
    <cellStyle name="40% - Accent5 4 3 28" xfId="59523" xr:uid="{00000000-0005-0000-0000-0000EA4C0000}"/>
    <cellStyle name="40% - Accent5 4 3 29" xfId="61206" xr:uid="{00000000-0005-0000-0000-0000EB4C0000}"/>
    <cellStyle name="40% - Accent5 4 3 3" xfId="3981" xr:uid="{00000000-0005-0000-0000-0000EC4C0000}"/>
    <cellStyle name="40% - Accent5 4 3 3 2" xfId="19130" xr:uid="{00000000-0005-0000-0000-0000ED4C0000}"/>
    <cellStyle name="40% - Accent5 4 3 30" xfId="62889" xr:uid="{00000000-0005-0000-0000-0000EE4C0000}"/>
    <cellStyle name="40% - Accent5 4 3 4" xfId="5664" xr:uid="{00000000-0005-0000-0000-0000EF4C0000}"/>
    <cellStyle name="40% - Accent5 4 3 4 2" xfId="20813" xr:uid="{00000000-0005-0000-0000-0000F04C0000}"/>
    <cellStyle name="40% - Accent5 4 3 5" xfId="7347" xr:uid="{00000000-0005-0000-0000-0000F14C0000}"/>
    <cellStyle name="40% - Accent5 4 3 5 2" xfId="22496" xr:uid="{00000000-0005-0000-0000-0000F24C0000}"/>
    <cellStyle name="40% - Accent5 4 3 6" xfId="9030" xr:uid="{00000000-0005-0000-0000-0000F34C0000}"/>
    <cellStyle name="40% - Accent5 4 3 6 2" xfId="24179" xr:uid="{00000000-0005-0000-0000-0000F44C0000}"/>
    <cellStyle name="40% - Accent5 4 3 7" xfId="10713" xr:uid="{00000000-0005-0000-0000-0000F54C0000}"/>
    <cellStyle name="40% - Accent5 4 3 7 2" xfId="25862" xr:uid="{00000000-0005-0000-0000-0000F64C0000}"/>
    <cellStyle name="40% - Accent5 4 3 8" xfId="12397" xr:uid="{00000000-0005-0000-0000-0000F74C0000}"/>
    <cellStyle name="40% - Accent5 4 3 8 2" xfId="27546" xr:uid="{00000000-0005-0000-0000-0000F84C0000}"/>
    <cellStyle name="40% - Accent5 4 3 9" xfId="14080" xr:uid="{00000000-0005-0000-0000-0000F94C0000}"/>
    <cellStyle name="40% - Accent5 4 3 9 2" xfId="29229" xr:uid="{00000000-0005-0000-0000-0000FA4C0000}"/>
    <cellStyle name="40% - Accent5 4 30" xfId="55737" xr:uid="{00000000-0005-0000-0000-0000FB4C0000}"/>
    <cellStyle name="40% - Accent5 4 31" xfId="57420" xr:uid="{00000000-0005-0000-0000-0000FC4C0000}"/>
    <cellStyle name="40% - Accent5 4 32" xfId="59103" xr:uid="{00000000-0005-0000-0000-0000FD4C0000}"/>
    <cellStyle name="40% - Accent5 4 33" xfId="60786" xr:uid="{00000000-0005-0000-0000-0000FE4C0000}"/>
    <cellStyle name="40% - Accent5 4 34" xfId="62469" xr:uid="{00000000-0005-0000-0000-0000FF4C0000}"/>
    <cellStyle name="40% - Accent5 4 4" xfId="1035" xr:uid="{00000000-0005-0000-0000-0000004D0000}"/>
    <cellStyle name="40% - Accent5 4 4 10" xfId="16184" xr:uid="{00000000-0005-0000-0000-0000014D0000}"/>
    <cellStyle name="40% - Accent5 4 4 11" xfId="31333" xr:uid="{00000000-0005-0000-0000-0000024D0000}"/>
    <cellStyle name="40% - Accent5 4 4 12" xfId="33016" xr:uid="{00000000-0005-0000-0000-0000034D0000}"/>
    <cellStyle name="40% - Accent5 4 4 13" xfId="34699" xr:uid="{00000000-0005-0000-0000-0000044D0000}"/>
    <cellStyle name="40% - Accent5 4 4 14" xfId="36382" xr:uid="{00000000-0005-0000-0000-0000054D0000}"/>
    <cellStyle name="40% - Accent5 4 4 15" xfId="38065" xr:uid="{00000000-0005-0000-0000-0000064D0000}"/>
    <cellStyle name="40% - Accent5 4 4 16" xfId="39748" xr:uid="{00000000-0005-0000-0000-0000074D0000}"/>
    <cellStyle name="40% - Accent5 4 4 17" xfId="41431" xr:uid="{00000000-0005-0000-0000-0000084D0000}"/>
    <cellStyle name="40% - Accent5 4 4 18" xfId="43114" xr:uid="{00000000-0005-0000-0000-0000094D0000}"/>
    <cellStyle name="40% - Accent5 4 4 19" xfId="44797" xr:uid="{00000000-0005-0000-0000-00000A4D0000}"/>
    <cellStyle name="40% - Accent5 4 4 2" xfId="2718" xr:uid="{00000000-0005-0000-0000-00000B4D0000}"/>
    <cellStyle name="40% - Accent5 4 4 2 2" xfId="17867" xr:uid="{00000000-0005-0000-0000-00000C4D0000}"/>
    <cellStyle name="40% - Accent5 4 4 20" xfId="46480" xr:uid="{00000000-0005-0000-0000-00000D4D0000}"/>
    <cellStyle name="40% - Accent5 4 4 21" xfId="48163" xr:uid="{00000000-0005-0000-0000-00000E4D0000}"/>
    <cellStyle name="40% - Accent5 4 4 22" xfId="49846" xr:uid="{00000000-0005-0000-0000-00000F4D0000}"/>
    <cellStyle name="40% - Accent5 4 4 23" xfId="51529" xr:uid="{00000000-0005-0000-0000-0000104D0000}"/>
    <cellStyle name="40% - Accent5 4 4 24" xfId="53212" xr:uid="{00000000-0005-0000-0000-0000114D0000}"/>
    <cellStyle name="40% - Accent5 4 4 25" xfId="54895" xr:uid="{00000000-0005-0000-0000-0000124D0000}"/>
    <cellStyle name="40% - Accent5 4 4 26" xfId="56578" xr:uid="{00000000-0005-0000-0000-0000134D0000}"/>
    <cellStyle name="40% - Accent5 4 4 27" xfId="58261" xr:uid="{00000000-0005-0000-0000-0000144D0000}"/>
    <cellStyle name="40% - Accent5 4 4 28" xfId="59944" xr:uid="{00000000-0005-0000-0000-0000154D0000}"/>
    <cellStyle name="40% - Accent5 4 4 29" xfId="61627" xr:uid="{00000000-0005-0000-0000-0000164D0000}"/>
    <cellStyle name="40% - Accent5 4 4 3" xfId="4402" xr:uid="{00000000-0005-0000-0000-0000174D0000}"/>
    <cellStyle name="40% - Accent5 4 4 3 2" xfId="19551" xr:uid="{00000000-0005-0000-0000-0000184D0000}"/>
    <cellStyle name="40% - Accent5 4 4 30" xfId="63310" xr:uid="{00000000-0005-0000-0000-0000194D0000}"/>
    <cellStyle name="40% - Accent5 4 4 4" xfId="6085" xr:uid="{00000000-0005-0000-0000-00001A4D0000}"/>
    <cellStyle name="40% - Accent5 4 4 4 2" xfId="21234" xr:uid="{00000000-0005-0000-0000-00001B4D0000}"/>
    <cellStyle name="40% - Accent5 4 4 5" xfId="7768" xr:uid="{00000000-0005-0000-0000-00001C4D0000}"/>
    <cellStyle name="40% - Accent5 4 4 5 2" xfId="22917" xr:uid="{00000000-0005-0000-0000-00001D4D0000}"/>
    <cellStyle name="40% - Accent5 4 4 6" xfId="9451" xr:uid="{00000000-0005-0000-0000-00001E4D0000}"/>
    <cellStyle name="40% - Accent5 4 4 6 2" xfId="24600" xr:uid="{00000000-0005-0000-0000-00001F4D0000}"/>
    <cellStyle name="40% - Accent5 4 4 7" xfId="11134" xr:uid="{00000000-0005-0000-0000-0000204D0000}"/>
    <cellStyle name="40% - Accent5 4 4 7 2" xfId="26283" xr:uid="{00000000-0005-0000-0000-0000214D0000}"/>
    <cellStyle name="40% - Accent5 4 4 8" xfId="12818" xr:uid="{00000000-0005-0000-0000-0000224D0000}"/>
    <cellStyle name="40% - Accent5 4 4 8 2" xfId="27967" xr:uid="{00000000-0005-0000-0000-0000234D0000}"/>
    <cellStyle name="40% - Accent5 4 4 9" xfId="14501" xr:uid="{00000000-0005-0000-0000-0000244D0000}"/>
    <cellStyle name="40% - Accent5 4 4 9 2" xfId="29650" xr:uid="{00000000-0005-0000-0000-0000254D0000}"/>
    <cellStyle name="40% - Accent5 4 5" xfId="1456" xr:uid="{00000000-0005-0000-0000-0000264D0000}"/>
    <cellStyle name="40% - Accent5 4 5 10" xfId="16605" xr:uid="{00000000-0005-0000-0000-0000274D0000}"/>
    <cellStyle name="40% - Accent5 4 5 11" xfId="31754" xr:uid="{00000000-0005-0000-0000-0000284D0000}"/>
    <cellStyle name="40% - Accent5 4 5 12" xfId="33437" xr:uid="{00000000-0005-0000-0000-0000294D0000}"/>
    <cellStyle name="40% - Accent5 4 5 13" xfId="35120" xr:uid="{00000000-0005-0000-0000-00002A4D0000}"/>
    <cellStyle name="40% - Accent5 4 5 14" xfId="36803" xr:uid="{00000000-0005-0000-0000-00002B4D0000}"/>
    <cellStyle name="40% - Accent5 4 5 15" xfId="38486" xr:uid="{00000000-0005-0000-0000-00002C4D0000}"/>
    <cellStyle name="40% - Accent5 4 5 16" xfId="40169" xr:uid="{00000000-0005-0000-0000-00002D4D0000}"/>
    <cellStyle name="40% - Accent5 4 5 17" xfId="41852" xr:uid="{00000000-0005-0000-0000-00002E4D0000}"/>
    <cellStyle name="40% - Accent5 4 5 18" xfId="43535" xr:uid="{00000000-0005-0000-0000-00002F4D0000}"/>
    <cellStyle name="40% - Accent5 4 5 19" xfId="45218" xr:uid="{00000000-0005-0000-0000-0000304D0000}"/>
    <cellStyle name="40% - Accent5 4 5 2" xfId="3139" xr:uid="{00000000-0005-0000-0000-0000314D0000}"/>
    <cellStyle name="40% - Accent5 4 5 2 2" xfId="18288" xr:uid="{00000000-0005-0000-0000-0000324D0000}"/>
    <cellStyle name="40% - Accent5 4 5 20" xfId="46901" xr:uid="{00000000-0005-0000-0000-0000334D0000}"/>
    <cellStyle name="40% - Accent5 4 5 21" xfId="48584" xr:uid="{00000000-0005-0000-0000-0000344D0000}"/>
    <cellStyle name="40% - Accent5 4 5 22" xfId="50267" xr:uid="{00000000-0005-0000-0000-0000354D0000}"/>
    <cellStyle name="40% - Accent5 4 5 23" xfId="51950" xr:uid="{00000000-0005-0000-0000-0000364D0000}"/>
    <cellStyle name="40% - Accent5 4 5 24" xfId="53633" xr:uid="{00000000-0005-0000-0000-0000374D0000}"/>
    <cellStyle name="40% - Accent5 4 5 25" xfId="55316" xr:uid="{00000000-0005-0000-0000-0000384D0000}"/>
    <cellStyle name="40% - Accent5 4 5 26" xfId="56999" xr:uid="{00000000-0005-0000-0000-0000394D0000}"/>
    <cellStyle name="40% - Accent5 4 5 27" xfId="58682" xr:uid="{00000000-0005-0000-0000-00003A4D0000}"/>
    <cellStyle name="40% - Accent5 4 5 28" xfId="60365" xr:uid="{00000000-0005-0000-0000-00003B4D0000}"/>
    <cellStyle name="40% - Accent5 4 5 29" xfId="62048" xr:uid="{00000000-0005-0000-0000-00003C4D0000}"/>
    <cellStyle name="40% - Accent5 4 5 3" xfId="4823" xr:uid="{00000000-0005-0000-0000-00003D4D0000}"/>
    <cellStyle name="40% - Accent5 4 5 3 2" xfId="19972" xr:uid="{00000000-0005-0000-0000-00003E4D0000}"/>
    <cellStyle name="40% - Accent5 4 5 30" xfId="63731" xr:uid="{00000000-0005-0000-0000-00003F4D0000}"/>
    <cellStyle name="40% - Accent5 4 5 4" xfId="6506" xr:uid="{00000000-0005-0000-0000-0000404D0000}"/>
    <cellStyle name="40% - Accent5 4 5 4 2" xfId="21655" xr:uid="{00000000-0005-0000-0000-0000414D0000}"/>
    <cellStyle name="40% - Accent5 4 5 5" xfId="8189" xr:uid="{00000000-0005-0000-0000-0000424D0000}"/>
    <cellStyle name="40% - Accent5 4 5 5 2" xfId="23338" xr:uid="{00000000-0005-0000-0000-0000434D0000}"/>
    <cellStyle name="40% - Accent5 4 5 6" xfId="9872" xr:uid="{00000000-0005-0000-0000-0000444D0000}"/>
    <cellStyle name="40% - Accent5 4 5 6 2" xfId="25021" xr:uid="{00000000-0005-0000-0000-0000454D0000}"/>
    <cellStyle name="40% - Accent5 4 5 7" xfId="11555" xr:uid="{00000000-0005-0000-0000-0000464D0000}"/>
    <cellStyle name="40% - Accent5 4 5 7 2" xfId="26704" xr:uid="{00000000-0005-0000-0000-0000474D0000}"/>
    <cellStyle name="40% - Accent5 4 5 8" xfId="13239" xr:uid="{00000000-0005-0000-0000-0000484D0000}"/>
    <cellStyle name="40% - Accent5 4 5 8 2" xfId="28388" xr:uid="{00000000-0005-0000-0000-0000494D0000}"/>
    <cellStyle name="40% - Accent5 4 5 9" xfId="14922" xr:uid="{00000000-0005-0000-0000-00004A4D0000}"/>
    <cellStyle name="40% - Accent5 4 5 9 2" xfId="30071" xr:uid="{00000000-0005-0000-0000-00004B4D0000}"/>
    <cellStyle name="40% - Accent5 4 6" xfId="1877" xr:uid="{00000000-0005-0000-0000-00004C4D0000}"/>
    <cellStyle name="40% - Accent5 4 6 2" xfId="17026" xr:uid="{00000000-0005-0000-0000-00004D4D0000}"/>
    <cellStyle name="40% - Accent5 4 7" xfId="3561" xr:uid="{00000000-0005-0000-0000-00004E4D0000}"/>
    <cellStyle name="40% - Accent5 4 7 2" xfId="18710" xr:uid="{00000000-0005-0000-0000-00004F4D0000}"/>
    <cellStyle name="40% - Accent5 4 8" xfId="5244" xr:uid="{00000000-0005-0000-0000-0000504D0000}"/>
    <cellStyle name="40% - Accent5 4 8 2" xfId="20393" xr:uid="{00000000-0005-0000-0000-0000514D0000}"/>
    <cellStyle name="40% - Accent5 4 9" xfId="6927" xr:uid="{00000000-0005-0000-0000-0000524D0000}"/>
    <cellStyle name="40% - Accent5 4 9 2" xfId="22076" xr:uid="{00000000-0005-0000-0000-0000534D0000}"/>
    <cellStyle name="40% - Accent5 5" xfId="299" xr:uid="{00000000-0005-0000-0000-0000544D0000}"/>
    <cellStyle name="40% - Accent5 5 10" xfId="10398" xr:uid="{00000000-0005-0000-0000-0000554D0000}"/>
    <cellStyle name="40% - Accent5 5 10 2" xfId="25547" xr:uid="{00000000-0005-0000-0000-0000564D0000}"/>
    <cellStyle name="40% - Accent5 5 11" xfId="12082" xr:uid="{00000000-0005-0000-0000-0000574D0000}"/>
    <cellStyle name="40% - Accent5 5 11 2" xfId="27231" xr:uid="{00000000-0005-0000-0000-0000584D0000}"/>
    <cellStyle name="40% - Accent5 5 12" xfId="13765" xr:uid="{00000000-0005-0000-0000-0000594D0000}"/>
    <cellStyle name="40% - Accent5 5 12 2" xfId="28914" xr:uid="{00000000-0005-0000-0000-00005A4D0000}"/>
    <cellStyle name="40% - Accent5 5 13" xfId="15448" xr:uid="{00000000-0005-0000-0000-00005B4D0000}"/>
    <cellStyle name="40% - Accent5 5 14" xfId="30597" xr:uid="{00000000-0005-0000-0000-00005C4D0000}"/>
    <cellStyle name="40% - Accent5 5 15" xfId="32280" xr:uid="{00000000-0005-0000-0000-00005D4D0000}"/>
    <cellStyle name="40% - Accent5 5 16" xfId="33963" xr:uid="{00000000-0005-0000-0000-00005E4D0000}"/>
    <cellStyle name="40% - Accent5 5 17" xfId="35646" xr:uid="{00000000-0005-0000-0000-00005F4D0000}"/>
    <cellStyle name="40% - Accent5 5 18" xfId="37329" xr:uid="{00000000-0005-0000-0000-0000604D0000}"/>
    <cellStyle name="40% - Accent5 5 19" xfId="39012" xr:uid="{00000000-0005-0000-0000-0000614D0000}"/>
    <cellStyle name="40% - Accent5 5 2" xfId="719" xr:uid="{00000000-0005-0000-0000-0000624D0000}"/>
    <cellStyle name="40% - Accent5 5 2 10" xfId="15868" xr:uid="{00000000-0005-0000-0000-0000634D0000}"/>
    <cellStyle name="40% - Accent5 5 2 11" xfId="31017" xr:uid="{00000000-0005-0000-0000-0000644D0000}"/>
    <cellStyle name="40% - Accent5 5 2 12" xfId="32700" xr:uid="{00000000-0005-0000-0000-0000654D0000}"/>
    <cellStyle name="40% - Accent5 5 2 13" xfId="34383" xr:uid="{00000000-0005-0000-0000-0000664D0000}"/>
    <cellStyle name="40% - Accent5 5 2 14" xfId="36066" xr:uid="{00000000-0005-0000-0000-0000674D0000}"/>
    <cellStyle name="40% - Accent5 5 2 15" xfId="37749" xr:uid="{00000000-0005-0000-0000-0000684D0000}"/>
    <cellStyle name="40% - Accent5 5 2 16" xfId="39432" xr:uid="{00000000-0005-0000-0000-0000694D0000}"/>
    <cellStyle name="40% - Accent5 5 2 17" xfId="41115" xr:uid="{00000000-0005-0000-0000-00006A4D0000}"/>
    <cellStyle name="40% - Accent5 5 2 18" xfId="42798" xr:uid="{00000000-0005-0000-0000-00006B4D0000}"/>
    <cellStyle name="40% - Accent5 5 2 19" xfId="44481" xr:uid="{00000000-0005-0000-0000-00006C4D0000}"/>
    <cellStyle name="40% - Accent5 5 2 2" xfId="2402" xr:uid="{00000000-0005-0000-0000-00006D4D0000}"/>
    <cellStyle name="40% - Accent5 5 2 2 2" xfId="17551" xr:uid="{00000000-0005-0000-0000-00006E4D0000}"/>
    <cellStyle name="40% - Accent5 5 2 20" xfId="46164" xr:uid="{00000000-0005-0000-0000-00006F4D0000}"/>
    <cellStyle name="40% - Accent5 5 2 21" xfId="47847" xr:uid="{00000000-0005-0000-0000-0000704D0000}"/>
    <cellStyle name="40% - Accent5 5 2 22" xfId="49530" xr:uid="{00000000-0005-0000-0000-0000714D0000}"/>
    <cellStyle name="40% - Accent5 5 2 23" xfId="51213" xr:uid="{00000000-0005-0000-0000-0000724D0000}"/>
    <cellStyle name="40% - Accent5 5 2 24" xfId="52896" xr:uid="{00000000-0005-0000-0000-0000734D0000}"/>
    <cellStyle name="40% - Accent5 5 2 25" xfId="54579" xr:uid="{00000000-0005-0000-0000-0000744D0000}"/>
    <cellStyle name="40% - Accent5 5 2 26" xfId="56262" xr:uid="{00000000-0005-0000-0000-0000754D0000}"/>
    <cellStyle name="40% - Accent5 5 2 27" xfId="57945" xr:uid="{00000000-0005-0000-0000-0000764D0000}"/>
    <cellStyle name="40% - Accent5 5 2 28" xfId="59628" xr:uid="{00000000-0005-0000-0000-0000774D0000}"/>
    <cellStyle name="40% - Accent5 5 2 29" xfId="61311" xr:uid="{00000000-0005-0000-0000-0000784D0000}"/>
    <cellStyle name="40% - Accent5 5 2 3" xfId="4086" xr:uid="{00000000-0005-0000-0000-0000794D0000}"/>
    <cellStyle name="40% - Accent5 5 2 3 2" xfId="19235" xr:uid="{00000000-0005-0000-0000-00007A4D0000}"/>
    <cellStyle name="40% - Accent5 5 2 30" xfId="62994" xr:uid="{00000000-0005-0000-0000-00007B4D0000}"/>
    <cellStyle name="40% - Accent5 5 2 4" xfId="5769" xr:uid="{00000000-0005-0000-0000-00007C4D0000}"/>
    <cellStyle name="40% - Accent5 5 2 4 2" xfId="20918" xr:uid="{00000000-0005-0000-0000-00007D4D0000}"/>
    <cellStyle name="40% - Accent5 5 2 5" xfId="7452" xr:uid="{00000000-0005-0000-0000-00007E4D0000}"/>
    <cellStyle name="40% - Accent5 5 2 5 2" xfId="22601" xr:uid="{00000000-0005-0000-0000-00007F4D0000}"/>
    <cellStyle name="40% - Accent5 5 2 6" xfId="9135" xr:uid="{00000000-0005-0000-0000-0000804D0000}"/>
    <cellStyle name="40% - Accent5 5 2 6 2" xfId="24284" xr:uid="{00000000-0005-0000-0000-0000814D0000}"/>
    <cellStyle name="40% - Accent5 5 2 7" xfId="10818" xr:uid="{00000000-0005-0000-0000-0000824D0000}"/>
    <cellStyle name="40% - Accent5 5 2 7 2" xfId="25967" xr:uid="{00000000-0005-0000-0000-0000834D0000}"/>
    <cellStyle name="40% - Accent5 5 2 8" xfId="12502" xr:uid="{00000000-0005-0000-0000-0000844D0000}"/>
    <cellStyle name="40% - Accent5 5 2 8 2" xfId="27651" xr:uid="{00000000-0005-0000-0000-0000854D0000}"/>
    <cellStyle name="40% - Accent5 5 2 9" xfId="14185" xr:uid="{00000000-0005-0000-0000-0000864D0000}"/>
    <cellStyle name="40% - Accent5 5 2 9 2" xfId="29334" xr:uid="{00000000-0005-0000-0000-0000874D0000}"/>
    <cellStyle name="40% - Accent5 5 20" xfId="40695" xr:uid="{00000000-0005-0000-0000-0000884D0000}"/>
    <cellStyle name="40% - Accent5 5 21" xfId="42378" xr:uid="{00000000-0005-0000-0000-0000894D0000}"/>
    <cellStyle name="40% - Accent5 5 22" xfId="44061" xr:uid="{00000000-0005-0000-0000-00008A4D0000}"/>
    <cellStyle name="40% - Accent5 5 23" xfId="45744" xr:uid="{00000000-0005-0000-0000-00008B4D0000}"/>
    <cellStyle name="40% - Accent5 5 24" xfId="47427" xr:uid="{00000000-0005-0000-0000-00008C4D0000}"/>
    <cellStyle name="40% - Accent5 5 25" xfId="49110" xr:uid="{00000000-0005-0000-0000-00008D4D0000}"/>
    <cellStyle name="40% - Accent5 5 26" xfId="50793" xr:uid="{00000000-0005-0000-0000-00008E4D0000}"/>
    <cellStyle name="40% - Accent5 5 27" xfId="52476" xr:uid="{00000000-0005-0000-0000-00008F4D0000}"/>
    <cellStyle name="40% - Accent5 5 28" xfId="54159" xr:uid="{00000000-0005-0000-0000-0000904D0000}"/>
    <cellStyle name="40% - Accent5 5 29" xfId="55842" xr:uid="{00000000-0005-0000-0000-0000914D0000}"/>
    <cellStyle name="40% - Accent5 5 3" xfId="1140" xr:uid="{00000000-0005-0000-0000-0000924D0000}"/>
    <cellStyle name="40% - Accent5 5 3 10" xfId="16289" xr:uid="{00000000-0005-0000-0000-0000934D0000}"/>
    <cellStyle name="40% - Accent5 5 3 11" xfId="31438" xr:uid="{00000000-0005-0000-0000-0000944D0000}"/>
    <cellStyle name="40% - Accent5 5 3 12" xfId="33121" xr:uid="{00000000-0005-0000-0000-0000954D0000}"/>
    <cellStyle name="40% - Accent5 5 3 13" xfId="34804" xr:uid="{00000000-0005-0000-0000-0000964D0000}"/>
    <cellStyle name="40% - Accent5 5 3 14" xfId="36487" xr:uid="{00000000-0005-0000-0000-0000974D0000}"/>
    <cellStyle name="40% - Accent5 5 3 15" xfId="38170" xr:uid="{00000000-0005-0000-0000-0000984D0000}"/>
    <cellStyle name="40% - Accent5 5 3 16" xfId="39853" xr:uid="{00000000-0005-0000-0000-0000994D0000}"/>
    <cellStyle name="40% - Accent5 5 3 17" xfId="41536" xr:uid="{00000000-0005-0000-0000-00009A4D0000}"/>
    <cellStyle name="40% - Accent5 5 3 18" xfId="43219" xr:uid="{00000000-0005-0000-0000-00009B4D0000}"/>
    <cellStyle name="40% - Accent5 5 3 19" xfId="44902" xr:uid="{00000000-0005-0000-0000-00009C4D0000}"/>
    <cellStyle name="40% - Accent5 5 3 2" xfId="2823" xr:uid="{00000000-0005-0000-0000-00009D4D0000}"/>
    <cellStyle name="40% - Accent5 5 3 2 2" xfId="17972" xr:uid="{00000000-0005-0000-0000-00009E4D0000}"/>
    <cellStyle name="40% - Accent5 5 3 20" xfId="46585" xr:uid="{00000000-0005-0000-0000-00009F4D0000}"/>
    <cellStyle name="40% - Accent5 5 3 21" xfId="48268" xr:uid="{00000000-0005-0000-0000-0000A04D0000}"/>
    <cellStyle name="40% - Accent5 5 3 22" xfId="49951" xr:uid="{00000000-0005-0000-0000-0000A14D0000}"/>
    <cellStyle name="40% - Accent5 5 3 23" xfId="51634" xr:uid="{00000000-0005-0000-0000-0000A24D0000}"/>
    <cellStyle name="40% - Accent5 5 3 24" xfId="53317" xr:uid="{00000000-0005-0000-0000-0000A34D0000}"/>
    <cellStyle name="40% - Accent5 5 3 25" xfId="55000" xr:uid="{00000000-0005-0000-0000-0000A44D0000}"/>
    <cellStyle name="40% - Accent5 5 3 26" xfId="56683" xr:uid="{00000000-0005-0000-0000-0000A54D0000}"/>
    <cellStyle name="40% - Accent5 5 3 27" xfId="58366" xr:uid="{00000000-0005-0000-0000-0000A64D0000}"/>
    <cellStyle name="40% - Accent5 5 3 28" xfId="60049" xr:uid="{00000000-0005-0000-0000-0000A74D0000}"/>
    <cellStyle name="40% - Accent5 5 3 29" xfId="61732" xr:uid="{00000000-0005-0000-0000-0000A84D0000}"/>
    <cellStyle name="40% - Accent5 5 3 3" xfId="4507" xr:uid="{00000000-0005-0000-0000-0000A94D0000}"/>
    <cellStyle name="40% - Accent5 5 3 3 2" xfId="19656" xr:uid="{00000000-0005-0000-0000-0000AA4D0000}"/>
    <cellStyle name="40% - Accent5 5 3 30" xfId="63415" xr:uid="{00000000-0005-0000-0000-0000AB4D0000}"/>
    <cellStyle name="40% - Accent5 5 3 4" xfId="6190" xr:uid="{00000000-0005-0000-0000-0000AC4D0000}"/>
    <cellStyle name="40% - Accent5 5 3 4 2" xfId="21339" xr:uid="{00000000-0005-0000-0000-0000AD4D0000}"/>
    <cellStyle name="40% - Accent5 5 3 5" xfId="7873" xr:uid="{00000000-0005-0000-0000-0000AE4D0000}"/>
    <cellStyle name="40% - Accent5 5 3 5 2" xfId="23022" xr:uid="{00000000-0005-0000-0000-0000AF4D0000}"/>
    <cellStyle name="40% - Accent5 5 3 6" xfId="9556" xr:uid="{00000000-0005-0000-0000-0000B04D0000}"/>
    <cellStyle name="40% - Accent5 5 3 6 2" xfId="24705" xr:uid="{00000000-0005-0000-0000-0000B14D0000}"/>
    <cellStyle name="40% - Accent5 5 3 7" xfId="11239" xr:uid="{00000000-0005-0000-0000-0000B24D0000}"/>
    <cellStyle name="40% - Accent5 5 3 7 2" xfId="26388" xr:uid="{00000000-0005-0000-0000-0000B34D0000}"/>
    <cellStyle name="40% - Accent5 5 3 8" xfId="12923" xr:uid="{00000000-0005-0000-0000-0000B44D0000}"/>
    <cellStyle name="40% - Accent5 5 3 8 2" xfId="28072" xr:uid="{00000000-0005-0000-0000-0000B54D0000}"/>
    <cellStyle name="40% - Accent5 5 3 9" xfId="14606" xr:uid="{00000000-0005-0000-0000-0000B64D0000}"/>
    <cellStyle name="40% - Accent5 5 3 9 2" xfId="29755" xr:uid="{00000000-0005-0000-0000-0000B74D0000}"/>
    <cellStyle name="40% - Accent5 5 30" xfId="57525" xr:uid="{00000000-0005-0000-0000-0000B84D0000}"/>
    <cellStyle name="40% - Accent5 5 31" xfId="59208" xr:uid="{00000000-0005-0000-0000-0000B94D0000}"/>
    <cellStyle name="40% - Accent5 5 32" xfId="60891" xr:uid="{00000000-0005-0000-0000-0000BA4D0000}"/>
    <cellStyle name="40% - Accent5 5 33" xfId="62574" xr:uid="{00000000-0005-0000-0000-0000BB4D0000}"/>
    <cellStyle name="40% - Accent5 5 4" xfId="1561" xr:uid="{00000000-0005-0000-0000-0000BC4D0000}"/>
    <cellStyle name="40% - Accent5 5 4 10" xfId="16710" xr:uid="{00000000-0005-0000-0000-0000BD4D0000}"/>
    <cellStyle name="40% - Accent5 5 4 11" xfId="31859" xr:uid="{00000000-0005-0000-0000-0000BE4D0000}"/>
    <cellStyle name="40% - Accent5 5 4 12" xfId="33542" xr:uid="{00000000-0005-0000-0000-0000BF4D0000}"/>
    <cellStyle name="40% - Accent5 5 4 13" xfId="35225" xr:uid="{00000000-0005-0000-0000-0000C04D0000}"/>
    <cellStyle name="40% - Accent5 5 4 14" xfId="36908" xr:uid="{00000000-0005-0000-0000-0000C14D0000}"/>
    <cellStyle name="40% - Accent5 5 4 15" xfId="38591" xr:uid="{00000000-0005-0000-0000-0000C24D0000}"/>
    <cellStyle name="40% - Accent5 5 4 16" xfId="40274" xr:uid="{00000000-0005-0000-0000-0000C34D0000}"/>
    <cellStyle name="40% - Accent5 5 4 17" xfId="41957" xr:uid="{00000000-0005-0000-0000-0000C44D0000}"/>
    <cellStyle name="40% - Accent5 5 4 18" xfId="43640" xr:uid="{00000000-0005-0000-0000-0000C54D0000}"/>
    <cellStyle name="40% - Accent5 5 4 19" xfId="45323" xr:uid="{00000000-0005-0000-0000-0000C64D0000}"/>
    <cellStyle name="40% - Accent5 5 4 2" xfId="3244" xr:uid="{00000000-0005-0000-0000-0000C74D0000}"/>
    <cellStyle name="40% - Accent5 5 4 2 2" xfId="18393" xr:uid="{00000000-0005-0000-0000-0000C84D0000}"/>
    <cellStyle name="40% - Accent5 5 4 20" xfId="47006" xr:uid="{00000000-0005-0000-0000-0000C94D0000}"/>
    <cellStyle name="40% - Accent5 5 4 21" xfId="48689" xr:uid="{00000000-0005-0000-0000-0000CA4D0000}"/>
    <cellStyle name="40% - Accent5 5 4 22" xfId="50372" xr:uid="{00000000-0005-0000-0000-0000CB4D0000}"/>
    <cellStyle name="40% - Accent5 5 4 23" xfId="52055" xr:uid="{00000000-0005-0000-0000-0000CC4D0000}"/>
    <cellStyle name="40% - Accent5 5 4 24" xfId="53738" xr:uid="{00000000-0005-0000-0000-0000CD4D0000}"/>
    <cellStyle name="40% - Accent5 5 4 25" xfId="55421" xr:uid="{00000000-0005-0000-0000-0000CE4D0000}"/>
    <cellStyle name="40% - Accent5 5 4 26" xfId="57104" xr:uid="{00000000-0005-0000-0000-0000CF4D0000}"/>
    <cellStyle name="40% - Accent5 5 4 27" xfId="58787" xr:uid="{00000000-0005-0000-0000-0000D04D0000}"/>
    <cellStyle name="40% - Accent5 5 4 28" xfId="60470" xr:uid="{00000000-0005-0000-0000-0000D14D0000}"/>
    <cellStyle name="40% - Accent5 5 4 29" xfId="62153" xr:uid="{00000000-0005-0000-0000-0000D24D0000}"/>
    <cellStyle name="40% - Accent5 5 4 3" xfId="4928" xr:uid="{00000000-0005-0000-0000-0000D34D0000}"/>
    <cellStyle name="40% - Accent5 5 4 3 2" xfId="20077" xr:uid="{00000000-0005-0000-0000-0000D44D0000}"/>
    <cellStyle name="40% - Accent5 5 4 30" xfId="63836" xr:uid="{00000000-0005-0000-0000-0000D54D0000}"/>
    <cellStyle name="40% - Accent5 5 4 4" xfId="6611" xr:uid="{00000000-0005-0000-0000-0000D64D0000}"/>
    <cellStyle name="40% - Accent5 5 4 4 2" xfId="21760" xr:uid="{00000000-0005-0000-0000-0000D74D0000}"/>
    <cellStyle name="40% - Accent5 5 4 5" xfId="8294" xr:uid="{00000000-0005-0000-0000-0000D84D0000}"/>
    <cellStyle name="40% - Accent5 5 4 5 2" xfId="23443" xr:uid="{00000000-0005-0000-0000-0000D94D0000}"/>
    <cellStyle name="40% - Accent5 5 4 6" xfId="9977" xr:uid="{00000000-0005-0000-0000-0000DA4D0000}"/>
    <cellStyle name="40% - Accent5 5 4 6 2" xfId="25126" xr:uid="{00000000-0005-0000-0000-0000DB4D0000}"/>
    <cellStyle name="40% - Accent5 5 4 7" xfId="11660" xr:uid="{00000000-0005-0000-0000-0000DC4D0000}"/>
    <cellStyle name="40% - Accent5 5 4 7 2" xfId="26809" xr:uid="{00000000-0005-0000-0000-0000DD4D0000}"/>
    <cellStyle name="40% - Accent5 5 4 8" xfId="13344" xr:uid="{00000000-0005-0000-0000-0000DE4D0000}"/>
    <cellStyle name="40% - Accent5 5 4 8 2" xfId="28493" xr:uid="{00000000-0005-0000-0000-0000DF4D0000}"/>
    <cellStyle name="40% - Accent5 5 4 9" xfId="15027" xr:uid="{00000000-0005-0000-0000-0000E04D0000}"/>
    <cellStyle name="40% - Accent5 5 4 9 2" xfId="30176" xr:uid="{00000000-0005-0000-0000-0000E14D0000}"/>
    <cellStyle name="40% - Accent5 5 5" xfId="1982" xr:uid="{00000000-0005-0000-0000-0000E24D0000}"/>
    <cellStyle name="40% - Accent5 5 5 2" xfId="17131" xr:uid="{00000000-0005-0000-0000-0000E34D0000}"/>
    <cellStyle name="40% - Accent5 5 6" xfId="3666" xr:uid="{00000000-0005-0000-0000-0000E44D0000}"/>
    <cellStyle name="40% - Accent5 5 6 2" xfId="18815" xr:uid="{00000000-0005-0000-0000-0000E54D0000}"/>
    <cellStyle name="40% - Accent5 5 7" xfId="5349" xr:uid="{00000000-0005-0000-0000-0000E64D0000}"/>
    <cellStyle name="40% - Accent5 5 7 2" xfId="20498" xr:uid="{00000000-0005-0000-0000-0000E74D0000}"/>
    <cellStyle name="40% - Accent5 5 8" xfId="7032" xr:uid="{00000000-0005-0000-0000-0000E84D0000}"/>
    <cellStyle name="40% - Accent5 5 8 2" xfId="22181" xr:uid="{00000000-0005-0000-0000-0000E94D0000}"/>
    <cellStyle name="40% - Accent5 5 9" xfId="8715" xr:uid="{00000000-0005-0000-0000-0000EA4D0000}"/>
    <cellStyle name="40% - Accent5 5 9 2" xfId="23864" xr:uid="{00000000-0005-0000-0000-0000EB4D0000}"/>
    <cellStyle name="40% - Accent5 6" xfId="509" xr:uid="{00000000-0005-0000-0000-0000EC4D0000}"/>
    <cellStyle name="40% - Accent5 6 10" xfId="15658" xr:uid="{00000000-0005-0000-0000-0000ED4D0000}"/>
    <cellStyle name="40% - Accent5 6 11" xfId="30807" xr:uid="{00000000-0005-0000-0000-0000EE4D0000}"/>
    <cellStyle name="40% - Accent5 6 12" xfId="32490" xr:uid="{00000000-0005-0000-0000-0000EF4D0000}"/>
    <cellStyle name="40% - Accent5 6 13" xfId="34173" xr:uid="{00000000-0005-0000-0000-0000F04D0000}"/>
    <cellStyle name="40% - Accent5 6 14" xfId="35856" xr:uid="{00000000-0005-0000-0000-0000F14D0000}"/>
    <cellStyle name="40% - Accent5 6 15" xfId="37539" xr:uid="{00000000-0005-0000-0000-0000F24D0000}"/>
    <cellStyle name="40% - Accent5 6 16" xfId="39222" xr:uid="{00000000-0005-0000-0000-0000F34D0000}"/>
    <cellStyle name="40% - Accent5 6 17" xfId="40905" xr:uid="{00000000-0005-0000-0000-0000F44D0000}"/>
    <cellStyle name="40% - Accent5 6 18" xfId="42588" xr:uid="{00000000-0005-0000-0000-0000F54D0000}"/>
    <cellStyle name="40% - Accent5 6 19" xfId="44271" xr:uid="{00000000-0005-0000-0000-0000F64D0000}"/>
    <cellStyle name="40% - Accent5 6 2" xfId="2192" xr:uid="{00000000-0005-0000-0000-0000F74D0000}"/>
    <cellStyle name="40% - Accent5 6 2 2" xfId="17341" xr:uid="{00000000-0005-0000-0000-0000F84D0000}"/>
    <cellStyle name="40% - Accent5 6 20" xfId="45954" xr:uid="{00000000-0005-0000-0000-0000F94D0000}"/>
    <cellStyle name="40% - Accent5 6 21" xfId="47637" xr:uid="{00000000-0005-0000-0000-0000FA4D0000}"/>
    <cellStyle name="40% - Accent5 6 22" xfId="49320" xr:uid="{00000000-0005-0000-0000-0000FB4D0000}"/>
    <cellStyle name="40% - Accent5 6 23" xfId="51003" xr:uid="{00000000-0005-0000-0000-0000FC4D0000}"/>
    <cellStyle name="40% - Accent5 6 24" xfId="52686" xr:uid="{00000000-0005-0000-0000-0000FD4D0000}"/>
    <cellStyle name="40% - Accent5 6 25" xfId="54369" xr:uid="{00000000-0005-0000-0000-0000FE4D0000}"/>
    <cellStyle name="40% - Accent5 6 26" xfId="56052" xr:uid="{00000000-0005-0000-0000-0000FF4D0000}"/>
    <cellStyle name="40% - Accent5 6 27" xfId="57735" xr:uid="{00000000-0005-0000-0000-0000004E0000}"/>
    <cellStyle name="40% - Accent5 6 28" xfId="59418" xr:uid="{00000000-0005-0000-0000-0000014E0000}"/>
    <cellStyle name="40% - Accent5 6 29" xfId="61101" xr:uid="{00000000-0005-0000-0000-0000024E0000}"/>
    <cellStyle name="40% - Accent5 6 3" xfId="3876" xr:uid="{00000000-0005-0000-0000-0000034E0000}"/>
    <cellStyle name="40% - Accent5 6 3 2" xfId="19025" xr:uid="{00000000-0005-0000-0000-0000044E0000}"/>
    <cellStyle name="40% - Accent5 6 30" xfId="62784" xr:uid="{00000000-0005-0000-0000-0000054E0000}"/>
    <cellStyle name="40% - Accent5 6 4" xfId="5559" xr:uid="{00000000-0005-0000-0000-0000064E0000}"/>
    <cellStyle name="40% - Accent5 6 4 2" xfId="20708" xr:uid="{00000000-0005-0000-0000-0000074E0000}"/>
    <cellStyle name="40% - Accent5 6 5" xfId="7242" xr:uid="{00000000-0005-0000-0000-0000084E0000}"/>
    <cellStyle name="40% - Accent5 6 5 2" xfId="22391" xr:uid="{00000000-0005-0000-0000-0000094E0000}"/>
    <cellStyle name="40% - Accent5 6 6" xfId="8925" xr:uid="{00000000-0005-0000-0000-00000A4E0000}"/>
    <cellStyle name="40% - Accent5 6 6 2" xfId="24074" xr:uid="{00000000-0005-0000-0000-00000B4E0000}"/>
    <cellStyle name="40% - Accent5 6 7" xfId="10608" xr:uid="{00000000-0005-0000-0000-00000C4E0000}"/>
    <cellStyle name="40% - Accent5 6 7 2" xfId="25757" xr:uid="{00000000-0005-0000-0000-00000D4E0000}"/>
    <cellStyle name="40% - Accent5 6 8" xfId="12292" xr:uid="{00000000-0005-0000-0000-00000E4E0000}"/>
    <cellStyle name="40% - Accent5 6 8 2" xfId="27441" xr:uid="{00000000-0005-0000-0000-00000F4E0000}"/>
    <cellStyle name="40% - Accent5 6 9" xfId="13975" xr:uid="{00000000-0005-0000-0000-0000104E0000}"/>
    <cellStyle name="40% - Accent5 6 9 2" xfId="29124" xr:uid="{00000000-0005-0000-0000-0000114E0000}"/>
    <cellStyle name="40% - Accent5 7" xfId="930" xr:uid="{00000000-0005-0000-0000-0000124E0000}"/>
    <cellStyle name="40% - Accent5 7 10" xfId="16079" xr:uid="{00000000-0005-0000-0000-0000134E0000}"/>
    <cellStyle name="40% - Accent5 7 11" xfId="31228" xr:uid="{00000000-0005-0000-0000-0000144E0000}"/>
    <cellStyle name="40% - Accent5 7 12" xfId="32911" xr:uid="{00000000-0005-0000-0000-0000154E0000}"/>
    <cellStyle name="40% - Accent5 7 13" xfId="34594" xr:uid="{00000000-0005-0000-0000-0000164E0000}"/>
    <cellStyle name="40% - Accent5 7 14" xfId="36277" xr:uid="{00000000-0005-0000-0000-0000174E0000}"/>
    <cellStyle name="40% - Accent5 7 15" xfId="37960" xr:uid="{00000000-0005-0000-0000-0000184E0000}"/>
    <cellStyle name="40% - Accent5 7 16" xfId="39643" xr:uid="{00000000-0005-0000-0000-0000194E0000}"/>
    <cellStyle name="40% - Accent5 7 17" xfId="41326" xr:uid="{00000000-0005-0000-0000-00001A4E0000}"/>
    <cellStyle name="40% - Accent5 7 18" xfId="43009" xr:uid="{00000000-0005-0000-0000-00001B4E0000}"/>
    <cellStyle name="40% - Accent5 7 19" xfId="44692" xr:uid="{00000000-0005-0000-0000-00001C4E0000}"/>
    <cellStyle name="40% - Accent5 7 2" xfId="2613" xr:uid="{00000000-0005-0000-0000-00001D4E0000}"/>
    <cellStyle name="40% - Accent5 7 2 2" xfId="17762" xr:uid="{00000000-0005-0000-0000-00001E4E0000}"/>
    <cellStyle name="40% - Accent5 7 20" xfId="46375" xr:uid="{00000000-0005-0000-0000-00001F4E0000}"/>
    <cellStyle name="40% - Accent5 7 21" xfId="48058" xr:uid="{00000000-0005-0000-0000-0000204E0000}"/>
    <cellStyle name="40% - Accent5 7 22" xfId="49741" xr:uid="{00000000-0005-0000-0000-0000214E0000}"/>
    <cellStyle name="40% - Accent5 7 23" xfId="51424" xr:uid="{00000000-0005-0000-0000-0000224E0000}"/>
    <cellStyle name="40% - Accent5 7 24" xfId="53107" xr:uid="{00000000-0005-0000-0000-0000234E0000}"/>
    <cellStyle name="40% - Accent5 7 25" xfId="54790" xr:uid="{00000000-0005-0000-0000-0000244E0000}"/>
    <cellStyle name="40% - Accent5 7 26" xfId="56473" xr:uid="{00000000-0005-0000-0000-0000254E0000}"/>
    <cellStyle name="40% - Accent5 7 27" xfId="58156" xr:uid="{00000000-0005-0000-0000-0000264E0000}"/>
    <cellStyle name="40% - Accent5 7 28" xfId="59839" xr:uid="{00000000-0005-0000-0000-0000274E0000}"/>
    <cellStyle name="40% - Accent5 7 29" xfId="61522" xr:uid="{00000000-0005-0000-0000-0000284E0000}"/>
    <cellStyle name="40% - Accent5 7 3" xfId="4297" xr:uid="{00000000-0005-0000-0000-0000294E0000}"/>
    <cellStyle name="40% - Accent5 7 3 2" xfId="19446" xr:uid="{00000000-0005-0000-0000-00002A4E0000}"/>
    <cellStyle name="40% - Accent5 7 30" xfId="63205" xr:uid="{00000000-0005-0000-0000-00002B4E0000}"/>
    <cellStyle name="40% - Accent5 7 4" xfId="5980" xr:uid="{00000000-0005-0000-0000-00002C4E0000}"/>
    <cellStyle name="40% - Accent5 7 4 2" xfId="21129" xr:uid="{00000000-0005-0000-0000-00002D4E0000}"/>
    <cellStyle name="40% - Accent5 7 5" xfId="7663" xr:uid="{00000000-0005-0000-0000-00002E4E0000}"/>
    <cellStyle name="40% - Accent5 7 5 2" xfId="22812" xr:uid="{00000000-0005-0000-0000-00002F4E0000}"/>
    <cellStyle name="40% - Accent5 7 6" xfId="9346" xr:uid="{00000000-0005-0000-0000-0000304E0000}"/>
    <cellStyle name="40% - Accent5 7 6 2" xfId="24495" xr:uid="{00000000-0005-0000-0000-0000314E0000}"/>
    <cellStyle name="40% - Accent5 7 7" xfId="11029" xr:uid="{00000000-0005-0000-0000-0000324E0000}"/>
    <cellStyle name="40% - Accent5 7 7 2" xfId="26178" xr:uid="{00000000-0005-0000-0000-0000334E0000}"/>
    <cellStyle name="40% - Accent5 7 8" xfId="12713" xr:uid="{00000000-0005-0000-0000-0000344E0000}"/>
    <cellStyle name="40% - Accent5 7 8 2" xfId="27862" xr:uid="{00000000-0005-0000-0000-0000354E0000}"/>
    <cellStyle name="40% - Accent5 7 9" xfId="14396" xr:uid="{00000000-0005-0000-0000-0000364E0000}"/>
    <cellStyle name="40% - Accent5 7 9 2" xfId="29545" xr:uid="{00000000-0005-0000-0000-0000374E0000}"/>
    <cellStyle name="40% - Accent5 8" xfId="1351" xr:uid="{00000000-0005-0000-0000-0000384E0000}"/>
    <cellStyle name="40% - Accent5 8 10" xfId="16500" xr:uid="{00000000-0005-0000-0000-0000394E0000}"/>
    <cellStyle name="40% - Accent5 8 11" xfId="31649" xr:uid="{00000000-0005-0000-0000-00003A4E0000}"/>
    <cellStyle name="40% - Accent5 8 12" xfId="33332" xr:uid="{00000000-0005-0000-0000-00003B4E0000}"/>
    <cellStyle name="40% - Accent5 8 13" xfId="35015" xr:uid="{00000000-0005-0000-0000-00003C4E0000}"/>
    <cellStyle name="40% - Accent5 8 14" xfId="36698" xr:uid="{00000000-0005-0000-0000-00003D4E0000}"/>
    <cellStyle name="40% - Accent5 8 15" xfId="38381" xr:uid="{00000000-0005-0000-0000-00003E4E0000}"/>
    <cellStyle name="40% - Accent5 8 16" xfId="40064" xr:uid="{00000000-0005-0000-0000-00003F4E0000}"/>
    <cellStyle name="40% - Accent5 8 17" xfId="41747" xr:uid="{00000000-0005-0000-0000-0000404E0000}"/>
    <cellStyle name="40% - Accent5 8 18" xfId="43430" xr:uid="{00000000-0005-0000-0000-0000414E0000}"/>
    <cellStyle name="40% - Accent5 8 19" xfId="45113" xr:uid="{00000000-0005-0000-0000-0000424E0000}"/>
    <cellStyle name="40% - Accent5 8 2" xfId="3034" xr:uid="{00000000-0005-0000-0000-0000434E0000}"/>
    <cellStyle name="40% - Accent5 8 2 2" xfId="18183" xr:uid="{00000000-0005-0000-0000-0000444E0000}"/>
    <cellStyle name="40% - Accent5 8 20" xfId="46796" xr:uid="{00000000-0005-0000-0000-0000454E0000}"/>
    <cellStyle name="40% - Accent5 8 21" xfId="48479" xr:uid="{00000000-0005-0000-0000-0000464E0000}"/>
    <cellStyle name="40% - Accent5 8 22" xfId="50162" xr:uid="{00000000-0005-0000-0000-0000474E0000}"/>
    <cellStyle name="40% - Accent5 8 23" xfId="51845" xr:uid="{00000000-0005-0000-0000-0000484E0000}"/>
    <cellStyle name="40% - Accent5 8 24" xfId="53528" xr:uid="{00000000-0005-0000-0000-0000494E0000}"/>
    <cellStyle name="40% - Accent5 8 25" xfId="55211" xr:uid="{00000000-0005-0000-0000-00004A4E0000}"/>
    <cellStyle name="40% - Accent5 8 26" xfId="56894" xr:uid="{00000000-0005-0000-0000-00004B4E0000}"/>
    <cellStyle name="40% - Accent5 8 27" xfId="58577" xr:uid="{00000000-0005-0000-0000-00004C4E0000}"/>
    <cellStyle name="40% - Accent5 8 28" xfId="60260" xr:uid="{00000000-0005-0000-0000-00004D4E0000}"/>
    <cellStyle name="40% - Accent5 8 29" xfId="61943" xr:uid="{00000000-0005-0000-0000-00004E4E0000}"/>
    <cellStyle name="40% - Accent5 8 3" xfId="4718" xr:uid="{00000000-0005-0000-0000-00004F4E0000}"/>
    <cellStyle name="40% - Accent5 8 3 2" xfId="19867" xr:uid="{00000000-0005-0000-0000-0000504E0000}"/>
    <cellStyle name="40% - Accent5 8 30" xfId="63626" xr:uid="{00000000-0005-0000-0000-0000514E0000}"/>
    <cellStyle name="40% - Accent5 8 4" xfId="6401" xr:uid="{00000000-0005-0000-0000-0000524E0000}"/>
    <cellStyle name="40% - Accent5 8 4 2" xfId="21550" xr:uid="{00000000-0005-0000-0000-0000534E0000}"/>
    <cellStyle name="40% - Accent5 8 5" xfId="8084" xr:uid="{00000000-0005-0000-0000-0000544E0000}"/>
    <cellStyle name="40% - Accent5 8 5 2" xfId="23233" xr:uid="{00000000-0005-0000-0000-0000554E0000}"/>
    <cellStyle name="40% - Accent5 8 6" xfId="9767" xr:uid="{00000000-0005-0000-0000-0000564E0000}"/>
    <cellStyle name="40% - Accent5 8 6 2" xfId="24916" xr:uid="{00000000-0005-0000-0000-0000574E0000}"/>
    <cellStyle name="40% - Accent5 8 7" xfId="11450" xr:uid="{00000000-0005-0000-0000-0000584E0000}"/>
    <cellStyle name="40% - Accent5 8 7 2" xfId="26599" xr:uid="{00000000-0005-0000-0000-0000594E0000}"/>
    <cellStyle name="40% - Accent5 8 8" xfId="13134" xr:uid="{00000000-0005-0000-0000-00005A4E0000}"/>
    <cellStyle name="40% - Accent5 8 8 2" xfId="28283" xr:uid="{00000000-0005-0000-0000-00005B4E0000}"/>
    <cellStyle name="40% - Accent5 8 9" xfId="14817" xr:uid="{00000000-0005-0000-0000-00005C4E0000}"/>
    <cellStyle name="40% - Accent5 8 9 2" xfId="29966" xr:uid="{00000000-0005-0000-0000-00005D4E0000}"/>
    <cellStyle name="40% - Accent5 9" xfId="1772" xr:uid="{00000000-0005-0000-0000-00005E4E0000}"/>
    <cellStyle name="40% - Accent5 9 2" xfId="16921" xr:uid="{00000000-0005-0000-0000-00005F4E0000}"/>
    <cellStyle name="40% - Accent6" xfId="92" builtinId="51" customBuiltin="1"/>
    <cellStyle name="40% - Accent6 10" xfId="3459" xr:uid="{00000000-0005-0000-0000-0000614E0000}"/>
    <cellStyle name="40% - Accent6 10 2" xfId="18608" xr:uid="{00000000-0005-0000-0000-0000624E0000}"/>
    <cellStyle name="40% - Accent6 11" xfId="5142" xr:uid="{00000000-0005-0000-0000-0000634E0000}"/>
    <cellStyle name="40% - Accent6 11 2" xfId="20291" xr:uid="{00000000-0005-0000-0000-0000644E0000}"/>
    <cellStyle name="40% - Accent6 12" xfId="6825" xr:uid="{00000000-0005-0000-0000-0000654E0000}"/>
    <cellStyle name="40% - Accent6 12 2" xfId="21974" xr:uid="{00000000-0005-0000-0000-0000664E0000}"/>
    <cellStyle name="40% - Accent6 13" xfId="8508" xr:uid="{00000000-0005-0000-0000-0000674E0000}"/>
    <cellStyle name="40% - Accent6 13 2" xfId="23657" xr:uid="{00000000-0005-0000-0000-0000684E0000}"/>
    <cellStyle name="40% - Accent6 14" xfId="10191" xr:uid="{00000000-0005-0000-0000-0000694E0000}"/>
    <cellStyle name="40% - Accent6 14 2" xfId="25340" xr:uid="{00000000-0005-0000-0000-00006A4E0000}"/>
    <cellStyle name="40% - Accent6 15" xfId="11875" xr:uid="{00000000-0005-0000-0000-00006B4E0000}"/>
    <cellStyle name="40% - Accent6 15 2" xfId="27024" xr:uid="{00000000-0005-0000-0000-00006C4E0000}"/>
    <cellStyle name="40% - Accent6 16" xfId="13558" xr:uid="{00000000-0005-0000-0000-00006D4E0000}"/>
    <cellStyle name="40% - Accent6 16 2" xfId="28707" xr:uid="{00000000-0005-0000-0000-00006E4E0000}"/>
    <cellStyle name="40% - Accent6 17" xfId="15241" xr:uid="{00000000-0005-0000-0000-00006F4E0000}"/>
    <cellStyle name="40% - Accent6 18" xfId="30390" xr:uid="{00000000-0005-0000-0000-0000704E0000}"/>
    <cellStyle name="40% - Accent6 19" xfId="32073" xr:uid="{00000000-0005-0000-0000-0000714E0000}"/>
    <cellStyle name="40% - Accent6 2" xfId="114" xr:uid="{00000000-0005-0000-0000-0000724E0000}"/>
    <cellStyle name="40% - Accent6 2 10" xfId="6847" xr:uid="{00000000-0005-0000-0000-0000734E0000}"/>
    <cellStyle name="40% - Accent6 2 10 2" xfId="21996" xr:uid="{00000000-0005-0000-0000-0000744E0000}"/>
    <cellStyle name="40% - Accent6 2 11" xfId="8530" xr:uid="{00000000-0005-0000-0000-0000754E0000}"/>
    <cellStyle name="40% - Accent6 2 11 2" xfId="23679" xr:uid="{00000000-0005-0000-0000-0000764E0000}"/>
    <cellStyle name="40% - Accent6 2 12" xfId="10213" xr:uid="{00000000-0005-0000-0000-0000774E0000}"/>
    <cellStyle name="40% - Accent6 2 12 2" xfId="25362" xr:uid="{00000000-0005-0000-0000-0000784E0000}"/>
    <cellStyle name="40% - Accent6 2 13" xfId="11897" xr:uid="{00000000-0005-0000-0000-0000794E0000}"/>
    <cellStyle name="40% - Accent6 2 13 2" xfId="27046" xr:uid="{00000000-0005-0000-0000-00007A4E0000}"/>
    <cellStyle name="40% - Accent6 2 14" xfId="13580" xr:uid="{00000000-0005-0000-0000-00007B4E0000}"/>
    <cellStyle name="40% - Accent6 2 14 2" xfId="28729" xr:uid="{00000000-0005-0000-0000-00007C4E0000}"/>
    <cellStyle name="40% - Accent6 2 15" xfId="15263" xr:uid="{00000000-0005-0000-0000-00007D4E0000}"/>
    <cellStyle name="40% - Accent6 2 16" xfId="30412" xr:uid="{00000000-0005-0000-0000-00007E4E0000}"/>
    <cellStyle name="40% - Accent6 2 17" xfId="32095" xr:uid="{00000000-0005-0000-0000-00007F4E0000}"/>
    <cellStyle name="40% - Accent6 2 18" xfId="33778" xr:uid="{00000000-0005-0000-0000-0000804E0000}"/>
    <cellStyle name="40% - Accent6 2 19" xfId="35461" xr:uid="{00000000-0005-0000-0000-0000814E0000}"/>
    <cellStyle name="40% - Accent6 2 2" xfId="219" xr:uid="{00000000-0005-0000-0000-0000824E0000}"/>
    <cellStyle name="40% - Accent6 2 2 10" xfId="8635" xr:uid="{00000000-0005-0000-0000-0000834E0000}"/>
    <cellStyle name="40% - Accent6 2 2 10 2" xfId="23784" xr:uid="{00000000-0005-0000-0000-0000844E0000}"/>
    <cellStyle name="40% - Accent6 2 2 11" xfId="10318" xr:uid="{00000000-0005-0000-0000-0000854E0000}"/>
    <cellStyle name="40% - Accent6 2 2 11 2" xfId="25467" xr:uid="{00000000-0005-0000-0000-0000864E0000}"/>
    <cellStyle name="40% - Accent6 2 2 12" xfId="12002" xr:uid="{00000000-0005-0000-0000-0000874E0000}"/>
    <cellStyle name="40% - Accent6 2 2 12 2" xfId="27151" xr:uid="{00000000-0005-0000-0000-0000884E0000}"/>
    <cellStyle name="40% - Accent6 2 2 13" xfId="13685" xr:uid="{00000000-0005-0000-0000-0000894E0000}"/>
    <cellStyle name="40% - Accent6 2 2 13 2" xfId="28834" xr:uid="{00000000-0005-0000-0000-00008A4E0000}"/>
    <cellStyle name="40% - Accent6 2 2 14" xfId="15368" xr:uid="{00000000-0005-0000-0000-00008B4E0000}"/>
    <cellStyle name="40% - Accent6 2 2 15" xfId="30517" xr:uid="{00000000-0005-0000-0000-00008C4E0000}"/>
    <cellStyle name="40% - Accent6 2 2 16" xfId="32200" xr:uid="{00000000-0005-0000-0000-00008D4E0000}"/>
    <cellStyle name="40% - Accent6 2 2 17" xfId="33883" xr:uid="{00000000-0005-0000-0000-00008E4E0000}"/>
    <cellStyle name="40% - Accent6 2 2 18" xfId="35566" xr:uid="{00000000-0005-0000-0000-00008F4E0000}"/>
    <cellStyle name="40% - Accent6 2 2 19" xfId="37249" xr:uid="{00000000-0005-0000-0000-0000904E0000}"/>
    <cellStyle name="40% - Accent6 2 2 2" xfId="429" xr:uid="{00000000-0005-0000-0000-0000914E0000}"/>
    <cellStyle name="40% - Accent6 2 2 2 10" xfId="10528" xr:uid="{00000000-0005-0000-0000-0000924E0000}"/>
    <cellStyle name="40% - Accent6 2 2 2 10 2" xfId="25677" xr:uid="{00000000-0005-0000-0000-0000934E0000}"/>
    <cellStyle name="40% - Accent6 2 2 2 11" xfId="12212" xr:uid="{00000000-0005-0000-0000-0000944E0000}"/>
    <cellStyle name="40% - Accent6 2 2 2 11 2" xfId="27361" xr:uid="{00000000-0005-0000-0000-0000954E0000}"/>
    <cellStyle name="40% - Accent6 2 2 2 12" xfId="13895" xr:uid="{00000000-0005-0000-0000-0000964E0000}"/>
    <cellStyle name="40% - Accent6 2 2 2 12 2" xfId="29044" xr:uid="{00000000-0005-0000-0000-0000974E0000}"/>
    <cellStyle name="40% - Accent6 2 2 2 13" xfId="15578" xr:uid="{00000000-0005-0000-0000-0000984E0000}"/>
    <cellStyle name="40% - Accent6 2 2 2 14" xfId="30727" xr:uid="{00000000-0005-0000-0000-0000994E0000}"/>
    <cellStyle name="40% - Accent6 2 2 2 15" xfId="32410" xr:uid="{00000000-0005-0000-0000-00009A4E0000}"/>
    <cellStyle name="40% - Accent6 2 2 2 16" xfId="34093" xr:uid="{00000000-0005-0000-0000-00009B4E0000}"/>
    <cellStyle name="40% - Accent6 2 2 2 17" xfId="35776" xr:uid="{00000000-0005-0000-0000-00009C4E0000}"/>
    <cellStyle name="40% - Accent6 2 2 2 18" xfId="37459" xr:uid="{00000000-0005-0000-0000-00009D4E0000}"/>
    <cellStyle name="40% - Accent6 2 2 2 19" xfId="39142" xr:uid="{00000000-0005-0000-0000-00009E4E0000}"/>
    <cellStyle name="40% - Accent6 2 2 2 2" xfId="849" xr:uid="{00000000-0005-0000-0000-00009F4E0000}"/>
    <cellStyle name="40% - Accent6 2 2 2 2 10" xfId="15998" xr:uid="{00000000-0005-0000-0000-0000A04E0000}"/>
    <cellStyle name="40% - Accent6 2 2 2 2 11" xfId="31147" xr:uid="{00000000-0005-0000-0000-0000A14E0000}"/>
    <cellStyle name="40% - Accent6 2 2 2 2 12" xfId="32830" xr:uid="{00000000-0005-0000-0000-0000A24E0000}"/>
    <cellStyle name="40% - Accent6 2 2 2 2 13" xfId="34513" xr:uid="{00000000-0005-0000-0000-0000A34E0000}"/>
    <cellStyle name="40% - Accent6 2 2 2 2 14" xfId="36196" xr:uid="{00000000-0005-0000-0000-0000A44E0000}"/>
    <cellStyle name="40% - Accent6 2 2 2 2 15" xfId="37879" xr:uid="{00000000-0005-0000-0000-0000A54E0000}"/>
    <cellStyle name="40% - Accent6 2 2 2 2 16" xfId="39562" xr:uid="{00000000-0005-0000-0000-0000A64E0000}"/>
    <cellStyle name="40% - Accent6 2 2 2 2 17" xfId="41245" xr:uid="{00000000-0005-0000-0000-0000A74E0000}"/>
    <cellStyle name="40% - Accent6 2 2 2 2 18" xfId="42928" xr:uid="{00000000-0005-0000-0000-0000A84E0000}"/>
    <cellStyle name="40% - Accent6 2 2 2 2 19" xfId="44611" xr:uid="{00000000-0005-0000-0000-0000A94E0000}"/>
    <cellStyle name="40% - Accent6 2 2 2 2 2" xfId="2532" xr:uid="{00000000-0005-0000-0000-0000AA4E0000}"/>
    <cellStyle name="40% - Accent6 2 2 2 2 2 2" xfId="17681" xr:uid="{00000000-0005-0000-0000-0000AB4E0000}"/>
    <cellStyle name="40% - Accent6 2 2 2 2 20" xfId="46294" xr:uid="{00000000-0005-0000-0000-0000AC4E0000}"/>
    <cellStyle name="40% - Accent6 2 2 2 2 21" xfId="47977" xr:uid="{00000000-0005-0000-0000-0000AD4E0000}"/>
    <cellStyle name="40% - Accent6 2 2 2 2 22" xfId="49660" xr:uid="{00000000-0005-0000-0000-0000AE4E0000}"/>
    <cellStyle name="40% - Accent6 2 2 2 2 23" xfId="51343" xr:uid="{00000000-0005-0000-0000-0000AF4E0000}"/>
    <cellStyle name="40% - Accent6 2 2 2 2 24" xfId="53026" xr:uid="{00000000-0005-0000-0000-0000B04E0000}"/>
    <cellStyle name="40% - Accent6 2 2 2 2 25" xfId="54709" xr:uid="{00000000-0005-0000-0000-0000B14E0000}"/>
    <cellStyle name="40% - Accent6 2 2 2 2 26" xfId="56392" xr:uid="{00000000-0005-0000-0000-0000B24E0000}"/>
    <cellStyle name="40% - Accent6 2 2 2 2 27" xfId="58075" xr:uid="{00000000-0005-0000-0000-0000B34E0000}"/>
    <cellStyle name="40% - Accent6 2 2 2 2 28" xfId="59758" xr:uid="{00000000-0005-0000-0000-0000B44E0000}"/>
    <cellStyle name="40% - Accent6 2 2 2 2 29" xfId="61441" xr:uid="{00000000-0005-0000-0000-0000B54E0000}"/>
    <cellStyle name="40% - Accent6 2 2 2 2 3" xfId="4216" xr:uid="{00000000-0005-0000-0000-0000B64E0000}"/>
    <cellStyle name="40% - Accent6 2 2 2 2 3 2" xfId="19365" xr:uid="{00000000-0005-0000-0000-0000B74E0000}"/>
    <cellStyle name="40% - Accent6 2 2 2 2 30" xfId="63124" xr:uid="{00000000-0005-0000-0000-0000B84E0000}"/>
    <cellStyle name="40% - Accent6 2 2 2 2 4" xfId="5899" xr:uid="{00000000-0005-0000-0000-0000B94E0000}"/>
    <cellStyle name="40% - Accent6 2 2 2 2 4 2" xfId="21048" xr:uid="{00000000-0005-0000-0000-0000BA4E0000}"/>
    <cellStyle name="40% - Accent6 2 2 2 2 5" xfId="7582" xr:uid="{00000000-0005-0000-0000-0000BB4E0000}"/>
    <cellStyle name="40% - Accent6 2 2 2 2 5 2" xfId="22731" xr:uid="{00000000-0005-0000-0000-0000BC4E0000}"/>
    <cellStyle name="40% - Accent6 2 2 2 2 6" xfId="9265" xr:uid="{00000000-0005-0000-0000-0000BD4E0000}"/>
    <cellStyle name="40% - Accent6 2 2 2 2 6 2" xfId="24414" xr:uid="{00000000-0005-0000-0000-0000BE4E0000}"/>
    <cellStyle name="40% - Accent6 2 2 2 2 7" xfId="10948" xr:uid="{00000000-0005-0000-0000-0000BF4E0000}"/>
    <cellStyle name="40% - Accent6 2 2 2 2 7 2" xfId="26097" xr:uid="{00000000-0005-0000-0000-0000C04E0000}"/>
    <cellStyle name="40% - Accent6 2 2 2 2 8" xfId="12632" xr:uid="{00000000-0005-0000-0000-0000C14E0000}"/>
    <cellStyle name="40% - Accent6 2 2 2 2 8 2" xfId="27781" xr:uid="{00000000-0005-0000-0000-0000C24E0000}"/>
    <cellStyle name="40% - Accent6 2 2 2 2 9" xfId="14315" xr:uid="{00000000-0005-0000-0000-0000C34E0000}"/>
    <cellStyle name="40% - Accent6 2 2 2 2 9 2" xfId="29464" xr:uid="{00000000-0005-0000-0000-0000C44E0000}"/>
    <cellStyle name="40% - Accent6 2 2 2 20" xfId="40825" xr:uid="{00000000-0005-0000-0000-0000C54E0000}"/>
    <cellStyle name="40% - Accent6 2 2 2 21" xfId="42508" xr:uid="{00000000-0005-0000-0000-0000C64E0000}"/>
    <cellStyle name="40% - Accent6 2 2 2 22" xfId="44191" xr:uid="{00000000-0005-0000-0000-0000C74E0000}"/>
    <cellStyle name="40% - Accent6 2 2 2 23" xfId="45874" xr:uid="{00000000-0005-0000-0000-0000C84E0000}"/>
    <cellStyle name="40% - Accent6 2 2 2 24" xfId="47557" xr:uid="{00000000-0005-0000-0000-0000C94E0000}"/>
    <cellStyle name="40% - Accent6 2 2 2 25" xfId="49240" xr:uid="{00000000-0005-0000-0000-0000CA4E0000}"/>
    <cellStyle name="40% - Accent6 2 2 2 26" xfId="50923" xr:uid="{00000000-0005-0000-0000-0000CB4E0000}"/>
    <cellStyle name="40% - Accent6 2 2 2 27" xfId="52606" xr:uid="{00000000-0005-0000-0000-0000CC4E0000}"/>
    <cellStyle name="40% - Accent6 2 2 2 28" xfId="54289" xr:uid="{00000000-0005-0000-0000-0000CD4E0000}"/>
    <cellStyle name="40% - Accent6 2 2 2 29" xfId="55972" xr:uid="{00000000-0005-0000-0000-0000CE4E0000}"/>
    <cellStyle name="40% - Accent6 2 2 2 3" xfId="1270" xr:uid="{00000000-0005-0000-0000-0000CF4E0000}"/>
    <cellStyle name="40% - Accent6 2 2 2 3 10" xfId="16419" xr:uid="{00000000-0005-0000-0000-0000D04E0000}"/>
    <cellStyle name="40% - Accent6 2 2 2 3 11" xfId="31568" xr:uid="{00000000-0005-0000-0000-0000D14E0000}"/>
    <cellStyle name="40% - Accent6 2 2 2 3 12" xfId="33251" xr:uid="{00000000-0005-0000-0000-0000D24E0000}"/>
    <cellStyle name="40% - Accent6 2 2 2 3 13" xfId="34934" xr:uid="{00000000-0005-0000-0000-0000D34E0000}"/>
    <cellStyle name="40% - Accent6 2 2 2 3 14" xfId="36617" xr:uid="{00000000-0005-0000-0000-0000D44E0000}"/>
    <cellStyle name="40% - Accent6 2 2 2 3 15" xfId="38300" xr:uid="{00000000-0005-0000-0000-0000D54E0000}"/>
    <cellStyle name="40% - Accent6 2 2 2 3 16" xfId="39983" xr:uid="{00000000-0005-0000-0000-0000D64E0000}"/>
    <cellStyle name="40% - Accent6 2 2 2 3 17" xfId="41666" xr:uid="{00000000-0005-0000-0000-0000D74E0000}"/>
    <cellStyle name="40% - Accent6 2 2 2 3 18" xfId="43349" xr:uid="{00000000-0005-0000-0000-0000D84E0000}"/>
    <cellStyle name="40% - Accent6 2 2 2 3 19" xfId="45032" xr:uid="{00000000-0005-0000-0000-0000D94E0000}"/>
    <cellStyle name="40% - Accent6 2 2 2 3 2" xfId="2953" xr:uid="{00000000-0005-0000-0000-0000DA4E0000}"/>
    <cellStyle name="40% - Accent6 2 2 2 3 2 2" xfId="18102" xr:uid="{00000000-0005-0000-0000-0000DB4E0000}"/>
    <cellStyle name="40% - Accent6 2 2 2 3 20" xfId="46715" xr:uid="{00000000-0005-0000-0000-0000DC4E0000}"/>
    <cellStyle name="40% - Accent6 2 2 2 3 21" xfId="48398" xr:uid="{00000000-0005-0000-0000-0000DD4E0000}"/>
    <cellStyle name="40% - Accent6 2 2 2 3 22" xfId="50081" xr:uid="{00000000-0005-0000-0000-0000DE4E0000}"/>
    <cellStyle name="40% - Accent6 2 2 2 3 23" xfId="51764" xr:uid="{00000000-0005-0000-0000-0000DF4E0000}"/>
    <cellStyle name="40% - Accent6 2 2 2 3 24" xfId="53447" xr:uid="{00000000-0005-0000-0000-0000E04E0000}"/>
    <cellStyle name="40% - Accent6 2 2 2 3 25" xfId="55130" xr:uid="{00000000-0005-0000-0000-0000E14E0000}"/>
    <cellStyle name="40% - Accent6 2 2 2 3 26" xfId="56813" xr:uid="{00000000-0005-0000-0000-0000E24E0000}"/>
    <cellStyle name="40% - Accent6 2 2 2 3 27" xfId="58496" xr:uid="{00000000-0005-0000-0000-0000E34E0000}"/>
    <cellStyle name="40% - Accent6 2 2 2 3 28" xfId="60179" xr:uid="{00000000-0005-0000-0000-0000E44E0000}"/>
    <cellStyle name="40% - Accent6 2 2 2 3 29" xfId="61862" xr:uid="{00000000-0005-0000-0000-0000E54E0000}"/>
    <cellStyle name="40% - Accent6 2 2 2 3 3" xfId="4637" xr:uid="{00000000-0005-0000-0000-0000E64E0000}"/>
    <cellStyle name="40% - Accent6 2 2 2 3 3 2" xfId="19786" xr:uid="{00000000-0005-0000-0000-0000E74E0000}"/>
    <cellStyle name="40% - Accent6 2 2 2 3 30" xfId="63545" xr:uid="{00000000-0005-0000-0000-0000E84E0000}"/>
    <cellStyle name="40% - Accent6 2 2 2 3 4" xfId="6320" xr:uid="{00000000-0005-0000-0000-0000E94E0000}"/>
    <cellStyle name="40% - Accent6 2 2 2 3 4 2" xfId="21469" xr:uid="{00000000-0005-0000-0000-0000EA4E0000}"/>
    <cellStyle name="40% - Accent6 2 2 2 3 5" xfId="8003" xr:uid="{00000000-0005-0000-0000-0000EB4E0000}"/>
    <cellStyle name="40% - Accent6 2 2 2 3 5 2" xfId="23152" xr:uid="{00000000-0005-0000-0000-0000EC4E0000}"/>
    <cellStyle name="40% - Accent6 2 2 2 3 6" xfId="9686" xr:uid="{00000000-0005-0000-0000-0000ED4E0000}"/>
    <cellStyle name="40% - Accent6 2 2 2 3 6 2" xfId="24835" xr:uid="{00000000-0005-0000-0000-0000EE4E0000}"/>
    <cellStyle name="40% - Accent6 2 2 2 3 7" xfId="11369" xr:uid="{00000000-0005-0000-0000-0000EF4E0000}"/>
    <cellStyle name="40% - Accent6 2 2 2 3 7 2" xfId="26518" xr:uid="{00000000-0005-0000-0000-0000F04E0000}"/>
    <cellStyle name="40% - Accent6 2 2 2 3 8" xfId="13053" xr:uid="{00000000-0005-0000-0000-0000F14E0000}"/>
    <cellStyle name="40% - Accent6 2 2 2 3 8 2" xfId="28202" xr:uid="{00000000-0005-0000-0000-0000F24E0000}"/>
    <cellStyle name="40% - Accent6 2 2 2 3 9" xfId="14736" xr:uid="{00000000-0005-0000-0000-0000F34E0000}"/>
    <cellStyle name="40% - Accent6 2 2 2 3 9 2" xfId="29885" xr:uid="{00000000-0005-0000-0000-0000F44E0000}"/>
    <cellStyle name="40% - Accent6 2 2 2 30" xfId="57655" xr:uid="{00000000-0005-0000-0000-0000F54E0000}"/>
    <cellStyle name="40% - Accent6 2 2 2 31" xfId="59338" xr:uid="{00000000-0005-0000-0000-0000F64E0000}"/>
    <cellStyle name="40% - Accent6 2 2 2 32" xfId="61021" xr:uid="{00000000-0005-0000-0000-0000F74E0000}"/>
    <cellStyle name="40% - Accent6 2 2 2 33" xfId="62704" xr:uid="{00000000-0005-0000-0000-0000F84E0000}"/>
    <cellStyle name="40% - Accent6 2 2 2 4" xfId="1691" xr:uid="{00000000-0005-0000-0000-0000F94E0000}"/>
    <cellStyle name="40% - Accent6 2 2 2 4 10" xfId="16840" xr:uid="{00000000-0005-0000-0000-0000FA4E0000}"/>
    <cellStyle name="40% - Accent6 2 2 2 4 11" xfId="31989" xr:uid="{00000000-0005-0000-0000-0000FB4E0000}"/>
    <cellStyle name="40% - Accent6 2 2 2 4 12" xfId="33672" xr:uid="{00000000-0005-0000-0000-0000FC4E0000}"/>
    <cellStyle name="40% - Accent6 2 2 2 4 13" xfId="35355" xr:uid="{00000000-0005-0000-0000-0000FD4E0000}"/>
    <cellStyle name="40% - Accent6 2 2 2 4 14" xfId="37038" xr:uid="{00000000-0005-0000-0000-0000FE4E0000}"/>
    <cellStyle name="40% - Accent6 2 2 2 4 15" xfId="38721" xr:uid="{00000000-0005-0000-0000-0000FF4E0000}"/>
    <cellStyle name="40% - Accent6 2 2 2 4 16" xfId="40404" xr:uid="{00000000-0005-0000-0000-0000004F0000}"/>
    <cellStyle name="40% - Accent6 2 2 2 4 17" xfId="42087" xr:uid="{00000000-0005-0000-0000-0000014F0000}"/>
    <cellStyle name="40% - Accent6 2 2 2 4 18" xfId="43770" xr:uid="{00000000-0005-0000-0000-0000024F0000}"/>
    <cellStyle name="40% - Accent6 2 2 2 4 19" xfId="45453" xr:uid="{00000000-0005-0000-0000-0000034F0000}"/>
    <cellStyle name="40% - Accent6 2 2 2 4 2" xfId="3374" xr:uid="{00000000-0005-0000-0000-0000044F0000}"/>
    <cellStyle name="40% - Accent6 2 2 2 4 2 2" xfId="18523" xr:uid="{00000000-0005-0000-0000-0000054F0000}"/>
    <cellStyle name="40% - Accent6 2 2 2 4 20" xfId="47136" xr:uid="{00000000-0005-0000-0000-0000064F0000}"/>
    <cellStyle name="40% - Accent6 2 2 2 4 21" xfId="48819" xr:uid="{00000000-0005-0000-0000-0000074F0000}"/>
    <cellStyle name="40% - Accent6 2 2 2 4 22" xfId="50502" xr:uid="{00000000-0005-0000-0000-0000084F0000}"/>
    <cellStyle name="40% - Accent6 2 2 2 4 23" xfId="52185" xr:uid="{00000000-0005-0000-0000-0000094F0000}"/>
    <cellStyle name="40% - Accent6 2 2 2 4 24" xfId="53868" xr:uid="{00000000-0005-0000-0000-00000A4F0000}"/>
    <cellStyle name="40% - Accent6 2 2 2 4 25" xfId="55551" xr:uid="{00000000-0005-0000-0000-00000B4F0000}"/>
    <cellStyle name="40% - Accent6 2 2 2 4 26" xfId="57234" xr:uid="{00000000-0005-0000-0000-00000C4F0000}"/>
    <cellStyle name="40% - Accent6 2 2 2 4 27" xfId="58917" xr:uid="{00000000-0005-0000-0000-00000D4F0000}"/>
    <cellStyle name="40% - Accent6 2 2 2 4 28" xfId="60600" xr:uid="{00000000-0005-0000-0000-00000E4F0000}"/>
    <cellStyle name="40% - Accent6 2 2 2 4 29" xfId="62283" xr:uid="{00000000-0005-0000-0000-00000F4F0000}"/>
    <cellStyle name="40% - Accent6 2 2 2 4 3" xfId="5058" xr:uid="{00000000-0005-0000-0000-0000104F0000}"/>
    <cellStyle name="40% - Accent6 2 2 2 4 3 2" xfId="20207" xr:uid="{00000000-0005-0000-0000-0000114F0000}"/>
    <cellStyle name="40% - Accent6 2 2 2 4 30" xfId="63966" xr:uid="{00000000-0005-0000-0000-0000124F0000}"/>
    <cellStyle name="40% - Accent6 2 2 2 4 4" xfId="6741" xr:uid="{00000000-0005-0000-0000-0000134F0000}"/>
    <cellStyle name="40% - Accent6 2 2 2 4 4 2" xfId="21890" xr:uid="{00000000-0005-0000-0000-0000144F0000}"/>
    <cellStyle name="40% - Accent6 2 2 2 4 5" xfId="8424" xr:uid="{00000000-0005-0000-0000-0000154F0000}"/>
    <cellStyle name="40% - Accent6 2 2 2 4 5 2" xfId="23573" xr:uid="{00000000-0005-0000-0000-0000164F0000}"/>
    <cellStyle name="40% - Accent6 2 2 2 4 6" xfId="10107" xr:uid="{00000000-0005-0000-0000-0000174F0000}"/>
    <cellStyle name="40% - Accent6 2 2 2 4 6 2" xfId="25256" xr:uid="{00000000-0005-0000-0000-0000184F0000}"/>
    <cellStyle name="40% - Accent6 2 2 2 4 7" xfId="11790" xr:uid="{00000000-0005-0000-0000-0000194F0000}"/>
    <cellStyle name="40% - Accent6 2 2 2 4 7 2" xfId="26939" xr:uid="{00000000-0005-0000-0000-00001A4F0000}"/>
    <cellStyle name="40% - Accent6 2 2 2 4 8" xfId="13474" xr:uid="{00000000-0005-0000-0000-00001B4F0000}"/>
    <cellStyle name="40% - Accent6 2 2 2 4 8 2" xfId="28623" xr:uid="{00000000-0005-0000-0000-00001C4F0000}"/>
    <cellStyle name="40% - Accent6 2 2 2 4 9" xfId="15157" xr:uid="{00000000-0005-0000-0000-00001D4F0000}"/>
    <cellStyle name="40% - Accent6 2 2 2 4 9 2" xfId="30306" xr:uid="{00000000-0005-0000-0000-00001E4F0000}"/>
    <cellStyle name="40% - Accent6 2 2 2 5" xfId="2112" xr:uid="{00000000-0005-0000-0000-00001F4F0000}"/>
    <cellStyle name="40% - Accent6 2 2 2 5 2" xfId="17261" xr:uid="{00000000-0005-0000-0000-0000204F0000}"/>
    <cellStyle name="40% - Accent6 2 2 2 6" xfId="3796" xr:uid="{00000000-0005-0000-0000-0000214F0000}"/>
    <cellStyle name="40% - Accent6 2 2 2 6 2" xfId="18945" xr:uid="{00000000-0005-0000-0000-0000224F0000}"/>
    <cellStyle name="40% - Accent6 2 2 2 7" xfId="5479" xr:uid="{00000000-0005-0000-0000-0000234F0000}"/>
    <cellStyle name="40% - Accent6 2 2 2 7 2" xfId="20628" xr:uid="{00000000-0005-0000-0000-0000244F0000}"/>
    <cellStyle name="40% - Accent6 2 2 2 8" xfId="7162" xr:uid="{00000000-0005-0000-0000-0000254F0000}"/>
    <cellStyle name="40% - Accent6 2 2 2 8 2" xfId="22311" xr:uid="{00000000-0005-0000-0000-0000264F0000}"/>
    <cellStyle name="40% - Accent6 2 2 2 9" xfId="8845" xr:uid="{00000000-0005-0000-0000-0000274F0000}"/>
    <cellStyle name="40% - Accent6 2 2 2 9 2" xfId="23994" xr:uid="{00000000-0005-0000-0000-0000284F0000}"/>
    <cellStyle name="40% - Accent6 2 2 20" xfId="38932" xr:uid="{00000000-0005-0000-0000-0000294F0000}"/>
    <cellStyle name="40% - Accent6 2 2 21" xfId="40615" xr:uid="{00000000-0005-0000-0000-00002A4F0000}"/>
    <cellStyle name="40% - Accent6 2 2 22" xfId="42298" xr:uid="{00000000-0005-0000-0000-00002B4F0000}"/>
    <cellStyle name="40% - Accent6 2 2 23" xfId="43981" xr:uid="{00000000-0005-0000-0000-00002C4F0000}"/>
    <cellStyle name="40% - Accent6 2 2 24" xfId="45664" xr:uid="{00000000-0005-0000-0000-00002D4F0000}"/>
    <cellStyle name="40% - Accent6 2 2 25" xfId="47347" xr:uid="{00000000-0005-0000-0000-00002E4F0000}"/>
    <cellStyle name="40% - Accent6 2 2 26" xfId="49030" xr:uid="{00000000-0005-0000-0000-00002F4F0000}"/>
    <cellStyle name="40% - Accent6 2 2 27" xfId="50713" xr:uid="{00000000-0005-0000-0000-0000304F0000}"/>
    <cellStyle name="40% - Accent6 2 2 28" xfId="52396" xr:uid="{00000000-0005-0000-0000-0000314F0000}"/>
    <cellStyle name="40% - Accent6 2 2 29" xfId="54079" xr:uid="{00000000-0005-0000-0000-0000324F0000}"/>
    <cellStyle name="40% - Accent6 2 2 3" xfId="639" xr:uid="{00000000-0005-0000-0000-0000334F0000}"/>
    <cellStyle name="40% - Accent6 2 2 3 10" xfId="15788" xr:uid="{00000000-0005-0000-0000-0000344F0000}"/>
    <cellStyle name="40% - Accent6 2 2 3 11" xfId="30937" xr:uid="{00000000-0005-0000-0000-0000354F0000}"/>
    <cellStyle name="40% - Accent6 2 2 3 12" xfId="32620" xr:uid="{00000000-0005-0000-0000-0000364F0000}"/>
    <cellStyle name="40% - Accent6 2 2 3 13" xfId="34303" xr:uid="{00000000-0005-0000-0000-0000374F0000}"/>
    <cellStyle name="40% - Accent6 2 2 3 14" xfId="35986" xr:uid="{00000000-0005-0000-0000-0000384F0000}"/>
    <cellStyle name="40% - Accent6 2 2 3 15" xfId="37669" xr:uid="{00000000-0005-0000-0000-0000394F0000}"/>
    <cellStyle name="40% - Accent6 2 2 3 16" xfId="39352" xr:uid="{00000000-0005-0000-0000-00003A4F0000}"/>
    <cellStyle name="40% - Accent6 2 2 3 17" xfId="41035" xr:uid="{00000000-0005-0000-0000-00003B4F0000}"/>
    <cellStyle name="40% - Accent6 2 2 3 18" xfId="42718" xr:uid="{00000000-0005-0000-0000-00003C4F0000}"/>
    <cellStyle name="40% - Accent6 2 2 3 19" xfId="44401" xr:uid="{00000000-0005-0000-0000-00003D4F0000}"/>
    <cellStyle name="40% - Accent6 2 2 3 2" xfId="2322" xr:uid="{00000000-0005-0000-0000-00003E4F0000}"/>
    <cellStyle name="40% - Accent6 2 2 3 2 2" xfId="17471" xr:uid="{00000000-0005-0000-0000-00003F4F0000}"/>
    <cellStyle name="40% - Accent6 2 2 3 20" xfId="46084" xr:uid="{00000000-0005-0000-0000-0000404F0000}"/>
    <cellStyle name="40% - Accent6 2 2 3 21" xfId="47767" xr:uid="{00000000-0005-0000-0000-0000414F0000}"/>
    <cellStyle name="40% - Accent6 2 2 3 22" xfId="49450" xr:uid="{00000000-0005-0000-0000-0000424F0000}"/>
    <cellStyle name="40% - Accent6 2 2 3 23" xfId="51133" xr:uid="{00000000-0005-0000-0000-0000434F0000}"/>
    <cellStyle name="40% - Accent6 2 2 3 24" xfId="52816" xr:uid="{00000000-0005-0000-0000-0000444F0000}"/>
    <cellStyle name="40% - Accent6 2 2 3 25" xfId="54499" xr:uid="{00000000-0005-0000-0000-0000454F0000}"/>
    <cellStyle name="40% - Accent6 2 2 3 26" xfId="56182" xr:uid="{00000000-0005-0000-0000-0000464F0000}"/>
    <cellStyle name="40% - Accent6 2 2 3 27" xfId="57865" xr:uid="{00000000-0005-0000-0000-0000474F0000}"/>
    <cellStyle name="40% - Accent6 2 2 3 28" xfId="59548" xr:uid="{00000000-0005-0000-0000-0000484F0000}"/>
    <cellStyle name="40% - Accent6 2 2 3 29" xfId="61231" xr:uid="{00000000-0005-0000-0000-0000494F0000}"/>
    <cellStyle name="40% - Accent6 2 2 3 3" xfId="4006" xr:uid="{00000000-0005-0000-0000-00004A4F0000}"/>
    <cellStyle name="40% - Accent6 2 2 3 3 2" xfId="19155" xr:uid="{00000000-0005-0000-0000-00004B4F0000}"/>
    <cellStyle name="40% - Accent6 2 2 3 30" xfId="62914" xr:uid="{00000000-0005-0000-0000-00004C4F0000}"/>
    <cellStyle name="40% - Accent6 2 2 3 4" xfId="5689" xr:uid="{00000000-0005-0000-0000-00004D4F0000}"/>
    <cellStyle name="40% - Accent6 2 2 3 4 2" xfId="20838" xr:uid="{00000000-0005-0000-0000-00004E4F0000}"/>
    <cellStyle name="40% - Accent6 2 2 3 5" xfId="7372" xr:uid="{00000000-0005-0000-0000-00004F4F0000}"/>
    <cellStyle name="40% - Accent6 2 2 3 5 2" xfId="22521" xr:uid="{00000000-0005-0000-0000-0000504F0000}"/>
    <cellStyle name="40% - Accent6 2 2 3 6" xfId="9055" xr:uid="{00000000-0005-0000-0000-0000514F0000}"/>
    <cellStyle name="40% - Accent6 2 2 3 6 2" xfId="24204" xr:uid="{00000000-0005-0000-0000-0000524F0000}"/>
    <cellStyle name="40% - Accent6 2 2 3 7" xfId="10738" xr:uid="{00000000-0005-0000-0000-0000534F0000}"/>
    <cellStyle name="40% - Accent6 2 2 3 7 2" xfId="25887" xr:uid="{00000000-0005-0000-0000-0000544F0000}"/>
    <cellStyle name="40% - Accent6 2 2 3 8" xfId="12422" xr:uid="{00000000-0005-0000-0000-0000554F0000}"/>
    <cellStyle name="40% - Accent6 2 2 3 8 2" xfId="27571" xr:uid="{00000000-0005-0000-0000-0000564F0000}"/>
    <cellStyle name="40% - Accent6 2 2 3 9" xfId="14105" xr:uid="{00000000-0005-0000-0000-0000574F0000}"/>
    <cellStyle name="40% - Accent6 2 2 3 9 2" xfId="29254" xr:uid="{00000000-0005-0000-0000-0000584F0000}"/>
    <cellStyle name="40% - Accent6 2 2 30" xfId="55762" xr:uid="{00000000-0005-0000-0000-0000594F0000}"/>
    <cellStyle name="40% - Accent6 2 2 31" xfId="57445" xr:uid="{00000000-0005-0000-0000-00005A4F0000}"/>
    <cellStyle name="40% - Accent6 2 2 32" xfId="59128" xr:uid="{00000000-0005-0000-0000-00005B4F0000}"/>
    <cellStyle name="40% - Accent6 2 2 33" xfId="60811" xr:uid="{00000000-0005-0000-0000-00005C4F0000}"/>
    <cellStyle name="40% - Accent6 2 2 34" xfId="62494" xr:uid="{00000000-0005-0000-0000-00005D4F0000}"/>
    <cellStyle name="40% - Accent6 2 2 4" xfId="1060" xr:uid="{00000000-0005-0000-0000-00005E4F0000}"/>
    <cellStyle name="40% - Accent6 2 2 4 10" xfId="16209" xr:uid="{00000000-0005-0000-0000-00005F4F0000}"/>
    <cellStyle name="40% - Accent6 2 2 4 11" xfId="31358" xr:uid="{00000000-0005-0000-0000-0000604F0000}"/>
    <cellStyle name="40% - Accent6 2 2 4 12" xfId="33041" xr:uid="{00000000-0005-0000-0000-0000614F0000}"/>
    <cellStyle name="40% - Accent6 2 2 4 13" xfId="34724" xr:uid="{00000000-0005-0000-0000-0000624F0000}"/>
    <cellStyle name="40% - Accent6 2 2 4 14" xfId="36407" xr:uid="{00000000-0005-0000-0000-0000634F0000}"/>
    <cellStyle name="40% - Accent6 2 2 4 15" xfId="38090" xr:uid="{00000000-0005-0000-0000-0000644F0000}"/>
    <cellStyle name="40% - Accent6 2 2 4 16" xfId="39773" xr:uid="{00000000-0005-0000-0000-0000654F0000}"/>
    <cellStyle name="40% - Accent6 2 2 4 17" xfId="41456" xr:uid="{00000000-0005-0000-0000-0000664F0000}"/>
    <cellStyle name="40% - Accent6 2 2 4 18" xfId="43139" xr:uid="{00000000-0005-0000-0000-0000674F0000}"/>
    <cellStyle name="40% - Accent6 2 2 4 19" xfId="44822" xr:uid="{00000000-0005-0000-0000-0000684F0000}"/>
    <cellStyle name="40% - Accent6 2 2 4 2" xfId="2743" xr:uid="{00000000-0005-0000-0000-0000694F0000}"/>
    <cellStyle name="40% - Accent6 2 2 4 2 2" xfId="17892" xr:uid="{00000000-0005-0000-0000-00006A4F0000}"/>
    <cellStyle name="40% - Accent6 2 2 4 20" xfId="46505" xr:uid="{00000000-0005-0000-0000-00006B4F0000}"/>
    <cellStyle name="40% - Accent6 2 2 4 21" xfId="48188" xr:uid="{00000000-0005-0000-0000-00006C4F0000}"/>
    <cellStyle name="40% - Accent6 2 2 4 22" xfId="49871" xr:uid="{00000000-0005-0000-0000-00006D4F0000}"/>
    <cellStyle name="40% - Accent6 2 2 4 23" xfId="51554" xr:uid="{00000000-0005-0000-0000-00006E4F0000}"/>
    <cellStyle name="40% - Accent6 2 2 4 24" xfId="53237" xr:uid="{00000000-0005-0000-0000-00006F4F0000}"/>
    <cellStyle name="40% - Accent6 2 2 4 25" xfId="54920" xr:uid="{00000000-0005-0000-0000-0000704F0000}"/>
    <cellStyle name="40% - Accent6 2 2 4 26" xfId="56603" xr:uid="{00000000-0005-0000-0000-0000714F0000}"/>
    <cellStyle name="40% - Accent6 2 2 4 27" xfId="58286" xr:uid="{00000000-0005-0000-0000-0000724F0000}"/>
    <cellStyle name="40% - Accent6 2 2 4 28" xfId="59969" xr:uid="{00000000-0005-0000-0000-0000734F0000}"/>
    <cellStyle name="40% - Accent6 2 2 4 29" xfId="61652" xr:uid="{00000000-0005-0000-0000-0000744F0000}"/>
    <cellStyle name="40% - Accent6 2 2 4 3" xfId="4427" xr:uid="{00000000-0005-0000-0000-0000754F0000}"/>
    <cellStyle name="40% - Accent6 2 2 4 3 2" xfId="19576" xr:uid="{00000000-0005-0000-0000-0000764F0000}"/>
    <cellStyle name="40% - Accent6 2 2 4 30" xfId="63335" xr:uid="{00000000-0005-0000-0000-0000774F0000}"/>
    <cellStyle name="40% - Accent6 2 2 4 4" xfId="6110" xr:uid="{00000000-0005-0000-0000-0000784F0000}"/>
    <cellStyle name="40% - Accent6 2 2 4 4 2" xfId="21259" xr:uid="{00000000-0005-0000-0000-0000794F0000}"/>
    <cellStyle name="40% - Accent6 2 2 4 5" xfId="7793" xr:uid="{00000000-0005-0000-0000-00007A4F0000}"/>
    <cellStyle name="40% - Accent6 2 2 4 5 2" xfId="22942" xr:uid="{00000000-0005-0000-0000-00007B4F0000}"/>
    <cellStyle name="40% - Accent6 2 2 4 6" xfId="9476" xr:uid="{00000000-0005-0000-0000-00007C4F0000}"/>
    <cellStyle name="40% - Accent6 2 2 4 6 2" xfId="24625" xr:uid="{00000000-0005-0000-0000-00007D4F0000}"/>
    <cellStyle name="40% - Accent6 2 2 4 7" xfId="11159" xr:uid="{00000000-0005-0000-0000-00007E4F0000}"/>
    <cellStyle name="40% - Accent6 2 2 4 7 2" xfId="26308" xr:uid="{00000000-0005-0000-0000-00007F4F0000}"/>
    <cellStyle name="40% - Accent6 2 2 4 8" xfId="12843" xr:uid="{00000000-0005-0000-0000-0000804F0000}"/>
    <cellStyle name="40% - Accent6 2 2 4 8 2" xfId="27992" xr:uid="{00000000-0005-0000-0000-0000814F0000}"/>
    <cellStyle name="40% - Accent6 2 2 4 9" xfId="14526" xr:uid="{00000000-0005-0000-0000-0000824F0000}"/>
    <cellStyle name="40% - Accent6 2 2 4 9 2" xfId="29675" xr:uid="{00000000-0005-0000-0000-0000834F0000}"/>
    <cellStyle name="40% - Accent6 2 2 5" xfId="1481" xr:uid="{00000000-0005-0000-0000-0000844F0000}"/>
    <cellStyle name="40% - Accent6 2 2 5 10" xfId="16630" xr:uid="{00000000-0005-0000-0000-0000854F0000}"/>
    <cellStyle name="40% - Accent6 2 2 5 11" xfId="31779" xr:uid="{00000000-0005-0000-0000-0000864F0000}"/>
    <cellStyle name="40% - Accent6 2 2 5 12" xfId="33462" xr:uid="{00000000-0005-0000-0000-0000874F0000}"/>
    <cellStyle name="40% - Accent6 2 2 5 13" xfId="35145" xr:uid="{00000000-0005-0000-0000-0000884F0000}"/>
    <cellStyle name="40% - Accent6 2 2 5 14" xfId="36828" xr:uid="{00000000-0005-0000-0000-0000894F0000}"/>
    <cellStyle name="40% - Accent6 2 2 5 15" xfId="38511" xr:uid="{00000000-0005-0000-0000-00008A4F0000}"/>
    <cellStyle name="40% - Accent6 2 2 5 16" xfId="40194" xr:uid="{00000000-0005-0000-0000-00008B4F0000}"/>
    <cellStyle name="40% - Accent6 2 2 5 17" xfId="41877" xr:uid="{00000000-0005-0000-0000-00008C4F0000}"/>
    <cellStyle name="40% - Accent6 2 2 5 18" xfId="43560" xr:uid="{00000000-0005-0000-0000-00008D4F0000}"/>
    <cellStyle name="40% - Accent6 2 2 5 19" xfId="45243" xr:uid="{00000000-0005-0000-0000-00008E4F0000}"/>
    <cellStyle name="40% - Accent6 2 2 5 2" xfId="3164" xr:uid="{00000000-0005-0000-0000-00008F4F0000}"/>
    <cellStyle name="40% - Accent6 2 2 5 2 2" xfId="18313" xr:uid="{00000000-0005-0000-0000-0000904F0000}"/>
    <cellStyle name="40% - Accent6 2 2 5 20" xfId="46926" xr:uid="{00000000-0005-0000-0000-0000914F0000}"/>
    <cellStyle name="40% - Accent6 2 2 5 21" xfId="48609" xr:uid="{00000000-0005-0000-0000-0000924F0000}"/>
    <cellStyle name="40% - Accent6 2 2 5 22" xfId="50292" xr:uid="{00000000-0005-0000-0000-0000934F0000}"/>
    <cellStyle name="40% - Accent6 2 2 5 23" xfId="51975" xr:uid="{00000000-0005-0000-0000-0000944F0000}"/>
    <cellStyle name="40% - Accent6 2 2 5 24" xfId="53658" xr:uid="{00000000-0005-0000-0000-0000954F0000}"/>
    <cellStyle name="40% - Accent6 2 2 5 25" xfId="55341" xr:uid="{00000000-0005-0000-0000-0000964F0000}"/>
    <cellStyle name="40% - Accent6 2 2 5 26" xfId="57024" xr:uid="{00000000-0005-0000-0000-0000974F0000}"/>
    <cellStyle name="40% - Accent6 2 2 5 27" xfId="58707" xr:uid="{00000000-0005-0000-0000-0000984F0000}"/>
    <cellStyle name="40% - Accent6 2 2 5 28" xfId="60390" xr:uid="{00000000-0005-0000-0000-0000994F0000}"/>
    <cellStyle name="40% - Accent6 2 2 5 29" xfId="62073" xr:uid="{00000000-0005-0000-0000-00009A4F0000}"/>
    <cellStyle name="40% - Accent6 2 2 5 3" xfId="4848" xr:uid="{00000000-0005-0000-0000-00009B4F0000}"/>
    <cellStyle name="40% - Accent6 2 2 5 3 2" xfId="19997" xr:uid="{00000000-0005-0000-0000-00009C4F0000}"/>
    <cellStyle name="40% - Accent6 2 2 5 30" xfId="63756" xr:uid="{00000000-0005-0000-0000-00009D4F0000}"/>
    <cellStyle name="40% - Accent6 2 2 5 4" xfId="6531" xr:uid="{00000000-0005-0000-0000-00009E4F0000}"/>
    <cellStyle name="40% - Accent6 2 2 5 4 2" xfId="21680" xr:uid="{00000000-0005-0000-0000-00009F4F0000}"/>
    <cellStyle name="40% - Accent6 2 2 5 5" xfId="8214" xr:uid="{00000000-0005-0000-0000-0000A04F0000}"/>
    <cellStyle name="40% - Accent6 2 2 5 5 2" xfId="23363" xr:uid="{00000000-0005-0000-0000-0000A14F0000}"/>
    <cellStyle name="40% - Accent6 2 2 5 6" xfId="9897" xr:uid="{00000000-0005-0000-0000-0000A24F0000}"/>
    <cellStyle name="40% - Accent6 2 2 5 6 2" xfId="25046" xr:uid="{00000000-0005-0000-0000-0000A34F0000}"/>
    <cellStyle name="40% - Accent6 2 2 5 7" xfId="11580" xr:uid="{00000000-0005-0000-0000-0000A44F0000}"/>
    <cellStyle name="40% - Accent6 2 2 5 7 2" xfId="26729" xr:uid="{00000000-0005-0000-0000-0000A54F0000}"/>
    <cellStyle name="40% - Accent6 2 2 5 8" xfId="13264" xr:uid="{00000000-0005-0000-0000-0000A64F0000}"/>
    <cellStyle name="40% - Accent6 2 2 5 8 2" xfId="28413" xr:uid="{00000000-0005-0000-0000-0000A74F0000}"/>
    <cellStyle name="40% - Accent6 2 2 5 9" xfId="14947" xr:uid="{00000000-0005-0000-0000-0000A84F0000}"/>
    <cellStyle name="40% - Accent6 2 2 5 9 2" xfId="30096" xr:uid="{00000000-0005-0000-0000-0000A94F0000}"/>
    <cellStyle name="40% - Accent6 2 2 6" xfId="1902" xr:uid="{00000000-0005-0000-0000-0000AA4F0000}"/>
    <cellStyle name="40% - Accent6 2 2 6 2" xfId="17051" xr:uid="{00000000-0005-0000-0000-0000AB4F0000}"/>
    <cellStyle name="40% - Accent6 2 2 7" xfId="3586" xr:uid="{00000000-0005-0000-0000-0000AC4F0000}"/>
    <cellStyle name="40% - Accent6 2 2 7 2" xfId="18735" xr:uid="{00000000-0005-0000-0000-0000AD4F0000}"/>
    <cellStyle name="40% - Accent6 2 2 8" xfId="5269" xr:uid="{00000000-0005-0000-0000-0000AE4F0000}"/>
    <cellStyle name="40% - Accent6 2 2 8 2" xfId="20418" xr:uid="{00000000-0005-0000-0000-0000AF4F0000}"/>
    <cellStyle name="40% - Accent6 2 2 9" xfId="6952" xr:uid="{00000000-0005-0000-0000-0000B04F0000}"/>
    <cellStyle name="40% - Accent6 2 2 9 2" xfId="22101" xr:uid="{00000000-0005-0000-0000-0000B14F0000}"/>
    <cellStyle name="40% - Accent6 2 20" xfId="37144" xr:uid="{00000000-0005-0000-0000-0000B24F0000}"/>
    <cellStyle name="40% - Accent6 2 21" xfId="38827" xr:uid="{00000000-0005-0000-0000-0000B34F0000}"/>
    <cellStyle name="40% - Accent6 2 22" xfId="40510" xr:uid="{00000000-0005-0000-0000-0000B44F0000}"/>
    <cellStyle name="40% - Accent6 2 23" xfId="42193" xr:uid="{00000000-0005-0000-0000-0000B54F0000}"/>
    <cellStyle name="40% - Accent6 2 24" xfId="43876" xr:uid="{00000000-0005-0000-0000-0000B64F0000}"/>
    <cellStyle name="40% - Accent6 2 25" xfId="45559" xr:uid="{00000000-0005-0000-0000-0000B74F0000}"/>
    <cellStyle name="40% - Accent6 2 26" xfId="47242" xr:uid="{00000000-0005-0000-0000-0000B84F0000}"/>
    <cellStyle name="40% - Accent6 2 27" xfId="48925" xr:uid="{00000000-0005-0000-0000-0000B94F0000}"/>
    <cellStyle name="40% - Accent6 2 28" xfId="50608" xr:uid="{00000000-0005-0000-0000-0000BA4F0000}"/>
    <cellStyle name="40% - Accent6 2 29" xfId="52291" xr:uid="{00000000-0005-0000-0000-0000BB4F0000}"/>
    <cellStyle name="40% - Accent6 2 3" xfId="324" xr:uid="{00000000-0005-0000-0000-0000BC4F0000}"/>
    <cellStyle name="40% - Accent6 2 3 10" xfId="10423" xr:uid="{00000000-0005-0000-0000-0000BD4F0000}"/>
    <cellStyle name="40% - Accent6 2 3 10 2" xfId="25572" xr:uid="{00000000-0005-0000-0000-0000BE4F0000}"/>
    <cellStyle name="40% - Accent6 2 3 11" xfId="12107" xr:uid="{00000000-0005-0000-0000-0000BF4F0000}"/>
    <cellStyle name="40% - Accent6 2 3 11 2" xfId="27256" xr:uid="{00000000-0005-0000-0000-0000C04F0000}"/>
    <cellStyle name="40% - Accent6 2 3 12" xfId="13790" xr:uid="{00000000-0005-0000-0000-0000C14F0000}"/>
    <cellStyle name="40% - Accent6 2 3 12 2" xfId="28939" xr:uid="{00000000-0005-0000-0000-0000C24F0000}"/>
    <cellStyle name="40% - Accent6 2 3 13" xfId="15473" xr:uid="{00000000-0005-0000-0000-0000C34F0000}"/>
    <cellStyle name="40% - Accent6 2 3 14" xfId="30622" xr:uid="{00000000-0005-0000-0000-0000C44F0000}"/>
    <cellStyle name="40% - Accent6 2 3 15" xfId="32305" xr:uid="{00000000-0005-0000-0000-0000C54F0000}"/>
    <cellStyle name="40% - Accent6 2 3 16" xfId="33988" xr:uid="{00000000-0005-0000-0000-0000C64F0000}"/>
    <cellStyle name="40% - Accent6 2 3 17" xfId="35671" xr:uid="{00000000-0005-0000-0000-0000C74F0000}"/>
    <cellStyle name="40% - Accent6 2 3 18" xfId="37354" xr:uid="{00000000-0005-0000-0000-0000C84F0000}"/>
    <cellStyle name="40% - Accent6 2 3 19" xfId="39037" xr:uid="{00000000-0005-0000-0000-0000C94F0000}"/>
    <cellStyle name="40% - Accent6 2 3 2" xfId="744" xr:uid="{00000000-0005-0000-0000-0000CA4F0000}"/>
    <cellStyle name="40% - Accent6 2 3 2 10" xfId="15893" xr:uid="{00000000-0005-0000-0000-0000CB4F0000}"/>
    <cellStyle name="40% - Accent6 2 3 2 11" xfId="31042" xr:uid="{00000000-0005-0000-0000-0000CC4F0000}"/>
    <cellStyle name="40% - Accent6 2 3 2 12" xfId="32725" xr:uid="{00000000-0005-0000-0000-0000CD4F0000}"/>
    <cellStyle name="40% - Accent6 2 3 2 13" xfId="34408" xr:uid="{00000000-0005-0000-0000-0000CE4F0000}"/>
    <cellStyle name="40% - Accent6 2 3 2 14" xfId="36091" xr:uid="{00000000-0005-0000-0000-0000CF4F0000}"/>
    <cellStyle name="40% - Accent6 2 3 2 15" xfId="37774" xr:uid="{00000000-0005-0000-0000-0000D04F0000}"/>
    <cellStyle name="40% - Accent6 2 3 2 16" xfId="39457" xr:uid="{00000000-0005-0000-0000-0000D14F0000}"/>
    <cellStyle name="40% - Accent6 2 3 2 17" xfId="41140" xr:uid="{00000000-0005-0000-0000-0000D24F0000}"/>
    <cellStyle name="40% - Accent6 2 3 2 18" xfId="42823" xr:uid="{00000000-0005-0000-0000-0000D34F0000}"/>
    <cellStyle name="40% - Accent6 2 3 2 19" xfId="44506" xr:uid="{00000000-0005-0000-0000-0000D44F0000}"/>
    <cellStyle name="40% - Accent6 2 3 2 2" xfId="2427" xr:uid="{00000000-0005-0000-0000-0000D54F0000}"/>
    <cellStyle name="40% - Accent6 2 3 2 2 2" xfId="17576" xr:uid="{00000000-0005-0000-0000-0000D64F0000}"/>
    <cellStyle name="40% - Accent6 2 3 2 20" xfId="46189" xr:uid="{00000000-0005-0000-0000-0000D74F0000}"/>
    <cellStyle name="40% - Accent6 2 3 2 21" xfId="47872" xr:uid="{00000000-0005-0000-0000-0000D84F0000}"/>
    <cellStyle name="40% - Accent6 2 3 2 22" xfId="49555" xr:uid="{00000000-0005-0000-0000-0000D94F0000}"/>
    <cellStyle name="40% - Accent6 2 3 2 23" xfId="51238" xr:uid="{00000000-0005-0000-0000-0000DA4F0000}"/>
    <cellStyle name="40% - Accent6 2 3 2 24" xfId="52921" xr:uid="{00000000-0005-0000-0000-0000DB4F0000}"/>
    <cellStyle name="40% - Accent6 2 3 2 25" xfId="54604" xr:uid="{00000000-0005-0000-0000-0000DC4F0000}"/>
    <cellStyle name="40% - Accent6 2 3 2 26" xfId="56287" xr:uid="{00000000-0005-0000-0000-0000DD4F0000}"/>
    <cellStyle name="40% - Accent6 2 3 2 27" xfId="57970" xr:uid="{00000000-0005-0000-0000-0000DE4F0000}"/>
    <cellStyle name="40% - Accent6 2 3 2 28" xfId="59653" xr:uid="{00000000-0005-0000-0000-0000DF4F0000}"/>
    <cellStyle name="40% - Accent6 2 3 2 29" xfId="61336" xr:uid="{00000000-0005-0000-0000-0000E04F0000}"/>
    <cellStyle name="40% - Accent6 2 3 2 3" xfId="4111" xr:uid="{00000000-0005-0000-0000-0000E14F0000}"/>
    <cellStyle name="40% - Accent6 2 3 2 3 2" xfId="19260" xr:uid="{00000000-0005-0000-0000-0000E24F0000}"/>
    <cellStyle name="40% - Accent6 2 3 2 30" xfId="63019" xr:uid="{00000000-0005-0000-0000-0000E34F0000}"/>
    <cellStyle name="40% - Accent6 2 3 2 4" xfId="5794" xr:uid="{00000000-0005-0000-0000-0000E44F0000}"/>
    <cellStyle name="40% - Accent6 2 3 2 4 2" xfId="20943" xr:uid="{00000000-0005-0000-0000-0000E54F0000}"/>
    <cellStyle name="40% - Accent6 2 3 2 5" xfId="7477" xr:uid="{00000000-0005-0000-0000-0000E64F0000}"/>
    <cellStyle name="40% - Accent6 2 3 2 5 2" xfId="22626" xr:uid="{00000000-0005-0000-0000-0000E74F0000}"/>
    <cellStyle name="40% - Accent6 2 3 2 6" xfId="9160" xr:uid="{00000000-0005-0000-0000-0000E84F0000}"/>
    <cellStyle name="40% - Accent6 2 3 2 6 2" xfId="24309" xr:uid="{00000000-0005-0000-0000-0000E94F0000}"/>
    <cellStyle name="40% - Accent6 2 3 2 7" xfId="10843" xr:uid="{00000000-0005-0000-0000-0000EA4F0000}"/>
    <cellStyle name="40% - Accent6 2 3 2 7 2" xfId="25992" xr:uid="{00000000-0005-0000-0000-0000EB4F0000}"/>
    <cellStyle name="40% - Accent6 2 3 2 8" xfId="12527" xr:uid="{00000000-0005-0000-0000-0000EC4F0000}"/>
    <cellStyle name="40% - Accent6 2 3 2 8 2" xfId="27676" xr:uid="{00000000-0005-0000-0000-0000ED4F0000}"/>
    <cellStyle name="40% - Accent6 2 3 2 9" xfId="14210" xr:uid="{00000000-0005-0000-0000-0000EE4F0000}"/>
    <cellStyle name="40% - Accent6 2 3 2 9 2" xfId="29359" xr:uid="{00000000-0005-0000-0000-0000EF4F0000}"/>
    <cellStyle name="40% - Accent6 2 3 20" xfId="40720" xr:uid="{00000000-0005-0000-0000-0000F04F0000}"/>
    <cellStyle name="40% - Accent6 2 3 21" xfId="42403" xr:uid="{00000000-0005-0000-0000-0000F14F0000}"/>
    <cellStyle name="40% - Accent6 2 3 22" xfId="44086" xr:uid="{00000000-0005-0000-0000-0000F24F0000}"/>
    <cellStyle name="40% - Accent6 2 3 23" xfId="45769" xr:uid="{00000000-0005-0000-0000-0000F34F0000}"/>
    <cellStyle name="40% - Accent6 2 3 24" xfId="47452" xr:uid="{00000000-0005-0000-0000-0000F44F0000}"/>
    <cellStyle name="40% - Accent6 2 3 25" xfId="49135" xr:uid="{00000000-0005-0000-0000-0000F54F0000}"/>
    <cellStyle name="40% - Accent6 2 3 26" xfId="50818" xr:uid="{00000000-0005-0000-0000-0000F64F0000}"/>
    <cellStyle name="40% - Accent6 2 3 27" xfId="52501" xr:uid="{00000000-0005-0000-0000-0000F74F0000}"/>
    <cellStyle name="40% - Accent6 2 3 28" xfId="54184" xr:uid="{00000000-0005-0000-0000-0000F84F0000}"/>
    <cellStyle name="40% - Accent6 2 3 29" xfId="55867" xr:uid="{00000000-0005-0000-0000-0000F94F0000}"/>
    <cellStyle name="40% - Accent6 2 3 3" xfId="1165" xr:uid="{00000000-0005-0000-0000-0000FA4F0000}"/>
    <cellStyle name="40% - Accent6 2 3 3 10" xfId="16314" xr:uid="{00000000-0005-0000-0000-0000FB4F0000}"/>
    <cellStyle name="40% - Accent6 2 3 3 11" xfId="31463" xr:uid="{00000000-0005-0000-0000-0000FC4F0000}"/>
    <cellStyle name="40% - Accent6 2 3 3 12" xfId="33146" xr:uid="{00000000-0005-0000-0000-0000FD4F0000}"/>
    <cellStyle name="40% - Accent6 2 3 3 13" xfId="34829" xr:uid="{00000000-0005-0000-0000-0000FE4F0000}"/>
    <cellStyle name="40% - Accent6 2 3 3 14" xfId="36512" xr:uid="{00000000-0005-0000-0000-0000FF4F0000}"/>
    <cellStyle name="40% - Accent6 2 3 3 15" xfId="38195" xr:uid="{00000000-0005-0000-0000-000000500000}"/>
    <cellStyle name="40% - Accent6 2 3 3 16" xfId="39878" xr:uid="{00000000-0005-0000-0000-000001500000}"/>
    <cellStyle name="40% - Accent6 2 3 3 17" xfId="41561" xr:uid="{00000000-0005-0000-0000-000002500000}"/>
    <cellStyle name="40% - Accent6 2 3 3 18" xfId="43244" xr:uid="{00000000-0005-0000-0000-000003500000}"/>
    <cellStyle name="40% - Accent6 2 3 3 19" xfId="44927" xr:uid="{00000000-0005-0000-0000-000004500000}"/>
    <cellStyle name="40% - Accent6 2 3 3 2" xfId="2848" xr:uid="{00000000-0005-0000-0000-000005500000}"/>
    <cellStyle name="40% - Accent6 2 3 3 2 2" xfId="17997" xr:uid="{00000000-0005-0000-0000-000006500000}"/>
    <cellStyle name="40% - Accent6 2 3 3 20" xfId="46610" xr:uid="{00000000-0005-0000-0000-000007500000}"/>
    <cellStyle name="40% - Accent6 2 3 3 21" xfId="48293" xr:uid="{00000000-0005-0000-0000-000008500000}"/>
    <cellStyle name="40% - Accent6 2 3 3 22" xfId="49976" xr:uid="{00000000-0005-0000-0000-000009500000}"/>
    <cellStyle name="40% - Accent6 2 3 3 23" xfId="51659" xr:uid="{00000000-0005-0000-0000-00000A500000}"/>
    <cellStyle name="40% - Accent6 2 3 3 24" xfId="53342" xr:uid="{00000000-0005-0000-0000-00000B500000}"/>
    <cellStyle name="40% - Accent6 2 3 3 25" xfId="55025" xr:uid="{00000000-0005-0000-0000-00000C500000}"/>
    <cellStyle name="40% - Accent6 2 3 3 26" xfId="56708" xr:uid="{00000000-0005-0000-0000-00000D500000}"/>
    <cellStyle name="40% - Accent6 2 3 3 27" xfId="58391" xr:uid="{00000000-0005-0000-0000-00000E500000}"/>
    <cellStyle name="40% - Accent6 2 3 3 28" xfId="60074" xr:uid="{00000000-0005-0000-0000-00000F500000}"/>
    <cellStyle name="40% - Accent6 2 3 3 29" xfId="61757" xr:uid="{00000000-0005-0000-0000-000010500000}"/>
    <cellStyle name="40% - Accent6 2 3 3 3" xfId="4532" xr:uid="{00000000-0005-0000-0000-000011500000}"/>
    <cellStyle name="40% - Accent6 2 3 3 3 2" xfId="19681" xr:uid="{00000000-0005-0000-0000-000012500000}"/>
    <cellStyle name="40% - Accent6 2 3 3 30" xfId="63440" xr:uid="{00000000-0005-0000-0000-000013500000}"/>
    <cellStyle name="40% - Accent6 2 3 3 4" xfId="6215" xr:uid="{00000000-0005-0000-0000-000014500000}"/>
    <cellStyle name="40% - Accent6 2 3 3 4 2" xfId="21364" xr:uid="{00000000-0005-0000-0000-000015500000}"/>
    <cellStyle name="40% - Accent6 2 3 3 5" xfId="7898" xr:uid="{00000000-0005-0000-0000-000016500000}"/>
    <cellStyle name="40% - Accent6 2 3 3 5 2" xfId="23047" xr:uid="{00000000-0005-0000-0000-000017500000}"/>
    <cellStyle name="40% - Accent6 2 3 3 6" xfId="9581" xr:uid="{00000000-0005-0000-0000-000018500000}"/>
    <cellStyle name="40% - Accent6 2 3 3 6 2" xfId="24730" xr:uid="{00000000-0005-0000-0000-000019500000}"/>
    <cellStyle name="40% - Accent6 2 3 3 7" xfId="11264" xr:uid="{00000000-0005-0000-0000-00001A500000}"/>
    <cellStyle name="40% - Accent6 2 3 3 7 2" xfId="26413" xr:uid="{00000000-0005-0000-0000-00001B500000}"/>
    <cellStyle name="40% - Accent6 2 3 3 8" xfId="12948" xr:uid="{00000000-0005-0000-0000-00001C500000}"/>
    <cellStyle name="40% - Accent6 2 3 3 8 2" xfId="28097" xr:uid="{00000000-0005-0000-0000-00001D500000}"/>
    <cellStyle name="40% - Accent6 2 3 3 9" xfId="14631" xr:uid="{00000000-0005-0000-0000-00001E500000}"/>
    <cellStyle name="40% - Accent6 2 3 3 9 2" xfId="29780" xr:uid="{00000000-0005-0000-0000-00001F500000}"/>
    <cellStyle name="40% - Accent6 2 3 30" xfId="57550" xr:uid="{00000000-0005-0000-0000-000020500000}"/>
    <cellStyle name="40% - Accent6 2 3 31" xfId="59233" xr:uid="{00000000-0005-0000-0000-000021500000}"/>
    <cellStyle name="40% - Accent6 2 3 32" xfId="60916" xr:uid="{00000000-0005-0000-0000-000022500000}"/>
    <cellStyle name="40% - Accent6 2 3 33" xfId="62599" xr:uid="{00000000-0005-0000-0000-000023500000}"/>
    <cellStyle name="40% - Accent6 2 3 4" xfId="1586" xr:uid="{00000000-0005-0000-0000-000024500000}"/>
    <cellStyle name="40% - Accent6 2 3 4 10" xfId="16735" xr:uid="{00000000-0005-0000-0000-000025500000}"/>
    <cellStyle name="40% - Accent6 2 3 4 11" xfId="31884" xr:uid="{00000000-0005-0000-0000-000026500000}"/>
    <cellStyle name="40% - Accent6 2 3 4 12" xfId="33567" xr:uid="{00000000-0005-0000-0000-000027500000}"/>
    <cellStyle name="40% - Accent6 2 3 4 13" xfId="35250" xr:uid="{00000000-0005-0000-0000-000028500000}"/>
    <cellStyle name="40% - Accent6 2 3 4 14" xfId="36933" xr:uid="{00000000-0005-0000-0000-000029500000}"/>
    <cellStyle name="40% - Accent6 2 3 4 15" xfId="38616" xr:uid="{00000000-0005-0000-0000-00002A500000}"/>
    <cellStyle name="40% - Accent6 2 3 4 16" xfId="40299" xr:uid="{00000000-0005-0000-0000-00002B500000}"/>
    <cellStyle name="40% - Accent6 2 3 4 17" xfId="41982" xr:uid="{00000000-0005-0000-0000-00002C500000}"/>
    <cellStyle name="40% - Accent6 2 3 4 18" xfId="43665" xr:uid="{00000000-0005-0000-0000-00002D500000}"/>
    <cellStyle name="40% - Accent6 2 3 4 19" xfId="45348" xr:uid="{00000000-0005-0000-0000-00002E500000}"/>
    <cellStyle name="40% - Accent6 2 3 4 2" xfId="3269" xr:uid="{00000000-0005-0000-0000-00002F500000}"/>
    <cellStyle name="40% - Accent6 2 3 4 2 2" xfId="18418" xr:uid="{00000000-0005-0000-0000-000030500000}"/>
    <cellStyle name="40% - Accent6 2 3 4 20" xfId="47031" xr:uid="{00000000-0005-0000-0000-000031500000}"/>
    <cellStyle name="40% - Accent6 2 3 4 21" xfId="48714" xr:uid="{00000000-0005-0000-0000-000032500000}"/>
    <cellStyle name="40% - Accent6 2 3 4 22" xfId="50397" xr:uid="{00000000-0005-0000-0000-000033500000}"/>
    <cellStyle name="40% - Accent6 2 3 4 23" xfId="52080" xr:uid="{00000000-0005-0000-0000-000034500000}"/>
    <cellStyle name="40% - Accent6 2 3 4 24" xfId="53763" xr:uid="{00000000-0005-0000-0000-000035500000}"/>
    <cellStyle name="40% - Accent6 2 3 4 25" xfId="55446" xr:uid="{00000000-0005-0000-0000-000036500000}"/>
    <cellStyle name="40% - Accent6 2 3 4 26" xfId="57129" xr:uid="{00000000-0005-0000-0000-000037500000}"/>
    <cellStyle name="40% - Accent6 2 3 4 27" xfId="58812" xr:uid="{00000000-0005-0000-0000-000038500000}"/>
    <cellStyle name="40% - Accent6 2 3 4 28" xfId="60495" xr:uid="{00000000-0005-0000-0000-000039500000}"/>
    <cellStyle name="40% - Accent6 2 3 4 29" xfId="62178" xr:uid="{00000000-0005-0000-0000-00003A500000}"/>
    <cellStyle name="40% - Accent6 2 3 4 3" xfId="4953" xr:uid="{00000000-0005-0000-0000-00003B500000}"/>
    <cellStyle name="40% - Accent6 2 3 4 3 2" xfId="20102" xr:uid="{00000000-0005-0000-0000-00003C500000}"/>
    <cellStyle name="40% - Accent6 2 3 4 30" xfId="63861" xr:uid="{00000000-0005-0000-0000-00003D500000}"/>
    <cellStyle name="40% - Accent6 2 3 4 4" xfId="6636" xr:uid="{00000000-0005-0000-0000-00003E500000}"/>
    <cellStyle name="40% - Accent6 2 3 4 4 2" xfId="21785" xr:uid="{00000000-0005-0000-0000-00003F500000}"/>
    <cellStyle name="40% - Accent6 2 3 4 5" xfId="8319" xr:uid="{00000000-0005-0000-0000-000040500000}"/>
    <cellStyle name="40% - Accent6 2 3 4 5 2" xfId="23468" xr:uid="{00000000-0005-0000-0000-000041500000}"/>
    <cellStyle name="40% - Accent6 2 3 4 6" xfId="10002" xr:uid="{00000000-0005-0000-0000-000042500000}"/>
    <cellStyle name="40% - Accent6 2 3 4 6 2" xfId="25151" xr:uid="{00000000-0005-0000-0000-000043500000}"/>
    <cellStyle name="40% - Accent6 2 3 4 7" xfId="11685" xr:uid="{00000000-0005-0000-0000-000044500000}"/>
    <cellStyle name="40% - Accent6 2 3 4 7 2" xfId="26834" xr:uid="{00000000-0005-0000-0000-000045500000}"/>
    <cellStyle name="40% - Accent6 2 3 4 8" xfId="13369" xr:uid="{00000000-0005-0000-0000-000046500000}"/>
    <cellStyle name="40% - Accent6 2 3 4 8 2" xfId="28518" xr:uid="{00000000-0005-0000-0000-000047500000}"/>
    <cellStyle name="40% - Accent6 2 3 4 9" xfId="15052" xr:uid="{00000000-0005-0000-0000-000048500000}"/>
    <cellStyle name="40% - Accent6 2 3 4 9 2" xfId="30201" xr:uid="{00000000-0005-0000-0000-000049500000}"/>
    <cellStyle name="40% - Accent6 2 3 5" xfId="2007" xr:uid="{00000000-0005-0000-0000-00004A500000}"/>
    <cellStyle name="40% - Accent6 2 3 5 2" xfId="17156" xr:uid="{00000000-0005-0000-0000-00004B500000}"/>
    <cellStyle name="40% - Accent6 2 3 6" xfId="3691" xr:uid="{00000000-0005-0000-0000-00004C500000}"/>
    <cellStyle name="40% - Accent6 2 3 6 2" xfId="18840" xr:uid="{00000000-0005-0000-0000-00004D500000}"/>
    <cellStyle name="40% - Accent6 2 3 7" xfId="5374" xr:uid="{00000000-0005-0000-0000-00004E500000}"/>
    <cellStyle name="40% - Accent6 2 3 7 2" xfId="20523" xr:uid="{00000000-0005-0000-0000-00004F500000}"/>
    <cellStyle name="40% - Accent6 2 3 8" xfId="7057" xr:uid="{00000000-0005-0000-0000-000050500000}"/>
    <cellStyle name="40% - Accent6 2 3 8 2" xfId="22206" xr:uid="{00000000-0005-0000-0000-000051500000}"/>
    <cellStyle name="40% - Accent6 2 3 9" xfId="8740" xr:uid="{00000000-0005-0000-0000-000052500000}"/>
    <cellStyle name="40% - Accent6 2 3 9 2" xfId="23889" xr:uid="{00000000-0005-0000-0000-000053500000}"/>
    <cellStyle name="40% - Accent6 2 30" xfId="53974" xr:uid="{00000000-0005-0000-0000-000054500000}"/>
    <cellStyle name="40% - Accent6 2 31" xfId="55657" xr:uid="{00000000-0005-0000-0000-000055500000}"/>
    <cellStyle name="40% - Accent6 2 32" xfId="57340" xr:uid="{00000000-0005-0000-0000-000056500000}"/>
    <cellStyle name="40% - Accent6 2 33" xfId="59023" xr:uid="{00000000-0005-0000-0000-000057500000}"/>
    <cellStyle name="40% - Accent6 2 34" xfId="60706" xr:uid="{00000000-0005-0000-0000-000058500000}"/>
    <cellStyle name="40% - Accent6 2 35" xfId="62389" xr:uid="{00000000-0005-0000-0000-000059500000}"/>
    <cellStyle name="40% - Accent6 2 4" xfId="534" xr:uid="{00000000-0005-0000-0000-00005A500000}"/>
    <cellStyle name="40% - Accent6 2 4 10" xfId="15683" xr:uid="{00000000-0005-0000-0000-00005B500000}"/>
    <cellStyle name="40% - Accent6 2 4 11" xfId="30832" xr:uid="{00000000-0005-0000-0000-00005C500000}"/>
    <cellStyle name="40% - Accent6 2 4 12" xfId="32515" xr:uid="{00000000-0005-0000-0000-00005D500000}"/>
    <cellStyle name="40% - Accent6 2 4 13" xfId="34198" xr:uid="{00000000-0005-0000-0000-00005E500000}"/>
    <cellStyle name="40% - Accent6 2 4 14" xfId="35881" xr:uid="{00000000-0005-0000-0000-00005F500000}"/>
    <cellStyle name="40% - Accent6 2 4 15" xfId="37564" xr:uid="{00000000-0005-0000-0000-000060500000}"/>
    <cellStyle name="40% - Accent6 2 4 16" xfId="39247" xr:uid="{00000000-0005-0000-0000-000061500000}"/>
    <cellStyle name="40% - Accent6 2 4 17" xfId="40930" xr:uid="{00000000-0005-0000-0000-000062500000}"/>
    <cellStyle name="40% - Accent6 2 4 18" xfId="42613" xr:uid="{00000000-0005-0000-0000-000063500000}"/>
    <cellStyle name="40% - Accent6 2 4 19" xfId="44296" xr:uid="{00000000-0005-0000-0000-000064500000}"/>
    <cellStyle name="40% - Accent6 2 4 2" xfId="2217" xr:uid="{00000000-0005-0000-0000-000065500000}"/>
    <cellStyle name="40% - Accent6 2 4 2 2" xfId="17366" xr:uid="{00000000-0005-0000-0000-000066500000}"/>
    <cellStyle name="40% - Accent6 2 4 20" xfId="45979" xr:uid="{00000000-0005-0000-0000-000067500000}"/>
    <cellStyle name="40% - Accent6 2 4 21" xfId="47662" xr:uid="{00000000-0005-0000-0000-000068500000}"/>
    <cellStyle name="40% - Accent6 2 4 22" xfId="49345" xr:uid="{00000000-0005-0000-0000-000069500000}"/>
    <cellStyle name="40% - Accent6 2 4 23" xfId="51028" xr:uid="{00000000-0005-0000-0000-00006A500000}"/>
    <cellStyle name="40% - Accent6 2 4 24" xfId="52711" xr:uid="{00000000-0005-0000-0000-00006B500000}"/>
    <cellStyle name="40% - Accent6 2 4 25" xfId="54394" xr:uid="{00000000-0005-0000-0000-00006C500000}"/>
    <cellStyle name="40% - Accent6 2 4 26" xfId="56077" xr:uid="{00000000-0005-0000-0000-00006D500000}"/>
    <cellStyle name="40% - Accent6 2 4 27" xfId="57760" xr:uid="{00000000-0005-0000-0000-00006E500000}"/>
    <cellStyle name="40% - Accent6 2 4 28" xfId="59443" xr:uid="{00000000-0005-0000-0000-00006F500000}"/>
    <cellStyle name="40% - Accent6 2 4 29" xfId="61126" xr:uid="{00000000-0005-0000-0000-000070500000}"/>
    <cellStyle name="40% - Accent6 2 4 3" xfId="3901" xr:uid="{00000000-0005-0000-0000-000071500000}"/>
    <cellStyle name="40% - Accent6 2 4 3 2" xfId="19050" xr:uid="{00000000-0005-0000-0000-000072500000}"/>
    <cellStyle name="40% - Accent6 2 4 30" xfId="62809" xr:uid="{00000000-0005-0000-0000-000073500000}"/>
    <cellStyle name="40% - Accent6 2 4 4" xfId="5584" xr:uid="{00000000-0005-0000-0000-000074500000}"/>
    <cellStyle name="40% - Accent6 2 4 4 2" xfId="20733" xr:uid="{00000000-0005-0000-0000-000075500000}"/>
    <cellStyle name="40% - Accent6 2 4 5" xfId="7267" xr:uid="{00000000-0005-0000-0000-000076500000}"/>
    <cellStyle name="40% - Accent6 2 4 5 2" xfId="22416" xr:uid="{00000000-0005-0000-0000-000077500000}"/>
    <cellStyle name="40% - Accent6 2 4 6" xfId="8950" xr:uid="{00000000-0005-0000-0000-000078500000}"/>
    <cellStyle name="40% - Accent6 2 4 6 2" xfId="24099" xr:uid="{00000000-0005-0000-0000-000079500000}"/>
    <cellStyle name="40% - Accent6 2 4 7" xfId="10633" xr:uid="{00000000-0005-0000-0000-00007A500000}"/>
    <cellStyle name="40% - Accent6 2 4 7 2" xfId="25782" xr:uid="{00000000-0005-0000-0000-00007B500000}"/>
    <cellStyle name="40% - Accent6 2 4 8" xfId="12317" xr:uid="{00000000-0005-0000-0000-00007C500000}"/>
    <cellStyle name="40% - Accent6 2 4 8 2" xfId="27466" xr:uid="{00000000-0005-0000-0000-00007D500000}"/>
    <cellStyle name="40% - Accent6 2 4 9" xfId="14000" xr:uid="{00000000-0005-0000-0000-00007E500000}"/>
    <cellStyle name="40% - Accent6 2 4 9 2" xfId="29149" xr:uid="{00000000-0005-0000-0000-00007F500000}"/>
    <cellStyle name="40% - Accent6 2 5" xfId="955" xr:uid="{00000000-0005-0000-0000-000080500000}"/>
    <cellStyle name="40% - Accent6 2 5 10" xfId="16104" xr:uid="{00000000-0005-0000-0000-000081500000}"/>
    <cellStyle name="40% - Accent6 2 5 11" xfId="31253" xr:uid="{00000000-0005-0000-0000-000082500000}"/>
    <cellStyle name="40% - Accent6 2 5 12" xfId="32936" xr:uid="{00000000-0005-0000-0000-000083500000}"/>
    <cellStyle name="40% - Accent6 2 5 13" xfId="34619" xr:uid="{00000000-0005-0000-0000-000084500000}"/>
    <cellStyle name="40% - Accent6 2 5 14" xfId="36302" xr:uid="{00000000-0005-0000-0000-000085500000}"/>
    <cellStyle name="40% - Accent6 2 5 15" xfId="37985" xr:uid="{00000000-0005-0000-0000-000086500000}"/>
    <cellStyle name="40% - Accent6 2 5 16" xfId="39668" xr:uid="{00000000-0005-0000-0000-000087500000}"/>
    <cellStyle name="40% - Accent6 2 5 17" xfId="41351" xr:uid="{00000000-0005-0000-0000-000088500000}"/>
    <cellStyle name="40% - Accent6 2 5 18" xfId="43034" xr:uid="{00000000-0005-0000-0000-000089500000}"/>
    <cellStyle name="40% - Accent6 2 5 19" xfId="44717" xr:uid="{00000000-0005-0000-0000-00008A500000}"/>
    <cellStyle name="40% - Accent6 2 5 2" xfId="2638" xr:uid="{00000000-0005-0000-0000-00008B500000}"/>
    <cellStyle name="40% - Accent6 2 5 2 2" xfId="17787" xr:uid="{00000000-0005-0000-0000-00008C500000}"/>
    <cellStyle name="40% - Accent6 2 5 20" xfId="46400" xr:uid="{00000000-0005-0000-0000-00008D500000}"/>
    <cellStyle name="40% - Accent6 2 5 21" xfId="48083" xr:uid="{00000000-0005-0000-0000-00008E500000}"/>
    <cellStyle name="40% - Accent6 2 5 22" xfId="49766" xr:uid="{00000000-0005-0000-0000-00008F500000}"/>
    <cellStyle name="40% - Accent6 2 5 23" xfId="51449" xr:uid="{00000000-0005-0000-0000-000090500000}"/>
    <cellStyle name="40% - Accent6 2 5 24" xfId="53132" xr:uid="{00000000-0005-0000-0000-000091500000}"/>
    <cellStyle name="40% - Accent6 2 5 25" xfId="54815" xr:uid="{00000000-0005-0000-0000-000092500000}"/>
    <cellStyle name="40% - Accent6 2 5 26" xfId="56498" xr:uid="{00000000-0005-0000-0000-000093500000}"/>
    <cellStyle name="40% - Accent6 2 5 27" xfId="58181" xr:uid="{00000000-0005-0000-0000-000094500000}"/>
    <cellStyle name="40% - Accent6 2 5 28" xfId="59864" xr:uid="{00000000-0005-0000-0000-000095500000}"/>
    <cellStyle name="40% - Accent6 2 5 29" xfId="61547" xr:uid="{00000000-0005-0000-0000-000096500000}"/>
    <cellStyle name="40% - Accent6 2 5 3" xfId="4322" xr:uid="{00000000-0005-0000-0000-000097500000}"/>
    <cellStyle name="40% - Accent6 2 5 3 2" xfId="19471" xr:uid="{00000000-0005-0000-0000-000098500000}"/>
    <cellStyle name="40% - Accent6 2 5 30" xfId="63230" xr:uid="{00000000-0005-0000-0000-000099500000}"/>
    <cellStyle name="40% - Accent6 2 5 4" xfId="6005" xr:uid="{00000000-0005-0000-0000-00009A500000}"/>
    <cellStyle name="40% - Accent6 2 5 4 2" xfId="21154" xr:uid="{00000000-0005-0000-0000-00009B500000}"/>
    <cellStyle name="40% - Accent6 2 5 5" xfId="7688" xr:uid="{00000000-0005-0000-0000-00009C500000}"/>
    <cellStyle name="40% - Accent6 2 5 5 2" xfId="22837" xr:uid="{00000000-0005-0000-0000-00009D500000}"/>
    <cellStyle name="40% - Accent6 2 5 6" xfId="9371" xr:uid="{00000000-0005-0000-0000-00009E500000}"/>
    <cellStyle name="40% - Accent6 2 5 6 2" xfId="24520" xr:uid="{00000000-0005-0000-0000-00009F500000}"/>
    <cellStyle name="40% - Accent6 2 5 7" xfId="11054" xr:uid="{00000000-0005-0000-0000-0000A0500000}"/>
    <cellStyle name="40% - Accent6 2 5 7 2" xfId="26203" xr:uid="{00000000-0005-0000-0000-0000A1500000}"/>
    <cellStyle name="40% - Accent6 2 5 8" xfId="12738" xr:uid="{00000000-0005-0000-0000-0000A2500000}"/>
    <cellStyle name="40% - Accent6 2 5 8 2" xfId="27887" xr:uid="{00000000-0005-0000-0000-0000A3500000}"/>
    <cellStyle name="40% - Accent6 2 5 9" xfId="14421" xr:uid="{00000000-0005-0000-0000-0000A4500000}"/>
    <cellStyle name="40% - Accent6 2 5 9 2" xfId="29570" xr:uid="{00000000-0005-0000-0000-0000A5500000}"/>
    <cellStyle name="40% - Accent6 2 6" xfId="1376" xr:uid="{00000000-0005-0000-0000-0000A6500000}"/>
    <cellStyle name="40% - Accent6 2 6 10" xfId="16525" xr:uid="{00000000-0005-0000-0000-0000A7500000}"/>
    <cellStyle name="40% - Accent6 2 6 11" xfId="31674" xr:uid="{00000000-0005-0000-0000-0000A8500000}"/>
    <cellStyle name="40% - Accent6 2 6 12" xfId="33357" xr:uid="{00000000-0005-0000-0000-0000A9500000}"/>
    <cellStyle name="40% - Accent6 2 6 13" xfId="35040" xr:uid="{00000000-0005-0000-0000-0000AA500000}"/>
    <cellStyle name="40% - Accent6 2 6 14" xfId="36723" xr:uid="{00000000-0005-0000-0000-0000AB500000}"/>
    <cellStyle name="40% - Accent6 2 6 15" xfId="38406" xr:uid="{00000000-0005-0000-0000-0000AC500000}"/>
    <cellStyle name="40% - Accent6 2 6 16" xfId="40089" xr:uid="{00000000-0005-0000-0000-0000AD500000}"/>
    <cellStyle name="40% - Accent6 2 6 17" xfId="41772" xr:uid="{00000000-0005-0000-0000-0000AE500000}"/>
    <cellStyle name="40% - Accent6 2 6 18" xfId="43455" xr:uid="{00000000-0005-0000-0000-0000AF500000}"/>
    <cellStyle name="40% - Accent6 2 6 19" xfId="45138" xr:uid="{00000000-0005-0000-0000-0000B0500000}"/>
    <cellStyle name="40% - Accent6 2 6 2" xfId="3059" xr:uid="{00000000-0005-0000-0000-0000B1500000}"/>
    <cellStyle name="40% - Accent6 2 6 2 2" xfId="18208" xr:uid="{00000000-0005-0000-0000-0000B2500000}"/>
    <cellStyle name="40% - Accent6 2 6 20" xfId="46821" xr:uid="{00000000-0005-0000-0000-0000B3500000}"/>
    <cellStyle name="40% - Accent6 2 6 21" xfId="48504" xr:uid="{00000000-0005-0000-0000-0000B4500000}"/>
    <cellStyle name="40% - Accent6 2 6 22" xfId="50187" xr:uid="{00000000-0005-0000-0000-0000B5500000}"/>
    <cellStyle name="40% - Accent6 2 6 23" xfId="51870" xr:uid="{00000000-0005-0000-0000-0000B6500000}"/>
    <cellStyle name="40% - Accent6 2 6 24" xfId="53553" xr:uid="{00000000-0005-0000-0000-0000B7500000}"/>
    <cellStyle name="40% - Accent6 2 6 25" xfId="55236" xr:uid="{00000000-0005-0000-0000-0000B8500000}"/>
    <cellStyle name="40% - Accent6 2 6 26" xfId="56919" xr:uid="{00000000-0005-0000-0000-0000B9500000}"/>
    <cellStyle name="40% - Accent6 2 6 27" xfId="58602" xr:uid="{00000000-0005-0000-0000-0000BA500000}"/>
    <cellStyle name="40% - Accent6 2 6 28" xfId="60285" xr:uid="{00000000-0005-0000-0000-0000BB500000}"/>
    <cellStyle name="40% - Accent6 2 6 29" xfId="61968" xr:uid="{00000000-0005-0000-0000-0000BC500000}"/>
    <cellStyle name="40% - Accent6 2 6 3" xfId="4743" xr:uid="{00000000-0005-0000-0000-0000BD500000}"/>
    <cellStyle name="40% - Accent6 2 6 3 2" xfId="19892" xr:uid="{00000000-0005-0000-0000-0000BE500000}"/>
    <cellStyle name="40% - Accent6 2 6 30" xfId="63651" xr:uid="{00000000-0005-0000-0000-0000BF500000}"/>
    <cellStyle name="40% - Accent6 2 6 4" xfId="6426" xr:uid="{00000000-0005-0000-0000-0000C0500000}"/>
    <cellStyle name="40% - Accent6 2 6 4 2" xfId="21575" xr:uid="{00000000-0005-0000-0000-0000C1500000}"/>
    <cellStyle name="40% - Accent6 2 6 5" xfId="8109" xr:uid="{00000000-0005-0000-0000-0000C2500000}"/>
    <cellStyle name="40% - Accent6 2 6 5 2" xfId="23258" xr:uid="{00000000-0005-0000-0000-0000C3500000}"/>
    <cellStyle name="40% - Accent6 2 6 6" xfId="9792" xr:uid="{00000000-0005-0000-0000-0000C4500000}"/>
    <cellStyle name="40% - Accent6 2 6 6 2" xfId="24941" xr:uid="{00000000-0005-0000-0000-0000C5500000}"/>
    <cellStyle name="40% - Accent6 2 6 7" xfId="11475" xr:uid="{00000000-0005-0000-0000-0000C6500000}"/>
    <cellStyle name="40% - Accent6 2 6 7 2" xfId="26624" xr:uid="{00000000-0005-0000-0000-0000C7500000}"/>
    <cellStyle name="40% - Accent6 2 6 8" xfId="13159" xr:uid="{00000000-0005-0000-0000-0000C8500000}"/>
    <cellStyle name="40% - Accent6 2 6 8 2" xfId="28308" xr:uid="{00000000-0005-0000-0000-0000C9500000}"/>
    <cellStyle name="40% - Accent6 2 6 9" xfId="14842" xr:uid="{00000000-0005-0000-0000-0000CA500000}"/>
    <cellStyle name="40% - Accent6 2 6 9 2" xfId="29991" xr:uid="{00000000-0005-0000-0000-0000CB500000}"/>
    <cellStyle name="40% - Accent6 2 7" xfId="1797" xr:uid="{00000000-0005-0000-0000-0000CC500000}"/>
    <cellStyle name="40% - Accent6 2 7 2" xfId="16946" xr:uid="{00000000-0005-0000-0000-0000CD500000}"/>
    <cellStyle name="40% - Accent6 2 8" xfId="3481" xr:uid="{00000000-0005-0000-0000-0000CE500000}"/>
    <cellStyle name="40% - Accent6 2 8 2" xfId="18630" xr:uid="{00000000-0005-0000-0000-0000CF500000}"/>
    <cellStyle name="40% - Accent6 2 9" xfId="5164" xr:uid="{00000000-0005-0000-0000-0000D0500000}"/>
    <cellStyle name="40% - Accent6 2 9 2" xfId="20313" xr:uid="{00000000-0005-0000-0000-0000D1500000}"/>
    <cellStyle name="40% - Accent6 20" xfId="33756" xr:uid="{00000000-0005-0000-0000-0000D2500000}"/>
    <cellStyle name="40% - Accent6 21" xfId="35439" xr:uid="{00000000-0005-0000-0000-0000D3500000}"/>
    <cellStyle name="40% - Accent6 22" xfId="37122" xr:uid="{00000000-0005-0000-0000-0000D4500000}"/>
    <cellStyle name="40% - Accent6 23" xfId="38805" xr:uid="{00000000-0005-0000-0000-0000D5500000}"/>
    <cellStyle name="40% - Accent6 24" xfId="40488" xr:uid="{00000000-0005-0000-0000-0000D6500000}"/>
    <cellStyle name="40% - Accent6 25" xfId="42171" xr:uid="{00000000-0005-0000-0000-0000D7500000}"/>
    <cellStyle name="40% - Accent6 26" xfId="43854" xr:uid="{00000000-0005-0000-0000-0000D8500000}"/>
    <cellStyle name="40% - Accent6 27" xfId="45537" xr:uid="{00000000-0005-0000-0000-0000D9500000}"/>
    <cellStyle name="40% - Accent6 28" xfId="47220" xr:uid="{00000000-0005-0000-0000-0000DA500000}"/>
    <cellStyle name="40% - Accent6 29" xfId="48903" xr:uid="{00000000-0005-0000-0000-0000DB500000}"/>
    <cellStyle name="40% - Accent6 3" xfId="134" xr:uid="{00000000-0005-0000-0000-0000DC500000}"/>
    <cellStyle name="40% - Accent6 3 10" xfId="6867" xr:uid="{00000000-0005-0000-0000-0000DD500000}"/>
    <cellStyle name="40% - Accent6 3 10 2" xfId="22016" xr:uid="{00000000-0005-0000-0000-0000DE500000}"/>
    <cellStyle name="40% - Accent6 3 11" xfId="8550" xr:uid="{00000000-0005-0000-0000-0000DF500000}"/>
    <cellStyle name="40% - Accent6 3 11 2" xfId="23699" xr:uid="{00000000-0005-0000-0000-0000E0500000}"/>
    <cellStyle name="40% - Accent6 3 12" xfId="10233" xr:uid="{00000000-0005-0000-0000-0000E1500000}"/>
    <cellStyle name="40% - Accent6 3 12 2" xfId="25382" xr:uid="{00000000-0005-0000-0000-0000E2500000}"/>
    <cellStyle name="40% - Accent6 3 13" xfId="11917" xr:uid="{00000000-0005-0000-0000-0000E3500000}"/>
    <cellStyle name="40% - Accent6 3 13 2" xfId="27066" xr:uid="{00000000-0005-0000-0000-0000E4500000}"/>
    <cellStyle name="40% - Accent6 3 14" xfId="13600" xr:uid="{00000000-0005-0000-0000-0000E5500000}"/>
    <cellStyle name="40% - Accent6 3 14 2" xfId="28749" xr:uid="{00000000-0005-0000-0000-0000E6500000}"/>
    <cellStyle name="40% - Accent6 3 15" xfId="15283" xr:uid="{00000000-0005-0000-0000-0000E7500000}"/>
    <cellStyle name="40% - Accent6 3 16" xfId="30432" xr:uid="{00000000-0005-0000-0000-0000E8500000}"/>
    <cellStyle name="40% - Accent6 3 17" xfId="32115" xr:uid="{00000000-0005-0000-0000-0000E9500000}"/>
    <cellStyle name="40% - Accent6 3 18" xfId="33798" xr:uid="{00000000-0005-0000-0000-0000EA500000}"/>
    <cellStyle name="40% - Accent6 3 19" xfId="35481" xr:uid="{00000000-0005-0000-0000-0000EB500000}"/>
    <cellStyle name="40% - Accent6 3 2" xfId="239" xr:uid="{00000000-0005-0000-0000-0000EC500000}"/>
    <cellStyle name="40% - Accent6 3 2 10" xfId="8655" xr:uid="{00000000-0005-0000-0000-0000ED500000}"/>
    <cellStyle name="40% - Accent6 3 2 10 2" xfId="23804" xr:uid="{00000000-0005-0000-0000-0000EE500000}"/>
    <cellStyle name="40% - Accent6 3 2 11" xfId="10338" xr:uid="{00000000-0005-0000-0000-0000EF500000}"/>
    <cellStyle name="40% - Accent6 3 2 11 2" xfId="25487" xr:uid="{00000000-0005-0000-0000-0000F0500000}"/>
    <cellStyle name="40% - Accent6 3 2 12" xfId="12022" xr:uid="{00000000-0005-0000-0000-0000F1500000}"/>
    <cellStyle name="40% - Accent6 3 2 12 2" xfId="27171" xr:uid="{00000000-0005-0000-0000-0000F2500000}"/>
    <cellStyle name="40% - Accent6 3 2 13" xfId="13705" xr:uid="{00000000-0005-0000-0000-0000F3500000}"/>
    <cellStyle name="40% - Accent6 3 2 13 2" xfId="28854" xr:uid="{00000000-0005-0000-0000-0000F4500000}"/>
    <cellStyle name="40% - Accent6 3 2 14" xfId="15388" xr:uid="{00000000-0005-0000-0000-0000F5500000}"/>
    <cellStyle name="40% - Accent6 3 2 15" xfId="30537" xr:uid="{00000000-0005-0000-0000-0000F6500000}"/>
    <cellStyle name="40% - Accent6 3 2 16" xfId="32220" xr:uid="{00000000-0005-0000-0000-0000F7500000}"/>
    <cellStyle name="40% - Accent6 3 2 17" xfId="33903" xr:uid="{00000000-0005-0000-0000-0000F8500000}"/>
    <cellStyle name="40% - Accent6 3 2 18" xfId="35586" xr:uid="{00000000-0005-0000-0000-0000F9500000}"/>
    <cellStyle name="40% - Accent6 3 2 19" xfId="37269" xr:uid="{00000000-0005-0000-0000-0000FA500000}"/>
    <cellStyle name="40% - Accent6 3 2 2" xfId="449" xr:uid="{00000000-0005-0000-0000-0000FB500000}"/>
    <cellStyle name="40% - Accent6 3 2 2 10" xfId="10548" xr:uid="{00000000-0005-0000-0000-0000FC500000}"/>
    <cellStyle name="40% - Accent6 3 2 2 10 2" xfId="25697" xr:uid="{00000000-0005-0000-0000-0000FD500000}"/>
    <cellStyle name="40% - Accent6 3 2 2 11" xfId="12232" xr:uid="{00000000-0005-0000-0000-0000FE500000}"/>
    <cellStyle name="40% - Accent6 3 2 2 11 2" xfId="27381" xr:uid="{00000000-0005-0000-0000-0000FF500000}"/>
    <cellStyle name="40% - Accent6 3 2 2 12" xfId="13915" xr:uid="{00000000-0005-0000-0000-000000510000}"/>
    <cellStyle name="40% - Accent6 3 2 2 12 2" xfId="29064" xr:uid="{00000000-0005-0000-0000-000001510000}"/>
    <cellStyle name="40% - Accent6 3 2 2 13" xfId="15598" xr:uid="{00000000-0005-0000-0000-000002510000}"/>
    <cellStyle name="40% - Accent6 3 2 2 14" xfId="30747" xr:uid="{00000000-0005-0000-0000-000003510000}"/>
    <cellStyle name="40% - Accent6 3 2 2 15" xfId="32430" xr:uid="{00000000-0005-0000-0000-000004510000}"/>
    <cellStyle name="40% - Accent6 3 2 2 16" xfId="34113" xr:uid="{00000000-0005-0000-0000-000005510000}"/>
    <cellStyle name="40% - Accent6 3 2 2 17" xfId="35796" xr:uid="{00000000-0005-0000-0000-000006510000}"/>
    <cellStyle name="40% - Accent6 3 2 2 18" xfId="37479" xr:uid="{00000000-0005-0000-0000-000007510000}"/>
    <cellStyle name="40% - Accent6 3 2 2 19" xfId="39162" xr:uid="{00000000-0005-0000-0000-000008510000}"/>
    <cellStyle name="40% - Accent6 3 2 2 2" xfId="869" xr:uid="{00000000-0005-0000-0000-000009510000}"/>
    <cellStyle name="40% - Accent6 3 2 2 2 10" xfId="16018" xr:uid="{00000000-0005-0000-0000-00000A510000}"/>
    <cellStyle name="40% - Accent6 3 2 2 2 11" xfId="31167" xr:uid="{00000000-0005-0000-0000-00000B510000}"/>
    <cellStyle name="40% - Accent6 3 2 2 2 12" xfId="32850" xr:uid="{00000000-0005-0000-0000-00000C510000}"/>
    <cellStyle name="40% - Accent6 3 2 2 2 13" xfId="34533" xr:uid="{00000000-0005-0000-0000-00000D510000}"/>
    <cellStyle name="40% - Accent6 3 2 2 2 14" xfId="36216" xr:uid="{00000000-0005-0000-0000-00000E510000}"/>
    <cellStyle name="40% - Accent6 3 2 2 2 15" xfId="37899" xr:uid="{00000000-0005-0000-0000-00000F510000}"/>
    <cellStyle name="40% - Accent6 3 2 2 2 16" xfId="39582" xr:uid="{00000000-0005-0000-0000-000010510000}"/>
    <cellStyle name="40% - Accent6 3 2 2 2 17" xfId="41265" xr:uid="{00000000-0005-0000-0000-000011510000}"/>
    <cellStyle name="40% - Accent6 3 2 2 2 18" xfId="42948" xr:uid="{00000000-0005-0000-0000-000012510000}"/>
    <cellStyle name="40% - Accent6 3 2 2 2 19" xfId="44631" xr:uid="{00000000-0005-0000-0000-000013510000}"/>
    <cellStyle name="40% - Accent6 3 2 2 2 2" xfId="2552" xr:uid="{00000000-0005-0000-0000-000014510000}"/>
    <cellStyle name="40% - Accent6 3 2 2 2 2 2" xfId="17701" xr:uid="{00000000-0005-0000-0000-000015510000}"/>
    <cellStyle name="40% - Accent6 3 2 2 2 20" xfId="46314" xr:uid="{00000000-0005-0000-0000-000016510000}"/>
    <cellStyle name="40% - Accent6 3 2 2 2 21" xfId="47997" xr:uid="{00000000-0005-0000-0000-000017510000}"/>
    <cellStyle name="40% - Accent6 3 2 2 2 22" xfId="49680" xr:uid="{00000000-0005-0000-0000-000018510000}"/>
    <cellStyle name="40% - Accent6 3 2 2 2 23" xfId="51363" xr:uid="{00000000-0005-0000-0000-000019510000}"/>
    <cellStyle name="40% - Accent6 3 2 2 2 24" xfId="53046" xr:uid="{00000000-0005-0000-0000-00001A510000}"/>
    <cellStyle name="40% - Accent6 3 2 2 2 25" xfId="54729" xr:uid="{00000000-0005-0000-0000-00001B510000}"/>
    <cellStyle name="40% - Accent6 3 2 2 2 26" xfId="56412" xr:uid="{00000000-0005-0000-0000-00001C510000}"/>
    <cellStyle name="40% - Accent6 3 2 2 2 27" xfId="58095" xr:uid="{00000000-0005-0000-0000-00001D510000}"/>
    <cellStyle name="40% - Accent6 3 2 2 2 28" xfId="59778" xr:uid="{00000000-0005-0000-0000-00001E510000}"/>
    <cellStyle name="40% - Accent6 3 2 2 2 29" xfId="61461" xr:uid="{00000000-0005-0000-0000-00001F510000}"/>
    <cellStyle name="40% - Accent6 3 2 2 2 3" xfId="4236" xr:uid="{00000000-0005-0000-0000-000020510000}"/>
    <cellStyle name="40% - Accent6 3 2 2 2 3 2" xfId="19385" xr:uid="{00000000-0005-0000-0000-000021510000}"/>
    <cellStyle name="40% - Accent6 3 2 2 2 30" xfId="63144" xr:uid="{00000000-0005-0000-0000-000022510000}"/>
    <cellStyle name="40% - Accent6 3 2 2 2 4" xfId="5919" xr:uid="{00000000-0005-0000-0000-000023510000}"/>
    <cellStyle name="40% - Accent6 3 2 2 2 4 2" xfId="21068" xr:uid="{00000000-0005-0000-0000-000024510000}"/>
    <cellStyle name="40% - Accent6 3 2 2 2 5" xfId="7602" xr:uid="{00000000-0005-0000-0000-000025510000}"/>
    <cellStyle name="40% - Accent6 3 2 2 2 5 2" xfId="22751" xr:uid="{00000000-0005-0000-0000-000026510000}"/>
    <cellStyle name="40% - Accent6 3 2 2 2 6" xfId="9285" xr:uid="{00000000-0005-0000-0000-000027510000}"/>
    <cellStyle name="40% - Accent6 3 2 2 2 6 2" xfId="24434" xr:uid="{00000000-0005-0000-0000-000028510000}"/>
    <cellStyle name="40% - Accent6 3 2 2 2 7" xfId="10968" xr:uid="{00000000-0005-0000-0000-000029510000}"/>
    <cellStyle name="40% - Accent6 3 2 2 2 7 2" xfId="26117" xr:uid="{00000000-0005-0000-0000-00002A510000}"/>
    <cellStyle name="40% - Accent6 3 2 2 2 8" xfId="12652" xr:uid="{00000000-0005-0000-0000-00002B510000}"/>
    <cellStyle name="40% - Accent6 3 2 2 2 8 2" xfId="27801" xr:uid="{00000000-0005-0000-0000-00002C510000}"/>
    <cellStyle name="40% - Accent6 3 2 2 2 9" xfId="14335" xr:uid="{00000000-0005-0000-0000-00002D510000}"/>
    <cellStyle name="40% - Accent6 3 2 2 2 9 2" xfId="29484" xr:uid="{00000000-0005-0000-0000-00002E510000}"/>
    <cellStyle name="40% - Accent6 3 2 2 20" xfId="40845" xr:uid="{00000000-0005-0000-0000-00002F510000}"/>
    <cellStyle name="40% - Accent6 3 2 2 21" xfId="42528" xr:uid="{00000000-0005-0000-0000-000030510000}"/>
    <cellStyle name="40% - Accent6 3 2 2 22" xfId="44211" xr:uid="{00000000-0005-0000-0000-000031510000}"/>
    <cellStyle name="40% - Accent6 3 2 2 23" xfId="45894" xr:uid="{00000000-0005-0000-0000-000032510000}"/>
    <cellStyle name="40% - Accent6 3 2 2 24" xfId="47577" xr:uid="{00000000-0005-0000-0000-000033510000}"/>
    <cellStyle name="40% - Accent6 3 2 2 25" xfId="49260" xr:uid="{00000000-0005-0000-0000-000034510000}"/>
    <cellStyle name="40% - Accent6 3 2 2 26" xfId="50943" xr:uid="{00000000-0005-0000-0000-000035510000}"/>
    <cellStyle name="40% - Accent6 3 2 2 27" xfId="52626" xr:uid="{00000000-0005-0000-0000-000036510000}"/>
    <cellStyle name="40% - Accent6 3 2 2 28" xfId="54309" xr:uid="{00000000-0005-0000-0000-000037510000}"/>
    <cellStyle name="40% - Accent6 3 2 2 29" xfId="55992" xr:uid="{00000000-0005-0000-0000-000038510000}"/>
    <cellStyle name="40% - Accent6 3 2 2 3" xfId="1290" xr:uid="{00000000-0005-0000-0000-000039510000}"/>
    <cellStyle name="40% - Accent6 3 2 2 3 10" xfId="16439" xr:uid="{00000000-0005-0000-0000-00003A510000}"/>
    <cellStyle name="40% - Accent6 3 2 2 3 11" xfId="31588" xr:uid="{00000000-0005-0000-0000-00003B510000}"/>
    <cellStyle name="40% - Accent6 3 2 2 3 12" xfId="33271" xr:uid="{00000000-0005-0000-0000-00003C510000}"/>
    <cellStyle name="40% - Accent6 3 2 2 3 13" xfId="34954" xr:uid="{00000000-0005-0000-0000-00003D510000}"/>
    <cellStyle name="40% - Accent6 3 2 2 3 14" xfId="36637" xr:uid="{00000000-0005-0000-0000-00003E510000}"/>
    <cellStyle name="40% - Accent6 3 2 2 3 15" xfId="38320" xr:uid="{00000000-0005-0000-0000-00003F510000}"/>
    <cellStyle name="40% - Accent6 3 2 2 3 16" xfId="40003" xr:uid="{00000000-0005-0000-0000-000040510000}"/>
    <cellStyle name="40% - Accent6 3 2 2 3 17" xfId="41686" xr:uid="{00000000-0005-0000-0000-000041510000}"/>
    <cellStyle name="40% - Accent6 3 2 2 3 18" xfId="43369" xr:uid="{00000000-0005-0000-0000-000042510000}"/>
    <cellStyle name="40% - Accent6 3 2 2 3 19" xfId="45052" xr:uid="{00000000-0005-0000-0000-000043510000}"/>
    <cellStyle name="40% - Accent6 3 2 2 3 2" xfId="2973" xr:uid="{00000000-0005-0000-0000-000044510000}"/>
    <cellStyle name="40% - Accent6 3 2 2 3 2 2" xfId="18122" xr:uid="{00000000-0005-0000-0000-000045510000}"/>
    <cellStyle name="40% - Accent6 3 2 2 3 20" xfId="46735" xr:uid="{00000000-0005-0000-0000-000046510000}"/>
    <cellStyle name="40% - Accent6 3 2 2 3 21" xfId="48418" xr:uid="{00000000-0005-0000-0000-000047510000}"/>
    <cellStyle name="40% - Accent6 3 2 2 3 22" xfId="50101" xr:uid="{00000000-0005-0000-0000-000048510000}"/>
    <cellStyle name="40% - Accent6 3 2 2 3 23" xfId="51784" xr:uid="{00000000-0005-0000-0000-000049510000}"/>
    <cellStyle name="40% - Accent6 3 2 2 3 24" xfId="53467" xr:uid="{00000000-0005-0000-0000-00004A510000}"/>
    <cellStyle name="40% - Accent6 3 2 2 3 25" xfId="55150" xr:uid="{00000000-0005-0000-0000-00004B510000}"/>
    <cellStyle name="40% - Accent6 3 2 2 3 26" xfId="56833" xr:uid="{00000000-0005-0000-0000-00004C510000}"/>
    <cellStyle name="40% - Accent6 3 2 2 3 27" xfId="58516" xr:uid="{00000000-0005-0000-0000-00004D510000}"/>
    <cellStyle name="40% - Accent6 3 2 2 3 28" xfId="60199" xr:uid="{00000000-0005-0000-0000-00004E510000}"/>
    <cellStyle name="40% - Accent6 3 2 2 3 29" xfId="61882" xr:uid="{00000000-0005-0000-0000-00004F510000}"/>
    <cellStyle name="40% - Accent6 3 2 2 3 3" xfId="4657" xr:uid="{00000000-0005-0000-0000-000050510000}"/>
    <cellStyle name="40% - Accent6 3 2 2 3 3 2" xfId="19806" xr:uid="{00000000-0005-0000-0000-000051510000}"/>
    <cellStyle name="40% - Accent6 3 2 2 3 30" xfId="63565" xr:uid="{00000000-0005-0000-0000-000052510000}"/>
    <cellStyle name="40% - Accent6 3 2 2 3 4" xfId="6340" xr:uid="{00000000-0005-0000-0000-000053510000}"/>
    <cellStyle name="40% - Accent6 3 2 2 3 4 2" xfId="21489" xr:uid="{00000000-0005-0000-0000-000054510000}"/>
    <cellStyle name="40% - Accent6 3 2 2 3 5" xfId="8023" xr:uid="{00000000-0005-0000-0000-000055510000}"/>
    <cellStyle name="40% - Accent6 3 2 2 3 5 2" xfId="23172" xr:uid="{00000000-0005-0000-0000-000056510000}"/>
    <cellStyle name="40% - Accent6 3 2 2 3 6" xfId="9706" xr:uid="{00000000-0005-0000-0000-000057510000}"/>
    <cellStyle name="40% - Accent6 3 2 2 3 6 2" xfId="24855" xr:uid="{00000000-0005-0000-0000-000058510000}"/>
    <cellStyle name="40% - Accent6 3 2 2 3 7" xfId="11389" xr:uid="{00000000-0005-0000-0000-000059510000}"/>
    <cellStyle name="40% - Accent6 3 2 2 3 7 2" xfId="26538" xr:uid="{00000000-0005-0000-0000-00005A510000}"/>
    <cellStyle name="40% - Accent6 3 2 2 3 8" xfId="13073" xr:uid="{00000000-0005-0000-0000-00005B510000}"/>
    <cellStyle name="40% - Accent6 3 2 2 3 8 2" xfId="28222" xr:uid="{00000000-0005-0000-0000-00005C510000}"/>
    <cellStyle name="40% - Accent6 3 2 2 3 9" xfId="14756" xr:uid="{00000000-0005-0000-0000-00005D510000}"/>
    <cellStyle name="40% - Accent6 3 2 2 3 9 2" xfId="29905" xr:uid="{00000000-0005-0000-0000-00005E510000}"/>
    <cellStyle name="40% - Accent6 3 2 2 30" xfId="57675" xr:uid="{00000000-0005-0000-0000-00005F510000}"/>
    <cellStyle name="40% - Accent6 3 2 2 31" xfId="59358" xr:uid="{00000000-0005-0000-0000-000060510000}"/>
    <cellStyle name="40% - Accent6 3 2 2 32" xfId="61041" xr:uid="{00000000-0005-0000-0000-000061510000}"/>
    <cellStyle name="40% - Accent6 3 2 2 33" xfId="62724" xr:uid="{00000000-0005-0000-0000-000062510000}"/>
    <cellStyle name="40% - Accent6 3 2 2 4" xfId="1711" xr:uid="{00000000-0005-0000-0000-000063510000}"/>
    <cellStyle name="40% - Accent6 3 2 2 4 10" xfId="16860" xr:uid="{00000000-0005-0000-0000-000064510000}"/>
    <cellStyle name="40% - Accent6 3 2 2 4 11" xfId="32009" xr:uid="{00000000-0005-0000-0000-000065510000}"/>
    <cellStyle name="40% - Accent6 3 2 2 4 12" xfId="33692" xr:uid="{00000000-0005-0000-0000-000066510000}"/>
    <cellStyle name="40% - Accent6 3 2 2 4 13" xfId="35375" xr:uid="{00000000-0005-0000-0000-000067510000}"/>
    <cellStyle name="40% - Accent6 3 2 2 4 14" xfId="37058" xr:uid="{00000000-0005-0000-0000-000068510000}"/>
    <cellStyle name="40% - Accent6 3 2 2 4 15" xfId="38741" xr:uid="{00000000-0005-0000-0000-000069510000}"/>
    <cellStyle name="40% - Accent6 3 2 2 4 16" xfId="40424" xr:uid="{00000000-0005-0000-0000-00006A510000}"/>
    <cellStyle name="40% - Accent6 3 2 2 4 17" xfId="42107" xr:uid="{00000000-0005-0000-0000-00006B510000}"/>
    <cellStyle name="40% - Accent6 3 2 2 4 18" xfId="43790" xr:uid="{00000000-0005-0000-0000-00006C510000}"/>
    <cellStyle name="40% - Accent6 3 2 2 4 19" xfId="45473" xr:uid="{00000000-0005-0000-0000-00006D510000}"/>
    <cellStyle name="40% - Accent6 3 2 2 4 2" xfId="3394" xr:uid="{00000000-0005-0000-0000-00006E510000}"/>
    <cellStyle name="40% - Accent6 3 2 2 4 2 2" xfId="18543" xr:uid="{00000000-0005-0000-0000-00006F510000}"/>
    <cellStyle name="40% - Accent6 3 2 2 4 20" xfId="47156" xr:uid="{00000000-0005-0000-0000-000070510000}"/>
    <cellStyle name="40% - Accent6 3 2 2 4 21" xfId="48839" xr:uid="{00000000-0005-0000-0000-000071510000}"/>
    <cellStyle name="40% - Accent6 3 2 2 4 22" xfId="50522" xr:uid="{00000000-0005-0000-0000-000072510000}"/>
    <cellStyle name="40% - Accent6 3 2 2 4 23" xfId="52205" xr:uid="{00000000-0005-0000-0000-000073510000}"/>
    <cellStyle name="40% - Accent6 3 2 2 4 24" xfId="53888" xr:uid="{00000000-0005-0000-0000-000074510000}"/>
    <cellStyle name="40% - Accent6 3 2 2 4 25" xfId="55571" xr:uid="{00000000-0005-0000-0000-000075510000}"/>
    <cellStyle name="40% - Accent6 3 2 2 4 26" xfId="57254" xr:uid="{00000000-0005-0000-0000-000076510000}"/>
    <cellStyle name="40% - Accent6 3 2 2 4 27" xfId="58937" xr:uid="{00000000-0005-0000-0000-000077510000}"/>
    <cellStyle name="40% - Accent6 3 2 2 4 28" xfId="60620" xr:uid="{00000000-0005-0000-0000-000078510000}"/>
    <cellStyle name="40% - Accent6 3 2 2 4 29" xfId="62303" xr:uid="{00000000-0005-0000-0000-000079510000}"/>
    <cellStyle name="40% - Accent6 3 2 2 4 3" xfId="5078" xr:uid="{00000000-0005-0000-0000-00007A510000}"/>
    <cellStyle name="40% - Accent6 3 2 2 4 3 2" xfId="20227" xr:uid="{00000000-0005-0000-0000-00007B510000}"/>
    <cellStyle name="40% - Accent6 3 2 2 4 30" xfId="63986" xr:uid="{00000000-0005-0000-0000-00007C510000}"/>
    <cellStyle name="40% - Accent6 3 2 2 4 4" xfId="6761" xr:uid="{00000000-0005-0000-0000-00007D510000}"/>
    <cellStyle name="40% - Accent6 3 2 2 4 4 2" xfId="21910" xr:uid="{00000000-0005-0000-0000-00007E510000}"/>
    <cellStyle name="40% - Accent6 3 2 2 4 5" xfId="8444" xr:uid="{00000000-0005-0000-0000-00007F510000}"/>
    <cellStyle name="40% - Accent6 3 2 2 4 5 2" xfId="23593" xr:uid="{00000000-0005-0000-0000-000080510000}"/>
    <cellStyle name="40% - Accent6 3 2 2 4 6" xfId="10127" xr:uid="{00000000-0005-0000-0000-000081510000}"/>
    <cellStyle name="40% - Accent6 3 2 2 4 6 2" xfId="25276" xr:uid="{00000000-0005-0000-0000-000082510000}"/>
    <cellStyle name="40% - Accent6 3 2 2 4 7" xfId="11810" xr:uid="{00000000-0005-0000-0000-000083510000}"/>
    <cellStyle name="40% - Accent6 3 2 2 4 7 2" xfId="26959" xr:uid="{00000000-0005-0000-0000-000084510000}"/>
    <cellStyle name="40% - Accent6 3 2 2 4 8" xfId="13494" xr:uid="{00000000-0005-0000-0000-000085510000}"/>
    <cellStyle name="40% - Accent6 3 2 2 4 8 2" xfId="28643" xr:uid="{00000000-0005-0000-0000-000086510000}"/>
    <cellStyle name="40% - Accent6 3 2 2 4 9" xfId="15177" xr:uid="{00000000-0005-0000-0000-000087510000}"/>
    <cellStyle name="40% - Accent6 3 2 2 4 9 2" xfId="30326" xr:uid="{00000000-0005-0000-0000-000088510000}"/>
    <cellStyle name="40% - Accent6 3 2 2 5" xfId="2132" xr:uid="{00000000-0005-0000-0000-000089510000}"/>
    <cellStyle name="40% - Accent6 3 2 2 5 2" xfId="17281" xr:uid="{00000000-0005-0000-0000-00008A510000}"/>
    <cellStyle name="40% - Accent6 3 2 2 6" xfId="3816" xr:uid="{00000000-0005-0000-0000-00008B510000}"/>
    <cellStyle name="40% - Accent6 3 2 2 6 2" xfId="18965" xr:uid="{00000000-0005-0000-0000-00008C510000}"/>
    <cellStyle name="40% - Accent6 3 2 2 7" xfId="5499" xr:uid="{00000000-0005-0000-0000-00008D510000}"/>
    <cellStyle name="40% - Accent6 3 2 2 7 2" xfId="20648" xr:uid="{00000000-0005-0000-0000-00008E510000}"/>
    <cellStyle name="40% - Accent6 3 2 2 8" xfId="7182" xr:uid="{00000000-0005-0000-0000-00008F510000}"/>
    <cellStyle name="40% - Accent6 3 2 2 8 2" xfId="22331" xr:uid="{00000000-0005-0000-0000-000090510000}"/>
    <cellStyle name="40% - Accent6 3 2 2 9" xfId="8865" xr:uid="{00000000-0005-0000-0000-000091510000}"/>
    <cellStyle name="40% - Accent6 3 2 2 9 2" xfId="24014" xr:uid="{00000000-0005-0000-0000-000092510000}"/>
    <cellStyle name="40% - Accent6 3 2 20" xfId="38952" xr:uid="{00000000-0005-0000-0000-000093510000}"/>
    <cellStyle name="40% - Accent6 3 2 21" xfId="40635" xr:uid="{00000000-0005-0000-0000-000094510000}"/>
    <cellStyle name="40% - Accent6 3 2 22" xfId="42318" xr:uid="{00000000-0005-0000-0000-000095510000}"/>
    <cellStyle name="40% - Accent6 3 2 23" xfId="44001" xr:uid="{00000000-0005-0000-0000-000096510000}"/>
    <cellStyle name="40% - Accent6 3 2 24" xfId="45684" xr:uid="{00000000-0005-0000-0000-000097510000}"/>
    <cellStyle name="40% - Accent6 3 2 25" xfId="47367" xr:uid="{00000000-0005-0000-0000-000098510000}"/>
    <cellStyle name="40% - Accent6 3 2 26" xfId="49050" xr:uid="{00000000-0005-0000-0000-000099510000}"/>
    <cellStyle name="40% - Accent6 3 2 27" xfId="50733" xr:uid="{00000000-0005-0000-0000-00009A510000}"/>
    <cellStyle name="40% - Accent6 3 2 28" xfId="52416" xr:uid="{00000000-0005-0000-0000-00009B510000}"/>
    <cellStyle name="40% - Accent6 3 2 29" xfId="54099" xr:uid="{00000000-0005-0000-0000-00009C510000}"/>
    <cellStyle name="40% - Accent6 3 2 3" xfId="659" xr:uid="{00000000-0005-0000-0000-00009D510000}"/>
    <cellStyle name="40% - Accent6 3 2 3 10" xfId="15808" xr:uid="{00000000-0005-0000-0000-00009E510000}"/>
    <cellStyle name="40% - Accent6 3 2 3 11" xfId="30957" xr:uid="{00000000-0005-0000-0000-00009F510000}"/>
    <cellStyle name="40% - Accent6 3 2 3 12" xfId="32640" xr:uid="{00000000-0005-0000-0000-0000A0510000}"/>
    <cellStyle name="40% - Accent6 3 2 3 13" xfId="34323" xr:uid="{00000000-0005-0000-0000-0000A1510000}"/>
    <cellStyle name="40% - Accent6 3 2 3 14" xfId="36006" xr:uid="{00000000-0005-0000-0000-0000A2510000}"/>
    <cellStyle name="40% - Accent6 3 2 3 15" xfId="37689" xr:uid="{00000000-0005-0000-0000-0000A3510000}"/>
    <cellStyle name="40% - Accent6 3 2 3 16" xfId="39372" xr:uid="{00000000-0005-0000-0000-0000A4510000}"/>
    <cellStyle name="40% - Accent6 3 2 3 17" xfId="41055" xr:uid="{00000000-0005-0000-0000-0000A5510000}"/>
    <cellStyle name="40% - Accent6 3 2 3 18" xfId="42738" xr:uid="{00000000-0005-0000-0000-0000A6510000}"/>
    <cellStyle name="40% - Accent6 3 2 3 19" xfId="44421" xr:uid="{00000000-0005-0000-0000-0000A7510000}"/>
    <cellStyle name="40% - Accent6 3 2 3 2" xfId="2342" xr:uid="{00000000-0005-0000-0000-0000A8510000}"/>
    <cellStyle name="40% - Accent6 3 2 3 2 2" xfId="17491" xr:uid="{00000000-0005-0000-0000-0000A9510000}"/>
    <cellStyle name="40% - Accent6 3 2 3 20" xfId="46104" xr:uid="{00000000-0005-0000-0000-0000AA510000}"/>
    <cellStyle name="40% - Accent6 3 2 3 21" xfId="47787" xr:uid="{00000000-0005-0000-0000-0000AB510000}"/>
    <cellStyle name="40% - Accent6 3 2 3 22" xfId="49470" xr:uid="{00000000-0005-0000-0000-0000AC510000}"/>
    <cellStyle name="40% - Accent6 3 2 3 23" xfId="51153" xr:uid="{00000000-0005-0000-0000-0000AD510000}"/>
    <cellStyle name="40% - Accent6 3 2 3 24" xfId="52836" xr:uid="{00000000-0005-0000-0000-0000AE510000}"/>
    <cellStyle name="40% - Accent6 3 2 3 25" xfId="54519" xr:uid="{00000000-0005-0000-0000-0000AF510000}"/>
    <cellStyle name="40% - Accent6 3 2 3 26" xfId="56202" xr:uid="{00000000-0005-0000-0000-0000B0510000}"/>
    <cellStyle name="40% - Accent6 3 2 3 27" xfId="57885" xr:uid="{00000000-0005-0000-0000-0000B1510000}"/>
    <cellStyle name="40% - Accent6 3 2 3 28" xfId="59568" xr:uid="{00000000-0005-0000-0000-0000B2510000}"/>
    <cellStyle name="40% - Accent6 3 2 3 29" xfId="61251" xr:uid="{00000000-0005-0000-0000-0000B3510000}"/>
    <cellStyle name="40% - Accent6 3 2 3 3" xfId="4026" xr:uid="{00000000-0005-0000-0000-0000B4510000}"/>
    <cellStyle name="40% - Accent6 3 2 3 3 2" xfId="19175" xr:uid="{00000000-0005-0000-0000-0000B5510000}"/>
    <cellStyle name="40% - Accent6 3 2 3 30" xfId="62934" xr:uid="{00000000-0005-0000-0000-0000B6510000}"/>
    <cellStyle name="40% - Accent6 3 2 3 4" xfId="5709" xr:uid="{00000000-0005-0000-0000-0000B7510000}"/>
    <cellStyle name="40% - Accent6 3 2 3 4 2" xfId="20858" xr:uid="{00000000-0005-0000-0000-0000B8510000}"/>
    <cellStyle name="40% - Accent6 3 2 3 5" xfId="7392" xr:uid="{00000000-0005-0000-0000-0000B9510000}"/>
    <cellStyle name="40% - Accent6 3 2 3 5 2" xfId="22541" xr:uid="{00000000-0005-0000-0000-0000BA510000}"/>
    <cellStyle name="40% - Accent6 3 2 3 6" xfId="9075" xr:uid="{00000000-0005-0000-0000-0000BB510000}"/>
    <cellStyle name="40% - Accent6 3 2 3 6 2" xfId="24224" xr:uid="{00000000-0005-0000-0000-0000BC510000}"/>
    <cellStyle name="40% - Accent6 3 2 3 7" xfId="10758" xr:uid="{00000000-0005-0000-0000-0000BD510000}"/>
    <cellStyle name="40% - Accent6 3 2 3 7 2" xfId="25907" xr:uid="{00000000-0005-0000-0000-0000BE510000}"/>
    <cellStyle name="40% - Accent6 3 2 3 8" xfId="12442" xr:uid="{00000000-0005-0000-0000-0000BF510000}"/>
    <cellStyle name="40% - Accent6 3 2 3 8 2" xfId="27591" xr:uid="{00000000-0005-0000-0000-0000C0510000}"/>
    <cellStyle name="40% - Accent6 3 2 3 9" xfId="14125" xr:uid="{00000000-0005-0000-0000-0000C1510000}"/>
    <cellStyle name="40% - Accent6 3 2 3 9 2" xfId="29274" xr:uid="{00000000-0005-0000-0000-0000C2510000}"/>
    <cellStyle name="40% - Accent6 3 2 30" xfId="55782" xr:uid="{00000000-0005-0000-0000-0000C3510000}"/>
    <cellStyle name="40% - Accent6 3 2 31" xfId="57465" xr:uid="{00000000-0005-0000-0000-0000C4510000}"/>
    <cellStyle name="40% - Accent6 3 2 32" xfId="59148" xr:uid="{00000000-0005-0000-0000-0000C5510000}"/>
    <cellStyle name="40% - Accent6 3 2 33" xfId="60831" xr:uid="{00000000-0005-0000-0000-0000C6510000}"/>
    <cellStyle name="40% - Accent6 3 2 34" xfId="62514" xr:uid="{00000000-0005-0000-0000-0000C7510000}"/>
    <cellStyle name="40% - Accent6 3 2 4" xfId="1080" xr:uid="{00000000-0005-0000-0000-0000C8510000}"/>
    <cellStyle name="40% - Accent6 3 2 4 10" xfId="16229" xr:uid="{00000000-0005-0000-0000-0000C9510000}"/>
    <cellStyle name="40% - Accent6 3 2 4 11" xfId="31378" xr:uid="{00000000-0005-0000-0000-0000CA510000}"/>
    <cellStyle name="40% - Accent6 3 2 4 12" xfId="33061" xr:uid="{00000000-0005-0000-0000-0000CB510000}"/>
    <cellStyle name="40% - Accent6 3 2 4 13" xfId="34744" xr:uid="{00000000-0005-0000-0000-0000CC510000}"/>
    <cellStyle name="40% - Accent6 3 2 4 14" xfId="36427" xr:uid="{00000000-0005-0000-0000-0000CD510000}"/>
    <cellStyle name="40% - Accent6 3 2 4 15" xfId="38110" xr:uid="{00000000-0005-0000-0000-0000CE510000}"/>
    <cellStyle name="40% - Accent6 3 2 4 16" xfId="39793" xr:uid="{00000000-0005-0000-0000-0000CF510000}"/>
    <cellStyle name="40% - Accent6 3 2 4 17" xfId="41476" xr:uid="{00000000-0005-0000-0000-0000D0510000}"/>
    <cellStyle name="40% - Accent6 3 2 4 18" xfId="43159" xr:uid="{00000000-0005-0000-0000-0000D1510000}"/>
    <cellStyle name="40% - Accent6 3 2 4 19" xfId="44842" xr:uid="{00000000-0005-0000-0000-0000D2510000}"/>
    <cellStyle name="40% - Accent6 3 2 4 2" xfId="2763" xr:uid="{00000000-0005-0000-0000-0000D3510000}"/>
    <cellStyle name="40% - Accent6 3 2 4 2 2" xfId="17912" xr:uid="{00000000-0005-0000-0000-0000D4510000}"/>
    <cellStyle name="40% - Accent6 3 2 4 20" xfId="46525" xr:uid="{00000000-0005-0000-0000-0000D5510000}"/>
    <cellStyle name="40% - Accent6 3 2 4 21" xfId="48208" xr:uid="{00000000-0005-0000-0000-0000D6510000}"/>
    <cellStyle name="40% - Accent6 3 2 4 22" xfId="49891" xr:uid="{00000000-0005-0000-0000-0000D7510000}"/>
    <cellStyle name="40% - Accent6 3 2 4 23" xfId="51574" xr:uid="{00000000-0005-0000-0000-0000D8510000}"/>
    <cellStyle name="40% - Accent6 3 2 4 24" xfId="53257" xr:uid="{00000000-0005-0000-0000-0000D9510000}"/>
    <cellStyle name="40% - Accent6 3 2 4 25" xfId="54940" xr:uid="{00000000-0005-0000-0000-0000DA510000}"/>
    <cellStyle name="40% - Accent6 3 2 4 26" xfId="56623" xr:uid="{00000000-0005-0000-0000-0000DB510000}"/>
    <cellStyle name="40% - Accent6 3 2 4 27" xfId="58306" xr:uid="{00000000-0005-0000-0000-0000DC510000}"/>
    <cellStyle name="40% - Accent6 3 2 4 28" xfId="59989" xr:uid="{00000000-0005-0000-0000-0000DD510000}"/>
    <cellStyle name="40% - Accent6 3 2 4 29" xfId="61672" xr:uid="{00000000-0005-0000-0000-0000DE510000}"/>
    <cellStyle name="40% - Accent6 3 2 4 3" xfId="4447" xr:uid="{00000000-0005-0000-0000-0000DF510000}"/>
    <cellStyle name="40% - Accent6 3 2 4 3 2" xfId="19596" xr:uid="{00000000-0005-0000-0000-0000E0510000}"/>
    <cellStyle name="40% - Accent6 3 2 4 30" xfId="63355" xr:uid="{00000000-0005-0000-0000-0000E1510000}"/>
    <cellStyle name="40% - Accent6 3 2 4 4" xfId="6130" xr:uid="{00000000-0005-0000-0000-0000E2510000}"/>
    <cellStyle name="40% - Accent6 3 2 4 4 2" xfId="21279" xr:uid="{00000000-0005-0000-0000-0000E3510000}"/>
    <cellStyle name="40% - Accent6 3 2 4 5" xfId="7813" xr:uid="{00000000-0005-0000-0000-0000E4510000}"/>
    <cellStyle name="40% - Accent6 3 2 4 5 2" xfId="22962" xr:uid="{00000000-0005-0000-0000-0000E5510000}"/>
    <cellStyle name="40% - Accent6 3 2 4 6" xfId="9496" xr:uid="{00000000-0005-0000-0000-0000E6510000}"/>
    <cellStyle name="40% - Accent6 3 2 4 6 2" xfId="24645" xr:uid="{00000000-0005-0000-0000-0000E7510000}"/>
    <cellStyle name="40% - Accent6 3 2 4 7" xfId="11179" xr:uid="{00000000-0005-0000-0000-0000E8510000}"/>
    <cellStyle name="40% - Accent6 3 2 4 7 2" xfId="26328" xr:uid="{00000000-0005-0000-0000-0000E9510000}"/>
    <cellStyle name="40% - Accent6 3 2 4 8" xfId="12863" xr:uid="{00000000-0005-0000-0000-0000EA510000}"/>
    <cellStyle name="40% - Accent6 3 2 4 8 2" xfId="28012" xr:uid="{00000000-0005-0000-0000-0000EB510000}"/>
    <cellStyle name="40% - Accent6 3 2 4 9" xfId="14546" xr:uid="{00000000-0005-0000-0000-0000EC510000}"/>
    <cellStyle name="40% - Accent6 3 2 4 9 2" xfId="29695" xr:uid="{00000000-0005-0000-0000-0000ED510000}"/>
    <cellStyle name="40% - Accent6 3 2 5" xfId="1501" xr:uid="{00000000-0005-0000-0000-0000EE510000}"/>
    <cellStyle name="40% - Accent6 3 2 5 10" xfId="16650" xr:uid="{00000000-0005-0000-0000-0000EF510000}"/>
    <cellStyle name="40% - Accent6 3 2 5 11" xfId="31799" xr:uid="{00000000-0005-0000-0000-0000F0510000}"/>
    <cellStyle name="40% - Accent6 3 2 5 12" xfId="33482" xr:uid="{00000000-0005-0000-0000-0000F1510000}"/>
    <cellStyle name="40% - Accent6 3 2 5 13" xfId="35165" xr:uid="{00000000-0005-0000-0000-0000F2510000}"/>
    <cellStyle name="40% - Accent6 3 2 5 14" xfId="36848" xr:uid="{00000000-0005-0000-0000-0000F3510000}"/>
    <cellStyle name="40% - Accent6 3 2 5 15" xfId="38531" xr:uid="{00000000-0005-0000-0000-0000F4510000}"/>
    <cellStyle name="40% - Accent6 3 2 5 16" xfId="40214" xr:uid="{00000000-0005-0000-0000-0000F5510000}"/>
    <cellStyle name="40% - Accent6 3 2 5 17" xfId="41897" xr:uid="{00000000-0005-0000-0000-0000F6510000}"/>
    <cellStyle name="40% - Accent6 3 2 5 18" xfId="43580" xr:uid="{00000000-0005-0000-0000-0000F7510000}"/>
    <cellStyle name="40% - Accent6 3 2 5 19" xfId="45263" xr:uid="{00000000-0005-0000-0000-0000F8510000}"/>
    <cellStyle name="40% - Accent6 3 2 5 2" xfId="3184" xr:uid="{00000000-0005-0000-0000-0000F9510000}"/>
    <cellStyle name="40% - Accent6 3 2 5 2 2" xfId="18333" xr:uid="{00000000-0005-0000-0000-0000FA510000}"/>
    <cellStyle name="40% - Accent6 3 2 5 20" xfId="46946" xr:uid="{00000000-0005-0000-0000-0000FB510000}"/>
    <cellStyle name="40% - Accent6 3 2 5 21" xfId="48629" xr:uid="{00000000-0005-0000-0000-0000FC510000}"/>
    <cellStyle name="40% - Accent6 3 2 5 22" xfId="50312" xr:uid="{00000000-0005-0000-0000-0000FD510000}"/>
    <cellStyle name="40% - Accent6 3 2 5 23" xfId="51995" xr:uid="{00000000-0005-0000-0000-0000FE510000}"/>
    <cellStyle name="40% - Accent6 3 2 5 24" xfId="53678" xr:uid="{00000000-0005-0000-0000-0000FF510000}"/>
    <cellStyle name="40% - Accent6 3 2 5 25" xfId="55361" xr:uid="{00000000-0005-0000-0000-000000520000}"/>
    <cellStyle name="40% - Accent6 3 2 5 26" xfId="57044" xr:uid="{00000000-0005-0000-0000-000001520000}"/>
    <cellStyle name="40% - Accent6 3 2 5 27" xfId="58727" xr:uid="{00000000-0005-0000-0000-000002520000}"/>
    <cellStyle name="40% - Accent6 3 2 5 28" xfId="60410" xr:uid="{00000000-0005-0000-0000-000003520000}"/>
    <cellStyle name="40% - Accent6 3 2 5 29" xfId="62093" xr:uid="{00000000-0005-0000-0000-000004520000}"/>
    <cellStyle name="40% - Accent6 3 2 5 3" xfId="4868" xr:uid="{00000000-0005-0000-0000-000005520000}"/>
    <cellStyle name="40% - Accent6 3 2 5 3 2" xfId="20017" xr:uid="{00000000-0005-0000-0000-000006520000}"/>
    <cellStyle name="40% - Accent6 3 2 5 30" xfId="63776" xr:uid="{00000000-0005-0000-0000-000007520000}"/>
    <cellStyle name="40% - Accent6 3 2 5 4" xfId="6551" xr:uid="{00000000-0005-0000-0000-000008520000}"/>
    <cellStyle name="40% - Accent6 3 2 5 4 2" xfId="21700" xr:uid="{00000000-0005-0000-0000-000009520000}"/>
    <cellStyle name="40% - Accent6 3 2 5 5" xfId="8234" xr:uid="{00000000-0005-0000-0000-00000A520000}"/>
    <cellStyle name="40% - Accent6 3 2 5 5 2" xfId="23383" xr:uid="{00000000-0005-0000-0000-00000B520000}"/>
    <cellStyle name="40% - Accent6 3 2 5 6" xfId="9917" xr:uid="{00000000-0005-0000-0000-00000C520000}"/>
    <cellStyle name="40% - Accent6 3 2 5 6 2" xfId="25066" xr:uid="{00000000-0005-0000-0000-00000D520000}"/>
    <cellStyle name="40% - Accent6 3 2 5 7" xfId="11600" xr:uid="{00000000-0005-0000-0000-00000E520000}"/>
    <cellStyle name="40% - Accent6 3 2 5 7 2" xfId="26749" xr:uid="{00000000-0005-0000-0000-00000F520000}"/>
    <cellStyle name="40% - Accent6 3 2 5 8" xfId="13284" xr:uid="{00000000-0005-0000-0000-000010520000}"/>
    <cellStyle name="40% - Accent6 3 2 5 8 2" xfId="28433" xr:uid="{00000000-0005-0000-0000-000011520000}"/>
    <cellStyle name="40% - Accent6 3 2 5 9" xfId="14967" xr:uid="{00000000-0005-0000-0000-000012520000}"/>
    <cellStyle name="40% - Accent6 3 2 5 9 2" xfId="30116" xr:uid="{00000000-0005-0000-0000-000013520000}"/>
    <cellStyle name="40% - Accent6 3 2 6" xfId="1922" xr:uid="{00000000-0005-0000-0000-000014520000}"/>
    <cellStyle name="40% - Accent6 3 2 6 2" xfId="17071" xr:uid="{00000000-0005-0000-0000-000015520000}"/>
    <cellStyle name="40% - Accent6 3 2 7" xfId="3606" xr:uid="{00000000-0005-0000-0000-000016520000}"/>
    <cellStyle name="40% - Accent6 3 2 7 2" xfId="18755" xr:uid="{00000000-0005-0000-0000-000017520000}"/>
    <cellStyle name="40% - Accent6 3 2 8" xfId="5289" xr:uid="{00000000-0005-0000-0000-000018520000}"/>
    <cellStyle name="40% - Accent6 3 2 8 2" xfId="20438" xr:uid="{00000000-0005-0000-0000-000019520000}"/>
    <cellStyle name="40% - Accent6 3 2 9" xfId="6972" xr:uid="{00000000-0005-0000-0000-00001A520000}"/>
    <cellStyle name="40% - Accent6 3 2 9 2" xfId="22121" xr:uid="{00000000-0005-0000-0000-00001B520000}"/>
    <cellStyle name="40% - Accent6 3 20" xfId="37164" xr:uid="{00000000-0005-0000-0000-00001C520000}"/>
    <cellStyle name="40% - Accent6 3 21" xfId="38847" xr:uid="{00000000-0005-0000-0000-00001D520000}"/>
    <cellStyle name="40% - Accent6 3 22" xfId="40530" xr:uid="{00000000-0005-0000-0000-00001E520000}"/>
    <cellStyle name="40% - Accent6 3 23" xfId="42213" xr:uid="{00000000-0005-0000-0000-00001F520000}"/>
    <cellStyle name="40% - Accent6 3 24" xfId="43896" xr:uid="{00000000-0005-0000-0000-000020520000}"/>
    <cellStyle name="40% - Accent6 3 25" xfId="45579" xr:uid="{00000000-0005-0000-0000-000021520000}"/>
    <cellStyle name="40% - Accent6 3 26" xfId="47262" xr:uid="{00000000-0005-0000-0000-000022520000}"/>
    <cellStyle name="40% - Accent6 3 27" xfId="48945" xr:uid="{00000000-0005-0000-0000-000023520000}"/>
    <cellStyle name="40% - Accent6 3 28" xfId="50628" xr:uid="{00000000-0005-0000-0000-000024520000}"/>
    <cellStyle name="40% - Accent6 3 29" xfId="52311" xr:uid="{00000000-0005-0000-0000-000025520000}"/>
    <cellStyle name="40% - Accent6 3 3" xfId="344" xr:uid="{00000000-0005-0000-0000-000026520000}"/>
    <cellStyle name="40% - Accent6 3 3 10" xfId="10443" xr:uid="{00000000-0005-0000-0000-000027520000}"/>
    <cellStyle name="40% - Accent6 3 3 10 2" xfId="25592" xr:uid="{00000000-0005-0000-0000-000028520000}"/>
    <cellStyle name="40% - Accent6 3 3 11" xfId="12127" xr:uid="{00000000-0005-0000-0000-000029520000}"/>
    <cellStyle name="40% - Accent6 3 3 11 2" xfId="27276" xr:uid="{00000000-0005-0000-0000-00002A520000}"/>
    <cellStyle name="40% - Accent6 3 3 12" xfId="13810" xr:uid="{00000000-0005-0000-0000-00002B520000}"/>
    <cellStyle name="40% - Accent6 3 3 12 2" xfId="28959" xr:uid="{00000000-0005-0000-0000-00002C520000}"/>
    <cellStyle name="40% - Accent6 3 3 13" xfId="15493" xr:uid="{00000000-0005-0000-0000-00002D520000}"/>
    <cellStyle name="40% - Accent6 3 3 14" xfId="30642" xr:uid="{00000000-0005-0000-0000-00002E520000}"/>
    <cellStyle name="40% - Accent6 3 3 15" xfId="32325" xr:uid="{00000000-0005-0000-0000-00002F520000}"/>
    <cellStyle name="40% - Accent6 3 3 16" xfId="34008" xr:uid="{00000000-0005-0000-0000-000030520000}"/>
    <cellStyle name="40% - Accent6 3 3 17" xfId="35691" xr:uid="{00000000-0005-0000-0000-000031520000}"/>
    <cellStyle name="40% - Accent6 3 3 18" xfId="37374" xr:uid="{00000000-0005-0000-0000-000032520000}"/>
    <cellStyle name="40% - Accent6 3 3 19" xfId="39057" xr:uid="{00000000-0005-0000-0000-000033520000}"/>
    <cellStyle name="40% - Accent6 3 3 2" xfId="764" xr:uid="{00000000-0005-0000-0000-000034520000}"/>
    <cellStyle name="40% - Accent6 3 3 2 10" xfId="15913" xr:uid="{00000000-0005-0000-0000-000035520000}"/>
    <cellStyle name="40% - Accent6 3 3 2 11" xfId="31062" xr:uid="{00000000-0005-0000-0000-000036520000}"/>
    <cellStyle name="40% - Accent6 3 3 2 12" xfId="32745" xr:uid="{00000000-0005-0000-0000-000037520000}"/>
    <cellStyle name="40% - Accent6 3 3 2 13" xfId="34428" xr:uid="{00000000-0005-0000-0000-000038520000}"/>
    <cellStyle name="40% - Accent6 3 3 2 14" xfId="36111" xr:uid="{00000000-0005-0000-0000-000039520000}"/>
    <cellStyle name="40% - Accent6 3 3 2 15" xfId="37794" xr:uid="{00000000-0005-0000-0000-00003A520000}"/>
    <cellStyle name="40% - Accent6 3 3 2 16" xfId="39477" xr:uid="{00000000-0005-0000-0000-00003B520000}"/>
    <cellStyle name="40% - Accent6 3 3 2 17" xfId="41160" xr:uid="{00000000-0005-0000-0000-00003C520000}"/>
    <cellStyle name="40% - Accent6 3 3 2 18" xfId="42843" xr:uid="{00000000-0005-0000-0000-00003D520000}"/>
    <cellStyle name="40% - Accent6 3 3 2 19" xfId="44526" xr:uid="{00000000-0005-0000-0000-00003E520000}"/>
    <cellStyle name="40% - Accent6 3 3 2 2" xfId="2447" xr:uid="{00000000-0005-0000-0000-00003F520000}"/>
    <cellStyle name="40% - Accent6 3 3 2 2 2" xfId="17596" xr:uid="{00000000-0005-0000-0000-000040520000}"/>
    <cellStyle name="40% - Accent6 3 3 2 20" xfId="46209" xr:uid="{00000000-0005-0000-0000-000041520000}"/>
    <cellStyle name="40% - Accent6 3 3 2 21" xfId="47892" xr:uid="{00000000-0005-0000-0000-000042520000}"/>
    <cellStyle name="40% - Accent6 3 3 2 22" xfId="49575" xr:uid="{00000000-0005-0000-0000-000043520000}"/>
    <cellStyle name="40% - Accent6 3 3 2 23" xfId="51258" xr:uid="{00000000-0005-0000-0000-000044520000}"/>
    <cellStyle name="40% - Accent6 3 3 2 24" xfId="52941" xr:uid="{00000000-0005-0000-0000-000045520000}"/>
    <cellStyle name="40% - Accent6 3 3 2 25" xfId="54624" xr:uid="{00000000-0005-0000-0000-000046520000}"/>
    <cellStyle name="40% - Accent6 3 3 2 26" xfId="56307" xr:uid="{00000000-0005-0000-0000-000047520000}"/>
    <cellStyle name="40% - Accent6 3 3 2 27" xfId="57990" xr:uid="{00000000-0005-0000-0000-000048520000}"/>
    <cellStyle name="40% - Accent6 3 3 2 28" xfId="59673" xr:uid="{00000000-0005-0000-0000-000049520000}"/>
    <cellStyle name="40% - Accent6 3 3 2 29" xfId="61356" xr:uid="{00000000-0005-0000-0000-00004A520000}"/>
    <cellStyle name="40% - Accent6 3 3 2 3" xfId="4131" xr:uid="{00000000-0005-0000-0000-00004B520000}"/>
    <cellStyle name="40% - Accent6 3 3 2 3 2" xfId="19280" xr:uid="{00000000-0005-0000-0000-00004C520000}"/>
    <cellStyle name="40% - Accent6 3 3 2 30" xfId="63039" xr:uid="{00000000-0005-0000-0000-00004D520000}"/>
    <cellStyle name="40% - Accent6 3 3 2 4" xfId="5814" xr:uid="{00000000-0005-0000-0000-00004E520000}"/>
    <cellStyle name="40% - Accent6 3 3 2 4 2" xfId="20963" xr:uid="{00000000-0005-0000-0000-00004F520000}"/>
    <cellStyle name="40% - Accent6 3 3 2 5" xfId="7497" xr:uid="{00000000-0005-0000-0000-000050520000}"/>
    <cellStyle name="40% - Accent6 3 3 2 5 2" xfId="22646" xr:uid="{00000000-0005-0000-0000-000051520000}"/>
    <cellStyle name="40% - Accent6 3 3 2 6" xfId="9180" xr:uid="{00000000-0005-0000-0000-000052520000}"/>
    <cellStyle name="40% - Accent6 3 3 2 6 2" xfId="24329" xr:uid="{00000000-0005-0000-0000-000053520000}"/>
    <cellStyle name="40% - Accent6 3 3 2 7" xfId="10863" xr:uid="{00000000-0005-0000-0000-000054520000}"/>
    <cellStyle name="40% - Accent6 3 3 2 7 2" xfId="26012" xr:uid="{00000000-0005-0000-0000-000055520000}"/>
    <cellStyle name="40% - Accent6 3 3 2 8" xfId="12547" xr:uid="{00000000-0005-0000-0000-000056520000}"/>
    <cellStyle name="40% - Accent6 3 3 2 8 2" xfId="27696" xr:uid="{00000000-0005-0000-0000-000057520000}"/>
    <cellStyle name="40% - Accent6 3 3 2 9" xfId="14230" xr:uid="{00000000-0005-0000-0000-000058520000}"/>
    <cellStyle name="40% - Accent6 3 3 2 9 2" xfId="29379" xr:uid="{00000000-0005-0000-0000-000059520000}"/>
    <cellStyle name="40% - Accent6 3 3 20" xfId="40740" xr:uid="{00000000-0005-0000-0000-00005A520000}"/>
    <cellStyle name="40% - Accent6 3 3 21" xfId="42423" xr:uid="{00000000-0005-0000-0000-00005B520000}"/>
    <cellStyle name="40% - Accent6 3 3 22" xfId="44106" xr:uid="{00000000-0005-0000-0000-00005C520000}"/>
    <cellStyle name="40% - Accent6 3 3 23" xfId="45789" xr:uid="{00000000-0005-0000-0000-00005D520000}"/>
    <cellStyle name="40% - Accent6 3 3 24" xfId="47472" xr:uid="{00000000-0005-0000-0000-00005E520000}"/>
    <cellStyle name="40% - Accent6 3 3 25" xfId="49155" xr:uid="{00000000-0005-0000-0000-00005F520000}"/>
    <cellStyle name="40% - Accent6 3 3 26" xfId="50838" xr:uid="{00000000-0005-0000-0000-000060520000}"/>
    <cellStyle name="40% - Accent6 3 3 27" xfId="52521" xr:uid="{00000000-0005-0000-0000-000061520000}"/>
    <cellStyle name="40% - Accent6 3 3 28" xfId="54204" xr:uid="{00000000-0005-0000-0000-000062520000}"/>
    <cellStyle name="40% - Accent6 3 3 29" xfId="55887" xr:uid="{00000000-0005-0000-0000-000063520000}"/>
    <cellStyle name="40% - Accent6 3 3 3" xfId="1185" xr:uid="{00000000-0005-0000-0000-000064520000}"/>
    <cellStyle name="40% - Accent6 3 3 3 10" xfId="16334" xr:uid="{00000000-0005-0000-0000-000065520000}"/>
    <cellStyle name="40% - Accent6 3 3 3 11" xfId="31483" xr:uid="{00000000-0005-0000-0000-000066520000}"/>
    <cellStyle name="40% - Accent6 3 3 3 12" xfId="33166" xr:uid="{00000000-0005-0000-0000-000067520000}"/>
    <cellStyle name="40% - Accent6 3 3 3 13" xfId="34849" xr:uid="{00000000-0005-0000-0000-000068520000}"/>
    <cellStyle name="40% - Accent6 3 3 3 14" xfId="36532" xr:uid="{00000000-0005-0000-0000-000069520000}"/>
    <cellStyle name="40% - Accent6 3 3 3 15" xfId="38215" xr:uid="{00000000-0005-0000-0000-00006A520000}"/>
    <cellStyle name="40% - Accent6 3 3 3 16" xfId="39898" xr:uid="{00000000-0005-0000-0000-00006B520000}"/>
    <cellStyle name="40% - Accent6 3 3 3 17" xfId="41581" xr:uid="{00000000-0005-0000-0000-00006C520000}"/>
    <cellStyle name="40% - Accent6 3 3 3 18" xfId="43264" xr:uid="{00000000-0005-0000-0000-00006D520000}"/>
    <cellStyle name="40% - Accent6 3 3 3 19" xfId="44947" xr:uid="{00000000-0005-0000-0000-00006E520000}"/>
    <cellStyle name="40% - Accent6 3 3 3 2" xfId="2868" xr:uid="{00000000-0005-0000-0000-00006F520000}"/>
    <cellStyle name="40% - Accent6 3 3 3 2 2" xfId="18017" xr:uid="{00000000-0005-0000-0000-000070520000}"/>
    <cellStyle name="40% - Accent6 3 3 3 20" xfId="46630" xr:uid="{00000000-0005-0000-0000-000071520000}"/>
    <cellStyle name="40% - Accent6 3 3 3 21" xfId="48313" xr:uid="{00000000-0005-0000-0000-000072520000}"/>
    <cellStyle name="40% - Accent6 3 3 3 22" xfId="49996" xr:uid="{00000000-0005-0000-0000-000073520000}"/>
    <cellStyle name="40% - Accent6 3 3 3 23" xfId="51679" xr:uid="{00000000-0005-0000-0000-000074520000}"/>
    <cellStyle name="40% - Accent6 3 3 3 24" xfId="53362" xr:uid="{00000000-0005-0000-0000-000075520000}"/>
    <cellStyle name="40% - Accent6 3 3 3 25" xfId="55045" xr:uid="{00000000-0005-0000-0000-000076520000}"/>
    <cellStyle name="40% - Accent6 3 3 3 26" xfId="56728" xr:uid="{00000000-0005-0000-0000-000077520000}"/>
    <cellStyle name="40% - Accent6 3 3 3 27" xfId="58411" xr:uid="{00000000-0005-0000-0000-000078520000}"/>
    <cellStyle name="40% - Accent6 3 3 3 28" xfId="60094" xr:uid="{00000000-0005-0000-0000-000079520000}"/>
    <cellStyle name="40% - Accent6 3 3 3 29" xfId="61777" xr:uid="{00000000-0005-0000-0000-00007A520000}"/>
    <cellStyle name="40% - Accent6 3 3 3 3" xfId="4552" xr:uid="{00000000-0005-0000-0000-00007B520000}"/>
    <cellStyle name="40% - Accent6 3 3 3 3 2" xfId="19701" xr:uid="{00000000-0005-0000-0000-00007C520000}"/>
    <cellStyle name="40% - Accent6 3 3 3 30" xfId="63460" xr:uid="{00000000-0005-0000-0000-00007D520000}"/>
    <cellStyle name="40% - Accent6 3 3 3 4" xfId="6235" xr:uid="{00000000-0005-0000-0000-00007E520000}"/>
    <cellStyle name="40% - Accent6 3 3 3 4 2" xfId="21384" xr:uid="{00000000-0005-0000-0000-00007F520000}"/>
    <cellStyle name="40% - Accent6 3 3 3 5" xfId="7918" xr:uid="{00000000-0005-0000-0000-000080520000}"/>
    <cellStyle name="40% - Accent6 3 3 3 5 2" xfId="23067" xr:uid="{00000000-0005-0000-0000-000081520000}"/>
    <cellStyle name="40% - Accent6 3 3 3 6" xfId="9601" xr:uid="{00000000-0005-0000-0000-000082520000}"/>
    <cellStyle name="40% - Accent6 3 3 3 6 2" xfId="24750" xr:uid="{00000000-0005-0000-0000-000083520000}"/>
    <cellStyle name="40% - Accent6 3 3 3 7" xfId="11284" xr:uid="{00000000-0005-0000-0000-000084520000}"/>
    <cellStyle name="40% - Accent6 3 3 3 7 2" xfId="26433" xr:uid="{00000000-0005-0000-0000-000085520000}"/>
    <cellStyle name="40% - Accent6 3 3 3 8" xfId="12968" xr:uid="{00000000-0005-0000-0000-000086520000}"/>
    <cellStyle name="40% - Accent6 3 3 3 8 2" xfId="28117" xr:uid="{00000000-0005-0000-0000-000087520000}"/>
    <cellStyle name="40% - Accent6 3 3 3 9" xfId="14651" xr:uid="{00000000-0005-0000-0000-000088520000}"/>
    <cellStyle name="40% - Accent6 3 3 3 9 2" xfId="29800" xr:uid="{00000000-0005-0000-0000-000089520000}"/>
    <cellStyle name="40% - Accent6 3 3 30" xfId="57570" xr:uid="{00000000-0005-0000-0000-00008A520000}"/>
    <cellStyle name="40% - Accent6 3 3 31" xfId="59253" xr:uid="{00000000-0005-0000-0000-00008B520000}"/>
    <cellStyle name="40% - Accent6 3 3 32" xfId="60936" xr:uid="{00000000-0005-0000-0000-00008C520000}"/>
    <cellStyle name="40% - Accent6 3 3 33" xfId="62619" xr:uid="{00000000-0005-0000-0000-00008D520000}"/>
    <cellStyle name="40% - Accent6 3 3 4" xfId="1606" xr:uid="{00000000-0005-0000-0000-00008E520000}"/>
    <cellStyle name="40% - Accent6 3 3 4 10" xfId="16755" xr:uid="{00000000-0005-0000-0000-00008F520000}"/>
    <cellStyle name="40% - Accent6 3 3 4 11" xfId="31904" xr:uid="{00000000-0005-0000-0000-000090520000}"/>
    <cellStyle name="40% - Accent6 3 3 4 12" xfId="33587" xr:uid="{00000000-0005-0000-0000-000091520000}"/>
    <cellStyle name="40% - Accent6 3 3 4 13" xfId="35270" xr:uid="{00000000-0005-0000-0000-000092520000}"/>
    <cellStyle name="40% - Accent6 3 3 4 14" xfId="36953" xr:uid="{00000000-0005-0000-0000-000093520000}"/>
    <cellStyle name="40% - Accent6 3 3 4 15" xfId="38636" xr:uid="{00000000-0005-0000-0000-000094520000}"/>
    <cellStyle name="40% - Accent6 3 3 4 16" xfId="40319" xr:uid="{00000000-0005-0000-0000-000095520000}"/>
    <cellStyle name="40% - Accent6 3 3 4 17" xfId="42002" xr:uid="{00000000-0005-0000-0000-000096520000}"/>
    <cellStyle name="40% - Accent6 3 3 4 18" xfId="43685" xr:uid="{00000000-0005-0000-0000-000097520000}"/>
    <cellStyle name="40% - Accent6 3 3 4 19" xfId="45368" xr:uid="{00000000-0005-0000-0000-000098520000}"/>
    <cellStyle name="40% - Accent6 3 3 4 2" xfId="3289" xr:uid="{00000000-0005-0000-0000-000099520000}"/>
    <cellStyle name="40% - Accent6 3 3 4 2 2" xfId="18438" xr:uid="{00000000-0005-0000-0000-00009A520000}"/>
    <cellStyle name="40% - Accent6 3 3 4 20" xfId="47051" xr:uid="{00000000-0005-0000-0000-00009B520000}"/>
    <cellStyle name="40% - Accent6 3 3 4 21" xfId="48734" xr:uid="{00000000-0005-0000-0000-00009C520000}"/>
    <cellStyle name="40% - Accent6 3 3 4 22" xfId="50417" xr:uid="{00000000-0005-0000-0000-00009D520000}"/>
    <cellStyle name="40% - Accent6 3 3 4 23" xfId="52100" xr:uid="{00000000-0005-0000-0000-00009E520000}"/>
    <cellStyle name="40% - Accent6 3 3 4 24" xfId="53783" xr:uid="{00000000-0005-0000-0000-00009F520000}"/>
    <cellStyle name="40% - Accent6 3 3 4 25" xfId="55466" xr:uid="{00000000-0005-0000-0000-0000A0520000}"/>
    <cellStyle name="40% - Accent6 3 3 4 26" xfId="57149" xr:uid="{00000000-0005-0000-0000-0000A1520000}"/>
    <cellStyle name="40% - Accent6 3 3 4 27" xfId="58832" xr:uid="{00000000-0005-0000-0000-0000A2520000}"/>
    <cellStyle name="40% - Accent6 3 3 4 28" xfId="60515" xr:uid="{00000000-0005-0000-0000-0000A3520000}"/>
    <cellStyle name="40% - Accent6 3 3 4 29" xfId="62198" xr:uid="{00000000-0005-0000-0000-0000A4520000}"/>
    <cellStyle name="40% - Accent6 3 3 4 3" xfId="4973" xr:uid="{00000000-0005-0000-0000-0000A5520000}"/>
    <cellStyle name="40% - Accent6 3 3 4 3 2" xfId="20122" xr:uid="{00000000-0005-0000-0000-0000A6520000}"/>
    <cellStyle name="40% - Accent6 3 3 4 30" xfId="63881" xr:uid="{00000000-0005-0000-0000-0000A7520000}"/>
    <cellStyle name="40% - Accent6 3 3 4 4" xfId="6656" xr:uid="{00000000-0005-0000-0000-0000A8520000}"/>
    <cellStyle name="40% - Accent6 3 3 4 4 2" xfId="21805" xr:uid="{00000000-0005-0000-0000-0000A9520000}"/>
    <cellStyle name="40% - Accent6 3 3 4 5" xfId="8339" xr:uid="{00000000-0005-0000-0000-0000AA520000}"/>
    <cellStyle name="40% - Accent6 3 3 4 5 2" xfId="23488" xr:uid="{00000000-0005-0000-0000-0000AB520000}"/>
    <cellStyle name="40% - Accent6 3 3 4 6" xfId="10022" xr:uid="{00000000-0005-0000-0000-0000AC520000}"/>
    <cellStyle name="40% - Accent6 3 3 4 6 2" xfId="25171" xr:uid="{00000000-0005-0000-0000-0000AD520000}"/>
    <cellStyle name="40% - Accent6 3 3 4 7" xfId="11705" xr:uid="{00000000-0005-0000-0000-0000AE520000}"/>
    <cellStyle name="40% - Accent6 3 3 4 7 2" xfId="26854" xr:uid="{00000000-0005-0000-0000-0000AF520000}"/>
    <cellStyle name="40% - Accent6 3 3 4 8" xfId="13389" xr:uid="{00000000-0005-0000-0000-0000B0520000}"/>
    <cellStyle name="40% - Accent6 3 3 4 8 2" xfId="28538" xr:uid="{00000000-0005-0000-0000-0000B1520000}"/>
    <cellStyle name="40% - Accent6 3 3 4 9" xfId="15072" xr:uid="{00000000-0005-0000-0000-0000B2520000}"/>
    <cellStyle name="40% - Accent6 3 3 4 9 2" xfId="30221" xr:uid="{00000000-0005-0000-0000-0000B3520000}"/>
    <cellStyle name="40% - Accent6 3 3 5" xfId="2027" xr:uid="{00000000-0005-0000-0000-0000B4520000}"/>
    <cellStyle name="40% - Accent6 3 3 5 2" xfId="17176" xr:uid="{00000000-0005-0000-0000-0000B5520000}"/>
    <cellStyle name="40% - Accent6 3 3 6" xfId="3711" xr:uid="{00000000-0005-0000-0000-0000B6520000}"/>
    <cellStyle name="40% - Accent6 3 3 6 2" xfId="18860" xr:uid="{00000000-0005-0000-0000-0000B7520000}"/>
    <cellStyle name="40% - Accent6 3 3 7" xfId="5394" xr:uid="{00000000-0005-0000-0000-0000B8520000}"/>
    <cellStyle name="40% - Accent6 3 3 7 2" xfId="20543" xr:uid="{00000000-0005-0000-0000-0000B9520000}"/>
    <cellStyle name="40% - Accent6 3 3 8" xfId="7077" xr:uid="{00000000-0005-0000-0000-0000BA520000}"/>
    <cellStyle name="40% - Accent6 3 3 8 2" xfId="22226" xr:uid="{00000000-0005-0000-0000-0000BB520000}"/>
    <cellStyle name="40% - Accent6 3 3 9" xfId="8760" xr:uid="{00000000-0005-0000-0000-0000BC520000}"/>
    <cellStyle name="40% - Accent6 3 3 9 2" xfId="23909" xr:uid="{00000000-0005-0000-0000-0000BD520000}"/>
    <cellStyle name="40% - Accent6 3 30" xfId="53994" xr:uid="{00000000-0005-0000-0000-0000BE520000}"/>
    <cellStyle name="40% - Accent6 3 31" xfId="55677" xr:uid="{00000000-0005-0000-0000-0000BF520000}"/>
    <cellStyle name="40% - Accent6 3 32" xfId="57360" xr:uid="{00000000-0005-0000-0000-0000C0520000}"/>
    <cellStyle name="40% - Accent6 3 33" xfId="59043" xr:uid="{00000000-0005-0000-0000-0000C1520000}"/>
    <cellStyle name="40% - Accent6 3 34" xfId="60726" xr:uid="{00000000-0005-0000-0000-0000C2520000}"/>
    <cellStyle name="40% - Accent6 3 35" xfId="62409" xr:uid="{00000000-0005-0000-0000-0000C3520000}"/>
    <cellStyle name="40% - Accent6 3 4" xfId="554" xr:uid="{00000000-0005-0000-0000-0000C4520000}"/>
    <cellStyle name="40% - Accent6 3 4 10" xfId="15703" xr:uid="{00000000-0005-0000-0000-0000C5520000}"/>
    <cellStyle name="40% - Accent6 3 4 11" xfId="30852" xr:uid="{00000000-0005-0000-0000-0000C6520000}"/>
    <cellStyle name="40% - Accent6 3 4 12" xfId="32535" xr:uid="{00000000-0005-0000-0000-0000C7520000}"/>
    <cellStyle name="40% - Accent6 3 4 13" xfId="34218" xr:uid="{00000000-0005-0000-0000-0000C8520000}"/>
    <cellStyle name="40% - Accent6 3 4 14" xfId="35901" xr:uid="{00000000-0005-0000-0000-0000C9520000}"/>
    <cellStyle name="40% - Accent6 3 4 15" xfId="37584" xr:uid="{00000000-0005-0000-0000-0000CA520000}"/>
    <cellStyle name="40% - Accent6 3 4 16" xfId="39267" xr:uid="{00000000-0005-0000-0000-0000CB520000}"/>
    <cellStyle name="40% - Accent6 3 4 17" xfId="40950" xr:uid="{00000000-0005-0000-0000-0000CC520000}"/>
    <cellStyle name="40% - Accent6 3 4 18" xfId="42633" xr:uid="{00000000-0005-0000-0000-0000CD520000}"/>
    <cellStyle name="40% - Accent6 3 4 19" xfId="44316" xr:uid="{00000000-0005-0000-0000-0000CE520000}"/>
    <cellStyle name="40% - Accent6 3 4 2" xfId="2237" xr:uid="{00000000-0005-0000-0000-0000CF520000}"/>
    <cellStyle name="40% - Accent6 3 4 2 2" xfId="17386" xr:uid="{00000000-0005-0000-0000-0000D0520000}"/>
    <cellStyle name="40% - Accent6 3 4 20" xfId="45999" xr:uid="{00000000-0005-0000-0000-0000D1520000}"/>
    <cellStyle name="40% - Accent6 3 4 21" xfId="47682" xr:uid="{00000000-0005-0000-0000-0000D2520000}"/>
    <cellStyle name="40% - Accent6 3 4 22" xfId="49365" xr:uid="{00000000-0005-0000-0000-0000D3520000}"/>
    <cellStyle name="40% - Accent6 3 4 23" xfId="51048" xr:uid="{00000000-0005-0000-0000-0000D4520000}"/>
    <cellStyle name="40% - Accent6 3 4 24" xfId="52731" xr:uid="{00000000-0005-0000-0000-0000D5520000}"/>
    <cellStyle name="40% - Accent6 3 4 25" xfId="54414" xr:uid="{00000000-0005-0000-0000-0000D6520000}"/>
    <cellStyle name="40% - Accent6 3 4 26" xfId="56097" xr:uid="{00000000-0005-0000-0000-0000D7520000}"/>
    <cellStyle name="40% - Accent6 3 4 27" xfId="57780" xr:uid="{00000000-0005-0000-0000-0000D8520000}"/>
    <cellStyle name="40% - Accent6 3 4 28" xfId="59463" xr:uid="{00000000-0005-0000-0000-0000D9520000}"/>
    <cellStyle name="40% - Accent6 3 4 29" xfId="61146" xr:uid="{00000000-0005-0000-0000-0000DA520000}"/>
    <cellStyle name="40% - Accent6 3 4 3" xfId="3921" xr:uid="{00000000-0005-0000-0000-0000DB520000}"/>
    <cellStyle name="40% - Accent6 3 4 3 2" xfId="19070" xr:uid="{00000000-0005-0000-0000-0000DC520000}"/>
    <cellStyle name="40% - Accent6 3 4 30" xfId="62829" xr:uid="{00000000-0005-0000-0000-0000DD520000}"/>
    <cellStyle name="40% - Accent6 3 4 4" xfId="5604" xr:uid="{00000000-0005-0000-0000-0000DE520000}"/>
    <cellStyle name="40% - Accent6 3 4 4 2" xfId="20753" xr:uid="{00000000-0005-0000-0000-0000DF520000}"/>
    <cellStyle name="40% - Accent6 3 4 5" xfId="7287" xr:uid="{00000000-0005-0000-0000-0000E0520000}"/>
    <cellStyle name="40% - Accent6 3 4 5 2" xfId="22436" xr:uid="{00000000-0005-0000-0000-0000E1520000}"/>
    <cellStyle name="40% - Accent6 3 4 6" xfId="8970" xr:uid="{00000000-0005-0000-0000-0000E2520000}"/>
    <cellStyle name="40% - Accent6 3 4 6 2" xfId="24119" xr:uid="{00000000-0005-0000-0000-0000E3520000}"/>
    <cellStyle name="40% - Accent6 3 4 7" xfId="10653" xr:uid="{00000000-0005-0000-0000-0000E4520000}"/>
    <cellStyle name="40% - Accent6 3 4 7 2" xfId="25802" xr:uid="{00000000-0005-0000-0000-0000E5520000}"/>
    <cellStyle name="40% - Accent6 3 4 8" xfId="12337" xr:uid="{00000000-0005-0000-0000-0000E6520000}"/>
    <cellStyle name="40% - Accent6 3 4 8 2" xfId="27486" xr:uid="{00000000-0005-0000-0000-0000E7520000}"/>
    <cellStyle name="40% - Accent6 3 4 9" xfId="14020" xr:uid="{00000000-0005-0000-0000-0000E8520000}"/>
    <cellStyle name="40% - Accent6 3 4 9 2" xfId="29169" xr:uid="{00000000-0005-0000-0000-0000E9520000}"/>
    <cellStyle name="40% - Accent6 3 5" xfId="975" xr:uid="{00000000-0005-0000-0000-0000EA520000}"/>
    <cellStyle name="40% - Accent6 3 5 10" xfId="16124" xr:uid="{00000000-0005-0000-0000-0000EB520000}"/>
    <cellStyle name="40% - Accent6 3 5 11" xfId="31273" xr:uid="{00000000-0005-0000-0000-0000EC520000}"/>
    <cellStyle name="40% - Accent6 3 5 12" xfId="32956" xr:uid="{00000000-0005-0000-0000-0000ED520000}"/>
    <cellStyle name="40% - Accent6 3 5 13" xfId="34639" xr:uid="{00000000-0005-0000-0000-0000EE520000}"/>
    <cellStyle name="40% - Accent6 3 5 14" xfId="36322" xr:uid="{00000000-0005-0000-0000-0000EF520000}"/>
    <cellStyle name="40% - Accent6 3 5 15" xfId="38005" xr:uid="{00000000-0005-0000-0000-0000F0520000}"/>
    <cellStyle name="40% - Accent6 3 5 16" xfId="39688" xr:uid="{00000000-0005-0000-0000-0000F1520000}"/>
    <cellStyle name="40% - Accent6 3 5 17" xfId="41371" xr:uid="{00000000-0005-0000-0000-0000F2520000}"/>
    <cellStyle name="40% - Accent6 3 5 18" xfId="43054" xr:uid="{00000000-0005-0000-0000-0000F3520000}"/>
    <cellStyle name="40% - Accent6 3 5 19" xfId="44737" xr:uid="{00000000-0005-0000-0000-0000F4520000}"/>
    <cellStyle name="40% - Accent6 3 5 2" xfId="2658" xr:uid="{00000000-0005-0000-0000-0000F5520000}"/>
    <cellStyle name="40% - Accent6 3 5 2 2" xfId="17807" xr:uid="{00000000-0005-0000-0000-0000F6520000}"/>
    <cellStyle name="40% - Accent6 3 5 20" xfId="46420" xr:uid="{00000000-0005-0000-0000-0000F7520000}"/>
    <cellStyle name="40% - Accent6 3 5 21" xfId="48103" xr:uid="{00000000-0005-0000-0000-0000F8520000}"/>
    <cellStyle name="40% - Accent6 3 5 22" xfId="49786" xr:uid="{00000000-0005-0000-0000-0000F9520000}"/>
    <cellStyle name="40% - Accent6 3 5 23" xfId="51469" xr:uid="{00000000-0005-0000-0000-0000FA520000}"/>
    <cellStyle name="40% - Accent6 3 5 24" xfId="53152" xr:uid="{00000000-0005-0000-0000-0000FB520000}"/>
    <cellStyle name="40% - Accent6 3 5 25" xfId="54835" xr:uid="{00000000-0005-0000-0000-0000FC520000}"/>
    <cellStyle name="40% - Accent6 3 5 26" xfId="56518" xr:uid="{00000000-0005-0000-0000-0000FD520000}"/>
    <cellStyle name="40% - Accent6 3 5 27" xfId="58201" xr:uid="{00000000-0005-0000-0000-0000FE520000}"/>
    <cellStyle name="40% - Accent6 3 5 28" xfId="59884" xr:uid="{00000000-0005-0000-0000-0000FF520000}"/>
    <cellStyle name="40% - Accent6 3 5 29" xfId="61567" xr:uid="{00000000-0005-0000-0000-000000530000}"/>
    <cellStyle name="40% - Accent6 3 5 3" xfId="4342" xr:uid="{00000000-0005-0000-0000-000001530000}"/>
    <cellStyle name="40% - Accent6 3 5 3 2" xfId="19491" xr:uid="{00000000-0005-0000-0000-000002530000}"/>
    <cellStyle name="40% - Accent6 3 5 30" xfId="63250" xr:uid="{00000000-0005-0000-0000-000003530000}"/>
    <cellStyle name="40% - Accent6 3 5 4" xfId="6025" xr:uid="{00000000-0005-0000-0000-000004530000}"/>
    <cellStyle name="40% - Accent6 3 5 4 2" xfId="21174" xr:uid="{00000000-0005-0000-0000-000005530000}"/>
    <cellStyle name="40% - Accent6 3 5 5" xfId="7708" xr:uid="{00000000-0005-0000-0000-000006530000}"/>
    <cellStyle name="40% - Accent6 3 5 5 2" xfId="22857" xr:uid="{00000000-0005-0000-0000-000007530000}"/>
    <cellStyle name="40% - Accent6 3 5 6" xfId="9391" xr:uid="{00000000-0005-0000-0000-000008530000}"/>
    <cellStyle name="40% - Accent6 3 5 6 2" xfId="24540" xr:uid="{00000000-0005-0000-0000-000009530000}"/>
    <cellStyle name="40% - Accent6 3 5 7" xfId="11074" xr:uid="{00000000-0005-0000-0000-00000A530000}"/>
    <cellStyle name="40% - Accent6 3 5 7 2" xfId="26223" xr:uid="{00000000-0005-0000-0000-00000B530000}"/>
    <cellStyle name="40% - Accent6 3 5 8" xfId="12758" xr:uid="{00000000-0005-0000-0000-00000C530000}"/>
    <cellStyle name="40% - Accent6 3 5 8 2" xfId="27907" xr:uid="{00000000-0005-0000-0000-00000D530000}"/>
    <cellStyle name="40% - Accent6 3 5 9" xfId="14441" xr:uid="{00000000-0005-0000-0000-00000E530000}"/>
    <cellStyle name="40% - Accent6 3 5 9 2" xfId="29590" xr:uid="{00000000-0005-0000-0000-00000F530000}"/>
    <cellStyle name="40% - Accent6 3 6" xfId="1396" xr:uid="{00000000-0005-0000-0000-000010530000}"/>
    <cellStyle name="40% - Accent6 3 6 10" xfId="16545" xr:uid="{00000000-0005-0000-0000-000011530000}"/>
    <cellStyle name="40% - Accent6 3 6 11" xfId="31694" xr:uid="{00000000-0005-0000-0000-000012530000}"/>
    <cellStyle name="40% - Accent6 3 6 12" xfId="33377" xr:uid="{00000000-0005-0000-0000-000013530000}"/>
    <cellStyle name="40% - Accent6 3 6 13" xfId="35060" xr:uid="{00000000-0005-0000-0000-000014530000}"/>
    <cellStyle name="40% - Accent6 3 6 14" xfId="36743" xr:uid="{00000000-0005-0000-0000-000015530000}"/>
    <cellStyle name="40% - Accent6 3 6 15" xfId="38426" xr:uid="{00000000-0005-0000-0000-000016530000}"/>
    <cellStyle name="40% - Accent6 3 6 16" xfId="40109" xr:uid="{00000000-0005-0000-0000-000017530000}"/>
    <cellStyle name="40% - Accent6 3 6 17" xfId="41792" xr:uid="{00000000-0005-0000-0000-000018530000}"/>
    <cellStyle name="40% - Accent6 3 6 18" xfId="43475" xr:uid="{00000000-0005-0000-0000-000019530000}"/>
    <cellStyle name="40% - Accent6 3 6 19" xfId="45158" xr:uid="{00000000-0005-0000-0000-00001A530000}"/>
    <cellStyle name="40% - Accent6 3 6 2" xfId="3079" xr:uid="{00000000-0005-0000-0000-00001B530000}"/>
    <cellStyle name="40% - Accent6 3 6 2 2" xfId="18228" xr:uid="{00000000-0005-0000-0000-00001C530000}"/>
    <cellStyle name="40% - Accent6 3 6 20" xfId="46841" xr:uid="{00000000-0005-0000-0000-00001D530000}"/>
    <cellStyle name="40% - Accent6 3 6 21" xfId="48524" xr:uid="{00000000-0005-0000-0000-00001E530000}"/>
    <cellStyle name="40% - Accent6 3 6 22" xfId="50207" xr:uid="{00000000-0005-0000-0000-00001F530000}"/>
    <cellStyle name="40% - Accent6 3 6 23" xfId="51890" xr:uid="{00000000-0005-0000-0000-000020530000}"/>
    <cellStyle name="40% - Accent6 3 6 24" xfId="53573" xr:uid="{00000000-0005-0000-0000-000021530000}"/>
    <cellStyle name="40% - Accent6 3 6 25" xfId="55256" xr:uid="{00000000-0005-0000-0000-000022530000}"/>
    <cellStyle name="40% - Accent6 3 6 26" xfId="56939" xr:uid="{00000000-0005-0000-0000-000023530000}"/>
    <cellStyle name="40% - Accent6 3 6 27" xfId="58622" xr:uid="{00000000-0005-0000-0000-000024530000}"/>
    <cellStyle name="40% - Accent6 3 6 28" xfId="60305" xr:uid="{00000000-0005-0000-0000-000025530000}"/>
    <cellStyle name="40% - Accent6 3 6 29" xfId="61988" xr:uid="{00000000-0005-0000-0000-000026530000}"/>
    <cellStyle name="40% - Accent6 3 6 3" xfId="4763" xr:uid="{00000000-0005-0000-0000-000027530000}"/>
    <cellStyle name="40% - Accent6 3 6 3 2" xfId="19912" xr:uid="{00000000-0005-0000-0000-000028530000}"/>
    <cellStyle name="40% - Accent6 3 6 30" xfId="63671" xr:uid="{00000000-0005-0000-0000-000029530000}"/>
    <cellStyle name="40% - Accent6 3 6 4" xfId="6446" xr:uid="{00000000-0005-0000-0000-00002A530000}"/>
    <cellStyle name="40% - Accent6 3 6 4 2" xfId="21595" xr:uid="{00000000-0005-0000-0000-00002B530000}"/>
    <cellStyle name="40% - Accent6 3 6 5" xfId="8129" xr:uid="{00000000-0005-0000-0000-00002C530000}"/>
    <cellStyle name="40% - Accent6 3 6 5 2" xfId="23278" xr:uid="{00000000-0005-0000-0000-00002D530000}"/>
    <cellStyle name="40% - Accent6 3 6 6" xfId="9812" xr:uid="{00000000-0005-0000-0000-00002E530000}"/>
    <cellStyle name="40% - Accent6 3 6 6 2" xfId="24961" xr:uid="{00000000-0005-0000-0000-00002F530000}"/>
    <cellStyle name="40% - Accent6 3 6 7" xfId="11495" xr:uid="{00000000-0005-0000-0000-000030530000}"/>
    <cellStyle name="40% - Accent6 3 6 7 2" xfId="26644" xr:uid="{00000000-0005-0000-0000-000031530000}"/>
    <cellStyle name="40% - Accent6 3 6 8" xfId="13179" xr:uid="{00000000-0005-0000-0000-000032530000}"/>
    <cellStyle name="40% - Accent6 3 6 8 2" xfId="28328" xr:uid="{00000000-0005-0000-0000-000033530000}"/>
    <cellStyle name="40% - Accent6 3 6 9" xfId="14862" xr:uid="{00000000-0005-0000-0000-000034530000}"/>
    <cellStyle name="40% - Accent6 3 6 9 2" xfId="30011" xr:uid="{00000000-0005-0000-0000-000035530000}"/>
    <cellStyle name="40% - Accent6 3 7" xfId="1817" xr:uid="{00000000-0005-0000-0000-000036530000}"/>
    <cellStyle name="40% - Accent6 3 7 2" xfId="16966" xr:uid="{00000000-0005-0000-0000-000037530000}"/>
    <cellStyle name="40% - Accent6 3 8" xfId="3501" xr:uid="{00000000-0005-0000-0000-000038530000}"/>
    <cellStyle name="40% - Accent6 3 8 2" xfId="18650" xr:uid="{00000000-0005-0000-0000-000039530000}"/>
    <cellStyle name="40% - Accent6 3 9" xfId="5184" xr:uid="{00000000-0005-0000-0000-00003A530000}"/>
    <cellStyle name="40% - Accent6 3 9 2" xfId="20333" xr:uid="{00000000-0005-0000-0000-00003B530000}"/>
    <cellStyle name="40% - Accent6 30" xfId="50586" xr:uid="{00000000-0005-0000-0000-00003C530000}"/>
    <cellStyle name="40% - Accent6 31" xfId="52269" xr:uid="{00000000-0005-0000-0000-00003D530000}"/>
    <cellStyle name="40% - Accent6 32" xfId="53952" xr:uid="{00000000-0005-0000-0000-00003E530000}"/>
    <cellStyle name="40% - Accent6 33" xfId="55635" xr:uid="{00000000-0005-0000-0000-00003F530000}"/>
    <cellStyle name="40% - Accent6 34" xfId="57318" xr:uid="{00000000-0005-0000-0000-000040530000}"/>
    <cellStyle name="40% - Accent6 35" xfId="59001" xr:uid="{00000000-0005-0000-0000-000041530000}"/>
    <cellStyle name="40% - Accent6 36" xfId="60684" xr:uid="{00000000-0005-0000-0000-000042530000}"/>
    <cellStyle name="40% - Accent6 37" xfId="62367" xr:uid="{00000000-0005-0000-0000-000043530000}"/>
    <cellStyle name="40% - Accent6 4" xfId="197" xr:uid="{00000000-0005-0000-0000-000044530000}"/>
    <cellStyle name="40% - Accent6 4 10" xfId="8613" xr:uid="{00000000-0005-0000-0000-000045530000}"/>
    <cellStyle name="40% - Accent6 4 10 2" xfId="23762" xr:uid="{00000000-0005-0000-0000-000046530000}"/>
    <cellStyle name="40% - Accent6 4 11" xfId="10296" xr:uid="{00000000-0005-0000-0000-000047530000}"/>
    <cellStyle name="40% - Accent6 4 11 2" xfId="25445" xr:uid="{00000000-0005-0000-0000-000048530000}"/>
    <cellStyle name="40% - Accent6 4 12" xfId="11980" xr:uid="{00000000-0005-0000-0000-000049530000}"/>
    <cellStyle name="40% - Accent6 4 12 2" xfId="27129" xr:uid="{00000000-0005-0000-0000-00004A530000}"/>
    <cellStyle name="40% - Accent6 4 13" xfId="13663" xr:uid="{00000000-0005-0000-0000-00004B530000}"/>
    <cellStyle name="40% - Accent6 4 13 2" xfId="28812" xr:uid="{00000000-0005-0000-0000-00004C530000}"/>
    <cellStyle name="40% - Accent6 4 14" xfId="15346" xr:uid="{00000000-0005-0000-0000-00004D530000}"/>
    <cellStyle name="40% - Accent6 4 15" xfId="30495" xr:uid="{00000000-0005-0000-0000-00004E530000}"/>
    <cellStyle name="40% - Accent6 4 16" xfId="32178" xr:uid="{00000000-0005-0000-0000-00004F530000}"/>
    <cellStyle name="40% - Accent6 4 17" xfId="33861" xr:uid="{00000000-0005-0000-0000-000050530000}"/>
    <cellStyle name="40% - Accent6 4 18" xfId="35544" xr:uid="{00000000-0005-0000-0000-000051530000}"/>
    <cellStyle name="40% - Accent6 4 19" xfId="37227" xr:uid="{00000000-0005-0000-0000-000052530000}"/>
    <cellStyle name="40% - Accent6 4 2" xfId="407" xr:uid="{00000000-0005-0000-0000-000053530000}"/>
    <cellStyle name="40% - Accent6 4 2 10" xfId="10506" xr:uid="{00000000-0005-0000-0000-000054530000}"/>
    <cellStyle name="40% - Accent6 4 2 10 2" xfId="25655" xr:uid="{00000000-0005-0000-0000-000055530000}"/>
    <cellStyle name="40% - Accent6 4 2 11" xfId="12190" xr:uid="{00000000-0005-0000-0000-000056530000}"/>
    <cellStyle name="40% - Accent6 4 2 11 2" xfId="27339" xr:uid="{00000000-0005-0000-0000-000057530000}"/>
    <cellStyle name="40% - Accent6 4 2 12" xfId="13873" xr:uid="{00000000-0005-0000-0000-000058530000}"/>
    <cellStyle name="40% - Accent6 4 2 12 2" xfId="29022" xr:uid="{00000000-0005-0000-0000-000059530000}"/>
    <cellStyle name="40% - Accent6 4 2 13" xfId="15556" xr:uid="{00000000-0005-0000-0000-00005A530000}"/>
    <cellStyle name="40% - Accent6 4 2 14" xfId="30705" xr:uid="{00000000-0005-0000-0000-00005B530000}"/>
    <cellStyle name="40% - Accent6 4 2 15" xfId="32388" xr:uid="{00000000-0005-0000-0000-00005C530000}"/>
    <cellStyle name="40% - Accent6 4 2 16" xfId="34071" xr:uid="{00000000-0005-0000-0000-00005D530000}"/>
    <cellStyle name="40% - Accent6 4 2 17" xfId="35754" xr:uid="{00000000-0005-0000-0000-00005E530000}"/>
    <cellStyle name="40% - Accent6 4 2 18" xfId="37437" xr:uid="{00000000-0005-0000-0000-00005F530000}"/>
    <cellStyle name="40% - Accent6 4 2 19" xfId="39120" xr:uid="{00000000-0005-0000-0000-000060530000}"/>
    <cellStyle name="40% - Accent6 4 2 2" xfId="827" xr:uid="{00000000-0005-0000-0000-000061530000}"/>
    <cellStyle name="40% - Accent6 4 2 2 10" xfId="15976" xr:uid="{00000000-0005-0000-0000-000062530000}"/>
    <cellStyle name="40% - Accent6 4 2 2 11" xfId="31125" xr:uid="{00000000-0005-0000-0000-000063530000}"/>
    <cellStyle name="40% - Accent6 4 2 2 12" xfId="32808" xr:uid="{00000000-0005-0000-0000-000064530000}"/>
    <cellStyle name="40% - Accent6 4 2 2 13" xfId="34491" xr:uid="{00000000-0005-0000-0000-000065530000}"/>
    <cellStyle name="40% - Accent6 4 2 2 14" xfId="36174" xr:uid="{00000000-0005-0000-0000-000066530000}"/>
    <cellStyle name="40% - Accent6 4 2 2 15" xfId="37857" xr:uid="{00000000-0005-0000-0000-000067530000}"/>
    <cellStyle name="40% - Accent6 4 2 2 16" xfId="39540" xr:uid="{00000000-0005-0000-0000-000068530000}"/>
    <cellStyle name="40% - Accent6 4 2 2 17" xfId="41223" xr:uid="{00000000-0005-0000-0000-000069530000}"/>
    <cellStyle name="40% - Accent6 4 2 2 18" xfId="42906" xr:uid="{00000000-0005-0000-0000-00006A530000}"/>
    <cellStyle name="40% - Accent6 4 2 2 19" xfId="44589" xr:uid="{00000000-0005-0000-0000-00006B530000}"/>
    <cellStyle name="40% - Accent6 4 2 2 2" xfId="2510" xr:uid="{00000000-0005-0000-0000-00006C530000}"/>
    <cellStyle name="40% - Accent6 4 2 2 2 2" xfId="17659" xr:uid="{00000000-0005-0000-0000-00006D530000}"/>
    <cellStyle name="40% - Accent6 4 2 2 20" xfId="46272" xr:uid="{00000000-0005-0000-0000-00006E530000}"/>
    <cellStyle name="40% - Accent6 4 2 2 21" xfId="47955" xr:uid="{00000000-0005-0000-0000-00006F530000}"/>
    <cellStyle name="40% - Accent6 4 2 2 22" xfId="49638" xr:uid="{00000000-0005-0000-0000-000070530000}"/>
    <cellStyle name="40% - Accent6 4 2 2 23" xfId="51321" xr:uid="{00000000-0005-0000-0000-000071530000}"/>
    <cellStyle name="40% - Accent6 4 2 2 24" xfId="53004" xr:uid="{00000000-0005-0000-0000-000072530000}"/>
    <cellStyle name="40% - Accent6 4 2 2 25" xfId="54687" xr:uid="{00000000-0005-0000-0000-000073530000}"/>
    <cellStyle name="40% - Accent6 4 2 2 26" xfId="56370" xr:uid="{00000000-0005-0000-0000-000074530000}"/>
    <cellStyle name="40% - Accent6 4 2 2 27" xfId="58053" xr:uid="{00000000-0005-0000-0000-000075530000}"/>
    <cellStyle name="40% - Accent6 4 2 2 28" xfId="59736" xr:uid="{00000000-0005-0000-0000-000076530000}"/>
    <cellStyle name="40% - Accent6 4 2 2 29" xfId="61419" xr:uid="{00000000-0005-0000-0000-000077530000}"/>
    <cellStyle name="40% - Accent6 4 2 2 3" xfId="4194" xr:uid="{00000000-0005-0000-0000-000078530000}"/>
    <cellStyle name="40% - Accent6 4 2 2 3 2" xfId="19343" xr:uid="{00000000-0005-0000-0000-000079530000}"/>
    <cellStyle name="40% - Accent6 4 2 2 30" xfId="63102" xr:uid="{00000000-0005-0000-0000-00007A530000}"/>
    <cellStyle name="40% - Accent6 4 2 2 4" xfId="5877" xr:uid="{00000000-0005-0000-0000-00007B530000}"/>
    <cellStyle name="40% - Accent6 4 2 2 4 2" xfId="21026" xr:uid="{00000000-0005-0000-0000-00007C530000}"/>
    <cellStyle name="40% - Accent6 4 2 2 5" xfId="7560" xr:uid="{00000000-0005-0000-0000-00007D530000}"/>
    <cellStyle name="40% - Accent6 4 2 2 5 2" xfId="22709" xr:uid="{00000000-0005-0000-0000-00007E530000}"/>
    <cellStyle name="40% - Accent6 4 2 2 6" xfId="9243" xr:uid="{00000000-0005-0000-0000-00007F530000}"/>
    <cellStyle name="40% - Accent6 4 2 2 6 2" xfId="24392" xr:uid="{00000000-0005-0000-0000-000080530000}"/>
    <cellStyle name="40% - Accent6 4 2 2 7" xfId="10926" xr:uid="{00000000-0005-0000-0000-000081530000}"/>
    <cellStyle name="40% - Accent6 4 2 2 7 2" xfId="26075" xr:uid="{00000000-0005-0000-0000-000082530000}"/>
    <cellStyle name="40% - Accent6 4 2 2 8" xfId="12610" xr:uid="{00000000-0005-0000-0000-000083530000}"/>
    <cellStyle name="40% - Accent6 4 2 2 8 2" xfId="27759" xr:uid="{00000000-0005-0000-0000-000084530000}"/>
    <cellStyle name="40% - Accent6 4 2 2 9" xfId="14293" xr:uid="{00000000-0005-0000-0000-000085530000}"/>
    <cellStyle name="40% - Accent6 4 2 2 9 2" xfId="29442" xr:uid="{00000000-0005-0000-0000-000086530000}"/>
    <cellStyle name="40% - Accent6 4 2 20" xfId="40803" xr:uid="{00000000-0005-0000-0000-000087530000}"/>
    <cellStyle name="40% - Accent6 4 2 21" xfId="42486" xr:uid="{00000000-0005-0000-0000-000088530000}"/>
    <cellStyle name="40% - Accent6 4 2 22" xfId="44169" xr:uid="{00000000-0005-0000-0000-000089530000}"/>
    <cellStyle name="40% - Accent6 4 2 23" xfId="45852" xr:uid="{00000000-0005-0000-0000-00008A530000}"/>
    <cellStyle name="40% - Accent6 4 2 24" xfId="47535" xr:uid="{00000000-0005-0000-0000-00008B530000}"/>
    <cellStyle name="40% - Accent6 4 2 25" xfId="49218" xr:uid="{00000000-0005-0000-0000-00008C530000}"/>
    <cellStyle name="40% - Accent6 4 2 26" xfId="50901" xr:uid="{00000000-0005-0000-0000-00008D530000}"/>
    <cellStyle name="40% - Accent6 4 2 27" xfId="52584" xr:uid="{00000000-0005-0000-0000-00008E530000}"/>
    <cellStyle name="40% - Accent6 4 2 28" xfId="54267" xr:uid="{00000000-0005-0000-0000-00008F530000}"/>
    <cellStyle name="40% - Accent6 4 2 29" xfId="55950" xr:uid="{00000000-0005-0000-0000-000090530000}"/>
    <cellStyle name="40% - Accent6 4 2 3" xfId="1248" xr:uid="{00000000-0005-0000-0000-000091530000}"/>
    <cellStyle name="40% - Accent6 4 2 3 10" xfId="16397" xr:uid="{00000000-0005-0000-0000-000092530000}"/>
    <cellStyle name="40% - Accent6 4 2 3 11" xfId="31546" xr:uid="{00000000-0005-0000-0000-000093530000}"/>
    <cellStyle name="40% - Accent6 4 2 3 12" xfId="33229" xr:uid="{00000000-0005-0000-0000-000094530000}"/>
    <cellStyle name="40% - Accent6 4 2 3 13" xfId="34912" xr:uid="{00000000-0005-0000-0000-000095530000}"/>
    <cellStyle name="40% - Accent6 4 2 3 14" xfId="36595" xr:uid="{00000000-0005-0000-0000-000096530000}"/>
    <cellStyle name="40% - Accent6 4 2 3 15" xfId="38278" xr:uid="{00000000-0005-0000-0000-000097530000}"/>
    <cellStyle name="40% - Accent6 4 2 3 16" xfId="39961" xr:uid="{00000000-0005-0000-0000-000098530000}"/>
    <cellStyle name="40% - Accent6 4 2 3 17" xfId="41644" xr:uid="{00000000-0005-0000-0000-000099530000}"/>
    <cellStyle name="40% - Accent6 4 2 3 18" xfId="43327" xr:uid="{00000000-0005-0000-0000-00009A530000}"/>
    <cellStyle name="40% - Accent6 4 2 3 19" xfId="45010" xr:uid="{00000000-0005-0000-0000-00009B530000}"/>
    <cellStyle name="40% - Accent6 4 2 3 2" xfId="2931" xr:uid="{00000000-0005-0000-0000-00009C530000}"/>
    <cellStyle name="40% - Accent6 4 2 3 2 2" xfId="18080" xr:uid="{00000000-0005-0000-0000-00009D530000}"/>
    <cellStyle name="40% - Accent6 4 2 3 20" xfId="46693" xr:uid="{00000000-0005-0000-0000-00009E530000}"/>
    <cellStyle name="40% - Accent6 4 2 3 21" xfId="48376" xr:uid="{00000000-0005-0000-0000-00009F530000}"/>
    <cellStyle name="40% - Accent6 4 2 3 22" xfId="50059" xr:uid="{00000000-0005-0000-0000-0000A0530000}"/>
    <cellStyle name="40% - Accent6 4 2 3 23" xfId="51742" xr:uid="{00000000-0005-0000-0000-0000A1530000}"/>
    <cellStyle name="40% - Accent6 4 2 3 24" xfId="53425" xr:uid="{00000000-0005-0000-0000-0000A2530000}"/>
    <cellStyle name="40% - Accent6 4 2 3 25" xfId="55108" xr:uid="{00000000-0005-0000-0000-0000A3530000}"/>
    <cellStyle name="40% - Accent6 4 2 3 26" xfId="56791" xr:uid="{00000000-0005-0000-0000-0000A4530000}"/>
    <cellStyle name="40% - Accent6 4 2 3 27" xfId="58474" xr:uid="{00000000-0005-0000-0000-0000A5530000}"/>
    <cellStyle name="40% - Accent6 4 2 3 28" xfId="60157" xr:uid="{00000000-0005-0000-0000-0000A6530000}"/>
    <cellStyle name="40% - Accent6 4 2 3 29" xfId="61840" xr:uid="{00000000-0005-0000-0000-0000A7530000}"/>
    <cellStyle name="40% - Accent6 4 2 3 3" xfId="4615" xr:uid="{00000000-0005-0000-0000-0000A8530000}"/>
    <cellStyle name="40% - Accent6 4 2 3 3 2" xfId="19764" xr:uid="{00000000-0005-0000-0000-0000A9530000}"/>
    <cellStyle name="40% - Accent6 4 2 3 30" xfId="63523" xr:uid="{00000000-0005-0000-0000-0000AA530000}"/>
    <cellStyle name="40% - Accent6 4 2 3 4" xfId="6298" xr:uid="{00000000-0005-0000-0000-0000AB530000}"/>
    <cellStyle name="40% - Accent6 4 2 3 4 2" xfId="21447" xr:uid="{00000000-0005-0000-0000-0000AC530000}"/>
    <cellStyle name="40% - Accent6 4 2 3 5" xfId="7981" xr:uid="{00000000-0005-0000-0000-0000AD530000}"/>
    <cellStyle name="40% - Accent6 4 2 3 5 2" xfId="23130" xr:uid="{00000000-0005-0000-0000-0000AE530000}"/>
    <cellStyle name="40% - Accent6 4 2 3 6" xfId="9664" xr:uid="{00000000-0005-0000-0000-0000AF530000}"/>
    <cellStyle name="40% - Accent6 4 2 3 6 2" xfId="24813" xr:uid="{00000000-0005-0000-0000-0000B0530000}"/>
    <cellStyle name="40% - Accent6 4 2 3 7" xfId="11347" xr:uid="{00000000-0005-0000-0000-0000B1530000}"/>
    <cellStyle name="40% - Accent6 4 2 3 7 2" xfId="26496" xr:uid="{00000000-0005-0000-0000-0000B2530000}"/>
    <cellStyle name="40% - Accent6 4 2 3 8" xfId="13031" xr:uid="{00000000-0005-0000-0000-0000B3530000}"/>
    <cellStyle name="40% - Accent6 4 2 3 8 2" xfId="28180" xr:uid="{00000000-0005-0000-0000-0000B4530000}"/>
    <cellStyle name="40% - Accent6 4 2 3 9" xfId="14714" xr:uid="{00000000-0005-0000-0000-0000B5530000}"/>
    <cellStyle name="40% - Accent6 4 2 3 9 2" xfId="29863" xr:uid="{00000000-0005-0000-0000-0000B6530000}"/>
    <cellStyle name="40% - Accent6 4 2 30" xfId="57633" xr:uid="{00000000-0005-0000-0000-0000B7530000}"/>
    <cellStyle name="40% - Accent6 4 2 31" xfId="59316" xr:uid="{00000000-0005-0000-0000-0000B8530000}"/>
    <cellStyle name="40% - Accent6 4 2 32" xfId="60999" xr:uid="{00000000-0005-0000-0000-0000B9530000}"/>
    <cellStyle name="40% - Accent6 4 2 33" xfId="62682" xr:uid="{00000000-0005-0000-0000-0000BA530000}"/>
    <cellStyle name="40% - Accent6 4 2 4" xfId="1669" xr:uid="{00000000-0005-0000-0000-0000BB530000}"/>
    <cellStyle name="40% - Accent6 4 2 4 10" xfId="16818" xr:uid="{00000000-0005-0000-0000-0000BC530000}"/>
    <cellStyle name="40% - Accent6 4 2 4 11" xfId="31967" xr:uid="{00000000-0005-0000-0000-0000BD530000}"/>
    <cellStyle name="40% - Accent6 4 2 4 12" xfId="33650" xr:uid="{00000000-0005-0000-0000-0000BE530000}"/>
    <cellStyle name="40% - Accent6 4 2 4 13" xfId="35333" xr:uid="{00000000-0005-0000-0000-0000BF530000}"/>
    <cellStyle name="40% - Accent6 4 2 4 14" xfId="37016" xr:uid="{00000000-0005-0000-0000-0000C0530000}"/>
    <cellStyle name="40% - Accent6 4 2 4 15" xfId="38699" xr:uid="{00000000-0005-0000-0000-0000C1530000}"/>
    <cellStyle name="40% - Accent6 4 2 4 16" xfId="40382" xr:uid="{00000000-0005-0000-0000-0000C2530000}"/>
    <cellStyle name="40% - Accent6 4 2 4 17" xfId="42065" xr:uid="{00000000-0005-0000-0000-0000C3530000}"/>
    <cellStyle name="40% - Accent6 4 2 4 18" xfId="43748" xr:uid="{00000000-0005-0000-0000-0000C4530000}"/>
    <cellStyle name="40% - Accent6 4 2 4 19" xfId="45431" xr:uid="{00000000-0005-0000-0000-0000C5530000}"/>
    <cellStyle name="40% - Accent6 4 2 4 2" xfId="3352" xr:uid="{00000000-0005-0000-0000-0000C6530000}"/>
    <cellStyle name="40% - Accent6 4 2 4 2 2" xfId="18501" xr:uid="{00000000-0005-0000-0000-0000C7530000}"/>
    <cellStyle name="40% - Accent6 4 2 4 20" xfId="47114" xr:uid="{00000000-0005-0000-0000-0000C8530000}"/>
    <cellStyle name="40% - Accent6 4 2 4 21" xfId="48797" xr:uid="{00000000-0005-0000-0000-0000C9530000}"/>
    <cellStyle name="40% - Accent6 4 2 4 22" xfId="50480" xr:uid="{00000000-0005-0000-0000-0000CA530000}"/>
    <cellStyle name="40% - Accent6 4 2 4 23" xfId="52163" xr:uid="{00000000-0005-0000-0000-0000CB530000}"/>
    <cellStyle name="40% - Accent6 4 2 4 24" xfId="53846" xr:uid="{00000000-0005-0000-0000-0000CC530000}"/>
    <cellStyle name="40% - Accent6 4 2 4 25" xfId="55529" xr:uid="{00000000-0005-0000-0000-0000CD530000}"/>
    <cellStyle name="40% - Accent6 4 2 4 26" xfId="57212" xr:uid="{00000000-0005-0000-0000-0000CE530000}"/>
    <cellStyle name="40% - Accent6 4 2 4 27" xfId="58895" xr:uid="{00000000-0005-0000-0000-0000CF530000}"/>
    <cellStyle name="40% - Accent6 4 2 4 28" xfId="60578" xr:uid="{00000000-0005-0000-0000-0000D0530000}"/>
    <cellStyle name="40% - Accent6 4 2 4 29" xfId="62261" xr:uid="{00000000-0005-0000-0000-0000D1530000}"/>
    <cellStyle name="40% - Accent6 4 2 4 3" xfId="5036" xr:uid="{00000000-0005-0000-0000-0000D2530000}"/>
    <cellStyle name="40% - Accent6 4 2 4 3 2" xfId="20185" xr:uid="{00000000-0005-0000-0000-0000D3530000}"/>
    <cellStyle name="40% - Accent6 4 2 4 30" xfId="63944" xr:uid="{00000000-0005-0000-0000-0000D4530000}"/>
    <cellStyle name="40% - Accent6 4 2 4 4" xfId="6719" xr:uid="{00000000-0005-0000-0000-0000D5530000}"/>
    <cellStyle name="40% - Accent6 4 2 4 4 2" xfId="21868" xr:uid="{00000000-0005-0000-0000-0000D6530000}"/>
    <cellStyle name="40% - Accent6 4 2 4 5" xfId="8402" xr:uid="{00000000-0005-0000-0000-0000D7530000}"/>
    <cellStyle name="40% - Accent6 4 2 4 5 2" xfId="23551" xr:uid="{00000000-0005-0000-0000-0000D8530000}"/>
    <cellStyle name="40% - Accent6 4 2 4 6" xfId="10085" xr:uid="{00000000-0005-0000-0000-0000D9530000}"/>
    <cellStyle name="40% - Accent6 4 2 4 6 2" xfId="25234" xr:uid="{00000000-0005-0000-0000-0000DA530000}"/>
    <cellStyle name="40% - Accent6 4 2 4 7" xfId="11768" xr:uid="{00000000-0005-0000-0000-0000DB530000}"/>
    <cellStyle name="40% - Accent6 4 2 4 7 2" xfId="26917" xr:uid="{00000000-0005-0000-0000-0000DC530000}"/>
    <cellStyle name="40% - Accent6 4 2 4 8" xfId="13452" xr:uid="{00000000-0005-0000-0000-0000DD530000}"/>
    <cellStyle name="40% - Accent6 4 2 4 8 2" xfId="28601" xr:uid="{00000000-0005-0000-0000-0000DE530000}"/>
    <cellStyle name="40% - Accent6 4 2 4 9" xfId="15135" xr:uid="{00000000-0005-0000-0000-0000DF530000}"/>
    <cellStyle name="40% - Accent6 4 2 4 9 2" xfId="30284" xr:uid="{00000000-0005-0000-0000-0000E0530000}"/>
    <cellStyle name="40% - Accent6 4 2 5" xfId="2090" xr:uid="{00000000-0005-0000-0000-0000E1530000}"/>
    <cellStyle name="40% - Accent6 4 2 5 2" xfId="17239" xr:uid="{00000000-0005-0000-0000-0000E2530000}"/>
    <cellStyle name="40% - Accent6 4 2 6" xfId="3774" xr:uid="{00000000-0005-0000-0000-0000E3530000}"/>
    <cellStyle name="40% - Accent6 4 2 6 2" xfId="18923" xr:uid="{00000000-0005-0000-0000-0000E4530000}"/>
    <cellStyle name="40% - Accent6 4 2 7" xfId="5457" xr:uid="{00000000-0005-0000-0000-0000E5530000}"/>
    <cellStyle name="40% - Accent6 4 2 7 2" xfId="20606" xr:uid="{00000000-0005-0000-0000-0000E6530000}"/>
    <cellStyle name="40% - Accent6 4 2 8" xfId="7140" xr:uid="{00000000-0005-0000-0000-0000E7530000}"/>
    <cellStyle name="40% - Accent6 4 2 8 2" xfId="22289" xr:uid="{00000000-0005-0000-0000-0000E8530000}"/>
    <cellStyle name="40% - Accent6 4 2 9" xfId="8823" xr:uid="{00000000-0005-0000-0000-0000E9530000}"/>
    <cellStyle name="40% - Accent6 4 2 9 2" xfId="23972" xr:uid="{00000000-0005-0000-0000-0000EA530000}"/>
    <cellStyle name="40% - Accent6 4 20" xfId="38910" xr:uid="{00000000-0005-0000-0000-0000EB530000}"/>
    <cellStyle name="40% - Accent6 4 21" xfId="40593" xr:uid="{00000000-0005-0000-0000-0000EC530000}"/>
    <cellStyle name="40% - Accent6 4 22" xfId="42276" xr:uid="{00000000-0005-0000-0000-0000ED530000}"/>
    <cellStyle name="40% - Accent6 4 23" xfId="43959" xr:uid="{00000000-0005-0000-0000-0000EE530000}"/>
    <cellStyle name="40% - Accent6 4 24" xfId="45642" xr:uid="{00000000-0005-0000-0000-0000EF530000}"/>
    <cellStyle name="40% - Accent6 4 25" xfId="47325" xr:uid="{00000000-0005-0000-0000-0000F0530000}"/>
    <cellStyle name="40% - Accent6 4 26" xfId="49008" xr:uid="{00000000-0005-0000-0000-0000F1530000}"/>
    <cellStyle name="40% - Accent6 4 27" xfId="50691" xr:uid="{00000000-0005-0000-0000-0000F2530000}"/>
    <cellStyle name="40% - Accent6 4 28" xfId="52374" xr:uid="{00000000-0005-0000-0000-0000F3530000}"/>
    <cellStyle name="40% - Accent6 4 29" xfId="54057" xr:uid="{00000000-0005-0000-0000-0000F4530000}"/>
    <cellStyle name="40% - Accent6 4 3" xfId="617" xr:uid="{00000000-0005-0000-0000-0000F5530000}"/>
    <cellStyle name="40% - Accent6 4 3 10" xfId="15766" xr:uid="{00000000-0005-0000-0000-0000F6530000}"/>
    <cellStyle name="40% - Accent6 4 3 11" xfId="30915" xr:uid="{00000000-0005-0000-0000-0000F7530000}"/>
    <cellStyle name="40% - Accent6 4 3 12" xfId="32598" xr:uid="{00000000-0005-0000-0000-0000F8530000}"/>
    <cellStyle name="40% - Accent6 4 3 13" xfId="34281" xr:uid="{00000000-0005-0000-0000-0000F9530000}"/>
    <cellStyle name="40% - Accent6 4 3 14" xfId="35964" xr:uid="{00000000-0005-0000-0000-0000FA530000}"/>
    <cellStyle name="40% - Accent6 4 3 15" xfId="37647" xr:uid="{00000000-0005-0000-0000-0000FB530000}"/>
    <cellStyle name="40% - Accent6 4 3 16" xfId="39330" xr:uid="{00000000-0005-0000-0000-0000FC530000}"/>
    <cellStyle name="40% - Accent6 4 3 17" xfId="41013" xr:uid="{00000000-0005-0000-0000-0000FD530000}"/>
    <cellStyle name="40% - Accent6 4 3 18" xfId="42696" xr:uid="{00000000-0005-0000-0000-0000FE530000}"/>
    <cellStyle name="40% - Accent6 4 3 19" xfId="44379" xr:uid="{00000000-0005-0000-0000-0000FF530000}"/>
    <cellStyle name="40% - Accent6 4 3 2" xfId="2300" xr:uid="{00000000-0005-0000-0000-000000540000}"/>
    <cellStyle name="40% - Accent6 4 3 2 2" xfId="17449" xr:uid="{00000000-0005-0000-0000-000001540000}"/>
    <cellStyle name="40% - Accent6 4 3 20" xfId="46062" xr:uid="{00000000-0005-0000-0000-000002540000}"/>
    <cellStyle name="40% - Accent6 4 3 21" xfId="47745" xr:uid="{00000000-0005-0000-0000-000003540000}"/>
    <cellStyle name="40% - Accent6 4 3 22" xfId="49428" xr:uid="{00000000-0005-0000-0000-000004540000}"/>
    <cellStyle name="40% - Accent6 4 3 23" xfId="51111" xr:uid="{00000000-0005-0000-0000-000005540000}"/>
    <cellStyle name="40% - Accent6 4 3 24" xfId="52794" xr:uid="{00000000-0005-0000-0000-000006540000}"/>
    <cellStyle name="40% - Accent6 4 3 25" xfId="54477" xr:uid="{00000000-0005-0000-0000-000007540000}"/>
    <cellStyle name="40% - Accent6 4 3 26" xfId="56160" xr:uid="{00000000-0005-0000-0000-000008540000}"/>
    <cellStyle name="40% - Accent6 4 3 27" xfId="57843" xr:uid="{00000000-0005-0000-0000-000009540000}"/>
    <cellStyle name="40% - Accent6 4 3 28" xfId="59526" xr:uid="{00000000-0005-0000-0000-00000A540000}"/>
    <cellStyle name="40% - Accent6 4 3 29" xfId="61209" xr:uid="{00000000-0005-0000-0000-00000B540000}"/>
    <cellStyle name="40% - Accent6 4 3 3" xfId="3984" xr:uid="{00000000-0005-0000-0000-00000C540000}"/>
    <cellStyle name="40% - Accent6 4 3 3 2" xfId="19133" xr:uid="{00000000-0005-0000-0000-00000D540000}"/>
    <cellStyle name="40% - Accent6 4 3 30" xfId="62892" xr:uid="{00000000-0005-0000-0000-00000E540000}"/>
    <cellStyle name="40% - Accent6 4 3 4" xfId="5667" xr:uid="{00000000-0005-0000-0000-00000F540000}"/>
    <cellStyle name="40% - Accent6 4 3 4 2" xfId="20816" xr:uid="{00000000-0005-0000-0000-000010540000}"/>
    <cellStyle name="40% - Accent6 4 3 5" xfId="7350" xr:uid="{00000000-0005-0000-0000-000011540000}"/>
    <cellStyle name="40% - Accent6 4 3 5 2" xfId="22499" xr:uid="{00000000-0005-0000-0000-000012540000}"/>
    <cellStyle name="40% - Accent6 4 3 6" xfId="9033" xr:uid="{00000000-0005-0000-0000-000013540000}"/>
    <cellStyle name="40% - Accent6 4 3 6 2" xfId="24182" xr:uid="{00000000-0005-0000-0000-000014540000}"/>
    <cellStyle name="40% - Accent6 4 3 7" xfId="10716" xr:uid="{00000000-0005-0000-0000-000015540000}"/>
    <cellStyle name="40% - Accent6 4 3 7 2" xfId="25865" xr:uid="{00000000-0005-0000-0000-000016540000}"/>
    <cellStyle name="40% - Accent6 4 3 8" xfId="12400" xr:uid="{00000000-0005-0000-0000-000017540000}"/>
    <cellStyle name="40% - Accent6 4 3 8 2" xfId="27549" xr:uid="{00000000-0005-0000-0000-000018540000}"/>
    <cellStyle name="40% - Accent6 4 3 9" xfId="14083" xr:uid="{00000000-0005-0000-0000-000019540000}"/>
    <cellStyle name="40% - Accent6 4 3 9 2" xfId="29232" xr:uid="{00000000-0005-0000-0000-00001A540000}"/>
    <cellStyle name="40% - Accent6 4 30" xfId="55740" xr:uid="{00000000-0005-0000-0000-00001B540000}"/>
    <cellStyle name="40% - Accent6 4 31" xfId="57423" xr:uid="{00000000-0005-0000-0000-00001C540000}"/>
    <cellStyle name="40% - Accent6 4 32" xfId="59106" xr:uid="{00000000-0005-0000-0000-00001D540000}"/>
    <cellStyle name="40% - Accent6 4 33" xfId="60789" xr:uid="{00000000-0005-0000-0000-00001E540000}"/>
    <cellStyle name="40% - Accent6 4 34" xfId="62472" xr:uid="{00000000-0005-0000-0000-00001F540000}"/>
    <cellStyle name="40% - Accent6 4 4" xfId="1038" xr:uid="{00000000-0005-0000-0000-000020540000}"/>
    <cellStyle name="40% - Accent6 4 4 10" xfId="16187" xr:uid="{00000000-0005-0000-0000-000021540000}"/>
    <cellStyle name="40% - Accent6 4 4 11" xfId="31336" xr:uid="{00000000-0005-0000-0000-000022540000}"/>
    <cellStyle name="40% - Accent6 4 4 12" xfId="33019" xr:uid="{00000000-0005-0000-0000-000023540000}"/>
    <cellStyle name="40% - Accent6 4 4 13" xfId="34702" xr:uid="{00000000-0005-0000-0000-000024540000}"/>
    <cellStyle name="40% - Accent6 4 4 14" xfId="36385" xr:uid="{00000000-0005-0000-0000-000025540000}"/>
    <cellStyle name="40% - Accent6 4 4 15" xfId="38068" xr:uid="{00000000-0005-0000-0000-000026540000}"/>
    <cellStyle name="40% - Accent6 4 4 16" xfId="39751" xr:uid="{00000000-0005-0000-0000-000027540000}"/>
    <cellStyle name="40% - Accent6 4 4 17" xfId="41434" xr:uid="{00000000-0005-0000-0000-000028540000}"/>
    <cellStyle name="40% - Accent6 4 4 18" xfId="43117" xr:uid="{00000000-0005-0000-0000-000029540000}"/>
    <cellStyle name="40% - Accent6 4 4 19" xfId="44800" xr:uid="{00000000-0005-0000-0000-00002A540000}"/>
    <cellStyle name="40% - Accent6 4 4 2" xfId="2721" xr:uid="{00000000-0005-0000-0000-00002B540000}"/>
    <cellStyle name="40% - Accent6 4 4 2 2" xfId="17870" xr:uid="{00000000-0005-0000-0000-00002C540000}"/>
    <cellStyle name="40% - Accent6 4 4 20" xfId="46483" xr:uid="{00000000-0005-0000-0000-00002D540000}"/>
    <cellStyle name="40% - Accent6 4 4 21" xfId="48166" xr:uid="{00000000-0005-0000-0000-00002E540000}"/>
    <cellStyle name="40% - Accent6 4 4 22" xfId="49849" xr:uid="{00000000-0005-0000-0000-00002F540000}"/>
    <cellStyle name="40% - Accent6 4 4 23" xfId="51532" xr:uid="{00000000-0005-0000-0000-000030540000}"/>
    <cellStyle name="40% - Accent6 4 4 24" xfId="53215" xr:uid="{00000000-0005-0000-0000-000031540000}"/>
    <cellStyle name="40% - Accent6 4 4 25" xfId="54898" xr:uid="{00000000-0005-0000-0000-000032540000}"/>
    <cellStyle name="40% - Accent6 4 4 26" xfId="56581" xr:uid="{00000000-0005-0000-0000-000033540000}"/>
    <cellStyle name="40% - Accent6 4 4 27" xfId="58264" xr:uid="{00000000-0005-0000-0000-000034540000}"/>
    <cellStyle name="40% - Accent6 4 4 28" xfId="59947" xr:uid="{00000000-0005-0000-0000-000035540000}"/>
    <cellStyle name="40% - Accent6 4 4 29" xfId="61630" xr:uid="{00000000-0005-0000-0000-000036540000}"/>
    <cellStyle name="40% - Accent6 4 4 3" xfId="4405" xr:uid="{00000000-0005-0000-0000-000037540000}"/>
    <cellStyle name="40% - Accent6 4 4 3 2" xfId="19554" xr:uid="{00000000-0005-0000-0000-000038540000}"/>
    <cellStyle name="40% - Accent6 4 4 30" xfId="63313" xr:uid="{00000000-0005-0000-0000-000039540000}"/>
    <cellStyle name="40% - Accent6 4 4 4" xfId="6088" xr:uid="{00000000-0005-0000-0000-00003A540000}"/>
    <cellStyle name="40% - Accent6 4 4 4 2" xfId="21237" xr:uid="{00000000-0005-0000-0000-00003B540000}"/>
    <cellStyle name="40% - Accent6 4 4 5" xfId="7771" xr:uid="{00000000-0005-0000-0000-00003C540000}"/>
    <cellStyle name="40% - Accent6 4 4 5 2" xfId="22920" xr:uid="{00000000-0005-0000-0000-00003D540000}"/>
    <cellStyle name="40% - Accent6 4 4 6" xfId="9454" xr:uid="{00000000-0005-0000-0000-00003E540000}"/>
    <cellStyle name="40% - Accent6 4 4 6 2" xfId="24603" xr:uid="{00000000-0005-0000-0000-00003F540000}"/>
    <cellStyle name="40% - Accent6 4 4 7" xfId="11137" xr:uid="{00000000-0005-0000-0000-000040540000}"/>
    <cellStyle name="40% - Accent6 4 4 7 2" xfId="26286" xr:uid="{00000000-0005-0000-0000-000041540000}"/>
    <cellStyle name="40% - Accent6 4 4 8" xfId="12821" xr:uid="{00000000-0005-0000-0000-000042540000}"/>
    <cellStyle name="40% - Accent6 4 4 8 2" xfId="27970" xr:uid="{00000000-0005-0000-0000-000043540000}"/>
    <cellStyle name="40% - Accent6 4 4 9" xfId="14504" xr:uid="{00000000-0005-0000-0000-000044540000}"/>
    <cellStyle name="40% - Accent6 4 4 9 2" xfId="29653" xr:uid="{00000000-0005-0000-0000-000045540000}"/>
    <cellStyle name="40% - Accent6 4 5" xfId="1459" xr:uid="{00000000-0005-0000-0000-000046540000}"/>
    <cellStyle name="40% - Accent6 4 5 10" xfId="16608" xr:uid="{00000000-0005-0000-0000-000047540000}"/>
    <cellStyle name="40% - Accent6 4 5 11" xfId="31757" xr:uid="{00000000-0005-0000-0000-000048540000}"/>
    <cellStyle name="40% - Accent6 4 5 12" xfId="33440" xr:uid="{00000000-0005-0000-0000-000049540000}"/>
    <cellStyle name="40% - Accent6 4 5 13" xfId="35123" xr:uid="{00000000-0005-0000-0000-00004A540000}"/>
    <cellStyle name="40% - Accent6 4 5 14" xfId="36806" xr:uid="{00000000-0005-0000-0000-00004B540000}"/>
    <cellStyle name="40% - Accent6 4 5 15" xfId="38489" xr:uid="{00000000-0005-0000-0000-00004C540000}"/>
    <cellStyle name="40% - Accent6 4 5 16" xfId="40172" xr:uid="{00000000-0005-0000-0000-00004D540000}"/>
    <cellStyle name="40% - Accent6 4 5 17" xfId="41855" xr:uid="{00000000-0005-0000-0000-00004E540000}"/>
    <cellStyle name="40% - Accent6 4 5 18" xfId="43538" xr:uid="{00000000-0005-0000-0000-00004F540000}"/>
    <cellStyle name="40% - Accent6 4 5 19" xfId="45221" xr:uid="{00000000-0005-0000-0000-000050540000}"/>
    <cellStyle name="40% - Accent6 4 5 2" xfId="3142" xr:uid="{00000000-0005-0000-0000-000051540000}"/>
    <cellStyle name="40% - Accent6 4 5 2 2" xfId="18291" xr:uid="{00000000-0005-0000-0000-000052540000}"/>
    <cellStyle name="40% - Accent6 4 5 20" xfId="46904" xr:uid="{00000000-0005-0000-0000-000053540000}"/>
    <cellStyle name="40% - Accent6 4 5 21" xfId="48587" xr:uid="{00000000-0005-0000-0000-000054540000}"/>
    <cellStyle name="40% - Accent6 4 5 22" xfId="50270" xr:uid="{00000000-0005-0000-0000-000055540000}"/>
    <cellStyle name="40% - Accent6 4 5 23" xfId="51953" xr:uid="{00000000-0005-0000-0000-000056540000}"/>
    <cellStyle name="40% - Accent6 4 5 24" xfId="53636" xr:uid="{00000000-0005-0000-0000-000057540000}"/>
    <cellStyle name="40% - Accent6 4 5 25" xfId="55319" xr:uid="{00000000-0005-0000-0000-000058540000}"/>
    <cellStyle name="40% - Accent6 4 5 26" xfId="57002" xr:uid="{00000000-0005-0000-0000-000059540000}"/>
    <cellStyle name="40% - Accent6 4 5 27" xfId="58685" xr:uid="{00000000-0005-0000-0000-00005A540000}"/>
    <cellStyle name="40% - Accent6 4 5 28" xfId="60368" xr:uid="{00000000-0005-0000-0000-00005B540000}"/>
    <cellStyle name="40% - Accent6 4 5 29" xfId="62051" xr:uid="{00000000-0005-0000-0000-00005C540000}"/>
    <cellStyle name="40% - Accent6 4 5 3" xfId="4826" xr:uid="{00000000-0005-0000-0000-00005D540000}"/>
    <cellStyle name="40% - Accent6 4 5 3 2" xfId="19975" xr:uid="{00000000-0005-0000-0000-00005E540000}"/>
    <cellStyle name="40% - Accent6 4 5 30" xfId="63734" xr:uid="{00000000-0005-0000-0000-00005F540000}"/>
    <cellStyle name="40% - Accent6 4 5 4" xfId="6509" xr:uid="{00000000-0005-0000-0000-000060540000}"/>
    <cellStyle name="40% - Accent6 4 5 4 2" xfId="21658" xr:uid="{00000000-0005-0000-0000-000061540000}"/>
    <cellStyle name="40% - Accent6 4 5 5" xfId="8192" xr:uid="{00000000-0005-0000-0000-000062540000}"/>
    <cellStyle name="40% - Accent6 4 5 5 2" xfId="23341" xr:uid="{00000000-0005-0000-0000-000063540000}"/>
    <cellStyle name="40% - Accent6 4 5 6" xfId="9875" xr:uid="{00000000-0005-0000-0000-000064540000}"/>
    <cellStyle name="40% - Accent6 4 5 6 2" xfId="25024" xr:uid="{00000000-0005-0000-0000-000065540000}"/>
    <cellStyle name="40% - Accent6 4 5 7" xfId="11558" xr:uid="{00000000-0005-0000-0000-000066540000}"/>
    <cellStyle name="40% - Accent6 4 5 7 2" xfId="26707" xr:uid="{00000000-0005-0000-0000-000067540000}"/>
    <cellStyle name="40% - Accent6 4 5 8" xfId="13242" xr:uid="{00000000-0005-0000-0000-000068540000}"/>
    <cellStyle name="40% - Accent6 4 5 8 2" xfId="28391" xr:uid="{00000000-0005-0000-0000-000069540000}"/>
    <cellStyle name="40% - Accent6 4 5 9" xfId="14925" xr:uid="{00000000-0005-0000-0000-00006A540000}"/>
    <cellStyle name="40% - Accent6 4 5 9 2" xfId="30074" xr:uid="{00000000-0005-0000-0000-00006B540000}"/>
    <cellStyle name="40% - Accent6 4 6" xfId="1880" xr:uid="{00000000-0005-0000-0000-00006C540000}"/>
    <cellStyle name="40% - Accent6 4 6 2" xfId="17029" xr:uid="{00000000-0005-0000-0000-00006D540000}"/>
    <cellStyle name="40% - Accent6 4 7" xfId="3564" xr:uid="{00000000-0005-0000-0000-00006E540000}"/>
    <cellStyle name="40% - Accent6 4 7 2" xfId="18713" xr:uid="{00000000-0005-0000-0000-00006F540000}"/>
    <cellStyle name="40% - Accent6 4 8" xfId="5247" xr:uid="{00000000-0005-0000-0000-000070540000}"/>
    <cellStyle name="40% - Accent6 4 8 2" xfId="20396" xr:uid="{00000000-0005-0000-0000-000071540000}"/>
    <cellStyle name="40% - Accent6 4 9" xfId="6930" xr:uid="{00000000-0005-0000-0000-000072540000}"/>
    <cellStyle name="40% - Accent6 4 9 2" xfId="22079" xr:uid="{00000000-0005-0000-0000-000073540000}"/>
    <cellStyle name="40% - Accent6 5" xfId="302" xr:uid="{00000000-0005-0000-0000-000074540000}"/>
    <cellStyle name="40% - Accent6 5 10" xfId="10401" xr:uid="{00000000-0005-0000-0000-000075540000}"/>
    <cellStyle name="40% - Accent6 5 10 2" xfId="25550" xr:uid="{00000000-0005-0000-0000-000076540000}"/>
    <cellStyle name="40% - Accent6 5 11" xfId="12085" xr:uid="{00000000-0005-0000-0000-000077540000}"/>
    <cellStyle name="40% - Accent6 5 11 2" xfId="27234" xr:uid="{00000000-0005-0000-0000-000078540000}"/>
    <cellStyle name="40% - Accent6 5 12" xfId="13768" xr:uid="{00000000-0005-0000-0000-000079540000}"/>
    <cellStyle name="40% - Accent6 5 12 2" xfId="28917" xr:uid="{00000000-0005-0000-0000-00007A540000}"/>
    <cellStyle name="40% - Accent6 5 13" xfId="15451" xr:uid="{00000000-0005-0000-0000-00007B540000}"/>
    <cellStyle name="40% - Accent6 5 14" xfId="30600" xr:uid="{00000000-0005-0000-0000-00007C540000}"/>
    <cellStyle name="40% - Accent6 5 15" xfId="32283" xr:uid="{00000000-0005-0000-0000-00007D540000}"/>
    <cellStyle name="40% - Accent6 5 16" xfId="33966" xr:uid="{00000000-0005-0000-0000-00007E540000}"/>
    <cellStyle name="40% - Accent6 5 17" xfId="35649" xr:uid="{00000000-0005-0000-0000-00007F540000}"/>
    <cellStyle name="40% - Accent6 5 18" xfId="37332" xr:uid="{00000000-0005-0000-0000-000080540000}"/>
    <cellStyle name="40% - Accent6 5 19" xfId="39015" xr:uid="{00000000-0005-0000-0000-000081540000}"/>
    <cellStyle name="40% - Accent6 5 2" xfId="722" xr:uid="{00000000-0005-0000-0000-000082540000}"/>
    <cellStyle name="40% - Accent6 5 2 10" xfId="15871" xr:uid="{00000000-0005-0000-0000-000083540000}"/>
    <cellStyle name="40% - Accent6 5 2 11" xfId="31020" xr:uid="{00000000-0005-0000-0000-000084540000}"/>
    <cellStyle name="40% - Accent6 5 2 12" xfId="32703" xr:uid="{00000000-0005-0000-0000-000085540000}"/>
    <cellStyle name="40% - Accent6 5 2 13" xfId="34386" xr:uid="{00000000-0005-0000-0000-000086540000}"/>
    <cellStyle name="40% - Accent6 5 2 14" xfId="36069" xr:uid="{00000000-0005-0000-0000-000087540000}"/>
    <cellStyle name="40% - Accent6 5 2 15" xfId="37752" xr:uid="{00000000-0005-0000-0000-000088540000}"/>
    <cellStyle name="40% - Accent6 5 2 16" xfId="39435" xr:uid="{00000000-0005-0000-0000-000089540000}"/>
    <cellStyle name="40% - Accent6 5 2 17" xfId="41118" xr:uid="{00000000-0005-0000-0000-00008A540000}"/>
    <cellStyle name="40% - Accent6 5 2 18" xfId="42801" xr:uid="{00000000-0005-0000-0000-00008B540000}"/>
    <cellStyle name="40% - Accent6 5 2 19" xfId="44484" xr:uid="{00000000-0005-0000-0000-00008C540000}"/>
    <cellStyle name="40% - Accent6 5 2 2" xfId="2405" xr:uid="{00000000-0005-0000-0000-00008D540000}"/>
    <cellStyle name="40% - Accent6 5 2 2 2" xfId="17554" xr:uid="{00000000-0005-0000-0000-00008E540000}"/>
    <cellStyle name="40% - Accent6 5 2 20" xfId="46167" xr:uid="{00000000-0005-0000-0000-00008F540000}"/>
    <cellStyle name="40% - Accent6 5 2 21" xfId="47850" xr:uid="{00000000-0005-0000-0000-000090540000}"/>
    <cellStyle name="40% - Accent6 5 2 22" xfId="49533" xr:uid="{00000000-0005-0000-0000-000091540000}"/>
    <cellStyle name="40% - Accent6 5 2 23" xfId="51216" xr:uid="{00000000-0005-0000-0000-000092540000}"/>
    <cellStyle name="40% - Accent6 5 2 24" xfId="52899" xr:uid="{00000000-0005-0000-0000-000093540000}"/>
    <cellStyle name="40% - Accent6 5 2 25" xfId="54582" xr:uid="{00000000-0005-0000-0000-000094540000}"/>
    <cellStyle name="40% - Accent6 5 2 26" xfId="56265" xr:uid="{00000000-0005-0000-0000-000095540000}"/>
    <cellStyle name="40% - Accent6 5 2 27" xfId="57948" xr:uid="{00000000-0005-0000-0000-000096540000}"/>
    <cellStyle name="40% - Accent6 5 2 28" xfId="59631" xr:uid="{00000000-0005-0000-0000-000097540000}"/>
    <cellStyle name="40% - Accent6 5 2 29" xfId="61314" xr:uid="{00000000-0005-0000-0000-000098540000}"/>
    <cellStyle name="40% - Accent6 5 2 3" xfId="4089" xr:uid="{00000000-0005-0000-0000-000099540000}"/>
    <cellStyle name="40% - Accent6 5 2 3 2" xfId="19238" xr:uid="{00000000-0005-0000-0000-00009A540000}"/>
    <cellStyle name="40% - Accent6 5 2 30" xfId="62997" xr:uid="{00000000-0005-0000-0000-00009B540000}"/>
    <cellStyle name="40% - Accent6 5 2 4" xfId="5772" xr:uid="{00000000-0005-0000-0000-00009C540000}"/>
    <cellStyle name="40% - Accent6 5 2 4 2" xfId="20921" xr:uid="{00000000-0005-0000-0000-00009D540000}"/>
    <cellStyle name="40% - Accent6 5 2 5" xfId="7455" xr:uid="{00000000-0005-0000-0000-00009E540000}"/>
    <cellStyle name="40% - Accent6 5 2 5 2" xfId="22604" xr:uid="{00000000-0005-0000-0000-00009F540000}"/>
    <cellStyle name="40% - Accent6 5 2 6" xfId="9138" xr:uid="{00000000-0005-0000-0000-0000A0540000}"/>
    <cellStyle name="40% - Accent6 5 2 6 2" xfId="24287" xr:uid="{00000000-0005-0000-0000-0000A1540000}"/>
    <cellStyle name="40% - Accent6 5 2 7" xfId="10821" xr:uid="{00000000-0005-0000-0000-0000A2540000}"/>
    <cellStyle name="40% - Accent6 5 2 7 2" xfId="25970" xr:uid="{00000000-0005-0000-0000-0000A3540000}"/>
    <cellStyle name="40% - Accent6 5 2 8" xfId="12505" xr:uid="{00000000-0005-0000-0000-0000A4540000}"/>
    <cellStyle name="40% - Accent6 5 2 8 2" xfId="27654" xr:uid="{00000000-0005-0000-0000-0000A5540000}"/>
    <cellStyle name="40% - Accent6 5 2 9" xfId="14188" xr:uid="{00000000-0005-0000-0000-0000A6540000}"/>
    <cellStyle name="40% - Accent6 5 2 9 2" xfId="29337" xr:uid="{00000000-0005-0000-0000-0000A7540000}"/>
    <cellStyle name="40% - Accent6 5 20" xfId="40698" xr:uid="{00000000-0005-0000-0000-0000A8540000}"/>
    <cellStyle name="40% - Accent6 5 21" xfId="42381" xr:uid="{00000000-0005-0000-0000-0000A9540000}"/>
    <cellStyle name="40% - Accent6 5 22" xfId="44064" xr:uid="{00000000-0005-0000-0000-0000AA540000}"/>
    <cellStyle name="40% - Accent6 5 23" xfId="45747" xr:uid="{00000000-0005-0000-0000-0000AB540000}"/>
    <cellStyle name="40% - Accent6 5 24" xfId="47430" xr:uid="{00000000-0005-0000-0000-0000AC540000}"/>
    <cellStyle name="40% - Accent6 5 25" xfId="49113" xr:uid="{00000000-0005-0000-0000-0000AD540000}"/>
    <cellStyle name="40% - Accent6 5 26" xfId="50796" xr:uid="{00000000-0005-0000-0000-0000AE540000}"/>
    <cellStyle name="40% - Accent6 5 27" xfId="52479" xr:uid="{00000000-0005-0000-0000-0000AF540000}"/>
    <cellStyle name="40% - Accent6 5 28" xfId="54162" xr:uid="{00000000-0005-0000-0000-0000B0540000}"/>
    <cellStyle name="40% - Accent6 5 29" xfId="55845" xr:uid="{00000000-0005-0000-0000-0000B1540000}"/>
    <cellStyle name="40% - Accent6 5 3" xfId="1143" xr:uid="{00000000-0005-0000-0000-0000B2540000}"/>
    <cellStyle name="40% - Accent6 5 3 10" xfId="16292" xr:uid="{00000000-0005-0000-0000-0000B3540000}"/>
    <cellStyle name="40% - Accent6 5 3 11" xfId="31441" xr:uid="{00000000-0005-0000-0000-0000B4540000}"/>
    <cellStyle name="40% - Accent6 5 3 12" xfId="33124" xr:uid="{00000000-0005-0000-0000-0000B5540000}"/>
    <cellStyle name="40% - Accent6 5 3 13" xfId="34807" xr:uid="{00000000-0005-0000-0000-0000B6540000}"/>
    <cellStyle name="40% - Accent6 5 3 14" xfId="36490" xr:uid="{00000000-0005-0000-0000-0000B7540000}"/>
    <cellStyle name="40% - Accent6 5 3 15" xfId="38173" xr:uid="{00000000-0005-0000-0000-0000B8540000}"/>
    <cellStyle name="40% - Accent6 5 3 16" xfId="39856" xr:uid="{00000000-0005-0000-0000-0000B9540000}"/>
    <cellStyle name="40% - Accent6 5 3 17" xfId="41539" xr:uid="{00000000-0005-0000-0000-0000BA540000}"/>
    <cellStyle name="40% - Accent6 5 3 18" xfId="43222" xr:uid="{00000000-0005-0000-0000-0000BB540000}"/>
    <cellStyle name="40% - Accent6 5 3 19" xfId="44905" xr:uid="{00000000-0005-0000-0000-0000BC540000}"/>
    <cellStyle name="40% - Accent6 5 3 2" xfId="2826" xr:uid="{00000000-0005-0000-0000-0000BD540000}"/>
    <cellStyle name="40% - Accent6 5 3 2 2" xfId="17975" xr:uid="{00000000-0005-0000-0000-0000BE540000}"/>
    <cellStyle name="40% - Accent6 5 3 20" xfId="46588" xr:uid="{00000000-0005-0000-0000-0000BF540000}"/>
    <cellStyle name="40% - Accent6 5 3 21" xfId="48271" xr:uid="{00000000-0005-0000-0000-0000C0540000}"/>
    <cellStyle name="40% - Accent6 5 3 22" xfId="49954" xr:uid="{00000000-0005-0000-0000-0000C1540000}"/>
    <cellStyle name="40% - Accent6 5 3 23" xfId="51637" xr:uid="{00000000-0005-0000-0000-0000C2540000}"/>
    <cellStyle name="40% - Accent6 5 3 24" xfId="53320" xr:uid="{00000000-0005-0000-0000-0000C3540000}"/>
    <cellStyle name="40% - Accent6 5 3 25" xfId="55003" xr:uid="{00000000-0005-0000-0000-0000C4540000}"/>
    <cellStyle name="40% - Accent6 5 3 26" xfId="56686" xr:uid="{00000000-0005-0000-0000-0000C5540000}"/>
    <cellStyle name="40% - Accent6 5 3 27" xfId="58369" xr:uid="{00000000-0005-0000-0000-0000C6540000}"/>
    <cellStyle name="40% - Accent6 5 3 28" xfId="60052" xr:uid="{00000000-0005-0000-0000-0000C7540000}"/>
    <cellStyle name="40% - Accent6 5 3 29" xfId="61735" xr:uid="{00000000-0005-0000-0000-0000C8540000}"/>
    <cellStyle name="40% - Accent6 5 3 3" xfId="4510" xr:uid="{00000000-0005-0000-0000-0000C9540000}"/>
    <cellStyle name="40% - Accent6 5 3 3 2" xfId="19659" xr:uid="{00000000-0005-0000-0000-0000CA540000}"/>
    <cellStyle name="40% - Accent6 5 3 30" xfId="63418" xr:uid="{00000000-0005-0000-0000-0000CB540000}"/>
    <cellStyle name="40% - Accent6 5 3 4" xfId="6193" xr:uid="{00000000-0005-0000-0000-0000CC540000}"/>
    <cellStyle name="40% - Accent6 5 3 4 2" xfId="21342" xr:uid="{00000000-0005-0000-0000-0000CD540000}"/>
    <cellStyle name="40% - Accent6 5 3 5" xfId="7876" xr:uid="{00000000-0005-0000-0000-0000CE540000}"/>
    <cellStyle name="40% - Accent6 5 3 5 2" xfId="23025" xr:uid="{00000000-0005-0000-0000-0000CF540000}"/>
    <cellStyle name="40% - Accent6 5 3 6" xfId="9559" xr:uid="{00000000-0005-0000-0000-0000D0540000}"/>
    <cellStyle name="40% - Accent6 5 3 6 2" xfId="24708" xr:uid="{00000000-0005-0000-0000-0000D1540000}"/>
    <cellStyle name="40% - Accent6 5 3 7" xfId="11242" xr:uid="{00000000-0005-0000-0000-0000D2540000}"/>
    <cellStyle name="40% - Accent6 5 3 7 2" xfId="26391" xr:uid="{00000000-0005-0000-0000-0000D3540000}"/>
    <cellStyle name="40% - Accent6 5 3 8" xfId="12926" xr:uid="{00000000-0005-0000-0000-0000D4540000}"/>
    <cellStyle name="40% - Accent6 5 3 8 2" xfId="28075" xr:uid="{00000000-0005-0000-0000-0000D5540000}"/>
    <cellStyle name="40% - Accent6 5 3 9" xfId="14609" xr:uid="{00000000-0005-0000-0000-0000D6540000}"/>
    <cellStyle name="40% - Accent6 5 3 9 2" xfId="29758" xr:uid="{00000000-0005-0000-0000-0000D7540000}"/>
    <cellStyle name="40% - Accent6 5 30" xfId="57528" xr:uid="{00000000-0005-0000-0000-0000D8540000}"/>
    <cellStyle name="40% - Accent6 5 31" xfId="59211" xr:uid="{00000000-0005-0000-0000-0000D9540000}"/>
    <cellStyle name="40% - Accent6 5 32" xfId="60894" xr:uid="{00000000-0005-0000-0000-0000DA540000}"/>
    <cellStyle name="40% - Accent6 5 33" xfId="62577" xr:uid="{00000000-0005-0000-0000-0000DB540000}"/>
    <cellStyle name="40% - Accent6 5 4" xfId="1564" xr:uid="{00000000-0005-0000-0000-0000DC540000}"/>
    <cellStyle name="40% - Accent6 5 4 10" xfId="16713" xr:uid="{00000000-0005-0000-0000-0000DD540000}"/>
    <cellStyle name="40% - Accent6 5 4 11" xfId="31862" xr:uid="{00000000-0005-0000-0000-0000DE540000}"/>
    <cellStyle name="40% - Accent6 5 4 12" xfId="33545" xr:uid="{00000000-0005-0000-0000-0000DF540000}"/>
    <cellStyle name="40% - Accent6 5 4 13" xfId="35228" xr:uid="{00000000-0005-0000-0000-0000E0540000}"/>
    <cellStyle name="40% - Accent6 5 4 14" xfId="36911" xr:uid="{00000000-0005-0000-0000-0000E1540000}"/>
    <cellStyle name="40% - Accent6 5 4 15" xfId="38594" xr:uid="{00000000-0005-0000-0000-0000E2540000}"/>
    <cellStyle name="40% - Accent6 5 4 16" xfId="40277" xr:uid="{00000000-0005-0000-0000-0000E3540000}"/>
    <cellStyle name="40% - Accent6 5 4 17" xfId="41960" xr:uid="{00000000-0005-0000-0000-0000E4540000}"/>
    <cellStyle name="40% - Accent6 5 4 18" xfId="43643" xr:uid="{00000000-0005-0000-0000-0000E5540000}"/>
    <cellStyle name="40% - Accent6 5 4 19" xfId="45326" xr:uid="{00000000-0005-0000-0000-0000E6540000}"/>
    <cellStyle name="40% - Accent6 5 4 2" xfId="3247" xr:uid="{00000000-0005-0000-0000-0000E7540000}"/>
    <cellStyle name="40% - Accent6 5 4 2 2" xfId="18396" xr:uid="{00000000-0005-0000-0000-0000E8540000}"/>
    <cellStyle name="40% - Accent6 5 4 20" xfId="47009" xr:uid="{00000000-0005-0000-0000-0000E9540000}"/>
    <cellStyle name="40% - Accent6 5 4 21" xfId="48692" xr:uid="{00000000-0005-0000-0000-0000EA540000}"/>
    <cellStyle name="40% - Accent6 5 4 22" xfId="50375" xr:uid="{00000000-0005-0000-0000-0000EB540000}"/>
    <cellStyle name="40% - Accent6 5 4 23" xfId="52058" xr:uid="{00000000-0005-0000-0000-0000EC540000}"/>
    <cellStyle name="40% - Accent6 5 4 24" xfId="53741" xr:uid="{00000000-0005-0000-0000-0000ED540000}"/>
    <cellStyle name="40% - Accent6 5 4 25" xfId="55424" xr:uid="{00000000-0005-0000-0000-0000EE540000}"/>
    <cellStyle name="40% - Accent6 5 4 26" xfId="57107" xr:uid="{00000000-0005-0000-0000-0000EF540000}"/>
    <cellStyle name="40% - Accent6 5 4 27" xfId="58790" xr:uid="{00000000-0005-0000-0000-0000F0540000}"/>
    <cellStyle name="40% - Accent6 5 4 28" xfId="60473" xr:uid="{00000000-0005-0000-0000-0000F1540000}"/>
    <cellStyle name="40% - Accent6 5 4 29" xfId="62156" xr:uid="{00000000-0005-0000-0000-0000F2540000}"/>
    <cellStyle name="40% - Accent6 5 4 3" xfId="4931" xr:uid="{00000000-0005-0000-0000-0000F3540000}"/>
    <cellStyle name="40% - Accent6 5 4 3 2" xfId="20080" xr:uid="{00000000-0005-0000-0000-0000F4540000}"/>
    <cellStyle name="40% - Accent6 5 4 30" xfId="63839" xr:uid="{00000000-0005-0000-0000-0000F5540000}"/>
    <cellStyle name="40% - Accent6 5 4 4" xfId="6614" xr:uid="{00000000-0005-0000-0000-0000F6540000}"/>
    <cellStyle name="40% - Accent6 5 4 4 2" xfId="21763" xr:uid="{00000000-0005-0000-0000-0000F7540000}"/>
    <cellStyle name="40% - Accent6 5 4 5" xfId="8297" xr:uid="{00000000-0005-0000-0000-0000F8540000}"/>
    <cellStyle name="40% - Accent6 5 4 5 2" xfId="23446" xr:uid="{00000000-0005-0000-0000-0000F9540000}"/>
    <cellStyle name="40% - Accent6 5 4 6" xfId="9980" xr:uid="{00000000-0005-0000-0000-0000FA540000}"/>
    <cellStyle name="40% - Accent6 5 4 6 2" xfId="25129" xr:uid="{00000000-0005-0000-0000-0000FB540000}"/>
    <cellStyle name="40% - Accent6 5 4 7" xfId="11663" xr:uid="{00000000-0005-0000-0000-0000FC540000}"/>
    <cellStyle name="40% - Accent6 5 4 7 2" xfId="26812" xr:uid="{00000000-0005-0000-0000-0000FD540000}"/>
    <cellStyle name="40% - Accent6 5 4 8" xfId="13347" xr:uid="{00000000-0005-0000-0000-0000FE540000}"/>
    <cellStyle name="40% - Accent6 5 4 8 2" xfId="28496" xr:uid="{00000000-0005-0000-0000-0000FF540000}"/>
    <cellStyle name="40% - Accent6 5 4 9" xfId="15030" xr:uid="{00000000-0005-0000-0000-000000550000}"/>
    <cellStyle name="40% - Accent6 5 4 9 2" xfId="30179" xr:uid="{00000000-0005-0000-0000-000001550000}"/>
    <cellStyle name="40% - Accent6 5 5" xfId="1985" xr:uid="{00000000-0005-0000-0000-000002550000}"/>
    <cellStyle name="40% - Accent6 5 5 2" xfId="17134" xr:uid="{00000000-0005-0000-0000-000003550000}"/>
    <cellStyle name="40% - Accent6 5 6" xfId="3669" xr:uid="{00000000-0005-0000-0000-000004550000}"/>
    <cellStyle name="40% - Accent6 5 6 2" xfId="18818" xr:uid="{00000000-0005-0000-0000-000005550000}"/>
    <cellStyle name="40% - Accent6 5 7" xfId="5352" xr:uid="{00000000-0005-0000-0000-000006550000}"/>
    <cellStyle name="40% - Accent6 5 7 2" xfId="20501" xr:uid="{00000000-0005-0000-0000-000007550000}"/>
    <cellStyle name="40% - Accent6 5 8" xfId="7035" xr:uid="{00000000-0005-0000-0000-000008550000}"/>
    <cellStyle name="40% - Accent6 5 8 2" xfId="22184" xr:uid="{00000000-0005-0000-0000-000009550000}"/>
    <cellStyle name="40% - Accent6 5 9" xfId="8718" xr:uid="{00000000-0005-0000-0000-00000A550000}"/>
    <cellStyle name="40% - Accent6 5 9 2" xfId="23867" xr:uid="{00000000-0005-0000-0000-00000B550000}"/>
    <cellStyle name="40% - Accent6 6" xfId="512" xr:uid="{00000000-0005-0000-0000-00000C550000}"/>
    <cellStyle name="40% - Accent6 6 10" xfId="15661" xr:uid="{00000000-0005-0000-0000-00000D550000}"/>
    <cellStyle name="40% - Accent6 6 11" xfId="30810" xr:uid="{00000000-0005-0000-0000-00000E550000}"/>
    <cellStyle name="40% - Accent6 6 12" xfId="32493" xr:uid="{00000000-0005-0000-0000-00000F550000}"/>
    <cellStyle name="40% - Accent6 6 13" xfId="34176" xr:uid="{00000000-0005-0000-0000-000010550000}"/>
    <cellStyle name="40% - Accent6 6 14" xfId="35859" xr:uid="{00000000-0005-0000-0000-000011550000}"/>
    <cellStyle name="40% - Accent6 6 15" xfId="37542" xr:uid="{00000000-0005-0000-0000-000012550000}"/>
    <cellStyle name="40% - Accent6 6 16" xfId="39225" xr:uid="{00000000-0005-0000-0000-000013550000}"/>
    <cellStyle name="40% - Accent6 6 17" xfId="40908" xr:uid="{00000000-0005-0000-0000-000014550000}"/>
    <cellStyle name="40% - Accent6 6 18" xfId="42591" xr:uid="{00000000-0005-0000-0000-000015550000}"/>
    <cellStyle name="40% - Accent6 6 19" xfId="44274" xr:uid="{00000000-0005-0000-0000-000016550000}"/>
    <cellStyle name="40% - Accent6 6 2" xfId="2195" xr:uid="{00000000-0005-0000-0000-000017550000}"/>
    <cellStyle name="40% - Accent6 6 2 2" xfId="17344" xr:uid="{00000000-0005-0000-0000-000018550000}"/>
    <cellStyle name="40% - Accent6 6 20" xfId="45957" xr:uid="{00000000-0005-0000-0000-000019550000}"/>
    <cellStyle name="40% - Accent6 6 21" xfId="47640" xr:uid="{00000000-0005-0000-0000-00001A550000}"/>
    <cellStyle name="40% - Accent6 6 22" xfId="49323" xr:uid="{00000000-0005-0000-0000-00001B550000}"/>
    <cellStyle name="40% - Accent6 6 23" xfId="51006" xr:uid="{00000000-0005-0000-0000-00001C550000}"/>
    <cellStyle name="40% - Accent6 6 24" xfId="52689" xr:uid="{00000000-0005-0000-0000-00001D550000}"/>
    <cellStyle name="40% - Accent6 6 25" xfId="54372" xr:uid="{00000000-0005-0000-0000-00001E550000}"/>
    <cellStyle name="40% - Accent6 6 26" xfId="56055" xr:uid="{00000000-0005-0000-0000-00001F550000}"/>
    <cellStyle name="40% - Accent6 6 27" xfId="57738" xr:uid="{00000000-0005-0000-0000-000020550000}"/>
    <cellStyle name="40% - Accent6 6 28" xfId="59421" xr:uid="{00000000-0005-0000-0000-000021550000}"/>
    <cellStyle name="40% - Accent6 6 29" xfId="61104" xr:uid="{00000000-0005-0000-0000-000022550000}"/>
    <cellStyle name="40% - Accent6 6 3" xfId="3879" xr:uid="{00000000-0005-0000-0000-000023550000}"/>
    <cellStyle name="40% - Accent6 6 3 2" xfId="19028" xr:uid="{00000000-0005-0000-0000-000024550000}"/>
    <cellStyle name="40% - Accent6 6 30" xfId="62787" xr:uid="{00000000-0005-0000-0000-000025550000}"/>
    <cellStyle name="40% - Accent6 6 4" xfId="5562" xr:uid="{00000000-0005-0000-0000-000026550000}"/>
    <cellStyle name="40% - Accent6 6 4 2" xfId="20711" xr:uid="{00000000-0005-0000-0000-000027550000}"/>
    <cellStyle name="40% - Accent6 6 5" xfId="7245" xr:uid="{00000000-0005-0000-0000-000028550000}"/>
    <cellStyle name="40% - Accent6 6 5 2" xfId="22394" xr:uid="{00000000-0005-0000-0000-000029550000}"/>
    <cellStyle name="40% - Accent6 6 6" xfId="8928" xr:uid="{00000000-0005-0000-0000-00002A550000}"/>
    <cellStyle name="40% - Accent6 6 6 2" xfId="24077" xr:uid="{00000000-0005-0000-0000-00002B550000}"/>
    <cellStyle name="40% - Accent6 6 7" xfId="10611" xr:uid="{00000000-0005-0000-0000-00002C550000}"/>
    <cellStyle name="40% - Accent6 6 7 2" xfId="25760" xr:uid="{00000000-0005-0000-0000-00002D550000}"/>
    <cellStyle name="40% - Accent6 6 8" xfId="12295" xr:uid="{00000000-0005-0000-0000-00002E550000}"/>
    <cellStyle name="40% - Accent6 6 8 2" xfId="27444" xr:uid="{00000000-0005-0000-0000-00002F550000}"/>
    <cellStyle name="40% - Accent6 6 9" xfId="13978" xr:uid="{00000000-0005-0000-0000-000030550000}"/>
    <cellStyle name="40% - Accent6 6 9 2" xfId="29127" xr:uid="{00000000-0005-0000-0000-000031550000}"/>
    <cellStyle name="40% - Accent6 7" xfId="933" xr:uid="{00000000-0005-0000-0000-000032550000}"/>
    <cellStyle name="40% - Accent6 7 10" xfId="16082" xr:uid="{00000000-0005-0000-0000-000033550000}"/>
    <cellStyle name="40% - Accent6 7 11" xfId="31231" xr:uid="{00000000-0005-0000-0000-000034550000}"/>
    <cellStyle name="40% - Accent6 7 12" xfId="32914" xr:uid="{00000000-0005-0000-0000-000035550000}"/>
    <cellStyle name="40% - Accent6 7 13" xfId="34597" xr:uid="{00000000-0005-0000-0000-000036550000}"/>
    <cellStyle name="40% - Accent6 7 14" xfId="36280" xr:uid="{00000000-0005-0000-0000-000037550000}"/>
    <cellStyle name="40% - Accent6 7 15" xfId="37963" xr:uid="{00000000-0005-0000-0000-000038550000}"/>
    <cellStyle name="40% - Accent6 7 16" xfId="39646" xr:uid="{00000000-0005-0000-0000-000039550000}"/>
    <cellStyle name="40% - Accent6 7 17" xfId="41329" xr:uid="{00000000-0005-0000-0000-00003A550000}"/>
    <cellStyle name="40% - Accent6 7 18" xfId="43012" xr:uid="{00000000-0005-0000-0000-00003B550000}"/>
    <cellStyle name="40% - Accent6 7 19" xfId="44695" xr:uid="{00000000-0005-0000-0000-00003C550000}"/>
    <cellStyle name="40% - Accent6 7 2" xfId="2616" xr:uid="{00000000-0005-0000-0000-00003D550000}"/>
    <cellStyle name="40% - Accent6 7 2 2" xfId="17765" xr:uid="{00000000-0005-0000-0000-00003E550000}"/>
    <cellStyle name="40% - Accent6 7 20" xfId="46378" xr:uid="{00000000-0005-0000-0000-00003F550000}"/>
    <cellStyle name="40% - Accent6 7 21" xfId="48061" xr:uid="{00000000-0005-0000-0000-000040550000}"/>
    <cellStyle name="40% - Accent6 7 22" xfId="49744" xr:uid="{00000000-0005-0000-0000-000041550000}"/>
    <cellStyle name="40% - Accent6 7 23" xfId="51427" xr:uid="{00000000-0005-0000-0000-000042550000}"/>
    <cellStyle name="40% - Accent6 7 24" xfId="53110" xr:uid="{00000000-0005-0000-0000-000043550000}"/>
    <cellStyle name="40% - Accent6 7 25" xfId="54793" xr:uid="{00000000-0005-0000-0000-000044550000}"/>
    <cellStyle name="40% - Accent6 7 26" xfId="56476" xr:uid="{00000000-0005-0000-0000-000045550000}"/>
    <cellStyle name="40% - Accent6 7 27" xfId="58159" xr:uid="{00000000-0005-0000-0000-000046550000}"/>
    <cellStyle name="40% - Accent6 7 28" xfId="59842" xr:uid="{00000000-0005-0000-0000-000047550000}"/>
    <cellStyle name="40% - Accent6 7 29" xfId="61525" xr:uid="{00000000-0005-0000-0000-000048550000}"/>
    <cellStyle name="40% - Accent6 7 3" xfId="4300" xr:uid="{00000000-0005-0000-0000-000049550000}"/>
    <cellStyle name="40% - Accent6 7 3 2" xfId="19449" xr:uid="{00000000-0005-0000-0000-00004A550000}"/>
    <cellStyle name="40% - Accent6 7 30" xfId="63208" xr:uid="{00000000-0005-0000-0000-00004B550000}"/>
    <cellStyle name="40% - Accent6 7 4" xfId="5983" xr:uid="{00000000-0005-0000-0000-00004C550000}"/>
    <cellStyle name="40% - Accent6 7 4 2" xfId="21132" xr:uid="{00000000-0005-0000-0000-00004D550000}"/>
    <cellStyle name="40% - Accent6 7 5" xfId="7666" xr:uid="{00000000-0005-0000-0000-00004E550000}"/>
    <cellStyle name="40% - Accent6 7 5 2" xfId="22815" xr:uid="{00000000-0005-0000-0000-00004F550000}"/>
    <cellStyle name="40% - Accent6 7 6" xfId="9349" xr:uid="{00000000-0005-0000-0000-000050550000}"/>
    <cellStyle name="40% - Accent6 7 6 2" xfId="24498" xr:uid="{00000000-0005-0000-0000-000051550000}"/>
    <cellStyle name="40% - Accent6 7 7" xfId="11032" xr:uid="{00000000-0005-0000-0000-000052550000}"/>
    <cellStyle name="40% - Accent6 7 7 2" xfId="26181" xr:uid="{00000000-0005-0000-0000-000053550000}"/>
    <cellStyle name="40% - Accent6 7 8" xfId="12716" xr:uid="{00000000-0005-0000-0000-000054550000}"/>
    <cellStyle name="40% - Accent6 7 8 2" xfId="27865" xr:uid="{00000000-0005-0000-0000-000055550000}"/>
    <cellStyle name="40% - Accent6 7 9" xfId="14399" xr:uid="{00000000-0005-0000-0000-000056550000}"/>
    <cellStyle name="40% - Accent6 7 9 2" xfId="29548" xr:uid="{00000000-0005-0000-0000-000057550000}"/>
    <cellStyle name="40% - Accent6 8" xfId="1354" xr:uid="{00000000-0005-0000-0000-000058550000}"/>
    <cellStyle name="40% - Accent6 8 10" xfId="16503" xr:uid="{00000000-0005-0000-0000-000059550000}"/>
    <cellStyle name="40% - Accent6 8 11" xfId="31652" xr:uid="{00000000-0005-0000-0000-00005A550000}"/>
    <cellStyle name="40% - Accent6 8 12" xfId="33335" xr:uid="{00000000-0005-0000-0000-00005B550000}"/>
    <cellStyle name="40% - Accent6 8 13" xfId="35018" xr:uid="{00000000-0005-0000-0000-00005C550000}"/>
    <cellStyle name="40% - Accent6 8 14" xfId="36701" xr:uid="{00000000-0005-0000-0000-00005D550000}"/>
    <cellStyle name="40% - Accent6 8 15" xfId="38384" xr:uid="{00000000-0005-0000-0000-00005E550000}"/>
    <cellStyle name="40% - Accent6 8 16" xfId="40067" xr:uid="{00000000-0005-0000-0000-00005F550000}"/>
    <cellStyle name="40% - Accent6 8 17" xfId="41750" xr:uid="{00000000-0005-0000-0000-000060550000}"/>
    <cellStyle name="40% - Accent6 8 18" xfId="43433" xr:uid="{00000000-0005-0000-0000-000061550000}"/>
    <cellStyle name="40% - Accent6 8 19" xfId="45116" xr:uid="{00000000-0005-0000-0000-000062550000}"/>
    <cellStyle name="40% - Accent6 8 2" xfId="3037" xr:uid="{00000000-0005-0000-0000-000063550000}"/>
    <cellStyle name="40% - Accent6 8 2 2" xfId="18186" xr:uid="{00000000-0005-0000-0000-000064550000}"/>
    <cellStyle name="40% - Accent6 8 20" xfId="46799" xr:uid="{00000000-0005-0000-0000-000065550000}"/>
    <cellStyle name="40% - Accent6 8 21" xfId="48482" xr:uid="{00000000-0005-0000-0000-000066550000}"/>
    <cellStyle name="40% - Accent6 8 22" xfId="50165" xr:uid="{00000000-0005-0000-0000-000067550000}"/>
    <cellStyle name="40% - Accent6 8 23" xfId="51848" xr:uid="{00000000-0005-0000-0000-000068550000}"/>
    <cellStyle name="40% - Accent6 8 24" xfId="53531" xr:uid="{00000000-0005-0000-0000-000069550000}"/>
    <cellStyle name="40% - Accent6 8 25" xfId="55214" xr:uid="{00000000-0005-0000-0000-00006A550000}"/>
    <cellStyle name="40% - Accent6 8 26" xfId="56897" xr:uid="{00000000-0005-0000-0000-00006B550000}"/>
    <cellStyle name="40% - Accent6 8 27" xfId="58580" xr:uid="{00000000-0005-0000-0000-00006C550000}"/>
    <cellStyle name="40% - Accent6 8 28" xfId="60263" xr:uid="{00000000-0005-0000-0000-00006D550000}"/>
    <cellStyle name="40% - Accent6 8 29" xfId="61946" xr:uid="{00000000-0005-0000-0000-00006E550000}"/>
    <cellStyle name="40% - Accent6 8 3" xfId="4721" xr:uid="{00000000-0005-0000-0000-00006F550000}"/>
    <cellStyle name="40% - Accent6 8 3 2" xfId="19870" xr:uid="{00000000-0005-0000-0000-000070550000}"/>
    <cellStyle name="40% - Accent6 8 30" xfId="63629" xr:uid="{00000000-0005-0000-0000-000071550000}"/>
    <cellStyle name="40% - Accent6 8 4" xfId="6404" xr:uid="{00000000-0005-0000-0000-000072550000}"/>
    <cellStyle name="40% - Accent6 8 4 2" xfId="21553" xr:uid="{00000000-0005-0000-0000-000073550000}"/>
    <cellStyle name="40% - Accent6 8 5" xfId="8087" xr:uid="{00000000-0005-0000-0000-000074550000}"/>
    <cellStyle name="40% - Accent6 8 5 2" xfId="23236" xr:uid="{00000000-0005-0000-0000-000075550000}"/>
    <cellStyle name="40% - Accent6 8 6" xfId="9770" xr:uid="{00000000-0005-0000-0000-000076550000}"/>
    <cellStyle name="40% - Accent6 8 6 2" xfId="24919" xr:uid="{00000000-0005-0000-0000-000077550000}"/>
    <cellStyle name="40% - Accent6 8 7" xfId="11453" xr:uid="{00000000-0005-0000-0000-000078550000}"/>
    <cellStyle name="40% - Accent6 8 7 2" xfId="26602" xr:uid="{00000000-0005-0000-0000-000079550000}"/>
    <cellStyle name="40% - Accent6 8 8" xfId="13137" xr:uid="{00000000-0005-0000-0000-00007A550000}"/>
    <cellStyle name="40% - Accent6 8 8 2" xfId="28286" xr:uid="{00000000-0005-0000-0000-00007B550000}"/>
    <cellStyle name="40% - Accent6 8 9" xfId="14820" xr:uid="{00000000-0005-0000-0000-00007C550000}"/>
    <cellStyle name="40% - Accent6 8 9 2" xfId="29969" xr:uid="{00000000-0005-0000-0000-00007D550000}"/>
    <cellStyle name="40% - Accent6 9" xfId="1775" xr:uid="{00000000-0005-0000-0000-00007E550000}"/>
    <cellStyle name="40% - Accent6 9 2" xfId="16924" xr:uid="{00000000-0005-0000-0000-00007F550000}"/>
    <cellStyle name="60% - Accent1" xfId="73" builtinId="32" customBuiltin="1"/>
    <cellStyle name="60% - Accent1 10" xfId="3445" xr:uid="{00000000-0005-0000-0000-000081550000}"/>
    <cellStyle name="60% - Accent1 10 2" xfId="18594" xr:uid="{00000000-0005-0000-0000-000082550000}"/>
    <cellStyle name="60% - Accent1 11" xfId="5128" xr:uid="{00000000-0005-0000-0000-000083550000}"/>
    <cellStyle name="60% - Accent1 11 2" xfId="20277" xr:uid="{00000000-0005-0000-0000-000084550000}"/>
    <cellStyle name="60% - Accent1 12" xfId="6811" xr:uid="{00000000-0005-0000-0000-000085550000}"/>
    <cellStyle name="60% - Accent1 12 2" xfId="21960" xr:uid="{00000000-0005-0000-0000-000086550000}"/>
    <cellStyle name="60% - Accent1 13" xfId="8494" xr:uid="{00000000-0005-0000-0000-000087550000}"/>
    <cellStyle name="60% - Accent1 13 2" xfId="23643" xr:uid="{00000000-0005-0000-0000-000088550000}"/>
    <cellStyle name="60% - Accent1 14" xfId="10177" xr:uid="{00000000-0005-0000-0000-000089550000}"/>
    <cellStyle name="60% - Accent1 14 2" xfId="25326" xr:uid="{00000000-0005-0000-0000-00008A550000}"/>
    <cellStyle name="60% - Accent1 15" xfId="11861" xr:uid="{00000000-0005-0000-0000-00008B550000}"/>
    <cellStyle name="60% - Accent1 15 2" xfId="27010" xr:uid="{00000000-0005-0000-0000-00008C550000}"/>
    <cellStyle name="60% - Accent1 16" xfId="13544" xr:uid="{00000000-0005-0000-0000-00008D550000}"/>
    <cellStyle name="60% - Accent1 16 2" xfId="28693" xr:uid="{00000000-0005-0000-0000-00008E550000}"/>
    <cellStyle name="60% - Accent1 17" xfId="15227" xr:uid="{00000000-0005-0000-0000-00008F550000}"/>
    <cellStyle name="60% - Accent1 18" xfId="30376" xr:uid="{00000000-0005-0000-0000-000090550000}"/>
    <cellStyle name="60% - Accent1 19" xfId="32059" xr:uid="{00000000-0005-0000-0000-000091550000}"/>
    <cellStyle name="60% - Accent1 2" xfId="100" xr:uid="{00000000-0005-0000-0000-000092550000}"/>
    <cellStyle name="60% - Accent1 2 10" xfId="6833" xr:uid="{00000000-0005-0000-0000-000093550000}"/>
    <cellStyle name="60% - Accent1 2 10 2" xfId="21982" xr:uid="{00000000-0005-0000-0000-000094550000}"/>
    <cellStyle name="60% - Accent1 2 11" xfId="8516" xr:uid="{00000000-0005-0000-0000-000095550000}"/>
    <cellStyle name="60% - Accent1 2 11 2" xfId="23665" xr:uid="{00000000-0005-0000-0000-000096550000}"/>
    <cellStyle name="60% - Accent1 2 12" xfId="10199" xr:uid="{00000000-0005-0000-0000-000097550000}"/>
    <cellStyle name="60% - Accent1 2 12 2" xfId="25348" xr:uid="{00000000-0005-0000-0000-000098550000}"/>
    <cellStyle name="60% - Accent1 2 13" xfId="11883" xr:uid="{00000000-0005-0000-0000-000099550000}"/>
    <cellStyle name="60% - Accent1 2 13 2" xfId="27032" xr:uid="{00000000-0005-0000-0000-00009A550000}"/>
    <cellStyle name="60% - Accent1 2 14" xfId="13566" xr:uid="{00000000-0005-0000-0000-00009B550000}"/>
    <cellStyle name="60% - Accent1 2 14 2" xfId="28715" xr:uid="{00000000-0005-0000-0000-00009C550000}"/>
    <cellStyle name="60% - Accent1 2 15" xfId="15249" xr:uid="{00000000-0005-0000-0000-00009D550000}"/>
    <cellStyle name="60% - Accent1 2 16" xfId="30398" xr:uid="{00000000-0005-0000-0000-00009E550000}"/>
    <cellStyle name="60% - Accent1 2 17" xfId="32081" xr:uid="{00000000-0005-0000-0000-00009F550000}"/>
    <cellStyle name="60% - Accent1 2 18" xfId="33764" xr:uid="{00000000-0005-0000-0000-0000A0550000}"/>
    <cellStyle name="60% - Accent1 2 19" xfId="35447" xr:uid="{00000000-0005-0000-0000-0000A1550000}"/>
    <cellStyle name="60% - Accent1 2 2" xfId="205" xr:uid="{00000000-0005-0000-0000-0000A2550000}"/>
    <cellStyle name="60% - Accent1 2 2 10" xfId="8621" xr:uid="{00000000-0005-0000-0000-0000A3550000}"/>
    <cellStyle name="60% - Accent1 2 2 10 2" xfId="23770" xr:uid="{00000000-0005-0000-0000-0000A4550000}"/>
    <cellStyle name="60% - Accent1 2 2 11" xfId="10304" xr:uid="{00000000-0005-0000-0000-0000A5550000}"/>
    <cellStyle name="60% - Accent1 2 2 11 2" xfId="25453" xr:uid="{00000000-0005-0000-0000-0000A6550000}"/>
    <cellStyle name="60% - Accent1 2 2 12" xfId="11988" xr:uid="{00000000-0005-0000-0000-0000A7550000}"/>
    <cellStyle name="60% - Accent1 2 2 12 2" xfId="27137" xr:uid="{00000000-0005-0000-0000-0000A8550000}"/>
    <cellStyle name="60% - Accent1 2 2 13" xfId="13671" xr:uid="{00000000-0005-0000-0000-0000A9550000}"/>
    <cellStyle name="60% - Accent1 2 2 13 2" xfId="28820" xr:uid="{00000000-0005-0000-0000-0000AA550000}"/>
    <cellStyle name="60% - Accent1 2 2 14" xfId="15354" xr:uid="{00000000-0005-0000-0000-0000AB550000}"/>
    <cellStyle name="60% - Accent1 2 2 15" xfId="30503" xr:uid="{00000000-0005-0000-0000-0000AC550000}"/>
    <cellStyle name="60% - Accent1 2 2 16" xfId="32186" xr:uid="{00000000-0005-0000-0000-0000AD550000}"/>
    <cellStyle name="60% - Accent1 2 2 17" xfId="33869" xr:uid="{00000000-0005-0000-0000-0000AE550000}"/>
    <cellStyle name="60% - Accent1 2 2 18" xfId="35552" xr:uid="{00000000-0005-0000-0000-0000AF550000}"/>
    <cellStyle name="60% - Accent1 2 2 19" xfId="37235" xr:uid="{00000000-0005-0000-0000-0000B0550000}"/>
    <cellStyle name="60% - Accent1 2 2 2" xfId="415" xr:uid="{00000000-0005-0000-0000-0000B1550000}"/>
    <cellStyle name="60% - Accent1 2 2 2 10" xfId="10514" xr:uid="{00000000-0005-0000-0000-0000B2550000}"/>
    <cellStyle name="60% - Accent1 2 2 2 10 2" xfId="25663" xr:uid="{00000000-0005-0000-0000-0000B3550000}"/>
    <cellStyle name="60% - Accent1 2 2 2 11" xfId="12198" xr:uid="{00000000-0005-0000-0000-0000B4550000}"/>
    <cellStyle name="60% - Accent1 2 2 2 11 2" xfId="27347" xr:uid="{00000000-0005-0000-0000-0000B5550000}"/>
    <cellStyle name="60% - Accent1 2 2 2 12" xfId="13881" xr:uid="{00000000-0005-0000-0000-0000B6550000}"/>
    <cellStyle name="60% - Accent1 2 2 2 12 2" xfId="29030" xr:uid="{00000000-0005-0000-0000-0000B7550000}"/>
    <cellStyle name="60% - Accent1 2 2 2 13" xfId="15564" xr:uid="{00000000-0005-0000-0000-0000B8550000}"/>
    <cellStyle name="60% - Accent1 2 2 2 14" xfId="30713" xr:uid="{00000000-0005-0000-0000-0000B9550000}"/>
    <cellStyle name="60% - Accent1 2 2 2 15" xfId="32396" xr:uid="{00000000-0005-0000-0000-0000BA550000}"/>
    <cellStyle name="60% - Accent1 2 2 2 16" xfId="34079" xr:uid="{00000000-0005-0000-0000-0000BB550000}"/>
    <cellStyle name="60% - Accent1 2 2 2 17" xfId="35762" xr:uid="{00000000-0005-0000-0000-0000BC550000}"/>
    <cellStyle name="60% - Accent1 2 2 2 18" xfId="37445" xr:uid="{00000000-0005-0000-0000-0000BD550000}"/>
    <cellStyle name="60% - Accent1 2 2 2 19" xfId="39128" xr:uid="{00000000-0005-0000-0000-0000BE550000}"/>
    <cellStyle name="60% - Accent1 2 2 2 2" xfId="835" xr:uid="{00000000-0005-0000-0000-0000BF550000}"/>
    <cellStyle name="60% - Accent1 2 2 2 2 10" xfId="15984" xr:uid="{00000000-0005-0000-0000-0000C0550000}"/>
    <cellStyle name="60% - Accent1 2 2 2 2 11" xfId="31133" xr:uid="{00000000-0005-0000-0000-0000C1550000}"/>
    <cellStyle name="60% - Accent1 2 2 2 2 12" xfId="32816" xr:uid="{00000000-0005-0000-0000-0000C2550000}"/>
    <cellStyle name="60% - Accent1 2 2 2 2 13" xfId="34499" xr:uid="{00000000-0005-0000-0000-0000C3550000}"/>
    <cellStyle name="60% - Accent1 2 2 2 2 14" xfId="36182" xr:uid="{00000000-0005-0000-0000-0000C4550000}"/>
    <cellStyle name="60% - Accent1 2 2 2 2 15" xfId="37865" xr:uid="{00000000-0005-0000-0000-0000C5550000}"/>
    <cellStyle name="60% - Accent1 2 2 2 2 16" xfId="39548" xr:uid="{00000000-0005-0000-0000-0000C6550000}"/>
    <cellStyle name="60% - Accent1 2 2 2 2 17" xfId="41231" xr:uid="{00000000-0005-0000-0000-0000C7550000}"/>
    <cellStyle name="60% - Accent1 2 2 2 2 18" xfId="42914" xr:uid="{00000000-0005-0000-0000-0000C8550000}"/>
    <cellStyle name="60% - Accent1 2 2 2 2 19" xfId="44597" xr:uid="{00000000-0005-0000-0000-0000C9550000}"/>
    <cellStyle name="60% - Accent1 2 2 2 2 2" xfId="2518" xr:uid="{00000000-0005-0000-0000-0000CA550000}"/>
    <cellStyle name="60% - Accent1 2 2 2 2 2 2" xfId="17667" xr:uid="{00000000-0005-0000-0000-0000CB550000}"/>
    <cellStyle name="60% - Accent1 2 2 2 2 20" xfId="46280" xr:uid="{00000000-0005-0000-0000-0000CC550000}"/>
    <cellStyle name="60% - Accent1 2 2 2 2 21" xfId="47963" xr:uid="{00000000-0005-0000-0000-0000CD550000}"/>
    <cellStyle name="60% - Accent1 2 2 2 2 22" xfId="49646" xr:uid="{00000000-0005-0000-0000-0000CE550000}"/>
    <cellStyle name="60% - Accent1 2 2 2 2 23" xfId="51329" xr:uid="{00000000-0005-0000-0000-0000CF550000}"/>
    <cellStyle name="60% - Accent1 2 2 2 2 24" xfId="53012" xr:uid="{00000000-0005-0000-0000-0000D0550000}"/>
    <cellStyle name="60% - Accent1 2 2 2 2 25" xfId="54695" xr:uid="{00000000-0005-0000-0000-0000D1550000}"/>
    <cellStyle name="60% - Accent1 2 2 2 2 26" xfId="56378" xr:uid="{00000000-0005-0000-0000-0000D2550000}"/>
    <cellStyle name="60% - Accent1 2 2 2 2 27" xfId="58061" xr:uid="{00000000-0005-0000-0000-0000D3550000}"/>
    <cellStyle name="60% - Accent1 2 2 2 2 28" xfId="59744" xr:uid="{00000000-0005-0000-0000-0000D4550000}"/>
    <cellStyle name="60% - Accent1 2 2 2 2 29" xfId="61427" xr:uid="{00000000-0005-0000-0000-0000D5550000}"/>
    <cellStyle name="60% - Accent1 2 2 2 2 3" xfId="4202" xr:uid="{00000000-0005-0000-0000-0000D6550000}"/>
    <cellStyle name="60% - Accent1 2 2 2 2 3 2" xfId="19351" xr:uid="{00000000-0005-0000-0000-0000D7550000}"/>
    <cellStyle name="60% - Accent1 2 2 2 2 30" xfId="63110" xr:uid="{00000000-0005-0000-0000-0000D8550000}"/>
    <cellStyle name="60% - Accent1 2 2 2 2 4" xfId="5885" xr:uid="{00000000-0005-0000-0000-0000D9550000}"/>
    <cellStyle name="60% - Accent1 2 2 2 2 4 2" xfId="21034" xr:uid="{00000000-0005-0000-0000-0000DA550000}"/>
    <cellStyle name="60% - Accent1 2 2 2 2 5" xfId="7568" xr:uid="{00000000-0005-0000-0000-0000DB550000}"/>
    <cellStyle name="60% - Accent1 2 2 2 2 5 2" xfId="22717" xr:uid="{00000000-0005-0000-0000-0000DC550000}"/>
    <cellStyle name="60% - Accent1 2 2 2 2 6" xfId="9251" xr:uid="{00000000-0005-0000-0000-0000DD550000}"/>
    <cellStyle name="60% - Accent1 2 2 2 2 6 2" xfId="24400" xr:uid="{00000000-0005-0000-0000-0000DE550000}"/>
    <cellStyle name="60% - Accent1 2 2 2 2 7" xfId="10934" xr:uid="{00000000-0005-0000-0000-0000DF550000}"/>
    <cellStyle name="60% - Accent1 2 2 2 2 7 2" xfId="26083" xr:uid="{00000000-0005-0000-0000-0000E0550000}"/>
    <cellStyle name="60% - Accent1 2 2 2 2 8" xfId="12618" xr:uid="{00000000-0005-0000-0000-0000E1550000}"/>
    <cellStyle name="60% - Accent1 2 2 2 2 8 2" xfId="27767" xr:uid="{00000000-0005-0000-0000-0000E2550000}"/>
    <cellStyle name="60% - Accent1 2 2 2 2 9" xfId="14301" xr:uid="{00000000-0005-0000-0000-0000E3550000}"/>
    <cellStyle name="60% - Accent1 2 2 2 2 9 2" xfId="29450" xr:uid="{00000000-0005-0000-0000-0000E4550000}"/>
    <cellStyle name="60% - Accent1 2 2 2 20" xfId="40811" xr:uid="{00000000-0005-0000-0000-0000E5550000}"/>
    <cellStyle name="60% - Accent1 2 2 2 21" xfId="42494" xr:uid="{00000000-0005-0000-0000-0000E6550000}"/>
    <cellStyle name="60% - Accent1 2 2 2 22" xfId="44177" xr:uid="{00000000-0005-0000-0000-0000E7550000}"/>
    <cellStyle name="60% - Accent1 2 2 2 23" xfId="45860" xr:uid="{00000000-0005-0000-0000-0000E8550000}"/>
    <cellStyle name="60% - Accent1 2 2 2 24" xfId="47543" xr:uid="{00000000-0005-0000-0000-0000E9550000}"/>
    <cellStyle name="60% - Accent1 2 2 2 25" xfId="49226" xr:uid="{00000000-0005-0000-0000-0000EA550000}"/>
    <cellStyle name="60% - Accent1 2 2 2 26" xfId="50909" xr:uid="{00000000-0005-0000-0000-0000EB550000}"/>
    <cellStyle name="60% - Accent1 2 2 2 27" xfId="52592" xr:uid="{00000000-0005-0000-0000-0000EC550000}"/>
    <cellStyle name="60% - Accent1 2 2 2 28" xfId="54275" xr:uid="{00000000-0005-0000-0000-0000ED550000}"/>
    <cellStyle name="60% - Accent1 2 2 2 29" xfId="55958" xr:uid="{00000000-0005-0000-0000-0000EE550000}"/>
    <cellStyle name="60% - Accent1 2 2 2 3" xfId="1256" xr:uid="{00000000-0005-0000-0000-0000EF550000}"/>
    <cellStyle name="60% - Accent1 2 2 2 3 10" xfId="16405" xr:uid="{00000000-0005-0000-0000-0000F0550000}"/>
    <cellStyle name="60% - Accent1 2 2 2 3 11" xfId="31554" xr:uid="{00000000-0005-0000-0000-0000F1550000}"/>
    <cellStyle name="60% - Accent1 2 2 2 3 12" xfId="33237" xr:uid="{00000000-0005-0000-0000-0000F2550000}"/>
    <cellStyle name="60% - Accent1 2 2 2 3 13" xfId="34920" xr:uid="{00000000-0005-0000-0000-0000F3550000}"/>
    <cellStyle name="60% - Accent1 2 2 2 3 14" xfId="36603" xr:uid="{00000000-0005-0000-0000-0000F4550000}"/>
    <cellStyle name="60% - Accent1 2 2 2 3 15" xfId="38286" xr:uid="{00000000-0005-0000-0000-0000F5550000}"/>
    <cellStyle name="60% - Accent1 2 2 2 3 16" xfId="39969" xr:uid="{00000000-0005-0000-0000-0000F6550000}"/>
    <cellStyle name="60% - Accent1 2 2 2 3 17" xfId="41652" xr:uid="{00000000-0005-0000-0000-0000F7550000}"/>
    <cellStyle name="60% - Accent1 2 2 2 3 18" xfId="43335" xr:uid="{00000000-0005-0000-0000-0000F8550000}"/>
    <cellStyle name="60% - Accent1 2 2 2 3 19" xfId="45018" xr:uid="{00000000-0005-0000-0000-0000F9550000}"/>
    <cellStyle name="60% - Accent1 2 2 2 3 2" xfId="2939" xr:uid="{00000000-0005-0000-0000-0000FA550000}"/>
    <cellStyle name="60% - Accent1 2 2 2 3 2 2" xfId="18088" xr:uid="{00000000-0005-0000-0000-0000FB550000}"/>
    <cellStyle name="60% - Accent1 2 2 2 3 20" xfId="46701" xr:uid="{00000000-0005-0000-0000-0000FC550000}"/>
    <cellStyle name="60% - Accent1 2 2 2 3 21" xfId="48384" xr:uid="{00000000-0005-0000-0000-0000FD550000}"/>
    <cellStyle name="60% - Accent1 2 2 2 3 22" xfId="50067" xr:uid="{00000000-0005-0000-0000-0000FE550000}"/>
    <cellStyle name="60% - Accent1 2 2 2 3 23" xfId="51750" xr:uid="{00000000-0005-0000-0000-0000FF550000}"/>
    <cellStyle name="60% - Accent1 2 2 2 3 24" xfId="53433" xr:uid="{00000000-0005-0000-0000-000000560000}"/>
    <cellStyle name="60% - Accent1 2 2 2 3 25" xfId="55116" xr:uid="{00000000-0005-0000-0000-000001560000}"/>
    <cellStyle name="60% - Accent1 2 2 2 3 26" xfId="56799" xr:uid="{00000000-0005-0000-0000-000002560000}"/>
    <cellStyle name="60% - Accent1 2 2 2 3 27" xfId="58482" xr:uid="{00000000-0005-0000-0000-000003560000}"/>
    <cellStyle name="60% - Accent1 2 2 2 3 28" xfId="60165" xr:uid="{00000000-0005-0000-0000-000004560000}"/>
    <cellStyle name="60% - Accent1 2 2 2 3 29" xfId="61848" xr:uid="{00000000-0005-0000-0000-000005560000}"/>
    <cellStyle name="60% - Accent1 2 2 2 3 3" xfId="4623" xr:uid="{00000000-0005-0000-0000-000006560000}"/>
    <cellStyle name="60% - Accent1 2 2 2 3 3 2" xfId="19772" xr:uid="{00000000-0005-0000-0000-000007560000}"/>
    <cellStyle name="60% - Accent1 2 2 2 3 30" xfId="63531" xr:uid="{00000000-0005-0000-0000-000008560000}"/>
    <cellStyle name="60% - Accent1 2 2 2 3 4" xfId="6306" xr:uid="{00000000-0005-0000-0000-000009560000}"/>
    <cellStyle name="60% - Accent1 2 2 2 3 4 2" xfId="21455" xr:uid="{00000000-0005-0000-0000-00000A560000}"/>
    <cellStyle name="60% - Accent1 2 2 2 3 5" xfId="7989" xr:uid="{00000000-0005-0000-0000-00000B560000}"/>
    <cellStyle name="60% - Accent1 2 2 2 3 5 2" xfId="23138" xr:uid="{00000000-0005-0000-0000-00000C560000}"/>
    <cellStyle name="60% - Accent1 2 2 2 3 6" xfId="9672" xr:uid="{00000000-0005-0000-0000-00000D560000}"/>
    <cellStyle name="60% - Accent1 2 2 2 3 6 2" xfId="24821" xr:uid="{00000000-0005-0000-0000-00000E560000}"/>
    <cellStyle name="60% - Accent1 2 2 2 3 7" xfId="11355" xr:uid="{00000000-0005-0000-0000-00000F560000}"/>
    <cellStyle name="60% - Accent1 2 2 2 3 7 2" xfId="26504" xr:uid="{00000000-0005-0000-0000-000010560000}"/>
    <cellStyle name="60% - Accent1 2 2 2 3 8" xfId="13039" xr:uid="{00000000-0005-0000-0000-000011560000}"/>
    <cellStyle name="60% - Accent1 2 2 2 3 8 2" xfId="28188" xr:uid="{00000000-0005-0000-0000-000012560000}"/>
    <cellStyle name="60% - Accent1 2 2 2 3 9" xfId="14722" xr:uid="{00000000-0005-0000-0000-000013560000}"/>
    <cellStyle name="60% - Accent1 2 2 2 3 9 2" xfId="29871" xr:uid="{00000000-0005-0000-0000-000014560000}"/>
    <cellStyle name="60% - Accent1 2 2 2 30" xfId="57641" xr:uid="{00000000-0005-0000-0000-000015560000}"/>
    <cellStyle name="60% - Accent1 2 2 2 31" xfId="59324" xr:uid="{00000000-0005-0000-0000-000016560000}"/>
    <cellStyle name="60% - Accent1 2 2 2 32" xfId="61007" xr:uid="{00000000-0005-0000-0000-000017560000}"/>
    <cellStyle name="60% - Accent1 2 2 2 33" xfId="62690" xr:uid="{00000000-0005-0000-0000-000018560000}"/>
    <cellStyle name="60% - Accent1 2 2 2 4" xfId="1677" xr:uid="{00000000-0005-0000-0000-000019560000}"/>
    <cellStyle name="60% - Accent1 2 2 2 4 10" xfId="16826" xr:uid="{00000000-0005-0000-0000-00001A560000}"/>
    <cellStyle name="60% - Accent1 2 2 2 4 11" xfId="31975" xr:uid="{00000000-0005-0000-0000-00001B560000}"/>
    <cellStyle name="60% - Accent1 2 2 2 4 12" xfId="33658" xr:uid="{00000000-0005-0000-0000-00001C560000}"/>
    <cellStyle name="60% - Accent1 2 2 2 4 13" xfId="35341" xr:uid="{00000000-0005-0000-0000-00001D560000}"/>
    <cellStyle name="60% - Accent1 2 2 2 4 14" xfId="37024" xr:uid="{00000000-0005-0000-0000-00001E560000}"/>
    <cellStyle name="60% - Accent1 2 2 2 4 15" xfId="38707" xr:uid="{00000000-0005-0000-0000-00001F560000}"/>
    <cellStyle name="60% - Accent1 2 2 2 4 16" xfId="40390" xr:uid="{00000000-0005-0000-0000-000020560000}"/>
    <cellStyle name="60% - Accent1 2 2 2 4 17" xfId="42073" xr:uid="{00000000-0005-0000-0000-000021560000}"/>
    <cellStyle name="60% - Accent1 2 2 2 4 18" xfId="43756" xr:uid="{00000000-0005-0000-0000-000022560000}"/>
    <cellStyle name="60% - Accent1 2 2 2 4 19" xfId="45439" xr:uid="{00000000-0005-0000-0000-000023560000}"/>
    <cellStyle name="60% - Accent1 2 2 2 4 2" xfId="3360" xr:uid="{00000000-0005-0000-0000-000024560000}"/>
    <cellStyle name="60% - Accent1 2 2 2 4 2 2" xfId="18509" xr:uid="{00000000-0005-0000-0000-000025560000}"/>
    <cellStyle name="60% - Accent1 2 2 2 4 20" xfId="47122" xr:uid="{00000000-0005-0000-0000-000026560000}"/>
    <cellStyle name="60% - Accent1 2 2 2 4 21" xfId="48805" xr:uid="{00000000-0005-0000-0000-000027560000}"/>
    <cellStyle name="60% - Accent1 2 2 2 4 22" xfId="50488" xr:uid="{00000000-0005-0000-0000-000028560000}"/>
    <cellStyle name="60% - Accent1 2 2 2 4 23" xfId="52171" xr:uid="{00000000-0005-0000-0000-000029560000}"/>
    <cellStyle name="60% - Accent1 2 2 2 4 24" xfId="53854" xr:uid="{00000000-0005-0000-0000-00002A560000}"/>
    <cellStyle name="60% - Accent1 2 2 2 4 25" xfId="55537" xr:uid="{00000000-0005-0000-0000-00002B560000}"/>
    <cellStyle name="60% - Accent1 2 2 2 4 26" xfId="57220" xr:uid="{00000000-0005-0000-0000-00002C560000}"/>
    <cellStyle name="60% - Accent1 2 2 2 4 27" xfId="58903" xr:uid="{00000000-0005-0000-0000-00002D560000}"/>
    <cellStyle name="60% - Accent1 2 2 2 4 28" xfId="60586" xr:uid="{00000000-0005-0000-0000-00002E560000}"/>
    <cellStyle name="60% - Accent1 2 2 2 4 29" xfId="62269" xr:uid="{00000000-0005-0000-0000-00002F560000}"/>
    <cellStyle name="60% - Accent1 2 2 2 4 3" xfId="5044" xr:uid="{00000000-0005-0000-0000-000030560000}"/>
    <cellStyle name="60% - Accent1 2 2 2 4 3 2" xfId="20193" xr:uid="{00000000-0005-0000-0000-000031560000}"/>
    <cellStyle name="60% - Accent1 2 2 2 4 30" xfId="63952" xr:uid="{00000000-0005-0000-0000-000032560000}"/>
    <cellStyle name="60% - Accent1 2 2 2 4 4" xfId="6727" xr:uid="{00000000-0005-0000-0000-000033560000}"/>
    <cellStyle name="60% - Accent1 2 2 2 4 4 2" xfId="21876" xr:uid="{00000000-0005-0000-0000-000034560000}"/>
    <cellStyle name="60% - Accent1 2 2 2 4 5" xfId="8410" xr:uid="{00000000-0005-0000-0000-000035560000}"/>
    <cellStyle name="60% - Accent1 2 2 2 4 5 2" xfId="23559" xr:uid="{00000000-0005-0000-0000-000036560000}"/>
    <cellStyle name="60% - Accent1 2 2 2 4 6" xfId="10093" xr:uid="{00000000-0005-0000-0000-000037560000}"/>
    <cellStyle name="60% - Accent1 2 2 2 4 6 2" xfId="25242" xr:uid="{00000000-0005-0000-0000-000038560000}"/>
    <cellStyle name="60% - Accent1 2 2 2 4 7" xfId="11776" xr:uid="{00000000-0005-0000-0000-000039560000}"/>
    <cellStyle name="60% - Accent1 2 2 2 4 7 2" xfId="26925" xr:uid="{00000000-0005-0000-0000-00003A560000}"/>
    <cellStyle name="60% - Accent1 2 2 2 4 8" xfId="13460" xr:uid="{00000000-0005-0000-0000-00003B560000}"/>
    <cellStyle name="60% - Accent1 2 2 2 4 8 2" xfId="28609" xr:uid="{00000000-0005-0000-0000-00003C560000}"/>
    <cellStyle name="60% - Accent1 2 2 2 4 9" xfId="15143" xr:uid="{00000000-0005-0000-0000-00003D560000}"/>
    <cellStyle name="60% - Accent1 2 2 2 4 9 2" xfId="30292" xr:uid="{00000000-0005-0000-0000-00003E560000}"/>
    <cellStyle name="60% - Accent1 2 2 2 5" xfId="2098" xr:uid="{00000000-0005-0000-0000-00003F560000}"/>
    <cellStyle name="60% - Accent1 2 2 2 5 2" xfId="17247" xr:uid="{00000000-0005-0000-0000-000040560000}"/>
    <cellStyle name="60% - Accent1 2 2 2 6" xfId="3782" xr:uid="{00000000-0005-0000-0000-000041560000}"/>
    <cellStyle name="60% - Accent1 2 2 2 6 2" xfId="18931" xr:uid="{00000000-0005-0000-0000-000042560000}"/>
    <cellStyle name="60% - Accent1 2 2 2 7" xfId="5465" xr:uid="{00000000-0005-0000-0000-000043560000}"/>
    <cellStyle name="60% - Accent1 2 2 2 7 2" xfId="20614" xr:uid="{00000000-0005-0000-0000-000044560000}"/>
    <cellStyle name="60% - Accent1 2 2 2 8" xfId="7148" xr:uid="{00000000-0005-0000-0000-000045560000}"/>
    <cellStyle name="60% - Accent1 2 2 2 8 2" xfId="22297" xr:uid="{00000000-0005-0000-0000-000046560000}"/>
    <cellStyle name="60% - Accent1 2 2 2 9" xfId="8831" xr:uid="{00000000-0005-0000-0000-000047560000}"/>
    <cellStyle name="60% - Accent1 2 2 2 9 2" xfId="23980" xr:uid="{00000000-0005-0000-0000-000048560000}"/>
    <cellStyle name="60% - Accent1 2 2 20" xfId="38918" xr:uid="{00000000-0005-0000-0000-000049560000}"/>
    <cellStyle name="60% - Accent1 2 2 21" xfId="40601" xr:uid="{00000000-0005-0000-0000-00004A560000}"/>
    <cellStyle name="60% - Accent1 2 2 22" xfId="42284" xr:uid="{00000000-0005-0000-0000-00004B560000}"/>
    <cellStyle name="60% - Accent1 2 2 23" xfId="43967" xr:uid="{00000000-0005-0000-0000-00004C560000}"/>
    <cellStyle name="60% - Accent1 2 2 24" xfId="45650" xr:uid="{00000000-0005-0000-0000-00004D560000}"/>
    <cellStyle name="60% - Accent1 2 2 25" xfId="47333" xr:uid="{00000000-0005-0000-0000-00004E560000}"/>
    <cellStyle name="60% - Accent1 2 2 26" xfId="49016" xr:uid="{00000000-0005-0000-0000-00004F560000}"/>
    <cellStyle name="60% - Accent1 2 2 27" xfId="50699" xr:uid="{00000000-0005-0000-0000-000050560000}"/>
    <cellStyle name="60% - Accent1 2 2 28" xfId="52382" xr:uid="{00000000-0005-0000-0000-000051560000}"/>
    <cellStyle name="60% - Accent1 2 2 29" xfId="54065" xr:uid="{00000000-0005-0000-0000-000052560000}"/>
    <cellStyle name="60% - Accent1 2 2 3" xfId="625" xr:uid="{00000000-0005-0000-0000-000053560000}"/>
    <cellStyle name="60% - Accent1 2 2 3 10" xfId="15774" xr:uid="{00000000-0005-0000-0000-000054560000}"/>
    <cellStyle name="60% - Accent1 2 2 3 11" xfId="30923" xr:uid="{00000000-0005-0000-0000-000055560000}"/>
    <cellStyle name="60% - Accent1 2 2 3 12" xfId="32606" xr:uid="{00000000-0005-0000-0000-000056560000}"/>
    <cellStyle name="60% - Accent1 2 2 3 13" xfId="34289" xr:uid="{00000000-0005-0000-0000-000057560000}"/>
    <cellStyle name="60% - Accent1 2 2 3 14" xfId="35972" xr:uid="{00000000-0005-0000-0000-000058560000}"/>
    <cellStyle name="60% - Accent1 2 2 3 15" xfId="37655" xr:uid="{00000000-0005-0000-0000-000059560000}"/>
    <cellStyle name="60% - Accent1 2 2 3 16" xfId="39338" xr:uid="{00000000-0005-0000-0000-00005A560000}"/>
    <cellStyle name="60% - Accent1 2 2 3 17" xfId="41021" xr:uid="{00000000-0005-0000-0000-00005B560000}"/>
    <cellStyle name="60% - Accent1 2 2 3 18" xfId="42704" xr:uid="{00000000-0005-0000-0000-00005C560000}"/>
    <cellStyle name="60% - Accent1 2 2 3 19" xfId="44387" xr:uid="{00000000-0005-0000-0000-00005D560000}"/>
    <cellStyle name="60% - Accent1 2 2 3 2" xfId="2308" xr:uid="{00000000-0005-0000-0000-00005E560000}"/>
    <cellStyle name="60% - Accent1 2 2 3 2 2" xfId="17457" xr:uid="{00000000-0005-0000-0000-00005F560000}"/>
    <cellStyle name="60% - Accent1 2 2 3 20" xfId="46070" xr:uid="{00000000-0005-0000-0000-000060560000}"/>
    <cellStyle name="60% - Accent1 2 2 3 21" xfId="47753" xr:uid="{00000000-0005-0000-0000-000061560000}"/>
    <cellStyle name="60% - Accent1 2 2 3 22" xfId="49436" xr:uid="{00000000-0005-0000-0000-000062560000}"/>
    <cellStyle name="60% - Accent1 2 2 3 23" xfId="51119" xr:uid="{00000000-0005-0000-0000-000063560000}"/>
    <cellStyle name="60% - Accent1 2 2 3 24" xfId="52802" xr:uid="{00000000-0005-0000-0000-000064560000}"/>
    <cellStyle name="60% - Accent1 2 2 3 25" xfId="54485" xr:uid="{00000000-0005-0000-0000-000065560000}"/>
    <cellStyle name="60% - Accent1 2 2 3 26" xfId="56168" xr:uid="{00000000-0005-0000-0000-000066560000}"/>
    <cellStyle name="60% - Accent1 2 2 3 27" xfId="57851" xr:uid="{00000000-0005-0000-0000-000067560000}"/>
    <cellStyle name="60% - Accent1 2 2 3 28" xfId="59534" xr:uid="{00000000-0005-0000-0000-000068560000}"/>
    <cellStyle name="60% - Accent1 2 2 3 29" xfId="61217" xr:uid="{00000000-0005-0000-0000-000069560000}"/>
    <cellStyle name="60% - Accent1 2 2 3 3" xfId="3992" xr:uid="{00000000-0005-0000-0000-00006A560000}"/>
    <cellStyle name="60% - Accent1 2 2 3 3 2" xfId="19141" xr:uid="{00000000-0005-0000-0000-00006B560000}"/>
    <cellStyle name="60% - Accent1 2 2 3 30" xfId="62900" xr:uid="{00000000-0005-0000-0000-00006C560000}"/>
    <cellStyle name="60% - Accent1 2 2 3 4" xfId="5675" xr:uid="{00000000-0005-0000-0000-00006D560000}"/>
    <cellStyle name="60% - Accent1 2 2 3 4 2" xfId="20824" xr:uid="{00000000-0005-0000-0000-00006E560000}"/>
    <cellStyle name="60% - Accent1 2 2 3 5" xfId="7358" xr:uid="{00000000-0005-0000-0000-00006F560000}"/>
    <cellStyle name="60% - Accent1 2 2 3 5 2" xfId="22507" xr:uid="{00000000-0005-0000-0000-000070560000}"/>
    <cellStyle name="60% - Accent1 2 2 3 6" xfId="9041" xr:uid="{00000000-0005-0000-0000-000071560000}"/>
    <cellStyle name="60% - Accent1 2 2 3 6 2" xfId="24190" xr:uid="{00000000-0005-0000-0000-000072560000}"/>
    <cellStyle name="60% - Accent1 2 2 3 7" xfId="10724" xr:uid="{00000000-0005-0000-0000-000073560000}"/>
    <cellStyle name="60% - Accent1 2 2 3 7 2" xfId="25873" xr:uid="{00000000-0005-0000-0000-000074560000}"/>
    <cellStyle name="60% - Accent1 2 2 3 8" xfId="12408" xr:uid="{00000000-0005-0000-0000-000075560000}"/>
    <cellStyle name="60% - Accent1 2 2 3 8 2" xfId="27557" xr:uid="{00000000-0005-0000-0000-000076560000}"/>
    <cellStyle name="60% - Accent1 2 2 3 9" xfId="14091" xr:uid="{00000000-0005-0000-0000-000077560000}"/>
    <cellStyle name="60% - Accent1 2 2 3 9 2" xfId="29240" xr:uid="{00000000-0005-0000-0000-000078560000}"/>
    <cellStyle name="60% - Accent1 2 2 30" xfId="55748" xr:uid="{00000000-0005-0000-0000-000079560000}"/>
    <cellStyle name="60% - Accent1 2 2 31" xfId="57431" xr:uid="{00000000-0005-0000-0000-00007A560000}"/>
    <cellStyle name="60% - Accent1 2 2 32" xfId="59114" xr:uid="{00000000-0005-0000-0000-00007B560000}"/>
    <cellStyle name="60% - Accent1 2 2 33" xfId="60797" xr:uid="{00000000-0005-0000-0000-00007C560000}"/>
    <cellStyle name="60% - Accent1 2 2 34" xfId="62480" xr:uid="{00000000-0005-0000-0000-00007D560000}"/>
    <cellStyle name="60% - Accent1 2 2 4" xfId="1046" xr:uid="{00000000-0005-0000-0000-00007E560000}"/>
    <cellStyle name="60% - Accent1 2 2 4 10" xfId="16195" xr:uid="{00000000-0005-0000-0000-00007F560000}"/>
    <cellStyle name="60% - Accent1 2 2 4 11" xfId="31344" xr:uid="{00000000-0005-0000-0000-000080560000}"/>
    <cellStyle name="60% - Accent1 2 2 4 12" xfId="33027" xr:uid="{00000000-0005-0000-0000-000081560000}"/>
    <cellStyle name="60% - Accent1 2 2 4 13" xfId="34710" xr:uid="{00000000-0005-0000-0000-000082560000}"/>
    <cellStyle name="60% - Accent1 2 2 4 14" xfId="36393" xr:uid="{00000000-0005-0000-0000-000083560000}"/>
    <cellStyle name="60% - Accent1 2 2 4 15" xfId="38076" xr:uid="{00000000-0005-0000-0000-000084560000}"/>
    <cellStyle name="60% - Accent1 2 2 4 16" xfId="39759" xr:uid="{00000000-0005-0000-0000-000085560000}"/>
    <cellStyle name="60% - Accent1 2 2 4 17" xfId="41442" xr:uid="{00000000-0005-0000-0000-000086560000}"/>
    <cellStyle name="60% - Accent1 2 2 4 18" xfId="43125" xr:uid="{00000000-0005-0000-0000-000087560000}"/>
    <cellStyle name="60% - Accent1 2 2 4 19" xfId="44808" xr:uid="{00000000-0005-0000-0000-000088560000}"/>
    <cellStyle name="60% - Accent1 2 2 4 2" xfId="2729" xr:uid="{00000000-0005-0000-0000-000089560000}"/>
    <cellStyle name="60% - Accent1 2 2 4 2 2" xfId="17878" xr:uid="{00000000-0005-0000-0000-00008A560000}"/>
    <cellStyle name="60% - Accent1 2 2 4 20" xfId="46491" xr:uid="{00000000-0005-0000-0000-00008B560000}"/>
    <cellStyle name="60% - Accent1 2 2 4 21" xfId="48174" xr:uid="{00000000-0005-0000-0000-00008C560000}"/>
    <cellStyle name="60% - Accent1 2 2 4 22" xfId="49857" xr:uid="{00000000-0005-0000-0000-00008D560000}"/>
    <cellStyle name="60% - Accent1 2 2 4 23" xfId="51540" xr:uid="{00000000-0005-0000-0000-00008E560000}"/>
    <cellStyle name="60% - Accent1 2 2 4 24" xfId="53223" xr:uid="{00000000-0005-0000-0000-00008F560000}"/>
    <cellStyle name="60% - Accent1 2 2 4 25" xfId="54906" xr:uid="{00000000-0005-0000-0000-000090560000}"/>
    <cellStyle name="60% - Accent1 2 2 4 26" xfId="56589" xr:uid="{00000000-0005-0000-0000-000091560000}"/>
    <cellStyle name="60% - Accent1 2 2 4 27" xfId="58272" xr:uid="{00000000-0005-0000-0000-000092560000}"/>
    <cellStyle name="60% - Accent1 2 2 4 28" xfId="59955" xr:uid="{00000000-0005-0000-0000-000093560000}"/>
    <cellStyle name="60% - Accent1 2 2 4 29" xfId="61638" xr:uid="{00000000-0005-0000-0000-000094560000}"/>
    <cellStyle name="60% - Accent1 2 2 4 3" xfId="4413" xr:uid="{00000000-0005-0000-0000-000095560000}"/>
    <cellStyle name="60% - Accent1 2 2 4 3 2" xfId="19562" xr:uid="{00000000-0005-0000-0000-000096560000}"/>
    <cellStyle name="60% - Accent1 2 2 4 30" xfId="63321" xr:uid="{00000000-0005-0000-0000-000097560000}"/>
    <cellStyle name="60% - Accent1 2 2 4 4" xfId="6096" xr:uid="{00000000-0005-0000-0000-000098560000}"/>
    <cellStyle name="60% - Accent1 2 2 4 4 2" xfId="21245" xr:uid="{00000000-0005-0000-0000-000099560000}"/>
    <cellStyle name="60% - Accent1 2 2 4 5" xfId="7779" xr:uid="{00000000-0005-0000-0000-00009A560000}"/>
    <cellStyle name="60% - Accent1 2 2 4 5 2" xfId="22928" xr:uid="{00000000-0005-0000-0000-00009B560000}"/>
    <cellStyle name="60% - Accent1 2 2 4 6" xfId="9462" xr:uid="{00000000-0005-0000-0000-00009C560000}"/>
    <cellStyle name="60% - Accent1 2 2 4 6 2" xfId="24611" xr:uid="{00000000-0005-0000-0000-00009D560000}"/>
    <cellStyle name="60% - Accent1 2 2 4 7" xfId="11145" xr:uid="{00000000-0005-0000-0000-00009E560000}"/>
    <cellStyle name="60% - Accent1 2 2 4 7 2" xfId="26294" xr:uid="{00000000-0005-0000-0000-00009F560000}"/>
    <cellStyle name="60% - Accent1 2 2 4 8" xfId="12829" xr:uid="{00000000-0005-0000-0000-0000A0560000}"/>
    <cellStyle name="60% - Accent1 2 2 4 8 2" xfId="27978" xr:uid="{00000000-0005-0000-0000-0000A1560000}"/>
    <cellStyle name="60% - Accent1 2 2 4 9" xfId="14512" xr:uid="{00000000-0005-0000-0000-0000A2560000}"/>
    <cellStyle name="60% - Accent1 2 2 4 9 2" xfId="29661" xr:uid="{00000000-0005-0000-0000-0000A3560000}"/>
    <cellStyle name="60% - Accent1 2 2 5" xfId="1467" xr:uid="{00000000-0005-0000-0000-0000A4560000}"/>
    <cellStyle name="60% - Accent1 2 2 5 10" xfId="16616" xr:uid="{00000000-0005-0000-0000-0000A5560000}"/>
    <cellStyle name="60% - Accent1 2 2 5 11" xfId="31765" xr:uid="{00000000-0005-0000-0000-0000A6560000}"/>
    <cellStyle name="60% - Accent1 2 2 5 12" xfId="33448" xr:uid="{00000000-0005-0000-0000-0000A7560000}"/>
    <cellStyle name="60% - Accent1 2 2 5 13" xfId="35131" xr:uid="{00000000-0005-0000-0000-0000A8560000}"/>
    <cellStyle name="60% - Accent1 2 2 5 14" xfId="36814" xr:uid="{00000000-0005-0000-0000-0000A9560000}"/>
    <cellStyle name="60% - Accent1 2 2 5 15" xfId="38497" xr:uid="{00000000-0005-0000-0000-0000AA560000}"/>
    <cellStyle name="60% - Accent1 2 2 5 16" xfId="40180" xr:uid="{00000000-0005-0000-0000-0000AB560000}"/>
    <cellStyle name="60% - Accent1 2 2 5 17" xfId="41863" xr:uid="{00000000-0005-0000-0000-0000AC560000}"/>
    <cellStyle name="60% - Accent1 2 2 5 18" xfId="43546" xr:uid="{00000000-0005-0000-0000-0000AD560000}"/>
    <cellStyle name="60% - Accent1 2 2 5 19" xfId="45229" xr:uid="{00000000-0005-0000-0000-0000AE560000}"/>
    <cellStyle name="60% - Accent1 2 2 5 2" xfId="3150" xr:uid="{00000000-0005-0000-0000-0000AF560000}"/>
    <cellStyle name="60% - Accent1 2 2 5 2 2" xfId="18299" xr:uid="{00000000-0005-0000-0000-0000B0560000}"/>
    <cellStyle name="60% - Accent1 2 2 5 20" xfId="46912" xr:uid="{00000000-0005-0000-0000-0000B1560000}"/>
    <cellStyle name="60% - Accent1 2 2 5 21" xfId="48595" xr:uid="{00000000-0005-0000-0000-0000B2560000}"/>
    <cellStyle name="60% - Accent1 2 2 5 22" xfId="50278" xr:uid="{00000000-0005-0000-0000-0000B3560000}"/>
    <cellStyle name="60% - Accent1 2 2 5 23" xfId="51961" xr:uid="{00000000-0005-0000-0000-0000B4560000}"/>
    <cellStyle name="60% - Accent1 2 2 5 24" xfId="53644" xr:uid="{00000000-0005-0000-0000-0000B5560000}"/>
    <cellStyle name="60% - Accent1 2 2 5 25" xfId="55327" xr:uid="{00000000-0005-0000-0000-0000B6560000}"/>
    <cellStyle name="60% - Accent1 2 2 5 26" xfId="57010" xr:uid="{00000000-0005-0000-0000-0000B7560000}"/>
    <cellStyle name="60% - Accent1 2 2 5 27" xfId="58693" xr:uid="{00000000-0005-0000-0000-0000B8560000}"/>
    <cellStyle name="60% - Accent1 2 2 5 28" xfId="60376" xr:uid="{00000000-0005-0000-0000-0000B9560000}"/>
    <cellStyle name="60% - Accent1 2 2 5 29" xfId="62059" xr:uid="{00000000-0005-0000-0000-0000BA560000}"/>
    <cellStyle name="60% - Accent1 2 2 5 3" xfId="4834" xr:uid="{00000000-0005-0000-0000-0000BB560000}"/>
    <cellStyle name="60% - Accent1 2 2 5 3 2" xfId="19983" xr:uid="{00000000-0005-0000-0000-0000BC560000}"/>
    <cellStyle name="60% - Accent1 2 2 5 30" xfId="63742" xr:uid="{00000000-0005-0000-0000-0000BD560000}"/>
    <cellStyle name="60% - Accent1 2 2 5 4" xfId="6517" xr:uid="{00000000-0005-0000-0000-0000BE560000}"/>
    <cellStyle name="60% - Accent1 2 2 5 4 2" xfId="21666" xr:uid="{00000000-0005-0000-0000-0000BF560000}"/>
    <cellStyle name="60% - Accent1 2 2 5 5" xfId="8200" xr:uid="{00000000-0005-0000-0000-0000C0560000}"/>
    <cellStyle name="60% - Accent1 2 2 5 5 2" xfId="23349" xr:uid="{00000000-0005-0000-0000-0000C1560000}"/>
    <cellStyle name="60% - Accent1 2 2 5 6" xfId="9883" xr:uid="{00000000-0005-0000-0000-0000C2560000}"/>
    <cellStyle name="60% - Accent1 2 2 5 6 2" xfId="25032" xr:uid="{00000000-0005-0000-0000-0000C3560000}"/>
    <cellStyle name="60% - Accent1 2 2 5 7" xfId="11566" xr:uid="{00000000-0005-0000-0000-0000C4560000}"/>
    <cellStyle name="60% - Accent1 2 2 5 7 2" xfId="26715" xr:uid="{00000000-0005-0000-0000-0000C5560000}"/>
    <cellStyle name="60% - Accent1 2 2 5 8" xfId="13250" xr:uid="{00000000-0005-0000-0000-0000C6560000}"/>
    <cellStyle name="60% - Accent1 2 2 5 8 2" xfId="28399" xr:uid="{00000000-0005-0000-0000-0000C7560000}"/>
    <cellStyle name="60% - Accent1 2 2 5 9" xfId="14933" xr:uid="{00000000-0005-0000-0000-0000C8560000}"/>
    <cellStyle name="60% - Accent1 2 2 5 9 2" xfId="30082" xr:uid="{00000000-0005-0000-0000-0000C9560000}"/>
    <cellStyle name="60% - Accent1 2 2 6" xfId="1888" xr:uid="{00000000-0005-0000-0000-0000CA560000}"/>
    <cellStyle name="60% - Accent1 2 2 6 2" xfId="17037" xr:uid="{00000000-0005-0000-0000-0000CB560000}"/>
    <cellStyle name="60% - Accent1 2 2 7" xfId="3572" xr:uid="{00000000-0005-0000-0000-0000CC560000}"/>
    <cellStyle name="60% - Accent1 2 2 7 2" xfId="18721" xr:uid="{00000000-0005-0000-0000-0000CD560000}"/>
    <cellStyle name="60% - Accent1 2 2 8" xfId="5255" xr:uid="{00000000-0005-0000-0000-0000CE560000}"/>
    <cellStyle name="60% - Accent1 2 2 8 2" xfId="20404" xr:uid="{00000000-0005-0000-0000-0000CF560000}"/>
    <cellStyle name="60% - Accent1 2 2 9" xfId="6938" xr:uid="{00000000-0005-0000-0000-0000D0560000}"/>
    <cellStyle name="60% - Accent1 2 2 9 2" xfId="22087" xr:uid="{00000000-0005-0000-0000-0000D1560000}"/>
    <cellStyle name="60% - Accent1 2 20" xfId="37130" xr:uid="{00000000-0005-0000-0000-0000D2560000}"/>
    <cellStyle name="60% - Accent1 2 21" xfId="38813" xr:uid="{00000000-0005-0000-0000-0000D3560000}"/>
    <cellStyle name="60% - Accent1 2 22" xfId="40496" xr:uid="{00000000-0005-0000-0000-0000D4560000}"/>
    <cellStyle name="60% - Accent1 2 23" xfId="42179" xr:uid="{00000000-0005-0000-0000-0000D5560000}"/>
    <cellStyle name="60% - Accent1 2 24" xfId="43862" xr:uid="{00000000-0005-0000-0000-0000D6560000}"/>
    <cellStyle name="60% - Accent1 2 25" xfId="45545" xr:uid="{00000000-0005-0000-0000-0000D7560000}"/>
    <cellStyle name="60% - Accent1 2 26" xfId="47228" xr:uid="{00000000-0005-0000-0000-0000D8560000}"/>
    <cellStyle name="60% - Accent1 2 27" xfId="48911" xr:uid="{00000000-0005-0000-0000-0000D9560000}"/>
    <cellStyle name="60% - Accent1 2 28" xfId="50594" xr:uid="{00000000-0005-0000-0000-0000DA560000}"/>
    <cellStyle name="60% - Accent1 2 29" xfId="52277" xr:uid="{00000000-0005-0000-0000-0000DB560000}"/>
    <cellStyle name="60% - Accent1 2 3" xfId="310" xr:uid="{00000000-0005-0000-0000-0000DC560000}"/>
    <cellStyle name="60% - Accent1 2 3 10" xfId="10409" xr:uid="{00000000-0005-0000-0000-0000DD560000}"/>
    <cellStyle name="60% - Accent1 2 3 10 2" xfId="25558" xr:uid="{00000000-0005-0000-0000-0000DE560000}"/>
    <cellStyle name="60% - Accent1 2 3 11" xfId="12093" xr:uid="{00000000-0005-0000-0000-0000DF560000}"/>
    <cellStyle name="60% - Accent1 2 3 11 2" xfId="27242" xr:uid="{00000000-0005-0000-0000-0000E0560000}"/>
    <cellStyle name="60% - Accent1 2 3 12" xfId="13776" xr:uid="{00000000-0005-0000-0000-0000E1560000}"/>
    <cellStyle name="60% - Accent1 2 3 12 2" xfId="28925" xr:uid="{00000000-0005-0000-0000-0000E2560000}"/>
    <cellStyle name="60% - Accent1 2 3 13" xfId="15459" xr:uid="{00000000-0005-0000-0000-0000E3560000}"/>
    <cellStyle name="60% - Accent1 2 3 14" xfId="30608" xr:uid="{00000000-0005-0000-0000-0000E4560000}"/>
    <cellStyle name="60% - Accent1 2 3 15" xfId="32291" xr:uid="{00000000-0005-0000-0000-0000E5560000}"/>
    <cellStyle name="60% - Accent1 2 3 16" xfId="33974" xr:uid="{00000000-0005-0000-0000-0000E6560000}"/>
    <cellStyle name="60% - Accent1 2 3 17" xfId="35657" xr:uid="{00000000-0005-0000-0000-0000E7560000}"/>
    <cellStyle name="60% - Accent1 2 3 18" xfId="37340" xr:uid="{00000000-0005-0000-0000-0000E8560000}"/>
    <cellStyle name="60% - Accent1 2 3 19" xfId="39023" xr:uid="{00000000-0005-0000-0000-0000E9560000}"/>
    <cellStyle name="60% - Accent1 2 3 2" xfId="730" xr:uid="{00000000-0005-0000-0000-0000EA560000}"/>
    <cellStyle name="60% - Accent1 2 3 2 10" xfId="15879" xr:uid="{00000000-0005-0000-0000-0000EB560000}"/>
    <cellStyle name="60% - Accent1 2 3 2 11" xfId="31028" xr:uid="{00000000-0005-0000-0000-0000EC560000}"/>
    <cellStyle name="60% - Accent1 2 3 2 12" xfId="32711" xr:uid="{00000000-0005-0000-0000-0000ED560000}"/>
    <cellStyle name="60% - Accent1 2 3 2 13" xfId="34394" xr:uid="{00000000-0005-0000-0000-0000EE560000}"/>
    <cellStyle name="60% - Accent1 2 3 2 14" xfId="36077" xr:uid="{00000000-0005-0000-0000-0000EF560000}"/>
    <cellStyle name="60% - Accent1 2 3 2 15" xfId="37760" xr:uid="{00000000-0005-0000-0000-0000F0560000}"/>
    <cellStyle name="60% - Accent1 2 3 2 16" xfId="39443" xr:uid="{00000000-0005-0000-0000-0000F1560000}"/>
    <cellStyle name="60% - Accent1 2 3 2 17" xfId="41126" xr:uid="{00000000-0005-0000-0000-0000F2560000}"/>
    <cellStyle name="60% - Accent1 2 3 2 18" xfId="42809" xr:uid="{00000000-0005-0000-0000-0000F3560000}"/>
    <cellStyle name="60% - Accent1 2 3 2 19" xfId="44492" xr:uid="{00000000-0005-0000-0000-0000F4560000}"/>
    <cellStyle name="60% - Accent1 2 3 2 2" xfId="2413" xr:uid="{00000000-0005-0000-0000-0000F5560000}"/>
    <cellStyle name="60% - Accent1 2 3 2 2 2" xfId="17562" xr:uid="{00000000-0005-0000-0000-0000F6560000}"/>
    <cellStyle name="60% - Accent1 2 3 2 20" xfId="46175" xr:uid="{00000000-0005-0000-0000-0000F7560000}"/>
    <cellStyle name="60% - Accent1 2 3 2 21" xfId="47858" xr:uid="{00000000-0005-0000-0000-0000F8560000}"/>
    <cellStyle name="60% - Accent1 2 3 2 22" xfId="49541" xr:uid="{00000000-0005-0000-0000-0000F9560000}"/>
    <cellStyle name="60% - Accent1 2 3 2 23" xfId="51224" xr:uid="{00000000-0005-0000-0000-0000FA560000}"/>
    <cellStyle name="60% - Accent1 2 3 2 24" xfId="52907" xr:uid="{00000000-0005-0000-0000-0000FB560000}"/>
    <cellStyle name="60% - Accent1 2 3 2 25" xfId="54590" xr:uid="{00000000-0005-0000-0000-0000FC560000}"/>
    <cellStyle name="60% - Accent1 2 3 2 26" xfId="56273" xr:uid="{00000000-0005-0000-0000-0000FD560000}"/>
    <cellStyle name="60% - Accent1 2 3 2 27" xfId="57956" xr:uid="{00000000-0005-0000-0000-0000FE560000}"/>
    <cellStyle name="60% - Accent1 2 3 2 28" xfId="59639" xr:uid="{00000000-0005-0000-0000-0000FF560000}"/>
    <cellStyle name="60% - Accent1 2 3 2 29" xfId="61322" xr:uid="{00000000-0005-0000-0000-000000570000}"/>
    <cellStyle name="60% - Accent1 2 3 2 3" xfId="4097" xr:uid="{00000000-0005-0000-0000-000001570000}"/>
    <cellStyle name="60% - Accent1 2 3 2 3 2" xfId="19246" xr:uid="{00000000-0005-0000-0000-000002570000}"/>
    <cellStyle name="60% - Accent1 2 3 2 30" xfId="63005" xr:uid="{00000000-0005-0000-0000-000003570000}"/>
    <cellStyle name="60% - Accent1 2 3 2 4" xfId="5780" xr:uid="{00000000-0005-0000-0000-000004570000}"/>
    <cellStyle name="60% - Accent1 2 3 2 4 2" xfId="20929" xr:uid="{00000000-0005-0000-0000-000005570000}"/>
    <cellStyle name="60% - Accent1 2 3 2 5" xfId="7463" xr:uid="{00000000-0005-0000-0000-000006570000}"/>
    <cellStyle name="60% - Accent1 2 3 2 5 2" xfId="22612" xr:uid="{00000000-0005-0000-0000-000007570000}"/>
    <cellStyle name="60% - Accent1 2 3 2 6" xfId="9146" xr:uid="{00000000-0005-0000-0000-000008570000}"/>
    <cellStyle name="60% - Accent1 2 3 2 6 2" xfId="24295" xr:uid="{00000000-0005-0000-0000-000009570000}"/>
    <cellStyle name="60% - Accent1 2 3 2 7" xfId="10829" xr:uid="{00000000-0005-0000-0000-00000A570000}"/>
    <cellStyle name="60% - Accent1 2 3 2 7 2" xfId="25978" xr:uid="{00000000-0005-0000-0000-00000B570000}"/>
    <cellStyle name="60% - Accent1 2 3 2 8" xfId="12513" xr:uid="{00000000-0005-0000-0000-00000C570000}"/>
    <cellStyle name="60% - Accent1 2 3 2 8 2" xfId="27662" xr:uid="{00000000-0005-0000-0000-00000D570000}"/>
    <cellStyle name="60% - Accent1 2 3 2 9" xfId="14196" xr:uid="{00000000-0005-0000-0000-00000E570000}"/>
    <cellStyle name="60% - Accent1 2 3 2 9 2" xfId="29345" xr:uid="{00000000-0005-0000-0000-00000F570000}"/>
    <cellStyle name="60% - Accent1 2 3 20" xfId="40706" xr:uid="{00000000-0005-0000-0000-000010570000}"/>
    <cellStyle name="60% - Accent1 2 3 21" xfId="42389" xr:uid="{00000000-0005-0000-0000-000011570000}"/>
    <cellStyle name="60% - Accent1 2 3 22" xfId="44072" xr:uid="{00000000-0005-0000-0000-000012570000}"/>
    <cellStyle name="60% - Accent1 2 3 23" xfId="45755" xr:uid="{00000000-0005-0000-0000-000013570000}"/>
    <cellStyle name="60% - Accent1 2 3 24" xfId="47438" xr:uid="{00000000-0005-0000-0000-000014570000}"/>
    <cellStyle name="60% - Accent1 2 3 25" xfId="49121" xr:uid="{00000000-0005-0000-0000-000015570000}"/>
    <cellStyle name="60% - Accent1 2 3 26" xfId="50804" xr:uid="{00000000-0005-0000-0000-000016570000}"/>
    <cellStyle name="60% - Accent1 2 3 27" xfId="52487" xr:uid="{00000000-0005-0000-0000-000017570000}"/>
    <cellStyle name="60% - Accent1 2 3 28" xfId="54170" xr:uid="{00000000-0005-0000-0000-000018570000}"/>
    <cellStyle name="60% - Accent1 2 3 29" xfId="55853" xr:uid="{00000000-0005-0000-0000-000019570000}"/>
    <cellStyle name="60% - Accent1 2 3 3" xfId="1151" xr:uid="{00000000-0005-0000-0000-00001A570000}"/>
    <cellStyle name="60% - Accent1 2 3 3 10" xfId="16300" xr:uid="{00000000-0005-0000-0000-00001B570000}"/>
    <cellStyle name="60% - Accent1 2 3 3 11" xfId="31449" xr:uid="{00000000-0005-0000-0000-00001C570000}"/>
    <cellStyle name="60% - Accent1 2 3 3 12" xfId="33132" xr:uid="{00000000-0005-0000-0000-00001D570000}"/>
    <cellStyle name="60% - Accent1 2 3 3 13" xfId="34815" xr:uid="{00000000-0005-0000-0000-00001E570000}"/>
    <cellStyle name="60% - Accent1 2 3 3 14" xfId="36498" xr:uid="{00000000-0005-0000-0000-00001F570000}"/>
    <cellStyle name="60% - Accent1 2 3 3 15" xfId="38181" xr:uid="{00000000-0005-0000-0000-000020570000}"/>
    <cellStyle name="60% - Accent1 2 3 3 16" xfId="39864" xr:uid="{00000000-0005-0000-0000-000021570000}"/>
    <cellStyle name="60% - Accent1 2 3 3 17" xfId="41547" xr:uid="{00000000-0005-0000-0000-000022570000}"/>
    <cellStyle name="60% - Accent1 2 3 3 18" xfId="43230" xr:uid="{00000000-0005-0000-0000-000023570000}"/>
    <cellStyle name="60% - Accent1 2 3 3 19" xfId="44913" xr:uid="{00000000-0005-0000-0000-000024570000}"/>
    <cellStyle name="60% - Accent1 2 3 3 2" xfId="2834" xr:uid="{00000000-0005-0000-0000-000025570000}"/>
    <cellStyle name="60% - Accent1 2 3 3 2 2" xfId="17983" xr:uid="{00000000-0005-0000-0000-000026570000}"/>
    <cellStyle name="60% - Accent1 2 3 3 20" xfId="46596" xr:uid="{00000000-0005-0000-0000-000027570000}"/>
    <cellStyle name="60% - Accent1 2 3 3 21" xfId="48279" xr:uid="{00000000-0005-0000-0000-000028570000}"/>
    <cellStyle name="60% - Accent1 2 3 3 22" xfId="49962" xr:uid="{00000000-0005-0000-0000-000029570000}"/>
    <cellStyle name="60% - Accent1 2 3 3 23" xfId="51645" xr:uid="{00000000-0005-0000-0000-00002A570000}"/>
    <cellStyle name="60% - Accent1 2 3 3 24" xfId="53328" xr:uid="{00000000-0005-0000-0000-00002B570000}"/>
    <cellStyle name="60% - Accent1 2 3 3 25" xfId="55011" xr:uid="{00000000-0005-0000-0000-00002C570000}"/>
    <cellStyle name="60% - Accent1 2 3 3 26" xfId="56694" xr:uid="{00000000-0005-0000-0000-00002D570000}"/>
    <cellStyle name="60% - Accent1 2 3 3 27" xfId="58377" xr:uid="{00000000-0005-0000-0000-00002E570000}"/>
    <cellStyle name="60% - Accent1 2 3 3 28" xfId="60060" xr:uid="{00000000-0005-0000-0000-00002F570000}"/>
    <cellStyle name="60% - Accent1 2 3 3 29" xfId="61743" xr:uid="{00000000-0005-0000-0000-000030570000}"/>
    <cellStyle name="60% - Accent1 2 3 3 3" xfId="4518" xr:uid="{00000000-0005-0000-0000-000031570000}"/>
    <cellStyle name="60% - Accent1 2 3 3 3 2" xfId="19667" xr:uid="{00000000-0005-0000-0000-000032570000}"/>
    <cellStyle name="60% - Accent1 2 3 3 30" xfId="63426" xr:uid="{00000000-0005-0000-0000-000033570000}"/>
    <cellStyle name="60% - Accent1 2 3 3 4" xfId="6201" xr:uid="{00000000-0005-0000-0000-000034570000}"/>
    <cellStyle name="60% - Accent1 2 3 3 4 2" xfId="21350" xr:uid="{00000000-0005-0000-0000-000035570000}"/>
    <cellStyle name="60% - Accent1 2 3 3 5" xfId="7884" xr:uid="{00000000-0005-0000-0000-000036570000}"/>
    <cellStyle name="60% - Accent1 2 3 3 5 2" xfId="23033" xr:uid="{00000000-0005-0000-0000-000037570000}"/>
    <cellStyle name="60% - Accent1 2 3 3 6" xfId="9567" xr:uid="{00000000-0005-0000-0000-000038570000}"/>
    <cellStyle name="60% - Accent1 2 3 3 6 2" xfId="24716" xr:uid="{00000000-0005-0000-0000-000039570000}"/>
    <cellStyle name="60% - Accent1 2 3 3 7" xfId="11250" xr:uid="{00000000-0005-0000-0000-00003A570000}"/>
    <cellStyle name="60% - Accent1 2 3 3 7 2" xfId="26399" xr:uid="{00000000-0005-0000-0000-00003B570000}"/>
    <cellStyle name="60% - Accent1 2 3 3 8" xfId="12934" xr:uid="{00000000-0005-0000-0000-00003C570000}"/>
    <cellStyle name="60% - Accent1 2 3 3 8 2" xfId="28083" xr:uid="{00000000-0005-0000-0000-00003D570000}"/>
    <cellStyle name="60% - Accent1 2 3 3 9" xfId="14617" xr:uid="{00000000-0005-0000-0000-00003E570000}"/>
    <cellStyle name="60% - Accent1 2 3 3 9 2" xfId="29766" xr:uid="{00000000-0005-0000-0000-00003F570000}"/>
    <cellStyle name="60% - Accent1 2 3 30" xfId="57536" xr:uid="{00000000-0005-0000-0000-000040570000}"/>
    <cellStyle name="60% - Accent1 2 3 31" xfId="59219" xr:uid="{00000000-0005-0000-0000-000041570000}"/>
    <cellStyle name="60% - Accent1 2 3 32" xfId="60902" xr:uid="{00000000-0005-0000-0000-000042570000}"/>
    <cellStyle name="60% - Accent1 2 3 33" xfId="62585" xr:uid="{00000000-0005-0000-0000-000043570000}"/>
    <cellStyle name="60% - Accent1 2 3 4" xfId="1572" xr:uid="{00000000-0005-0000-0000-000044570000}"/>
    <cellStyle name="60% - Accent1 2 3 4 10" xfId="16721" xr:uid="{00000000-0005-0000-0000-000045570000}"/>
    <cellStyle name="60% - Accent1 2 3 4 11" xfId="31870" xr:uid="{00000000-0005-0000-0000-000046570000}"/>
    <cellStyle name="60% - Accent1 2 3 4 12" xfId="33553" xr:uid="{00000000-0005-0000-0000-000047570000}"/>
    <cellStyle name="60% - Accent1 2 3 4 13" xfId="35236" xr:uid="{00000000-0005-0000-0000-000048570000}"/>
    <cellStyle name="60% - Accent1 2 3 4 14" xfId="36919" xr:uid="{00000000-0005-0000-0000-000049570000}"/>
    <cellStyle name="60% - Accent1 2 3 4 15" xfId="38602" xr:uid="{00000000-0005-0000-0000-00004A570000}"/>
    <cellStyle name="60% - Accent1 2 3 4 16" xfId="40285" xr:uid="{00000000-0005-0000-0000-00004B570000}"/>
    <cellStyle name="60% - Accent1 2 3 4 17" xfId="41968" xr:uid="{00000000-0005-0000-0000-00004C570000}"/>
    <cellStyle name="60% - Accent1 2 3 4 18" xfId="43651" xr:uid="{00000000-0005-0000-0000-00004D570000}"/>
    <cellStyle name="60% - Accent1 2 3 4 19" xfId="45334" xr:uid="{00000000-0005-0000-0000-00004E570000}"/>
    <cellStyle name="60% - Accent1 2 3 4 2" xfId="3255" xr:uid="{00000000-0005-0000-0000-00004F570000}"/>
    <cellStyle name="60% - Accent1 2 3 4 2 2" xfId="18404" xr:uid="{00000000-0005-0000-0000-000050570000}"/>
    <cellStyle name="60% - Accent1 2 3 4 20" xfId="47017" xr:uid="{00000000-0005-0000-0000-000051570000}"/>
    <cellStyle name="60% - Accent1 2 3 4 21" xfId="48700" xr:uid="{00000000-0005-0000-0000-000052570000}"/>
    <cellStyle name="60% - Accent1 2 3 4 22" xfId="50383" xr:uid="{00000000-0005-0000-0000-000053570000}"/>
    <cellStyle name="60% - Accent1 2 3 4 23" xfId="52066" xr:uid="{00000000-0005-0000-0000-000054570000}"/>
    <cellStyle name="60% - Accent1 2 3 4 24" xfId="53749" xr:uid="{00000000-0005-0000-0000-000055570000}"/>
    <cellStyle name="60% - Accent1 2 3 4 25" xfId="55432" xr:uid="{00000000-0005-0000-0000-000056570000}"/>
    <cellStyle name="60% - Accent1 2 3 4 26" xfId="57115" xr:uid="{00000000-0005-0000-0000-000057570000}"/>
    <cellStyle name="60% - Accent1 2 3 4 27" xfId="58798" xr:uid="{00000000-0005-0000-0000-000058570000}"/>
    <cellStyle name="60% - Accent1 2 3 4 28" xfId="60481" xr:uid="{00000000-0005-0000-0000-000059570000}"/>
    <cellStyle name="60% - Accent1 2 3 4 29" xfId="62164" xr:uid="{00000000-0005-0000-0000-00005A570000}"/>
    <cellStyle name="60% - Accent1 2 3 4 3" xfId="4939" xr:uid="{00000000-0005-0000-0000-00005B570000}"/>
    <cellStyle name="60% - Accent1 2 3 4 3 2" xfId="20088" xr:uid="{00000000-0005-0000-0000-00005C570000}"/>
    <cellStyle name="60% - Accent1 2 3 4 30" xfId="63847" xr:uid="{00000000-0005-0000-0000-00005D570000}"/>
    <cellStyle name="60% - Accent1 2 3 4 4" xfId="6622" xr:uid="{00000000-0005-0000-0000-00005E570000}"/>
    <cellStyle name="60% - Accent1 2 3 4 4 2" xfId="21771" xr:uid="{00000000-0005-0000-0000-00005F570000}"/>
    <cellStyle name="60% - Accent1 2 3 4 5" xfId="8305" xr:uid="{00000000-0005-0000-0000-000060570000}"/>
    <cellStyle name="60% - Accent1 2 3 4 5 2" xfId="23454" xr:uid="{00000000-0005-0000-0000-000061570000}"/>
    <cellStyle name="60% - Accent1 2 3 4 6" xfId="9988" xr:uid="{00000000-0005-0000-0000-000062570000}"/>
    <cellStyle name="60% - Accent1 2 3 4 6 2" xfId="25137" xr:uid="{00000000-0005-0000-0000-000063570000}"/>
    <cellStyle name="60% - Accent1 2 3 4 7" xfId="11671" xr:uid="{00000000-0005-0000-0000-000064570000}"/>
    <cellStyle name="60% - Accent1 2 3 4 7 2" xfId="26820" xr:uid="{00000000-0005-0000-0000-000065570000}"/>
    <cellStyle name="60% - Accent1 2 3 4 8" xfId="13355" xr:uid="{00000000-0005-0000-0000-000066570000}"/>
    <cellStyle name="60% - Accent1 2 3 4 8 2" xfId="28504" xr:uid="{00000000-0005-0000-0000-000067570000}"/>
    <cellStyle name="60% - Accent1 2 3 4 9" xfId="15038" xr:uid="{00000000-0005-0000-0000-000068570000}"/>
    <cellStyle name="60% - Accent1 2 3 4 9 2" xfId="30187" xr:uid="{00000000-0005-0000-0000-000069570000}"/>
    <cellStyle name="60% - Accent1 2 3 5" xfId="1993" xr:uid="{00000000-0005-0000-0000-00006A570000}"/>
    <cellStyle name="60% - Accent1 2 3 5 2" xfId="17142" xr:uid="{00000000-0005-0000-0000-00006B570000}"/>
    <cellStyle name="60% - Accent1 2 3 6" xfId="3677" xr:uid="{00000000-0005-0000-0000-00006C570000}"/>
    <cellStyle name="60% - Accent1 2 3 6 2" xfId="18826" xr:uid="{00000000-0005-0000-0000-00006D570000}"/>
    <cellStyle name="60% - Accent1 2 3 7" xfId="5360" xr:uid="{00000000-0005-0000-0000-00006E570000}"/>
    <cellStyle name="60% - Accent1 2 3 7 2" xfId="20509" xr:uid="{00000000-0005-0000-0000-00006F570000}"/>
    <cellStyle name="60% - Accent1 2 3 8" xfId="7043" xr:uid="{00000000-0005-0000-0000-000070570000}"/>
    <cellStyle name="60% - Accent1 2 3 8 2" xfId="22192" xr:uid="{00000000-0005-0000-0000-000071570000}"/>
    <cellStyle name="60% - Accent1 2 3 9" xfId="8726" xr:uid="{00000000-0005-0000-0000-000072570000}"/>
    <cellStyle name="60% - Accent1 2 3 9 2" xfId="23875" xr:uid="{00000000-0005-0000-0000-000073570000}"/>
    <cellStyle name="60% - Accent1 2 30" xfId="53960" xr:uid="{00000000-0005-0000-0000-000074570000}"/>
    <cellStyle name="60% - Accent1 2 31" xfId="55643" xr:uid="{00000000-0005-0000-0000-000075570000}"/>
    <cellStyle name="60% - Accent1 2 32" xfId="57326" xr:uid="{00000000-0005-0000-0000-000076570000}"/>
    <cellStyle name="60% - Accent1 2 33" xfId="59009" xr:uid="{00000000-0005-0000-0000-000077570000}"/>
    <cellStyle name="60% - Accent1 2 34" xfId="60692" xr:uid="{00000000-0005-0000-0000-000078570000}"/>
    <cellStyle name="60% - Accent1 2 35" xfId="62375" xr:uid="{00000000-0005-0000-0000-000079570000}"/>
    <cellStyle name="60% - Accent1 2 4" xfId="520" xr:uid="{00000000-0005-0000-0000-00007A570000}"/>
    <cellStyle name="60% - Accent1 2 4 10" xfId="15669" xr:uid="{00000000-0005-0000-0000-00007B570000}"/>
    <cellStyle name="60% - Accent1 2 4 11" xfId="30818" xr:uid="{00000000-0005-0000-0000-00007C570000}"/>
    <cellStyle name="60% - Accent1 2 4 12" xfId="32501" xr:uid="{00000000-0005-0000-0000-00007D570000}"/>
    <cellStyle name="60% - Accent1 2 4 13" xfId="34184" xr:uid="{00000000-0005-0000-0000-00007E570000}"/>
    <cellStyle name="60% - Accent1 2 4 14" xfId="35867" xr:uid="{00000000-0005-0000-0000-00007F570000}"/>
    <cellStyle name="60% - Accent1 2 4 15" xfId="37550" xr:uid="{00000000-0005-0000-0000-000080570000}"/>
    <cellStyle name="60% - Accent1 2 4 16" xfId="39233" xr:uid="{00000000-0005-0000-0000-000081570000}"/>
    <cellStyle name="60% - Accent1 2 4 17" xfId="40916" xr:uid="{00000000-0005-0000-0000-000082570000}"/>
    <cellStyle name="60% - Accent1 2 4 18" xfId="42599" xr:uid="{00000000-0005-0000-0000-000083570000}"/>
    <cellStyle name="60% - Accent1 2 4 19" xfId="44282" xr:uid="{00000000-0005-0000-0000-000084570000}"/>
    <cellStyle name="60% - Accent1 2 4 2" xfId="2203" xr:uid="{00000000-0005-0000-0000-000085570000}"/>
    <cellStyle name="60% - Accent1 2 4 2 2" xfId="17352" xr:uid="{00000000-0005-0000-0000-000086570000}"/>
    <cellStyle name="60% - Accent1 2 4 20" xfId="45965" xr:uid="{00000000-0005-0000-0000-000087570000}"/>
    <cellStyle name="60% - Accent1 2 4 21" xfId="47648" xr:uid="{00000000-0005-0000-0000-000088570000}"/>
    <cellStyle name="60% - Accent1 2 4 22" xfId="49331" xr:uid="{00000000-0005-0000-0000-000089570000}"/>
    <cellStyle name="60% - Accent1 2 4 23" xfId="51014" xr:uid="{00000000-0005-0000-0000-00008A570000}"/>
    <cellStyle name="60% - Accent1 2 4 24" xfId="52697" xr:uid="{00000000-0005-0000-0000-00008B570000}"/>
    <cellStyle name="60% - Accent1 2 4 25" xfId="54380" xr:uid="{00000000-0005-0000-0000-00008C570000}"/>
    <cellStyle name="60% - Accent1 2 4 26" xfId="56063" xr:uid="{00000000-0005-0000-0000-00008D570000}"/>
    <cellStyle name="60% - Accent1 2 4 27" xfId="57746" xr:uid="{00000000-0005-0000-0000-00008E570000}"/>
    <cellStyle name="60% - Accent1 2 4 28" xfId="59429" xr:uid="{00000000-0005-0000-0000-00008F570000}"/>
    <cellStyle name="60% - Accent1 2 4 29" xfId="61112" xr:uid="{00000000-0005-0000-0000-000090570000}"/>
    <cellStyle name="60% - Accent1 2 4 3" xfId="3887" xr:uid="{00000000-0005-0000-0000-000091570000}"/>
    <cellStyle name="60% - Accent1 2 4 3 2" xfId="19036" xr:uid="{00000000-0005-0000-0000-000092570000}"/>
    <cellStyle name="60% - Accent1 2 4 30" xfId="62795" xr:uid="{00000000-0005-0000-0000-000093570000}"/>
    <cellStyle name="60% - Accent1 2 4 4" xfId="5570" xr:uid="{00000000-0005-0000-0000-000094570000}"/>
    <cellStyle name="60% - Accent1 2 4 4 2" xfId="20719" xr:uid="{00000000-0005-0000-0000-000095570000}"/>
    <cellStyle name="60% - Accent1 2 4 5" xfId="7253" xr:uid="{00000000-0005-0000-0000-000096570000}"/>
    <cellStyle name="60% - Accent1 2 4 5 2" xfId="22402" xr:uid="{00000000-0005-0000-0000-000097570000}"/>
    <cellStyle name="60% - Accent1 2 4 6" xfId="8936" xr:uid="{00000000-0005-0000-0000-000098570000}"/>
    <cellStyle name="60% - Accent1 2 4 6 2" xfId="24085" xr:uid="{00000000-0005-0000-0000-000099570000}"/>
    <cellStyle name="60% - Accent1 2 4 7" xfId="10619" xr:uid="{00000000-0005-0000-0000-00009A570000}"/>
    <cellStyle name="60% - Accent1 2 4 7 2" xfId="25768" xr:uid="{00000000-0005-0000-0000-00009B570000}"/>
    <cellStyle name="60% - Accent1 2 4 8" xfId="12303" xr:uid="{00000000-0005-0000-0000-00009C570000}"/>
    <cellStyle name="60% - Accent1 2 4 8 2" xfId="27452" xr:uid="{00000000-0005-0000-0000-00009D570000}"/>
    <cellStyle name="60% - Accent1 2 4 9" xfId="13986" xr:uid="{00000000-0005-0000-0000-00009E570000}"/>
    <cellStyle name="60% - Accent1 2 4 9 2" xfId="29135" xr:uid="{00000000-0005-0000-0000-00009F570000}"/>
    <cellStyle name="60% - Accent1 2 5" xfId="941" xr:uid="{00000000-0005-0000-0000-0000A0570000}"/>
    <cellStyle name="60% - Accent1 2 5 10" xfId="16090" xr:uid="{00000000-0005-0000-0000-0000A1570000}"/>
    <cellStyle name="60% - Accent1 2 5 11" xfId="31239" xr:uid="{00000000-0005-0000-0000-0000A2570000}"/>
    <cellStyle name="60% - Accent1 2 5 12" xfId="32922" xr:uid="{00000000-0005-0000-0000-0000A3570000}"/>
    <cellStyle name="60% - Accent1 2 5 13" xfId="34605" xr:uid="{00000000-0005-0000-0000-0000A4570000}"/>
    <cellStyle name="60% - Accent1 2 5 14" xfId="36288" xr:uid="{00000000-0005-0000-0000-0000A5570000}"/>
    <cellStyle name="60% - Accent1 2 5 15" xfId="37971" xr:uid="{00000000-0005-0000-0000-0000A6570000}"/>
    <cellStyle name="60% - Accent1 2 5 16" xfId="39654" xr:uid="{00000000-0005-0000-0000-0000A7570000}"/>
    <cellStyle name="60% - Accent1 2 5 17" xfId="41337" xr:uid="{00000000-0005-0000-0000-0000A8570000}"/>
    <cellStyle name="60% - Accent1 2 5 18" xfId="43020" xr:uid="{00000000-0005-0000-0000-0000A9570000}"/>
    <cellStyle name="60% - Accent1 2 5 19" xfId="44703" xr:uid="{00000000-0005-0000-0000-0000AA570000}"/>
    <cellStyle name="60% - Accent1 2 5 2" xfId="2624" xr:uid="{00000000-0005-0000-0000-0000AB570000}"/>
    <cellStyle name="60% - Accent1 2 5 2 2" xfId="17773" xr:uid="{00000000-0005-0000-0000-0000AC570000}"/>
    <cellStyle name="60% - Accent1 2 5 20" xfId="46386" xr:uid="{00000000-0005-0000-0000-0000AD570000}"/>
    <cellStyle name="60% - Accent1 2 5 21" xfId="48069" xr:uid="{00000000-0005-0000-0000-0000AE570000}"/>
    <cellStyle name="60% - Accent1 2 5 22" xfId="49752" xr:uid="{00000000-0005-0000-0000-0000AF570000}"/>
    <cellStyle name="60% - Accent1 2 5 23" xfId="51435" xr:uid="{00000000-0005-0000-0000-0000B0570000}"/>
    <cellStyle name="60% - Accent1 2 5 24" xfId="53118" xr:uid="{00000000-0005-0000-0000-0000B1570000}"/>
    <cellStyle name="60% - Accent1 2 5 25" xfId="54801" xr:uid="{00000000-0005-0000-0000-0000B2570000}"/>
    <cellStyle name="60% - Accent1 2 5 26" xfId="56484" xr:uid="{00000000-0005-0000-0000-0000B3570000}"/>
    <cellStyle name="60% - Accent1 2 5 27" xfId="58167" xr:uid="{00000000-0005-0000-0000-0000B4570000}"/>
    <cellStyle name="60% - Accent1 2 5 28" xfId="59850" xr:uid="{00000000-0005-0000-0000-0000B5570000}"/>
    <cellStyle name="60% - Accent1 2 5 29" xfId="61533" xr:uid="{00000000-0005-0000-0000-0000B6570000}"/>
    <cellStyle name="60% - Accent1 2 5 3" xfId="4308" xr:uid="{00000000-0005-0000-0000-0000B7570000}"/>
    <cellStyle name="60% - Accent1 2 5 3 2" xfId="19457" xr:uid="{00000000-0005-0000-0000-0000B8570000}"/>
    <cellStyle name="60% - Accent1 2 5 30" xfId="63216" xr:uid="{00000000-0005-0000-0000-0000B9570000}"/>
    <cellStyle name="60% - Accent1 2 5 4" xfId="5991" xr:uid="{00000000-0005-0000-0000-0000BA570000}"/>
    <cellStyle name="60% - Accent1 2 5 4 2" xfId="21140" xr:uid="{00000000-0005-0000-0000-0000BB570000}"/>
    <cellStyle name="60% - Accent1 2 5 5" xfId="7674" xr:uid="{00000000-0005-0000-0000-0000BC570000}"/>
    <cellStyle name="60% - Accent1 2 5 5 2" xfId="22823" xr:uid="{00000000-0005-0000-0000-0000BD570000}"/>
    <cellStyle name="60% - Accent1 2 5 6" xfId="9357" xr:uid="{00000000-0005-0000-0000-0000BE570000}"/>
    <cellStyle name="60% - Accent1 2 5 6 2" xfId="24506" xr:uid="{00000000-0005-0000-0000-0000BF570000}"/>
    <cellStyle name="60% - Accent1 2 5 7" xfId="11040" xr:uid="{00000000-0005-0000-0000-0000C0570000}"/>
    <cellStyle name="60% - Accent1 2 5 7 2" xfId="26189" xr:uid="{00000000-0005-0000-0000-0000C1570000}"/>
    <cellStyle name="60% - Accent1 2 5 8" xfId="12724" xr:uid="{00000000-0005-0000-0000-0000C2570000}"/>
    <cellStyle name="60% - Accent1 2 5 8 2" xfId="27873" xr:uid="{00000000-0005-0000-0000-0000C3570000}"/>
    <cellStyle name="60% - Accent1 2 5 9" xfId="14407" xr:uid="{00000000-0005-0000-0000-0000C4570000}"/>
    <cellStyle name="60% - Accent1 2 5 9 2" xfId="29556" xr:uid="{00000000-0005-0000-0000-0000C5570000}"/>
    <cellStyle name="60% - Accent1 2 6" xfId="1362" xr:uid="{00000000-0005-0000-0000-0000C6570000}"/>
    <cellStyle name="60% - Accent1 2 6 10" xfId="16511" xr:uid="{00000000-0005-0000-0000-0000C7570000}"/>
    <cellStyle name="60% - Accent1 2 6 11" xfId="31660" xr:uid="{00000000-0005-0000-0000-0000C8570000}"/>
    <cellStyle name="60% - Accent1 2 6 12" xfId="33343" xr:uid="{00000000-0005-0000-0000-0000C9570000}"/>
    <cellStyle name="60% - Accent1 2 6 13" xfId="35026" xr:uid="{00000000-0005-0000-0000-0000CA570000}"/>
    <cellStyle name="60% - Accent1 2 6 14" xfId="36709" xr:uid="{00000000-0005-0000-0000-0000CB570000}"/>
    <cellStyle name="60% - Accent1 2 6 15" xfId="38392" xr:uid="{00000000-0005-0000-0000-0000CC570000}"/>
    <cellStyle name="60% - Accent1 2 6 16" xfId="40075" xr:uid="{00000000-0005-0000-0000-0000CD570000}"/>
    <cellStyle name="60% - Accent1 2 6 17" xfId="41758" xr:uid="{00000000-0005-0000-0000-0000CE570000}"/>
    <cellStyle name="60% - Accent1 2 6 18" xfId="43441" xr:uid="{00000000-0005-0000-0000-0000CF570000}"/>
    <cellStyle name="60% - Accent1 2 6 19" xfId="45124" xr:uid="{00000000-0005-0000-0000-0000D0570000}"/>
    <cellStyle name="60% - Accent1 2 6 2" xfId="3045" xr:uid="{00000000-0005-0000-0000-0000D1570000}"/>
    <cellStyle name="60% - Accent1 2 6 2 2" xfId="18194" xr:uid="{00000000-0005-0000-0000-0000D2570000}"/>
    <cellStyle name="60% - Accent1 2 6 20" xfId="46807" xr:uid="{00000000-0005-0000-0000-0000D3570000}"/>
    <cellStyle name="60% - Accent1 2 6 21" xfId="48490" xr:uid="{00000000-0005-0000-0000-0000D4570000}"/>
    <cellStyle name="60% - Accent1 2 6 22" xfId="50173" xr:uid="{00000000-0005-0000-0000-0000D5570000}"/>
    <cellStyle name="60% - Accent1 2 6 23" xfId="51856" xr:uid="{00000000-0005-0000-0000-0000D6570000}"/>
    <cellStyle name="60% - Accent1 2 6 24" xfId="53539" xr:uid="{00000000-0005-0000-0000-0000D7570000}"/>
    <cellStyle name="60% - Accent1 2 6 25" xfId="55222" xr:uid="{00000000-0005-0000-0000-0000D8570000}"/>
    <cellStyle name="60% - Accent1 2 6 26" xfId="56905" xr:uid="{00000000-0005-0000-0000-0000D9570000}"/>
    <cellStyle name="60% - Accent1 2 6 27" xfId="58588" xr:uid="{00000000-0005-0000-0000-0000DA570000}"/>
    <cellStyle name="60% - Accent1 2 6 28" xfId="60271" xr:uid="{00000000-0005-0000-0000-0000DB570000}"/>
    <cellStyle name="60% - Accent1 2 6 29" xfId="61954" xr:uid="{00000000-0005-0000-0000-0000DC570000}"/>
    <cellStyle name="60% - Accent1 2 6 3" xfId="4729" xr:uid="{00000000-0005-0000-0000-0000DD570000}"/>
    <cellStyle name="60% - Accent1 2 6 3 2" xfId="19878" xr:uid="{00000000-0005-0000-0000-0000DE570000}"/>
    <cellStyle name="60% - Accent1 2 6 30" xfId="63637" xr:uid="{00000000-0005-0000-0000-0000DF570000}"/>
    <cellStyle name="60% - Accent1 2 6 4" xfId="6412" xr:uid="{00000000-0005-0000-0000-0000E0570000}"/>
    <cellStyle name="60% - Accent1 2 6 4 2" xfId="21561" xr:uid="{00000000-0005-0000-0000-0000E1570000}"/>
    <cellStyle name="60% - Accent1 2 6 5" xfId="8095" xr:uid="{00000000-0005-0000-0000-0000E2570000}"/>
    <cellStyle name="60% - Accent1 2 6 5 2" xfId="23244" xr:uid="{00000000-0005-0000-0000-0000E3570000}"/>
    <cellStyle name="60% - Accent1 2 6 6" xfId="9778" xr:uid="{00000000-0005-0000-0000-0000E4570000}"/>
    <cellStyle name="60% - Accent1 2 6 6 2" xfId="24927" xr:uid="{00000000-0005-0000-0000-0000E5570000}"/>
    <cellStyle name="60% - Accent1 2 6 7" xfId="11461" xr:uid="{00000000-0005-0000-0000-0000E6570000}"/>
    <cellStyle name="60% - Accent1 2 6 7 2" xfId="26610" xr:uid="{00000000-0005-0000-0000-0000E7570000}"/>
    <cellStyle name="60% - Accent1 2 6 8" xfId="13145" xr:uid="{00000000-0005-0000-0000-0000E8570000}"/>
    <cellStyle name="60% - Accent1 2 6 8 2" xfId="28294" xr:uid="{00000000-0005-0000-0000-0000E9570000}"/>
    <cellStyle name="60% - Accent1 2 6 9" xfId="14828" xr:uid="{00000000-0005-0000-0000-0000EA570000}"/>
    <cellStyle name="60% - Accent1 2 6 9 2" xfId="29977" xr:uid="{00000000-0005-0000-0000-0000EB570000}"/>
    <cellStyle name="60% - Accent1 2 7" xfId="1783" xr:uid="{00000000-0005-0000-0000-0000EC570000}"/>
    <cellStyle name="60% - Accent1 2 7 2" xfId="16932" xr:uid="{00000000-0005-0000-0000-0000ED570000}"/>
    <cellStyle name="60% - Accent1 2 8" xfId="3467" xr:uid="{00000000-0005-0000-0000-0000EE570000}"/>
    <cellStyle name="60% - Accent1 2 8 2" xfId="18616" xr:uid="{00000000-0005-0000-0000-0000EF570000}"/>
    <cellStyle name="60% - Accent1 2 9" xfId="5150" xr:uid="{00000000-0005-0000-0000-0000F0570000}"/>
    <cellStyle name="60% - Accent1 2 9 2" xfId="20299" xr:uid="{00000000-0005-0000-0000-0000F1570000}"/>
    <cellStyle name="60% - Accent1 20" xfId="33742" xr:uid="{00000000-0005-0000-0000-0000F2570000}"/>
    <cellStyle name="60% - Accent1 21" xfId="35425" xr:uid="{00000000-0005-0000-0000-0000F3570000}"/>
    <cellStyle name="60% - Accent1 22" xfId="37108" xr:uid="{00000000-0005-0000-0000-0000F4570000}"/>
    <cellStyle name="60% - Accent1 23" xfId="38791" xr:uid="{00000000-0005-0000-0000-0000F5570000}"/>
    <cellStyle name="60% - Accent1 24" xfId="40474" xr:uid="{00000000-0005-0000-0000-0000F6570000}"/>
    <cellStyle name="60% - Accent1 25" xfId="42157" xr:uid="{00000000-0005-0000-0000-0000F7570000}"/>
    <cellStyle name="60% - Accent1 26" xfId="43840" xr:uid="{00000000-0005-0000-0000-0000F8570000}"/>
    <cellStyle name="60% - Accent1 27" xfId="45523" xr:uid="{00000000-0005-0000-0000-0000F9570000}"/>
    <cellStyle name="60% - Accent1 28" xfId="47206" xr:uid="{00000000-0005-0000-0000-0000FA570000}"/>
    <cellStyle name="60% - Accent1 29" xfId="48889" xr:uid="{00000000-0005-0000-0000-0000FB570000}"/>
    <cellStyle name="60% - Accent1 3" xfId="120" xr:uid="{00000000-0005-0000-0000-0000FC570000}"/>
    <cellStyle name="60% - Accent1 3 10" xfId="6853" xr:uid="{00000000-0005-0000-0000-0000FD570000}"/>
    <cellStyle name="60% - Accent1 3 10 2" xfId="22002" xr:uid="{00000000-0005-0000-0000-0000FE570000}"/>
    <cellStyle name="60% - Accent1 3 11" xfId="8536" xr:uid="{00000000-0005-0000-0000-0000FF570000}"/>
    <cellStyle name="60% - Accent1 3 11 2" xfId="23685" xr:uid="{00000000-0005-0000-0000-000000580000}"/>
    <cellStyle name="60% - Accent1 3 12" xfId="10219" xr:uid="{00000000-0005-0000-0000-000001580000}"/>
    <cellStyle name="60% - Accent1 3 12 2" xfId="25368" xr:uid="{00000000-0005-0000-0000-000002580000}"/>
    <cellStyle name="60% - Accent1 3 13" xfId="11903" xr:uid="{00000000-0005-0000-0000-000003580000}"/>
    <cellStyle name="60% - Accent1 3 13 2" xfId="27052" xr:uid="{00000000-0005-0000-0000-000004580000}"/>
    <cellStyle name="60% - Accent1 3 14" xfId="13586" xr:uid="{00000000-0005-0000-0000-000005580000}"/>
    <cellStyle name="60% - Accent1 3 14 2" xfId="28735" xr:uid="{00000000-0005-0000-0000-000006580000}"/>
    <cellStyle name="60% - Accent1 3 15" xfId="15269" xr:uid="{00000000-0005-0000-0000-000007580000}"/>
    <cellStyle name="60% - Accent1 3 16" xfId="30418" xr:uid="{00000000-0005-0000-0000-000008580000}"/>
    <cellStyle name="60% - Accent1 3 17" xfId="32101" xr:uid="{00000000-0005-0000-0000-000009580000}"/>
    <cellStyle name="60% - Accent1 3 18" xfId="33784" xr:uid="{00000000-0005-0000-0000-00000A580000}"/>
    <cellStyle name="60% - Accent1 3 19" xfId="35467" xr:uid="{00000000-0005-0000-0000-00000B580000}"/>
    <cellStyle name="60% - Accent1 3 2" xfId="225" xr:uid="{00000000-0005-0000-0000-00000C580000}"/>
    <cellStyle name="60% - Accent1 3 2 10" xfId="8641" xr:uid="{00000000-0005-0000-0000-00000D580000}"/>
    <cellStyle name="60% - Accent1 3 2 10 2" xfId="23790" xr:uid="{00000000-0005-0000-0000-00000E580000}"/>
    <cellStyle name="60% - Accent1 3 2 11" xfId="10324" xr:uid="{00000000-0005-0000-0000-00000F580000}"/>
    <cellStyle name="60% - Accent1 3 2 11 2" xfId="25473" xr:uid="{00000000-0005-0000-0000-000010580000}"/>
    <cellStyle name="60% - Accent1 3 2 12" xfId="12008" xr:uid="{00000000-0005-0000-0000-000011580000}"/>
    <cellStyle name="60% - Accent1 3 2 12 2" xfId="27157" xr:uid="{00000000-0005-0000-0000-000012580000}"/>
    <cellStyle name="60% - Accent1 3 2 13" xfId="13691" xr:uid="{00000000-0005-0000-0000-000013580000}"/>
    <cellStyle name="60% - Accent1 3 2 13 2" xfId="28840" xr:uid="{00000000-0005-0000-0000-000014580000}"/>
    <cellStyle name="60% - Accent1 3 2 14" xfId="15374" xr:uid="{00000000-0005-0000-0000-000015580000}"/>
    <cellStyle name="60% - Accent1 3 2 15" xfId="30523" xr:uid="{00000000-0005-0000-0000-000016580000}"/>
    <cellStyle name="60% - Accent1 3 2 16" xfId="32206" xr:uid="{00000000-0005-0000-0000-000017580000}"/>
    <cellStyle name="60% - Accent1 3 2 17" xfId="33889" xr:uid="{00000000-0005-0000-0000-000018580000}"/>
    <cellStyle name="60% - Accent1 3 2 18" xfId="35572" xr:uid="{00000000-0005-0000-0000-000019580000}"/>
    <cellStyle name="60% - Accent1 3 2 19" xfId="37255" xr:uid="{00000000-0005-0000-0000-00001A580000}"/>
    <cellStyle name="60% - Accent1 3 2 2" xfId="435" xr:uid="{00000000-0005-0000-0000-00001B580000}"/>
    <cellStyle name="60% - Accent1 3 2 2 10" xfId="10534" xr:uid="{00000000-0005-0000-0000-00001C580000}"/>
    <cellStyle name="60% - Accent1 3 2 2 10 2" xfId="25683" xr:uid="{00000000-0005-0000-0000-00001D580000}"/>
    <cellStyle name="60% - Accent1 3 2 2 11" xfId="12218" xr:uid="{00000000-0005-0000-0000-00001E580000}"/>
    <cellStyle name="60% - Accent1 3 2 2 11 2" xfId="27367" xr:uid="{00000000-0005-0000-0000-00001F580000}"/>
    <cellStyle name="60% - Accent1 3 2 2 12" xfId="13901" xr:uid="{00000000-0005-0000-0000-000020580000}"/>
    <cellStyle name="60% - Accent1 3 2 2 12 2" xfId="29050" xr:uid="{00000000-0005-0000-0000-000021580000}"/>
    <cellStyle name="60% - Accent1 3 2 2 13" xfId="15584" xr:uid="{00000000-0005-0000-0000-000022580000}"/>
    <cellStyle name="60% - Accent1 3 2 2 14" xfId="30733" xr:uid="{00000000-0005-0000-0000-000023580000}"/>
    <cellStyle name="60% - Accent1 3 2 2 15" xfId="32416" xr:uid="{00000000-0005-0000-0000-000024580000}"/>
    <cellStyle name="60% - Accent1 3 2 2 16" xfId="34099" xr:uid="{00000000-0005-0000-0000-000025580000}"/>
    <cellStyle name="60% - Accent1 3 2 2 17" xfId="35782" xr:uid="{00000000-0005-0000-0000-000026580000}"/>
    <cellStyle name="60% - Accent1 3 2 2 18" xfId="37465" xr:uid="{00000000-0005-0000-0000-000027580000}"/>
    <cellStyle name="60% - Accent1 3 2 2 19" xfId="39148" xr:uid="{00000000-0005-0000-0000-000028580000}"/>
    <cellStyle name="60% - Accent1 3 2 2 2" xfId="855" xr:uid="{00000000-0005-0000-0000-000029580000}"/>
    <cellStyle name="60% - Accent1 3 2 2 2 10" xfId="16004" xr:uid="{00000000-0005-0000-0000-00002A580000}"/>
    <cellStyle name="60% - Accent1 3 2 2 2 11" xfId="31153" xr:uid="{00000000-0005-0000-0000-00002B580000}"/>
    <cellStyle name="60% - Accent1 3 2 2 2 12" xfId="32836" xr:uid="{00000000-0005-0000-0000-00002C580000}"/>
    <cellStyle name="60% - Accent1 3 2 2 2 13" xfId="34519" xr:uid="{00000000-0005-0000-0000-00002D580000}"/>
    <cellStyle name="60% - Accent1 3 2 2 2 14" xfId="36202" xr:uid="{00000000-0005-0000-0000-00002E580000}"/>
    <cellStyle name="60% - Accent1 3 2 2 2 15" xfId="37885" xr:uid="{00000000-0005-0000-0000-00002F580000}"/>
    <cellStyle name="60% - Accent1 3 2 2 2 16" xfId="39568" xr:uid="{00000000-0005-0000-0000-000030580000}"/>
    <cellStyle name="60% - Accent1 3 2 2 2 17" xfId="41251" xr:uid="{00000000-0005-0000-0000-000031580000}"/>
    <cellStyle name="60% - Accent1 3 2 2 2 18" xfId="42934" xr:uid="{00000000-0005-0000-0000-000032580000}"/>
    <cellStyle name="60% - Accent1 3 2 2 2 19" xfId="44617" xr:uid="{00000000-0005-0000-0000-000033580000}"/>
    <cellStyle name="60% - Accent1 3 2 2 2 2" xfId="2538" xr:uid="{00000000-0005-0000-0000-000034580000}"/>
    <cellStyle name="60% - Accent1 3 2 2 2 2 2" xfId="17687" xr:uid="{00000000-0005-0000-0000-000035580000}"/>
    <cellStyle name="60% - Accent1 3 2 2 2 20" xfId="46300" xr:uid="{00000000-0005-0000-0000-000036580000}"/>
    <cellStyle name="60% - Accent1 3 2 2 2 21" xfId="47983" xr:uid="{00000000-0005-0000-0000-000037580000}"/>
    <cellStyle name="60% - Accent1 3 2 2 2 22" xfId="49666" xr:uid="{00000000-0005-0000-0000-000038580000}"/>
    <cellStyle name="60% - Accent1 3 2 2 2 23" xfId="51349" xr:uid="{00000000-0005-0000-0000-000039580000}"/>
    <cellStyle name="60% - Accent1 3 2 2 2 24" xfId="53032" xr:uid="{00000000-0005-0000-0000-00003A580000}"/>
    <cellStyle name="60% - Accent1 3 2 2 2 25" xfId="54715" xr:uid="{00000000-0005-0000-0000-00003B580000}"/>
    <cellStyle name="60% - Accent1 3 2 2 2 26" xfId="56398" xr:uid="{00000000-0005-0000-0000-00003C580000}"/>
    <cellStyle name="60% - Accent1 3 2 2 2 27" xfId="58081" xr:uid="{00000000-0005-0000-0000-00003D580000}"/>
    <cellStyle name="60% - Accent1 3 2 2 2 28" xfId="59764" xr:uid="{00000000-0005-0000-0000-00003E580000}"/>
    <cellStyle name="60% - Accent1 3 2 2 2 29" xfId="61447" xr:uid="{00000000-0005-0000-0000-00003F580000}"/>
    <cellStyle name="60% - Accent1 3 2 2 2 3" xfId="4222" xr:uid="{00000000-0005-0000-0000-000040580000}"/>
    <cellStyle name="60% - Accent1 3 2 2 2 3 2" xfId="19371" xr:uid="{00000000-0005-0000-0000-000041580000}"/>
    <cellStyle name="60% - Accent1 3 2 2 2 30" xfId="63130" xr:uid="{00000000-0005-0000-0000-000042580000}"/>
    <cellStyle name="60% - Accent1 3 2 2 2 4" xfId="5905" xr:uid="{00000000-0005-0000-0000-000043580000}"/>
    <cellStyle name="60% - Accent1 3 2 2 2 4 2" xfId="21054" xr:uid="{00000000-0005-0000-0000-000044580000}"/>
    <cellStyle name="60% - Accent1 3 2 2 2 5" xfId="7588" xr:uid="{00000000-0005-0000-0000-000045580000}"/>
    <cellStyle name="60% - Accent1 3 2 2 2 5 2" xfId="22737" xr:uid="{00000000-0005-0000-0000-000046580000}"/>
    <cellStyle name="60% - Accent1 3 2 2 2 6" xfId="9271" xr:uid="{00000000-0005-0000-0000-000047580000}"/>
    <cellStyle name="60% - Accent1 3 2 2 2 6 2" xfId="24420" xr:uid="{00000000-0005-0000-0000-000048580000}"/>
    <cellStyle name="60% - Accent1 3 2 2 2 7" xfId="10954" xr:uid="{00000000-0005-0000-0000-000049580000}"/>
    <cellStyle name="60% - Accent1 3 2 2 2 7 2" xfId="26103" xr:uid="{00000000-0005-0000-0000-00004A580000}"/>
    <cellStyle name="60% - Accent1 3 2 2 2 8" xfId="12638" xr:uid="{00000000-0005-0000-0000-00004B580000}"/>
    <cellStyle name="60% - Accent1 3 2 2 2 8 2" xfId="27787" xr:uid="{00000000-0005-0000-0000-00004C580000}"/>
    <cellStyle name="60% - Accent1 3 2 2 2 9" xfId="14321" xr:uid="{00000000-0005-0000-0000-00004D580000}"/>
    <cellStyle name="60% - Accent1 3 2 2 2 9 2" xfId="29470" xr:uid="{00000000-0005-0000-0000-00004E580000}"/>
    <cellStyle name="60% - Accent1 3 2 2 20" xfId="40831" xr:uid="{00000000-0005-0000-0000-00004F580000}"/>
    <cellStyle name="60% - Accent1 3 2 2 21" xfId="42514" xr:uid="{00000000-0005-0000-0000-000050580000}"/>
    <cellStyle name="60% - Accent1 3 2 2 22" xfId="44197" xr:uid="{00000000-0005-0000-0000-000051580000}"/>
    <cellStyle name="60% - Accent1 3 2 2 23" xfId="45880" xr:uid="{00000000-0005-0000-0000-000052580000}"/>
    <cellStyle name="60% - Accent1 3 2 2 24" xfId="47563" xr:uid="{00000000-0005-0000-0000-000053580000}"/>
    <cellStyle name="60% - Accent1 3 2 2 25" xfId="49246" xr:uid="{00000000-0005-0000-0000-000054580000}"/>
    <cellStyle name="60% - Accent1 3 2 2 26" xfId="50929" xr:uid="{00000000-0005-0000-0000-000055580000}"/>
    <cellStyle name="60% - Accent1 3 2 2 27" xfId="52612" xr:uid="{00000000-0005-0000-0000-000056580000}"/>
    <cellStyle name="60% - Accent1 3 2 2 28" xfId="54295" xr:uid="{00000000-0005-0000-0000-000057580000}"/>
    <cellStyle name="60% - Accent1 3 2 2 29" xfId="55978" xr:uid="{00000000-0005-0000-0000-000058580000}"/>
    <cellStyle name="60% - Accent1 3 2 2 3" xfId="1276" xr:uid="{00000000-0005-0000-0000-000059580000}"/>
    <cellStyle name="60% - Accent1 3 2 2 3 10" xfId="16425" xr:uid="{00000000-0005-0000-0000-00005A580000}"/>
    <cellStyle name="60% - Accent1 3 2 2 3 11" xfId="31574" xr:uid="{00000000-0005-0000-0000-00005B580000}"/>
    <cellStyle name="60% - Accent1 3 2 2 3 12" xfId="33257" xr:uid="{00000000-0005-0000-0000-00005C580000}"/>
    <cellStyle name="60% - Accent1 3 2 2 3 13" xfId="34940" xr:uid="{00000000-0005-0000-0000-00005D580000}"/>
    <cellStyle name="60% - Accent1 3 2 2 3 14" xfId="36623" xr:uid="{00000000-0005-0000-0000-00005E580000}"/>
    <cellStyle name="60% - Accent1 3 2 2 3 15" xfId="38306" xr:uid="{00000000-0005-0000-0000-00005F580000}"/>
    <cellStyle name="60% - Accent1 3 2 2 3 16" xfId="39989" xr:uid="{00000000-0005-0000-0000-000060580000}"/>
    <cellStyle name="60% - Accent1 3 2 2 3 17" xfId="41672" xr:uid="{00000000-0005-0000-0000-000061580000}"/>
    <cellStyle name="60% - Accent1 3 2 2 3 18" xfId="43355" xr:uid="{00000000-0005-0000-0000-000062580000}"/>
    <cellStyle name="60% - Accent1 3 2 2 3 19" xfId="45038" xr:uid="{00000000-0005-0000-0000-000063580000}"/>
    <cellStyle name="60% - Accent1 3 2 2 3 2" xfId="2959" xr:uid="{00000000-0005-0000-0000-000064580000}"/>
    <cellStyle name="60% - Accent1 3 2 2 3 2 2" xfId="18108" xr:uid="{00000000-0005-0000-0000-000065580000}"/>
    <cellStyle name="60% - Accent1 3 2 2 3 20" xfId="46721" xr:uid="{00000000-0005-0000-0000-000066580000}"/>
    <cellStyle name="60% - Accent1 3 2 2 3 21" xfId="48404" xr:uid="{00000000-0005-0000-0000-000067580000}"/>
    <cellStyle name="60% - Accent1 3 2 2 3 22" xfId="50087" xr:uid="{00000000-0005-0000-0000-000068580000}"/>
    <cellStyle name="60% - Accent1 3 2 2 3 23" xfId="51770" xr:uid="{00000000-0005-0000-0000-000069580000}"/>
    <cellStyle name="60% - Accent1 3 2 2 3 24" xfId="53453" xr:uid="{00000000-0005-0000-0000-00006A580000}"/>
    <cellStyle name="60% - Accent1 3 2 2 3 25" xfId="55136" xr:uid="{00000000-0005-0000-0000-00006B580000}"/>
    <cellStyle name="60% - Accent1 3 2 2 3 26" xfId="56819" xr:uid="{00000000-0005-0000-0000-00006C580000}"/>
    <cellStyle name="60% - Accent1 3 2 2 3 27" xfId="58502" xr:uid="{00000000-0005-0000-0000-00006D580000}"/>
    <cellStyle name="60% - Accent1 3 2 2 3 28" xfId="60185" xr:uid="{00000000-0005-0000-0000-00006E580000}"/>
    <cellStyle name="60% - Accent1 3 2 2 3 29" xfId="61868" xr:uid="{00000000-0005-0000-0000-00006F580000}"/>
    <cellStyle name="60% - Accent1 3 2 2 3 3" xfId="4643" xr:uid="{00000000-0005-0000-0000-000070580000}"/>
    <cellStyle name="60% - Accent1 3 2 2 3 3 2" xfId="19792" xr:uid="{00000000-0005-0000-0000-000071580000}"/>
    <cellStyle name="60% - Accent1 3 2 2 3 30" xfId="63551" xr:uid="{00000000-0005-0000-0000-000072580000}"/>
    <cellStyle name="60% - Accent1 3 2 2 3 4" xfId="6326" xr:uid="{00000000-0005-0000-0000-000073580000}"/>
    <cellStyle name="60% - Accent1 3 2 2 3 4 2" xfId="21475" xr:uid="{00000000-0005-0000-0000-000074580000}"/>
    <cellStyle name="60% - Accent1 3 2 2 3 5" xfId="8009" xr:uid="{00000000-0005-0000-0000-000075580000}"/>
    <cellStyle name="60% - Accent1 3 2 2 3 5 2" xfId="23158" xr:uid="{00000000-0005-0000-0000-000076580000}"/>
    <cellStyle name="60% - Accent1 3 2 2 3 6" xfId="9692" xr:uid="{00000000-0005-0000-0000-000077580000}"/>
    <cellStyle name="60% - Accent1 3 2 2 3 6 2" xfId="24841" xr:uid="{00000000-0005-0000-0000-000078580000}"/>
    <cellStyle name="60% - Accent1 3 2 2 3 7" xfId="11375" xr:uid="{00000000-0005-0000-0000-000079580000}"/>
    <cellStyle name="60% - Accent1 3 2 2 3 7 2" xfId="26524" xr:uid="{00000000-0005-0000-0000-00007A580000}"/>
    <cellStyle name="60% - Accent1 3 2 2 3 8" xfId="13059" xr:uid="{00000000-0005-0000-0000-00007B580000}"/>
    <cellStyle name="60% - Accent1 3 2 2 3 8 2" xfId="28208" xr:uid="{00000000-0005-0000-0000-00007C580000}"/>
    <cellStyle name="60% - Accent1 3 2 2 3 9" xfId="14742" xr:uid="{00000000-0005-0000-0000-00007D580000}"/>
    <cellStyle name="60% - Accent1 3 2 2 3 9 2" xfId="29891" xr:uid="{00000000-0005-0000-0000-00007E580000}"/>
    <cellStyle name="60% - Accent1 3 2 2 30" xfId="57661" xr:uid="{00000000-0005-0000-0000-00007F580000}"/>
    <cellStyle name="60% - Accent1 3 2 2 31" xfId="59344" xr:uid="{00000000-0005-0000-0000-000080580000}"/>
    <cellStyle name="60% - Accent1 3 2 2 32" xfId="61027" xr:uid="{00000000-0005-0000-0000-000081580000}"/>
    <cellStyle name="60% - Accent1 3 2 2 33" xfId="62710" xr:uid="{00000000-0005-0000-0000-000082580000}"/>
    <cellStyle name="60% - Accent1 3 2 2 4" xfId="1697" xr:uid="{00000000-0005-0000-0000-000083580000}"/>
    <cellStyle name="60% - Accent1 3 2 2 4 10" xfId="16846" xr:uid="{00000000-0005-0000-0000-000084580000}"/>
    <cellStyle name="60% - Accent1 3 2 2 4 11" xfId="31995" xr:uid="{00000000-0005-0000-0000-000085580000}"/>
    <cellStyle name="60% - Accent1 3 2 2 4 12" xfId="33678" xr:uid="{00000000-0005-0000-0000-000086580000}"/>
    <cellStyle name="60% - Accent1 3 2 2 4 13" xfId="35361" xr:uid="{00000000-0005-0000-0000-000087580000}"/>
    <cellStyle name="60% - Accent1 3 2 2 4 14" xfId="37044" xr:uid="{00000000-0005-0000-0000-000088580000}"/>
    <cellStyle name="60% - Accent1 3 2 2 4 15" xfId="38727" xr:uid="{00000000-0005-0000-0000-000089580000}"/>
    <cellStyle name="60% - Accent1 3 2 2 4 16" xfId="40410" xr:uid="{00000000-0005-0000-0000-00008A580000}"/>
    <cellStyle name="60% - Accent1 3 2 2 4 17" xfId="42093" xr:uid="{00000000-0005-0000-0000-00008B580000}"/>
    <cellStyle name="60% - Accent1 3 2 2 4 18" xfId="43776" xr:uid="{00000000-0005-0000-0000-00008C580000}"/>
    <cellStyle name="60% - Accent1 3 2 2 4 19" xfId="45459" xr:uid="{00000000-0005-0000-0000-00008D580000}"/>
    <cellStyle name="60% - Accent1 3 2 2 4 2" xfId="3380" xr:uid="{00000000-0005-0000-0000-00008E580000}"/>
    <cellStyle name="60% - Accent1 3 2 2 4 2 2" xfId="18529" xr:uid="{00000000-0005-0000-0000-00008F580000}"/>
    <cellStyle name="60% - Accent1 3 2 2 4 20" xfId="47142" xr:uid="{00000000-0005-0000-0000-000090580000}"/>
    <cellStyle name="60% - Accent1 3 2 2 4 21" xfId="48825" xr:uid="{00000000-0005-0000-0000-000091580000}"/>
    <cellStyle name="60% - Accent1 3 2 2 4 22" xfId="50508" xr:uid="{00000000-0005-0000-0000-000092580000}"/>
    <cellStyle name="60% - Accent1 3 2 2 4 23" xfId="52191" xr:uid="{00000000-0005-0000-0000-000093580000}"/>
    <cellStyle name="60% - Accent1 3 2 2 4 24" xfId="53874" xr:uid="{00000000-0005-0000-0000-000094580000}"/>
    <cellStyle name="60% - Accent1 3 2 2 4 25" xfId="55557" xr:uid="{00000000-0005-0000-0000-000095580000}"/>
    <cellStyle name="60% - Accent1 3 2 2 4 26" xfId="57240" xr:uid="{00000000-0005-0000-0000-000096580000}"/>
    <cellStyle name="60% - Accent1 3 2 2 4 27" xfId="58923" xr:uid="{00000000-0005-0000-0000-000097580000}"/>
    <cellStyle name="60% - Accent1 3 2 2 4 28" xfId="60606" xr:uid="{00000000-0005-0000-0000-000098580000}"/>
    <cellStyle name="60% - Accent1 3 2 2 4 29" xfId="62289" xr:uid="{00000000-0005-0000-0000-000099580000}"/>
    <cellStyle name="60% - Accent1 3 2 2 4 3" xfId="5064" xr:uid="{00000000-0005-0000-0000-00009A580000}"/>
    <cellStyle name="60% - Accent1 3 2 2 4 3 2" xfId="20213" xr:uid="{00000000-0005-0000-0000-00009B580000}"/>
    <cellStyle name="60% - Accent1 3 2 2 4 30" xfId="63972" xr:uid="{00000000-0005-0000-0000-00009C580000}"/>
    <cellStyle name="60% - Accent1 3 2 2 4 4" xfId="6747" xr:uid="{00000000-0005-0000-0000-00009D580000}"/>
    <cellStyle name="60% - Accent1 3 2 2 4 4 2" xfId="21896" xr:uid="{00000000-0005-0000-0000-00009E580000}"/>
    <cellStyle name="60% - Accent1 3 2 2 4 5" xfId="8430" xr:uid="{00000000-0005-0000-0000-00009F580000}"/>
    <cellStyle name="60% - Accent1 3 2 2 4 5 2" xfId="23579" xr:uid="{00000000-0005-0000-0000-0000A0580000}"/>
    <cellStyle name="60% - Accent1 3 2 2 4 6" xfId="10113" xr:uid="{00000000-0005-0000-0000-0000A1580000}"/>
    <cellStyle name="60% - Accent1 3 2 2 4 6 2" xfId="25262" xr:uid="{00000000-0005-0000-0000-0000A2580000}"/>
    <cellStyle name="60% - Accent1 3 2 2 4 7" xfId="11796" xr:uid="{00000000-0005-0000-0000-0000A3580000}"/>
    <cellStyle name="60% - Accent1 3 2 2 4 7 2" xfId="26945" xr:uid="{00000000-0005-0000-0000-0000A4580000}"/>
    <cellStyle name="60% - Accent1 3 2 2 4 8" xfId="13480" xr:uid="{00000000-0005-0000-0000-0000A5580000}"/>
    <cellStyle name="60% - Accent1 3 2 2 4 8 2" xfId="28629" xr:uid="{00000000-0005-0000-0000-0000A6580000}"/>
    <cellStyle name="60% - Accent1 3 2 2 4 9" xfId="15163" xr:uid="{00000000-0005-0000-0000-0000A7580000}"/>
    <cellStyle name="60% - Accent1 3 2 2 4 9 2" xfId="30312" xr:uid="{00000000-0005-0000-0000-0000A8580000}"/>
    <cellStyle name="60% - Accent1 3 2 2 5" xfId="2118" xr:uid="{00000000-0005-0000-0000-0000A9580000}"/>
    <cellStyle name="60% - Accent1 3 2 2 5 2" xfId="17267" xr:uid="{00000000-0005-0000-0000-0000AA580000}"/>
    <cellStyle name="60% - Accent1 3 2 2 6" xfId="3802" xr:uid="{00000000-0005-0000-0000-0000AB580000}"/>
    <cellStyle name="60% - Accent1 3 2 2 6 2" xfId="18951" xr:uid="{00000000-0005-0000-0000-0000AC580000}"/>
    <cellStyle name="60% - Accent1 3 2 2 7" xfId="5485" xr:uid="{00000000-0005-0000-0000-0000AD580000}"/>
    <cellStyle name="60% - Accent1 3 2 2 7 2" xfId="20634" xr:uid="{00000000-0005-0000-0000-0000AE580000}"/>
    <cellStyle name="60% - Accent1 3 2 2 8" xfId="7168" xr:uid="{00000000-0005-0000-0000-0000AF580000}"/>
    <cellStyle name="60% - Accent1 3 2 2 8 2" xfId="22317" xr:uid="{00000000-0005-0000-0000-0000B0580000}"/>
    <cellStyle name="60% - Accent1 3 2 2 9" xfId="8851" xr:uid="{00000000-0005-0000-0000-0000B1580000}"/>
    <cellStyle name="60% - Accent1 3 2 2 9 2" xfId="24000" xr:uid="{00000000-0005-0000-0000-0000B2580000}"/>
    <cellStyle name="60% - Accent1 3 2 20" xfId="38938" xr:uid="{00000000-0005-0000-0000-0000B3580000}"/>
    <cellStyle name="60% - Accent1 3 2 21" xfId="40621" xr:uid="{00000000-0005-0000-0000-0000B4580000}"/>
    <cellStyle name="60% - Accent1 3 2 22" xfId="42304" xr:uid="{00000000-0005-0000-0000-0000B5580000}"/>
    <cellStyle name="60% - Accent1 3 2 23" xfId="43987" xr:uid="{00000000-0005-0000-0000-0000B6580000}"/>
    <cellStyle name="60% - Accent1 3 2 24" xfId="45670" xr:uid="{00000000-0005-0000-0000-0000B7580000}"/>
    <cellStyle name="60% - Accent1 3 2 25" xfId="47353" xr:uid="{00000000-0005-0000-0000-0000B8580000}"/>
    <cellStyle name="60% - Accent1 3 2 26" xfId="49036" xr:uid="{00000000-0005-0000-0000-0000B9580000}"/>
    <cellStyle name="60% - Accent1 3 2 27" xfId="50719" xr:uid="{00000000-0005-0000-0000-0000BA580000}"/>
    <cellStyle name="60% - Accent1 3 2 28" xfId="52402" xr:uid="{00000000-0005-0000-0000-0000BB580000}"/>
    <cellStyle name="60% - Accent1 3 2 29" xfId="54085" xr:uid="{00000000-0005-0000-0000-0000BC580000}"/>
    <cellStyle name="60% - Accent1 3 2 3" xfId="645" xr:uid="{00000000-0005-0000-0000-0000BD580000}"/>
    <cellStyle name="60% - Accent1 3 2 3 10" xfId="15794" xr:uid="{00000000-0005-0000-0000-0000BE580000}"/>
    <cellStyle name="60% - Accent1 3 2 3 11" xfId="30943" xr:uid="{00000000-0005-0000-0000-0000BF580000}"/>
    <cellStyle name="60% - Accent1 3 2 3 12" xfId="32626" xr:uid="{00000000-0005-0000-0000-0000C0580000}"/>
    <cellStyle name="60% - Accent1 3 2 3 13" xfId="34309" xr:uid="{00000000-0005-0000-0000-0000C1580000}"/>
    <cellStyle name="60% - Accent1 3 2 3 14" xfId="35992" xr:uid="{00000000-0005-0000-0000-0000C2580000}"/>
    <cellStyle name="60% - Accent1 3 2 3 15" xfId="37675" xr:uid="{00000000-0005-0000-0000-0000C3580000}"/>
    <cellStyle name="60% - Accent1 3 2 3 16" xfId="39358" xr:uid="{00000000-0005-0000-0000-0000C4580000}"/>
    <cellStyle name="60% - Accent1 3 2 3 17" xfId="41041" xr:uid="{00000000-0005-0000-0000-0000C5580000}"/>
    <cellStyle name="60% - Accent1 3 2 3 18" xfId="42724" xr:uid="{00000000-0005-0000-0000-0000C6580000}"/>
    <cellStyle name="60% - Accent1 3 2 3 19" xfId="44407" xr:uid="{00000000-0005-0000-0000-0000C7580000}"/>
    <cellStyle name="60% - Accent1 3 2 3 2" xfId="2328" xr:uid="{00000000-0005-0000-0000-0000C8580000}"/>
    <cellStyle name="60% - Accent1 3 2 3 2 2" xfId="17477" xr:uid="{00000000-0005-0000-0000-0000C9580000}"/>
    <cellStyle name="60% - Accent1 3 2 3 20" xfId="46090" xr:uid="{00000000-0005-0000-0000-0000CA580000}"/>
    <cellStyle name="60% - Accent1 3 2 3 21" xfId="47773" xr:uid="{00000000-0005-0000-0000-0000CB580000}"/>
    <cellStyle name="60% - Accent1 3 2 3 22" xfId="49456" xr:uid="{00000000-0005-0000-0000-0000CC580000}"/>
    <cellStyle name="60% - Accent1 3 2 3 23" xfId="51139" xr:uid="{00000000-0005-0000-0000-0000CD580000}"/>
    <cellStyle name="60% - Accent1 3 2 3 24" xfId="52822" xr:uid="{00000000-0005-0000-0000-0000CE580000}"/>
    <cellStyle name="60% - Accent1 3 2 3 25" xfId="54505" xr:uid="{00000000-0005-0000-0000-0000CF580000}"/>
    <cellStyle name="60% - Accent1 3 2 3 26" xfId="56188" xr:uid="{00000000-0005-0000-0000-0000D0580000}"/>
    <cellStyle name="60% - Accent1 3 2 3 27" xfId="57871" xr:uid="{00000000-0005-0000-0000-0000D1580000}"/>
    <cellStyle name="60% - Accent1 3 2 3 28" xfId="59554" xr:uid="{00000000-0005-0000-0000-0000D2580000}"/>
    <cellStyle name="60% - Accent1 3 2 3 29" xfId="61237" xr:uid="{00000000-0005-0000-0000-0000D3580000}"/>
    <cellStyle name="60% - Accent1 3 2 3 3" xfId="4012" xr:uid="{00000000-0005-0000-0000-0000D4580000}"/>
    <cellStyle name="60% - Accent1 3 2 3 3 2" xfId="19161" xr:uid="{00000000-0005-0000-0000-0000D5580000}"/>
    <cellStyle name="60% - Accent1 3 2 3 30" xfId="62920" xr:uid="{00000000-0005-0000-0000-0000D6580000}"/>
    <cellStyle name="60% - Accent1 3 2 3 4" xfId="5695" xr:uid="{00000000-0005-0000-0000-0000D7580000}"/>
    <cellStyle name="60% - Accent1 3 2 3 4 2" xfId="20844" xr:uid="{00000000-0005-0000-0000-0000D8580000}"/>
    <cellStyle name="60% - Accent1 3 2 3 5" xfId="7378" xr:uid="{00000000-0005-0000-0000-0000D9580000}"/>
    <cellStyle name="60% - Accent1 3 2 3 5 2" xfId="22527" xr:uid="{00000000-0005-0000-0000-0000DA580000}"/>
    <cellStyle name="60% - Accent1 3 2 3 6" xfId="9061" xr:uid="{00000000-0005-0000-0000-0000DB580000}"/>
    <cellStyle name="60% - Accent1 3 2 3 6 2" xfId="24210" xr:uid="{00000000-0005-0000-0000-0000DC580000}"/>
    <cellStyle name="60% - Accent1 3 2 3 7" xfId="10744" xr:uid="{00000000-0005-0000-0000-0000DD580000}"/>
    <cellStyle name="60% - Accent1 3 2 3 7 2" xfId="25893" xr:uid="{00000000-0005-0000-0000-0000DE580000}"/>
    <cellStyle name="60% - Accent1 3 2 3 8" xfId="12428" xr:uid="{00000000-0005-0000-0000-0000DF580000}"/>
    <cellStyle name="60% - Accent1 3 2 3 8 2" xfId="27577" xr:uid="{00000000-0005-0000-0000-0000E0580000}"/>
    <cellStyle name="60% - Accent1 3 2 3 9" xfId="14111" xr:uid="{00000000-0005-0000-0000-0000E1580000}"/>
    <cellStyle name="60% - Accent1 3 2 3 9 2" xfId="29260" xr:uid="{00000000-0005-0000-0000-0000E2580000}"/>
    <cellStyle name="60% - Accent1 3 2 30" xfId="55768" xr:uid="{00000000-0005-0000-0000-0000E3580000}"/>
    <cellStyle name="60% - Accent1 3 2 31" xfId="57451" xr:uid="{00000000-0005-0000-0000-0000E4580000}"/>
    <cellStyle name="60% - Accent1 3 2 32" xfId="59134" xr:uid="{00000000-0005-0000-0000-0000E5580000}"/>
    <cellStyle name="60% - Accent1 3 2 33" xfId="60817" xr:uid="{00000000-0005-0000-0000-0000E6580000}"/>
    <cellStyle name="60% - Accent1 3 2 34" xfId="62500" xr:uid="{00000000-0005-0000-0000-0000E7580000}"/>
    <cellStyle name="60% - Accent1 3 2 4" xfId="1066" xr:uid="{00000000-0005-0000-0000-0000E8580000}"/>
    <cellStyle name="60% - Accent1 3 2 4 10" xfId="16215" xr:uid="{00000000-0005-0000-0000-0000E9580000}"/>
    <cellStyle name="60% - Accent1 3 2 4 11" xfId="31364" xr:uid="{00000000-0005-0000-0000-0000EA580000}"/>
    <cellStyle name="60% - Accent1 3 2 4 12" xfId="33047" xr:uid="{00000000-0005-0000-0000-0000EB580000}"/>
    <cellStyle name="60% - Accent1 3 2 4 13" xfId="34730" xr:uid="{00000000-0005-0000-0000-0000EC580000}"/>
    <cellStyle name="60% - Accent1 3 2 4 14" xfId="36413" xr:uid="{00000000-0005-0000-0000-0000ED580000}"/>
    <cellStyle name="60% - Accent1 3 2 4 15" xfId="38096" xr:uid="{00000000-0005-0000-0000-0000EE580000}"/>
    <cellStyle name="60% - Accent1 3 2 4 16" xfId="39779" xr:uid="{00000000-0005-0000-0000-0000EF580000}"/>
    <cellStyle name="60% - Accent1 3 2 4 17" xfId="41462" xr:uid="{00000000-0005-0000-0000-0000F0580000}"/>
    <cellStyle name="60% - Accent1 3 2 4 18" xfId="43145" xr:uid="{00000000-0005-0000-0000-0000F1580000}"/>
    <cellStyle name="60% - Accent1 3 2 4 19" xfId="44828" xr:uid="{00000000-0005-0000-0000-0000F2580000}"/>
    <cellStyle name="60% - Accent1 3 2 4 2" xfId="2749" xr:uid="{00000000-0005-0000-0000-0000F3580000}"/>
    <cellStyle name="60% - Accent1 3 2 4 2 2" xfId="17898" xr:uid="{00000000-0005-0000-0000-0000F4580000}"/>
    <cellStyle name="60% - Accent1 3 2 4 20" xfId="46511" xr:uid="{00000000-0005-0000-0000-0000F5580000}"/>
    <cellStyle name="60% - Accent1 3 2 4 21" xfId="48194" xr:uid="{00000000-0005-0000-0000-0000F6580000}"/>
    <cellStyle name="60% - Accent1 3 2 4 22" xfId="49877" xr:uid="{00000000-0005-0000-0000-0000F7580000}"/>
    <cellStyle name="60% - Accent1 3 2 4 23" xfId="51560" xr:uid="{00000000-0005-0000-0000-0000F8580000}"/>
    <cellStyle name="60% - Accent1 3 2 4 24" xfId="53243" xr:uid="{00000000-0005-0000-0000-0000F9580000}"/>
    <cellStyle name="60% - Accent1 3 2 4 25" xfId="54926" xr:uid="{00000000-0005-0000-0000-0000FA580000}"/>
    <cellStyle name="60% - Accent1 3 2 4 26" xfId="56609" xr:uid="{00000000-0005-0000-0000-0000FB580000}"/>
    <cellStyle name="60% - Accent1 3 2 4 27" xfId="58292" xr:uid="{00000000-0005-0000-0000-0000FC580000}"/>
    <cellStyle name="60% - Accent1 3 2 4 28" xfId="59975" xr:uid="{00000000-0005-0000-0000-0000FD580000}"/>
    <cellStyle name="60% - Accent1 3 2 4 29" xfId="61658" xr:uid="{00000000-0005-0000-0000-0000FE580000}"/>
    <cellStyle name="60% - Accent1 3 2 4 3" xfId="4433" xr:uid="{00000000-0005-0000-0000-0000FF580000}"/>
    <cellStyle name="60% - Accent1 3 2 4 3 2" xfId="19582" xr:uid="{00000000-0005-0000-0000-000000590000}"/>
    <cellStyle name="60% - Accent1 3 2 4 30" xfId="63341" xr:uid="{00000000-0005-0000-0000-000001590000}"/>
    <cellStyle name="60% - Accent1 3 2 4 4" xfId="6116" xr:uid="{00000000-0005-0000-0000-000002590000}"/>
    <cellStyle name="60% - Accent1 3 2 4 4 2" xfId="21265" xr:uid="{00000000-0005-0000-0000-000003590000}"/>
    <cellStyle name="60% - Accent1 3 2 4 5" xfId="7799" xr:uid="{00000000-0005-0000-0000-000004590000}"/>
    <cellStyle name="60% - Accent1 3 2 4 5 2" xfId="22948" xr:uid="{00000000-0005-0000-0000-000005590000}"/>
    <cellStyle name="60% - Accent1 3 2 4 6" xfId="9482" xr:uid="{00000000-0005-0000-0000-000006590000}"/>
    <cellStyle name="60% - Accent1 3 2 4 6 2" xfId="24631" xr:uid="{00000000-0005-0000-0000-000007590000}"/>
    <cellStyle name="60% - Accent1 3 2 4 7" xfId="11165" xr:uid="{00000000-0005-0000-0000-000008590000}"/>
    <cellStyle name="60% - Accent1 3 2 4 7 2" xfId="26314" xr:uid="{00000000-0005-0000-0000-000009590000}"/>
    <cellStyle name="60% - Accent1 3 2 4 8" xfId="12849" xr:uid="{00000000-0005-0000-0000-00000A590000}"/>
    <cellStyle name="60% - Accent1 3 2 4 8 2" xfId="27998" xr:uid="{00000000-0005-0000-0000-00000B590000}"/>
    <cellStyle name="60% - Accent1 3 2 4 9" xfId="14532" xr:uid="{00000000-0005-0000-0000-00000C590000}"/>
    <cellStyle name="60% - Accent1 3 2 4 9 2" xfId="29681" xr:uid="{00000000-0005-0000-0000-00000D590000}"/>
    <cellStyle name="60% - Accent1 3 2 5" xfId="1487" xr:uid="{00000000-0005-0000-0000-00000E590000}"/>
    <cellStyle name="60% - Accent1 3 2 5 10" xfId="16636" xr:uid="{00000000-0005-0000-0000-00000F590000}"/>
    <cellStyle name="60% - Accent1 3 2 5 11" xfId="31785" xr:uid="{00000000-0005-0000-0000-000010590000}"/>
    <cellStyle name="60% - Accent1 3 2 5 12" xfId="33468" xr:uid="{00000000-0005-0000-0000-000011590000}"/>
    <cellStyle name="60% - Accent1 3 2 5 13" xfId="35151" xr:uid="{00000000-0005-0000-0000-000012590000}"/>
    <cellStyle name="60% - Accent1 3 2 5 14" xfId="36834" xr:uid="{00000000-0005-0000-0000-000013590000}"/>
    <cellStyle name="60% - Accent1 3 2 5 15" xfId="38517" xr:uid="{00000000-0005-0000-0000-000014590000}"/>
    <cellStyle name="60% - Accent1 3 2 5 16" xfId="40200" xr:uid="{00000000-0005-0000-0000-000015590000}"/>
    <cellStyle name="60% - Accent1 3 2 5 17" xfId="41883" xr:uid="{00000000-0005-0000-0000-000016590000}"/>
    <cellStyle name="60% - Accent1 3 2 5 18" xfId="43566" xr:uid="{00000000-0005-0000-0000-000017590000}"/>
    <cellStyle name="60% - Accent1 3 2 5 19" xfId="45249" xr:uid="{00000000-0005-0000-0000-000018590000}"/>
    <cellStyle name="60% - Accent1 3 2 5 2" xfId="3170" xr:uid="{00000000-0005-0000-0000-000019590000}"/>
    <cellStyle name="60% - Accent1 3 2 5 2 2" xfId="18319" xr:uid="{00000000-0005-0000-0000-00001A590000}"/>
    <cellStyle name="60% - Accent1 3 2 5 20" xfId="46932" xr:uid="{00000000-0005-0000-0000-00001B590000}"/>
    <cellStyle name="60% - Accent1 3 2 5 21" xfId="48615" xr:uid="{00000000-0005-0000-0000-00001C590000}"/>
    <cellStyle name="60% - Accent1 3 2 5 22" xfId="50298" xr:uid="{00000000-0005-0000-0000-00001D590000}"/>
    <cellStyle name="60% - Accent1 3 2 5 23" xfId="51981" xr:uid="{00000000-0005-0000-0000-00001E590000}"/>
    <cellStyle name="60% - Accent1 3 2 5 24" xfId="53664" xr:uid="{00000000-0005-0000-0000-00001F590000}"/>
    <cellStyle name="60% - Accent1 3 2 5 25" xfId="55347" xr:uid="{00000000-0005-0000-0000-000020590000}"/>
    <cellStyle name="60% - Accent1 3 2 5 26" xfId="57030" xr:uid="{00000000-0005-0000-0000-000021590000}"/>
    <cellStyle name="60% - Accent1 3 2 5 27" xfId="58713" xr:uid="{00000000-0005-0000-0000-000022590000}"/>
    <cellStyle name="60% - Accent1 3 2 5 28" xfId="60396" xr:uid="{00000000-0005-0000-0000-000023590000}"/>
    <cellStyle name="60% - Accent1 3 2 5 29" xfId="62079" xr:uid="{00000000-0005-0000-0000-000024590000}"/>
    <cellStyle name="60% - Accent1 3 2 5 3" xfId="4854" xr:uid="{00000000-0005-0000-0000-000025590000}"/>
    <cellStyle name="60% - Accent1 3 2 5 3 2" xfId="20003" xr:uid="{00000000-0005-0000-0000-000026590000}"/>
    <cellStyle name="60% - Accent1 3 2 5 30" xfId="63762" xr:uid="{00000000-0005-0000-0000-000027590000}"/>
    <cellStyle name="60% - Accent1 3 2 5 4" xfId="6537" xr:uid="{00000000-0005-0000-0000-000028590000}"/>
    <cellStyle name="60% - Accent1 3 2 5 4 2" xfId="21686" xr:uid="{00000000-0005-0000-0000-000029590000}"/>
    <cellStyle name="60% - Accent1 3 2 5 5" xfId="8220" xr:uid="{00000000-0005-0000-0000-00002A590000}"/>
    <cellStyle name="60% - Accent1 3 2 5 5 2" xfId="23369" xr:uid="{00000000-0005-0000-0000-00002B590000}"/>
    <cellStyle name="60% - Accent1 3 2 5 6" xfId="9903" xr:uid="{00000000-0005-0000-0000-00002C590000}"/>
    <cellStyle name="60% - Accent1 3 2 5 6 2" xfId="25052" xr:uid="{00000000-0005-0000-0000-00002D590000}"/>
    <cellStyle name="60% - Accent1 3 2 5 7" xfId="11586" xr:uid="{00000000-0005-0000-0000-00002E590000}"/>
    <cellStyle name="60% - Accent1 3 2 5 7 2" xfId="26735" xr:uid="{00000000-0005-0000-0000-00002F590000}"/>
    <cellStyle name="60% - Accent1 3 2 5 8" xfId="13270" xr:uid="{00000000-0005-0000-0000-000030590000}"/>
    <cellStyle name="60% - Accent1 3 2 5 8 2" xfId="28419" xr:uid="{00000000-0005-0000-0000-000031590000}"/>
    <cellStyle name="60% - Accent1 3 2 5 9" xfId="14953" xr:uid="{00000000-0005-0000-0000-000032590000}"/>
    <cellStyle name="60% - Accent1 3 2 5 9 2" xfId="30102" xr:uid="{00000000-0005-0000-0000-000033590000}"/>
    <cellStyle name="60% - Accent1 3 2 6" xfId="1908" xr:uid="{00000000-0005-0000-0000-000034590000}"/>
    <cellStyle name="60% - Accent1 3 2 6 2" xfId="17057" xr:uid="{00000000-0005-0000-0000-000035590000}"/>
    <cellStyle name="60% - Accent1 3 2 7" xfId="3592" xr:uid="{00000000-0005-0000-0000-000036590000}"/>
    <cellStyle name="60% - Accent1 3 2 7 2" xfId="18741" xr:uid="{00000000-0005-0000-0000-000037590000}"/>
    <cellStyle name="60% - Accent1 3 2 8" xfId="5275" xr:uid="{00000000-0005-0000-0000-000038590000}"/>
    <cellStyle name="60% - Accent1 3 2 8 2" xfId="20424" xr:uid="{00000000-0005-0000-0000-000039590000}"/>
    <cellStyle name="60% - Accent1 3 2 9" xfId="6958" xr:uid="{00000000-0005-0000-0000-00003A590000}"/>
    <cellStyle name="60% - Accent1 3 2 9 2" xfId="22107" xr:uid="{00000000-0005-0000-0000-00003B590000}"/>
    <cellStyle name="60% - Accent1 3 20" xfId="37150" xr:uid="{00000000-0005-0000-0000-00003C590000}"/>
    <cellStyle name="60% - Accent1 3 21" xfId="38833" xr:uid="{00000000-0005-0000-0000-00003D590000}"/>
    <cellStyle name="60% - Accent1 3 22" xfId="40516" xr:uid="{00000000-0005-0000-0000-00003E590000}"/>
    <cellStyle name="60% - Accent1 3 23" xfId="42199" xr:uid="{00000000-0005-0000-0000-00003F590000}"/>
    <cellStyle name="60% - Accent1 3 24" xfId="43882" xr:uid="{00000000-0005-0000-0000-000040590000}"/>
    <cellStyle name="60% - Accent1 3 25" xfId="45565" xr:uid="{00000000-0005-0000-0000-000041590000}"/>
    <cellStyle name="60% - Accent1 3 26" xfId="47248" xr:uid="{00000000-0005-0000-0000-000042590000}"/>
    <cellStyle name="60% - Accent1 3 27" xfId="48931" xr:uid="{00000000-0005-0000-0000-000043590000}"/>
    <cellStyle name="60% - Accent1 3 28" xfId="50614" xr:uid="{00000000-0005-0000-0000-000044590000}"/>
    <cellStyle name="60% - Accent1 3 29" xfId="52297" xr:uid="{00000000-0005-0000-0000-000045590000}"/>
    <cellStyle name="60% - Accent1 3 3" xfId="330" xr:uid="{00000000-0005-0000-0000-000046590000}"/>
    <cellStyle name="60% - Accent1 3 3 10" xfId="10429" xr:uid="{00000000-0005-0000-0000-000047590000}"/>
    <cellStyle name="60% - Accent1 3 3 10 2" xfId="25578" xr:uid="{00000000-0005-0000-0000-000048590000}"/>
    <cellStyle name="60% - Accent1 3 3 11" xfId="12113" xr:uid="{00000000-0005-0000-0000-000049590000}"/>
    <cellStyle name="60% - Accent1 3 3 11 2" xfId="27262" xr:uid="{00000000-0005-0000-0000-00004A590000}"/>
    <cellStyle name="60% - Accent1 3 3 12" xfId="13796" xr:uid="{00000000-0005-0000-0000-00004B590000}"/>
    <cellStyle name="60% - Accent1 3 3 12 2" xfId="28945" xr:uid="{00000000-0005-0000-0000-00004C590000}"/>
    <cellStyle name="60% - Accent1 3 3 13" xfId="15479" xr:uid="{00000000-0005-0000-0000-00004D590000}"/>
    <cellStyle name="60% - Accent1 3 3 14" xfId="30628" xr:uid="{00000000-0005-0000-0000-00004E590000}"/>
    <cellStyle name="60% - Accent1 3 3 15" xfId="32311" xr:uid="{00000000-0005-0000-0000-00004F590000}"/>
    <cellStyle name="60% - Accent1 3 3 16" xfId="33994" xr:uid="{00000000-0005-0000-0000-000050590000}"/>
    <cellStyle name="60% - Accent1 3 3 17" xfId="35677" xr:uid="{00000000-0005-0000-0000-000051590000}"/>
    <cellStyle name="60% - Accent1 3 3 18" xfId="37360" xr:uid="{00000000-0005-0000-0000-000052590000}"/>
    <cellStyle name="60% - Accent1 3 3 19" xfId="39043" xr:uid="{00000000-0005-0000-0000-000053590000}"/>
    <cellStyle name="60% - Accent1 3 3 2" xfId="750" xr:uid="{00000000-0005-0000-0000-000054590000}"/>
    <cellStyle name="60% - Accent1 3 3 2 10" xfId="15899" xr:uid="{00000000-0005-0000-0000-000055590000}"/>
    <cellStyle name="60% - Accent1 3 3 2 11" xfId="31048" xr:uid="{00000000-0005-0000-0000-000056590000}"/>
    <cellStyle name="60% - Accent1 3 3 2 12" xfId="32731" xr:uid="{00000000-0005-0000-0000-000057590000}"/>
    <cellStyle name="60% - Accent1 3 3 2 13" xfId="34414" xr:uid="{00000000-0005-0000-0000-000058590000}"/>
    <cellStyle name="60% - Accent1 3 3 2 14" xfId="36097" xr:uid="{00000000-0005-0000-0000-000059590000}"/>
    <cellStyle name="60% - Accent1 3 3 2 15" xfId="37780" xr:uid="{00000000-0005-0000-0000-00005A590000}"/>
    <cellStyle name="60% - Accent1 3 3 2 16" xfId="39463" xr:uid="{00000000-0005-0000-0000-00005B590000}"/>
    <cellStyle name="60% - Accent1 3 3 2 17" xfId="41146" xr:uid="{00000000-0005-0000-0000-00005C590000}"/>
    <cellStyle name="60% - Accent1 3 3 2 18" xfId="42829" xr:uid="{00000000-0005-0000-0000-00005D590000}"/>
    <cellStyle name="60% - Accent1 3 3 2 19" xfId="44512" xr:uid="{00000000-0005-0000-0000-00005E590000}"/>
    <cellStyle name="60% - Accent1 3 3 2 2" xfId="2433" xr:uid="{00000000-0005-0000-0000-00005F590000}"/>
    <cellStyle name="60% - Accent1 3 3 2 2 2" xfId="17582" xr:uid="{00000000-0005-0000-0000-000060590000}"/>
    <cellStyle name="60% - Accent1 3 3 2 20" xfId="46195" xr:uid="{00000000-0005-0000-0000-000061590000}"/>
    <cellStyle name="60% - Accent1 3 3 2 21" xfId="47878" xr:uid="{00000000-0005-0000-0000-000062590000}"/>
    <cellStyle name="60% - Accent1 3 3 2 22" xfId="49561" xr:uid="{00000000-0005-0000-0000-000063590000}"/>
    <cellStyle name="60% - Accent1 3 3 2 23" xfId="51244" xr:uid="{00000000-0005-0000-0000-000064590000}"/>
    <cellStyle name="60% - Accent1 3 3 2 24" xfId="52927" xr:uid="{00000000-0005-0000-0000-000065590000}"/>
    <cellStyle name="60% - Accent1 3 3 2 25" xfId="54610" xr:uid="{00000000-0005-0000-0000-000066590000}"/>
    <cellStyle name="60% - Accent1 3 3 2 26" xfId="56293" xr:uid="{00000000-0005-0000-0000-000067590000}"/>
    <cellStyle name="60% - Accent1 3 3 2 27" xfId="57976" xr:uid="{00000000-0005-0000-0000-000068590000}"/>
    <cellStyle name="60% - Accent1 3 3 2 28" xfId="59659" xr:uid="{00000000-0005-0000-0000-000069590000}"/>
    <cellStyle name="60% - Accent1 3 3 2 29" xfId="61342" xr:uid="{00000000-0005-0000-0000-00006A590000}"/>
    <cellStyle name="60% - Accent1 3 3 2 3" xfId="4117" xr:uid="{00000000-0005-0000-0000-00006B590000}"/>
    <cellStyle name="60% - Accent1 3 3 2 3 2" xfId="19266" xr:uid="{00000000-0005-0000-0000-00006C590000}"/>
    <cellStyle name="60% - Accent1 3 3 2 30" xfId="63025" xr:uid="{00000000-0005-0000-0000-00006D590000}"/>
    <cellStyle name="60% - Accent1 3 3 2 4" xfId="5800" xr:uid="{00000000-0005-0000-0000-00006E590000}"/>
    <cellStyle name="60% - Accent1 3 3 2 4 2" xfId="20949" xr:uid="{00000000-0005-0000-0000-00006F590000}"/>
    <cellStyle name="60% - Accent1 3 3 2 5" xfId="7483" xr:uid="{00000000-0005-0000-0000-000070590000}"/>
    <cellStyle name="60% - Accent1 3 3 2 5 2" xfId="22632" xr:uid="{00000000-0005-0000-0000-000071590000}"/>
    <cellStyle name="60% - Accent1 3 3 2 6" xfId="9166" xr:uid="{00000000-0005-0000-0000-000072590000}"/>
    <cellStyle name="60% - Accent1 3 3 2 6 2" xfId="24315" xr:uid="{00000000-0005-0000-0000-000073590000}"/>
    <cellStyle name="60% - Accent1 3 3 2 7" xfId="10849" xr:uid="{00000000-0005-0000-0000-000074590000}"/>
    <cellStyle name="60% - Accent1 3 3 2 7 2" xfId="25998" xr:uid="{00000000-0005-0000-0000-000075590000}"/>
    <cellStyle name="60% - Accent1 3 3 2 8" xfId="12533" xr:uid="{00000000-0005-0000-0000-000076590000}"/>
    <cellStyle name="60% - Accent1 3 3 2 8 2" xfId="27682" xr:uid="{00000000-0005-0000-0000-000077590000}"/>
    <cellStyle name="60% - Accent1 3 3 2 9" xfId="14216" xr:uid="{00000000-0005-0000-0000-000078590000}"/>
    <cellStyle name="60% - Accent1 3 3 2 9 2" xfId="29365" xr:uid="{00000000-0005-0000-0000-000079590000}"/>
    <cellStyle name="60% - Accent1 3 3 20" xfId="40726" xr:uid="{00000000-0005-0000-0000-00007A590000}"/>
    <cellStyle name="60% - Accent1 3 3 21" xfId="42409" xr:uid="{00000000-0005-0000-0000-00007B590000}"/>
    <cellStyle name="60% - Accent1 3 3 22" xfId="44092" xr:uid="{00000000-0005-0000-0000-00007C590000}"/>
    <cellStyle name="60% - Accent1 3 3 23" xfId="45775" xr:uid="{00000000-0005-0000-0000-00007D590000}"/>
    <cellStyle name="60% - Accent1 3 3 24" xfId="47458" xr:uid="{00000000-0005-0000-0000-00007E590000}"/>
    <cellStyle name="60% - Accent1 3 3 25" xfId="49141" xr:uid="{00000000-0005-0000-0000-00007F590000}"/>
    <cellStyle name="60% - Accent1 3 3 26" xfId="50824" xr:uid="{00000000-0005-0000-0000-000080590000}"/>
    <cellStyle name="60% - Accent1 3 3 27" xfId="52507" xr:uid="{00000000-0005-0000-0000-000081590000}"/>
    <cellStyle name="60% - Accent1 3 3 28" xfId="54190" xr:uid="{00000000-0005-0000-0000-000082590000}"/>
    <cellStyle name="60% - Accent1 3 3 29" xfId="55873" xr:uid="{00000000-0005-0000-0000-000083590000}"/>
    <cellStyle name="60% - Accent1 3 3 3" xfId="1171" xr:uid="{00000000-0005-0000-0000-000084590000}"/>
    <cellStyle name="60% - Accent1 3 3 3 10" xfId="16320" xr:uid="{00000000-0005-0000-0000-000085590000}"/>
    <cellStyle name="60% - Accent1 3 3 3 11" xfId="31469" xr:uid="{00000000-0005-0000-0000-000086590000}"/>
    <cellStyle name="60% - Accent1 3 3 3 12" xfId="33152" xr:uid="{00000000-0005-0000-0000-000087590000}"/>
    <cellStyle name="60% - Accent1 3 3 3 13" xfId="34835" xr:uid="{00000000-0005-0000-0000-000088590000}"/>
    <cellStyle name="60% - Accent1 3 3 3 14" xfId="36518" xr:uid="{00000000-0005-0000-0000-000089590000}"/>
    <cellStyle name="60% - Accent1 3 3 3 15" xfId="38201" xr:uid="{00000000-0005-0000-0000-00008A590000}"/>
    <cellStyle name="60% - Accent1 3 3 3 16" xfId="39884" xr:uid="{00000000-0005-0000-0000-00008B590000}"/>
    <cellStyle name="60% - Accent1 3 3 3 17" xfId="41567" xr:uid="{00000000-0005-0000-0000-00008C590000}"/>
    <cellStyle name="60% - Accent1 3 3 3 18" xfId="43250" xr:uid="{00000000-0005-0000-0000-00008D590000}"/>
    <cellStyle name="60% - Accent1 3 3 3 19" xfId="44933" xr:uid="{00000000-0005-0000-0000-00008E590000}"/>
    <cellStyle name="60% - Accent1 3 3 3 2" xfId="2854" xr:uid="{00000000-0005-0000-0000-00008F590000}"/>
    <cellStyle name="60% - Accent1 3 3 3 2 2" xfId="18003" xr:uid="{00000000-0005-0000-0000-000090590000}"/>
    <cellStyle name="60% - Accent1 3 3 3 20" xfId="46616" xr:uid="{00000000-0005-0000-0000-000091590000}"/>
    <cellStyle name="60% - Accent1 3 3 3 21" xfId="48299" xr:uid="{00000000-0005-0000-0000-000092590000}"/>
    <cellStyle name="60% - Accent1 3 3 3 22" xfId="49982" xr:uid="{00000000-0005-0000-0000-000093590000}"/>
    <cellStyle name="60% - Accent1 3 3 3 23" xfId="51665" xr:uid="{00000000-0005-0000-0000-000094590000}"/>
    <cellStyle name="60% - Accent1 3 3 3 24" xfId="53348" xr:uid="{00000000-0005-0000-0000-000095590000}"/>
    <cellStyle name="60% - Accent1 3 3 3 25" xfId="55031" xr:uid="{00000000-0005-0000-0000-000096590000}"/>
    <cellStyle name="60% - Accent1 3 3 3 26" xfId="56714" xr:uid="{00000000-0005-0000-0000-000097590000}"/>
    <cellStyle name="60% - Accent1 3 3 3 27" xfId="58397" xr:uid="{00000000-0005-0000-0000-000098590000}"/>
    <cellStyle name="60% - Accent1 3 3 3 28" xfId="60080" xr:uid="{00000000-0005-0000-0000-000099590000}"/>
    <cellStyle name="60% - Accent1 3 3 3 29" xfId="61763" xr:uid="{00000000-0005-0000-0000-00009A590000}"/>
    <cellStyle name="60% - Accent1 3 3 3 3" xfId="4538" xr:uid="{00000000-0005-0000-0000-00009B590000}"/>
    <cellStyle name="60% - Accent1 3 3 3 3 2" xfId="19687" xr:uid="{00000000-0005-0000-0000-00009C590000}"/>
    <cellStyle name="60% - Accent1 3 3 3 30" xfId="63446" xr:uid="{00000000-0005-0000-0000-00009D590000}"/>
    <cellStyle name="60% - Accent1 3 3 3 4" xfId="6221" xr:uid="{00000000-0005-0000-0000-00009E590000}"/>
    <cellStyle name="60% - Accent1 3 3 3 4 2" xfId="21370" xr:uid="{00000000-0005-0000-0000-00009F590000}"/>
    <cellStyle name="60% - Accent1 3 3 3 5" xfId="7904" xr:uid="{00000000-0005-0000-0000-0000A0590000}"/>
    <cellStyle name="60% - Accent1 3 3 3 5 2" xfId="23053" xr:uid="{00000000-0005-0000-0000-0000A1590000}"/>
    <cellStyle name="60% - Accent1 3 3 3 6" xfId="9587" xr:uid="{00000000-0005-0000-0000-0000A2590000}"/>
    <cellStyle name="60% - Accent1 3 3 3 6 2" xfId="24736" xr:uid="{00000000-0005-0000-0000-0000A3590000}"/>
    <cellStyle name="60% - Accent1 3 3 3 7" xfId="11270" xr:uid="{00000000-0005-0000-0000-0000A4590000}"/>
    <cellStyle name="60% - Accent1 3 3 3 7 2" xfId="26419" xr:uid="{00000000-0005-0000-0000-0000A5590000}"/>
    <cellStyle name="60% - Accent1 3 3 3 8" xfId="12954" xr:uid="{00000000-0005-0000-0000-0000A6590000}"/>
    <cellStyle name="60% - Accent1 3 3 3 8 2" xfId="28103" xr:uid="{00000000-0005-0000-0000-0000A7590000}"/>
    <cellStyle name="60% - Accent1 3 3 3 9" xfId="14637" xr:uid="{00000000-0005-0000-0000-0000A8590000}"/>
    <cellStyle name="60% - Accent1 3 3 3 9 2" xfId="29786" xr:uid="{00000000-0005-0000-0000-0000A9590000}"/>
    <cellStyle name="60% - Accent1 3 3 30" xfId="57556" xr:uid="{00000000-0005-0000-0000-0000AA590000}"/>
    <cellStyle name="60% - Accent1 3 3 31" xfId="59239" xr:uid="{00000000-0005-0000-0000-0000AB590000}"/>
    <cellStyle name="60% - Accent1 3 3 32" xfId="60922" xr:uid="{00000000-0005-0000-0000-0000AC590000}"/>
    <cellStyle name="60% - Accent1 3 3 33" xfId="62605" xr:uid="{00000000-0005-0000-0000-0000AD590000}"/>
    <cellStyle name="60% - Accent1 3 3 4" xfId="1592" xr:uid="{00000000-0005-0000-0000-0000AE590000}"/>
    <cellStyle name="60% - Accent1 3 3 4 10" xfId="16741" xr:uid="{00000000-0005-0000-0000-0000AF590000}"/>
    <cellStyle name="60% - Accent1 3 3 4 11" xfId="31890" xr:uid="{00000000-0005-0000-0000-0000B0590000}"/>
    <cellStyle name="60% - Accent1 3 3 4 12" xfId="33573" xr:uid="{00000000-0005-0000-0000-0000B1590000}"/>
    <cellStyle name="60% - Accent1 3 3 4 13" xfId="35256" xr:uid="{00000000-0005-0000-0000-0000B2590000}"/>
    <cellStyle name="60% - Accent1 3 3 4 14" xfId="36939" xr:uid="{00000000-0005-0000-0000-0000B3590000}"/>
    <cellStyle name="60% - Accent1 3 3 4 15" xfId="38622" xr:uid="{00000000-0005-0000-0000-0000B4590000}"/>
    <cellStyle name="60% - Accent1 3 3 4 16" xfId="40305" xr:uid="{00000000-0005-0000-0000-0000B5590000}"/>
    <cellStyle name="60% - Accent1 3 3 4 17" xfId="41988" xr:uid="{00000000-0005-0000-0000-0000B6590000}"/>
    <cellStyle name="60% - Accent1 3 3 4 18" xfId="43671" xr:uid="{00000000-0005-0000-0000-0000B7590000}"/>
    <cellStyle name="60% - Accent1 3 3 4 19" xfId="45354" xr:uid="{00000000-0005-0000-0000-0000B8590000}"/>
    <cellStyle name="60% - Accent1 3 3 4 2" xfId="3275" xr:uid="{00000000-0005-0000-0000-0000B9590000}"/>
    <cellStyle name="60% - Accent1 3 3 4 2 2" xfId="18424" xr:uid="{00000000-0005-0000-0000-0000BA590000}"/>
    <cellStyle name="60% - Accent1 3 3 4 20" xfId="47037" xr:uid="{00000000-0005-0000-0000-0000BB590000}"/>
    <cellStyle name="60% - Accent1 3 3 4 21" xfId="48720" xr:uid="{00000000-0005-0000-0000-0000BC590000}"/>
    <cellStyle name="60% - Accent1 3 3 4 22" xfId="50403" xr:uid="{00000000-0005-0000-0000-0000BD590000}"/>
    <cellStyle name="60% - Accent1 3 3 4 23" xfId="52086" xr:uid="{00000000-0005-0000-0000-0000BE590000}"/>
    <cellStyle name="60% - Accent1 3 3 4 24" xfId="53769" xr:uid="{00000000-0005-0000-0000-0000BF590000}"/>
    <cellStyle name="60% - Accent1 3 3 4 25" xfId="55452" xr:uid="{00000000-0005-0000-0000-0000C0590000}"/>
    <cellStyle name="60% - Accent1 3 3 4 26" xfId="57135" xr:uid="{00000000-0005-0000-0000-0000C1590000}"/>
    <cellStyle name="60% - Accent1 3 3 4 27" xfId="58818" xr:uid="{00000000-0005-0000-0000-0000C2590000}"/>
    <cellStyle name="60% - Accent1 3 3 4 28" xfId="60501" xr:uid="{00000000-0005-0000-0000-0000C3590000}"/>
    <cellStyle name="60% - Accent1 3 3 4 29" xfId="62184" xr:uid="{00000000-0005-0000-0000-0000C4590000}"/>
    <cellStyle name="60% - Accent1 3 3 4 3" xfId="4959" xr:uid="{00000000-0005-0000-0000-0000C5590000}"/>
    <cellStyle name="60% - Accent1 3 3 4 3 2" xfId="20108" xr:uid="{00000000-0005-0000-0000-0000C6590000}"/>
    <cellStyle name="60% - Accent1 3 3 4 30" xfId="63867" xr:uid="{00000000-0005-0000-0000-0000C7590000}"/>
    <cellStyle name="60% - Accent1 3 3 4 4" xfId="6642" xr:uid="{00000000-0005-0000-0000-0000C8590000}"/>
    <cellStyle name="60% - Accent1 3 3 4 4 2" xfId="21791" xr:uid="{00000000-0005-0000-0000-0000C9590000}"/>
    <cellStyle name="60% - Accent1 3 3 4 5" xfId="8325" xr:uid="{00000000-0005-0000-0000-0000CA590000}"/>
    <cellStyle name="60% - Accent1 3 3 4 5 2" xfId="23474" xr:uid="{00000000-0005-0000-0000-0000CB590000}"/>
    <cellStyle name="60% - Accent1 3 3 4 6" xfId="10008" xr:uid="{00000000-0005-0000-0000-0000CC590000}"/>
    <cellStyle name="60% - Accent1 3 3 4 6 2" xfId="25157" xr:uid="{00000000-0005-0000-0000-0000CD590000}"/>
    <cellStyle name="60% - Accent1 3 3 4 7" xfId="11691" xr:uid="{00000000-0005-0000-0000-0000CE590000}"/>
    <cellStyle name="60% - Accent1 3 3 4 7 2" xfId="26840" xr:uid="{00000000-0005-0000-0000-0000CF590000}"/>
    <cellStyle name="60% - Accent1 3 3 4 8" xfId="13375" xr:uid="{00000000-0005-0000-0000-0000D0590000}"/>
    <cellStyle name="60% - Accent1 3 3 4 8 2" xfId="28524" xr:uid="{00000000-0005-0000-0000-0000D1590000}"/>
    <cellStyle name="60% - Accent1 3 3 4 9" xfId="15058" xr:uid="{00000000-0005-0000-0000-0000D2590000}"/>
    <cellStyle name="60% - Accent1 3 3 4 9 2" xfId="30207" xr:uid="{00000000-0005-0000-0000-0000D3590000}"/>
    <cellStyle name="60% - Accent1 3 3 5" xfId="2013" xr:uid="{00000000-0005-0000-0000-0000D4590000}"/>
    <cellStyle name="60% - Accent1 3 3 5 2" xfId="17162" xr:uid="{00000000-0005-0000-0000-0000D5590000}"/>
    <cellStyle name="60% - Accent1 3 3 6" xfId="3697" xr:uid="{00000000-0005-0000-0000-0000D6590000}"/>
    <cellStyle name="60% - Accent1 3 3 6 2" xfId="18846" xr:uid="{00000000-0005-0000-0000-0000D7590000}"/>
    <cellStyle name="60% - Accent1 3 3 7" xfId="5380" xr:uid="{00000000-0005-0000-0000-0000D8590000}"/>
    <cellStyle name="60% - Accent1 3 3 7 2" xfId="20529" xr:uid="{00000000-0005-0000-0000-0000D9590000}"/>
    <cellStyle name="60% - Accent1 3 3 8" xfId="7063" xr:uid="{00000000-0005-0000-0000-0000DA590000}"/>
    <cellStyle name="60% - Accent1 3 3 8 2" xfId="22212" xr:uid="{00000000-0005-0000-0000-0000DB590000}"/>
    <cellStyle name="60% - Accent1 3 3 9" xfId="8746" xr:uid="{00000000-0005-0000-0000-0000DC590000}"/>
    <cellStyle name="60% - Accent1 3 3 9 2" xfId="23895" xr:uid="{00000000-0005-0000-0000-0000DD590000}"/>
    <cellStyle name="60% - Accent1 3 30" xfId="53980" xr:uid="{00000000-0005-0000-0000-0000DE590000}"/>
    <cellStyle name="60% - Accent1 3 31" xfId="55663" xr:uid="{00000000-0005-0000-0000-0000DF590000}"/>
    <cellStyle name="60% - Accent1 3 32" xfId="57346" xr:uid="{00000000-0005-0000-0000-0000E0590000}"/>
    <cellStyle name="60% - Accent1 3 33" xfId="59029" xr:uid="{00000000-0005-0000-0000-0000E1590000}"/>
    <cellStyle name="60% - Accent1 3 34" xfId="60712" xr:uid="{00000000-0005-0000-0000-0000E2590000}"/>
    <cellStyle name="60% - Accent1 3 35" xfId="62395" xr:uid="{00000000-0005-0000-0000-0000E3590000}"/>
    <cellStyle name="60% - Accent1 3 4" xfId="540" xr:uid="{00000000-0005-0000-0000-0000E4590000}"/>
    <cellStyle name="60% - Accent1 3 4 10" xfId="15689" xr:uid="{00000000-0005-0000-0000-0000E5590000}"/>
    <cellStyle name="60% - Accent1 3 4 11" xfId="30838" xr:uid="{00000000-0005-0000-0000-0000E6590000}"/>
    <cellStyle name="60% - Accent1 3 4 12" xfId="32521" xr:uid="{00000000-0005-0000-0000-0000E7590000}"/>
    <cellStyle name="60% - Accent1 3 4 13" xfId="34204" xr:uid="{00000000-0005-0000-0000-0000E8590000}"/>
    <cellStyle name="60% - Accent1 3 4 14" xfId="35887" xr:uid="{00000000-0005-0000-0000-0000E9590000}"/>
    <cellStyle name="60% - Accent1 3 4 15" xfId="37570" xr:uid="{00000000-0005-0000-0000-0000EA590000}"/>
    <cellStyle name="60% - Accent1 3 4 16" xfId="39253" xr:uid="{00000000-0005-0000-0000-0000EB590000}"/>
    <cellStyle name="60% - Accent1 3 4 17" xfId="40936" xr:uid="{00000000-0005-0000-0000-0000EC590000}"/>
    <cellStyle name="60% - Accent1 3 4 18" xfId="42619" xr:uid="{00000000-0005-0000-0000-0000ED590000}"/>
    <cellStyle name="60% - Accent1 3 4 19" xfId="44302" xr:uid="{00000000-0005-0000-0000-0000EE590000}"/>
    <cellStyle name="60% - Accent1 3 4 2" xfId="2223" xr:uid="{00000000-0005-0000-0000-0000EF590000}"/>
    <cellStyle name="60% - Accent1 3 4 2 2" xfId="17372" xr:uid="{00000000-0005-0000-0000-0000F0590000}"/>
    <cellStyle name="60% - Accent1 3 4 20" xfId="45985" xr:uid="{00000000-0005-0000-0000-0000F1590000}"/>
    <cellStyle name="60% - Accent1 3 4 21" xfId="47668" xr:uid="{00000000-0005-0000-0000-0000F2590000}"/>
    <cellStyle name="60% - Accent1 3 4 22" xfId="49351" xr:uid="{00000000-0005-0000-0000-0000F3590000}"/>
    <cellStyle name="60% - Accent1 3 4 23" xfId="51034" xr:uid="{00000000-0005-0000-0000-0000F4590000}"/>
    <cellStyle name="60% - Accent1 3 4 24" xfId="52717" xr:uid="{00000000-0005-0000-0000-0000F5590000}"/>
    <cellStyle name="60% - Accent1 3 4 25" xfId="54400" xr:uid="{00000000-0005-0000-0000-0000F6590000}"/>
    <cellStyle name="60% - Accent1 3 4 26" xfId="56083" xr:uid="{00000000-0005-0000-0000-0000F7590000}"/>
    <cellStyle name="60% - Accent1 3 4 27" xfId="57766" xr:uid="{00000000-0005-0000-0000-0000F8590000}"/>
    <cellStyle name="60% - Accent1 3 4 28" xfId="59449" xr:uid="{00000000-0005-0000-0000-0000F9590000}"/>
    <cellStyle name="60% - Accent1 3 4 29" xfId="61132" xr:uid="{00000000-0005-0000-0000-0000FA590000}"/>
    <cellStyle name="60% - Accent1 3 4 3" xfId="3907" xr:uid="{00000000-0005-0000-0000-0000FB590000}"/>
    <cellStyle name="60% - Accent1 3 4 3 2" xfId="19056" xr:uid="{00000000-0005-0000-0000-0000FC590000}"/>
    <cellStyle name="60% - Accent1 3 4 30" xfId="62815" xr:uid="{00000000-0005-0000-0000-0000FD590000}"/>
    <cellStyle name="60% - Accent1 3 4 4" xfId="5590" xr:uid="{00000000-0005-0000-0000-0000FE590000}"/>
    <cellStyle name="60% - Accent1 3 4 4 2" xfId="20739" xr:uid="{00000000-0005-0000-0000-0000FF590000}"/>
    <cellStyle name="60% - Accent1 3 4 5" xfId="7273" xr:uid="{00000000-0005-0000-0000-0000005A0000}"/>
    <cellStyle name="60% - Accent1 3 4 5 2" xfId="22422" xr:uid="{00000000-0005-0000-0000-0000015A0000}"/>
    <cellStyle name="60% - Accent1 3 4 6" xfId="8956" xr:uid="{00000000-0005-0000-0000-0000025A0000}"/>
    <cellStyle name="60% - Accent1 3 4 6 2" xfId="24105" xr:uid="{00000000-0005-0000-0000-0000035A0000}"/>
    <cellStyle name="60% - Accent1 3 4 7" xfId="10639" xr:uid="{00000000-0005-0000-0000-0000045A0000}"/>
    <cellStyle name="60% - Accent1 3 4 7 2" xfId="25788" xr:uid="{00000000-0005-0000-0000-0000055A0000}"/>
    <cellStyle name="60% - Accent1 3 4 8" xfId="12323" xr:uid="{00000000-0005-0000-0000-0000065A0000}"/>
    <cellStyle name="60% - Accent1 3 4 8 2" xfId="27472" xr:uid="{00000000-0005-0000-0000-0000075A0000}"/>
    <cellStyle name="60% - Accent1 3 4 9" xfId="14006" xr:uid="{00000000-0005-0000-0000-0000085A0000}"/>
    <cellStyle name="60% - Accent1 3 4 9 2" xfId="29155" xr:uid="{00000000-0005-0000-0000-0000095A0000}"/>
    <cellStyle name="60% - Accent1 3 5" xfId="961" xr:uid="{00000000-0005-0000-0000-00000A5A0000}"/>
    <cellStyle name="60% - Accent1 3 5 10" xfId="16110" xr:uid="{00000000-0005-0000-0000-00000B5A0000}"/>
    <cellStyle name="60% - Accent1 3 5 11" xfId="31259" xr:uid="{00000000-0005-0000-0000-00000C5A0000}"/>
    <cellStyle name="60% - Accent1 3 5 12" xfId="32942" xr:uid="{00000000-0005-0000-0000-00000D5A0000}"/>
    <cellStyle name="60% - Accent1 3 5 13" xfId="34625" xr:uid="{00000000-0005-0000-0000-00000E5A0000}"/>
    <cellStyle name="60% - Accent1 3 5 14" xfId="36308" xr:uid="{00000000-0005-0000-0000-00000F5A0000}"/>
    <cellStyle name="60% - Accent1 3 5 15" xfId="37991" xr:uid="{00000000-0005-0000-0000-0000105A0000}"/>
    <cellStyle name="60% - Accent1 3 5 16" xfId="39674" xr:uid="{00000000-0005-0000-0000-0000115A0000}"/>
    <cellStyle name="60% - Accent1 3 5 17" xfId="41357" xr:uid="{00000000-0005-0000-0000-0000125A0000}"/>
    <cellStyle name="60% - Accent1 3 5 18" xfId="43040" xr:uid="{00000000-0005-0000-0000-0000135A0000}"/>
    <cellStyle name="60% - Accent1 3 5 19" xfId="44723" xr:uid="{00000000-0005-0000-0000-0000145A0000}"/>
    <cellStyle name="60% - Accent1 3 5 2" xfId="2644" xr:uid="{00000000-0005-0000-0000-0000155A0000}"/>
    <cellStyle name="60% - Accent1 3 5 2 2" xfId="17793" xr:uid="{00000000-0005-0000-0000-0000165A0000}"/>
    <cellStyle name="60% - Accent1 3 5 20" xfId="46406" xr:uid="{00000000-0005-0000-0000-0000175A0000}"/>
    <cellStyle name="60% - Accent1 3 5 21" xfId="48089" xr:uid="{00000000-0005-0000-0000-0000185A0000}"/>
    <cellStyle name="60% - Accent1 3 5 22" xfId="49772" xr:uid="{00000000-0005-0000-0000-0000195A0000}"/>
    <cellStyle name="60% - Accent1 3 5 23" xfId="51455" xr:uid="{00000000-0005-0000-0000-00001A5A0000}"/>
    <cellStyle name="60% - Accent1 3 5 24" xfId="53138" xr:uid="{00000000-0005-0000-0000-00001B5A0000}"/>
    <cellStyle name="60% - Accent1 3 5 25" xfId="54821" xr:uid="{00000000-0005-0000-0000-00001C5A0000}"/>
    <cellStyle name="60% - Accent1 3 5 26" xfId="56504" xr:uid="{00000000-0005-0000-0000-00001D5A0000}"/>
    <cellStyle name="60% - Accent1 3 5 27" xfId="58187" xr:uid="{00000000-0005-0000-0000-00001E5A0000}"/>
    <cellStyle name="60% - Accent1 3 5 28" xfId="59870" xr:uid="{00000000-0005-0000-0000-00001F5A0000}"/>
    <cellStyle name="60% - Accent1 3 5 29" xfId="61553" xr:uid="{00000000-0005-0000-0000-0000205A0000}"/>
    <cellStyle name="60% - Accent1 3 5 3" xfId="4328" xr:uid="{00000000-0005-0000-0000-0000215A0000}"/>
    <cellStyle name="60% - Accent1 3 5 3 2" xfId="19477" xr:uid="{00000000-0005-0000-0000-0000225A0000}"/>
    <cellStyle name="60% - Accent1 3 5 30" xfId="63236" xr:uid="{00000000-0005-0000-0000-0000235A0000}"/>
    <cellStyle name="60% - Accent1 3 5 4" xfId="6011" xr:uid="{00000000-0005-0000-0000-0000245A0000}"/>
    <cellStyle name="60% - Accent1 3 5 4 2" xfId="21160" xr:uid="{00000000-0005-0000-0000-0000255A0000}"/>
    <cellStyle name="60% - Accent1 3 5 5" xfId="7694" xr:uid="{00000000-0005-0000-0000-0000265A0000}"/>
    <cellStyle name="60% - Accent1 3 5 5 2" xfId="22843" xr:uid="{00000000-0005-0000-0000-0000275A0000}"/>
    <cellStyle name="60% - Accent1 3 5 6" xfId="9377" xr:uid="{00000000-0005-0000-0000-0000285A0000}"/>
    <cellStyle name="60% - Accent1 3 5 6 2" xfId="24526" xr:uid="{00000000-0005-0000-0000-0000295A0000}"/>
    <cellStyle name="60% - Accent1 3 5 7" xfId="11060" xr:uid="{00000000-0005-0000-0000-00002A5A0000}"/>
    <cellStyle name="60% - Accent1 3 5 7 2" xfId="26209" xr:uid="{00000000-0005-0000-0000-00002B5A0000}"/>
    <cellStyle name="60% - Accent1 3 5 8" xfId="12744" xr:uid="{00000000-0005-0000-0000-00002C5A0000}"/>
    <cellStyle name="60% - Accent1 3 5 8 2" xfId="27893" xr:uid="{00000000-0005-0000-0000-00002D5A0000}"/>
    <cellStyle name="60% - Accent1 3 5 9" xfId="14427" xr:uid="{00000000-0005-0000-0000-00002E5A0000}"/>
    <cellStyle name="60% - Accent1 3 5 9 2" xfId="29576" xr:uid="{00000000-0005-0000-0000-00002F5A0000}"/>
    <cellStyle name="60% - Accent1 3 6" xfId="1382" xr:uid="{00000000-0005-0000-0000-0000305A0000}"/>
    <cellStyle name="60% - Accent1 3 6 10" xfId="16531" xr:uid="{00000000-0005-0000-0000-0000315A0000}"/>
    <cellStyle name="60% - Accent1 3 6 11" xfId="31680" xr:uid="{00000000-0005-0000-0000-0000325A0000}"/>
    <cellStyle name="60% - Accent1 3 6 12" xfId="33363" xr:uid="{00000000-0005-0000-0000-0000335A0000}"/>
    <cellStyle name="60% - Accent1 3 6 13" xfId="35046" xr:uid="{00000000-0005-0000-0000-0000345A0000}"/>
    <cellStyle name="60% - Accent1 3 6 14" xfId="36729" xr:uid="{00000000-0005-0000-0000-0000355A0000}"/>
    <cellStyle name="60% - Accent1 3 6 15" xfId="38412" xr:uid="{00000000-0005-0000-0000-0000365A0000}"/>
    <cellStyle name="60% - Accent1 3 6 16" xfId="40095" xr:uid="{00000000-0005-0000-0000-0000375A0000}"/>
    <cellStyle name="60% - Accent1 3 6 17" xfId="41778" xr:uid="{00000000-0005-0000-0000-0000385A0000}"/>
    <cellStyle name="60% - Accent1 3 6 18" xfId="43461" xr:uid="{00000000-0005-0000-0000-0000395A0000}"/>
    <cellStyle name="60% - Accent1 3 6 19" xfId="45144" xr:uid="{00000000-0005-0000-0000-00003A5A0000}"/>
    <cellStyle name="60% - Accent1 3 6 2" xfId="3065" xr:uid="{00000000-0005-0000-0000-00003B5A0000}"/>
    <cellStyle name="60% - Accent1 3 6 2 2" xfId="18214" xr:uid="{00000000-0005-0000-0000-00003C5A0000}"/>
    <cellStyle name="60% - Accent1 3 6 20" xfId="46827" xr:uid="{00000000-0005-0000-0000-00003D5A0000}"/>
    <cellStyle name="60% - Accent1 3 6 21" xfId="48510" xr:uid="{00000000-0005-0000-0000-00003E5A0000}"/>
    <cellStyle name="60% - Accent1 3 6 22" xfId="50193" xr:uid="{00000000-0005-0000-0000-00003F5A0000}"/>
    <cellStyle name="60% - Accent1 3 6 23" xfId="51876" xr:uid="{00000000-0005-0000-0000-0000405A0000}"/>
    <cellStyle name="60% - Accent1 3 6 24" xfId="53559" xr:uid="{00000000-0005-0000-0000-0000415A0000}"/>
    <cellStyle name="60% - Accent1 3 6 25" xfId="55242" xr:uid="{00000000-0005-0000-0000-0000425A0000}"/>
    <cellStyle name="60% - Accent1 3 6 26" xfId="56925" xr:uid="{00000000-0005-0000-0000-0000435A0000}"/>
    <cellStyle name="60% - Accent1 3 6 27" xfId="58608" xr:uid="{00000000-0005-0000-0000-0000445A0000}"/>
    <cellStyle name="60% - Accent1 3 6 28" xfId="60291" xr:uid="{00000000-0005-0000-0000-0000455A0000}"/>
    <cellStyle name="60% - Accent1 3 6 29" xfId="61974" xr:uid="{00000000-0005-0000-0000-0000465A0000}"/>
    <cellStyle name="60% - Accent1 3 6 3" xfId="4749" xr:uid="{00000000-0005-0000-0000-0000475A0000}"/>
    <cellStyle name="60% - Accent1 3 6 3 2" xfId="19898" xr:uid="{00000000-0005-0000-0000-0000485A0000}"/>
    <cellStyle name="60% - Accent1 3 6 30" xfId="63657" xr:uid="{00000000-0005-0000-0000-0000495A0000}"/>
    <cellStyle name="60% - Accent1 3 6 4" xfId="6432" xr:uid="{00000000-0005-0000-0000-00004A5A0000}"/>
    <cellStyle name="60% - Accent1 3 6 4 2" xfId="21581" xr:uid="{00000000-0005-0000-0000-00004B5A0000}"/>
    <cellStyle name="60% - Accent1 3 6 5" xfId="8115" xr:uid="{00000000-0005-0000-0000-00004C5A0000}"/>
    <cellStyle name="60% - Accent1 3 6 5 2" xfId="23264" xr:uid="{00000000-0005-0000-0000-00004D5A0000}"/>
    <cellStyle name="60% - Accent1 3 6 6" xfId="9798" xr:uid="{00000000-0005-0000-0000-00004E5A0000}"/>
    <cellStyle name="60% - Accent1 3 6 6 2" xfId="24947" xr:uid="{00000000-0005-0000-0000-00004F5A0000}"/>
    <cellStyle name="60% - Accent1 3 6 7" xfId="11481" xr:uid="{00000000-0005-0000-0000-0000505A0000}"/>
    <cellStyle name="60% - Accent1 3 6 7 2" xfId="26630" xr:uid="{00000000-0005-0000-0000-0000515A0000}"/>
    <cellStyle name="60% - Accent1 3 6 8" xfId="13165" xr:uid="{00000000-0005-0000-0000-0000525A0000}"/>
    <cellStyle name="60% - Accent1 3 6 8 2" xfId="28314" xr:uid="{00000000-0005-0000-0000-0000535A0000}"/>
    <cellStyle name="60% - Accent1 3 6 9" xfId="14848" xr:uid="{00000000-0005-0000-0000-0000545A0000}"/>
    <cellStyle name="60% - Accent1 3 6 9 2" xfId="29997" xr:uid="{00000000-0005-0000-0000-0000555A0000}"/>
    <cellStyle name="60% - Accent1 3 7" xfId="1803" xr:uid="{00000000-0005-0000-0000-0000565A0000}"/>
    <cellStyle name="60% - Accent1 3 7 2" xfId="16952" xr:uid="{00000000-0005-0000-0000-0000575A0000}"/>
    <cellStyle name="60% - Accent1 3 8" xfId="3487" xr:uid="{00000000-0005-0000-0000-0000585A0000}"/>
    <cellStyle name="60% - Accent1 3 8 2" xfId="18636" xr:uid="{00000000-0005-0000-0000-0000595A0000}"/>
    <cellStyle name="60% - Accent1 3 9" xfId="5170" xr:uid="{00000000-0005-0000-0000-00005A5A0000}"/>
    <cellStyle name="60% - Accent1 3 9 2" xfId="20319" xr:uid="{00000000-0005-0000-0000-00005B5A0000}"/>
    <cellStyle name="60% - Accent1 30" xfId="50572" xr:uid="{00000000-0005-0000-0000-00005C5A0000}"/>
    <cellStyle name="60% - Accent1 31" xfId="52255" xr:uid="{00000000-0005-0000-0000-00005D5A0000}"/>
    <cellStyle name="60% - Accent1 32" xfId="53938" xr:uid="{00000000-0005-0000-0000-00005E5A0000}"/>
    <cellStyle name="60% - Accent1 33" xfId="55621" xr:uid="{00000000-0005-0000-0000-00005F5A0000}"/>
    <cellStyle name="60% - Accent1 34" xfId="57304" xr:uid="{00000000-0005-0000-0000-0000605A0000}"/>
    <cellStyle name="60% - Accent1 35" xfId="58987" xr:uid="{00000000-0005-0000-0000-0000615A0000}"/>
    <cellStyle name="60% - Accent1 36" xfId="60670" xr:uid="{00000000-0005-0000-0000-0000625A0000}"/>
    <cellStyle name="60% - Accent1 37" xfId="62353" xr:uid="{00000000-0005-0000-0000-0000635A0000}"/>
    <cellStyle name="60% - Accent1 4" xfId="183" xr:uid="{00000000-0005-0000-0000-0000645A0000}"/>
    <cellStyle name="60% - Accent1 4 10" xfId="8599" xr:uid="{00000000-0005-0000-0000-0000655A0000}"/>
    <cellStyle name="60% - Accent1 4 10 2" xfId="23748" xr:uid="{00000000-0005-0000-0000-0000665A0000}"/>
    <cellStyle name="60% - Accent1 4 11" xfId="10282" xr:uid="{00000000-0005-0000-0000-0000675A0000}"/>
    <cellStyle name="60% - Accent1 4 11 2" xfId="25431" xr:uid="{00000000-0005-0000-0000-0000685A0000}"/>
    <cellStyle name="60% - Accent1 4 12" xfId="11966" xr:uid="{00000000-0005-0000-0000-0000695A0000}"/>
    <cellStyle name="60% - Accent1 4 12 2" xfId="27115" xr:uid="{00000000-0005-0000-0000-00006A5A0000}"/>
    <cellStyle name="60% - Accent1 4 13" xfId="13649" xr:uid="{00000000-0005-0000-0000-00006B5A0000}"/>
    <cellStyle name="60% - Accent1 4 13 2" xfId="28798" xr:uid="{00000000-0005-0000-0000-00006C5A0000}"/>
    <cellStyle name="60% - Accent1 4 14" xfId="15332" xr:uid="{00000000-0005-0000-0000-00006D5A0000}"/>
    <cellStyle name="60% - Accent1 4 15" xfId="30481" xr:uid="{00000000-0005-0000-0000-00006E5A0000}"/>
    <cellStyle name="60% - Accent1 4 16" xfId="32164" xr:uid="{00000000-0005-0000-0000-00006F5A0000}"/>
    <cellStyle name="60% - Accent1 4 17" xfId="33847" xr:uid="{00000000-0005-0000-0000-0000705A0000}"/>
    <cellStyle name="60% - Accent1 4 18" xfId="35530" xr:uid="{00000000-0005-0000-0000-0000715A0000}"/>
    <cellStyle name="60% - Accent1 4 19" xfId="37213" xr:uid="{00000000-0005-0000-0000-0000725A0000}"/>
    <cellStyle name="60% - Accent1 4 2" xfId="393" xr:uid="{00000000-0005-0000-0000-0000735A0000}"/>
    <cellStyle name="60% - Accent1 4 2 10" xfId="10492" xr:uid="{00000000-0005-0000-0000-0000745A0000}"/>
    <cellStyle name="60% - Accent1 4 2 10 2" xfId="25641" xr:uid="{00000000-0005-0000-0000-0000755A0000}"/>
    <cellStyle name="60% - Accent1 4 2 11" xfId="12176" xr:uid="{00000000-0005-0000-0000-0000765A0000}"/>
    <cellStyle name="60% - Accent1 4 2 11 2" xfId="27325" xr:uid="{00000000-0005-0000-0000-0000775A0000}"/>
    <cellStyle name="60% - Accent1 4 2 12" xfId="13859" xr:uid="{00000000-0005-0000-0000-0000785A0000}"/>
    <cellStyle name="60% - Accent1 4 2 12 2" xfId="29008" xr:uid="{00000000-0005-0000-0000-0000795A0000}"/>
    <cellStyle name="60% - Accent1 4 2 13" xfId="15542" xr:uid="{00000000-0005-0000-0000-00007A5A0000}"/>
    <cellStyle name="60% - Accent1 4 2 14" xfId="30691" xr:uid="{00000000-0005-0000-0000-00007B5A0000}"/>
    <cellStyle name="60% - Accent1 4 2 15" xfId="32374" xr:uid="{00000000-0005-0000-0000-00007C5A0000}"/>
    <cellStyle name="60% - Accent1 4 2 16" xfId="34057" xr:uid="{00000000-0005-0000-0000-00007D5A0000}"/>
    <cellStyle name="60% - Accent1 4 2 17" xfId="35740" xr:uid="{00000000-0005-0000-0000-00007E5A0000}"/>
    <cellStyle name="60% - Accent1 4 2 18" xfId="37423" xr:uid="{00000000-0005-0000-0000-00007F5A0000}"/>
    <cellStyle name="60% - Accent1 4 2 19" xfId="39106" xr:uid="{00000000-0005-0000-0000-0000805A0000}"/>
    <cellStyle name="60% - Accent1 4 2 2" xfId="813" xr:uid="{00000000-0005-0000-0000-0000815A0000}"/>
    <cellStyle name="60% - Accent1 4 2 2 10" xfId="15962" xr:uid="{00000000-0005-0000-0000-0000825A0000}"/>
    <cellStyle name="60% - Accent1 4 2 2 11" xfId="31111" xr:uid="{00000000-0005-0000-0000-0000835A0000}"/>
    <cellStyle name="60% - Accent1 4 2 2 12" xfId="32794" xr:uid="{00000000-0005-0000-0000-0000845A0000}"/>
    <cellStyle name="60% - Accent1 4 2 2 13" xfId="34477" xr:uid="{00000000-0005-0000-0000-0000855A0000}"/>
    <cellStyle name="60% - Accent1 4 2 2 14" xfId="36160" xr:uid="{00000000-0005-0000-0000-0000865A0000}"/>
    <cellStyle name="60% - Accent1 4 2 2 15" xfId="37843" xr:uid="{00000000-0005-0000-0000-0000875A0000}"/>
    <cellStyle name="60% - Accent1 4 2 2 16" xfId="39526" xr:uid="{00000000-0005-0000-0000-0000885A0000}"/>
    <cellStyle name="60% - Accent1 4 2 2 17" xfId="41209" xr:uid="{00000000-0005-0000-0000-0000895A0000}"/>
    <cellStyle name="60% - Accent1 4 2 2 18" xfId="42892" xr:uid="{00000000-0005-0000-0000-00008A5A0000}"/>
    <cellStyle name="60% - Accent1 4 2 2 19" xfId="44575" xr:uid="{00000000-0005-0000-0000-00008B5A0000}"/>
    <cellStyle name="60% - Accent1 4 2 2 2" xfId="2496" xr:uid="{00000000-0005-0000-0000-00008C5A0000}"/>
    <cellStyle name="60% - Accent1 4 2 2 2 2" xfId="17645" xr:uid="{00000000-0005-0000-0000-00008D5A0000}"/>
    <cellStyle name="60% - Accent1 4 2 2 20" xfId="46258" xr:uid="{00000000-0005-0000-0000-00008E5A0000}"/>
    <cellStyle name="60% - Accent1 4 2 2 21" xfId="47941" xr:uid="{00000000-0005-0000-0000-00008F5A0000}"/>
    <cellStyle name="60% - Accent1 4 2 2 22" xfId="49624" xr:uid="{00000000-0005-0000-0000-0000905A0000}"/>
    <cellStyle name="60% - Accent1 4 2 2 23" xfId="51307" xr:uid="{00000000-0005-0000-0000-0000915A0000}"/>
    <cellStyle name="60% - Accent1 4 2 2 24" xfId="52990" xr:uid="{00000000-0005-0000-0000-0000925A0000}"/>
    <cellStyle name="60% - Accent1 4 2 2 25" xfId="54673" xr:uid="{00000000-0005-0000-0000-0000935A0000}"/>
    <cellStyle name="60% - Accent1 4 2 2 26" xfId="56356" xr:uid="{00000000-0005-0000-0000-0000945A0000}"/>
    <cellStyle name="60% - Accent1 4 2 2 27" xfId="58039" xr:uid="{00000000-0005-0000-0000-0000955A0000}"/>
    <cellStyle name="60% - Accent1 4 2 2 28" xfId="59722" xr:uid="{00000000-0005-0000-0000-0000965A0000}"/>
    <cellStyle name="60% - Accent1 4 2 2 29" xfId="61405" xr:uid="{00000000-0005-0000-0000-0000975A0000}"/>
    <cellStyle name="60% - Accent1 4 2 2 3" xfId="4180" xr:uid="{00000000-0005-0000-0000-0000985A0000}"/>
    <cellStyle name="60% - Accent1 4 2 2 3 2" xfId="19329" xr:uid="{00000000-0005-0000-0000-0000995A0000}"/>
    <cellStyle name="60% - Accent1 4 2 2 30" xfId="63088" xr:uid="{00000000-0005-0000-0000-00009A5A0000}"/>
    <cellStyle name="60% - Accent1 4 2 2 4" xfId="5863" xr:uid="{00000000-0005-0000-0000-00009B5A0000}"/>
    <cellStyle name="60% - Accent1 4 2 2 4 2" xfId="21012" xr:uid="{00000000-0005-0000-0000-00009C5A0000}"/>
    <cellStyle name="60% - Accent1 4 2 2 5" xfId="7546" xr:uid="{00000000-0005-0000-0000-00009D5A0000}"/>
    <cellStyle name="60% - Accent1 4 2 2 5 2" xfId="22695" xr:uid="{00000000-0005-0000-0000-00009E5A0000}"/>
    <cellStyle name="60% - Accent1 4 2 2 6" xfId="9229" xr:uid="{00000000-0005-0000-0000-00009F5A0000}"/>
    <cellStyle name="60% - Accent1 4 2 2 6 2" xfId="24378" xr:uid="{00000000-0005-0000-0000-0000A05A0000}"/>
    <cellStyle name="60% - Accent1 4 2 2 7" xfId="10912" xr:uid="{00000000-0005-0000-0000-0000A15A0000}"/>
    <cellStyle name="60% - Accent1 4 2 2 7 2" xfId="26061" xr:uid="{00000000-0005-0000-0000-0000A25A0000}"/>
    <cellStyle name="60% - Accent1 4 2 2 8" xfId="12596" xr:uid="{00000000-0005-0000-0000-0000A35A0000}"/>
    <cellStyle name="60% - Accent1 4 2 2 8 2" xfId="27745" xr:uid="{00000000-0005-0000-0000-0000A45A0000}"/>
    <cellStyle name="60% - Accent1 4 2 2 9" xfId="14279" xr:uid="{00000000-0005-0000-0000-0000A55A0000}"/>
    <cellStyle name="60% - Accent1 4 2 2 9 2" xfId="29428" xr:uid="{00000000-0005-0000-0000-0000A65A0000}"/>
    <cellStyle name="60% - Accent1 4 2 20" xfId="40789" xr:uid="{00000000-0005-0000-0000-0000A75A0000}"/>
    <cellStyle name="60% - Accent1 4 2 21" xfId="42472" xr:uid="{00000000-0005-0000-0000-0000A85A0000}"/>
    <cellStyle name="60% - Accent1 4 2 22" xfId="44155" xr:uid="{00000000-0005-0000-0000-0000A95A0000}"/>
    <cellStyle name="60% - Accent1 4 2 23" xfId="45838" xr:uid="{00000000-0005-0000-0000-0000AA5A0000}"/>
    <cellStyle name="60% - Accent1 4 2 24" xfId="47521" xr:uid="{00000000-0005-0000-0000-0000AB5A0000}"/>
    <cellStyle name="60% - Accent1 4 2 25" xfId="49204" xr:uid="{00000000-0005-0000-0000-0000AC5A0000}"/>
    <cellStyle name="60% - Accent1 4 2 26" xfId="50887" xr:uid="{00000000-0005-0000-0000-0000AD5A0000}"/>
    <cellStyle name="60% - Accent1 4 2 27" xfId="52570" xr:uid="{00000000-0005-0000-0000-0000AE5A0000}"/>
    <cellStyle name="60% - Accent1 4 2 28" xfId="54253" xr:uid="{00000000-0005-0000-0000-0000AF5A0000}"/>
    <cellStyle name="60% - Accent1 4 2 29" xfId="55936" xr:uid="{00000000-0005-0000-0000-0000B05A0000}"/>
    <cellStyle name="60% - Accent1 4 2 3" xfId="1234" xr:uid="{00000000-0005-0000-0000-0000B15A0000}"/>
    <cellStyle name="60% - Accent1 4 2 3 10" xfId="16383" xr:uid="{00000000-0005-0000-0000-0000B25A0000}"/>
    <cellStyle name="60% - Accent1 4 2 3 11" xfId="31532" xr:uid="{00000000-0005-0000-0000-0000B35A0000}"/>
    <cellStyle name="60% - Accent1 4 2 3 12" xfId="33215" xr:uid="{00000000-0005-0000-0000-0000B45A0000}"/>
    <cellStyle name="60% - Accent1 4 2 3 13" xfId="34898" xr:uid="{00000000-0005-0000-0000-0000B55A0000}"/>
    <cellStyle name="60% - Accent1 4 2 3 14" xfId="36581" xr:uid="{00000000-0005-0000-0000-0000B65A0000}"/>
    <cellStyle name="60% - Accent1 4 2 3 15" xfId="38264" xr:uid="{00000000-0005-0000-0000-0000B75A0000}"/>
    <cellStyle name="60% - Accent1 4 2 3 16" xfId="39947" xr:uid="{00000000-0005-0000-0000-0000B85A0000}"/>
    <cellStyle name="60% - Accent1 4 2 3 17" xfId="41630" xr:uid="{00000000-0005-0000-0000-0000B95A0000}"/>
    <cellStyle name="60% - Accent1 4 2 3 18" xfId="43313" xr:uid="{00000000-0005-0000-0000-0000BA5A0000}"/>
    <cellStyle name="60% - Accent1 4 2 3 19" xfId="44996" xr:uid="{00000000-0005-0000-0000-0000BB5A0000}"/>
    <cellStyle name="60% - Accent1 4 2 3 2" xfId="2917" xr:uid="{00000000-0005-0000-0000-0000BC5A0000}"/>
    <cellStyle name="60% - Accent1 4 2 3 2 2" xfId="18066" xr:uid="{00000000-0005-0000-0000-0000BD5A0000}"/>
    <cellStyle name="60% - Accent1 4 2 3 20" xfId="46679" xr:uid="{00000000-0005-0000-0000-0000BE5A0000}"/>
    <cellStyle name="60% - Accent1 4 2 3 21" xfId="48362" xr:uid="{00000000-0005-0000-0000-0000BF5A0000}"/>
    <cellStyle name="60% - Accent1 4 2 3 22" xfId="50045" xr:uid="{00000000-0005-0000-0000-0000C05A0000}"/>
    <cellStyle name="60% - Accent1 4 2 3 23" xfId="51728" xr:uid="{00000000-0005-0000-0000-0000C15A0000}"/>
    <cellStyle name="60% - Accent1 4 2 3 24" xfId="53411" xr:uid="{00000000-0005-0000-0000-0000C25A0000}"/>
    <cellStyle name="60% - Accent1 4 2 3 25" xfId="55094" xr:uid="{00000000-0005-0000-0000-0000C35A0000}"/>
    <cellStyle name="60% - Accent1 4 2 3 26" xfId="56777" xr:uid="{00000000-0005-0000-0000-0000C45A0000}"/>
    <cellStyle name="60% - Accent1 4 2 3 27" xfId="58460" xr:uid="{00000000-0005-0000-0000-0000C55A0000}"/>
    <cellStyle name="60% - Accent1 4 2 3 28" xfId="60143" xr:uid="{00000000-0005-0000-0000-0000C65A0000}"/>
    <cellStyle name="60% - Accent1 4 2 3 29" xfId="61826" xr:uid="{00000000-0005-0000-0000-0000C75A0000}"/>
    <cellStyle name="60% - Accent1 4 2 3 3" xfId="4601" xr:uid="{00000000-0005-0000-0000-0000C85A0000}"/>
    <cellStyle name="60% - Accent1 4 2 3 3 2" xfId="19750" xr:uid="{00000000-0005-0000-0000-0000C95A0000}"/>
    <cellStyle name="60% - Accent1 4 2 3 30" xfId="63509" xr:uid="{00000000-0005-0000-0000-0000CA5A0000}"/>
    <cellStyle name="60% - Accent1 4 2 3 4" xfId="6284" xr:uid="{00000000-0005-0000-0000-0000CB5A0000}"/>
    <cellStyle name="60% - Accent1 4 2 3 4 2" xfId="21433" xr:uid="{00000000-0005-0000-0000-0000CC5A0000}"/>
    <cellStyle name="60% - Accent1 4 2 3 5" xfId="7967" xr:uid="{00000000-0005-0000-0000-0000CD5A0000}"/>
    <cellStyle name="60% - Accent1 4 2 3 5 2" xfId="23116" xr:uid="{00000000-0005-0000-0000-0000CE5A0000}"/>
    <cellStyle name="60% - Accent1 4 2 3 6" xfId="9650" xr:uid="{00000000-0005-0000-0000-0000CF5A0000}"/>
    <cellStyle name="60% - Accent1 4 2 3 6 2" xfId="24799" xr:uid="{00000000-0005-0000-0000-0000D05A0000}"/>
    <cellStyle name="60% - Accent1 4 2 3 7" xfId="11333" xr:uid="{00000000-0005-0000-0000-0000D15A0000}"/>
    <cellStyle name="60% - Accent1 4 2 3 7 2" xfId="26482" xr:uid="{00000000-0005-0000-0000-0000D25A0000}"/>
    <cellStyle name="60% - Accent1 4 2 3 8" xfId="13017" xr:uid="{00000000-0005-0000-0000-0000D35A0000}"/>
    <cellStyle name="60% - Accent1 4 2 3 8 2" xfId="28166" xr:uid="{00000000-0005-0000-0000-0000D45A0000}"/>
    <cellStyle name="60% - Accent1 4 2 3 9" xfId="14700" xr:uid="{00000000-0005-0000-0000-0000D55A0000}"/>
    <cellStyle name="60% - Accent1 4 2 3 9 2" xfId="29849" xr:uid="{00000000-0005-0000-0000-0000D65A0000}"/>
    <cellStyle name="60% - Accent1 4 2 30" xfId="57619" xr:uid="{00000000-0005-0000-0000-0000D75A0000}"/>
    <cellStyle name="60% - Accent1 4 2 31" xfId="59302" xr:uid="{00000000-0005-0000-0000-0000D85A0000}"/>
    <cellStyle name="60% - Accent1 4 2 32" xfId="60985" xr:uid="{00000000-0005-0000-0000-0000D95A0000}"/>
    <cellStyle name="60% - Accent1 4 2 33" xfId="62668" xr:uid="{00000000-0005-0000-0000-0000DA5A0000}"/>
    <cellStyle name="60% - Accent1 4 2 4" xfId="1655" xr:uid="{00000000-0005-0000-0000-0000DB5A0000}"/>
    <cellStyle name="60% - Accent1 4 2 4 10" xfId="16804" xr:uid="{00000000-0005-0000-0000-0000DC5A0000}"/>
    <cellStyle name="60% - Accent1 4 2 4 11" xfId="31953" xr:uid="{00000000-0005-0000-0000-0000DD5A0000}"/>
    <cellStyle name="60% - Accent1 4 2 4 12" xfId="33636" xr:uid="{00000000-0005-0000-0000-0000DE5A0000}"/>
    <cellStyle name="60% - Accent1 4 2 4 13" xfId="35319" xr:uid="{00000000-0005-0000-0000-0000DF5A0000}"/>
    <cellStyle name="60% - Accent1 4 2 4 14" xfId="37002" xr:uid="{00000000-0005-0000-0000-0000E05A0000}"/>
    <cellStyle name="60% - Accent1 4 2 4 15" xfId="38685" xr:uid="{00000000-0005-0000-0000-0000E15A0000}"/>
    <cellStyle name="60% - Accent1 4 2 4 16" xfId="40368" xr:uid="{00000000-0005-0000-0000-0000E25A0000}"/>
    <cellStyle name="60% - Accent1 4 2 4 17" xfId="42051" xr:uid="{00000000-0005-0000-0000-0000E35A0000}"/>
    <cellStyle name="60% - Accent1 4 2 4 18" xfId="43734" xr:uid="{00000000-0005-0000-0000-0000E45A0000}"/>
    <cellStyle name="60% - Accent1 4 2 4 19" xfId="45417" xr:uid="{00000000-0005-0000-0000-0000E55A0000}"/>
    <cellStyle name="60% - Accent1 4 2 4 2" xfId="3338" xr:uid="{00000000-0005-0000-0000-0000E65A0000}"/>
    <cellStyle name="60% - Accent1 4 2 4 2 2" xfId="18487" xr:uid="{00000000-0005-0000-0000-0000E75A0000}"/>
    <cellStyle name="60% - Accent1 4 2 4 20" xfId="47100" xr:uid="{00000000-0005-0000-0000-0000E85A0000}"/>
    <cellStyle name="60% - Accent1 4 2 4 21" xfId="48783" xr:uid="{00000000-0005-0000-0000-0000E95A0000}"/>
    <cellStyle name="60% - Accent1 4 2 4 22" xfId="50466" xr:uid="{00000000-0005-0000-0000-0000EA5A0000}"/>
    <cellStyle name="60% - Accent1 4 2 4 23" xfId="52149" xr:uid="{00000000-0005-0000-0000-0000EB5A0000}"/>
    <cellStyle name="60% - Accent1 4 2 4 24" xfId="53832" xr:uid="{00000000-0005-0000-0000-0000EC5A0000}"/>
    <cellStyle name="60% - Accent1 4 2 4 25" xfId="55515" xr:uid="{00000000-0005-0000-0000-0000ED5A0000}"/>
    <cellStyle name="60% - Accent1 4 2 4 26" xfId="57198" xr:uid="{00000000-0005-0000-0000-0000EE5A0000}"/>
    <cellStyle name="60% - Accent1 4 2 4 27" xfId="58881" xr:uid="{00000000-0005-0000-0000-0000EF5A0000}"/>
    <cellStyle name="60% - Accent1 4 2 4 28" xfId="60564" xr:uid="{00000000-0005-0000-0000-0000F05A0000}"/>
    <cellStyle name="60% - Accent1 4 2 4 29" xfId="62247" xr:uid="{00000000-0005-0000-0000-0000F15A0000}"/>
    <cellStyle name="60% - Accent1 4 2 4 3" xfId="5022" xr:uid="{00000000-0005-0000-0000-0000F25A0000}"/>
    <cellStyle name="60% - Accent1 4 2 4 3 2" xfId="20171" xr:uid="{00000000-0005-0000-0000-0000F35A0000}"/>
    <cellStyle name="60% - Accent1 4 2 4 30" xfId="63930" xr:uid="{00000000-0005-0000-0000-0000F45A0000}"/>
    <cellStyle name="60% - Accent1 4 2 4 4" xfId="6705" xr:uid="{00000000-0005-0000-0000-0000F55A0000}"/>
    <cellStyle name="60% - Accent1 4 2 4 4 2" xfId="21854" xr:uid="{00000000-0005-0000-0000-0000F65A0000}"/>
    <cellStyle name="60% - Accent1 4 2 4 5" xfId="8388" xr:uid="{00000000-0005-0000-0000-0000F75A0000}"/>
    <cellStyle name="60% - Accent1 4 2 4 5 2" xfId="23537" xr:uid="{00000000-0005-0000-0000-0000F85A0000}"/>
    <cellStyle name="60% - Accent1 4 2 4 6" xfId="10071" xr:uid="{00000000-0005-0000-0000-0000F95A0000}"/>
    <cellStyle name="60% - Accent1 4 2 4 6 2" xfId="25220" xr:uid="{00000000-0005-0000-0000-0000FA5A0000}"/>
    <cellStyle name="60% - Accent1 4 2 4 7" xfId="11754" xr:uid="{00000000-0005-0000-0000-0000FB5A0000}"/>
    <cellStyle name="60% - Accent1 4 2 4 7 2" xfId="26903" xr:uid="{00000000-0005-0000-0000-0000FC5A0000}"/>
    <cellStyle name="60% - Accent1 4 2 4 8" xfId="13438" xr:uid="{00000000-0005-0000-0000-0000FD5A0000}"/>
    <cellStyle name="60% - Accent1 4 2 4 8 2" xfId="28587" xr:uid="{00000000-0005-0000-0000-0000FE5A0000}"/>
    <cellStyle name="60% - Accent1 4 2 4 9" xfId="15121" xr:uid="{00000000-0005-0000-0000-0000FF5A0000}"/>
    <cellStyle name="60% - Accent1 4 2 4 9 2" xfId="30270" xr:uid="{00000000-0005-0000-0000-0000005B0000}"/>
    <cellStyle name="60% - Accent1 4 2 5" xfId="2076" xr:uid="{00000000-0005-0000-0000-0000015B0000}"/>
    <cellStyle name="60% - Accent1 4 2 5 2" xfId="17225" xr:uid="{00000000-0005-0000-0000-0000025B0000}"/>
    <cellStyle name="60% - Accent1 4 2 6" xfId="3760" xr:uid="{00000000-0005-0000-0000-0000035B0000}"/>
    <cellStyle name="60% - Accent1 4 2 6 2" xfId="18909" xr:uid="{00000000-0005-0000-0000-0000045B0000}"/>
    <cellStyle name="60% - Accent1 4 2 7" xfId="5443" xr:uid="{00000000-0005-0000-0000-0000055B0000}"/>
    <cellStyle name="60% - Accent1 4 2 7 2" xfId="20592" xr:uid="{00000000-0005-0000-0000-0000065B0000}"/>
    <cellStyle name="60% - Accent1 4 2 8" xfId="7126" xr:uid="{00000000-0005-0000-0000-0000075B0000}"/>
    <cellStyle name="60% - Accent1 4 2 8 2" xfId="22275" xr:uid="{00000000-0005-0000-0000-0000085B0000}"/>
    <cellStyle name="60% - Accent1 4 2 9" xfId="8809" xr:uid="{00000000-0005-0000-0000-0000095B0000}"/>
    <cellStyle name="60% - Accent1 4 2 9 2" xfId="23958" xr:uid="{00000000-0005-0000-0000-00000A5B0000}"/>
    <cellStyle name="60% - Accent1 4 20" xfId="38896" xr:uid="{00000000-0005-0000-0000-00000B5B0000}"/>
    <cellStyle name="60% - Accent1 4 21" xfId="40579" xr:uid="{00000000-0005-0000-0000-00000C5B0000}"/>
    <cellStyle name="60% - Accent1 4 22" xfId="42262" xr:uid="{00000000-0005-0000-0000-00000D5B0000}"/>
    <cellStyle name="60% - Accent1 4 23" xfId="43945" xr:uid="{00000000-0005-0000-0000-00000E5B0000}"/>
    <cellStyle name="60% - Accent1 4 24" xfId="45628" xr:uid="{00000000-0005-0000-0000-00000F5B0000}"/>
    <cellStyle name="60% - Accent1 4 25" xfId="47311" xr:uid="{00000000-0005-0000-0000-0000105B0000}"/>
    <cellStyle name="60% - Accent1 4 26" xfId="48994" xr:uid="{00000000-0005-0000-0000-0000115B0000}"/>
    <cellStyle name="60% - Accent1 4 27" xfId="50677" xr:uid="{00000000-0005-0000-0000-0000125B0000}"/>
    <cellStyle name="60% - Accent1 4 28" xfId="52360" xr:uid="{00000000-0005-0000-0000-0000135B0000}"/>
    <cellStyle name="60% - Accent1 4 29" xfId="54043" xr:uid="{00000000-0005-0000-0000-0000145B0000}"/>
    <cellStyle name="60% - Accent1 4 3" xfId="603" xr:uid="{00000000-0005-0000-0000-0000155B0000}"/>
    <cellStyle name="60% - Accent1 4 3 10" xfId="15752" xr:uid="{00000000-0005-0000-0000-0000165B0000}"/>
    <cellStyle name="60% - Accent1 4 3 11" xfId="30901" xr:uid="{00000000-0005-0000-0000-0000175B0000}"/>
    <cellStyle name="60% - Accent1 4 3 12" xfId="32584" xr:uid="{00000000-0005-0000-0000-0000185B0000}"/>
    <cellStyle name="60% - Accent1 4 3 13" xfId="34267" xr:uid="{00000000-0005-0000-0000-0000195B0000}"/>
    <cellStyle name="60% - Accent1 4 3 14" xfId="35950" xr:uid="{00000000-0005-0000-0000-00001A5B0000}"/>
    <cellStyle name="60% - Accent1 4 3 15" xfId="37633" xr:uid="{00000000-0005-0000-0000-00001B5B0000}"/>
    <cellStyle name="60% - Accent1 4 3 16" xfId="39316" xr:uid="{00000000-0005-0000-0000-00001C5B0000}"/>
    <cellStyle name="60% - Accent1 4 3 17" xfId="40999" xr:uid="{00000000-0005-0000-0000-00001D5B0000}"/>
    <cellStyle name="60% - Accent1 4 3 18" xfId="42682" xr:uid="{00000000-0005-0000-0000-00001E5B0000}"/>
    <cellStyle name="60% - Accent1 4 3 19" xfId="44365" xr:uid="{00000000-0005-0000-0000-00001F5B0000}"/>
    <cellStyle name="60% - Accent1 4 3 2" xfId="2286" xr:uid="{00000000-0005-0000-0000-0000205B0000}"/>
    <cellStyle name="60% - Accent1 4 3 2 2" xfId="17435" xr:uid="{00000000-0005-0000-0000-0000215B0000}"/>
    <cellStyle name="60% - Accent1 4 3 20" xfId="46048" xr:uid="{00000000-0005-0000-0000-0000225B0000}"/>
    <cellStyle name="60% - Accent1 4 3 21" xfId="47731" xr:uid="{00000000-0005-0000-0000-0000235B0000}"/>
    <cellStyle name="60% - Accent1 4 3 22" xfId="49414" xr:uid="{00000000-0005-0000-0000-0000245B0000}"/>
    <cellStyle name="60% - Accent1 4 3 23" xfId="51097" xr:uid="{00000000-0005-0000-0000-0000255B0000}"/>
    <cellStyle name="60% - Accent1 4 3 24" xfId="52780" xr:uid="{00000000-0005-0000-0000-0000265B0000}"/>
    <cellStyle name="60% - Accent1 4 3 25" xfId="54463" xr:uid="{00000000-0005-0000-0000-0000275B0000}"/>
    <cellStyle name="60% - Accent1 4 3 26" xfId="56146" xr:uid="{00000000-0005-0000-0000-0000285B0000}"/>
    <cellStyle name="60% - Accent1 4 3 27" xfId="57829" xr:uid="{00000000-0005-0000-0000-0000295B0000}"/>
    <cellStyle name="60% - Accent1 4 3 28" xfId="59512" xr:uid="{00000000-0005-0000-0000-00002A5B0000}"/>
    <cellStyle name="60% - Accent1 4 3 29" xfId="61195" xr:uid="{00000000-0005-0000-0000-00002B5B0000}"/>
    <cellStyle name="60% - Accent1 4 3 3" xfId="3970" xr:uid="{00000000-0005-0000-0000-00002C5B0000}"/>
    <cellStyle name="60% - Accent1 4 3 3 2" xfId="19119" xr:uid="{00000000-0005-0000-0000-00002D5B0000}"/>
    <cellStyle name="60% - Accent1 4 3 30" xfId="62878" xr:uid="{00000000-0005-0000-0000-00002E5B0000}"/>
    <cellStyle name="60% - Accent1 4 3 4" xfId="5653" xr:uid="{00000000-0005-0000-0000-00002F5B0000}"/>
    <cellStyle name="60% - Accent1 4 3 4 2" xfId="20802" xr:uid="{00000000-0005-0000-0000-0000305B0000}"/>
    <cellStyle name="60% - Accent1 4 3 5" xfId="7336" xr:uid="{00000000-0005-0000-0000-0000315B0000}"/>
    <cellStyle name="60% - Accent1 4 3 5 2" xfId="22485" xr:uid="{00000000-0005-0000-0000-0000325B0000}"/>
    <cellStyle name="60% - Accent1 4 3 6" xfId="9019" xr:uid="{00000000-0005-0000-0000-0000335B0000}"/>
    <cellStyle name="60% - Accent1 4 3 6 2" xfId="24168" xr:uid="{00000000-0005-0000-0000-0000345B0000}"/>
    <cellStyle name="60% - Accent1 4 3 7" xfId="10702" xr:uid="{00000000-0005-0000-0000-0000355B0000}"/>
    <cellStyle name="60% - Accent1 4 3 7 2" xfId="25851" xr:uid="{00000000-0005-0000-0000-0000365B0000}"/>
    <cellStyle name="60% - Accent1 4 3 8" xfId="12386" xr:uid="{00000000-0005-0000-0000-0000375B0000}"/>
    <cellStyle name="60% - Accent1 4 3 8 2" xfId="27535" xr:uid="{00000000-0005-0000-0000-0000385B0000}"/>
    <cellStyle name="60% - Accent1 4 3 9" xfId="14069" xr:uid="{00000000-0005-0000-0000-0000395B0000}"/>
    <cellStyle name="60% - Accent1 4 3 9 2" xfId="29218" xr:uid="{00000000-0005-0000-0000-00003A5B0000}"/>
    <cellStyle name="60% - Accent1 4 30" xfId="55726" xr:uid="{00000000-0005-0000-0000-00003B5B0000}"/>
    <cellStyle name="60% - Accent1 4 31" xfId="57409" xr:uid="{00000000-0005-0000-0000-00003C5B0000}"/>
    <cellStyle name="60% - Accent1 4 32" xfId="59092" xr:uid="{00000000-0005-0000-0000-00003D5B0000}"/>
    <cellStyle name="60% - Accent1 4 33" xfId="60775" xr:uid="{00000000-0005-0000-0000-00003E5B0000}"/>
    <cellStyle name="60% - Accent1 4 34" xfId="62458" xr:uid="{00000000-0005-0000-0000-00003F5B0000}"/>
    <cellStyle name="60% - Accent1 4 4" xfId="1024" xr:uid="{00000000-0005-0000-0000-0000405B0000}"/>
    <cellStyle name="60% - Accent1 4 4 10" xfId="16173" xr:uid="{00000000-0005-0000-0000-0000415B0000}"/>
    <cellStyle name="60% - Accent1 4 4 11" xfId="31322" xr:uid="{00000000-0005-0000-0000-0000425B0000}"/>
    <cellStyle name="60% - Accent1 4 4 12" xfId="33005" xr:uid="{00000000-0005-0000-0000-0000435B0000}"/>
    <cellStyle name="60% - Accent1 4 4 13" xfId="34688" xr:uid="{00000000-0005-0000-0000-0000445B0000}"/>
    <cellStyle name="60% - Accent1 4 4 14" xfId="36371" xr:uid="{00000000-0005-0000-0000-0000455B0000}"/>
    <cellStyle name="60% - Accent1 4 4 15" xfId="38054" xr:uid="{00000000-0005-0000-0000-0000465B0000}"/>
    <cellStyle name="60% - Accent1 4 4 16" xfId="39737" xr:uid="{00000000-0005-0000-0000-0000475B0000}"/>
    <cellStyle name="60% - Accent1 4 4 17" xfId="41420" xr:uid="{00000000-0005-0000-0000-0000485B0000}"/>
    <cellStyle name="60% - Accent1 4 4 18" xfId="43103" xr:uid="{00000000-0005-0000-0000-0000495B0000}"/>
    <cellStyle name="60% - Accent1 4 4 19" xfId="44786" xr:uid="{00000000-0005-0000-0000-00004A5B0000}"/>
    <cellStyle name="60% - Accent1 4 4 2" xfId="2707" xr:uid="{00000000-0005-0000-0000-00004B5B0000}"/>
    <cellStyle name="60% - Accent1 4 4 2 2" xfId="17856" xr:uid="{00000000-0005-0000-0000-00004C5B0000}"/>
    <cellStyle name="60% - Accent1 4 4 20" xfId="46469" xr:uid="{00000000-0005-0000-0000-00004D5B0000}"/>
    <cellStyle name="60% - Accent1 4 4 21" xfId="48152" xr:uid="{00000000-0005-0000-0000-00004E5B0000}"/>
    <cellStyle name="60% - Accent1 4 4 22" xfId="49835" xr:uid="{00000000-0005-0000-0000-00004F5B0000}"/>
    <cellStyle name="60% - Accent1 4 4 23" xfId="51518" xr:uid="{00000000-0005-0000-0000-0000505B0000}"/>
    <cellStyle name="60% - Accent1 4 4 24" xfId="53201" xr:uid="{00000000-0005-0000-0000-0000515B0000}"/>
    <cellStyle name="60% - Accent1 4 4 25" xfId="54884" xr:uid="{00000000-0005-0000-0000-0000525B0000}"/>
    <cellStyle name="60% - Accent1 4 4 26" xfId="56567" xr:uid="{00000000-0005-0000-0000-0000535B0000}"/>
    <cellStyle name="60% - Accent1 4 4 27" xfId="58250" xr:uid="{00000000-0005-0000-0000-0000545B0000}"/>
    <cellStyle name="60% - Accent1 4 4 28" xfId="59933" xr:uid="{00000000-0005-0000-0000-0000555B0000}"/>
    <cellStyle name="60% - Accent1 4 4 29" xfId="61616" xr:uid="{00000000-0005-0000-0000-0000565B0000}"/>
    <cellStyle name="60% - Accent1 4 4 3" xfId="4391" xr:uid="{00000000-0005-0000-0000-0000575B0000}"/>
    <cellStyle name="60% - Accent1 4 4 3 2" xfId="19540" xr:uid="{00000000-0005-0000-0000-0000585B0000}"/>
    <cellStyle name="60% - Accent1 4 4 30" xfId="63299" xr:uid="{00000000-0005-0000-0000-0000595B0000}"/>
    <cellStyle name="60% - Accent1 4 4 4" xfId="6074" xr:uid="{00000000-0005-0000-0000-00005A5B0000}"/>
    <cellStyle name="60% - Accent1 4 4 4 2" xfId="21223" xr:uid="{00000000-0005-0000-0000-00005B5B0000}"/>
    <cellStyle name="60% - Accent1 4 4 5" xfId="7757" xr:uid="{00000000-0005-0000-0000-00005C5B0000}"/>
    <cellStyle name="60% - Accent1 4 4 5 2" xfId="22906" xr:uid="{00000000-0005-0000-0000-00005D5B0000}"/>
    <cellStyle name="60% - Accent1 4 4 6" xfId="9440" xr:uid="{00000000-0005-0000-0000-00005E5B0000}"/>
    <cellStyle name="60% - Accent1 4 4 6 2" xfId="24589" xr:uid="{00000000-0005-0000-0000-00005F5B0000}"/>
    <cellStyle name="60% - Accent1 4 4 7" xfId="11123" xr:uid="{00000000-0005-0000-0000-0000605B0000}"/>
    <cellStyle name="60% - Accent1 4 4 7 2" xfId="26272" xr:uid="{00000000-0005-0000-0000-0000615B0000}"/>
    <cellStyle name="60% - Accent1 4 4 8" xfId="12807" xr:uid="{00000000-0005-0000-0000-0000625B0000}"/>
    <cellStyle name="60% - Accent1 4 4 8 2" xfId="27956" xr:uid="{00000000-0005-0000-0000-0000635B0000}"/>
    <cellStyle name="60% - Accent1 4 4 9" xfId="14490" xr:uid="{00000000-0005-0000-0000-0000645B0000}"/>
    <cellStyle name="60% - Accent1 4 4 9 2" xfId="29639" xr:uid="{00000000-0005-0000-0000-0000655B0000}"/>
    <cellStyle name="60% - Accent1 4 5" xfId="1445" xr:uid="{00000000-0005-0000-0000-0000665B0000}"/>
    <cellStyle name="60% - Accent1 4 5 10" xfId="16594" xr:uid="{00000000-0005-0000-0000-0000675B0000}"/>
    <cellStyle name="60% - Accent1 4 5 11" xfId="31743" xr:uid="{00000000-0005-0000-0000-0000685B0000}"/>
    <cellStyle name="60% - Accent1 4 5 12" xfId="33426" xr:uid="{00000000-0005-0000-0000-0000695B0000}"/>
    <cellStyle name="60% - Accent1 4 5 13" xfId="35109" xr:uid="{00000000-0005-0000-0000-00006A5B0000}"/>
    <cellStyle name="60% - Accent1 4 5 14" xfId="36792" xr:uid="{00000000-0005-0000-0000-00006B5B0000}"/>
    <cellStyle name="60% - Accent1 4 5 15" xfId="38475" xr:uid="{00000000-0005-0000-0000-00006C5B0000}"/>
    <cellStyle name="60% - Accent1 4 5 16" xfId="40158" xr:uid="{00000000-0005-0000-0000-00006D5B0000}"/>
    <cellStyle name="60% - Accent1 4 5 17" xfId="41841" xr:uid="{00000000-0005-0000-0000-00006E5B0000}"/>
    <cellStyle name="60% - Accent1 4 5 18" xfId="43524" xr:uid="{00000000-0005-0000-0000-00006F5B0000}"/>
    <cellStyle name="60% - Accent1 4 5 19" xfId="45207" xr:uid="{00000000-0005-0000-0000-0000705B0000}"/>
    <cellStyle name="60% - Accent1 4 5 2" xfId="3128" xr:uid="{00000000-0005-0000-0000-0000715B0000}"/>
    <cellStyle name="60% - Accent1 4 5 2 2" xfId="18277" xr:uid="{00000000-0005-0000-0000-0000725B0000}"/>
    <cellStyle name="60% - Accent1 4 5 20" xfId="46890" xr:uid="{00000000-0005-0000-0000-0000735B0000}"/>
    <cellStyle name="60% - Accent1 4 5 21" xfId="48573" xr:uid="{00000000-0005-0000-0000-0000745B0000}"/>
    <cellStyle name="60% - Accent1 4 5 22" xfId="50256" xr:uid="{00000000-0005-0000-0000-0000755B0000}"/>
    <cellStyle name="60% - Accent1 4 5 23" xfId="51939" xr:uid="{00000000-0005-0000-0000-0000765B0000}"/>
    <cellStyle name="60% - Accent1 4 5 24" xfId="53622" xr:uid="{00000000-0005-0000-0000-0000775B0000}"/>
    <cellStyle name="60% - Accent1 4 5 25" xfId="55305" xr:uid="{00000000-0005-0000-0000-0000785B0000}"/>
    <cellStyle name="60% - Accent1 4 5 26" xfId="56988" xr:uid="{00000000-0005-0000-0000-0000795B0000}"/>
    <cellStyle name="60% - Accent1 4 5 27" xfId="58671" xr:uid="{00000000-0005-0000-0000-00007A5B0000}"/>
    <cellStyle name="60% - Accent1 4 5 28" xfId="60354" xr:uid="{00000000-0005-0000-0000-00007B5B0000}"/>
    <cellStyle name="60% - Accent1 4 5 29" xfId="62037" xr:uid="{00000000-0005-0000-0000-00007C5B0000}"/>
    <cellStyle name="60% - Accent1 4 5 3" xfId="4812" xr:uid="{00000000-0005-0000-0000-00007D5B0000}"/>
    <cellStyle name="60% - Accent1 4 5 3 2" xfId="19961" xr:uid="{00000000-0005-0000-0000-00007E5B0000}"/>
    <cellStyle name="60% - Accent1 4 5 30" xfId="63720" xr:uid="{00000000-0005-0000-0000-00007F5B0000}"/>
    <cellStyle name="60% - Accent1 4 5 4" xfId="6495" xr:uid="{00000000-0005-0000-0000-0000805B0000}"/>
    <cellStyle name="60% - Accent1 4 5 4 2" xfId="21644" xr:uid="{00000000-0005-0000-0000-0000815B0000}"/>
    <cellStyle name="60% - Accent1 4 5 5" xfId="8178" xr:uid="{00000000-0005-0000-0000-0000825B0000}"/>
    <cellStyle name="60% - Accent1 4 5 5 2" xfId="23327" xr:uid="{00000000-0005-0000-0000-0000835B0000}"/>
    <cellStyle name="60% - Accent1 4 5 6" xfId="9861" xr:uid="{00000000-0005-0000-0000-0000845B0000}"/>
    <cellStyle name="60% - Accent1 4 5 6 2" xfId="25010" xr:uid="{00000000-0005-0000-0000-0000855B0000}"/>
    <cellStyle name="60% - Accent1 4 5 7" xfId="11544" xr:uid="{00000000-0005-0000-0000-0000865B0000}"/>
    <cellStyle name="60% - Accent1 4 5 7 2" xfId="26693" xr:uid="{00000000-0005-0000-0000-0000875B0000}"/>
    <cellStyle name="60% - Accent1 4 5 8" xfId="13228" xr:uid="{00000000-0005-0000-0000-0000885B0000}"/>
    <cellStyle name="60% - Accent1 4 5 8 2" xfId="28377" xr:uid="{00000000-0005-0000-0000-0000895B0000}"/>
    <cellStyle name="60% - Accent1 4 5 9" xfId="14911" xr:uid="{00000000-0005-0000-0000-00008A5B0000}"/>
    <cellStyle name="60% - Accent1 4 5 9 2" xfId="30060" xr:uid="{00000000-0005-0000-0000-00008B5B0000}"/>
    <cellStyle name="60% - Accent1 4 6" xfId="1866" xr:uid="{00000000-0005-0000-0000-00008C5B0000}"/>
    <cellStyle name="60% - Accent1 4 6 2" xfId="17015" xr:uid="{00000000-0005-0000-0000-00008D5B0000}"/>
    <cellStyle name="60% - Accent1 4 7" xfId="3550" xr:uid="{00000000-0005-0000-0000-00008E5B0000}"/>
    <cellStyle name="60% - Accent1 4 7 2" xfId="18699" xr:uid="{00000000-0005-0000-0000-00008F5B0000}"/>
    <cellStyle name="60% - Accent1 4 8" xfId="5233" xr:uid="{00000000-0005-0000-0000-0000905B0000}"/>
    <cellStyle name="60% - Accent1 4 8 2" xfId="20382" xr:uid="{00000000-0005-0000-0000-0000915B0000}"/>
    <cellStyle name="60% - Accent1 4 9" xfId="6916" xr:uid="{00000000-0005-0000-0000-0000925B0000}"/>
    <cellStyle name="60% - Accent1 4 9 2" xfId="22065" xr:uid="{00000000-0005-0000-0000-0000935B0000}"/>
    <cellStyle name="60% - Accent1 5" xfId="288" xr:uid="{00000000-0005-0000-0000-0000945B0000}"/>
    <cellStyle name="60% - Accent1 5 10" xfId="10387" xr:uid="{00000000-0005-0000-0000-0000955B0000}"/>
    <cellStyle name="60% - Accent1 5 10 2" xfId="25536" xr:uid="{00000000-0005-0000-0000-0000965B0000}"/>
    <cellStyle name="60% - Accent1 5 11" xfId="12071" xr:uid="{00000000-0005-0000-0000-0000975B0000}"/>
    <cellStyle name="60% - Accent1 5 11 2" xfId="27220" xr:uid="{00000000-0005-0000-0000-0000985B0000}"/>
    <cellStyle name="60% - Accent1 5 12" xfId="13754" xr:uid="{00000000-0005-0000-0000-0000995B0000}"/>
    <cellStyle name="60% - Accent1 5 12 2" xfId="28903" xr:uid="{00000000-0005-0000-0000-00009A5B0000}"/>
    <cellStyle name="60% - Accent1 5 13" xfId="15437" xr:uid="{00000000-0005-0000-0000-00009B5B0000}"/>
    <cellStyle name="60% - Accent1 5 14" xfId="30586" xr:uid="{00000000-0005-0000-0000-00009C5B0000}"/>
    <cellStyle name="60% - Accent1 5 15" xfId="32269" xr:uid="{00000000-0005-0000-0000-00009D5B0000}"/>
    <cellStyle name="60% - Accent1 5 16" xfId="33952" xr:uid="{00000000-0005-0000-0000-00009E5B0000}"/>
    <cellStyle name="60% - Accent1 5 17" xfId="35635" xr:uid="{00000000-0005-0000-0000-00009F5B0000}"/>
    <cellStyle name="60% - Accent1 5 18" xfId="37318" xr:uid="{00000000-0005-0000-0000-0000A05B0000}"/>
    <cellStyle name="60% - Accent1 5 19" xfId="39001" xr:uid="{00000000-0005-0000-0000-0000A15B0000}"/>
    <cellStyle name="60% - Accent1 5 2" xfId="708" xr:uid="{00000000-0005-0000-0000-0000A25B0000}"/>
    <cellStyle name="60% - Accent1 5 2 10" xfId="15857" xr:uid="{00000000-0005-0000-0000-0000A35B0000}"/>
    <cellStyle name="60% - Accent1 5 2 11" xfId="31006" xr:uid="{00000000-0005-0000-0000-0000A45B0000}"/>
    <cellStyle name="60% - Accent1 5 2 12" xfId="32689" xr:uid="{00000000-0005-0000-0000-0000A55B0000}"/>
    <cellStyle name="60% - Accent1 5 2 13" xfId="34372" xr:uid="{00000000-0005-0000-0000-0000A65B0000}"/>
    <cellStyle name="60% - Accent1 5 2 14" xfId="36055" xr:uid="{00000000-0005-0000-0000-0000A75B0000}"/>
    <cellStyle name="60% - Accent1 5 2 15" xfId="37738" xr:uid="{00000000-0005-0000-0000-0000A85B0000}"/>
    <cellStyle name="60% - Accent1 5 2 16" xfId="39421" xr:uid="{00000000-0005-0000-0000-0000A95B0000}"/>
    <cellStyle name="60% - Accent1 5 2 17" xfId="41104" xr:uid="{00000000-0005-0000-0000-0000AA5B0000}"/>
    <cellStyle name="60% - Accent1 5 2 18" xfId="42787" xr:uid="{00000000-0005-0000-0000-0000AB5B0000}"/>
    <cellStyle name="60% - Accent1 5 2 19" xfId="44470" xr:uid="{00000000-0005-0000-0000-0000AC5B0000}"/>
    <cellStyle name="60% - Accent1 5 2 2" xfId="2391" xr:uid="{00000000-0005-0000-0000-0000AD5B0000}"/>
    <cellStyle name="60% - Accent1 5 2 2 2" xfId="17540" xr:uid="{00000000-0005-0000-0000-0000AE5B0000}"/>
    <cellStyle name="60% - Accent1 5 2 20" xfId="46153" xr:uid="{00000000-0005-0000-0000-0000AF5B0000}"/>
    <cellStyle name="60% - Accent1 5 2 21" xfId="47836" xr:uid="{00000000-0005-0000-0000-0000B05B0000}"/>
    <cellStyle name="60% - Accent1 5 2 22" xfId="49519" xr:uid="{00000000-0005-0000-0000-0000B15B0000}"/>
    <cellStyle name="60% - Accent1 5 2 23" xfId="51202" xr:uid="{00000000-0005-0000-0000-0000B25B0000}"/>
    <cellStyle name="60% - Accent1 5 2 24" xfId="52885" xr:uid="{00000000-0005-0000-0000-0000B35B0000}"/>
    <cellStyle name="60% - Accent1 5 2 25" xfId="54568" xr:uid="{00000000-0005-0000-0000-0000B45B0000}"/>
    <cellStyle name="60% - Accent1 5 2 26" xfId="56251" xr:uid="{00000000-0005-0000-0000-0000B55B0000}"/>
    <cellStyle name="60% - Accent1 5 2 27" xfId="57934" xr:uid="{00000000-0005-0000-0000-0000B65B0000}"/>
    <cellStyle name="60% - Accent1 5 2 28" xfId="59617" xr:uid="{00000000-0005-0000-0000-0000B75B0000}"/>
    <cellStyle name="60% - Accent1 5 2 29" xfId="61300" xr:uid="{00000000-0005-0000-0000-0000B85B0000}"/>
    <cellStyle name="60% - Accent1 5 2 3" xfId="4075" xr:uid="{00000000-0005-0000-0000-0000B95B0000}"/>
    <cellStyle name="60% - Accent1 5 2 3 2" xfId="19224" xr:uid="{00000000-0005-0000-0000-0000BA5B0000}"/>
    <cellStyle name="60% - Accent1 5 2 30" xfId="62983" xr:uid="{00000000-0005-0000-0000-0000BB5B0000}"/>
    <cellStyle name="60% - Accent1 5 2 4" xfId="5758" xr:uid="{00000000-0005-0000-0000-0000BC5B0000}"/>
    <cellStyle name="60% - Accent1 5 2 4 2" xfId="20907" xr:uid="{00000000-0005-0000-0000-0000BD5B0000}"/>
    <cellStyle name="60% - Accent1 5 2 5" xfId="7441" xr:uid="{00000000-0005-0000-0000-0000BE5B0000}"/>
    <cellStyle name="60% - Accent1 5 2 5 2" xfId="22590" xr:uid="{00000000-0005-0000-0000-0000BF5B0000}"/>
    <cellStyle name="60% - Accent1 5 2 6" xfId="9124" xr:uid="{00000000-0005-0000-0000-0000C05B0000}"/>
    <cellStyle name="60% - Accent1 5 2 6 2" xfId="24273" xr:uid="{00000000-0005-0000-0000-0000C15B0000}"/>
    <cellStyle name="60% - Accent1 5 2 7" xfId="10807" xr:uid="{00000000-0005-0000-0000-0000C25B0000}"/>
    <cellStyle name="60% - Accent1 5 2 7 2" xfId="25956" xr:uid="{00000000-0005-0000-0000-0000C35B0000}"/>
    <cellStyle name="60% - Accent1 5 2 8" xfId="12491" xr:uid="{00000000-0005-0000-0000-0000C45B0000}"/>
    <cellStyle name="60% - Accent1 5 2 8 2" xfId="27640" xr:uid="{00000000-0005-0000-0000-0000C55B0000}"/>
    <cellStyle name="60% - Accent1 5 2 9" xfId="14174" xr:uid="{00000000-0005-0000-0000-0000C65B0000}"/>
    <cellStyle name="60% - Accent1 5 2 9 2" xfId="29323" xr:uid="{00000000-0005-0000-0000-0000C75B0000}"/>
    <cellStyle name="60% - Accent1 5 20" xfId="40684" xr:uid="{00000000-0005-0000-0000-0000C85B0000}"/>
    <cellStyle name="60% - Accent1 5 21" xfId="42367" xr:uid="{00000000-0005-0000-0000-0000C95B0000}"/>
    <cellStyle name="60% - Accent1 5 22" xfId="44050" xr:uid="{00000000-0005-0000-0000-0000CA5B0000}"/>
    <cellStyle name="60% - Accent1 5 23" xfId="45733" xr:uid="{00000000-0005-0000-0000-0000CB5B0000}"/>
    <cellStyle name="60% - Accent1 5 24" xfId="47416" xr:uid="{00000000-0005-0000-0000-0000CC5B0000}"/>
    <cellStyle name="60% - Accent1 5 25" xfId="49099" xr:uid="{00000000-0005-0000-0000-0000CD5B0000}"/>
    <cellStyle name="60% - Accent1 5 26" xfId="50782" xr:uid="{00000000-0005-0000-0000-0000CE5B0000}"/>
    <cellStyle name="60% - Accent1 5 27" xfId="52465" xr:uid="{00000000-0005-0000-0000-0000CF5B0000}"/>
    <cellStyle name="60% - Accent1 5 28" xfId="54148" xr:uid="{00000000-0005-0000-0000-0000D05B0000}"/>
    <cellStyle name="60% - Accent1 5 29" xfId="55831" xr:uid="{00000000-0005-0000-0000-0000D15B0000}"/>
    <cellStyle name="60% - Accent1 5 3" xfId="1129" xr:uid="{00000000-0005-0000-0000-0000D25B0000}"/>
    <cellStyle name="60% - Accent1 5 3 10" xfId="16278" xr:uid="{00000000-0005-0000-0000-0000D35B0000}"/>
    <cellStyle name="60% - Accent1 5 3 11" xfId="31427" xr:uid="{00000000-0005-0000-0000-0000D45B0000}"/>
    <cellStyle name="60% - Accent1 5 3 12" xfId="33110" xr:uid="{00000000-0005-0000-0000-0000D55B0000}"/>
    <cellStyle name="60% - Accent1 5 3 13" xfId="34793" xr:uid="{00000000-0005-0000-0000-0000D65B0000}"/>
    <cellStyle name="60% - Accent1 5 3 14" xfId="36476" xr:uid="{00000000-0005-0000-0000-0000D75B0000}"/>
    <cellStyle name="60% - Accent1 5 3 15" xfId="38159" xr:uid="{00000000-0005-0000-0000-0000D85B0000}"/>
    <cellStyle name="60% - Accent1 5 3 16" xfId="39842" xr:uid="{00000000-0005-0000-0000-0000D95B0000}"/>
    <cellStyle name="60% - Accent1 5 3 17" xfId="41525" xr:uid="{00000000-0005-0000-0000-0000DA5B0000}"/>
    <cellStyle name="60% - Accent1 5 3 18" xfId="43208" xr:uid="{00000000-0005-0000-0000-0000DB5B0000}"/>
    <cellStyle name="60% - Accent1 5 3 19" xfId="44891" xr:uid="{00000000-0005-0000-0000-0000DC5B0000}"/>
    <cellStyle name="60% - Accent1 5 3 2" xfId="2812" xr:uid="{00000000-0005-0000-0000-0000DD5B0000}"/>
    <cellStyle name="60% - Accent1 5 3 2 2" xfId="17961" xr:uid="{00000000-0005-0000-0000-0000DE5B0000}"/>
    <cellStyle name="60% - Accent1 5 3 20" xfId="46574" xr:uid="{00000000-0005-0000-0000-0000DF5B0000}"/>
    <cellStyle name="60% - Accent1 5 3 21" xfId="48257" xr:uid="{00000000-0005-0000-0000-0000E05B0000}"/>
    <cellStyle name="60% - Accent1 5 3 22" xfId="49940" xr:uid="{00000000-0005-0000-0000-0000E15B0000}"/>
    <cellStyle name="60% - Accent1 5 3 23" xfId="51623" xr:uid="{00000000-0005-0000-0000-0000E25B0000}"/>
    <cellStyle name="60% - Accent1 5 3 24" xfId="53306" xr:uid="{00000000-0005-0000-0000-0000E35B0000}"/>
    <cellStyle name="60% - Accent1 5 3 25" xfId="54989" xr:uid="{00000000-0005-0000-0000-0000E45B0000}"/>
    <cellStyle name="60% - Accent1 5 3 26" xfId="56672" xr:uid="{00000000-0005-0000-0000-0000E55B0000}"/>
    <cellStyle name="60% - Accent1 5 3 27" xfId="58355" xr:uid="{00000000-0005-0000-0000-0000E65B0000}"/>
    <cellStyle name="60% - Accent1 5 3 28" xfId="60038" xr:uid="{00000000-0005-0000-0000-0000E75B0000}"/>
    <cellStyle name="60% - Accent1 5 3 29" xfId="61721" xr:uid="{00000000-0005-0000-0000-0000E85B0000}"/>
    <cellStyle name="60% - Accent1 5 3 3" xfId="4496" xr:uid="{00000000-0005-0000-0000-0000E95B0000}"/>
    <cellStyle name="60% - Accent1 5 3 3 2" xfId="19645" xr:uid="{00000000-0005-0000-0000-0000EA5B0000}"/>
    <cellStyle name="60% - Accent1 5 3 30" xfId="63404" xr:uid="{00000000-0005-0000-0000-0000EB5B0000}"/>
    <cellStyle name="60% - Accent1 5 3 4" xfId="6179" xr:uid="{00000000-0005-0000-0000-0000EC5B0000}"/>
    <cellStyle name="60% - Accent1 5 3 4 2" xfId="21328" xr:uid="{00000000-0005-0000-0000-0000ED5B0000}"/>
    <cellStyle name="60% - Accent1 5 3 5" xfId="7862" xr:uid="{00000000-0005-0000-0000-0000EE5B0000}"/>
    <cellStyle name="60% - Accent1 5 3 5 2" xfId="23011" xr:uid="{00000000-0005-0000-0000-0000EF5B0000}"/>
    <cellStyle name="60% - Accent1 5 3 6" xfId="9545" xr:uid="{00000000-0005-0000-0000-0000F05B0000}"/>
    <cellStyle name="60% - Accent1 5 3 6 2" xfId="24694" xr:uid="{00000000-0005-0000-0000-0000F15B0000}"/>
    <cellStyle name="60% - Accent1 5 3 7" xfId="11228" xr:uid="{00000000-0005-0000-0000-0000F25B0000}"/>
    <cellStyle name="60% - Accent1 5 3 7 2" xfId="26377" xr:uid="{00000000-0005-0000-0000-0000F35B0000}"/>
    <cellStyle name="60% - Accent1 5 3 8" xfId="12912" xr:uid="{00000000-0005-0000-0000-0000F45B0000}"/>
    <cellStyle name="60% - Accent1 5 3 8 2" xfId="28061" xr:uid="{00000000-0005-0000-0000-0000F55B0000}"/>
    <cellStyle name="60% - Accent1 5 3 9" xfId="14595" xr:uid="{00000000-0005-0000-0000-0000F65B0000}"/>
    <cellStyle name="60% - Accent1 5 3 9 2" xfId="29744" xr:uid="{00000000-0005-0000-0000-0000F75B0000}"/>
    <cellStyle name="60% - Accent1 5 30" xfId="57514" xr:uid="{00000000-0005-0000-0000-0000F85B0000}"/>
    <cellStyle name="60% - Accent1 5 31" xfId="59197" xr:uid="{00000000-0005-0000-0000-0000F95B0000}"/>
    <cellStyle name="60% - Accent1 5 32" xfId="60880" xr:uid="{00000000-0005-0000-0000-0000FA5B0000}"/>
    <cellStyle name="60% - Accent1 5 33" xfId="62563" xr:uid="{00000000-0005-0000-0000-0000FB5B0000}"/>
    <cellStyle name="60% - Accent1 5 4" xfId="1550" xr:uid="{00000000-0005-0000-0000-0000FC5B0000}"/>
    <cellStyle name="60% - Accent1 5 4 10" xfId="16699" xr:uid="{00000000-0005-0000-0000-0000FD5B0000}"/>
    <cellStyle name="60% - Accent1 5 4 11" xfId="31848" xr:uid="{00000000-0005-0000-0000-0000FE5B0000}"/>
    <cellStyle name="60% - Accent1 5 4 12" xfId="33531" xr:uid="{00000000-0005-0000-0000-0000FF5B0000}"/>
    <cellStyle name="60% - Accent1 5 4 13" xfId="35214" xr:uid="{00000000-0005-0000-0000-0000005C0000}"/>
    <cellStyle name="60% - Accent1 5 4 14" xfId="36897" xr:uid="{00000000-0005-0000-0000-0000015C0000}"/>
    <cellStyle name="60% - Accent1 5 4 15" xfId="38580" xr:uid="{00000000-0005-0000-0000-0000025C0000}"/>
    <cellStyle name="60% - Accent1 5 4 16" xfId="40263" xr:uid="{00000000-0005-0000-0000-0000035C0000}"/>
    <cellStyle name="60% - Accent1 5 4 17" xfId="41946" xr:uid="{00000000-0005-0000-0000-0000045C0000}"/>
    <cellStyle name="60% - Accent1 5 4 18" xfId="43629" xr:uid="{00000000-0005-0000-0000-0000055C0000}"/>
    <cellStyle name="60% - Accent1 5 4 19" xfId="45312" xr:uid="{00000000-0005-0000-0000-0000065C0000}"/>
    <cellStyle name="60% - Accent1 5 4 2" xfId="3233" xr:uid="{00000000-0005-0000-0000-0000075C0000}"/>
    <cellStyle name="60% - Accent1 5 4 2 2" xfId="18382" xr:uid="{00000000-0005-0000-0000-0000085C0000}"/>
    <cellStyle name="60% - Accent1 5 4 20" xfId="46995" xr:uid="{00000000-0005-0000-0000-0000095C0000}"/>
    <cellStyle name="60% - Accent1 5 4 21" xfId="48678" xr:uid="{00000000-0005-0000-0000-00000A5C0000}"/>
    <cellStyle name="60% - Accent1 5 4 22" xfId="50361" xr:uid="{00000000-0005-0000-0000-00000B5C0000}"/>
    <cellStyle name="60% - Accent1 5 4 23" xfId="52044" xr:uid="{00000000-0005-0000-0000-00000C5C0000}"/>
    <cellStyle name="60% - Accent1 5 4 24" xfId="53727" xr:uid="{00000000-0005-0000-0000-00000D5C0000}"/>
    <cellStyle name="60% - Accent1 5 4 25" xfId="55410" xr:uid="{00000000-0005-0000-0000-00000E5C0000}"/>
    <cellStyle name="60% - Accent1 5 4 26" xfId="57093" xr:uid="{00000000-0005-0000-0000-00000F5C0000}"/>
    <cellStyle name="60% - Accent1 5 4 27" xfId="58776" xr:uid="{00000000-0005-0000-0000-0000105C0000}"/>
    <cellStyle name="60% - Accent1 5 4 28" xfId="60459" xr:uid="{00000000-0005-0000-0000-0000115C0000}"/>
    <cellStyle name="60% - Accent1 5 4 29" xfId="62142" xr:uid="{00000000-0005-0000-0000-0000125C0000}"/>
    <cellStyle name="60% - Accent1 5 4 3" xfId="4917" xr:uid="{00000000-0005-0000-0000-0000135C0000}"/>
    <cellStyle name="60% - Accent1 5 4 3 2" xfId="20066" xr:uid="{00000000-0005-0000-0000-0000145C0000}"/>
    <cellStyle name="60% - Accent1 5 4 30" xfId="63825" xr:uid="{00000000-0005-0000-0000-0000155C0000}"/>
    <cellStyle name="60% - Accent1 5 4 4" xfId="6600" xr:uid="{00000000-0005-0000-0000-0000165C0000}"/>
    <cellStyle name="60% - Accent1 5 4 4 2" xfId="21749" xr:uid="{00000000-0005-0000-0000-0000175C0000}"/>
    <cellStyle name="60% - Accent1 5 4 5" xfId="8283" xr:uid="{00000000-0005-0000-0000-0000185C0000}"/>
    <cellStyle name="60% - Accent1 5 4 5 2" xfId="23432" xr:uid="{00000000-0005-0000-0000-0000195C0000}"/>
    <cellStyle name="60% - Accent1 5 4 6" xfId="9966" xr:uid="{00000000-0005-0000-0000-00001A5C0000}"/>
    <cellStyle name="60% - Accent1 5 4 6 2" xfId="25115" xr:uid="{00000000-0005-0000-0000-00001B5C0000}"/>
    <cellStyle name="60% - Accent1 5 4 7" xfId="11649" xr:uid="{00000000-0005-0000-0000-00001C5C0000}"/>
    <cellStyle name="60% - Accent1 5 4 7 2" xfId="26798" xr:uid="{00000000-0005-0000-0000-00001D5C0000}"/>
    <cellStyle name="60% - Accent1 5 4 8" xfId="13333" xr:uid="{00000000-0005-0000-0000-00001E5C0000}"/>
    <cellStyle name="60% - Accent1 5 4 8 2" xfId="28482" xr:uid="{00000000-0005-0000-0000-00001F5C0000}"/>
    <cellStyle name="60% - Accent1 5 4 9" xfId="15016" xr:uid="{00000000-0005-0000-0000-0000205C0000}"/>
    <cellStyle name="60% - Accent1 5 4 9 2" xfId="30165" xr:uid="{00000000-0005-0000-0000-0000215C0000}"/>
    <cellStyle name="60% - Accent1 5 5" xfId="1971" xr:uid="{00000000-0005-0000-0000-0000225C0000}"/>
    <cellStyle name="60% - Accent1 5 5 2" xfId="17120" xr:uid="{00000000-0005-0000-0000-0000235C0000}"/>
    <cellStyle name="60% - Accent1 5 6" xfId="3655" xr:uid="{00000000-0005-0000-0000-0000245C0000}"/>
    <cellStyle name="60% - Accent1 5 6 2" xfId="18804" xr:uid="{00000000-0005-0000-0000-0000255C0000}"/>
    <cellStyle name="60% - Accent1 5 7" xfId="5338" xr:uid="{00000000-0005-0000-0000-0000265C0000}"/>
    <cellStyle name="60% - Accent1 5 7 2" xfId="20487" xr:uid="{00000000-0005-0000-0000-0000275C0000}"/>
    <cellStyle name="60% - Accent1 5 8" xfId="7021" xr:uid="{00000000-0005-0000-0000-0000285C0000}"/>
    <cellStyle name="60% - Accent1 5 8 2" xfId="22170" xr:uid="{00000000-0005-0000-0000-0000295C0000}"/>
    <cellStyle name="60% - Accent1 5 9" xfId="8704" xr:uid="{00000000-0005-0000-0000-00002A5C0000}"/>
    <cellStyle name="60% - Accent1 5 9 2" xfId="23853" xr:uid="{00000000-0005-0000-0000-00002B5C0000}"/>
    <cellStyle name="60% - Accent1 6" xfId="498" xr:uid="{00000000-0005-0000-0000-00002C5C0000}"/>
    <cellStyle name="60% - Accent1 6 10" xfId="15647" xr:uid="{00000000-0005-0000-0000-00002D5C0000}"/>
    <cellStyle name="60% - Accent1 6 11" xfId="30796" xr:uid="{00000000-0005-0000-0000-00002E5C0000}"/>
    <cellStyle name="60% - Accent1 6 12" xfId="32479" xr:uid="{00000000-0005-0000-0000-00002F5C0000}"/>
    <cellStyle name="60% - Accent1 6 13" xfId="34162" xr:uid="{00000000-0005-0000-0000-0000305C0000}"/>
    <cellStyle name="60% - Accent1 6 14" xfId="35845" xr:uid="{00000000-0005-0000-0000-0000315C0000}"/>
    <cellStyle name="60% - Accent1 6 15" xfId="37528" xr:uid="{00000000-0005-0000-0000-0000325C0000}"/>
    <cellStyle name="60% - Accent1 6 16" xfId="39211" xr:uid="{00000000-0005-0000-0000-0000335C0000}"/>
    <cellStyle name="60% - Accent1 6 17" xfId="40894" xr:uid="{00000000-0005-0000-0000-0000345C0000}"/>
    <cellStyle name="60% - Accent1 6 18" xfId="42577" xr:uid="{00000000-0005-0000-0000-0000355C0000}"/>
    <cellStyle name="60% - Accent1 6 19" xfId="44260" xr:uid="{00000000-0005-0000-0000-0000365C0000}"/>
    <cellStyle name="60% - Accent1 6 2" xfId="2181" xr:uid="{00000000-0005-0000-0000-0000375C0000}"/>
    <cellStyle name="60% - Accent1 6 2 2" xfId="17330" xr:uid="{00000000-0005-0000-0000-0000385C0000}"/>
    <cellStyle name="60% - Accent1 6 20" xfId="45943" xr:uid="{00000000-0005-0000-0000-0000395C0000}"/>
    <cellStyle name="60% - Accent1 6 21" xfId="47626" xr:uid="{00000000-0005-0000-0000-00003A5C0000}"/>
    <cellStyle name="60% - Accent1 6 22" xfId="49309" xr:uid="{00000000-0005-0000-0000-00003B5C0000}"/>
    <cellStyle name="60% - Accent1 6 23" xfId="50992" xr:uid="{00000000-0005-0000-0000-00003C5C0000}"/>
    <cellStyle name="60% - Accent1 6 24" xfId="52675" xr:uid="{00000000-0005-0000-0000-00003D5C0000}"/>
    <cellStyle name="60% - Accent1 6 25" xfId="54358" xr:uid="{00000000-0005-0000-0000-00003E5C0000}"/>
    <cellStyle name="60% - Accent1 6 26" xfId="56041" xr:uid="{00000000-0005-0000-0000-00003F5C0000}"/>
    <cellStyle name="60% - Accent1 6 27" xfId="57724" xr:uid="{00000000-0005-0000-0000-0000405C0000}"/>
    <cellStyle name="60% - Accent1 6 28" xfId="59407" xr:uid="{00000000-0005-0000-0000-0000415C0000}"/>
    <cellStyle name="60% - Accent1 6 29" xfId="61090" xr:uid="{00000000-0005-0000-0000-0000425C0000}"/>
    <cellStyle name="60% - Accent1 6 3" xfId="3865" xr:uid="{00000000-0005-0000-0000-0000435C0000}"/>
    <cellStyle name="60% - Accent1 6 3 2" xfId="19014" xr:uid="{00000000-0005-0000-0000-0000445C0000}"/>
    <cellStyle name="60% - Accent1 6 30" xfId="62773" xr:uid="{00000000-0005-0000-0000-0000455C0000}"/>
    <cellStyle name="60% - Accent1 6 4" xfId="5548" xr:uid="{00000000-0005-0000-0000-0000465C0000}"/>
    <cellStyle name="60% - Accent1 6 4 2" xfId="20697" xr:uid="{00000000-0005-0000-0000-0000475C0000}"/>
    <cellStyle name="60% - Accent1 6 5" xfId="7231" xr:uid="{00000000-0005-0000-0000-0000485C0000}"/>
    <cellStyle name="60% - Accent1 6 5 2" xfId="22380" xr:uid="{00000000-0005-0000-0000-0000495C0000}"/>
    <cellStyle name="60% - Accent1 6 6" xfId="8914" xr:uid="{00000000-0005-0000-0000-00004A5C0000}"/>
    <cellStyle name="60% - Accent1 6 6 2" xfId="24063" xr:uid="{00000000-0005-0000-0000-00004B5C0000}"/>
    <cellStyle name="60% - Accent1 6 7" xfId="10597" xr:uid="{00000000-0005-0000-0000-00004C5C0000}"/>
    <cellStyle name="60% - Accent1 6 7 2" xfId="25746" xr:uid="{00000000-0005-0000-0000-00004D5C0000}"/>
    <cellStyle name="60% - Accent1 6 8" xfId="12281" xr:uid="{00000000-0005-0000-0000-00004E5C0000}"/>
    <cellStyle name="60% - Accent1 6 8 2" xfId="27430" xr:uid="{00000000-0005-0000-0000-00004F5C0000}"/>
    <cellStyle name="60% - Accent1 6 9" xfId="13964" xr:uid="{00000000-0005-0000-0000-0000505C0000}"/>
    <cellStyle name="60% - Accent1 6 9 2" xfId="29113" xr:uid="{00000000-0005-0000-0000-0000515C0000}"/>
    <cellStyle name="60% - Accent1 7" xfId="919" xr:uid="{00000000-0005-0000-0000-0000525C0000}"/>
    <cellStyle name="60% - Accent1 7 10" xfId="16068" xr:uid="{00000000-0005-0000-0000-0000535C0000}"/>
    <cellStyle name="60% - Accent1 7 11" xfId="31217" xr:uid="{00000000-0005-0000-0000-0000545C0000}"/>
    <cellStyle name="60% - Accent1 7 12" xfId="32900" xr:uid="{00000000-0005-0000-0000-0000555C0000}"/>
    <cellStyle name="60% - Accent1 7 13" xfId="34583" xr:uid="{00000000-0005-0000-0000-0000565C0000}"/>
    <cellStyle name="60% - Accent1 7 14" xfId="36266" xr:uid="{00000000-0005-0000-0000-0000575C0000}"/>
    <cellStyle name="60% - Accent1 7 15" xfId="37949" xr:uid="{00000000-0005-0000-0000-0000585C0000}"/>
    <cellStyle name="60% - Accent1 7 16" xfId="39632" xr:uid="{00000000-0005-0000-0000-0000595C0000}"/>
    <cellStyle name="60% - Accent1 7 17" xfId="41315" xr:uid="{00000000-0005-0000-0000-00005A5C0000}"/>
    <cellStyle name="60% - Accent1 7 18" xfId="42998" xr:uid="{00000000-0005-0000-0000-00005B5C0000}"/>
    <cellStyle name="60% - Accent1 7 19" xfId="44681" xr:uid="{00000000-0005-0000-0000-00005C5C0000}"/>
    <cellStyle name="60% - Accent1 7 2" xfId="2602" xr:uid="{00000000-0005-0000-0000-00005D5C0000}"/>
    <cellStyle name="60% - Accent1 7 2 2" xfId="17751" xr:uid="{00000000-0005-0000-0000-00005E5C0000}"/>
    <cellStyle name="60% - Accent1 7 20" xfId="46364" xr:uid="{00000000-0005-0000-0000-00005F5C0000}"/>
    <cellStyle name="60% - Accent1 7 21" xfId="48047" xr:uid="{00000000-0005-0000-0000-0000605C0000}"/>
    <cellStyle name="60% - Accent1 7 22" xfId="49730" xr:uid="{00000000-0005-0000-0000-0000615C0000}"/>
    <cellStyle name="60% - Accent1 7 23" xfId="51413" xr:uid="{00000000-0005-0000-0000-0000625C0000}"/>
    <cellStyle name="60% - Accent1 7 24" xfId="53096" xr:uid="{00000000-0005-0000-0000-0000635C0000}"/>
    <cellStyle name="60% - Accent1 7 25" xfId="54779" xr:uid="{00000000-0005-0000-0000-0000645C0000}"/>
    <cellStyle name="60% - Accent1 7 26" xfId="56462" xr:uid="{00000000-0005-0000-0000-0000655C0000}"/>
    <cellStyle name="60% - Accent1 7 27" xfId="58145" xr:uid="{00000000-0005-0000-0000-0000665C0000}"/>
    <cellStyle name="60% - Accent1 7 28" xfId="59828" xr:uid="{00000000-0005-0000-0000-0000675C0000}"/>
    <cellStyle name="60% - Accent1 7 29" xfId="61511" xr:uid="{00000000-0005-0000-0000-0000685C0000}"/>
    <cellStyle name="60% - Accent1 7 3" xfId="4286" xr:uid="{00000000-0005-0000-0000-0000695C0000}"/>
    <cellStyle name="60% - Accent1 7 3 2" xfId="19435" xr:uid="{00000000-0005-0000-0000-00006A5C0000}"/>
    <cellStyle name="60% - Accent1 7 30" xfId="63194" xr:uid="{00000000-0005-0000-0000-00006B5C0000}"/>
    <cellStyle name="60% - Accent1 7 4" xfId="5969" xr:uid="{00000000-0005-0000-0000-00006C5C0000}"/>
    <cellStyle name="60% - Accent1 7 4 2" xfId="21118" xr:uid="{00000000-0005-0000-0000-00006D5C0000}"/>
    <cellStyle name="60% - Accent1 7 5" xfId="7652" xr:uid="{00000000-0005-0000-0000-00006E5C0000}"/>
    <cellStyle name="60% - Accent1 7 5 2" xfId="22801" xr:uid="{00000000-0005-0000-0000-00006F5C0000}"/>
    <cellStyle name="60% - Accent1 7 6" xfId="9335" xr:uid="{00000000-0005-0000-0000-0000705C0000}"/>
    <cellStyle name="60% - Accent1 7 6 2" xfId="24484" xr:uid="{00000000-0005-0000-0000-0000715C0000}"/>
    <cellStyle name="60% - Accent1 7 7" xfId="11018" xr:uid="{00000000-0005-0000-0000-0000725C0000}"/>
    <cellStyle name="60% - Accent1 7 7 2" xfId="26167" xr:uid="{00000000-0005-0000-0000-0000735C0000}"/>
    <cellStyle name="60% - Accent1 7 8" xfId="12702" xr:uid="{00000000-0005-0000-0000-0000745C0000}"/>
    <cellStyle name="60% - Accent1 7 8 2" xfId="27851" xr:uid="{00000000-0005-0000-0000-0000755C0000}"/>
    <cellStyle name="60% - Accent1 7 9" xfId="14385" xr:uid="{00000000-0005-0000-0000-0000765C0000}"/>
    <cellStyle name="60% - Accent1 7 9 2" xfId="29534" xr:uid="{00000000-0005-0000-0000-0000775C0000}"/>
    <cellStyle name="60% - Accent1 8" xfId="1340" xr:uid="{00000000-0005-0000-0000-0000785C0000}"/>
    <cellStyle name="60% - Accent1 8 10" xfId="16489" xr:uid="{00000000-0005-0000-0000-0000795C0000}"/>
    <cellStyle name="60% - Accent1 8 11" xfId="31638" xr:uid="{00000000-0005-0000-0000-00007A5C0000}"/>
    <cellStyle name="60% - Accent1 8 12" xfId="33321" xr:uid="{00000000-0005-0000-0000-00007B5C0000}"/>
    <cellStyle name="60% - Accent1 8 13" xfId="35004" xr:uid="{00000000-0005-0000-0000-00007C5C0000}"/>
    <cellStyle name="60% - Accent1 8 14" xfId="36687" xr:uid="{00000000-0005-0000-0000-00007D5C0000}"/>
    <cellStyle name="60% - Accent1 8 15" xfId="38370" xr:uid="{00000000-0005-0000-0000-00007E5C0000}"/>
    <cellStyle name="60% - Accent1 8 16" xfId="40053" xr:uid="{00000000-0005-0000-0000-00007F5C0000}"/>
    <cellStyle name="60% - Accent1 8 17" xfId="41736" xr:uid="{00000000-0005-0000-0000-0000805C0000}"/>
    <cellStyle name="60% - Accent1 8 18" xfId="43419" xr:uid="{00000000-0005-0000-0000-0000815C0000}"/>
    <cellStyle name="60% - Accent1 8 19" xfId="45102" xr:uid="{00000000-0005-0000-0000-0000825C0000}"/>
    <cellStyle name="60% - Accent1 8 2" xfId="3023" xr:uid="{00000000-0005-0000-0000-0000835C0000}"/>
    <cellStyle name="60% - Accent1 8 2 2" xfId="18172" xr:uid="{00000000-0005-0000-0000-0000845C0000}"/>
    <cellStyle name="60% - Accent1 8 20" xfId="46785" xr:uid="{00000000-0005-0000-0000-0000855C0000}"/>
    <cellStyle name="60% - Accent1 8 21" xfId="48468" xr:uid="{00000000-0005-0000-0000-0000865C0000}"/>
    <cellStyle name="60% - Accent1 8 22" xfId="50151" xr:uid="{00000000-0005-0000-0000-0000875C0000}"/>
    <cellStyle name="60% - Accent1 8 23" xfId="51834" xr:uid="{00000000-0005-0000-0000-0000885C0000}"/>
    <cellStyle name="60% - Accent1 8 24" xfId="53517" xr:uid="{00000000-0005-0000-0000-0000895C0000}"/>
    <cellStyle name="60% - Accent1 8 25" xfId="55200" xr:uid="{00000000-0005-0000-0000-00008A5C0000}"/>
    <cellStyle name="60% - Accent1 8 26" xfId="56883" xr:uid="{00000000-0005-0000-0000-00008B5C0000}"/>
    <cellStyle name="60% - Accent1 8 27" xfId="58566" xr:uid="{00000000-0005-0000-0000-00008C5C0000}"/>
    <cellStyle name="60% - Accent1 8 28" xfId="60249" xr:uid="{00000000-0005-0000-0000-00008D5C0000}"/>
    <cellStyle name="60% - Accent1 8 29" xfId="61932" xr:uid="{00000000-0005-0000-0000-00008E5C0000}"/>
    <cellStyle name="60% - Accent1 8 3" xfId="4707" xr:uid="{00000000-0005-0000-0000-00008F5C0000}"/>
    <cellStyle name="60% - Accent1 8 3 2" xfId="19856" xr:uid="{00000000-0005-0000-0000-0000905C0000}"/>
    <cellStyle name="60% - Accent1 8 30" xfId="63615" xr:uid="{00000000-0005-0000-0000-0000915C0000}"/>
    <cellStyle name="60% - Accent1 8 4" xfId="6390" xr:uid="{00000000-0005-0000-0000-0000925C0000}"/>
    <cellStyle name="60% - Accent1 8 4 2" xfId="21539" xr:uid="{00000000-0005-0000-0000-0000935C0000}"/>
    <cellStyle name="60% - Accent1 8 5" xfId="8073" xr:uid="{00000000-0005-0000-0000-0000945C0000}"/>
    <cellStyle name="60% - Accent1 8 5 2" xfId="23222" xr:uid="{00000000-0005-0000-0000-0000955C0000}"/>
    <cellStyle name="60% - Accent1 8 6" xfId="9756" xr:uid="{00000000-0005-0000-0000-0000965C0000}"/>
    <cellStyle name="60% - Accent1 8 6 2" xfId="24905" xr:uid="{00000000-0005-0000-0000-0000975C0000}"/>
    <cellStyle name="60% - Accent1 8 7" xfId="11439" xr:uid="{00000000-0005-0000-0000-0000985C0000}"/>
    <cellStyle name="60% - Accent1 8 7 2" xfId="26588" xr:uid="{00000000-0005-0000-0000-0000995C0000}"/>
    <cellStyle name="60% - Accent1 8 8" xfId="13123" xr:uid="{00000000-0005-0000-0000-00009A5C0000}"/>
    <cellStyle name="60% - Accent1 8 8 2" xfId="28272" xr:uid="{00000000-0005-0000-0000-00009B5C0000}"/>
    <cellStyle name="60% - Accent1 8 9" xfId="14806" xr:uid="{00000000-0005-0000-0000-00009C5C0000}"/>
    <cellStyle name="60% - Accent1 8 9 2" xfId="29955" xr:uid="{00000000-0005-0000-0000-00009D5C0000}"/>
    <cellStyle name="60% - Accent1 9" xfId="1761" xr:uid="{00000000-0005-0000-0000-00009E5C0000}"/>
    <cellStyle name="60% - Accent1 9 2" xfId="16910" xr:uid="{00000000-0005-0000-0000-00009F5C0000}"/>
    <cellStyle name="60% - Accent2" xfId="77" builtinId="36" customBuiltin="1"/>
    <cellStyle name="60% - Accent2 10" xfId="3448" xr:uid="{00000000-0005-0000-0000-0000A15C0000}"/>
    <cellStyle name="60% - Accent2 10 2" xfId="18597" xr:uid="{00000000-0005-0000-0000-0000A25C0000}"/>
    <cellStyle name="60% - Accent2 11" xfId="5131" xr:uid="{00000000-0005-0000-0000-0000A35C0000}"/>
    <cellStyle name="60% - Accent2 11 2" xfId="20280" xr:uid="{00000000-0005-0000-0000-0000A45C0000}"/>
    <cellStyle name="60% - Accent2 12" xfId="6814" xr:uid="{00000000-0005-0000-0000-0000A55C0000}"/>
    <cellStyle name="60% - Accent2 12 2" xfId="21963" xr:uid="{00000000-0005-0000-0000-0000A65C0000}"/>
    <cellStyle name="60% - Accent2 13" xfId="8497" xr:uid="{00000000-0005-0000-0000-0000A75C0000}"/>
    <cellStyle name="60% - Accent2 13 2" xfId="23646" xr:uid="{00000000-0005-0000-0000-0000A85C0000}"/>
    <cellStyle name="60% - Accent2 14" xfId="10180" xr:uid="{00000000-0005-0000-0000-0000A95C0000}"/>
    <cellStyle name="60% - Accent2 14 2" xfId="25329" xr:uid="{00000000-0005-0000-0000-0000AA5C0000}"/>
    <cellStyle name="60% - Accent2 15" xfId="11864" xr:uid="{00000000-0005-0000-0000-0000AB5C0000}"/>
    <cellStyle name="60% - Accent2 15 2" xfId="27013" xr:uid="{00000000-0005-0000-0000-0000AC5C0000}"/>
    <cellStyle name="60% - Accent2 16" xfId="13547" xr:uid="{00000000-0005-0000-0000-0000AD5C0000}"/>
    <cellStyle name="60% - Accent2 16 2" xfId="28696" xr:uid="{00000000-0005-0000-0000-0000AE5C0000}"/>
    <cellStyle name="60% - Accent2 17" xfId="15230" xr:uid="{00000000-0005-0000-0000-0000AF5C0000}"/>
    <cellStyle name="60% - Accent2 18" xfId="30379" xr:uid="{00000000-0005-0000-0000-0000B05C0000}"/>
    <cellStyle name="60% - Accent2 19" xfId="32062" xr:uid="{00000000-0005-0000-0000-0000B15C0000}"/>
    <cellStyle name="60% - Accent2 2" xfId="103" xr:uid="{00000000-0005-0000-0000-0000B25C0000}"/>
    <cellStyle name="60% - Accent2 2 10" xfId="6836" xr:uid="{00000000-0005-0000-0000-0000B35C0000}"/>
    <cellStyle name="60% - Accent2 2 10 2" xfId="21985" xr:uid="{00000000-0005-0000-0000-0000B45C0000}"/>
    <cellStyle name="60% - Accent2 2 11" xfId="8519" xr:uid="{00000000-0005-0000-0000-0000B55C0000}"/>
    <cellStyle name="60% - Accent2 2 11 2" xfId="23668" xr:uid="{00000000-0005-0000-0000-0000B65C0000}"/>
    <cellStyle name="60% - Accent2 2 12" xfId="10202" xr:uid="{00000000-0005-0000-0000-0000B75C0000}"/>
    <cellStyle name="60% - Accent2 2 12 2" xfId="25351" xr:uid="{00000000-0005-0000-0000-0000B85C0000}"/>
    <cellStyle name="60% - Accent2 2 13" xfId="11886" xr:uid="{00000000-0005-0000-0000-0000B95C0000}"/>
    <cellStyle name="60% - Accent2 2 13 2" xfId="27035" xr:uid="{00000000-0005-0000-0000-0000BA5C0000}"/>
    <cellStyle name="60% - Accent2 2 14" xfId="13569" xr:uid="{00000000-0005-0000-0000-0000BB5C0000}"/>
    <cellStyle name="60% - Accent2 2 14 2" xfId="28718" xr:uid="{00000000-0005-0000-0000-0000BC5C0000}"/>
    <cellStyle name="60% - Accent2 2 15" xfId="15252" xr:uid="{00000000-0005-0000-0000-0000BD5C0000}"/>
    <cellStyle name="60% - Accent2 2 16" xfId="30401" xr:uid="{00000000-0005-0000-0000-0000BE5C0000}"/>
    <cellStyle name="60% - Accent2 2 17" xfId="32084" xr:uid="{00000000-0005-0000-0000-0000BF5C0000}"/>
    <cellStyle name="60% - Accent2 2 18" xfId="33767" xr:uid="{00000000-0005-0000-0000-0000C05C0000}"/>
    <cellStyle name="60% - Accent2 2 19" xfId="35450" xr:uid="{00000000-0005-0000-0000-0000C15C0000}"/>
    <cellStyle name="60% - Accent2 2 2" xfId="208" xr:uid="{00000000-0005-0000-0000-0000C25C0000}"/>
    <cellStyle name="60% - Accent2 2 2 10" xfId="8624" xr:uid="{00000000-0005-0000-0000-0000C35C0000}"/>
    <cellStyle name="60% - Accent2 2 2 10 2" xfId="23773" xr:uid="{00000000-0005-0000-0000-0000C45C0000}"/>
    <cellStyle name="60% - Accent2 2 2 11" xfId="10307" xr:uid="{00000000-0005-0000-0000-0000C55C0000}"/>
    <cellStyle name="60% - Accent2 2 2 11 2" xfId="25456" xr:uid="{00000000-0005-0000-0000-0000C65C0000}"/>
    <cellStyle name="60% - Accent2 2 2 12" xfId="11991" xr:uid="{00000000-0005-0000-0000-0000C75C0000}"/>
    <cellStyle name="60% - Accent2 2 2 12 2" xfId="27140" xr:uid="{00000000-0005-0000-0000-0000C85C0000}"/>
    <cellStyle name="60% - Accent2 2 2 13" xfId="13674" xr:uid="{00000000-0005-0000-0000-0000C95C0000}"/>
    <cellStyle name="60% - Accent2 2 2 13 2" xfId="28823" xr:uid="{00000000-0005-0000-0000-0000CA5C0000}"/>
    <cellStyle name="60% - Accent2 2 2 14" xfId="15357" xr:uid="{00000000-0005-0000-0000-0000CB5C0000}"/>
    <cellStyle name="60% - Accent2 2 2 15" xfId="30506" xr:uid="{00000000-0005-0000-0000-0000CC5C0000}"/>
    <cellStyle name="60% - Accent2 2 2 16" xfId="32189" xr:uid="{00000000-0005-0000-0000-0000CD5C0000}"/>
    <cellStyle name="60% - Accent2 2 2 17" xfId="33872" xr:uid="{00000000-0005-0000-0000-0000CE5C0000}"/>
    <cellStyle name="60% - Accent2 2 2 18" xfId="35555" xr:uid="{00000000-0005-0000-0000-0000CF5C0000}"/>
    <cellStyle name="60% - Accent2 2 2 19" xfId="37238" xr:uid="{00000000-0005-0000-0000-0000D05C0000}"/>
    <cellStyle name="60% - Accent2 2 2 2" xfId="418" xr:uid="{00000000-0005-0000-0000-0000D15C0000}"/>
    <cellStyle name="60% - Accent2 2 2 2 10" xfId="10517" xr:uid="{00000000-0005-0000-0000-0000D25C0000}"/>
    <cellStyle name="60% - Accent2 2 2 2 10 2" xfId="25666" xr:uid="{00000000-0005-0000-0000-0000D35C0000}"/>
    <cellStyle name="60% - Accent2 2 2 2 11" xfId="12201" xr:uid="{00000000-0005-0000-0000-0000D45C0000}"/>
    <cellStyle name="60% - Accent2 2 2 2 11 2" xfId="27350" xr:uid="{00000000-0005-0000-0000-0000D55C0000}"/>
    <cellStyle name="60% - Accent2 2 2 2 12" xfId="13884" xr:uid="{00000000-0005-0000-0000-0000D65C0000}"/>
    <cellStyle name="60% - Accent2 2 2 2 12 2" xfId="29033" xr:uid="{00000000-0005-0000-0000-0000D75C0000}"/>
    <cellStyle name="60% - Accent2 2 2 2 13" xfId="15567" xr:uid="{00000000-0005-0000-0000-0000D85C0000}"/>
    <cellStyle name="60% - Accent2 2 2 2 14" xfId="30716" xr:uid="{00000000-0005-0000-0000-0000D95C0000}"/>
    <cellStyle name="60% - Accent2 2 2 2 15" xfId="32399" xr:uid="{00000000-0005-0000-0000-0000DA5C0000}"/>
    <cellStyle name="60% - Accent2 2 2 2 16" xfId="34082" xr:uid="{00000000-0005-0000-0000-0000DB5C0000}"/>
    <cellStyle name="60% - Accent2 2 2 2 17" xfId="35765" xr:uid="{00000000-0005-0000-0000-0000DC5C0000}"/>
    <cellStyle name="60% - Accent2 2 2 2 18" xfId="37448" xr:uid="{00000000-0005-0000-0000-0000DD5C0000}"/>
    <cellStyle name="60% - Accent2 2 2 2 19" xfId="39131" xr:uid="{00000000-0005-0000-0000-0000DE5C0000}"/>
    <cellStyle name="60% - Accent2 2 2 2 2" xfId="838" xr:uid="{00000000-0005-0000-0000-0000DF5C0000}"/>
    <cellStyle name="60% - Accent2 2 2 2 2 10" xfId="15987" xr:uid="{00000000-0005-0000-0000-0000E05C0000}"/>
    <cellStyle name="60% - Accent2 2 2 2 2 11" xfId="31136" xr:uid="{00000000-0005-0000-0000-0000E15C0000}"/>
    <cellStyle name="60% - Accent2 2 2 2 2 12" xfId="32819" xr:uid="{00000000-0005-0000-0000-0000E25C0000}"/>
    <cellStyle name="60% - Accent2 2 2 2 2 13" xfId="34502" xr:uid="{00000000-0005-0000-0000-0000E35C0000}"/>
    <cellStyle name="60% - Accent2 2 2 2 2 14" xfId="36185" xr:uid="{00000000-0005-0000-0000-0000E45C0000}"/>
    <cellStyle name="60% - Accent2 2 2 2 2 15" xfId="37868" xr:uid="{00000000-0005-0000-0000-0000E55C0000}"/>
    <cellStyle name="60% - Accent2 2 2 2 2 16" xfId="39551" xr:uid="{00000000-0005-0000-0000-0000E65C0000}"/>
    <cellStyle name="60% - Accent2 2 2 2 2 17" xfId="41234" xr:uid="{00000000-0005-0000-0000-0000E75C0000}"/>
    <cellStyle name="60% - Accent2 2 2 2 2 18" xfId="42917" xr:uid="{00000000-0005-0000-0000-0000E85C0000}"/>
    <cellStyle name="60% - Accent2 2 2 2 2 19" xfId="44600" xr:uid="{00000000-0005-0000-0000-0000E95C0000}"/>
    <cellStyle name="60% - Accent2 2 2 2 2 2" xfId="2521" xr:uid="{00000000-0005-0000-0000-0000EA5C0000}"/>
    <cellStyle name="60% - Accent2 2 2 2 2 2 2" xfId="17670" xr:uid="{00000000-0005-0000-0000-0000EB5C0000}"/>
    <cellStyle name="60% - Accent2 2 2 2 2 20" xfId="46283" xr:uid="{00000000-0005-0000-0000-0000EC5C0000}"/>
    <cellStyle name="60% - Accent2 2 2 2 2 21" xfId="47966" xr:uid="{00000000-0005-0000-0000-0000ED5C0000}"/>
    <cellStyle name="60% - Accent2 2 2 2 2 22" xfId="49649" xr:uid="{00000000-0005-0000-0000-0000EE5C0000}"/>
    <cellStyle name="60% - Accent2 2 2 2 2 23" xfId="51332" xr:uid="{00000000-0005-0000-0000-0000EF5C0000}"/>
    <cellStyle name="60% - Accent2 2 2 2 2 24" xfId="53015" xr:uid="{00000000-0005-0000-0000-0000F05C0000}"/>
    <cellStyle name="60% - Accent2 2 2 2 2 25" xfId="54698" xr:uid="{00000000-0005-0000-0000-0000F15C0000}"/>
    <cellStyle name="60% - Accent2 2 2 2 2 26" xfId="56381" xr:uid="{00000000-0005-0000-0000-0000F25C0000}"/>
    <cellStyle name="60% - Accent2 2 2 2 2 27" xfId="58064" xr:uid="{00000000-0005-0000-0000-0000F35C0000}"/>
    <cellStyle name="60% - Accent2 2 2 2 2 28" xfId="59747" xr:uid="{00000000-0005-0000-0000-0000F45C0000}"/>
    <cellStyle name="60% - Accent2 2 2 2 2 29" xfId="61430" xr:uid="{00000000-0005-0000-0000-0000F55C0000}"/>
    <cellStyle name="60% - Accent2 2 2 2 2 3" xfId="4205" xr:uid="{00000000-0005-0000-0000-0000F65C0000}"/>
    <cellStyle name="60% - Accent2 2 2 2 2 3 2" xfId="19354" xr:uid="{00000000-0005-0000-0000-0000F75C0000}"/>
    <cellStyle name="60% - Accent2 2 2 2 2 30" xfId="63113" xr:uid="{00000000-0005-0000-0000-0000F85C0000}"/>
    <cellStyle name="60% - Accent2 2 2 2 2 4" xfId="5888" xr:uid="{00000000-0005-0000-0000-0000F95C0000}"/>
    <cellStyle name="60% - Accent2 2 2 2 2 4 2" xfId="21037" xr:uid="{00000000-0005-0000-0000-0000FA5C0000}"/>
    <cellStyle name="60% - Accent2 2 2 2 2 5" xfId="7571" xr:uid="{00000000-0005-0000-0000-0000FB5C0000}"/>
    <cellStyle name="60% - Accent2 2 2 2 2 5 2" xfId="22720" xr:uid="{00000000-0005-0000-0000-0000FC5C0000}"/>
    <cellStyle name="60% - Accent2 2 2 2 2 6" xfId="9254" xr:uid="{00000000-0005-0000-0000-0000FD5C0000}"/>
    <cellStyle name="60% - Accent2 2 2 2 2 6 2" xfId="24403" xr:uid="{00000000-0005-0000-0000-0000FE5C0000}"/>
    <cellStyle name="60% - Accent2 2 2 2 2 7" xfId="10937" xr:uid="{00000000-0005-0000-0000-0000FF5C0000}"/>
    <cellStyle name="60% - Accent2 2 2 2 2 7 2" xfId="26086" xr:uid="{00000000-0005-0000-0000-0000005D0000}"/>
    <cellStyle name="60% - Accent2 2 2 2 2 8" xfId="12621" xr:uid="{00000000-0005-0000-0000-0000015D0000}"/>
    <cellStyle name="60% - Accent2 2 2 2 2 8 2" xfId="27770" xr:uid="{00000000-0005-0000-0000-0000025D0000}"/>
    <cellStyle name="60% - Accent2 2 2 2 2 9" xfId="14304" xr:uid="{00000000-0005-0000-0000-0000035D0000}"/>
    <cellStyle name="60% - Accent2 2 2 2 2 9 2" xfId="29453" xr:uid="{00000000-0005-0000-0000-0000045D0000}"/>
    <cellStyle name="60% - Accent2 2 2 2 20" xfId="40814" xr:uid="{00000000-0005-0000-0000-0000055D0000}"/>
    <cellStyle name="60% - Accent2 2 2 2 21" xfId="42497" xr:uid="{00000000-0005-0000-0000-0000065D0000}"/>
    <cellStyle name="60% - Accent2 2 2 2 22" xfId="44180" xr:uid="{00000000-0005-0000-0000-0000075D0000}"/>
    <cellStyle name="60% - Accent2 2 2 2 23" xfId="45863" xr:uid="{00000000-0005-0000-0000-0000085D0000}"/>
    <cellStyle name="60% - Accent2 2 2 2 24" xfId="47546" xr:uid="{00000000-0005-0000-0000-0000095D0000}"/>
    <cellStyle name="60% - Accent2 2 2 2 25" xfId="49229" xr:uid="{00000000-0005-0000-0000-00000A5D0000}"/>
    <cellStyle name="60% - Accent2 2 2 2 26" xfId="50912" xr:uid="{00000000-0005-0000-0000-00000B5D0000}"/>
    <cellStyle name="60% - Accent2 2 2 2 27" xfId="52595" xr:uid="{00000000-0005-0000-0000-00000C5D0000}"/>
    <cellStyle name="60% - Accent2 2 2 2 28" xfId="54278" xr:uid="{00000000-0005-0000-0000-00000D5D0000}"/>
    <cellStyle name="60% - Accent2 2 2 2 29" xfId="55961" xr:uid="{00000000-0005-0000-0000-00000E5D0000}"/>
    <cellStyle name="60% - Accent2 2 2 2 3" xfId="1259" xr:uid="{00000000-0005-0000-0000-00000F5D0000}"/>
    <cellStyle name="60% - Accent2 2 2 2 3 10" xfId="16408" xr:uid="{00000000-0005-0000-0000-0000105D0000}"/>
    <cellStyle name="60% - Accent2 2 2 2 3 11" xfId="31557" xr:uid="{00000000-0005-0000-0000-0000115D0000}"/>
    <cellStyle name="60% - Accent2 2 2 2 3 12" xfId="33240" xr:uid="{00000000-0005-0000-0000-0000125D0000}"/>
    <cellStyle name="60% - Accent2 2 2 2 3 13" xfId="34923" xr:uid="{00000000-0005-0000-0000-0000135D0000}"/>
    <cellStyle name="60% - Accent2 2 2 2 3 14" xfId="36606" xr:uid="{00000000-0005-0000-0000-0000145D0000}"/>
    <cellStyle name="60% - Accent2 2 2 2 3 15" xfId="38289" xr:uid="{00000000-0005-0000-0000-0000155D0000}"/>
    <cellStyle name="60% - Accent2 2 2 2 3 16" xfId="39972" xr:uid="{00000000-0005-0000-0000-0000165D0000}"/>
    <cellStyle name="60% - Accent2 2 2 2 3 17" xfId="41655" xr:uid="{00000000-0005-0000-0000-0000175D0000}"/>
    <cellStyle name="60% - Accent2 2 2 2 3 18" xfId="43338" xr:uid="{00000000-0005-0000-0000-0000185D0000}"/>
    <cellStyle name="60% - Accent2 2 2 2 3 19" xfId="45021" xr:uid="{00000000-0005-0000-0000-0000195D0000}"/>
    <cellStyle name="60% - Accent2 2 2 2 3 2" xfId="2942" xr:uid="{00000000-0005-0000-0000-00001A5D0000}"/>
    <cellStyle name="60% - Accent2 2 2 2 3 2 2" xfId="18091" xr:uid="{00000000-0005-0000-0000-00001B5D0000}"/>
    <cellStyle name="60% - Accent2 2 2 2 3 20" xfId="46704" xr:uid="{00000000-0005-0000-0000-00001C5D0000}"/>
    <cellStyle name="60% - Accent2 2 2 2 3 21" xfId="48387" xr:uid="{00000000-0005-0000-0000-00001D5D0000}"/>
    <cellStyle name="60% - Accent2 2 2 2 3 22" xfId="50070" xr:uid="{00000000-0005-0000-0000-00001E5D0000}"/>
    <cellStyle name="60% - Accent2 2 2 2 3 23" xfId="51753" xr:uid="{00000000-0005-0000-0000-00001F5D0000}"/>
    <cellStyle name="60% - Accent2 2 2 2 3 24" xfId="53436" xr:uid="{00000000-0005-0000-0000-0000205D0000}"/>
    <cellStyle name="60% - Accent2 2 2 2 3 25" xfId="55119" xr:uid="{00000000-0005-0000-0000-0000215D0000}"/>
    <cellStyle name="60% - Accent2 2 2 2 3 26" xfId="56802" xr:uid="{00000000-0005-0000-0000-0000225D0000}"/>
    <cellStyle name="60% - Accent2 2 2 2 3 27" xfId="58485" xr:uid="{00000000-0005-0000-0000-0000235D0000}"/>
    <cellStyle name="60% - Accent2 2 2 2 3 28" xfId="60168" xr:uid="{00000000-0005-0000-0000-0000245D0000}"/>
    <cellStyle name="60% - Accent2 2 2 2 3 29" xfId="61851" xr:uid="{00000000-0005-0000-0000-0000255D0000}"/>
    <cellStyle name="60% - Accent2 2 2 2 3 3" xfId="4626" xr:uid="{00000000-0005-0000-0000-0000265D0000}"/>
    <cellStyle name="60% - Accent2 2 2 2 3 3 2" xfId="19775" xr:uid="{00000000-0005-0000-0000-0000275D0000}"/>
    <cellStyle name="60% - Accent2 2 2 2 3 30" xfId="63534" xr:uid="{00000000-0005-0000-0000-0000285D0000}"/>
    <cellStyle name="60% - Accent2 2 2 2 3 4" xfId="6309" xr:uid="{00000000-0005-0000-0000-0000295D0000}"/>
    <cellStyle name="60% - Accent2 2 2 2 3 4 2" xfId="21458" xr:uid="{00000000-0005-0000-0000-00002A5D0000}"/>
    <cellStyle name="60% - Accent2 2 2 2 3 5" xfId="7992" xr:uid="{00000000-0005-0000-0000-00002B5D0000}"/>
    <cellStyle name="60% - Accent2 2 2 2 3 5 2" xfId="23141" xr:uid="{00000000-0005-0000-0000-00002C5D0000}"/>
    <cellStyle name="60% - Accent2 2 2 2 3 6" xfId="9675" xr:uid="{00000000-0005-0000-0000-00002D5D0000}"/>
    <cellStyle name="60% - Accent2 2 2 2 3 6 2" xfId="24824" xr:uid="{00000000-0005-0000-0000-00002E5D0000}"/>
    <cellStyle name="60% - Accent2 2 2 2 3 7" xfId="11358" xr:uid="{00000000-0005-0000-0000-00002F5D0000}"/>
    <cellStyle name="60% - Accent2 2 2 2 3 7 2" xfId="26507" xr:uid="{00000000-0005-0000-0000-0000305D0000}"/>
    <cellStyle name="60% - Accent2 2 2 2 3 8" xfId="13042" xr:uid="{00000000-0005-0000-0000-0000315D0000}"/>
    <cellStyle name="60% - Accent2 2 2 2 3 8 2" xfId="28191" xr:uid="{00000000-0005-0000-0000-0000325D0000}"/>
    <cellStyle name="60% - Accent2 2 2 2 3 9" xfId="14725" xr:uid="{00000000-0005-0000-0000-0000335D0000}"/>
    <cellStyle name="60% - Accent2 2 2 2 3 9 2" xfId="29874" xr:uid="{00000000-0005-0000-0000-0000345D0000}"/>
    <cellStyle name="60% - Accent2 2 2 2 30" xfId="57644" xr:uid="{00000000-0005-0000-0000-0000355D0000}"/>
    <cellStyle name="60% - Accent2 2 2 2 31" xfId="59327" xr:uid="{00000000-0005-0000-0000-0000365D0000}"/>
    <cellStyle name="60% - Accent2 2 2 2 32" xfId="61010" xr:uid="{00000000-0005-0000-0000-0000375D0000}"/>
    <cellStyle name="60% - Accent2 2 2 2 33" xfId="62693" xr:uid="{00000000-0005-0000-0000-0000385D0000}"/>
    <cellStyle name="60% - Accent2 2 2 2 4" xfId="1680" xr:uid="{00000000-0005-0000-0000-0000395D0000}"/>
    <cellStyle name="60% - Accent2 2 2 2 4 10" xfId="16829" xr:uid="{00000000-0005-0000-0000-00003A5D0000}"/>
    <cellStyle name="60% - Accent2 2 2 2 4 11" xfId="31978" xr:uid="{00000000-0005-0000-0000-00003B5D0000}"/>
    <cellStyle name="60% - Accent2 2 2 2 4 12" xfId="33661" xr:uid="{00000000-0005-0000-0000-00003C5D0000}"/>
    <cellStyle name="60% - Accent2 2 2 2 4 13" xfId="35344" xr:uid="{00000000-0005-0000-0000-00003D5D0000}"/>
    <cellStyle name="60% - Accent2 2 2 2 4 14" xfId="37027" xr:uid="{00000000-0005-0000-0000-00003E5D0000}"/>
    <cellStyle name="60% - Accent2 2 2 2 4 15" xfId="38710" xr:uid="{00000000-0005-0000-0000-00003F5D0000}"/>
    <cellStyle name="60% - Accent2 2 2 2 4 16" xfId="40393" xr:uid="{00000000-0005-0000-0000-0000405D0000}"/>
    <cellStyle name="60% - Accent2 2 2 2 4 17" xfId="42076" xr:uid="{00000000-0005-0000-0000-0000415D0000}"/>
    <cellStyle name="60% - Accent2 2 2 2 4 18" xfId="43759" xr:uid="{00000000-0005-0000-0000-0000425D0000}"/>
    <cellStyle name="60% - Accent2 2 2 2 4 19" xfId="45442" xr:uid="{00000000-0005-0000-0000-0000435D0000}"/>
    <cellStyle name="60% - Accent2 2 2 2 4 2" xfId="3363" xr:uid="{00000000-0005-0000-0000-0000445D0000}"/>
    <cellStyle name="60% - Accent2 2 2 2 4 2 2" xfId="18512" xr:uid="{00000000-0005-0000-0000-0000455D0000}"/>
    <cellStyle name="60% - Accent2 2 2 2 4 20" xfId="47125" xr:uid="{00000000-0005-0000-0000-0000465D0000}"/>
    <cellStyle name="60% - Accent2 2 2 2 4 21" xfId="48808" xr:uid="{00000000-0005-0000-0000-0000475D0000}"/>
    <cellStyle name="60% - Accent2 2 2 2 4 22" xfId="50491" xr:uid="{00000000-0005-0000-0000-0000485D0000}"/>
    <cellStyle name="60% - Accent2 2 2 2 4 23" xfId="52174" xr:uid="{00000000-0005-0000-0000-0000495D0000}"/>
    <cellStyle name="60% - Accent2 2 2 2 4 24" xfId="53857" xr:uid="{00000000-0005-0000-0000-00004A5D0000}"/>
    <cellStyle name="60% - Accent2 2 2 2 4 25" xfId="55540" xr:uid="{00000000-0005-0000-0000-00004B5D0000}"/>
    <cellStyle name="60% - Accent2 2 2 2 4 26" xfId="57223" xr:uid="{00000000-0005-0000-0000-00004C5D0000}"/>
    <cellStyle name="60% - Accent2 2 2 2 4 27" xfId="58906" xr:uid="{00000000-0005-0000-0000-00004D5D0000}"/>
    <cellStyle name="60% - Accent2 2 2 2 4 28" xfId="60589" xr:uid="{00000000-0005-0000-0000-00004E5D0000}"/>
    <cellStyle name="60% - Accent2 2 2 2 4 29" xfId="62272" xr:uid="{00000000-0005-0000-0000-00004F5D0000}"/>
    <cellStyle name="60% - Accent2 2 2 2 4 3" xfId="5047" xr:uid="{00000000-0005-0000-0000-0000505D0000}"/>
    <cellStyle name="60% - Accent2 2 2 2 4 3 2" xfId="20196" xr:uid="{00000000-0005-0000-0000-0000515D0000}"/>
    <cellStyle name="60% - Accent2 2 2 2 4 30" xfId="63955" xr:uid="{00000000-0005-0000-0000-0000525D0000}"/>
    <cellStyle name="60% - Accent2 2 2 2 4 4" xfId="6730" xr:uid="{00000000-0005-0000-0000-0000535D0000}"/>
    <cellStyle name="60% - Accent2 2 2 2 4 4 2" xfId="21879" xr:uid="{00000000-0005-0000-0000-0000545D0000}"/>
    <cellStyle name="60% - Accent2 2 2 2 4 5" xfId="8413" xr:uid="{00000000-0005-0000-0000-0000555D0000}"/>
    <cellStyle name="60% - Accent2 2 2 2 4 5 2" xfId="23562" xr:uid="{00000000-0005-0000-0000-0000565D0000}"/>
    <cellStyle name="60% - Accent2 2 2 2 4 6" xfId="10096" xr:uid="{00000000-0005-0000-0000-0000575D0000}"/>
    <cellStyle name="60% - Accent2 2 2 2 4 6 2" xfId="25245" xr:uid="{00000000-0005-0000-0000-0000585D0000}"/>
    <cellStyle name="60% - Accent2 2 2 2 4 7" xfId="11779" xr:uid="{00000000-0005-0000-0000-0000595D0000}"/>
    <cellStyle name="60% - Accent2 2 2 2 4 7 2" xfId="26928" xr:uid="{00000000-0005-0000-0000-00005A5D0000}"/>
    <cellStyle name="60% - Accent2 2 2 2 4 8" xfId="13463" xr:uid="{00000000-0005-0000-0000-00005B5D0000}"/>
    <cellStyle name="60% - Accent2 2 2 2 4 8 2" xfId="28612" xr:uid="{00000000-0005-0000-0000-00005C5D0000}"/>
    <cellStyle name="60% - Accent2 2 2 2 4 9" xfId="15146" xr:uid="{00000000-0005-0000-0000-00005D5D0000}"/>
    <cellStyle name="60% - Accent2 2 2 2 4 9 2" xfId="30295" xr:uid="{00000000-0005-0000-0000-00005E5D0000}"/>
    <cellStyle name="60% - Accent2 2 2 2 5" xfId="2101" xr:uid="{00000000-0005-0000-0000-00005F5D0000}"/>
    <cellStyle name="60% - Accent2 2 2 2 5 2" xfId="17250" xr:uid="{00000000-0005-0000-0000-0000605D0000}"/>
    <cellStyle name="60% - Accent2 2 2 2 6" xfId="3785" xr:uid="{00000000-0005-0000-0000-0000615D0000}"/>
    <cellStyle name="60% - Accent2 2 2 2 6 2" xfId="18934" xr:uid="{00000000-0005-0000-0000-0000625D0000}"/>
    <cellStyle name="60% - Accent2 2 2 2 7" xfId="5468" xr:uid="{00000000-0005-0000-0000-0000635D0000}"/>
    <cellStyle name="60% - Accent2 2 2 2 7 2" xfId="20617" xr:uid="{00000000-0005-0000-0000-0000645D0000}"/>
    <cellStyle name="60% - Accent2 2 2 2 8" xfId="7151" xr:uid="{00000000-0005-0000-0000-0000655D0000}"/>
    <cellStyle name="60% - Accent2 2 2 2 8 2" xfId="22300" xr:uid="{00000000-0005-0000-0000-0000665D0000}"/>
    <cellStyle name="60% - Accent2 2 2 2 9" xfId="8834" xr:uid="{00000000-0005-0000-0000-0000675D0000}"/>
    <cellStyle name="60% - Accent2 2 2 2 9 2" xfId="23983" xr:uid="{00000000-0005-0000-0000-0000685D0000}"/>
    <cellStyle name="60% - Accent2 2 2 20" xfId="38921" xr:uid="{00000000-0005-0000-0000-0000695D0000}"/>
    <cellStyle name="60% - Accent2 2 2 21" xfId="40604" xr:uid="{00000000-0005-0000-0000-00006A5D0000}"/>
    <cellStyle name="60% - Accent2 2 2 22" xfId="42287" xr:uid="{00000000-0005-0000-0000-00006B5D0000}"/>
    <cellStyle name="60% - Accent2 2 2 23" xfId="43970" xr:uid="{00000000-0005-0000-0000-00006C5D0000}"/>
    <cellStyle name="60% - Accent2 2 2 24" xfId="45653" xr:uid="{00000000-0005-0000-0000-00006D5D0000}"/>
    <cellStyle name="60% - Accent2 2 2 25" xfId="47336" xr:uid="{00000000-0005-0000-0000-00006E5D0000}"/>
    <cellStyle name="60% - Accent2 2 2 26" xfId="49019" xr:uid="{00000000-0005-0000-0000-00006F5D0000}"/>
    <cellStyle name="60% - Accent2 2 2 27" xfId="50702" xr:uid="{00000000-0005-0000-0000-0000705D0000}"/>
    <cellStyle name="60% - Accent2 2 2 28" xfId="52385" xr:uid="{00000000-0005-0000-0000-0000715D0000}"/>
    <cellStyle name="60% - Accent2 2 2 29" xfId="54068" xr:uid="{00000000-0005-0000-0000-0000725D0000}"/>
    <cellStyle name="60% - Accent2 2 2 3" xfId="628" xr:uid="{00000000-0005-0000-0000-0000735D0000}"/>
    <cellStyle name="60% - Accent2 2 2 3 10" xfId="15777" xr:uid="{00000000-0005-0000-0000-0000745D0000}"/>
    <cellStyle name="60% - Accent2 2 2 3 11" xfId="30926" xr:uid="{00000000-0005-0000-0000-0000755D0000}"/>
    <cellStyle name="60% - Accent2 2 2 3 12" xfId="32609" xr:uid="{00000000-0005-0000-0000-0000765D0000}"/>
    <cellStyle name="60% - Accent2 2 2 3 13" xfId="34292" xr:uid="{00000000-0005-0000-0000-0000775D0000}"/>
    <cellStyle name="60% - Accent2 2 2 3 14" xfId="35975" xr:uid="{00000000-0005-0000-0000-0000785D0000}"/>
    <cellStyle name="60% - Accent2 2 2 3 15" xfId="37658" xr:uid="{00000000-0005-0000-0000-0000795D0000}"/>
    <cellStyle name="60% - Accent2 2 2 3 16" xfId="39341" xr:uid="{00000000-0005-0000-0000-00007A5D0000}"/>
    <cellStyle name="60% - Accent2 2 2 3 17" xfId="41024" xr:uid="{00000000-0005-0000-0000-00007B5D0000}"/>
    <cellStyle name="60% - Accent2 2 2 3 18" xfId="42707" xr:uid="{00000000-0005-0000-0000-00007C5D0000}"/>
    <cellStyle name="60% - Accent2 2 2 3 19" xfId="44390" xr:uid="{00000000-0005-0000-0000-00007D5D0000}"/>
    <cellStyle name="60% - Accent2 2 2 3 2" xfId="2311" xr:uid="{00000000-0005-0000-0000-00007E5D0000}"/>
    <cellStyle name="60% - Accent2 2 2 3 2 2" xfId="17460" xr:uid="{00000000-0005-0000-0000-00007F5D0000}"/>
    <cellStyle name="60% - Accent2 2 2 3 20" xfId="46073" xr:uid="{00000000-0005-0000-0000-0000805D0000}"/>
    <cellStyle name="60% - Accent2 2 2 3 21" xfId="47756" xr:uid="{00000000-0005-0000-0000-0000815D0000}"/>
    <cellStyle name="60% - Accent2 2 2 3 22" xfId="49439" xr:uid="{00000000-0005-0000-0000-0000825D0000}"/>
    <cellStyle name="60% - Accent2 2 2 3 23" xfId="51122" xr:uid="{00000000-0005-0000-0000-0000835D0000}"/>
    <cellStyle name="60% - Accent2 2 2 3 24" xfId="52805" xr:uid="{00000000-0005-0000-0000-0000845D0000}"/>
    <cellStyle name="60% - Accent2 2 2 3 25" xfId="54488" xr:uid="{00000000-0005-0000-0000-0000855D0000}"/>
    <cellStyle name="60% - Accent2 2 2 3 26" xfId="56171" xr:uid="{00000000-0005-0000-0000-0000865D0000}"/>
    <cellStyle name="60% - Accent2 2 2 3 27" xfId="57854" xr:uid="{00000000-0005-0000-0000-0000875D0000}"/>
    <cellStyle name="60% - Accent2 2 2 3 28" xfId="59537" xr:uid="{00000000-0005-0000-0000-0000885D0000}"/>
    <cellStyle name="60% - Accent2 2 2 3 29" xfId="61220" xr:uid="{00000000-0005-0000-0000-0000895D0000}"/>
    <cellStyle name="60% - Accent2 2 2 3 3" xfId="3995" xr:uid="{00000000-0005-0000-0000-00008A5D0000}"/>
    <cellStyle name="60% - Accent2 2 2 3 3 2" xfId="19144" xr:uid="{00000000-0005-0000-0000-00008B5D0000}"/>
    <cellStyle name="60% - Accent2 2 2 3 30" xfId="62903" xr:uid="{00000000-0005-0000-0000-00008C5D0000}"/>
    <cellStyle name="60% - Accent2 2 2 3 4" xfId="5678" xr:uid="{00000000-0005-0000-0000-00008D5D0000}"/>
    <cellStyle name="60% - Accent2 2 2 3 4 2" xfId="20827" xr:uid="{00000000-0005-0000-0000-00008E5D0000}"/>
    <cellStyle name="60% - Accent2 2 2 3 5" xfId="7361" xr:uid="{00000000-0005-0000-0000-00008F5D0000}"/>
    <cellStyle name="60% - Accent2 2 2 3 5 2" xfId="22510" xr:uid="{00000000-0005-0000-0000-0000905D0000}"/>
    <cellStyle name="60% - Accent2 2 2 3 6" xfId="9044" xr:uid="{00000000-0005-0000-0000-0000915D0000}"/>
    <cellStyle name="60% - Accent2 2 2 3 6 2" xfId="24193" xr:uid="{00000000-0005-0000-0000-0000925D0000}"/>
    <cellStyle name="60% - Accent2 2 2 3 7" xfId="10727" xr:uid="{00000000-0005-0000-0000-0000935D0000}"/>
    <cellStyle name="60% - Accent2 2 2 3 7 2" xfId="25876" xr:uid="{00000000-0005-0000-0000-0000945D0000}"/>
    <cellStyle name="60% - Accent2 2 2 3 8" xfId="12411" xr:uid="{00000000-0005-0000-0000-0000955D0000}"/>
    <cellStyle name="60% - Accent2 2 2 3 8 2" xfId="27560" xr:uid="{00000000-0005-0000-0000-0000965D0000}"/>
    <cellStyle name="60% - Accent2 2 2 3 9" xfId="14094" xr:uid="{00000000-0005-0000-0000-0000975D0000}"/>
    <cellStyle name="60% - Accent2 2 2 3 9 2" xfId="29243" xr:uid="{00000000-0005-0000-0000-0000985D0000}"/>
    <cellStyle name="60% - Accent2 2 2 30" xfId="55751" xr:uid="{00000000-0005-0000-0000-0000995D0000}"/>
    <cellStyle name="60% - Accent2 2 2 31" xfId="57434" xr:uid="{00000000-0005-0000-0000-00009A5D0000}"/>
    <cellStyle name="60% - Accent2 2 2 32" xfId="59117" xr:uid="{00000000-0005-0000-0000-00009B5D0000}"/>
    <cellStyle name="60% - Accent2 2 2 33" xfId="60800" xr:uid="{00000000-0005-0000-0000-00009C5D0000}"/>
    <cellStyle name="60% - Accent2 2 2 34" xfId="62483" xr:uid="{00000000-0005-0000-0000-00009D5D0000}"/>
    <cellStyle name="60% - Accent2 2 2 4" xfId="1049" xr:uid="{00000000-0005-0000-0000-00009E5D0000}"/>
    <cellStyle name="60% - Accent2 2 2 4 10" xfId="16198" xr:uid="{00000000-0005-0000-0000-00009F5D0000}"/>
    <cellStyle name="60% - Accent2 2 2 4 11" xfId="31347" xr:uid="{00000000-0005-0000-0000-0000A05D0000}"/>
    <cellStyle name="60% - Accent2 2 2 4 12" xfId="33030" xr:uid="{00000000-0005-0000-0000-0000A15D0000}"/>
    <cellStyle name="60% - Accent2 2 2 4 13" xfId="34713" xr:uid="{00000000-0005-0000-0000-0000A25D0000}"/>
    <cellStyle name="60% - Accent2 2 2 4 14" xfId="36396" xr:uid="{00000000-0005-0000-0000-0000A35D0000}"/>
    <cellStyle name="60% - Accent2 2 2 4 15" xfId="38079" xr:uid="{00000000-0005-0000-0000-0000A45D0000}"/>
    <cellStyle name="60% - Accent2 2 2 4 16" xfId="39762" xr:uid="{00000000-0005-0000-0000-0000A55D0000}"/>
    <cellStyle name="60% - Accent2 2 2 4 17" xfId="41445" xr:uid="{00000000-0005-0000-0000-0000A65D0000}"/>
    <cellStyle name="60% - Accent2 2 2 4 18" xfId="43128" xr:uid="{00000000-0005-0000-0000-0000A75D0000}"/>
    <cellStyle name="60% - Accent2 2 2 4 19" xfId="44811" xr:uid="{00000000-0005-0000-0000-0000A85D0000}"/>
    <cellStyle name="60% - Accent2 2 2 4 2" xfId="2732" xr:uid="{00000000-0005-0000-0000-0000A95D0000}"/>
    <cellStyle name="60% - Accent2 2 2 4 2 2" xfId="17881" xr:uid="{00000000-0005-0000-0000-0000AA5D0000}"/>
    <cellStyle name="60% - Accent2 2 2 4 20" xfId="46494" xr:uid="{00000000-0005-0000-0000-0000AB5D0000}"/>
    <cellStyle name="60% - Accent2 2 2 4 21" xfId="48177" xr:uid="{00000000-0005-0000-0000-0000AC5D0000}"/>
    <cellStyle name="60% - Accent2 2 2 4 22" xfId="49860" xr:uid="{00000000-0005-0000-0000-0000AD5D0000}"/>
    <cellStyle name="60% - Accent2 2 2 4 23" xfId="51543" xr:uid="{00000000-0005-0000-0000-0000AE5D0000}"/>
    <cellStyle name="60% - Accent2 2 2 4 24" xfId="53226" xr:uid="{00000000-0005-0000-0000-0000AF5D0000}"/>
    <cellStyle name="60% - Accent2 2 2 4 25" xfId="54909" xr:uid="{00000000-0005-0000-0000-0000B05D0000}"/>
    <cellStyle name="60% - Accent2 2 2 4 26" xfId="56592" xr:uid="{00000000-0005-0000-0000-0000B15D0000}"/>
    <cellStyle name="60% - Accent2 2 2 4 27" xfId="58275" xr:uid="{00000000-0005-0000-0000-0000B25D0000}"/>
    <cellStyle name="60% - Accent2 2 2 4 28" xfId="59958" xr:uid="{00000000-0005-0000-0000-0000B35D0000}"/>
    <cellStyle name="60% - Accent2 2 2 4 29" xfId="61641" xr:uid="{00000000-0005-0000-0000-0000B45D0000}"/>
    <cellStyle name="60% - Accent2 2 2 4 3" xfId="4416" xr:uid="{00000000-0005-0000-0000-0000B55D0000}"/>
    <cellStyle name="60% - Accent2 2 2 4 3 2" xfId="19565" xr:uid="{00000000-0005-0000-0000-0000B65D0000}"/>
    <cellStyle name="60% - Accent2 2 2 4 30" xfId="63324" xr:uid="{00000000-0005-0000-0000-0000B75D0000}"/>
    <cellStyle name="60% - Accent2 2 2 4 4" xfId="6099" xr:uid="{00000000-0005-0000-0000-0000B85D0000}"/>
    <cellStyle name="60% - Accent2 2 2 4 4 2" xfId="21248" xr:uid="{00000000-0005-0000-0000-0000B95D0000}"/>
    <cellStyle name="60% - Accent2 2 2 4 5" xfId="7782" xr:uid="{00000000-0005-0000-0000-0000BA5D0000}"/>
    <cellStyle name="60% - Accent2 2 2 4 5 2" xfId="22931" xr:uid="{00000000-0005-0000-0000-0000BB5D0000}"/>
    <cellStyle name="60% - Accent2 2 2 4 6" xfId="9465" xr:uid="{00000000-0005-0000-0000-0000BC5D0000}"/>
    <cellStyle name="60% - Accent2 2 2 4 6 2" xfId="24614" xr:uid="{00000000-0005-0000-0000-0000BD5D0000}"/>
    <cellStyle name="60% - Accent2 2 2 4 7" xfId="11148" xr:uid="{00000000-0005-0000-0000-0000BE5D0000}"/>
    <cellStyle name="60% - Accent2 2 2 4 7 2" xfId="26297" xr:uid="{00000000-0005-0000-0000-0000BF5D0000}"/>
    <cellStyle name="60% - Accent2 2 2 4 8" xfId="12832" xr:uid="{00000000-0005-0000-0000-0000C05D0000}"/>
    <cellStyle name="60% - Accent2 2 2 4 8 2" xfId="27981" xr:uid="{00000000-0005-0000-0000-0000C15D0000}"/>
    <cellStyle name="60% - Accent2 2 2 4 9" xfId="14515" xr:uid="{00000000-0005-0000-0000-0000C25D0000}"/>
    <cellStyle name="60% - Accent2 2 2 4 9 2" xfId="29664" xr:uid="{00000000-0005-0000-0000-0000C35D0000}"/>
    <cellStyle name="60% - Accent2 2 2 5" xfId="1470" xr:uid="{00000000-0005-0000-0000-0000C45D0000}"/>
    <cellStyle name="60% - Accent2 2 2 5 10" xfId="16619" xr:uid="{00000000-0005-0000-0000-0000C55D0000}"/>
    <cellStyle name="60% - Accent2 2 2 5 11" xfId="31768" xr:uid="{00000000-0005-0000-0000-0000C65D0000}"/>
    <cellStyle name="60% - Accent2 2 2 5 12" xfId="33451" xr:uid="{00000000-0005-0000-0000-0000C75D0000}"/>
    <cellStyle name="60% - Accent2 2 2 5 13" xfId="35134" xr:uid="{00000000-0005-0000-0000-0000C85D0000}"/>
    <cellStyle name="60% - Accent2 2 2 5 14" xfId="36817" xr:uid="{00000000-0005-0000-0000-0000C95D0000}"/>
    <cellStyle name="60% - Accent2 2 2 5 15" xfId="38500" xr:uid="{00000000-0005-0000-0000-0000CA5D0000}"/>
    <cellStyle name="60% - Accent2 2 2 5 16" xfId="40183" xr:uid="{00000000-0005-0000-0000-0000CB5D0000}"/>
    <cellStyle name="60% - Accent2 2 2 5 17" xfId="41866" xr:uid="{00000000-0005-0000-0000-0000CC5D0000}"/>
    <cellStyle name="60% - Accent2 2 2 5 18" xfId="43549" xr:uid="{00000000-0005-0000-0000-0000CD5D0000}"/>
    <cellStyle name="60% - Accent2 2 2 5 19" xfId="45232" xr:uid="{00000000-0005-0000-0000-0000CE5D0000}"/>
    <cellStyle name="60% - Accent2 2 2 5 2" xfId="3153" xr:uid="{00000000-0005-0000-0000-0000CF5D0000}"/>
    <cellStyle name="60% - Accent2 2 2 5 2 2" xfId="18302" xr:uid="{00000000-0005-0000-0000-0000D05D0000}"/>
    <cellStyle name="60% - Accent2 2 2 5 20" xfId="46915" xr:uid="{00000000-0005-0000-0000-0000D15D0000}"/>
    <cellStyle name="60% - Accent2 2 2 5 21" xfId="48598" xr:uid="{00000000-0005-0000-0000-0000D25D0000}"/>
    <cellStyle name="60% - Accent2 2 2 5 22" xfId="50281" xr:uid="{00000000-0005-0000-0000-0000D35D0000}"/>
    <cellStyle name="60% - Accent2 2 2 5 23" xfId="51964" xr:uid="{00000000-0005-0000-0000-0000D45D0000}"/>
    <cellStyle name="60% - Accent2 2 2 5 24" xfId="53647" xr:uid="{00000000-0005-0000-0000-0000D55D0000}"/>
    <cellStyle name="60% - Accent2 2 2 5 25" xfId="55330" xr:uid="{00000000-0005-0000-0000-0000D65D0000}"/>
    <cellStyle name="60% - Accent2 2 2 5 26" xfId="57013" xr:uid="{00000000-0005-0000-0000-0000D75D0000}"/>
    <cellStyle name="60% - Accent2 2 2 5 27" xfId="58696" xr:uid="{00000000-0005-0000-0000-0000D85D0000}"/>
    <cellStyle name="60% - Accent2 2 2 5 28" xfId="60379" xr:uid="{00000000-0005-0000-0000-0000D95D0000}"/>
    <cellStyle name="60% - Accent2 2 2 5 29" xfId="62062" xr:uid="{00000000-0005-0000-0000-0000DA5D0000}"/>
    <cellStyle name="60% - Accent2 2 2 5 3" xfId="4837" xr:uid="{00000000-0005-0000-0000-0000DB5D0000}"/>
    <cellStyle name="60% - Accent2 2 2 5 3 2" xfId="19986" xr:uid="{00000000-0005-0000-0000-0000DC5D0000}"/>
    <cellStyle name="60% - Accent2 2 2 5 30" xfId="63745" xr:uid="{00000000-0005-0000-0000-0000DD5D0000}"/>
    <cellStyle name="60% - Accent2 2 2 5 4" xfId="6520" xr:uid="{00000000-0005-0000-0000-0000DE5D0000}"/>
    <cellStyle name="60% - Accent2 2 2 5 4 2" xfId="21669" xr:uid="{00000000-0005-0000-0000-0000DF5D0000}"/>
    <cellStyle name="60% - Accent2 2 2 5 5" xfId="8203" xr:uid="{00000000-0005-0000-0000-0000E05D0000}"/>
    <cellStyle name="60% - Accent2 2 2 5 5 2" xfId="23352" xr:uid="{00000000-0005-0000-0000-0000E15D0000}"/>
    <cellStyle name="60% - Accent2 2 2 5 6" xfId="9886" xr:uid="{00000000-0005-0000-0000-0000E25D0000}"/>
    <cellStyle name="60% - Accent2 2 2 5 6 2" xfId="25035" xr:uid="{00000000-0005-0000-0000-0000E35D0000}"/>
    <cellStyle name="60% - Accent2 2 2 5 7" xfId="11569" xr:uid="{00000000-0005-0000-0000-0000E45D0000}"/>
    <cellStyle name="60% - Accent2 2 2 5 7 2" xfId="26718" xr:uid="{00000000-0005-0000-0000-0000E55D0000}"/>
    <cellStyle name="60% - Accent2 2 2 5 8" xfId="13253" xr:uid="{00000000-0005-0000-0000-0000E65D0000}"/>
    <cellStyle name="60% - Accent2 2 2 5 8 2" xfId="28402" xr:uid="{00000000-0005-0000-0000-0000E75D0000}"/>
    <cellStyle name="60% - Accent2 2 2 5 9" xfId="14936" xr:uid="{00000000-0005-0000-0000-0000E85D0000}"/>
    <cellStyle name="60% - Accent2 2 2 5 9 2" xfId="30085" xr:uid="{00000000-0005-0000-0000-0000E95D0000}"/>
    <cellStyle name="60% - Accent2 2 2 6" xfId="1891" xr:uid="{00000000-0005-0000-0000-0000EA5D0000}"/>
    <cellStyle name="60% - Accent2 2 2 6 2" xfId="17040" xr:uid="{00000000-0005-0000-0000-0000EB5D0000}"/>
    <cellStyle name="60% - Accent2 2 2 7" xfId="3575" xr:uid="{00000000-0005-0000-0000-0000EC5D0000}"/>
    <cellStyle name="60% - Accent2 2 2 7 2" xfId="18724" xr:uid="{00000000-0005-0000-0000-0000ED5D0000}"/>
    <cellStyle name="60% - Accent2 2 2 8" xfId="5258" xr:uid="{00000000-0005-0000-0000-0000EE5D0000}"/>
    <cellStyle name="60% - Accent2 2 2 8 2" xfId="20407" xr:uid="{00000000-0005-0000-0000-0000EF5D0000}"/>
    <cellStyle name="60% - Accent2 2 2 9" xfId="6941" xr:uid="{00000000-0005-0000-0000-0000F05D0000}"/>
    <cellStyle name="60% - Accent2 2 2 9 2" xfId="22090" xr:uid="{00000000-0005-0000-0000-0000F15D0000}"/>
    <cellStyle name="60% - Accent2 2 20" xfId="37133" xr:uid="{00000000-0005-0000-0000-0000F25D0000}"/>
    <cellStyle name="60% - Accent2 2 21" xfId="38816" xr:uid="{00000000-0005-0000-0000-0000F35D0000}"/>
    <cellStyle name="60% - Accent2 2 22" xfId="40499" xr:uid="{00000000-0005-0000-0000-0000F45D0000}"/>
    <cellStyle name="60% - Accent2 2 23" xfId="42182" xr:uid="{00000000-0005-0000-0000-0000F55D0000}"/>
    <cellStyle name="60% - Accent2 2 24" xfId="43865" xr:uid="{00000000-0005-0000-0000-0000F65D0000}"/>
    <cellStyle name="60% - Accent2 2 25" xfId="45548" xr:uid="{00000000-0005-0000-0000-0000F75D0000}"/>
    <cellStyle name="60% - Accent2 2 26" xfId="47231" xr:uid="{00000000-0005-0000-0000-0000F85D0000}"/>
    <cellStyle name="60% - Accent2 2 27" xfId="48914" xr:uid="{00000000-0005-0000-0000-0000F95D0000}"/>
    <cellStyle name="60% - Accent2 2 28" xfId="50597" xr:uid="{00000000-0005-0000-0000-0000FA5D0000}"/>
    <cellStyle name="60% - Accent2 2 29" xfId="52280" xr:uid="{00000000-0005-0000-0000-0000FB5D0000}"/>
    <cellStyle name="60% - Accent2 2 3" xfId="313" xr:uid="{00000000-0005-0000-0000-0000FC5D0000}"/>
    <cellStyle name="60% - Accent2 2 3 10" xfId="10412" xr:uid="{00000000-0005-0000-0000-0000FD5D0000}"/>
    <cellStyle name="60% - Accent2 2 3 10 2" xfId="25561" xr:uid="{00000000-0005-0000-0000-0000FE5D0000}"/>
    <cellStyle name="60% - Accent2 2 3 11" xfId="12096" xr:uid="{00000000-0005-0000-0000-0000FF5D0000}"/>
    <cellStyle name="60% - Accent2 2 3 11 2" xfId="27245" xr:uid="{00000000-0005-0000-0000-0000005E0000}"/>
    <cellStyle name="60% - Accent2 2 3 12" xfId="13779" xr:uid="{00000000-0005-0000-0000-0000015E0000}"/>
    <cellStyle name="60% - Accent2 2 3 12 2" xfId="28928" xr:uid="{00000000-0005-0000-0000-0000025E0000}"/>
    <cellStyle name="60% - Accent2 2 3 13" xfId="15462" xr:uid="{00000000-0005-0000-0000-0000035E0000}"/>
    <cellStyle name="60% - Accent2 2 3 14" xfId="30611" xr:uid="{00000000-0005-0000-0000-0000045E0000}"/>
    <cellStyle name="60% - Accent2 2 3 15" xfId="32294" xr:uid="{00000000-0005-0000-0000-0000055E0000}"/>
    <cellStyle name="60% - Accent2 2 3 16" xfId="33977" xr:uid="{00000000-0005-0000-0000-0000065E0000}"/>
    <cellStyle name="60% - Accent2 2 3 17" xfId="35660" xr:uid="{00000000-0005-0000-0000-0000075E0000}"/>
    <cellStyle name="60% - Accent2 2 3 18" xfId="37343" xr:uid="{00000000-0005-0000-0000-0000085E0000}"/>
    <cellStyle name="60% - Accent2 2 3 19" xfId="39026" xr:uid="{00000000-0005-0000-0000-0000095E0000}"/>
    <cellStyle name="60% - Accent2 2 3 2" xfId="733" xr:uid="{00000000-0005-0000-0000-00000A5E0000}"/>
    <cellStyle name="60% - Accent2 2 3 2 10" xfId="15882" xr:uid="{00000000-0005-0000-0000-00000B5E0000}"/>
    <cellStyle name="60% - Accent2 2 3 2 11" xfId="31031" xr:uid="{00000000-0005-0000-0000-00000C5E0000}"/>
    <cellStyle name="60% - Accent2 2 3 2 12" xfId="32714" xr:uid="{00000000-0005-0000-0000-00000D5E0000}"/>
    <cellStyle name="60% - Accent2 2 3 2 13" xfId="34397" xr:uid="{00000000-0005-0000-0000-00000E5E0000}"/>
    <cellStyle name="60% - Accent2 2 3 2 14" xfId="36080" xr:uid="{00000000-0005-0000-0000-00000F5E0000}"/>
    <cellStyle name="60% - Accent2 2 3 2 15" xfId="37763" xr:uid="{00000000-0005-0000-0000-0000105E0000}"/>
    <cellStyle name="60% - Accent2 2 3 2 16" xfId="39446" xr:uid="{00000000-0005-0000-0000-0000115E0000}"/>
    <cellStyle name="60% - Accent2 2 3 2 17" xfId="41129" xr:uid="{00000000-0005-0000-0000-0000125E0000}"/>
    <cellStyle name="60% - Accent2 2 3 2 18" xfId="42812" xr:uid="{00000000-0005-0000-0000-0000135E0000}"/>
    <cellStyle name="60% - Accent2 2 3 2 19" xfId="44495" xr:uid="{00000000-0005-0000-0000-0000145E0000}"/>
    <cellStyle name="60% - Accent2 2 3 2 2" xfId="2416" xr:uid="{00000000-0005-0000-0000-0000155E0000}"/>
    <cellStyle name="60% - Accent2 2 3 2 2 2" xfId="17565" xr:uid="{00000000-0005-0000-0000-0000165E0000}"/>
    <cellStyle name="60% - Accent2 2 3 2 20" xfId="46178" xr:uid="{00000000-0005-0000-0000-0000175E0000}"/>
    <cellStyle name="60% - Accent2 2 3 2 21" xfId="47861" xr:uid="{00000000-0005-0000-0000-0000185E0000}"/>
    <cellStyle name="60% - Accent2 2 3 2 22" xfId="49544" xr:uid="{00000000-0005-0000-0000-0000195E0000}"/>
    <cellStyle name="60% - Accent2 2 3 2 23" xfId="51227" xr:uid="{00000000-0005-0000-0000-00001A5E0000}"/>
    <cellStyle name="60% - Accent2 2 3 2 24" xfId="52910" xr:uid="{00000000-0005-0000-0000-00001B5E0000}"/>
    <cellStyle name="60% - Accent2 2 3 2 25" xfId="54593" xr:uid="{00000000-0005-0000-0000-00001C5E0000}"/>
    <cellStyle name="60% - Accent2 2 3 2 26" xfId="56276" xr:uid="{00000000-0005-0000-0000-00001D5E0000}"/>
    <cellStyle name="60% - Accent2 2 3 2 27" xfId="57959" xr:uid="{00000000-0005-0000-0000-00001E5E0000}"/>
    <cellStyle name="60% - Accent2 2 3 2 28" xfId="59642" xr:uid="{00000000-0005-0000-0000-00001F5E0000}"/>
    <cellStyle name="60% - Accent2 2 3 2 29" xfId="61325" xr:uid="{00000000-0005-0000-0000-0000205E0000}"/>
    <cellStyle name="60% - Accent2 2 3 2 3" xfId="4100" xr:uid="{00000000-0005-0000-0000-0000215E0000}"/>
    <cellStyle name="60% - Accent2 2 3 2 3 2" xfId="19249" xr:uid="{00000000-0005-0000-0000-0000225E0000}"/>
    <cellStyle name="60% - Accent2 2 3 2 30" xfId="63008" xr:uid="{00000000-0005-0000-0000-0000235E0000}"/>
    <cellStyle name="60% - Accent2 2 3 2 4" xfId="5783" xr:uid="{00000000-0005-0000-0000-0000245E0000}"/>
    <cellStyle name="60% - Accent2 2 3 2 4 2" xfId="20932" xr:uid="{00000000-0005-0000-0000-0000255E0000}"/>
    <cellStyle name="60% - Accent2 2 3 2 5" xfId="7466" xr:uid="{00000000-0005-0000-0000-0000265E0000}"/>
    <cellStyle name="60% - Accent2 2 3 2 5 2" xfId="22615" xr:uid="{00000000-0005-0000-0000-0000275E0000}"/>
    <cellStyle name="60% - Accent2 2 3 2 6" xfId="9149" xr:uid="{00000000-0005-0000-0000-0000285E0000}"/>
    <cellStyle name="60% - Accent2 2 3 2 6 2" xfId="24298" xr:uid="{00000000-0005-0000-0000-0000295E0000}"/>
    <cellStyle name="60% - Accent2 2 3 2 7" xfId="10832" xr:uid="{00000000-0005-0000-0000-00002A5E0000}"/>
    <cellStyle name="60% - Accent2 2 3 2 7 2" xfId="25981" xr:uid="{00000000-0005-0000-0000-00002B5E0000}"/>
    <cellStyle name="60% - Accent2 2 3 2 8" xfId="12516" xr:uid="{00000000-0005-0000-0000-00002C5E0000}"/>
    <cellStyle name="60% - Accent2 2 3 2 8 2" xfId="27665" xr:uid="{00000000-0005-0000-0000-00002D5E0000}"/>
    <cellStyle name="60% - Accent2 2 3 2 9" xfId="14199" xr:uid="{00000000-0005-0000-0000-00002E5E0000}"/>
    <cellStyle name="60% - Accent2 2 3 2 9 2" xfId="29348" xr:uid="{00000000-0005-0000-0000-00002F5E0000}"/>
    <cellStyle name="60% - Accent2 2 3 20" xfId="40709" xr:uid="{00000000-0005-0000-0000-0000305E0000}"/>
    <cellStyle name="60% - Accent2 2 3 21" xfId="42392" xr:uid="{00000000-0005-0000-0000-0000315E0000}"/>
    <cellStyle name="60% - Accent2 2 3 22" xfId="44075" xr:uid="{00000000-0005-0000-0000-0000325E0000}"/>
    <cellStyle name="60% - Accent2 2 3 23" xfId="45758" xr:uid="{00000000-0005-0000-0000-0000335E0000}"/>
    <cellStyle name="60% - Accent2 2 3 24" xfId="47441" xr:uid="{00000000-0005-0000-0000-0000345E0000}"/>
    <cellStyle name="60% - Accent2 2 3 25" xfId="49124" xr:uid="{00000000-0005-0000-0000-0000355E0000}"/>
    <cellStyle name="60% - Accent2 2 3 26" xfId="50807" xr:uid="{00000000-0005-0000-0000-0000365E0000}"/>
    <cellStyle name="60% - Accent2 2 3 27" xfId="52490" xr:uid="{00000000-0005-0000-0000-0000375E0000}"/>
    <cellStyle name="60% - Accent2 2 3 28" xfId="54173" xr:uid="{00000000-0005-0000-0000-0000385E0000}"/>
    <cellStyle name="60% - Accent2 2 3 29" xfId="55856" xr:uid="{00000000-0005-0000-0000-0000395E0000}"/>
    <cellStyle name="60% - Accent2 2 3 3" xfId="1154" xr:uid="{00000000-0005-0000-0000-00003A5E0000}"/>
    <cellStyle name="60% - Accent2 2 3 3 10" xfId="16303" xr:uid="{00000000-0005-0000-0000-00003B5E0000}"/>
    <cellStyle name="60% - Accent2 2 3 3 11" xfId="31452" xr:uid="{00000000-0005-0000-0000-00003C5E0000}"/>
    <cellStyle name="60% - Accent2 2 3 3 12" xfId="33135" xr:uid="{00000000-0005-0000-0000-00003D5E0000}"/>
    <cellStyle name="60% - Accent2 2 3 3 13" xfId="34818" xr:uid="{00000000-0005-0000-0000-00003E5E0000}"/>
    <cellStyle name="60% - Accent2 2 3 3 14" xfId="36501" xr:uid="{00000000-0005-0000-0000-00003F5E0000}"/>
    <cellStyle name="60% - Accent2 2 3 3 15" xfId="38184" xr:uid="{00000000-0005-0000-0000-0000405E0000}"/>
    <cellStyle name="60% - Accent2 2 3 3 16" xfId="39867" xr:uid="{00000000-0005-0000-0000-0000415E0000}"/>
    <cellStyle name="60% - Accent2 2 3 3 17" xfId="41550" xr:uid="{00000000-0005-0000-0000-0000425E0000}"/>
    <cellStyle name="60% - Accent2 2 3 3 18" xfId="43233" xr:uid="{00000000-0005-0000-0000-0000435E0000}"/>
    <cellStyle name="60% - Accent2 2 3 3 19" xfId="44916" xr:uid="{00000000-0005-0000-0000-0000445E0000}"/>
    <cellStyle name="60% - Accent2 2 3 3 2" xfId="2837" xr:uid="{00000000-0005-0000-0000-0000455E0000}"/>
    <cellStyle name="60% - Accent2 2 3 3 2 2" xfId="17986" xr:uid="{00000000-0005-0000-0000-0000465E0000}"/>
    <cellStyle name="60% - Accent2 2 3 3 20" xfId="46599" xr:uid="{00000000-0005-0000-0000-0000475E0000}"/>
    <cellStyle name="60% - Accent2 2 3 3 21" xfId="48282" xr:uid="{00000000-0005-0000-0000-0000485E0000}"/>
    <cellStyle name="60% - Accent2 2 3 3 22" xfId="49965" xr:uid="{00000000-0005-0000-0000-0000495E0000}"/>
    <cellStyle name="60% - Accent2 2 3 3 23" xfId="51648" xr:uid="{00000000-0005-0000-0000-00004A5E0000}"/>
    <cellStyle name="60% - Accent2 2 3 3 24" xfId="53331" xr:uid="{00000000-0005-0000-0000-00004B5E0000}"/>
    <cellStyle name="60% - Accent2 2 3 3 25" xfId="55014" xr:uid="{00000000-0005-0000-0000-00004C5E0000}"/>
    <cellStyle name="60% - Accent2 2 3 3 26" xfId="56697" xr:uid="{00000000-0005-0000-0000-00004D5E0000}"/>
    <cellStyle name="60% - Accent2 2 3 3 27" xfId="58380" xr:uid="{00000000-0005-0000-0000-00004E5E0000}"/>
    <cellStyle name="60% - Accent2 2 3 3 28" xfId="60063" xr:uid="{00000000-0005-0000-0000-00004F5E0000}"/>
    <cellStyle name="60% - Accent2 2 3 3 29" xfId="61746" xr:uid="{00000000-0005-0000-0000-0000505E0000}"/>
    <cellStyle name="60% - Accent2 2 3 3 3" xfId="4521" xr:uid="{00000000-0005-0000-0000-0000515E0000}"/>
    <cellStyle name="60% - Accent2 2 3 3 3 2" xfId="19670" xr:uid="{00000000-0005-0000-0000-0000525E0000}"/>
    <cellStyle name="60% - Accent2 2 3 3 30" xfId="63429" xr:uid="{00000000-0005-0000-0000-0000535E0000}"/>
    <cellStyle name="60% - Accent2 2 3 3 4" xfId="6204" xr:uid="{00000000-0005-0000-0000-0000545E0000}"/>
    <cellStyle name="60% - Accent2 2 3 3 4 2" xfId="21353" xr:uid="{00000000-0005-0000-0000-0000555E0000}"/>
    <cellStyle name="60% - Accent2 2 3 3 5" xfId="7887" xr:uid="{00000000-0005-0000-0000-0000565E0000}"/>
    <cellStyle name="60% - Accent2 2 3 3 5 2" xfId="23036" xr:uid="{00000000-0005-0000-0000-0000575E0000}"/>
    <cellStyle name="60% - Accent2 2 3 3 6" xfId="9570" xr:uid="{00000000-0005-0000-0000-0000585E0000}"/>
    <cellStyle name="60% - Accent2 2 3 3 6 2" xfId="24719" xr:uid="{00000000-0005-0000-0000-0000595E0000}"/>
    <cellStyle name="60% - Accent2 2 3 3 7" xfId="11253" xr:uid="{00000000-0005-0000-0000-00005A5E0000}"/>
    <cellStyle name="60% - Accent2 2 3 3 7 2" xfId="26402" xr:uid="{00000000-0005-0000-0000-00005B5E0000}"/>
    <cellStyle name="60% - Accent2 2 3 3 8" xfId="12937" xr:uid="{00000000-0005-0000-0000-00005C5E0000}"/>
    <cellStyle name="60% - Accent2 2 3 3 8 2" xfId="28086" xr:uid="{00000000-0005-0000-0000-00005D5E0000}"/>
    <cellStyle name="60% - Accent2 2 3 3 9" xfId="14620" xr:uid="{00000000-0005-0000-0000-00005E5E0000}"/>
    <cellStyle name="60% - Accent2 2 3 3 9 2" xfId="29769" xr:uid="{00000000-0005-0000-0000-00005F5E0000}"/>
    <cellStyle name="60% - Accent2 2 3 30" xfId="57539" xr:uid="{00000000-0005-0000-0000-0000605E0000}"/>
    <cellStyle name="60% - Accent2 2 3 31" xfId="59222" xr:uid="{00000000-0005-0000-0000-0000615E0000}"/>
    <cellStyle name="60% - Accent2 2 3 32" xfId="60905" xr:uid="{00000000-0005-0000-0000-0000625E0000}"/>
    <cellStyle name="60% - Accent2 2 3 33" xfId="62588" xr:uid="{00000000-0005-0000-0000-0000635E0000}"/>
    <cellStyle name="60% - Accent2 2 3 4" xfId="1575" xr:uid="{00000000-0005-0000-0000-0000645E0000}"/>
    <cellStyle name="60% - Accent2 2 3 4 10" xfId="16724" xr:uid="{00000000-0005-0000-0000-0000655E0000}"/>
    <cellStyle name="60% - Accent2 2 3 4 11" xfId="31873" xr:uid="{00000000-0005-0000-0000-0000665E0000}"/>
    <cellStyle name="60% - Accent2 2 3 4 12" xfId="33556" xr:uid="{00000000-0005-0000-0000-0000675E0000}"/>
    <cellStyle name="60% - Accent2 2 3 4 13" xfId="35239" xr:uid="{00000000-0005-0000-0000-0000685E0000}"/>
    <cellStyle name="60% - Accent2 2 3 4 14" xfId="36922" xr:uid="{00000000-0005-0000-0000-0000695E0000}"/>
    <cellStyle name="60% - Accent2 2 3 4 15" xfId="38605" xr:uid="{00000000-0005-0000-0000-00006A5E0000}"/>
    <cellStyle name="60% - Accent2 2 3 4 16" xfId="40288" xr:uid="{00000000-0005-0000-0000-00006B5E0000}"/>
    <cellStyle name="60% - Accent2 2 3 4 17" xfId="41971" xr:uid="{00000000-0005-0000-0000-00006C5E0000}"/>
    <cellStyle name="60% - Accent2 2 3 4 18" xfId="43654" xr:uid="{00000000-0005-0000-0000-00006D5E0000}"/>
    <cellStyle name="60% - Accent2 2 3 4 19" xfId="45337" xr:uid="{00000000-0005-0000-0000-00006E5E0000}"/>
    <cellStyle name="60% - Accent2 2 3 4 2" xfId="3258" xr:uid="{00000000-0005-0000-0000-00006F5E0000}"/>
    <cellStyle name="60% - Accent2 2 3 4 2 2" xfId="18407" xr:uid="{00000000-0005-0000-0000-0000705E0000}"/>
    <cellStyle name="60% - Accent2 2 3 4 20" xfId="47020" xr:uid="{00000000-0005-0000-0000-0000715E0000}"/>
    <cellStyle name="60% - Accent2 2 3 4 21" xfId="48703" xr:uid="{00000000-0005-0000-0000-0000725E0000}"/>
    <cellStyle name="60% - Accent2 2 3 4 22" xfId="50386" xr:uid="{00000000-0005-0000-0000-0000735E0000}"/>
    <cellStyle name="60% - Accent2 2 3 4 23" xfId="52069" xr:uid="{00000000-0005-0000-0000-0000745E0000}"/>
    <cellStyle name="60% - Accent2 2 3 4 24" xfId="53752" xr:uid="{00000000-0005-0000-0000-0000755E0000}"/>
    <cellStyle name="60% - Accent2 2 3 4 25" xfId="55435" xr:uid="{00000000-0005-0000-0000-0000765E0000}"/>
    <cellStyle name="60% - Accent2 2 3 4 26" xfId="57118" xr:uid="{00000000-0005-0000-0000-0000775E0000}"/>
    <cellStyle name="60% - Accent2 2 3 4 27" xfId="58801" xr:uid="{00000000-0005-0000-0000-0000785E0000}"/>
    <cellStyle name="60% - Accent2 2 3 4 28" xfId="60484" xr:uid="{00000000-0005-0000-0000-0000795E0000}"/>
    <cellStyle name="60% - Accent2 2 3 4 29" xfId="62167" xr:uid="{00000000-0005-0000-0000-00007A5E0000}"/>
    <cellStyle name="60% - Accent2 2 3 4 3" xfId="4942" xr:uid="{00000000-0005-0000-0000-00007B5E0000}"/>
    <cellStyle name="60% - Accent2 2 3 4 3 2" xfId="20091" xr:uid="{00000000-0005-0000-0000-00007C5E0000}"/>
    <cellStyle name="60% - Accent2 2 3 4 30" xfId="63850" xr:uid="{00000000-0005-0000-0000-00007D5E0000}"/>
    <cellStyle name="60% - Accent2 2 3 4 4" xfId="6625" xr:uid="{00000000-0005-0000-0000-00007E5E0000}"/>
    <cellStyle name="60% - Accent2 2 3 4 4 2" xfId="21774" xr:uid="{00000000-0005-0000-0000-00007F5E0000}"/>
    <cellStyle name="60% - Accent2 2 3 4 5" xfId="8308" xr:uid="{00000000-0005-0000-0000-0000805E0000}"/>
    <cellStyle name="60% - Accent2 2 3 4 5 2" xfId="23457" xr:uid="{00000000-0005-0000-0000-0000815E0000}"/>
    <cellStyle name="60% - Accent2 2 3 4 6" xfId="9991" xr:uid="{00000000-0005-0000-0000-0000825E0000}"/>
    <cellStyle name="60% - Accent2 2 3 4 6 2" xfId="25140" xr:uid="{00000000-0005-0000-0000-0000835E0000}"/>
    <cellStyle name="60% - Accent2 2 3 4 7" xfId="11674" xr:uid="{00000000-0005-0000-0000-0000845E0000}"/>
    <cellStyle name="60% - Accent2 2 3 4 7 2" xfId="26823" xr:uid="{00000000-0005-0000-0000-0000855E0000}"/>
    <cellStyle name="60% - Accent2 2 3 4 8" xfId="13358" xr:uid="{00000000-0005-0000-0000-0000865E0000}"/>
    <cellStyle name="60% - Accent2 2 3 4 8 2" xfId="28507" xr:uid="{00000000-0005-0000-0000-0000875E0000}"/>
    <cellStyle name="60% - Accent2 2 3 4 9" xfId="15041" xr:uid="{00000000-0005-0000-0000-0000885E0000}"/>
    <cellStyle name="60% - Accent2 2 3 4 9 2" xfId="30190" xr:uid="{00000000-0005-0000-0000-0000895E0000}"/>
    <cellStyle name="60% - Accent2 2 3 5" xfId="1996" xr:uid="{00000000-0005-0000-0000-00008A5E0000}"/>
    <cellStyle name="60% - Accent2 2 3 5 2" xfId="17145" xr:uid="{00000000-0005-0000-0000-00008B5E0000}"/>
    <cellStyle name="60% - Accent2 2 3 6" xfId="3680" xr:uid="{00000000-0005-0000-0000-00008C5E0000}"/>
    <cellStyle name="60% - Accent2 2 3 6 2" xfId="18829" xr:uid="{00000000-0005-0000-0000-00008D5E0000}"/>
    <cellStyle name="60% - Accent2 2 3 7" xfId="5363" xr:uid="{00000000-0005-0000-0000-00008E5E0000}"/>
    <cellStyle name="60% - Accent2 2 3 7 2" xfId="20512" xr:uid="{00000000-0005-0000-0000-00008F5E0000}"/>
    <cellStyle name="60% - Accent2 2 3 8" xfId="7046" xr:uid="{00000000-0005-0000-0000-0000905E0000}"/>
    <cellStyle name="60% - Accent2 2 3 8 2" xfId="22195" xr:uid="{00000000-0005-0000-0000-0000915E0000}"/>
    <cellStyle name="60% - Accent2 2 3 9" xfId="8729" xr:uid="{00000000-0005-0000-0000-0000925E0000}"/>
    <cellStyle name="60% - Accent2 2 3 9 2" xfId="23878" xr:uid="{00000000-0005-0000-0000-0000935E0000}"/>
    <cellStyle name="60% - Accent2 2 30" xfId="53963" xr:uid="{00000000-0005-0000-0000-0000945E0000}"/>
    <cellStyle name="60% - Accent2 2 31" xfId="55646" xr:uid="{00000000-0005-0000-0000-0000955E0000}"/>
    <cellStyle name="60% - Accent2 2 32" xfId="57329" xr:uid="{00000000-0005-0000-0000-0000965E0000}"/>
    <cellStyle name="60% - Accent2 2 33" xfId="59012" xr:uid="{00000000-0005-0000-0000-0000975E0000}"/>
    <cellStyle name="60% - Accent2 2 34" xfId="60695" xr:uid="{00000000-0005-0000-0000-0000985E0000}"/>
    <cellStyle name="60% - Accent2 2 35" xfId="62378" xr:uid="{00000000-0005-0000-0000-0000995E0000}"/>
    <cellStyle name="60% - Accent2 2 4" xfId="523" xr:uid="{00000000-0005-0000-0000-00009A5E0000}"/>
    <cellStyle name="60% - Accent2 2 4 10" xfId="15672" xr:uid="{00000000-0005-0000-0000-00009B5E0000}"/>
    <cellStyle name="60% - Accent2 2 4 11" xfId="30821" xr:uid="{00000000-0005-0000-0000-00009C5E0000}"/>
    <cellStyle name="60% - Accent2 2 4 12" xfId="32504" xr:uid="{00000000-0005-0000-0000-00009D5E0000}"/>
    <cellStyle name="60% - Accent2 2 4 13" xfId="34187" xr:uid="{00000000-0005-0000-0000-00009E5E0000}"/>
    <cellStyle name="60% - Accent2 2 4 14" xfId="35870" xr:uid="{00000000-0005-0000-0000-00009F5E0000}"/>
    <cellStyle name="60% - Accent2 2 4 15" xfId="37553" xr:uid="{00000000-0005-0000-0000-0000A05E0000}"/>
    <cellStyle name="60% - Accent2 2 4 16" xfId="39236" xr:uid="{00000000-0005-0000-0000-0000A15E0000}"/>
    <cellStyle name="60% - Accent2 2 4 17" xfId="40919" xr:uid="{00000000-0005-0000-0000-0000A25E0000}"/>
    <cellStyle name="60% - Accent2 2 4 18" xfId="42602" xr:uid="{00000000-0005-0000-0000-0000A35E0000}"/>
    <cellStyle name="60% - Accent2 2 4 19" xfId="44285" xr:uid="{00000000-0005-0000-0000-0000A45E0000}"/>
    <cellStyle name="60% - Accent2 2 4 2" xfId="2206" xr:uid="{00000000-0005-0000-0000-0000A55E0000}"/>
    <cellStyle name="60% - Accent2 2 4 2 2" xfId="17355" xr:uid="{00000000-0005-0000-0000-0000A65E0000}"/>
    <cellStyle name="60% - Accent2 2 4 20" xfId="45968" xr:uid="{00000000-0005-0000-0000-0000A75E0000}"/>
    <cellStyle name="60% - Accent2 2 4 21" xfId="47651" xr:uid="{00000000-0005-0000-0000-0000A85E0000}"/>
    <cellStyle name="60% - Accent2 2 4 22" xfId="49334" xr:uid="{00000000-0005-0000-0000-0000A95E0000}"/>
    <cellStyle name="60% - Accent2 2 4 23" xfId="51017" xr:uid="{00000000-0005-0000-0000-0000AA5E0000}"/>
    <cellStyle name="60% - Accent2 2 4 24" xfId="52700" xr:uid="{00000000-0005-0000-0000-0000AB5E0000}"/>
    <cellStyle name="60% - Accent2 2 4 25" xfId="54383" xr:uid="{00000000-0005-0000-0000-0000AC5E0000}"/>
    <cellStyle name="60% - Accent2 2 4 26" xfId="56066" xr:uid="{00000000-0005-0000-0000-0000AD5E0000}"/>
    <cellStyle name="60% - Accent2 2 4 27" xfId="57749" xr:uid="{00000000-0005-0000-0000-0000AE5E0000}"/>
    <cellStyle name="60% - Accent2 2 4 28" xfId="59432" xr:uid="{00000000-0005-0000-0000-0000AF5E0000}"/>
    <cellStyle name="60% - Accent2 2 4 29" xfId="61115" xr:uid="{00000000-0005-0000-0000-0000B05E0000}"/>
    <cellStyle name="60% - Accent2 2 4 3" xfId="3890" xr:uid="{00000000-0005-0000-0000-0000B15E0000}"/>
    <cellStyle name="60% - Accent2 2 4 3 2" xfId="19039" xr:uid="{00000000-0005-0000-0000-0000B25E0000}"/>
    <cellStyle name="60% - Accent2 2 4 30" xfId="62798" xr:uid="{00000000-0005-0000-0000-0000B35E0000}"/>
    <cellStyle name="60% - Accent2 2 4 4" xfId="5573" xr:uid="{00000000-0005-0000-0000-0000B45E0000}"/>
    <cellStyle name="60% - Accent2 2 4 4 2" xfId="20722" xr:uid="{00000000-0005-0000-0000-0000B55E0000}"/>
    <cellStyle name="60% - Accent2 2 4 5" xfId="7256" xr:uid="{00000000-0005-0000-0000-0000B65E0000}"/>
    <cellStyle name="60% - Accent2 2 4 5 2" xfId="22405" xr:uid="{00000000-0005-0000-0000-0000B75E0000}"/>
    <cellStyle name="60% - Accent2 2 4 6" xfId="8939" xr:uid="{00000000-0005-0000-0000-0000B85E0000}"/>
    <cellStyle name="60% - Accent2 2 4 6 2" xfId="24088" xr:uid="{00000000-0005-0000-0000-0000B95E0000}"/>
    <cellStyle name="60% - Accent2 2 4 7" xfId="10622" xr:uid="{00000000-0005-0000-0000-0000BA5E0000}"/>
    <cellStyle name="60% - Accent2 2 4 7 2" xfId="25771" xr:uid="{00000000-0005-0000-0000-0000BB5E0000}"/>
    <cellStyle name="60% - Accent2 2 4 8" xfId="12306" xr:uid="{00000000-0005-0000-0000-0000BC5E0000}"/>
    <cellStyle name="60% - Accent2 2 4 8 2" xfId="27455" xr:uid="{00000000-0005-0000-0000-0000BD5E0000}"/>
    <cellStyle name="60% - Accent2 2 4 9" xfId="13989" xr:uid="{00000000-0005-0000-0000-0000BE5E0000}"/>
    <cellStyle name="60% - Accent2 2 4 9 2" xfId="29138" xr:uid="{00000000-0005-0000-0000-0000BF5E0000}"/>
    <cellStyle name="60% - Accent2 2 5" xfId="944" xr:uid="{00000000-0005-0000-0000-0000C05E0000}"/>
    <cellStyle name="60% - Accent2 2 5 10" xfId="16093" xr:uid="{00000000-0005-0000-0000-0000C15E0000}"/>
    <cellStyle name="60% - Accent2 2 5 11" xfId="31242" xr:uid="{00000000-0005-0000-0000-0000C25E0000}"/>
    <cellStyle name="60% - Accent2 2 5 12" xfId="32925" xr:uid="{00000000-0005-0000-0000-0000C35E0000}"/>
    <cellStyle name="60% - Accent2 2 5 13" xfId="34608" xr:uid="{00000000-0005-0000-0000-0000C45E0000}"/>
    <cellStyle name="60% - Accent2 2 5 14" xfId="36291" xr:uid="{00000000-0005-0000-0000-0000C55E0000}"/>
    <cellStyle name="60% - Accent2 2 5 15" xfId="37974" xr:uid="{00000000-0005-0000-0000-0000C65E0000}"/>
    <cellStyle name="60% - Accent2 2 5 16" xfId="39657" xr:uid="{00000000-0005-0000-0000-0000C75E0000}"/>
    <cellStyle name="60% - Accent2 2 5 17" xfId="41340" xr:uid="{00000000-0005-0000-0000-0000C85E0000}"/>
    <cellStyle name="60% - Accent2 2 5 18" xfId="43023" xr:uid="{00000000-0005-0000-0000-0000C95E0000}"/>
    <cellStyle name="60% - Accent2 2 5 19" xfId="44706" xr:uid="{00000000-0005-0000-0000-0000CA5E0000}"/>
    <cellStyle name="60% - Accent2 2 5 2" xfId="2627" xr:uid="{00000000-0005-0000-0000-0000CB5E0000}"/>
    <cellStyle name="60% - Accent2 2 5 2 2" xfId="17776" xr:uid="{00000000-0005-0000-0000-0000CC5E0000}"/>
    <cellStyle name="60% - Accent2 2 5 20" xfId="46389" xr:uid="{00000000-0005-0000-0000-0000CD5E0000}"/>
    <cellStyle name="60% - Accent2 2 5 21" xfId="48072" xr:uid="{00000000-0005-0000-0000-0000CE5E0000}"/>
    <cellStyle name="60% - Accent2 2 5 22" xfId="49755" xr:uid="{00000000-0005-0000-0000-0000CF5E0000}"/>
    <cellStyle name="60% - Accent2 2 5 23" xfId="51438" xr:uid="{00000000-0005-0000-0000-0000D05E0000}"/>
    <cellStyle name="60% - Accent2 2 5 24" xfId="53121" xr:uid="{00000000-0005-0000-0000-0000D15E0000}"/>
    <cellStyle name="60% - Accent2 2 5 25" xfId="54804" xr:uid="{00000000-0005-0000-0000-0000D25E0000}"/>
    <cellStyle name="60% - Accent2 2 5 26" xfId="56487" xr:uid="{00000000-0005-0000-0000-0000D35E0000}"/>
    <cellStyle name="60% - Accent2 2 5 27" xfId="58170" xr:uid="{00000000-0005-0000-0000-0000D45E0000}"/>
    <cellStyle name="60% - Accent2 2 5 28" xfId="59853" xr:uid="{00000000-0005-0000-0000-0000D55E0000}"/>
    <cellStyle name="60% - Accent2 2 5 29" xfId="61536" xr:uid="{00000000-0005-0000-0000-0000D65E0000}"/>
    <cellStyle name="60% - Accent2 2 5 3" xfId="4311" xr:uid="{00000000-0005-0000-0000-0000D75E0000}"/>
    <cellStyle name="60% - Accent2 2 5 3 2" xfId="19460" xr:uid="{00000000-0005-0000-0000-0000D85E0000}"/>
    <cellStyle name="60% - Accent2 2 5 30" xfId="63219" xr:uid="{00000000-0005-0000-0000-0000D95E0000}"/>
    <cellStyle name="60% - Accent2 2 5 4" xfId="5994" xr:uid="{00000000-0005-0000-0000-0000DA5E0000}"/>
    <cellStyle name="60% - Accent2 2 5 4 2" xfId="21143" xr:uid="{00000000-0005-0000-0000-0000DB5E0000}"/>
    <cellStyle name="60% - Accent2 2 5 5" xfId="7677" xr:uid="{00000000-0005-0000-0000-0000DC5E0000}"/>
    <cellStyle name="60% - Accent2 2 5 5 2" xfId="22826" xr:uid="{00000000-0005-0000-0000-0000DD5E0000}"/>
    <cellStyle name="60% - Accent2 2 5 6" xfId="9360" xr:uid="{00000000-0005-0000-0000-0000DE5E0000}"/>
    <cellStyle name="60% - Accent2 2 5 6 2" xfId="24509" xr:uid="{00000000-0005-0000-0000-0000DF5E0000}"/>
    <cellStyle name="60% - Accent2 2 5 7" xfId="11043" xr:uid="{00000000-0005-0000-0000-0000E05E0000}"/>
    <cellStyle name="60% - Accent2 2 5 7 2" xfId="26192" xr:uid="{00000000-0005-0000-0000-0000E15E0000}"/>
    <cellStyle name="60% - Accent2 2 5 8" xfId="12727" xr:uid="{00000000-0005-0000-0000-0000E25E0000}"/>
    <cellStyle name="60% - Accent2 2 5 8 2" xfId="27876" xr:uid="{00000000-0005-0000-0000-0000E35E0000}"/>
    <cellStyle name="60% - Accent2 2 5 9" xfId="14410" xr:uid="{00000000-0005-0000-0000-0000E45E0000}"/>
    <cellStyle name="60% - Accent2 2 5 9 2" xfId="29559" xr:uid="{00000000-0005-0000-0000-0000E55E0000}"/>
    <cellStyle name="60% - Accent2 2 6" xfId="1365" xr:uid="{00000000-0005-0000-0000-0000E65E0000}"/>
    <cellStyle name="60% - Accent2 2 6 10" xfId="16514" xr:uid="{00000000-0005-0000-0000-0000E75E0000}"/>
    <cellStyle name="60% - Accent2 2 6 11" xfId="31663" xr:uid="{00000000-0005-0000-0000-0000E85E0000}"/>
    <cellStyle name="60% - Accent2 2 6 12" xfId="33346" xr:uid="{00000000-0005-0000-0000-0000E95E0000}"/>
    <cellStyle name="60% - Accent2 2 6 13" xfId="35029" xr:uid="{00000000-0005-0000-0000-0000EA5E0000}"/>
    <cellStyle name="60% - Accent2 2 6 14" xfId="36712" xr:uid="{00000000-0005-0000-0000-0000EB5E0000}"/>
    <cellStyle name="60% - Accent2 2 6 15" xfId="38395" xr:uid="{00000000-0005-0000-0000-0000EC5E0000}"/>
    <cellStyle name="60% - Accent2 2 6 16" xfId="40078" xr:uid="{00000000-0005-0000-0000-0000ED5E0000}"/>
    <cellStyle name="60% - Accent2 2 6 17" xfId="41761" xr:uid="{00000000-0005-0000-0000-0000EE5E0000}"/>
    <cellStyle name="60% - Accent2 2 6 18" xfId="43444" xr:uid="{00000000-0005-0000-0000-0000EF5E0000}"/>
    <cellStyle name="60% - Accent2 2 6 19" xfId="45127" xr:uid="{00000000-0005-0000-0000-0000F05E0000}"/>
    <cellStyle name="60% - Accent2 2 6 2" xfId="3048" xr:uid="{00000000-0005-0000-0000-0000F15E0000}"/>
    <cellStyle name="60% - Accent2 2 6 2 2" xfId="18197" xr:uid="{00000000-0005-0000-0000-0000F25E0000}"/>
    <cellStyle name="60% - Accent2 2 6 20" xfId="46810" xr:uid="{00000000-0005-0000-0000-0000F35E0000}"/>
    <cellStyle name="60% - Accent2 2 6 21" xfId="48493" xr:uid="{00000000-0005-0000-0000-0000F45E0000}"/>
    <cellStyle name="60% - Accent2 2 6 22" xfId="50176" xr:uid="{00000000-0005-0000-0000-0000F55E0000}"/>
    <cellStyle name="60% - Accent2 2 6 23" xfId="51859" xr:uid="{00000000-0005-0000-0000-0000F65E0000}"/>
    <cellStyle name="60% - Accent2 2 6 24" xfId="53542" xr:uid="{00000000-0005-0000-0000-0000F75E0000}"/>
    <cellStyle name="60% - Accent2 2 6 25" xfId="55225" xr:uid="{00000000-0005-0000-0000-0000F85E0000}"/>
    <cellStyle name="60% - Accent2 2 6 26" xfId="56908" xr:uid="{00000000-0005-0000-0000-0000F95E0000}"/>
    <cellStyle name="60% - Accent2 2 6 27" xfId="58591" xr:uid="{00000000-0005-0000-0000-0000FA5E0000}"/>
    <cellStyle name="60% - Accent2 2 6 28" xfId="60274" xr:uid="{00000000-0005-0000-0000-0000FB5E0000}"/>
    <cellStyle name="60% - Accent2 2 6 29" xfId="61957" xr:uid="{00000000-0005-0000-0000-0000FC5E0000}"/>
    <cellStyle name="60% - Accent2 2 6 3" xfId="4732" xr:uid="{00000000-0005-0000-0000-0000FD5E0000}"/>
    <cellStyle name="60% - Accent2 2 6 3 2" xfId="19881" xr:uid="{00000000-0005-0000-0000-0000FE5E0000}"/>
    <cellStyle name="60% - Accent2 2 6 30" xfId="63640" xr:uid="{00000000-0005-0000-0000-0000FF5E0000}"/>
    <cellStyle name="60% - Accent2 2 6 4" xfId="6415" xr:uid="{00000000-0005-0000-0000-0000005F0000}"/>
    <cellStyle name="60% - Accent2 2 6 4 2" xfId="21564" xr:uid="{00000000-0005-0000-0000-0000015F0000}"/>
    <cellStyle name="60% - Accent2 2 6 5" xfId="8098" xr:uid="{00000000-0005-0000-0000-0000025F0000}"/>
    <cellStyle name="60% - Accent2 2 6 5 2" xfId="23247" xr:uid="{00000000-0005-0000-0000-0000035F0000}"/>
    <cellStyle name="60% - Accent2 2 6 6" xfId="9781" xr:uid="{00000000-0005-0000-0000-0000045F0000}"/>
    <cellStyle name="60% - Accent2 2 6 6 2" xfId="24930" xr:uid="{00000000-0005-0000-0000-0000055F0000}"/>
    <cellStyle name="60% - Accent2 2 6 7" xfId="11464" xr:uid="{00000000-0005-0000-0000-0000065F0000}"/>
    <cellStyle name="60% - Accent2 2 6 7 2" xfId="26613" xr:uid="{00000000-0005-0000-0000-0000075F0000}"/>
    <cellStyle name="60% - Accent2 2 6 8" xfId="13148" xr:uid="{00000000-0005-0000-0000-0000085F0000}"/>
    <cellStyle name="60% - Accent2 2 6 8 2" xfId="28297" xr:uid="{00000000-0005-0000-0000-0000095F0000}"/>
    <cellStyle name="60% - Accent2 2 6 9" xfId="14831" xr:uid="{00000000-0005-0000-0000-00000A5F0000}"/>
    <cellStyle name="60% - Accent2 2 6 9 2" xfId="29980" xr:uid="{00000000-0005-0000-0000-00000B5F0000}"/>
    <cellStyle name="60% - Accent2 2 7" xfId="1786" xr:uid="{00000000-0005-0000-0000-00000C5F0000}"/>
    <cellStyle name="60% - Accent2 2 7 2" xfId="16935" xr:uid="{00000000-0005-0000-0000-00000D5F0000}"/>
    <cellStyle name="60% - Accent2 2 8" xfId="3470" xr:uid="{00000000-0005-0000-0000-00000E5F0000}"/>
    <cellStyle name="60% - Accent2 2 8 2" xfId="18619" xr:uid="{00000000-0005-0000-0000-00000F5F0000}"/>
    <cellStyle name="60% - Accent2 2 9" xfId="5153" xr:uid="{00000000-0005-0000-0000-0000105F0000}"/>
    <cellStyle name="60% - Accent2 2 9 2" xfId="20302" xr:uid="{00000000-0005-0000-0000-0000115F0000}"/>
    <cellStyle name="60% - Accent2 20" xfId="33745" xr:uid="{00000000-0005-0000-0000-0000125F0000}"/>
    <cellStyle name="60% - Accent2 21" xfId="35428" xr:uid="{00000000-0005-0000-0000-0000135F0000}"/>
    <cellStyle name="60% - Accent2 22" xfId="37111" xr:uid="{00000000-0005-0000-0000-0000145F0000}"/>
    <cellStyle name="60% - Accent2 23" xfId="38794" xr:uid="{00000000-0005-0000-0000-0000155F0000}"/>
    <cellStyle name="60% - Accent2 24" xfId="40477" xr:uid="{00000000-0005-0000-0000-0000165F0000}"/>
    <cellStyle name="60% - Accent2 25" xfId="42160" xr:uid="{00000000-0005-0000-0000-0000175F0000}"/>
    <cellStyle name="60% - Accent2 26" xfId="43843" xr:uid="{00000000-0005-0000-0000-0000185F0000}"/>
    <cellStyle name="60% - Accent2 27" xfId="45526" xr:uid="{00000000-0005-0000-0000-0000195F0000}"/>
    <cellStyle name="60% - Accent2 28" xfId="47209" xr:uid="{00000000-0005-0000-0000-00001A5F0000}"/>
    <cellStyle name="60% - Accent2 29" xfId="48892" xr:uid="{00000000-0005-0000-0000-00001B5F0000}"/>
    <cellStyle name="60% - Accent2 3" xfId="123" xr:uid="{00000000-0005-0000-0000-00001C5F0000}"/>
    <cellStyle name="60% - Accent2 3 10" xfId="6856" xr:uid="{00000000-0005-0000-0000-00001D5F0000}"/>
    <cellStyle name="60% - Accent2 3 10 2" xfId="22005" xr:uid="{00000000-0005-0000-0000-00001E5F0000}"/>
    <cellStyle name="60% - Accent2 3 11" xfId="8539" xr:uid="{00000000-0005-0000-0000-00001F5F0000}"/>
    <cellStyle name="60% - Accent2 3 11 2" xfId="23688" xr:uid="{00000000-0005-0000-0000-0000205F0000}"/>
    <cellStyle name="60% - Accent2 3 12" xfId="10222" xr:uid="{00000000-0005-0000-0000-0000215F0000}"/>
    <cellStyle name="60% - Accent2 3 12 2" xfId="25371" xr:uid="{00000000-0005-0000-0000-0000225F0000}"/>
    <cellStyle name="60% - Accent2 3 13" xfId="11906" xr:uid="{00000000-0005-0000-0000-0000235F0000}"/>
    <cellStyle name="60% - Accent2 3 13 2" xfId="27055" xr:uid="{00000000-0005-0000-0000-0000245F0000}"/>
    <cellStyle name="60% - Accent2 3 14" xfId="13589" xr:uid="{00000000-0005-0000-0000-0000255F0000}"/>
    <cellStyle name="60% - Accent2 3 14 2" xfId="28738" xr:uid="{00000000-0005-0000-0000-0000265F0000}"/>
    <cellStyle name="60% - Accent2 3 15" xfId="15272" xr:uid="{00000000-0005-0000-0000-0000275F0000}"/>
    <cellStyle name="60% - Accent2 3 16" xfId="30421" xr:uid="{00000000-0005-0000-0000-0000285F0000}"/>
    <cellStyle name="60% - Accent2 3 17" xfId="32104" xr:uid="{00000000-0005-0000-0000-0000295F0000}"/>
    <cellStyle name="60% - Accent2 3 18" xfId="33787" xr:uid="{00000000-0005-0000-0000-00002A5F0000}"/>
    <cellStyle name="60% - Accent2 3 19" xfId="35470" xr:uid="{00000000-0005-0000-0000-00002B5F0000}"/>
    <cellStyle name="60% - Accent2 3 2" xfId="228" xr:uid="{00000000-0005-0000-0000-00002C5F0000}"/>
    <cellStyle name="60% - Accent2 3 2 10" xfId="8644" xr:uid="{00000000-0005-0000-0000-00002D5F0000}"/>
    <cellStyle name="60% - Accent2 3 2 10 2" xfId="23793" xr:uid="{00000000-0005-0000-0000-00002E5F0000}"/>
    <cellStyle name="60% - Accent2 3 2 11" xfId="10327" xr:uid="{00000000-0005-0000-0000-00002F5F0000}"/>
    <cellStyle name="60% - Accent2 3 2 11 2" xfId="25476" xr:uid="{00000000-0005-0000-0000-0000305F0000}"/>
    <cellStyle name="60% - Accent2 3 2 12" xfId="12011" xr:uid="{00000000-0005-0000-0000-0000315F0000}"/>
    <cellStyle name="60% - Accent2 3 2 12 2" xfId="27160" xr:uid="{00000000-0005-0000-0000-0000325F0000}"/>
    <cellStyle name="60% - Accent2 3 2 13" xfId="13694" xr:uid="{00000000-0005-0000-0000-0000335F0000}"/>
    <cellStyle name="60% - Accent2 3 2 13 2" xfId="28843" xr:uid="{00000000-0005-0000-0000-0000345F0000}"/>
    <cellStyle name="60% - Accent2 3 2 14" xfId="15377" xr:uid="{00000000-0005-0000-0000-0000355F0000}"/>
    <cellStyle name="60% - Accent2 3 2 15" xfId="30526" xr:uid="{00000000-0005-0000-0000-0000365F0000}"/>
    <cellStyle name="60% - Accent2 3 2 16" xfId="32209" xr:uid="{00000000-0005-0000-0000-0000375F0000}"/>
    <cellStyle name="60% - Accent2 3 2 17" xfId="33892" xr:uid="{00000000-0005-0000-0000-0000385F0000}"/>
    <cellStyle name="60% - Accent2 3 2 18" xfId="35575" xr:uid="{00000000-0005-0000-0000-0000395F0000}"/>
    <cellStyle name="60% - Accent2 3 2 19" xfId="37258" xr:uid="{00000000-0005-0000-0000-00003A5F0000}"/>
    <cellStyle name="60% - Accent2 3 2 2" xfId="438" xr:uid="{00000000-0005-0000-0000-00003B5F0000}"/>
    <cellStyle name="60% - Accent2 3 2 2 10" xfId="10537" xr:uid="{00000000-0005-0000-0000-00003C5F0000}"/>
    <cellStyle name="60% - Accent2 3 2 2 10 2" xfId="25686" xr:uid="{00000000-0005-0000-0000-00003D5F0000}"/>
    <cellStyle name="60% - Accent2 3 2 2 11" xfId="12221" xr:uid="{00000000-0005-0000-0000-00003E5F0000}"/>
    <cellStyle name="60% - Accent2 3 2 2 11 2" xfId="27370" xr:uid="{00000000-0005-0000-0000-00003F5F0000}"/>
    <cellStyle name="60% - Accent2 3 2 2 12" xfId="13904" xr:uid="{00000000-0005-0000-0000-0000405F0000}"/>
    <cellStyle name="60% - Accent2 3 2 2 12 2" xfId="29053" xr:uid="{00000000-0005-0000-0000-0000415F0000}"/>
    <cellStyle name="60% - Accent2 3 2 2 13" xfId="15587" xr:uid="{00000000-0005-0000-0000-0000425F0000}"/>
    <cellStyle name="60% - Accent2 3 2 2 14" xfId="30736" xr:uid="{00000000-0005-0000-0000-0000435F0000}"/>
    <cellStyle name="60% - Accent2 3 2 2 15" xfId="32419" xr:uid="{00000000-0005-0000-0000-0000445F0000}"/>
    <cellStyle name="60% - Accent2 3 2 2 16" xfId="34102" xr:uid="{00000000-0005-0000-0000-0000455F0000}"/>
    <cellStyle name="60% - Accent2 3 2 2 17" xfId="35785" xr:uid="{00000000-0005-0000-0000-0000465F0000}"/>
    <cellStyle name="60% - Accent2 3 2 2 18" xfId="37468" xr:uid="{00000000-0005-0000-0000-0000475F0000}"/>
    <cellStyle name="60% - Accent2 3 2 2 19" xfId="39151" xr:uid="{00000000-0005-0000-0000-0000485F0000}"/>
    <cellStyle name="60% - Accent2 3 2 2 2" xfId="858" xr:uid="{00000000-0005-0000-0000-0000495F0000}"/>
    <cellStyle name="60% - Accent2 3 2 2 2 10" xfId="16007" xr:uid="{00000000-0005-0000-0000-00004A5F0000}"/>
    <cellStyle name="60% - Accent2 3 2 2 2 11" xfId="31156" xr:uid="{00000000-0005-0000-0000-00004B5F0000}"/>
    <cellStyle name="60% - Accent2 3 2 2 2 12" xfId="32839" xr:uid="{00000000-0005-0000-0000-00004C5F0000}"/>
    <cellStyle name="60% - Accent2 3 2 2 2 13" xfId="34522" xr:uid="{00000000-0005-0000-0000-00004D5F0000}"/>
    <cellStyle name="60% - Accent2 3 2 2 2 14" xfId="36205" xr:uid="{00000000-0005-0000-0000-00004E5F0000}"/>
    <cellStyle name="60% - Accent2 3 2 2 2 15" xfId="37888" xr:uid="{00000000-0005-0000-0000-00004F5F0000}"/>
    <cellStyle name="60% - Accent2 3 2 2 2 16" xfId="39571" xr:uid="{00000000-0005-0000-0000-0000505F0000}"/>
    <cellStyle name="60% - Accent2 3 2 2 2 17" xfId="41254" xr:uid="{00000000-0005-0000-0000-0000515F0000}"/>
    <cellStyle name="60% - Accent2 3 2 2 2 18" xfId="42937" xr:uid="{00000000-0005-0000-0000-0000525F0000}"/>
    <cellStyle name="60% - Accent2 3 2 2 2 19" xfId="44620" xr:uid="{00000000-0005-0000-0000-0000535F0000}"/>
    <cellStyle name="60% - Accent2 3 2 2 2 2" xfId="2541" xr:uid="{00000000-0005-0000-0000-0000545F0000}"/>
    <cellStyle name="60% - Accent2 3 2 2 2 2 2" xfId="17690" xr:uid="{00000000-0005-0000-0000-0000555F0000}"/>
    <cellStyle name="60% - Accent2 3 2 2 2 20" xfId="46303" xr:uid="{00000000-0005-0000-0000-0000565F0000}"/>
    <cellStyle name="60% - Accent2 3 2 2 2 21" xfId="47986" xr:uid="{00000000-0005-0000-0000-0000575F0000}"/>
    <cellStyle name="60% - Accent2 3 2 2 2 22" xfId="49669" xr:uid="{00000000-0005-0000-0000-0000585F0000}"/>
    <cellStyle name="60% - Accent2 3 2 2 2 23" xfId="51352" xr:uid="{00000000-0005-0000-0000-0000595F0000}"/>
    <cellStyle name="60% - Accent2 3 2 2 2 24" xfId="53035" xr:uid="{00000000-0005-0000-0000-00005A5F0000}"/>
    <cellStyle name="60% - Accent2 3 2 2 2 25" xfId="54718" xr:uid="{00000000-0005-0000-0000-00005B5F0000}"/>
    <cellStyle name="60% - Accent2 3 2 2 2 26" xfId="56401" xr:uid="{00000000-0005-0000-0000-00005C5F0000}"/>
    <cellStyle name="60% - Accent2 3 2 2 2 27" xfId="58084" xr:uid="{00000000-0005-0000-0000-00005D5F0000}"/>
    <cellStyle name="60% - Accent2 3 2 2 2 28" xfId="59767" xr:uid="{00000000-0005-0000-0000-00005E5F0000}"/>
    <cellStyle name="60% - Accent2 3 2 2 2 29" xfId="61450" xr:uid="{00000000-0005-0000-0000-00005F5F0000}"/>
    <cellStyle name="60% - Accent2 3 2 2 2 3" xfId="4225" xr:uid="{00000000-0005-0000-0000-0000605F0000}"/>
    <cellStyle name="60% - Accent2 3 2 2 2 3 2" xfId="19374" xr:uid="{00000000-0005-0000-0000-0000615F0000}"/>
    <cellStyle name="60% - Accent2 3 2 2 2 30" xfId="63133" xr:uid="{00000000-0005-0000-0000-0000625F0000}"/>
    <cellStyle name="60% - Accent2 3 2 2 2 4" xfId="5908" xr:uid="{00000000-0005-0000-0000-0000635F0000}"/>
    <cellStyle name="60% - Accent2 3 2 2 2 4 2" xfId="21057" xr:uid="{00000000-0005-0000-0000-0000645F0000}"/>
    <cellStyle name="60% - Accent2 3 2 2 2 5" xfId="7591" xr:uid="{00000000-0005-0000-0000-0000655F0000}"/>
    <cellStyle name="60% - Accent2 3 2 2 2 5 2" xfId="22740" xr:uid="{00000000-0005-0000-0000-0000665F0000}"/>
    <cellStyle name="60% - Accent2 3 2 2 2 6" xfId="9274" xr:uid="{00000000-0005-0000-0000-0000675F0000}"/>
    <cellStyle name="60% - Accent2 3 2 2 2 6 2" xfId="24423" xr:uid="{00000000-0005-0000-0000-0000685F0000}"/>
    <cellStyle name="60% - Accent2 3 2 2 2 7" xfId="10957" xr:uid="{00000000-0005-0000-0000-0000695F0000}"/>
    <cellStyle name="60% - Accent2 3 2 2 2 7 2" xfId="26106" xr:uid="{00000000-0005-0000-0000-00006A5F0000}"/>
    <cellStyle name="60% - Accent2 3 2 2 2 8" xfId="12641" xr:uid="{00000000-0005-0000-0000-00006B5F0000}"/>
    <cellStyle name="60% - Accent2 3 2 2 2 8 2" xfId="27790" xr:uid="{00000000-0005-0000-0000-00006C5F0000}"/>
    <cellStyle name="60% - Accent2 3 2 2 2 9" xfId="14324" xr:uid="{00000000-0005-0000-0000-00006D5F0000}"/>
    <cellStyle name="60% - Accent2 3 2 2 2 9 2" xfId="29473" xr:uid="{00000000-0005-0000-0000-00006E5F0000}"/>
    <cellStyle name="60% - Accent2 3 2 2 20" xfId="40834" xr:uid="{00000000-0005-0000-0000-00006F5F0000}"/>
    <cellStyle name="60% - Accent2 3 2 2 21" xfId="42517" xr:uid="{00000000-0005-0000-0000-0000705F0000}"/>
    <cellStyle name="60% - Accent2 3 2 2 22" xfId="44200" xr:uid="{00000000-0005-0000-0000-0000715F0000}"/>
    <cellStyle name="60% - Accent2 3 2 2 23" xfId="45883" xr:uid="{00000000-0005-0000-0000-0000725F0000}"/>
    <cellStyle name="60% - Accent2 3 2 2 24" xfId="47566" xr:uid="{00000000-0005-0000-0000-0000735F0000}"/>
    <cellStyle name="60% - Accent2 3 2 2 25" xfId="49249" xr:uid="{00000000-0005-0000-0000-0000745F0000}"/>
    <cellStyle name="60% - Accent2 3 2 2 26" xfId="50932" xr:uid="{00000000-0005-0000-0000-0000755F0000}"/>
    <cellStyle name="60% - Accent2 3 2 2 27" xfId="52615" xr:uid="{00000000-0005-0000-0000-0000765F0000}"/>
    <cellStyle name="60% - Accent2 3 2 2 28" xfId="54298" xr:uid="{00000000-0005-0000-0000-0000775F0000}"/>
    <cellStyle name="60% - Accent2 3 2 2 29" xfId="55981" xr:uid="{00000000-0005-0000-0000-0000785F0000}"/>
    <cellStyle name="60% - Accent2 3 2 2 3" xfId="1279" xr:uid="{00000000-0005-0000-0000-0000795F0000}"/>
    <cellStyle name="60% - Accent2 3 2 2 3 10" xfId="16428" xr:uid="{00000000-0005-0000-0000-00007A5F0000}"/>
    <cellStyle name="60% - Accent2 3 2 2 3 11" xfId="31577" xr:uid="{00000000-0005-0000-0000-00007B5F0000}"/>
    <cellStyle name="60% - Accent2 3 2 2 3 12" xfId="33260" xr:uid="{00000000-0005-0000-0000-00007C5F0000}"/>
    <cellStyle name="60% - Accent2 3 2 2 3 13" xfId="34943" xr:uid="{00000000-0005-0000-0000-00007D5F0000}"/>
    <cellStyle name="60% - Accent2 3 2 2 3 14" xfId="36626" xr:uid="{00000000-0005-0000-0000-00007E5F0000}"/>
    <cellStyle name="60% - Accent2 3 2 2 3 15" xfId="38309" xr:uid="{00000000-0005-0000-0000-00007F5F0000}"/>
    <cellStyle name="60% - Accent2 3 2 2 3 16" xfId="39992" xr:uid="{00000000-0005-0000-0000-0000805F0000}"/>
    <cellStyle name="60% - Accent2 3 2 2 3 17" xfId="41675" xr:uid="{00000000-0005-0000-0000-0000815F0000}"/>
    <cellStyle name="60% - Accent2 3 2 2 3 18" xfId="43358" xr:uid="{00000000-0005-0000-0000-0000825F0000}"/>
    <cellStyle name="60% - Accent2 3 2 2 3 19" xfId="45041" xr:uid="{00000000-0005-0000-0000-0000835F0000}"/>
    <cellStyle name="60% - Accent2 3 2 2 3 2" xfId="2962" xr:uid="{00000000-0005-0000-0000-0000845F0000}"/>
    <cellStyle name="60% - Accent2 3 2 2 3 2 2" xfId="18111" xr:uid="{00000000-0005-0000-0000-0000855F0000}"/>
    <cellStyle name="60% - Accent2 3 2 2 3 20" xfId="46724" xr:uid="{00000000-0005-0000-0000-0000865F0000}"/>
    <cellStyle name="60% - Accent2 3 2 2 3 21" xfId="48407" xr:uid="{00000000-0005-0000-0000-0000875F0000}"/>
    <cellStyle name="60% - Accent2 3 2 2 3 22" xfId="50090" xr:uid="{00000000-0005-0000-0000-0000885F0000}"/>
    <cellStyle name="60% - Accent2 3 2 2 3 23" xfId="51773" xr:uid="{00000000-0005-0000-0000-0000895F0000}"/>
    <cellStyle name="60% - Accent2 3 2 2 3 24" xfId="53456" xr:uid="{00000000-0005-0000-0000-00008A5F0000}"/>
    <cellStyle name="60% - Accent2 3 2 2 3 25" xfId="55139" xr:uid="{00000000-0005-0000-0000-00008B5F0000}"/>
    <cellStyle name="60% - Accent2 3 2 2 3 26" xfId="56822" xr:uid="{00000000-0005-0000-0000-00008C5F0000}"/>
    <cellStyle name="60% - Accent2 3 2 2 3 27" xfId="58505" xr:uid="{00000000-0005-0000-0000-00008D5F0000}"/>
    <cellStyle name="60% - Accent2 3 2 2 3 28" xfId="60188" xr:uid="{00000000-0005-0000-0000-00008E5F0000}"/>
    <cellStyle name="60% - Accent2 3 2 2 3 29" xfId="61871" xr:uid="{00000000-0005-0000-0000-00008F5F0000}"/>
    <cellStyle name="60% - Accent2 3 2 2 3 3" xfId="4646" xr:uid="{00000000-0005-0000-0000-0000905F0000}"/>
    <cellStyle name="60% - Accent2 3 2 2 3 3 2" xfId="19795" xr:uid="{00000000-0005-0000-0000-0000915F0000}"/>
    <cellStyle name="60% - Accent2 3 2 2 3 30" xfId="63554" xr:uid="{00000000-0005-0000-0000-0000925F0000}"/>
    <cellStyle name="60% - Accent2 3 2 2 3 4" xfId="6329" xr:uid="{00000000-0005-0000-0000-0000935F0000}"/>
    <cellStyle name="60% - Accent2 3 2 2 3 4 2" xfId="21478" xr:uid="{00000000-0005-0000-0000-0000945F0000}"/>
    <cellStyle name="60% - Accent2 3 2 2 3 5" xfId="8012" xr:uid="{00000000-0005-0000-0000-0000955F0000}"/>
    <cellStyle name="60% - Accent2 3 2 2 3 5 2" xfId="23161" xr:uid="{00000000-0005-0000-0000-0000965F0000}"/>
    <cellStyle name="60% - Accent2 3 2 2 3 6" xfId="9695" xr:uid="{00000000-0005-0000-0000-0000975F0000}"/>
    <cellStyle name="60% - Accent2 3 2 2 3 6 2" xfId="24844" xr:uid="{00000000-0005-0000-0000-0000985F0000}"/>
    <cellStyle name="60% - Accent2 3 2 2 3 7" xfId="11378" xr:uid="{00000000-0005-0000-0000-0000995F0000}"/>
    <cellStyle name="60% - Accent2 3 2 2 3 7 2" xfId="26527" xr:uid="{00000000-0005-0000-0000-00009A5F0000}"/>
    <cellStyle name="60% - Accent2 3 2 2 3 8" xfId="13062" xr:uid="{00000000-0005-0000-0000-00009B5F0000}"/>
    <cellStyle name="60% - Accent2 3 2 2 3 8 2" xfId="28211" xr:uid="{00000000-0005-0000-0000-00009C5F0000}"/>
    <cellStyle name="60% - Accent2 3 2 2 3 9" xfId="14745" xr:uid="{00000000-0005-0000-0000-00009D5F0000}"/>
    <cellStyle name="60% - Accent2 3 2 2 3 9 2" xfId="29894" xr:uid="{00000000-0005-0000-0000-00009E5F0000}"/>
    <cellStyle name="60% - Accent2 3 2 2 30" xfId="57664" xr:uid="{00000000-0005-0000-0000-00009F5F0000}"/>
    <cellStyle name="60% - Accent2 3 2 2 31" xfId="59347" xr:uid="{00000000-0005-0000-0000-0000A05F0000}"/>
    <cellStyle name="60% - Accent2 3 2 2 32" xfId="61030" xr:uid="{00000000-0005-0000-0000-0000A15F0000}"/>
    <cellStyle name="60% - Accent2 3 2 2 33" xfId="62713" xr:uid="{00000000-0005-0000-0000-0000A25F0000}"/>
    <cellStyle name="60% - Accent2 3 2 2 4" xfId="1700" xr:uid="{00000000-0005-0000-0000-0000A35F0000}"/>
    <cellStyle name="60% - Accent2 3 2 2 4 10" xfId="16849" xr:uid="{00000000-0005-0000-0000-0000A45F0000}"/>
    <cellStyle name="60% - Accent2 3 2 2 4 11" xfId="31998" xr:uid="{00000000-0005-0000-0000-0000A55F0000}"/>
    <cellStyle name="60% - Accent2 3 2 2 4 12" xfId="33681" xr:uid="{00000000-0005-0000-0000-0000A65F0000}"/>
    <cellStyle name="60% - Accent2 3 2 2 4 13" xfId="35364" xr:uid="{00000000-0005-0000-0000-0000A75F0000}"/>
    <cellStyle name="60% - Accent2 3 2 2 4 14" xfId="37047" xr:uid="{00000000-0005-0000-0000-0000A85F0000}"/>
    <cellStyle name="60% - Accent2 3 2 2 4 15" xfId="38730" xr:uid="{00000000-0005-0000-0000-0000A95F0000}"/>
    <cellStyle name="60% - Accent2 3 2 2 4 16" xfId="40413" xr:uid="{00000000-0005-0000-0000-0000AA5F0000}"/>
    <cellStyle name="60% - Accent2 3 2 2 4 17" xfId="42096" xr:uid="{00000000-0005-0000-0000-0000AB5F0000}"/>
    <cellStyle name="60% - Accent2 3 2 2 4 18" xfId="43779" xr:uid="{00000000-0005-0000-0000-0000AC5F0000}"/>
    <cellStyle name="60% - Accent2 3 2 2 4 19" xfId="45462" xr:uid="{00000000-0005-0000-0000-0000AD5F0000}"/>
    <cellStyle name="60% - Accent2 3 2 2 4 2" xfId="3383" xr:uid="{00000000-0005-0000-0000-0000AE5F0000}"/>
    <cellStyle name="60% - Accent2 3 2 2 4 2 2" xfId="18532" xr:uid="{00000000-0005-0000-0000-0000AF5F0000}"/>
    <cellStyle name="60% - Accent2 3 2 2 4 20" xfId="47145" xr:uid="{00000000-0005-0000-0000-0000B05F0000}"/>
    <cellStyle name="60% - Accent2 3 2 2 4 21" xfId="48828" xr:uid="{00000000-0005-0000-0000-0000B15F0000}"/>
    <cellStyle name="60% - Accent2 3 2 2 4 22" xfId="50511" xr:uid="{00000000-0005-0000-0000-0000B25F0000}"/>
    <cellStyle name="60% - Accent2 3 2 2 4 23" xfId="52194" xr:uid="{00000000-0005-0000-0000-0000B35F0000}"/>
    <cellStyle name="60% - Accent2 3 2 2 4 24" xfId="53877" xr:uid="{00000000-0005-0000-0000-0000B45F0000}"/>
    <cellStyle name="60% - Accent2 3 2 2 4 25" xfId="55560" xr:uid="{00000000-0005-0000-0000-0000B55F0000}"/>
    <cellStyle name="60% - Accent2 3 2 2 4 26" xfId="57243" xr:uid="{00000000-0005-0000-0000-0000B65F0000}"/>
    <cellStyle name="60% - Accent2 3 2 2 4 27" xfId="58926" xr:uid="{00000000-0005-0000-0000-0000B75F0000}"/>
    <cellStyle name="60% - Accent2 3 2 2 4 28" xfId="60609" xr:uid="{00000000-0005-0000-0000-0000B85F0000}"/>
    <cellStyle name="60% - Accent2 3 2 2 4 29" xfId="62292" xr:uid="{00000000-0005-0000-0000-0000B95F0000}"/>
    <cellStyle name="60% - Accent2 3 2 2 4 3" xfId="5067" xr:uid="{00000000-0005-0000-0000-0000BA5F0000}"/>
    <cellStyle name="60% - Accent2 3 2 2 4 3 2" xfId="20216" xr:uid="{00000000-0005-0000-0000-0000BB5F0000}"/>
    <cellStyle name="60% - Accent2 3 2 2 4 30" xfId="63975" xr:uid="{00000000-0005-0000-0000-0000BC5F0000}"/>
    <cellStyle name="60% - Accent2 3 2 2 4 4" xfId="6750" xr:uid="{00000000-0005-0000-0000-0000BD5F0000}"/>
    <cellStyle name="60% - Accent2 3 2 2 4 4 2" xfId="21899" xr:uid="{00000000-0005-0000-0000-0000BE5F0000}"/>
    <cellStyle name="60% - Accent2 3 2 2 4 5" xfId="8433" xr:uid="{00000000-0005-0000-0000-0000BF5F0000}"/>
    <cellStyle name="60% - Accent2 3 2 2 4 5 2" xfId="23582" xr:uid="{00000000-0005-0000-0000-0000C05F0000}"/>
    <cellStyle name="60% - Accent2 3 2 2 4 6" xfId="10116" xr:uid="{00000000-0005-0000-0000-0000C15F0000}"/>
    <cellStyle name="60% - Accent2 3 2 2 4 6 2" xfId="25265" xr:uid="{00000000-0005-0000-0000-0000C25F0000}"/>
    <cellStyle name="60% - Accent2 3 2 2 4 7" xfId="11799" xr:uid="{00000000-0005-0000-0000-0000C35F0000}"/>
    <cellStyle name="60% - Accent2 3 2 2 4 7 2" xfId="26948" xr:uid="{00000000-0005-0000-0000-0000C45F0000}"/>
    <cellStyle name="60% - Accent2 3 2 2 4 8" xfId="13483" xr:uid="{00000000-0005-0000-0000-0000C55F0000}"/>
    <cellStyle name="60% - Accent2 3 2 2 4 8 2" xfId="28632" xr:uid="{00000000-0005-0000-0000-0000C65F0000}"/>
    <cellStyle name="60% - Accent2 3 2 2 4 9" xfId="15166" xr:uid="{00000000-0005-0000-0000-0000C75F0000}"/>
    <cellStyle name="60% - Accent2 3 2 2 4 9 2" xfId="30315" xr:uid="{00000000-0005-0000-0000-0000C85F0000}"/>
    <cellStyle name="60% - Accent2 3 2 2 5" xfId="2121" xr:uid="{00000000-0005-0000-0000-0000C95F0000}"/>
    <cellStyle name="60% - Accent2 3 2 2 5 2" xfId="17270" xr:uid="{00000000-0005-0000-0000-0000CA5F0000}"/>
    <cellStyle name="60% - Accent2 3 2 2 6" xfId="3805" xr:uid="{00000000-0005-0000-0000-0000CB5F0000}"/>
    <cellStyle name="60% - Accent2 3 2 2 6 2" xfId="18954" xr:uid="{00000000-0005-0000-0000-0000CC5F0000}"/>
    <cellStyle name="60% - Accent2 3 2 2 7" xfId="5488" xr:uid="{00000000-0005-0000-0000-0000CD5F0000}"/>
    <cellStyle name="60% - Accent2 3 2 2 7 2" xfId="20637" xr:uid="{00000000-0005-0000-0000-0000CE5F0000}"/>
    <cellStyle name="60% - Accent2 3 2 2 8" xfId="7171" xr:uid="{00000000-0005-0000-0000-0000CF5F0000}"/>
    <cellStyle name="60% - Accent2 3 2 2 8 2" xfId="22320" xr:uid="{00000000-0005-0000-0000-0000D05F0000}"/>
    <cellStyle name="60% - Accent2 3 2 2 9" xfId="8854" xr:uid="{00000000-0005-0000-0000-0000D15F0000}"/>
    <cellStyle name="60% - Accent2 3 2 2 9 2" xfId="24003" xr:uid="{00000000-0005-0000-0000-0000D25F0000}"/>
    <cellStyle name="60% - Accent2 3 2 20" xfId="38941" xr:uid="{00000000-0005-0000-0000-0000D35F0000}"/>
    <cellStyle name="60% - Accent2 3 2 21" xfId="40624" xr:uid="{00000000-0005-0000-0000-0000D45F0000}"/>
    <cellStyle name="60% - Accent2 3 2 22" xfId="42307" xr:uid="{00000000-0005-0000-0000-0000D55F0000}"/>
    <cellStyle name="60% - Accent2 3 2 23" xfId="43990" xr:uid="{00000000-0005-0000-0000-0000D65F0000}"/>
    <cellStyle name="60% - Accent2 3 2 24" xfId="45673" xr:uid="{00000000-0005-0000-0000-0000D75F0000}"/>
    <cellStyle name="60% - Accent2 3 2 25" xfId="47356" xr:uid="{00000000-0005-0000-0000-0000D85F0000}"/>
    <cellStyle name="60% - Accent2 3 2 26" xfId="49039" xr:uid="{00000000-0005-0000-0000-0000D95F0000}"/>
    <cellStyle name="60% - Accent2 3 2 27" xfId="50722" xr:uid="{00000000-0005-0000-0000-0000DA5F0000}"/>
    <cellStyle name="60% - Accent2 3 2 28" xfId="52405" xr:uid="{00000000-0005-0000-0000-0000DB5F0000}"/>
    <cellStyle name="60% - Accent2 3 2 29" xfId="54088" xr:uid="{00000000-0005-0000-0000-0000DC5F0000}"/>
    <cellStyle name="60% - Accent2 3 2 3" xfId="648" xr:uid="{00000000-0005-0000-0000-0000DD5F0000}"/>
    <cellStyle name="60% - Accent2 3 2 3 10" xfId="15797" xr:uid="{00000000-0005-0000-0000-0000DE5F0000}"/>
    <cellStyle name="60% - Accent2 3 2 3 11" xfId="30946" xr:uid="{00000000-0005-0000-0000-0000DF5F0000}"/>
    <cellStyle name="60% - Accent2 3 2 3 12" xfId="32629" xr:uid="{00000000-0005-0000-0000-0000E05F0000}"/>
    <cellStyle name="60% - Accent2 3 2 3 13" xfId="34312" xr:uid="{00000000-0005-0000-0000-0000E15F0000}"/>
    <cellStyle name="60% - Accent2 3 2 3 14" xfId="35995" xr:uid="{00000000-0005-0000-0000-0000E25F0000}"/>
    <cellStyle name="60% - Accent2 3 2 3 15" xfId="37678" xr:uid="{00000000-0005-0000-0000-0000E35F0000}"/>
    <cellStyle name="60% - Accent2 3 2 3 16" xfId="39361" xr:uid="{00000000-0005-0000-0000-0000E45F0000}"/>
    <cellStyle name="60% - Accent2 3 2 3 17" xfId="41044" xr:uid="{00000000-0005-0000-0000-0000E55F0000}"/>
    <cellStyle name="60% - Accent2 3 2 3 18" xfId="42727" xr:uid="{00000000-0005-0000-0000-0000E65F0000}"/>
    <cellStyle name="60% - Accent2 3 2 3 19" xfId="44410" xr:uid="{00000000-0005-0000-0000-0000E75F0000}"/>
    <cellStyle name="60% - Accent2 3 2 3 2" xfId="2331" xr:uid="{00000000-0005-0000-0000-0000E85F0000}"/>
    <cellStyle name="60% - Accent2 3 2 3 2 2" xfId="17480" xr:uid="{00000000-0005-0000-0000-0000E95F0000}"/>
    <cellStyle name="60% - Accent2 3 2 3 20" xfId="46093" xr:uid="{00000000-0005-0000-0000-0000EA5F0000}"/>
    <cellStyle name="60% - Accent2 3 2 3 21" xfId="47776" xr:uid="{00000000-0005-0000-0000-0000EB5F0000}"/>
    <cellStyle name="60% - Accent2 3 2 3 22" xfId="49459" xr:uid="{00000000-0005-0000-0000-0000EC5F0000}"/>
    <cellStyle name="60% - Accent2 3 2 3 23" xfId="51142" xr:uid="{00000000-0005-0000-0000-0000ED5F0000}"/>
    <cellStyle name="60% - Accent2 3 2 3 24" xfId="52825" xr:uid="{00000000-0005-0000-0000-0000EE5F0000}"/>
    <cellStyle name="60% - Accent2 3 2 3 25" xfId="54508" xr:uid="{00000000-0005-0000-0000-0000EF5F0000}"/>
    <cellStyle name="60% - Accent2 3 2 3 26" xfId="56191" xr:uid="{00000000-0005-0000-0000-0000F05F0000}"/>
    <cellStyle name="60% - Accent2 3 2 3 27" xfId="57874" xr:uid="{00000000-0005-0000-0000-0000F15F0000}"/>
    <cellStyle name="60% - Accent2 3 2 3 28" xfId="59557" xr:uid="{00000000-0005-0000-0000-0000F25F0000}"/>
    <cellStyle name="60% - Accent2 3 2 3 29" xfId="61240" xr:uid="{00000000-0005-0000-0000-0000F35F0000}"/>
    <cellStyle name="60% - Accent2 3 2 3 3" xfId="4015" xr:uid="{00000000-0005-0000-0000-0000F45F0000}"/>
    <cellStyle name="60% - Accent2 3 2 3 3 2" xfId="19164" xr:uid="{00000000-0005-0000-0000-0000F55F0000}"/>
    <cellStyle name="60% - Accent2 3 2 3 30" xfId="62923" xr:uid="{00000000-0005-0000-0000-0000F65F0000}"/>
    <cellStyle name="60% - Accent2 3 2 3 4" xfId="5698" xr:uid="{00000000-0005-0000-0000-0000F75F0000}"/>
    <cellStyle name="60% - Accent2 3 2 3 4 2" xfId="20847" xr:uid="{00000000-0005-0000-0000-0000F85F0000}"/>
    <cellStyle name="60% - Accent2 3 2 3 5" xfId="7381" xr:uid="{00000000-0005-0000-0000-0000F95F0000}"/>
    <cellStyle name="60% - Accent2 3 2 3 5 2" xfId="22530" xr:uid="{00000000-0005-0000-0000-0000FA5F0000}"/>
    <cellStyle name="60% - Accent2 3 2 3 6" xfId="9064" xr:uid="{00000000-0005-0000-0000-0000FB5F0000}"/>
    <cellStyle name="60% - Accent2 3 2 3 6 2" xfId="24213" xr:uid="{00000000-0005-0000-0000-0000FC5F0000}"/>
    <cellStyle name="60% - Accent2 3 2 3 7" xfId="10747" xr:uid="{00000000-0005-0000-0000-0000FD5F0000}"/>
    <cellStyle name="60% - Accent2 3 2 3 7 2" xfId="25896" xr:uid="{00000000-0005-0000-0000-0000FE5F0000}"/>
    <cellStyle name="60% - Accent2 3 2 3 8" xfId="12431" xr:uid="{00000000-0005-0000-0000-0000FF5F0000}"/>
    <cellStyle name="60% - Accent2 3 2 3 8 2" xfId="27580" xr:uid="{00000000-0005-0000-0000-000000600000}"/>
    <cellStyle name="60% - Accent2 3 2 3 9" xfId="14114" xr:uid="{00000000-0005-0000-0000-000001600000}"/>
    <cellStyle name="60% - Accent2 3 2 3 9 2" xfId="29263" xr:uid="{00000000-0005-0000-0000-000002600000}"/>
    <cellStyle name="60% - Accent2 3 2 30" xfId="55771" xr:uid="{00000000-0005-0000-0000-000003600000}"/>
    <cellStyle name="60% - Accent2 3 2 31" xfId="57454" xr:uid="{00000000-0005-0000-0000-000004600000}"/>
    <cellStyle name="60% - Accent2 3 2 32" xfId="59137" xr:uid="{00000000-0005-0000-0000-000005600000}"/>
    <cellStyle name="60% - Accent2 3 2 33" xfId="60820" xr:uid="{00000000-0005-0000-0000-000006600000}"/>
    <cellStyle name="60% - Accent2 3 2 34" xfId="62503" xr:uid="{00000000-0005-0000-0000-000007600000}"/>
    <cellStyle name="60% - Accent2 3 2 4" xfId="1069" xr:uid="{00000000-0005-0000-0000-000008600000}"/>
    <cellStyle name="60% - Accent2 3 2 4 10" xfId="16218" xr:uid="{00000000-0005-0000-0000-000009600000}"/>
    <cellStyle name="60% - Accent2 3 2 4 11" xfId="31367" xr:uid="{00000000-0005-0000-0000-00000A600000}"/>
    <cellStyle name="60% - Accent2 3 2 4 12" xfId="33050" xr:uid="{00000000-0005-0000-0000-00000B600000}"/>
    <cellStyle name="60% - Accent2 3 2 4 13" xfId="34733" xr:uid="{00000000-0005-0000-0000-00000C600000}"/>
    <cellStyle name="60% - Accent2 3 2 4 14" xfId="36416" xr:uid="{00000000-0005-0000-0000-00000D600000}"/>
    <cellStyle name="60% - Accent2 3 2 4 15" xfId="38099" xr:uid="{00000000-0005-0000-0000-00000E600000}"/>
    <cellStyle name="60% - Accent2 3 2 4 16" xfId="39782" xr:uid="{00000000-0005-0000-0000-00000F600000}"/>
    <cellStyle name="60% - Accent2 3 2 4 17" xfId="41465" xr:uid="{00000000-0005-0000-0000-000010600000}"/>
    <cellStyle name="60% - Accent2 3 2 4 18" xfId="43148" xr:uid="{00000000-0005-0000-0000-000011600000}"/>
    <cellStyle name="60% - Accent2 3 2 4 19" xfId="44831" xr:uid="{00000000-0005-0000-0000-000012600000}"/>
    <cellStyle name="60% - Accent2 3 2 4 2" xfId="2752" xr:uid="{00000000-0005-0000-0000-000013600000}"/>
    <cellStyle name="60% - Accent2 3 2 4 2 2" xfId="17901" xr:uid="{00000000-0005-0000-0000-000014600000}"/>
    <cellStyle name="60% - Accent2 3 2 4 20" xfId="46514" xr:uid="{00000000-0005-0000-0000-000015600000}"/>
    <cellStyle name="60% - Accent2 3 2 4 21" xfId="48197" xr:uid="{00000000-0005-0000-0000-000016600000}"/>
    <cellStyle name="60% - Accent2 3 2 4 22" xfId="49880" xr:uid="{00000000-0005-0000-0000-000017600000}"/>
    <cellStyle name="60% - Accent2 3 2 4 23" xfId="51563" xr:uid="{00000000-0005-0000-0000-000018600000}"/>
    <cellStyle name="60% - Accent2 3 2 4 24" xfId="53246" xr:uid="{00000000-0005-0000-0000-000019600000}"/>
    <cellStyle name="60% - Accent2 3 2 4 25" xfId="54929" xr:uid="{00000000-0005-0000-0000-00001A600000}"/>
    <cellStyle name="60% - Accent2 3 2 4 26" xfId="56612" xr:uid="{00000000-0005-0000-0000-00001B600000}"/>
    <cellStyle name="60% - Accent2 3 2 4 27" xfId="58295" xr:uid="{00000000-0005-0000-0000-00001C600000}"/>
    <cellStyle name="60% - Accent2 3 2 4 28" xfId="59978" xr:uid="{00000000-0005-0000-0000-00001D600000}"/>
    <cellStyle name="60% - Accent2 3 2 4 29" xfId="61661" xr:uid="{00000000-0005-0000-0000-00001E600000}"/>
    <cellStyle name="60% - Accent2 3 2 4 3" xfId="4436" xr:uid="{00000000-0005-0000-0000-00001F600000}"/>
    <cellStyle name="60% - Accent2 3 2 4 3 2" xfId="19585" xr:uid="{00000000-0005-0000-0000-000020600000}"/>
    <cellStyle name="60% - Accent2 3 2 4 30" xfId="63344" xr:uid="{00000000-0005-0000-0000-000021600000}"/>
    <cellStyle name="60% - Accent2 3 2 4 4" xfId="6119" xr:uid="{00000000-0005-0000-0000-000022600000}"/>
    <cellStyle name="60% - Accent2 3 2 4 4 2" xfId="21268" xr:uid="{00000000-0005-0000-0000-000023600000}"/>
    <cellStyle name="60% - Accent2 3 2 4 5" xfId="7802" xr:uid="{00000000-0005-0000-0000-000024600000}"/>
    <cellStyle name="60% - Accent2 3 2 4 5 2" xfId="22951" xr:uid="{00000000-0005-0000-0000-000025600000}"/>
    <cellStyle name="60% - Accent2 3 2 4 6" xfId="9485" xr:uid="{00000000-0005-0000-0000-000026600000}"/>
    <cellStyle name="60% - Accent2 3 2 4 6 2" xfId="24634" xr:uid="{00000000-0005-0000-0000-000027600000}"/>
    <cellStyle name="60% - Accent2 3 2 4 7" xfId="11168" xr:uid="{00000000-0005-0000-0000-000028600000}"/>
    <cellStyle name="60% - Accent2 3 2 4 7 2" xfId="26317" xr:uid="{00000000-0005-0000-0000-000029600000}"/>
    <cellStyle name="60% - Accent2 3 2 4 8" xfId="12852" xr:uid="{00000000-0005-0000-0000-00002A600000}"/>
    <cellStyle name="60% - Accent2 3 2 4 8 2" xfId="28001" xr:uid="{00000000-0005-0000-0000-00002B600000}"/>
    <cellStyle name="60% - Accent2 3 2 4 9" xfId="14535" xr:uid="{00000000-0005-0000-0000-00002C600000}"/>
    <cellStyle name="60% - Accent2 3 2 4 9 2" xfId="29684" xr:uid="{00000000-0005-0000-0000-00002D600000}"/>
    <cellStyle name="60% - Accent2 3 2 5" xfId="1490" xr:uid="{00000000-0005-0000-0000-00002E600000}"/>
    <cellStyle name="60% - Accent2 3 2 5 10" xfId="16639" xr:uid="{00000000-0005-0000-0000-00002F600000}"/>
    <cellStyle name="60% - Accent2 3 2 5 11" xfId="31788" xr:uid="{00000000-0005-0000-0000-000030600000}"/>
    <cellStyle name="60% - Accent2 3 2 5 12" xfId="33471" xr:uid="{00000000-0005-0000-0000-000031600000}"/>
    <cellStyle name="60% - Accent2 3 2 5 13" xfId="35154" xr:uid="{00000000-0005-0000-0000-000032600000}"/>
    <cellStyle name="60% - Accent2 3 2 5 14" xfId="36837" xr:uid="{00000000-0005-0000-0000-000033600000}"/>
    <cellStyle name="60% - Accent2 3 2 5 15" xfId="38520" xr:uid="{00000000-0005-0000-0000-000034600000}"/>
    <cellStyle name="60% - Accent2 3 2 5 16" xfId="40203" xr:uid="{00000000-0005-0000-0000-000035600000}"/>
    <cellStyle name="60% - Accent2 3 2 5 17" xfId="41886" xr:uid="{00000000-0005-0000-0000-000036600000}"/>
    <cellStyle name="60% - Accent2 3 2 5 18" xfId="43569" xr:uid="{00000000-0005-0000-0000-000037600000}"/>
    <cellStyle name="60% - Accent2 3 2 5 19" xfId="45252" xr:uid="{00000000-0005-0000-0000-000038600000}"/>
    <cellStyle name="60% - Accent2 3 2 5 2" xfId="3173" xr:uid="{00000000-0005-0000-0000-000039600000}"/>
    <cellStyle name="60% - Accent2 3 2 5 2 2" xfId="18322" xr:uid="{00000000-0005-0000-0000-00003A600000}"/>
    <cellStyle name="60% - Accent2 3 2 5 20" xfId="46935" xr:uid="{00000000-0005-0000-0000-00003B600000}"/>
    <cellStyle name="60% - Accent2 3 2 5 21" xfId="48618" xr:uid="{00000000-0005-0000-0000-00003C600000}"/>
    <cellStyle name="60% - Accent2 3 2 5 22" xfId="50301" xr:uid="{00000000-0005-0000-0000-00003D600000}"/>
    <cellStyle name="60% - Accent2 3 2 5 23" xfId="51984" xr:uid="{00000000-0005-0000-0000-00003E600000}"/>
    <cellStyle name="60% - Accent2 3 2 5 24" xfId="53667" xr:uid="{00000000-0005-0000-0000-00003F600000}"/>
    <cellStyle name="60% - Accent2 3 2 5 25" xfId="55350" xr:uid="{00000000-0005-0000-0000-000040600000}"/>
    <cellStyle name="60% - Accent2 3 2 5 26" xfId="57033" xr:uid="{00000000-0005-0000-0000-000041600000}"/>
    <cellStyle name="60% - Accent2 3 2 5 27" xfId="58716" xr:uid="{00000000-0005-0000-0000-000042600000}"/>
    <cellStyle name="60% - Accent2 3 2 5 28" xfId="60399" xr:uid="{00000000-0005-0000-0000-000043600000}"/>
    <cellStyle name="60% - Accent2 3 2 5 29" xfId="62082" xr:uid="{00000000-0005-0000-0000-000044600000}"/>
    <cellStyle name="60% - Accent2 3 2 5 3" xfId="4857" xr:uid="{00000000-0005-0000-0000-000045600000}"/>
    <cellStyle name="60% - Accent2 3 2 5 3 2" xfId="20006" xr:uid="{00000000-0005-0000-0000-000046600000}"/>
    <cellStyle name="60% - Accent2 3 2 5 30" xfId="63765" xr:uid="{00000000-0005-0000-0000-000047600000}"/>
    <cellStyle name="60% - Accent2 3 2 5 4" xfId="6540" xr:uid="{00000000-0005-0000-0000-000048600000}"/>
    <cellStyle name="60% - Accent2 3 2 5 4 2" xfId="21689" xr:uid="{00000000-0005-0000-0000-000049600000}"/>
    <cellStyle name="60% - Accent2 3 2 5 5" xfId="8223" xr:uid="{00000000-0005-0000-0000-00004A600000}"/>
    <cellStyle name="60% - Accent2 3 2 5 5 2" xfId="23372" xr:uid="{00000000-0005-0000-0000-00004B600000}"/>
    <cellStyle name="60% - Accent2 3 2 5 6" xfId="9906" xr:uid="{00000000-0005-0000-0000-00004C600000}"/>
    <cellStyle name="60% - Accent2 3 2 5 6 2" xfId="25055" xr:uid="{00000000-0005-0000-0000-00004D600000}"/>
    <cellStyle name="60% - Accent2 3 2 5 7" xfId="11589" xr:uid="{00000000-0005-0000-0000-00004E600000}"/>
    <cellStyle name="60% - Accent2 3 2 5 7 2" xfId="26738" xr:uid="{00000000-0005-0000-0000-00004F600000}"/>
    <cellStyle name="60% - Accent2 3 2 5 8" xfId="13273" xr:uid="{00000000-0005-0000-0000-000050600000}"/>
    <cellStyle name="60% - Accent2 3 2 5 8 2" xfId="28422" xr:uid="{00000000-0005-0000-0000-000051600000}"/>
    <cellStyle name="60% - Accent2 3 2 5 9" xfId="14956" xr:uid="{00000000-0005-0000-0000-000052600000}"/>
    <cellStyle name="60% - Accent2 3 2 5 9 2" xfId="30105" xr:uid="{00000000-0005-0000-0000-000053600000}"/>
    <cellStyle name="60% - Accent2 3 2 6" xfId="1911" xr:uid="{00000000-0005-0000-0000-000054600000}"/>
    <cellStyle name="60% - Accent2 3 2 6 2" xfId="17060" xr:uid="{00000000-0005-0000-0000-000055600000}"/>
    <cellStyle name="60% - Accent2 3 2 7" xfId="3595" xr:uid="{00000000-0005-0000-0000-000056600000}"/>
    <cellStyle name="60% - Accent2 3 2 7 2" xfId="18744" xr:uid="{00000000-0005-0000-0000-000057600000}"/>
    <cellStyle name="60% - Accent2 3 2 8" xfId="5278" xr:uid="{00000000-0005-0000-0000-000058600000}"/>
    <cellStyle name="60% - Accent2 3 2 8 2" xfId="20427" xr:uid="{00000000-0005-0000-0000-000059600000}"/>
    <cellStyle name="60% - Accent2 3 2 9" xfId="6961" xr:uid="{00000000-0005-0000-0000-00005A600000}"/>
    <cellStyle name="60% - Accent2 3 2 9 2" xfId="22110" xr:uid="{00000000-0005-0000-0000-00005B600000}"/>
    <cellStyle name="60% - Accent2 3 20" xfId="37153" xr:uid="{00000000-0005-0000-0000-00005C600000}"/>
    <cellStyle name="60% - Accent2 3 21" xfId="38836" xr:uid="{00000000-0005-0000-0000-00005D600000}"/>
    <cellStyle name="60% - Accent2 3 22" xfId="40519" xr:uid="{00000000-0005-0000-0000-00005E600000}"/>
    <cellStyle name="60% - Accent2 3 23" xfId="42202" xr:uid="{00000000-0005-0000-0000-00005F600000}"/>
    <cellStyle name="60% - Accent2 3 24" xfId="43885" xr:uid="{00000000-0005-0000-0000-000060600000}"/>
    <cellStyle name="60% - Accent2 3 25" xfId="45568" xr:uid="{00000000-0005-0000-0000-000061600000}"/>
    <cellStyle name="60% - Accent2 3 26" xfId="47251" xr:uid="{00000000-0005-0000-0000-000062600000}"/>
    <cellStyle name="60% - Accent2 3 27" xfId="48934" xr:uid="{00000000-0005-0000-0000-000063600000}"/>
    <cellStyle name="60% - Accent2 3 28" xfId="50617" xr:uid="{00000000-0005-0000-0000-000064600000}"/>
    <cellStyle name="60% - Accent2 3 29" xfId="52300" xr:uid="{00000000-0005-0000-0000-000065600000}"/>
    <cellStyle name="60% - Accent2 3 3" xfId="333" xr:uid="{00000000-0005-0000-0000-000066600000}"/>
    <cellStyle name="60% - Accent2 3 3 10" xfId="10432" xr:uid="{00000000-0005-0000-0000-000067600000}"/>
    <cellStyle name="60% - Accent2 3 3 10 2" xfId="25581" xr:uid="{00000000-0005-0000-0000-000068600000}"/>
    <cellStyle name="60% - Accent2 3 3 11" xfId="12116" xr:uid="{00000000-0005-0000-0000-000069600000}"/>
    <cellStyle name="60% - Accent2 3 3 11 2" xfId="27265" xr:uid="{00000000-0005-0000-0000-00006A600000}"/>
    <cellStyle name="60% - Accent2 3 3 12" xfId="13799" xr:uid="{00000000-0005-0000-0000-00006B600000}"/>
    <cellStyle name="60% - Accent2 3 3 12 2" xfId="28948" xr:uid="{00000000-0005-0000-0000-00006C600000}"/>
    <cellStyle name="60% - Accent2 3 3 13" xfId="15482" xr:uid="{00000000-0005-0000-0000-00006D600000}"/>
    <cellStyle name="60% - Accent2 3 3 14" xfId="30631" xr:uid="{00000000-0005-0000-0000-00006E600000}"/>
    <cellStyle name="60% - Accent2 3 3 15" xfId="32314" xr:uid="{00000000-0005-0000-0000-00006F600000}"/>
    <cellStyle name="60% - Accent2 3 3 16" xfId="33997" xr:uid="{00000000-0005-0000-0000-000070600000}"/>
    <cellStyle name="60% - Accent2 3 3 17" xfId="35680" xr:uid="{00000000-0005-0000-0000-000071600000}"/>
    <cellStyle name="60% - Accent2 3 3 18" xfId="37363" xr:uid="{00000000-0005-0000-0000-000072600000}"/>
    <cellStyle name="60% - Accent2 3 3 19" xfId="39046" xr:uid="{00000000-0005-0000-0000-000073600000}"/>
    <cellStyle name="60% - Accent2 3 3 2" xfId="753" xr:uid="{00000000-0005-0000-0000-000074600000}"/>
    <cellStyle name="60% - Accent2 3 3 2 10" xfId="15902" xr:uid="{00000000-0005-0000-0000-000075600000}"/>
    <cellStyle name="60% - Accent2 3 3 2 11" xfId="31051" xr:uid="{00000000-0005-0000-0000-000076600000}"/>
    <cellStyle name="60% - Accent2 3 3 2 12" xfId="32734" xr:uid="{00000000-0005-0000-0000-000077600000}"/>
    <cellStyle name="60% - Accent2 3 3 2 13" xfId="34417" xr:uid="{00000000-0005-0000-0000-000078600000}"/>
    <cellStyle name="60% - Accent2 3 3 2 14" xfId="36100" xr:uid="{00000000-0005-0000-0000-000079600000}"/>
    <cellStyle name="60% - Accent2 3 3 2 15" xfId="37783" xr:uid="{00000000-0005-0000-0000-00007A600000}"/>
    <cellStyle name="60% - Accent2 3 3 2 16" xfId="39466" xr:uid="{00000000-0005-0000-0000-00007B600000}"/>
    <cellStyle name="60% - Accent2 3 3 2 17" xfId="41149" xr:uid="{00000000-0005-0000-0000-00007C600000}"/>
    <cellStyle name="60% - Accent2 3 3 2 18" xfId="42832" xr:uid="{00000000-0005-0000-0000-00007D600000}"/>
    <cellStyle name="60% - Accent2 3 3 2 19" xfId="44515" xr:uid="{00000000-0005-0000-0000-00007E600000}"/>
    <cellStyle name="60% - Accent2 3 3 2 2" xfId="2436" xr:uid="{00000000-0005-0000-0000-00007F600000}"/>
    <cellStyle name="60% - Accent2 3 3 2 2 2" xfId="17585" xr:uid="{00000000-0005-0000-0000-000080600000}"/>
    <cellStyle name="60% - Accent2 3 3 2 20" xfId="46198" xr:uid="{00000000-0005-0000-0000-000081600000}"/>
    <cellStyle name="60% - Accent2 3 3 2 21" xfId="47881" xr:uid="{00000000-0005-0000-0000-000082600000}"/>
    <cellStyle name="60% - Accent2 3 3 2 22" xfId="49564" xr:uid="{00000000-0005-0000-0000-000083600000}"/>
    <cellStyle name="60% - Accent2 3 3 2 23" xfId="51247" xr:uid="{00000000-0005-0000-0000-000084600000}"/>
    <cellStyle name="60% - Accent2 3 3 2 24" xfId="52930" xr:uid="{00000000-0005-0000-0000-000085600000}"/>
    <cellStyle name="60% - Accent2 3 3 2 25" xfId="54613" xr:uid="{00000000-0005-0000-0000-000086600000}"/>
    <cellStyle name="60% - Accent2 3 3 2 26" xfId="56296" xr:uid="{00000000-0005-0000-0000-000087600000}"/>
    <cellStyle name="60% - Accent2 3 3 2 27" xfId="57979" xr:uid="{00000000-0005-0000-0000-000088600000}"/>
    <cellStyle name="60% - Accent2 3 3 2 28" xfId="59662" xr:uid="{00000000-0005-0000-0000-000089600000}"/>
    <cellStyle name="60% - Accent2 3 3 2 29" xfId="61345" xr:uid="{00000000-0005-0000-0000-00008A600000}"/>
    <cellStyle name="60% - Accent2 3 3 2 3" xfId="4120" xr:uid="{00000000-0005-0000-0000-00008B600000}"/>
    <cellStyle name="60% - Accent2 3 3 2 3 2" xfId="19269" xr:uid="{00000000-0005-0000-0000-00008C600000}"/>
    <cellStyle name="60% - Accent2 3 3 2 30" xfId="63028" xr:uid="{00000000-0005-0000-0000-00008D600000}"/>
    <cellStyle name="60% - Accent2 3 3 2 4" xfId="5803" xr:uid="{00000000-0005-0000-0000-00008E600000}"/>
    <cellStyle name="60% - Accent2 3 3 2 4 2" xfId="20952" xr:uid="{00000000-0005-0000-0000-00008F600000}"/>
    <cellStyle name="60% - Accent2 3 3 2 5" xfId="7486" xr:uid="{00000000-0005-0000-0000-000090600000}"/>
    <cellStyle name="60% - Accent2 3 3 2 5 2" xfId="22635" xr:uid="{00000000-0005-0000-0000-000091600000}"/>
    <cellStyle name="60% - Accent2 3 3 2 6" xfId="9169" xr:uid="{00000000-0005-0000-0000-000092600000}"/>
    <cellStyle name="60% - Accent2 3 3 2 6 2" xfId="24318" xr:uid="{00000000-0005-0000-0000-000093600000}"/>
    <cellStyle name="60% - Accent2 3 3 2 7" xfId="10852" xr:uid="{00000000-0005-0000-0000-000094600000}"/>
    <cellStyle name="60% - Accent2 3 3 2 7 2" xfId="26001" xr:uid="{00000000-0005-0000-0000-000095600000}"/>
    <cellStyle name="60% - Accent2 3 3 2 8" xfId="12536" xr:uid="{00000000-0005-0000-0000-000096600000}"/>
    <cellStyle name="60% - Accent2 3 3 2 8 2" xfId="27685" xr:uid="{00000000-0005-0000-0000-000097600000}"/>
    <cellStyle name="60% - Accent2 3 3 2 9" xfId="14219" xr:uid="{00000000-0005-0000-0000-000098600000}"/>
    <cellStyle name="60% - Accent2 3 3 2 9 2" xfId="29368" xr:uid="{00000000-0005-0000-0000-000099600000}"/>
    <cellStyle name="60% - Accent2 3 3 20" xfId="40729" xr:uid="{00000000-0005-0000-0000-00009A600000}"/>
    <cellStyle name="60% - Accent2 3 3 21" xfId="42412" xr:uid="{00000000-0005-0000-0000-00009B600000}"/>
    <cellStyle name="60% - Accent2 3 3 22" xfId="44095" xr:uid="{00000000-0005-0000-0000-00009C600000}"/>
    <cellStyle name="60% - Accent2 3 3 23" xfId="45778" xr:uid="{00000000-0005-0000-0000-00009D600000}"/>
    <cellStyle name="60% - Accent2 3 3 24" xfId="47461" xr:uid="{00000000-0005-0000-0000-00009E600000}"/>
    <cellStyle name="60% - Accent2 3 3 25" xfId="49144" xr:uid="{00000000-0005-0000-0000-00009F600000}"/>
    <cellStyle name="60% - Accent2 3 3 26" xfId="50827" xr:uid="{00000000-0005-0000-0000-0000A0600000}"/>
    <cellStyle name="60% - Accent2 3 3 27" xfId="52510" xr:uid="{00000000-0005-0000-0000-0000A1600000}"/>
    <cellStyle name="60% - Accent2 3 3 28" xfId="54193" xr:uid="{00000000-0005-0000-0000-0000A2600000}"/>
    <cellStyle name="60% - Accent2 3 3 29" xfId="55876" xr:uid="{00000000-0005-0000-0000-0000A3600000}"/>
    <cellStyle name="60% - Accent2 3 3 3" xfId="1174" xr:uid="{00000000-0005-0000-0000-0000A4600000}"/>
    <cellStyle name="60% - Accent2 3 3 3 10" xfId="16323" xr:uid="{00000000-0005-0000-0000-0000A5600000}"/>
    <cellStyle name="60% - Accent2 3 3 3 11" xfId="31472" xr:uid="{00000000-0005-0000-0000-0000A6600000}"/>
    <cellStyle name="60% - Accent2 3 3 3 12" xfId="33155" xr:uid="{00000000-0005-0000-0000-0000A7600000}"/>
    <cellStyle name="60% - Accent2 3 3 3 13" xfId="34838" xr:uid="{00000000-0005-0000-0000-0000A8600000}"/>
    <cellStyle name="60% - Accent2 3 3 3 14" xfId="36521" xr:uid="{00000000-0005-0000-0000-0000A9600000}"/>
    <cellStyle name="60% - Accent2 3 3 3 15" xfId="38204" xr:uid="{00000000-0005-0000-0000-0000AA600000}"/>
    <cellStyle name="60% - Accent2 3 3 3 16" xfId="39887" xr:uid="{00000000-0005-0000-0000-0000AB600000}"/>
    <cellStyle name="60% - Accent2 3 3 3 17" xfId="41570" xr:uid="{00000000-0005-0000-0000-0000AC600000}"/>
    <cellStyle name="60% - Accent2 3 3 3 18" xfId="43253" xr:uid="{00000000-0005-0000-0000-0000AD600000}"/>
    <cellStyle name="60% - Accent2 3 3 3 19" xfId="44936" xr:uid="{00000000-0005-0000-0000-0000AE600000}"/>
    <cellStyle name="60% - Accent2 3 3 3 2" xfId="2857" xr:uid="{00000000-0005-0000-0000-0000AF600000}"/>
    <cellStyle name="60% - Accent2 3 3 3 2 2" xfId="18006" xr:uid="{00000000-0005-0000-0000-0000B0600000}"/>
    <cellStyle name="60% - Accent2 3 3 3 20" xfId="46619" xr:uid="{00000000-0005-0000-0000-0000B1600000}"/>
    <cellStyle name="60% - Accent2 3 3 3 21" xfId="48302" xr:uid="{00000000-0005-0000-0000-0000B2600000}"/>
    <cellStyle name="60% - Accent2 3 3 3 22" xfId="49985" xr:uid="{00000000-0005-0000-0000-0000B3600000}"/>
    <cellStyle name="60% - Accent2 3 3 3 23" xfId="51668" xr:uid="{00000000-0005-0000-0000-0000B4600000}"/>
    <cellStyle name="60% - Accent2 3 3 3 24" xfId="53351" xr:uid="{00000000-0005-0000-0000-0000B5600000}"/>
    <cellStyle name="60% - Accent2 3 3 3 25" xfId="55034" xr:uid="{00000000-0005-0000-0000-0000B6600000}"/>
    <cellStyle name="60% - Accent2 3 3 3 26" xfId="56717" xr:uid="{00000000-0005-0000-0000-0000B7600000}"/>
    <cellStyle name="60% - Accent2 3 3 3 27" xfId="58400" xr:uid="{00000000-0005-0000-0000-0000B8600000}"/>
    <cellStyle name="60% - Accent2 3 3 3 28" xfId="60083" xr:uid="{00000000-0005-0000-0000-0000B9600000}"/>
    <cellStyle name="60% - Accent2 3 3 3 29" xfId="61766" xr:uid="{00000000-0005-0000-0000-0000BA600000}"/>
    <cellStyle name="60% - Accent2 3 3 3 3" xfId="4541" xr:uid="{00000000-0005-0000-0000-0000BB600000}"/>
    <cellStyle name="60% - Accent2 3 3 3 3 2" xfId="19690" xr:uid="{00000000-0005-0000-0000-0000BC600000}"/>
    <cellStyle name="60% - Accent2 3 3 3 30" xfId="63449" xr:uid="{00000000-0005-0000-0000-0000BD600000}"/>
    <cellStyle name="60% - Accent2 3 3 3 4" xfId="6224" xr:uid="{00000000-0005-0000-0000-0000BE600000}"/>
    <cellStyle name="60% - Accent2 3 3 3 4 2" xfId="21373" xr:uid="{00000000-0005-0000-0000-0000BF600000}"/>
    <cellStyle name="60% - Accent2 3 3 3 5" xfId="7907" xr:uid="{00000000-0005-0000-0000-0000C0600000}"/>
    <cellStyle name="60% - Accent2 3 3 3 5 2" xfId="23056" xr:uid="{00000000-0005-0000-0000-0000C1600000}"/>
    <cellStyle name="60% - Accent2 3 3 3 6" xfId="9590" xr:uid="{00000000-0005-0000-0000-0000C2600000}"/>
    <cellStyle name="60% - Accent2 3 3 3 6 2" xfId="24739" xr:uid="{00000000-0005-0000-0000-0000C3600000}"/>
    <cellStyle name="60% - Accent2 3 3 3 7" xfId="11273" xr:uid="{00000000-0005-0000-0000-0000C4600000}"/>
    <cellStyle name="60% - Accent2 3 3 3 7 2" xfId="26422" xr:uid="{00000000-0005-0000-0000-0000C5600000}"/>
    <cellStyle name="60% - Accent2 3 3 3 8" xfId="12957" xr:uid="{00000000-0005-0000-0000-0000C6600000}"/>
    <cellStyle name="60% - Accent2 3 3 3 8 2" xfId="28106" xr:uid="{00000000-0005-0000-0000-0000C7600000}"/>
    <cellStyle name="60% - Accent2 3 3 3 9" xfId="14640" xr:uid="{00000000-0005-0000-0000-0000C8600000}"/>
    <cellStyle name="60% - Accent2 3 3 3 9 2" xfId="29789" xr:uid="{00000000-0005-0000-0000-0000C9600000}"/>
    <cellStyle name="60% - Accent2 3 3 30" xfId="57559" xr:uid="{00000000-0005-0000-0000-0000CA600000}"/>
    <cellStyle name="60% - Accent2 3 3 31" xfId="59242" xr:uid="{00000000-0005-0000-0000-0000CB600000}"/>
    <cellStyle name="60% - Accent2 3 3 32" xfId="60925" xr:uid="{00000000-0005-0000-0000-0000CC600000}"/>
    <cellStyle name="60% - Accent2 3 3 33" xfId="62608" xr:uid="{00000000-0005-0000-0000-0000CD600000}"/>
    <cellStyle name="60% - Accent2 3 3 4" xfId="1595" xr:uid="{00000000-0005-0000-0000-0000CE600000}"/>
    <cellStyle name="60% - Accent2 3 3 4 10" xfId="16744" xr:uid="{00000000-0005-0000-0000-0000CF600000}"/>
    <cellStyle name="60% - Accent2 3 3 4 11" xfId="31893" xr:uid="{00000000-0005-0000-0000-0000D0600000}"/>
    <cellStyle name="60% - Accent2 3 3 4 12" xfId="33576" xr:uid="{00000000-0005-0000-0000-0000D1600000}"/>
    <cellStyle name="60% - Accent2 3 3 4 13" xfId="35259" xr:uid="{00000000-0005-0000-0000-0000D2600000}"/>
    <cellStyle name="60% - Accent2 3 3 4 14" xfId="36942" xr:uid="{00000000-0005-0000-0000-0000D3600000}"/>
    <cellStyle name="60% - Accent2 3 3 4 15" xfId="38625" xr:uid="{00000000-0005-0000-0000-0000D4600000}"/>
    <cellStyle name="60% - Accent2 3 3 4 16" xfId="40308" xr:uid="{00000000-0005-0000-0000-0000D5600000}"/>
    <cellStyle name="60% - Accent2 3 3 4 17" xfId="41991" xr:uid="{00000000-0005-0000-0000-0000D6600000}"/>
    <cellStyle name="60% - Accent2 3 3 4 18" xfId="43674" xr:uid="{00000000-0005-0000-0000-0000D7600000}"/>
    <cellStyle name="60% - Accent2 3 3 4 19" xfId="45357" xr:uid="{00000000-0005-0000-0000-0000D8600000}"/>
    <cellStyle name="60% - Accent2 3 3 4 2" xfId="3278" xr:uid="{00000000-0005-0000-0000-0000D9600000}"/>
    <cellStyle name="60% - Accent2 3 3 4 2 2" xfId="18427" xr:uid="{00000000-0005-0000-0000-0000DA600000}"/>
    <cellStyle name="60% - Accent2 3 3 4 20" xfId="47040" xr:uid="{00000000-0005-0000-0000-0000DB600000}"/>
    <cellStyle name="60% - Accent2 3 3 4 21" xfId="48723" xr:uid="{00000000-0005-0000-0000-0000DC600000}"/>
    <cellStyle name="60% - Accent2 3 3 4 22" xfId="50406" xr:uid="{00000000-0005-0000-0000-0000DD600000}"/>
    <cellStyle name="60% - Accent2 3 3 4 23" xfId="52089" xr:uid="{00000000-0005-0000-0000-0000DE600000}"/>
    <cellStyle name="60% - Accent2 3 3 4 24" xfId="53772" xr:uid="{00000000-0005-0000-0000-0000DF600000}"/>
    <cellStyle name="60% - Accent2 3 3 4 25" xfId="55455" xr:uid="{00000000-0005-0000-0000-0000E0600000}"/>
    <cellStyle name="60% - Accent2 3 3 4 26" xfId="57138" xr:uid="{00000000-0005-0000-0000-0000E1600000}"/>
    <cellStyle name="60% - Accent2 3 3 4 27" xfId="58821" xr:uid="{00000000-0005-0000-0000-0000E2600000}"/>
    <cellStyle name="60% - Accent2 3 3 4 28" xfId="60504" xr:uid="{00000000-0005-0000-0000-0000E3600000}"/>
    <cellStyle name="60% - Accent2 3 3 4 29" xfId="62187" xr:uid="{00000000-0005-0000-0000-0000E4600000}"/>
    <cellStyle name="60% - Accent2 3 3 4 3" xfId="4962" xr:uid="{00000000-0005-0000-0000-0000E5600000}"/>
    <cellStyle name="60% - Accent2 3 3 4 3 2" xfId="20111" xr:uid="{00000000-0005-0000-0000-0000E6600000}"/>
    <cellStyle name="60% - Accent2 3 3 4 30" xfId="63870" xr:uid="{00000000-0005-0000-0000-0000E7600000}"/>
    <cellStyle name="60% - Accent2 3 3 4 4" xfId="6645" xr:uid="{00000000-0005-0000-0000-0000E8600000}"/>
    <cellStyle name="60% - Accent2 3 3 4 4 2" xfId="21794" xr:uid="{00000000-0005-0000-0000-0000E9600000}"/>
    <cellStyle name="60% - Accent2 3 3 4 5" xfId="8328" xr:uid="{00000000-0005-0000-0000-0000EA600000}"/>
    <cellStyle name="60% - Accent2 3 3 4 5 2" xfId="23477" xr:uid="{00000000-0005-0000-0000-0000EB600000}"/>
    <cellStyle name="60% - Accent2 3 3 4 6" xfId="10011" xr:uid="{00000000-0005-0000-0000-0000EC600000}"/>
    <cellStyle name="60% - Accent2 3 3 4 6 2" xfId="25160" xr:uid="{00000000-0005-0000-0000-0000ED600000}"/>
    <cellStyle name="60% - Accent2 3 3 4 7" xfId="11694" xr:uid="{00000000-0005-0000-0000-0000EE600000}"/>
    <cellStyle name="60% - Accent2 3 3 4 7 2" xfId="26843" xr:uid="{00000000-0005-0000-0000-0000EF600000}"/>
    <cellStyle name="60% - Accent2 3 3 4 8" xfId="13378" xr:uid="{00000000-0005-0000-0000-0000F0600000}"/>
    <cellStyle name="60% - Accent2 3 3 4 8 2" xfId="28527" xr:uid="{00000000-0005-0000-0000-0000F1600000}"/>
    <cellStyle name="60% - Accent2 3 3 4 9" xfId="15061" xr:uid="{00000000-0005-0000-0000-0000F2600000}"/>
    <cellStyle name="60% - Accent2 3 3 4 9 2" xfId="30210" xr:uid="{00000000-0005-0000-0000-0000F3600000}"/>
    <cellStyle name="60% - Accent2 3 3 5" xfId="2016" xr:uid="{00000000-0005-0000-0000-0000F4600000}"/>
    <cellStyle name="60% - Accent2 3 3 5 2" xfId="17165" xr:uid="{00000000-0005-0000-0000-0000F5600000}"/>
    <cellStyle name="60% - Accent2 3 3 6" xfId="3700" xr:uid="{00000000-0005-0000-0000-0000F6600000}"/>
    <cellStyle name="60% - Accent2 3 3 6 2" xfId="18849" xr:uid="{00000000-0005-0000-0000-0000F7600000}"/>
    <cellStyle name="60% - Accent2 3 3 7" xfId="5383" xr:uid="{00000000-0005-0000-0000-0000F8600000}"/>
    <cellStyle name="60% - Accent2 3 3 7 2" xfId="20532" xr:uid="{00000000-0005-0000-0000-0000F9600000}"/>
    <cellStyle name="60% - Accent2 3 3 8" xfId="7066" xr:uid="{00000000-0005-0000-0000-0000FA600000}"/>
    <cellStyle name="60% - Accent2 3 3 8 2" xfId="22215" xr:uid="{00000000-0005-0000-0000-0000FB600000}"/>
    <cellStyle name="60% - Accent2 3 3 9" xfId="8749" xr:uid="{00000000-0005-0000-0000-0000FC600000}"/>
    <cellStyle name="60% - Accent2 3 3 9 2" xfId="23898" xr:uid="{00000000-0005-0000-0000-0000FD600000}"/>
    <cellStyle name="60% - Accent2 3 30" xfId="53983" xr:uid="{00000000-0005-0000-0000-0000FE600000}"/>
    <cellStyle name="60% - Accent2 3 31" xfId="55666" xr:uid="{00000000-0005-0000-0000-0000FF600000}"/>
    <cellStyle name="60% - Accent2 3 32" xfId="57349" xr:uid="{00000000-0005-0000-0000-000000610000}"/>
    <cellStyle name="60% - Accent2 3 33" xfId="59032" xr:uid="{00000000-0005-0000-0000-000001610000}"/>
    <cellStyle name="60% - Accent2 3 34" xfId="60715" xr:uid="{00000000-0005-0000-0000-000002610000}"/>
    <cellStyle name="60% - Accent2 3 35" xfId="62398" xr:uid="{00000000-0005-0000-0000-000003610000}"/>
    <cellStyle name="60% - Accent2 3 4" xfId="543" xr:uid="{00000000-0005-0000-0000-000004610000}"/>
    <cellStyle name="60% - Accent2 3 4 10" xfId="15692" xr:uid="{00000000-0005-0000-0000-000005610000}"/>
    <cellStyle name="60% - Accent2 3 4 11" xfId="30841" xr:uid="{00000000-0005-0000-0000-000006610000}"/>
    <cellStyle name="60% - Accent2 3 4 12" xfId="32524" xr:uid="{00000000-0005-0000-0000-000007610000}"/>
    <cellStyle name="60% - Accent2 3 4 13" xfId="34207" xr:uid="{00000000-0005-0000-0000-000008610000}"/>
    <cellStyle name="60% - Accent2 3 4 14" xfId="35890" xr:uid="{00000000-0005-0000-0000-000009610000}"/>
    <cellStyle name="60% - Accent2 3 4 15" xfId="37573" xr:uid="{00000000-0005-0000-0000-00000A610000}"/>
    <cellStyle name="60% - Accent2 3 4 16" xfId="39256" xr:uid="{00000000-0005-0000-0000-00000B610000}"/>
    <cellStyle name="60% - Accent2 3 4 17" xfId="40939" xr:uid="{00000000-0005-0000-0000-00000C610000}"/>
    <cellStyle name="60% - Accent2 3 4 18" xfId="42622" xr:uid="{00000000-0005-0000-0000-00000D610000}"/>
    <cellStyle name="60% - Accent2 3 4 19" xfId="44305" xr:uid="{00000000-0005-0000-0000-00000E610000}"/>
    <cellStyle name="60% - Accent2 3 4 2" xfId="2226" xr:uid="{00000000-0005-0000-0000-00000F610000}"/>
    <cellStyle name="60% - Accent2 3 4 2 2" xfId="17375" xr:uid="{00000000-0005-0000-0000-000010610000}"/>
    <cellStyle name="60% - Accent2 3 4 20" xfId="45988" xr:uid="{00000000-0005-0000-0000-000011610000}"/>
    <cellStyle name="60% - Accent2 3 4 21" xfId="47671" xr:uid="{00000000-0005-0000-0000-000012610000}"/>
    <cellStyle name="60% - Accent2 3 4 22" xfId="49354" xr:uid="{00000000-0005-0000-0000-000013610000}"/>
    <cellStyle name="60% - Accent2 3 4 23" xfId="51037" xr:uid="{00000000-0005-0000-0000-000014610000}"/>
    <cellStyle name="60% - Accent2 3 4 24" xfId="52720" xr:uid="{00000000-0005-0000-0000-000015610000}"/>
    <cellStyle name="60% - Accent2 3 4 25" xfId="54403" xr:uid="{00000000-0005-0000-0000-000016610000}"/>
    <cellStyle name="60% - Accent2 3 4 26" xfId="56086" xr:uid="{00000000-0005-0000-0000-000017610000}"/>
    <cellStyle name="60% - Accent2 3 4 27" xfId="57769" xr:uid="{00000000-0005-0000-0000-000018610000}"/>
    <cellStyle name="60% - Accent2 3 4 28" xfId="59452" xr:uid="{00000000-0005-0000-0000-000019610000}"/>
    <cellStyle name="60% - Accent2 3 4 29" xfId="61135" xr:uid="{00000000-0005-0000-0000-00001A610000}"/>
    <cellStyle name="60% - Accent2 3 4 3" xfId="3910" xr:uid="{00000000-0005-0000-0000-00001B610000}"/>
    <cellStyle name="60% - Accent2 3 4 3 2" xfId="19059" xr:uid="{00000000-0005-0000-0000-00001C610000}"/>
    <cellStyle name="60% - Accent2 3 4 30" xfId="62818" xr:uid="{00000000-0005-0000-0000-00001D610000}"/>
    <cellStyle name="60% - Accent2 3 4 4" xfId="5593" xr:uid="{00000000-0005-0000-0000-00001E610000}"/>
    <cellStyle name="60% - Accent2 3 4 4 2" xfId="20742" xr:uid="{00000000-0005-0000-0000-00001F610000}"/>
    <cellStyle name="60% - Accent2 3 4 5" xfId="7276" xr:uid="{00000000-0005-0000-0000-000020610000}"/>
    <cellStyle name="60% - Accent2 3 4 5 2" xfId="22425" xr:uid="{00000000-0005-0000-0000-000021610000}"/>
    <cellStyle name="60% - Accent2 3 4 6" xfId="8959" xr:uid="{00000000-0005-0000-0000-000022610000}"/>
    <cellStyle name="60% - Accent2 3 4 6 2" xfId="24108" xr:uid="{00000000-0005-0000-0000-000023610000}"/>
    <cellStyle name="60% - Accent2 3 4 7" xfId="10642" xr:uid="{00000000-0005-0000-0000-000024610000}"/>
    <cellStyle name="60% - Accent2 3 4 7 2" xfId="25791" xr:uid="{00000000-0005-0000-0000-000025610000}"/>
    <cellStyle name="60% - Accent2 3 4 8" xfId="12326" xr:uid="{00000000-0005-0000-0000-000026610000}"/>
    <cellStyle name="60% - Accent2 3 4 8 2" xfId="27475" xr:uid="{00000000-0005-0000-0000-000027610000}"/>
    <cellStyle name="60% - Accent2 3 4 9" xfId="14009" xr:uid="{00000000-0005-0000-0000-000028610000}"/>
    <cellStyle name="60% - Accent2 3 4 9 2" xfId="29158" xr:uid="{00000000-0005-0000-0000-000029610000}"/>
    <cellStyle name="60% - Accent2 3 5" xfId="964" xr:uid="{00000000-0005-0000-0000-00002A610000}"/>
    <cellStyle name="60% - Accent2 3 5 10" xfId="16113" xr:uid="{00000000-0005-0000-0000-00002B610000}"/>
    <cellStyle name="60% - Accent2 3 5 11" xfId="31262" xr:uid="{00000000-0005-0000-0000-00002C610000}"/>
    <cellStyle name="60% - Accent2 3 5 12" xfId="32945" xr:uid="{00000000-0005-0000-0000-00002D610000}"/>
    <cellStyle name="60% - Accent2 3 5 13" xfId="34628" xr:uid="{00000000-0005-0000-0000-00002E610000}"/>
    <cellStyle name="60% - Accent2 3 5 14" xfId="36311" xr:uid="{00000000-0005-0000-0000-00002F610000}"/>
    <cellStyle name="60% - Accent2 3 5 15" xfId="37994" xr:uid="{00000000-0005-0000-0000-000030610000}"/>
    <cellStyle name="60% - Accent2 3 5 16" xfId="39677" xr:uid="{00000000-0005-0000-0000-000031610000}"/>
    <cellStyle name="60% - Accent2 3 5 17" xfId="41360" xr:uid="{00000000-0005-0000-0000-000032610000}"/>
    <cellStyle name="60% - Accent2 3 5 18" xfId="43043" xr:uid="{00000000-0005-0000-0000-000033610000}"/>
    <cellStyle name="60% - Accent2 3 5 19" xfId="44726" xr:uid="{00000000-0005-0000-0000-000034610000}"/>
    <cellStyle name="60% - Accent2 3 5 2" xfId="2647" xr:uid="{00000000-0005-0000-0000-000035610000}"/>
    <cellStyle name="60% - Accent2 3 5 2 2" xfId="17796" xr:uid="{00000000-0005-0000-0000-000036610000}"/>
    <cellStyle name="60% - Accent2 3 5 20" xfId="46409" xr:uid="{00000000-0005-0000-0000-000037610000}"/>
    <cellStyle name="60% - Accent2 3 5 21" xfId="48092" xr:uid="{00000000-0005-0000-0000-000038610000}"/>
    <cellStyle name="60% - Accent2 3 5 22" xfId="49775" xr:uid="{00000000-0005-0000-0000-000039610000}"/>
    <cellStyle name="60% - Accent2 3 5 23" xfId="51458" xr:uid="{00000000-0005-0000-0000-00003A610000}"/>
    <cellStyle name="60% - Accent2 3 5 24" xfId="53141" xr:uid="{00000000-0005-0000-0000-00003B610000}"/>
    <cellStyle name="60% - Accent2 3 5 25" xfId="54824" xr:uid="{00000000-0005-0000-0000-00003C610000}"/>
    <cellStyle name="60% - Accent2 3 5 26" xfId="56507" xr:uid="{00000000-0005-0000-0000-00003D610000}"/>
    <cellStyle name="60% - Accent2 3 5 27" xfId="58190" xr:uid="{00000000-0005-0000-0000-00003E610000}"/>
    <cellStyle name="60% - Accent2 3 5 28" xfId="59873" xr:uid="{00000000-0005-0000-0000-00003F610000}"/>
    <cellStyle name="60% - Accent2 3 5 29" xfId="61556" xr:uid="{00000000-0005-0000-0000-000040610000}"/>
    <cellStyle name="60% - Accent2 3 5 3" xfId="4331" xr:uid="{00000000-0005-0000-0000-000041610000}"/>
    <cellStyle name="60% - Accent2 3 5 3 2" xfId="19480" xr:uid="{00000000-0005-0000-0000-000042610000}"/>
    <cellStyle name="60% - Accent2 3 5 30" xfId="63239" xr:uid="{00000000-0005-0000-0000-000043610000}"/>
    <cellStyle name="60% - Accent2 3 5 4" xfId="6014" xr:uid="{00000000-0005-0000-0000-000044610000}"/>
    <cellStyle name="60% - Accent2 3 5 4 2" xfId="21163" xr:uid="{00000000-0005-0000-0000-000045610000}"/>
    <cellStyle name="60% - Accent2 3 5 5" xfId="7697" xr:uid="{00000000-0005-0000-0000-000046610000}"/>
    <cellStyle name="60% - Accent2 3 5 5 2" xfId="22846" xr:uid="{00000000-0005-0000-0000-000047610000}"/>
    <cellStyle name="60% - Accent2 3 5 6" xfId="9380" xr:uid="{00000000-0005-0000-0000-000048610000}"/>
    <cellStyle name="60% - Accent2 3 5 6 2" xfId="24529" xr:uid="{00000000-0005-0000-0000-000049610000}"/>
    <cellStyle name="60% - Accent2 3 5 7" xfId="11063" xr:uid="{00000000-0005-0000-0000-00004A610000}"/>
    <cellStyle name="60% - Accent2 3 5 7 2" xfId="26212" xr:uid="{00000000-0005-0000-0000-00004B610000}"/>
    <cellStyle name="60% - Accent2 3 5 8" xfId="12747" xr:uid="{00000000-0005-0000-0000-00004C610000}"/>
    <cellStyle name="60% - Accent2 3 5 8 2" xfId="27896" xr:uid="{00000000-0005-0000-0000-00004D610000}"/>
    <cellStyle name="60% - Accent2 3 5 9" xfId="14430" xr:uid="{00000000-0005-0000-0000-00004E610000}"/>
    <cellStyle name="60% - Accent2 3 5 9 2" xfId="29579" xr:uid="{00000000-0005-0000-0000-00004F610000}"/>
    <cellStyle name="60% - Accent2 3 6" xfId="1385" xr:uid="{00000000-0005-0000-0000-000050610000}"/>
    <cellStyle name="60% - Accent2 3 6 10" xfId="16534" xr:uid="{00000000-0005-0000-0000-000051610000}"/>
    <cellStyle name="60% - Accent2 3 6 11" xfId="31683" xr:uid="{00000000-0005-0000-0000-000052610000}"/>
    <cellStyle name="60% - Accent2 3 6 12" xfId="33366" xr:uid="{00000000-0005-0000-0000-000053610000}"/>
    <cellStyle name="60% - Accent2 3 6 13" xfId="35049" xr:uid="{00000000-0005-0000-0000-000054610000}"/>
    <cellStyle name="60% - Accent2 3 6 14" xfId="36732" xr:uid="{00000000-0005-0000-0000-000055610000}"/>
    <cellStyle name="60% - Accent2 3 6 15" xfId="38415" xr:uid="{00000000-0005-0000-0000-000056610000}"/>
    <cellStyle name="60% - Accent2 3 6 16" xfId="40098" xr:uid="{00000000-0005-0000-0000-000057610000}"/>
    <cellStyle name="60% - Accent2 3 6 17" xfId="41781" xr:uid="{00000000-0005-0000-0000-000058610000}"/>
    <cellStyle name="60% - Accent2 3 6 18" xfId="43464" xr:uid="{00000000-0005-0000-0000-000059610000}"/>
    <cellStyle name="60% - Accent2 3 6 19" xfId="45147" xr:uid="{00000000-0005-0000-0000-00005A610000}"/>
    <cellStyle name="60% - Accent2 3 6 2" xfId="3068" xr:uid="{00000000-0005-0000-0000-00005B610000}"/>
    <cellStyle name="60% - Accent2 3 6 2 2" xfId="18217" xr:uid="{00000000-0005-0000-0000-00005C610000}"/>
    <cellStyle name="60% - Accent2 3 6 20" xfId="46830" xr:uid="{00000000-0005-0000-0000-00005D610000}"/>
    <cellStyle name="60% - Accent2 3 6 21" xfId="48513" xr:uid="{00000000-0005-0000-0000-00005E610000}"/>
    <cellStyle name="60% - Accent2 3 6 22" xfId="50196" xr:uid="{00000000-0005-0000-0000-00005F610000}"/>
    <cellStyle name="60% - Accent2 3 6 23" xfId="51879" xr:uid="{00000000-0005-0000-0000-000060610000}"/>
    <cellStyle name="60% - Accent2 3 6 24" xfId="53562" xr:uid="{00000000-0005-0000-0000-000061610000}"/>
    <cellStyle name="60% - Accent2 3 6 25" xfId="55245" xr:uid="{00000000-0005-0000-0000-000062610000}"/>
    <cellStyle name="60% - Accent2 3 6 26" xfId="56928" xr:uid="{00000000-0005-0000-0000-000063610000}"/>
    <cellStyle name="60% - Accent2 3 6 27" xfId="58611" xr:uid="{00000000-0005-0000-0000-000064610000}"/>
    <cellStyle name="60% - Accent2 3 6 28" xfId="60294" xr:uid="{00000000-0005-0000-0000-000065610000}"/>
    <cellStyle name="60% - Accent2 3 6 29" xfId="61977" xr:uid="{00000000-0005-0000-0000-000066610000}"/>
    <cellStyle name="60% - Accent2 3 6 3" xfId="4752" xr:uid="{00000000-0005-0000-0000-000067610000}"/>
    <cellStyle name="60% - Accent2 3 6 3 2" xfId="19901" xr:uid="{00000000-0005-0000-0000-000068610000}"/>
    <cellStyle name="60% - Accent2 3 6 30" xfId="63660" xr:uid="{00000000-0005-0000-0000-000069610000}"/>
    <cellStyle name="60% - Accent2 3 6 4" xfId="6435" xr:uid="{00000000-0005-0000-0000-00006A610000}"/>
    <cellStyle name="60% - Accent2 3 6 4 2" xfId="21584" xr:uid="{00000000-0005-0000-0000-00006B610000}"/>
    <cellStyle name="60% - Accent2 3 6 5" xfId="8118" xr:uid="{00000000-0005-0000-0000-00006C610000}"/>
    <cellStyle name="60% - Accent2 3 6 5 2" xfId="23267" xr:uid="{00000000-0005-0000-0000-00006D610000}"/>
    <cellStyle name="60% - Accent2 3 6 6" xfId="9801" xr:uid="{00000000-0005-0000-0000-00006E610000}"/>
    <cellStyle name="60% - Accent2 3 6 6 2" xfId="24950" xr:uid="{00000000-0005-0000-0000-00006F610000}"/>
    <cellStyle name="60% - Accent2 3 6 7" xfId="11484" xr:uid="{00000000-0005-0000-0000-000070610000}"/>
    <cellStyle name="60% - Accent2 3 6 7 2" xfId="26633" xr:uid="{00000000-0005-0000-0000-000071610000}"/>
    <cellStyle name="60% - Accent2 3 6 8" xfId="13168" xr:uid="{00000000-0005-0000-0000-000072610000}"/>
    <cellStyle name="60% - Accent2 3 6 8 2" xfId="28317" xr:uid="{00000000-0005-0000-0000-000073610000}"/>
    <cellStyle name="60% - Accent2 3 6 9" xfId="14851" xr:uid="{00000000-0005-0000-0000-000074610000}"/>
    <cellStyle name="60% - Accent2 3 6 9 2" xfId="30000" xr:uid="{00000000-0005-0000-0000-000075610000}"/>
    <cellStyle name="60% - Accent2 3 7" xfId="1806" xr:uid="{00000000-0005-0000-0000-000076610000}"/>
    <cellStyle name="60% - Accent2 3 7 2" xfId="16955" xr:uid="{00000000-0005-0000-0000-000077610000}"/>
    <cellStyle name="60% - Accent2 3 8" xfId="3490" xr:uid="{00000000-0005-0000-0000-000078610000}"/>
    <cellStyle name="60% - Accent2 3 8 2" xfId="18639" xr:uid="{00000000-0005-0000-0000-000079610000}"/>
    <cellStyle name="60% - Accent2 3 9" xfId="5173" xr:uid="{00000000-0005-0000-0000-00007A610000}"/>
    <cellStyle name="60% - Accent2 3 9 2" xfId="20322" xr:uid="{00000000-0005-0000-0000-00007B610000}"/>
    <cellStyle name="60% - Accent2 30" xfId="50575" xr:uid="{00000000-0005-0000-0000-00007C610000}"/>
    <cellStyle name="60% - Accent2 31" xfId="52258" xr:uid="{00000000-0005-0000-0000-00007D610000}"/>
    <cellStyle name="60% - Accent2 32" xfId="53941" xr:uid="{00000000-0005-0000-0000-00007E610000}"/>
    <cellStyle name="60% - Accent2 33" xfId="55624" xr:uid="{00000000-0005-0000-0000-00007F610000}"/>
    <cellStyle name="60% - Accent2 34" xfId="57307" xr:uid="{00000000-0005-0000-0000-000080610000}"/>
    <cellStyle name="60% - Accent2 35" xfId="58990" xr:uid="{00000000-0005-0000-0000-000081610000}"/>
    <cellStyle name="60% - Accent2 36" xfId="60673" xr:uid="{00000000-0005-0000-0000-000082610000}"/>
    <cellStyle name="60% - Accent2 37" xfId="62356" xr:uid="{00000000-0005-0000-0000-000083610000}"/>
    <cellStyle name="60% - Accent2 4" xfId="186" xr:uid="{00000000-0005-0000-0000-000084610000}"/>
    <cellStyle name="60% - Accent2 4 10" xfId="8602" xr:uid="{00000000-0005-0000-0000-000085610000}"/>
    <cellStyle name="60% - Accent2 4 10 2" xfId="23751" xr:uid="{00000000-0005-0000-0000-000086610000}"/>
    <cellStyle name="60% - Accent2 4 11" xfId="10285" xr:uid="{00000000-0005-0000-0000-000087610000}"/>
    <cellStyle name="60% - Accent2 4 11 2" xfId="25434" xr:uid="{00000000-0005-0000-0000-000088610000}"/>
    <cellStyle name="60% - Accent2 4 12" xfId="11969" xr:uid="{00000000-0005-0000-0000-000089610000}"/>
    <cellStyle name="60% - Accent2 4 12 2" xfId="27118" xr:uid="{00000000-0005-0000-0000-00008A610000}"/>
    <cellStyle name="60% - Accent2 4 13" xfId="13652" xr:uid="{00000000-0005-0000-0000-00008B610000}"/>
    <cellStyle name="60% - Accent2 4 13 2" xfId="28801" xr:uid="{00000000-0005-0000-0000-00008C610000}"/>
    <cellStyle name="60% - Accent2 4 14" xfId="15335" xr:uid="{00000000-0005-0000-0000-00008D610000}"/>
    <cellStyle name="60% - Accent2 4 15" xfId="30484" xr:uid="{00000000-0005-0000-0000-00008E610000}"/>
    <cellStyle name="60% - Accent2 4 16" xfId="32167" xr:uid="{00000000-0005-0000-0000-00008F610000}"/>
    <cellStyle name="60% - Accent2 4 17" xfId="33850" xr:uid="{00000000-0005-0000-0000-000090610000}"/>
    <cellStyle name="60% - Accent2 4 18" xfId="35533" xr:uid="{00000000-0005-0000-0000-000091610000}"/>
    <cellStyle name="60% - Accent2 4 19" xfId="37216" xr:uid="{00000000-0005-0000-0000-000092610000}"/>
    <cellStyle name="60% - Accent2 4 2" xfId="396" xr:uid="{00000000-0005-0000-0000-000093610000}"/>
    <cellStyle name="60% - Accent2 4 2 10" xfId="10495" xr:uid="{00000000-0005-0000-0000-000094610000}"/>
    <cellStyle name="60% - Accent2 4 2 10 2" xfId="25644" xr:uid="{00000000-0005-0000-0000-000095610000}"/>
    <cellStyle name="60% - Accent2 4 2 11" xfId="12179" xr:uid="{00000000-0005-0000-0000-000096610000}"/>
    <cellStyle name="60% - Accent2 4 2 11 2" xfId="27328" xr:uid="{00000000-0005-0000-0000-000097610000}"/>
    <cellStyle name="60% - Accent2 4 2 12" xfId="13862" xr:uid="{00000000-0005-0000-0000-000098610000}"/>
    <cellStyle name="60% - Accent2 4 2 12 2" xfId="29011" xr:uid="{00000000-0005-0000-0000-000099610000}"/>
    <cellStyle name="60% - Accent2 4 2 13" xfId="15545" xr:uid="{00000000-0005-0000-0000-00009A610000}"/>
    <cellStyle name="60% - Accent2 4 2 14" xfId="30694" xr:uid="{00000000-0005-0000-0000-00009B610000}"/>
    <cellStyle name="60% - Accent2 4 2 15" xfId="32377" xr:uid="{00000000-0005-0000-0000-00009C610000}"/>
    <cellStyle name="60% - Accent2 4 2 16" xfId="34060" xr:uid="{00000000-0005-0000-0000-00009D610000}"/>
    <cellStyle name="60% - Accent2 4 2 17" xfId="35743" xr:uid="{00000000-0005-0000-0000-00009E610000}"/>
    <cellStyle name="60% - Accent2 4 2 18" xfId="37426" xr:uid="{00000000-0005-0000-0000-00009F610000}"/>
    <cellStyle name="60% - Accent2 4 2 19" xfId="39109" xr:uid="{00000000-0005-0000-0000-0000A0610000}"/>
    <cellStyle name="60% - Accent2 4 2 2" xfId="816" xr:uid="{00000000-0005-0000-0000-0000A1610000}"/>
    <cellStyle name="60% - Accent2 4 2 2 10" xfId="15965" xr:uid="{00000000-0005-0000-0000-0000A2610000}"/>
    <cellStyle name="60% - Accent2 4 2 2 11" xfId="31114" xr:uid="{00000000-0005-0000-0000-0000A3610000}"/>
    <cellStyle name="60% - Accent2 4 2 2 12" xfId="32797" xr:uid="{00000000-0005-0000-0000-0000A4610000}"/>
    <cellStyle name="60% - Accent2 4 2 2 13" xfId="34480" xr:uid="{00000000-0005-0000-0000-0000A5610000}"/>
    <cellStyle name="60% - Accent2 4 2 2 14" xfId="36163" xr:uid="{00000000-0005-0000-0000-0000A6610000}"/>
    <cellStyle name="60% - Accent2 4 2 2 15" xfId="37846" xr:uid="{00000000-0005-0000-0000-0000A7610000}"/>
    <cellStyle name="60% - Accent2 4 2 2 16" xfId="39529" xr:uid="{00000000-0005-0000-0000-0000A8610000}"/>
    <cellStyle name="60% - Accent2 4 2 2 17" xfId="41212" xr:uid="{00000000-0005-0000-0000-0000A9610000}"/>
    <cellStyle name="60% - Accent2 4 2 2 18" xfId="42895" xr:uid="{00000000-0005-0000-0000-0000AA610000}"/>
    <cellStyle name="60% - Accent2 4 2 2 19" xfId="44578" xr:uid="{00000000-0005-0000-0000-0000AB610000}"/>
    <cellStyle name="60% - Accent2 4 2 2 2" xfId="2499" xr:uid="{00000000-0005-0000-0000-0000AC610000}"/>
    <cellStyle name="60% - Accent2 4 2 2 2 2" xfId="17648" xr:uid="{00000000-0005-0000-0000-0000AD610000}"/>
    <cellStyle name="60% - Accent2 4 2 2 20" xfId="46261" xr:uid="{00000000-0005-0000-0000-0000AE610000}"/>
    <cellStyle name="60% - Accent2 4 2 2 21" xfId="47944" xr:uid="{00000000-0005-0000-0000-0000AF610000}"/>
    <cellStyle name="60% - Accent2 4 2 2 22" xfId="49627" xr:uid="{00000000-0005-0000-0000-0000B0610000}"/>
    <cellStyle name="60% - Accent2 4 2 2 23" xfId="51310" xr:uid="{00000000-0005-0000-0000-0000B1610000}"/>
    <cellStyle name="60% - Accent2 4 2 2 24" xfId="52993" xr:uid="{00000000-0005-0000-0000-0000B2610000}"/>
    <cellStyle name="60% - Accent2 4 2 2 25" xfId="54676" xr:uid="{00000000-0005-0000-0000-0000B3610000}"/>
    <cellStyle name="60% - Accent2 4 2 2 26" xfId="56359" xr:uid="{00000000-0005-0000-0000-0000B4610000}"/>
    <cellStyle name="60% - Accent2 4 2 2 27" xfId="58042" xr:uid="{00000000-0005-0000-0000-0000B5610000}"/>
    <cellStyle name="60% - Accent2 4 2 2 28" xfId="59725" xr:uid="{00000000-0005-0000-0000-0000B6610000}"/>
    <cellStyle name="60% - Accent2 4 2 2 29" xfId="61408" xr:uid="{00000000-0005-0000-0000-0000B7610000}"/>
    <cellStyle name="60% - Accent2 4 2 2 3" xfId="4183" xr:uid="{00000000-0005-0000-0000-0000B8610000}"/>
    <cellStyle name="60% - Accent2 4 2 2 3 2" xfId="19332" xr:uid="{00000000-0005-0000-0000-0000B9610000}"/>
    <cellStyle name="60% - Accent2 4 2 2 30" xfId="63091" xr:uid="{00000000-0005-0000-0000-0000BA610000}"/>
    <cellStyle name="60% - Accent2 4 2 2 4" xfId="5866" xr:uid="{00000000-0005-0000-0000-0000BB610000}"/>
    <cellStyle name="60% - Accent2 4 2 2 4 2" xfId="21015" xr:uid="{00000000-0005-0000-0000-0000BC610000}"/>
    <cellStyle name="60% - Accent2 4 2 2 5" xfId="7549" xr:uid="{00000000-0005-0000-0000-0000BD610000}"/>
    <cellStyle name="60% - Accent2 4 2 2 5 2" xfId="22698" xr:uid="{00000000-0005-0000-0000-0000BE610000}"/>
    <cellStyle name="60% - Accent2 4 2 2 6" xfId="9232" xr:uid="{00000000-0005-0000-0000-0000BF610000}"/>
    <cellStyle name="60% - Accent2 4 2 2 6 2" xfId="24381" xr:uid="{00000000-0005-0000-0000-0000C0610000}"/>
    <cellStyle name="60% - Accent2 4 2 2 7" xfId="10915" xr:uid="{00000000-0005-0000-0000-0000C1610000}"/>
    <cellStyle name="60% - Accent2 4 2 2 7 2" xfId="26064" xr:uid="{00000000-0005-0000-0000-0000C2610000}"/>
    <cellStyle name="60% - Accent2 4 2 2 8" xfId="12599" xr:uid="{00000000-0005-0000-0000-0000C3610000}"/>
    <cellStyle name="60% - Accent2 4 2 2 8 2" xfId="27748" xr:uid="{00000000-0005-0000-0000-0000C4610000}"/>
    <cellStyle name="60% - Accent2 4 2 2 9" xfId="14282" xr:uid="{00000000-0005-0000-0000-0000C5610000}"/>
    <cellStyle name="60% - Accent2 4 2 2 9 2" xfId="29431" xr:uid="{00000000-0005-0000-0000-0000C6610000}"/>
    <cellStyle name="60% - Accent2 4 2 20" xfId="40792" xr:uid="{00000000-0005-0000-0000-0000C7610000}"/>
    <cellStyle name="60% - Accent2 4 2 21" xfId="42475" xr:uid="{00000000-0005-0000-0000-0000C8610000}"/>
    <cellStyle name="60% - Accent2 4 2 22" xfId="44158" xr:uid="{00000000-0005-0000-0000-0000C9610000}"/>
    <cellStyle name="60% - Accent2 4 2 23" xfId="45841" xr:uid="{00000000-0005-0000-0000-0000CA610000}"/>
    <cellStyle name="60% - Accent2 4 2 24" xfId="47524" xr:uid="{00000000-0005-0000-0000-0000CB610000}"/>
    <cellStyle name="60% - Accent2 4 2 25" xfId="49207" xr:uid="{00000000-0005-0000-0000-0000CC610000}"/>
    <cellStyle name="60% - Accent2 4 2 26" xfId="50890" xr:uid="{00000000-0005-0000-0000-0000CD610000}"/>
    <cellStyle name="60% - Accent2 4 2 27" xfId="52573" xr:uid="{00000000-0005-0000-0000-0000CE610000}"/>
    <cellStyle name="60% - Accent2 4 2 28" xfId="54256" xr:uid="{00000000-0005-0000-0000-0000CF610000}"/>
    <cellStyle name="60% - Accent2 4 2 29" xfId="55939" xr:uid="{00000000-0005-0000-0000-0000D0610000}"/>
    <cellStyle name="60% - Accent2 4 2 3" xfId="1237" xr:uid="{00000000-0005-0000-0000-0000D1610000}"/>
    <cellStyle name="60% - Accent2 4 2 3 10" xfId="16386" xr:uid="{00000000-0005-0000-0000-0000D2610000}"/>
    <cellStyle name="60% - Accent2 4 2 3 11" xfId="31535" xr:uid="{00000000-0005-0000-0000-0000D3610000}"/>
    <cellStyle name="60% - Accent2 4 2 3 12" xfId="33218" xr:uid="{00000000-0005-0000-0000-0000D4610000}"/>
    <cellStyle name="60% - Accent2 4 2 3 13" xfId="34901" xr:uid="{00000000-0005-0000-0000-0000D5610000}"/>
    <cellStyle name="60% - Accent2 4 2 3 14" xfId="36584" xr:uid="{00000000-0005-0000-0000-0000D6610000}"/>
    <cellStyle name="60% - Accent2 4 2 3 15" xfId="38267" xr:uid="{00000000-0005-0000-0000-0000D7610000}"/>
    <cellStyle name="60% - Accent2 4 2 3 16" xfId="39950" xr:uid="{00000000-0005-0000-0000-0000D8610000}"/>
    <cellStyle name="60% - Accent2 4 2 3 17" xfId="41633" xr:uid="{00000000-0005-0000-0000-0000D9610000}"/>
    <cellStyle name="60% - Accent2 4 2 3 18" xfId="43316" xr:uid="{00000000-0005-0000-0000-0000DA610000}"/>
    <cellStyle name="60% - Accent2 4 2 3 19" xfId="44999" xr:uid="{00000000-0005-0000-0000-0000DB610000}"/>
    <cellStyle name="60% - Accent2 4 2 3 2" xfId="2920" xr:uid="{00000000-0005-0000-0000-0000DC610000}"/>
    <cellStyle name="60% - Accent2 4 2 3 2 2" xfId="18069" xr:uid="{00000000-0005-0000-0000-0000DD610000}"/>
    <cellStyle name="60% - Accent2 4 2 3 20" xfId="46682" xr:uid="{00000000-0005-0000-0000-0000DE610000}"/>
    <cellStyle name="60% - Accent2 4 2 3 21" xfId="48365" xr:uid="{00000000-0005-0000-0000-0000DF610000}"/>
    <cellStyle name="60% - Accent2 4 2 3 22" xfId="50048" xr:uid="{00000000-0005-0000-0000-0000E0610000}"/>
    <cellStyle name="60% - Accent2 4 2 3 23" xfId="51731" xr:uid="{00000000-0005-0000-0000-0000E1610000}"/>
    <cellStyle name="60% - Accent2 4 2 3 24" xfId="53414" xr:uid="{00000000-0005-0000-0000-0000E2610000}"/>
    <cellStyle name="60% - Accent2 4 2 3 25" xfId="55097" xr:uid="{00000000-0005-0000-0000-0000E3610000}"/>
    <cellStyle name="60% - Accent2 4 2 3 26" xfId="56780" xr:uid="{00000000-0005-0000-0000-0000E4610000}"/>
    <cellStyle name="60% - Accent2 4 2 3 27" xfId="58463" xr:uid="{00000000-0005-0000-0000-0000E5610000}"/>
    <cellStyle name="60% - Accent2 4 2 3 28" xfId="60146" xr:uid="{00000000-0005-0000-0000-0000E6610000}"/>
    <cellStyle name="60% - Accent2 4 2 3 29" xfId="61829" xr:uid="{00000000-0005-0000-0000-0000E7610000}"/>
    <cellStyle name="60% - Accent2 4 2 3 3" xfId="4604" xr:uid="{00000000-0005-0000-0000-0000E8610000}"/>
    <cellStyle name="60% - Accent2 4 2 3 3 2" xfId="19753" xr:uid="{00000000-0005-0000-0000-0000E9610000}"/>
    <cellStyle name="60% - Accent2 4 2 3 30" xfId="63512" xr:uid="{00000000-0005-0000-0000-0000EA610000}"/>
    <cellStyle name="60% - Accent2 4 2 3 4" xfId="6287" xr:uid="{00000000-0005-0000-0000-0000EB610000}"/>
    <cellStyle name="60% - Accent2 4 2 3 4 2" xfId="21436" xr:uid="{00000000-0005-0000-0000-0000EC610000}"/>
    <cellStyle name="60% - Accent2 4 2 3 5" xfId="7970" xr:uid="{00000000-0005-0000-0000-0000ED610000}"/>
    <cellStyle name="60% - Accent2 4 2 3 5 2" xfId="23119" xr:uid="{00000000-0005-0000-0000-0000EE610000}"/>
    <cellStyle name="60% - Accent2 4 2 3 6" xfId="9653" xr:uid="{00000000-0005-0000-0000-0000EF610000}"/>
    <cellStyle name="60% - Accent2 4 2 3 6 2" xfId="24802" xr:uid="{00000000-0005-0000-0000-0000F0610000}"/>
    <cellStyle name="60% - Accent2 4 2 3 7" xfId="11336" xr:uid="{00000000-0005-0000-0000-0000F1610000}"/>
    <cellStyle name="60% - Accent2 4 2 3 7 2" xfId="26485" xr:uid="{00000000-0005-0000-0000-0000F2610000}"/>
    <cellStyle name="60% - Accent2 4 2 3 8" xfId="13020" xr:uid="{00000000-0005-0000-0000-0000F3610000}"/>
    <cellStyle name="60% - Accent2 4 2 3 8 2" xfId="28169" xr:uid="{00000000-0005-0000-0000-0000F4610000}"/>
    <cellStyle name="60% - Accent2 4 2 3 9" xfId="14703" xr:uid="{00000000-0005-0000-0000-0000F5610000}"/>
    <cellStyle name="60% - Accent2 4 2 3 9 2" xfId="29852" xr:uid="{00000000-0005-0000-0000-0000F6610000}"/>
    <cellStyle name="60% - Accent2 4 2 30" xfId="57622" xr:uid="{00000000-0005-0000-0000-0000F7610000}"/>
    <cellStyle name="60% - Accent2 4 2 31" xfId="59305" xr:uid="{00000000-0005-0000-0000-0000F8610000}"/>
    <cellStyle name="60% - Accent2 4 2 32" xfId="60988" xr:uid="{00000000-0005-0000-0000-0000F9610000}"/>
    <cellStyle name="60% - Accent2 4 2 33" xfId="62671" xr:uid="{00000000-0005-0000-0000-0000FA610000}"/>
    <cellStyle name="60% - Accent2 4 2 4" xfId="1658" xr:uid="{00000000-0005-0000-0000-0000FB610000}"/>
    <cellStyle name="60% - Accent2 4 2 4 10" xfId="16807" xr:uid="{00000000-0005-0000-0000-0000FC610000}"/>
    <cellStyle name="60% - Accent2 4 2 4 11" xfId="31956" xr:uid="{00000000-0005-0000-0000-0000FD610000}"/>
    <cellStyle name="60% - Accent2 4 2 4 12" xfId="33639" xr:uid="{00000000-0005-0000-0000-0000FE610000}"/>
    <cellStyle name="60% - Accent2 4 2 4 13" xfId="35322" xr:uid="{00000000-0005-0000-0000-0000FF610000}"/>
    <cellStyle name="60% - Accent2 4 2 4 14" xfId="37005" xr:uid="{00000000-0005-0000-0000-000000620000}"/>
    <cellStyle name="60% - Accent2 4 2 4 15" xfId="38688" xr:uid="{00000000-0005-0000-0000-000001620000}"/>
    <cellStyle name="60% - Accent2 4 2 4 16" xfId="40371" xr:uid="{00000000-0005-0000-0000-000002620000}"/>
    <cellStyle name="60% - Accent2 4 2 4 17" xfId="42054" xr:uid="{00000000-0005-0000-0000-000003620000}"/>
    <cellStyle name="60% - Accent2 4 2 4 18" xfId="43737" xr:uid="{00000000-0005-0000-0000-000004620000}"/>
    <cellStyle name="60% - Accent2 4 2 4 19" xfId="45420" xr:uid="{00000000-0005-0000-0000-000005620000}"/>
    <cellStyle name="60% - Accent2 4 2 4 2" xfId="3341" xr:uid="{00000000-0005-0000-0000-000006620000}"/>
    <cellStyle name="60% - Accent2 4 2 4 2 2" xfId="18490" xr:uid="{00000000-0005-0000-0000-000007620000}"/>
    <cellStyle name="60% - Accent2 4 2 4 20" xfId="47103" xr:uid="{00000000-0005-0000-0000-000008620000}"/>
    <cellStyle name="60% - Accent2 4 2 4 21" xfId="48786" xr:uid="{00000000-0005-0000-0000-000009620000}"/>
    <cellStyle name="60% - Accent2 4 2 4 22" xfId="50469" xr:uid="{00000000-0005-0000-0000-00000A620000}"/>
    <cellStyle name="60% - Accent2 4 2 4 23" xfId="52152" xr:uid="{00000000-0005-0000-0000-00000B620000}"/>
    <cellStyle name="60% - Accent2 4 2 4 24" xfId="53835" xr:uid="{00000000-0005-0000-0000-00000C620000}"/>
    <cellStyle name="60% - Accent2 4 2 4 25" xfId="55518" xr:uid="{00000000-0005-0000-0000-00000D620000}"/>
    <cellStyle name="60% - Accent2 4 2 4 26" xfId="57201" xr:uid="{00000000-0005-0000-0000-00000E620000}"/>
    <cellStyle name="60% - Accent2 4 2 4 27" xfId="58884" xr:uid="{00000000-0005-0000-0000-00000F620000}"/>
    <cellStyle name="60% - Accent2 4 2 4 28" xfId="60567" xr:uid="{00000000-0005-0000-0000-000010620000}"/>
    <cellStyle name="60% - Accent2 4 2 4 29" xfId="62250" xr:uid="{00000000-0005-0000-0000-000011620000}"/>
    <cellStyle name="60% - Accent2 4 2 4 3" xfId="5025" xr:uid="{00000000-0005-0000-0000-000012620000}"/>
    <cellStyle name="60% - Accent2 4 2 4 3 2" xfId="20174" xr:uid="{00000000-0005-0000-0000-000013620000}"/>
    <cellStyle name="60% - Accent2 4 2 4 30" xfId="63933" xr:uid="{00000000-0005-0000-0000-000014620000}"/>
    <cellStyle name="60% - Accent2 4 2 4 4" xfId="6708" xr:uid="{00000000-0005-0000-0000-000015620000}"/>
    <cellStyle name="60% - Accent2 4 2 4 4 2" xfId="21857" xr:uid="{00000000-0005-0000-0000-000016620000}"/>
    <cellStyle name="60% - Accent2 4 2 4 5" xfId="8391" xr:uid="{00000000-0005-0000-0000-000017620000}"/>
    <cellStyle name="60% - Accent2 4 2 4 5 2" xfId="23540" xr:uid="{00000000-0005-0000-0000-000018620000}"/>
    <cellStyle name="60% - Accent2 4 2 4 6" xfId="10074" xr:uid="{00000000-0005-0000-0000-000019620000}"/>
    <cellStyle name="60% - Accent2 4 2 4 6 2" xfId="25223" xr:uid="{00000000-0005-0000-0000-00001A620000}"/>
    <cellStyle name="60% - Accent2 4 2 4 7" xfId="11757" xr:uid="{00000000-0005-0000-0000-00001B620000}"/>
    <cellStyle name="60% - Accent2 4 2 4 7 2" xfId="26906" xr:uid="{00000000-0005-0000-0000-00001C620000}"/>
    <cellStyle name="60% - Accent2 4 2 4 8" xfId="13441" xr:uid="{00000000-0005-0000-0000-00001D620000}"/>
    <cellStyle name="60% - Accent2 4 2 4 8 2" xfId="28590" xr:uid="{00000000-0005-0000-0000-00001E620000}"/>
    <cellStyle name="60% - Accent2 4 2 4 9" xfId="15124" xr:uid="{00000000-0005-0000-0000-00001F620000}"/>
    <cellStyle name="60% - Accent2 4 2 4 9 2" xfId="30273" xr:uid="{00000000-0005-0000-0000-000020620000}"/>
    <cellStyle name="60% - Accent2 4 2 5" xfId="2079" xr:uid="{00000000-0005-0000-0000-000021620000}"/>
    <cellStyle name="60% - Accent2 4 2 5 2" xfId="17228" xr:uid="{00000000-0005-0000-0000-000022620000}"/>
    <cellStyle name="60% - Accent2 4 2 6" xfId="3763" xr:uid="{00000000-0005-0000-0000-000023620000}"/>
    <cellStyle name="60% - Accent2 4 2 6 2" xfId="18912" xr:uid="{00000000-0005-0000-0000-000024620000}"/>
    <cellStyle name="60% - Accent2 4 2 7" xfId="5446" xr:uid="{00000000-0005-0000-0000-000025620000}"/>
    <cellStyle name="60% - Accent2 4 2 7 2" xfId="20595" xr:uid="{00000000-0005-0000-0000-000026620000}"/>
    <cellStyle name="60% - Accent2 4 2 8" xfId="7129" xr:uid="{00000000-0005-0000-0000-000027620000}"/>
    <cellStyle name="60% - Accent2 4 2 8 2" xfId="22278" xr:uid="{00000000-0005-0000-0000-000028620000}"/>
    <cellStyle name="60% - Accent2 4 2 9" xfId="8812" xr:uid="{00000000-0005-0000-0000-000029620000}"/>
    <cellStyle name="60% - Accent2 4 2 9 2" xfId="23961" xr:uid="{00000000-0005-0000-0000-00002A620000}"/>
    <cellStyle name="60% - Accent2 4 20" xfId="38899" xr:uid="{00000000-0005-0000-0000-00002B620000}"/>
    <cellStyle name="60% - Accent2 4 21" xfId="40582" xr:uid="{00000000-0005-0000-0000-00002C620000}"/>
    <cellStyle name="60% - Accent2 4 22" xfId="42265" xr:uid="{00000000-0005-0000-0000-00002D620000}"/>
    <cellStyle name="60% - Accent2 4 23" xfId="43948" xr:uid="{00000000-0005-0000-0000-00002E620000}"/>
    <cellStyle name="60% - Accent2 4 24" xfId="45631" xr:uid="{00000000-0005-0000-0000-00002F620000}"/>
    <cellStyle name="60% - Accent2 4 25" xfId="47314" xr:uid="{00000000-0005-0000-0000-000030620000}"/>
    <cellStyle name="60% - Accent2 4 26" xfId="48997" xr:uid="{00000000-0005-0000-0000-000031620000}"/>
    <cellStyle name="60% - Accent2 4 27" xfId="50680" xr:uid="{00000000-0005-0000-0000-000032620000}"/>
    <cellStyle name="60% - Accent2 4 28" xfId="52363" xr:uid="{00000000-0005-0000-0000-000033620000}"/>
    <cellStyle name="60% - Accent2 4 29" xfId="54046" xr:uid="{00000000-0005-0000-0000-000034620000}"/>
    <cellStyle name="60% - Accent2 4 3" xfId="606" xr:uid="{00000000-0005-0000-0000-000035620000}"/>
    <cellStyle name="60% - Accent2 4 3 10" xfId="15755" xr:uid="{00000000-0005-0000-0000-000036620000}"/>
    <cellStyle name="60% - Accent2 4 3 11" xfId="30904" xr:uid="{00000000-0005-0000-0000-000037620000}"/>
    <cellStyle name="60% - Accent2 4 3 12" xfId="32587" xr:uid="{00000000-0005-0000-0000-000038620000}"/>
    <cellStyle name="60% - Accent2 4 3 13" xfId="34270" xr:uid="{00000000-0005-0000-0000-000039620000}"/>
    <cellStyle name="60% - Accent2 4 3 14" xfId="35953" xr:uid="{00000000-0005-0000-0000-00003A620000}"/>
    <cellStyle name="60% - Accent2 4 3 15" xfId="37636" xr:uid="{00000000-0005-0000-0000-00003B620000}"/>
    <cellStyle name="60% - Accent2 4 3 16" xfId="39319" xr:uid="{00000000-0005-0000-0000-00003C620000}"/>
    <cellStyle name="60% - Accent2 4 3 17" xfId="41002" xr:uid="{00000000-0005-0000-0000-00003D620000}"/>
    <cellStyle name="60% - Accent2 4 3 18" xfId="42685" xr:uid="{00000000-0005-0000-0000-00003E620000}"/>
    <cellStyle name="60% - Accent2 4 3 19" xfId="44368" xr:uid="{00000000-0005-0000-0000-00003F620000}"/>
    <cellStyle name="60% - Accent2 4 3 2" xfId="2289" xr:uid="{00000000-0005-0000-0000-000040620000}"/>
    <cellStyle name="60% - Accent2 4 3 2 2" xfId="17438" xr:uid="{00000000-0005-0000-0000-000041620000}"/>
    <cellStyle name="60% - Accent2 4 3 20" xfId="46051" xr:uid="{00000000-0005-0000-0000-000042620000}"/>
    <cellStyle name="60% - Accent2 4 3 21" xfId="47734" xr:uid="{00000000-0005-0000-0000-000043620000}"/>
    <cellStyle name="60% - Accent2 4 3 22" xfId="49417" xr:uid="{00000000-0005-0000-0000-000044620000}"/>
    <cellStyle name="60% - Accent2 4 3 23" xfId="51100" xr:uid="{00000000-0005-0000-0000-000045620000}"/>
    <cellStyle name="60% - Accent2 4 3 24" xfId="52783" xr:uid="{00000000-0005-0000-0000-000046620000}"/>
    <cellStyle name="60% - Accent2 4 3 25" xfId="54466" xr:uid="{00000000-0005-0000-0000-000047620000}"/>
    <cellStyle name="60% - Accent2 4 3 26" xfId="56149" xr:uid="{00000000-0005-0000-0000-000048620000}"/>
    <cellStyle name="60% - Accent2 4 3 27" xfId="57832" xr:uid="{00000000-0005-0000-0000-000049620000}"/>
    <cellStyle name="60% - Accent2 4 3 28" xfId="59515" xr:uid="{00000000-0005-0000-0000-00004A620000}"/>
    <cellStyle name="60% - Accent2 4 3 29" xfId="61198" xr:uid="{00000000-0005-0000-0000-00004B620000}"/>
    <cellStyle name="60% - Accent2 4 3 3" xfId="3973" xr:uid="{00000000-0005-0000-0000-00004C620000}"/>
    <cellStyle name="60% - Accent2 4 3 3 2" xfId="19122" xr:uid="{00000000-0005-0000-0000-00004D620000}"/>
    <cellStyle name="60% - Accent2 4 3 30" xfId="62881" xr:uid="{00000000-0005-0000-0000-00004E620000}"/>
    <cellStyle name="60% - Accent2 4 3 4" xfId="5656" xr:uid="{00000000-0005-0000-0000-00004F620000}"/>
    <cellStyle name="60% - Accent2 4 3 4 2" xfId="20805" xr:uid="{00000000-0005-0000-0000-000050620000}"/>
    <cellStyle name="60% - Accent2 4 3 5" xfId="7339" xr:uid="{00000000-0005-0000-0000-000051620000}"/>
    <cellStyle name="60% - Accent2 4 3 5 2" xfId="22488" xr:uid="{00000000-0005-0000-0000-000052620000}"/>
    <cellStyle name="60% - Accent2 4 3 6" xfId="9022" xr:uid="{00000000-0005-0000-0000-000053620000}"/>
    <cellStyle name="60% - Accent2 4 3 6 2" xfId="24171" xr:uid="{00000000-0005-0000-0000-000054620000}"/>
    <cellStyle name="60% - Accent2 4 3 7" xfId="10705" xr:uid="{00000000-0005-0000-0000-000055620000}"/>
    <cellStyle name="60% - Accent2 4 3 7 2" xfId="25854" xr:uid="{00000000-0005-0000-0000-000056620000}"/>
    <cellStyle name="60% - Accent2 4 3 8" xfId="12389" xr:uid="{00000000-0005-0000-0000-000057620000}"/>
    <cellStyle name="60% - Accent2 4 3 8 2" xfId="27538" xr:uid="{00000000-0005-0000-0000-000058620000}"/>
    <cellStyle name="60% - Accent2 4 3 9" xfId="14072" xr:uid="{00000000-0005-0000-0000-000059620000}"/>
    <cellStyle name="60% - Accent2 4 3 9 2" xfId="29221" xr:uid="{00000000-0005-0000-0000-00005A620000}"/>
    <cellStyle name="60% - Accent2 4 30" xfId="55729" xr:uid="{00000000-0005-0000-0000-00005B620000}"/>
    <cellStyle name="60% - Accent2 4 31" xfId="57412" xr:uid="{00000000-0005-0000-0000-00005C620000}"/>
    <cellStyle name="60% - Accent2 4 32" xfId="59095" xr:uid="{00000000-0005-0000-0000-00005D620000}"/>
    <cellStyle name="60% - Accent2 4 33" xfId="60778" xr:uid="{00000000-0005-0000-0000-00005E620000}"/>
    <cellStyle name="60% - Accent2 4 34" xfId="62461" xr:uid="{00000000-0005-0000-0000-00005F620000}"/>
    <cellStyle name="60% - Accent2 4 4" xfId="1027" xr:uid="{00000000-0005-0000-0000-000060620000}"/>
    <cellStyle name="60% - Accent2 4 4 10" xfId="16176" xr:uid="{00000000-0005-0000-0000-000061620000}"/>
    <cellStyle name="60% - Accent2 4 4 11" xfId="31325" xr:uid="{00000000-0005-0000-0000-000062620000}"/>
    <cellStyle name="60% - Accent2 4 4 12" xfId="33008" xr:uid="{00000000-0005-0000-0000-000063620000}"/>
    <cellStyle name="60% - Accent2 4 4 13" xfId="34691" xr:uid="{00000000-0005-0000-0000-000064620000}"/>
    <cellStyle name="60% - Accent2 4 4 14" xfId="36374" xr:uid="{00000000-0005-0000-0000-000065620000}"/>
    <cellStyle name="60% - Accent2 4 4 15" xfId="38057" xr:uid="{00000000-0005-0000-0000-000066620000}"/>
    <cellStyle name="60% - Accent2 4 4 16" xfId="39740" xr:uid="{00000000-0005-0000-0000-000067620000}"/>
    <cellStyle name="60% - Accent2 4 4 17" xfId="41423" xr:uid="{00000000-0005-0000-0000-000068620000}"/>
    <cellStyle name="60% - Accent2 4 4 18" xfId="43106" xr:uid="{00000000-0005-0000-0000-000069620000}"/>
    <cellStyle name="60% - Accent2 4 4 19" xfId="44789" xr:uid="{00000000-0005-0000-0000-00006A620000}"/>
    <cellStyle name="60% - Accent2 4 4 2" xfId="2710" xr:uid="{00000000-0005-0000-0000-00006B620000}"/>
    <cellStyle name="60% - Accent2 4 4 2 2" xfId="17859" xr:uid="{00000000-0005-0000-0000-00006C620000}"/>
    <cellStyle name="60% - Accent2 4 4 20" xfId="46472" xr:uid="{00000000-0005-0000-0000-00006D620000}"/>
    <cellStyle name="60% - Accent2 4 4 21" xfId="48155" xr:uid="{00000000-0005-0000-0000-00006E620000}"/>
    <cellStyle name="60% - Accent2 4 4 22" xfId="49838" xr:uid="{00000000-0005-0000-0000-00006F620000}"/>
    <cellStyle name="60% - Accent2 4 4 23" xfId="51521" xr:uid="{00000000-0005-0000-0000-000070620000}"/>
    <cellStyle name="60% - Accent2 4 4 24" xfId="53204" xr:uid="{00000000-0005-0000-0000-000071620000}"/>
    <cellStyle name="60% - Accent2 4 4 25" xfId="54887" xr:uid="{00000000-0005-0000-0000-000072620000}"/>
    <cellStyle name="60% - Accent2 4 4 26" xfId="56570" xr:uid="{00000000-0005-0000-0000-000073620000}"/>
    <cellStyle name="60% - Accent2 4 4 27" xfId="58253" xr:uid="{00000000-0005-0000-0000-000074620000}"/>
    <cellStyle name="60% - Accent2 4 4 28" xfId="59936" xr:uid="{00000000-0005-0000-0000-000075620000}"/>
    <cellStyle name="60% - Accent2 4 4 29" xfId="61619" xr:uid="{00000000-0005-0000-0000-000076620000}"/>
    <cellStyle name="60% - Accent2 4 4 3" xfId="4394" xr:uid="{00000000-0005-0000-0000-000077620000}"/>
    <cellStyle name="60% - Accent2 4 4 3 2" xfId="19543" xr:uid="{00000000-0005-0000-0000-000078620000}"/>
    <cellStyle name="60% - Accent2 4 4 30" xfId="63302" xr:uid="{00000000-0005-0000-0000-000079620000}"/>
    <cellStyle name="60% - Accent2 4 4 4" xfId="6077" xr:uid="{00000000-0005-0000-0000-00007A620000}"/>
    <cellStyle name="60% - Accent2 4 4 4 2" xfId="21226" xr:uid="{00000000-0005-0000-0000-00007B620000}"/>
    <cellStyle name="60% - Accent2 4 4 5" xfId="7760" xr:uid="{00000000-0005-0000-0000-00007C620000}"/>
    <cellStyle name="60% - Accent2 4 4 5 2" xfId="22909" xr:uid="{00000000-0005-0000-0000-00007D620000}"/>
    <cellStyle name="60% - Accent2 4 4 6" xfId="9443" xr:uid="{00000000-0005-0000-0000-00007E620000}"/>
    <cellStyle name="60% - Accent2 4 4 6 2" xfId="24592" xr:uid="{00000000-0005-0000-0000-00007F620000}"/>
    <cellStyle name="60% - Accent2 4 4 7" xfId="11126" xr:uid="{00000000-0005-0000-0000-000080620000}"/>
    <cellStyle name="60% - Accent2 4 4 7 2" xfId="26275" xr:uid="{00000000-0005-0000-0000-000081620000}"/>
    <cellStyle name="60% - Accent2 4 4 8" xfId="12810" xr:uid="{00000000-0005-0000-0000-000082620000}"/>
    <cellStyle name="60% - Accent2 4 4 8 2" xfId="27959" xr:uid="{00000000-0005-0000-0000-000083620000}"/>
    <cellStyle name="60% - Accent2 4 4 9" xfId="14493" xr:uid="{00000000-0005-0000-0000-000084620000}"/>
    <cellStyle name="60% - Accent2 4 4 9 2" xfId="29642" xr:uid="{00000000-0005-0000-0000-000085620000}"/>
    <cellStyle name="60% - Accent2 4 5" xfId="1448" xr:uid="{00000000-0005-0000-0000-000086620000}"/>
    <cellStyle name="60% - Accent2 4 5 10" xfId="16597" xr:uid="{00000000-0005-0000-0000-000087620000}"/>
    <cellStyle name="60% - Accent2 4 5 11" xfId="31746" xr:uid="{00000000-0005-0000-0000-000088620000}"/>
    <cellStyle name="60% - Accent2 4 5 12" xfId="33429" xr:uid="{00000000-0005-0000-0000-000089620000}"/>
    <cellStyle name="60% - Accent2 4 5 13" xfId="35112" xr:uid="{00000000-0005-0000-0000-00008A620000}"/>
    <cellStyle name="60% - Accent2 4 5 14" xfId="36795" xr:uid="{00000000-0005-0000-0000-00008B620000}"/>
    <cellStyle name="60% - Accent2 4 5 15" xfId="38478" xr:uid="{00000000-0005-0000-0000-00008C620000}"/>
    <cellStyle name="60% - Accent2 4 5 16" xfId="40161" xr:uid="{00000000-0005-0000-0000-00008D620000}"/>
    <cellStyle name="60% - Accent2 4 5 17" xfId="41844" xr:uid="{00000000-0005-0000-0000-00008E620000}"/>
    <cellStyle name="60% - Accent2 4 5 18" xfId="43527" xr:uid="{00000000-0005-0000-0000-00008F620000}"/>
    <cellStyle name="60% - Accent2 4 5 19" xfId="45210" xr:uid="{00000000-0005-0000-0000-000090620000}"/>
    <cellStyle name="60% - Accent2 4 5 2" xfId="3131" xr:uid="{00000000-0005-0000-0000-000091620000}"/>
    <cellStyle name="60% - Accent2 4 5 2 2" xfId="18280" xr:uid="{00000000-0005-0000-0000-000092620000}"/>
    <cellStyle name="60% - Accent2 4 5 20" xfId="46893" xr:uid="{00000000-0005-0000-0000-000093620000}"/>
    <cellStyle name="60% - Accent2 4 5 21" xfId="48576" xr:uid="{00000000-0005-0000-0000-000094620000}"/>
    <cellStyle name="60% - Accent2 4 5 22" xfId="50259" xr:uid="{00000000-0005-0000-0000-000095620000}"/>
    <cellStyle name="60% - Accent2 4 5 23" xfId="51942" xr:uid="{00000000-0005-0000-0000-000096620000}"/>
    <cellStyle name="60% - Accent2 4 5 24" xfId="53625" xr:uid="{00000000-0005-0000-0000-000097620000}"/>
    <cellStyle name="60% - Accent2 4 5 25" xfId="55308" xr:uid="{00000000-0005-0000-0000-000098620000}"/>
    <cellStyle name="60% - Accent2 4 5 26" xfId="56991" xr:uid="{00000000-0005-0000-0000-000099620000}"/>
    <cellStyle name="60% - Accent2 4 5 27" xfId="58674" xr:uid="{00000000-0005-0000-0000-00009A620000}"/>
    <cellStyle name="60% - Accent2 4 5 28" xfId="60357" xr:uid="{00000000-0005-0000-0000-00009B620000}"/>
    <cellStyle name="60% - Accent2 4 5 29" xfId="62040" xr:uid="{00000000-0005-0000-0000-00009C620000}"/>
    <cellStyle name="60% - Accent2 4 5 3" xfId="4815" xr:uid="{00000000-0005-0000-0000-00009D620000}"/>
    <cellStyle name="60% - Accent2 4 5 3 2" xfId="19964" xr:uid="{00000000-0005-0000-0000-00009E620000}"/>
    <cellStyle name="60% - Accent2 4 5 30" xfId="63723" xr:uid="{00000000-0005-0000-0000-00009F620000}"/>
    <cellStyle name="60% - Accent2 4 5 4" xfId="6498" xr:uid="{00000000-0005-0000-0000-0000A0620000}"/>
    <cellStyle name="60% - Accent2 4 5 4 2" xfId="21647" xr:uid="{00000000-0005-0000-0000-0000A1620000}"/>
    <cellStyle name="60% - Accent2 4 5 5" xfId="8181" xr:uid="{00000000-0005-0000-0000-0000A2620000}"/>
    <cellStyle name="60% - Accent2 4 5 5 2" xfId="23330" xr:uid="{00000000-0005-0000-0000-0000A3620000}"/>
    <cellStyle name="60% - Accent2 4 5 6" xfId="9864" xr:uid="{00000000-0005-0000-0000-0000A4620000}"/>
    <cellStyle name="60% - Accent2 4 5 6 2" xfId="25013" xr:uid="{00000000-0005-0000-0000-0000A5620000}"/>
    <cellStyle name="60% - Accent2 4 5 7" xfId="11547" xr:uid="{00000000-0005-0000-0000-0000A6620000}"/>
    <cellStyle name="60% - Accent2 4 5 7 2" xfId="26696" xr:uid="{00000000-0005-0000-0000-0000A7620000}"/>
    <cellStyle name="60% - Accent2 4 5 8" xfId="13231" xr:uid="{00000000-0005-0000-0000-0000A8620000}"/>
    <cellStyle name="60% - Accent2 4 5 8 2" xfId="28380" xr:uid="{00000000-0005-0000-0000-0000A9620000}"/>
    <cellStyle name="60% - Accent2 4 5 9" xfId="14914" xr:uid="{00000000-0005-0000-0000-0000AA620000}"/>
    <cellStyle name="60% - Accent2 4 5 9 2" xfId="30063" xr:uid="{00000000-0005-0000-0000-0000AB620000}"/>
    <cellStyle name="60% - Accent2 4 6" xfId="1869" xr:uid="{00000000-0005-0000-0000-0000AC620000}"/>
    <cellStyle name="60% - Accent2 4 6 2" xfId="17018" xr:uid="{00000000-0005-0000-0000-0000AD620000}"/>
    <cellStyle name="60% - Accent2 4 7" xfId="3553" xr:uid="{00000000-0005-0000-0000-0000AE620000}"/>
    <cellStyle name="60% - Accent2 4 7 2" xfId="18702" xr:uid="{00000000-0005-0000-0000-0000AF620000}"/>
    <cellStyle name="60% - Accent2 4 8" xfId="5236" xr:uid="{00000000-0005-0000-0000-0000B0620000}"/>
    <cellStyle name="60% - Accent2 4 8 2" xfId="20385" xr:uid="{00000000-0005-0000-0000-0000B1620000}"/>
    <cellStyle name="60% - Accent2 4 9" xfId="6919" xr:uid="{00000000-0005-0000-0000-0000B2620000}"/>
    <cellStyle name="60% - Accent2 4 9 2" xfId="22068" xr:uid="{00000000-0005-0000-0000-0000B3620000}"/>
    <cellStyle name="60% - Accent2 5" xfId="291" xr:uid="{00000000-0005-0000-0000-0000B4620000}"/>
    <cellStyle name="60% - Accent2 5 10" xfId="10390" xr:uid="{00000000-0005-0000-0000-0000B5620000}"/>
    <cellStyle name="60% - Accent2 5 10 2" xfId="25539" xr:uid="{00000000-0005-0000-0000-0000B6620000}"/>
    <cellStyle name="60% - Accent2 5 11" xfId="12074" xr:uid="{00000000-0005-0000-0000-0000B7620000}"/>
    <cellStyle name="60% - Accent2 5 11 2" xfId="27223" xr:uid="{00000000-0005-0000-0000-0000B8620000}"/>
    <cellStyle name="60% - Accent2 5 12" xfId="13757" xr:uid="{00000000-0005-0000-0000-0000B9620000}"/>
    <cellStyle name="60% - Accent2 5 12 2" xfId="28906" xr:uid="{00000000-0005-0000-0000-0000BA620000}"/>
    <cellStyle name="60% - Accent2 5 13" xfId="15440" xr:uid="{00000000-0005-0000-0000-0000BB620000}"/>
    <cellStyle name="60% - Accent2 5 14" xfId="30589" xr:uid="{00000000-0005-0000-0000-0000BC620000}"/>
    <cellStyle name="60% - Accent2 5 15" xfId="32272" xr:uid="{00000000-0005-0000-0000-0000BD620000}"/>
    <cellStyle name="60% - Accent2 5 16" xfId="33955" xr:uid="{00000000-0005-0000-0000-0000BE620000}"/>
    <cellStyle name="60% - Accent2 5 17" xfId="35638" xr:uid="{00000000-0005-0000-0000-0000BF620000}"/>
    <cellStyle name="60% - Accent2 5 18" xfId="37321" xr:uid="{00000000-0005-0000-0000-0000C0620000}"/>
    <cellStyle name="60% - Accent2 5 19" xfId="39004" xr:uid="{00000000-0005-0000-0000-0000C1620000}"/>
    <cellStyle name="60% - Accent2 5 2" xfId="711" xr:uid="{00000000-0005-0000-0000-0000C2620000}"/>
    <cellStyle name="60% - Accent2 5 2 10" xfId="15860" xr:uid="{00000000-0005-0000-0000-0000C3620000}"/>
    <cellStyle name="60% - Accent2 5 2 11" xfId="31009" xr:uid="{00000000-0005-0000-0000-0000C4620000}"/>
    <cellStyle name="60% - Accent2 5 2 12" xfId="32692" xr:uid="{00000000-0005-0000-0000-0000C5620000}"/>
    <cellStyle name="60% - Accent2 5 2 13" xfId="34375" xr:uid="{00000000-0005-0000-0000-0000C6620000}"/>
    <cellStyle name="60% - Accent2 5 2 14" xfId="36058" xr:uid="{00000000-0005-0000-0000-0000C7620000}"/>
    <cellStyle name="60% - Accent2 5 2 15" xfId="37741" xr:uid="{00000000-0005-0000-0000-0000C8620000}"/>
    <cellStyle name="60% - Accent2 5 2 16" xfId="39424" xr:uid="{00000000-0005-0000-0000-0000C9620000}"/>
    <cellStyle name="60% - Accent2 5 2 17" xfId="41107" xr:uid="{00000000-0005-0000-0000-0000CA620000}"/>
    <cellStyle name="60% - Accent2 5 2 18" xfId="42790" xr:uid="{00000000-0005-0000-0000-0000CB620000}"/>
    <cellStyle name="60% - Accent2 5 2 19" xfId="44473" xr:uid="{00000000-0005-0000-0000-0000CC620000}"/>
    <cellStyle name="60% - Accent2 5 2 2" xfId="2394" xr:uid="{00000000-0005-0000-0000-0000CD620000}"/>
    <cellStyle name="60% - Accent2 5 2 2 2" xfId="17543" xr:uid="{00000000-0005-0000-0000-0000CE620000}"/>
    <cellStyle name="60% - Accent2 5 2 20" xfId="46156" xr:uid="{00000000-0005-0000-0000-0000CF620000}"/>
    <cellStyle name="60% - Accent2 5 2 21" xfId="47839" xr:uid="{00000000-0005-0000-0000-0000D0620000}"/>
    <cellStyle name="60% - Accent2 5 2 22" xfId="49522" xr:uid="{00000000-0005-0000-0000-0000D1620000}"/>
    <cellStyle name="60% - Accent2 5 2 23" xfId="51205" xr:uid="{00000000-0005-0000-0000-0000D2620000}"/>
    <cellStyle name="60% - Accent2 5 2 24" xfId="52888" xr:uid="{00000000-0005-0000-0000-0000D3620000}"/>
    <cellStyle name="60% - Accent2 5 2 25" xfId="54571" xr:uid="{00000000-0005-0000-0000-0000D4620000}"/>
    <cellStyle name="60% - Accent2 5 2 26" xfId="56254" xr:uid="{00000000-0005-0000-0000-0000D5620000}"/>
    <cellStyle name="60% - Accent2 5 2 27" xfId="57937" xr:uid="{00000000-0005-0000-0000-0000D6620000}"/>
    <cellStyle name="60% - Accent2 5 2 28" xfId="59620" xr:uid="{00000000-0005-0000-0000-0000D7620000}"/>
    <cellStyle name="60% - Accent2 5 2 29" xfId="61303" xr:uid="{00000000-0005-0000-0000-0000D8620000}"/>
    <cellStyle name="60% - Accent2 5 2 3" xfId="4078" xr:uid="{00000000-0005-0000-0000-0000D9620000}"/>
    <cellStyle name="60% - Accent2 5 2 3 2" xfId="19227" xr:uid="{00000000-0005-0000-0000-0000DA620000}"/>
    <cellStyle name="60% - Accent2 5 2 30" xfId="62986" xr:uid="{00000000-0005-0000-0000-0000DB620000}"/>
    <cellStyle name="60% - Accent2 5 2 4" xfId="5761" xr:uid="{00000000-0005-0000-0000-0000DC620000}"/>
    <cellStyle name="60% - Accent2 5 2 4 2" xfId="20910" xr:uid="{00000000-0005-0000-0000-0000DD620000}"/>
    <cellStyle name="60% - Accent2 5 2 5" xfId="7444" xr:uid="{00000000-0005-0000-0000-0000DE620000}"/>
    <cellStyle name="60% - Accent2 5 2 5 2" xfId="22593" xr:uid="{00000000-0005-0000-0000-0000DF620000}"/>
    <cellStyle name="60% - Accent2 5 2 6" xfId="9127" xr:uid="{00000000-0005-0000-0000-0000E0620000}"/>
    <cellStyle name="60% - Accent2 5 2 6 2" xfId="24276" xr:uid="{00000000-0005-0000-0000-0000E1620000}"/>
    <cellStyle name="60% - Accent2 5 2 7" xfId="10810" xr:uid="{00000000-0005-0000-0000-0000E2620000}"/>
    <cellStyle name="60% - Accent2 5 2 7 2" xfId="25959" xr:uid="{00000000-0005-0000-0000-0000E3620000}"/>
    <cellStyle name="60% - Accent2 5 2 8" xfId="12494" xr:uid="{00000000-0005-0000-0000-0000E4620000}"/>
    <cellStyle name="60% - Accent2 5 2 8 2" xfId="27643" xr:uid="{00000000-0005-0000-0000-0000E5620000}"/>
    <cellStyle name="60% - Accent2 5 2 9" xfId="14177" xr:uid="{00000000-0005-0000-0000-0000E6620000}"/>
    <cellStyle name="60% - Accent2 5 2 9 2" xfId="29326" xr:uid="{00000000-0005-0000-0000-0000E7620000}"/>
    <cellStyle name="60% - Accent2 5 20" xfId="40687" xr:uid="{00000000-0005-0000-0000-0000E8620000}"/>
    <cellStyle name="60% - Accent2 5 21" xfId="42370" xr:uid="{00000000-0005-0000-0000-0000E9620000}"/>
    <cellStyle name="60% - Accent2 5 22" xfId="44053" xr:uid="{00000000-0005-0000-0000-0000EA620000}"/>
    <cellStyle name="60% - Accent2 5 23" xfId="45736" xr:uid="{00000000-0005-0000-0000-0000EB620000}"/>
    <cellStyle name="60% - Accent2 5 24" xfId="47419" xr:uid="{00000000-0005-0000-0000-0000EC620000}"/>
    <cellStyle name="60% - Accent2 5 25" xfId="49102" xr:uid="{00000000-0005-0000-0000-0000ED620000}"/>
    <cellStyle name="60% - Accent2 5 26" xfId="50785" xr:uid="{00000000-0005-0000-0000-0000EE620000}"/>
    <cellStyle name="60% - Accent2 5 27" xfId="52468" xr:uid="{00000000-0005-0000-0000-0000EF620000}"/>
    <cellStyle name="60% - Accent2 5 28" xfId="54151" xr:uid="{00000000-0005-0000-0000-0000F0620000}"/>
    <cellStyle name="60% - Accent2 5 29" xfId="55834" xr:uid="{00000000-0005-0000-0000-0000F1620000}"/>
    <cellStyle name="60% - Accent2 5 3" xfId="1132" xr:uid="{00000000-0005-0000-0000-0000F2620000}"/>
    <cellStyle name="60% - Accent2 5 3 10" xfId="16281" xr:uid="{00000000-0005-0000-0000-0000F3620000}"/>
    <cellStyle name="60% - Accent2 5 3 11" xfId="31430" xr:uid="{00000000-0005-0000-0000-0000F4620000}"/>
    <cellStyle name="60% - Accent2 5 3 12" xfId="33113" xr:uid="{00000000-0005-0000-0000-0000F5620000}"/>
    <cellStyle name="60% - Accent2 5 3 13" xfId="34796" xr:uid="{00000000-0005-0000-0000-0000F6620000}"/>
    <cellStyle name="60% - Accent2 5 3 14" xfId="36479" xr:uid="{00000000-0005-0000-0000-0000F7620000}"/>
    <cellStyle name="60% - Accent2 5 3 15" xfId="38162" xr:uid="{00000000-0005-0000-0000-0000F8620000}"/>
    <cellStyle name="60% - Accent2 5 3 16" xfId="39845" xr:uid="{00000000-0005-0000-0000-0000F9620000}"/>
    <cellStyle name="60% - Accent2 5 3 17" xfId="41528" xr:uid="{00000000-0005-0000-0000-0000FA620000}"/>
    <cellStyle name="60% - Accent2 5 3 18" xfId="43211" xr:uid="{00000000-0005-0000-0000-0000FB620000}"/>
    <cellStyle name="60% - Accent2 5 3 19" xfId="44894" xr:uid="{00000000-0005-0000-0000-0000FC620000}"/>
    <cellStyle name="60% - Accent2 5 3 2" xfId="2815" xr:uid="{00000000-0005-0000-0000-0000FD620000}"/>
    <cellStyle name="60% - Accent2 5 3 2 2" xfId="17964" xr:uid="{00000000-0005-0000-0000-0000FE620000}"/>
    <cellStyle name="60% - Accent2 5 3 20" xfId="46577" xr:uid="{00000000-0005-0000-0000-0000FF620000}"/>
    <cellStyle name="60% - Accent2 5 3 21" xfId="48260" xr:uid="{00000000-0005-0000-0000-000000630000}"/>
    <cellStyle name="60% - Accent2 5 3 22" xfId="49943" xr:uid="{00000000-0005-0000-0000-000001630000}"/>
    <cellStyle name="60% - Accent2 5 3 23" xfId="51626" xr:uid="{00000000-0005-0000-0000-000002630000}"/>
    <cellStyle name="60% - Accent2 5 3 24" xfId="53309" xr:uid="{00000000-0005-0000-0000-000003630000}"/>
    <cellStyle name="60% - Accent2 5 3 25" xfId="54992" xr:uid="{00000000-0005-0000-0000-000004630000}"/>
    <cellStyle name="60% - Accent2 5 3 26" xfId="56675" xr:uid="{00000000-0005-0000-0000-000005630000}"/>
    <cellStyle name="60% - Accent2 5 3 27" xfId="58358" xr:uid="{00000000-0005-0000-0000-000006630000}"/>
    <cellStyle name="60% - Accent2 5 3 28" xfId="60041" xr:uid="{00000000-0005-0000-0000-000007630000}"/>
    <cellStyle name="60% - Accent2 5 3 29" xfId="61724" xr:uid="{00000000-0005-0000-0000-000008630000}"/>
    <cellStyle name="60% - Accent2 5 3 3" xfId="4499" xr:uid="{00000000-0005-0000-0000-000009630000}"/>
    <cellStyle name="60% - Accent2 5 3 3 2" xfId="19648" xr:uid="{00000000-0005-0000-0000-00000A630000}"/>
    <cellStyle name="60% - Accent2 5 3 30" xfId="63407" xr:uid="{00000000-0005-0000-0000-00000B630000}"/>
    <cellStyle name="60% - Accent2 5 3 4" xfId="6182" xr:uid="{00000000-0005-0000-0000-00000C630000}"/>
    <cellStyle name="60% - Accent2 5 3 4 2" xfId="21331" xr:uid="{00000000-0005-0000-0000-00000D630000}"/>
    <cellStyle name="60% - Accent2 5 3 5" xfId="7865" xr:uid="{00000000-0005-0000-0000-00000E630000}"/>
    <cellStyle name="60% - Accent2 5 3 5 2" xfId="23014" xr:uid="{00000000-0005-0000-0000-00000F630000}"/>
    <cellStyle name="60% - Accent2 5 3 6" xfId="9548" xr:uid="{00000000-0005-0000-0000-000010630000}"/>
    <cellStyle name="60% - Accent2 5 3 6 2" xfId="24697" xr:uid="{00000000-0005-0000-0000-000011630000}"/>
    <cellStyle name="60% - Accent2 5 3 7" xfId="11231" xr:uid="{00000000-0005-0000-0000-000012630000}"/>
    <cellStyle name="60% - Accent2 5 3 7 2" xfId="26380" xr:uid="{00000000-0005-0000-0000-000013630000}"/>
    <cellStyle name="60% - Accent2 5 3 8" xfId="12915" xr:uid="{00000000-0005-0000-0000-000014630000}"/>
    <cellStyle name="60% - Accent2 5 3 8 2" xfId="28064" xr:uid="{00000000-0005-0000-0000-000015630000}"/>
    <cellStyle name="60% - Accent2 5 3 9" xfId="14598" xr:uid="{00000000-0005-0000-0000-000016630000}"/>
    <cellStyle name="60% - Accent2 5 3 9 2" xfId="29747" xr:uid="{00000000-0005-0000-0000-000017630000}"/>
    <cellStyle name="60% - Accent2 5 30" xfId="57517" xr:uid="{00000000-0005-0000-0000-000018630000}"/>
    <cellStyle name="60% - Accent2 5 31" xfId="59200" xr:uid="{00000000-0005-0000-0000-000019630000}"/>
    <cellStyle name="60% - Accent2 5 32" xfId="60883" xr:uid="{00000000-0005-0000-0000-00001A630000}"/>
    <cellStyle name="60% - Accent2 5 33" xfId="62566" xr:uid="{00000000-0005-0000-0000-00001B630000}"/>
    <cellStyle name="60% - Accent2 5 4" xfId="1553" xr:uid="{00000000-0005-0000-0000-00001C630000}"/>
    <cellStyle name="60% - Accent2 5 4 10" xfId="16702" xr:uid="{00000000-0005-0000-0000-00001D630000}"/>
    <cellStyle name="60% - Accent2 5 4 11" xfId="31851" xr:uid="{00000000-0005-0000-0000-00001E630000}"/>
    <cellStyle name="60% - Accent2 5 4 12" xfId="33534" xr:uid="{00000000-0005-0000-0000-00001F630000}"/>
    <cellStyle name="60% - Accent2 5 4 13" xfId="35217" xr:uid="{00000000-0005-0000-0000-000020630000}"/>
    <cellStyle name="60% - Accent2 5 4 14" xfId="36900" xr:uid="{00000000-0005-0000-0000-000021630000}"/>
    <cellStyle name="60% - Accent2 5 4 15" xfId="38583" xr:uid="{00000000-0005-0000-0000-000022630000}"/>
    <cellStyle name="60% - Accent2 5 4 16" xfId="40266" xr:uid="{00000000-0005-0000-0000-000023630000}"/>
    <cellStyle name="60% - Accent2 5 4 17" xfId="41949" xr:uid="{00000000-0005-0000-0000-000024630000}"/>
    <cellStyle name="60% - Accent2 5 4 18" xfId="43632" xr:uid="{00000000-0005-0000-0000-000025630000}"/>
    <cellStyle name="60% - Accent2 5 4 19" xfId="45315" xr:uid="{00000000-0005-0000-0000-000026630000}"/>
    <cellStyle name="60% - Accent2 5 4 2" xfId="3236" xr:uid="{00000000-0005-0000-0000-000027630000}"/>
    <cellStyle name="60% - Accent2 5 4 2 2" xfId="18385" xr:uid="{00000000-0005-0000-0000-000028630000}"/>
    <cellStyle name="60% - Accent2 5 4 20" xfId="46998" xr:uid="{00000000-0005-0000-0000-000029630000}"/>
    <cellStyle name="60% - Accent2 5 4 21" xfId="48681" xr:uid="{00000000-0005-0000-0000-00002A630000}"/>
    <cellStyle name="60% - Accent2 5 4 22" xfId="50364" xr:uid="{00000000-0005-0000-0000-00002B630000}"/>
    <cellStyle name="60% - Accent2 5 4 23" xfId="52047" xr:uid="{00000000-0005-0000-0000-00002C630000}"/>
    <cellStyle name="60% - Accent2 5 4 24" xfId="53730" xr:uid="{00000000-0005-0000-0000-00002D630000}"/>
    <cellStyle name="60% - Accent2 5 4 25" xfId="55413" xr:uid="{00000000-0005-0000-0000-00002E630000}"/>
    <cellStyle name="60% - Accent2 5 4 26" xfId="57096" xr:uid="{00000000-0005-0000-0000-00002F630000}"/>
    <cellStyle name="60% - Accent2 5 4 27" xfId="58779" xr:uid="{00000000-0005-0000-0000-000030630000}"/>
    <cellStyle name="60% - Accent2 5 4 28" xfId="60462" xr:uid="{00000000-0005-0000-0000-000031630000}"/>
    <cellStyle name="60% - Accent2 5 4 29" xfId="62145" xr:uid="{00000000-0005-0000-0000-000032630000}"/>
    <cellStyle name="60% - Accent2 5 4 3" xfId="4920" xr:uid="{00000000-0005-0000-0000-000033630000}"/>
    <cellStyle name="60% - Accent2 5 4 3 2" xfId="20069" xr:uid="{00000000-0005-0000-0000-000034630000}"/>
    <cellStyle name="60% - Accent2 5 4 30" xfId="63828" xr:uid="{00000000-0005-0000-0000-000035630000}"/>
    <cellStyle name="60% - Accent2 5 4 4" xfId="6603" xr:uid="{00000000-0005-0000-0000-000036630000}"/>
    <cellStyle name="60% - Accent2 5 4 4 2" xfId="21752" xr:uid="{00000000-0005-0000-0000-000037630000}"/>
    <cellStyle name="60% - Accent2 5 4 5" xfId="8286" xr:uid="{00000000-0005-0000-0000-000038630000}"/>
    <cellStyle name="60% - Accent2 5 4 5 2" xfId="23435" xr:uid="{00000000-0005-0000-0000-000039630000}"/>
    <cellStyle name="60% - Accent2 5 4 6" xfId="9969" xr:uid="{00000000-0005-0000-0000-00003A630000}"/>
    <cellStyle name="60% - Accent2 5 4 6 2" xfId="25118" xr:uid="{00000000-0005-0000-0000-00003B630000}"/>
    <cellStyle name="60% - Accent2 5 4 7" xfId="11652" xr:uid="{00000000-0005-0000-0000-00003C630000}"/>
    <cellStyle name="60% - Accent2 5 4 7 2" xfId="26801" xr:uid="{00000000-0005-0000-0000-00003D630000}"/>
    <cellStyle name="60% - Accent2 5 4 8" xfId="13336" xr:uid="{00000000-0005-0000-0000-00003E630000}"/>
    <cellStyle name="60% - Accent2 5 4 8 2" xfId="28485" xr:uid="{00000000-0005-0000-0000-00003F630000}"/>
    <cellStyle name="60% - Accent2 5 4 9" xfId="15019" xr:uid="{00000000-0005-0000-0000-000040630000}"/>
    <cellStyle name="60% - Accent2 5 4 9 2" xfId="30168" xr:uid="{00000000-0005-0000-0000-000041630000}"/>
    <cellStyle name="60% - Accent2 5 5" xfId="1974" xr:uid="{00000000-0005-0000-0000-000042630000}"/>
    <cellStyle name="60% - Accent2 5 5 2" xfId="17123" xr:uid="{00000000-0005-0000-0000-000043630000}"/>
    <cellStyle name="60% - Accent2 5 6" xfId="3658" xr:uid="{00000000-0005-0000-0000-000044630000}"/>
    <cellStyle name="60% - Accent2 5 6 2" xfId="18807" xr:uid="{00000000-0005-0000-0000-000045630000}"/>
    <cellStyle name="60% - Accent2 5 7" xfId="5341" xr:uid="{00000000-0005-0000-0000-000046630000}"/>
    <cellStyle name="60% - Accent2 5 7 2" xfId="20490" xr:uid="{00000000-0005-0000-0000-000047630000}"/>
    <cellStyle name="60% - Accent2 5 8" xfId="7024" xr:uid="{00000000-0005-0000-0000-000048630000}"/>
    <cellStyle name="60% - Accent2 5 8 2" xfId="22173" xr:uid="{00000000-0005-0000-0000-000049630000}"/>
    <cellStyle name="60% - Accent2 5 9" xfId="8707" xr:uid="{00000000-0005-0000-0000-00004A630000}"/>
    <cellStyle name="60% - Accent2 5 9 2" xfId="23856" xr:uid="{00000000-0005-0000-0000-00004B630000}"/>
    <cellStyle name="60% - Accent2 6" xfId="501" xr:uid="{00000000-0005-0000-0000-00004C630000}"/>
    <cellStyle name="60% - Accent2 6 10" xfId="15650" xr:uid="{00000000-0005-0000-0000-00004D630000}"/>
    <cellStyle name="60% - Accent2 6 11" xfId="30799" xr:uid="{00000000-0005-0000-0000-00004E630000}"/>
    <cellStyle name="60% - Accent2 6 12" xfId="32482" xr:uid="{00000000-0005-0000-0000-00004F630000}"/>
    <cellStyle name="60% - Accent2 6 13" xfId="34165" xr:uid="{00000000-0005-0000-0000-000050630000}"/>
    <cellStyle name="60% - Accent2 6 14" xfId="35848" xr:uid="{00000000-0005-0000-0000-000051630000}"/>
    <cellStyle name="60% - Accent2 6 15" xfId="37531" xr:uid="{00000000-0005-0000-0000-000052630000}"/>
    <cellStyle name="60% - Accent2 6 16" xfId="39214" xr:uid="{00000000-0005-0000-0000-000053630000}"/>
    <cellStyle name="60% - Accent2 6 17" xfId="40897" xr:uid="{00000000-0005-0000-0000-000054630000}"/>
    <cellStyle name="60% - Accent2 6 18" xfId="42580" xr:uid="{00000000-0005-0000-0000-000055630000}"/>
    <cellStyle name="60% - Accent2 6 19" xfId="44263" xr:uid="{00000000-0005-0000-0000-000056630000}"/>
    <cellStyle name="60% - Accent2 6 2" xfId="2184" xr:uid="{00000000-0005-0000-0000-000057630000}"/>
    <cellStyle name="60% - Accent2 6 2 2" xfId="17333" xr:uid="{00000000-0005-0000-0000-000058630000}"/>
    <cellStyle name="60% - Accent2 6 20" xfId="45946" xr:uid="{00000000-0005-0000-0000-000059630000}"/>
    <cellStyle name="60% - Accent2 6 21" xfId="47629" xr:uid="{00000000-0005-0000-0000-00005A630000}"/>
    <cellStyle name="60% - Accent2 6 22" xfId="49312" xr:uid="{00000000-0005-0000-0000-00005B630000}"/>
    <cellStyle name="60% - Accent2 6 23" xfId="50995" xr:uid="{00000000-0005-0000-0000-00005C630000}"/>
    <cellStyle name="60% - Accent2 6 24" xfId="52678" xr:uid="{00000000-0005-0000-0000-00005D630000}"/>
    <cellStyle name="60% - Accent2 6 25" xfId="54361" xr:uid="{00000000-0005-0000-0000-00005E630000}"/>
    <cellStyle name="60% - Accent2 6 26" xfId="56044" xr:uid="{00000000-0005-0000-0000-00005F630000}"/>
    <cellStyle name="60% - Accent2 6 27" xfId="57727" xr:uid="{00000000-0005-0000-0000-000060630000}"/>
    <cellStyle name="60% - Accent2 6 28" xfId="59410" xr:uid="{00000000-0005-0000-0000-000061630000}"/>
    <cellStyle name="60% - Accent2 6 29" xfId="61093" xr:uid="{00000000-0005-0000-0000-000062630000}"/>
    <cellStyle name="60% - Accent2 6 3" xfId="3868" xr:uid="{00000000-0005-0000-0000-000063630000}"/>
    <cellStyle name="60% - Accent2 6 3 2" xfId="19017" xr:uid="{00000000-0005-0000-0000-000064630000}"/>
    <cellStyle name="60% - Accent2 6 30" xfId="62776" xr:uid="{00000000-0005-0000-0000-000065630000}"/>
    <cellStyle name="60% - Accent2 6 4" xfId="5551" xr:uid="{00000000-0005-0000-0000-000066630000}"/>
    <cellStyle name="60% - Accent2 6 4 2" xfId="20700" xr:uid="{00000000-0005-0000-0000-000067630000}"/>
    <cellStyle name="60% - Accent2 6 5" xfId="7234" xr:uid="{00000000-0005-0000-0000-000068630000}"/>
    <cellStyle name="60% - Accent2 6 5 2" xfId="22383" xr:uid="{00000000-0005-0000-0000-000069630000}"/>
    <cellStyle name="60% - Accent2 6 6" xfId="8917" xr:uid="{00000000-0005-0000-0000-00006A630000}"/>
    <cellStyle name="60% - Accent2 6 6 2" xfId="24066" xr:uid="{00000000-0005-0000-0000-00006B630000}"/>
    <cellStyle name="60% - Accent2 6 7" xfId="10600" xr:uid="{00000000-0005-0000-0000-00006C630000}"/>
    <cellStyle name="60% - Accent2 6 7 2" xfId="25749" xr:uid="{00000000-0005-0000-0000-00006D630000}"/>
    <cellStyle name="60% - Accent2 6 8" xfId="12284" xr:uid="{00000000-0005-0000-0000-00006E630000}"/>
    <cellStyle name="60% - Accent2 6 8 2" xfId="27433" xr:uid="{00000000-0005-0000-0000-00006F630000}"/>
    <cellStyle name="60% - Accent2 6 9" xfId="13967" xr:uid="{00000000-0005-0000-0000-000070630000}"/>
    <cellStyle name="60% - Accent2 6 9 2" xfId="29116" xr:uid="{00000000-0005-0000-0000-000071630000}"/>
    <cellStyle name="60% - Accent2 7" xfId="922" xr:uid="{00000000-0005-0000-0000-000072630000}"/>
    <cellStyle name="60% - Accent2 7 10" xfId="16071" xr:uid="{00000000-0005-0000-0000-000073630000}"/>
    <cellStyle name="60% - Accent2 7 11" xfId="31220" xr:uid="{00000000-0005-0000-0000-000074630000}"/>
    <cellStyle name="60% - Accent2 7 12" xfId="32903" xr:uid="{00000000-0005-0000-0000-000075630000}"/>
    <cellStyle name="60% - Accent2 7 13" xfId="34586" xr:uid="{00000000-0005-0000-0000-000076630000}"/>
    <cellStyle name="60% - Accent2 7 14" xfId="36269" xr:uid="{00000000-0005-0000-0000-000077630000}"/>
    <cellStyle name="60% - Accent2 7 15" xfId="37952" xr:uid="{00000000-0005-0000-0000-000078630000}"/>
    <cellStyle name="60% - Accent2 7 16" xfId="39635" xr:uid="{00000000-0005-0000-0000-000079630000}"/>
    <cellStyle name="60% - Accent2 7 17" xfId="41318" xr:uid="{00000000-0005-0000-0000-00007A630000}"/>
    <cellStyle name="60% - Accent2 7 18" xfId="43001" xr:uid="{00000000-0005-0000-0000-00007B630000}"/>
    <cellStyle name="60% - Accent2 7 19" xfId="44684" xr:uid="{00000000-0005-0000-0000-00007C630000}"/>
    <cellStyle name="60% - Accent2 7 2" xfId="2605" xr:uid="{00000000-0005-0000-0000-00007D630000}"/>
    <cellStyle name="60% - Accent2 7 2 2" xfId="17754" xr:uid="{00000000-0005-0000-0000-00007E630000}"/>
    <cellStyle name="60% - Accent2 7 20" xfId="46367" xr:uid="{00000000-0005-0000-0000-00007F630000}"/>
    <cellStyle name="60% - Accent2 7 21" xfId="48050" xr:uid="{00000000-0005-0000-0000-000080630000}"/>
    <cellStyle name="60% - Accent2 7 22" xfId="49733" xr:uid="{00000000-0005-0000-0000-000081630000}"/>
    <cellStyle name="60% - Accent2 7 23" xfId="51416" xr:uid="{00000000-0005-0000-0000-000082630000}"/>
    <cellStyle name="60% - Accent2 7 24" xfId="53099" xr:uid="{00000000-0005-0000-0000-000083630000}"/>
    <cellStyle name="60% - Accent2 7 25" xfId="54782" xr:uid="{00000000-0005-0000-0000-000084630000}"/>
    <cellStyle name="60% - Accent2 7 26" xfId="56465" xr:uid="{00000000-0005-0000-0000-000085630000}"/>
    <cellStyle name="60% - Accent2 7 27" xfId="58148" xr:uid="{00000000-0005-0000-0000-000086630000}"/>
    <cellStyle name="60% - Accent2 7 28" xfId="59831" xr:uid="{00000000-0005-0000-0000-000087630000}"/>
    <cellStyle name="60% - Accent2 7 29" xfId="61514" xr:uid="{00000000-0005-0000-0000-000088630000}"/>
    <cellStyle name="60% - Accent2 7 3" xfId="4289" xr:uid="{00000000-0005-0000-0000-000089630000}"/>
    <cellStyle name="60% - Accent2 7 3 2" xfId="19438" xr:uid="{00000000-0005-0000-0000-00008A630000}"/>
    <cellStyle name="60% - Accent2 7 30" xfId="63197" xr:uid="{00000000-0005-0000-0000-00008B630000}"/>
    <cellStyle name="60% - Accent2 7 4" xfId="5972" xr:uid="{00000000-0005-0000-0000-00008C630000}"/>
    <cellStyle name="60% - Accent2 7 4 2" xfId="21121" xr:uid="{00000000-0005-0000-0000-00008D630000}"/>
    <cellStyle name="60% - Accent2 7 5" xfId="7655" xr:uid="{00000000-0005-0000-0000-00008E630000}"/>
    <cellStyle name="60% - Accent2 7 5 2" xfId="22804" xr:uid="{00000000-0005-0000-0000-00008F630000}"/>
    <cellStyle name="60% - Accent2 7 6" xfId="9338" xr:uid="{00000000-0005-0000-0000-000090630000}"/>
    <cellStyle name="60% - Accent2 7 6 2" xfId="24487" xr:uid="{00000000-0005-0000-0000-000091630000}"/>
    <cellStyle name="60% - Accent2 7 7" xfId="11021" xr:uid="{00000000-0005-0000-0000-000092630000}"/>
    <cellStyle name="60% - Accent2 7 7 2" xfId="26170" xr:uid="{00000000-0005-0000-0000-000093630000}"/>
    <cellStyle name="60% - Accent2 7 8" xfId="12705" xr:uid="{00000000-0005-0000-0000-000094630000}"/>
    <cellStyle name="60% - Accent2 7 8 2" xfId="27854" xr:uid="{00000000-0005-0000-0000-000095630000}"/>
    <cellStyle name="60% - Accent2 7 9" xfId="14388" xr:uid="{00000000-0005-0000-0000-000096630000}"/>
    <cellStyle name="60% - Accent2 7 9 2" xfId="29537" xr:uid="{00000000-0005-0000-0000-000097630000}"/>
    <cellStyle name="60% - Accent2 8" xfId="1343" xr:uid="{00000000-0005-0000-0000-000098630000}"/>
    <cellStyle name="60% - Accent2 8 10" xfId="16492" xr:uid="{00000000-0005-0000-0000-000099630000}"/>
    <cellStyle name="60% - Accent2 8 11" xfId="31641" xr:uid="{00000000-0005-0000-0000-00009A630000}"/>
    <cellStyle name="60% - Accent2 8 12" xfId="33324" xr:uid="{00000000-0005-0000-0000-00009B630000}"/>
    <cellStyle name="60% - Accent2 8 13" xfId="35007" xr:uid="{00000000-0005-0000-0000-00009C630000}"/>
    <cellStyle name="60% - Accent2 8 14" xfId="36690" xr:uid="{00000000-0005-0000-0000-00009D630000}"/>
    <cellStyle name="60% - Accent2 8 15" xfId="38373" xr:uid="{00000000-0005-0000-0000-00009E630000}"/>
    <cellStyle name="60% - Accent2 8 16" xfId="40056" xr:uid="{00000000-0005-0000-0000-00009F630000}"/>
    <cellStyle name="60% - Accent2 8 17" xfId="41739" xr:uid="{00000000-0005-0000-0000-0000A0630000}"/>
    <cellStyle name="60% - Accent2 8 18" xfId="43422" xr:uid="{00000000-0005-0000-0000-0000A1630000}"/>
    <cellStyle name="60% - Accent2 8 19" xfId="45105" xr:uid="{00000000-0005-0000-0000-0000A2630000}"/>
    <cellStyle name="60% - Accent2 8 2" xfId="3026" xr:uid="{00000000-0005-0000-0000-0000A3630000}"/>
    <cellStyle name="60% - Accent2 8 2 2" xfId="18175" xr:uid="{00000000-0005-0000-0000-0000A4630000}"/>
    <cellStyle name="60% - Accent2 8 20" xfId="46788" xr:uid="{00000000-0005-0000-0000-0000A5630000}"/>
    <cellStyle name="60% - Accent2 8 21" xfId="48471" xr:uid="{00000000-0005-0000-0000-0000A6630000}"/>
    <cellStyle name="60% - Accent2 8 22" xfId="50154" xr:uid="{00000000-0005-0000-0000-0000A7630000}"/>
    <cellStyle name="60% - Accent2 8 23" xfId="51837" xr:uid="{00000000-0005-0000-0000-0000A8630000}"/>
    <cellStyle name="60% - Accent2 8 24" xfId="53520" xr:uid="{00000000-0005-0000-0000-0000A9630000}"/>
    <cellStyle name="60% - Accent2 8 25" xfId="55203" xr:uid="{00000000-0005-0000-0000-0000AA630000}"/>
    <cellStyle name="60% - Accent2 8 26" xfId="56886" xr:uid="{00000000-0005-0000-0000-0000AB630000}"/>
    <cellStyle name="60% - Accent2 8 27" xfId="58569" xr:uid="{00000000-0005-0000-0000-0000AC630000}"/>
    <cellStyle name="60% - Accent2 8 28" xfId="60252" xr:uid="{00000000-0005-0000-0000-0000AD630000}"/>
    <cellStyle name="60% - Accent2 8 29" xfId="61935" xr:uid="{00000000-0005-0000-0000-0000AE630000}"/>
    <cellStyle name="60% - Accent2 8 3" xfId="4710" xr:uid="{00000000-0005-0000-0000-0000AF630000}"/>
    <cellStyle name="60% - Accent2 8 3 2" xfId="19859" xr:uid="{00000000-0005-0000-0000-0000B0630000}"/>
    <cellStyle name="60% - Accent2 8 30" xfId="63618" xr:uid="{00000000-0005-0000-0000-0000B1630000}"/>
    <cellStyle name="60% - Accent2 8 4" xfId="6393" xr:uid="{00000000-0005-0000-0000-0000B2630000}"/>
    <cellStyle name="60% - Accent2 8 4 2" xfId="21542" xr:uid="{00000000-0005-0000-0000-0000B3630000}"/>
    <cellStyle name="60% - Accent2 8 5" xfId="8076" xr:uid="{00000000-0005-0000-0000-0000B4630000}"/>
    <cellStyle name="60% - Accent2 8 5 2" xfId="23225" xr:uid="{00000000-0005-0000-0000-0000B5630000}"/>
    <cellStyle name="60% - Accent2 8 6" xfId="9759" xr:uid="{00000000-0005-0000-0000-0000B6630000}"/>
    <cellStyle name="60% - Accent2 8 6 2" xfId="24908" xr:uid="{00000000-0005-0000-0000-0000B7630000}"/>
    <cellStyle name="60% - Accent2 8 7" xfId="11442" xr:uid="{00000000-0005-0000-0000-0000B8630000}"/>
    <cellStyle name="60% - Accent2 8 7 2" xfId="26591" xr:uid="{00000000-0005-0000-0000-0000B9630000}"/>
    <cellStyle name="60% - Accent2 8 8" xfId="13126" xr:uid="{00000000-0005-0000-0000-0000BA630000}"/>
    <cellStyle name="60% - Accent2 8 8 2" xfId="28275" xr:uid="{00000000-0005-0000-0000-0000BB630000}"/>
    <cellStyle name="60% - Accent2 8 9" xfId="14809" xr:uid="{00000000-0005-0000-0000-0000BC630000}"/>
    <cellStyle name="60% - Accent2 8 9 2" xfId="29958" xr:uid="{00000000-0005-0000-0000-0000BD630000}"/>
    <cellStyle name="60% - Accent2 9" xfId="1764" xr:uid="{00000000-0005-0000-0000-0000BE630000}"/>
    <cellStyle name="60% - Accent2 9 2" xfId="16913" xr:uid="{00000000-0005-0000-0000-0000BF630000}"/>
    <cellStyle name="60% - Accent3" xfId="81" builtinId="40" customBuiltin="1"/>
    <cellStyle name="60% - Accent3 10" xfId="3451" xr:uid="{00000000-0005-0000-0000-0000C1630000}"/>
    <cellStyle name="60% - Accent3 10 2" xfId="18600" xr:uid="{00000000-0005-0000-0000-0000C2630000}"/>
    <cellStyle name="60% - Accent3 11" xfId="5134" xr:uid="{00000000-0005-0000-0000-0000C3630000}"/>
    <cellStyle name="60% - Accent3 11 2" xfId="20283" xr:uid="{00000000-0005-0000-0000-0000C4630000}"/>
    <cellStyle name="60% - Accent3 12" xfId="6817" xr:uid="{00000000-0005-0000-0000-0000C5630000}"/>
    <cellStyle name="60% - Accent3 12 2" xfId="21966" xr:uid="{00000000-0005-0000-0000-0000C6630000}"/>
    <cellStyle name="60% - Accent3 13" xfId="8500" xr:uid="{00000000-0005-0000-0000-0000C7630000}"/>
    <cellStyle name="60% - Accent3 13 2" xfId="23649" xr:uid="{00000000-0005-0000-0000-0000C8630000}"/>
    <cellStyle name="60% - Accent3 14" xfId="10183" xr:uid="{00000000-0005-0000-0000-0000C9630000}"/>
    <cellStyle name="60% - Accent3 14 2" xfId="25332" xr:uid="{00000000-0005-0000-0000-0000CA630000}"/>
    <cellStyle name="60% - Accent3 15" xfId="11867" xr:uid="{00000000-0005-0000-0000-0000CB630000}"/>
    <cellStyle name="60% - Accent3 15 2" xfId="27016" xr:uid="{00000000-0005-0000-0000-0000CC630000}"/>
    <cellStyle name="60% - Accent3 16" xfId="13550" xr:uid="{00000000-0005-0000-0000-0000CD630000}"/>
    <cellStyle name="60% - Accent3 16 2" xfId="28699" xr:uid="{00000000-0005-0000-0000-0000CE630000}"/>
    <cellStyle name="60% - Accent3 17" xfId="15233" xr:uid="{00000000-0005-0000-0000-0000CF630000}"/>
    <cellStyle name="60% - Accent3 18" xfId="30382" xr:uid="{00000000-0005-0000-0000-0000D0630000}"/>
    <cellStyle name="60% - Accent3 19" xfId="32065" xr:uid="{00000000-0005-0000-0000-0000D1630000}"/>
    <cellStyle name="60% - Accent3 2" xfId="106" xr:uid="{00000000-0005-0000-0000-0000D2630000}"/>
    <cellStyle name="60% - Accent3 2 10" xfId="6839" xr:uid="{00000000-0005-0000-0000-0000D3630000}"/>
    <cellStyle name="60% - Accent3 2 10 2" xfId="21988" xr:uid="{00000000-0005-0000-0000-0000D4630000}"/>
    <cellStyle name="60% - Accent3 2 11" xfId="8522" xr:uid="{00000000-0005-0000-0000-0000D5630000}"/>
    <cellStyle name="60% - Accent3 2 11 2" xfId="23671" xr:uid="{00000000-0005-0000-0000-0000D6630000}"/>
    <cellStyle name="60% - Accent3 2 12" xfId="10205" xr:uid="{00000000-0005-0000-0000-0000D7630000}"/>
    <cellStyle name="60% - Accent3 2 12 2" xfId="25354" xr:uid="{00000000-0005-0000-0000-0000D8630000}"/>
    <cellStyle name="60% - Accent3 2 13" xfId="11889" xr:uid="{00000000-0005-0000-0000-0000D9630000}"/>
    <cellStyle name="60% - Accent3 2 13 2" xfId="27038" xr:uid="{00000000-0005-0000-0000-0000DA630000}"/>
    <cellStyle name="60% - Accent3 2 14" xfId="13572" xr:uid="{00000000-0005-0000-0000-0000DB630000}"/>
    <cellStyle name="60% - Accent3 2 14 2" xfId="28721" xr:uid="{00000000-0005-0000-0000-0000DC630000}"/>
    <cellStyle name="60% - Accent3 2 15" xfId="15255" xr:uid="{00000000-0005-0000-0000-0000DD630000}"/>
    <cellStyle name="60% - Accent3 2 16" xfId="30404" xr:uid="{00000000-0005-0000-0000-0000DE630000}"/>
    <cellStyle name="60% - Accent3 2 17" xfId="32087" xr:uid="{00000000-0005-0000-0000-0000DF630000}"/>
    <cellStyle name="60% - Accent3 2 18" xfId="33770" xr:uid="{00000000-0005-0000-0000-0000E0630000}"/>
    <cellStyle name="60% - Accent3 2 19" xfId="35453" xr:uid="{00000000-0005-0000-0000-0000E1630000}"/>
    <cellStyle name="60% - Accent3 2 2" xfId="211" xr:uid="{00000000-0005-0000-0000-0000E2630000}"/>
    <cellStyle name="60% - Accent3 2 2 10" xfId="8627" xr:uid="{00000000-0005-0000-0000-0000E3630000}"/>
    <cellStyle name="60% - Accent3 2 2 10 2" xfId="23776" xr:uid="{00000000-0005-0000-0000-0000E4630000}"/>
    <cellStyle name="60% - Accent3 2 2 11" xfId="10310" xr:uid="{00000000-0005-0000-0000-0000E5630000}"/>
    <cellStyle name="60% - Accent3 2 2 11 2" xfId="25459" xr:uid="{00000000-0005-0000-0000-0000E6630000}"/>
    <cellStyle name="60% - Accent3 2 2 12" xfId="11994" xr:uid="{00000000-0005-0000-0000-0000E7630000}"/>
    <cellStyle name="60% - Accent3 2 2 12 2" xfId="27143" xr:uid="{00000000-0005-0000-0000-0000E8630000}"/>
    <cellStyle name="60% - Accent3 2 2 13" xfId="13677" xr:uid="{00000000-0005-0000-0000-0000E9630000}"/>
    <cellStyle name="60% - Accent3 2 2 13 2" xfId="28826" xr:uid="{00000000-0005-0000-0000-0000EA630000}"/>
    <cellStyle name="60% - Accent3 2 2 14" xfId="15360" xr:uid="{00000000-0005-0000-0000-0000EB630000}"/>
    <cellStyle name="60% - Accent3 2 2 15" xfId="30509" xr:uid="{00000000-0005-0000-0000-0000EC630000}"/>
    <cellStyle name="60% - Accent3 2 2 16" xfId="32192" xr:uid="{00000000-0005-0000-0000-0000ED630000}"/>
    <cellStyle name="60% - Accent3 2 2 17" xfId="33875" xr:uid="{00000000-0005-0000-0000-0000EE630000}"/>
    <cellStyle name="60% - Accent3 2 2 18" xfId="35558" xr:uid="{00000000-0005-0000-0000-0000EF630000}"/>
    <cellStyle name="60% - Accent3 2 2 19" xfId="37241" xr:uid="{00000000-0005-0000-0000-0000F0630000}"/>
    <cellStyle name="60% - Accent3 2 2 2" xfId="421" xr:uid="{00000000-0005-0000-0000-0000F1630000}"/>
    <cellStyle name="60% - Accent3 2 2 2 10" xfId="10520" xr:uid="{00000000-0005-0000-0000-0000F2630000}"/>
    <cellStyle name="60% - Accent3 2 2 2 10 2" xfId="25669" xr:uid="{00000000-0005-0000-0000-0000F3630000}"/>
    <cellStyle name="60% - Accent3 2 2 2 11" xfId="12204" xr:uid="{00000000-0005-0000-0000-0000F4630000}"/>
    <cellStyle name="60% - Accent3 2 2 2 11 2" xfId="27353" xr:uid="{00000000-0005-0000-0000-0000F5630000}"/>
    <cellStyle name="60% - Accent3 2 2 2 12" xfId="13887" xr:uid="{00000000-0005-0000-0000-0000F6630000}"/>
    <cellStyle name="60% - Accent3 2 2 2 12 2" xfId="29036" xr:uid="{00000000-0005-0000-0000-0000F7630000}"/>
    <cellStyle name="60% - Accent3 2 2 2 13" xfId="15570" xr:uid="{00000000-0005-0000-0000-0000F8630000}"/>
    <cellStyle name="60% - Accent3 2 2 2 14" xfId="30719" xr:uid="{00000000-0005-0000-0000-0000F9630000}"/>
    <cellStyle name="60% - Accent3 2 2 2 15" xfId="32402" xr:uid="{00000000-0005-0000-0000-0000FA630000}"/>
    <cellStyle name="60% - Accent3 2 2 2 16" xfId="34085" xr:uid="{00000000-0005-0000-0000-0000FB630000}"/>
    <cellStyle name="60% - Accent3 2 2 2 17" xfId="35768" xr:uid="{00000000-0005-0000-0000-0000FC630000}"/>
    <cellStyle name="60% - Accent3 2 2 2 18" xfId="37451" xr:uid="{00000000-0005-0000-0000-0000FD630000}"/>
    <cellStyle name="60% - Accent3 2 2 2 19" xfId="39134" xr:uid="{00000000-0005-0000-0000-0000FE630000}"/>
    <cellStyle name="60% - Accent3 2 2 2 2" xfId="841" xr:uid="{00000000-0005-0000-0000-0000FF630000}"/>
    <cellStyle name="60% - Accent3 2 2 2 2 10" xfId="15990" xr:uid="{00000000-0005-0000-0000-000000640000}"/>
    <cellStyle name="60% - Accent3 2 2 2 2 11" xfId="31139" xr:uid="{00000000-0005-0000-0000-000001640000}"/>
    <cellStyle name="60% - Accent3 2 2 2 2 12" xfId="32822" xr:uid="{00000000-0005-0000-0000-000002640000}"/>
    <cellStyle name="60% - Accent3 2 2 2 2 13" xfId="34505" xr:uid="{00000000-0005-0000-0000-000003640000}"/>
    <cellStyle name="60% - Accent3 2 2 2 2 14" xfId="36188" xr:uid="{00000000-0005-0000-0000-000004640000}"/>
    <cellStyle name="60% - Accent3 2 2 2 2 15" xfId="37871" xr:uid="{00000000-0005-0000-0000-000005640000}"/>
    <cellStyle name="60% - Accent3 2 2 2 2 16" xfId="39554" xr:uid="{00000000-0005-0000-0000-000006640000}"/>
    <cellStyle name="60% - Accent3 2 2 2 2 17" xfId="41237" xr:uid="{00000000-0005-0000-0000-000007640000}"/>
    <cellStyle name="60% - Accent3 2 2 2 2 18" xfId="42920" xr:uid="{00000000-0005-0000-0000-000008640000}"/>
    <cellStyle name="60% - Accent3 2 2 2 2 19" xfId="44603" xr:uid="{00000000-0005-0000-0000-000009640000}"/>
    <cellStyle name="60% - Accent3 2 2 2 2 2" xfId="2524" xr:uid="{00000000-0005-0000-0000-00000A640000}"/>
    <cellStyle name="60% - Accent3 2 2 2 2 2 2" xfId="17673" xr:uid="{00000000-0005-0000-0000-00000B640000}"/>
    <cellStyle name="60% - Accent3 2 2 2 2 20" xfId="46286" xr:uid="{00000000-0005-0000-0000-00000C640000}"/>
    <cellStyle name="60% - Accent3 2 2 2 2 21" xfId="47969" xr:uid="{00000000-0005-0000-0000-00000D640000}"/>
    <cellStyle name="60% - Accent3 2 2 2 2 22" xfId="49652" xr:uid="{00000000-0005-0000-0000-00000E640000}"/>
    <cellStyle name="60% - Accent3 2 2 2 2 23" xfId="51335" xr:uid="{00000000-0005-0000-0000-00000F640000}"/>
    <cellStyle name="60% - Accent3 2 2 2 2 24" xfId="53018" xr:uid="{00000000-0005-0000-0000-000010640000}"/>
    <cellStyle name="60% - Accent3 2 2 2 2 25" xfId="54701" xr:uid="{00000000-0005-0000-0000-000011640000}"/>
    <cellStyle name="60% - Accent3 2 2 2 2 26" xfId="56384" xr:uid="{00000000-0005-0000-0000-000012640000}"/>
    <cellStyle name="60% - Accent3 2 2 2 2 27" xfId="58067" xr:uid="{00000000-0005-0000-0000-000013640000}"/>
    <cellStyle name="60% - Accent3 2 2 2 2 28" xfId="59750" xr:uid="{00000000-0005-0000-0000-000014640000}"/>
    <cellStyle name="60% - Accent3 2 2 2 2 29" xfId="61433" xr:uid="{00000000-0005-0000-0000-000015640000}"/>
    <cellStyle name="60% - Accent3 2 2 2 2 3" xfId="4208" xr:uid="{00000000-0005-0000-0000-000016640000}"/>
    <cellStyle name="60% - Accent3 2 2 2 2 3 2" xfId="19357" xr:uid="{00000000-0005-0000-0000-000017640000}"/>
    <cellStyle name="60% - Accent3 2 2 2 2 30" xfId="63116" xr:uid="{00000000-0005-0000-0000-000018640000}"/>
    <cellStyle name="60% - Accent3 2 2 2 2 4" xfId="5891" xr:uid="{00000000-0005-0000-0000-000019640000}"/>
    <cellStyle name="60% - Accent3 2 2 2 2 4 2" xfId="21040" xr:uid="{00000000-0005-0000-0000-00001A640000}"/>
    <cellStyle name="60% - Accent3 2 2 2 2 5" xfId="7574" xr:uid="{00000000-0005-0000-0000-00001B640000}"/>
    <cellStyle name="60% - Accent3 2 2 2 2 5 2" xfId="22723" xr:uid="{00000000-0005-0000-0000-00001C640000}"/>
    <cellStyle name="60% - Accent3 2 2 2 2 6" xfId="9257" xr:uid="{00000000-0005-0000-0000-00001D640000}"/>
    <cellStyle name="60% - Accent3 2 2 2 2 6 2" xfId="24406" xr:uid="{00000000-0005-0000-0000-00001E640000}"/>
    <cellStyle name="60% - Accent3 2 2 2 2 7" xfId="10940" xr:uid="{00000000-0005-0000-0000-00001F640000}"/>
    <cellStyle name="60% - Accent3 2 2 2 2 7 2" xfId="26089" xr:uid="{00000000-0005-0000-0000-000020640000}"/>
    <cellStyle name="60% - Accent3 2 2 2 2 8" xfId="12624" xr:uid="{00000000-0005-0000-0000-000021640000}"/>
    <cellStyle name="60% - Accent3 2 2 2 2 8 2" xfId="27773" xr:uid="{00000000-0005-0000-0000-000022640000}"/>
    <cellStyle name="60% - Accent3 2 2 2 2 9" xfId="14307" xr:uid="{00000000-0005-0000-0000-000023640000}"/>
    <cellStyle name="60% - Accent3 2 2 2 2 9 2" xfId="29456" xr:uid="{00000000-0005-0000-0000-000024640000}"/>
    <cellStyle name="60% - Accent3 2 2 2 20" xfId="40817" xr:uid="{00000000-0005-0000-0000-000025640000}"/>
    <cellStyle name="60% - Accent3 2 2 2 21" xfId="42500" xr:uid="{00000000-0005-0000-0000-000026640000}"/>
    <cellStyle name="60% - Accent3 2 2 2 22" xfId="44183" xr:uid="{00000000-0005-0000-0000-000027640000}"/>
    <cellStyle name="60% - Accent3 2 2 2 23" xfId="45866" xr:uid="{00000000-0005-0000-0000-000028640000}"/>
    <cellStyle name="60% - Accent3 2 2 2 24" xfId="47549" xr:uid="{00000000-0005-0000-0000-000029640000}"/>
    <cellStyle name="60% - Accent3 2 2 2 25" xfId="49232" xr:uid="{00000000-0005-0000-0000-00002A640000}"/>
    <cellStyle name="60% - Accent3 2 2 2 26" xfId="50915" xr:uid="{00000000-0005-0000-0000-00002B640000}"/>
    <cellStyle name="60% - Accent3 2 2 2 27" xfId="52598" xr:uid="{00000000-0005-0000-0000-00002C640000}"/>
    <cellStyle name="60% - Accent3 2 2 2 28" xfId="54281" xr:uid="{00000000-0005-0000-0000-00002D640000}"/>
    <cellStyle name="60% - Accent3 2 2 2 29" xfId="55964" xr:uid="{00000000-0005-0000-0000-00002E640000}"/>
    <cellStyle name="60% - Accent3 2 2 2 3" xfId="1262" xr:uid="{00000000-0005-0000-0000-00002F640000}"/>
    <cellStyle name="60% - Accent3 2 2 2 3 10" xfId="16411" xr:uid="{00000000-0005-0000-0000-000030640000}"/>
    <cellStyle name="60% - Accent3 2 2 2 3 11" xfId="31560" xr:uid="{00000000-0005-0000-0000-000031640000}"/>
    <cellStyle name="60% - Accent3 2 2 2 3 12" xfId="33243" xr:uid="{00000000-0005-0000-0000-000032640000}"/>
    <cellStyle name="60% - Accent3 2 2 2 3 13" xfId="34926" xr:uid="{00000000-0005-0000-0000-000033640000}"/>
    <cellStyle name="60% - Accent3 2 2 2 3 14" xfId="36609" xr:uid="{00000000-0005-0000-0000-000034640000}"/>
    <cellStyle name="60% - Accent3 2 2 2 3 15" xfId="38292" xr:uid="{00000000-0005-0000-0000-000035640000}"/>
    <cellStyle name="60% - Accent3 2 2 2 3 16" xfId="39975" xr:uid="{00000000-0005-0000-0000-000036640000}"/>
    <cellStyle name="60% - Accent3 2 2 2 3 17" xfId="41658" xr:uid="{00000000-0005-0000-0000-000037640000}"/>
    <cellStyle name="60% - Accent3 2 2 2 3 18" xfId="43341" xr:uid="{00000000-0005-0000-0000-000038640000}"/>
    <cellStyle name="60% - Accent3 2 2 2 3 19" xfId="45024" xr:uid="{00000000-0005-0000-0000-000039640000}"/>
    <cellStyle name="60% - Accent3 2 2 2 3 2" xfId="2945" xr:uid="{00000000-0005-0000-0000-00003A640000}"/>
    <cellStyle name="60% - Accent3 2 2 2 3 2 2" xfId="18094" xr:uid="{00000000-0005-0000-0000-00003B640000}"/>
    <cellStyle name="60% - Accent3 2 2 2 3 20" xfId="46707" xr:uid="{00000000-0005-0000-0000-00003C640000}"/>
    <cellStyle name="60% - Accent3 2 2 2 3 21" xfId="48390" xr:uid="{00000000-0005-0000-0000-00003D640000}"/>
    <cellStyle name="60% - Accent3 2 2 2 3 22" xfId="50073" xr:uid="{00000000-0005-0000-0000-00003E640000}"/>
    <cellStyle name="60% - Accent3 2 2 2 3 23" xfId="51756" xr:uid="{00000000-0005-0000-0000-00003F640000}"/>
    <cellStyle name="60% - Accent3 2 2 2 3 24" xfId="53439" xr:uid="{00000000-0005-0000-0000-000040640000}"/>
    <cellStyle name="60% - Accent3 2 2 2 3 25" xfId="55122" xr:uid="{00000000-0005-0000-0000-000041640000}"/>
    <cellStyle name="60% - Accent3 2 2 2 3 26" xfId="56805" xr:uid="{00000000-0005-0000-0000-000042640000}"/>
    <cellStyle name="60% - Accent3 2 2 2 3 27" xfId="58488" xr:uid="{00000000-0005-0000-0000-000043640000}"/>
    <cellStyle name="60% - Accent3 2 2 2 3 28" xfId="60171" xr:uid="{00000000-0005-0000-0000-000044640000}"/>
    <cellStyle name="60% - Accent3 2 2 2 3 29" xfId="61854" xr:uid="{00000000-0005-0000-0000-000045640000}"/>
    <cellStyle name="60% - Accent3 2 2 2 3 3" xfId="4629" xr:uid="{00000000-0005-0000-0000-000046640000}"/>
    <cellStyle name="60% - Accent3 2 2 2 3 3 2" xfId="19778" xr:uid="{00000000-0005-0000-0000-000047640000}"/>
    <cellStyle name="60% - Accent3 2 2 2 3 30" xfId="63537" xr:uid="{00000000-0005-0000-0000-000048640000}"/>
    <cellStyle name="60% - Accent3 2 2 2 3 4" xfId="6312" xr:uid="{00000000-0005-0000-0000-000049640000}"/>
    <cellStyle name="60% - Accent3 2 2 2 3 4 2" xfId="21461" xr:uid="{00000000-0005-0000-0000-00004A640000}"/>
    <cellStyle name="60% - Accent3 2 2 2 3 5" xfId="7995" xr:uid="{00000000-0005-0000-0000-00004B640000}"/>
    <cellStyle name="60% - Accent3 2 2 2 3 5 2" xfId="23144" xr:uid="{00000000-0005-0000-0000-00004C640000}"/>
    <cellStyle name="60% - Accent3 2 2 2 3 6" xfId="9678" xr:uid="{00000000-0005-0000-0000-00004D640000}"/>
    <cellStyle name="60% - Accent3 2 2 2 3 6 2" xfId="24827" xr:uid="{00000000-0005-0000-0000-00004E640000}"/>
    <cellStyle name="60% - Accent3 2 2 2 3 7" xfId="11361" xr:uid="{00000000-0005-0000-0000-00004F640000}"/>
    <cellStyle name="60% - Accent3 2 2 2 3 7 2" xfId="26510" xr:uid="{00000000-0005-0000-0000-000050640000}"/>
    <cellStyle name="60% - Accent3 2 2 2 3 8" xfId="13045" xr:uid="{00000000-0005-0000-0000-000051640000}"/>
    <cellStyle name="60% - Accent3 2 2 2 3 8 2" xfId="28194" xr:uid="{00000000-0005-0000-0000-000052640000}"/>
    <cellStyle name="60% - Accent3 2 2 2 3 9" xfId="14728" xr:uid="{00000000-0005-0000-0000-000053640000}"/>
    <cellStyle name="60% - Accent3 2 2 2 3 9 2" xfId="29877" xr:uid="{00000000-0005-0000-0000-000054640000}"/>
    <cellStyle name="60% - Accent3 2 2 2 30" xfId="57647" xr:uid="{00000000-0005-0000-0000-000055640000}"/>
    <cellStyle name="60% - Accent3 2 2 2 31" xfId="59330" xr:uid="{00000000-0005-0000-0000-000056640000}"/>
    <cellStyle name="60% - Accent3 2 2 2 32" xfId="61013" xr:uid="{00000000-0005-0000-0000-000057640000}"/>
    <cellStyle name="60% - Accent3 2 2 2 33" xfId="62696" xr:uid="{00000000-0005-0000-0000-000058640000}"/>
    <cellStyle name="60% - Accent3 2 2 2 4" xfId="1683" xr:uid="{00000000-0005-0000-0000-000059640000}"/>
    <cellStyle name="60% - Accent3 2 2 2 4 10" xfId="16832" xr:uid="{00000000-0005-0000-0000-00005A640000}"/>
    <cellStyle name="60% - Accent3 2 2 2 4 11" xfId="31981" xr:uid="{00000000-0005-0000-0000-00005B640000}"/>
    <cellStyle name="60% - Accent3 2 2 2 4 12" xfId="33664" xr:uid="{00000000-0005-0000-0000-00005C640000}"/>
    <cellStyle name="60% - Accent3 2 2 2 4 13" xfId="35347" xr:uid="{00000000-0005-0000-0000-00005D640000}"/>
    <cellStyle name="60% - Accent3 2 2 2 4 14" xfId="37030" xr:uid="{00000000-0005-0000-0000-00005E640000}"/>
    <cellStyle name="60% - Accent3 2 2 2 4 15" xfId="38713" xr:uid="{00000000-0005-0000-0000-00005F640000}"/>
    <cellStyle name="60% - Accent3 2 2 2 4 16" xfId="40396" xr:uid="{00000000-0005-0000-0000-000060640000}"/>
    <cellStyle name="60% - Accent3 2 2 2 4 17" xfId="42079" xr:uid="{00000000-0005-0000-0000-000061640000}"/>
    <cellStyle name="60% - Accent3 2 2 2 4 18" xfId="43762" xr:uid="{00000000-0005-0000-0000-000062640000}"/>
    <cellStyle name="60% - Accent3 2 2 2 4 19" xfId="45445" xr:uid="{00000000-0005-0000-0000-000063640000}"/>
    <cellStyle name="60% - Accent3 2 2 2 4 2" xfId="3366" xr:uid="{00000000-0005-0000-0000-000064640000}"/>
    <cellStyle name="60% - Accent3 2 2 2 4 2 2" xfId="18515" xr:uid="{00000000-0005-0000-0000-000065640000}"/>
    <cellStyle name="60% - Accent3 2 2 2 4 20" xfId="47128" xr:uid="{00000000-0005-0000-0000-000066640000}"/>
    <cellStyle name="60% - Accent3 2 2 2 4 21" xfId="48811" xr:uid="{00000000-0005-0000-0000-000067640000}"/>
    <cellStyle name="60% - Accent3 2 2 2 4 22" xfId="50494" xr:uid="{00000000-0005-0000-0000-000068640000}"/>
    <cellStyle name="60% - Accent3 2 2 2 4 23" xfId="52177" xr:uid="{00000000-0005-0000-0000-000069640000}"/>
    <cellStyle name="60% - Accent3 2 2 2 4 24" xfId="53860" xr:uid="{00000000-0005-0000-0000-00006A640000}"/>
    <cellStyle name="60% - Accent3 2 2 2 4 25" xfId="55543" xr:uid="{00000000-0005-0000-0000-00006B640000}"/>
    <cellStyle name="60% - Accent3 2 2 2 4 26" xfId="57226" xr:uid="{00000000-0005-0000-0000-00006C640000}"/>
    <cellStyle name="60% - Accent3 2 2 2 4 27" xfId="58909" xr:uid="{00000000-0005-0000-0000-00006D640000}"/>
    <cellStyle name="60% - Accent3 2 2 2 4 28" xfId="60592" xr:uid="{00000000-0005-0000-0000-00006E640000}"/>
    <cellStyle name="60% - Accent3 2 2 2 4 29" xfId="62275" xr:uid="{00000000-0005-0000-0000-00006F640000}"/>
    <cellStyle name="60% - Accent3 2 2 2 4 3" xfId="5050" xr:uid="{00000000-0005-0000-0000-000070640000}"/>
    <cellStyle name="60% - Accent3 2 2 2 4 3 2" xfId="20199" xr:uid="{00000000-0005-0000-0000-000071640000}"/>
    <cellStyle name="60% - Accent3 2 2 2 4 30" xfId="63958" xr:uid="{00000000-0005-0000-0000-000072640000}"/>
    <cellStyle name="60% - Accent3 2 2 2 4 4" xfId="6733" xr:uid="{00000000-0005-0000-0000-000073640000}"/>
    <cellStyle name="60% - Accent3 2 2 2 4 4 2" xfId="21882" xr:uid="{00000000-0005-0000-0000-000074640000}"/>
    <cellStyle name="60% - Accent3 2 2 2 4 5" xfId="8416" xr:uid="{00000000-0005-0000-0000-000075640000}"/>
    <cellStyle name="60% - Accent3 2 2 2 4 5 2" xfId="23565" xr:uid="{00000000-0005-0000-0000-000076640000}"/>
    <cellStyle name="60% - Accent3 2 2 2 4 6" xfId="10099" xr:uid="{00000000-0005-0000-0000-000077640000}"/>
    <cellStyle name="60% - Accent3 2 2 2 4 6 2" xfId="25248" xr:uid="{00000000-0005-0000-0000-000078640000}"/>
    <cellStyle name="60% - Accent3 2 2 2 4 7" xfId="11782" xr:uid="{00000000-0005-0000-0000-000079640000}"/>
    <cellStyle name="60% - Accent3 2 2 2 4 7 2" xfId="26931" xr:uid="{00000000-0005-0000-0000-00007A640000}"/>
    <cellStyle name="60% - Accent3 2 2 2 4 8" xfId="13466" xr:uid="{00000000-0005-0000-0000-00007B640000}"/>
    <cellStyle name="60% - Accent3 2 2 2 4 8 2" xfId="28615" xr:uid="{00000000-0005-0000-0000-00007C640000}"/>
    <cellStyle name="60% - Accent3 2 2 2 4 9" xfId="15149" xr:uid="{00000000-0005-0000-0000-00007D640000}"/>
    <cellStyle name="60% - Accent3 2 2 2 4 9 2" xfId="30298" xr:uid="{00000000-0005-0000-0000-00007E640000}"/>
    <cellStyle name="60% - Accent3 2 2 2 5" xfId="2104" xr:uid="{00000000-0005-0000-0000-00007F640000}"/>
    <cellStyle name="60% - Accent3 2 2 2 5 2" xfId="17253" xr:uid="{00000000-0005-0000-0000-000080640000}"/>
    <cellStyle name="60% - Accent3 2 2 2 6" xfId="3788" xr:uid="{00000000-0005-0000-0000-000081640000}"/>
    <cellStyle name="60% - Accent3 2 2 2 6 2" xfId="18937" xr:uid="{00000000-0005-0000-0000-000082640000}"/>
    <cellStyle name="60% - Accent3 2 2 2 7" xfId="5471" xr:uid="{00000000-0005-0000-0000-000083640000}"/>
    <cellStyle name="60% - Accent3 2 2 2 7 2" xfId="20620" xr:uid="{00000000-0005-0000-0000-000084640000}"/>
    <cellStyle name="60% - Accent3 2 2 2 8" xfId="7154" xr:uid="{00000000-0005-0000-0000-000085640000}"/>
    <cellStyle name="60% - Accent3 2 2 2 8 2" xfId="22303" xr:uid="{00000000-0005-0000-0000-000086640000}"/>
    <cellStyle name="60% - Accent3 2 2 2 9" xfId="8837" xr:uid="{00000000-0005-0000-0000-000087640000}"/>
    <cellStyle name="60% - Accent3 2 2 2 9 2" xfId="23986" xr:uid="{00000000-0005-0000-0000-000088640000}"/>
    <cellStyle name="60% - Accent3 2 2 20" xfId="38924" xr:uid="{00000000-0005-0000-0000-000089640000}"/>
    <cellStyle name="60% - Accent3 2 2 21" xfId="40607" xr:uid="{00000000-0005-0000-0000-00008A640000}"/>
    <cellStyle name="60% - Accent3 2 2 22" xfId="42290" xr:uid="{00000000-0005-0000-0000-00008B640000}"/>
    <cellStyle name="60% - Accent3 2 2 23" xfId="43973" xr:uid="{00000000-0005-0000-0000-00008C640000}"/>
    <cellStyle name="60% - Accent3 2 2 24" xfId="45656" xr:uid="{00000000-0005-0000-0000-00008D640000}"/>
    <cellStyle name="60% - Accent3 2 2 25" xfId="47339" xr:uid="{00000000-0005-0000-0000-00008E640000}"/>
    <cellStyle name="60% - Accent3 2 2 26" xfId="49022" xr:uid="{00000000-0005-0000-0000-00008F640000}"/>
    <cellStyle name="60% - Accent3 2 2 27" xfId="50705" xr:uid="{00000000-0005-0000-0000-000090640000}"/>
    <cellStyle name="60% - Accent3 2 2 28" xfId="52388" xr:uid="{00000000-0005-0000-0000-000091640000}"/>
    <cellStyle name="60% - Accent3 2 2 29" xfId="54071" xr:uid="{00000000-0005-0000-0000-000092640000}"/>
    <cellStyle name="60% - Accent3 2 2 3" xfId="631" xr:uid="{00000000-0005-0000-0000-000093640000}"/>
    <cellStyle name="60% - Accent3 2 2 3 10" xfId="15780" xr:uid="{00000000-0005-0000-0000-000094640000}"/>
    <cellStyle name="60% - Accent3 2 2 3 11" xfId="30929" xr:uid="{00000000-0005-0000-0000-000095640000}"/>
    <cellStyle name="60% - Accent3 2 2 3 12" xfId="32612" xr:uid="{00000000-0005-0000-0000-000096640000}"/>
    <cellStyle name="60% - Accent3 2 2 3 13" xfId="34295" xr:uid="{00000000-0005-0000-0000-000097640000}"/>
    <cellStyle name="60% - Accent3 2 2 3 14" xfId="35978" xr:uid="{00000000-0005-0000-0000-000098640000}"/>
    <cellStyle name="60% - Accent3 2 2 3 15" xfId="37661" xr:uid="{00000000-0005-0000-0000-000099640000}"/>
    <cellStyle name="60% - Accent3 2 2 3 16" xfId="39344" xr:uid="{00000000-0005-0000-0000-00009A640000}"/>
    <cellStyle name="60% - Accent3 2 2 3 17" xfId="41027" xr:uid="{00000000-0005-0000-0000-00009B640000}"/>
    <cellStyle name="60% - Accent3 2 2 3 18" xfId="42710" xr:uid="{00000000-0005-0000-0000-00009C640000}"/>
    <cellStyle name="60% - Accent3 2 2 3 19" xfId="44393" xr:uid="{00000000-0005-0000-0000-00009D640000}"/>
    <cellStyle name="60% - Accent3 2 2 3 2" xfId="2314" xr:uid="{00000000-0005-0000-0000-00009E640000}"/>
    <cellStyle name="60% - Accent3 2 2 3 2 2" xfId="17463" xr:uid="{00000000-0005-0000-0000-00009F640000}"/>
    <cellStyle name="60% - Accent3 2 2 3 20" xfId="46076" xr:uid="{00000000-0005-0000-0000-0000A0640000}"/>
    <cellStyle name="60% - Accent3 2 2 3 21" xfId="47759" xr:uid="{00000000-0005-0000-0000-0000A1640000}"/>
    <cellStyle name="60% - Accent3 2 2 3 22" xfId="49442" xr:uid="{00000000-0005-0000-0000-0000A2640000}"/>
    <cellStyle name="60% - Accent3 2 2 3 23" xfId="51125" xr:uid="{00000000-0005-0000-0000-0000A3640000}"/>
    <cellStyle name="60% - Accent3 2 2 3 24" xfId="52808" xr:uid="{00000000-0005-0000-0000-0000A4640000}"/>
    <cellStyle name="60% - Accent3 2 2 3 25" xfId="54491" xr:uid="{00000000-0005-0000-0000-0000A5640000}"/>
    <cellStyle name="60% - Accent3 2 2 3 26" xfId="56174" xr:uid="{00000000-0005-0000-0000-0000A6640000}"/>
    <cellStyle name="60% - Accent3 2 2 3 27" xfId="57857" xr:uid="{00000000-0005-0000-0000-0000A7640000}"/>
    <cellStyle name="60% - Accent3 2 2 3 28" xfId="59540" xr:uid="{00000000-0005-0000-0000-0000A8640000}"/>
    <cellStyle name="60% - Accent3 2 2 3 29" xfId="61223" xr:uid="{00000000-0005-0000-0000-0000A9640000}"/>
    <cellStyle name="60% - Accent3 2 2 3 3" xfId="3998" xr:uid="{00000000-0005-0000-0000-0000AA640000}"/>
    <cellStyle name="60% - Accent3 2 2 3 3 2" xfId="19147" xr:uid="{00000000-0005-0000-0000-0000AB640000}"/>
    <cellStyle name="60% - Accent3 2 2 3 30" xfId="62906" xr:uid="{00000000-0005-0000-0000-0000AC640000}"/>
    <cellStyle name="60% - Accent3 2 2 3 4" xfId="5681" xr:uid="{00000000-0005-0000-0000-0000AD640000}"/>
    <cellStyle name="60% - Accent3 2 2 3 4 2" xfId="20830" xr:uid="{00000000-0005-0000-0000-0000AE640000}"/>
    <cellStyle name="60% - Accent3 2 2 3 5" xfId="7364" xr:uid="{00000000-0005-0000-0000-0000AF640000}"/>
    <cellStyle name="60% - Accent3 2 2 3 5 2" xfId="22513" xr:uid="{00000000-0005-0000-0000-0000B0640000}"/>
    <cellStyle name="60% - Accent3 2 2 3 6" xfId="9047" xr:uid="{00000000-0005-0000-0000-0000B1640000}"/>
    <cellStyle name="60% - Accent3 2 2 3 6 2" xfId="24196" xr:uid="{00000000-0005-0000-0000-0000B2640000}"/>
    <cellStyle name="60% - Accent3 2 2 3 7" xfId="10730" xr:uid="{00000000-0005-0000-0000-0000B3640000}"/>
    <cellStyle name="60% - Accent3 2 2 3 7 2" xfId="25879" xr:uid="{00000000-0005-0000-0000-0000B4640000}"/>
    <cellStyle name="60% - Accent3 2 2 3 8" xfId="12414" xr:uid="{00000000-0005-0000-0000-0000B5640000}"/>
    <cellStyle name="60% - Accent3 2 2 3 8 2" xfId="27563" xr:uid="{00000000-0005-0000-0000-0000B6640000}"/>
    <cellStyle name="60% - Accent3 2 2 3 9" xfId="14097" xr:uid="{00000000-0005-0000-0000-0000B7640000}"/>
    <cellStyle name="60% - Accent3 2 2 3 9 2" xfId="29246" xr:uid="{00000000-0005-0000-0000-0000B8640000}"/>
    <cellStyle name="60% - Accent3 2 2 30" xfId="55754" xr:uid="{00000000-0005-0000-0000-0000B9640000}"/>
    <cellStyle name="60% - Accent3 2 2 31" xfId="57437" xr:uid="{00000000-0005-0000-0000-0000BA640000}"/>
    <cellStyle name="60% - Accent3 2 2 32" xfId="59120" xr:uid="{00000000-0005-0000-0000-0000BB640000}"/>
    <cellStyle name="60% - Accent3 2 2 33" xfId="60803" xr:uid="{00000000-0005-0000-0000-0000BC640000}"/>
    <cellStyle name="60% - Accent3 2 2 34" xfId="62486" xr:uid="{00000000-0005-0000-0000-0000BD640000}"/>
    <cellStyle name="60% - Accent3 2 2 4" xfId="1052" xr:uid="{00000000-0005-0000-0000-0000BE640000}"/>
    <cellStyle name="60% - Accent3 2 2 4 10" xfId="16201" xr:uid="{00000000-0005-0000-0000-0000BF640000}"/>
    <cellStyle name="60% - Accent3 2 2 4 11" xfId="31350" xr:uid="{00000000-0005-0000-0000-0000C0640000}"/>
    <cellStyle name="60% - Accent3 2 2 4 12" xfId="33033" xr:uid="{00000000-0005-0000-0000-0000C1640000}"/>
    <cellStyle name="60% - Accent3 2 2 4 13" xfId="34716" xr:uid="{00000000-0005-0000-0000-0000C2640000}"/>
    <cellStyle name="60% - Accent3 2 2 4 14" xfId="36399" xr:uid="{00000000-0005-0000-0000-0000C3640000}"/>
    <cellStyle name="60% - Accent3 2 2 4 15" xfId="38082" xr:uid="{00000000-0005-0000-0000-0000C4640000}"/>
    <cellStyle name="60% - Accent3 2 2 4 16" xfId="39765" xr:uid="{00000000-0005-0000-0000-0000C5640000}"/>
    <cellStyle name="60% - Accent3 2 2 4 17" xfId="41448" xr:uid="{00000000-0005-0000-0000-0000C6640000}"/>
    <cellStyle name="60% - Accent3 2 2 4 18" xfId="43131" xr:uid="{00000000-0005-0000-0000-0000C7640000}"/>
    <cellStyle name="60% - Accent3 2 2 4 19" xfId="44814" xr:uid="{00000000-0005-0000-0000-0000C8640000}"/>
    <cellStyle name="60% - Accent3 2 2 4 2" xfId="2735" xr:uid="{00000000-0005-0000-0000-0000C9640000}"/>
    <cellStyle name="60% - Accent3 2 2 4 2 2" xfId="17884" xr:uid="{00000000-0005-0000-0000-0000CA640000}"/>
    <cellStyle name="60% - Accent3 2 2 4 20" xfId="46497" xr:uid="{00000000-0005-0000-0000-0000CB640000}"/>
    <cellStyle name="60% - Accent3 2 2 4 21" xfId="48180" xr:uid="{00000000-0005-0000-0000-0000CC640000}"/>
    <cellStyle name="60% - Accent3 2 2 4 22" xfId="49863" xr:uid="{00000000-0005-0000-0000-0000CD640000}"/>
    <cellStyle name="60% - Accent3 2 2 4 23" xfId="51546" xr:uid="{00000000-0005-0000-0000-0000CE640000}"/>
    <cellStyle name="60% - Accent3 2 2 4 24" xfId="53229" xr:uid="{00000000-0005-0000-0000-0000CF640000}"/>
    <cellStyle name="60% - Accent3 2 2 4 25" xfId="54912" xr:uid="{00000000-0005-0000-0000-0000D0640000}"/>
    <cellStyle name="60% - Accent3 2 2 4 26" xfId="56595" xr:uid="{00000000-0005-0000-0000-0000D1640000}"/>
    <cellStyle name="60% - Accent3 2 2 4 27" xfId="58278" xr:uid="{00000000-0005-0000-0000-0000D2640000}"/>
    <cellStyle name="60% - Accent3 2 2 4 28" xfId="59961" xr:uid="{00000000-0005-0000-0000-0000D3640000}"/>
    <cellStyle name="60% - Accent3 2 2 4 29" xfId="61644" xr:uid="{00000000-0005-0000-0000-0000D4640000}"/>
    <cellStyle name="60% - Accent3 2 2 4 3" xfId="4419" xr:uid="{00000000-0005-0000-0000-0000D5640000}"/>
    <cellStyle name="60% - Accent3 2 2 4 3 2" xfId="19568" xr:uid="{00000000-0005-0000-0000-0000D6640000}"/>
    <cellStyle name="60% - Accent3 2 2 4 30" xfId="63327" xr:uid="{00000000-0005-0000-0000-0000D7640000}"/>
    <cellStyle name="60% - Accent3 2 2 4 4" xfId="6102" xr:uid="{00000000-0005-0000-0000-0000D8640000}"/>
    <cellStyle name="60% - Accent3 2 2 4 4 2" xfId="21251" xr:uid="{00000000-0005-0000-0000-0000D9640000}"/>
    <cellStyle name="60% - Accent3 2 2 4 5" xfId="7785" xr:uid="{00000000-0005-0000-0000-0000DA640000}"/>
    <cellStyle name="60% - Accent3 2 2 4 5 2" xfId="22934" xr:uid="{00000000-0005-0000-0000-0000DB640000}"/>
    <cellStyle name="60% - Accent3 2 2 4 6" xfId="9468" xr:uid="{00000000-0005-0000-0000-0000DC640000}"/>
    <cellStyle name="60% - Accent3 2 2 4 6 2" xfId="24617" xr:uid="{00000000-0005-0000-0000-0000DD640000}"/>
    <cellStyle name="60% - Accent3 2 2 4 7" xfId="11151" xr:uid="{00000000-0005-0000-0000-0000DE640000}"/>
    <cellStyle name="60% - Accent3 2 2 4 7 2" xfId="26300" xr:uid="{00000000-0005-0000-0000-0000DF640000}"/>
    <cellStyle name="60% - Accent3 2 2 4 8" xfId="12835" xr:uid="{00000000-0005-0000-0000-0000E0640000}"/>
    <cellStyle name="60% - Accent3 2 2 4 8 2" xfId="27984" xr:uid="{00000000-0005-0000-0000-0000E1640000}"/>
    <cellStyle name="60% - Accent3 2 2 4 9" xfId="14518" xr:uid="{00000000-0005-0000-0000-0000E2640000}"/>
    <cellStyle name="60% - Accent3 2 2 4 9 2" xfId="29667" xr:uid="{00000000-0005-0000-0000-0000E3640000}"/>
    <cellStyle name="60% - Accent3 2 2 5" xfId="1473" xr:uid="{00000000-0005-0000-0000-0000E4640000}"/>
    <cellStyle name="60% - Accent3 2 2 5 10" xfId="16622" xr:uid="{00000000-0005-0000-0000-0000E5640000}"/>
    <cellStyle name="60% - Accent3 2 2 5 11" xfId="31771" xr:uid="{00000000-0005-0000-0000-0000E6640000}"/>
    <cellStyle name="60% - Accent3 2 2 5 12" xfId="33454" xr:uid="{00000000-0005-0000-0000-0000E7640000}"/>
    <cellStyle name="60% - Accent3 2 2 5 13" xfId="35137" xr:uid="{00000000-0005-0000-0000-0000E8640000}"/>
    <cellStyle name="60% - Accent3 2 2 5 14" xfId="36820" xr:uid="{00000000-0005-0000-0000-0000E9640000}"/>
    <cellStyle name="60% - Accent3 2 2 5 15" xfId="38503" xr:uid="{00000000-0005-0000-0000-0000EA640000}"/>
    <cellStyle name="60% - Accent3 2 2 5 16" xfId="40186" xr:uid="{00000000-0005-0000-0000-0000EB640000}"/>
    <cellStyle name="60% - Accent3 2 2 5 17" xfId="41869" xr:uid="{00000000-0005-0000-0000-0000EC640000}"/>
    <cellStyle name="60% - Accent3 2 2 5 18" xfId="43552" xr:uid="{00000000-0005-0000-0000-0000ED640000}"/>
    <cellStyle name="60% - Accent3 2 2 5 19" xfId="45235" xr:uid="{00000000-0005-0000-0000-0000EE640000}"/>
    <cellStyle name="60% - Accent3 2 2 5 2" xfId="3156" xr:uid="{00000000-0005-0000-0000-0000EF640000}"/>
    <cellStyle name="60% - Accent3 2 2 5 2 2" xfId="18305" xr:uid="{00000000-0005-0000-0000-0000F0640000}"/>
    <cellStyle name="60% - Accent3 2 2 5 20" xfId="46918" xr:uid="{00000000-0005-0000-0000-0000F1640000}"/>
    <cellStyle name="60% - Accent3 2 2 5 21" xfId="48601" xr:uid="{00000000-0005-0000-0000-0000F2640000}"/>
    <cellStyle name="60% - Accent3 2 2 5 22" xfId="50284" xr:uid="{00000000-0005-0000-0000-0000F3640000}"/>
    <cellStyle name="60% - Accent3 2 2 5 23" xfId="51967" xr:uid="{00000000-0005-0000-0000-0000F4640000}"/>
    <cellStyle name="60% - Accent3 2 2 5 24" xfId="53650" xr:uid="{00000000-0005-0000-0000-0000F5640000}"/>
    <cellStyle name="60% - Accent3 2 2 5 25" xfId="55333" xr:uid="{00000000-0005-0000-0000-0000F6640000}"/>
    <cellStyle name="60% - Accent3 2 2 5 26" xfId="57016" xr:uid="{00000000-0005-0000-0000-0000F7640000}"/>
    <cellStyle name="60% - Accent3 2 2 5 27" xfId="58699" xr:uid="{00000000-0005-0000-0000-0000F8640000}"/>
    <cellStyle name="60% - Accent3 2 2 5 28" xfId="60382" xr:uid="{00000000-0005-0000-0000-0000F9640000}"/>
    <cellStyle name="60% - Accent3 2 2 5 29" xfId="62065" xr:uid="{00000000-0005-0000-0000-0000FA640000}"/>
    <cellStyle name="60% - Accent3 2 2 5 3" xfId="4840" xr:uid="{00000000-0005-0000-0000-0000FB640000}"/>
    <cellStyle name="60% - Accent3 2 2 5 3 2" xfId="19989" xr:uid="{00000000-0005-0000-0000-0000FC640000}"/>
    <cellStyle name="60% - Accent3 2 2 5 30" xfId="63748" xr:uid="{00000000-0005-0000-0000-0000FD640000}"/>
    <cellStyle name="60% - Accent3 2 2 5 4" xfId="6523" xr:uid="{00000000-0005-0000-0000-0000FE640000}"/>
    <cellStyle name="60% - Accent3 2 2 5 4 2" xfId="21672" xr:uid="{00000000-0005-0000-0000-0000FF640000}"/>
    <cellStyle name="60% - Accent3 2 2 5 5" xfId="8206" xr:uid="{00000000-0005-0000-0000-000000650000}"/>
    <cellStyle name="60% - Accent3 2 2 5 5 2" xfId="23355" xr:uid="{00000000-0005-0000-0000-000001650000}"/>
    <cellStyle name="60% - Accent3 2 2 5 6" xfId="9889" xr:uid="{00000000-0005-0000-0000-000002650000}"/>
    <cellStyle name="60% - Accent3 2 2 5 6 2" xfId="25038" xr:uid="{00000000-0005-0000-0000-000003650000}"/>
    <cellStyle name="60% - Accent3 2 2 5 7" xfId="11572" xr:uid="{00000000-0005-0000-0000-000004650000}"/>
    <cellStyle name="60% - Accent3 2 2 5 7 2" xfId="26721" xr:uid="{00000000-0005-0000-0000-000005650000}"/>
    <cellStyle name="60% - Accent3 2 2 5 8" xfId="13256" xr:uid="{00000000-0005-0000-0000-000006650000}"/>
    <cellStyle name="60% - Accent3 2 2 5 8 2" xfId="28405" xr:uid="{00000000-0005-0000-0000-000007650000}"/>
    <cellStyle name="60% - Accent3 2 2 5 9" xfId="14939" xr:uid="{00000000-0005-0000-0000-000008650000}"/>
    <cellStyle name="60% - Accent3 2 2 5 9 2" xfId="30088" xr:uid="{00000000-0005-0000-0000-000009650000}"/>
    <cellStyle name="60% - Accent3 2 2 6" xfId="1894" xr:uid="{00000000-0005-0000-0000-00000A650000}"/>
    <cellStyle name="60% - Accent3 2 2 6 2" xfId="17043" xr:uid="{00000000-0005-0000-0000-00000B650000}"/>
    <cellStyle name="60% - Accent3 2 2 7" xfId="3578" xr:uid="{00000000-0005-0000-0000-00000C650000}"/>
    <cellStyle name="60% - Accent3 2 2 7 2" xfId="18727" xr:uid="{00000000-0005-0000-0000-00000D650000}"/>
    <cellStyle name="60% - Accent3 2 2 8" xfId="5261" xr:uid="{00000000-0005-0000-0000-00000E650000}"/>
    <cellStyle name="60% - Accent3 2 2 8 2" xfId="20410" xr:uid="{00000000-0005-0000-0000-00000F650000}"/>
    <cellStyle name="60% - Accent3 2 2 9" xfId="6944" xr:uid="{00000000-0005-0000-0000-000010650000}"/>
    <cellStyle name="60% - Accent3 2 2 9 2" xfId="22093" xr:uid="{00000000-0005-0000-0000-000011650000}"/>
    <cellStyle name="60% - Accent3 2 20" xfId="37136" xr:uid="{00000000-0005-0000-0000-000012650000}"/>
    <cellStyle name="60% - Accent3 2 21" xfId="38819" xr:uid="{00000000-0005-0000-0000-000013650000}"/>
    <cellStyle name="60% - Accent3 2 22" xfId="40502" xr:uid="{00000000-0005-0000-0000-000014650000}"/>
    <cellStyle name="60% - Accent3 2 23" xfId="42185" xr:uid="{00000000-0005-0000-0000-000015650000}"/>
    <cellStyle name="60% - Accent3 2 24" xfId="43868" xr:uid="{00000000-0005-0000-0000-000016650000}"/>
    <cellStyle name="60% - Accent3 2 25" xfId="45551" xr:uid="{00000000-0005-0000-0000-000017650000}"/>
    <cellStyle name="60% - Accent3 2 26" xfId="47234" xr:uid="{00000000-0005-0000-0000-000018650000}"/>
    <cellStyle name="60% - Accent3 2 27" xfId="48917" xr:uid="{00000000-0005-0000-0000-000019650000}"/>
    <cellStyle name="60% - Accent3 2 28" xfId="50600" xr:uid="{00000000-0005-0000-0000-00001A650000}"/>
    <cellStyle name="60% - Accent3 2 29" xfId="52283" xr:uid="{00000000-0005-0000-0000-00001B650000}"/>
    <cellStyle name="60% - Accent3 2 3" xfId="316" xr:uid="{00000000-0005-0000-0000-00001C650000}"/>
    <cellStyle name="60% - Accent3 2 3 10" xfId="10415" xr:uid="{00000000-0005-0000-0000-00001D650000}"/>
    <cellStyle name="60% - Accent3 2 3 10 2" xfId="25564" xr:uid="{00000000-0005-0000-0000-00001E650000}"/>
    <cellStyle name="60% - Accent3 2 3 11" xfId="12099" xr:uid="{00000000-0005-0000-0000-00001F650000}"/>
    <cellStyle name="60% - Accent3 2 3 11 2" xfId="27248" xr:uid="{00000000-0005-0000-0000-000020650000}"/>
    <cellStyle name="60% - Accent3 2 3 12" xfId="13782" xr:uid="{00000000-0005-0000-0000-000021650000}"/>
    <cellStyle name="60% - Accent3 2 3 12 2" xfId="28931" xr:uid="{00000000-0005-0000-0000-000022650000}"/>
    <cellStyle name="60% - Accent3 2 3 13" xfId="15465" xr:uid="{00000000-0005-0000-0000-000023650000}"/>
    <cellStyle name="60% - Accent3 2 3 14" xfId="30614" xr:uid="{00000000-0005-0000-0000-000024650000}"/>
    <cellStyle name="60% - Accent3 2 3 15" xfId="32297" xr:uid="{00000000-0005-0000-0000-000025650000}"/>
    <cellStyle name="60% - Accent3 2 3 16" xfId="33980" xr:uid="{00000000-0005-0000-0000-000026650000}"/>
    <cellStyle name="60% - Accent3 2 3 17" xfId="35663" xr:uid="{00000000-0005-0000-0000-000027650000}"/>
    <cellStyle name="60% - Accent3 2 3 18" xfId="37346" xr:uid="{00000000-0005-0000-0000-000028650000}"/>
    <cellStyle name="60% - Accent3 2 3 19" xfId="39029" xr:uid="{00000000-0005-0000-0000-000029650000}"/>
    <cellStyle name="60% - Accent3 2 3 2" xfId="736" xr:uid="{00000000-0005-0000-0000-00002A650000}"/>
    <cellStyle name="60% - Accent3 2 3 2 10" xfId="15885" xr:uid="{00000000-0005-0000-0000-00002B650000}"/>
    <cellStyle name="60% - Accent3 2 3 2 11" xfId="31034" xr:uid="{00000000-0005-0000-0000-00002C650000}"/>
    <cellStyle name="60% - Accent3 2 3 2 12" xfId="32717" xr:uid="{00000000-0005-0000-0000-00002D650000}"/>
    <cellStyle name="60% - Accent3 2 3 2 13" xfId="34400" xr:uid="{00000000-0005-0000-0000-00002E650000}"/>
    <cellStyle name="60% - Accent3 2 3 2 14" xfId="36083" xr:uid="{00000000-0005-0000-0000-00002F650000}"/>
    <cellStyle name="60% - Accent3 2 3 2 15" xfId="37766" xr:uid="{00000000-0005-0000-0000-000030650000}"/>
    <cellStyle name="60% - Accent3 2 3 2 16" xfId="39449" xr:uid="{00000000-0005-0000-0000-000031650000}"/>
    <cellStyle name="60% - Accent3 2 3 2 17" xfId="41132" xr:uid="{00000000-0005-0000-0000-000032650000}"/>
    <cellStyle name="60% - Accent3 2 3 2 18" xfId="42815" xr:uid="{00000000-0005-0000-0000-000033650000}"/>
    <cellStyle name="60% - Accent3 2 3 2 19" xfId="44498" xr:uid="{00000000-0005-0000-0000-000034650000}"/>
    <cellStyle name="60% - Accent3 2 3 2 2" xfId="2419" xr:uid="{00000000-0005-0000-0000-000035650000}"/>
    <cellStyle name="60% - Accent3 2 3 2 2 2" xfId="17568" xr:uid="{00000000-0005-0000-0000-000036650000}"/>
    <cellStyle name="60% - Accent3 2 3 2 20" xfId="46181" xr:uid="{00000000-0005-0000-0000-000037650000}"/>
    <cellStyle name="60% - Accent3 2 3 2 21" xfId="47864" xr:uid="{00000000-0005-0000-0000-000038650000}"/>
    <cellStyle name="60% - Accent3 2 3 2 22" xfId="49547" xr:uid="{00000000-0005-0000-0000-000039650000}"/>
    <cellStyle name="60% - Accent3 2 3 2 23" xfId="51230" xr:uid="{00000000-0005-0000-0000-00003A650000}"/>
    <cellStyle name="60% - Accent3 2 3 2 24" xfId="52913" xr:uid="{00000000-0005-0000-0000-00003B650000}"/>
    <cellStyle name="60% - Accent3 2 3 2 25" xfId="54596" xr:uid="{00000000-0005-0000-0000-00003C650000}"/>
    <cellStyle name="60% - Accent3 2 3 2 26" xfId="56279" xr:uid="{00000000-0005-0000-0000-00003D650000}"/>
    <cellStyle name="60% - Accent3 2 3 2 27" xfId="57962" xr:uid="{00000000-0005-0000-0000-00003E650000}"/>
    <cellStyle name="60% - Accent3 2 3 2 28" xfId="59645" xr:uid="{00000000-0005-0000-0000-00003F650000}"/>
    <cellStyle name="60% - Accent3 2 3 2 29" xfId="61328" xr:uid="{00000000-0005-0000-0000-000040650000}"/>
    <cellStyle name="60% - Accent3 2 3 2 3" xfId="4103" xr:uid="{00000000-0005-0000-0000-000041650000}"/>
    <cellStyle name="60% - Accent3 2 3 2 3 2" xfId="19252" xr:uid="{00000000-0005-0000-0000-000042650000}"/>
    <cellStyle name="60% - Accent3 2 3 2 30" xfId="63011" xr:uid="{00000000-0005-0000-0000-000043650000}"/>
    <cellStyle name="60% - Accent3 2 3 2 4" xfId="5786" xr:uid="{00000000-0005-0000-0000-000044650000}"/>
    <cellStyle name="60% - Accent3 2 3 2 4 2" xfId="20935" xr:uid="{00000000-0005-0000-0000-000045650000}"/>
    <cellStyle name="60% - Accent3 2 3 2 5" xfId="7469" xr:uid="{00000000-0005-0000-0000-000046650000}"/>
    <cellStyle name="60% - Accent3 2 3 2 5 2" xfId="22618" xr:uid="{00000000-0005-0000-0000-000047650000}"/>
    <cellStyle name="60% - Accent3 2 3 2 6" xfId="9152" xr:uid="{00000000-0005-0000-0000-000048650000}"/>
    <cellStyle name="60% - Accent3 2 3 2 6 2" xfId="24301" xr:uid="{00000000-0005-0000-0000-000049650000}"/>
    <cellStyle name="60% - Accent3 2 3 2 7" xfId="10835" xr:uid="{00000000-0005-0000-0000-00004A650000}"/>
    <cellStyle name="60% - Accent3 2 3 2 7 2" xfId="25984" xr:uid="{00000000-0005-0000-0000-00004B650000}"/>
    <cellStyle name="60% - Accent3 2 3 2 8" xfId="12519" xr:uid="{00000000-0005-0000-0000-00004C650000}"/>
    <cellStyle name="60% - Accent3 2 3 2 8 2" xfId="27668" xr:uid="{00000000-0005-0000-0000-00004D650000}"/>
    <cellStyle name="60% - Accent3 2 3 2 9" xfId="14202" xr:uid="{00000000-0005-0000-0000-00004E650000}"/>
    <cellStyle name="60% - Accent3 2 3 2 9 2" xfId="29351" xr:uid="{00000000-0005-0000-0000-00004F650000}"/>
    <cellStyle name="60% - Accent3 2 3 20" xfId="40712" xr:uid="{00000000-0005-0000-0000-000050650000}"/>
    <cellStyle name="60% - Accent3 2 3 21" xfId="42395" xr:uid="{00000000-0005-0000-0000-000051650000}"/>
    <cellStyle name="60% - Accent3 2 3 22" xfId="44078" xr:uid="{00000000-0005-0000-0000-000052650000}"/>
    <cellStyle name="60% - Accent3 2 3 23" xfId="45761" xr:uid="{00000000-0005-0000-0000-000053650000}"/>
    <cellStyle name="60% - Accent3 2 3 24" xfId="47444" xr:uid="{00000000-0005-0000-0000-000054650000}"/>
    <cellStyle name="60% - Accent3 2 3 25" xfId="49127" xr:uid="{00000000-0005-0000-0000-000055650000}"/>
    <cellStyle name="60% - Accent3 2 3 26" xfId="50810" xr:uid="{00000000-0005-0000-0000-000056650000}"/>
    <cellStyle name="60% - Accent3 2 3 27" xfId="52493" xr:uid="{00000000-0005-0000-0000-000057650000}"/>
    <cellStyle name="60% - Accent3 2 3 28" xfId="54176" xr:uid="{00000000-0005-0000-0000-000058650000}"/>
    <cellStyle name="60% - Accent3 2 3 29" xfId="55859" xr:uid="{00000000-0005-0000-0000-000059650000}"/>
    <cellStyle name="60% - Accent3 2 3 3" xfId="1157" xr:uid="{00000000-0005-0000-0000-00005A650000}"/>
    <cellStyle name="60% - Accent3 2 3 3 10" xfId="16306" xr:uid="{00000000-0005-0000-0000-00005B650000}"/>
    <cellStyle name="60% - Accent3 2 3 3 11" xfId="31455" xr:uid="{00000000-0005-0000-0000-00005C650000}"/>
    <cellStyle name="60% - Accent3 2 3 3 12" xfId="33138" xr:uid="{00000000-0005-0000-0000-00005D650000}"/>
    <cellStyle name="60% - Accent3 2 3 3 13" xfId="34821" xr:uid="{00000000-0005-0000-0000-00005E650000}"/>
    <cellStyle name="60% - Accent3 2 3 3 14" xfId="36504" xr:uid="{00000000-0005-0000-0000-00005F650000}"/>
    <cellStyle name="60% - Accent3 2 3 3 15" xfId="38187" xr:uid="{00000000-0005-0000-0000-000060650000}"/>
    <cellStyle name="60% - Accent3 2 3 3 16" xfId="39870" xr:uid="{00000000-0005-0000-0000-000061650000}"/>
    <cellStyle name="60% - Accent3 2 3 3 17" xfId="41553" xr:uid="{00000000-0005-0000-0000-000062650000}"/>
    <cellStyle name="60% - Accent3 2 3 3 18" xfId="43236" xr:uid="{00000000-0005-0000-0000-000063650000}"/>
    <cellStyle name="60% - Accent3 2 3 3 19" xfId="44919" xr:uid="{00000000-0005-0000-0000-000064650000}"/>
    <cellStyle name="60% - Accent3 2 3 3 2" xfId="2840" xr:uid="{00000000-0005-0000-0000-000065650000}"/>
    <cellStyle name="60% - Accent3 2 3 3 2 2" xfId="17989" xr:uid="{00000000-0005-0000-0000-000066650000}"/>
    <cellStyle name="60% - Accent3 2 3 3 20" xfId="46602" xr:uid="{00000000-0005-0000-0000-000067650000}"/>
    <cellStyle name="60% - Accent3 2 3 3 21" xfId="48285" xr:uid="{00000000-0005-0000-0000-000068650000}"/>
    <cellStyle name="60% - Accent3 2 3 3 22" xfId="49968" xr:uid="{00000000-0005-0000-0000-000069650000}"/>
    <cellStyle name="60% - Accent3 2 3 3 23" xfId="51651" xr:uid="{00000000-0005-0000-0000-00006A650000}"/>
    <cellStyle name="60% - Accent3 2 3 3 24" xfId="53334" xr:uid="{00000000-0005-0000-0000-00006B650000}"/>
    <cellStyle name="60% - Accent3 2 3 3 25" xfId="55017" xr:uid="{00000000-0005-0000-0000-00006C650000}"/>
    <cellStyle name="60% - Accent3 2 3 3 26" xfId="56700" xr:uid="{00000000-0005-0000-0000-00006D650000}"/>
    <cellStyle name="60% - Accent3 2 3 3 27" xfId="58383" xr:uid="{00000000-0005-0000-0000-00006E650000}"/>
    <cellStyle name="60% - Accent3 2 3 3 28" xfId="60066" xr:uid="{00000000-0005-0000-0000-00006F650000}"/>
    <cellStyle name="60% - Accent3 2 3 3 29" xfId="61749" xr:uid="{00000000-0005-0000-0000-000070650000}"/>
    <cellStyle name="60% - Accent3 2 3 3 3" xfId="4524" xr:uid="{00000000-0005-0000-0000-000071650000}"/>
    <cellStyle name="60% - Accent3 2 3 3 3 2" xfId="19673" xr:uid="{00000000-0005-0000-0000-000072650000}"/>
    <cellStyle name="60% - Accent3 2 3 3 30" xfId="63432" xr:uid="{00000000-0005-0000-0000-000073650000}"/>
    <cellStyle name="60% - Accent3 2 3 3 4" xfId="6207" xr:uid="{00000000-0005-0000-0000-000074650000}"/>
    <cellStyle name="60% - Accent3 2 3 3 4 2" xfId="21356" xr:uid="{00000000-0005-0000-0000-000075650000}"/>
    <cellStyle name="60% - Accent3 2 3 3 5" xfId="7890" xr:uid="{00000000-0005-0000-0000-000076650000}"/>
    <cellStyle name="60% - Accent3 2 3 3 5 2" xfId="23039" xr:uid="{00000000-0005-0000-0000-000077650000}"/>
    <cellStyle name="60% - Accent3 2 3 3 6" xfId="9573" xr:uid="{00000000-0005-0000-0000-000078650000}"/>
    <cellStyle name="60% - Accent3 2 3 3 6 2" xfId="24722" xr:uid="{00000000-0005-0000-0000-000079650000}"/>
    <cellStyle name="60% - Accent3 2 3 3 7" xfId="11256" xr:uid="{00000000-0005-0000-0000-00007A650000}"/>
    <cellStyle name="60% - Accent3 2 3 3 7 2" xfId="26405" xr:uid="{00000000-0005-0000-0000-00007B650000}"/>
    <cellStyle name="60% - Accent3 2 3 3 8" xfId="12940" xr:uid="{00000000-0005-0000-0000-00007C650000}"/>
    <cellStyle name="60% - Accent3 2 3 3 8 2" xfId="28089" xr:uid="{00000000-0005-0000-0000-00007D650000}"/>
    <cellStyle name="60% - Accent3 2 3 3 9" xfId="14623" xr:uid="{00000000-0005-0000-0000-00007E650000}"/>
    <cellStyle name="60% - Accent3 2 3 3 9 2" xfId="29772" xr:uid="{00000000-0005-0000-0000-00007F650000}"/>
    <cellStyle name="60% - Accent3 2 3 30" xfId="57542" xr:uid="{00000000-0005-0000-0000-000080650000}"/>
    <cellStyle name="60% - Accent3 2 3 31" xfId="59225" xr:uid="{00000000-0005-0000-0000-000081650000}"/>
    <cellStyle name="60% - Accent3 2 3 32" xfId="60908" xr:uid="{00000000-0005-0000-0000-000082650000}"/>
    <cellStyle name="60% - Accent3 2 3 33" xfId="62591" xr:uid="{00000000-0005-0000-0000-000083650000}"/>
    <cellStyle name="60% - Accent3 2 3 4" xfId="1578" xr:uid="{00000000-0005-0000-0000-000084650000}"/>
    <cellStyle name="60% - Accent3 2 3 4 10" xfId="16727" xr:uid="{00000000-0005-0000-0000-000085650000}"/>
    <cellStyle name="60% - Accent3 2 3 4 11" xfId="31876" xr:uid="{00000000-0005-0000-0000-000086650000}"/>
    <cellStyle name="60% - Accent3 2 3 4 12" xfId="33559" xr:uid="{00000000-0005-0000-0000-000087650000}"/>
    <cellStyle name="60% - Accent3 2 3 4 13" xfId="35242" xr:uid="{00000000-0005-0000-0000-000088650000}"/>
    <cellStyle name="60% - Accent3 2 3 4 14" xfId="36925" xr:uid="{00000000-0005-0000-0000-000089650000}"/>
    <cellStyle name="60% - Accent3 2 3 4 15" xfId="38608" xr:uid="{00000000-0005-0000-0000-00008A650000}"/>
    <cellStyle name="60% - Accent3 2 3 4 16" xfId="40291" xr:uid="{00000000-0005-0000-0000-00008B650000}"/>
    <cellStyle name="60% - Accent3 2 3 4 17" xfId="41974" xr:uid="{00000000-0005-0000-0000-00008C650000}"/>
    <cellStyle name="60% - Accent3 2 3 4 18" xfId="43657" xr:uid="{00000000-0005-0000-0000-00008D650000}"/>
    <cellStyle name="60% - Accent3 2 3 4 19" xfId="45340" xr:uid="{00000000-0005-0000-0000-00008E650000}"/>
    <cellStyle name="60% - Accent3 2 3 4 2" xfId="3261" xr:uid="{00000000-0005-0000-0000-00008F650000}"/>
    <cellStyle name="60% - Accent3 2 3 4 2 2" xfId="18410" xr:uid="{00000000-0005-0000-0000-000090650000}"/>
    <cellStyle name="60% - Accent3 2 3 4 20" xfId="47023" xr:uid="{00000000-0005-0000-0000-000091650000}"/>
    <cellStyle name="60% - Accent3 2 3 4 21" xfId="48706" xr:uid="{00000000-0005-0000-0000-000092650000}"/>
    <cellStyle name="60% - Accent3 2 3 4 22" xfId="50389" xr:uid="{00000000-0005-0000-0000-000093650000}"/>
    <cellStyle name="60% - Accent3 2 3 4 23" xfId="52072" xr:uid="{00000000-0005-0000-0000-000094650000}"/>
    <cellStyle name="60% - Accent3 2 3 4 24" xfId="53755" xr:uid="{00000000-0005-0000-0000-000095650000}"/>
    <cellStyle name="60% - Accent3 2 3 4 25" xfId="55438" xr:uid="{00000000-0005-0000-0000-000096650000}"/>
    <cellStyle name="60% - Accent3 2 3 4 26" xfId="57121" xr:uid="{00000000-0005-0000-0000-000097650000}"/>
    <cellStyle name="60% - Accent3 2 3 4 27" xfId="58804" xr:uid="{00000000-0005-0000-0000-000098650000}"/>
    <cellStyle name="60% - Accent3 2 3 4 28" xfId="60487" xr:uid="{00000000-0005-0000-0000-000099650000}"/>
    <cellStyle name="60% - Accent3 2 3 4 29" xfId="62170" xr:uid="{00000000-0005-0000-0000-00009A650000}"/>
    <cellStyle name="60% - Accent3 2 3 4 3" xfId="4945" xr:uid="{00000000-0005-0000-0000-00009B650000}"/>
    <cellStyle name="60% - Accent3 2 3 4 3 2" xfId="20094" xr:uid="{00000000-0005-0000-0000-00009C650000}"/>
    <cellStyle name="60% - Accent3 2 3 4 30" xfId="63853" xr:uid="{00000000-0005-0000-0000-00009D650000}"/>
    <cellStyle name="60% - Accent3 2 3 4 4" xfId="6628" xr:uid="{00000000-0005-0000-0000-00009E650000}"/>
    <cellStyle name="60% - Accent3 2 3 4 4 2" xfId="21777" xr:uid="{00000000-0005-0000-0000-00009F650000}"/>
    <cellStyle name="60% - Accent3 2 3 4 5" xfId="8311" xr:uid="{00000000-0005-0000-0000-0000A0650000}"/>
    <cellStyle name="60% - Accent3 2 3 4 5 2" xfId="23460" xr:uid="{00000000-0005-0000-0000-0000A1650000}"/>
    <cellStyle name="60% - Accent3 2 3 4 6" xfId="9994" xr:uid="{00000000-0005-0000-0000-0000A2650000}"/>
    <cellStyle name="60% - Accent3 2 3 4 6 2" xfId="25143" xr:uid="{00000000-0005-0000-0000-0000A3650000}"/>
    <cellStyle name="60% - Accent3 2 3 4 7" xfId="11677" xr:uid="{00000000-0005-0000-0000-0000A4650000}"/>
    <cellStyle name="60% - Accent3 2 3 4 7 2" xfId="26826" xr:uid="{00000000-0005-0000-0000-0000A5650000}"/>
    <cellStyle name="60% - Accent3 2 3 4 8" xfId="13361" xr:uid="{00000000-0005-0000-0000-0000A6650000}"/>
    <cellStyle name="60% - Accent3 2 3 4 8 2" xfId="28510" xr:uid="{00000000-0005-0000-0000-0000A7650000}"/>
    <cellStyle name="60% - Accent3 2 3 4 9" xfId="15044" xr:uid="{00000000-0005-0000-0000-0000A8650000}"/>
    <cellStyle name="60% - Accent3 2 3 4 9 2" xfId="30193" xr:uid="{00000000-0005-0000-0000-0000A9650000}"/>
    <cellStyle name="60% - Accent3 2 3 5" xfId="1999" xr:uid="{00000000-0005-0000-0000-0000AA650000}"/>
    <cellStyle name="60% - Accent3 2 3 5 2" xfId="17148" xr:uid="{00000000-0005-0000-0000-0000AB650000}"/>
    <cellStyle name="60% - Accent3 2 3 6" xfId="3683" xr:uid="{00000000-0005-0000-0000-0000AC650000}"/>
    <cellStyle name="60% - Accent3 2 3 6 2" xfId="18832" xr:uid="{00000000-0005-0000-0000-0000AD650000}"/>
    <cellStyle name="60% - Accent3 2 3 7" xfId="5366" xr:uid="{00000000-0005-0000-0000-0000AE650000}"/>
    <cellStyle name="60% - Accent3 2 3 7 2" xfId="20515" xr:uid="{00000000-0005-0000-0000-0000AF650000}"/>
    <cellStyle name="60% - Accent3 2 3 8" xfId="7049" xr:uid="{00000000-0005-0000-0000-0000B0650000}"/>
    <cellStyle name="60% - Accent3 2 3 8 2" xfId="22198" xr:uid="{00000000-0005-0000-0000-0000B1650000}"/>
    <cellStyle name="60% - Accent3 2 3 9" xfId="8732" xr:uid="{00000000-0005-0000-0000-0000B2650000}"/>
    <cellStyle name="60% - Accent3 2 3 9 2" xfId="23881" xr:uid="{00000000-0005-0000-0000-0000B3650000}"/>
    <cellStyle name="60% - Accent3 2 30" xfId="53966" xr:uid="{00000000-0005-0000-0000-0000B4650000}"/>
    <cellStyle name="60% - Accent3 2 31" xfId="55649" xr:uid="{00000000-0005-0000-0000-0000B5650000}"/>
    <cellStyle name="60% - Accent3 2 32" xfId="57332" xr:uid="{00000000-0005-0000-0000-0000B6650000}"/>
    <cellStyle name="60% - Accent3 2 33" xfId="59015" xr:uid="{00000000-0005-0000-0000-0000B7650000}"/>
    <cellStyle name="60% - Accent3 2 34" xfId="60698" xr:uid="{00000000-0005-0000-0000-0000B8650000}"/>
    <cellStyle name="60% - Accent3 2 35" xfId="62381" xr:uid="{00000000-0005-0000-0000-0000B9650000}"/>
    <cellStyle name="60% - Accent3 2 4" xfId="526" xr:uid="{00000000-0005-0000-0000-0000BA650000}"/>
    <cellStyle name="60% - Accent3 2 4 10" xfId="15675" xr:uid="{00000000-0005-0000-0000-0000BB650000}"/>
    <cellStyle name="60% - Accent3 2 4 11" xfId="30824" xr:uid="{00000000-0005-0000-0000-0000BC650000}"/>
    <cellStyle name="60% - Accent3 2 4 12" xfId="32507" xr:uid="{00000000-0005-0000-0000-0000BD650000}"/>
    <cellStyle name="60% - Accent3 2 4 13" xfId="34190" xr:uid="{00000000-0005-0000-0000-0000BE650000}"/>
    <cellStyle name="60% - Accent3 2 4 14" xfId="35873" xr:uid="{00000000-0005-0000-0000-0000BF650000}"/>
    <cellStyle name="60% - Accent3 2 4 15" xfId="37556" xr:uid="{00000000-0005-0000-0000-0000C0650000}"/>
    <cellStyle name="60% - Accent3 2 4 16" xfId="39239" xr:uid="{00000000-0005-0000-0000-0000C1650000}"/>
    <cellStyle name="60% - Accent3 2 4 17" xfId="40922" xr:uid="{00000000-0005-0000-0000-0000C2650000}"/>
    <cellStyle name="60% - Accent3 2 4 18" xfId="42605" xr:uid="{00000000-0005-0000-0000-0000C3650000}"/>
    <cellStyle name="60% - Accent3 2 4 19" xfId="44288" xr:uid="{00000000-0005-0000-0000-0000C4650000}"/>
    <cellStyle name="60% - Accent3 2 4 2" xfId="2209" xr:uid="{00000000-0005-0000-0000-0000C5650000}"/>
    <cellStyle name="60% - Accent3 2 4 2 2" xfId="17358" xr:uid="{00000000-0005-0000-0000-0000C6650000}"/>
    <cellStyle name="60% - Accent3 2 4 20" xfId="45971" xr:uid="{00000000-0005-0000-0000-0000C7650000}"/>
    <cellStyle name="60% - Accent3 2 4 21" xfId="47654" xr:uid="{00000000-0005-0000-0000-0000C8650000}"/>
    <cellStyle name="60% - Accent3 2 4 22" xfId="49337" xr:uid="{00000000-0005-0000-0000-0000C9650000}"/>
    <cellStyle name="60% - Accent3 2 4 23" xfId="51020" xr:uid="{00000000-0005-0000-0000-0000CA650000}"/>
    <cellStyle name="60% - Accent3 2 4 24" xfId="52703" xr:uid="{00000000-0005-0000-0000-0000CB650000}"/>
    <cellStyle name="60% - Accent3 2 4 25" xfId="54386" xr:uid="{00000000-0005-0000-0000-0000CC650000}"/>
    <cellStyle name="60% - Accent3 2 4 26" xfId="56069" xr:uid="{00000000-0005-0000-0000-0000CD650000}"/>
    <cellStyle name="60% - Accent3 2 4 27" xfId="57752" xr:uid="{00000000-0005-0000-0000-0000CE650000}"/>
    <cellStyle name="60% - Accent3 2 4 28" xfId="59435" xr:uid="{00000000-0005-0000-0000-0000CF650000}"/>
    <cellStyle name="60% - Accent3 2 4 29" xfId="61118" xr:uid="{00000000-0005-0000-0000-0000D0650000}"/>
    <cellStyle name="60% - Accent3 2 4 3" xfId="3893" xr:uid="{00000000-0005-0000-0000-0000D1650000}"/>
    <cellStyle name="60% - Accent3 2 4 3 2" xfId="19042" xr:uid="{00000000-0005-0000-0000-0000D2650000}"/>
    <cellStyle name="60% - Accent3 2 4 30" xfId="62801" xr:uid="{00000000-0005-0000-0000-0000D3650000}"/>
    <cellStyle name="60% - Accent3 2 4 4" xfId="5576" xr:uid="{00000000-0005-0000-0000-0000D4650000}"/>
    <cellStyle name="60% - Accent3 2 4 4 2" xfId="20725" xr:uid="{00000000-0005-0000-0000-0000D5650000}"/>
    <cellStyle name="60% - Accent3 2 4 5" xfId="7259" xr:uid="{00000000-0005-0000-0000-0000D6650000}"/>
    <cellStyle name="60% - Accent3 2 4 5 2" xfId="22408" xr:uid="{00000000-0005-0000-0000-0000D7650000}"/>
    <cellStyle name="60% - Accent3 2 4 6" xfId="8942" xr:uid="{00000000-0005-0000-0000-0000D8650000}"/>
    <cellStyle name="60% - Accent3 2 4 6 2" xfId="24091" xr:uid="{00000000-0005-0000-0000-0000D9650000}"/>
    <cellStyle name="60% - Accent3 2 4 7" xfId="10625" xr:uid="{00000000-0005-0000-0000-0000DA650000}"/>
    <cellStyle name="60% - Accent3 2 4 7 2" xfId="25774" xr:uid="{00000000-0005-0000-0000-0000DB650000}"/>
    <cellStyle name="60% - Accent3 2 4 8" xfId="12309" xr:uid="{00000000-0005-0000-0000-0000DC650000}"/>
    <cellStyle name="60% - Accent3 2 4 8 2" xfId="27458" xr:uid="{00000000-0005-0000-0000-0000DD650000}"/>
    <cellStyle name="60% - Accent3 2 4 9" xfId="13992" xr:uid="{00000000-0005-0000-0000-0000DE650000}"/>
    <cellStyle name="60% - Accent3 2 4 9 2" xfId="29141" xr:uid="{00000000-0005-0000-0000-0000DF650000}"/>
    <cellStyle name="60% - Accent3 2 5" xfId="947" xr:uid="{00000000-0005-0000-0000-0000E0650000}"/>
    <cellStyle name="60% - Accent3 2 5 10" xfId="16096" xr:uid="{00000000-0005-0000-0000-0000E1650000}"/>
    <cellStyle name="60% - Accent3 2 5 11" xfId="31245" xr:uid="{00000000-0005-0000-0000-0000E2650000}"/>
    <cellStyle name="60% - Accent3 2 5 12" xfId="32928" xr:uid="{00000000-0005-0000-0000-0000E3650000}"/>
    <cellStyle name="60% - Accent3 2 5 13" xfId="34611" xr:uid="{00000000-0005-0000-0000-0000E4650000}"/>
    <cellStyle name="60% - Accent3 2 5 14" xfId="36294" xr:uid="{00000000-0005-0000-0000-0000E5650000}"/>
    <cellStyle name="60% - Accent3 2 5 15" xfId="37977" xr:uid="{00000000-0005-0000-0000-0000E6650000}"/>
    <cellStyle name="60% - Accent3 2 5 16" xfId="39660" xr:uid="{00000000-0005-0000-0000-0000E7650000}"/>
    <cellStyle name="60% - Accent3 2 5 17" xfId="41343" xr:uid="{00000000-0005-0000-0000-0000E8650000}"/>
    <cellStyle name="60% - Accent3 2 5 18" xfId="43026" xr:uid="{00000000-0005-0000-0000-0000E9650000}"/>
    <cellStyle name="60% - Accent3 2 5 19" xfId="44709" xr:uid="{00000000-0005-0000-0000-0000EA650000}"/>
    <cellStyle name="60% - Accent3 2 5 2" xfId="2630" xr:uid="{00000000-0005-0000-0000-0000EB650000}"/>
    <cellStyle name="60% - Accent3 2 5 2 2" xfId="17779" xr:uid="{00000000-0005-0000-0000-0000EC650000}"/>
    <cellStyle name="60% - Accent3 2 5 20" xfId="46392" xr:uid="{00000000-0005-0000-0000-0000ED650000}"/>
    <cellStyle name="60% - Accent3 2 5 21" xfId="48075" xr:uid="{00000000-0005-0000-0000-0000EE650000}"/>
    <cellStyle name="60% - Accent3 2 5 22" xfId="49758" xr:uid="{00000000-0005-0000-0000-0000EF650000}"/>
    <cellStyle name="60% - Accent3 2 5 23" xfId="51441" xr:uid="{00000000-0005-0000-0000-0000F0650000}"/>
    <cellStyle name="60% - Accent3 2 5 24" xfId="53124" xr:uid="{00000000-0005-0000-0000-0000F1650000}"/>
    <cellStyle name="60% - Accent3 2 5 25" xfId="54807" xr:uid="{00000000-0005-0000-0000-0000F2650000}"/>
    <cellStyle name="60% - Accent3 2 5 26" xfId="56490" xr:uid="{00000000-0005-0000-0000-0000F3650000}"/>
    <cellStyle name="60% - Accent3 2 5 27" xfId="58173" xr:uid="{00000000-0005-0000-0000-0000F4650000}"/>
    <cellStyle name="60% - Accent3 2 5 28" xfId="59856" xr:uid="{00000000-0005-0000-0000-0000F5650000}"/>
    <cellStyle name="60% - Accent3 2 5 29" xfId="61539" xr:uid="{00000000-0005-0000-0000-0000F6650000}"/>
    <cellStyle name="60% - Accent3 2 5 3" xfId="4314" xr:uid="{00000000-0005-0000-0000-0000F7650000}"/>
    <cellStyle name="60% - Accent3 2 5 3 2" xfId="19463" xr:uid="{00000000-0005-0000-0000-0000F8650000}"/>
    <cellStyle name="60% - Accent3 2 5 30" xfId="63222" xr:uid="{00000000-0005-0000-0000-0000F9650000}"/>
    <cellStyle name="60% - Accent3 2 5 4" xfId="5997" xr:uid="{00000000-0005-0000-0000-0000FA650000}"/>
    <cellStyle name="60% - Accent3 2 5 4 2" xfId="21146" xr:uid="{00000000-0005-0000-0000-0000FB650000}"/>
    <cellStyle name="60% - Accent3 2 5 5" xfId="7680" xr:uid="{00000000-0005-0000-0000-0000FC650000}"/>
    <cellStyle name="60% - Accent3 2 5 5 2" xfId="22829" xr:uid="{00000000-0005-0000-0000-0000FD650000}"/>
    <cellStyle name="60% - Accent3 2 5 6" xfId="9363" xr:uid="{00000000-0005-0000-0000-0000FE650000}"/>
    <cellStyle name="60% - Accent3 2 5 6 2" xfId="24512" xr:uid="{00000000-0005-0000-0000-0000FF650000}"/>
    <cellStyle name="60% - Accent3 2 5 7" xfId="11046" xr:uid="{00000000-0005-0000-0000-000000660000}"/>
    <cellStyle name="60% - Accent3 2 5 7 2" xfId="26195" xr:uid="{00000000-0005-0000-0000-000001660000}"/>
    <cellStyle name="60% - Accent3 2 5 8" xfId="12730" xr:uid="{00000000-0005-0000-0000-000002660000}"/>
    <cellStyle name="60% - Accent3 2 5 8 2" xfId="27879" xr:uid="{00000000-0005-0000-0000-000003660000}"/>
    <cellStyle name="60% - Accent3 2 5 9" xfId="14413" xr:uid="{00000000-0005-0000-0000-000004660000}"/>
    <cellStyle name="60% - Accent3 2 5 9 2" xfId="29562" xr:uid="{00000000-0005-0000-0000-000005660000}"/>
    <cellStyle name="60% - Accent3 2 6" xfId="1368" xr:uid="{00000000-0005-0000-0000-000006660000}"/>
    <cellStyle name="60% - Accent3 2 6 10" xfId="16517" xr:uid="{00000000-0005-0000-0000-000007660000}"/>
    <cellStyle name="60% - Accent3 2 6 11" xfId="31666" xr:uid="{00000000-0005-0000-0000-000008660000}"/>
    <cellStyle name="60% - Accent3 2 6 12" xfId="33349" xr:uid="{00000000-0005-0000-0000-000009660000}"/>
    <cellStyle name="60% - Accent3 2 6 13" xfId="35032" xr:uid="{00000000-0005-0000-0000-00000A660000}"/>
    <cellStyle name="60% - Accent3 2 6 14" xfId="36715" xr:uid="{00000000-0005-0000-0000-00000B660000}"/>
    <cellStyle name="60% - Accent3 2 6 15" xfId="38398" xr:uid="{00000000-0005-0000-0000-00000C660000}"/>
    <cellStyle name="60% - Accent3 2 6 16" xfId="40081" xr:uid="{00000000-0005-0000-0000-00000D660000}"/>
    <cellStyle name="60% - Accent3 2 6 17" xfId="41764" xr:uid="{00000000-0005-0000-0000-00000E660000}"/>
    <cellStyle name="60% - Accent3 2 6 18" xfId="43447" xr:uid="{00000000-0005-0000-0000-00000F660000}"/>
    <cellStyle name="60% - Accent3 2 6 19" xfId="45130" xr:uid="{00000000-0005-0000-0000-000010660000}"/>
    <cellStyle name="60% - Accent3 2 6 2" xfId="3051" xr:uid="{00000000-0005-0000-0000-000011660000}"/>
    <cellStyle name="60% - Accent3 2 6 2 2" xfId="18200" xr:uid="{00000000-0005-0000-0000-000012660000}"/>
    <cellStyle name="60% - Accent3 2 6 20" xfId="46813" xr:uid="{00000000-0005-0000-0000-000013660000}"/>
    <cellStyle name="60% - Accent3 2 6 21" xfId="48496" xr:uid="{00000000-0005-0000-0000-000014660000}"/>
    <cellStyle name="60% - Accent3 2 6 22" xfId="50179" xr:uid="{00000000-0005-0000-0000-000015660000}"/>
    <cellStyle name="60% - Accent3 2 6 23" xfId="51862" xr:uid="{00000000-0005-0000-0000-000016660000}"/>
    <cellStyle name="60% - Accent3 2 6 24" xfId="53545" xr:uid="{00000000-0005-0000-0000-000017660000}"/>
    <cellStyle name="60% - Accent3 2 6 25" xfId="55228" xr:uid="{00000000-0005-0000-0000-000018660000}"/>
    <cellStyle name="60% - Accent3 2 6 26" xfId="56911" xr:uid="{00000000-0005-0000-0000-000019660000}"/>
    <cellStyle name="60% - Accent3 2 6 27" xfId="58594" xr:uid="{00000000-0005-0000-0000-00001A660000}"/>
    <cellStyle name="60% - Accent3 2 6 28" xfId="60277" xr:uid="{00000000-0005-0000-0000-00001B660000}"/>
    <cellStyle name="60% - Accent3 2 6 29" xfId="61960" xr:uid="{00000000-0005-0000-0000-00001C660000}"/>
    <cellStyle name="60% - Accent3 2 6 3" xfId="4735" xr:uid="{00000000-0005-0000-0000-00001D660000}"/>
    <cellStyle name="60% - Accent3 2 6 3 2" xfId="19884" xr:uid="{00000000-0005-0000-0000-00001E660000}"/>
    <cellStyle name="60% - Accent3 2 6 30" xfId="63643" xr:uid="{00000000-0005-0000-0000-00001F660000}"/>
    <cellStyle name="60% - Accent3 2 6 4" xfId="6418" xr:uid="{00000000-0005-0000-0000-000020660000}"/>
    <cellStyle name="60% - Accent3 2 6 4 2" xfId="21567" xr:uid="{00000000-0005-0000-0000-000021660000}"/>
    <cellStyle name="60% - Accent3 2 6 5" xfId="8101" xr:uid="{00000000-0005-0000-0000-000022660000}"/>
    <cellStyle name="60% - Accent3 2 6 5 2" xfId="23250" xr:uid="{00000000-0005-0000-0000-000023660000}"/>
    <cellStyle name="60% - Accent3 2 6 6" xfId="9784" xr:uid="{00000000-0005-0000-0000-000024660000}"/>
    <cellStyle name="60% - Accent3 2 6 6 2" xfId="24933" xr:uid="{00000000-0005-0000-0000-000025660000}"/>
    <cellStyle name="60% - Accent3 2 6 7" xfId="11467" xr:uid="{00000000-0005-0000-0000-000026660000}"/>
    <cellStyle name="60% - Accent3 2 6 7 2" xfId="26616" xr:uid="{00000000-0005-0000-0000-000027660000}"/>
    <cellStyle name="60% - Accent3 2 6 8" xfId="13151" xr:uid="{00000000-0005-0000-0000-000028660000}"/>
    <cellStyle name="60% - Accent3 2 6 8 2" xfId="28300" xr:uid="{00000000-0005-0000-0000-000029660000}"/>
    <cellStyle name="60% - Accent3 2 6 9" xfId="14834" xr:uid="{00000000-0005-0000-0000-00002A660000}"/>
    <cellStyle name="60% - Accent3 2 6 9 2" xfId="29983" xr:uid="{00000000-0005-0000-0000-00002B660000}"/>
    <cellStyle name="60% - Accent3 2 7" xfId="1789" xr:uid="{00000000-0005-0000-0000-00002C660000}"/>
    <cellStyle name="60% - Accent3 2 7 2" xfId="16938" xr:uid="{00000000-0005-0000-0000-00002D660000}"/>
    <cellStyle name="60% - Accent3 2 8" xfId="3473" xr:uid="{00000000-0005-0000-0000-00002E660000}"/>
    <cellStyle name="60% - Accent3 2 8 2" xfId="18622" xr:uid="{00000000-0005-0000-0000-00002F660000}"/>
    <cellStyle name="60% - Accent3 2 9" xfId="5156" xr:uid="{00000000-0005-0000-0000-000030660000}"/>
    <cellStyle name="60% - Accent3 2 9 2" xfId="20305" xr:uid="{00000000-0005-0000-0000-000031660000}"/>
    <cellStyle name="60% - Accent3 20" xfId="33748" xr:uid="{00000000-0005-0000-0000-000032660000}"/>
    <cellStyle name="60% - Accent3 21" xfId="35431" xr:uid="{00000000-0005-0000-0000-000033660000}"/>
    <cellStyle name="60% - Accent3 22" xfId="37114" xr:uid="{00000000-0005-0000-0000-000034660000}"/>
    <cellStyle name="60% - Accent3 23" xfId="38797" xr:uid="{00000000-0005-0000-0000-000035660000}"/>
    <cellStyle name="60% - Accent3 24" xfId="40480" xr:uid="{00000000-0005-0000-0000-000036660000}"/>
    <cellStyle name="60% - Accent3 25" xfId="42163" xr:uid="{00000000-0005-0000-0000-000037660000}"/>
    <cellStyle name="60% - Accent3 26" xfId="43846" xr:uid="{00000000-0005-0000-0000-000038660000}"/>
    <cellStyle name="60% - Accent3 27" xfId="45529" xr:uid="{00000000-0005-0000-0000-000039660000}"/>
    <cellStyle name="60% - Accent3 28" xfId="47212" xr:uid="{00000000-0005-0000-0000-00003A660000}"/>
    <cellStyle name="60% - Accent3 29" xfId="48895" xr:uid="{00000000-0005-0000-0000-00003B660000}"/>
    <cellStyle name="60% - Accent3 3" xfId="126" xr:uid="{00000000-0005-0000-0000-00003C660000}"/>
    <cellStyle name="60% - Accent3 3 10" xfId="6859" xr:uid="{00000000-0005-0000-0000-00003D660000}"/>
    <cellStyle name="60% - Accent3 3 10 2" xfId="22008" xr:uid="{00000000-0005-0000-0000-00003E660000}"/>
    <cellStyle name="60% - Accent3 3 11" xfId="8542" xr:uid="{00000000-0005-0000-0000-00003F660000}"/>
    <cellStyle name="60% - Accent3 3 11 2" xfId="23691" xr:uid="{00000000-0005-0000-0000-000040660000}"/>
    <cellStyle name="60% - Accent3 3 12" xfId="10225" xr:uid="{00000000-0005-0000-0000-000041660000}"/>
    <cellStyle name="60% - Accent3 3 12 2" xfId="25374" xr:uid="{00000000-0005-0000-0000-000042660000}"/>
    <cellStyle name="60% - Accent3 3 13" xfId="11909" xr:uid="{00000000-0005-0000-0000-000043660000}"/>
    <cellStyle name="60% - Accent3 3 13 2" xfId="27058" xr:uid="{00000000-0005-0000-0000-000044660000}"/>
    <cellStyle name="60% - Accent3 3 14" xfId="13592" xr:uid="{00000000-0005-0000-0000-000045660000}"/>
    <cellStyle name="60% - Accent3 3 14 2" xfId="28741" xr:uid="{00000000-0005-0000-0000-000046660000}"/>
    <cellStyle name="60% - Accent3 3 15" xfId="15275" xr:uid="{00000000-0005-0000-0000-000047660000}"/>
    <cellStyle name="60% - Accent3 3 16" xfId="30424" xr:uid="{00000000-0005-0000-0000-000048660000}"/>
    <cellStyle name="60% - Accent3 3 17" xfId="32107" xr:uid="{00000000-0005-0000-0000-000049660000}"/>
    <cellStyle name="60% - Accent3 3 18" xfId="33790" xr:uid="{00000000-0005-0000-0000-00004A660000}"/>
    <cellStyle name="60% - Accent3 3 19" xfId="35473" xr:uid="{00000000-0005-0000-0000-00004B660000}"/>
    <cellStyle name="60% - Accent3 3 2" xfId="231" xr:uid="{00000000-0005-0000-0000-00004C660000}"/>
    <cellStyle name="60% - Accent3 3 2 10" xfId="8647" xr:uid="{00000000-0005-0000-0000-00004D660000}"/>
    <cellStyle name="60% - Accent3 3 2 10 2" xfId="23796" xr:uid="{00000000-0005-0000-0000-00004E660000}"/>
    <cellStyle name="60% - Accent3 3 2 11" xfId="10330" xr:uid="{00000000-0005-0000-0000-00004F660000}"/>
    <cellStyle name="60% - Accent3 3 2 11 2" xfId="25479" xr:uid="{00000000-0005-0000-0000-000050660000}"/>
    <cellStyle name="60% - Accent3 3 2 12" xfId="12014" xr:uid="{00000000-0005-0000-0000-000051660000}"/>
    <cellStyle name="60% - Accent3 3 2 12 2" xfId="27163" xr:uid="{00000000-0005-0000-0000-000052660000}"/>
    <cellStyle name="60% - Accent3 3 2 13" xfId="13697" xr:uid="{00000000-0005-0000-0000-000053660000}"/>
    <cellStyle name="60% - Accent3 3 2 13 2" xfId="28846" xr:uid="{00000000-0005-0000-0000-000054660000}"/>
    <cellStyle name="60% - Accent3 3 2 14" xfId="15380" xr:uid="{00000000-0005-0000-0000-000055660000}"/>
    <cellStyle name="60% - Accent3 3 2 15" xfId="30529" xr:uid="{00000000-0005-0000-0000-000056660000}"/>
    <cellStyle name="60% - Accent3 3 2 16" xfId="32212" xr:uid="{00000000-0005-0000-0000-000057660000}"/>
    <cellStyle name="60% - Accent3 3 2 17" xfId="33895" xr:uid="{00000000-0005-0000-0000-000058660000}"/>
    <cellStyle name="60% - Accent3 3 2 18" xfId="35578" xr:uid="{00000000-0005-0000-0000-000059660000}"/>
    <cellStyle name="60% - Accent3 3 2 19" xfId="37261" xr:uid="{00000000-0005-0000-0000-00005A660000}"/>
    <cellStyle name="60% - Accent3 3 2 2" xfId="441" xr:uid="{00000000-0005-0000-0000-00005B660000}"/>
    <cellStyle name="60% - Accent3 3 2 2 10" xfId="10540" xr:uid="{00000000-0005-0000-0000-00005C660000}"/>
    <cellStyle name="60% - Accent3 3 2 2 10 2" xfId="25689" xr:uid="{00000000-0005-0000-0000-00005D660000}"/>
    <cellStyle name="60% - Accent3 3 2 2 11" xfId="12224" xr:uid="{00000000-0005-0000-0000-00005E660000}"/>
    <cellStyle name="60% - Accent3 3 2 2 11 2" xfId="27373" xr:uid="{00000000-0005-0000-0000-00005F660000}"/>
    <cellStyle name="60% - Accent3 3 2 2 12" xfId="13907" xr:uid="{00000000-0005-0000-0000-000060660000}"/>
    <cellStyle name="60% - Accent3 3 2 2 12 2" xfId="29056" xr:uid="{00000000-0005-0000-0000-000061660000}"/>
    <cellStyle name="60% - Accent3 3 2 2 13" xfId="15590" xr:uid="{00000000-0005-0000-0000-000062660000}"/>
    <cellStyle name="60% - Accent3 3 2 2 14" xfId="30739" xr:uid="{00000000-0005-0000-0000-000063660000}"/>
    <cellStyle name="60% - Accent3 3 2 2 15" xfId="32422" xr:uid="{00000000-0005-0000-0000-000064660000}"/>
    <cellStyle name="60% - Accent3 3 2 2 16" xfId="34105" xr:uid="{00000000-0005-0000-0000-000065660000}"/>
    <cellStyle name="60% - Accent3 3 2 2 17" xfId="35788" xr:uid="{00000000-0005-0000-0000-000066660000}"/>
    <cellStyle name="60% - Accent3 3 2 2 18" xfId="37471" xr:uid="{00000000-0005-0000-0000-000067660000}"/>
    <cellStyle name="60% - Accent3 3 2 2 19" xfId="39154" xr:uid="{00000000-0005-0000-0000-000068660000}"/>
    <cellStyle name="60% - Accent3 3 2 2 2" xfId="861" xr:uid="{00000000-0005-0000-0000-000069660000}"/>
    <cellStyle name="60% - Accent3 3 2 2 2 10" xfId="16010" xr:uid="{00000000-0005-0000-0000-00006A660000}"/>
    <cellStyle name="60% - Accent3 3 2 2 2 11" xfId="31159" xr:uid="{00000000-0005-0000-0000-00006B660000}"/>
    <cellStyle name="60% - Accent3 3 2 2 2 12" xfId="32842" xr:uid="{00000000-0005-0000-0000-00006C660000}"/>
    <cellStyle name="60% - Accent3 3 2 2 2 13" xfId="34525" xr:uid="{00000000-0005-0000-0000-00006D660000}"/>
    <cellStyle name="60% - Accent3 3 2 2 2 14" xfId="36208" xr:uid="{00000000-0005-0000-0000-00006E660000}"/>
    <cellStyle name="60% - Accent3 3 2 2 2 15" xfId="37891" xr:uid="{00000000-0005-0000-0000-00006F660000}"/>
    <cellStyle name="60% - Accent3 3 2 2 2 16" xfId="39574" xr:uid="{00000000-0005-0000-0000-000070660000}"/>
    <cellStyle name="60% - Accent3 3 2 2 2 17" xfId="41257" xr:uid="{00000000-0005-0000-0000-000071660000}"/>
    <cellStyle name="60% - Accent3 3 2 2 2 18" xfId="42940" xr:uid="{00000000-0005-0000-0000-000072660000}"/>
    <cellStyle name="60% - Accent3 3 2 2 2 19" xfId="44623" xr:uid="{00000000-0005-0000-0000-000073660000}"/>
    <cellStyle name="60% - Accent3 3 2 2 2 2" xfId="2544" xr:uid="{00000000-0005-0000-0000-000074660000}"/>
    <cellStyle name="60% - Accent3 3 2 2 2 2 2" xfId="17693" xr:uid="{00000000-0005-0000-0000-000075660000}"/>
    <cellStyle name="60% - Accent3 3 2 2 2 20" xfId="46306" xr:uid="{00000000-0005-0000-0000-000076660000}"/>
    <cellStyle name="60% - Accent3 3 2 2 2 21" xfId="47989" xr:uid="{00000000-0005-0000-0000-000077660000}"/>
    <cellStyle name="60% - Accent3 3 2 2 2 22" xfId="49672" xr:uid="{00000000-0005-0000-0000-000078660000}"/>
    <cellStyle name="60% - Accent3 3 2 2 2 23" xfId="51355" xr:uid="{00000000-0005-0000-0000-000079660000}"/>
    <cellStyle name="60% - Accent3 3 2 2 2 24" xfId="53038" xr:uid="{00000000-0005-0000-0000-00007A660000}"/>
    <cellStyle name="60% - Accent3 3 2 2 2 25" xfId="54721" xr:uid="{00000000-0005-0000-0000-00007B660000}"/>
    <cellStyle name="60% - Accent3 3 2 2 2 26" xfId="56404" xr:uid="{00000000-0005-0000-0000-00007C660000}"/>
    <cellStyle name="60% - Accent3 3 2 2 2 27" xfId="58087" xr:uid="{00000000-0005-0000-0000-00007D660000}"/>
    <cellStyle name="60% - Accent3 3 2 2 2 28" xfId="59770" xr:uid="{00000000-0005-0000-0000-00007E660000}"/>
    <cellStyle name="60% - Accent3 3 2 2 2 29" xfId="61453" xr:uid="{00000000-0005-0000-0000-00007F660000}"/>
    <cellStyle name="60% - Accent3 3 2 2 2 3" xfId="4228" xr:uid="{00000000-0005-0000-0000-000080660000}"/>
    <cellStyle name="60% - Accent3 3 2 2 2 3 2" xfId="19377" xr:uid="{00000000-0005-0000-0000-000081660000}"/>
    <cellStyle name="60% - Accent3 3 2 2 2 30" xfId="63136" xr:uid="{00000000-0005-0000-0000-000082660000}"/>
    <cellStyle name="60% - Accent3 3 2 2 2 4" xfId="5911" xr:uid="{00000000-0005-0000-0000-000083660000}"/>
    <cellStyle name="60% - Accent3 3 2 2 2 4 2" xfId="21060" xr:uid="{00000000-0005-0000-0000-000084660000}"/>
    <cellStyle name="60% - Accent3 3 2 2 2 5" xfId="7594" xr:uid="{00000000-0005-0000-0000-000085660000}"/>
    <cellStyle name="60% - Accent3 3 2 2 2 5 2" xfId="22743" xr:uid="{00000000-0005-0000-0000-000086660000}"/>
    <cellStyle name="60% - Accent3 3 2 2 2 6" xfId="9277" xr:uid="{00000000-0005-0000-0000-000087660000}"/>
    <cellStyle name="60% - Accent3 3 2 2 2 6 2" xfId="24426" xr:uid="{00000000-0005-0000-0000-000088660000}"/>
    <cellStyle name="60% - Accent3 3 2 2 2 7" xfId="10960" xr:uid="{00000000-0005-0000-0000-000089660000}"/>
    <cellStyle name="60% - Accent3 3 2 2 2 7 2" xfId="26109" xr:uid="{00000000-0005-0000-0000-00008A660000}"/>
    <cellStyle name="60% - Accent3 3 2 2 2 8" xfId="12644" xr:uid="{00000000-0005-0000-0000-00008B660000}"/>
    <cellStyle name="60% - Accent3 3 2 2 2 8 2" xfId="27793" xr:uid="{00000000-0005-0000-0000-00008C660000}"/>
    <cellStyle name="60% - Accent3 3 2 2 2 9" xfId="14327" xr:uid="{00000000-0005-0000-0000-00008D660000}"/>
    <cellStyle name="60% - Accent3 3 2 2 2 9 2" xfId="29476" xr:uid="{00000000-0005-0000-0000-00008E660000}"/>
    <cellStyle name="60% - Accent3 3 2 2 20" xfId="40837" xr:uid="{00000000-0005-0000-0000-00008F660000}"/>
    <cellStyle name="60% - Accent3 3 2 2 21" xfId="42520" xr:uid="{00000000-0005-0000-0000-000090660000}"/>
    <cellStyle name="60% - Accent3 3 2 2 22" xfId="44203" xr:uid="{00000000-0005-0000-0000-000091660000}"/>
    <cellStyle name="60% - Accent3 3 2 2 23" xfId="45886" xr:uid="{00000000-0005-0000-0000-000092660000}"/>
    <cellStyle name="60% - Accent3 3 2 2 24" xfId="47569" xr:uid="{00000000-0005-0000-0000-000093660000}"/>
    <cellStyle name="60% - Accent3 3 2 2 25" xfId="49252" xr:uid="{00000000-0005-0000-0000-000094660000}"/>
    <cellStyle name="60% - Accent3 3 2 2 26" xfId="50935" xr:uid="{00000000-0005-0000-0000-000095660000}"/>
    <cellStyle name="60% - Accent3 3 2 2 27" xfId="52618" xr:uid="{00000000-0005-0000-0000-000096660000}"/>
    <cellStyle name="60% - Accent3 3 2 2 28" xfId="54301" xr:uid="{00000000-0005-0000-0000-000097660000}"/>
    <cellStyle name="60% - Accent3 3 2 2 29" xfId="55984" xr:uid="{00000000-0005-0000-0000-000098660000}"/>
    <cellStyle name="60% - Accent3 3 2 2 3" xfId="1282" xr:uid="{00000000-0005-0000-0000-000099660000}"/>
    <cellStyle name="60% - Accent3 3 2 2 3 10" xfId="16431" xr:uid="{00000000-0005-0000-0000-00009A660000}"/>
    <cellStyle name="60% - Accent3 3 2 2 3 11" xfId="31580" xr:uid="{00000000-0005-0000-0000-00009B660000}"/>
    <cellStyle name="60% - Accent3 3 2 2 3 12" xfId="33263" xr:uid="{00000000-0005-0000-0000-00009C660000}"/>
    <cellStyle name="60% - Accent3 3 2 2 3 13" xfId="34946" xr:uid="{00000000-0005-0000-0000-00009D660000}"/>
    <cellStyle name="60% - Accent3 3 2 2 3 14" xfId="36629" xr:uid="{00000000-0005-0000-0000-00009E660000}"/>
    <cellStyle name="60% - Accent3 3 2 2 3 15" xfId="38312" xr:uid="{00000000-0005-0000-0000-00009F660000}"/>
    <cellStyle name="60% - Accent3 3 2 2 3 16" xfId="39995" xr:uid="{00000000-0005-0000-0000-0000A0660000}"/>
    <cellStyle name="60% - Accent3 3 2 2 3 17" xfId="41678" xr:uid="{00000000-0005-0000-0000-0000A1660000}"/>
    <cellStyle name="60% - Accent3 3 2 2 3 18" xfId="43361" xr:uid="{00000000-0005-0000-0000-0000A2660000}"/>
    <cellStyle name="60% - Accent3 3 2 2 3 19" xfId="45044" xr:uid="{00000000-0005-0000-0000-0000A3660000}"/>
    <cellStyle name="60% - Accent3 3 2 2 3 2" xfId="2965" xr:uid="{00000000-0005-0000-0000-0000A4660000}"/>
    <cellStyle name="60% - Accent3 3 2 2 3 2 2" xfId="18114" xr:uid="{00000000-0005-0000-0000-0000A5660000}"/>
    <cellStyle name="60% - Accent3 3 2 2 3 20" xfId="46727" xr:uid="{00000000-0005-0000-0000-0000A6660000}"/>
    <cellStyle name="60% - Accent3 3 2 2 3 21" xfId="48410" xr:uid="{00000000-0005-0000-0000-0000A7660000}"/>
    <cellStyle name="60% - Accent3 3 2 2 3 22" xfId="50093" xr:uid="{00000000-0005-0000-0000-0000A8660000}"/>
    <cellStyle name="60% - Accent3 3 2 2 3 23" xfId="51776" xr:uid="{00000000-0005-0000-0000-0000A9660000}"/>
    <cellStyle name="60% - Accent3 3 2 2 3 24" xfId="53459" xr:uid="{00000000-0005-0000-0000-0000AA660000}"/>
    <cellStyle name="60% - Accent3 3 2 2 3 25" xfId="55142" xr:uid="{00000000-0005-0000-0000-0000AB660000}"/>
    <cellStyle name="60% - Accent3 3 2 2 3 26" xfId="56825" xr:uid="{00000000-0005-0000-0000-0000AC660000}"/>
    <cellStyle name="60% - Accent3 3 2 2 3 27" xfId="58508" xr:uid="{00000000-0005-0000-0000-0000AD660000}"/>
    <cellStyle name="60% - Accent3 3 2 2 3 28" xfId="60191" xr:uid="{00000000-0005-0000-0000-0000AE660000}"/>
    <cellStyle name="60% - Accent3 3 2 2 3 29" xfId="61874" xr:uid="{00000000-0005-0000-0000-0000AF660000}"/>
    <cellStyle name="60% - Accent3 3 2 2 3 3" xfId="4649" xr:uid="{00000000-0005-0000-0000-0000B0660000}"/>
    <cellStyle name="60% - Accent3 3 2 2 3 3 2" xfId="19798" xr:uid="{00000000-0005-0000-0000-0000B1660000}"/>
    <cellStyle name="60% - Accent3 3 2 2 3 30" xfId="63557" xr:uid="{00000000-0005-0000-0000-0000B2660000}"/>
    <cellStyle name="60% - Accent3 3 2 2 3 4" xfId="6332" xr:uid="{00000000-0005-0000-0000-0000B3660000}"/>
    <cellStyle name="60% - Accent3 3 2 2 3 4 2" xfId="21481" xr:uid="{00000000-0005-0000-0000-0000B4660000}"/>
    <cellStyle name="60% - Accent3 3 2 2 3 5" xfId="8015" xr:uid="{00000000-0005-0000-0000-0000B5660000}"/>
    <cellStyle name="60% - Accent3 3 2 2 3 5 2" xfId="23164" xr:uid="{00000000-0005-0000-0000-0000B6660000}"/>
    <cellStyle name="60% - Accent3 3 2 2 3 6" xfId="9698" xr:uid="{00000000-0005-0000-0000-0000B7660000}"/>
    <cellStyle name="60% - Accent3 3 2 2 3 6 2" xfId="24847" xr:uid="{00000000-0005-0000-0000-0000B8660000}"/>
    <cellStyle name="60% - Accent3 3 2 2 3 7" xfId="11381" xr:uid="{00000000-0005-0000-0000-0000B9660000}"/>
    <cellStyle name="60% - Accent3 3 2 2 3 7 2" xfId="26530" xr:uid="{00000000-0005-0000-0000-0000BA660000}"/>
    <cellStyle name="60% - Accent3 3 2 2 3 8" xfId="13065" xr:uid="{00000000-0005-0000-0000-0000BB660000}"/>
    <cellStyle name="60% - Accent3 3 2 2 3 8 2" xfId="28214" xr:uid="{00000000-0005-0000-0000-0000BC660000}"/>
    <cellStyle name="60% - Accent3 3 2 2 3 9" xfId="14748" xr:uid="{00000000-0005-0000-0000-0000BD660000}"/>
    <cellStyle name="60% - Accent3 3 2 2 3 9 2" xfId="29897" xr:uid="{00000000-0005-0000-0000-0000BE660000}"/>
    <cellStyle name="60% - Accent3 3 2 2 30" xfId="57667" xr:uid="{00000000-0005-0000-0000-0000BF660000}"/>
    <cellStyle name="60% - Accent3 3 2 2 31" xfId="59350" xr:uid="{00000000-0005-0000-0000-0000C0660000}"/>
    <cellStyle name="60% - Accent3 3 2 2 32" xfId="61033" xr:uid="{00000000-0005-0000-0000-0000C1660000}"/>
    <cellStyle name="60% - Accent3 3 2 2 33" xfId="62716" xr:uid="{00000000-0005-0000-0000-0000C2660000}"/>
    <cellStyle name="60% - Accent3 3 2 2 4" xfId="1703" xr:uid="{00000000-0005-0000-0000-0000C3660000}"/>
    <cellStyle name="60% - Accent3 3 2 2 4 10" xfId="16852" xr:uid="{00000000-0005-0000-0000-0000C4660000}"/>
    <cellStyle name="60% - Accent3 3 2 2 4 11" xfId="32001" xr:uid="{00000000-0005-0000-0000-0000C5660000}"/>
    <cellStyle name="60% - Accent3 3 2 2 4 12" xfId="33684" xr:uid="{00000000-0005-0000-0000-0000C6660000}"/>
    <cellStyle name="60% - Accent3 3 2 2 4 13" xfId="35367" xr:uid="{00000000-0005-0000-0000-0000C7660000}"/>
    <cellStyle name="60% - Accent3 3 2 2 4 14" xfId="37050" xr:uid="{00000000-0005-0000-0000-0000C8660000}"/>
    <cellStyle name="60% - Accent3 3 2 2 4 15" xfId="38733" xr:uid="{00000000-0005-0000-0000-0000C9660000}"/>
    <cellStyle name="60% - Accent3 3 2 2 4 16" xfId="40416" xr:uid="{00000000-0005-0000-0000-0000CA660000}"/>
    <cellStyle name="60% - Accent3 3 2 2 4 17" xfId="42099" xr:uid="{00000000-0005-0000-0000-0000CB660000}"/>
    <cellStyle name="60% - Accent3 3 2 2 4 18" xfId="43782" xr:uid="{00000000-0005-0000-0000-0000CC660000}"/>
    <cellStyle name="60% - Accent3 3 2 2 4 19" xfId="45465" xr:uid="{00000000-0005-0000-0000-0000CD660000}"/>
    <cellStyle name="60% - Accent3 3 2 2 4 2" xfId="3386" xr:uid="{00000000-0005-0000-0000-0000CE660000}"/>
    <cellStyle name="60% - Accent3 3 2 2 4 2 2" xfId="18535" xr:uid="{00000000-0005-0000-0000-0000CF660000}"/>
    <cellStyle name="60% - Accent3 3 2 2 4 20" xfId="47148" xr:uid="{00000000-0005-0000-0000-0000D0660000}"/>
    <cellStyle name="60% - Accent3 3 2 2 4 21" xfId="48831" xr:uid="{00000000-0005-0000-0000-0000D1660000}"/>
    <cellStyle name="60% - Accent3 3 2 2 4 22" xfId="50514" xr:uid="{00000000-0005-0000-0000-0000D2660000}"/>
    <cellStyle name="60% - Accent3 3 2 2 4 23" xfId="52197" xr:uid="{00000000-0005-0000-0000-0000D3660000}"/>
    <cellStyle name="60% - Accent3 3 2 2 4 24" xfId="53880" xr:uid="{00000000-0005-0000-0000-0000D4660000}"/>
    <cellStyle name="60% - Accent3 3 2 2 4 25" xfId="55563" xr:uid="{00000000-0005-0000-0000-0000D5660000}"/>
    <cellStyle name="60% - Accent3 3 2 2 4 26" xfId="57246" xr:uid="{00000000-0005-0000-0000-0000D6660000}"/>
    <cellStyle name="60% - Accent3 3 2 2 4 27" xfId="58929" xr:uid="{00000000-0005-0000-0000-0000D7660000}"/>
    <cellStyle name="60% - Accent3 3 2 2 4 28" xfId="60612" xr:uid="{00000000-0005-0000-0000-0000D8660000}"/>
    <cellStyle name="60% - Accent3 3 2 2 4 29" xfId="62295" xr:uid="{00000000-0005-0000-0000-0000D9660000}"/>
    <cellStyle name="60% - Accent3 3 2 2 4 3" xfId="5070" xr:uid="{00000000-0005-0000-0000-0000DA660000}"/>
    <cellStyle name="60% - Accent3 3 2 2 4 3 2" xfId="20219" xr:uid="{00000000-0005-0000-0000-0000DB660000}"/>
    <cellStyle name="60% - Accent3 3 2 2 4 30" xfId="63978" xr:uid="{00000000-0005-0000-0000-0000DC660000}"/>
    <cellStyle name="60% - Accent3 3 2 2 4 4" xfId="6753" xr:uid="{00000000-0005-0000-0000-0000DD660000}"/>
    <cellStyle name="60% - Accent3 3 2 2 4 4 2" xfId="21902" xr:uid="{00000000-0005-0000-0000-0000DE660000}"/>
    <cellStyle name="60% - Accent3 3 2 2 4 5" xfId="8436" xr:uid="{00000000-0005-0000-0000-0000DF660000}"/>
    <cellStyle name="60% - Accent3 3 2 2 4 5 2" xfId="23585" xr:uid="{00000000-0005-0000-0000-0000E0660000}"/>
    <cellStyle name="60% - Accent3 3 2 2 4 6" xfId="10119" xr:uid="{00000000-0005-0000-0000-0000E1660000}"/>
    <cellStyle name="60% - Accent3 3 2 2 4 6 2" xfId="25268" xr:uid="{00000000-0005-0000-0000-0000E2660000}"/>
    <cellStyle name="60% - Accent3 3 2 2 4 7" xfId="11802" xr:uid="{00000000-0005-0000-0000-0000E3660000}"/>
    <cellStyle name="60% - Accent3 3 2 2 4 7 2" xfId="26951" xr:uid="{00000000-0005-0000-0000-0000E4660000}"/>
    <cellStyle name="60% - Accent3 3 2 2 4 8" xfId="13486" xr:uid="{00000000-0005-0000-0000-0000E5660000}"/>
    <cellStyle name="60% - Accent3 3 2 2 4 8 2" xfId="28635" xr:uid="{00000000-0005-0000-0000-0000E6660000}"/>
    <cellStyle name="60% - Accent3 3 2 2 4 9" xfId="15169" xr:uid="{00000000-0005-0000-0000-0000E7660000}"/>
    <cellStyle name="60% - Accent3 3 2 2 4 9 2" xfId="30318" xr:uid="{00000000-0005-0000-0000-0000E8660000}"/>
    <cellStyle name="60% - Accent3 3 2 2 5" xfId="2124" xr:uid="{00000000-0005-0000-0000-0000E9660000}"/>
    <cellStyle name="60% - Accent3 3 2 2 5 2" xfId="17273" xr:uid="{00000000-0005-0000-0000-0000EA660000}"/>
    <cellStyle name="60% - Accent3 3 2 2 6" xfId="3808" xr:uid="{00000000-0005-0000-0000-0000EB660000}"/>
    <cellStyle name="60% - Accent3 3 2 2 6 2" xfId="18957" xr:uid="{00000000-0005-0000-0000-0000EC660000}"/>
    <cellStyle name="60% - Accent3 3 2 2 7" xfId="5491" xr:uid="{00000000-0005-0000-0000-0000ED660000}"/>
    <cellStyle name="60% - Accent3 3 2 2 7 2" xfId="20640" xr:uid="{00000000-0005-0000-0000-0000EE660000}"/>
    <cellStyle name="60% - Accent3 3 2 2 8" xfId="7174" xr:uid="{00000000-0005-0000-0000-0000EF660000}"/>
    <cellStyle name="60% - Accent3 3 2 2 8 2" xfId="22323" xr:uid="{00000000-0005-0000-0000-0000F0660000}"/>
    <cellStyle name="60% - Accent3 3 2 2 9" xfId="8857" xr:uid="{00000000-0005-0000-0000-0000F1660000}"/>
    <cellStyle name="60% - Accent3 3 2 2 9 2" xfId="24006" xr:uid="{00000000-0005-0000-0000-0000F2660000}"/>
    <cellStyle name="60% - Accent3 3 2 20" xfId="38944" xr:uid="{00000000-0005-0000-0000-0000F3660000}"/>
    <cellStyle name="60% - Accent3 3 2 21" xfId="40627" xr:uid="{00000000-0005-0000-0000-0000F4660000}"/>
    <cellStyle name="60% - Accent3 3 2 22" xfId="42310" xr:uid="{00000000-0005-0000-0000-0000F5660000}"/>
    <cellStyle name="60% - Accent3 3 2 23" xfId="43993" xr:uid="{00000000-0005-0000-0000-0000F6660000}"/>
    <cellStyle name="60% - Accent3 3 2 24" xfId="45676" xr:uid="{00000000-0005-0000-0000-0000F7660000}"/>
    <cellStyle name="60% - Accent3 3 2 25" xfId="47359" xr:uid="{00000000-0005-0000-0000-0000F8660000}"/>
    <cellStyle name="60% - Accent3 3 2 26" xfId="49042" xr:uid="{00000000-0005-0000-0000-0000F9660000}"/>
    <cellStyle name="60% - Accent3 3 2 27" xfId="50725" xr:uid="{00000000-0005-0000-0000-0000FA660000}"/>
    <cellStyle name="60% - Accent3 3 2 28" xfId="52408" xr:uid="{00000000-0005-0000-0000-0000FB660000}"/>
    <cellStyle name="60% - Accent3 3 2 29" xfId="54091" xr:uid="{00000000-0005-0000-0000-0000FC660000}"/>
    <cellStyle name="60% - Accent3 3 2 3" xfId="651" xr:uid="{00000000-0005-0000-0000-0000FD660000}"/>
    <cellStyle name="60% - Accent3 3 2 3 10" xfId="15800" xr:uid="{00000000-0005-0000-0000-0000FE660000}"/>
    <cellStyle name="60% - Accent3 3 2 3 11" xfId="30949" xr:uid="{00000000-0005-0000-0000-0000FF660000}"/>
    <cellStyle name="60% - Accent3 3 2 3 12" xfId="32632" xr:uid="{00000000-0005-0000-0000-000000670000}"/>
    <cellStyle name="60% - Accent3 3 2 3 13" xfId="34315" xr:uid="{00000000-0005-0000-0000-000001670000}"/>
    <cellStyle name="60% - Accent3 3 2 3 14" xfId="35998" xr:uid="{00000000-0005-0000-0000-000002670000}"/>
    <cellStyle name="60% - Accent3 3 2 3 15" xfId="37681" xr:uid="{00000000-0005-0000-0000-000003670000}"/>
    <cellStyle name="60% - Accent3 3 2 3 16" xfId="39364" xr:uid="{00000000-0005-0000-0000-000004670000}"/>
    <cellStyle name="60% - Accent3 3 2 3 17" xfId="41047" xr:uid="{00000000-0005-0000-0000-000005670000}"/>
    <cellStyle name="60% - Accent3 3 2 3 18" xfId="42730" xr:uid="{00000000-0005-0000-0000-000006670000}"/>
    <cellStyle name="60% - Accent3 3 2 3 19" xfId="44413" xr:uid="{00000000-0005-0000-0000-000007670000}"/>
    <cellStyle name="60% - Accent3 3 2 3 2" xfId="2334" xr:uid="{00000000-0005-0000-0000-000008670000}"/>
    <cellStyle name="60% - Accent3 3 2 3 2 2" xfId="17483" xr:uid="{00000000-0005-0000-0000-000009670000}"/>
    <cellStyle name="60% - Accent3 3 2 3 20" xfId="46096" xr:uid="{00000000-0005-0000-0000-00000A670000}"/>
    <cellStyle name="60% - Accent3 3 2 3 21" xfId="47779" xr:uid="{00000000-0005-0000-0000-00000B670000}"/>
    <cellStyle name="60% - Accent3 3 2 3 22" xfId="49462" xr:uid="{00000000-0005-0000-0000-00000C670000}"/>
    <cellStyle name="60% - Accent3 3 2 3 23" xfId="51145" xr:uid="{00000000-0005-0000-0000-00000D670000}"/>
    <cellStyle name="60% - Accent3 3 2 3 24" xfId="52828" xr:uid="{00000000-0005-0000-0000-00000E670000}"/>
    <cellStyle name="60% - Accent3 3 2 3 25" xfId="54511" xr:uid="{00000000-0005-0000-0000-00000F670000}"/>
    <cellStyle name="60% - Accent3 3 2 3 26" xfId="56194" xr:uid="{00000000-0005-0000-0000-000010670000}"/>
    <cellStyle name="60% - Accent3 3 2 3 27" xfId="57877" xr:uid="{00000000-0005-0000-0000-000011670000}"/>
    <cellStyle name="60% - Accent3 3 2 3 28" xfId="59560" xr:uid="{00000000-0005-0000-0000-000012670000}"/>
    <cellStyle name="60% - Accent3 3 2 3 29" xfId="61243" xr:uid="{00000000-0005-0000-0000-000013670000}"/>
    <cellStyle name="60% - Accent3 3 2 3 3" xfId="4018" xr:uid="{00000000-0005-0000-0000-000014670000}"/>
    <cellStyle name="60% - Accent3 3 2 3 3 2" xfId="19167" xr:uid="{00000000-0005-0000-0000-000015670000}"/>
    <cellStyle name="60% - Accent3 3 2 3 30" xfId="62926" xr:uid="{00000000-0005-0000-0000-000016670000}"/>
    <cellStyle name="60% - Accent3 3 2 3 4" xfId="5701" xr:uid="{00000000-0005-0000-0000-000017670000}"/>
    <cellStyle name="60% - Accent3 3 2 3 4 2" xfId="20850" xr:uid="{00000000-0005-0000-0000-000018670000}"/>
    <cellStyle name="60% - Accent3 3 2 3 5" xfId="7384" xr:uid="{00000000-0005-0000-0000-000019670000}"/>
    <cellStyle name="60% - Accent3 3 2 3 5 2" xfId="22533" xr:uid="{00000000-0005-0000-0000-00001A670000}"/>
    <cellStyle name="60% - Accent3 3 2 3 6" xfId="9067" xr:uid="{00000000-0005-0000-0000-00001B670000}"/>
    <cellStyle name="60% - Accent3 3 2 3 6 2" xfId="24216" xr:uid="{00000000-0005-0000-0000-00001C670000}"/>
    <cellStyle name="60% - Accent3 3 2 3 7" xfId="10750" xr:uid="{00000000-0005-0000-0000-00001D670000}"/>
    <cellStyle name="60% - Accent3 3 2 3 7 2" xfId="25899" xr:uid="{00000000-0005-0000-0000-00001E670000}"/>
    <cellStyle name="60% - Accent3 3 2 3 8" xfId="12434" xr:uid="{00000000-0005-0000-0000-00001F670000}"/>
    <cellStyle name="60% - Accent3 3 2 3 8 2" xfId="27583" xr:uid="{00000000-0005-0000-0000-000020670000}"/>
    <cellStyle name="60% - Accent3 3 2 3 9" xfId="14117" xr:uid="{00000000-0005-0000-0000-000021670000}"/>
    <cellStyle name="60% - Accent3 3 2 3 9 2" xfId="29266" xr:uid="{00000000-0005-0000-0000-000022670000}"/>
    <cellStyle name="60% - Accent3 3 2 30" xfId="55774" xr:uid="{00000000-0005-0000-0000-000023670000}"/>
    <cellStyle name="60% - Accent3 3 2 31" xfId="57457" xr:uid="{00000000-0005-0000-0000-000024670000}"/>
    <cellStyle name="60% - Accent3 3 2 32" xfId="59140" xr:uid="{00000000-0005-0000-0000-000025670000}"/>
    <cellStyle name="60% - Accent3 3 2 33" xfId="60823" xr:uid="{00000000-0005-0000-0000-000026670000}"/>
    <cellStyle name="60% - Accent3 3 2 34" xfId="62506" xr:uid="{00000000-0005-0000-0000-000027670000}"/>
    <cellStyle name="60% - Accent3 3 2 4" xfId="1072" xr:uid="{00000000-0005-0000-0000-000028670000}"/>
    <cellStyle name="60% - Accent3 3 2 4 10" xfId="16221" xr:uid="{00000000-0005-0000-0000-000029670000}"/>
    <cellStyle name="60% - Accent3 3 2 4 11" xfId="31370" xr:uid="{00000000-0005-0000-0000-00002A670000}"/>
    <cellStyle name="60% - Accent3 3 2 4 12" xfId="33053" xr:uid="{00000000-0005-0000-0000-00002B670000}"/>
    <cellStyle name="60% - Accent3 3 2 4 13" xfId="34736" xr:uid="{00000000-0005-0000-0000-00002C670000}"/>
    <cellStyle name="60% - Accent3 3 2 4 14" xfId="36419" xr:uid="{00000000-0005-0000-0000-00002D670000}"/>
    <cellStyle name="60% - Accent3 3 2 4 15" xfId="38102" xr:uid="{00000000-0005-0000-0000-00002E670000}"/>
    <cellStyle name="60% - Accent3 3 2 4 16" xfId="39785" xr:uid="{00000000-0005-0000-0000-00002F670000}"/>
    <cellStyle name="60% - Accent3 3 2 4 17" xfId="41468" xr:uid="{00000000-0005-0000-0000-000030670000}"/>
    <cellStyle name="60% - Accent3 3 2 4 18" xfId="43151" xr:uid="{00000000-0005-0000-0000-000031670000}"/>
    <cellStyle name="60% - Accent3 3 2 4 19" xfId="44834" xr:uid="{00000000-0005-0000-0000-000032670000}"/>
    <cellStyle name="60% - Accent3 3 2 4 2" xfId="2755" xr:uid="{00000000-0005-0000-0000-000033670000}"/>
    <cellStyle name="60% - Accent3 3 2 4 2 2" xfId="17904" xr:uid="{00000000-0005-0000-0000-000034670000}"/>
    <cellStyle name="60% - Accent3 3 2 4 20" xfId="46517" xr:uid="{00000000-0005-0000-0000-000035670000}"/>
    <cellStyle name="60% - Accent3 3 2 4 21" xfId="48200" xr:uid="{00000000-0005-0000-0000-000036670000}"/>
    <cellStyle name="60% - Accent3 3 2 4 22" xfId="49883" xr:uid="{00000000-0005-0000-0000-000037670000}"/>
    <cellStyle name="60% - Accent3 3 2 4 23" xfId="51566" xr:uid="{00000000-0005-0000-0000-000038670000}"/>
    <cellStyle name="60% - Accent3 3 2 4 24" xfId="53249" xr:uid="{00000000-0005-0000-0000-000039670000}"/>
    <cellStyle name="60% - Accent3 3 2 4 25" xfId="54932" xr:uid="{00000000-0005-0000-0000-00003A670000}"/>
    <cellStyle name="60% - Accent3 3 2 4 26" xfId="56615" xr:uid="{00000000-0005-0000-0000-00003B670000}"/>
    <cellStyle name="60% - Accent3 3 2 4 27" xfId="58298" xr:uid="{00000000-0005-0000-0000-00003C670000}"/>
    <cellStyle name="60% - Accent3 3 2 4 28" xfId="59981" xr:uid="{00000000-0005-0000-0000-00003D670000}"/>
    <cellStyle name="60% - Accent3 3 2 4 29" xfId="61664" xr:uid="{00000000-0005-0000-0000-00003E670000}"/>
    <cellStyle name="60% - Accent3 3 2 4 3" xfId="4439" xr:uid="{00000000-0005-0000-0000-00003F670000}"/>
    <cellStyle name="60% - Accent3 3 2 4 3 2" xfId="19588" xr:uid="{00000000-0005-0000-0000-000040670000}"/>
    <cellStyle name="60% - Accent3 3 2 4 30" xfId="63347" xr:uid="{00000000-0005-0000-0000-000041670000}"/>
    <cellStyle name="60% - Accent3 3 2 4 4" xfId="6122" xr:uid="{00000000-0005-0000-0000-000042670000}"/>
    <cellStyle name="60% - Accent3 3 2 4 4 2" xfId="21271" xr:uid="{00000000-0005-0000-0000-000043670000}"/>
    <cellStyle name="60% - Accent3 3 2 4 5" xfId="7805" xr:uid="{00000000-0005-0000-0000-000044670000}"/>
    <cellStyle name="60% - Accent3 3 2 4 5 2" xfId="22954" xr:uid="{00000000-0005-0000-0000-000045670000}"/>
    <cellStyle name="60% - Accent3 3 2 4 6" xfId="9488" xr:uid="{00000000-0005-0000-0000-000046670000}"/>
    <cellStyle name="60% - Accent3 3 2 4 6 2" xfId="24637" xr:uid="{00000000-0005-0000-0000-000047670000}"/>
    <cellStyle name="60% - Accent3 3 2 4 7" xfId="11171" xr:uid="{00000000-0005-0000-0000-000048670000}"/>
    <cellStyle name="60% - Accent3 3 2 4 7 2" xfId="26320" xr:uid="{00000000-0005-0000-0000-000049670000}"/>
    <cellStyle name="60% - Accent3 3 2 4 8" xfId="12855" xr:uid="{00000000-0005-0000-0000-00004A670000}"/>
    <cellStyle name="60% - Accent3 3 2 4 8 2" xfId="28004" xr:uid="{00000000-0005-0000-0000-00004B670000}"/>
    <cellStyle name="60% - Accent3 3 2 4 9" xfId="14538" xr:uid="{00000000-0005-0000-0000-00004C670000}"/>
    <cellStyle name="60% - Accent3 3 2 4 9 2" xfId="29687" xr:uid="{00000000-0005-0000-0000-00004D670000}"/>
    <cellStyle name="60% - Accent3 3 2 5" xfId="1493" xr:uid="{00000000-0005-0000-0000-00004E670000}"/>
    <cellStyle name="60% - Accent3 3 2 5 10" xfId="16642" xr:uid="{00000000-0005-0000-0000-00004F670000}"/>
    <cellStyle name="60% - Accent3 3 2 5 11" xfId="31791" xr:uid="{00000000-0005-0000-0000-000050670000}"/>
    <cellStyle name="60% - Accent3 3 2 5 12" xfId="33474" xr:uid="{00000000-0005-0000-0000-000051670000}"/>
    <cellStyle name="60% - Accent3 3 2 5 13" xfId="35157" xr:uid="{00000000-0005-0000-0000-000052670000}"/>
    <cellStyle name="60% - Accent3 3 2 5 14" xfId="36840" xr:uid="{00000000-0005-0000-0000-000053670000}"/>
    <cellStyle name="60% - Accent3 3 2 5 15" xfId="38523" xr:uid="{00000000-0005-0000-0000-000054670000}"/>
    <cellStyle name="60% - Accent3 3 2 5 16" xfId="40206" xr:uid="{00000000-0005-0000-0000-000055670000}"/>
    <cellStyle name="60% - Accent3 3 2 5 17" xfId="41889" xr:uid="{00000000-0005-0000-0000-000056670000}"/>
    <cellStyle name="60% - Accent3 3 2 5 18" xfId="43572" xr:uid="{00000000-0005-0000-0000-000057670000}"/>
    <cellStyle name="60% - Accent3 3 2 5 19" xfId="45255" xr:uid="{00000000-0005-0000-0000-000058670000}"/>
    <cellStyle name="60% - Accent3 3 2 5 2" xfId="3176" xr:uid="{00000000-0005-0000-0000-000059670000}"/>
    <cellStyle name="60% - Accent3 3 2 5 2 2" xfId="18325" xr:uid="{00000000-0005-0000-0000-00005A670000}"/>
    <cellStyle name="60% - Accent3 3 2 5 20" xfId="46938" xr:uid="{00000000-0005-0000-0000-00005B670000}"/>
    <cellStyle name="60% - Accent3 3 2 5 21" xfId="48621" xr:uid="{00000000-0005-0000-0000-00005C670000}"/>
    <cellStyle name="60% - Accent3 3 2 5 22" xfId="50304" xr:uid="{00000000-0005-0000-0000-00005D670000}"/>
    <cellStyle name="60% - Accent3 3 2 5 23" xfId="51987" xr:uid="{00000000-0005-0000-0000-00005E670000}"/>
    <cellStyle name="60% - Accent3 3 2 5 24" xfId="53670" xr:uid="{00000000-0005-0000-0000-00005F670000}"/>
    <cellStyle name="60% - Accent3 3 2 5 25" xfId="55353" xr:uid="{00000000-0005-0000-0000-000060670000}"/>
    <cellStyle name="60% - Accent3 3 2 5 26" xfId="57036" xr:uid="{00000000-0005-0000-0000-000061670000}"/>
    <cellStyle name="60% - Accent3 3 2 5 27" xfId="58719" xr:uid="{00000000-0005-0000-0000-000062670000}"/>
    <cellStyle name="60% - Accent3 3 2 5 28" xfId="60402" xr:uid="{00000000-0005-0000-0000-000063670000}"/>
    <cellStyle name="60% - Accent3 3 2 5 29" xfId="62085" xr:uid="{00000000-0005-0000-0000-000064670000}"/>
    <cellStyle name="60% - Accent3 3 2 5 3" xfId="4860" xr:uid="{00000000-0005-0000-0000-000065670000}"/>
    <cellStyle name="60% - Accent3 3 2 5 3 2" xfId="20009" xr:uid="{00000000-0005-0000-0000-000066670000}"/>
    <cellStyle name="60% - Accent3 3 2 5 30" xfId="63768" xr:uid="{00000000-0005-0000-0000-000067670000}"/>
    <cellStyle name="60% - Accent3 3 2 5 4" xfId="6543" xr:uid="{00000000-0005-0000-0000-000068670000}"/>
    <cellStyle name="60% - Accent3 3 2 5 4 2" xfId="21692" xr:uid="{00000000-0005-0000-0000-000069670000}"/>
    <cellStyle name="60% - Accent3 3 2 5 5" xfId="8226" xr:uid="{00000000-0005-0000-0000-00006A670000}"/>
    <cellStyle name="60% - Accent3 3 2 5 5 2" xfId="23375" xr:uid="{00000000-0005-0000-0000-00006B670000}"/>
    <cellStyle name="60% - Accent3 3 2 5 6" xfId="9909" xr:uid="{00000000-0005-0000-0000-00006C670000}"/>
    <cellStyle name="60% - Accent3 3 2 5 6 2" xfId="25058" xr:uid="{00000000-0005-0000-0000-00006D670000}"/>
    <cellStyle name="60% - Accent3 3 2 5 7" xfId="11592" xr:uid="{00000000-0005-0000-0000-00006E670000}"/>
    <cellStyle name="60% - Accent3 3 2 5 7 2" xfId="26741" xr:uid="{00000000-0005-0000-0000-00006F670000}"/>
    <cellStyle name="60% - Accent3 3 2 5 8" xfId="13276" xr:uid="{00000000-0005-0000-0000-000070670000}"/>
    <cellStyle name="60% - Accent3 3 2 5 8 2" xfId="28425" xr:uid="{00000000-0005-0000-0000-000071670000}"/>
    <cellStyle name="60% - Accent3 3 2 5 9" xfId="14959" xr:uid="{00000000-0005-0000-0000-000072670000}"/>
    <cellStyle name="60% - Accent3 3 2 5 9 2" xfId="30108" xr:uid="{00000000-0005-0000-0000-000073670000}"/>
    <cellStyle name="60% - Accent3 3 2 6" xfId="1914" xr:uid="{00000000-0005-0000-0000-000074670000}"/>
    <cellStyle name="60% - Accent3 3 2 6 2" xfId="17063" xr:uid="{00000000-0005-0000-0000-000075670000}"/>
    <cellStyle name="60% - Accent3 3 2 7" xfId="3598" xr:uid="{00000000-0005-0000-0000-000076670000}"/>
    <cellStyle name="60% - Accent3 3 2 7 2" xfId="18747" xr:uid="{00000000-0005-0000-0000-000077670000}"/>
    <cellStyle name="60% - Accent3 3 2 8" xfId="5281" xr:uid="{00000000-0005-0000-0000-000078670000}"/>
    <cellStyle name="60% - Accent3 3 2 8 2" xfId="20430" xr:uid="{00000000-0005-0000-0000-000079670000}"/>
    <cellStyle name="60% - Accent3 3 2 9" xfId="6964" xr:uid="{00000000-0005-0000-0000-00007A670000}"/>
    <cellStyle name="60% - Accent3 3 2 9 2" xfId="22113" xr:uid="{00000000-0005-0000-0000-00007B670000}"/>
    <cellStyle name="60% - Accent3 3 20" xfId="37156" xr:uid="{00000000-0005-0000-0000-00007C670000}"/>
    <cellStyle name="60% - Accent3 3 21" xfId="38839" xr:uid="{00000000-0005-0000-0000-00007D670000}"/>
    <cellStyle name="60% - Accent3 3 22" xfId="40522" xr:uid="{00000000-0005-0000-0000-00007E670000}"/>
    <cellStyle name="60% - Accent3 3 23" xfId="42205" xr:uid="{00000000-0005-0000-0000-00007F670000}"/>
    <cellStyle name="60% - Accent3 3 24" xfId="43888" xr:uid="{00000000-0005-0000-0000-000080670000}"/>
    <cellStyle name="60% - Accent3 3 25" xfId="45571" xr:uid="{00000000-0005-0000-0000-000081670000}"/>
    <cellStyle name="60% - Accent3 3 26" xfId="47254" xr:uid="{00000000-0005-0000-0000-000082670000}"/>
    <cellStyle name="60% - Accent3 3 27" xfId="48937" xr:uid="{00000000-0005-0000-0000-000083670000}"/>
    <cellStyle name="60% - Accent3 3 28" xfId="50620" xr:uid="{00000000-0005-0000-0000-000084670000}"/>
    <cellStyle name="60% - Accent3 3 29" xfId="52303" xr:uid="{00000000-0005-0000-0000-000085670000}"/>
    <cellStyle name="60% - Accent3 3 3" xfId="336" xr:uid="{00000000-0005-0000-0000-000086670000}"/>
    <cellStyle name="60% - Accent3 3 3 10" xfId="10435" xr:uid="{00000000-0005-0000-0000-000087670000}"/>
    <cellStyle name="60% - Accent3 3 3 10 2" xfId="25584" xr:uid="{00000000-0005-0000-0000-000088670000}"/>
    <cellStyle name="60% - Accent3 3 3 11" xfId="12119" xr:uid="{00000000-0005-0000-0000-000089670000}"/>
    <cellStyle name="60% - Accent3 3 3 11 2" xfId="27268" xr:uid="{00000000-0005-0000-0000-00008A670000}"/>
    <cellStyle name="60% - Accent3 3 3 12" xfId="13802" xr:uid="{00000000-0005-0000-0000-00008B670000}"/>
    <cellStyle name="60% - Accent3 3 3 12 2" xfId="28951" xr:uid="{00000000-0005-0000-0000-00008C670000}"/>
    <cellStyle name="60% - Accent3 3 3 13" xfId="15485" xr:uid="{00000000-0005-0000-0000-00008D670000}"/>
    <cellStyle name="60% - Accent3 3 3 14" xfId="30634" xr:uid="{00000000-0005-0000-0000-00008E670000}"/>
    <cellStyle name="60% - Accent3 3 3 15" xfId="32317" xr:uid="{00000000-0005-0000-0000-00008F670000}"/>
    <cellStyle name="60% - Accent3 3 3 16" xfId="34000" xr:uid="{00000000-0005-0000-0000-000090670000}"/>
    <cellStyle name="60% - Accent3 3 3 17" xfId="35683" xr:uid="{00000000-0005-0000-0000-000091670000}"/>
    <cellStyle name="60% - Accent3 3 3 18" xfId="37366" xr:uid="{00000000-0005-0000-0000-000092670000}"/>
    <cellStyle name="60% - Accent3 3 3 19" xfId="39049" xr:uid="{00000000-0005-0000-0000-000093670000}"/>
    <cellStyle name="60% - Accent3 3 3 2" xfId="756" xr:uid="{00000000-0005-0000-0000-000094670000}"/>
    <cellStyle name="60% - Accent3 3 3 2 10" xfId="15905" xr:uid="{00000000-0005-0000-0000-000095670000}"/>
    <cellStyle name="60% - Accent3 3 3 2 11" xfId="31054" xr:uid="{00000000-0005-0000-0000-000096670000}"/>
    <cellStyle name="60% - Accent3 3 3 2 12" xfId="32737" xr:uid="{00000000-0005-0000-0000-000097670000}"/>
    <cellStyle name="60% - Accent3 3 3 2 13" xfId="34420" xr:uid="{00000000-0005-0000-0000-000098670000}"/>
    <cellStyle name="60% - Accent3 3 3 2 14" xfId="36103" xr:uid="{00000000-0005-0000-0000-000099670000}"/>
    <cellStyle name="60% - Accent3 3 3 2 15" xfId="37786" xr:uid="{00000000-0005-0000-0000-00009A670000}"/>
    <cellStyle name="60% - Accent3 3 3 2 16" xfId="39469" xr:uid="{00000000-0005-0000-0000-00009B670000}"/>
    <cellStyle name="60% - Accent3 3 3 2 17" xfId="41152" xr:uid="{00000000-0005-0000-0000-00009C670000}"/>
    <cellStyle name="60% - Accent3 3 3 2 18" xfId="42835" xr:uid="{00000000-0005-0000-0000-00009D670000}"/>
    <cellStyle name="60% - Accent3 3 3 2 19" xfId="44518" xr:uid="{00000000-0005-0000-0000-00009E670000}"/>
    <cellStyle name="60% - Accent3 3 3 2 2" xfId="2439" xr:uid="{00000000-0005-0000-0000-00009F670000}"/>
    <cellStyle name="60% - Accent3 3 3 2 2 2" xfId="17588" xr:uid="{00000000-0005-0000-0000-0000A0670000}"/>
    <cellStyle name="60% - Accent3 3 3 2 20" xfId="46201" xr:uid="{00000000-0005-0000-0000-0000A1670000}"/>
    <cellStyle name="60% - Accent3 3 3 2 21" xfId="47884" xr:uid="{00000000-0005-0000-0000-0000A2670000}"/>
    <cellStyle name="60% - Accent3 3 3 2 22" xfId="49567" xr:uid="{00000000-0005-0000-0000-0000A3670000}"/>
    <cellStyle name="60% - Accent3 3 3 2 23" xfId="51250" xr:uid="{00000000-0005-0000-0000-0000A4670000}"/>
    <cellStyle name="60% - Accent3 3 3 2 24" xfId="52933" xr:uid="{00000000-0005-0000-0000-0000A5670000}"/>
    <cellStyle name="60% - Accent3 3 3 2 25" xfId="54616" xr:uid="{00000000-0005-0000-0000-0000A6670000}"/>
    <cellStyle name="60% - Accent3 3 3 2 26" xfId="56299" xr:uid="{00000000-0005-0000-0000-0000A7670000}"/>
    <cellStyle name="60% - Accent3 3 3 2 27" xfId="57982" xr:uid="{00000000-0005-0000-0000-0000A8670000}"/>
    <cellStyle name="60% - Accent3 3 3 2 28" xfId="59665" xr:uid="{00000000-0005-0000-0000-0000A9670000}"/>
    <cellStyle name="60% - Accent3 3 3 2 29" xfId="61348" xr:uid="{00000000-0005-0000-0000-0000AA670000}"/>
    <cellStyle name="60% - Accent3 3 3 2 3" xfId="4123" xr:uid="{00000000-0005-0000-0000-0000AB670000}"/>
    <cellStyle name="60% - Accent3 3 3 2 3 2" xfId="19272" xr:uid="{00000000-0005-0000-0000-0000AC670000}"/>
    <cellStyle name="60% - Accent3 3 3 2 30" xfId="63031" xr:uid="{00000000-0005-0000-0000-0000AD670000}"/>
    <cellStyle name="60% - Accent3 3 3 2 4" xfId="5806" xr:uid="{00000000-0005-0000-0000-0000AE670000}"/>
    <cellStyle name="60% - Accent3 3 3 2 4 2" xfId="20955" xr:uid="{00000000-0005-0000-0000-0000AF670000}"/>
    <cellStyle name="60% - Accent3 3 3 2 5" xfId="7489" xr:uid="{00000000-0005-0000-0000-0000B0670000}"/>
    <cellStyle name="60% - Accent3 3 3 2 5 2" xfId="22638" xr:uid="{00000000-0005-0000-0000-0000B1670000}"/>
    <cellStyle name="60% - Accent3 3 3 2 6" xfId="9172" xr:uid="{00000000-0005-0000-0000-0000B2670000}"/>
    <cellStyle name="60% - Accent3 3 3 2 6 2" xfId="24321" xr:uid="{00000000-0005-0000-0000-0000B3670000}"/>
    <cellStyle name="60% - Accent3 3 3 2 7" xfId="10855" xr:uid="{00000000-0005-0000-0000-0000B4670000}"/>
    <cellStyle name="60% - Accent3 3 3 2 7 2" xfId="26004" xr:uid="{00000000-0005-0000-0000-0000B5670000}"/>
    <cellStyle name="60% - Accent3 3 3 2 8" xfId="12539" xr:uid="{00000000-0005-0000-0000-0000B6670000}"/>
    <cellStyle name="60% - Accent3 3 3 2 8 2" xfId="27688" xr:uid="{00000000-0005-0000-0000-0000B7670000}"/>
    <cellStyle name="60% - Accent3 3 3 2 9" xfId="14222" xr:uid="{00000000-0005-0000-0000-0000B8670000}"/>
    <cellStyle name="60% - Accent3 3 3 2 9 2" xfId="29371" xr:uid="{00000000-0005-0000-0000-0000B9670000}"/>
    <cellStyle name="60% - Accent3 3 3 20" xfId="40732" xr:uid="{00000000-0005-0000-0000-0000BA670000}"/>
    <cellStyle name="60% - Accent3 3 3 21" xfId="42415" xr:uid="{00000000-0005-0000-0000-0000BB670000}"/>
    <cellStyle name="60% - Accent3 3 3 22" xfId="44098" xr:uid="{00000000-0005-0000-0000-0000BC670000}"/>
    <cellStyle name="60% - Accent3 3 3 23" xfId="45781" xr:uid="{00000000-0005-0000-0000-0000BD670000}"/>
    <cellStyle name="60% - Accent3 3 3 24" xfId="47464" xr:uid="{00000000-0005-0000-0000-0000BE670000}"/>
    <cellStyle name="60% - Accent3 3 3 25" xfId="49147" xr:uid="{00000000-0005-0000-0000-0000BF670000}"/>
    <cellStyle name="60% - Accent3 3 3 26" xfId="50830" xr:uid="{00000000-0005-0000-0000-0000C0670000}"/>
    <cellStyle name="60% - Accent3 3 3 27" xfId="52513" xr:uid="{00000000-0005-0000-0000-0000C1670000}"/>
    <cellStyle name="60% - Accent3 3 3 28" xfId="54196" xr:uid="{00000000-0005-0000-0000-0000C2670000}"/>
    <cellStyle name="60% - Accent3 3 3 29" xfId="55879" xr:uid="{00000000-0005-0000-0000-0000C3670000}"/>
    <cellStyle name="60% - Accent3 3 3 3" xfId="1177" xr:uid="{00000000-0005-0000-0000-0000C4670000}"/>
    <cellStyle name="60% - Accent3 3 3 3 10" xfId="16326" xr:uid="{00000000-0005-0000-0000-0000C5670000}"/>
    <cellStyle name="60% - Accent3 3 3 3 11" xfId="31475" xr:uid="{00000000-0005-0000-0000-0000C6670000}"/>
    <cellStyle name="60% - Accent3 3 3 3 12" xfId="33158" xr:uid="{00000000-0005-0000-0000-0000C7670000}"/>
    <cellStyle name="60% - Accent3 3 3 3 13" xfId="34841" xr:uid="{00000000-0005-0000-0000-0000C8670000}"/>
    <cellStyle name="60% - Accent3 3 3 3 14" xfId="36524" xr:uid="{00000000-0005-0000-0000-0000C9670000}"/>
    <cellStyle name="60% - Accent3 3 3 3 15" xfId="38207" xr:uid="{00000000-0005-0000-0000-0000CA670000}"/>
    <cellStyle name="60% - Accent3 3 3 3 16" xfId="39890" xr:uid="{00000000-0005-0000-0000-0000CB670000}"/>
    <cellStyle name="60% - Accent3 3 3 3 17" xfId="41573" xr:uid="{00000000-0005-0000-0000-0000CC670000}"/>
    <cellStyle name="60% - Accent3 3 3 3 18" xfId="43256" xr:uid="{00000000-0005-0000-0000-0000CD670000}"/>
    <cellStyle name="60% - Accent3 3 3 3 19" xfId="44939" xr:uid="{00000000-0005-0000-0000-0000CE670000}"/>
    <cellStyle name="60% - Accent3 3 3 3 2" xfId="2860" xr:uid="{00000000-0005-0000-0000-0000CF670000}"/>
    <cellStyle name="60% - Accent3 3 3 3 2 2" xfId="18009" xr:uid="{00000000-0005-0000-0000-0000D0670000}"/>
    <cellStyle name="60% - Accent3 3 3 3 20" xfId="46622" xr:uid="{00000000-0005-0000-0000-0000D1670000}"/>
    <cellStyle name="60% - Accent3 3 3 3 21" xfId="48305" xr:uid="{00000000-0005-0000-0000-0000D2670000}"/>
    <cellStyle name="60% - Accent3 3 3 3 22" xfId="49988" xr:uid="{00000000-0005-0000-0000-0000D3670000}"/>
    <cellStyle name="60% - Accent3 3 3 3 23" xfId="51671" xr:uid="{00000000-0005-0000-0000-0000D4670000}"/>
    <cellStyle name="60% - Accent3 3 3 3 24" xfId="53354" xr:uid="{00000000-0005-0000-0000-0000D5670000}"/>
    <cellStyle name="60% - Accent3 3 3 3 25" xfId="55037" xr:uid="{00000000-0005-0000-0000-0000D6670000}"/>
    <cellStyle name="60% - Accent3 3 3 3 26" xfId="56720" xr:uid="{00000000-0005-0000-0000-0000D7670000}"/>
    <cellStyle name="60% - Accent3 3 3 3 27" xfId="58403" xr:uid="{00000000-0005-0000-0000-0000D8670000}"/>
    <cellStyle name="60% - Accent3 3 3 3 28" xfId="60086" xr:uid="{00000000-0005-0000-0000-0000D9670000}"/>
    <cellStyle name="60% - Accent3 3 3 3 29" xfId="61769" xr:uid="{00000000-0005-0000-0000-0000DA670000}"/>
    <cellStyle name="60% - Accent3 3 3 3 3" xfId="4544" xr:uid="{00000000-0005-0000-0000-0000DB670000}"/>
    <cellStyle name="60% - Accent3 3 3 3 3 2" xfId="19693" xr:uid="{00000000-0005-0000-0000-0000DC670000}"/>
    <cellStyle name="60% - Accent3 3 3 3 30" xfId="63452" xr:uid="{00000000-0005-0000-0000-0000DD670000}"/>
    <cellStyle name="60% - Accent3 3 3 3 4" xfId="6227" xr:uid="{00000000-0005-0000-0000-0000DE670000}"/>
    <cellStyle name="60% - Accent3 3 3 3 4 2" xfId="21376" xr:uid="{00000000-0005-0000-0000-0000DF670000}"/>
    <cellStyle name="60% - Accent3 3 3 3 5" xfId="7910" xr:uid="{00000000-0005-0000-0000-0000E0670000}"/>
    <cellStyle name="60% - Accent3 3 3 3 5 2" xfId="23059" xr:uid="{00000000-0005-0000-0000-0000E1670000}"/>
    <cellStyle name="60% - Accent3 3 3 3 6" xfId="9593" xr:uid="{00000000-0005-0000-0000-0000E2670000}"/>
    <cellStyle name="60% - Accent3 3 3 3 6 2" xfId="24742" xr:uid="{00000000-0005-0000-0000-0000E3670000}"/>
    <cellStyle name="60% - Accent3 3 3 3 7" xfId="11276" xr:uid="{00000000-0005-0000-0000-0000E4670000}"/>
    <cellStyle name="60% - Accent3 3 3 3 7 2" xfId="26425" xr:uid="{00000000-0005-0000-0000-0000E5670000}"/>
    <cellStyle name="60% - Accent3 3 3 3 8" xfId="12960" xr:uid="{00000000-0005-0000-0000-0000E6670000}"/>
    <cellStyle name="60% - Accent3 3 3 3 8 2" xfId="28109" xr:uid="{00000000-0005-0000-0000-0000E7670000}"/>
    <cellStyle name="60% - Accent3 3 3 3 9" xfId="14643" xr:uid="{00000000-0005-0000-0000-0000E8670000}"/>
    <cellStyle name="60% - Accent3 3 3 3 9 2" xfId="29792" xr:uid="{00000000-0005-0000-0000-0000E9670000}"/>
    <cellStyle name="60% - Accent3 3 3 30" xfId="57562" xr:uid="{00000000-0005-0000-0000-0000EA670000}"/>
    <cellStyle name="60% - Accent3 3 3 31" xfId="59245" xr:uid="{00000000-0005-0000-0000-0000EB670000}"/>
    <cellStyle name="60% - Accent3 3 3 32" xfId="60928" xr:uid="{00000000-0005-0000-0000-0000EC670000}"/>
    <cellStyle name="60% - Accent3 3 3 33" xfId="62611" xr:uid="{00000000-0005-0000-0000-0000ED670000}"/>
    <cellStyle name="60% - Accent3 3 3 4" xfId="1598" xr:uid="{00000000-0005-0000-0000-0000EE670000}"/>
    <cellStyle name="60% - Accent3 3 3 4 10" xfId="16747" xr:uid="{00000000-0005-0000-0000-0000EF670000}"/>
    <cellStyle name="60% - Accent3 3 3 4 11" xfId="31896" xr:uid="{00000000-0005-0000-0000-0000F0670000}"/>
    <cellStyle name="60% - Accent3 3 3 4 12" xfId="33579" xr:uid="{00000000-0005-0000-0000-0000F1670000}"/>
    <cellStyle name="60% - Accent3 3 3 4 13" xfId="35262" xr:uid="{00000000-0005-0000-0000-0000F2670000}"/>
    <cellStyle name="60% - Accent3 3 3 4 14" xfId="36945" xr:uid="{00000000-0005-0000-0000-0000F3670000}"/>
    <cellStyle name="60% - Accent3 3 3 4 15" xfId="38628" xr:uid="{00000000-0005-0000-0000-0000F4670000}"/>
    <cellStyle name="60% - Accent3 3 3 4 16" xfId="40311" xr:uid="{00000000-0005-0000-0000-0000F5670000}"/>
    <cellStyle name="60% - Accent3 3 3 4 17" xfId="41994" xr:uid="{00000000-0005-0000-0000-0000F6670000}"/>
    <cellStyle name="60% - Accent3 3 3 4 18" xfId="43677" xr:uid="{00000000-0005-0000-0000-0000F7670000}"/>
    <cellStyle name="60% - Accent3 3 3 4 19" xfId="45360" xr:uid="{00000000-0005-0000-0000-0000F8670000}"/>
    <cellStyle name="60% - Accent3 3 3 4 2" xfId="3281" xr:uid="{00000000-0005-0000-0000-0000F9670000}"/>
    <cellStyle name="60% - Accent3 3 3 4 2 2" xfId="18430" xr:uid="{00000000-0005-0000-0000-0000FA670000}"/>
    <cellStyle name="60% - Accent3 3 3 4 20" xfId="47043" xr:uid="{00000000-0005-0000-0000-0000FB670000}"/>
    <cellStyle name="60% - Accent3 3 3 4 21" xfId="48726" xr:uid="{00000000-0005-0000-0000-0000FC670000}"/>
    <cellStyle name="60% - Accent3 3 3 4 22" xfId="50409" xr:uid="{00000000-0005-0000-0000-0000FD670000}"/>
    <cellStyle name="60% - Accent3 3 3 4 23" xfId="52092" xr:uid="{00000000-0005-0000-0000-0000FE670000}"/>
    <cellStyle name="60% - Accent3 3 3 4 24" xfId="53775" xr:uid="{00000000-0005-0000-0000-0000FF670000}"/>
    <cellStyle name="60% - Accent3 3 3 4 25" xfId="55458" xr:uid="{00000000-0005-0000-0000-000000680000}"/>
    <cellStyle name="60% - Accent3 3 3 4 26" xfId="57141" xr:uid="{00000000-0005-0000-0000-000001680000}"/>
    <cellStyle name="60% - Accent3 3 3 4 27" xfId="58824" xr:uid="{00000000-0005-0000-0000-000002680000}"/>
    <cellStyle name="60% - Accent3 3 3 4 28" xfId="60507" xr:uid="{00000000-0005-0000-0000-000003680000}"/>
    <cellStyle name="60% - Accent3 3 3 4 29" xfId="62190" xr:uid="{00000000-0005-0000-0000-000004680000}"/>
    <cellStyle name="60% - Accent3 3 3 4 3" xfId="4965" xr:uid="{00000000-0005-0000-0000-000005680000}"/>
    <cellStyle name="60% - Accent3 3 3 4 3 2" xfId="20114" xr:uid="{00000000-0005-0000-0000-000006680000}"/>
    <cellStyle name="60% - Accent3 3 3 4 30" xfId="63873" xr:uid="{00000000-0005-0000-0000-000007680000}"/>
    <cellStyle name="60% - Accent3 3 3 4 4" xfId="6648" xr:uid="{00000000-0005-0000-0000-000008680000}"/>
    <cellStyle name="60% - Accent3 3 3 4 4 2" xfId="21797" xr:uid="{00000000-0005-0000-0000-000009680000}"/>
    <cellStyle name="60% - Accent3 3 3 4 5" xfId="8331" xr:uid="{00000000-0005-0000-0000-00000A680000}"/>
    <cellStyle name="60% - Accent3 3 3 4 5 2" xfId="23480" xr:uid="{00000000-0005-0000-0000-00000B680000}"/>
    <cellStyle name="60% - Accent3 3 3 4 6" xfId="10014" xr:uid="{00000000-0005-0000-0000-00000C680000}"/>
    <cellStyle name="60% - Accent3 3 3 4 6 2" xfId="25163" xr:uid="{00000000-0005-0000-0000-00000D680000}"/>
    <cellStyle name="60% - Accent3 3 3 4 7" xfId="11697" xr:uid="{00000000-0005-0000-0000-00000E680000}"/>
    <cellStyle name="60% - Accent3 3 3 4 7 2" xfId="26846" xr:uid="{00000000-0005-0000-0000-00000F680000}"/>
    <cellStyle name="60% - Accent3 3 3 4 8" xfId="13381" xr:uid="{00000000-0005-0000-0000-000010680000}"/>
    <cellStyle name="60% - Accent3 3 3 4 8 2" xfId="28530" xr:uid="{00000000-0005-0000-0000-000011680000}"/>
    <cellStyle name="60% - Accent3 3 3 4 9" xfId="15064" xr:uid="{00000000-0005-0000-0000-000012680000}"/>
    <cellStyle name="60% - Accent3 3 3 4 9 2" xfId="30213" xr:uid="{00000000-0005-0000-0000-000013680000}"/>
    <cellStyle name="60% - Accent3 3 3 5" xfId="2019" xr:uid="{00000000-0005-0000-0000-000014680000}"/>
    <cellStyle name="60% - Accent3 3 3 5 2" xfId="17168" xr:uid="{00000000-0005-0000-0000-000015680000}"/>
    <cellStyle name="60% - Accent3 3 3 6" xfId="3703" xr:uid="{00000000-0005-0000-0000-000016680000}"/>
    <cellStyle name="60% - Accent3 3 3 6 2" xfId="18852" xr:uid="{00000000-0005-0000-0000-000017680000}"/>
    <cellStyle name="60% - Accent3 3 3 7" xfId="5386" xr:uid="{00000000-0005-0000-0000-000018680000}"/>
    <cellStyle name="60% - Accent3 3 3 7 2" xfId="20535" xr:uid="{00000000-0005-0000-0000-000019680000}"/>
    <cellStyle name="60% - Accent3 3 3 8" xfId="7069" xr:uid="{00000000-0005-0000-0000-00001A680000}"/>
    <cellStyle name="60% - Accent3 3 3 8 2" xfId="22218" xr:uid="{00000000-0005-0000-0000-00001B680000}"/>
    <cellStyle name="60% - Accent3 3 3 9" xfId="8752" xr:uid="{00000000-0005-0000-0000-00001C680000}"/>
    <cellStyle name="60% - Accent3 3 3 9 2" xfId="23901" xr:uid="{00000000-0005-0000-0000-00001D680000}"/>
    <cellStyle name="60% - Accent3 3 30" xfId="53986" xr:uid="{00000000-0005-0000-0000-00001E680000}"/>
    <cellStyle name="60% - Accent3 3 31" xfId="55669" xr:uid="{00000000-0005-0000-0000-00001F680000}"/>
    <cellStyle name="60% - Accent3 3 32" xfId="57352" xr:uid="{00000000-0005-0000-0000-000020680000}"/>
    <cellStyle name="60% - Accent3 3 33" xfId="59035" xr:uid="{00000000-0005-0000-0000-000021680000}"/>
    <cellStyle name="60% - Accent3 3 34" xfId="60718" xr:uid="{00000000-0005-0000-0000-000022680000}"/>
    <cellStyle name="60% - Accent3 3 35" xfId="62401" xr:uid="{00000000-0005-0000-0000-000023680000}"/>
    <cellStyle name="60% - Accent3 3 4" xfId="546" xr:uid="{00000000-0005-0000-0000-000024680000}"/>
    <cellStyle name="60% - Accent3 3 4 10" xfId="15695" xr:uid="{00000000-0005-0000-0000-000025680000}"/>
    <cellStyle name="60% - Accent3 3 4 11" xfId="30844" xr:uid="{00000000-0005-0000-0000-000026680000}"/>
    <cellStyle name="60% - Accent3 3 4 12" xfId="32527" xr:uid="{00000000-0005-0000-0000-000027680000}"/>
    <cellStyle name="60% - Accent3 3 4 13" xfId="34210" xr:uid="{00000000-0005-0000-0000-000028680000}"/>
    <cellStyle name="60% - Accent3 3 4 14" xfId="35893" xr:uid="{00000000-0005-0000-0000-000029680000}"/>
    <cellStyle name="60% - Accent3 3 4 15" xfId="37576" xr:uid="{00000000-0005-0000-0000-00002A680000}"/>
    <cellStyle name="60% - Accent3 3 4 16" xfId="39259" xr:uid="{00000000-0005-0000-0000-00002B680000}"/>
    <cellStyle name="60% - Accent3 3 4 17" xfId="40942" xr:uid="{00000000-0005-0000-0000-00002C680000}"/>
    <cellStyle name="60% - Accent3 3 4 18" xfId="42625" xr:uid="{00000000-0005-0000-0000-00002D680000}"/>
    <cellStyle name="60% - Accent3 3 4 19" xfId="44308" xr:uid="{00000000-0005-0000-0000-00002E680000}"/>
    <cellStyle name="60% - Accent3 3 4 2" xfId="2229" xr:uid="{00000000-0005-0000-0000-00002F680000}"/>
    <cellStyle name="60% - Accent3 3 4 2 2" xfId="17378" xr:uid="{00000000-0005-0000-0000-000030680000}"/>
    <cellStyle name="60% - Accent3 3 4 20" xfId="45991" xr:uid="{00000000-0005-0000-0000-000031680000}"/>
    <cellStyle name="60% - Accent3 3 4 21" xfId="47674" xr:uid="{00000000-0005-0000-0000-000032680000}"/>
    <cellStyle name="60% - Accent3 3 4 22" xfId="49357" xr:uid="{00000000-0005-0000-0000-000033680000}"/>
    <cellStyle name="60% - Accent3 3 4 23" xfId="51040" xr:uid="{00000000-0005-0000-0000-000034680000}"/>
    <cellStyle name="60% - Accent3 3 4 24" xfId="52723" xr:uid="{00000000-0005-0000-0000-000035680000}"/>
    <cellStyle name="60% - Accent3 3 4 25" xfId="54406" xr:uid="{00000000-0005-0000-0000-000036680000}"/>
    <cellStyle name="60% - Accent3 3 4 26" xfId="56089" xr:uid="{00000000-0005-0000-0000-000037680000}"/>
    <cellStyle name="60% - Accent3 3 4 27" xfId="57772" xr:uid="{00000000-0005-0000-0000-000038680000}"/>
    <cellStyle name="60% - Accent3 3 4 28" xfId="59455" xr:uid="{00000000-0005-0000-0000-000039680000}"/>
    <cellStyle name="60% - Accent3 3 4 29" xfId="61138" xr:uid="{00000000-0005-0000-0000-00003A680000}"/>
    <cellStyle name="60% - Accent3 3 4 3" xfId="3913" xr:uid="{00000000-0005-0000-0000-00003B680000}"/>
    <cellStyle name="60% - Accent3 3 4 3 2" xfId="19062" xr:uid="{00000000-0005-0000-0000-00003C680000}"/>
    <cellStyle name="60% - Accent3 3 4 30" xfId="62821" xr:uid="{00000000-0005-0000-0000-00003D680000}"/>
    <cellStyle name="60% - Accent3 3 4 4" xfId="5596" xr:uid="{00000000-0005-0000-0000-00003E680000}"/>
    <cellStyle name="60% - Accent3 3 4 4 2" xfId="20745" xr:uid="{00000000-0005-0000-0000-00003F680000}"/>
    <cellStyle name="60% - Accent3 3 4 5" xfId="7279" xr:uid="{00000000-0005-0000-0000-000040680000}"/>
    <cellStyle name="60% - Accent3 3 4 5 2" xfId="22428" xr:uid="{00000000-0005-0000-0000-000041680000}"/>
    <cellStyle name="60% - Accent3 3 4 6" xfId="8962" xr:uid="{00000000-0005-0000-0000-000042680000}"/>
    <cellStyle name="60% - Accent3 3 4 6 2" xfId="24111" xr:uid="{00000000-0005-0000-0000-000043680000}"/>
    <cellStyle name="60% - Accent3 3 4 7" xfId="10645" xr:uid="{00000000-0005-0000-0000-000044680000}"/>
    <cellStyle name="60% - Accent3 3 4 7 2" xfId="25794" xr:uid="{00000000-0005-0000-0000-000045680000}"/>
    <cellStyle name="60% - Accent3 3 4 8" xfId="12329" xr:uid="{00000000-0005-0000-0000-000046680000}"/>
    <cellStyle name="60% - Accent3 3 4 8 2" xfId="27478" xr:uid="{00000000-0005-0000-0000-000047680000}"/>
    <cellStyle name="60% - Accent3 3 4 9" xfId="14012" xr:uid="{00000000-0005-0000-0000-000048680000}"/>
    <cellStyle name="60% - Accent3 3 4 9 2" xfId="29161" xr:uid="{00000000-0005-0000-0000-000049680000}"/>
    <cellStyle name="60% - Accent3 3 5" xfId="967" xr:uid="{00000000-0005-0000-0000-00004A680000}"/>
    <cellStyle name="60% - Accent3 3 5 10" xfId="16116" xr:uid="{00000000-0005-0000-0000-00004B680000}"/>
    <cellStyle name="60% - Accent3 3 5 11" xfId="31265" xr:uid="{00000000-0005-0000-0000-00004C680000}"/>
    <cellStyle name="60% - Accent3 3 5 12" xfId="32948" xr:uid="{00000000-0005-0000-0000-00004D680000}"/>
    <cellStyle name="60% - Accent3 3 5 13" xfId="34631" xr:uid="{00000000-0005-0000-0000-00004E680000}"/>
    <cellStyle name="60% - Accent3 3 5 14" xfId="36314" xr:uid="{00000000-0005-0000-0000-00004F680000}"/>
    <cellStyle name="60% - Accent3 3 5 15" xfId="37997" xr:uid="{00000000-0005-0000-0000-000050680000}"/>
    <cellStyle name="60% - Accent3 3 5 16" xfId="39680" xr:uid="{00000000-0005-0000-0000-000051680000}"/>
    <cellStyle name="60% - Accent3 3 5 17" xfId="41363" xr:uid="{00000000-0005-0000-0000-000052680000}"/>
    <cellStyle name="60% - Accent3 3 5 18" xfId="43046" xr:uid="{00000000-0005-0000-0000-000053680000}"/>
    <cellStyle name="60% - Accent3 3 5 19" xfId="44729" xr:uid="{00000000-0005-0000-0000-000054680000}"/>
    <cellStyle name="60% - Accent3 3 5 2" xfId="2650" xr:uid="{00000000-0005-0000-0000-000055680000}"/>
    <cellStyle name="60% - Accent3 3 5 2 2" xfId="17799" xr:uid="{00000000-0005-0000-0000-000056680000}"/>
    <cellStyle name="60% - Accent3 3 5 20" xfId="46412" xr:uid="{00000000-0005-0000-0000-000057680000}"/>
    <cellStyle name="60% - Accent3 3 5 21" xfId="48095" xr:uid="{00000000-0005-0000-0000-000058680000}"/>
    <cellStyle name="60% - Accent3 3 5 22" xfId="49778" xr:uid="{00000000-0005-0000-0000-000059680000}"/>
    <cellStyle name="60% - Accent3 3 5 23" xfId="51461" xr:uid="{00000000-0005-0000-0000-00005A680000}"/>
    <cellStyle name="60% - Accent3 3 5 24" xfId="53144" xr:uid="{00000000-0005-0000-0000-00005B680000}"/>
    <cellStyle name="60% - Accent3 3 5 25" xfId="54827" xr:uid="{00000000-0005-0000-0000-00005C680000}"/>
    <cellStyle name="60% - Accent3 3 5 26" xfId="56510" xr:uid="{00000000-0005-0000-0000-00005D680000}"/>
    <cellStyle name="60% - Accent3 3 5 27" xfId="58193" xr:uid="{00000000-0005-0000-0000-00005E680000}"/>
    <cellStyle name="60% - Accent3 3 5 28" xfId="59876" xr:uid="{00000000-0005-0000-0000-00005F680000}"/>
    <cellStyle name="60% - Accent3 3 5 29" xfId="61559" xr:uid="{00000000-0005-0000-0000-000060680000}"/>
    <cellStyle name="60% - Accent3 3 5 3" xfId="4334" xr:uid="{00000000-0005-0000-0000-000061680000}"/>
    <cellStyle name="60% - Accent3 3 5 3 2" xfId="19483" xr:uid="{00000000-0005-0000-0000-000062680000}"/>
    <cellStyle name="60% - Accent3 3 5 30" xfId="63242" xr:uid="{00000000-0005-0000-0000-000063680000}"/>
    <cellStyle name="60% - Accent3 3 5 4" xfId="6017" xr:uid="{00000000-0005-0000-0000-000064680000}"/>
    <cellStyle name="60% - Accent3 3 5 4 2" xfId="21166" xr:uid="{00000000-0005-0000-0000-000065680000}"/>
    <cellStyle name="60% - Accent3 3 5 5" xfId="7700" xr:uid="{00000000-0005-0000-0000-000066680000}"/>
    <cellStyle name="60% - Accent3 3 5 5 2" xfId="22849" xr:uid="{00000000-0005-0000-0000-000067680000}"/>
    <cellStyle name="60% - Accent3 3 5 6" xfId="9383" xr:uid="{00000000-0005-0000-0000-000068680000}"/>
    <cellStyle name="60% - Accent3 3 5 6 2" xfId="24532" xr:uid="{00000000-0005-0000-0000-000069680000}"/>
    <cellStyle name="60% - Accent3 3 5 7" xfId="11066" xr:uid="{00000000-0005-0000-0000-00006A680000}"/>
    <cellStyle name="60% - Accent3 3 5 7 2" xfId="26215" xr:uid="{00000000-0005-0000-0000-00006B680000}"/>
    <cellStyle name="60% - Accent3 3 5 8" xfId="12750" xr:uid="{00000000-0005-0000-0000-00006C680000}"/>
    <cellStyle name="60% - Accent3 3 5 8 2" xfId="27899" xr:uid="{00000000-0005-0000-0000-00006D680000}"/>
    <cellStyle name="60% - Accent3 3 5 9" xfId="14433" xr:uid="{00000000-0005-0000-0000-00006E680000}"/>
    <cellStyle name="60% - Accent3 3 5 9 2" xfId="29582" xr:uid="{00000000-0005-0000-0000-00006F680000}"/>
    <cellStyle name="60% - Accent3 3 6" xfId="1388" xr:uid="{00000000-0005-0000-0000-000070680000}"/>
    <cellStyle name="60% - Accent3 3 6 10" xfId="16537" xr:uid="{00000000-0005-0000-0000-000071680000}"/>
    <cellStyle name="60% - Accent3 3 6 11" xfId="31686" xr:uid="{00000000-0005-0000-0000-000072680000}"/>
    <cellStyle name="60% - Accent3 3 6 12" xfId="33369" xr:uid="{00000000-0005-0000-0000-000073680000}"/>
    <cellStyle name="60% - Accent3 3 6 13" xfId="35052" xr:uid="{00000000-0005-0000-0000-000074680000}"/>
    <cellStyle name="60% - Accent3 3 6 14" xfId="36735" xr:uid="{00000000-0005-0000-0000-000075680000}"/>
    <cellStyle name="60% - Accent3 3 6 15" xfId="38418" xr:uid="{00000000-0005-0000-0000-000076680000}"/>
    <cellStyle name="60% - Accent3 3 6 16" xfId="40101" xr:uid="{00000000-0005-0000-0000-000077680000}"/>
    <cellStyle name="60% - Accent3 3 6 17" xfId="41784" xr:uid="{00000000-0005-0000-0000-000078680000}"/>
    <cellStyle name="60% - Accent3 3 6 18" xfId="43467" xr:uid="{00000000-0005-0000-0000-000079680000}"/>
    <cellStyle name="60% - Accent3 3 6 19" xfId="45150" xr:uid="{00000000-0005-0000-0000-00007A680000}"/>
    <cellStyle name="60% - Accent3 3 6 2" xfId="3071" xr:uid="{00000000-0005-0000-0000-00007B680000}"/>
    <cellStyle name="60% - Accent3 3 6 2 2" xfId="18220" xr:uid="{00000000-0005-0000-0000-00007C680000}"/>
    <cellStyle name="60% - Accent3 3 6 20" xfId="46833" xr:uid="{00000000-0005-0000-0000-00007D680000}"/>
    <cellStyle name="60% - Accent3 3 6 21" xfId="48516" xr:uid="{00000000-0005-0000-0000-00007E680000}"/>
    <cellStyle name="60% - Accent3 3 6 22" xfId="50199" xr:uid="{00000000-0005-0000-0000-00007F680000}"/>
    <cellStyle name="60% - Accent3 3 6 23" xfId="51882" xr:uid="{00000000-0005-0000-0000-000080680000}"/>
    <cellStyle name="60% - Accent3 3 6 24" xfId="53565" xr:uid="{00000000-0005-0000-0000-000081680000}"/>
    <cellStyle name="60% - Accent3 3 6 25" xfId="55248" xr:uid="{00000000-0005-0000-0000-000082680000}"/>
    <cellStyle name="60% - Accent3 3 6 26" xfId="56931" xr:uid="{00000000-0005-0000-0000-000083680000}"/>
    <cellStyle name="60% - Accent3 3 6 27" xfId="58614" xr:uid="{00000000-0005-0000-0000-000084680000}"/>
    <cellStyle name="60% - Accent3 3 6 28" xfId="60297" xr:uid="{00000000-0005-0000-0000-000085680000}"/>
    <cellStyle name="60% - Accent3 3 6 29" xfId="61980" xr:uid="{00000000-0005-0000-0000-000086680000}"/>
    <cellStyle name="60% - Accent3 3 6 3" xfId="4755" xr:uid="{00000000-0005-0000-0000-000087680000}"/>
    <cellStyle name="60% - Accent3 3 6 3 2" xfId="19904" xr:uid="{00000000-0005-0000-0000-000088680000}"/>
    <cellStyle name="60% - Accent3 3 6 30" xfId="63663" xr:uid="{00000000-0005-0000-0000-000089680000}"/>
    <cellStyle name="60% - Accent3 3 6 4" xfId="6438" xr:uid="{00000000-0005-0000-0000-00008A680000}"/>
    <cellStyle name="60% - Accent3 3 6 4 2" xfId="21587" xr:uid="{00000000-0005-0000-0000-00008B680000}"/>
    <cellStyle name="60% - Accent3 3 6 5" xfId="8121" xr:uid="{00000000-0005-0000-0000-00008C680000}"/>
    <cellStyle name="60% - Accent3 3 6 5 2" xfId="23270" xr:uid="{00000000-0005-0000-0000-00008D680000}"/>
    <cellStyle name="60% - Accent3 3 6 6" xfId="9804" xr:uid="{00000000-0005-0000-0000-00008E680000}"/>
    <cellStyle name="60% - Accent3 3 6 6 2" xfId="24953" xr:uid="{00000000-0005-0000-0000-00008F680000}"/>
    <cellStyle name="60% - Accent3 3 6 7" xfId="11487" xr:uid="{00000000-0005-0000-0000-000090680000}"/>
    <cellStyle name="60% - Accent3 3 6 7 2" xfId="26636" xr:uid="{00000000-0005-0000-0000-000091680000}"/>
    <cellStyle name="60% - Accent3 3 6 8" xfId="13171" xr:uid="{00000000-0005-0000-0000-000092680000}"/>
    <cellStyle name="60% - Accent3 3 6 8 2" xfId="28320" xr:uid="{00000000-0005-0000-0000-000093680000}"/>
    <cellStyle name="60% - Accent3 3 6 9" xfId="14854" xr:uid="{00000000-0005-0000-0000-000094680000}"/>
    <cellStyle name="60% - Accent3 3 6 9 2" xfId="30003" xr:uid="{00000000-0005-0000-0000-000095680000}"/>
    <cellStyle name="60% - Accent3 3 7" xfId="1809" xr:uid="{00000000-0005-0000-0000-000096680000}"/>
    <cellStyle name="60% - Accent3 3 7 2" xfId="16958" xr:uid="{00000000-0005-0000-0000-000097680000}"/>
    <cellStyle name="60% - Accent3 3 8" xfId="3493" xr:uid="{00000000-0005-0000-0000-000098680000}"/>
    <cellStyle name="60% - Accent3 3 8 2" xfId="18642" xr:uid="{00000000-0005-0000-0000-000099680000}"/>
    <cellStyle name="60% - Accent3 3 9" xfId="5176" xr:uid="{00000000-0005-0000-0000-00009A680000}"/>
    <cellStyle name="60% - Accent3 3 9 2" xfId="20325" xr:uid="{00000000-0005-0000-0000-00009B680000}"/>
    <cellStyle name="60% - Accent3 30" xfId="50578" xr:uid="{00000000-0005-0000-0000-00009C680000}"/>
    <cellStyle name="60% - Accent3 31" xfId="52261" xr:uid="{00000000-0005-0000-0000-00009D680000}"/>
    <cellStyle name="60% - Accent3 32" xfId="53944" xr:uid="{00000000-0005-0000-0000-00009E680000}"/>
    <cellStyle name="60% - Accent3 33" xfId="55627" xr:uid="{00000000-0005-0000-0000-00009F680000}"/>
    <cellStyle name="60% - Accent3 34" xfId="57310" xr:uid="{00000000-0005-0000-0000-0000A0680000}"/>
    <cellStyle name="60% - Accent3 35" xfId="58993" xr:uid="{00000000-0005-0000-0000-0000A1680000}"/>
    <cellStyle name="60% - Accent3 36" xfId="60676" xr:uid="{00000000-0005-0000-0000-0000A2680000}"/>
    <cellStyle name="60% - Accent3 37" xfId="62359" xr:uid="{00000000-0005-0000-0000-0000A3680000}"/>
    <cellStyle name="60% - Accent3 4" xfId="189" xr:uid="{00000000-0005-0000-0000-0000A4680000}"/>
    <cellStyle name="60% - Accent3 4 10" xfId="8605" xr:uid="{00000000-0005-0000-0000-0000A5680000}"/>
    <cellStyle name="60% - Accent3 4 10 2" xfId="23754" xr:uid="{00000000-0005-0000-0000-0000A6680000}"/>
    <cellStyle name="60% - Accent3 4 11" xfId="10288" xr:uid="{00000000-0005-0000-0000-0000A7680000}"/>
    <cellStyle name="60% - Accent3 4 11 2" xfId="25437" xr:uid="{00000000-0005-0000-0000-0000A8680000}"/>
    <cellStyle name="60% - Accent3 4 12" xfId="11972" xr:uid="{00000000-0005-0000-0000-0000A9680000}"/>
    <cellStyle name="60% - Accent3 4 12 2" xfId="27121" xr:uid="{00000000-0005-0000-0000-0000AA680000}"/>
    <cellStyle name="60% - Accent3 4 13" xfId="13655" xr:uid="{00000000-0005-0000-0000-0000AB680000}"/>
    <cellStyle name="60% - Accent3 4 13 2" xfId="28804" xr:uid="{00000000-0005-0000-0000-0000AC680000}"/>
    <cellStyle name="60% - Accent3 4 14" xfId="15338" xr:uid="{00000000-0005-0000-0000-0000AD680000}"/>
    <cellStyle name="60% - Accent3 4 15" xfId="30487" xr:uid="{00000000-0005-0000-0000-0000AE680000}"/>
    <cellStyle name="60% - Accent3 4 16" xfId="32170" xr:uid="{00000000-0005-0000-0000-0000AF680000}"/>
    <cellStyle name="60% - Accent3 4 17" xfId="33853" xr:uid="{00000000-0005-0000-0000-0000B0680000}"/>
    <cellStyle name="60% - Accent3 4 18" xfId="35536" xr:uid="{00000000-0005-0000-0000-0000B1680000}"/>
    <cellStyle name="60% - Accent3 4 19" xfId="37219" xr:uid="{00000000-0005-0000-0000-0000B2680000}"/>
    <cellStyle name="60% - Accent3 4 2" xfId="399" xr:uid="{00000000-0005-0000-0000-0000B3680000}"/>
    <cellStyle name="60% - Accent3 4 2 10" xfId="10498" xr:uid="{00000000-0005-0000-0000-0000B4680000}"/>
    <cellStyle name="60% - Accent3 4 2 10 2" xfId="25647" xr:uid="{00000000-0005-0000-0000-0000B5680000}"/>
    <cellStyle name="60% - Accent3 4 2 11" xfId="12182" xr:uid="{00000000-0005-0000-0000-0000B6680000}"/>
    <cellStyle name="60% - Accent3 4 2 11 2" xfId="27331" xr:uid="{00000000-0005-0000-0000-0000B7680000}"/>
    <cellStyle name="60% - Accent3 4 2 12" xfId="13865" xr:uid="{00000000-0005-0000-0000-0000B8680000}"/>
    <cellStyle name="60% - Accent3 4 2 12 2" xfId="29014" xr:uid="{00000000-0005-0000-0000-0000B9680000}"/>
    <cellStyle name="60% - Accent3 4 2 13" xfId="15548" xr:uid="{00000000-0005-0000-0000-0000BA680000}"/>
    <cellStyle name="60% - Accent3 4 2 14" xfId="30697" xr:uid="{00000000-0005-0000-0000-0000BB680000}"/>
    <cellStyle name="60% - Accent3 4 2 15" xfId="32380" xr:uid="{00000000-0005-0000-0000-0000BC680000}"/>
    <cellStyle name="60% - Accent3 4 2 16" xfId="34063" xr:uid="{00000000-0005-0000-0000-0000BD680000}"/>
    <cellStyle name="60% - Accent3 4 2 17" xfId="35746" xr:uid="{00000000-0005-0000-0000-0000BE680000}"/>
    <cellStyle name="60% - Accent3 4 2 18" xfId="37429" xr:uid="{00000000-0005-0000-0000-0000BF680000}"/>
    <cellStyle name="60% - Accent3 4 2 19" xfId="39112" xr:uid="{00000000-0005-0000-0000-0000C0680000}"/>
    <cellStyle name="60% - Accent3 4 2 2" xfId="819" xr:uid="{00000000-0005-0000-0000-0000C1680000}"/>
    <cellStyle name="60% - Accent3 4 2 2 10" xfId="15968" xr:uid="{00000000-0005-0000-0000-0000C2680000}"/>
    <cellStyle name="60% - Accent3 4 2 2 11" xfId="31117" xr:uid="{00000000-0005-0000-0000-0000C3680000}"/>
    <cellStyle name="60% - Accent3 4 2 2 12" xfId="32800" xr:uid="{00000000-0005-0000-0000-0000C4680000}"/>
    <cellStyle name="60% - Accent3 4 2 2 13" xfId="34483" xr:uid="{00000000-0005-0000-0000-0000C5680000}"/>
    <cellStyle name="60% - Accent3 4 2 2 14" xfId="36166" xr:uid="{00000000-0005-0000-0000-0000C6680000}"/>
    <cellStyle name="60% - Accent3 4 2 2 15" xfId="37849" xr:uid="{00000000-0005-0000-0000-0000C7680000}"/>
    <cellStyle name="60% - Accent3 4 2 2 16" xfId="39532" xr:uid="{00000000-0005-0000-0000-0000C8680000}"/>
    <cellStyle name="60% - Accent3 4 2 2 17" xfId="41215" xr:uid="{00000000-0005-0000-0000-0000C9680000}"/>
    <cellStyle name="60% - Accent3 4 2 2 18" xfId="42898" xr:uid="{00000000-0005-0000-0000-0000CA680000}"/>
    <cellStyle name="60% - Accent3 4 2 2 19" xfId="44581" xr:uid="{00000000-0005-0000-0000-0000CB680000}"/>
    <cellStyle name="60% - Accent3 4 2 2 2" xfId="2502" xr:uid="{00000000-0005-0000-0000-0000CC680000}"/>
    <cellStyle name="60% - Accent3 4 2 2 2 2" xfId="17651" xr:uid="{00000000-0005-0000-0000-0000CD680000}"/>
    <cellStyle name="60% - Accent3 4 2 2 20" xfId="46264" xr:uid="{00000000-0005-0000-0000-0000CE680000}"/>
    <cellStyle name="60% - Accent3 4 2 2 21" xfId="47947" xr:uid="{00000000-0005-0000-0000-0000CF680000}"/>
    <cellStyle name="60% - Accent3 4 2 2 22" xfId="49630" xr:uid="{00000000-0005-0000-0000-0000D0680000}"/>
    <cellStyle name="60% - Accent3 4 2 2 23" xfId="51313" xr:uid="{00000000-0005-0000-0000-0000D1680000}"/>
    <cellStyle name="60% - Accent3 4 2 2 24" xfId="52996" xr:uid="{00000000-0005-0000-0000-0000D2680000}"/>
    <cellStyle name="60% - Accent3 4 2 2 25" xfId="54679" xr:uid="{00000000-0005-0000-0000-0000D3680000}"/>
    <cellStyle name="60% - Accent3 4 2 2 26" xfId="56362" xr:uid="{00000000-0005-0000-0000-0000D4680000}"/>
    <cellStyle name="60% - Accent3 4 2 2 27" xfId="58045" xr:uid="{00000000-0005-0000-0000-0000D5680000}"/>
    <cellStyle name="60% - Accent3 4 2 2 28" xfId="59728" xr:uid="{00000000-0005-0000-0000-0000D6680000}"/>
    <cellStyle name="60% - Accent3 4 2 2 29" xfId="61411" xr:uid="{00000000-0005-0000-0000-0000D7680000}"/>
    <cellStyle name="60% - Accent3 4 2 2 3" xfId="4186" xr:uid="{00000000-0005-0000-0000-0000D8680000}"/>
    <cellStyle name="60% - Accent3 4 2 2 3 2" xfId="19335" xr:uid="{00000000-0005-0000-0000-0000D9680000}"/>
    <cellStyle name="60% - Accent3 4 2 2 30" xfId="63094" xr:uid="{00000000-0005-0000-0000-0000DA680000}"/>
    <cellStyle name="60% - Accent3 4 2 2 4" xfId="5869" xr:uid="{00000000-0005-0000-0000-0000DB680000}"/>
    <cellStyle name="60% - Accent3 4 2 2 4 2" xfId="21018" xr:uid="{00000000-0005-0000-0000-0000DC680000}"/>
    <cellStyle name="60% - Accent3 4 2 2 5" xfId="7552" xr:uid="{00000000-0005-0000-0000-0000DD680000}"/>
    <cellStyle name="60% - Accent3 4 2 2 5 2" xfId="22701" xr:uid="{00000000-0005-0000-0000-0000DE680000}"/>
    <cellStyle name="60% - Accent3 4 2 2 6" xfId="9235" xr:uid="{00000000-0005-0000-0000-0000DF680000}"/>
    <cellStyle name="60% - Accent3 4 2 2 6 2" xfId="24384" xr:uid="{00000000-0005-0000-0000-0000E0680000}"/>
    <cellStyle name="60% - Accent3 4 2 2 7" xfId="10918" xr:uid="{00000000-0005-0000-0000-0000E1680000}"/>
    <cellStyle name="60% - Accent3 4 2 2 7 2" xfId="26067" xr:uid="{00000000-0005-0000-0000-0000E2680000}"/>
    <cellStyle name="60% - Accent3 4 2 2 8" xfId="12602" xr:uid="{00000000-0005-0000-0000-0000E3680000}"/>
    <cellStyle name="60% - Accent3 4 2 2 8 2" xfId="27751" xr:uid="{00000000-0005-0000-0000-0000E4680000}"/>
    <cellStyle name="60% - Accent3 4 2 2 9" xfId="14285" xr:uid="{00000000-0005-0000-0000-0000E5680000}"/>
    <cellStyle name="60% - Accent3 4 2 2 9 2" xfId="29434" xr:uid="{00000000-0005-0000-0000-0000E6680000}"/>
    <cellStyle name="60% - Accent3 4 2 20" xfId="40795" xr:uid="{00000000-0005-0000-0000-0000E7680000}"/>
    <cellStyle name="60% - Accent3 4 2 21" xfId="42478" xr:uid="{00000000-0005-0000-0000-0000E8680000}"/>
    <cellStyle name="60% - Accent3 4 2 22" xfId="44161" xr:uid="{00000000-0005-0000-0000-0000E9680000}"/>
    <cellStyle name="60% - Accent3 4 2 23" xfId="45844" xr:uid="{00000000-0005-0000-0000-0000EA680000}"/>
    <cellStyle name="60% - Accent3 4 2 24" xfId="47527" xr:uid="{00000000-0005-0000-0000-0000EB680000}"/>
    <cellStyle name="60% - Accent3 4 2 25" xfId="49210" xr:uid="{00000000-0005-0000-0000-0000EC680000}"/>
    <cellStyle name="60% - Accent3 4 2 26" xfId="50893" xr:uid="{00000000-0005-0000-0000-0000ED680000}"/>
    <cellStyle name="60% - Accent3 4 2 27" xfId="52576" xr:uid="{00000000-0005-0000-0000-0000EE680000}"/>
    <cellStyle name="60% - Accent3 4 2 28" xfId="54259" xr:uid="{00000000-0005-0000-0000-0000EF680000}"/>
    <cellStyle name="60% - Accent3 4 2 29" xfId="55942" xr:uid="{00000000-0005-0000-0000-0000F0680000}"/>
    <cellStyle name="60% - Accent3 4 2 3" xfId="1240" xr:uid="{00000000-0005-0000-0000-0000F1680000}"/>
    <cellStyle name="60% - Accent3 4 2 3 10" xfId="16389" xr:uid="{00000000-0005-0000-0000-0000F2680000}"/>
    <cellStyle name="60% - Accent3 4 2 3 11" xfId="31538" xr:uid="{00000000-0005-0000-0000-0000F3680000}"/>
    <cellStyle name="60% - Accent3 4 2 3 12" xfId="33221" xr:uid="{00000000-0005-0000-0000-0000F4680000}"/>
    <cellStyle name="60% - Accent3 4 2 3 13" xfId="34904" xr:uid="{00000000-0005-0000-0000-0000F5680000}"/>
    <cellStyle name="60% - Accent3 4 2 3 14" xfId="36587" xr:uid="{00000000-0005-0000-0000-0000F6680000}"/>
    <cellStyle name="60% - Accent3 4 2 3 15" xfId="38270" xr:uid="{00000000-0005-0000-0000-0000F7680000}"/>
    <cellStyle name="60% - Accent3 4 2 3 16" xfId="39953" xr:uid="{00000000-0005-0000-0000-0000F8680000}"/>
    <cellStyle name="60% - Accent3 4 2 3 17" xfId="41636" xr:uid="{00000000-0005-0000-0000-0000F9680000}"/>
    <cellStyle name="60% - Accent3 4 2 3 18" xfId="43319" xr:uid="{00000000-0005-0000-0000-0000FA680000}"/>
    <cellStyle name="60% - Accent3 4 2 3 19" xfId="45002" xr:uid="{00000000-0005-0000-0000-0000FB680000}"/>
    <cellStyle name="60% - Accent3 4 2 3 2" xfId="2923" xr:uid="{00000000-0005-0000-0000-0000FC680000}"/>
    <cellStyle name="60% - Accent3 4 2 3 2 2" xfId="18072" xr:uid="{00000000-0005-0000-0000-0000FD680000}"/>
    <cellStyle name="60% - Accent3 4 2 3 20" xfId="46685" xr:uid="{00000000-0005-0000-0000-0000FE680000}"/>
    <cellStyle name="60% - Accent3 4 2 3 21" xfId="48368" xr:uid="{00000000-0005-0000-0000-0000FF680000}"/>
    <cellStyle name="60% - Accent3 4 2 3 22" xfId="50051" xr:uid="{00000000-0005-0000-0000-000000690000}"/>
    <cellStyle name="60% - Accent3 4 2 3 23" xfId="51734" xr:uid="{00000000-0005-0000-0000-000001690000}"/>
    <cellStyle name="60% - Accent3 4 2 3 24" xfId="53417" xr:uid="{00000000-0005-0000-0000-000002690000}"/>
    <cellStyle name="60% - Accent3 4 2 3 25" xfId="55100" xr:uid="{00000000-0005-0000-0000-000003690000}"/>
    <cellStyle name="60% - Accent3 4 2 3 26" xfId="56783" xr:uid="{00000000-0005-0000-0000-000004690000}"/>
    <cellStyle name="60% - Accent3 4 2 3 27" xfId="58466" xr:uid="{00000000-0005-0000-0000-000005690000}"/>
    <cellStyle name="60% - Accent3 4 2 3 28" xfId="60149" xr:uid="{00000000-0005-0000-0000-000006690000}"/>
    <cellStyle name="60% - Accent3 4 2 3 29" xfId="61832" xr:uid="{00000000-0005-0000-0000-000007690000}"/>
    <cellStyle name="60% - Accent3 4 2 3 3" xfId="4607" xr:uid="{00000000-0005-0000-0000-000008690000}"/>
    <cellStyle name="60% - Accent3 4 2 3 3 2" xfId="19756" xr:uid="{00000000-0005-0000-0000-000009690000}"/>
    <cellStyle name="60% - Accent3 4 2 3 30" xfId="63515" xr:uid="{00000000-0005-0000-0000-00000A690000}"/>
    <cellStyle name="60% - Accent3 4 2 3 4" xfId="6290" xr:uid="{00000000-0005-0000-0000-00000B690000}"/>
    <cellStyle name="60% - Accent3 4 2 3 4 2" xfId="21439" xr:uid="{00000000-0005-0000-0000-00000C690000}"/>
    <cellStyle name="60% - Accent3 4 2 3 5" xfId="7973" xr:uid="{00000000-0005-0000-0000-00000D690000}"/>
    <cellStyle name="60% - Accent3 4 2 3 5 2" xfId="23122" xr:uid="{00000000-0005-0000-0000-00000E690000}"/>
    <cellStyle name="60% - Accent3 4 2 3 6" xfId="9656" xr:uid="{00000000-0005-0000-0000-00000F690000}"/>
    <cellStyle name="60% - Accent3 4 2 3 6 2" xfId="24805" xr:uid="{00000000-0005-0000-0000-000010690000}"/>
    <cellStyle name="60% - Accent3 4 2 3 7" xfId="11339" xr:uid="{00000000-0005-0000-0000-000011690000}"/>
    <cellStyle name="60% - Accent3 4 2 3 7 2" xfId="26488" xr:uid="{00000000-0005-0000-0000-000012690000}"/>
    <cellStyle name="60% - Accent3 4 2 3 8" xfId="13023" xr:uid="{00000000-0005-0000-0000-000013690000}"/>
    <cellStyle name="60% - Accent3 4 2 3 8 2" xfId="28172" xr:uid="{00000000-0005-0000-0000-000014690000}"/>
    <cellStyle name="60% - Accent3 4 2 3 9" xfId="14706" xr:uid="{00000000-0005-0000-0000-000015690000}"/>
    <cellStyle name="60% - Accent3 4 2 3 9 2" xfId="29855" xr:uid="{00000000-0005-0000-0000-000016690000}"/>
    <cellStyle name="60% - Accent3 4 2 30" xfId="57625" xr:uid="{00000000-0005-0000-0000-000017690000}"/>
    <cellStyle name="60% - Accent3 4 2 31" xfId="59308" xr:uid="{00000000-0005-0000-0000-000018690000}"/>
    <cellStyle name="60% - Accent3 4 2 32" xfId="60991" xr:uid="{00000000-0005-0000-0000-000019690000}"/>
    <cellStyle name="60% - Accent3 4 2 33" xfId="62674" xr:uid="{00000000-0005-0000-0000-00001A690000}"/>
    <cellStyle name="60% - Accent3 4 2 4" xfId="1661" xr:uid="{00000000-0005-0000-0000-00001B690000}"/>
    <cellStyle name="60% - Accent3 4 2 4 10" xfId="16810" xr:uid="{00000000-0005-0000-0000-00001C690000}"/>
    <cellStyle name="60% - Accent3 4 2 4 11" xfId="31959" xr:uid="{00000000-0005-0000-0000-00001D690000}"/>
    <cellStyle name="60% - Accent3 4 2 4 12" xfId="33642" xr:uid="{00000000-0005-0000-0000-00001E690000}"/>
    <cellStyle name="60% - Accent3 4 2 4 13" xfId="35325" xr:uid="{00000000-0005-0000-0000-00001F690000}"/>
    <cellStyle name="60% - Accent3 4 2 4 14" xfId="37008" xr:uid="{00000000-0005-0000-0000-000020690000}"/>
    <cellStyle name="60% - Accent3 4 2 4 15" xfId="38691" xr:uid="{00000000-0005-0000-0000-000021690000}"/>
    <cellStyle name="60% - Accent3 4 2 4 16" xfId="40374" xr:uid="{00000000-0005-0000-0000-000022690000}"/>
    <cellStyle name="60% - Accent3 4 2 4 17" xfId="42057" xr:uid="{00000000-0005-0000-0000-000023690000}"/>
    <cellStyle name="60% - Accent3 4 2 4 18" xfId="43740" xr:uid="{00000000-0005-0000-0000-000024690000}"/>
    <cellStyle name="60% - Accent3 4 2 4 19" xfId="45423" xr:uid="{00000000-0005-0000-0000-000025690000}"/>
    <cellStyle name="60% - Accent3 4 2 4 2" xfId="3344" xr:uid="{00000000-0005-0000-0000-000026690000}"/>
    <cellStyle name="60% - Accent3 4 2 4 2 2" xfId="18493" xr:uid="{00000000-0005-0000-0000-000027690000}"/>
    <cellStyle name="60% - Accent3 4 2 4 20" xfId="47106" xr:uid="{00000000-0005-0000-0000-000028690000}"/>
    <cellStyle name="60% - Accent3 4 2 4 21" xfId="48789" xr:uid="{00000000-0005-0000-0000-000029690000}"/>
    <cellStyle name="60% - Accent3 4 2 4 22" xfId="50472" xr:uid="{00000000-0005-0000-0000-00002A690000}"/>
    <cellStyle name="60% - Accent3 4 2 4 23" xfId="52155" xr:uid="{00000000-0005-0000-0000-00002B690000}"/>
    <cellStyle name="60% - Accent3 4 2 4 24" xfId="53838" xr:uid="{00000000-0005-0000-0000-00002C690000}"/>
    <cellStyle name="60% - Accent3 4 2 4 25" xfId="55521" xr:uid="{00000000-0005-0000-0000-00002D690000}"/>
    <cellStyle name="60% - Accent3 4 2 4 26" xfId="57204" xr:uid="{00000000-0005-0000-0000-00002E690000}"/>
    <cellStyle name="60% - Accent3 4 2 4 27" xfId="58887" xr:uid="{00000000-0005-0000-0000-00002F690000}"/>
    <cellStyle name="60% - Accent3 4 2 4 28" xfId="60570" xr:uid="{00000000-0005-0000-0000-000030690000}"/>
    <cellStyle name="60% - Accent3 4 2 4 29" xfId="62253" xr:uid="{00000000-0005-0000-0000-000031690000}"/>
    <cellStyle name="60% - Accent3 4 2 4 3" xfId="5028" xr:uid="{00000000-0005-0000-0000-000032690000}"/>
    <cellStyle name="60% - Accent3 4 2 4 3 2" xfId="20177" xr:uid="{00000000-0005-0000-0000-000033690000}"/>
    <cellStyle name="60% - Accent3 4 2 4 30" xfId="63936" xr:uid="{00000000-0005-0000-0000-000034690000}"/>
    <cellStyle name="60% - Accent3 4 2 4 4" xfId="6711" xr:uid="{00000000-0005-0000-0000-000035690000}"/>
    <cellStyle name="60% - Accent3 4 2 4 4 2" xfId="21860" xr:uid="{00000000-0005-0000-0000-000036690000}"/>
    <cellStyle name="60% - Accent3 4 2 4 5" xfId="8394" xr:uid="{00000000-0005-0000-0000-000037690000}"/>
    <cellStyle name="60% - Accent3 4 2 4 5 2" xfId="23543" xr:uid="{00000000-0005-0000-0000-000038690000}"/>
    <cellStyle name="60% - Accent3 4 2 4 6" xfId="10077" xr:uid="{00000000-0005-0000-0000-000039690000}"/>
    <cellStyle name="60% - Accent3 4 2 4 6 2" xfId="25226" xr:uid="{00000000-0005-0000-0000-00003A690000}"/>
    <cellStyle name="60% - Accent3 4 2 4 7" xfId="11760" xr:uid="{00000000-0005-0000-0000-00003B690000}"/>
    <cellStyle name="60% - Accent3 4 2 4 7 2" xfId="26909" xr:uid="{00000000-0005-0000-0000-00003C690000}"/>
    <cellStyle name="60% - Accent3 4 2 4 8" xfId="13444" xr:uid="{00000000-0005-0000-0000-00003D690000}"/>
    <cellStyle name="60% - Accent3 4 2 4 8 2" xfId="28593" xr:uid="{00000000-0005-0000-0000-00003E690000}"/>
    <cellStyle name="60% - Accent3 4 2 4 9" xfId="15127" xr:uid="{00000000-0005-0000-0000-00003F690000}"/>
    <cellStyle name="60% - Accent3 4 2 4 9 2" xfId="30276" xr:uid="{00000000-0005-0000-0000-000040690000}"/>
    <cellStyle name="60% - Accent3 4 2 5" xfId="2082" xr:uid="{00000000-0005-0000-0000-000041690000}"/>
    <cellStyle name="60% - Accent3 4 2 5 2" xfId="17231" xr:uid="{00000000-0005-0000-0000-000042690000}"/>
    <cellStyle name="60% - Accent3 4 2 6" xfId="3766" xr:uid="{00000000-0005-0000-0000-000043690000}"/>
    <cellStyle name="60% - Accent3 4 2 6 2" xfId="18915" xr:uid="{00000000-0005-0000-0000-000044690000}"/>
    <cellStyle name="60% - Accent3 4 2 7" xfId="5449" xr:uid="{00000000-0005-0000-0000-000045690000}"/>
    <cellStyle name="60% - Accent3 4 2 7 2" xfId="20598" xr:uid="{00000000-0005-0000-0000-000046690000}"/>
    <cellStyle name="60% - Accent3 4 2 8" xfId="7132" xr:uid="{00000000-0005-0000-0000-000047690000}"/>
    <cellStyle name="60% - Accent3 4 2 8 2" xfId="22281" xr:uid="{00000000-0005-0000-0000-000048690000}"/>
    <cellStyle name="60% - Accent3 4 2 9" xfId="8815" xr:uid="{00000000-0005-0000-0000-000049690000}"/>
    <cellStyle name="60% - Accent3 4 2 9 2" xfId="23964" xr:uid="{00000000-0005-0000-0000-00004A690000}"/>
    <cellStyle name="60% - Accent3 4 20" xfId="38902" xr:uid="{00000000-0005-0000-0000-00004B690000}"/>
    <cellStyle name="60% - Accent3 4 21" xfId="40585" xr:uid="{00000000-0005-0000-0000-00004C690000}"/>
    <cellStyle name="60% - Accent3 4 22" xfId="42268" xr:uid="{00000000-0005-0000-0000-00004D690000}"/>
    <cellStyle name="60% - Accent3 4 23" xfId="43951" xr:uid="{00000000-0005-0000-0000-00004E690000}"/>
    <cellStyle name="60% - Accent3 4 24" xfId="45634" xr:uid="{00000000-0005-0000-0000-00004F690000}"/>
    <cellStyle name="60% - Accent3 4 25" xfId="47317" xr:uid="{00000000-0005-0000-0000-000050690000}"/>
    <cellStyle name="60% - Accent3 4 26" xfId="49000" xr:uid="{00000000-0005-0000-0000-000051690000}"/>
    <cellStyle name="60% - Accent3 4 27" xfId="50683" xr:uid="{00000000-0005-0000-0000-000052690000}"/>
    <cellStyle name="60% - Accent3 4 28" xfId="52366" xr:uid="{00000000-0005-0000-0000-000053690000}"/>
    <cellStyle name="60% - Accent3 4 29" xfId="54049" xr:uid="{00000000-0005-0000-0000-000054690000}"/>
    <cellStyle name="60% - Accent3 4 3" xfId="609" xr:uid="{00000000-0005-0000-0000-000055690000}"/>
    <cellStyle name="60% - Accent3 4 3 10" xfId="15758" xr:uid="{00000000-0005-0000-0000-000056690000}"/>
    <cellStyle name="60% - Accent3 4 3 11" xfId="30907" xr:uid="{00000000-0005-0000-0000-000057690000}"/>
    <cellStyle name="60% - Accent3 4 3 12" xfId="32590" xr:uid="{00000000-0005-0000-0000-000058690000}"/>
    <cellStyle name="60% - Accent3 4 3 13" xfId="34273" xr:uid="{00000000-0005-0000-0000-000059690000}"/>
    <cellStyle name="60% - Accent3 4 3 14" xfId="35956" xr:uid="{00000000-0005-0000-0000-00005A690000}"/>
    <cellStyle name="60% - Accent3 4 3 15" xfId="37639" xr:uid="{00000000-0005-0000-0000-00005B690000}"/>
    <cellStyle name="60% - Accent3 4 3 16" xfId="39322" xr:uid="{00000000-0005-0000-0000-00005C690000}"/>
    <cellStyle name="60% - Accent3 4 3 17" xfId="41005" xr:uid="{00000000-0005-0000-0000-00005D690000}"/>
    <cellStyle name="60% - Accent3 4 3 18" xfId="42688" xr:uid="{00000000-0005-0000-0000-00005E690000}"/>
    <cellStyle name="60% - Accent3 4 3 19" xfId="44371" xr:uid="{00000000-0005-0000-0000-00005F690000}"/>
    <cellStyle name="60% - Accent3 4 3 2" xfId="2292" xr:uid="{00000000-0005-0000-0000-000060690000}"/>
    <cellStyle name="60% - Accent3 4 3 2 2" xfId="17441" xr:uid="{00000000-0005-0000-0000-000061690000}"/>
    <cellStyle name="60% - Accent3 4 3 20" xfId="46054" xr:uid="{00000000-0005-0000-0000-000062690000}"/>
    <cellStyle name="60% - Accent3 4 3 21" xfId="47737" xr:uid="{00000000-0005-0000-0000-000063690000}"/>
    <cellStyle name="60% - Accent3 4 3 22" xfId="49420" xr:uid="{00000000-0005-0000-0000-000064690000}"/>
    <cellStyle name="60% - Accent3 4 3 23" xfId="51103" xr:uid="{00000000-0005-0000-0000-000065690000}"/>
    <cellStyle name="60% - Accent3 4 3 24" xfId="52786" xr:uid="{00000000-0005-0000-0000-000066690000}"/>
    <cellStyle name="60% - Accent3 4 3 25" xfId="54469" xr:uid="{00000000-0005-0000-0000-000067690000}"/>
    <cellStyle name="60% - Accent3 4 3 26" xfId="56152" xr:uid="{00000000-0005-0000-0000-000068690000}"/>
    <cellStyle name="60% - Accent3 4 3 27" xfId="57835" xr:uid="{00000000-0005-0000-0000-000069690000}"/>
    <cellStyle name="60% - Accent3 4 3 28" xfId="59518" xr:uid="{00000000-0005-0000-0000-00006A690000}"/>
    <cellStyle name="60% - Accent3 4 3 29" xfId="61201" xr:uid="{00000000-0005-0000-0000-00006B690000}"/>
    <cellStyle name="60% - Accent3 4 3 3" xfId="3976" xr:uid="{00000000-0005-0000-0000-00006C690000}"/>
    <cellStyle name="60% - Accent3 4 3 3 2" xfId="19125" xr:uid="{00000000-0005-0000-0000-00006D690000}"/>
    <cellStyle name="60% - Accent3 4 3 30" xfId="62884" xr:uid="{00000000-0005-0000-0000-00006E690000}"/>
    <cellStyle name="60% - Accent3 4 3 4" xfId="5659" xr:uid="{00000000-0005-0000-0000-00006F690000}"/>
    <cellStyle name="60% - Accent3 4 3 4 2" xfId="20808" xr:uid="{00000000-0005-0000-0000-000070690000}"/>
    <cellStyle name="60% - Accent3 4 3 5" xfId="7342" xr:uid="{00000000-0005-0000-0000-000071690000}"/>
    <cellStyle name="60% - Accent3 4 3 5 2" xfId="22491" xr:uid="{00000000-0005-0000-0000-000072690000}"/>
    <cellStyle name="60% - Accent3 4 3 6" xfId="9025" xr:uid="{00000000-0005-0000-0000-000073690000}"/>
    <cellStyle name="60% - Accent3 4 3 6 2" xfId="24174" xr:uid="{00000000-0005-0000-0000-000074690000}"/>
    <cellStyle name="60% - Accent3 4 3 7" xfId="10708" xr:uid="{00000000-0005-0000-0000-000075690000}"/>
    <cellStyle name="60% - Accent3 4 3 7 2" xfId="25857" xr:uid="{00000000-0005-0000-0000-000076690000}"/>
    <cellStyle name="60% - Accent3 4 3 8" xfId="12392" xr:uid="{00000000-0005-0000-0000-000077690000}"/>
    <cellStyle name="60% - Accent3 4 3 8 2" xfId="27541" xr:uid="{00000000-0005-0000-0000-000078690000}"/>
    <cellStyle name="60% - Accent3 4 3 9" xfId="14075" xr:uid="{00000000-0005-0000-0000-000079690000}"/>
    <cellStyle name="60% - Accent3 4 3 9 2" xfId="29224" xr:uid="{00000000-0005-0000-0000-00007A690000}"/>
    <cellStyle name="60% - Accent3 4 30" xfId="55732" xr:uid="{00000000-0005-0000-0000-00007B690000}"/>
    <cellStyle name="60% - Accent3 4 31" xfId="57415" xr:uid="{00000000-0005-0000-0000-00007C690000}"/>
    <cellStyle name="60% - Accent3 4 32" xfId="59098" xr:uid="{00000000-0005-0000-0000-00007D690000}"/>
    <cellStyle name="60% - Accent3 4 33" xfId="60781" xr:uid="{00000000-0005-0000-0000-00007E690000}"/>
    <cellStyle name="60% - Accent3 4 34" xfId="62464" xr:uid="{00000000-0005-0000-0000-00007F690000}"/>
    <cellStyle name="60% - Accent3 4 4" xfId="1030" xr:uid="{00000000-0005-0000-0000-000080690000}"/>
    <cellStyle name="60% - Accent3 4 4 10" xfId="16179" xr:uid="{00000000-0005-0000-0000-000081690000}"/>
    <cellStyle name="60% - Accent3 4 4 11" xfId="31328" xr:uid="{00000000-0005-0000-0000-000082690000}"/>
    <cellStyle name="60% - Accent3 4 4 12" xfId="33011" xr:uid="{00000000-0005-0000-0000-000083690000}"/>
    <cellStyle name="60% - Accent3 4 4 13" xfId="34694" xr:uid="{00000000-0005-0000-0000-000084690000}"/>
    <cellStyle name="60% - Accent3 4 4 14" xfId="36377" xr:uid="{00000000-0005-0000-0000-000085690000}"/>
    <cellStyle name="60% - Accent3 4 4 15" xfId="38060" xr:uid="{00000000-0005-0000-0000-000086690000}"/>
    <cellStyle name="60% - Accent3 4 4 16" xfId="39743" xr:uid="{00000000-0005-0000-0000-000087690000}"/>
    <cellStyle name="60% - Accent3 4 4 17" xfId="41426" xr:uid="{00000000-0005-0000-0000-000088690000}"/>
    <cellStyle name="60% - Accent3 4 4 18" xfId="43109" xr:uid="{00000000-0005-0000-0000-000089690000}"/>
    <cellStyle name="60% - Accent3 4 4 19" xfId="44792" xr:uid="{00000000-0005-0000-0000-00008A690000}"/>
    <cellStyle name="60% - Accent3 4 4 2" xfId="2713" xr:uid="{00000000-0005-0000-0000-00008B690000}"/>
    <cellStyle name="60% - Accent3 4 4 2 2" xfId="17862" xr:uid="{00000000-0005-0000-0000-00008C690000}"/>
    <cellStyle name="60% - Accent3 4 4 20" xfId="46475" xr:uid="{00000000-0005-0000-0000-00008D690000}"/>
    <cellStyle name="60% - Accent3 4 4 21" xfId="48158" xr:uid="{00000000-0005-0000-0000-00008E690000}"/>
    <cellStyle name="60% - Accent3 4 4 22" xfId="49841" xr:uid="{00000000-0005-0000-0000-00008F690000}"/>
    <cellStyle name="60% - Accent3 4 4 23" xfId="51524" xr:uid="{00000000-0005-0000-0000-000090690000}"/>
    <cellStyle name="60% - Accent3 4 4 24" xfId="53207" xr:uid="{00000000-0005-0000-0000-000091690000}"/>
    <cellStyle name="60% - Accent3 4 4 25" xfId="54890" xr:uid="{00000000-0005-0000-0000-000092690000}"/>
    <cellStyle name="60% - Accent3 4 4 26" xfId="56573" xr:uid="{00000000-0005-0000-0000-000093690000}"/>
    <cellStyle name="60% - Accent3 4 4 27" xfId="58256" xr:uid="{00000000-0005-0000-0000-000094690000}"/>
    <cellStyle name="60% - Accent3 4 4 28" xfId="59939" xr:uid="{00000000-0005-0000-0000-000095690000}"/>
    <cellStyle name="60% - Accent3 4 4 29" xfId="61622" xr:uid="{00000000-0005-0000-0000-000096690000}"/>
    <cellStyle name="60% - Accent3 4 4 3" xfId="4397" xr:uid="{00000000-0005-0000-0000-000097690000}"/>
    <cellStyle name="60% - Accent3 4 4 3 2" xfId="19546" xr:uid="{00000000-0005-0000-0000-000098690000}"/>
    <cellStyle name="60% - Accent3 4 4 30" xfId="63305" xr:uid="{00000000-0005-0000-0000-000099690000}"/>
    <cellStyle name="60% - Accent3 4 4 4" xfId="6080" xr:uid="{00000000-0005-0000-0000-00009A690000}"/>
    <cellStyle name="60% - Accent3 4 4 4 2" xfId="21229" xr:uid="{00000000-0005-0000-0000-00009B690000}"/>
    <cellStyle name="60% - Accent3 4 4 5" xfId="7763" xr:uid="{00000000-0005-0000-0000-00009C690000}"/>
    <cellStyle name="60% - Accent3 4 4 5 2" xfId="22912" xr:uid="{00000000-0005-0000-0000-00009D690000}"/>
    <cellStyle name="60% - Accent3 4 4 6" xfId="9446" xr:uid="{00000000-0005-0000-0000-00009E690000}"/>
    <cellStyle name="60% - Accent3 4 4 6 2" xfId="24595" xr:uid="{00000000-0005-0000-0000-00009F690000}"/>
    <cellStyle name="60% - Accent3 4 4 7" xfId="11129" xr:uid="{00000000-0005-0000-0000-0000A0690000}"/>
    <cellStyle name="60% - Accent3 4 4 7 2" xfId="26278" xr:uid="{00000000-0005-0000-0000-0000A1690000}"/>
    <cellStyle name="60% - Accent3 4 4 8" xfId="12813" xr:uid="{00000000-0005-0000-0000-0000A2690000}"/>
    <cellStyle name="60% - Accent3 4 4 8 2" xfId="27962" xr:uid="{00000000-0005-0000-0000-0000A3690000}"/>
    <cellStyle name="60% - Accent3 4 4 9" xfId="14496" xr:uid="{00000000-0005-0000-0000-0000A4690000}"/>
    <cellStyle name="60% - Accent3 4 4 9 2" xfId="29645" xr:uid="{00000000-0005-0000-0000-0000A5690000}"/>
    <cellStyle name="60% - Accent3 4 5" xfId="1451" xr:uid="{00000000-0005-0000-0000-0000A6690000}"/>
    <cellStyle name="60% - Accent3 4 5 10" xfId="16600" xr:uid="{00000000-0005-0000-0000-0000A7690000}"/>
    <cellStyle name="60% - Accent3 4 5 11" xfId="31749" xr:uid="{00000000-0005-0000-0000-0000A8690000}"/>
    <cellStyle name="60% - Accent3 4 5 12" xfId="33432" xr:uid="{00000000-0005-0000-0000-0000A9690000}"/>
    <cellStyle name="60% - Accent3 4 5 13" xfId="35115" xr:uid="{00000000-0005-0000-0000-0000AA690000}"/>
    <cellStyle name="60% - Accent3 4 5 14" xfId="36798" xr:uid="{00000000-0005-0000-0000-0000AB690000}"/>
    <cellStyle name="60% - Accent3 4 5 15" xfId="38481" xr:uid="{00000000-0005-0000-0000-0000AC690000}"/>
    <cellStyle name="60% - Accent3 4 5 16" xfId="40164" xr:uid="{00000000-0005-0000-0000-0000AD690000}"/>
    <cellStyle name="60% - Accent3 4 5 17" xfId="41847" xr:uid="{00000000-0005-0000-0000-0000AE690000}"/>
    <cellStyle name="60% - Accent3 4 5 18" xfId="43530" xr:uid="{00000000-0005-0000-0000-0000AF690000}"/>
    <cellStyle name="60% - Accent3 4 5 19" xfId="45213" xr:uid="{00000000-0005-0000-0000-0000B0690000}"/>
    <cellStyle name="60% - Accent3 4 5 2" xfId="3134" xr:uid="{00000000-0005-0000-0000-0000B1690000}"/>
    <cellStyle name="60% - Accent3 4 5 2 2" xfId="18283" xr:uid="{00000000-0005-0000-0000-0000B2690000}"/>
    <cellStyle name="60% - Accent3 4 5 20" xfId="46896" xr:uid="{00000000-0005-0000-0000-0000B3690000}"/>
    <cellStyle name="60% - Accent3 4 5 21" xfId="48579" xr:uid="{00000000-0005-0000-0000-0000B4690000}"/>
    <cellStyle name="60% - Accent3 4 5 22" xfId="50262" xr:uid="{00000000-0005-0000-0000-0000B5690000}"/>
    <cellStyle name="60% - Accent3 4 5 23" xfId="51945" xr:uid="{00000000-0005-0000-0000-0000B6690000}"/>
    <cellStyle name="60% - Accent3 4 5 24" xfId="53628" xr:uid="{00000000-0005-0000-0000-0000B7690000}"/>
    <cellStyle name="60% - Accent3 4 5 25" xfId="55311" xr:uid="{00000000-0005-0000-0000-0000B8690000}"/>
    <cellStyle name="60% - Accent3 4 5 26" xfId="56994" xr:uid="{00000000-0005-0000-0000-0000B9690000}"/>
    <cellStyle name="60% - Accent3 4 5 27" xfId="58677" xr:uid="{00000000-0005-0000-0000-0000BA690000}"/>
    <cellStyle name="60% - Accent3 4 5 28" xfId="60360" xr:uid="{00000000-0005-0000-0000-0000BB690000}"/>
    <cellStyle name="60% - Accent3 4 5 29" xfId="62043" xr:uid="{00000000-0005-0000-0000-0000BC690000}"/>
    <cellStyle name="60% - Accent3 4 5 3" xfId="4818" xr:uid="{00000000-0005-0000-0000-0000BD690000}"/>
    <cellStyle name="60% - Accent3 4 5 3 2" xfId="19967" xr:uid="{00000000-0005-0000-0000-0000BE690000}"/>
    <cellStyle name="60% - Accent3 4 5 30" xfId="63726" xr:uid="{00000000-0005-0000-0000-0000BF690000}"/>
    <cellStyle name="60% - Accent3 4 5 4" xfId="6501" xr:uid="{00000000-0005-0000-0000-0000C0690000}"/>
    <cellStyle name="60% - Accent3 4 5 4 2" xfId="21650" xr:uid="{00000000-0005-0000-0000-0000C1690000}"/>
    <cellStyle name="60% - Accent3 4 5 5" xfId="8184" xr:uid="{00000000-0005-0000-0000-0000C2690000}"/>
    <cellStyle name="60% - Accent3 4 5 5 2" xfId="23333" xr:uid="{00000000-0005-0000-0000-0000C3690000}"/>
    <cellStyle name="60% - Accent3 4 5 6" xfId="9867" xr:uid="{00000000-0005-0000-0000-0000C4690000}"/>
    <cellStyle name="60% - Accent3 4 5 6 2" xfId="25016" xr:uid="{00000000-0005-0000-0000-0000C5690000}"/>
    <cellStyle name="60% - Accent3 4 5 7" xfId="11550" xr:uid="{00000000-0005-0000-0000-0000C6690000}"/>
    <cellStyle name="60% - Accent3 4 5 7 2" xfId="26699" xr:uid="{00000000-0005-0000-0000-0000C7690000}"/>
    <cellStyle name="60% - Accent3 4 5 8" xfId="13234" xr:uid="{00000000-0005-0000-0000-0000C8690000}"/>
    <cellStyle name="60% - Accent3 4 5 8 2" xfId="28383" xr:uid="{00000000-0005-0000-0000-0000C9690000}"/>
    <cellStyle name="60% - Accent3 4 5 9" xfId="14917" xr:uid="{00000000-0005-0000-0000-0000CA690000}"/>
    <cellStyle name="60% - Accent3 4 5 9 2" xfId="30066" xr:uid="{00000000-0005-0000-0000-0000CB690000}"/>
    <cellStyle name="60% - Accent3 4 6" xfId="1872" xr:uid="{00000000-0005-0000-0000-0000CC690000}"/>
    <cellStyle name="60% - Accent3 4 6 2" xfId="17021" xr:uid="{00000000-0005-0000-0000-0000CD690000}"/>
    <cellStyle name="60% - Accent3 4 7" xfId="3556" xr:uid="{00000000-0005-0000-0000-0000CE690000}"/>
    <cellStyle name="60% - Accent3 4 7 2" xfId="18705" xr:uid="{00000000-0005-0000-0000-0000CF690000}"/>
    <cellStyle name="60% - Accent3 4 8" xfId="5239" xr:uid="{00000000-0005-0000-0000-0000D0690000}"/>
    <cellStyle name="60% - Accent3 4 8 2" xfId="20388" xr:uid="{00000000-0005-0000-0000-0000D1690000}"/>
    <cellStyle name="60% - Accent3 4 9" xfId="6922" xr:uid="{00000000-0005-0000-0000-0000D2690000}"/>
    <cellStyle name="60% - Accent3 4 9 2" xfId="22071" xr:uid="{00000000-0005-0000-0000-0000D3690000}"/>
    <cellStyle name="60% - Accent3 5" xfId="294" xr:uid="{00000000-0005-0000-0000-0000D4690000}"/>
    <cellStyle name="60% - Accent3 5 10" xfId="10393" xr:uid="{00000000-0005-0000-0000-0000D5690000}"/>
    <cellStyle name="60% - Accent3 5 10 2" xfId="25542" xr:uid="{00000000-0005-0000-0000-0000D6690000}"/>
    <cellStyle name="60% - Accent3 5 11" xfId="12077" xr:uid="{00000000-0005-0000-0000-0000D7690000}"/>
    <cellStyle name="60% - Accent3 5 11 2" xfId="27226" xr:uid="{00000000-0005-0000-0000-0000D8690000}"/>
    <cellStyle name="60% - Accent3 5 12" xfId="13760" xr:uid="{00000000-0005-0000-0000-0000D9690000}"/>
    <cellStyle name="60% - Accent3 5 12 2" xfId="28909" xr:uid="{00000000-0005-0000-0000-0000DA690000}"/>
    <cellStyle name="60% - Accent3 5 13" xfId="15443" xr:uid="{00000000-0005-0000-0000-0000DB690000}"/>
    <cellStyle name="60% - Accent3 5 14" xfId="30592" xr:uid="{00000000-0005-0000-0000-0000DC690000}"/>
    <cellStyle name="60% - Accent3 5 15" xfId="32275" xr:uid="{00000000-0005-0000-0000-0000DD690000}"/>
    <cellStyle name="60% - Accent3 5 16" xfId="33958" xr:uid="{00000000-0005-0000-0000-0000DE690000}"/>
    <cellStyle name="60% - Accent3 5 17" xfId="35641" xr:uid="{00000000-0005-0000-0000-0000DF690000}"/>
    <cellStyle name="60% - Accent3 5 18" xfId="37324" xr:uid="{00000000-0005-0000-0000-0000E0690000}"/>
    <cellStyle name="60% - Accent3 5 19" xfId="39007" xr:uid="{00000000-0005-0000-0000-0000E1690000}"/>
    <cellStyle name="60% - Accent3 5 2" xfId="714" xr:uid="{00000000-0005-0000-0000-0000E2690000}"/>
    <cellStyle name="60% - Accent3 5 2 10" xfId="15863" xr:uid="{00000000-0005-0000-0000-0000E3690000}"/>
    <cellStyle name="60% - Accent3 5 2 11" xfId="31012" xr:uid="{00000000-0005-0000-0000-0000E4690000}"/>
    <cellStyle name="60% - Accent3 5 2 12" xfId="32695" xr:uid="{00000000-0005-0000-0000-0000E5690000}"/>
    <cellStyle name="60% - Accent3 5 2 13" xfId="34378" xr:uid="{00000000-0005-0000-0000-0000E6690000}"/>
    <cellStyle name="60% - Accent3 5 2 14" xfId="36061" xr:uid="{00000000-0005-0000-0000-0000E7690000}"/>
    <cellStyle name="60% - Accent3 5 2 15" xfId="37744" xr:uid="{00000000-0005-0000-0000-0000E8690000}"/>
    <cellStyle name="60% - Accent3 5 2 16" xfId="39427" xr:uid="{00000000-0005-0000-0000-0000E9690000}"/>
    <cellStyle name="60% - Accent3 5 2 17" xfId="41110" xr:uid="{00000000-0005-0000-0000-0000EA690000}"/>
    <cellStyle name="60% - Accent3 5 2 18" xfId="42793" xr:uid="{00000000-0005-0000-0000-0000EB690000}"/>
    <cellStyle name="60% - Accent3 5 2 19" xfId="44476" xr:uid="{00000000-0005-0000-0000-0000EC690000}"/>
    <cellStyle name="60% - Accent3 5 2 2" xfId="2397" xr:uid="{00000000-0005-0000-0000-0000ED690000}"/>
    <cellStyle name="60% - Accent3 5 2 2 2" xfId="17546" xr:uid="{00000000-0005-0000-0000-0000EE690000}"/>
    <cellStyle name="60% - Accent3 5 2 20" xfId="46159" xr:uid="{00000000-0005-0000-0000-0000EF690000}"/>
    <cellStyle name="60% - Accent3 5 2 21" xfId="47842" xr:uid="{00000000-0005-0000-0000-0000F0690000}"/>
    <cellStyle name="60% - Accent3 5 2 22" xfId="49525" xr:uid="{00000000-0005-0000-0000-0000F1690000}"/>
    <cellStyle name="60% - Accent3 5 2 23" xfId="51208" xr:uid="{00000000-0005-0000-0000-0000F2690000}"/>
    <cellStyle name="60% - Accent3 5 2 24" xfId="52891" xr:uid="{00000000-0005-0000-0000-0000F3690000}"/>
    <cellStyle name="60% - Accent3 5 2 25" xfId="54574" xr:uid="{00000000-0005-0000-0000-0000F4690000}"/>
    <cellStyle name="60% - Accent3 5 2 26" xfId="56257" xr:uid="{00000000-0005-0000-0000-0000F5690000}"/>
    <cellStyle name="60% - Accent3 5 2 27" xfId="57940" xr:uid="{00000000-0005-0000-0000-0000F6690000}"/>
    <cellStyle name="60% - Accent3 5 2 28" xfId="59623" xr:uid="{00000000-0005-0000-0000-0000F7690000}"/>
    <cellStyle name="60% - Accent3 5 2 29" xfId="61306" xr:uid="{00000000-0005-0000-0000-0000F8690000}"/>
    <cellStyle name="60% - Accent3 5 2 3" xfId="4081" xr:uid="{00000000-0005-0000-0000-0000F9690000}"/>
    <cellStyle name="60% - Accent3 5 2 3 2" xfId="19230" xr:uid="{00000000-0005-0000-0000-0000FA690000}"/>
    <cellStyle name="60% - Accent3 5 2 30" xfId="62989" xr:uid="{00000000-0005-0000-0000-0000FB690000}"/>
    <cellStyle name="60% - Accent3 5 2 4" xfId="5764" xr:uid="{00000000-0005-0000-0000-0000FC690000}"/>
    <cellStyle name="60% - Accent3 5 2 4 2" xfId="20913" xr:uid="{00000000-0005-0000-0000-0000FD690000}"/>
    <cellStyle name="60% - Accent3 5 2 5" xfId="7447" xr:uid="{00000000-0005-0000-0000-0000FE690000}"/>
    <cellStyle name="60% - Accent3 5 2 5 2" xfId="22596" xr:uid="{00000000-0005-0000-0000-0000FF690000}"/>
    <cellStyle name="60% - Accent3 5 2 6" xfId="9130" xr:uid="{00000000-0005-0000-0000-0000006A0000}"/>
    <cellStyle name="60% - Accent3 5 2 6 2" xfId="24279" xr:uid="{00000000-0005-0000-0000-0000016A0000}"/>
    <cellStyle name="60% - Accent3 5 2 7" xfId="10813" xr:uid="{00000000-0005-0000-0000-0000026A0000}"/>
    <cellStyle name="60% - Accent3 5 2 7 2" xfId="25962" xr:uid="{00000000-0005-0000-0000-0000036A0000}"/>
    <cellStyle name="60% - Accent3 5 2 8" xfId="12497" xr:uid="{00000000-0005-0000-0000-0000046A0000}"/>
    <cellStyle name="60% - Accent3 5 2 8 2" xfId="27646" xr:uid="{00000000-0005-0000-0000-0000056A0000}"/>
    <cellStyle name="60% - Accent3 5 2 9" xfId="14180" xr:uid="{00000000-0005-0000-0000-0000066A0000}"/>
    <cellStyle name="60% - Accent3 5 2 9 2" xfId="29329" xr:uid="{00000000-0005-0000-0000-0000076A0000}"/>
    <cellStyle name="60% - Accent3 5 20" xfId="40690" xr:uid="{00000000-0005-0000-0000-0000086A0000}"/>
    <cellStyle name="60% - Accent3 5 21" xfId="42373" xr:uid="{00000000-0005-0000-0000-0000096A0000}"/>
    <cellStyle name="60% - Accent3 5 22" xfId="44056" xr:uid="{00000000-0005-0000-0000-00000A6A0000}"/>
    <cellStyle name="60% - Accent3 5 23" xfId="45739" xr:uid="{00000000-0005-0000-0000-00000B6A0000}"/>
    <cellStyle name="60% - Accent3 5 24" xfId="47422" xr:uid="{00000000-0005-0000-0000-00000C6A0000}"/>
    <cellStyle name="60% - Accent3 5 25" xfId="49105" xr:uid="{00000000-0005-0000-0000-00000D6A0000}"/>
    <cellStyle name="60% - Accent3 5 26" xfId="50788" xr:uid="{00000000-0005-0000-0000-00000E6A0000}"/>
    <cellStyle name="60% - Accent3 5 27" xfId="52471" xr:uid="{00000000-0005-0000-0000-00000F6A0000}"/>
    <cellStyle name="60% - Accent3 5 28" xfId="54154" xr:uid="{00000000-0005-0000-0000-0000106A0000}"/>
    <cellStyle name="60% - Accent3 5 29" xfId="55837" xr:uid="{00000000-0005-0000-0000-0000116A0000}"/>
    <cellStyle name="60% - Accent3 5 3" xfId="1135" xr:uid="{00000000-0005-0000-0000-0000126A0000}"/>
    <cellStyle name="60% - Accent3 5 3 10" xfId="16284" xr:uid="{00000000-0005-0000-0000-0000136A0000}"/>
    <cellStyle name="60% - Accent3 5 3 11" xfId="31433" xr:uid="{00000000-0005-0000-0000-0000146A0000}"/>
    <cellStyle name="60% - Accent3 5 3 12" xfId="33116" xr:uid="{00000000-0005-0000-0000-0000156A0000}"/>
    <cellStyle name="60% - Accent3 5 3 13" xfId="34799" xr:uid="{00000000-0005-0000-0000-0000166A0000}"/>
    <cellStyle name="60% - Accent3 5 3 14" xfId="36482" xr:uid="{00000000-0005-0000-0000-0000176A0000}"/>
    <cellStyle name="60% - Accent3 5 3 15" xfId="38165" xr:uid="{00000000-0005-0000-0000-0000186A0000}"/>
    <cellStyle name="60% - Accent3 5 3 16" xfId="39848" xr:uid="{00000000-0005-0000-0000-0000196A0000}"/>
    <cellStyle name="60% - Accent3 5 3 17" xfId="41531" xr:uid="{00000000-0005-0000-0000-00001A6A0000}"/>
    <cellStyle name="60% - Accent3 5 3 18" xfId="43214" xr:uid="{00000000-0005-0000-0000-00001B6A0000}"/>
    <cellStyle name="60% - Accent3 5 3 19" xfId="44897" xr:uid="{00000000-0005-0000-0000-00001C6A0000}"/>
    <cellStyle name="60% - Accent3 5 3 2" xfId="2818" xr:uid="{00000000-0005-0000-0000-00001D6A0000}"/>
    <cellStyle name="60% - Accent3 5 3 2 2" xfId="17967" xr:uid="{00000000-0005-0000-0000-00001E6A0000}"/>
    <cellStyle name="60% - Accent3 5 3 20" xfId="46580" xr:uid="{00000000-0005-0000-0000-00001F6A0000}"/>
    <cellStyle name="60% - Accent3 5 3 21" xfId="48263" xr:uid="{00000000-0005-0000-0000-0000206A0000}"/>
    <cellStyle name="60% - Accent3 5 3 22" xfId="49946" xr:uid="{00000000-0005-0000-0000-0000216A0000}"/>
    <cellStyle name="60% - Accent3 5 3 23" xfId="51629" xr:uid="{00000000-0005-0000-0000-0000226A0000}"/>
    <cellStyle name="60% - Accent3 5 3 24" xfId="53312" xr:uid="{00000000-0005-0000-0000-0000236A0000}"/>
    <cellStyle name="60% - Accent3 5 3 25" xfId="54995" xr:uid="{00000000-0005-0000-0000-0000246A0000}"/>
    <cellStyle name="60% - Accent3 5 3 26" xfId="56678" xr:uid="{00000000-0005-0000-0000-0000256A0000}"/>
    <cellStyle name="60% - Accent3 5 3 27" xfId="58361" xr:uid="{00000000-0005-0000-0000-0000266A0000}"/>
    <cellStyle name="60% - Accent3 5 3 28" xfId="60044" xr:uid="{00000000-0005-0000-0000-0000276A0000}"/>
    <cellStyle name="60% - Accent3 5 3 29" xfId="61727" xr:uid="{00000000-0005-0000-0000-0000286A0000}"/>
    <cellStyle name="60% - Accent3 5 3 3" xfId="4502" xr:uid="{00000000-0005-0000-0000-0000296A0000}"/>
    <cellStyle name="60% - Accent3 5 3 3 2" xfId="19651" xr:uid="{00000000-0005-0000-0000-00002A6A0000}"/>
    <cellStyle name="60% - Accent3 5 3 30" xfId="63410" xr:uid="{00000000-0005-0000-0000-00002B6A0000}"/>
    <cellStyle name="60% - Accent3 5 3 4" xfId="6185" xr:uid="{00000000-0005-0000-0000-00002C6A0000}"/>
    <cellStyle name="60% - Accent3 5 3 4 2" xfId="21334" xr:uid="{00000000-0005-0000-0000-00002D6A0000}"/>
    <cellStyle name="60% - Accent3 5 3 5" xfId="7868" xr:uid="{00000000-0005-0000-0000-00002E6A0000}"/>
    <cellStyle name="60% - Accent3 5 3 5 2" xfId="23017" xr:uid="{00000000-0005-0000-0000-00002F6A0000}"/>
    <cellStyle name="60% - Accent3 5 3 6" xfId="9551" xr:uid="{00000000-0005-0000-0000-0000306A0000}"/>
    <cellStyle name="60% - Accent3 5 3 6 2" xfId="24700" xr:uid="{00000000-0005-0000-0000-0000316A0000}"/>
    <cellStyle name="60% - Accent3 5 3 7" xfId="11234" xr:uid="{00000000-0005-0000-0000-0000326A0000}"/>
    <cellStyle name="60% - Accent3 5 3 7 2" xfId="26383" xr:uid="{00000000-0005-0000-0000-0000336A0000}"/>
    <cellStyle name="60% - Accent3 5 3 8" xfId="12918" xr:uid="{00000000-0005-0000-0000-0000346A0000}"/>
    <cellStyle name="60% - Accent3 5 3 8 2" xfId="28067" xr:uid="{00000000-0005-0000-0000-0000356A0000}"/>
    <cellStyle name="60% - Accent3 5 3 9" xfId="14601" xr:uid="{00000000-0005-0000-0000-0000366A0000}"/>
    <cellStyle name="60% - Accent3 5 3 9 2" xfId="29750" xr:uid="{00000000-0005-0000-0000-0000376A0000}"/>
    <cellStyle name="60% - Accent3 5 30" xfId="57520" xr:uid="{00000000-0005-0000-0000-0000386A0000}"/>
    <cellStyle name="60% - Accent3 5 31" xfId="59203" xr:uid="{00000000-0005-0000-0000-0000396A0000}"/>
    <cellStyle name="60% - Accent3 5 32" xfId="60886" xr:uid="{00000000-0005-0000-0000-00003A6A0000}"/>
    <cellStyle name="60% - Accent3 5 33" xfId="62569" xr:uid="{00000000-0005-0000-0000-00003B6A0000}"/>
    <cellStyle name="60% - Accent3 5 4" xfId="1556" xr:uid="{00000000-0005-0000-0000-00003C6A0000}"/>
    <cellStyle name="60% - Accent3 5 4 10" xfId="16705" xr:uid="{00000000-0005-0000-0000-00003D6A0000}"/>
    <cellStyle name="60% - Accent3 5 4 11" xfId="31854" xr:uid="{00000000-0005-0000-0000-00003E6A0000}"/>
    <cellStyle name="60% - Accent3 5 4 12" xfId="33537" xr:uid="{00000000-0005-0000-0000-00003F6A0000}"/>
    <cellStyle name="60% - Accent3 5 4 13" xfId="35220" xr:uid="{00000000-0005-0000-0000-0000406A0000}"/>
    <cellStyle name="60% - Accent3 5 4 14" xfId="36903" xr:uid="{00000000-0005-0000-0000-0000416A0000}"/>
    <cellStyle name="60% - Accent3 5 4 15" xfId="38586" xr:uid="{00000000-0005-0000-0000-0000426A0000}"/>
    <cellStyle name="60% - Accent3 5 4 16" xfId="40269" xr:uid="{00000000-0005-0000-0000-0000436A0000}"/>
    <cellStyle name="60% - Accent3 5 4 17" xfId="41952" xr:uid="{00000000-0005-0000-0000-0000446A0000}"/>
    <cellStyle name="60% - Accent3 5 4 18" xfId="43635" xr:uid="{00000000-0005-0000-0000-0000456A0000}"/>
    <cellStyle name="60% - Accent3 5 4 19" xfId="45318" xr:uid="{00000000-0005-0000-0000-0000466A0000}"/>
    <cellStyle name="60% - Accent3 5 4 2" xfId="3239" xr:uid="{00000000-0005-0000-0000-0000476A0000}"/>
    <cellStyle name="60% - Accent3 5 4 2 2" xfId="18388" xr:uid="{00000000-0005-0000-0000-0000486A0000}"/>
    <cellStyle name="60% - Accent3 5 4 20" xfId="47001" xr:uid="{00000000-0005-0000-0000-0000496A0000}"/>
    <cellStyle name="60% - Accent3 5 4 21" xfId="48684" xr:uid="{00000000-0005-0000-0000-00004A6A0000}"/>
    <cellStyle name="60% - Accent3 5 4 22" xfId="50367" xr:uid="{00000000-0005-0000-0000-00004B6A0000}"/>
    <cellStyle name="60% - Accent3 5 4 23" xfId="52050" xr:uid="{00000000-0005-0000-0000-00004C6A0000}"/>
    <cellStyle name="60% - Accent3 5 4 24" xfId="53733" xr:uid="{00000000-0005-0000-0000-00004D6A0000}"/>
    <cellStyle name="60% - Accent3 5 4 25" xfId="55416" xr:uid="{00000000-0005-0000-0000-00004E6A0000}"/>
    <cellStyle name="60% - Accent3 5 4 26" xfId="57099" xr:uid="{00000000-0005-0000-0000-00004F6A0000}"/>
    <cellStyle name="60% - Accent3 5 4 27" xfId="58782" xr:uid="{00000000-0005-0000-0000-0000506A0000}"/>
    <cellStyle name="60% - Accent3 5 4 28" xfId="60465" xr:uid="{00000000-0005-0000-0000-0000516A0000}"/>
    <cellStyle name="60% - Accent3 5 4 29" xfId="62148" xr:uid="{00000000-0005-0000-0000-0000526A0000}"/>
    <cellStyle name="60% - Accent3 5 4 3" xfId="4923" xr:uid="{00000000-0005-0000-0000-0000536A0000}"/>
    <cellStyle name="60% - Accent3 5 4 3 2" xfId="20072" xr:uid="{00000000-0005-0000-0000-0000546A0000}"/>
    <cellStyle name="60% - Accent3 5 4 30" xfId="63831" xr:uid="{00000000-0005-0000-0000-0000556A0000}"/>
    <cellStyle name="60% - Accent3 5 4 4" xfId="6606" xr:uid="{00000000-0005-0000-0000-0000566A0000}"/>
    <cellStyle name="60% - Accent3 5 4 4 2" xfId="21755" xr:uid="{00000000-0005-0000-0000-0000576A0000}"/>
    <cellStyle name="60% - Accent3 5 4 5" xfId="8289" xr:uid="{00000000-0005-0000-0000-0000586A0000}"/>
    <cellStyle name="60% - Accent3 5 4 5 2" xfId="23438" xr:uid="{00000000-0005-0000-0000-0000596A0000}"/>
    <cellStyle name="60% - Accent3 5 4 6" xfId="9972" xr:uid="{00000000-0005-0000-0000-00005A6A0000}"/>
    <cellStyle name="60% - Accent3 5 4 6 2" xfId="25121" xr:uid="{00000000-0005-0000-0000-00005B6A0000}"/>
    <cellStyle name="60% - Accent3 5 4 7" xfId="11655" xr:uid="{00000000-0005-0000-0000-00005C6A0000}"/>
    <cellStyle name="60% - Accent3 5 4 7 2" xfId="26804" xr:uid="{00000000-0005-0000-0000-00005D6A0000}"/>
    <cellStyle name="60% - Accent3 5 4 8" xfId="13339" xr:uid="{00000000-0005-0000-0000-00005E6A0000}"/>
    <cellStyle name="60% - Accent3 5 4 8 2" xfId="28488" xr:uid="{00000000-0005-0000-0000-00005F6A0000}"/>
    <cellStyle name="60% - Accent3 5 4 9" xfId="15022" xr:uid="{00000000-0005-0000-0000-0000606A0000}"/>
    <cellStyle name="60% - Accent3 5 4 9 2" xfId="30171" xr:uid="{00000000-0005-0000-0000-0000616A0000}"/>
    <cellStyle name="60% - Accent3 5 5" xfId="1977" xr:uid="{00000000-0005-0000-0000-0000626A0000}"/>
    <cellStyle name="60% - Accent3 5 5 2" xfId="17126" xr:uid="{00000000-0005-0000-0000-0000636A0000}"/>
    <cellStyle name="60% - Accent3 5 6" xfId="3661" xr:uid="{00000000-0005-0000-0000-0000646A0000}"/>
    <cellStyle name="60% - Accent3 5 6 2" xfId="18810" xr:uid="{00000000-0005-0000-0000-0000656A0000}"/>
    <cellStyle name="60% - Accent3 5 7" xfId="5344" xr:uid="{00000000-0005-0000-0000-0000666A0000}"/>
    <cellStyle name="60% - Accent3 5 7 2" xfId="20493" xr:uid="{00000000-0005-0000-0000-0000676A0000}"/>
    <cellStyle name="60% - Accent3 5 8" xfId="7027" xr:uid="{00000000-0005-0000-0000-0000686A0000}"/>
    <cellStyle name="60% - Accent3 5 8 2" xfId="22176" xr:uid="{00000000-0005-0000-0000-0000696A0000}"/>
    <cellStyle name="60% - Accent3 5 9" xfId="8710" xr:uid="{00000000-0005-0000-0000-00006A6A0000}"/>
    <cellStyle name="60% - Accent3 5 9 2" xfId="23859" xr:uid="{00000000-0005-0000-0000-00006B6A0000}"/>
    <cellStyle name="60% - Accent3 6" xfId="504" xr:uid="{00000000-0005-0000-0000-00006C6A0000}"/>
    <cellStyle name="60% - Accent3 6 10" xfId="15653" xr:uid="{00000000-0005-0000-0000-00006D6A0000}"/>
    <cellStyle name="60% - Accent3 6 11" xfId="30802" xr:uid="{00000000-0005-0000-0000-00006E6A0000}"/>
    <cellStyle name="60% - Accent3 6 12" xfId="32485" xr:uid="{00000000-0005-0000-0000-00006F6A0000}"/>
    <cellStyle name="60% - Accent3 6 13" xfId="34168" xr:uid="{00000000-0005-0000-0000-0000706A0000}"/>
    <cellStyle name="60% - Accent3 6 14" xfId="35851" xr:uid="{00000000-0005-0000-0000-0000716A0000}"/>
    <cellStyle name="60% - Accent3 6 15" xfId="37534" xr:uid="{00000000-0005-0000-0000-0000726A0000}"/>
    <cellStyle name="60% - Accent3 6 16" xfId="39217" xr:uid="{00000000-0005-0000-0000-0000736A0000}"/>
    <cellStyle name="60% - Accent3 6 17" xfId="40900" xr:uid="{00000000-0005-0000-0000-0000746A0000}"/>
    <cellStyle name="60% - Accent3 6 18" xfId="42583" xr:uid="{00000000-0005-0000-0000-0000756A0000}"/>
    <cellStyle name="60% - Accent3 6 19" xfId="44266" xr:uid="{00000000-0005-0000-0000-0000766A0000}"/>
    <cellStyle name="60% - Accent3 6 2" xfId="2187" xr:uid="{00000000-0005-0000-0000-0000776A0000}"/>
    <cellStyle name="60% - Accent3 6 2 2" xfId="17336" xr:uid="{00000000-0005-0000-0000-0000786A0000}"/>
    <cellStyle name="60% - Accent3 6 20" xfId="45949" xr:uid="{00000000-0005-0000-0000-0000796A0000}"/>
    <cellStyle name="60% - Accent3 6 21" xfId="47632" xr:uid="{00000000-0005-0000-0000-00007A6A0000}"/>
    <cellStyle name="60% - Accent3 6 22" xfId="49315" xr:uid="{00000000-0005-0000-0000-00007B6A0000}"/>
    <cellStyle name="60% - Accent3 6 23" xfId="50998" xr:uid="{00000000-0005-0000-0000-00007C6A0000}"/>
    <cellStyle name="60% - Accent3 6 24" xfId="52681" xr:uid="{00000000-0005-0000-0000-00007D6A0000}"/>
    <cellStyle name="60% - Accent3 6 25" xfId="54364" xr:uid="{00000000-0005-0000-0000-00007E6A0000}"/>
    <cellStyle name="60% - Accent3 6 26" xfId="56047" xr:uid="{00000000-0005-0000-0000-00007F6A0000}"/>
    <cellStyle name="60% - Accent3 6 27" xfId="57730" xr:uid="{00000000-0005-0000-0000-0000806A0000}"/>
    <cellStyle name="60% - Accent3 6 28" xfId="59413" xr:uid="{00000000-0005-0000-0000-0000816A0000}"/>
    <cellStyle name="60% - Accent3 6 29" xfId="61096" xr:uid="{00000000-0005-0000-0000-0000826A0000}"/>
    <cellStyle name="60% - Accent3 6 3" xfId="3871" xr:uid="{00000000-0005-0000-0000-0000836A0000}"/>
    <cellStyle name="60% - Accent3 6 3 2" xfId="19020" xr:uid="{00000000-0005-0000-0000-0000846A0000}"/>
    <cellStyle name="60% - Accent3 6 30" xfId="62779" xr:uid="{00000000-0005-0000-0000-0000856A0000}"/>
    <cellStyle name="60% - Accent3 6 4" xfId="5554" xr:uid="{00000000-0005-0000-0000-0000866A0000}"/>
    <cellStyle name="60% - Accent3 6 4 2" xfId="20703" xr:uid="{00000000-0005-0000-0000-0000876A0000}"/>
    <cellStyle name="60% - Accent3 6 5" xfId="7237" xr:uid="{00000000-0005-0000-0000-0000886A0000}"/>
    <cellStyle name="60% - Accent3 6 5 2" xfId="22386" xr:uid="{00000000-0005-0000-0000-0000896A0000}"/>
    <cellStyle name="60% - Accent3 6 6" xfId="8920" xr:uid="{00000000-0005-0000-0000-00008A6A0000}"/>
    <cellStyle name="60% - Accent3 6 6 2" xfId="24069" xr:uid="{00000000-0005-0000-0000-00008B6A0000}"/>
    <cellStyle name="60% - Accent3 6 7" xfId="10603" xr:uid="{00000000-0005-0000-0000-00008C6A0000}"/>
    <cellStyle name="60% - Accent3 6 7 2" xfId="25752" xr:uid="{00000000-0005-0000-0000-00008D6A0000}"/>
    <cellStyle name="60% - Accent3 6 8" xfId="12287" xr:uid="{00000000-0005-0000-0000-00008E6A0000}"/>
    <cellStyle name="60% - Accent3 6 8 2" xfId="27436" xr:uid="{00000000-0005-0000-0000-00008F6A0000}"/>
    <cellStyle name="60% - Accent3 6 9" xfId="13970" xr:uid="{00000000-0005-0000-0000-0000906A0000}"/>
    <cellStyle name="60% - Accent3 6 9 2" xfId="29119" xr:uid="{00000000-0005-0000-0000-0000916A0000}"/>
    <cellStyle name="60% - Accent3 7" xfId="925" xr:uid="{00000000-0005-0000-0000-0000926A0000}"/>
    <cellStyle name="60% - Accent3 7 10" xfId="16074" xr:uid="{00000000-0005-0000-0000-0000936A0000}"/>
    <cellStyle name="60% - Accent3 7 11" xfId="31223" xr:uid="{00000000-0005-0000-0000-0000946A0000}"/>
    <cellStyle name="60% - Accent3 7 12" xfId="32906" xr:uid="{00000000-0005-0000-0000-0000956A0000}"/>
    <cellStyle name="60% - Accent3 7 13" xfId="34589" xr:uid="{00000000-0005-0000-0000-0000966A0000}"/>
    <cellStyle name="60% - Accent3 7 14" xfId="36272" xr:uid="{00000000-0005-0000-0000-0000976A0000}"/>
    <cellStyle name="60% - Accent3 7 15" xfId="37955" xr:uid="{00000000-0005-0000-0000-0000986A0000}"/>
    <cellStyle name="60% - Accent3 7 16" xfId="39638" xr:uid="{00000000-0005-0000-0000-0000996A0000}"/>
    <cellStyle name="60% - Accent3 7 17" xfId="41321" xr:uid="{00000000-0005-0000-0000-00009A6A0000}"/>
    <cellStyle name="60% - Accent3 7 18" xfId="43004" xr:uid="{00000000-0005-0000-0000-00009B6A0000}"/>
    <cellStyle name="60% - Accent3 7 19" xfId="44687" xr:uid="{00000000-0005-0000-0000-00009C6A0000}"/>
    <cellStyle name="60% - Accent3 7 2" xfId="2608" xr:uid="{00000000-0005-0000-0000-00009D6A0000}"/>
    <cellStyle name="60% - Accent3 7 2 2" xfId="17757" xr:uid="{00000000-0005-0000-0000-00009E6A0000}"/>
    <cellStyle name="60% - Accent3 7 20" xfId="46370" xr:uid="{00000000-0005-0000-0000-00009F6A0000}"/>
    <cellStyle name="60% - Accent3 7 21" xfId="48053" xr:uid="{00000000-0005-0000-0000-0000A06A0000}"/>
    <cellStyle name="60% - Accent3 7 22" xfId="49736" xr:uid="{00000000-0005-0000-0000-0000A16A0000}"/>
    <cellStyle name="60% - Accent3 7 23" xfId="51419" xr:uid="{00000000-0005-0000-0000-0000A26A0000}"/>
    <cellStyle name="60% - Accent3 7 24" xfId="53102" xr:uid="{00000000-0005-0000-0000-0000A36A0000}"/>
    <cellStyle name="60% - Accent3 7 25" xfId="54785" xr:uid="{00000000-0005-0000-0000-0000A46A0000}"/>
    <cellStyle name="60% - Accent3 7 26" xfId="56468" xr:uid="{00000000-0005-0000-0000-0000A56A0000}"/>
    <cellStyle name="60% - Accent3 7 27" xfId="58151" xr:uid="{00000000-0005-0000-0000-0000A66A0000}"/>
    <cellStyle name="60% - Accent3 7 28" xfId="59834" xr:uid="{00000000-0005-0000-0000-0000A76A0000}"/>
    <cellStyle name="60% - Accent3 7 29" xfId="61517" xr:uid="{00000000-0005-0000-0000-0000A86A0000}"/>
    <cellStyle name="60% - Accent3 7 3" xfId="4292" xr:uid="{00000000-0005-0000-0000-0000A96A0000}"/>
    <cellStyle name="60% - Accent3 7 3 2" xfId="19441" xr:uid="{00000000-0005-0000-0000-0000AA6A0000}"/>
    <cellStyle name="60% - Accent3 7 30" xfId="63200" xr:uid="{00000000-0005-0000-0000-0000AB6A0000}"/>
    <cellStyle name="60% - Accent3 7 4" xfId="5975" xr:uid="{00000000-0005-0000-0000-0000AC6A0000}"/>
    <cellStyle name="60% - Accent3 7 4 2" xfId="21124" xr:uid="{00000000-0005-0000-0000-0000AD6A0000}"/>
    <cellStyle name="60% - Accent3 7 5" xfId="7658" xr:uid="{00000000-0005-0000-0000-0000AE6A0000}"/>
    <cellStyle name="60% - Accent3 7 5 2" xfId="22807" xr:uid="{00000000-0005-0000-0000-0000AF6A0000}"/>
    <cellStyle name="60% - Accent3 7 6" xfId="9341" xr:uid="{00000000-0005-0000-0000-0000B06A0000}"/>
    <cellStyle name="60% - Accent3 7 6 2" xfId="24490" xr:uid="{00000000-0005-0000-0000-0000B16A0000}"/>
    <cellStyle name="60% - Accent3 7 7" xfId="11024" xr:uid="{00000000-0005-0000-0000-0000B26A0000}"/>
    <cellStyle name="60% - Accent3 7 7 2" xfId="26173" xr:uid="{00000000-0005-0000-0000-0000B36A0000}"/>
    <cellStyle name="60% - Accent3 7 8" xfId="12708" xr:uid="{00000000-0005-0000-0000-0000B46A0000}"/>
    <cellStyle name="60% - Accent3 7 8 2" xfId="27857" xr:uid="{00000000-0005-0000-0000-0000B56A0000}"/>
    <cellStyle name="60% - Accent3 7 9" xfId="14391" xr:uid="{00000000-0005-0000-0000-0000B66A0000}"/>
    <cellStyle name="60% - Accent3 7 9 2" xfId="29540" xr:uid="{00000000-0005-0000-0000-0000B76A0000}"/>
    <cellStyle name="60% - Accent3 8" xfId="1346" xr:uid="{00000000-0005-0000-0000-0000B86A0000}"/>
    <cellStyle name="60% - Accent3 8 10" xfId="16495" xr:uid="{00000000-0005-0000-0000-0000B96A0000}"/>
    <cellStyle name="60% - Accent3 8 11" xfId="31644" xr:uid="{00000000-0005-0000-0000-0000BA6A0000}"/>
    <cellStyle name="60% - Accent3 8 12" xfId="33327" xr:uid="{00000000-0005-0000-0000-0000BB6A0000}"/>
    <cellStyle name="60% - Accent3 8 13" xfId="35010" xr:uid="{00000000-0005-0000-0000-0000BC6A0000}"/>
    <cellStyle name="60% - Accent3 8 14" xfId="36693" xr:uid="{00000000-0005-0000-0000-0000BD6A0000}"/>
    <cellStyle name="60% - Accent3 8 15" xfId="38376" xr:uid="{00000000-0005-0000-0000-0000BE6A0000}"/>
    <cellStyle name="60% - Accent3 8 16" xfId="40059" xr:uid="{00000000-0005-0000-0000-0000BF6A0000}"/>
    <cellStyle name="60% - Accent3 8 17" xfId="41742" xr:uid="{00000000-0005-0000-0000-0000C06A0000}"/>
    <cellStyle name="60% - Accent3 8 18" xfId="43425" xr:uid="{00000000-0005-0000-0000-0000C16A0000}"/>
    <cellStyle name="60% - Accent3 8 19" xfId="45108" xr:uid="{00000000-0005-0000-0000-0000C26A0000}"/>
    <cellStyle name="60% - Accent3 8 2" xfId="3029" xr:uid="{00000000-0005-0000-0000-0000C36A0000}"/>
    <cellStyle name="60% - Accent3 8 2 2" xfId="18178" xr:uid="{00000000-0005-0000-0000-0000C46A0000}"/>
    <cellStyle name="60% - Accent3 8 20" xfId="46791" xr:uid="{00000000-0005-0000-0000-0000C56A0000}"/>
    <cellStyle name="60% - Accent3 8 21" xfId="48474" xr:uid="{00000000-0005-0000-0000-0000C66A0000}"/>
    <cellStyle name="60% - Accent3 8 22" xfId="50157" xr:uid="{00000000-0005-0000-0000-0000C76A0000}"/>
    <cellStyle name="60% - Accent3 8 23" xfId="51840" xr:uid="{00000000-0005-0000-0000-0000C86A0000}"/>
    <cellStyle name="60% - Accent3 8 24" xfId="53523" xr:uid="{00000000-0005-0000-0000-0000C96A0000}"/>
    <cellStyle name="60% - Accent3 8 25" xfId="55206" xr:uid="{00000000-0005-0000-0000-0000CA6A0000}"/>
    <cellStyle name="60% - Accent3 8 26" xfId="56889" xr:uid="{00000000-0005-0000-0000-0000CB6A0000}"/>
    <cellStyle name="60% - Accent3 8 27" xfId="58572" xr:uid="{00000000-0005-0000-0000-0000CC6A0000}"/>
    <cellStyle name="60% - Accent3 8 28" xfId="60255" xr:uid="{00000000-0005-0000-0000-0000CD6A0000}"/>
    <cellStyle name="60% - Accent3 8 29" xfId="61938" xr:uid="{00000000-0005-0000-0000-0000CE6A0000}"/>
    <cellStyle name="60% - Accent3 8 3" xfId="4713" xr:uid="{00000000-0005-0000-0000-0000CF6A0000}"/>
    <cellStyle name="60% - Accent3 8 3 2" xfId="19862" xr:uid="{00000000-0005-0000-0000-0000D06A0000}"/>
    <cellStyle name="60% - Accent3 8 30" xfId="63621" xr:uid="{00000000-0005-0000-0000-0000D16A0000}"/>
    <cellStyle name="60% - Accent3 8 4" xfId="6396" xr:uid="{00000000-0005-0000-0000-0000D26A0000}"/>
    <cellStyle name="60% - Accent3 8 4 2" xfId="21545" xr:uid="{00000000-0005-0000-0000-0000D36A0000}"/>
    <cellStyle name="60% - Accent3 8 5" xfId="8079" xr:uid="{00000000-0005-0000-0000-0000D46A0000}"/>
    <cellStyle name="60% - Accent3 8 5 2" xfId="23228" xr:uid="{00000000-0005-0000-0000-0000D56A0000}"/>
    <cellStyle name="60% - Accent3 8 6" xfId="9762" xr:uid="{00000000-0005-0000-0000-0000D66A0000}"/>
    <cellStyle name="60% - Accent3 8 6 2" xfId="24911" xr:uid="{00000000-0005-0000-0000-0000D76A0000}"/>
    <cellStyle name="60% - Accent3 8 7" xfId="11445" xr:uid="{00000000-0005-0000-0000-0000D86A0000}"/>
    <cellStyle name="60% - Accent3 8 7 2" xfId="26594" xr:uid="{00000000-0005-0000-0000-0000D96A0000}"/>
    <cellStyle name="60% - Accent3 8 8" xfId="13129" xr:uid="{00000000-0005-0000-0000-0000DA6A0000}"/>
    <cellStyle name="60% - Accent3 8 8 2" xfId="28278" xr:uid="{00000000-0005-0000-0000-0000DB6A0000}"/>
    <cellStyle name="60% - Accent3 8 9" xfId="14812" xr:uid="{00000000-0005-0000-0000-0000DC6A0000}"/>
    <cellStyle name="60% - Accent3 8 9 2" xfId="29961" xr:uid="{00000000-0005-0000-0000-0000DD6A0000}"/>
    <cellStyle name="60% - Accent3 9" xfId="1767" xr:uid="{00000000-0005-0000-0000-0000DE6A0000}"/>
    <cellStyle name="60% - Accent3 9 2" xfId="16916" xr:uid="{00000000-0005-0000-0000-0000DF6A0000}"/>
    <cellStyle name="60% - Accent4" xfId="85" builtinId="44" customBuiltin="1"/>
    <cellStyle name="60% - Accent4 10" xfId="3454" xr:uid="{00000000-0005-0000-0000-0000E16A0000}"/>
    <cellStyle name="60% - Accent4 10 2" xfId="18603" xr:uid="{00000000-0005-0000-0000-0000E26A0000}"/>
    <cellStyle name="60% - Accent4 11" xfId="5137" xr:uid="{00000000-0005-0000-0000-0000E36A0000}"/>
    <cellStyle name="60% - Accent4 11 2" xfId="20286" xr:uid="{00000000-0005-0000-0000-0000E46A0000}"/>
    <cellStyle name="60% - Accent4 12" xfId="6820" xr:uid="{00000000-0005-0000-0000-0000E56A0000}"/>
    <cellStyle name="60% - Accent4 12 2" xfId="21969" xr:uid="{00000000-0005-0000-0000-0000E66A0000}"/>
    <cellStyle name="60% - Accent4 13" xfId="8503" xr:uid="{00000000-0005-0000-0000-0000E76A0000}"/>
    <cellStyle name="60% - Accent4 13 2" xfId="23652" xr:uid="{00000000-0005-0000-0000-0000E86A0000}"/>
    <cellStyle name="60% - Accent4 14" xfId="10186" xr:uid="{00000000-0005-0000-0000-0000E96A0000}"/>
    <cellStyle name="60% - Accent4 14 2" xfId="25335" xr:uid="{00000000-0005-0000-0000-0000EA6A0000}"/>
    <cellStyle name="60% - Accent4 15" xfId="11870" xr:uid="{00000000-0005-0000-0000-0000EB6A0000}"/>
    <cellStyle name="60% - Accent4 15 2" xfId="27019" xr:uid="{00000000-0005-0000-0000-0000EC6A0000}"/>
    <cellStyle name="60% - Accent4 16" xfId="13553" xr:uid="{00000000-0005-0000-0000-0000ED6A0000}"/>
    <cellStyle name="60% - Accent4 16 2" xfId="28702" xr:uid="{00000000-0005-0000-0000-0000EE6A0000}"/>
    <cellStyle name="60% - Accent4 17" xfId="15236" xr:uid="{00000000-0005-0000-0000-0000EF6A0000}"/>
    <cellStyle name="60% - Accent4 18" xfId="30385" xr:uid="{00000000-0005-0000-0000-0000F06A0000}"/>
    <cellStyle name="60% - Accent4 19" xfId="32068" xr:uid="{00000000-0005-0000-0000-0000F16A0000}"/>
    <cellStyle name="60% - Accent4 2" xfId="109" xr:uid="{00000000-0005-0000-0000-0000F26A0000}"/>
    <cellStyle name="60% - Accent4 2 10" xfId="6842" xr:uid="{00000000-0005-0000-0000-0000F36A0000}"/>
    <cellStyle name="60% - Accent4 2 10 2" xfId="21991" xr:uid="{00000000-0005-0000-0000-0000F46A0000}"/>
    <cellStyle name="60% - Accent4 2 11" xfId="8525" xr:uid="{00000000-0005-0000-0000-0000F56A0000}"/>
    <cellStyle name="60% - Accent4 2 11 2" xfId="23674" xr:uid="{00000000-0005-0000-0000-0000F66A0000}"/>
    <cellStyle name="60% - Accent4 2 12" xfId="10208" xr:uid="{00000000-0005-0000-0000-0000F76A0000}"/>
    <cellStyle name="60% - Accent4 2 12 2" xfId="25357" xr:uid="{00000000-0005-0000-0000-0000F86A0000}"/>
    <cellStyle name="60% - Accent4 2 13" xfId="11892" xr:uid="{00000000-0005-0000-0000-0000F96A0000}"/>
    <cellStyle name="60% - Accent4 2 13 2" xfId="27041" xr:uid="{00000000-0005-0000-0000-0000FA6A0000}"/>
    <cellStyle name="60% - Accent4 2 14" xfId="13575" xr:uid="{00000000-0005-0000-0000-0000FB6A0000}"/>
    <cellStyle name="60% - Accent4 2 14 2" xfId="28724" xr:uid="{00000000-0005-0000-0000-0000FC6A0000}"/>
    <cellStyle name="60% - Accent4 2 15" xfId="15258" xr:uid="{00000000-0005-0000-0000-0000FD6A0000}"/>
    <cellStyle name="60% - Accent4 2 16" xfId="30407" xr:uid="{00000000-0005-0000-0000-0000FE6A0000}"/>
    <cellStyle name="60% - Accent4 2 17" xfId="32090" xr:uid="{00000000-0005-0000-0000-0000FF6A0000}"/>
    <cellStyle name="60% - Accent4 2 18" xfId="33773" xr:uid="{00000000-0005-0000-0000-0000006B0000}"/>
    <cellStyle name="60% - Accent4 2 19" xfId="35456" xr:uid="{00000000-0005-0000-0000-0000016B0000}"/>
    <cellStyle name="60% - Accent4 2 2" xfId="214" xr:uid="{00000000-0005-0000-0000-0000026B0000}"/>
    <cellStyle name="60% - Accent4 2 2 10" xfId="8630" xr:uid="{00000000-0005-0000-0000-0000036B0000}"/>
    <cellStyle name="60% - Accent4 2 2 10 2" xfId="23779" xr:uid="{00000000-0005-0000-0000-0000046B0000}"/>
    <cellStyle name="60% - Accent4 2 2 11" xfId="10313" xr:uid="{00000000-0005-0000-0000-0000056B0000}"/>
    <cellStyle name="60% - Accent4 2 2 11 2" xfId="25462" xr:uid="{00000000-0005-0000-0000-0000066B0000}"/>
    <cellStyle name="60% - Accent4 2 2 12" xfId="11997" xr:uid="{00000000-0005-0000-0000-0000076B0000}"/>
    <cellStyle name="60% - Accent4 2 2 12 2" xfId="27146" xr:uid="{00000000-0005-0000-0000-0000086B0000}"/>
    <cellStyle name="60% - Accent4 2 2 13" xfId="13680" xr:uid="{00000000-0005-0000-0000-0000096B0000}"/>
    <cellStyle name="60% - Accent4 2 2 13 2" xfId="28829" xr:uid="{00000000-0005-0000-0000-00000A6B0000}"/>
    <cellStyle name="60% - Accent4 2 2 14" xfId="15363" xr:uid="{00000000-0005-0000-0000-00000B6B0000}"/>
    <cellStyle name="60% - Accent4 2 2 15" xfId="30512" xr:uid="{00000000-0005-0000-0000-00000C6B0000}"/>
    <cellStyle name="60% - Accent4 2 2 16" xfId="32195" xr:uid="{00000000-0005-0000-0000-00000D6B0000}"/>
    <cellStyle name="60% - Accent4 2 2 17" xfId="33878" xr:uid="{00000000-0005-0000-0000-00000E6B0000}"/>
    <cellStyle name="60% - Accent4 2 2 18" xfId="35561" xr:uid="{00000000-0005-0000-0000-00000F6B0000}"/>
    <cellStyle name="60% - Accent4 2 2 19" xfId="37244" xr:uid="{00000000-0005-0000-0000-0000106B0000}"/>
    <cellStyle name="60% - Accent4 2 2 2" xfId="424" xr:uid="{00000000-0005-0000-0000-0000116B0000}"/>
    <cellStyle name="60% - Accent4 2 2 2 10" xfId="10523" xr:uid="{00000000-0005-0000-0000-0000126B0000}"/>
    <cellStyle name="60% - Accent4 2 2 2 10 2" xfId="25672" xr:uid="{00000000-0005-0000-0000-0000136B0000}"/>
    <cellStyle name="60% - Accent4 2 2 2 11" xfId="12207" xr:uid="{00000000-0005-0000-0000-0000146B0000}"/>
    <cellStyle name="60% - Accent4 2 2 2 11 2" xfId="27356" xr:uid="{00000000-0005-0000-0000-0000156B0000}"/>
    <cellStyle name="60% - Accent4 2 2 2 12" xfId="13890" xr:uid="{00000000-0005-0000-0000-0000166B0000}"/>
    <cellStyle name="60% - Accent4 2 2 2 12 2" xfId="29039" xr:uid="{00000000-0005-0000-0000-0000176B0000}"/>
    <cellStyle name="60% - Accent4 2 2 2 13" xfId="15573" xr:uid="{00000000-0005-0000-0000-0000186B0000}"/>
    <cellStyle name="60% - Accent4 2 2 2 14" xfId="30722" xr:uid="{00000000-0005-0000-0000-0000196B0000}"/>
    <cellStyle name="60% - Accent4 2 2 2 15" xfId="32405" xr:uid="{00000000-0005-0000-0000-00001A6B0000}"/>
    <cellStyle name="60% - Accent4 2 2 2 16" xfId="34088" xr:uid="{00000000-0005-0000-0000-00001B6B0000}"/>
    <cellStyle name="60% - Accent4 2 2 2 17" xfId="35771" xr:uid="{00000000-0005-0000-0000-00001C6B0000}"/>
    <cellStyle name="60% - Accent4 2 2 2 18" xfId="37454" xr:uid="{00000000-0005-0000-0000-00001D6B0000}"/>
    <cellStyle name="60% - Accent4 2 2 2 19" xfId="39137" xr:uid="{00000000-0005-0000-0000-00001E6B0000}"/>
    <cellStyle name="60% - Accent4 2 2 2 2" xfId="844" xr:uid="{00000000-0005-0000-0000-00001F6B0000}"/>
    <cellStyle name="60% - Accent4 2 2 2 2 10" xfId="15993" xr:uid="{00000000-0005-0000-0000-0000206B0000}"/>
    <cellStyle name="60% - Accent4 2 2 2 2 11" xfId="31142" xr:uid="{00000000-0005-0000-0000-0000216B0000}"/>
    <cellStyle name="60% - Accent4 2 2 2 2 12" xfId="32825" xr:uid="{00000000-0005-0000-0000-0000226B0000}"/>
    <cellStyle name="60% - Accent4 2 2 2 2 13" xfId="34508" xr:uid="{00000000-0005-0000-0000-0000236B0000}"/>
    <cellStyle name="60% - Accent4 2 2 2 2 14" xfId="36191" xr:uid="{00000000-0005-0000-0000-0000246B0000}"/>
    <cellStyle name="60% - Accent4 2 2 2 2 15" xfId="37874" xr:uid="{00000000-0005-0000-0000-0000256B0000}"/>
    <cellStyle name="60% - Accent4 2 2 2 2 16" xfId="39557" xr:uid="{00000000-0005-0000-0000-0000266B0000}"/>
    <cellStyle name="60% - Accent4 2 2 2 2 17" xfId="41240" xr:uid="{00000000-0005-0000-0000-0000276B0000}"/>
    <cellStyle name="60% - Accent4 2 2 2 2 18" xfId="42923" xr:uid="{00000000-0005-0000-0000-0000286B0000}"/>
    <cellStyle name="60% - Accent4 2 2 2 2 19" xfId="44606" xr:uid="{00000000-0005-0000-0000-0000296B0000}"/>
    <cellStyle name="60% - Accent4 2 2 2 2 2" xfId="2527" xr:uid="{00000000-0005-0000-0000-00002A6B0000}"/>
    <cellStyle name="60% - Accent4 2 2 2 2 2 2" xfId="17676" xr:uid="{00000000-0005-0000-0000-00002B6B0000}"/>
    <cellStyle name="60% - Accent4 2 2 2 2 20" xfId="46289" xr:uid="{00000000-0005-0000-0000-00002C6B0000}"/>
    <cellStyle name="60% - Accent4 2 2 2 2 21" xfId="47972" xr:uid="{00000000-0005-0000-0000-00002D6B0000}"/>
    <cellStyle name="60% - Accent4 2 2 2 2 22" xfId="49655" xr:uid="{00000000-0005-0000-0000-00002E6B0000}"/>
    <cellStyle name="60% - Accent4 2 2 2 2 23" xfId="51338" xr:uid="{00000000-0005-0000-0000-00002F6B0000}"/>
    <cellStyle name="60% - Accent4 2 2 2 2 24" xfId="53021" xr:uid="{00000000-0005-0000-0000-0000306B0000}"/>
    <cellStyle name="60% - Accent4 2 2 2 2 25" xfId="54704" xr:uid="{00000000-0005-0000-0000-0000316B0000}"/>
    <cellStyle name="60% - Accent4 2 2 2 2 26" xfId="56387" xr:uid="{00000000-0005-0000-0000-0000326B0000}"/>
    <cellStyle name="60% - Accent4 2 2 2 2 27" xfId="58070" xr:uid="{00000000-0005-0000-0000-0000336B0000}"/>
    <cellStyle name="60% - Accent4 2 2 2 2 28" xfId="59753" xr:uid="{00000000-0005-0000-0000-0000346B0000}"/>
    <cellStyle name="60% - Accent4 2 2 2 2 29" xfId="61436" xr:uid="{00000000-0005-0000-0000-0000356B0000}"/>
    <cellStyle name="60% - Accent4 2 2 2 2 3" xfId="4211" xr:uid="{00000000-0005-0000-0000-0000366B0000}"/>
    <cellStyle name="60% - Accent4 2 2 2 2 3 2" xfId="19360" xr:uid="{00000000-0005-0000-0000-0000376B0000}"/>
    <cellStyle name="60% - Accent4 2 2 2 2 30" xfId="63119" xr:uid="{00000000-0005-0000-0000-0000386B0000}"/>
    <cellStyle name="60% - Accent4 2 2 2 2 4" xfId="5894" xr:uid="{00000000-0005-0000-0000-0000396B0000}"/>
    <cellStyle name="60% - Accent4 2 2 2 2 4 2" xfId="21043" xr:uid="{00000000-0005-0000-0000-00003A6B0000}"/>
    <cellStyle name="60% - Accent4 2 2 2 2 5" xfId="7577" xr:uid="{00000000-0005-0000-0000-00003B6B0000}"/>
    <cellStyle name="60% - Accent4 2 2 2 2 5 2" xfId="22726" xr:uid="{00000000-0005-0000-0000-00003C6B0000}"/>
    <cellStyle name="60% - Accent4 2 2 2 2 6" xfId="9260" xr:uid="{00000000-0005-0000-0000-00003D6B0000}"/>
    <cellStyle name="60% - Accent4 2 2 2 2 6 2" xfId="24409" xr:uid="{00000000-0005-0000-0000-00003E6B0000}"/>
    <cellStyle name="60% - Accent4 2 2 2 2 7" xfId="10943" xr:uid="{00000000-0005-0000-0000-00003F6B0000}"/>
    <cellStyle name="60% - Accent4 2 2 2 2 7 2" xfId="26092" xr:uid="{00000000-0005-0000-0000-0000406B0000}"/>
    <cellStyle name="60% - Accent4 2 2 2 2 8" xfId="12627" xr:uid="{00000000-0005-0000-0000-0000416B0000}"/>
    <cellStyle name="60% - Accent4 2 2 2 2 8 2" xfId="27776" xr:uid="{00000000-0005-0000-0000-0000426B0000}"/>
    <cellStyle name="60% - Accent4 2 2 2 2 9" xfId="14310" xr:uid="{00000000-0005-0000-0000-0000436B0000}"/>
    <cellStyle name="60% - Accent4 2 2 2 2 9 2" xfId="29459" xr:uid="{00000000-0005-0000-0000-0000446B0000}"/>
    <cellStyle name="60% - Accent4 2 2 2 20" xfId="40820" xr:uid="{00000000-0005-0000-0000-0000456B0000}"/>
    <cellStyle name="60% - Accent4 2 2 2 21" xfId="42503" xr:uid="{00000000-0005-0000-0000-0000466B0000}"/>
    <cellStyle name="60% - Accent4 2 2 2 22" xfId="44186" xr:uid="{00000000-0005-0000-0000-0000476B0000}"/>
    <cellStyle name="60% - Accent4 2 2 2 23" xfId="45869" xr:uid="{00000000-0005-0000-0000-0000486B0000}"/>
    <cellStyle name="60% - Accent4 2 2 2 24" xfId="47552" xr:uid="{00000000-0005-0000-0000-0000496B0000}"/>
    <cellStyle name="60% - Accent4 2 2 2 25" xfId="49235" xr:uid="{00000000-0005-0000-0000-00004A6B0000}"/>
    <cellStyle name="60% - Accent4 2 2 2 26" xfId="50918" xr:uid="{00000000-0005-0000-0000-00004B6B0000}"/>
    <cellStyle name="60% - Accent4 2 2 2 27" xfId="52601" xr:uid="{00000000-0005-0000-0000-00004C6B0000}"/>
    <cellStyle name="60% - Accent4 2 2 2 28" xfId="54284" xr:uid="{00000000-0005-0000-0000-00004D6B0000}"/>
    <cellStyle name="60% - Accent4 2 2 2 29" xfId="55967" xr:uid="{00000000-0005-0000-0000-00004E6B0000}"/>
    <cellStyle name="60% - Accent4 2 2 2 3" xfId="1265" xr:uid="{00000000-0005-0000-0000-00004F6B0000}"/>
    <cellStyle name="60% - Accent4 2 2 2 3 10" xfId="16414" xr:uid="{00000000-0005-0000-0000-0000506B0000}"/>
    <cellStyle name="60% - Accent4 2 2 2 3 11" xfId="31563" xr:uid="{00000000-0005-0000-0000-0000516B0000}"/>
    <cellStyle name="60% - Accent4 2 2 2 3 12" xfId="33246" xr:uid="{00000000-0005-0000-0000-0000526B0000}"/>
    <cellStyle name="60% - Accent4 2 2 2 3 13" xfId="34929" xr:uid="{00000000-0005-0000-0000-0000536B0000}"/>
    <cellStyle name="60% - Accent4 2 2 2 3 14" xfId="36612" xr:uid="{00000000-0005-0000-0000-0000546B0000}"/>
    <cellStyle name="60% - Accent4 2 2 2 3 15" xfId="38295" xr:uid="{00000000-0005-0000-0000-0000556B0000}"/>
    <cellStyle name="60% - Accent4 2 2 2 3 16" xfId="39978" xr:uid="{00000000-0005-0000-0000-0000566B0000}"/>
    <cellStyle name="60% - Accent4 2 2 2 3 17" xfId="41661" xr:uid="{00000000-0005-0000-0000-0000576B0000}"/>
    <cellStyle name="60% - Accent4 2 2 2 3 18" xfId="43344" xr:uid="{00000000-0005-0000-0000-0000586B0000}"/>
    <cellStyle name="60% - Accent4 2 2 2 3 19" xfId="45027" xr:uid="{00000000-0005-0000-0000-0000596B0000}"/>
    <cellStyle name="60% - Accent4 2 2 2 3 2" xfId="2948" xr:uid="{00000000-0005-0000-0000-00005A6B0000}"/>
    <cellStyle name="60% - Accent4 2 2 2 3 2 2" xfId="18097" xr:uid="{00000000-0005-0000-0000-00005B6B0000}"/>
    <cellStyle name="60% - Accent4 2 2 2 3 20" xfId="46710" xr:uid="{00000000-0005-0000-0000-00005C6B0000}"/>
    <cellStyle name="60% - Accent4 2 2 2 3 21" xfId="48393" xr:uid="{00000000-0005-0000-0000-00005D6B0000}"/>
    <cellStyle name="60% - Accent4 2 2 2 3 22" xfId="50076" xr:uid="{00000000-0005-0000-0000-00005E6B0000}"/>
    <cellStyle name="60% - Accent4 2 2 2 3 23" xfId="51759" xr:uid="{00000000-0005-0000-0000-00005F6B0000}"/>
    <cellStyle name="60% - Accent4 2 2 2 3 24" xfId="53442" xr:uid="{00000000-0005-0000-0000-0000606B0000}"/>
    <cellStyle name="60% - Accent4 2 2 2 3 25" xfId="55125" xr:uid="{00000000-0005-0000-0000-0000616B0000}"/>
    <cellStyle name="60% - Accent4 2 2 2 3 26" xfId="56808" xr:uid="{00000000-0005-0000-0000-0000626B0000}"/>
    <cellStyle name="60% - Accent4 2 2 2 3 27" xfId="58491" xr:uid="{00000000-0005-0000-0000-0000636B0000}"/>
    <cellStyle name="60% - Accent4 2 2 2 3 28" xfId="60174" xr:uid="{00000000-0005-0000-0000-0000646B0000}"/>
    <cellStyle name="60% - Accent4 2 2 2 3 29" xfId="61857" xr:uid="{00000000-0005-0000-0000-0000656B0000}"/>
    <cellStyle name="60% - Accent4 2 2 2 3 3" xfId="4632" xr:uid="{00000000-0005-0000-0000-0000666B0000}"/>
    <cellStyle name="60% - Accent4 2 2 2 3 3 2" xfId="19781" xr:uid="{00000000-0005-0000-0000-0000676B0000}"/>
    <cellStyle name="60% - Accent4 2 2 2 3 30" xfId="63540" xr:uid="{00000000-0005-0000-0000-0000686B0000}"/>
    <cellStyle name="60% - Accent4 2 2 2 3 4" xfId="6315" xr:uid="{00000000-0005-0000-0000-0000696B0000}"/>
    <cellStyle name="60% - Accent4 2 2 2 3 4 2" xfId="21464" xr:uid="{00000000-0005-0000-0000-00006A6B0000}"/>
    <cellStyle name="60% - Accent4 2 2 2 3 5" xfId="7998" xr:uid="{00000000-0005-0000-0000-00006B6B0000}"/>
    <cellStyle name="60% - Accent4 2 2 2 3 5 2" xfId="23147" xr:uid="{00000000-0005-0000-0000-00006C6B0000}"/>
    <cellStyle name="60% - Accent4 2 2 2 3 6" xfId="9681" xr:uid="{00000000-0005-0000-0000-00006D6B0000}"/>
    <cellStyle name="60% - Accent4 2 2 2 3 6 2" xfId="24830" xr:uid="{00000000-0005-0000-0000-00006E6B0000}"/>
    <cellStyle name="60% - Accent4 2 2 2 3 7" xfId="11364" xr:uid="{00000000-0005-0000-0000-00006F6B0000}"/>
    <cellStyle name="60% - Accent4 2 2 2 3 7 2" xfId="26513" xr:uid="{00000000-0005-0000-0000-0000706B0000}"/>
    <cellStyle name="60% - Accent4 2 2 2 3 8" xfId="13048" xr:uid="{00000000-0005-0000-0000-0000716B0000}"/>
    <cellStyle name="60% - Accent4 2 2 2 3 8 2" xfId="28197" xr:uid="{00000000-0005-0000-0000-0000726B0000}"/>
    <cellStyle name="60% - Accent4 2 2 2 3 9" xfId="14731" xr:uid="{00000000-0005-0000-0000-0000736B0000}"/>
    <cellStyle name="60% - Accent4 2 2 2 3 9 2" xfId="29880" xr:uid="{00000000-0005-0000-0000-0000746B0000}"/>
    <cellStyle name="60% - Accent4 2 2 2 30" xfId="57650" xr:uid="{00000000-0005-0000-0000-0000756B0000}"/>
    <cellStyle name="60% - Accent4 2 2 2 31" xfId="59333" xr:uid="{00000000-0005-0000-0000-0000766B0000}"/>
    <cellStyle name="60% - Accent4 2 2 2 32" xfId="61016" xr:uid="{00000000-0005-0000-0000-0000776B0000}"/>
    <cellStyle name="60% - Accent4 2 2 2 33" xfId="62699" xr:uid="{00000000-0005-0000-0000-0000786B0000}"/>
    <cellStyle name="60% - Accent4 2 2 2 4" xfId="1686" xr:uid="{00000000-0005-0000-0000-0000796B0000}"/>
    <cellStyle name="60% - Accent4 2 2 2 4 10" xfId="16835" xr:uid="{00000000-0005-0000-0000-00007A6B0000}"/>
    <cellStyle name="60% - Accent4 2 2 2 4 11" xfId="31984" xr:uid="{00000000-0005-0000-0000-00007B6B0000}"/>
    <cellStyle name="60% - Accent4 2 2 2 4 12" xfId="33667" xr:uid="{00000000-0005-0000-0000-00007C6B0000}"/>
    <cellStyle name="60% - Accent4 2 2 2 4 13" xfId="35350" xr:uid="{00000000-0005-0000-0000-00007D6B0000}"/>
    <cellStyle name="60% - Accent4 2 2 2 4 14" xfId="37033" xr:uid="{00000000-0005-0000-0000-00007E6B0000}"/>
    <cellStyle name="60% - Accent4 2 2 2 4 15" xfId="38716" xr:uid="{00000000-0005-0000-0000-00007F6B0000}"/>
    <cellStyle name="60% - Accent4 2 2 2 4 16" xfId="40399" xr:uid="{00000000-0005-0000-0000-0000806B0000}"/>
    <cellStyle name="60% - Accent4 2 2 2 4 17" xfId="42082" xr:uid="{00000000-0005-0000-0000-0000816B0000}"/>
    <cellStyle name="60% - Accent4 2 2 2 4 18" xfId="43765" xr:uid="{00000000-0005-0000-0000-0000826B0000}"/>
    <cellStyle name="60% - Accent4 2 2 2 4 19" xfId="45448" xr:uid="{00000000-0005-0000-0000-0000836B0000}"/>
    <cellStyle name="60% - Accent4 2 2 2 4 2" xfId="3369" xr:uid="{00000000-0005-0000-0000-0000846B0000}"/>
    <cellStyle name="60% - Accent4 2 2 2 4 2 2" xfId="18518" xr:uid="{00000000-0005-0000-0000-0000856B0000}"/>
    <cellStyle name="60% - Accent4 2 2 2 4 20" xfId="47131" xr:uid="{00000000-0005-0000-0000-0000866B0000}"/>
    <cellStyle name="60% - Accent4 2 2 2 4 21" xfId="48814" xr:uid="{00000000-0005-0000-0000-0000876B0000}"/>
    <cellStyle name="60% - Accent4 2 2 2 4 22" xfId="50497" xr:uid="{00000000-0005-0000-0000-0000886B0000}"/>
    <cellStyle name="60% - Accent4 2 2 2 4 23" xfId="52180" xr:uid="{00000000-0005-0000-0000-0000896B0000}"/>
    <cellStyle name="60% - Accent4 2 2 2 4 24" xfId="53863" xr:uid="{00000000-0005-0000-0000-00008A6B0000}"/>
    <cellStyle name="60% - Accent4 2 2 2 4 25" xfId="55546" xr:uid="{00000000-0005-0000-0000-00008B6B0000}"/>
    <cellStyle name="60% - Accent4 2 2 2 4 26" xfId="57229" xr:uid="{00000000-0005-0000-0000-00008C6B0000}"/>
    <cellStyle name="60% - Accent4 2 2 2 4 27" xfId="58912" xr:uid="{00000000-0005-0000-0000-00008D6B0000}"/>
    <cellStyle name="60% - Accent4 2 2 2 4 28" xfId="60595" xr:uid="{00000000-0005-0000-0000-00008E6B0000}"/>
    <cellStyle name="60% - Accent4 2 2 2 4 29" xfId="62278" xr:uid="{00000000-0005-0000-0000-00008F6B0000}"/>
    <cellStyle name="60% - Accent4 2 2 2 4 3" xfId="5053" xr:uid="{00000000-0005-0000-0000-0000906B0000}"/>
    <cellStyle name="60% - Accent4 2 2 2 4 3 2" xfId="20202" xr:uid="{00000000-0005-0000-0000-0000916B0000}"/>
    <cellStyle name="60% - Accent4 2 2 2 4 30" xfId="63961" xr:uid="{00000000-0005-0000-0000-0000926B0000}"/>
    <cellStyle name="60% - Accent4 2 2 2 4 4" xfId="6736" xr:uid="{00000000-0005-0000-0000-0000936B0000}"/>
    <cellStyle name="60% - Accent4 2 2 2 4 4 2" xfId="21885" xr:uid="{00000000-0005-0000-0000-0000946B0000}"/>
    <cellStyle name="60% - Accent4 2 2 2 4 5" xfId="8419" xr:uid="{00000000-0005-0000-0000-0000956B0000}"/>
    <cellStyle name="60% - Accent4 2 2 2 4 5 2" xfId="23568" xr:uid="{00000000-0005-0000-0000-0000966B0000}"/>
    <cellStyle name="60% - Accent4 2 2 2 4 6" xfId="10102" xr:uid="{00000000-0005-0000-0000-0000976B0000}"/>
    <cellStyle name="60% - Accent4 2 2 2 4 6 2" xfId="25251" xr:uid="{00000000-0005-0000-0000-0000986B0000}"/>
    <cellStyle name="60% - Accent4 2 2 2 4 7" xfId="11785" xr:uid="{00000000-0005-0000-0000-0000996B0000}"/>
    <cellStyle name="60% - Accent4 2 2 2 4 7 2" xfId="26934" xr:uid="{00000000-0005-0000-0000-00009A6B0000}"/>
    <cellStyle name="60% - Accent4 2 2 2 4 8" xfId="13469" xr:uid="{00000000-0005-0000-0000-00009B6B0000}"/>
    <cellStyle name="60% - Accent4 2 2 2 4 8 2" xfId="28618" xr:uid="{00000000-0005-0000-0000-00009C6B0000}"/>
    <cellStyle name="60% - Accent4 2 2 2 4 9" xfId="15152" xr:uid="{00000000-0005-0000-0000-00009D6B0000}"/>
    <cellStyle name="60% - Accent4 2 2 2 4 9 2" xfId="30301" xr:uid="{00000000-0005-0000-0000-00009E6B0000}"/>
    <cellStyle name="60% - Accent4 2 2 2 5" xfId="2107" xr:uid="{00000000-0005-0000-0000-00009F6B0000}"/>
    <cellStyle name="60% - Accent4 2 2 2 5 2" xfId="17256" xr:uid="{00000000-0005-0000-0000-0000A06B0000}"/>
    <cellStyle name="60% - Accent4 2 2 2 6" xfId="3791" xr:uid="{00000000-0005-0000-0000-0000A16B0000}"/>
    <cellStyle name="60% - Accent4 2 2 2 6 2" xfId="18940" xr:uid="{00000000-0005-0000-0000-0000A26B0000}"/>
    <cellStyle name="60% - Accent4 2 2 2 7" xfId="5474" xr:uid="{00000000-0005-0000-0000-0000A36B0000}"/>
    <cellStyle name="60% - Accent4 2 2 2 7 2" xfId="20623" xr:uid="{00000000-0005-0000-0000-0000A46B0000}"/>
    <cellStyle name="60% - Accent4 2 2 2 8" xfId="7157" xr:uid="{00000000-0005-0000-0000-0000A56B0000}"/>
    <cellStyle name="60% - Accent4 2 2 2 8 2" xfId="22306" xr:uid="{00000000-0005-0000-0000-0000A66B0000}"/>
    <cellStyle name="60% - Accent4 2 2 2 9" xfId="8840" xr:uid="{00000000-0005-0000-0000-0000A76B0000}"/>
    <cellStyle name="60% - Accent4 2 2 2 9 2" xfId="23989" xr:uid="{00000000-0005-0000-0000-0000A86B0000}"/>
    <cellStyle name="60% - Accent4 2 2 20" xfId="38927" xr:uid="{00000000-0005-0000-0000-0000A96B0000}"/>
    <cellStyle name="60% - Accent4 2 2 21" xfId="40610" xr:uid="{00000000-0005-0000-0000-0000AA6B0000}"/>
    <cellStyle name="60% - Accent4 2 2 22" xfId="42293" xr:uid="{00000000-0005-0000-0000-0000AB6B0000}"/>
    <cellStyle name="60% - Accent4 2 2 23" xfId="43976" xr:uid="{00000000-0005-0000-0000-0000AC6B0000}"/>
    <cellStyle name="60% - Accent4 2 2 24" xfId="45659" xr:uid="{00000000-0005-0000-0000-0000AD6B0000}"/>
    <cellStyle name="60% - Accent4 2 2 25" xfId="47342" xr:uid="{00000000-0005-0000-0000-0000AE6B0000}"/>
    <cellStyle name="60% - Accent4 2 2 26" xfId="49025" xr:uid="{00000000-0005-0000-0000-0000AF6B0000}"/>
    <cellStyle name="60% - Accent4 2 2 27" xfId="50708" xr:uid="{00000000-0005-0000-0000-0000B06B0000}"/>
    <cellStyle name="60% - Accent4 2 2 28" xfId="52391" xr:uid="{00000000-0005-0000-0000-0000B16B0000}"/>
    <cellStyle name="60% - Accent4 2 2 29" xfId="54074" xr:uid="{00000000-0005-0000-0000-0000B26B0000}"/>
    <cellStyle name="60% - Accent4 2 2 3" xfId="634" xr:uid="{00000000-0005-0000-0000-0000B36B0000}"/>
    <cellStyle name="60% - Accent4 2 2 3 10" xfId="15783" xr:uid="{00000000-0005-0000-0000-0000B46B0000}"/>
    <cellStyle name="60% - Accent4 2 2 3 11" xfId="30932" xr:uid="{00000000-0005-0000-0000-0000B56B0000}"/>
    <cellStyle name="60% - Accent4 2 2 3 12" xfId="32615" xr:uid="{00000000-0005-0000-0000-0000B66B0000}"/>
    <cellStyle name="60% - Accent4 2 2 3 13" xfId="34298" xr:uid="{00000000-0005-0000-0000-0000B76B0000}"/>
    <cellStyle name="60% - Accent4 2 2 3 14" xfId="35981" xr:uid="{00000000-0005-0000-0000-0000B86B0000}"/>
    <cellStyle name="60% - Accent4 2 2 3 15" xfId="37664" xr:uid="{00000000-0005-0000-0000-0000B96B0000}"/>
    <cellStyle name="60% - Accent4 2 2 3 16" xfId="39347" xr:uid="{00000000-0005-0000-0000-0000BA6B0000}"/>
    <cellStyle name="60% - Accent4 2 2 3 17" xfId="41030" xr:uid="{00000000-0005-0000-0000-0000BB6B0000}"/>
    <cellStyle name="60% - Accent4 2 2 3 18" xfId="42713" xr:uid="{00000000-0005-0000-0000-0000BC6B0000}"/>
    <cellStyle name="60% - Accent4 2 2 3 19" xfId="44396" xr:uid="{00000000-0005-0000-0000-0000BD6B0000}"/>
    <cellStyle name="60% - Accent4 2 2 3 2" xfId="2317" xr:uid="{00000000-0005-0000-0000-0000BE6B0000}"/>
    <cellStyle name="60% - Accent4 2 2 3 2 2" xfId="17466" xr:uid="{00000000-0005-0000-0000-0000BF6B0000}"/>
    <cellStyle name="60% - Accent4 2 2 3 20" xfId="46079" xr:uid="{00000000-0005-0000-0000-0000C06B0000}"/>
    <cellStyle name="60% - Accent4 2 2 3 21" xfId="47762" xr:uid="{00000000-0005-0000-0000-0000C16B0000}"/>
    <cellStyle name="60% - Accent4 2 2 3 22" xfId="49445" xr:uid="{00000000-0005-0000-0000-0000C26B0000}"/>
    <cellStyle name="60% - Accent4 2 2 3 23" xfId="51128" xr:uid="{00000000-0005-0000-0000-0000C36B0000}"/>
    <cellStyle name="60% - Accent4 2 2 3 24" xfId="52811" xr:uid="{00000000-0005-0000-0000-0000C46B0000}"/>
    <cellStyle name="60% - Accent4 2 2 3 25" xfId="54494" xr:uid="{00000000-0005-0000-0000-0000C56B0000}"/>
    <cellStyle name="60% - Accent4 2 2 3 26" xfId="56177" xr:uid="{00000000-0005-0000-0000-0000C66B0000}"/>
    <cellStyle name="60% - Accent4 2 2 3 27" xfId="57860" xr:uid="{00000000-0005-0000-0000-0000C76B0000}"/>
    <cellStyle name="60% - Accent4 2 2 3 28" xfId="59543" xr:uid="{00000000-0005-0000-0000-0000C86B0000}"/>
    <cellStyle name="60% - Accent4 2 2 3 29" xfId="61226" xr:uid="{00000000-0005-0000-0000-0000C96B0000}"/>
    <cellStyle name="60% - Accent4 2 2 3 3" xfId="4001" xr:uid="{00000000-0005-0000-0000-0000CA6B0000}"/>
    <cellStyle name="60% - Accent4 2 2 3 3 2" xfId="19150" xr:uid="{00000000-0005-0000-0000-0000CB6B0000}"/>
    <cellStyle name="60% - Accent4 2 2 3 30" xfId="62909" xr:uid="{00000000-0005-0000-0000-0000CC6B0000}"/>
    <cellStyle name="60% - Accent4 2 2 3 4" xfId="5684" xr:uid="{00000000-0005-0000-0000-0000CD6B0000}"/>
    <cellStyle name="60% - Accent4 2 2 3 4 2" xfId="20833" xr:uid="{00000000-0005-0000-0000-0000CE6B0000}"/>
    <cellStyle name="60% - Accent4 2 2 3 5" xfId="7367" xr:uid="{00000000-0005-0000-0000-0000CF6B0000}"/>
    <cellStyle name="60% - Accent4 2 2 3 5 2" xfId="22516" xr:uid="{00000000-0005-0000-0000-0000D06B0000}"/>
    <cellStyle name="60% - Accent4 2 2 3 6" xfId="9050" xr:uid="{00000000-0005-0000-0000-0000D16B0000}"/>
    <cellStyle name="60% - Accent4 2 2 3 6 2" xfId="24199" xr:uid="{00000000-0005-0000-0000-0000D26B0000}"/>
    <cellStyle name="60% - Accent4 2 2 3 7" xfId="10733" xr:uid="{00000000-0005-0000-0000-0000D36B0000}"/>
    <cellStyle name="60% - Accent4 2 2 3 7 2" xfId="25882" xr:uid="{00000000-0005-0000-0000-0000D46B0000}"/>
    <cellStyle name="60% - Accent4 2 2 3 8" xfId="12417" xr:uid="{00000000-0005-0000-0000-0000D56B0000}"/>
    <cellStyle name="60% - Accent4 2 2 3 8 2" xfId="27566" xr:uid="{00000000-0005-0000-0000-0000D66B0000}"/>
    <cellStyle name="60% - Accent4 2 2 3 9" xfId="14100" xr:uid="{00000000-0005-0000-0000-0000D76B0000}"/>
    <cellStyle name="60% - Accent4 2 2 3 9 2" xfId="29249" xr:uid="{00000000-0005-0000-0000-0000D86B0000}"/>
    <cellStyle name="60% - Accent4 2 2 30" xfId="55757" xr:uid="{00000000-0005-0000-0000-0000D96B0000}"/>
    <cellStyle name="60% - Accent4 2 2 31" xfId="57440" xr:uid="{00000000-0005-0000-0000-0000DA6B0000}"/>
    <cellStyle name="60% - Accent4 2 2 32" xfId="59123" xr:uid="{00000000-0005-0000-0000-0000DB6B0000}"/>
    <cellStyle name="60% - Accent4 2 2 33" xfId="60806" xr:uid="{00000000-0005-0000-0000-0000DC6B0000}"/>
    <cellStyle name="60% - Accent4 2 2 34" xfId="62489" xr:uid="{00000000-0005-0000-0000-0000DD6B0000}"/>
    <cellStyle name="60% - Accent4 2 2 4" xfId="1055" xr:uid="{00000000-0005-0000-0000-0000DE6B0000}"/>
    <cellStyle name="60% - Accent4 2 2 4 10" xfId="16204" xr:uid="{00000000-0005-0000-0000-0000DF6B0000}"/>
    <cellStyle name="60% - Accent4 2 2 4 11" xfId="31353" xr:uid="{00000000-0005-0000-0000-0000E06B0000}"/>
    <cellStyle name="60% - Accent4 2 2 4 12" xfId="33036" xr:uid="{00000000-0005-0000-0000-0000E16B0000}"/>
    <cellStyle name="60% - Accent4 2 2 4 13" xfId="34719" xr:uid="{00000000-0005-0000-0000-0000E26B0000}"/>
    <cellStyle name="60% - Accent4 2 2 4 14" xfId="36402" xr:uid="{00000000-0005-0000-0000-0000E36B0000}"/>
    <cellStyle name="60% - Accent4 2 2 4 15" xfId="38085" xr:uid="{00000000-0005-0000-0000-0000E46B0000}"/>
    <cellStyle name="60% - Accent4 2 2 4 16" xfId="39768" xr:uid="{00000000-0005-0000-0000-0000E56B0000}"/>
    <cellStyle name="60% - Accent4 2 2 4 17" xfId="41451" xr:uid="{00000000-0005-0000-0000-0000E66B0000}"/>
    <cellStyle name="60% - Accent4 2 2 4 18" xfId="43134" xr:uid="{00000000-0005-0000-0000-0000E76B0000}"/>
    <cellStyle name="60% - Accent4 2 2 4 19" xfId="44817" xr:uid="{00000000-0005-0000-0000-0000E86B0000}"/>
    <cellStyle name="60% - Accent4 2 2 4 2" xfId="2738" xr:uid="{00000000-0005-0000-0000-0000E96B0000}"/>
    <cellStyle name="60% - Accent4 2 2 4 2 2" xfId="17887" xr:uid="{00000000-0005-0000-0000-0000EA6B0000}"/>
    <cellStyle name="60% - Accent4 2 2 4 20" xfId="46500" xr:uid="{00000000-0005-0000-0000-0000EB6B0000}"/>
    <cellStyle name="60% - Accent4 2 2 4 21" xfId="48183" xr:uid="{00000000-0005-0000-0000-0000EC6B0000}"/>
    <cellStyle name="60% - Accent4 2 2 4 22" xfId="49866" xr:uid="{00000000-0005-0000-0000-0000ED6B0000}"/>
    <cellStyle name="60% - Accent4 2 2 4 23" xfId="51549" xr:uid="{00000000-0005-0000-0000-0000EE6B0000}"/>
    <cellStyle name="60% - Accent4 2 2 4 24" xfId="53232" xr:uid="{00000000-0005-0000-0000-0000EF6B0000}"/>
    <cellStyle name="60% - Accent4 2 2 4 25" xfId="54915" xr:uid="{00000000-0005-0000-0000-0000F06B0000}"/>
    <cellStyle name="60% - Accent4 2 2 4 26" xfId="56598" xr:uid="{00000000-0005-0000-0000-0000F16B0000}"/>
    <cellStyle name="60% - Accent4 2 2 4 27" xfId="58281" xr:uid="{00000000-0005-0000-0000-0000F26B0000}"/>
    <cellStyle name="60% - Accent4 2 2 4 28" xfId="59964" xr:uid="{00000000-0005-0000-0000-0000F36B0000}"/>
    <cellStyle name="60% - Accent4 2 2 4 29" xfId="61647" xr:uid="{00000000-0005-0000-0000-0000F46B0000}"/>
    <cellStyle name="60% - Accent4 2 2 4 3" xfId="4422" xr:uid="{00000000-0005-0000-0000-0000F56B0000}"/>
    <cellStyle name="60% - Accent4 2 2 4 3 2" xfId="19571" xr:uid="{00000000-0005-0000-0000-0000F66B0000}"/>
    <cellStyle name="60% - Accent4 2 2 4 30" xfId="63330" xr:uid="{00000000-0005-0000-0000-0000F76B0000}"/>
    <cellStyle name="60% - Accent4 2 2 4 4" xfId="6105" xr:uid="{00000000-0005-0000-0000-0000F86B0000}"/>
    <cellStyle name="60% - Accent4 2 2 4 4 2" xfId="21254" xr:uid="{00000000-0005-0000-0000-0000F96B0000}"/>
    <cellStyle name="60% - Accent4 2 2 4 5" xfId="7788" xr:uid="{00000000-0005-0000-0000-0000FA6B0000}"/>
    <cellStyle name="60% - Accent4 2 2 4 5 2" xfId="22937" xr:uid="{00000000-0005-0000-0000-0000FB6B0000}"/>
    <cellStyle name="60% - Accent4 2 2 4 6" xfId="9471" xr:uid="{00000000-0005-0000-0000-0000FC6B0000}"/>
    <cellStyle name="60% - Accent4 2 2 4 6 2" xfId="24620" xr:uid="{00000000-0005-0000-0000-0000FD6B0000}"/>
    <cellStyle name="60% - Accent4 2 2 4 7" xfId="11154" xr:uid="{00000000-0005-0000-0000-0000FE6B0000}"/>
    <cellStyle name="60% - Accent4 2 2 4 7 2" xfId="26303" xr:uid="{00000000-0005-0000-0000-0000FF6B0000}"/>
    <cellStyle name="60% - Accent4 2 2 4 8" xfId="12838" xr:uid="{00000000-0005-0000-0000-0000006C0000}"/>
    <cellStyle name="60% - Accent4 2 2 4 8 2" xfId="27987" xr:uid="{00000000-0005-0000-0000-0000016C0000}"/>
    <cellStyle name="60% - Accent4 2 2 4 9" xfId="14521" xr:uid="{00000000-0005-0000-0000-0000026C0000}"/>
    <cellStyle name="60% - Accent4 2 2 4 9 2" xfId="29670" xr:uid="{00000000-0005-0000-0000-0000036C0000}"/>
    <cellStyle name="60% - Accent4 2 2 5" xfId="1476" xr:uid="{00000000-0005-0000-0000-0000046C0000}"/>
    <cellStyle name="60% - Accent4 2 2 5 10" xfId="16625" xr:uid="{00000000-0005-0000-0000-0000056C0000}"/>
    <cellStyle name="60% - Accent4 2 2 5 11" xfId="31774" xr:uid="{00000000-0005-0000-0000-0000066C0000}"/>
    <cellStyle name="60% - Accent4 2 2 5 12" xfId="33457" xr:uid="{00000000-0005-0000-0000-0000076C0000}"/>
    <cellStyle name="60% - Accent4 2 2 5 13" xfId="35140" xr:uid="{00000000-0005-0000-0000-0000086C0000}"/>
    <cellStyle name="60% - Accent4 2 2 5 14" xfId="36823" xr:uid="{00000000-0005-0000-0000-0000096C0000}"/>
    <cellStyle name="60% - Accent4 2 2 5 15" xfId="38506" xr:uid="{00000000-0005-0000-0000-00000A6C0000}"/>
    <cellStyle name="60% - Accent4 2 2 5 16" xfId="40189" xr:uid="{00000000-0005-0000-0000-00000B6C0000}"/>
    <cellStyle name="60% - Accent4 2 2 5 17" xfId="41872" xr:uid="{00000000-0005-0000-0000-00000C6C0000}"/>
    <cellStyle name="60% - Accent4 2 2 5 18" xfId="43555" xr:uid="{00000000-0005-0000-0000-00000D6C0000}"/>
    <cellStyle name="60% - Accent4 2 2 5 19" xfId="45238" xr:uid="{00000000-0005-0000-0000-00000E6C0000}"/>
    <cellStyle name="60% - Accent4 2 2 5 2" xfId="3159" xr:uid="{00000000-0005-0000-0000-00000F6C0000}"/>
    <cellStyle name="60% - Accent4 2 2 5 2 2" xfId="18308" xr:uid="{00000000-0005-0000-0000-0000106C0000}"/>
    <cellStyle name="60% - Accent4 2 2 5 20" xfId="46921" xr:uid="{00000000-0005-0000-0000-0000116C0000}"/>
    <cellStyle name="60% - Accent4 2 2 5 21" xfId="48604" xr:uid="{00000000-0005-0000-0000-0000126C0000}"/>
    <cellStyle name="60% - Accent4 2 2 5 22" xfId="50287" xr:uid="{00000000-0005-0000-0000-0000136C0000}"/>
    <cellStyle name="60% - Accent4 2 2 5 23" xfId="51970" xr:uid="{00000000-0005-0000-0000-0000146C0000}"/>
    <cellStyle name="60% - Accent4 2 2 5 24" xfId="53653" xr:uid="{00000000-0005-0000-0000-0000156C0000}"/>
    <cellStyle name="60% - Accent4 2 2 5 25" xfId="55336" xr:uid="{00000000-0005-0000-0000-0000166C0000}"/>
    <cellStyle name="60% - Accent4 2 2 5 26" xfId="57019" xr:uid="{00000000-0005-0000-0000-0000176C0000}"/>
    <cellStyle name="60% - Accent4 2 2 5 27" xfId="58702" xr:uid="{00000000-0005-0000-0000-0000186C0000}"/>
    <cellStyle name="60% - Accent4 2 2 5 28" xfId="60385" xr:uid="{00000000-0005-0000-0000-0000196C0000}"/>
    <cellStyle name="60% - Accent4 2 2 5 29" xfId="62068" xr:uid="{00000000-0005-0000-0000-00001A6C0000}"/>
    <cellStyle name="60% - Accent4 2 2 5 3" xfId="4843" xr:uid="{00000000-0005-0000-0000-00001B6C0000}"/>
    <cellStyle name="60% - Accent4 2 2 5 3 2" xfId="19992" xr:uid="{00000000-0005-0000-0000-00001C6C0000}"/>
    <cellStyle name="60% - Accent4 2 2 5 30" xfId="63751" xr:uid="{00000000-0005-0000-0000-00001D6C0000}"/>
    <cellStyle name="60% - Accent4 2 2 5 4" xfId="6526" xr:uid="{00000000-0005-0000-0000-00001E6C0000}"/>
    <cellStyle name="60% - Accent4 2 2 5 4 2" xfId="21675" xr:uid="{00000000-0005-0000-0000-00001F6C0000}"/>
    <cellStyle name="60% - Accent4 2 2 5 5" xfId="8209" xr:uid="{00000000-0005-0000-0000-0000206C0000}"/>
    <cellStyle name="60% - Accent4 2 2 5 5 2" xfId="23358" xr:uid="{00000000-0005-0000-0000-0000216C0000}"/>
    <cellStyle name="60% - Accent4 2 2 5 6" xfId="9892" xr:uid="{00000000-0005-0000-0000-0000226C0000}"/>
    <cellStyle name="60% - Accent4 2 2 5 6 2" xfId="25041" xr:uid="{00000000-0005-0000-0000-0000236C0000}"/>
    <cellStyle name="60% - Accent4 2 2 5 7" xfId="11575" xr:uid="{00000000-0005-0000-0000-0000246C0000}"/>
    <cellStyle name="60% - Accent4 2 2 5 7 2" xfId="26724" xr:uid="{00000000-0005-0000-0000-0000256C0000}"/>
    <cellStyle name="60% - Accent4 2 2 5 8" xfId="13259" xr:uid="{00000000-0005-0000-0000-0000266C0000}"/>
    <cellStyle name="60% - Accent4 2 2 5 8 2" xfId="28408" xr:uid="{00000000-0005-0000-0000-0000276C0000}"/>
    <cellStyle name="60% - Accent4 2 2 5 9" xfId="14942" xr:uid="{00000000-0005-0000-0000-0000286C0000}"/>
    <cellStyle name="60% - Accent4 2 2 5 9 2" xfId="30091" xr:uid="{00000000-0005-0000-0000-0000296C0000}"/>
    <cellStyle name="60% - Accent4 2 2 6" xfId="1897" xr:uid="{00000000-0005-0000-0000-00002A6C0000}"/>
    <cellStyle name="60% - Accent4 2 2 6 2" xfId="17046" xr:uid="{00000000-0005-0000-0000-00002B6C0000}"/>
    <cellStyle name="60% - Accent4 2 2 7" xfId="3581" xr:uid="{00000000-0005-0000-0000-00002C6C0000}"/>
    <cellStyle name="60% - Accent4 2 2 7 2" xfId="18730" xr:uid="{00000000-0005-0000-0000-00002D6C0000}"/>
    <cellStyle name="60% - Accent4 2 2 8" xfId="5264" xr:uid="{00000000-0005-0000-0000-00002E6C0000}"/>
    <cellStyle name="60% - Accent4 2 2 8 2" xfId="20413" xr:uid="{00000000-0005-0000-0000-00002F6C0000}"/>
    <cellStyle name="60% - Accent4 2 2 9" xfId="6947" xr:uid="{00000000-0005-0000-0000-0000306C0000}"/>
    <cellStyle name="60% - Accent4 2 2 9 2" xfId="22096" xr:uid="{00000000-0005-0000-0000-0000316C0000}"/>
    <cellStyle name="60% - Accent4 2 20" xfId="37139" xr:uid="{00000000-0005-0000-0000-0000326C0000}"/>
    <cellStyle name="60% - Accent4 2 21" xfId="38822" xr:uid="{00000000-0005-0000-0000-0000336C0000}"/>
    <cellStyle name="60% - Accent4 2 22" xfId="40505" xr:uid="{00000000-0005-0000-0000-0000346C0000}"/>
    <cellStyle name="60% - Accent4 2 23" xfId="42188" xr:uid="{00000000-0005-0000-0000-0000356C0000}"/>
    <cellStyle name="60% - Accent4 2 24" xfId="43871" xr:uid="{00000000-0005-0000-0000-0000366C0000}"/>
    <cellStyle name="60% - Accent4 2 25" xfId="45554" xr:uid="{00000000-0005-0000-0000-0000376C0000}"/>
    <cellStyle name="60% - Accent4 2 26" xfId="47237" xr:uid="{00000000-0005-0000-0000-0000386C0000}"/>
    <cellStyle name="60% - Accent4 2 27" xfId="48920" xr:uid="{00000000-0005-0000-0000-0000396C0000}"/>
    <cellStyle name="60% - Accent4 2 28" xfId="50603" xr:uid="{00000000-0005-0000-0000-00003A6C0000}"/>
    <cellStyle name="60% - Accent4 2 29" xfId="52286" xr:uid="{00000000-0005-0000-0000-00003B6C0000}"/>
    <cellStyle name="60% - Accent4 2 3" xfId="319" xr:uid="{00000000-0005-0000-0000-00003C6C0000}"/>
    <cellStyle name="60% - Accent4 2 3 10" xfId="10418" xr:uid="{00000000-0005-0000-0000-00003D6C0000}"/>
    <cellStyle name="60% - Accent4 2 3 10 2" xfId="25567" xr:uid="{00000000-0005-0000-0000-00003E6C0000}"/>
    <cellStyle name="60% - Accent4 2 3 11" xfId="12102" xr:uid="{00000000-0005-0000-0000-00003F6C0000}"/>
    <cellStyle name="60% - Accent4 2 3 11 2" xfId="27251" xr:uid="{00000000-0005-0000-0000-0000406C0000}"/>
    <cellStyle name="60% - Accent4 2 3 12" xfId="13785" xr:uid="{00000000-0005-0000-0000-0000416C0000}"/>
    <cellStyle name="60% - Accent4 2 3 12 2" xfId="28934" xr:uid="{00000000-0005-0000-0000-0000426C0000}"/>
    <cellStyle name="60% - Accent4 2 3 13" xfId="15468" xr:uid="{00000000-0005-0000-0000-0000436C0000}"/>
    <cellStyle name="60% - Accent4 2 3 14" xfId="30617" xr:uid="{00000000-0005-0000-0000-0000446C0000}"/>
    <cellStyle name="60% - Accent4 2 3 15" xfId="32300" xr:uid="{00000000-0005-0000-0000-0000456C0000}"/>
    <cellStyle name="60% - Accent4 2 3 16" xfId="33983" xr:uid="{00000000-0005-0000-0000-0000466C0000}"/>
    <cellStyle name="60% - Accent4 2 3 17" xfId="35666" xr:uid="{00000000-0005-0000-0000-0000476C0000}"/>
    <cellStyle name="60% - Accent4 2 3 18" xfId="37349" xr:uid="{00000000-0005-0000-0000-0000486C0000}"/>
    <cellStyle name="60% - Accent4 2 3 19" xfId="39032" xr:uid="{00000000-0005-0000-0000-0000496C0000}"/>
    <cellStyle name="60% - Accent4 2 3 2" xfId="739" xr:uid="{00000000-0005-0000-0000-00004A6C0000}"/>
    <cellStyle name="60% - Accent4 2 3 2 10" xfId="15888" xr:uid="{00000000-0005-0000-0000-00004B6C0000}"/>
    <cellStyle name="60% - Accent4 2 3 2 11" xfId="31037" xr:uid="{00000000-0005-0000-0000-00004C6C0000}"/>
    <cellStyle name="60% - Accent4 2 3 2 12" xfId="32720" xr:uid="{00000000-0005-0000-0000-00004D6C0000}"/>
    <cellStyle name="60% - Accent4 2 3 2 13" xfId="34403" xr:uid="{00000000-0005-0000-0000-00004E6C0000}"/>
    <cellStyle name="60% - Accent4 2 3 2 14" xfId="36086" xr:uid="{00000000-0005-0000-0000-00004F6C0000}"/>
    <cellStyle name="60% - Accent4 2 3 2 15" xfId="37769" xr:uid="{00000000-0005-0000-0000-0000506C0000}"/>
    <cellStyle name="60% - Accent4 2 3 2 16" xfId="39452" xr:uid="{00000000-0005-0000-0000-0000516C0000}"/>
    <cellStyle name="60% - Accent4 2 3 2 17" xfId="41135" xr:uid="{00000000-0005-0000-0000-0000526C0000}"/>
    <cellStyle name="60% - Accent4 2 3 2 18" xfId="42818" xr:uid="{00000000-0005-0000-0000-0000536C0000}"/>
    <cellStyle name="60% - Accent4 2 3 2 19" xfId="44501" xr:uid="{00000000-0005-0000-0000-0000546C0000}"/>
    <cellStyle name="60% - Accent4 2 3 2 2" xfId="2422" xr:uid="{00000000-0005-0000-0000-0000556C0000}"/>
    <cellStyle name="60% - Accent4 2 3 2 2 2" xfId="17571" xr:uid="{00000000-0005-0000-0000-0000566C0000}"/>
    <cellStyle name="60% - Accent4 2 3 2 20" xfId="46184" xr:uid="{00000000-0005-0000-0000-0000576C0000}"/>
    <cellStyle name="60% - Accent4 2 3 2 21" xfId="47867" xr:uid="{00000000-0005-0000-0000-0000586C0000}"/>
    <cellStyle name="60% - Accent4 2 3 2 22" xfId="49550" xr:uid="{00000000-0005-0000-0000-0000596C0000}"/>
    <cellStyle name="60% - Accent4 2 3 2 23" xfId="51233" xr:uid="{00000000-0005-0000-0000-00005A6C0000}"/>
    <cellStyle name="60% - Accent4 2 3 2 24" xfId="52916" xr:uid="{00000000-0005-0000-0000-00005B6C0000}"/>
    <cellStyle name="60% - Accent4 2 3 2 25" xfId="54599" xr:uid="{00000000-0005-0000-0000-00005C6C0000}"/>
    <cellStyle name="60% - Accent4 2 3 2 26" xfId="56282" xr:uid="{00000000-0005-0000-0000-00005D6C0000}"/>
    <cellStyle name="60% - Accent4 2 3 2 27" xfId="57965" xr:uid="{00000000-0005-0000-0000-00005E6C0000}"/>
    <cellStyle name="60% - Accent4 2 3 2 28" xfId="59648" xr:uid="{00000000-0005-0000-0000-00005F6C0000}"/>
    <cellStyle name="60% - Accent4 2 3 2 29" xfId="61331" xr:uid="{00000000-0005-0000-0000-0000606C0000}"/>
    <cellStyle name="60% - Accent4 2 3 2 3" xfId="4106" xr:uid="{00000000-0005-0000-0000-0000616C0000}"/>
    <cellStyle name="60% - Accent4 2 3 2 3 2" xfId="19255" xr:uid="{00000000-0005-0000-0000-0000626C0000}"/>
    <cellStyle name="60% - Accent4 2 3 2 30" xfId="63014" xr:uid="{00000000-0005-0000-0000-0000636C0000}"/>
    <cellStyle name="60% - Accent4 2 3 2 4" xfId="5789" xr:uid="{00000000-0005-0000-0000-0000646C0000}"/>
    <cellStyle name="60% - Accent4 2 3 2 4 2" xfId="20938" xr:uid="{00000000-0005-0000-0000-0000656C0000}"/>
    <cellStyle name="60% - Accent4 2 3 2 5" xfId="7472" xr:uid="{00000000-0005-0000-0000-0000666C0000}"/>
    <cellStyle name="60% - Accent4 2 3 2 5 2" xfId="22621" xr:uid="{00000000-0005-0000-0000-0000676C0000}"/>
    <cellStyle name="60% - Accent4 2 3 2 6" xfId="9155" xr:uid="{00000000-0005-0000-0000-0000686C0000}"/>
    <cellStyle name="60% - Accent4 2 3 2 6 2" xfId="24304" xr:uid="{00000000-0005-0000-0000-0000696C0000}"/>
    <cellStyle name="60% - Accent4 2 3 2 7" xfId="10838" xr:uid="{00000000-0005-0000-0000-00006A6C0000}"/>
    <cellStyle name="60% - Accent4 2 3 2 7 2" xfId="25987" xr:uid="{00000000-0005-0000-0000-00006B6C0000}"/>
    <cellStyle name="60% - Accent4 2 3 2 8" xfId="12522" xr:uid="{00000000-0005-0000-0000-00006C6C0000}"/>
    <cellStyle name="60% - Accent4 2 3 2 8 2" xfId="27671" xr:uid="{00000000-0005-0000-0000-00006D6C0000}"/>
    <cellStyle name="60% - Accent4 2 3 2 9" xfId="14205" xr:uid="{00000000-0005-0000-0000-00006E6C0000}"/>
    <cellStyle name="60% - Accent4 2 3 2 9 2" xfId="29354" xr:uid="{00000000-0005-0000-0000-00006F6C0000}"/>
    <cellStyle name="60% - Accent4 2 3 20" xfId="40715" xr:uid="{00000000-0005-0000-0000-0000706C0000}"/>
    <cellStyle name="60% - Accent4 2 3 21" xfId="42398" xr:uid="{00000000-0005-0000-0000-0000716C0000}"/>
    <cellStyle name="60% - Accent4 2 3 22" xfId="44081" xr:uid="{00000000-0005-0000-0000-0000726C0000}"/>
    <cellStyle name="60% - Accent4 2 3 23" xfId="45764" xr:uid="{00000000-0005-0000-0000-0000736C0000}"/>
    <cellStyle name="60% - Accent4 2 3 24" xfId="47447" xr:uid="{00000000-0005-0000-0000-0000746C0000}"/>
    <cellStyle name="60% - Accent4 2 3 25" xfId="49130" xr:uid="{00000000-0005-0000-0000-0000756C0000}"/>
    <cellStyle name="60% - Accent4 2 3 26" xfId="50813" xr:uid="{00000000-0005-0000-0000-0000766C0000}"/>
    <cellStyle name="60% - Accent4 2 3 27" xfId="52496" xr:uid="{00000000-0005-0000-0000-0000776C0000}"/>
    <cellStyle name="60% - Accent4 2 3 28" xfId="54179" xr:uid="{00000000-0005-0000-0000-0000786C0000}"/>
    <cellStyle name="60% - Accent4 2 3 29" xfId="55862" xr:uid="{00000000-0005-0000-0000-0000796C0000}"/>
    <cellStyle name="60% - Accent4 2 3 3" xfId="1160" xr:uid="{00000000-0005-0000-0000-00007A6C0000}"/>
    <cellStyle name="60% - Accent4 2 3 3 10" xfId="16309" xr:uid="{00000000-0005-0000-0000-00007B6C0000}"/>
    <cellStyle name="60% - Accent4 2 3 3 11" xfId="31458" xr:uid="{00000000-0005-0000-0000-00007C6C0000}"/>
    <cellStyle name="60% - Accent4 2 3 3 12" xfId="33141" xr:uid="{00000000-0005-0000-0000-00007D6C0000}"/>
    <cellStyle name="60% - Accent4 2 3 3 13" xfId="34824" xr:uid="{00000000-0005-0000-0000-00007E6C0000}"/>
    <cellStyle name="60% - Accent4 2 3 3 14" xfId="36507" xr:uid="{00000000-0005-0000-0000-00007F6C0000}"/>
    <cellStyle name="60% - Accent4 2 3 3 15" xfId="38190" xr:uid="{00000000-0005-0000-0000-0000806C0000}"/>
    <cellStyle name="60% - Accent4 2 3 3 16" xfId="39873" xr:uid="{00000000-0005-0000-0000-0000816C0000}"/>
    <cellStyle name="60% - Accent4 2 3 3 17" xfId="41556" xr:uid="{00000000-0005-0000-0000-0000826C0000}"/>
    <cellStyle name="60% - Accent4 2 3 3 18" xfId="43239" xr:uid="{00000000-0005-0000-0000-0000836C0000}"/>
    <cellStyle name="60% - Accent4 2 3 3 19" xfId="44922" xr:uid="{00000000-0005-0000-0000-0000846C0000}"/>
    <cellStyle name="60% - Accent4 2 3 3 2" xfId="2843" xr:uid="{00000000-0005-0000-0000-0000856C0000}"/>
    <cellStyle name="60% - Accent4 2 3 3 2 2" xfId="17992" xr:uid="{00000000-0005-0000-0000-0000866C0000}"/>
    <cellStyle name="60% - Accent4 2 3 3 20" xfId="46605" xr:uid="{00000000-0005-0000-0000-0000876C0000}"/>
    <cellStyle name="60% - Accent4 2 3 3 21" xfId="48288" xr:uid="{00000000-0005-0000-0000-0000886C0000}"/>
    <cellStyle name="60% - Accent4 2 3 3 22" xfId="49971" xr:uid="{00000000-0005-0000-0000-0000896C0000}"/>
    <cellStyle name="60% - Accent4 2 3 3 23" xfId="51654" xr:uid="{00000000-0005-0000-0000-00008A6C0000}"/>
    <cellStyle name="60% - Accent4 2 3 3 24" xfId="53337" xr:uid="{00000000-0005-0000-0000-00008B6C0000}"/>
    <cellStyle name="60% - Accent4 2 3 3 25" xfId="55020" xr:uid="{00000000-0005-0000-0000-00008C6C0000}"/>
    <cellStyle name="60% - Accent4 2 3 3 26" xfId="56703" xr:uid="{00000000-0005-0000-0000-00008D6C0000}"/>
    <cellStyle name="60% - Accent4 2 3 3 27" xfId="58386" xr:uid="{00000000-0005-0000-0000-00008E6C0000}"/>
    <cellStyle name="60% - Accent4 2 3 3 28" xfId="60069" xr:uid="{00000000-0005-0000-0000-00008F6C0000}"/>
    <cellStyle name="60% - Accent4 2 3 3 29" xfId="61752" xr:uid="{00000000-0005-0000-0000-0000906C0000}"/>
    <cellStyle name="60% - Accent4 2 3 3 3" xfId="4527" xr:uid="{00000000-0005-0000-0000-0000916C0000}"/>
    <cellStyle name="60% - Accent4 2 3 3 3 2" xfId="19676" xr:uid="{00000000-0005-0000-0000-0000926C0000}"/>
    <cellStyle name="60% - Accent4 2 3 3 30" xfId="63435" xr:uid="{00000000-0005-0000-0000-0000936C0000}"/>
    <cellStyle name="60% - Accent4 2 3 3 4" xfId="6210" xr:uid="{00000000-0005-0000-0000-0000946C0000}"/>
    <cellStyle name="60% - Accent4 2 3 3 4 2" xfId="21359" xr:uid="{00000000-0005-0000-0000-0000956C0000}"/>
    <cellStyle name="60% - Accent4 2 3 3 5" xfId="7893" xr:uid="{00000000-0005-0000-0000-0000966C0000}"/>
    <cellStyle name="60% - Accent4 2 3 3 5 2" xfId="23042" xr:uid="{00000000-0005-0000-0000-0000976C0000}"/>
    <cellStyle name="60% - Accent4 2 3 3 6" xfId="9576" xr:uid="{00000000-0005-0000-0000-0000986C0000}"/>
    <cellStyle name="60% - Accent4 2 3 3 6 2" xfId="24725" xr:uid="{00000000-0005-0000-0000-0000996C0000}"/>
    <cellStyle name="60% - Accent4 2 3 3 7" xfId="11259" xr:uid="{00000000-0005-0000-0000-00009A6C0000}"/>
    <cellStyle name="60% - Accent4 2 3 3 7 2" xfId="26408" xr:uid="{00000000-0005-0000-0000-00009B6C0000}"/>
    <cellStyle name="60% - Accent4 2 3 3 8" xfId="12943" xr:uid="{00000000-0005-0000-0000-00009C6C0000}"/>
    <cellStyle name="60% - Accent4 2 3 3 8 2" xfId="28092" xr:uid="{00000000-0005-0000-0000-00009D6C0000}"/>
    <cellStyle name="60% - Accent4 2 3 3 9" xfId="14626" xr:uid="{00000000-0005-0000-0000-00009E6C0000}"/>
    <cellStyle name="60% - Accent4 2 3 3 9 2" xfId="29775" xr:uid="{00000000-0005-0000-0000-00009F6C0000}"/>
    <cellStyle name="60% - Accent4 2 3 30" xfId="57545" xr:uid="{00000000-0005-0000-0000-0000A06C0000}"/>
    <cellStyle name="60% - Accent4 2 3 31" xfId="59228" xr:uid="{00000000-0005-0000-0000-0000A16C0000}"/>
    <cellStyle name="60% - Accent4 2 3 32" xfId="60911" xr:uid="{00000000-0005-0000-0000-0000A26C0000}"/>
    <cellStyle name="60% - Accent4 2 3 33" xfId="62594" xr:uid="{00000000-0005-0000-0000-0000A36C0000}"/>
    <cellStyle name="60% - Accent4 2 3 4" xfId="1581" xr:uid="{00000000-0005-0000-0000-0000A46C0000}"/>
    <cellStyle name="60% - Accent4 2 3 4 10" xfId="16730" xr:uid="{00000000-0005-0000-0000-0000A56C0000}"/>
    <cellStyle name="60% - Accent4 2 3 4 11" xfId="31879" xr:uid="{00000000-0005-0000-0000-0000A66C0000}"/>
    <cellStyle name="60% - Accent4 2 3 4 12" xfId="33562" xr:uid="{00000000-0005-0000-0000-0000A76C0000}"/>
    <cellStyle name="60% - Accent4 2 3 4 13" xfId="35245" xr:uid="{00000000-0005-0000-0000-0000A86C0000}"/>
    <cellStyle name="60% - Accent4 2 3 4 14" xfId="36928" xr:uid="{00000000-0005-0000-0000-0000A96C0000}"/>
    <cellStyle name="60% - Accent4 2 3 4 15" xfId="38611" xr:uid="{00000000-0005-0000-0000-0000AA6C0000}"/>
    <cellStyle name="60% - Accent4 2 3 4 16" xfId="40294" xr:uid="{00000000-0005-0000-0000-0000AB6C0000}"/>
    <cellStyle name="60% - Accent4 2 3 4 17" xfId="41977" xr:uid="{00000000-0005-0000-0000-0000AC6C0000}"/>
    <cellStyle name="60% - Accent4 2 3 4 18" xfId="43660" xr:uid="{00000000-0005-0000-0000-0000AD6C0000}"/>
    <cellStyle name="60% - Accent4 2 3 4 19" xfId="45343" xr:uid="{00000000-0005-0000-0000-0000AE6C0000}"/>
    <cellStyle name="60% - Accent4 2 3 4 2" xfId="3264" xr:uid="{00000000-0005-0000-0000-0000AF6C0000}"/>
    <cellStyle name="60% - Accent4 2 3 4 2 2" xfId="18413" xr:uid="{00000000-0005-0000-0000-0000B06C0000}"/>
    <cellStyle name="60% - Accent4 2 3 4 20" xfId="47026" xr:uid="{00000000-0005-0000-0000-0000B16C0000}"/>
    <cellStyle name="60% - Accent4 2 3 4 21" xfId="48709" xr:uid="{00000000-0005-0000-0000-0000B26C0000}"/>
    <cellStyle name="60% - Accent4 2 3 4 22" xfId="50392" xr:uid="{00000000-0005-0000-0000-0000B36C0000}"/>
    <cellStyle name="60% - Accent4 2 3 4 23" xfId="52075" xr:uid="{00000000-0005-0000-0000-0000B46C0000}"/>
    <cellStyle name="60% - Accent4 2 3 4 24" xfId="53758" xr:uid="{00000000-0005-0000-0000-0000B56C0000}"/>
    <cellStyle name="60% - Accent4 2 3 4 25" xfId="55441" xr:uid="{00000000-0005-0000-0000-0000B66C0000}"/>
    <cellStyle name="60% - Accent4 2 3 4 26" xfId="57124" xr:uid="{00000000-0005-0000-0000-0000B76C0000}"/>
    <cellStyle name="60% - Accent4 2 3 4 27" xfId="58807" xr:uid="{00000000-0005-0000-0000-0000B86C0000}"/>
    <cellStyle name="60% - Accent4 2 3 4 28" xfId="60490" xr:uid="{00000000-0005-0000-0000-0000B96C0000}"/>
    <cellStyle name="60% - Accent4 2 3 4 29" xfId="62173" xr:uid="{00000000-0005-0000-0000-0000BA6C0000}"/>
    <cellStyle name="60% - Accent4 2 3 4 3" xfId="4948" xr:uid="{00000000-0005-0000-0000-0000BB6C0000}"/>
    <cellStyle name="60% - Accent4 2 3 4 3 2" xfId="20097" xr:uid="{00000000-0005-0000-0000-0000BC6C0000}"/>
    <cellStyle name="60% - Accent4 2 3 4 30" xfId="63856" xr:uid="{00000000-0005-0000-0000-0000BD6C0000}"/>
    <cellStyle name="60% - Accent4 2 3 4 4" xfId="6631" xr:uid="{00000000-0005-0000-0000-0000BE6C0000}"/>
    <cellStyle name="60% - Accent4 2 3 4 4 2" xfId="21780" xr:uid="{00000000-0005-0000-0000-0000BF6C0000}"/>
    <cellStyle name="60% - Accent4 2 3 4 5" xfId="8314" xr:uid="{00000000-0005-0000-0000-0000C06C0000}"/>
    <cellStyle name="60% - Accent4 2 3 4 5 2" xfId="23463" xr:uid="{00000000-0005-0000-0000-0000C16C0000}"/>
    <cellStyle name="60% - Accent4 2 3 4 6" xfId="9997" xr:uid="{00000000-0005-0000-0000-0000C26C0000}"/>
    <cellStyle name="60% - Accent4 2 3 4 6 2" xfId="25146" xr:uid="{00000000-0005-0000-0000-0000C36C0000}"/>
    <cellStyle name="60% - Accent4 2 3 4 7" xfId="11680" xr:uid="{00000000-0005-0000-0000-0000C46C0000}"/>
    <cellStyle name="60% - Accent4 2 3 4 7 2" xfId="26829" xr:uid="{00000000-0005-0000-0000-0000C56C0000}"/>
    <cellStyle name="60% - Accent4 2 3 4 8" xfId="13364" xr:uid="{00000000-0005-0000-0000-0000C66C0000}"/>
    <cellStyle name="60% - Accent4 2 3 4 8 2" xfId="28513" xr:uid="{00000000-0005-0000-0000-0000C76C0000}"/>
    <cellStyle name="60% - Accent4 2 3 4 9" xfId="15047" xr:uid="{00000000-0005-0000-0000-0000C86C0000}"/>
    <cellStyle name="60% - Accent4 2 3 4 9 2" xfId="30196" xr:uid="{00000000-0005-0000-0000-0000C96C0000}"/>
    <cellStyle name="60% - Accent4 2 3 5" xfId="2002" xr:uid="{00000000-0005-0000-0000-0000CA6C0000}"/>
    <cellStyle name="60% - Accent4 2 3 5 2" xfId="17151" xr:uid="{00000000-0005-0000-0000-0000CB6C0000}"/>
    <cellStyle name="60% - Accent4 2 3 6" xfId="3686" xr:uid="{00000000-0005-0000-0000-0000CC6C0000}"/>
    <cellStyle name="60% - Accent4 2 3 6 2" xfId="18835" xr:uid="{00000000-0005-0000-0000-0000CD6C0000}"/>
    <cellStyle name="60% - Accent4 2 3 7" xfId="5369" xr:uid="{00000000-0005-0000-0000-0000CE6C0000}"/>
    <cellStyle name="60% - Accent4 2 3 7 2" xfId="20518" xr:uid="{00000000-0005-0000-0000-0000CF6C0000}"/>
    <cellStyle name="60% - Accent4 2 3 8" xfId="7052" xr:uid="{00000000-0005-0000-0000-0000D06C0000}"/>
    <cellStyle name="60% - Accent4 2 3 8 2" xfId="22201" xr:uid="{00000000-0005-0000-0000-0000D16C0000}"/>
    <cellStyle name="60% - Accent4 2 3 9" xfId="8735" xr:uid="{00000000-0005-0000-0000-0000D26C0000}"/>
    <cellStyle name="60% - Accent4 2 3 9 2" xfId="23884" xr:uid="{00000000-0005-0000-0000-0000D36C0000}"/>
    <cellStyle name="60% - Accent4 2 30" xfId="53969" xr:uid="{00000000-0005-0000-0000-0000D46C0000}"/>
    <cellStyle name="60% - Accent4 2 31" xfId="55652" xr:uid="{00000000-0005-0000-0000-0000D56C0000}"/>
    <cellStyle name="60% - Accent4 2 32" xfId="57335" xr:uid="{00000000-0005-0000-0000-0000D66C0000}"/>
    <cellStyle name="60% - Accent4 2 33" xfId="59018" xr:uid="{00000000-0005-0000-0000-0000D76C0000}"/>
    <cellStyle name="60% - Accent4 2 34" xfId="60701" xr:uid="{00000000-0005-0000-0000-0000D86C0000}"/>
    <cellStyle name="60% - Accent4 2 35" xfId="62384" xr:uid="{00000000-0005-0000-0000-0000D96C0000}"/>
    <cellStyle name="60% - Accent4 2 4" xfId="529" xr:uid="{00000000-0005-0000-0000-0000DA6C0000}"/>
    <cellStyle name="60% - Accent4 2 4 10" xfId="15678" xr:uid="{00000000-0005-0000-0000-0000DB6C0000}"/>
    <cellStyle name="60% - Accent4 2 4 11" xfId="30827" xr:uid="{00000000-0005-0000-0000-0000DC6C0000}"/>
    <cellStyle name="60% - Accent4 2 4 12" xfId="32510" xr:uid="{00000000-0005-0000-0000-0000DD6C0000}"/>
    <cellStyle name="60% - Accent4 2 4 13" xfId="34193" xr:uid="{00000000-0005-0000-0000-0000DE6C0000}"/>
    <cellStyle name="60% - Accent4 2 4 14" xfId="35876" xr:uid="{00000000-0005-0000-0000-0000DF6C0000}"/>
    <cellStyle name="60% - Accent4 2 4 15" xfId="37559" xr:uid="{00000000-0005-0000-0000-0000E06C0000}"/>
    <cellStyle name="60% - Accent4 2 4 16" xfId="39242" xr:uid="{00000000-0005-0000-0000-0000E16C0000}"/>
    <cellStyle name="60% - Accent4 2 4 17" xfId="40925" xr:uid="{00000000-0005-0000-0000-0000E26C0000}"/>
    <cellStyle name="60% - Accent4 2 4 18" xfId="42608" xr:uid="{00000000-0005-0000-0000-0000E36C0000}"/>
    <cellStyle name="60% - Accent4 2 4 19" xfId="44291" xr:uid="{00000000-0005-0000-0000-0000E46C0000}"/>
    <cellStyle name="60% - Accent4 2 4 2" xfId="2212" xr:uid="{00000000-0005-0000-0000-0000E56C0000}"/>
    <cellStyle name="60% - Accent4 2 4 2 2" xfId="17361" xr:uid="{00000000-0005-0000-0000-0000E66C0000}"/>
    <cellStyle name="60% - Accent4 2 4 20" xfId="45974" xr:uid="{00000000-0005-0000-0000-0000E76C0000}"/>
    <cellStyle name="60% - Accent4 2 4 21" xfId="47657" xr:uid="{00000000-0005-0000-0000-0000E86C0000}"/>
    <cellStyle name="60% - Accent4 2 4 22" xfId="49340" xr:uid="{00000000-0005-0000-0000-0000E96C0000}"/>
    <cellStyle name="60% - Accent4 2 4 23" xfId="51023" xr:uid="{00000000-0005-0000-0000-0000EA6C0000}"/>
    <cellStyle name="60% - Accent4 2 4 24" xfId="52706" xr:uid="{00000000-0005-0000-0000-0000EB6C0000}"/>
    <cellStyle name="60% - Accent4 2 4 25" xfId="54389" xr:uid="{00000000-0005-0000-0000-0000EC6C0000}"/>
    <cellStyle name="60% - Accent4 2 4 26" xfId="56072" xr:uid="{00000000-0005-0000-0000-0000ED6C0000}"/>
    <cellStyle name="60% - Accent4 2 4 27" xfId="57755" xr:uid="{00000000-0005-0000-0000-0000EE6C0000}"/>
    <cellStyle name="60% - Accent4 2 4 28" xfId="59438" xr:uid="{00000000-0005-0000-0000-0000EF6C0000}"/>
    <cellStyle name="60% - Accent4 2 4 29" xfId="61121" xr:uid="{00000000-0005-0000-0000-0000F06C0000}"/>
    <cellStyle name="60% - Accent4 2 4 3" xfId="3896" xr:uid="{00000000-0005-0000-0000-0000F16C0000}"/>
    <cellStyle name="60% - Accent4 2 4 3 2" xfId="19045" xr:uid="{00000000-0005-0000-0000-0000F26C0000}"/>
    <cellStyle name="60% - Accent4 2 4 30" xfId="62804" xr:uid="{00000000-0005-0000-0000-0000F36C0000}"/>
    <cellStyle name="60% - Accent4 2 4 4" xfId="5579" xr:uid="{00000000-0005-0000-0000-0000F46C0000}"/>
    <cellStyle name="60% - Accent4 2 4 4 2" xfId="20728" xr:uid="{00000000-0005-0000-0000-0000F56C0000}"/>
    <cellStyle name="60% - Accent4 2 4 5" xfId="7262" xr:uid="{00000000-0005-0000-0000-0000F66C0000}"/>
    <cellStyle name="60% - Accent4 2 4 5 2" xfId="22411" xr:uid="{00000000-0005-0000-0000-0000F76C0000}"/>
    <cellStyle name="60% - Accent4 2 4 6" xfId="8945" xr:uid="{00000000-0005-0000-0000-0000F86C0000}"/>
    <cellStyle name="60% - Accent4 2 4 6 2" xfId="24094" xr:uid="{00000000-0005-0000-0000-0000F96C0000}"/>
    <cellStyle name="60% - Accent4 2 4 7" xfId="10628" xr:uid="{00000000-0005-0000-0000-0000FA6C0000}"/>
    <cellStyle name="60% - Accent4 2 4 7 2" xfId="25777" xr:uid="{00000000-0005-0000-0000-0000FB6C0000}"/>
    <cellStyle name="60% - Accent4 2 4 8" xfId="12312" xr:uid="{00000000-0005-0000-0000-0000FC6C0000}"/>
    <cellStyle name="60% - Accent4 2 4 8 2" xfId="27461" xr:uid="{00000000-0005-0000-0000-0000FD6C0000}"/>
    <cellStyle name="60% - Accent4 2 4 9" xfId="13995" xr:uid="{00000000-0005-0000-0000-0000FE6C0000}"/>
    <cellStyle name="60% - Accent4 2 4 9 2" xfId="29144" xr:uid="{00000000-0005-0000-0000-0000FF6C0000}"/>
    <cellStyle name="60% - Accent4 2 5" xfId="950" xr:uid="{00000000-0005-0000-0000-0000006D0000}"/>
    <cellStyle name="60% - Accent4 2 5 10" xfId="16099" xr:uid="{00000000-0005-0000-0000-0000016D0000}"/>
    <cellStyle name="60% - Accent4 2 5 11" xfId="31248" xr:uid="{00000000-0005-0000-0000-0000026D0000}"/>
    <cellStyle name="60% - Accent4 2 5 12" xfId="32931" xr:uid="{00000000-0005-0000-0000-0000036D0000}"/>
    <cellStyle name="60% - Accent4 2 5 13" xfId="34614" xr:uid="{00000000-0005-0000-0000-0000046D0000}"/>
    <cellStyle name="60% - Accent4 2 5 14" xfId="36297" xr:uid="{00000000-0005-0000-0000-0000056D0000}"/>
    <cellStyle name="60% - Accent4 2 5 15" xfId="37980" xr:uid="{00000000-0005-0000-0000-0000066D0000}"/>
    <cellStyle name="60% - Accent4 2 5 16" xfId="39663" xr:uid="{00000000-0005-0000-0000-0000076D0000}"/>
    <cellStyle name="60% - Accent4 2 5 17" xfId="41346" xr:uid="{00000000-0005-0000-0000-0000086D0000}"/>
    <cellStyle name="60% - Accent4 2 5 18" xfId="43029" xr:uid="{00000000-0005-0000-0000-0000096D0000}"/>
    <cellStyle name="60% - Accent4 2 5 19" xfId="44712" xr:uid="{00000000-0005-0000-0000-00000A6D0000}"/>
    <cellStyle name="60% - Accent4 2 5 2" xfId="2633" xr:uid="{00000000-0005-0000-0000-00000B6D0000}"/>
    <cellStyle name="60% - Accent4 2 5 2 2" xfId="17782" xr:uid="{00000000-0005-0000-0000-00000C6D0000}"/>
    <cellStyle name="60% - Accent4 2 5 20" xfId="46395" xr:uid="{00000000-0005-0000-0000-00000D6D0000}"/>
    <cellStyle name="60% - Accent4 2 5 21" xfId="48078" xr:uid="{00000000-0005-0000-0000-00000E6D0000}"/>
    <cellStyle name="60% - Accent4 2 5 22" xfId="49761" xr:uid="{00000000-0005-0000-0000-00000F6D0000}"/>
    <cellStyle name="60% - Accent4 2 5 23" xfId="51444" xr:uid="{00000000-0005-0000-0000-0000106D0000}"/>
    <cellStyle name="60% - Accent4 2 5 24" xfId="53127" xr:uid="{00000000-0005-0000-0000-0000116D0000}"/>
    <cellStyle name="60% - Accent4 2 5 25" xfId="54810" xr:uid="{00000000-0005-0000-0000-0000126D0000}"/>
    <cellStyle name="60% - Accent4 2 5 26" xfId="56493" xr:uid="{00000000-0005-0000-0000-0000136D0000}"/>
    <cellStyle name="60% - Accent4 2 5 27" xfId="58176" xr:uid="{00000000-0005-0000-0000-0000146D0000}"/>
    <cellStyle name="60% - Accent4 2 5 28" xfId="59859" xr:uid="{00000000-0005-0000-0000-0000156D0000}"/>
    <cellStyle name="60% - Accent4 2 5 29" xfId="61542" xr:uid="{00000000-0005-0000-0000-0000166D0000}"/>
    <cellStyle name="60% - Accent4 2 5 3" xfId="4317" xr:uid="{00000000-0005-0000-0000-0000176D0000}"/>
    <cellStyle name="60% - Accent4 2 5 3 2" xfId="19466" xr:uid="{00000000-0005-0000-0000-0000186D0000}"/>
    <cellStyle name="60% - Accent4 2 5 30" xfId="63225" xr:uid="{00000000-0005-0000-0000-0000196D0000}"/>
    <cellStyle name="60% - Accent4 2 5 4" xfId="6000" xr:uid="{00000000-0005-0000-0000-00001A6D0000}"/>
    <cellStyle name="60% - Accent4 2 5 4 2" xfId="21149" xr:uid="{00000000-0005-0000-0000-00001B6D0000}"/>
    <cellStyle name="60% - Accent4 2 5 5" xfId="7683" xr:uid="{00000000-0005-0000-0000-00001C6D0000}"/>
    <cellStyle name="60% - Accent4 2 5 5 2" xfId="22832" xr:uid="{00000000-0005-0000-0000-00001D6D0000}"/>
    <cellStyle name="60% - Accent4 2 5 6" xfId="9366" xr:uid="{00000000-0005-0000-0000-00001E6D0000}"/>
    <cellStyle name="60% - Accent4 2 5 6 2" xfId="24515" xr:uid="{00000000-0005-0000-0000-00001F6D0000}"/>
    <cellStyle name="60% - Accent4 2 5 7" xfId="11049" xr:uid="{00000000-0005-0000-0000-0000206D0000}"/>
    <cellStyle name="60% - Accent4 2 5 7 2" xfId="26198" xr:uid="{00000000-0005-0000-0000-0000216D0000}"/>
    <cellStyle name="60% - Accent4 2 5 8" xfId="12733" xr:uid="{00000000-0005-0000-0000-0000226D0000}"/>
    <cellStyle name="60% - Accent4 2 5 8 2" xfId="27882" xr:uid="{00000000-0005-0000-0000-0000236D0000}"/>
    <cellStyle name="60% - Accent4 2 5 9" xfId="14416" xr:uid="{00000000-0005-0000-0000-0000246D0000}"/>
    <cellStyle name="60% - Accent4 2 5 9 2" xfId="29565" xr:uid="{00000000-0005-0000-0000-0000256D0000}"/>
    <cellStyle name="60% - Accent4 2 6" xfId="1371" xr:uid="{00000000-0005-0000-0000-0000266D0000}"/>
    <cellStyle name="60% - Accent4 2 6 10" xfId="16520" xr:uid="{00000000-0005-0000-0000-0000276D0000}"/>
    <cellStyle name="60% - Accent4 2 6 11" xfId="31669" xr:uid="{00000000-0005-0000-0000-0000286D0000}"/>
    <cellStyle name="60% - Accent4 2 6 12" xfId="33352" xr:uid="{00000000-0005-0000-0000-0000296D0000}"/>
    <cellStyle name="60% - Accent4 2 6 13" xfId="35035" xr:uid="{00000000-0005-0000-0000-00002A6D0000}"/>
    <cellStyle name="60% - Accent4 2 6 14" xfId="36718" xr:uid="{00000000-0005-0000-0000-00002B6D0000}"/>
    <cellStyle name="60% - Accent4 2 6 15" xfId="38401" xr:uid="{00000000-0005-0000-0000-00002C6D0000}"/>
    <cellStyle name="60% - Accent4 2 6 16" xfId="40084" xr:uid="{00000000-0005-0000-0000-00002D6D0000}"/>
    <cellStyle name="60% - Accent4 2 6 17" xfId="41767" xr:uid="{00000000-0005-0000-0000-00002E6D0000}"/>
    <cellStyle name="60% - Accent4 2 6 18" xfId="43450" xr:uid="{00000000-0005-0000-0000-00002F6D0000}"/>
    <cellStyle name="60% - Accent4 2 6 19" xfId="45133" xr:uid="{00000000-0005-0000-0000-0000306D0000}"/>
    <cellStyle name="60% - Accent4 2 6 2" xfId="3054" xr:uid="{00000000-0005-0000-0000-0000316D0000}"/>
    <cellStyle name="60% - Accent4 2 6 2 2" xfId="18203" xr:uid="{00000000-0005-0000-0000-0000326D0000}"/>
    <cellStyle name="60% - Accent4 2 6 20" xfId="46816" xr:uid="{00000000-0005-0000-0000-0000336D0000}"/>
    <cellStyle name="60% - Accent4 2 6 21" xfId="48499" xr:uid="{00000000-0005-0000-0000-0000346D0000}"/>
    <cellStyle name="60% - Accent4 2 6 22" xfId="50182" xr:uid="{00000000-0005-0000-0000-0000356D0000}"/>
    <cellStyle name="60% - Accent4 2 6 23" xfId="51865" xr:uid="{00000000-0005-0000-0000-0000366D0000}"/>
    <cellStyle name="60% - Accent4 2 6 24" xfId="53548" xr:uid="{00000000-0005-0000-0000-0000376D0000}"/>
    <cellStyle name="60% - Accent4 2 6 25" xfId="55231" xr:uid="{00000000-0005-0000-0000-0000386D0000}"/>
    <cellStyle name="60% - Accent4 2 6 26" xfId="56914" xr:uid="{00000000-0005-0000-0000-0000396D0000}"/>
    <cellStyle name="60% - Accent4 2 6 27" xfId="58597" xr:uid="{00000000-0005-0000-0000-00003A6D0000}"/>
    <cellStyle name="60% - Accent4 2 6 28" xfId="60280" xr:uid="{00000000-0005-0000-0000-00003B6D0000}"/>
    <cellStyle name="60% - Accent4 2 6 29" xfId="61963" xr:uid="{00000000-0005-0000-0000-00003C6D0000}"/>
    <cellStyle name="60% - Accent4 2 6 3" xfId="4738" xr:uid="{00000000-0005-0000-0000-00003D6D0000}"/>
    <cellStyle name="60% - Accent4 2 6 3 2" xfId="19887" xr:uid="{00000000-0005-0000-0000-00003E6D0000}"/>
    <cellStyle name="60% - Accent4 2 6 30" xfId="63646" xr:uid="{00000000-0005-0000-0000-00003F6D0000}"/>
    <cellStyle name="60% - Accent4 2 6 4" xfId="6421" xr:uid="{00000000-0005-0000-0000-0000406D0000}"/>
    <cellStyle name="60% - Accent4 2 6 4 2" xfId="21570" xr:uid="{00000000-0005-0000-0000-0000416D0000}"/>
    <cellStyle name="60% - Accent4 2 6 5" xfId="8104" xr:uid="{00000000-0005-0000-0000-0000426D0000}"/>
    <cellStyle name="60% - Accent4 2 6 5 2" xfId="23253" xr:uid="{00000000-0005-0000-0000-0000436D0000}"/>
    <cellStyle name="60% - Accent4 2 6 6" xfId="9787" xr:uid="{00000000-0005-0000-0000-0000446D0000}"/>
    <cellStyle name="60% - Accent4 2 6 6 2" xfId="24936" xr:uid="{00000000-0005-0000-0000-0000456D0000}"/>
    <cellStyle name="60% - Accent4 2 6 7" xfId="11470" xr:uid="{00000000-0005-0000-0000-0000466D0000}"/>
    <cellStyle name="60% - Accent4 2 6 7 2" xfId="26619" xr:uid="{00000000-0005-0000-0000-0000476D0000}"/>
    <cellStyle name="60% - Accent4 2 6 8" xfId="13154" xr:uid="{00000000-0005-0000-0000-0000486D0000}"/>
    <cellStyle name="60% - Accent4 2 6 8 2" xfId="28303" xr:uid="{00000000-0005-0000-0000-0000496D0000}"/>
    <cellStyle name="60% - Accent4 2 6 9" xfId="14837" xr:uid="{00000000-0005-0000-0000-00004A6D0000}"/>
    <cellStyle name="60% - Accent4 2 6 9 2" xfId="29986" xr:uid="{00000000-0005-0000-0000-00004B6D0000}"/>
    <cellStyle name="60% - Accent4 2 7" xfId="1792" xr:uid="{00000000-0005-0000-0000-00004C6D0000}"/>
    <cellStyle name="60% - Accent4 2 7 2" xfId="16941" xr:uid="{00000000-0005-0000-0000-00004D6D0000}"/>
    <cellStyle name="60% - Accent4 2 8" xfId="3476" xr:uid="{00000000-0005-0000-0000-00004E6D0000}"/>
    <cellStyle name="60% - Accent4 2 8 2" xfId="18625" xr:uid="{00000000-0005-0000-0000-00004F6D0000}"/>
    <cellStyle name="60% - Accent4 2 9" xfId="5159" xr:uid="{00000000-0005-0000-0000-0000506D0000}"/>
    <cellStyle name="60% - Accent4 2 9 2" xfId="20308" xr:uid="{00000000-0005-0000-0000-0000516D0000}"/>
    <cellStyle name="60% - Accent4 20" xfId="33751" xr:uid="{00000000-0005-0000-0000-0000526D0000}"/>
    <cellStyle name="60% - Accent4 21" xfId="35434" xr:uid="{00000000-0005-0000-0000-0000536D0000}"/>
    <cellStyle name="60% - Accent4 22" xfId="37117" xr:uid="{00000000-0005-0000-0000-0000546D0000}"/>
    <cellStyle name="60% - Accent4 23" xfId="38800" xr:uid="{00000000-0005-0000-0000-0000556D0000}"/>
    <cellStyle name="60% - Accent4 24" xfId="40483" xr:uid="{00000000-0005-0000-0000-0000566D0000}"/>
    <cellStyle name="60% - Accent4 25" xfId="42166" xr:uid="{00000000-0005-0000-0000-0000576D0000}"/>
    <cellStyle name="60% - Accent4 26" xfId="43849" xr:uid="{00000000-0005-0000-0000-0000586D0000}"/>
    <cellStyle name="60% - Accent4 27" xfId="45532" xr:uid="{00000000-0005-0000-0000-0000596D0000}"/>
    <cellStyle name="60% - Accent4 28" xfId="47215" xr:uid="{00000000-0005-0000-0000-00005A6D0000}"/>
    <cellStyle name="60% - Accent4 29" xfId="48898" xr:uid="{00000000-0005-0000-0000-00005B6D0000}"/>
    <cellStyle name="60% - Accent4 3" xfId="129" xr:uid="{00000000-0005-0000-0000-00005C6D0000}"/>
    <cellStyle name="60% - Accent4 3 10" xfId="6862" xr:uid="{00000000-0005-0000-0000-00005D6D0000}"/>
    <cellStyle name="60% - Accent4 3 10 2" xfId="22011" xr:uid="{00000000-0005-0000-0000-00005E6D0000}"/>
    <cellStyle name="60% - Accent4 3 11" xfId="8545" xr:uid="{00000000-0005-0000-0000-00005F6D0000}"/>
    <cellStyle name="60% - Accent4 3 11 2" xfId="23694" xr:uid="{00000000-0005-0000-0000-0000606D0000}"/>
    <cellStyle name="60% - Accent4 3 12" xfId="10228" xr:uid="{00000000-0005-0000-0000-0000616D0000}"/>
    <cellStyle name="60% - Accent4 3 12 2" xfId="25377" xr:uid="{00000000-0005-0000-0000-0000626D0000}"/>
    <cellStyle name="60% - Accent4 3 13" xfId="11912" xr:uid="{00000000-0005-0000-0000-0000636D0000}"/>
    <cellStyle name="60% - Accent4 3 13 2" xfId="27061" xr:uid="{00000000-0005-0000-0000-0000646D0000}"/>
    <cellStyle name="60% - Accent4 3 14" xfId="13595" xr:uid="{00000000-0005-0000-0000-0000656D0000}"/>
    <cellStyle name="60% - Accent4 3 14 2" xfId="28744" xr:uid="{00000000-0005-0000-0000-0000666D0000}"/>
    <cellStyle name="60% - Accent4 3 15" xfId="15278" xr:uid="{00000000-0005-0000-0000-0000676D0000}"/>
    <cellStyle name="60% - Accent4 3 16" xfId="30427" xr:uid="{00000000-0005-0000-0000-0000686D0000}"/>
    <cellStyle name="60% - Accent4 3 17" xfId="32110" xr:uid="{00000000-0005-0000-0000-0000696D0000}"/>
    <cellStyle name="60% - Accent4 3 18" xfId="33793" xr:uid="{00000000-0005-0000-0000-00006A6D0000}"/>
    <cellStyle name="60% - Accent4 3 19" xfId="35476" xr:uid="{00000000-0005-0000-0000-00006B6D0000}"/>
    <cellStyle name="60% - Accent4 3 2" xfId="234" xr:uid="{00000000-0005-0000-0000-00006C6D0000}"/>
    <cellStyle name="60% - Accent4 3 2 10" xfId="8650" xr:uid="{00000000-0005-0000-0000-00006D6D0000}"/>
    <cellStyle name="60% - Accent4 3 2 10 2" xfId="23799" xr:uid="{00000000-0005-0000-0000-00006E6D0000}"/>
    <cellStyle name="60% - Accent4 3 2 11" xfId="10333" xr:uid="{00000000-0005-0000-0000-00006F6D0000}"/>
    <cellStyle name="60% - Accent4 3 2 11 2" xfId="25482" xr:uid="{00000000-0005-0000-0000-0000706D0000}"/>
    <cellStyle name="60% - Accent4 3 2 12" xfId="12017" xr:uid="{00000000-0005-0000-0000-0000716D0000}"/>
    <cellStyle name="60% - Accent4 3 2 12 2" xfId="27166" xr:uid="{00000000-0005-0000-0000-0000726D0000}"/>
    <cellStyle name="60% - Accent4 3 2 13" xfId="13700" xr:uid="{00000000-0005-0000-0000-0000736D0000}"/>
    <cellStyle name="60% - Accent4 3 2 13 2" xfId="28849" xr:uid="{00000000-0005-0000-0000-0000746D0000}"/>
    <cellStyle name="60% - Accent4 3 2 14" xfId="15383" xr:uid="{00000000-0005-0000-0000-0000756D0000}"/>
    <cellStyle name="60% - Accent4 3 2 15" xfId="30532" xr:uid="{00000000-0005-0000-0000-0000766D0000}"/>
    <cellStyle name="60% - Accent4 3 2 16" xfId="32215" xr:uid="{00000000-0005-0000-0000-0000776D0000}"/>
    <cellStyle name="60% - Accent4 3 2 17" xfId="33898" xr:uid="{00000000-0005-0000-0000-0000786D0000}"/>
    <cellStyle name="60% - Accent4 3 2 18" xfId="35581" xr:uid="{00000000-0005-0000-0000-0000796D0000}"/>
    <cellStyle name="60% - Accent4 3 2 19" xfId="37264" xr:uid="{00000000-0005-0000-0000-00007A6D0000}"/>
    <cellStyle name="60% - Accent4 3 2 2" xfId="444" xr:uid="{00000000-0005-0000-0000-00007B6D0000}"/>
    <cellStyle name="60% - Accent4 3 2 2 10" xfId="10543" xr:uid="{00000000-0005-0000-0000-00007C6D0000}"/>
    <cellStyle name="60% - Accent4 3 2 2 10 2" xfId="25692" xr:uid="{00000000-0005-0000-0000-00007D6D0000}"/>
    <cellStyle name="60% - Accent4 3 2 2 11" xfId="12227" xr:uid="{00000000-0005-0000-0000-00007E6D0000}"/>
    <cellStyle name="60% - Accent4 3 2 2 11 2" xfId="27376" xr:uid="{00000000-0005-0000-0000-00007F6D0000}"/>
    <cellStyle name="60% - Accent4 3 2 2 12" xfId="13910" xr:uid="{00000000-0005-0000-0000-0000806D0000}"/>
    <cellStyle name="60% - Accent4 3 2 2 12 2" xfId="29059" xr:uid="{00000000-0005-0000-0000-0000816D0000}"/>
    <cellStyle name="60% - Accent4 3 2 2 13" xfId="15593" xr:uid="{00000000-0005-0000-0000-0000826D0000}"/>
    <cellStyle name="60% - Accent4 3 2 2 14" xfId="30742" xr:uid="{00000000-0005-0000-0000-0000836D0000}"/>
    <cellStyle name="60% - Accent4 3 2 2 15" xfId="32425" xr:uid="{00000000-0005-0000-0000-0000846D0000}"/>
    <cellStyle name="60% - Accent4 3 2 2 16" xfId="34108" xr:uid="{00000000-0005-0000-0000-0000856D0000}"/>
    <cellStyle name="60% - Accent4 3 2 2 17" xfId="35791" xr:uid="{00000000-0005-0000-0000-0000866D0000}"/>
    <cellStyle name="60% - Accent4 3 2 2 18" xfId="37474" xr:uid="{00000000-0005-0000-0000-0000876D0000}"/>
    <cellStyle name="60% - Accent4 3 2 2 19" xfId="39157" xr:uid="{00000000-0005-0000-0000-0000886D0000}"/>
    <cellStyle name="60% - Accent4 3 2 2 2" xfId="864" xr:uid="{00000000-0005-0000-0000-0000896D0000}"/>
    <cellStyle name="60% - Accent4 3 2 2 2 10" xfId="16013" xr:uid="{00000000-0005-0000-0000-00008A6D0000}"/>
    <cellStyle name="60% - Accent4 3 2 2 2 11" xfId="31162" xr:uid="{00000000-0005-0000-0000-00008B6D0000}"/>
    <cellStyle name="60% - Accent4 3 2 2 2 12" xfId="32845" xr:uid="{00000000-0005-0000-0000-00008C6D0000}"/>
    <cellStyle name="60% - Accent4 3 2 2 2 13" xfId="34528" xr:uid="{00000000-0005-0000-0000-00008D6D0000}"/>
    <cellStyle name="60% - Accent4 3 2 2 2 14" xfId="36211" xr:uid="{00000000-0005-0000-0000-00008E6D0000}"/>
    <cellStyle name="60% - Accent4 3 2 2 2 15" xfId="37894" xr:uid="{00000000-0005-0000-0000-00008F6D0000}"/>
    <cellStyle name="60% - Accent4 3 2 2 2 16" xfId="39577" xr:uid="{00000000-0005-0000-0000-0000906D0000}"/>
    <cellStyle name="60% - Accent4 3 2 2 2 17" xfId="41260" xr:uid="{00000000-0005-0000-0000-0000916D0000}"/>
    <cellStyle name="60% - Accent4 3 2 2 2 18" xfId="42943" xr:uid="{00000000-0005-0000-0000-0000926D0000}"/>
    <cellStyle name="60% - Accent4 3 2 2 2 19" xfId="44626" xr:uid="{00000000-0005-0000-0000-0000936D0000}"/>
    <cellStyle name="60% - Accent4 3 2 2 2 2" xfId="2547" xr:uid="{00000000-0005-0000-0000-0000946D0000}"/>
    <cellStyle name="60% - Accent4 3 2 2 2 2 2" xfId="17696" xr:uid="{00000000-0005-0000-0000-0000956D0000}"/>
    <cellStyle name="60% - Accent4 3 2 2 2 20" xfId="46309" xr:uid="{00000000-0005-0000-0000-0000966D0000}"/>
    <cellStyle name="60% - Accent4 3 2 2 2 21" xfId="47992" xr:uid="{00000000-0005-0000-0000-0000976D0000}"/>
    <cellStyle name="60% - Accent4 3 2 2 2 22" xfId="49675" xr:uid="{00000000-0005-0000-0000-0000986D0000}"/>
    <cellStyle name="60% - Accent4 3 2 2 2 23" xfId="51358" xr:uid="{00000000-0005-0000-0000-0000996D0000}"/>
    <cellStyle name="60% - Accent4 3 2 2 2 24" xfId="53041" xr:uid="{00000000-0005-0000-0000-00009A6D0000}"/>
    <cellStyle name="60% - Accent4 3 2 2 2 25" xfId="54724" xr:uid="{00000000-0005-0000-0000-00009B6D0000}"/>
    <cellStyle name="60% - Accent4 3 2 2 2 26" xfId="56407" xr:uid="{00000000-0005-0000-0000-00009C6D0000}"/>
    <cellStyle name="60% - Accent4 3 2 2 2 27" xfId="58090" xr:uid="{00000000-0005-0000-0000-00009D6D0000}"/>
    <cellStyle name="60% - Accent4 3 2 2 2 28" xfId="59773" xr:uid="{00000000-0005-0000-0000-00009E6D0000}"/>
    <cellStyle name="60% - Accent4 3 2 2 2 29" xfId="61456" xr:uid="{00000000-0005-0000-0000-00009F6D0000}"/>
    <cellStyle name="60% - Accent4 3 2 2 2 3" xfId="4231" xr:uid="{00000000-0005-0000-0000-0000A06D0000}"/>
    <cellStyle name="60% - Accent4 3 2 2 2 3 2" xfId="19380" xr:uid="{00000000-0005-0000-0000-0000A16D0000}"/>
    <cellStyle name="60% - Accent4 3 2 2 2 30" xfId="63139" xr:uid="{00000000-0005-0000-0000-0000A26D0000}"/>
    <cellStyle name="60% - Accent4 3 2 2 2 4" xfId="5914" xr:uid="{00000000-0005-0000-0000-0000A36D0000}"/>
    <cellStyle name="60% - Accent4 3 2 2 2 4 2" xfId="21063" xr:uid="{00000000-0005-0000-0000-0000A46D0000}"/>
    <cellStyle name="60% - Accent4 3 2 2 2 5" xfId="7597" xr:uid="{00000000-0005-0000-0000-0000A56D0000}"/>
    <cellStyle name="60% - Accent4 3 2 2 2 5 2" xfId="22746" xr:uid="{00000000-0005-0000-0000-0000A66D0000}"/>
    <cellStyle name="60% - Accent4 3 2 2 2 6" xfId="9280" xr:uid="{00000000-0005-0000-0000-0000A76D0000}"/>
    <cellStyle name="60% - Accent4 3 2 2 2 6 2" xfId="24429" xr:uid="{00000000-0005-0000-0000-0000A86D0000}"/>
    <cellStyle name="60% - Accent4 3 2 2 2 7" xfId="10963" xr:uid="{00000000-0005-0000-0000-0000A96D0000}"/>
    <cellStyle name="60% - Accent4 3 2 2 2 7 2" xfId="26112" xr:uid="{00000000-0005-0000-0000-0000AA6D0000}"/>
    <cellStyle name="60% - Accent4 3 2 2 2 8" xfId="12647" xr:uid="{00000000-0005-0000-0000-0000AB6D0000}"/>
    <cellStyle name="60% - Accent4 3 2 2 2 8 2" xfId="27796" xr:uid="{00000000-0005-0000-0000-0000AC6D0000}"/>
    <cellStyle name="60% - Accent4 3 2 2 2 9" xfId="14330" xr:uid="{00000000-0005-0000-0000-0000AD6D0000}"/>
    <cellStyle name="60% - Accent4 3 2 2 2 9 2" xfId="29479" xr:uid="{00000000-0005-0000-0000-0000AE6D0000}"/>
    <cellStyle name="60% - Accent4 3 2 2 20" xfId="40840" xr:uid="{00000000-0005-0000-0000-0000AF6D0000}"/>
    <cellStyle name="60% - Accent4 3 2 2 21" xfId="42523" xr:uid="{00000000-0005-0000-0000-0000B06D0000}"/>
    <cellStyle name="60% - Accent4 3 2 2 22" xfId="44206" xr:uid="{00000000-0005-0000-0000-0000B16D0000}"/>
    <cellStyle name="60% - Accent4 3 2 2 23" xfId="45889" xr:uid="{00000000-0005-0000-0000-0000B26D0000}"/>
    <cellStyle name="60% - Accent4 3 2 2 24" xfId="47572" xr:uid="{00000000-0005-0000-0000-0000B36D0000}"/>
    <cellStyle name="60% - Accent4 3 2 2 25" xfId="49255" xr:uid="{00000000-0005-0000-0000-0000B46D0000}"/>
    <cellStyle name="60% - Accent4 3 2 2 26" xfId="50938" xr:uid="{00000000-0005-0000-0000-0000B56D0000}"/>
    <cellStyle name="60% - Accent4 3 2 2 27" xfId="52621" xr:uid="{00000000-0005-0000-0000-0000B66D0000}"/>
    <cellStyle name="60% - Accent4 3 2 2 28" xfId="54304" xr:uid="{00000000-0005-0000-0000-0000B76D0000}"/>
    <cellStyle name="60% - Accent4 3 2 2 29" xfId="55987" xr:uid="{00000000-0005-0000-0000-0000B86D0000}"/>
    <cellStyle name="60% - Accent4 3 2 2 3" xfId="1285" xr:uid="{00000000-0005-0000-0000-0000B96D0000}"/>
    <cellStyle name="60% - Accent4 3 2 2 3 10" xfId="16434" xr:uid="{00000000-0005-0000-0000-0000BA6D0000}"/>
    <cellStyle name="60% - Accent4 3 2 2 3 11" xfId="31583" xr:uid="{00000000-0005-0000-0000-0000BB6D0000}"/>
    <cellStyle name="60% - Accent4 3 2 2 3 12" xfId="33266" xr:uid="{00000000-0005-0000-0000-0000BC6D0000}"/>
    <cellStyle name="60% - Accent4 3 2 2 3 13" xfId="34949" xr:uid="{00000000-0005-0000-0000-0000BD6D0000}"/>
    <cellStyle name="60% - Accent4 3 2 2 3 14" xfId="36632" xr:uid="{00000000-0005-0000-0000-0000BE6D0000}"/>
    <cellStyle name="60% - Accent4 3 2 2 3 15" xfId="38315" xr:uid="{00000000-0005-0000-0000-0000BF6D0000}"/>
    <cellStyle name="60% - Accent4 3 2 2 3 16" xfId="39998" xr:uid="{00000000-0005-0000-0000-0000C06D0000}"/>
    <cellStyle name="60% - Accent4 3 2 2 3 17" xfId="41681" xr:uid="{00000000-0005-0000-0000-0000C16D0000}"/>
    <cellStyle name="60% - Accent4 3 2 2 3 18" xfId="43364" xr:uid="{00000000-0005-0000-0000-0000C26D0000}"/>
    <cellStyle name="60% - Accent4 3 2 2 3 19" xfId="45047" xr:uid="{00000000-0005-0000-0000-0000C36D0000}"/>
    <cellStyle name="60% - Accent4 3 2 2 3 2" xfId="2968" xr:uid="{00000000-0005-0000-0000-0000C46D0000}"/>
    <cellStyle name="60% - Accent4 3 2 2 3 2 2" xfId="18117" xr:uid="{00000000-0005-0000-0000-0000C56D0000}"/>
    <cellStyle name="60% - Accent4 3 2 2 3 20" xfId="46730" xr:uid="{00000000-0005-0000-0000-0000C66D0000}"/>
    <cellStyle name="60% - Accent4 3 2 2 3 21" xfId="48413" xr:uid="{00000000-0005-0000-0000-0000C76D0000}"/>
    <cellStyle name="60% - Accent4 3 2 2 3 22" xfId="50096" xr:uid="{00000000-0005-0000-0000-0000C86D0000}"/>
    <cellStyle name="60% - Accent4 3 2 2 3 23" xfId="51779" xr:uid="{00000000-0005-0000-0000-0000C96D0000}"/>
    <cellStyle name="60% - Accent4 3 2 2 3 24" xfId="53462" xr:uid="{00000000-0005-0000-0000-0000CA6D0000}"/>
    <cellStyle name="60% - Accent4 3 2 2 3 25" xfId="55145" xr:uid="{00000000-0005-0000-0000-0000CB6D0000}"/>
    <cellStyle name="60% - Accent4 3 2 2 3 26" xfId="56828" xr:uid="{00000000-0005-0000-0000-0000CC6D0000}"/>
    <cellStyle name="60% - Accent4 3 2 2 3 27" xfId="58511" xr:uid="{00000000-0005-0000-0000-0000CD6D0000}"/>
    <cellStyle name="60% - Accent4 3 2 2 3 28" xfId="60194" xr:uid="{00000000-0005-0000-0000-0000CE6D0000}"/>
    <cellStyle name="60% - Accent4 3 2 2 3 29" xfId="61877" xr:uid="{00000000-0005-0000-0000-0000CF6D0000}"/>
    <cellStyle name="60% - Accent4 3 2 2 3 3" xfId="4652" xr:uid="{00000000-0005-0000-0000-0000D06D0000}"/>
    <cellStyle name="60% - Accent4 3 2 2 3 3 2" xfId="19801" xr:uid="{00000000-0005-0000-0000-0000D16D0000}"/>
    <cellStyle name="60% - Accent4 3 2 2 3 30" xfId="63560" xr:uid="{00000000-0005-0000-0000-0000D26D0000}"/>
    <cellStyle name="60% - Accent4 3 2 2 3 4" xfId="6335" xr:uid="{00000000-0005-0000-0000-0000D36D0000}"/>
    <cellStyle name="60% - Accent4 3 2 2 3 4 2" xfId="21484" xr:uid="{00000000-0005-0000-0000-0000D46D0000}"/>
    <cellStyle name="60% - Accent4 3 2 2 3 5" xfId="8018" xr:uid="{00000000-0005-0000-0000-0000D56D0000}"/>
    <cellStyle name="60% - Accent4 3 2 2 3 5 2" xfId="23167" xr:uid="{00000000-0005-0000-0000-0000D66D0000}"/>
    <cellStyle name="60% - Accent4 3 2 2 3 6" xfId="9701" xr:uid="{00000000-0005-0000-0000-0000D76D0000}"/>
    <cellStyle name="60% - Accent4 3 2 2 3 6 2" xfId="24850" xr:uid="{00000000-0005-0000-0000-0000D86D0000}"/>
    <cellStyle name="60% - Accent4 3 2 2 3 7" xfId="11384" xr:uid="{00000000-0005-0000-0000-0000D96D0000}"/>
    <cellStyle name="60% - Accent4 3 2 2 3 7 2" xfId="26533" xr:uid="{00000000-0005-0000-0000-0000DA6D0000}"/>
    <cellStyle name="60% - Accent4 3 2 2 3 8" xfId="13068" xr:uid="{00000000-0005-0000-0000-0000DB6D0000}"/>
    <cellStyle name="60% - Accent4 3 2 2 3 8 2" xfId="28217" xr:uid="{00000000-0005-0000-0000-0000DC6D0000}"/>
    <cellStyle name="60% - Accent4 3 2 2 3 9" xfId="14751" xr:uid="{00000000-0005-0000-0000-0000DD6D0000}"/>
    <cellStyle name="60% - Accent4 3 2 2 3 9 2" xfId="29900" xr:uid="{00000000-0005-0000-0000-0000DE6D0000}"/>
    <cellStyle name="60% - Accent4 3 2 2 30" xfId="57670" xr:uid="{00000000-0005-0000-0000-0000DF6D0000}"/>
    <cellStyle name="60% - Accent4 3 2 2 31" xfId="59353" xr:uid="{00000000-0005-0000-0000-0000E06D0000}"/>
    <cellStyle name="60% - Accent4 3 2 2 32" xfId="61036" xr:uid="{00000000-0005-0000-0000-0000E16D0000}"/>
    <cellStyle name="60% - Accent4 3 2 2 33" xfId="62719" xr:uid="{00000000-0005-0000-0000-0000E26D0000}"/>
    <cellStyle name="60% - Accent4 3 2 2 4" xfId="1706" xr:uid="{00000000-0005-0000-0000-0000E36D0000}"/>
    <cellStyle name="60% - Accent4 3 2 2 4 10" xfId="16855" xr:uid="{00000000-0005-0000-0000-0000E46D0000}"/>
    <cellStyle name="60% - Accent4 3 2 2 4 11" xfId="32004" xr:uid="{00000000-0005-0000-0000-0000E56D0000}"/>
    <cellStyle name="60% - Accent4 3 2 2 4 12" xfId="33687" xr:uid="{00000000-0005-0000-0000-0000E66D0000}"/>
    <cellStyle name="60% - Accent4 3 2 2 4 13" xfId="35370" xr:uid="{00000000-0005-0000-0000-0000E76D0000}"/>
    <cellStyle name="60% - Accent4 3 2 2 4 14" xfId="37053" xr:uid="{00000000-0005-0000-0000-0000E86D0000}"/>
    <cellStyle name="60% - Accent4 3 2 2 4 15" xfId="38736" xr:uid="{00000000-0005-0000-0000-0000E96D0000}"/>
    <cellStyle name="60% - Accent4 3 2 2 4 16" xfId="40419" xr:uid="{00000000-0005-0000-0000-0000EA6D0000}"/>
    <cellStyle name="60% - Accent4 3 2 2 4 17" xfId="42102" xr:uid="{00000000-0005-0000-0000-0000EB6D0000}"/>
    <cellStyle name="60% - Accent4 3 2 2 4 18" xfId="43785" xr:uid="{00000000-0005-0000-0000-0000EC6D0000}"/>
    <cellStyle name="60% - Accent4 3 2 2 4 19" xfId="45468" xr:uid="{00000000-0005-0000-0000-0000ED6D0000}"/>
    <cellStyle name="60% - Accent4 3 2 2 4 2" xfId="3389" xr:uid="{00000000-0005-0000-0000-0000EE6D0000}"/>
    <cellStyle name="60% - Accent4 3 2 2 4 2 2" xfId="18538" xr:uid="{00000000-0005-0000-0000-0000EF6D0000}"/>
    <cellStyle name="60% - Accent4 3 2 2 4 20" xfId="47151" xr:uid="{00000000-0005-0000-0000-0000F06D0000}"/>
    <cellStyle name="60% - Accent4 3 2 2 4 21" xfId="48834" xr:uid="{00000000-0005-0000-0000-0000F16D0000}"/>
    <cellStyle name="60% - Accent4 3 2 2 4 22" xfId="50517" xr:uid="{00000000-0005-0000-0000-0000F26D0000}"/>
    <cellStyle name="60% - Accent4 3 2 2 4 23" xfId="52200" xr:uid="{00000000-0005-0000-0000-0000F36D0000}"/>
    <cellStyle name="60% - Accent4 3 2 2 4 24" xfId="53883" xr:uid="{00000000-0005-0000-0000-0000F46D0000}"/>
    <cellStyle name="60% - Accent4 3 2 2 4 25" xfId="55566" xr:uid="{00000000-0005-0000-0000-0000F56D0000}"/>
    <cellStyle name="60% - Accent4 3 2 2 4 26" xfId="57249" xr:uid="{00000000-0005-0000-0000-0000F66D0000}"/>
    <cellStyle name="60% - Accent4 3 2 2 4 27" xfId="58932" xr:uid="{00000000-0005-0000-0000-0000F76D0000}"/>
    <cellStyle name="60% - Accent4 3 2 2 4 28" xfId="60615" xr:uid="{00000000-0005-0000-0000-0000F86D0000}"/>
    <cellStyle name="60% - Accent4 3 2 2 4 29" xfId="62298" xr:uid="{00000000-0005-0000-0000-0000F96D0000}"/>
    <cellStyle name="60% - Accent4 3 2 2 4 3" xfId="5073" xr:uid="{00000000-0005-0000-0000-0000FA6D0000}"/>
    <cellStyle name="60% - Accent4 3 2 2 4 3 2" xfId="20222" xr:uid="{00000000-0005-0000-0000-0000FB6D0000}"/>
    <cellStyle name="60% - Accent4 3 2 2 4 30" xfId="63981" xr:uid="{00000000-0005-0000-0000-0000FC6D0000}"/>
    <cellStyle name="60% - Accent4 3 2 2 4 4" xfId="6756" xr:uid="{00000000-0005-0000-0000-0000FD6D0000}"/>
    <cellStyle name="60% - Accent4 3 2 2 4 4 2" xfId="21905" xr:uid="{00000000-0005-0000-0000-0000FE6D0000}"/>
    <cellStyle name="60% - Accent4 3 2 2 4 5" xfId="8439" xr:uid="{00000000-0005-0000-0000-0000FF6D0000}"/>
    <cellStyle name="60% - Accent4 3 2 2 4 5 2" xfId="23588" xr:uid="{00000000-0005-0000-0000-0000006E0000}"/>
    <cellStyle name="60% - Accent4 3 2 2 4 6" xfId="10122" xr:uid="{00000000-0005-0000-0000-0000016E0000}"/>
    <cellStyle name="60% - Accent4 3 2 2 4 6 2" xfId="25271" xr:uid="{00000000-0005-0000-0000-0000026E0000}"/>
    <cellStyle name="60% - Accent4 3 2 2 4 7" xfId="11805" xr:uid="{00000000-0005-0000-0000-0000036E0000}"/>
    <cellStyle name="60% - Accent4 3 2 2 4 7 2" xfId="26954" xr:uid="{00000000-0005-0000-0000-0000046E0000}"/>
    <cellStyle name="60% - Accent4 3 2 2 4 8" xfId="13489" xr:uid="{00000000-0005-0000-0000-0000056E0000}"/>
    <cellStyle name="60% - Accent4 3 2 2 4 8 2" xfId="28638" xr:uid="{00000000-0005-0000-0000-0000066E0000}"/>
    <cellStyle name="60% - Accent4 3 2 2 4 9" xfId="15172" xr:uid="{00000000-0005-0000-0000-0000076E0000}"/>
    <cellStyle name="60% - Accent4 3 2 2 4 9 2" xfId="30321" xr:uid="{00000000-0005-0000-0000-0000086E0000}"/>
    <cellStyle name="60% - Accent4 3 2 2 5" xfId="2127" xr:uid="{00000000-0005-0000-0000-0000096E0000}"/>
    <cellStyle name="60% - Accent4 3 2 2 5 2" xfId="17276" xr:uid="{00000000-0005-0000-0000-00000A6E0000}"/>
    <cellStyle name="60% - Accent4 3 2 2 6" xfId="3811" xr:uid="{00000000-0005-0000-0000-00000B6E0000}"/>
    <cellStyle name="60% - Accent4 3 2 2 6 2" xfId="18960" xr:uid="{00000000-0005-0000-0000-00000C6E0000}"/>
    <cellStyle name="60% - Accent4 3 2 2 7" xfId="5494" xr:uid="{00000000-0005-0000-0000-00000D6E0000}"/>
    <cellStyle name="60% - Accent4 3 2 2 7 2" xfId="20643" xr:uid="{00000000-0005-0000-0000-00000E6E0000}"/>
    <cellStyle name="60% - Accent4 3 2 2 8" xfId="7177" xr:uid="{00000000-0005-0000-0000-00000F6E0000}"/>
    <cellStyle name="60% - Accent4 3 2 2 8 2" xfId="22326" xr:uid="{00000000-0005-0000-0000-0000106E0000}"/>
    <cellStyle name="60% - Accent4 3 2 2 9" xfId="8860" xr:uid="{00000000-0005-0000-0000-0000116E0000}"/>
    <cellStyle name="60% - Accent4 3 2 2 9 2" xfId="24009" xr:uid="{00000000-0005-0000-0000-0000126E0000}"/>
    <cellStyle name="60% - Accent4 3 2 20" xfId="38947" xr:uid="{00000000-0005-0000-0000-0000136E0000}"/>
    <cellStyle name="60% - Accent4 3 2 21" xfId="40630" xr:uid="{00000000-0005-0000-0000-0000146E0000}"/>
    <cellStyle name="60% - Accent4 3 2 22" xfId="42313" xr:uid="{00000000-0005-0000-0000-0000156E0000}"/>
    <cellStyle name="60% - Accent4 3 2 23" xfId="43996" xr:uid="{00000000-0005-0000-0000-0000166E0000}"/>
    <cellStyle name="60% - Accent4 3 2 24" xfId="45679" xr:uid="{00000000-0005-0000-0000-0000176E0000}"/>
    <cellStyle name="60% - Accent4 3 2 25" xfId="47362" xr:uid="{00000000-0005-0000-0000-0000186E0000}"/>
    <cellStyle name="60% - Accent4 3 2 26" xfId="49045" xr:uid="{00000000-0005-0000-0000-0000196E0000}"/>
    <cellStyle name="60% - Accent4 3 2 27" xfId="50728" xr:uid="{00000000-0005-0000-0000-00001A6E0000}"/>
    <cellStyle name="60% - Accent4 3 2 28" xfId="52411" xr:uid="{00000000-0005-0000-0000-00001B6E0000}"/>
    <cellStyle name="60% - Accent4 3 2 29" xfId="54094" xr:uid="{00000000-0005-0000-0000-00001C6E0000}"/>
    <cellStyle name="60% - Accent4 3 2 3" xfId="654" xr:uid="{00000000-0005-0000-0000-00001D6E0000}"/>
    <cellStyle name="60% - Accent4 3 2 3 10" xfId="15803" xr:uid="{00000000-0005-0000-0000-00001E6E0000}"/>
    <cellStyle name="60% - Accent4 3 2 3 11" xfId="30952" xr:uid="{00000000-0005-0000-0000-00001F6E0000}"/>
    <cellStyle name="60% - Accent4 3 2 3 12" xfId="32635" xr:uid="{00000000-0005-0000-0000-0000206E0000}"/>
    <cellStyle name="60% - Accent4 3 2 3 13" xfId="34318" xr:uid="{00000000-0005-0000-0000-0000216E0000}"/>
    <cellStyle name="60% - Accent4 3 2 3 14" xfId="36001" xr:uid="{00000000-0005-0000-0000-0000226E0000}"/>
    <cellStyle name="60% - Accent4 3 2 3 15" xfId="37684" xr:uid="{00000000-0005-0000-0000-0000236E0000}"/>
    <cellStyle name="60% - Accent4 3 2 3 16" xfId="39367" xr:uid="{00000000-0005-0000-0000-0000246E0000}"/>
    <cellStyle name="60% - Accent4 3 2 3 17" xfId="41050" xr:uid="{00000000-0005-0000-0000-0000256E0000}"/>
    <cellStyle name="60% - Accent4 3 2 3 18" xfId="42733" xr:uid="{00000000-0005-0000-0000-0000266E0000}"/>
    <cellStyle name="60% - Accent4 3 2 3 19" xfId="44416" xr:uid="{00000000-0005-0000-0000-0000276E0000}"/>
    <cellStyle name="60% - Accent4 3 2 3 2" xfId="2337" xr:uid="{00000000-0005-0000-0000-0000286E0000}"/>
    <cellStyle name="60% - Accent4 3 2 3 2 2" xfId="17486" xr:uid="{00000000-0005-0000-0000-0000296E0000}"/>
    <cellStyle name="60% - Accent4 3 2 3 20" xfId="46099" xr:uid="{00000000-0005-0000-0000-00002A6E0000}"/>
    <cellStyle name="60% - Accent4 3 2 3 21" xfId="47782" xr:uid="{00000000-0005-0000-0000-00002B6E0000}"/>
    <cellStyle name="60% - Accent4 3 2 3 22" xfId="49465" xr:uid="{00000000-0005-0000-0000-00002C6E0000}"/>
    <cellStyle name="60% - Accent4 3 2 3 23" xfId="51148" xr:uid="{00000000-0005-0000-0000-00002D6E0000}"/>
    <cellStyle name="60% - Accent4 3 2 3 24" xfId="52831" xr:uid="{00000000-0005-0000-0000-00002E6E0000}"/>
    <cellStyle name="60% - Accent4 3 2 3 25" xfId="54514" xr:uid="{00000000-0005-0000-0000-00002F6E0000}"/>
    <cellStyle name="60% - Accent4 3 2 3 26" xfId="56197" xr:uid="{00000000-0005-0000-0000-0000306E0000}"/>
    <cellStyle name="60% - Accent4 3 2 3 27" xfId="57880" xr:uid="{00000000-0005-0000-0000-0000316E0000}"/>
    <cellStyle name="60% - Accent4 3 2 3 28" xfId="59563" xr:uid="{00000000-0005-0000-0000-0000326E0000}"/>
    <cellStyle name="60% - Accent4 3 2 3 29" xfId="61246" xr:uid="{00000000-0005-0000-0000-0000336E0000}"/>
    <cellStyle name="60% - Accent4 3 2 3 3" xfId="4021" xr:uid="{00000000-0005-0000-0000-0000346E0000}"/>
    <cellStyle name="60% - Accent4 3 2 3 3 2" xfId="19170" xr:uid="{00000000-0005-0000-0000-0000356E0000}"/>
    <cellStyle name="60% - Accent4 3 2 3 30" xfId="62929" xr:uid="{00000000-0005-0000-0000-0000366E0000}"/>
    <cellStyle name="60% - Accent4 3 2 3 4" xfId="5704" xr:uid="{00000000-0005-0000-0000-0000376E0000}"/>
    <cellStyle name="60% - Accent4 3 2 3 4 2" xfId="20853" xr:uid="{00000000-0005-0000-0000-0000386E0000}"/>
    <cellStyle name="60% - Accent4 3 2 3 5" xfId="7387" xr:uid="{00000000-0005-0000-0000-0000396E0000}"/>
    <cellStyle name="60% - Accent4 3 2 3 5 2" xfId="22536" xr:uid="{00000000-0005-0000-0000-00003A6E0000}"/>
    <cellStyle name="60% - Accent4 3 2 3 6" xfId="9070" xr:uid="{00000000-0005-0000-0000-00003B6E0000}"/>
    <cellStyle name="60% - Accent4 3 2 3 6 2" xfId="24219" xr:uid="{00000000-0005-0000-0000-00003C6E0000}"/>
    <cellStyle name="60% - Accent4 3 2 3 7" xfId="10753" xr:uid="{00000000-0005-0000-0000-00003D6E0000}"/>
    <cellStyle name="60% - Accent4 3 2 3 7 2" xfId="25902" xr:uid="{00000000-0005-0000-0000-00003E6E0000}"/>
    <cellStyle name="60% - Accent4 3 2 3 8" xfId="12437" xr:uid="{00000000-0005-0000-0000-00003F6E0000}"/>
    <cellStyle name="60% - Accent4 3 2 3 8 2" xfId="27586" xr:uid="{00000000-0005-0000-0000-0000406E0000}"/>
    <cellStyle name="60% - Accent4 3 2 3 9" xfId="14120" xr:uid="{00000000-0005-0000-0000-0000416E0000}"/>
    <cellStyle name="60% - Accent4 3 2 3 9 2" xfId="29269" xr:uid="{00000000-0005-0000-0000-0000426E0000}"/>
    <cellStyle name="60% - Accent4 3 2 30" xfId="55777" xr:uid="{00000000-0005-0000-0000-0000436E0000}"/>
    <cellStyle name="60% - Accent4 3 2 31" xfId="57460" xr:uid="{00000000-0005-0000-0000-0000446E0000}"/>
    <cellStyle name="60% - Accent4 3 2 32" xfId="59143" xr:uid="{00000000-0005-0000-0000-0000456E0000}"/>
    <cellStyle name="60% - Accent4 3 2 33" xfId="60826" xr:uid="{00000000-0005-0000-0000-0000466E0000}"/>
    <cellStyle name="60% - Accent4 3 2 34" xfId="62509" xr:uid="{00000000-0005-0000-0000-0000476E0000}"/>
    <cellStyle name="60% - Accent4 3 2 4" xfId="1075" xr:uid="{00000000-0005-0000-0000-0000486E0000}"/>
    <cellStyle name="60% - Accent4 3 2 4 10" xfId="16224" xr:uid="{00000000-0005-0000-0000-0000496E0000}"/>
    <cellStyle name="60% - Accent4 3 2 4 11" xfId="31373" xr:uid="{00000000-0005-0000-0000-00004A6E0000}"/>
    <cellStyle name="60% - Accent4 3 2 4 12" xfId="33056" xr:uid="{00000000-0005-0000-0000-00004B6E0000}"/>
    <cellStyle name="60% - Accent4 3 2 4 13" xfId="34739" xr:uid="{00000000-0005-0000-0000-00004C6E0000}"/>
    <cellStyle name="60% - Accent4 3 2 4 14" xfId="36422" xr:uid="{00000000-0005-0000-0000-00004D6E0000}"/>
    <cellStyle name="60% - Accent4 3 2 4 15" xfId="38105" xr:uid="{00000000-0005-0000-0000-00004E6E0000}"/>
    <cellStyle name="60% - Accent4 3 2 4 16" xfId="39788" xr:uid="{00000000-0005-0000-0000-00004F6E0000}"/>
    <cellStyle name="60% - Accent4 3 2 4 17" xfId="41471" xr:uid="{00000000-0005-0000-0000-0000506E0000}"/>
    <cellStyle name="60% - Accent4 3 2 4 18" xfId="43154" xr:uid="{00000000-0005-0000-0000-0000516E0000}"/>
    <cellStyle name="60% - Accent4 3 2 4 19" xfId="44837" xr:uid="{00000000-0005-0000-0000-0000526E0000}"/>
    <cellStyle name="60% - Accent4 3 2 4 2" xfId="2758" xr:uid="{00000000-0005-0000-0000-0000536E0000}"/>
    <cellStyle name="60% - Accent4 3 2 4 2 2" xfId="17907" xr:uid="{00000000-0005-0000-0000-0000546E0000}"/>
    <cellStyle name="60% - Accent4 3 2 4 20" xfId="46520" xr:uid="{00000000-0005-0000-0000-0000556E0000}"/>
    <cellStyle name="60% - Accent4 3 2 4 21" xfId="48203" xr:uid="{00000000-0005-0000-0000-0000566E0000}"/>
    <cellStyle name="60% - Accent4 3 2 4 22" xfId="49886" xr:uid="{00000000-0005-0000-0000-0000576E0000}"/>
    <cellStyle name="60% - Accent4 3 2 4 23" xfId="51569" xr:uid="{00000000-0005-0000-0000-0000586E0000}"/>
    <cellStyle name="60% - Accent4 3 2 4 24" xfId="53252" xr:uid="{00000000-0005-0000-0000-0000596E0000}"/>
    <cellStyle name="60% - Accent4 3 2 4 25" xfId="54935" xr:uid="{00000000-0005-0000-0000-00005A6E0000}"/>
    <cellStyle name="60% - Accent4 3 2 4 26" xfId="56618" xr:uid="{00000000-0005-0000-0000-00005B6E0000}"/>
    <cellStyle name="60% - Accent4 3 2 4 27" xfId="58301" xr:uid="{00000000-0005-0000-0000-00005C6E0000}"/>
    <cellStyle name="60% - Accent4 3 2 4 28" xfId="59984" xr:uid="{00000000-0005-0000-0000-00005D6E0000}"/>
    <cellStyle name="60% - Accent4 3 2 4 29" xfId="61667" xr:uid="{00000000-0005-0000-0000-00005E6E0000}"/>
    <cellStyle name="60% - Accent4 3 2 4 3" xfId="4442" xr:uid="{00000000-0005-0000-0000-00005F6E0000}"/>
    <cellStyle name="60% - Accent4 3 2 4 3 2" xfId="19591" xr:uid="{00000000-0005-0000-0000-0000606E0000}"/>
    <cellStyle name="60% - Accent4 3 2 4 30" xfId="63350" xr:uid="{00000000-0005-0000-0000-0000616E0000}"/>
    <cellStyle name="60% - Accent4 3 2 4 4" xfId="6125" xr:uid="{00000000-0005-0000-0000-0000626E0000}"/>
    <cellStyle name="60% - Accent4 3 2 4 4 2" xfId="21274" xr:uid="{00000000-0005-0000-0000-0000636E0000}"/>
    <cellStyle name="60% - Accent4 3 2 4 5" xfId="7808" xr:uid="{00000000-0005-0000-0000-0000646E0000}"/>
    <cellStyle name="60% - Accent4 3 2 4 5 2" xfId="22957" xr:uid="{00000000-0005-0000-0000-0000656E0000}"/>
    <cellStyle name="60% - Accent4 3 2 4 6" xfId="9491" xr:uid="{00000000-0005-0000-0000-0000666E0000}"/>
    <cellStyle name="60% - Accent4 3 2 4 6 2" xfId="24640" xr:uid="{00000000-0005-0000-0000-0000676E0000}"/>
    <cellStyle name="60% - Accent4 3 2 4 7" xfId="11174" xr:uid="{00000000-0005-0000-0000-0000686E0000}"/>
    <cellStyle name="60% - Accent4 3 2 4 7 2" xfId="26323" xr:uid="{00000000-0005-0000-0000-0000696E0000}"/>
    <cellStyle name="60% - Accent4 3 2 4 8" xfId="12858" xr:uid="{00000000-0005-0000-0000-00006A6E0000}"/>
    <cellStyle name="60% - Accent4 3 2 4 8 2" xfId="28007" xr:uid="{00000000-0005-0000-0000-00006B6E0000}"/>
    <cellStyle name="60% - Accent4 3 2 4 9" xfId="14541" xr:uid="{00000000-0005-0000-0000-00006C6E0000}"/>
    <cellStyle name="60% - Accent4 3 2 4 9 2" xfId="29690" xr:uid="{00000000-0005-0000-0000-00006D6E0000}"/>
    <cellStyle name="60% - Accent4 3 2 5" xfId="1496" xr:uid="{00000000-0005-0000-0000-00006E6E0000}"/>
    <cellStyle name="60% - Accent4 3 2 5 10" xfId="16645" xr:uid="{00000000-0005-0000-0000-00006F6E0000}"/>
    <cellStyle name="60% - Accent4 3 2 5 11" xfId="31794" xr:uid="{00000000-0005-0000-0000-0000706E0000}"/>
    <cellStyle name="60% - Accent4 3 2 5 12" xfId="33477" xr:uid="{00000000-0005-0000-0000-0000716E0000}"/>
    <cellStyle name="60% - Accent4 3 2 5 13" xfId="35160" xr:uid="{00000000-0005-0000-0000-0000726E0000}"/>
    <cellStyle name="60% - Accent4 3 2 5 14" xfId="36843" xr:uid="{00000000-0005-0000-0000-0000736E0000}"/>
    <cellStyle name="60% - Accent4 3 2 5 15" xfId="38526" xr:uid="{00000000-0005-0000-0000-0000746E0000}"/>
    <cellStyle name="60% - Accent4 3 2 5 16" xfId="40209" xr:uid="{00000000-0005-0000-0000-0000756E0000}"/>
    <cellStyle name="60% - Accent4 3 2 5 17" xfId="41892" xr:uid="{00000000-0005-0000-0000-0000766E0000}"/>
    <cellStyle name="60% - Accent4 3 2 5 18" xfId="43575" xr:uid="{00000000-0005-0000-0000-0000776E0000}"/>
    <cellStyle name="60% - Accent4 3 2 5 19" xfId="45258" xr:uid="{00000000-0005-0000-0000-0000786E0000}"/>
    <cellStyle name="60% - Accent4 3 2 5 2" xfId="3179" xr:uid="{00000000-0005-0000-0000-0000796E0000}"/>
    <cellStyle name="60% - Accent4 3 2 5 2 2" xfId="18328" xr:uid="{00000000-0005-0000-0000-00007A6E0000}"/>
    <cellStyle name="60% - Accent4 3 2 5 20" xfId="46941" xr:uid="{00000000-0005-0000-0000-00007B6E0000}"/>
    <cellStyle name="60% - Accent4 3 2 5 21" xfId="48624" xr:uid="{00000000-0005-0000-0000-00007C6E0000}"/>
    <cellStyle name="60% - Accent4 3 2 5 22" xfId="50307" xr:uid="{00000000-0005-0000-0000-00007D6E0000}"/>
    <cellStyle name="60% - Accent4 3 2 5 23" xfId="51990" xr:uid="{00000000-0005-0000-0000-00007E6E0000}"/>
    <cellStyle name="60% - Accent4 3 2 5 24" xfId="53673" xr:uid="{00000000-0005-0000-0000-00007F6E0000}"/>
    <cellStyle name="60% - Accent4 3 2 5 25" xfId="55356" xr:uid="{00000000-0005-0000-0000-0000806E0000}"/>
    <cellStyle name="60% - Accent4 3 2 5 26" xfId="57039" xr:uid="{00000000-0005-0000-0000-0000816E0000}"/>
    <cellStyle name="60% - Accent4 3 2 5 27" xfId="58722" xr:uid="{00000000-0005-0000-0000-0000826E0000}"/>
    <cellStyle name="60% - Accent4 3 2 5 28" xfId="60405" xr:uid="{00000000-0005-0000-0000-0000836E0000}"/>
    <cellStyle name="60% - Accent4 3 2 5 29" xfId="62088" xr:uid="{00000000-0005-0000-0000-0000846E0000}"/>
    <cellStyle name="60% - Accent4 3 2 5 3" xfId="4863" xr:uid="{00000000-0005-0000-0000-0000856E0000}"/>
    <cellStyle name="60% - Accent4 3 2 5 3 2" xfId="20012" xr:uid="{00000000-0005-0000-0000-0000866E0000}"/>
    <cellStyle name="60% - Accent4 3 2 5 30" xfId="63771" xr:uid="{00000000-0005-0000-0000-0000876E0000}"/>
    <cellStyle name="60% - Accent4 3 2 5 4" xfId="6546" xr:uid="{00000000-0005-0000-0000-0000886E0000}"/>
    <cellStyle name="60% - Accent4 3 2 5 4 2" xfId="21695" xr:uid="{00000000-0005-0000-0000-0000896E0000}"/>
    <cellStyle name="60% - Accent4 3 2 5 5" xfId="8229" xr:uid="{00000000-0005-0000-0000-00008A6E0000}"/>
    <cellStyle name="60% - Accent4 3 2 5 5 2" xfId="23378" xr:uid="{00000000-0005-0000-0000-00008B6E0000}"/>
    <cellStyle name="60% - Accent4 3 2 5 6" xfId="9912" xr:uid="{00000000-0005-0000-0000-00008C6E0000}"/>
    <cellStyle name="60% - Accent4 3 2 5 6 2" xfId="25061" xr:uid="{00000000-0005-0000-0000-00008D6E0000}"/>
    <cellStyle name="60% - Accent4 3 2 5 7" xfId="11595" xr:uid="{00000000-0005-0000-0000-00008E6E0000}"/>
    <cellStyle name="60% - Accent4 3 2 5 7 2" xfId="26744" xr:uid="{00000000-0005-0000-0000-00008F6E0000}"/>
    <cellStyle name="60% - Accent4 3 2 5 8" xfId="13279" xr:uid="{00000000-0005-0000-0000-0000906E0000}"/>
    <cellStyle name="60% - Accent4 3 2 5 8 2" xfId="28428" xr:uid="{00000000-0005-0000-0000-0000916E0000}"/>
    <cellStyle name="60% - Accent4 3 2 5 9" xfId="14962" xr:uid="{00000000-0005-0000-0000-0000926E0000}"/>
    <cellStyle name="60% - Accent4 3 2 5 9 2" xfId="30111" xr:uid="{00000000-0005-0000-0000-0000936E0000}"/>
    <cellStyle name="60% - Accent4 3 2 6" xfId="1917" xr:uid="{00000000-0005-0000-0000-0000946E0000}"/>
    <cellStyle name="60% - Accent4 3 2 6 2" xfId="17066" xr:uid="{00000000-0005-0000-0000-0000956E0000}"/>
    <cellStyle name="60% - Accent4 3 2 7" xfId="3601" xr:uid="{00000000-0005-0000-0000-0000966E0000}"/>
    <cellStyle name="60% - Accent4 3 2 7 2" xfId="18750" xr:uid="{00000000-0005-0000-0000-0000976E0000}"/>
    <cellStyle name="60% - Accent4 3 2 8" xfId="5284" xr:uid="{00000000-0005-0000-0000-0000986E0000}"/>
    <cellStyle name="60% - Accent4 3 2 8 2" xfId="20433" xr:uid="{00000000-0005-0000-0000-0000996E0000}"/>
    <cellStyle name="60% - Accent4 3 2 9" xfId="6967" xr:uid="{00000000-0005-0000-0000-00009A6E0000}"/>
    <cellStyle name="60% - Accent4 3 2 9 2" xfId="22116" xr:uid="{00000000-0005-0000-0000-00009B6E0000}"/>
    <cellStyle name="60% - Accent4 3 20" xfId="37159" xr:uid="{00000000-0005-0000-0000-00009C6E0000}"/>
    <cellStyle name="60% - Accent4 3 21" xfId="38842" xr:uid="{00000000-0005-0000-0000-00009D6E0000}"/>
    <cellStyle name="60% - Accent4 3 22" xfId="40525" xr:uid="{00000000-0005-0000-0000-00009E6E0000}"/>
    <cellStyle name="60% - Accent4 3 23" xfId="42208" xr:uid="{00000000-0005-0000-0000-00009F6E0000}"/>
    <cellStyle name="60% - Accent4 3 24" xfId="43891" xr:uid="{00000000-0005-0000-0000-0000A06E0000}"/>
    <cellStyle name="60% - Accent4 3 25" xfId="45574" xr:uid="{00000000-0005-0000-0000-0000A16E0000}"/>
    <cellStyle name="60% - Accent4 3 26" xfId="47257" xr:uid="{00000000-0005-0000-0000-0000A26E0000}"/>
    <cellStyle name="60% - Accent4 3 27" xfId="48940" xr:uid="{00000000-0005-0000-0000-0000A36E0000}"/>
    <cellStyle name="60% - Accent4 3 28" xfId="50623" xr:uid="{00000000-0005-0000-0000-0000A46E0000}"/>
    <cellStyle name="60% - Accent4 3 29" xfId="52306" xr:uid="{00000000-0005-0000-0000-0000A56E0000}"/>
    <cellStyle name="60% - Accent4 3 3" xfId="339" xr:uid="{00000000-0005-0000-0000-0000A66E0000}"/>
    <cellStyle name="60% - Accent4 3 3 10" xfId="10438" xr:uid="{00000000-0005-0000-0000-0000A76E0000}"/>
    <cellStyle name="60% - Accent4 3 3 10 2" xfId="25587" xr:uid="{00000000-0005-0000-0000-0000A86E0000}"/>
    <cellStyle name="60% - Accent4 3 3 11" xfId="12122" xr:uid="{00000000-0005-0000-0000-0000A96E0000}"/>
    <cellStyle name="60% - Accent4 3 3 11 2" xfId="27271" xr:uid="{00000000-0005-0000-0000-0000AA6E0000}"/>
    <cellStyle name="60% - Accent4 3 3 12" xfId="13805" xr:uid="{00000000-0005-0000-0000-0000AB6E0000}"/>
    <cellStyle name="60% - Accent4 3 3 12 2" xfId="28954" xr:uid="{00000000-0005-0000-0000-0000AC6E0000}"/>
    <cellStyle name="60% - Accent4 3 3 13" xfId="15488" xr:uid="{00000000-0005-0000-0000-0000AD6E0000}"/>
    <cellStyle name="60% - Accent4 3 3 14" xfId="30637" xr:uid="{00000000-0005-0000-0000-0000AE6E0000}"/>
    <cellStyle name="60% - Accent4 3 3 15" xfId="32320" xr:uid="{00000000-0005-0000-0000-0000AF6E0000}"/>
    <cellStyle name="60% - Accent4 3 3 16" xfId="34003" xr:uid="{00000000-0005-0000-0000-0000B06E0000}"/>
    <cellStyle name="60% - Accent4 3 3 17" xfId="35686" xr:uid="{00000000-0005-0000-0000-0000B16E0000}"/>
    <cellStyle name="60% - Accent4 3 3 18" xfId="37369" xr:uid="{00000000-0005-0000-0000-0000B26E0000}"/>
    <cellStyle name="60% - Accent4 3 3 19" xfId="39052" xr:uid="{00000000-0005-0000-0000-0000B36E0000}"/>
    <cellStyle name="60% - Accent4 3 3 2" xfId="759" xr:uid="{00000000-0005-0000-0000-0000B46E0000}"/>
    <cellStyle name="60% - Accent4 3 3 2 10" xfId="15908" xr:uid="{00000000-0005-0000-0000-0000B56E0000}"/>
    <cellStyle name="60% - Accent4 3 3 2 11" xfId="31057" xr:uid="{00000000-0005-0000-0000-0000B66E0000}"/>
    <cellStyle name="60% - Accent4 3 3 2 12" xfId="32740" xr:uid="{00000000-0005-0000-0000-0000B76E0000}"/>
    <cellStyle name="60% - Accent4 3 3 2 13" xfId="34423" xr:uid="{00000000-0005-0000-0000-0000B86E0000}"/>
    <cellStyle name="60% - Accent4 3 3 2 14" xfId="36106" xr:uid="{00000000-0005-0000-0000-0000B96E0000}"/>
    <cellStyle name="60% - Accent4 3 3 2 15" xfId="37789" xr:uid="{00000000-0005-0000-0000-0000BA6E0000}"/>
    <cellStyle name="60% - Accent4 3 3 2 16" xfId="39472" xr:uid="{00000000-0005-0000-0000-0000BB6E0000}"/>
    <cellStyle name="60% - Accent4 3 3 2 17" xfId="41155" xr:uid="{00000000-0005-0000-0000-0000BC6E0000}"/>
    <cellStyle name="60% - Accent4 3 3 2 18" xfId="42838" xr:uid="{00000000-0005-0000-0000-0000BD6E0000}"/>
    <cellStyle name="60% - Accent4 3 3 2 19" xfId="44521" xr:uid="{00000000-0005-0000-0000-0000BE6E0000}"/>
    <cellStyle name="60% - Accent4 3 3 2 2" xfId="2442" xr:uid="{00000000-0005-0000-0000-0000BF6E0000}"/>
    <cellStyle name="60% - Accent4 3 3 2 2 2" xfId="17591" xr:uid="{00000000-0005-0000-0000-0000C06E0000}"/>
    <cellStyle name="60% - Accent4 3 3 2 20" xfId="46204" xr:uid="{00000000-0005-0000-0000-0000C16E0000}"/>
    <cellStyle name="60% - Accent4 3 3 2 21" xfId="47887" xr:uid="{00000000-0005-0000-0000-0000C26E0000}"/>
    <cellStyle name="60% - Accent4 3 3 2 22" xfId="49570" xr:uid="{00000000-0005-0000-0000-0000C36E0000}"/>
    <cellStyle name="60% - Accent4 3 3 2 23" xfId="51253" xr:uid="{00000000-0005-0000-0000-0000C46E0000}"/>
    <cellStyle name="60% - Accent4 3 3 2 24" xfId="52936" xr:uid="{00000000-0005-0000-0000-0000C56E0000}"/>
    <cellStyle name="60% - Accent4 3 3 2 25" xfId="54619" xr:uid="{00000000-0005-0000-0000-0000C66E0000}"/>
    <cellStyle name="60% - Accent4 3 3 2 26" xfId="56302" xr:uid="{00000000-0005-0000-0000-0000C76E0000}"/>
    <cellStyle name="60% - Accent4 3 3 2 27" xfId="57985" xr:uid="{00000000-0005-0000-0000-0000C86E0000}"/>
    <cellStyle name="60% - Accent4 3 3 2 28" xfId="59668" xr:uid="{00000000-0005-0000-0000-0000C96E0000}"/>
    <cellStyle name="60% - Accent4 3 3 2 29" xfId="61351" xr:uid="{00000000-0005-0000-0000-0000CA6E0000}"/>
    <cellStyle name="60% - Accent4 3 3 2 3" xfId="4126" xr:uid="{00000000-0005-0000-0000-0000CB6E0000}"/>
    <cellStyle name="60% - Accent4 3 3 2 3 2" xfId="19275" xr:uid="{00000000-0005-0000-0000-0000CC6E0000}"/>
    <cellStyle name="60% - Accent4 3 3 2 30" xfId="63034" xr:uid="{00000000-0005-0000-0000-0000CD6E0000}"/>
    <cellStyle name="60% - Accent4 3 3 2 4" xfId="5809" xr:uid="{00000000-0005-0000-0000-0000CE6E0000}"/>
    <cellStyle name="60% - Accent4 3 3 2 4 2" xfId="20958" xr:uid="{00000000-0005-0000-0000-0000CF6E0000}"/>
    <cellStyle name="60% - Accent4 3 3 2 5" xfId="7492" xr:uid="{00000000-0005-0000-0000-0000D06E0000}"/>
    <cellStyle name="60% - Accent4 3 3 2 5 2" xfId="22641" xr:uid="{00000000-0005-0000-0000-0000D16E0000}"/>
    <cellStyle name="60% - Accent4 3 3 2 6" xfId="9175" xr:uid="{00000000-0005-0000-0000-0000D26E0000}"/>
    <cellStyle name="60% - Accent4 3 3 2 6 2" xfId="24324" xr:uid="{00000000-0005-0000-0000-0000D36E0000}"/>
    <cellStyle name="60% - Accent4 3 3 2 7" xfId="10858" xr:uid="{00000000-0005-0000-0000-0000D46E0000}"/>
    <cellStyle name="60% - Accent4 3 3 2 7 2" xfId="26007" xr:uid="{00000000-0005-0000-0000-0000D56E0000}"/>
    <cellStyle name="60% - Accent4 3 3 2 8" xfId="12542" xr:uid="{00000000-0005-0000-0000-0000D66E0000}"/>
    <cellStyle name="60% - Accent4 3 3 2 8 2" xfId="27691" xr:uid="{00000000-0005-0000-0000-0000D76E0000}"/>
    <cellStyle name="60% - Accent4 3 3 2 9" xfId="14225" xr:uid="{00000000-0005-0000-0000-0000D86E0000}"/>
    <cellStyle name="60% - Accent4 3 3 2 9 2" xfId="29374" xr:uid="{00000000-0005-0000-0000-0000D96E0000}"/>
    <cellStyle name="60% - Accent4 3 3 20" xfId="40735" xr:uid="{00000000-0005-0000-0000-0000DA6E0000}"/>
    <cellStyle name="60% - Accent4 3 3 21" xfId="42418" xr:uid="{00000000-0005-0000-0000-0000DB6E0000}"/>
    <cellStyle name="60% - Accent4 3 3 22" xfId="44101" xr:uid="{00000000-0005-0000-0000-0000DC6E0000}"/>
    <cellStyle name="60% - Accent4 3 3 23" xfId="45784" xr:uid="{00000000-0005-0000-0000-0000DD6E0000}"/>
    <cellStyle name="60% - Accent4 3 3 24" xfId="47467" xr:uid="{00000000-0005-0000-0000-0000DE6E0000}"/>
    <cellStyle name="60% - Accent4 3 3 25" xfId="49150" xr:uid="{00000000-0005-0000-0000-0000DF6E0000}"/>
    <cellStyle name="60% - Accent4 3 3 26" xfId="50833" xr:uid="{00000000-0005-0000-0000-0000E06E0000}"/>
    <cellStyle name="60% - Accent4 3 3 27" xfId="52516" xr:uid="{00000000-0005-0000-0000-0000E16E0000}"/>
    <cellStyle name="60% - Accent4 3 3 28" xfId="54199" xr:uid="{00000000-0005-0000-0000-0000E26E0000}"/>
    <cellStyle name="60% - Accent4 3 3 29" xfId="55882" xr:uid="{00000000-0005-0000-0000-0000E36E0000}"/>
    <cellStyle name="60% - Accent4 3 3 3" xfId="1180" xr:uid="{00000000-0005-0000-0000-0000E46E0000}"/>
    <cellStyle name="60% - Accent4 3 3 3 10" xfId="16329" xr:uid="{00000000-0005-0000-0000-0000E56E0000}"/>
    <cellStyle name="60% - Accent4 3 3 3 11" xfId="31478" xr:uid="{00000000-0005-0000-0000-0000E66E0000}"/>
    <cellStyle name="60% - Accent4 3 3 3 12" xfId="33161" xr:uid="{00000000-0005-0000-0000-0000E76E0000}"/>
    <cellStyle name="60% - Accent4 3 3 3 13" xfId="34844" xr:uid="{00000000-0005-0000-0000-0000E86E0000}"/>
    <cellStyle name="60% - Accent4 3 3 3 14" xfId="36527" xr:uid="{00000000-0005-0000-0000-0000E96E0000}"/>
    <cellStyle name="60% - Accent4 3 3 3 15" xfId="38210" xr:uid="{00000000-0005-0000-0000-0000EA6E0000}"/>
    <cellStyle name="60% - Accent4 3 3 3 16" xfId="39893" xr:uid="{00000000-0005-0000-0000-0000EB6E0000}"/>
    <cellStyle name="60% - Accent4 3 3 3 17" xfId="41576" xr:uid="{00000000-0005-0000-0000-0000EC6E0000}"/>
    <cellStyle name="60% - Accent4 3 3 3 18" xfId="43259" xr:uid="{00000000-0005-0000-0000-0000ED6E0000}"/>
    <cellStyle name="60% - Accent4 3 3 3 19" xfId="44942" xr:uid="{00000000-0005-0000-0000-0000EE6E0000}"/>
    <cellStyle name="60% - Accent4 3 3 3 2" xfId="2863" xr:uid="{00000000-0005-0000-0000-0000EF6E0000}"/>
    <cellStyle name="60% - Accent4 3 3 3 2 2" xfId="18012" xr:uid="{00000000-0005-0000-0000-0000F06E0000}"/>
    <cellStyle name="60% - Accent4 3 3 3 20" xfId="46625" xr:uid="{00000000-0005-0000-0000-0000F16E0000}"/>
    <cellStyle name="60% - Accent4 3 3 3 21" xfId="48308" xr:uid="{00000000-0005-0000-0000-0000F26E0000}"/>
    <cellStyle name="60% - Accent4 3 3 3 22" xfId="49991" xr:uid="{00000000-0005-0000-0000-0000F36E0000}"/>
    <cellStyle name="60% - Accent4 3 3 3 23" xfId="51674" xr:uid="{00000000-0005-0000-0000-0000F46E0000}"/>
    <cellStyle name="60% - Accent4 3 3 3 24" xfId="53357" xr:uid="{00000000-0005-0000-0000-0000F56E0000}"/>
    <cellStyle name="60% - Accent4 3 3 3 25" xfId="55040" xr:uid="{00000000-0005-0000-0000-0000F66E0000}"/>
    <cellStyle name="60% - Accent4 3 3 3 26" xfId="56723" xr:uid="{00000000-0005-0000-0000-0000F76E0000}"/>
    <cellStyle name="60% - Accent4 3 3 3 27" xfId="58406" xr:uid="{00000000-0005-0000-0000-0000F86E0000}"/>
    <cellStyle name="60% - Accent4 3 3 3 28" xfId="60089" xr:uid="{00000000-0005-0000-0000-0000F96E0000}"/>
    <cellStyle name="60% - Accent4 3 3 3 29" xfId="61772" xr:uid="{00000000-0005-0000-0000-0000FA6E0000}"/>
    <cellStyle name="60% - Accent4 3 3 3 3" xfId="4547" xr:uid="{00000000-0005-0000-0000-0000FB6E0000}"/>
    <cellStyle name="60% - Accent4 3 3 3 3 2" xfId="19696" xr:uid="{00000000-0005-0000-0000-0000FC6E0000}"/>
    <cellStyle name="60% - Accent4 3 3 3 30" xfId="63455" xr:uid="{00000000-0005-0000-0000-0000FD6E0000}"/>
    <cellStyle name="60% - Accent4 3 3 3 4" xfId="6230" xr:uid="{00000000-0005-0000-0000-0000FE6E0000}"/>
    <cellStyle name="60% - Accent4 3 3 3 4 2" xfId="21379" xr:uid="{00000000-0005-0000-0000-0000FF6E0000}"/>
    <cellStyle name="60% - Accent4 3 3 3 5" xfId="7913" xr:uid="{00000000-0005-0000-0000-0000006F0000}"/>
    <cellStyle name="60% - Accent4 3 3 3 5 2" xfId="23062" xr:uid="{00000000-0005-0000-0000-0000016F0000}"/>
    <cellStyle name="60% - Accent4 3 3 3 6" xfId="9596" xr:uid="{00000000-0005-0000-0000-0000026F0000}"/>
    <cellStyle name="60% - Accent4 3 3 3 6 2" xfId="24745" xr:uid="{00000000-0005-0000-0000-0000036F0000}"/>
    <cellStyle name="60% - Accent4 3 3 3 7" xfId="11279" xr:uid="{00000000-0005-0000-0000-0000046F0000}"/>
    <cellStyle name="60% - Accent4 3 3 3 7 2" xfId="26428" xr:uid="{00000000-0005-0000-0000-0000056F0000}"/>
    <cellStyle name="60% - Accent4 3 3 3 8" xfId="12963" xr:uid="{00000000-0005-0000-0000-0000066F0000}"/>
    <cellStyle name="60% - Accent4 3 3 3 8 2" xfId="28112" xr:uid="{00000000-0005-0000-0000-0000076F0000}"/>
    <cellStyle name="60% - Accent4 3 3 3 9" xfId="14646" xr:uid="{00000000-0005-0000-0000-0000086F0000}"/>
    <cellStyle name="60% - Accent4 3 3 3 9 2" xfId="29795" xr:uid="{00000000-0005-0000-0000-0000096F0000}"/>
    <cellStyle name="60% - Accent4 3 3 30" xfId="57565" xr:uid="{00000000-0005-0000-0000-00000A6F0000}"/>
    <cellStyle name="60% - Accent4 3 3 31" xfId="59248" xr:uid="{00000000-0005-0000-0000-00000B6F0000}"/>
    <cellStyle name="60% - Accent4 3 3 32" xfId="60931" xr:uid="{00000000-0005-0000-0000-00000C6F0000}"/>
    <cellStyle name="60% - Accent4 3 3 33" xfId="62614" xr:uid="{00000000-0005-0000-0000-00000D6F0000}"/>
    <cellStyle name="60% - Accent4 3 3 4" xfId="1601" xr:uid="{00000000-0005-0000-0000-00000E6F0000}"/>
    <cellStyle name="60% - Accent4 3 3 4 10" xfId="16750" xr:uid="{00000000-0005-0000-0000-00000F6F0000}"/>
    <cellStyle name="60% - Accent4 3 3 4 11" xfId="31899" xr:uid="{00000000-0005-0000-0000-0000106F0000}"/>
    <cellStyle name="60% - Accent4 3 3 4 12" xfId="33582" xr:uid="{00000000-0005-0000-0000-0000116F0000}"/>
    <cellStyle name="60% - Accent4 3 3 4 13" xfId="35265" xr:uid="{00000000-0005-0000-0000-0000126F0000}"/>
    <cellStyle name="60% - Accent4 3 3 4 14" xfId="36948" xr:uid="{00000000-0005-0000-0000-0000136F0000}"/>
    <cellStyle name="60% - Accent4 3 3 4 15" xfId="38631" xr:uid="{00000000-0005-0000-0000-0000146F0000}"/>
    <cellStyle name="60% - Accent4 3 3 4 16" xfId="40314" xr:uid="{00000000-0005-0000-0000-0000156F0000}"/>
    <cellStyle name="60% - Accent4 3 3 4 17" xfId="41997" xr:uid="{00000000-0005-0000-0000-0000166F0000}"/>
    <cellStyle name="60% - Accent4 3 3 4 18" xfId="43680" xr:uid="{00000000-0005-0000-0000-0000176F0000}"/>
    <cellStyle name="60% - Accent4 3 3 4 19" xfId="45363" xr:uid="{00000000-0005-0000-0000-0000186F0000}"/>
    <cellStyle name="60% - Accent4 3 3 4 2" xfId="3284" xr:uid="{00000000-0005-0000-0000-0000196F0000}"/>
    <cellStyle name="60% - Accent4 3 3 4 2 2" xfId="18433" xr:uid="{00000000-0005-0000-0000-00001A6F0000}"/>
    <cellStyle name="60% - Accent4 3 3 4 20" xfId="47046" xr:uid="{00000000-0005-0000-0000-00001B6F0000}"/>
    <cellStyle name="60% - Accent4 3 3 4 21" xfId="48729" xr:uid="{00000000-0005-0000-0000-00001C6F0000}"/>
    <cellStyle name="60% - Accent4 3 3 4 22" xfId="50412" xr:uid="{00000000-0005-0000-0000-00001D6F0000}"/>
    <cellStyle name="60% - Accent4 3 3 4 23" xfId="52095" xr:uid="{00000000-0005-0000-0000-00001E6F0000}"/>
    <cellStyle name="60% - Accent4 3 3 4 24" xfId="53778" xr:uid="{00000000-0005-0000-0000-00001F6F0000}"/>
    <cellStyle name="60% - Accent4 3 3 4 25" xfId="55461" xr:uid="{00000000-0005-0000-0000-0000206F0000}"/>
    <cellStyle name="60% - Accent4 3 3 4 26" xfId="57144" xr:uid="{00000000-0005-0000-0000-0000216F0000}"/>
    <cellStyle name="60% - Accent4 3 3 4 27" xfId="58827" xr:uid="{00000000-0005-0000-0000-0000226F0000}"/>
    <cellStyle name="60% - Accent4 3 3 4 28" xfId="60510" xr:uid="{00000000-0005-0000-0000-0000236F0000}"/>
    <cellStyle name="60% - Accent4 3 3 4 29" xfId="62193" xr:uid="{00000000-0005-0000-0000-0000246F0000}"/>
    <cellStyle name="60% - Accent4 3 3 4 3" xfId="4968" xr:uid="{00000000-0005-0000-0000-0000256F0000}"/>
    <cellStyle name="60% - Accent4 3 3 4 3 2" xfId="20117" xr:uid="{00000000-0005-0000-0000-0000266F0000}"/>
    <cellStyle name="60% - Accent4 3 3 4 30" xfId="63876" xr:uid="{00000000-0005-0000-0000-0000276F0000}"/>
    <cellStyle name="60% - Accent4 3 3 4 4" xfId="6651" xr:uid="{00000000-0005-0000-0000-0000286F0000}"/>
    <cellStyle name="60% - Accent4 3 3 4 4 2" xfId="21800" xr:uid="{00000000-0005-0000-0000-0000296F0000}"/>
    <cellStyle name="60% - Accent4 3 3 4 5" xfId="8334" xr:uid="{00000000-0005-0000-0000-00002A6F0000}"/>
    <cellStyle name="60% - Accent4 3 3 4 5 2" xfId="23483" xr:uid="{00000000-0005-0000-0000-00002B6F0000}"/>
    <cellStyle name="60% - Accent4 3 3 4 6" xfId="10017" xr:uid="{00000000-0005-0000-0000-00002C6F0000}"/>
    <cellStyle name="60% - Accent4 3 3 4 6 2" xfId="25166" xr:uid="{00000000-0005-0000-0000-00002D6F0000}"/>
    <cellStyle name="60% - Accent4 3 3 4 7" xfId="11700" xr:uid="{00000000-0005-0000-0000-00002E6F0000}"/>
    <cellStyle name="60% - Accent4 3 3 4 7 2" xfId="26849" xr:uid="{00000000-0005-0000-0000-00002F6F0000}"/>
    <cellStyle name="60% - Accent4 3 3 4 8" xfId="13384" xr:uid="{00000000-0005-0000-0000-0000306F0000}"/>
    <cellStyle name="60% - Accent4 3 3 4 8 2" xfId="28533" xr:uid="{00000000-0005-0000-0000-0000316F0000}"/>
    <cellStyle name="60% - Accent4 3 3 4 9" xfId="15067" xr:uid="{00000000-0005-0000-0000-0000326F0000}"/>
    <cellStyle name="60% - Accent4 3 3 4 9 2" xfId="30216" xr:uid="{00000000-0005-0000-0000-0000336F0000}"/>
    <cellStyle name="60% - Accent4 3 3 5" xfId="2022" xr:uid="{00000000-0005-0000-0000-0000346F0000}"/>
    <cellStyle name="60% - Accent4 3 3 5 2" xfId="17171" xr:uid="{00000000-0005-0000-0000-0000356F0000}"/>
    <cellStyle name="60% - Accent4 3 3 6" xfId="3706" xr:uid="{00000000-0005-0000-0000-0000366F0000}"/>
    <cellStyle name="60% - Accent4 3 3 6 2" xfId="18855" xr:uid="{00000000-0005-0000-0000-0000376F0000}"/>
    <cellStyle name="60% - Accent4 3 3 7" xfId="5389" xr:uid="{00000000-0005-0000-0000-0000386F0000}"/>
    <cellStyle name="60% - Accent4 3 3 7 2" xfId="20538" xr:uid="{00000000-0005-0000-0000-0000396F0000}"/>
    <cellStyle name="60% - Accent4 3 3 8" xfId="7072" xr:uid="{00000000-0005-0000-0000-00003A6F0000}"/>
    <cellStyle name="60% - Accent4 3 3 8 2" xfId="22221" xr:uid="{00000000-0005-0000-0000-00003B6F0000}"/>
    <cellStyle name="60% - Accent4 3 3 9" xfId="8755" xr:uid="{00000000-0005-0000-0000-00003C6F0000}"/>
    <cellStyle name="60% - Accent4 3 3 9 2" xfId="23904" xr:uid="{00000000-0005-0000-0000-00003D6F0000}"/>
    <cellStyle name="60% - Accent4 3 30" xfId="53989" xr:uid="{00000000-0005-0000-0000-00003E6F0000}"/>
    <cellStyle name="60% - Accent4 3 31" xfId="55672" xr:uid="{00000000-0005-0000-0000-00003F6F0000}"/>
    <cellStyle name="60% - Accent4 3 32" xfId="57355" xr:uid="{00000000-0005-0000-0000-0000406F0000}"/>
    <cellStyle name="60% - Accent4 3 33" xfId="59038" xr:uid="{00000000-0005-0000-0000-0000416F0000}"/>
    <cellStyle name="60% - Accent4 3 34" xfId="60721" xr:uid="{00000000-0005-0000-0000-0000426F0000}"/>
    <cellStyle name="60% - Accent4 3 35" xfId="62404" xr:uid="{00000000-0005-0000-0000-0000436F0000}"/>
    <cellStyle name="60% - Accent4 3 4" xfId="549" xr:uid="{00000000-0005-0000-0000-0000446F0000}"/>
    <cellStyle name="60% - Accent4 3 4 10" xfId="15698" xr:uid="{00000000-0005-0000-0000-0000456F0000}"/>
    <cellStyle name="60% - Accent4 3 4 11" xfId="30847" xr:uid="{00000000-0005-0000-0000-0000466F0000}"/>
    <cellStyle name="60% - Accent4 3 4 12" xfId="32530" xr:uid="{00000000-0005-0000-0000-0000476F0000}"/>
    <cellStyle name="60% - Accent4 3 4 13" xfId="34213" xr:uid="{00000000-0005-0000-0000-0000486F0000}"/>
    <cellStyle name="60% - Accent4 3 4 14" xfId="35896" xr:uid="{00000000-0005-0000-0000-0000496F0000}"/>
    <cellStyle name="60% - Accent4 3 4 15" xfId="37579" xr:uid="{00000000-0005-0000-0000-00004A6F0000}"/>
    <cellStyle name="60% - Accent4 3 4 16" xfId="39262" xr:uid="{00000000-0005-0000-0000-00004B6F0000}"/>
    <cellStyle name="60% - Accent4 3 4 17" xfId="40945" xr:uid="{00000000-0005-0000-0000-00004C6F0000}"/>
    <cellStyle name="60% - Accent4 3 4 18" xfId="42628" xr:uid="{00000000-0005-0000-0000-00004D6F0000}"/>
    <cellStyle name="60% - Accent4 3 4 19" xfId="44311" xr:uid="{00000000-0005-0000-0000-00004E6F0000}"/>
    <cellStyle name="60% - Accent4 3 4 2" xfId="2232" xr:uid="{00000000-0005-0000-0000-00004F6F0000}"/>
    <cellStyle name="60% - Accent4 3 4 2 2" xfId="17381" xr:uid="{00000000-0005-0000-0000-0000506F0000}"/>
    <cellStyle name="60% - Accent4 3 4 20" xfId="45994" xr:uid="{00000000-0005-0000-0000-0000516F0000}"/>
    <cellStyle name="60% - Accent4 3 4 21" xfId="47677" xr:uid="{00000000-0005-0000-0000-0000526F0000}"/>
    <cellStyle name="60% - Accent4 3 4 22" xfId="49360" xr:uid="{00000000-0005-0000-0000-0000536F0000}"/>
    <cellStyle name="60% - Accent4 3 4 23" xfId="51043" xr:uid="{00000000-0005-0000-0000-0000546F0000}"/>
    <cellStyle name="60% - Accent4 3 4 24" xfId="52726" xr:uid="{00000000-0005-0000-0000-0000556F0000}"/>
    <cellStyle name="60% - Accent4 3 4 25" xfId="54409" xr:uid="{00000000-0005-0000-0000-0000566F0000}"/>
    <cellStyle name="60% - Accent4 3 4 26" xfId="56092" xr:uid="{00000000-0005-0000-0000-0000576F0000}"/>
    <cellStyle name="60% - Accent4 3 4 27" xfId="57775" xr:uid="{00000000-0005-0000-0000-0000586F0000}"/>
    <cellStyle name="60% - Accent4 3 4 28" xfId="59458" xr:uid="{00000000-0005-0000-0000-0000596F0000}"/>
    <cellStyle name="60% - Accent4 3 4 29" xfId="61141" xr:uid="{00000000-0005-0000-0000-00005A6F0000}"/>
    <cellStyle name="60% - Accent4 3 4 3" xfId="3916" xr:uid="{00000000-0005-0000-0000-00005B6F0000}"/>
    <cellStyle name="60% - Accent4 3 4 3 2" xfId="19065" xr:uid="{00000000-0005-0000-0000-00005C6F0000}"/>
    <cellStyle name="60% - Accent4 3 4 30" xfId="62824" xr:uid="{00000000-0005-0000-0000-00005D6F0000}"/>
    <cellStyle name="60% - Accent4 3 4 4" xfId="5599" xr:uid="{00000000-0005-0000-0000-00005E6F0000}"/>
    <cellStyle name="60% - Accent4 3 4 4 2" xfId="20748" xr:uid="{00000000-0005-0000-0000-00005F6F0000}"/>
    <cellStyle name="60% - Accent4 3 4 5" xfId="7282" xr:uid="{00000000-0005-0000-0000-0000606F0000}"/>
    <cellStyle name="60% - Accent4 3 4 5 2" xfId="22431" xr:uid="{00000000-0005-0000-0000-0000616F0000}"/>
    <cellStyle name="60% - Accent4 3 4 6" xfId="8965" xr:uid="{00000000-0005-0000-0000-0000626F0000}"/>
    <cellStyle name="60% - Accent4 3 4 6 2" xfId="24114" xr:uid="{00000000-0005-0000-0000-0000636F0000}"/>
    <cellStyle name="60% - Accent4 3 4 7" xfId="10648" xr:uid="{00000000-0005-0000-0000-0000646F0000}"/>
    <cellStyle name="60% - Accent4 3 4 7 2" xfId="25797" xr:uid="{00000000-0005-0000-0000-0000656F0000}"/>
    <cellStyle name="60% - Accent4 3 4 8" xfId="12332" xr:uid="{00000000-0005-0000-0000-0000666F0000}"/>
    <cellStyle name="60% - Accent4 3 4 8 2" xfId="27481" xr:uid="{00000000-0005-0000-0000-0000676F0000}"/>
    <cellStyle name="60% - Accent4 3 4 9" xfId="14015" xr:uid="{00000000-0005-0000-0000-0000686F0000}"/>
    <cellStyle name="60% - Accent4 3 4 9 2" xfId="29164" xr:uid="{00000000-0005-0000-0000-0000696F0000}"/>
    <cellStyle name="60% - Accent4 3 5" xfId="970" xr:uid="{00000000-0005-0000-0000-00006A6F0000}"/>
    <cellStyle name="60% - Accent4 3 5 10" xfId="16119" xr:uid="{00000000-0005-0000-0000-00006B6F0000}"/>
    <cellStyle name="60% - Accent4 3 5 11" xfId="31268" xr:uid="{00000000-0005-0000-0000-00006C6F0000}"/>
    <cellStyle name="60% - Accent4 3 5 12" xfId="32951" xr:uid="{00000000-0005-0000-0000-00006D6F0000}"/>
    <cellStyle name="60% - Accent4 3 5 13" xfId="34634" xr:uid="{00000000-0005-0000-0000-00006E6F0000}"/>
    <cellStyle name="60% - Accent4 3 5 14" xfId="36317" xr:uid="{00000000-0005-0000-0000-00006F6F0000}"/>
    <cellStyle name="60% - Accent4 3 5 15" xfId="38000" xr:uid="{00000000-0005-0000-0000-0000706F0000}"/>
    <cellStyle name="60% - Accent4 3 5 16" xfId="39683" xr:uid="{00000000-0005-0000-0000-0000716F0000}"/>
    <cellStyle name="60% - Accent4 3 5 17" xfId="41366" xr:uid="{00000000-0005-0000-0000-0000726F0000}"/>
    <cellStyle name="60% - Accent4 3 5 18" xfId="43049" xr:uid="{00000000-0005-0000-0000-0000736F0000}"/>
    <cellStyle name="60% - Accent4 3 5 19" xfId="44732" xr:uid="{00000000-0005-0000-0000-0000746F0000}"/>
    <cellStyle name="60% - Accent4 3 5 2" xfId="2653" xr:uid="{00000000-0005-0000-0000-0000756F0000}"/>
    <cellStyle name="60% - Accent4 3 5 2 2" xfId="17802" xr:uid="{00000000-0005-0000-0000-0000766F0000}"/>
    <cellStyle name="60% - Accent4 3 5 20" xfId="46415" xr:uid="{00000000-0005-0000-0000-0000776F0000}"/>
    <cellStyle name="60% - Accent4 3 5 21" xfId="48098" xr:uid="{00000000-0005-0000-0000-0000786F0000}"/>
    <cellStyle name="60% - Accent4 3 5 22" xfId="49781" xr:uid="{00000000-0005-0000-0000-0000796F0000}"/>
    <cellStyle name="60% - Accent4 3 5 23" xfId="51464" xr:uid="{00000000-0005-0000-0000-00007A6F0000}"/>
    <cellStyle name="60% - Accent4 3 5 24" xfId="53147" xr:uid="{00000000-0005-0000-0000-00007B6F0000}"/>
    <cellStyle name="60% - Accent4 3 5 25" xfId="54830" xr:uid="{00000000-0005-0000-0000-00007C6F0000}"/>
    <cellStyle name="60% - Accent4 3 5 26" xfId="56513" xr:uid="{00000000-0005-0000-0000-00007D6F0000}"/>
    <cellStyle name="60% - Accent4 3 5 27" xfId="58196" xr:uid="{00000000-0005-0000-0000-00007E6F0000}"/>
    <cellStyle name="60% - Accent4 3 5 28" xfId="59879" xr:uid="{00000000-0005-0000-0000-00007F6F0000}"/>
    <cellStyle name="60% - Accent4 3 5 29" xfId="61562" xr:uid="{00000000-0005-0000-0000-0000806F0000}"/>
    <cellStyle name="60% - Accent4 3 5 3" xfId="4337" xr:uid="{00000000-0005-0000-0000-0000816F0000}"/>
    <cellStyle name="60% - Accent4 3 5 3 2" xfId="19486" xr:uid="{00000000-0005-0000-0000-0000826F0000}"/>
    <cellStyle name="60% - Accent4 3 5 30" xfId="63245" xr:uid="{00000000-0005-0000-0000-0000836F0000}"/>
    <cellStyle name="60% - Accent4 3 5 4" xfId="6020" xr:uid="{00000000-0005-0000-0000-0000846F0000}"/>
    <cellStyle name="60% - Accent4 3 5 4 2" xfId="21169" xr:uid="{00000000-0005-0000-0000-0000856F0000}"/>
    <cellStyle name="60% - Accent4 3 5 5" xfId="7703" xr:uid="{00000000-0005-0000-0000-0000866F0000}"/>
    <cellStyle name="60% - Accent4 3 5 5 2" xfId="22852" xr:uid="{00000000-0005-0000-0000-0000876F0000}"/>
    <cellStyle name="60% - Accent4 3 5 6" xfId="9386" xr:uid="{00000000-0005-0000-0000-0000886F0000}"/>
    <cellStyle name="60% - Accent4 3 5 6 2" xfId="24535" xr:uid="{00000000-0005-0000-0000-0000896F0000}"/>
    <cellStyle name="60% - Accent4 3 5 7" xfId="11069" xr:uid="{00000000-0005-0000-0000-00008A6F0000}"/>
    <cellStyle name="60% - Accent4 3 5 7 2" xfId="26218" xr:uid="{00000000-0005-0000-0000-00008B6F0000}"/>
    <cellStyle name="60% - Accent4 3 5 8" xfId="12753" xr:uid="{00000000-0005-0000-0000-00008C6F0000}"/>
    <cellStyle name="60% - Accent4 3 5 8 2" xfId="27902" xr:uid="{00000000-0005-0000-0000-00008D6F0000}"/>
    <cellStyle name="60% - Accent4 3 5 9" xfId="14436" xr:uid="{00000000-0005-0000-0000-00008E6F0000}"/>
    <cellStyle name="60% - Accent4 3 5 9 2" xfId="29585" xr:uid="{00000000-0005-0000-0000-00008F6F0000}"/>
    <cellStyle name="60% - Accent4 3 6" xfId="1391" xr:uid="{00000000-0005-0000-0000-0000906F0000}"/>
    <cellStyle name="60% - Accent4 3 6 10" xfId="16540" xr:uid="{00000000-0005-0000-0000-0000916F0000}"/>
    <cellStyle name="60% - Accent4 3 6 11" xfId="31689" xr:uid="{00000000-0005-0000-0000-0000926F0000}"/>
    <cellStyle name="60% - Accent4 3 6 12" xfId="33372" xr:uid="{00000000-0005-0000-0000-0000936F0000}"/>
    <cellStyle name="60% - Accent4 3 6 13" xfId="35055" xr:uid="{00000000-0005-0000-0000-0000946F0000}"/>
    <cellStyle name="60% - Accent4 3 6 14" xfId="36738" xr:uid="{00000000-0005-0000-0000-0000956F0000}"/>
    <cellStyle name="60% - Accent4 3 6 15" xfId="38421" xr:uid="{00000000-0005-0000-0000-0000966F0000}"/>
    <cellStyle name="60% - Accent4 3 6 16" xfId="40104" xr:uid="{00000000-0005-0000-0000-0000976F0000}"/>
    <cellStyle name="60% - Accent4 3 6 17" xfId="41787" xr:uid="{00000000-0005-0000-0000-0000986F0000}"/>
    <cellStyle name="60% - Accent4 3 6 18" xfId="43470" xr:uid="{00000000-0005-0000-0000-0000996F0000}"/>
    <cellStyle name="60% - Accent4 3 6 19" xfId="45153" xr:uid="{00000000-0005-0000-0000-00009A6F0000}"/>
    <cellStyle name="60% - Accent4 3 6 2" xfId="3074" xr:uid="{00000000-0005-0000-0000-00009B6F0000}"/>
    <cellStyle name="60% - Accent4 3 6 2 2" xfId="18223" xr:uid="{00000000-0005-0000-0000-00009C6F0000}"/>
    <cellStyle name="60% - Accent4 3 6 20" xfId="46836" xr:uid="{00000000-0005-0000-0000-00009D6F0000}"/>
    <cellStyle name="60% - Accent4 3 6 21" xfId="48519" xr:uid="{00000000-0005-0000-0000-00009E6F0000}"/>
    <cellStyle name="60% - Accent4 3 6 22" xfId="50202" xr:uid="{00000000-0005-0000-0000-00009F6F0000}"/>
    <cellStyle name="60% - Accent4 3 6 23" xfId="51885" xr:uid="{00000000-0005-0000-0000-0000A06F0000}"/>
    <cellStyle name="60% - Accent4 3 6 24" xfId="53568" xr:uid="{00000000-0005-0000-0000-0000A16F0000}"/>
    <cellStyle name="60% - Accent4 3 6 25" xfId="55251" xr:uid="{00000000-0005-0000-0000-0000A26F0000}"/>
    <cellStyle name="60% - Accent4 3 6 26" xfId="56934" xr:uid="{00000000-0005-0000-0000-0000A36F0000}"/>
    <cellStyle name="60% - Accent4 3 6 27" xfId="58617" xr:uid="{00000000-0005-0000-0000-0000A46F0000}"/>
    <cellStyle name="60% - Accent4 3 6 28" xfId="60300" xr:uid="{00000000-0005-0000-0000-0000A56F0000}"/>
    <cellStyle name="60% - Accent4 3 6 29" xfId="61983" xr:uid="{00000000-0005-0000-0000-0000A66F0000}"/>
    <cellStyle name="60% - Accent4 3 6 3" xfId="4758" xr:uid="{00000000-0005-0000-0000-0000A76F0000}"/>
    <cellStyle name="60% - Accent4 3 6 3 2" xfId="19907" xr:uid="{00000000-0005-0000-0000-0000A86F0000}"/>
    <cellStyle name="60% - Accent4 3 6 30" xfId="63666" xr:uid="{00000000-0005-0000-0000-0000A96F0000}"/>
    <cellStyle name="60% - Accent4 3 6 4" xfId="6441" xr:uid="{00000000-0005-0000-0000-0000AA6F0000}"/>
    <cellStyle name="60% - Accent4 3 6 4 2" xfId="21590" xr:uid="{00000000-0005-0000-0000-0000AB6F0000}"/>
    <cellStyle name="60% - Accent4 3 6 5" xfId="8124" xr:uid="{00000000-0005-0000-0000-0000AC6F0000}"/>
    <cellStyle name="60% - Accent4 3 6 5 2" xfId="23273" xr:uid="{00000000-0005-0000-0000-0000AD6F0000}"/>
    <cellStyle name="60% - Accent4 3 6 6" xfId="9807" xr:uid="{00000000-0005-0000-0000-0000AE6F0000}"/>
    <cellStyle name="60% - Accent4 3 6 6 2" xfId="24956" xr:uid="{00000000-0005-0000-0000-0000AF6F0000}"/>
    <cellStyle name="60% - Accent4 3 6 7" xfId="11490" xr:uid="{00000000-0005-0000-0000-0000B06F0000}"/>
    <cellStyle name="60% - Accent4 3 6 7 2" xfId="26639" xr:uid="{00000000-0005-0000-0000-0000B16F0000}"/>
    <cellStyle name="60% - Accent4 3 6 8" xfId="13174" xr:uid="{00000000-0005-0000-0000-0000B26F0000}"/>
    <cellStyle name="60% - Accent4 3 6 8 2" xfId="28323" xr:uid="{00000000-0005-0000-0000-0000B36F0000}"/>
    <cellStyle name="60% - Accent4 3 6 9" xfId="14857" xr:uid="{00000000-0005-0000-0000-0000B46F0000}"/>
    <cellStyle name="60% - Accent4 3 6 9 2" xfId="30006" xr:uid="{00000000-0005-0000-0000-0000B56F0000}"/>
    <cellStyle name="60% - Accent4 3 7" xfId="1812" xr:uid="{00000000-0005-0000-0000-0000B66F0000}"/>
    <cellStyle name="60% - Accent4 3 7 2" xfId="16961" xr:uid="{00000000-0005-0000-0000-0000B76F0000}"/>
    <cellStyle name="60% - Accent4 3 8" xfId="3496" xr:uid="{00000000-0005-0000-0000-0000B86F0000}"/>
    <cellStyle name="60% - Accent4 3 8 2" xfId="18645" xr:uid="{00000000-0005-0000-0000-0000B96F0000}"/>
    <cellStyle name="60% - Accent4 3 9" xfId="5179" xr:uid="{00000000-0005-0000-0000-0000BA6F0000}"/>
    <cellStyle name="60% - Accent4 3 9 2" xfId="20328" xr:uid="{00000000-0005-0000-0000-0000BB6F0000}"/>
    <cellStyle name="60% - Accent4 30" xfId="50581" xr:uid="{00000000-0005-0000-0000-0000BC6F0000}"/>
    <cellStyle name="60% - Accent4 31" xfId="52264" xr:uid="{00000000-0005-0000-0000-0000BD6F0000}"/>
    <cellStyle name="60% - Accent4 32" xfId="53947" xr:uid="{00000000-0005-0000-0000-0000BE6F0000}"/>
    <cellStyle name="60% - Accent4 33" xfId="55630" xr:uid="{00000000-0005-0000-0000-0000BF6F0000}"/>
    <cellStyle name="60% - Accent4 34" xfId="57313" xr:uid="{00000000-0005-0000-0000-0000C06F0000}"/>
    <cellStyle name="60% - Accent4 35" xfId="58996" xr:uid="{00000000-0005-0000-0000-0000C16F0000}"/>
    <cellStyle name="60% - Accent4 36" xfId="60679" xr:uid="{00000000-0005-0000-0000-0000C26F0000}"/>
    <cellStyle name="60% - Accent4 37" xfId="62362" xr:uid="{00000000-0005-0000-0000-0000C36F0000}"/>
    <cellStyle name="60% - Accent4 4" xfId="192" xr:uid="{00000000-0005-0000-0000-0000C46F0000}"/>
    <cellStyle name="60% - Accent4 4 10" xfId="8608" xr:uid="{00000000-0005-0000-0000-0000C56F0000}"/>
    <cellStyle name="60% - Accent4 4 10 2" xfId="23757" xr:uid="{00000000-0005-0000-0000-0000C66F0000}"/>
    <cellStyle name="60% - Accent4 4 11" xfId="10291" xr:uid="{00000000-0005-0000-0000-0000C76F0000}"/>
    <cellStyle name="60% - Accent4 4 11 2" xfId="25440" xr:uid="{00000000-0005-0000-0000-0000C86F0000}"/>
    <cellStyle name="60% - Accent4 4 12" xfId="11975" xr:uid="{00000000-0005-0000-0000-0000C96F0000}"/>
    <cellStyle name="60% - Accent4 4 12 2" xfId="27124" xr:uid="{00000000-0005-0000-0000-0000CA6F0000}"/>
    <cellStyle name="60% - Accent4 4 13" xfId="13658" xr:uid="{00000000-0005-0000-0000-0000CB6F0000}"/>
    <cellStyle name="60% - Accent4 4 13 2" xfId="28807" xr:uid="{00000000-0005-0000-0000-0000CC6F0000}"/>
    <cellStyle name="60% - Accent4 4 14" xfId="15341" xr:uid="{00000000-0005-0000-0000-0000CD6F0000}"/>
    <cellStyle name="60% - Accent4 4 15" xfId="30490" xr:uid="{00000000-0005-0000-0000-0000CE6F0000}"/>
    <cellStyle name="60% - Accent4 4 16" xfId="32173" xr:uid="{00000000-0005-0000-0000-0000CF6F0000}"/>
    <cellStyle name="60% - Accent4 4 17" xfId="33856" xr:uid="{00000000-0005-0000-0000-0000D06F0000}"/>
    <cellStyle name="60% - Accent4 4 18" xfId="35539" xr:uid="{00000000-0005-0000-0000-0000D16F0000}"/>
    <cellStyle name="60% - Accent4 4 19" xfId="37222" xr:uid="{00000000-0005-0000-0000-0000D26F0000}"/>
    <cellStyle name="60% - Accent4 4 2" xfId="402" xr:uid="{00000000-0005-0000-0000-0000D36F0000}"/>
    <cellStyle name="60% - Accent4 4 2 10" xfId="10501" xr:uid="{00000000-0005-0000-0000-0000D46F0000}"/>
    <cellStyle name="60% - Accent4 4 2 10 2" xfId="25650" xr:uid="{00000000-0005-0000-0000-0000D56F0000}"/>
    <cellStyle name="60% - Accent4 4 2 11" xfId="12185" xr:uid="{00000000-0005-0000-0000-0000D66F0000}"/>
    <cellStyle name="60% - Accent4 4 2 11 2" xfId="27334" xr:uid="{00000000-0005-0000-0000-0000D76F0000}"/>
    <cellStyle name="60% - Accent4 4 2 12" xfId="13868" xr:uid="{00000000-0005-0000-0000-0000D86F0000}"/>
    <cellStyle name="60% - Accent4 4 2 12 2" xfId="29017" xr:uid="{00000000-0005-0000-0000-0000D96F0000}"/>
    <cellStyle name="60% - Accent4 4 2 13" xfId="15551" xr:uid="{00000000-0005-0000-0000-0000DA6F0000}"/>
    <cellStyle name="60% - Accent4 4 2 14" xfId="30700" xr:uid="{00000000-0005-0000-0000-0000DB6F0000}"/>
    <cellStyle name="60% - Accent4 4 2 15" xfId="32383" xr:uid="{00000000-0005-0000-0000-0000DC6F0000}"/>
    <cellStyle name="60% - Accent4 4 2 16" xfId="34066" xr:uid="{00000000-0005-0000-0000-0000DD6F0000}"/>
    <cellStyle name="60% - Accent4 4 2 17" xfId="35749" xr:uid="{00000000-0005-0000-0000-0000DE6F0000}"/>
    <cellStyle name="60% - Accent4 4 2 18" xfId="37432" xr:uid="{00000000-0005-0000-0000-0000DF6F0000}"/>
    <cellStyle name="60% - Accent4 4 2 19" xfId="39115" xr:uid="{00000000-0005-0000-0000-0000E06F0000}"/>
    <cellStyle name="60% - Accent4 4 2 2" xfId="822" xr:uid="{00000000-0005-0000-0000-0000E16F0000}"/>
    <cellStyle name="60% - Accent4 4 2 2 10" xfId="15971" xr:uid="{00000000-0005-0000-0000-0000E26F0000}"/>
    <cellStyle name="60% - Accent4 4 2 2 11" xfId="31120" xr:uid="{00000000-0005-0000-0000-0000E36F0000}"/>
    <cellStyle name="60% - Accent4 4 2 2 12" xfId="32803" xr:uid="{00000000-0005-0000-0000-0000E46F0000}"/>
    <cellStyle name="60% - Accent4 4 2 2 13" xfId="34486" xr:uid="{00000000-0005-0000-0000-0000E56F0000}"/>
    <cellStyle name="60% - Accent4 4 2 2 14" xfId="36169" xr:uid="{00000000-0005-0000-0000-0000E66F0000}"/>
    <cellStyle name="60% - Accent4 4 2 2 15" xfId="37852" xr:uid="{00000000-0005-0000-0000-0000E76F0000}"/>
    <cellStyle name="60% - Accent4 4 2 2 16" xfId="39535" xr:uid="{00000000-0005-0000-0000-0000E86F0000}"/>
    <cellStyle name="60% - Accent4 4 2 2 17" xfId="41218" xr:uid="{00000000-0005-0000-0000-0000E96F0000}"/>
    <cellStyle name="60% - Accent4 4 2 2 18" xfId="42901" xr:uid="{00000000-0005-0000-0000-0000EA6F0000}"/>
    <cellStyle name="60% - Accent4 4 2 2 19" xfId="44584" xr:uid="{00000000-0005-0000-0000-0000EB6F0000}"/>
    <cellStyle name="60% - Accent4 4 2 2 2" xfId="2505" xr:uid="{00000000-0005-0000-0000-0000EC6F0000}"/>
    <cellStyle name="60% - Accent4 4 2 2 2 2" xfId="17654" xr:uid="{00000000-0005-0000-0000-0000ED6F0000}"/>
    <cellStyle name="60% - Accent4 4 2 2 20" xfId="46267" xr:uid="{00000000-0005-0000-0000-0000EE6F0000}"/>
    <cellStyle name="60% - Accent4 4 2 2 21" xfId="47950" xr:uid="{00000000-0005-0000-0000-0000EF6F0000}"/>
    <cellStyle name="60% - Accent4 4 2 2 22" xfId="49633" xr:uid="{00000000-0005-0000-0000-0000F06F0000}"/>
    <cellStyle name="60% - Accent4 4 2 2 23" xfId="51316" xr:uid="{00000000-0005-0000-0000-0000F16F0000}"/>
    <cellStyle name="60% - Accent4 4 2 2 24" xfId="52999" xr:uid="{00000000-0005-0000-0000-0000F26F0000}"/>
    <cellStyle name="60% - Accent4 4 2 2 25" xfId="54682" xr:uid="{00000000-0005-0000-0000-0000F36F0000}"/>
    <cellStyle name="60% - Accent4 4 2 2 26" xfId="56365" xr:uid="{00000000-0005-0000-0000-0000F46F0000}"/>
    <cellStyle name="60% - Accent4 4 2 2 27" xfId="58048" xr:uid="{00000000-0005-0000-0000-0000F56F0000}"/>
    <cellStyle name="60% - Accent4 4 2 2 28" xfId="59731" xr:uid="{00000000-0005-0000-0000-0000F66F0000}"/>
    <cellStyle name="60% - Accent4 4 2 2 29" xfId="61414" xr:uid="{00000000-0005-0000-0000-0000F76F0000}"/>
    <cellStyle name="60% - Accent4 4 2 2 3" xfId="4189" xr:uid="{00000000-0005-0000-0000-0000F86F0000}"/>
    <cellStyle name="60% - Accent4 4 2 2 3 2" xfId="19338" xr:uid="{00000000-0005-0000-0000-0000F96F0000}"/>
    <cellStyle name="60% - Accent4 4 2 2 30" xfId="63097" xr:uid="{00000000-0005-0000-0000-0000FA6F0000}"/>
    <cellStyle name="60% - Accent4 4 2 2 4" xfId="5872" xr:uid="{00000000-0005-0000-0000-0000FB6F0000}"/>
    <cellStyle name="60% - Accent4 4 2 2 4 2" xfId="21021" xr:uid="{00000000-0005-0000-0000-0000FC6F0000}"/>
    <cellStyle name="60% - Accent4 4 2 2 5" xfId="7555" xr:uid="{00000000-0005-0000-0000-0000FD6F0000}"/>
    <cellStyle name="60% - Accent4 4 2 2 5 2" xfId="22704" xr:uid="{00000000-0005-0000-0000-0000FE6F0000}"/>
    <cellStyle name="60% - Accent4 4 2 2 6" xfId="9238" xr:uid="{00000000-0005-0000-0000-0000FF6F0000}"/>
    <cellStyle name="60% - Accent4 4 2 2 6 2" xfId="24387" xr:uid="{00000000-0005-0000-0000-000000700000}"/>
    <cellStyle name="60% - Accent4 4 2 2 7" xfId="10921" xr:uid="{00000000-0005-0000-0000-000001700000}"/>
    <cellStyle name="60% - Accent4 4 2 2 7 2" xfId="26070" xr:uid="{00000000-0005-0000-0000-000002700000}"/>
    <cellStyle name="60% - Accent4 4 2 2 8" xfId="12605" xr:uid="{00000000-0005-0000-0000-000003700000}"/>
    <cellStyle name="60% - Accent4 4 2 2 8 2" xfId="27754" xr:uid="{00000000-0005-0000-0000-000004700000}"/>
    <cellStyle name="60% - Accent4 4 2 2 9" xfId="14288" xr:uid="{00000000-0005-0000-0000-000005700000}"/>
    <cellStyle name="60% - Accent4 4 2 2 9 2" xfId="29437" xr:uid="{00000000-0005-0000-0000-000006700000}"/>
    <cellStyle name="60% - Accent4 4 2 20" xfId="40798" xr:uid="{00000000-0005-0000-0000-000007700000}"/>
    <cellStyle name="60% - Accent4 4 2 21" xfId="42481" xr:uid="{00000000-0005-0000-0000-000008700000}"/>
    <cellStyle name="60% - Accent4 4 2 22" xfId="44164" xr:uid="{00000000-0005-0000-0000-000009700000}"/>
    <cellStyle name="60% - Accent4 4 2 23" xfId="45847" xr:uid="{00000000-0005-0000-0000-00000A700000}"/>
    <cellStyle name="60% - Accent4 4 2 24" xfId="47530" xr:uid="{00000000-0005-0000-0000-00000B700000}"/>
    <cellStyle name="60% - Accent4 4 2 25" xfId="49213" xr:uid="{00000000-0005-0000-0000-00000C700000}"/>
    <cellStyle name="60% - Accent4 4 2 26" xfId="50896" xr:uid="{00000000-0005-0000-0000-00000D700000}"/>
    <cellStyle name="60% - Accent4 4 2 27" xfId="52579" xr:uid="{00000000-0005-0000-0000-00000E700000}"/>
    <cellStyle name="60% - Accent4 4 2 28" xfId="54262" xr:uid="{00000000-0005-0000-0000-00000F700000}"/>
    <cellStyle name="60% - Accent4 4 2 29" xfId="55945" xr:uid="{00000000-0005-0000-0000-000010700000}"/>
    <cellStyle name="60% - Accent4 4 2 3" xfId="1243" xr:uid="{00000000-0005-0000-0000-000011700000}"/>
    <cellStyle name="60% - Accent4 4 2 3 10" xfId="16392" xr:uid="{00000000-0005-0000-0000-000012700000}"/>
    <cellStyle name="60% - Accent4 4 2 3 11" xfId="31541" xr:uid="{00000000-0005-0000-0000-000013700000}"/>
    <cellStyle name="60% - Accent4 4 2 3 12" xfId="33224" xr:uid="{00000000-0005-0000-0000-000014700000}"/>
    <cellStyle name="60% - Accent4 4 2 3 13" xfId="34907" xr:uid="{00000000-0005-0000-0000-000015700000}"/>
    <cellStyle name="60% - Accent4 4 2 3 14" xfId="36590" xr:uid="{00000000-0005-0000-0000-000016700000}"/>
    <cellStyle name="60% - Accent4 4 2 3 15" xfId="38273" xr:uid="{00000000-0005-0000-0000-000017700000}"/>
    <cellStyle name="60% - Accent4 4 2 3 16" xfId="39956" xr:uid="{00000000-0005-0000-0000-000018700000}"/>
    <cellStyle name="60% - Accent4 4 2 3 17" xfId="41639" xr:uid="{00000000-0005-0000-0000-000019700000}"/>
    <cellStyle name="60% - Accent4 4 2 3 18" xfId="43322" xr:uid="{00000000-0005-0000-0000-00001A700000}"/>
    <cellStyle name="60% - Accent4 4 2 3 19" xfId="45005" xr:uid="{00000000-0005-0000-0000-00001B700000}"/>
    <cellStyle name="60% - Accent4 4 2 3 2" xfId="2926" xr:uid="{00000000-0005-0000-0000-00001C700000}"/>
    <cellStyle name="60% - Accent4 4 2 3 2 2" xfId="18075" xr:uid="{00000000-0005-0000-0000-00001D700000}"/>
    <cellStyle name="60% - Accent4 4 2 3 20" xfId="46688" xr:uid="{00000000-0005-0000-0000-00001E700000}"/>
    <cellStyle name="60% - Accent4 4 2 3 21" xfId="48371" xr:uid="{00000000-0005-0000-0000-00001F700000}"/>
    <cellStyle name="60% - Accent4 4 2 3 22" xfId="50054" xr:uid="{00000000-0005-0000-0000-000020700000}"/>
    <cellStyle name="60% - Accent4 4 2 3 23" xfId="51737" xr:uid="{00000000-0005-0000-0000-000021700000}"/>
    <cellStyle name="60% - Accent4 4 2 3 24" xfId="53420" xr:uid="{00000000-0005-0000-0000-000022700000}"/>
    <cellStyle name="60% - Accent4 4 2 3 25" xfId="55103" xr:uid="{00000000-0005-0000-0000-000023700000}"/>
    <cellStyle name="60% - Accent4 4 2 3 26" xfId="56786" xr:uid="{00000000-0005-0000-0000-000024700000}"/>
    <cellStyle name="60% - Accent4 4 2 3 27" xfId="58469" xr:uid="{00000000-0005-0000-0000-000025700000}"/>
    <cellStyle name="60% - Accent4 4 2 3 28" xfId="60152" xr:uid="{00000000-0005-0000-0000-000026700000}"/>
    <cellStyle name="60% - Accent4 4 2 3 29" xfId="61835" xr:uid="{00000000-0005-0000-0000-000027700000}"/>
    <cellStyle name="60% - Accent4 4 2 3 3" xfId="4610" xr:uid="{00000000-0005-0000-0000-000028700000}"/>
    <cellStyle name="60% - Accent4 4 2 3 3 2" xfId="19759" xr:uid="{00000000-0005-0000-0000-000029700000}"/>
    <cellStyle name="60% - Accent4 4 2 3 30" xfId="63518" xr:uid="{00000000-0005-0000-0000-00002A700000}"/>
    <cellStyle name="60% - Accent4 4 2 3 4" xfId="6293" xr:uid="{00000000-0005-0000-0000-00002B700000}"/>
    <cellStyle name="60% - Accent4 4 2 3 4 2" xfId="21442" xr:uid="{00000000-0005-0000-0000-00002C700000}"/>
    <cellStyle name="60% - Accent4 4 2 3 5" xfId="7976" xr:uid="{00000000-0005-0000-0000-00002D700000}"/>
    <cellStyle name="60% - Accent4 4 2 3 5 2" xfId="23125" xr:uid="{00000000-0005-0000-0000-00002E700000}"/>
    <cellStyle name="60% - Accent4 4 2 3 6" xfId="9659" xr:uid="{00000000-0005-0000-0000-00002F700000}"/>
    <cellStyle name="60% - Accent4 4 2 3 6 2" xfId="24808" xr:uid="{00000000-0005-0000-0000-000030700000}"/>
    <cellStyle name="60% - Accent4 4 2 3 7" xfId="11342" xr:uid="{00000000-0005-0000-0000-000031700000}"/>
    <cellStyle name="60% - Accent4 4 2 3 7 2" xfId="26491" xr:uid="{00000000-0005-0000-0000-000032700000}"/>
    <cellStyle name="60% - Accent4 4 2 3 8" xfId="13026" xr:uid="{00000000-0005-0000-0000-000033700000}"/>
    <cellStyle name="60% - Accent4 4 2 3 8 2" xfId="28175" xr:uid="{00000000-0005-0000-0000-000034700000}"/>
    <cellStyle name="60% - Accent4 4 2 3 9" xfId="14709" xr:uid="{00000000-0005-0000-0000-000035700000}"/>
    <cellStyle name="60% - Accent4 4 2 3 9 2" xfId="29858" xr:uid="{00000000-0005-0000-0000-000036700000}"/>
    <cellStyle name="60% - Accent4 4 2 30" xfId="57628" xr:uid="{00000000-0005-0000-0000-000037700000}"/>
    <cellStyle name="60% - Accent4 4 2 31" xfId="59311" xr:uid="{00000000-0005-0000-0000-000038700000}"/>
    <cellStyle name="60% - Accent4 4 2 32" xfId="60994" xr:uid="{00000000-0005-0000-0000-000039700000}"/>
    <cellStyle name="60% - Accent4 4 2 33" xfId="62677" xr:uid="{00000000-0005-0000-0000-00003A700000}"/>
    <cellStyle name="60% - Accent4 4 2 4" xfId="1664" xr:uid="{00000000-0005-0000-0000-00003B700000}"/>
    <cellStyle name="60% - Accent4 4 2 4 10" xfId="16813" xr:uid="{00000000-0005-0000-0000-00003C700000}"/>
    <cellStyle name="60% - Accent4 4 2 4 11" xfId="31962" xr:uid="{00000000-0005-0000-0000-00003D700000}"/>
    <cellStyle name="60% - Accent4 4 2 4 12" xfId="33645" xr:uid="{00000000-0005-0000-0000-00003E700000}"/>
    <cellStyle name="60% - Accent4 4 2 4 13" xfId="35328" xr:uid="{00000000-0005-0000-0000-00003F700000}"/>
    <cellStyle name="60% - Accent4 4 2 4 14" xfId="37011" xr:uid="{00000000-0005-0000-0000-000040700000}"/>
    <cellStyle name="60% - Accent4 4 2 4 15" xfId="38694" xr:uid="{00000000-0005-0000-0000-000041700000}"/>
    <cellStyle name="60% - Accent4 4 2 4 16" xfId="40377" xr:uid="{00000000-0005-0000-0000-000042700000}"/>
    <cellStyle name="60% - Accent4 4 2 4 17" xfId="42060" xr:uid="{00000000-0005-0000-0000-000043700000}"/>
    <cellStyle name="60% - Accent4 4 2 4 18" xfId="43743" xr:uid="{00000000-0005-0000-0000-000044700000}"/>
    <cellStyle name="60% - Accent4 4 2 4 19" xfId="45426" xr:uid="{00000000-0005-0000-0000-000045700000}"/>
    <cellStyle name="60% - Accent4 4 2 4 2" xfId="3347" xr:uid="{00000000-0005-0000-0000-000046700000}"/>
    <cellStyle name="60% - Accent4 4 2 4 2 2" xfId="18496" xr:uid="{00000000-0005-0000-0000-000047700000}"/>
    <cellStyle name="60% - Accent4 4 2 4 20" xfId="47109" xr:uid="{00000000-0005-0000-0000-000048700000}"/>
    <cellStyle name="60% - Accent4 4 2 4 21" xfId="48792" xr:uid="{00000000-0005-0000-0000-000049700000}"/>
    <cellStyle name="60% - Accent4 4 2 4 22" xfId="50475" xr:uid="{00000000-0005-0000-0000-00004A700000}"/>
    <cellStyle name="60% - Accent4 4 2 4 23" xfId="52158" xr:uid="{00000000-0005-0000-0000-00004B700000}"/>
    <cellStyle name="60% - Accent4 4 2 4 24" xfId="53841" xr:uid="{00000000-0005-0000-0000-00004C700000}"/>
    <cellStyle name="60% - Accent4 4 2 4 25" xfId="55524" xr:uid="{00000000-0005-0000-0000-00004D700000}"/>
    <cellStyle name="60% - Accent4 4 2 4 26" xfId="57207" xr:uid="{00000000-0005-0000-0000-00004E700000}"/>
    <cellStyle name="60% - Accent4 4 2 4 27" xfId="58890" xr:uid="{00000000-0005-0000-0000-00004F700000}"/>
    <cellStyle name="60% - Accent4 4 2 4 28" xfId="60573" xr:uid="{00000000-0005-0000-0000-000050700000}"/>
    <cellStyle name="60% - Accent4 4 2 4 29" xfId="62256" xr:uid="{00000000-0005-0000-0000-000051700000}"/>
    <cellStyle name="60% - Accent4 4 2 4 3" xfId="5031" xr:uid="{00000000-0005-0000-0000-000052700000}"/>
    <cellStyle name="60% - Accent4 4 2 4 3 2" xfId="20180" xr:uid="{00000000-0005-0000-0000-000053700000}"/>
    <cellStyle name="60% - Accent4 4 2 4 30" xfId="63939" xr:uid="{00000000-0005-0000-0000-000054700000}"/>
    <cellStyle name="60% - Accent4 4 2 4 4" xfId="6714" xr:uid="{00000000-0005-0000-0000-000055700000}"/>
    <cellStyle name="60% - Accent4 4 2 4 4 2" xfId="21863" xr:uid="{00000000-0005-0000-0000-000056700000}"/>
    <cellStyle name="60% - Accent4 4 2 4 5" xfId="8397" xr:uid="{00000000-0005-0000-0000-000057700000}"/>
    <cellStyle name="60% - Accent4 4 2 4 5 2" xfId="23546" xr:uid="{00000000-0005-0000-0000-000058700000}"/>
    <cellStyle name="60% - Accent4 4 2 4 6" xfId="10080" xr:uid="{00000000-0005-0000-0000-000059700000}"/>
    <cellStyle name="60% - Accent4 4 2 4 6 2" xfId="25229" xr:uid="{00000000-0005-0000-0000-00005A700000}"/>
    <cellStyle name="60% - Accent4 4 2 4 7" xfId="11763" xr:uid="{00000000-0005-0000-0000-00005B700000}"/>
    <cellStyle name="60% - Accent4 4 2 4 7 2" xfId="26912" xr:uid="{00000000-0005-0000-0000-00005C700000}"/>
    <cellStyle name="60% - Accent4 4 2 4 8" xfId="13447" xr:uid="{00000000-0005-0000-0000-00005D700000}"/>
    <cellStyle name="60% - Accent4 4 2 4 8 2" xfId="28596" xr:uid="{00000000-0005-0000-0000-00005E700000}"/>
    <cellStyle name="60% - Accent4 4 2 4 9" xfId="15130" xr:uid="{00000000-0005-0000-0000-00005F700000}"/>
    <cellStyle name="60% - Accent4 4 2 4 9 2" xfId="30279" xr:uid="{00000000-0005-0000-0000-000060700000}"/>
    <cellStyle name="60% - Accent4 4 2 5" xfId="2085" xr:uid="{00000000-0005-0000-0000-000061700000}"/>
    <cellStyle name="60% - Accent4 4 2 5 2" xfId="17234" xr:uid="{00000000-0005-0000-0000-000062700000}"/>
    <cellStyle name="60% - Accent4 4 2 6" xfId="3769" xr:uid="{00000000-0005-0000-0000-000063700000}"/>
    <cellStyle name="60% - Accent4 4 2 6 2" xfId="18918" xr:uid="{00000000-0005-0000-0000-000064700000}"/>
    <cellStyle name="60% - Accent4 4 2 7" xfId="5452" xr:uid="{00000000-0005-0000-0000-000065700000}"/>
    <cellStyle name="60% - Accent4 4 2 7 2" xfId="20601" xr:uid="{00000000-0005-0000-0000-000066700000}"/>
    <cellStyle name="60% - Accent4 4 2 8" xfId="7135" xr:uid="{00000000-0005-0000-0000-000067700000}"/>
    <cellStyle name="60% - Accent4 4 2 8 2" xfId="22284" xr:uid="{00000000-0005-0000-0000-000068700000}"/>
    <cellStyle name="60% - Accent4 4 2 9" xfId="8818" xr:uid="{00000000-0005-0000-0000-000069700000}"/>
    <cellStyle name="60% - Accent4 4 2 9 2" xfId="23967" xr:uid="{00000000-0005-0000-0000-00006A700000}"/>
    <cellStyle name="60% - Accent4 4 20" xfId="38905" xr:uid="{00000000-0005-0000-0000-00006B700000}"/>
    <cellStyle name="60% - Accent4 4 21" xfId="40588" xr:uid="{00000000-0005-0000-0000-00006C700000}"/>
    <cellStyle name="60% - Accent4 4 22" xfId="42271" xr:uid="{00000000-0005-0000-0000-00006D700000}"/>
    <cellStyle name="60% - Accent4 4 23" xfId="43954" xr:uid="{00000000-0005-0000-0000-00006E700000}"/>
    <cellStyle name="60% - Accent4 4 24" xfId="45637" xr:uid="{00000000-0005-0000-0000-00006F700000}"/>
    <cellStyle name="60% - Accent4 4 25" xfId="47320" xr:uid="{00000000-0005-0000-0000-000070700000}"/>
    <cellStyle name="60% - Accent4 4 26" xfId="49003" xr:uid="{00000000-0005-0000-0000-000071700000}"/>
    <cellStyle name="60% - Accent4 4 27" xfId="50686" xr:uid="{00000000-0005-0000-0000-000072700000}"/>
    <cellStyle name="60% - Accent4 4 28" xfId="52369" xr:uid="{00000000-0005-0000-0000-000073700000}"/>
    <cellStyle name="60% - Accent4 4 29" xfId="54052" xr:uid="{00000000-0005-0000-0000-000074700000}"/>
    <cellStyle name="60% - Accent4 4 3" xfId="612" xr:uid="{00000000-0005-0000-0000-000075700000}"/>
    <cellStyle name="60% - Accent4 4 3 10" xfId="15761" xr:uid="{00000000-0005-0000-0000-000076700000}"/>
    <cellStyle name="60% - Accent4 4 3 11" xfId="30910" xr:uid="{00000000-0005-0000-0000-000077700000}"/>
    <cellStyle name="60% - Accent4 4 3 12" xfId="32593" xr:uid="{00000000-0005-0000-0000-000078700000}"/>
    <cellStyle name="60% - Accent4 4 3 13" xfId="34276" xr:uid="{00000000-0005-0000-0000-000079700000}"/>
    <cellStyle name="60% - Accent4 4 3 14" xfId="35959" xr:uid="{00000000-0005-0000-0000-00007A700000}"/>
    <cellStyle name="60% - Accent4 4 3 15" xfId="37642" xr:uid="{00000000-0005-0000-0000-00007B700000}"/>
    <cellStyle name="60% - Accent4 4 3 16" xfId="39325" xr:uid="{00000000-0005-0000-0000-00007C700000}"/>
    <cellStyle name="60% - Accent4 4 3 17" xfId="41008" xr:uid="{00000000-0005-0000-0000-00007D700000}"/>
    <cellStyle name="60% - Accent4 4 3 18" xfId="42691" xr:uid="{00000000-0005-0000-0000-00007E700000}"/>
    <cellStyle name="60% - Accent4 4 3 19" xfId="44374" xr:uid="{00000000-0005-0000-0000-00007F700000}"/>
    <cellStyle name="60% - Accent4 4 3 2" xfId="2295" xr:uid="{00000000-0005-0000-0000-000080700000}"/>
    <cellStyle name="60% - Accent4 4 3 2 2" xfId="17444" xr:uid="{00000000-0005-0000-0000-000081700000}"/>
    <cellStyle name="60% - Accent4 4 3 20" xfId="46057" xr:uid="{00000000-0005-0000-0000-000082700000}"/>
    <cellStyle name="60% - Accent4 4 3 21" xfId="47740" xr:uid="{00000000-0005-0000-0000-000083700000}"/>
    <cellStyle name="60% - Accent4 4 3 22" xfId="49423" xr:uid="{00000000-0005-0000-0000-000084700000}"/>
    <cellStyle name="60% - Accent4 4 3 23" xfId="51106" xr:uid="{00000000-0005-0000-0000-000085700000}"/>
    <cellStyle name="60% - Accent4 4 3 24" xfId="52789" xr:uid="{00000000-0005-0000-0000-000086700000}"/>
    <cellStyle name="60% - Accent4 4 3 25" xfId="54472" xr:uid="{00000000-0005-0000-0000-000087700000}"/>
    <cellStyle name="60% - Accent4 4 3 26" xfId="56155" xr:uid="{00000000-0005-0000-0000-000088700000}"/>
    <cellStyle name="60% - Accent4 4 3 27" xfId="57838" xr:uid="{00000000-0005-0000-0000-000089700000}"/>
    <cellStyle name="60% - Accent4 4 3 28" xfId="59521" xr:uid="{00000000-0005-0000-0000-00008A700000}"/>
    <cellStyle name="60% - Accent4 4 3 29" xfId="61204" xr:uid="{00000000-0005-0000-0000-00008B700000}"/>
    <cellStyle name="60% - Accent4 4 3 3" xfId="3979" xr:uid="{00000000-0005-0000-0000-00008C700000}"/>
    <cellStyle name="60% - Accent4 4 3 3 2" xfId="19128" xr:uid="{00000000-0005-0000-0000-00008D700000}"/>
    <cellStyle name="60% - Accent4 4 3 30" xfId="62887" xr:uid="{00000000-0005-0000-0000-00008E700000}"/>
    <cellStyle name="60% - Accent4 4 3 4" xfId="5662" xr:uid="{00000000-0005-0000-0000-00008F700000}"/>
    <cellStyle name="60% - Accent4 4 3 4 2" xfId="20811" xr:uid="{00000000-0005-0000-0000-000090700000}"/>
    <cellStyle name="60% - Accent4 4 3 5" xfId="7345" xr:uid="{00000000-0005-0000-0000-000091700000}"/>
    <cellStyle name="60% - Accent4 4 3 5 2" xfId="22494" xr:uid="{00000000-0005-0000-0000-000092700000}"/>
    <cellStyle name="60% - Accent4 4 3 6" xfId="9028" xr:uid="{00000000-0005-0000-0000-000093700000}"/>
    <cellStyle name="60% - Accent4 4 3 6 2" xfId="24177" xr:uid="{00000000-0005-0000-0000-000094700000}"/>
    <cellStyle name="60% - Accent4 4 3 7" xfId="10711" xr:uid="{00000000-0005-0000-0000-000095700000}"/>
    <cellStyle name="60% - Accent4 4 3 7 2" xfId="25860" xr:uid="{00000000-0005-0000-0000-000096700000}"/>
    <cellStyle name="60% - Accent4 4 3 8" xfId="12395" xr:uid="{00000000-0005-0000-0000-000097700000}"/>
    <cellStyle name="60% - Accent4 4 3 8 2" xfId="27544" xr:uid="{00000000-0005-0000-0000-000098700000}"/>
    <cellStyle name="60% - Accent4 4 3 9" xfId="14078" xr:uid="{00000000-0005-0000-0000-000099700000}"/>
    <cellStyle name="60% - Accent4 4 3 9 2" xfId="29227" xr:uid="{00000000-0005-0000-0000-00009A700000}"/>
    <cellStyle name="60% - Accent4 4 30" xfId="55735" xr:uid="{00000000-0005-0000-0000-00009B700000}"/>
    <cellStyle name="60% - Accent4 4 31" xfId="57418" xr:uid="{00000000-0005-0000-0000-00009C700000}"/>
    <cellStyle name="60% - Accent4 4 32" xfId="59101" xr:uid="{00000000-0005-0000-0000-00009D700000}"/>
    <cellStyle name="60% - Accent4 4 33" xfId="60784" xr:uid="{00000000-0005-0000-0000-00009E700000}"/>
    <cellStyle name="60% - Accent4 4 34" xfId="62467" xr:uid="{00000000-0005-0000-0000-00009F700000}"/>
    <cellStyle name="60% - Accent4 4 4" xfId="1033" xr:uid="{00000000-0005-0000-0000-0000A0700000}"/>
    <cellStyle name="60% - Accent4 4 4 10" xfId="16182" xr:uid="{00000000-0005-0000-0000-0000A1700000}"/>
    <cellStyle name="60% - Accent4 4 4 11" xfId="31331" xr:uid="{00000000-0005-0000-0000-0000A2700000}"/>
    <cellStyle name="60% - Accent4 4 4 12" xfId="33014" xr:uid="{00000000-0005-0000-0000-0000A3700000}"/>
    <cellStyle name="60% - Accent4 4 4 13" xfId="34697" xr:uid="{00000000-0005-0000-0000-0000A4700000}"/>
    <cellStyle name="60% - Accent4 4 4 14" xfId="36380" xr:uid="{00000000-0005-0000-0000-0000A5700000}"/>
    <cellStyle name="60% - Accent4 4 4 15" xfId="38063" xr:uid="{00000000-0005-0000-0000-0000A6700000}"/>
    <cellStyle name="60% - Accent4 4 4 16" xfId="39746" xr:uid="{00000000-0005-0000-0000-0000A7700000}"/>
    <cellStyle name="60% - Accent4 4 4 17" xfId="41429" xr:uid="{00000000-0005-0000-0000-0000A8700000}"/>
    <cellStyle name="60% - Accent4 4 4 18" xfId="43112" xr:uid="{00000000-0005-0000-0000-0000A9700000}"/>
    <cellStyle name="60% - Accent4 4 4 19" xfId="44795" xr:uid="{00000000-0005-0000-0000-0000AA700000}"/>
    <cellStyle name="60% - Accent4 4 4 2" xfId="2716" xr:uid="{00000000-0005-0000-0000-0000AB700000}"/>
    <cellStyle name="60% - Accent4 4 4 2 2" xfId="17865" xr:uid="{00000000-0005-0000-0000-0000AC700000}"/>
    <cellStyle name="60% - Accent4 4 4 20" xfId="46478" xr:uid="{00000000-0005-0000-0000-0000AD700000}"/>
    <cellStyle name="60% - Accent4 4 4 21" xfId="48161" xr:uid="{00000000-0005-0000-0000-0000AE700000}"/>
    <cellStyle name="60% - Accent4 4 4 22" xfId="49844" xr:uid="{00000000-0005-0000-0000-0000AF700000}"/>
    <cellStyle name="60% - Accent4 4 4 23" xfId="51527" xr:uid="{00000000-0005-0000-0000-0000B0700000}"/>
    <cellStyle name="60% - Accent4 4 4 24" xfId="53210" xr:uid="{00000000-0005-0000-0000-0000B1700000}"/>
    <cellStyle name="60% - Accent4 4 4 25" xfId="54893" xr:uid="{00000000-0005-0000-0000-0000B2700000}"/>
    <cellStyle name="60% - Accent4 4 4 26" xfId="56576" xr:uid="{00000000-0005-0000-0000-0000B3700000}"/>
    <cellStyle name="60% - Accent4 4 4 27" xfId="58259" xr:uid="{00000000-0005-0000-0000-0000B4700000}"/>
    <cellStyle name="60% - Accent4 4 4 28" xfId="59942" xr:uid="{00000000-0005-0000-0000-0000B5700000}"/>
    <cellStyle name="60% - Accent4 4 4 29" xfId="61625" xr:uid="{00000000-0005-0000-0000-0000B6700000}"/>
    <cellStyle name="60% - Accent4 4 4 3" xfId="4400" xr:uid="{00000000-0005-0000-0000-0000B7700000}"/>
    <cellStyle name="60% - Accent4 4 4 3 2" xfId="19549" xr:uid="{00000000-0005-0000-0000-0000B8700000}"/>
    <cellStyle name="60% - Accent4 4 4 30" xfId="63308" xr:uid="{00000000-0005-0000-0000-0000B9700000}"/>
    <cellStyle name="60% - Accent4 4 4 4" xfId="6083" xr:uid="{00000000-0005-0000-0000-0000BA700000}"/>
    <cellStyle name="60% - Accent4 4 4 4 2" xfId="21232" xr:uid="{00000000-0005-0000-0000-0000BB700000}"/>
    <cellStyle name="60% - Accent4 4 4 5" xfId="7766" xr:uid="{00000000-0005-0000-0000-0000BC700000}"/>
    <cellStyle name="60% - Accent4 4 4 5 2" xfId="22915" xr:uid="{00000000-0005-0000-0000-0000BD700000}"/>
    <cellStyle name="60% - Accent4 4 4 6" xfId="9449" xr:uid="{00000000-0005-0000-0000-0000BE700000}"/>
    <cellStyle name="60% - Accent4 4 4 6 2" xfId="24598" xr:uid="{00000000-0005-0000-0000-0000BF700000}"/>
    <cellStyle name="60% - Accent4 4 4 7" xfId="11132" xr:uid="{00000000-0005-0000-0000-0000C0700000}"/>
    <cellStyle name="60% - Accent4 4 4 7 2" xfId="26281" xr:uid="{00000000-0005-0000-0000-0000C1700000}"/>
    <cellStyle name="60% - Accent4 4 4 8" xfId="12816" xr:uid="{00000000-0005-0000-0000-0000C2700000}"/>
    <cellStyle name="60% - Accent4 4 4 8 2" xfId="27965" xr:uid="{00000000-0005-0000-0000-0000C3700000}"/>
    <cellStyle name="60% - Accent4 4 4 9" xfId="14499" xr:uid="{00000000-0005-0000-0000-0000C4700000}"/>
    <cellStyle name="60% - Accent4 4 4 9 2" xfId="29648" xr:uid="{00000000-0005-0000-0000-0000C5700000}"/>
    <cellStyle name="60% - Accent4 4 5" xfId="1454" xr:uid="{00000000-0005-0000-0000-0000C6700000}"/>
    <cellStyle name="60% - Accent4 4 5 10" xfId="16603" xr:uid="{00000000-0005-0000-0000-0000C7700000}"/>
    <cellStyle name="60% - Accent4 4 5 11" xfId="31752" xr:uid="{00000000-0005-0000-0000-0000C8700000}"/>
    <cellStyle name="60% - Accent4 4 5 12" xfId="33435" xr:uid="{00000000-0005-0000-0000-0000C9700000}"/>
    <cellStyle name="60% - Accent4 4 5 13" xfId="35118" xr:uid="{00000000-0005-0000-0000-0000CA700000}"/>
    <cellStyle name="60% - Accent4 4 5 14" xfId="36801" xr:uid="{00000000-0005-0000-0000-0000CB700000}"/>
    <cellStyle name="60% - Accent4 4 5 15" xfId="38484" xr:uid="{00000000-0005-0000-0000-0000CC700000}"/>
    <cellStyle name="60% - Accent4 4 5 16" xfId="40167" xr:uid="{00000000-0005-0000-0000-0000CD700000}"/>
    <cellStyle name="60% - Accent4 4 5 17" xfId="41850" xr:uid="{00000000-0005-0000-0000-0000CE700000}"/>
    <cellStyle name="60% - Accent4 4 5 18" xfId="43533" xr:uid="{00000000-0005-0000-0000-0000CF700000}"/>
    <cellStyle name="60% - Accent4 4 5 19" xfId="45216" xr:uid="{00000000-0005-0000-0000-0000D0700000}"/>
    <cellStyle name="60% - Accent4 4 5 2" xfId="3137" xr:uid="{00000000-0005-0000-0000-0000D1700000}"/>
    <cellStyle name="60% - Accent4 4 5 2 2" xfId="18286" xr:uid="{00000000-0005-0000-0000-0000D2700000}"/>
    <cellStyle name="60% - Accent4 4 5 20" xfId="46899" xr:uid="{00000000-0005-0000-0000-0000D3700000}"/>
    <cellStyle name="60% - Accent4 4 5 21" xfId="48582" xr:uid="{00000000-0005-0000-0000-0000D4700000}"/>
    <cellStyle name="60% - Accent4 4 5 22" xfId="50265" xr:uid="{00000000-0005-0000-0000-0000D5700000}"/>
    <cellStyle name="60% - Accent4 4 5 23" xfId="51948" xr:uid="{00000000-0005-0000-0000-0000D6700000}"/>
    <cellStyle name="60% - Accent4 4 5 24" xfId="53631" xr:uid="{00000000-0005-0000-0000-0000D7700000}"/>
    <cellStyle name="60% - Accent4 4 5 25" xfId="55314" xr:uid="{00000000-0005-0000-0000-0000D8700000}"/>
    <cellStyle name="60% - Accent4 4 5 26" xfId="56997" xr:uid="{00000000-0005-0000-0000-0000D9700000}"/>
    <cellStyle name="60% - Accent4 4 5 27" xfId="58680" xr:uid="{00000000-0005-0000-0000-0000DA700000}"/>
    <cellStyle name="60% - Accent4 4 5 28" xfId="60363" xr:uid="{00000000-0005-0000-0000-0000DB700000}"/>
    <cellStyle name="60% - Accent4 4 5 29" xfId="62046" xr:uid="{00000000-0005-0000-0000-0000DC700000}"/>
    <cellStyle name="60% - Accent4 4 5 3" xfId="4821" xr:uid="{00000000-0005-0000-0000-0000DD700000}"/>
    <cellStyle name="60% - Accent4 4 5 3 2" xfId="19970" xr:uid="{00000000-0005-0000-0000-0000DE700000}"/>
    <cellStyle name="60% - Accent4 4 5 30" xfId="63729" xr:uid="{00000000-0005-0000-0000-0000DF700000}"/>
    <cellStyle name="60% - Accent4 4 5 4" xfId="6504" xr:uid="{00000000-0005-0000-0000-0000E0700000}"/>
    <cellStyle name="60% - Accent4 4 5 4 2" xfId="21653" xr:uid="{00000000-0005-0000-0000-0000E1700000}"/>
    <cellStyle name="60% - Accent4 4 5 5" xfId="8187" xr:uid="{00000000-0005-0000-0000-0000E2700000}"/>
    <cellStyle name="60% - Accent4 4 5 5 2" xfId="23336" xr:uid="{00000000-0005-0000-0000-0000E3700000}"/>
    <cellStyle name="60% - Accent4 4 5 6" xfId="9870" xr:uid="{00000000-0005-0000-0000-0000E4700000}"/>
    <cellStyle name="60% - Accent4 4 5 6 2" xfId="25019" xr:uid="{00000000-0005-0000-0000-0000E5700000}"/>
    <cellStyle name="60% - Accent4 4 5 7" xfId="11553" xr:uid="{00000000-0005-0000-0000-0000E6700000}"/>
    <cellStyle name="60% - Accent4 4 5 7 2" xfId="26702" xr:uid="{00000000-0005-0000-0000-0000E7700000}"/>
    <cellStyle name="60% - Accent4 4 5 8" xfId="13237" xr:uid="{00000000-0005-0000-0000-0000E8700000}"/>
    <cellStyle name="60% - Accent4 4 5 8 2" xfId="28386" xr:uid="{00000000-0005-0000-0000-0000E9700000}"/>
    <cellStyle name="60% - Accent4 4 5 9" xfId="14920" xr:uid="{00000000-0005-0000-0000-0000EA700000}"/>
    <cellStyle name="60% - Accent4 4 5 9 2" xfId="30069" xr:uid="{00000000-0005-0000-0000-0000EB700000}"/>
    <cellStyle name="60% - Accent4 4 6" xfId="1875" xr:uid="{00000000-0005-0000-0000-0000EC700000}"/>
    <cellStyle name="60% - Accent4 4 6 2" xfId="17024" xr:uid="{00000000-0005-0000-0000-0000ED700000}"/>
    <cellStyle name="60% - Accent4 4 7" xfId="3559" xr:uid="{00000000-0005-0000-0000-0000EE700000}"/>
    <cellStyle name="60% - Accent4 4 7 2" xfId="18708" xr:uid="{00000000-0005-0000-0000-0000EF700000}"/>
    <cellStyle name="60% - Accent4 4 8" xfId="5242" xr:uid="{00000000-0005-0000-0000-0000F0700000}"/>
    <cellStyle name="60% - Accent4 4 8 2" xfId="20391" xr:uid="{00000000-0005-0000-0000-0000F1700000}"/>
    <cellStyle name="60% - Accent4 4 9" xfId="6925" xr:uid="{00000000-0005-0000-0000-0000F2700000}"/>
    <cellStyle name="60% - Accent4 4 9 2" xfId="22074" xr:uid="{00000000-0005-0000-0000-0000F3700000}"/>
    <cellStyle name="60% - Accent4 5" xfId="297" xr:uid="{00000000-0005-0000-0000-0000F4700000}"/>
    <cellStyle name="60% - Accent4 5 10" xfId="10396" xr:uid="{00000000-0005-0000-0000-0000F5700000}"/>
    <cellStyle name="60% - Accent4 5 10 2" xfId="25545" xr:uid="{00000000-0005-0000-0000-0000F6700000}"/>
    <cellStyle name="60% - Accent4 5 11" xfId="12080" xr:uid="{00000000-0005-0000-0000-0000F7700000}"/>
    <cellStyle name="60% - Accent4 5 11 2" xfId="27229" xr:uid="{00000000-0005-0000-0000-0000F8700000}"/>
    <cellStyle name="60% - Accent4 5 12" xfId="13763" xr:uid="{00000000-0005-0000-0000-0000F9700000}"/>
    <cellStyle name="60% - Accent4 5 12 2" xfId="28912" xr:uid="{00000000-0005-0000-0000-0000FA700000}"/>
    <cellStyle name="60% - Accent4 5 13" xfId="15446" xr:uid="{00000000-0005-0000-0000-0000FB700000}"/>
    <cellStyle name="60% - Accent4 5 14" xfId="30595" xr:uid="{00000000-0005-0000-0000-0000FC700000}"/>
    <cellStyle name="60% - Accent4 5 15" xfId="32278" xr:uid="{00000000-0005-0000-0000-0000FD700000}"/>
    <cellStyle name="60% - Accent4 5 16" xfId="33961" xr:uid="{00000000-0005-0000-0000-0000FE700000}"/>
    <cellStyle name="60% - Accent4 5 17" xfId="35644" xr:uid="{00000000-0005-0000-0000-0000FF700000}"/>
    <cellStyle name="60% - Accent4 5 18" xfId="37327" xr:uid="{00000000-0005-0000-0000-000000710000}"/>
    <cellStyle name="60% - Accent4 5 19" xfId="39010" xr:uid="{00000000-0005-0000-0000-000001710000}"/>
    <cellStyle name="60% - Accent4 5 2" xfId="717" xr:uid="{00000000-0005-0000-0000-000002710000}"/>
    <cellStyle name="60% - Accent4 5 2 10" xfId="15866" xr:uid="{00000000-0005-0000-0000-000003710000}"/>
    <cellStyle name="60% - Accent4 5 2 11" xfId="31015" xr:uid="{00000000-0005-0000-0000-000004710000}"/>
    <cellStyle name="60% - Accent4 5 2 12" xfId="32698" xr:uid="{00000000-0005-0000-0000-000005710000}"/>
    <cellStyle name="60% - Accent4 5 2 13" xfId="34381" xr:uid="{00000000-0005-0000-0000-000006710000}"/>
    <cellStyle name="60% - Accent4 5 2 14" xfId="36064" xr:uid="{00000000-0005-0000-0000-000007710000}"/>
    <cellStyle name="60% - Accent4 5 2 15" xfId="37747" xr:uid="{00000000-0005-0000-0000-000008710000}"/>
    <cellStyle name="60% - Accent4 5 2 16" xfId="39430" xr:uid="{00000000-0005-0000-0000-000009710000}"/>
    <cellStyle name="60% - Accent4 5 2 17" xfId="41113" xr:uid="{00000000-0005-0000-0000-00000A710000}"/>
    <cellStyle name="60% - Accent4 5 2 18" xfId="42796" xr:uid="{00000000-0005-0000-0000-00000B710000}"/>
    <cellStyle name="60% - Accent4 5 2 19" xfId="44479" xr:uid="{00000000-0005-0000-0000-00000C710000}"/>
    <cellStyle name="60% - Accent4 5 2 2" xfId="2400" xr:uid="{00000000-0005-0000-0000-00000D710000}"/>
    <cellStyle name="60% - Accent4 5 2 2 2" xfId="17549" xr:uid="{00000000-0005-0000-0000-00000E710000}"/>
    <cellStyle name="60% - Accent4 5 2 20" xfId="46162" xr:uid="{00000000-0005-0000-0000-00000F710000}"/>
    <cellStyle name="60% - Accent4 5 2 21" xfId="47845" xr:uid="{00000000-0005-0000-0000-000010710000}"/>
    <cellStyle name="60% - Accent4 5 2 22" xfId="49528" xr:uid="{00000000-0005-0000-0000-000011710000}"/>
    <cellStyle name="60% - Accent4 5 2 23" xfId="51211" xr:uid="{00000000-0005-0000-0000-000012710000}"/>
    <cellStyle name="60% - Accent4 5 2 24" xfId="52894" xr:uid="{00000000-0005-0000-0000-000013710000}"/>
    <cellStyle name="60% - Accent4 5 2 25" xfId="54577" xr:uid="{00000000-0005-0000-0000-000014710000}"/>
    <cellStyle name="60% - Accent4 5 2 26" xfId="56260" xr:uid="{00000000-0005-0000-0000-000015710000}"/>
    <cellStyle name="60% - Accent4 5 2 27" xfId="57943" xr:uid="{00000000-0005-0000-0000-000016710000}"/>
    <cellStyle name="60% - Accent4 5 2 28" xfId="59626" xr:uid="{00000000-0005-0000-0000-000017710000}"/>
    <cellStyle name="60% - Accent4 5 2 29" xfId="61309" xr:uid="{00000000-0005-0000-0000-000018710000}"/>
    <cellStyle name="60% - Accent4 5 2 3" xfId="4084" xr:uid="{00000000-0005-0000-0000-000019710000}"/>
    <cellStyle name="60% - Accent4 5 2 3 2" xfId="19233" xr:uid="{00000000-0005-0000-0000-00001A710000}"/>
    <cellStyle name="60% - Accent4 5 2 30" xfId="62992" xr:uid="{00000000-0005-0000-0000-00001B710000}"/>
    <cellStyle name="60% - Accent4 5 2 4" xfId="5767" xr:uid="{00000000-0005-0000-0000-00001C710000}"/>
    <cellStyle name="60% - Accent4 5 2 4 2" xfId="20916" xr:uid="{00000000-0005-0000-0000-00001D710000}"/>
    <cellStyle name="60% - Accent4 5 2 5" xfId="7450" xr:uid="{00000000-0005-0000-0000-00001E710000}"/>
    <cellStyle name="60% - Accent4 5 2 5 2" xfId="22599" xr:uid="{00000000-0005-0000-0000-00001F710000}"/>
    <cellStyle name="60% - Accent4 5 2 6" xfId="9133" xr:uid="{00000000-0005-0000-0000-000020710000}"/>
    <cellStyle name="60% - Accent4 5 2 6 2" xfId="24282" xr:uid="{00000000-0005-0000-0000-000021710000}"/>
    <cellStyle name="60% - Accent4 5 2 7" xfId="10816" xr:uid="{00000000-0005-0000-0000-000022710000}"/>
    <cellStyle name="60% - Accent4 5 2 7 2" xfId="25965" xr:uid="{00000000-0005-0000-0000-000023710000}"/>
    <cellStyle name="60% - Accent4 5 2 8" xfId="12500" xr:uid="{00000000-0005-0000-0000-000024710000}"/>
    <cellStyle name="60% - Accent4 5 2 8 2" xfId="27649" xr:uid="{00000000-0005-0000-0000-000025710000}"/>
    <cellStyle name="60% - Accent4 5 2 9" xfId="14183" xr:uid="{00000000-0005-0000-0000-000026710000}"/>
    <cellStyle name="60% - Accent4 5 2 9 2" xfId="29332" xr:uid="{00000000-0005-0000-0000-000027710000}"/>
    <cellStyle name="60% - Accent4 5 20" xfId="40693" xr:uid="{00000000-0005-0000-0000-000028710000}"/>
    <cellStyle name="60% - Accent4 5 21" xfId="42376" xr:uid="{00000000-0005-0000-0000-000029710000}"/>
    <cellStyle name="60% - Accent4 5 22" xfId="44059" xr:uid="{00000000-0005-0000-0000-00002A710000}"/>
    <cellStyle name="60% - Accent4 5 23" xfId="45742" xr:uid="{00000000-0005-0000-0000-00002B710000}"/>
    <cellStyle name="60% - Accent4 5 24" xfId="47425" xr:uid="{00000000-0005-0000-0000-00002C710000}"/>
    <cellStyle name="60% - Accent4 5 25" xfId="49108" xr:uid="{00000000-0005-0000-0000-00002D710000}"/>
    <cellStyle name="60% - Accent4 5 26" xfId="50791" xr:uid="{00000000-0005-0000-0000-00002E710000}"/>
    <cellStyle name="60% - Accent4 5 27" xfId="52474" xr:uid="{00000000-0005-0000-0000-00002F710000}"/>
    <cellStyle name="60% - Accent4 5 28" xfId="54157" xr:uid="{00000000-0005-0000-0000-000030710000}"/>
    <cellStyle name="60% - Accent4 5 29" xfId="55840" xr:uid="{00000000-0005-0000-0000-000031710000}"/>
    <cellStyle name="60% - Accent4 5 3" xfId="1138" xr:uid="{00000000-0005-0000-0000-000032710000}"/>
    <cellStyle name="60% - Accent4 5 3 10" xfId="16287" xr:uid="{00000000-0005-0000-0000-000033710000}"/>
    <cellStyle name="60% - Accent4 5 3 11" xfId="31436" xr:uid="{00000000-0005-0000-0000-000034710000}"/>
    <cellStyle name="60% - Accent4 5 3 12" xfId="33119" xr:uid="{00000000-0005-0000-0000-000035710000}"/>
    <cellStyle name="60% - Accent4 5 3 13" xfId="34802" xr:uid="{00000000-0005-0000-0000-000036710000}"/>
    <cellStyle name="60% - Accent4 5 3 14" xfId="36485" xr:uid="{00000000-0005-0000-0000-000037710000}"/>
    <cellStyle name="60% - Accent4 5 3 15" xfId="38168" xr:uid="{00000000-0005-0000-0000-000038710000}"/>
    <cellStyle name="60% - Accent4 5 3 16" xfId="39851" xr:uid="{00000000-0005-0000-0000-000039710000}"/>
    <cellStyle name="60% - Accent4 5 3 17" xfId="41534" xr:uid="{00000000-0005-0000-0000-00003A710000}"/>
    <cellStyle name="60% - Accent4 5 3 18" xfId="43217" xr:uid="{00000000-0005-0000-0000-00003B710000}"/>
    <cellStyle name="60% - Accent4 5 3 19" xfId="44900" xr:uid="{00000000-0005-0000-0000-00003C710000}"/>
    <cellStyle name="60% - Accent4 5 3 2" xfId="2821" xr:uid="{00000000-0005-0000-0000-00003D710000}"/>
    <cellStyle name="60% - Accent4 5 3 2 2" xfId="17970" xr:uid="{00000000-0005-0000-0000-00003E710000}"/>
    <cellStyle name="60% - Accent4 5 3 20" xfId="46583" xr:uid="{00000000-0005-0000-0000-00003F710000}"/>
    <cellStyle name="60% - Accent4 5 3 21" xfId="48266" xr:uid="{00000000-0005-0000-0000-000040710000}"/>
    <cellStyle name="60% - Accent4 5 3 22" xfId="49949" xr:uid="{00000000-0005-0000-0000-000041710000}"/>
    <cellStyle name="60% - Accent4 5 3 23" xfId="51632" xr:uid="{00000000-0005-0000-0000-000042710000}"/>
    <cellStyle name="60% - Accent4 5 3 24" xfId="53315" xr:uid="{00000000-0005-0000-0000-000043710000}"/>
    <cellStyle name="60% - Accent4 5 3 25" xfId="54998" xr:uid="{00000000-0005-0000-0000-000044710000}"/>
    <cellStyle name="60% - Accent4 5 3 26" xfId="56681" xr:uid="{00000000-0005-0000-0000-000045710000}"/>
    <cellStyle name="60% - Accent4 5 3 27" xfId="58364" xr:uid="{00000000-0005-0000-0000-000046710000}"/>
    <cellStyle name="60% - Accent4 5 3 28" xfId="60047" xr:uid="{00000000-0005-0000-0000-000047710000}"/>
    <cellStyle name="60% - Accent4 5 3 29" xfId="61730" xr:uid="{00000000-0005-0000-0000-000048710000}"/>
    <cellStyle name="60% - Accent4 5 3 3" xfId="4505" xr:uid="{00000000-0005-0000-0000-000049710000}"/>
    <cellStyle name="60% - Accent4 5 3 3 2" xfId="19654" xr:uid="{00000000-0005-0000-0000-00004A710000}"/>
    <cellStyle name="60% - Accent4 5 3 30" xfId="63413" xr:uid="{00000000-0005-0000-0000-00004B710000}"/>
    <cellStyle name="60% - Accent4 5 3 4" xfId="6188" xr:uid="{00000000-0005-0000-0000-00004C710000}"/>
    <cellStyle name="60% - Accent4 5 3 4 2" xfId="21337" xr:uid="{00000000-0005-0000-0000-00004D710000}"/>
    <cellStyle name="60% - Accent4 5 3 5" xfId="7871" xr:uid="{00000000-0005-0000-0000-00004E710000}"/>
    <cellStyle name="60% - Accent4 5 3 5 2" xfId="23020" xr:uid="{00000000-0005-0000-0000-00004F710000}"/>
    <cellStyle name="60% - Accent4 5 3 6" xfId="9554" xr:uid="{00000000-0005-0000-0000-000050710000}"/>
    <cellStyle name="60% - Accent4 5 3 6 2" xfId="24703" xr:uid="{00000000-0005-0000-0000-000051710000}"/>
    <cellStyle name="60% - Accent4 5 3 7" xfId="11237" xr:uid="{00000000-0005-0000-0000-000052710000}"/>
    <cellStyle name="60% - Accent4 5 3 7 2" xfId="26386" xr:uid="{00000000-0005-0000-0000-000053710000}"/>
    <cellStyle name="60% - Accent4 5 3 8" xfId="12921" xr:uid="{00000000-0005-0000-0000-000054710000}"/>
    <cellStyle name="60% - Accent4 5 3 8 2" xfId="28070" xr:uid="{00000000-0005-0000-0000-000055710000}"/>
    <cellStyle name="60% - Accent4 5 3 9" xfId="14604" xr:uid="{00000000-0005-0000-0000-000056710000}"/>
    <cellStyle name="60% - Accent4 5 3 9 2" xfId="29753" xr:uid="{00000000-0005-0000-0000-000057710000}"/>
    <cellStyle name="60% - Accent4 5 30" xfId="57523" xr:uid="{00000000-0005-0000-0000-000058710000}"/>
    <cellStyle name="60% - Accent4 5 31" xfId="59206" xr:uid="{00000000-0005-0000-0000-000059710000}"/>
    <cellStyle name="60% - Accent4 5 32" xfId="60889" xr:uid="{00000000-0005-0000-0000-00005A710000}"/>
    <cellStyle name="60% - Accent4 5 33" xfId="62572" xr:uid="{00000000-0005-0000-0000-00005B710000}"/>
    <cellStyle name="60% - Accent4 5 4" xfId="1559" xr:uid="{00000000-0005-0000-0000-00005C710000}"/>
    <cellStyle name="60% - Accent4 5 4 10" xfId="16708" xr:uid="{00000000-0005-0000-0000-00005D710000}"/>
    <cellStyle name="60% - Accent4 5 4 11" xfId="31857" xr:uid="{00000000-0005-0000-0000-00005E710000}"/>
    <cellStyle name="60% - Accent4 5 4 12" xfId="33540" xr:uid="{00000000-0005-0000-0000-00005F710000}"/>
    <cellStyle name="60% - Accent4 5 4 13" xfId="35223" xr:uid="{00000000-0005-0000-0000-000060710000}"/>
    <cellStyle name="60% - Accent4 5 4 14" xfId="36906" xr:uid="{00000000-0005-0000-0000-000061710000}"/>
    <cellStyle name="60% - Accent4 5 4 15" xfId="38589" xr:uid="{00000000-0005-0000-0000-000062710000}"/>
    <cellStyle name="60% - Accent4 5 4 16" xfId="40272" xr:uid="{00000000-0005-0000-0000-000063710000}"/>
    <cellStyle name="60% - Accent4 5 4 17" xfId="41955" xr:uid="{00000000-0005-0000-0000-000064710000}"/>
    <cellStyle name="60% - Accent4 5 4 18" xfId="43638" xr:uid="{00000000-0005-0000-0000-000065710000}"/>
    <cellStyle name="60% - Accent4 5 4 19" xfId="45321" xr:uid="{00000000-0005-0000-0000-000066710000}"/>
    <cellStyle name="60% - Accent4 5 4 2" xfId="3242" xr:uid="{00000000-0005-0000-0000-000067710000}"/>
    <cellStyle name="60% - Accent4 5 4 2 2" xfId="18391" xr:uid="{00000000-0005-0000-0000-000068710000}"/>
    <cellStyle name="60% - Accent4 5 4 20" xfId="47004" xr:uid="{00000000-0005-0000-0000-000069710000}"/>
    <cellStyle name="60% - Accent4 5 4 21" xfId="48687" xr:uid="{00000000-0005-0000-0000-00006A710000}"/>
    <cellStyle name="60% - Accent4 5 4 22" xfId="50370" xr:uid="{00000000-0005-0000-0000-00006B710000}"/>
    <cellStyle name="60% - Accent4 5 4 23" xfId="52053" xr:uid="{00000000-0005-0000-0000-00006C710000}"/>
    <cellStyle name="60% - Accent4 5 4 24" xfId="53736" xr:uid="{00000000-0005-0000-0000-00006D710000}"/>
    <cellStyle name="60% - Accent4 5 4 25" xfId="55419" xr:uid="{00000000-0005-0000-0000-00006E710000}"/>
    <cellStyle name="60% - Accent4 5 4 26" xfId="57102" xr:uid="{00000000-0005-0000-0000-00006F710000}"/>
    <cellStyle name="60% - Accent4 5 4 27" xfId="58785" xr:uid="{00000000-0005-0000-0000-000070710000}"/>
    <cellStyle name="60% - Accent4 5 4 28" xfId="60468" xr:uid="{00000000-0005-0000-0000-000071710000}"/>
    <cellStyle name="60% - Accent4 5 4 29" xfId="62151" xr:uid="{00000000-0005-0000-0000-000072710000}"/>
    <cellStyle name="60% - Accent4 5 4 3" xfId="4926" xr:uid="{00000000-0005-0000-0000-000073710000}"/>
    <cellStyle name="60% - Accent4 5 4 3 2" xfId="20075" xr:uid="{00000000-0005-0000-0000-000074710000}"/>
    <cellStyle name="60% - Accent4 5 4 30" xfId="63834" xr:uid="{00000000-0005-0000-0000-000075710000}"/>
    <cellStyle name="60% - Accent4 5 4 4" xfId="6609" xr:uid="{00000000-0005-0000-0000-000076710000}"/>
    <cellStyle name="60% - Accent4 5 4 4 2" xfId="21758" xr:uid="{00000000-0005-0000-0000-000077710000}"/>
    <cellStyle name="60% - Accent4 5 4 5" xfId="8292" xr:uid="{00000000-0005-0000-0000-000078710000}"/>
    <cellStyle name="60% - Accent4 5 4 5 2" xfId="23441" xr:uid="{00000000-0005-0000-0000-000079710000}"/>
    <cellStyle name="60% - Accent4 5 4 6" xfId="9975" xr:uid="{00000000-0005-0000-0000-00007A710000}"/>
    <cellStyle name="60% - Accent4 5 4 6 2" xfId="25124" xr:uid="{00000000-0005-0000-0000-00007B710000}"/>
    <cellStyle name="60% - Accent4 5 4 7" xfId="11658" xr:uid="{00000000-0005-0000-0000-00007C710000}"/>
    <cellStyle name="60% - Accent4 5 4 7 2" xfId="26807" xr:uid="{00000000-0005-0000-0000-00007D710000}"/>
    <cellStyle name="60% - Accent4 5 4 8" xfId="13342" xr:uid="{00000000-0005-0000-0000-00007E710000}"/>
    <cellStyle name="60% - Accent4 5 4 8 2" xfId="28491" xr:uid="{00000000-0005-0000-0000-00007F710000}"/>
    <cellStyle name="60% - Accent4 5 4 9" xfId="15025" xr:uid="{00000000-0005-0000-0000-000080710000}"/>
    <cellStyle name="60% - Accent4 5 4 9 2" xfId="30174" xr:uid="{00000000-0005-0000-0000-000081710000}"/>
    <cellStyle name="60% - Accent4 5 5" xfId="1980" xr:uid="{00000000-0005-0000-0000-000082710000}"/>
    <cellStyle name="60% - Accent4 5 5 2" xfId="17129" xr:uid="{00000000-0005-0000-0000-000083710000}"/>
    <cellStyle name="60% - Accent4 5 6" xfId="3664" xr:uid="{00000000-0005-0000-0000-000084710000}"/>
    <cellStyle name="60% - Accent4 5 6 2" xfId="18813" xr:uid="{00000000-0005-0000-0000-000085710000}"/>
    <cellStyle name="60% - Accent4 5 7" xfId="5347" xr:uid="{00000000-0005-0000-0000-000086710000}"/>
    <cellStyle name="60% - Accent4 5 7 2" xfId="20496" xr:uid="{00000000-0005-0000-0000-000087710000}"/>
    <cellStyle name="60% - Accent4 5 8" xfId="7030" xr:uid="{00000000-0005-0000-0000-000088710000}"/>
    <cellStyle name="60% - Accent4 5 8 2" xfId="22179" xr:uid="{00000000-0005-0000-0000-000089710000}"/>
    <cellStyle name="60% - Accent4 5 9" xfId="8713" xr:uid="{00000000-0005-0000-0000-00008A710000}"/>
    <cellStyle name="60% - Accent4 5 9 2" xfId="23862" xr:uid="{00000000-0005-0000-0000-00008B710000}"/>
    <cellStyle name="60% - Accent4 6" xfId="507" xr:uid="{00000000-0005-0000-0000-00008C710000}"/>
    <cellStyle name="60% - Accent4 6 10" xfId="15656" xr:uid="{00000000-0005-0000-0000-00008D710000}"/>
    <cellStyle name="60% - Accent4 6 11" xfId="30805" xr:uid="{00000000-0005-0000-0000-00008E710000}"/>
    <cellStyle name="60% - Accent4 6 12" xfId="32488" xr:uid="{00000000-0005-0000-0000-00008F710000}"/>
    <cellStyle name="60% - Accent4 6 13" xfId="34171" xr:uid="{00000000-0005-0000-0000-000090710000}"/>
    <cellStyle name="60% - Accent4 6 14" xfId="35854" xr:uid="{00000000-0005-0000-0000-000091710000}"/>
    <cellStyle name="60% - Accent4 6 15" xfId="37537" xr:uid="{00000000-0005-0000-0000-000092710000}"/>
    <cellStyle name="60% - Accent4 6 16" xfId="39220" xr:uid="{00000000-0005-0000-0000-000093710000}"/>
    <cellStyle name="60% - Accent4 6 17" xfId="40903" xr:uid="{00000000-0005-0000-0000-000094710000}"/>
    <cellStyle name="60% - Accent4 6 18" xfId="42586" xr:uid="{00000000-0005-0000-0000-000095710000}"/>
    <cellStyle name="60% - Accent4 6 19" xfId="44269" xr:uid="{00000000-0005-0000-0000-000096710000}"/>
    <cellStyle name="60% - Accent4 6 2" xfId="2190" xr:uid="{00000000-0005-0000-0000-000097710000}"/>
    <cellStyle name="60% - Accent4 6 2 2" xfId="17339" xr:uid="{00000000-0005-0000-0000-000098710000}"/>
    <cellStyle name="60% - Accent4 6 20" xfId="45952" xr:uid="{00000000-0005-0000-0000-000099710000}"/>
    <cellStyle name="60% - Accent4 6 21" xfId="47635" xr:uid="{00000000-0005-0000-0000-00009A710000}"/>
    <cellStyle name="60% - Accent4 6 22" xfId="49318" xr:uid="{00000000-0005-0000-0000-00009B710000}"/>
    <cellStyle name="60% - Accent4 6 23" xfId="51001" xr:uid="{00000000-0005-0000-0000-00009C710000}"/>
    <cellStyle name="60% - Accent4 6 24" xfId="52684" xr:uid="{00000000-0005-0000-0000-00009D710000}"/>
    <cellStyle name="60% - Accent4 6 25" xfId="54367" xr:uid="{00000000-0005-0000-0000-00009E710000}"/>
    <cellStyle name="60% - Accent4 6 26" xfId="56050" xr:uid="{00000000-0005-0000-0000-00009F710000}"/>
    <cellStyle name="60% - Accent4 6 27" xfId="57733" xr:uid="{00000000-0005-0000-0000-0000A0710000}"/>
    <cellStyle name="60% - Accent4 6 28" xfId="59416" xr:uid="{00000000-0005-0000-0000-0000A1710000}"/>
    <cellStyle name="60% - Accent4 6 29" xfId="61099" xr:uid="{00000000-0005-0000-0000-0000A2710000}"/>
    <cellStyle name="60% - Accent4 6 3" xfId="3874" xr:uid="{00000000-0005-0000-0000-0000A3710000}"/>
    <cellStyle name="60% - Accent4 6 3 2" xfId="19023" xr:uid="{00000000-0005-0000-0000-0000A4710000}"/>
    <cellStyle name="60% - Accent4 6 30" xfId="62782" xr:uid="{00000000-0005-0000-0000-0000A5710000}"/>
    <cellStyle name="60% - Accent4 6 4" xfId="5557" xr:uid="{00000000-0005-0000-0000-0000A6710000}"/>
    <cellStyle name="60% - Accent4 6 4 2" xfId="20706" xr:uid="{00000000-0005-0000-0000-0000A7710000}"/>
    <cellStyle name="60% - Accent4 6 5" xfId="7240" xr:uid="{00000000-0005-0000-0000-0000A8710000}"/>
    <cellStyle name="60% - Accent4 6 5 2" xfId="22389" xr:uid="{00000000-0005-0000-0000-0000A9710000}"/>
    <cellStyle name="60% - Accent4 6 6" xfId="8923" xr:uid="{00000000-0005-0000-0000-0000AA710000}"/>
    <cellStyle name="60% - Accent4 6 6 2" xfId="24072" xr:uid="{00000000-0005-0000-0000-0000AB710000}"/>
    <cellStyle name="60% - Accent4 6 7" xfId="10606" xr:uid="{00000000-0005-0000-0000-0000AC710000}"/>
    <cellStyle name="60% - Accent4 6 7 2" xfId="25755" xr:uid="{00000000-0005-0000-0000-0000AD710000}"/>
    <cellStyle name="60% - Accent4 6 8" xfId="12290" xr:uid="{00000000-0005-0000-0000-0000AE710000}"/>
    <cellStyle name="60% - Accent4 6 8 2" xfId="27439" xr:uid="{00000000-0005-0000-0000-0000AF710000}"/>
    <cellStyle name="60% - Accent4 6 9" xfId="13973" xr:uid="{00000000-0005-0000-0000-0000B0710000}"/>
    <cellStyle name="60% - Accent4 6 9 2" xfId="29122" xr:uid="{00000000-0005-0000-0000-0000B1710000}"/>
    <cellStyle name="60% - Accent4 7" xfId="928" xr:uid="{00000000-0005-0000-0000-0000B2710000}"/>
    <cellStyle name="60% - Accent4 7 10" xfId="16077" xr:uid="{00000000-0005-0000-0000-0000B3710000}"/>
    <cellStyle name="60% - Accent4 7 11" xfId="31226" xr:uid="{00000000-0005-0000-0000-0000B4710000}"/>
    <cellStyle name="60% - Accent4 7 12" xfId="32909" xr:uid="{00000000-0005-0000-0000-0000B5710000}"/>
    <cellStyle name="60% - Accent4 7 13" xfId="34592" xr:uid="{00000000-0005-0000-0000-0000B6710000}"/>
    <cellStyle name="60% - Accent4 7 14" xfId="36275" xr:uid="{00000000-0005-0000-0000-0000B7710000}"/>
    <cellStyle name="60% - Accent4 7 15" xfId="37958" xr:uid="{00000000-0005-0000-0000-0000B8710000}"/>
    <cellStyle name="60% - Accent4 7 16" xfId="39641" xr:uid="{00000000-0005-0000-0000-0000B9710000}"/>
    <cellStyle name="60% - Accent4 7 17" xfId="41324" xr:uid="{00000000-0005-0000-0000-0000BA710000}"/>
    <cellStyle name="60% - Accent4 7 18" xfId="43007" xr:uid="{00000000-0005-0000-0000-0000BB710000}"/>
    <cellStyle name="60% - Accent4 7 19" xfId="44690" xr:uid="{00000000-0005-0000-0000-0000BC710000}"/>
    <cellStyle name="60% - Accent4 7 2" xfId="2611" xr:uid="{00000000-0005-0000-0000-0000BD710000}"/>
    <cellStyle name="60% - Accent4 7 2 2" xfId="17760" xr:uid="{00000000-0005-0000-0000-0000BE710000}"/>
    <cellStyle name="60% - Accent4 7 20" xfId="46373" xr:uid="{00000000-0005-0000-0000-0000BF710000}"/>
    <cellStyle name="60% - Accent4 7 21" xfId="48056" xr:uid="{00000000-0005-0000-0000-0000C0710000}"/>
    <cellStyle name="60% - Accent4 7 22" xfId="49739" xr:uid="{00000000-0005-0000-0000-0000C1710000}"/>
    <cellStyle name="60% - Accent4 7 23" xfId="51422" xr:uid="{00000000-0005-0000-0000-0000C2710000}"/>
    <cellStyle name="60% - Accent4 7 24" xfId="53105" xr:uid="{00000000-0005-0000-0000-0000C3710000}"/>
    <cellStyle name="60% - Accent4 7 25" xfId="54788" xr:uid="{00000000-0005-0000-0000-0000C4710000}"/>
    <cellStyle name="60% - Accent4 7 26" xfId="56471" xr:uid="{00000000-0005-0000-0000-0000C5710000}"/>
    <cellStyle name="60% - Accent4 7 27" xfId="58154" xr:uid="{00000000-0005-0000-0000-0000C6710000}"/>
    <cellStyle name="60% - Accent4 7 28" xfId="59837" xr:uid="{00000000-0005-0000-0000-0000C7710000}"/>
    <cellStyle name="60% - Accent4 7 29" xfId="61520" xr:uid="{00000000-0005-0000-0000-0000C8710000}"/>
    <cellStyle name="60% - Accent4 7 3" xfId="4295" xr:uid="{00000000-0005-0000-0000-0000C9710000}"/>
    <cellStyle name="60% - Accent4 7 3 2" xfId="19444" xr:uid="{00000000-0005-0000-0000-0000CA710000}"/>
    <cellStyle name="60% - Accent4 7 30" xfId="63203" xr:uid="{00000000-0005-0000-0000-0000CB710000}"/>
    <cellStyle name="60% - Accent4 7 4" xfId="5978" xr:uid="{00000000-0005-0000-0000-0000CC710000}"/>
    <cellStyle name="60% - Accent4 7 4 2" xfId="21127" xr:uid="{00000000-0005-0000-0000-0000CD710000}"/>
    <cellStyle name="60% - Accent4 7 5" xfId="7661" xr:uid="{00000000-0005-0000-0000-0000CE710000}"/>
    <cellStyle name="60% - Accent4 7 5 2" xfId="22810" xr:uid="{00000000-0005-0000-0000-0000CF710000}"/>
    <cellStyle name="60% - Accent4 7 6" xfId="9344" xr:uid="{00000000-0005-0000-0000-0000D0710000}"/>
    <cellStyle name="60% - Accent4 7 6 2" xfId="24493" xr:uid="{00000000-0005-0000-0000-0000D1710000}"/>
    <cellStyle name="60% - Accent4 7 7" xfId="11027" xr:uid="{00000000-0005-0000-0000-0000D2710000}"/>
    <cellStyle name="60% - Accent4 7 7 2" xfId="26176" xr:uid="{00000000-0005-0000-0000-0000D3710000}"/>
    <cellStyle name="60% - Accent4 7 8" xfId="12711" xr:uid="{00000000-0005-0000-0000-0000D4710000}"/>
    <cellStyle name="60% - Accent4 7 8 2" xfId="27860" xr:uid="{00000000-0005-0000-0000-0000D5710000}"/>
    <cellStyle name="60% - Accent4 7 9" xfId="14394" xr:uid="{00000000-0005-0000-0000-0000D6710000}"/>
    <cellStyle name="60% - Accent4 7 9 2" xfId="29543" xr:uid="{00000000-0005-0000-0000-0000D7710000}"/>
    <cellStyle name="60% - Accent4 8" xfId="1349" xr:uid="{00000000-0005-0000-0000-0000D8710000}"/>
    <cellStyle name="60% - Accent4 8 10" xfId="16498" xr:uid="{00000000-0005-0000-0000-0000D9710000}"/>
    <cellStyle name="60% - Accent4 8 11" xfId="31647" xr:uid="{00000000-0005-0000-0000-0000DA710000}"/>
    <cellStyle name="60% - Accent4 8 12" xfId="33330" xr:uid="{00000000-0005-0000-0000-0000DB710000}"/>
    <cellStyle name="60% - Accent4 8 13" xfId="35013" xr:uid="{00000000-0005-0000-0000-0000DC710000}"/>
    <cellStyle name="60% - Accent4 8 14" xfId="36696" xr:uid="{00000000-0005-0000-0000-0000DD710000}"/>
    <cellStyle name="60% - Accent4 8 15" xfId="38379" xr:uid="{00000000-0005-0000-0000-0000DE710000}"/>
    <cellStyle name="60% - Accent4 8 16" xfId="40062" xr:uid="{00000000-0005-0000-0000-0000DF710000}"/>
    <cellStyle name="60% - Accent4 8 17" xfId="41745" xr:uid="{00000000-0005-0000-0000-0000E0710000}"/>
    <cellStyle name="60% - Accent4 8 18" xfId="43428" xr:uid="{00000000-0005-0000-0000-0000E1710000}"/>
    <cellStyle name="60% - Accent4 8 19" xfId="45111" xr:uid="{00000000-0005-0000-0000-0000E2710000}"/>
    <cellStyle name="60% - Accent4 8 2" xfId="3032" xr:uid="{00000000-0005-0000-0000-0000E3710000}"/>
    <cellStyle name="60% - Accent4 8 2 2" xfId="18181" xr:uid="{00000000-0005-0000-0000-0000E4710000}"/>
    <cellStyle name="60% - Accent4 8 20" xfId="46794" xr:uid="{00000000-0005-0000-0000-0000E5710000}"/>
    <cellStyle name="60% - Accent4 8 21" xfId="48477" xr:uid="{00000000-0005-0000-0000-0000E6710000}"/>
    <cellStyle name="60% - Accent4 8 22" xfId="50160" xr:uid="{00000000-0005-0000-0000-0000E7710000}"/>
    <cellStyle name="60% - Accent4 8 23" xfId="51843" xr:uid="{00000000-0005-0000-0000-0000E8710000}"/>
    <cellStyle name="60% - Accent4 8 24" xfId="53526" xr:uid="{00000000-0005-0000-0000-0000E9710000}"/>
    <cellStyle name="60% - Accent4 8 25" xfId="55209" xr:uid="{00000000-0005-0000-0000-0000EA710000}"/>
    <cellStyle name="60% - Accent4 8 26" xfId="56892" xr:uid="{00000000-0005-0000-0000-0000EB710000}"/>
    <cellStyle name="60% - Accent4 8 27" xfId="58575" xr:uid="{00000000-0005-0000-0000-0000EC710000}"/>
    <cellStyle name="60% - Accent4 8 28" xfId="60258" xr:uid="{00000000-0005-0000-0000-0000ED710000}"/>
    <cellStyle name="60% - Accent4 8 29" xfId="61941" xr:uid="{00000000-0005-0000-0000-0000EE710000}"/>
    <cellStyle name="60% - Accent4 8 3" xfId="4716" xr:uid="{00000000-0005-0000-0000-0000EF710000}"/>
    <cellStyle name="60% - Accent4 8 3 2" xfId="19865" xr:uid="{00000000-0005-0000-0000-0000F0710000}"/>
    <cellStyle name="60% - Accent4 8 30" xfId="63624" xr:uid="{00000000-0005-0000-0000-0000F1710000}"/>
    <cellStyle name="60% - Accent4 8 4" xfId="6399" xr:uid="{00000000-0005-0000-0000-0000F2710000}"/>
    <cellStyle name="60% - Accent4 8 4 2" xfId="21548" xr:uid="{00000000-0005-0000-0000-0000F3710000}"/>
    <cellStyle name="60% - Accent4 8 5" xfId="8082" xr:uid="{00000000-0005-0000-0000-0000F4710000}"/>
    <cellStyle name="60% - Accent4 8 5 2" xfId="23231" xr:uid="{00000000-0005-0000-0000-0000F5710000}"/>
    <cellStyle name="60% - Accent4 8 6" xfId="9765" xr:uid="{00000000-0005-0000-0000-0000F6710000}"/>
    <cellStyle name="60% - Accent4 8 6 2" xfId="24914" xr:uid="{00000000-0005-0000-0000-0000F7710000}"/>
    <cellStyle name="60% - Accent4 8 7" xfId="11448" xr:uid="{00000000-0005-0000-0000-0000F8710000}"/>
    <cellStyle name="60% - Accent4 8 7 2" xfId="26597" xr:uid="{00000000-0005-0000-0000-0000F9710000}"/>
    <cellStyle name="60% - Accent4 8 8" xfId="13132" xr:uid="{00000000-0005-0000-0000-0000FA710000}"/>
    <cellStyle name="60% - Accent4 8 8 2" xfId="28281" xr:uid="{00000000-0005-0000-0000-0000FB710000}"/>
    <cellStyle name="60% - Accent4 8 9" xfId="14815" xr:uid="{00000000-0005-0000-0000-0000FC710000}"/>
    <cellStyle name="60% - Accent4 8 9 2" xfId="29964" xr:uid="{00000000-0005-0000-0000-0000FD710000}"/>
    <cellStyle name="60% - Accent4 9" xfId="1770" xr:uid="{00000000-0005-0000-0000-0000FE710000}"/>
    <cellStyle name="60% - Accent4 9 2" xfId="16919" xr:uid="{00000000-0005-0000-0000-0000FF710000}"/>
    <cellStyle name="60% - Accent5" xfId="89" builtinId="48" customBuiltin="1"/>
    <cellStyle name="60% - Accent5 10" xfId="3457" xr:uid="{00000000-0005-0000-0000-000001720000}"/>
    <cellStyle name="60% - Accent5 10 2" xfId="18606" xr:uid="{00000000-0005-0000-0000-000002720000}"/>
    <cellStyle name="60% - Accent5 11" xfId="5140" xr:uid="{00000000-0005-0000-0000-000003720000}"/>
    <cellStyle name="60% - Accent5 11 2" xfId="20289" xr:uid="{00000000-0005-0000-0000-000004720000}"/>
    <cellStyle name="60% - Accent5 12" xfId="6823" xr:uid="{00000000-0005-0000-0000-000005720000}"/>
    <cellStyle name="60% - Accent5 12 2" xfId="21972" xr:uid="{00000000-0005-0000-0000-000006720000}"/>
    <cellStyle name="60% - Accent5 13" xfId="8506" xr:uid="{00000000-0005-0000-0000-000007720000}"/>
    <cellStyle name="60% - Accent5 13 2" xfId="23655" xr:uid="{00000000-0005-0000-0000-000008720000}"/>
    <cellStyle name="60% - Accent5 14" xfId="10189" xr:uid="{00000000-0005-0000-0000-000009720000}"/>
    <cellStyle name="60% - Accent5 14 2" xfId="25338" xr:uid="{00000000-0005-0000-0000-00000A720000}"/>
    <cellStyle name="60% - Accent5 15" xfId="11873" xr:uid="{00000000-0005-0000-0000-00000B720000}"/>
    <cellStyle name="60% - Accent5 15 2" xfId="27022" xr:uid="{00000000-0005-0000-0000-00000C720000}"/>
    <cellStyle name="60% - Accent5 16" xfId="13556" xr:uid="{00000000-0005-0000-0000-00000D720000}"/>
    <cellStyle name="60% - Accent5 16 2" xfId="28705" xr:uid="{00000000-0005-0000-0000-00000E720000}"/>
    <cellStyle name="60% - Accent5 17" xfId="15239" xr:uid="{00000000-0005-0000-0000-00000F720000}"/>
    <cellStyle name="60% - Accent5 18" xfId="30388" xr:uid="{00000000-0005-0000-0000-000010720000}"/>
    <cellStyle name="60% - Accent5 19" xfId="32071" xr:uid="{00000000-0005-0000-0000-000011720000}"/>
    <cellStyle name="60% - Accent5 2" xfId="112" xr:uid="{00000000-0005-0000-0000-000012720000}"/>
    <cellStyle name="60% - Accent5 2 10" xfId="6845" xr:uid="{00000000-0005-0000-0000-000013720000}"/>
    <cellStyle name="60% - Accent5 2 10 2" xfId="21994" xr:uid="{00000000-0005-0000-0000-000014720000}"/>
    <cellStyle name="60% - Accent5 2 11" xfId="8528" xr:uid="{00000000-0005-0000-0000-000015720000}"/>
    <cellStyle name="60% - Accent5 2 11 2" xfId="23677" xr:uid="{00000000-0005-0000-0000-000016720000}"/>
    <cellStyle name="60% - Accent5 2 12" xfId="10211" xr:uid="{00000000-0005-0000-0000-000017720000}"/>
    <cellStyle name="60% - Accent5 2 12 2" xfId="25360" xr:uid="{00000000-0005-0000-0000-000018720000}"/>
    <cellStyle name="60% - Accent5 2 13" xfId="11895" xr:uid="{00000000-0005-0000-0000-000019720000}"/>
    <cellStyle name="60% - Accent5 2 13 2" xfId="27044" xr:uid="{00000000-0005-0000-0000-00001A720000}"/>
    <cellStyle name="60% - Accent5 2 14" xfId="13578" xr:uid="{00000000-0005-0000-0000-00001B720000}"/>
    <cellStyle name="60% - Accent5 2 14 2" xfId="28727" xr:uid="{00000000-0005-0000-0000-00001C720000}"/>
    <cellStyle name="60% - Accent5 2 15" xfId="15261" xr:uid="{00000000-0005-0000-0000-00001D720000}"/>
    <cellStyle name="60% - Accent5 2 16" xfId="30410" xr:uid="{00000000-0005-0000-0000-00001E720000}"/>
    <cellStyle name="60% - Accent5 2 17" xfId="32093" xr:uid="{00000000-0005-0000-0000-00001F720000}"/>
    <cellStyle name="60% - Accent5 2 18" xfId="33776" xr:uid="{00000000-0005-0000-0000-000020720000}"/>
    <cellStyle name="60% - Accent5 2 19" xfId="35459" xr:uid="{00000000-0005-0000-0000-000021720000}"/>
    <cellStyle name="60% - Accent5 2 2" xfId="217" xr:uid="{00000000-0005-0000-0000-000022720000}"/>
    <cellStyle name="60% - Accent5 2 2 10" xfId="8633" xr:uid="{00000000-0005-0000-0000-000023720000}"/>
    <cellStyle name="60% - Accent5 2 2 10 2" xfId="23782" xr:uid="{00000000-0005-0000-0000-000024720000}"/>
    <cellStyle name="60% - Accent5 2 2 11" xfId="10316" xr:uid="{00000000-0005-0000-0000-000025720000}"/>
    <cellStyle name="60% - Accent5 2 2 11 2" xfId="25465" xr:uid="{00000000-0005-0000-0000-000026720000}"/>
    <cellStyle name="60% - Accent5 2 2 12" xfId="12000" xr:uid="{00000000-0005-0000-0000-000027720000}"/>
    <cellStyle name="60% - Accent5 2 2 12 2" xfId="27149" xr:uid="{00000000-0005-0000-0000-000028720000}"/>
    <cellStyle name="60% - Accent5 2 2 13" xfId="13683" xr:uid="{00000000-0005-0000-0000-000029720000}"/>
    <cellStyle name="60% - Accent5 2 2 13 2" xfId="28832" xr:uid="{00000000-0005-0000-0000-00002A720000}"/>
    <cellStyle name="60% - Accent5 2 2 14" xfId="15366" xr:uid="{00000000-0005-0000-0000-00002B720000}"/>
    <cellStyle name="60% - Accent5 2 2 15" xfId="30515" xr:uid="{00000000-0005-0000-0000-00002C720000}"/>
    <cellStyle name="60% - Accent5 2 2 16" xfId="32198" xr:uid="{00000000-0005-0000-0000-00002D720000}"/>
    <cellStyle name="60% - Accent5 2 2 17" xfId="33881" xr:uid="{00000000-0005-0000-0000-00002E720000}"/>
    <cellStyle name="60% - Accent5 2 2 18" xfId="35564" xr:uid="{00000000-0005-0000-0000-00002F720000}"/>
    <cellStyle name="60% - Accent5 2 2 19" xfId="37247" xr:uid="{00000000-0005-0000-0000-000030720000}"/>
    <cellStyle name="60% - Accent5 2 2 2" xfId="427" xr:uid="{00000000-0005-0000-0000-000031720000}"/>
    <cellStyle name="60% - Accent5 2 2 2 10" xfId="10526" xr:uid="{00000000-0005-0000-0000-000032720000}"/>
    <cellStyle name="60% - Accent5 2 2 2 10 2" xfId="25675" xr:uid="{00000000-0005-0000-0000-000033720000}"/>
    <cellStyle name="60% - Accent5 2 2 2 11" xfId="12210" xr:uid="{00000000-0005-0000-0000-000034720000}"/>
    <cellStyle name="60% - Accent5 2 2 2 11 2" xfId="27359" xr:uid="{00000000-0005-0000-0000-000035720000}"/>
    <cellStyle name="60% - Accent5 2 2 2 12" xfId="13893" xr:uid="{00000000-0005-0000-0000-000036720000}"/>
    <cellStyle name="60% - Accent5 2 2 2 12 2" xfId="29042" xr:uid="{00000000-0005-0000-0000-000037720000}"/>
    <cellStyle name="60% - Accent5 2 2 2 13" xfId="15576" xr:uid="{00000000-0005-0000-0000-000038720000}"/>
    <cellStyle name="60% - Accent5 2 2 2 14" xfId="30725" xr:uid="{00000000-0005-0000-0000-000039720000}"/>
    <cellStyle name="60% - Accent5 2 2 2 15" xfId="32408" xr:uid="{00000000-0005-0000-0000-00003A720000}"/>
    <cellStyle name="60% - Accent5 2 2 2 16" xfId="34091" xr:uid="{00000000-0005-0000-0000-00003B720000}"/>
    <cellStyle name="60% - Accent5 2 2 2 17" xfId="35774" xr:uid="{00000000-0005-0000-0000-00003C720000}"/>
    <cellStyle name="60% - Accent5 2 2 2 18" xfId="37457" xr:uid="{00000000-0005-0000-0000-00003D720000}"/>
    <cellStyle name="60% - Accent5 2 2 2 19" xfId="39140" xr:uid="{00000000-0005-0000-0000-00003E720000}"/>
    <cellStyle name="60% - Accent5 2 2 2 2" xfId="847" xr:uid="{00000000-0005-0000-0000-00003F720000}"/>
    <cellStyle name="60% - Accent5 2 2 2 2 10" xfId="15996" xr:uid="{00000000-0005-0000-0000-000040720000}"/>
    <cellStyle name="60% - Accent5 2 2 2 2 11" xfId="31145" xr:uid="{00000000-0005-0000-0000-000041720000}"/>
    <cellStyle name="60% - Accent5 2 2 2 2 12" xfId="32828" xr:uid="{00000000-0005-0000-0000-000042720000}"/>
    <cellStyle name="60% - Accent5 2 2 2 2 13" xfId="34511" xr:uid="{00000000-0005-0000-0000-000043720000}"/>
    <cellStyle name="60% - Accent5 2 2 2 2 14" xfId="36194" xr:uid="{00000000-0005-0000-0000-000044720000}"/>
    <cellStyle name="60% - Accent5 2 2 2 2 15" xfId="37877" xr:uid="{00000000-0005-0000-0000-000045720000}"/>
    <cellStyle name="60% - Accent5 2 2 2 2 16" xfId="39560" xr:uid="{00000000-0005-0000-0000-000046720000}"/>
    <cellStyle name="60% - Accent5 2 2 2 2 17" xfId="41243" xr:uid="{00000000-0005-0000-0000-000047720000}"/>
    <cellStyle name="60% - Accent5 2 2 2 2 18" xfId="42926" xr:uid="{00000000-0005-0000-0000-000048720000}"/>
    <cellStyle name="60% - Accent5 2 2 2 2 19" xfId="44609" xr:uid="{00000000-0005-0000-0000-000049720000}"/>
    <cellStyle name="60% - Accent5 2 2 2 2 2" xfId="2530" xr:uid="{00000000-0005-0000-0000-00004A720000}"/>
    <cellStyle name="60% - Accent5 2 2 2 2 2 2" xfId="17679" xr:uid="{00000000-0005-0000-0000-00004B720000}"/>
    <cellStyle name="60% - Accent5 2 2 2 2 20" xfId="46292" xr:uid="{00000000-0005-0000-0000-00004C720000}"/>
    <cellStyle name="60% - Accent5 2 2 2 2 21" xfId="47975" xr:uid="{00000000-0005-0000-0000-00004D720000}"/>
    <cellStyle name="60% - Accent5 2 2 2 2 22" xfId="49658" xr:uid="{00000000-0005-0000-0000-00004E720000}"/>
    <cellStyle name="60% - Accent5 2 2 2 2 23" xfId="51341" xr:uid="{00000000-0005-0000-0000-00004F720000}"/>
    <cellStyle name="60% - Accent5 2 2 2 2 24" xfId="53024" xr:uid="{00000000-0005-0000-0000-000050720000}"/>
    <cellStyle name="60% - Accent5 2 2 2 2 25" xfId="54707" xr:uid="{00000000-0005-0000-0000-000051720000}"/>
    <cellStyle name="60% - Accent5 2 2 2 2 26" xfId="56390" xr:uid="{00000000-0005-0000-0000-000052720000}"/>
    <cellStyle name="60% - Accent5 2 2 2 2 27" xfId="58073" xr:uid="{00000000-0005-0000-0000-000053720000}"/>
    <cellStyle name="60% - Accent5 2 2 2 2 28" xfId="59756" xr:uid="{00000000-0005-0000-0000-000054720000}"/>
    <cellStyle name="60% - Accent5 2 2 2 2 29" xfId="61439" xr:uid="{00000000-0005-0000-0000-000055720000}"/>
    <cellStyle name="60% - Accent5 2 2 2 2 3" xfId="4214" xr:uid="{00000000-0005-0000-0000-000056720000}"/>
    <cellStyle name="60% - Accent5 2 2 2 2 3 2" xfId="19363" xr:uid="{00000000-0005-0000-0000-000057720000}"/>
    <cellStyle name="60% - Accent5 2 2 2 2 30" xfId="63122" xr:uid="{00000000-0005-0000-0000-000058720000}"/>
    <cellStyle name="60% - Accent5 2 2 2 2 4" xfId="5897" xr:uid="{00000000-0005-0000-0000-000059720000}"/>
    <cellStyle name="60% - Accent5 2 2 2 2 4 2" xfId="21046" xr:uid="{00000000-0005-0000-0000-00005A720000}"/>
    <cellStyle name="60% - Accent5 2 2 2 2 5" xfId="7580" xr:uid="{00000000-0005-0000-0000-00005B720000}"/>
    <cellStyle name="60% - Accent5 2 2 2 2 5 2" xfId="22729" xr:uid="{00000000-0005-0000-0000-00005C720000}"/>
    <cellStyle name="60% - Accent5 2 2 2 2 6" xfId="9263" xr:uid="{00000000-0005-0000-0000-00005D720000}"/>
    <cellStyle name="60% - Accent5 2 2 2 2 6 2" xfId="24412" xr:uid="{00000000-0005-0000-0000-00005E720000}"/>
    <cellStyle name="60% - Accent5 2 2 2 2 7" xfId="10946" xr:uid="{00000000-0005-0000-0000-00005F720000}"/>
    <cellStyle name="60% - Accent5 2 2 2 2 7 2" xfId="26095" xr:uid="{00000000-0005-0000-0000-000060720000}"/>
    <cellStyle name="60% - Accent5 2 2 2 2 8" xfId="12630" xr:uid="{00000000-0005-0000-0000-000061720000}"/>
    <cellStyle name="60% - Accent5 2 2 2 2 8 2" xfId="27779" xr:uid="{00000000-0005-0000-0000-000062720000}"/>
    <cellStyle name="60% - Accent5 2 2 2 2 9" xfId="14313" xr:uid="{00000000-0005-0000-0000-000063720000}"/>
    <cellStyle name="60% - Accent5 2 2 2 2 9 2" xfId="29462" xr:uid="{00000000-0005-0000-0000-000064720000}"/>
    <cellStyle name="60% - Accent5 2 2 2 20" xfId="40823" xr:uid="{00000000-0005-0000-0000-000065720000}"/>
    <cellStyle name="60% - Accent5 2 2 2 21" xfId="42506" xr:uid="{00000000-0005-0000-0000-000066720000}"/>
    <cellStyle name="60% - Accent5 2 2 2 22" xfId="44189" xr:uid="{00000000-0005-0000-0000-000067720000}"/>
    <cellStyle name="60% - Accent5 2 2 2 23" xfId="45872" xr:uid="{00000000-0005-0000-0000-000068720000}"/>
    <cellStyle name="60% - Accent5 2 2 2 24" xfId="47555" xr:uid="{00000000-0005-0000-0000-000069720000}"/>
    <cellStyle name="60% - Accent5 2 2 2 25" xfId="49238" xr:uid="{00000000-0005-0000-0000-00006A720000}"/>
    <cellStyle name="60% - Accent5 2 2 2 26" xfId="50921" xr:uid="{00000000-0005-0000-0000-00006B720000}"/>
    <cellStyle name="60% - Accent5 2 2 2 27" xfId="52604" xr:uid="{00000000-0005-0000-0000-00006C720000}"/>
    <cellStyle name="60% - Accent5 2 2 2 28" xfId="54287" xr:uid="{00000000-0005-0000-0000-00006D720000}"/>
    <cellStyle name="60% - Accent5 2 2 2 29" xfId="55970" xr:uid="{00000000-0005-0000-0000-00006E720000}"/>
    <cellStyle name="60% - Accent5 2 2 2 3" xfId="1268" xr:uid="{00000000-0005-0000-0000-00006F720000}"/>
    <cellStyle name="60% - Accent5 2 2 2 3 10" xfId="16417" xr:uid="{00000000-0005-0000-0000-000070720000}"/>
    <cellStyle name="60% - Accent5 2 2 2 3 11" xfId="31566" xr:uid="{00000000-0005-0000-0000-000071720000}"/>
    <cellStyle name="60% - Accent5 2 2 2 3 12" xfId="33249" xr:uid="{00000000-0005-0000-0000-000072720000}"/>
    <cellStyle name="60% - Accent5 2 2 2 3 13" xfId="34932" xr:uid="{00000000-0005-0000-0000-000073720000}"/>
    <cellStyle name="60% - Accent5 2 2 2 3 14" xfId="36615" xr:uid="{00000000-0005-0000-0000-000074720000}"/>
    <cellStyle name="60% - Accent5 2 2 2 3 15" xfId="38298" xr:uid="{00000000-0005-0000-0000-000075720000}"/>
    <cellStyle name="60% - Accent5 2 2 2 3 16" xfId="39981" xr:uid="{00000000-0005-0000-0000-000076720000}"/>
    <cellStyle name="60% - Accent5 2 2 2 3 17" xfId="41664" xr:uid="{00000000-0005-0000-0000-000077720000}"/>
    <cellStyle name="60% - Accent5 2 2 2 3 18" xfId="43347" xr:uid="{00000000-0005-0000-0000-000078720000}"/>
    <cellStyle name="60% - Accent5 2 2 2 3 19" xfId="45030" xr:uid="{00000000-0005-0000-0000-000079720000}"/>
    <cellStyle name="60% - Accent5 2 2 2 3 2" xfId="2951" xr:uid="{00000000-0005-0000-0000-00007A720000}"/>
    <cellStyle name="60% - Accent5 2 2 2 3 2 2" xfId="18100" xr:uid="{00000000-0005-0000-0000-00007B720000}"/>
    <cellStyle name="60% - Accent5 2 2 2 3 20" xfId="46713" xr:uid="{00000000-0005-0000-0000-00007C720000}"/>
    <cellStyle name="60% - Accent5 2 2 2 3 21" xfId="48396" xr:uid="{00000000-0005-0000-0000-00007D720000}"/>
    <cellStyle name="60% - Accent5 2 2 2 3 22" xfId="50079" xr:uid="{00000000-0005-0000-0000-00007E720000}"/>
    <cellStyle name="60% - Accent5 2 2 2 3 23" xfId="51762" xr:uid="{00000000-0005-0000-0000-00007F720000}"/>
    <cellStyle name="60% - Accent5 2 2 2 3 24" xfId="53445" xr:uid="{00000000-0005-0000-0000-000080720000}"/>
    <cellStyle name="60% - Accent5 2 2 2 3 25" xfId="55128" xr:uid="{00000000-0005-0000-0000-000081720000}"/>
    <cellStyle name="60% - Accent5 2 2 2 3 26" xfId="56811" xr:uid="{00000000-0005-0000-0000-000082720000}"/>
    <cellStyle name="60% - Accent5 2 2 2 3 27" xfId="58494" xr:uid="{00000000-0005-0000-0000-000083720000}"/>
    <cellStyle name="60% - Accent5 2 2 2 3 28" xfId="60177" xr:uid="{00000000-0005-0000-0000-000084720000}"/>
    <cellStyle name="60% - Accent5 2 2 2 3 29" xfId="61860" xr:uid="{00000000-0005-0000-0000-000085720000}"/>
    <cellStyle name="60% - Accent5 2 2 2 3 3" xfId="4635" xr:uid="{00000000-0005-0000-0000-000086720000}"/>
    <cellStyle name="60% - Accent5 2 2 2 3 3 2" xfId="19784" xr:uid="{00000000-0005-0000-0000-000087720000}"/>
    <cellStyle name="60% - Accent5 2 2 2 3 30" xfId="63543" xr:uid="{00000000-0005-0000-0000-000088720000}"/>
    <cellStyle name="60% - Accent5 2 2 2 3 4" xfId="6318" xr:uid="{00000000-0005-0000-0000-000089720000}"/>
    <cellStyle name="60% - Accent5 2 2 2 3 4 2" xfId="21467" xr:uid="{00000000-0005-0000-0000-00008A720000}"/>
    <cellStyle name="60% - Accent5 2 2 2 3 5" xfId="8001" xr:uid="{00000000-0005-0000-0000-00008B720000}"/>
    <cellStyle name="60% - Accent5 2 2 2 3 5 2" xfId="23150" xr:uid="{00000000-0005-0000-0000-00008C720000}"/>
    <cellStyle name="60% - Accent5 2 2 2 3 6" xfId="9684" xr:uid="{00000000-0005-0000-0000-00008D720000}"/>
    <cellStyle name="60% - Accent5 2 2 2 3 6 2" xfId="24833" xr:uid="{00000000-0005-0000-0000-00008E720000}"/>
    <cellStyle name="60% - Accent5 2 2 2 3 7" xfId="11367" xr:uid="{00000000-0005-0000-0000-00008F720000}"/>
    <cellStyle name="60% - Accent5 2 2 2 3 7 2" xfId="26516" xr:uid="{00000000-0005-0000-0000-000090720000}"/>
    <cellStyle name="60% - Accent5 2 2 2 3 8" xfId="13051" xr:uid="{00000000-0005-0000-0000-000091720000}"/>
    <cellStyle name="60% - Accent5 2 2 2 3 8 2" xfId="28200" xr:uid="{00000000-0005-0000-0000-000092720000}"/>
    <cellStyle name="60% - Accent5 2 2 2 3 9" xfId="14734" xr:uid="{00000000-0005-0000-0000-000093720000}"/>
    <cellStyle name="60% - Accent5 2 2 2 3 9 2" xfId="29883" xr:uid="{00000000-0005-0000-0000-000094720000}"/>
    <cellStyle name="60% - Accent5 2 2 2 30" xfId="57653" xr:uid="{00000000-0005-0000-0000-000095720000}"/>
    <cellStyle name="60% - Accent5 2 2 2 31" xfId="59336" xr:uid="{00000000-0005-0000-0000-000096720000}"/>
    <cellStyle name="60% - Accent5 2 2 2 32" xfId="61019" xr:uid="{00000000-0005-0000-0000-000097720000}"/>
    <cellStyle name="60% - Accent5 2 2 2 33" xfId="62702" xr:uid="{00000000-0005-0000-0000-000098720000}"/>
    <cellStyle name="60% - Accent5 2 2 2 4" xfId="1689" xr:uid="{00000000-0005-0000-0000-000099720000}"/>
    <cellStyle name="60% - Accent5 2 2 2 4 10" xfId="16838" xr:uid="{00000000-0005-0000-0000-00009A720000}"/>
    <cellStyle name="60% - Accent5 2 2 2 4 11" xfId="31987" xr:uid="{00000000-0005-0000-0000-00009B720000}"/>
    <cellStyle name="60% - Accent5 2 2 2 4 12" xfId="33670" xr:uid="{00000000-0005-0000-0000-00009C720000}"/>
    <cellStyle name="60% - Accent5 2 2 2 4 13" xfId="35353" xr:uid="{00000000-0005-0000-0000-00009D720000}"/>
    <cellStyle name="60% - Accent5 2 2 2 4 14" xfId="37036" xr:uid="{00000000-0005-0000-0000-00009E720000}"/>
    <cellStyle name="60% - Accent5 2 2 2 4 15" xfId="38719" xr:uid="{00000000-0005-0000-0000-00009F720000}"/>
    <cellStyle name="60% - Accent5 2 2 2 4 16" xfId="40402" xr:uid="{00000000-0005-0000-0000-0000A0720000}"/>
    <cellStyle name="60% - Accent5 2 2 2 4 17" xfId="42085" xr:uid="{00000000-0005-0000-0000-0000A1720000}"/>
    <cellStyle name="60% - Accent5 2 2 2 4 18" xfId="43768" xr:uid="{00000000-0005-0000-0000-0000A2720000}"/>
    <cellStyle name="60% - Accent5 2 2 2 4 19" xfId="45451" xr:uid="{00000000-0005-0000-0000-0000A3720000}"/>
    <cellStyle name="60% - Accent5 2 2 2 4 2" xfId="3372" xr:uid="{00000000-0005-0000-0000-0000A4720000}"/>
    <cellStyle name="60% - Accent5 2 2 2 4 2 2" xfId="18521" xr:uid="{00000000-0005-0000-0000-0000A5720000}"/>
    <cellStyle name="60% - Accent5 2 2 2 4 20" xfId="47134" xr:uid="{00000000-0005-0000-0000-0000A6720000}"/>
    <cellStyle name="60% - Accent5 2 2 2 4 21" xfId="48817" xr:uid="{00000000-0005-0000-0000-0000A7720000}"/>
    <cellStyle name="60% - Accent5 2 2 2 4 22" xfId="50500" xr:uid="{00000000-0005-0000-0000-0000A8720000}"/>
    <cellStyle name="60% - Accent5 2 2 2 4 23" xfId="52183" xr:uid="{00000000-0005-0000-0000-0000A9720000}"/>
    <cellStyle name="60% - Accent5 2 2 2 4 24" xfId="53866" xr:uid="{00000000-0005-0000-0000-0000AA720000}"/>
    <cellStyle name="60% - Accent5 2 2 2 4 25" xfId="55549" xr:uid="{00000000-0005-0000-0000-0000AB720000}"/>
    <cellStyle name="60% - Accent5 2 2 2 4 26" xfId="57232" xr:uid="{00000000-0005-0000-0000-0000AC720000}"/>
    <cellStyle name="60% - Accent5 2 2 2 4 27" xfId="58915" xr:uid="{00000000-0005-0000-0000-0000AD720000}"/>
    <cellStyle name="60% - Accent5 2 2 2 4 28" xfId="60598" xr:uid="{00000000-0005-0000-0000-0000AE720000}"/>
    <cellStyle name="60% - Accent5 2 2 2 4 29" xfId="62281" xr:uid="{00000000-0005-0000-0000-0000AF720000}"/>
    <cellStyle name="60% - Accent5 2 2 2 4 3" xfId="5056" xr:uid="{00000000-0005-0000-0000-0000B0720000}"/>
    <cellStyle name="60% - Accent5 2 2 2 4 3 2" xfId="20205" xr:uid="{00000000-0005-0000-0000-0000B1720000}"/>
    <cellStyle name="60% - Accent5 2 2 2 4 30" xfId="63964" xr:uid="{00000000-0005-0000-0000-0000B2720000}"/>
    <cellStyle name="60% - Accent5 2 2 2 4 4" xfId="6739" xr:uid="{00000000-0005-0000-0000-0000B3720000}"/>
    <cellStyle name="60% - Accent5 2 2 2 4 4 2" xfId="21888" xr:uid="{00000000-0005-0000-0000-0000B4720000}"/>
    <cellStyle name="60% - Accent5 2 2 2 4 5" xfId="8422" xr:uid="{00000000-0005-0000-0000-0000B5720000}"/>
    <cellStyle name="60% - Accent5 2 2 2 4 5 2" xfId="23571" xr:uid="{00000000-0005-0000-0000-0000B6720000}"/>
    <cellStyle name="60% - Accent5 2 2 2 4 6" xfId="10105" xr:uid="{00000000-0005-0000-0000-0000B7720000}"/>
    <cellStyle name="60% - Accent5 2 2 2 4 6 2" xfId="25254" xr:uid="{00000000-0005-0000-0000-0000B8720000}"/>
    <cellStyle name="60% - Accent5 2 2 2 4 7" xfId="11788" xr:uid="{00000000-0005-0000-0000-0000B9720000}"/>
    <cellStyle name="60% - Accent5 2 2 2 4 7 2" xfId="26937" xr:uid="{00000000-0005-0000-0000-0000BA720000}"/>
    <cellStyle name="60% - Accent5 2 2 2 4 8" xfId="13472" xr:uid="{00000000-0005-0000-0000-0000BB720000}"/>
    <cellStyle name="60% - Accent5 2 2 2 4 8 2" xfId="28621" xr:uid="{00000000-0005-0000-0000-0000BC720000}"/>
    <cellStyle name="60% - Accent5 2 2 2 4 9" xfId="15155" xr:uid="{00000000-0005-0000-0000-0000BD720000}"/>
    <cellStyle name="60% - Accent5 2 2 2 4 9 2" xfId="30304" xr:uid="{00000000-0005-0000-0000-0000BE720000}"/>
    <cellStyle name="60% - Accent5 2 2 2 5" xfId="2110" xr:uid="{00000000-0005-0000-0000-0000BF720000}"/>
    <cellStyle name="60% - Accent5 2 2 2 5 2" xfId="17259" xr:uid="{00000000-0005-0000-0000-0000C0720000}"/>
    <cellStyle name="60% - Accent5 2 2 2 6" xfId="3794" xr:uid="{00000000-0005-0000-0000-0000C1720000}"/>
    <cellStyle name="60% - Accent5 2 2 2 6 2" xfId="18943" xr:uid="{00000000-0005-0000-0000-0000C2720000}"/>
    <cellStyle name="60% - Accent5 2 2 2 7" xfId="5477" xr:uid="{00000000-0005-0000-0000-0000C3720000}"/>
    <cellStyle name="60% - Accent5 2 2 2 7 2" xfId="20626" xr:uid="{00000000-0005-0000-0000-0000C4720000}"/>
    <cellStyle name="60% - Accent5 2 2 2 8" xfId="7160" xr:uid="{00000000-0005-0000-0000-0000C5720000}"/>
    <cellStyle name="60% - Accent5 2 2 2 8 2" xfId="22309" xr:uid="{00000000-0005-0000-0000-0000C6720000}"/>
    <cellStyle name="60% - Accent5 2 2 2 9" xfId="8843" xr:uid="{00000000-0005-0000-0000-0000C7720000}"/>
    <cellStyle name="60% - Accent5 2 2 2 9 2" xfId="23992" xr:uid="{00000000-0005-0000-0000-0000C8720000}"/>
    <cellStyle name="60% - Accent5 2 2 20" xfId="38930" xr:uid="{00000000-0005-0000-0000-0000C9720000}"/>
    <cellStyle name="60% - Accent5 2 2 21" xfId="40613" xr:uid="{00000000-0005-0000-0000-0000CA720000}"/>
    <cellStyle name="60% - Accent5 2 2 22" xfId="42296" xr:uid="{00000000-0005-0000-0000-0000CB720000}"/>
    <cellStyle name="60% - Accent5 2 2 23" xfId="43979" xr:uid="{00000000-0005-0000-0000-0000CC720000}"/>
    <cellStyle name="60% - Accent5 2 2 24" xfId="45662" xr:uid="{00000000-0005-0000-0000-0000CD720000}"/>
    <cellStyle name="60% - Accent5 2 2 25" xfId="47345" xr:uid="{00000000-0005-0000-0000-0000CE720000}"/>
    <cellStyle name="60% - Accent5 2 2 26" xfId="49028" xr:uid="{00000000-0005-0000-0000-0000CF720000}"/>
    <cellStyle name="60% - Accent5 2 2 27" xfId="50711" xr:uid="{00000000-0005-0000-0000-0000D0720000}"/>
    <cellStyle name="60% - Accent5 2 2 28" xfId="52394" xr:uid="{00000000-0005-0000-0000-0000D1720000}"/>
    <cellStyle name="60% - Accent5 2 2 29" xfId="54077" xr:uid="{00000000-0005-0000-0000-0000D2720000}"/>
    <cellStyle name="60% - Accent5 2 2 3" xfId="637" xr:uid="{00000000-0005-0000-0000-0000D3720000}"/>
    <cellStyle name="60% - Accent5 2 2 3 10" xfId="15786" xr:uid="{00000000-0005-0000-0000-0000D4720000}"/>
    <cellStyle name="60% - Accent5 2 2 3 11" xfId="30935" xr:uid="{00000000-0005-0000-0000-0000D5720000}"/>
    <cellStyle name="60% - Accent5 2 2 3 12" xfId="32618" xr:uid="{00000000-0005-0000-0000-0000D6720000}"/>
    <cellStyle name="60% - Accent5 2 2 3 13" xfId="34301" xr:uid="{00000000-0005-0000-0000-0000D7720000}"/>
    <cellStyle name="60% - Accent5 2 2 3 14" xfId="35984" xr:uid="{00000000-0005-0000-0000-0000D8720000}"/>
    <cellStyle name="60% - Accent5 2 2 3 15" xfId="37667" xr:uid="{00000000-0005-0000-0000-0000D9720000}"/>
    <cellStyle name="60% - Accent5 2 2 3 16" xfId="39350" xr:uid="{00000000-0005-0000-0000-0000DA720000}"/>
    <cellStyle name="60% - Accent5 2 2 3 17" xfId="41033" xr:uid="{00000000-0005-0000-0000-0000DB720000}"/>
    <cellStyle name="60% - Accent5 2 2 3 18" xfId="42716" xr:uid="{00000000-0005-0000-0000-0000DC720000}"/>
    <cellStyle name="60% - Accent5 2 2 3 19" xfId="44399" xr:uid="{00000000-0005-0000-0000-0000DD720000}"/>
    <cellStyle name="60% - Accent5 2 2 3 2" xfId="2320" xr:uid="{00000000-0005-0000-0000-0000DE720000}"/>
    <cellStyle name="60% - Accent5 2 2 3 2 2" xfId="17469" xr:uid="{00000000-0005-0000-0000-0000DF720000}"/>
    <cellStyle name="60% - Accent5 2 2 3 20" xfId="46082" xr:uid="{00000000-0005-0000-0000-0000E0720000}"/>
    <cellStyle name="60% - Accent5 2 2 3 21" xfId="47765" xr:uid="{00000000-0005-0000-0000-0000E1720000}"/>
    <cellStyle name="60% - Accent5 2 2 3 22" xfId="49448" xr:uid="{00000000-0005-0000-0000-0000E2720000}"/>
    <cellStyle name="60% - Accent5 2 2 3 23" xfId="51131" xr:uid="{00000000-0005-0000-0000-0000E3720000}"/>
    <cellStyle name="60% - Accent5 2 2 3 24" xfId="52814" xr:uid="{00000000-0005-0000-0000-0000E4720000}"/>
    <cellStyle name="60% - Accent5 2 2 3 25" xfId="54497" xr:uid="{00000000-0005-0000-0000-0000E5720000}"/>
    <cellStyle name="60% - Accent5 2 2 3 26" xfId="56180" xr:uid="{00000000-0005-0000-0000-0000E6720000}"/>
    <cellStyle name="60% - Accent5 2 2 3 27" xfId="57863" xr:uid="{00000000-0005-0000-0000-0000E7720000}"/>
    <cellStyle name="60% - Accent5 2 2 3 28" xfId="59546" xr:uid="{00000000-0005-0000-0000-0000E8720000}"/>
    <cellStyle name="60% - Accent5 2 2 3 29" xfId="61229" xr:uid="{00000000-0005-0000-0000-0000E9720000}"/>
    <cellStyle name="60% - Accent5 2 2 3 3" xfId="4004" xr:uid="{00000000-0005-0000-0000-0000EA720000}"/>
    <cellStyle name="60% - Accent5 2 2 3 3 2" xfId="19153" xr:uid="{00000000-0005-0000-0000-0000EB720000}"/>
    <cellStyle name="60% - Accent5 2 2 3 30" xfId="62912" xr:uid="{00000000-0005-0000-0000-0000EC720000}"/>
    <cellStyle name="60% - Accent5 2 2 3 4" xfId="5687" xr:uid="{00000000-0005-0000-0000-0000ED720000}"/>
    <cellStyle name="60% - Accent5 2 2 3 4 2" xfId="20836" xr:uid="{00000000-0005-0000-0000-0000EE720000}"/>
    <cellStyle name="60% - Accent5 2 2 3 5" xfId="7370" xr:uid="{00000000-0005-0000-0000-0000EF720000}"/>
    <cellStyle name="60% - Accent5 2 2 3 5 2" xfId="22519" xr:uid="{00000000-0005-0000-0000-0000F0720000}"/>
    <cellStyle name="60% - Accent5 2 2 3 6" xfId="9053" xr:uid="{00000000-0005-0000-0000-0000F1720000}"/>
    <cellStyle name="60% - Accent5 2 2 3 6 2" xfId="24202" xr:uid="{00000000-0005-0000-0000-0000F2720000}"/>
    <cellStyle name="60% - Accent5 2 2 3 7" xfId="10736" xr:uid="{00000000-0005-0000-0000-0000F3720000}"/>
    <cellStyle name="60% - Accent5 2 2 3 7 2" xfId="25885" xr:uid="{00000000-0005-0000-0000-0000F4720000}"/>
    <cellStyle name="60% - Accent5 2 2 3 8" xfId="12420" xr:uid="{00000000-0005-0000-0000-0000F5720000}"/>
    <cellStyle name="60% - Accent5 2 2 3 8 2" xfId="27569" xr:uid="{00000000-0005-0000-0000-0000F6720000}"/>
    <cellStyle name="60% - Accent5 2 2 3 9" xfId="14103" xr:uid="{00000000-0005-0000-0000-0000F7720000}"/>
    <cellStyle name="60% - Accent5 2 2 3 9 2" xfId="29252" xr:uid="{00000000-0005-0000-0000-0000F8720000}"/>
    <cellStyle name="60% - Accent5 2 2 30" xfId="55760" xr:uid="{00000000-0005-0000-0000-0000F9720000}"/>
    <cellStyle name="60% - Accent5 2 2 31" xfId="57443" xr:uid="{00000000-0005-0000-0000-0000FA720000}"/>
    <cellStyle name="60% - Accent5 2 2 32" xfId="59126" xr:uid="{00000000-0005-0000-0000-0000FB720000}"/>
    <cellStyle name="60% - Accent5 2 2 33" xfId="60809" xr:uid="{00000000-0005-0000-0000-0000FC720000}"/>
    <cellStyle name="60% - Accent5 2 2 34" xfId="62492" xr:uid="{00000000-0005-0000-0000-0000FD720000}"/>
    <cellStyle name="60% - Accent5 2 2 4" xfId="1058" xr:uid="{00000000-0005-0000-0000-0000FE720000}"/>
    <cellStyle name="60% - Accent5 2 2 4 10" xfId="16207" xr:uid="{00000000-0005-0000-0000-0000FF720000}"/>
    <cellStyle name="60% - Accent5 2 2 4 11" xfId="31356" xr:uid="{00000000-0005-0000-0000-000000730000}"/>
    <cellStyle name="60% - Accent5 2 2 4 12" xfId="33039" xr:uid="{00000000-0005-0000-0000-000001730000}"/>
    <cellStyle name="60% - Accent5 2 2 4 13" xfId="34722" xr:uid="{00000000-0005-0000-0000-000002730000}"/>
    <cellStyle name="60% - Accent5 2 2 4 14" xfId="36405" xr:uid="{00000000-0005-0000-0000-000003730000}"/>
    <cellStyle name="60% - Accent5 2 2 4 15" xfId="38088" xr:uid="{00000000-0005-0000-0000-000004730000}"/>
    <cellStyle name="60% - Accent5 2 2 4 16" xfId="39771" xr:uid="{00000000-0005-0000-0000-000005730000}"/>
    <cellStyle name="60% - Accent5 2 2 4 17" xfId="41454" xr:uid="{00000000-0005-0000-0000-000006730000}"/>
    <cellStyle name="60% - Accent5 2 2 4 18" xfId="43137" xr:uid="{00000000-0005-0000-0000-000007730000}"/>
    <cellStyle name="60% - Accent5 2 2 4 19" xfId="44820" xr:uid="{00000000-0005-0000-0000-000008730000}"/>
    <cellStyle name="60% - Accent5 2 2 4 2" xfId="2741" xr:uid="{00000000-0005-0000-0000-000009730000}"/>
    <cellStyle name="60% - Accent5 2 2 4 2 2" xfId="17890" xr:uid="{00000000-0005-0000-0000-00000A730000}"/>
    <cellStyle name="60% - Accent5 2 2 4 20" xfId="46503" xr:uid="{00000000-0005-0000-0000-00000B730000}"/>
    <cellStyle name="60% - Accent5 2 2 4 21" xfId="48186" xr:uid="{00000000-0005-0000-0000-00000C730000}"/>
    <cellStyle name="60% - Accent5 2 2 4 22" xfId="49869" xr:uid="{00000000-0005-0000-0000-00000D730000}"/>
    <cellStyle name="60% - Accent5 2 2 4 23" xfId="51552" xr:uid="{00000000-0005-0000-0000-00000E730000}"/>
    <cellStyle name="60% - Accent5 2 2 4 24" xfId="53235" xr:uid="{00000000-0005-0000-0000-00000F730000}"/>
    <cellStyle name="60% - Accent5 2 2 4 25" xfId="54918" xr:uid="{00000000-0005-0000-0000-000010730000}"/>
    <cellStyle name="60% - Accent5 2 2 4 26" xfId="56601" xr:uid="{00000000-0005-0000-0000-000011730000}"/>
    <cellStyle name="60% - Accent5 2 2 4 27" xfId="58284" xr:uid="{00000000-0005-0000-0000-000012730000}"/>
    <cellStyle name="60% - Accent5 2 2 4 28" xfId="59967" xr:uid="{00000000-0005-0000-0000-000013730000}"/>
    <cellStyle name="60% - Accent5 2 2 4 29" xfId="61650" xr:uid="{00000000-0005-0000-0000-000014730000}"/>
    <cellStyle name="60% - Accent5 2 2 4 3" xfId="4425" xr:uid="{00000000-0005-0000-0000-000015730000}"/>
    <cellStyle name="60% - Accent5 2 2 4 3 2" xfId="19574" xr:uid="{00000000-0005-0000-0000-000016730000}"/>
    <cellStyle name="60% - Accent5 2 2 4 30" xfId="63333" xr:uid="{00000000-0005-0000-0000-000017730000}"/>
    <cellStyle name="60% - Accent5 2 2 4 4" xfId="6108" xr:uid="{00000000-0005-0000-0000-000018730000}"/>
    <cellStyle name="60% - Accent5 2 2 4 4 2" xfId="21257" xr:uid="{00000000-0005-0000-0000-000019730000}"/>
    <cellStyle name="60% - Accent5 2 2 4 5" xfId="7791" xr:uid="{00000000-0005-0000-0000-00001A730000}"/>
    <cellStyle name="60% - Accent5 2 2 4 5 2" xfId="22940" xr:uid="{00000000-0005-0000-0000-00001B730000}"/>
    <cellStyle name="60% - Accent5 2 2 4 6" xfId="9474" xr:uid="{00000000-0005-0000-0000-00001C730000}"/>
    <cellStyle name="60% - Accent5 2 2 4 6 2" xfId="24623" xr:uid="{00000000-0005-0000-0000-00001D730000}"/>
    <cellStyle name="60% - Accent5 2 2 4 7" xfId="11157" xr:uid="{00000000-0005-0000-0000-00001E730000}"/>
    <cellStyle name="60% - Accent5 2 2 4 7 2" xfId="26306" xr:uid="{00000000-0005-0000-0000-00001F730000}"/>
    <cellStyle name="60% - Accent5 2 2 4 8" xfId="12841" xr:uid="{00000000-0005-0000-0000-000020730000}"/>
    <cellStyle name="60% - Accent5 2 2 4 8 2" xfId="27990" xr:uid="{00000000-0005-0000-0000-000021730000}"/>
    <cellStyle name="60% - Accent5 2 2 4 9" xfId="14524" xr:uid="{00000000-0005-0000-0000-000022730000}"/>
    <cellStyle name="60% - Accent5 2 2 4 9 2" xfId="29673" xr:uid="{00000000-0005-0000-0000-000023730000}"/>
    <cellStyle name="60% - Accent5 2 2 5" xfId="1479" xr:uid="{00000000-0005-0000-0000-000024730000}"/>
    <cellStyle name="60% - Accent5 2 2 5 10" xfId="16628" xr:uid="{00000000-0005-0000-0000-000025730000}"/>
    <cellStyle name="60% - Accent5 2 2 5 11" xfId="31777" xr:uid="{00000000-0005-0000-0000-000026730000}"/>
    <cellStyle name="60% - Accent5 2 2 5 12" xfId="33460" xr:uid="{00000000-0005-0000-0000-000027730000}"/>
    <cellStyle name="60% - Accent5 2 2 5 13" xfId="35143" xr:uid="{00000000-0005-0000-0000-000028730000}"/>
    <cellStyle name="60% - Accent5 2 2 5 14" xfId="36826" xr:uid="{00000000-0005-0000-0000-000029730000}"/>
    <cellStyle name="60% - Accent5 2 2 5 15" xfId="38509" xr:uid="{00000000-0005-0000-0000-00002A730000}"/>
    <cellStyle name="60% - Accent5 2 2 5 16" xfId="40192" xr:uid="{00000000-0005-0000-0000-00002B730000}"/>
    <cellStyle name="60% - Accent5 2 2 5 17" xfId="41875" xr:uid="{00000000-0005-0000-0000-00002C730000}"/>
    <cellStyle name="60% - Accent5 2 2 5 18" xfId="43558" xr:uid="{00000000-0005-0000-0000-00002D730000}"/>
    <cellStyle name="60% - Accent5 2 2 5 19" xfId="45241" xr:uid="{00000000-0005-0000-0000-00002E730000}"/>
    <cellStyle name="60% - Accent5 2 2 5 2" xfId="3162" xr:uid="{00000000-0005-0000-0000-00002F730000}"/>
    <cellStyle name="60% - Accent5 2 2 5 2 2" xfId="18311" xr:uid="{00000000-0005-0000-0000-000030730000}"/>
    <cellStyle name="60% - Accent5 2 2 5 20" xfId="46924" xr:uid="{00000000-0005-0000-0000-000031730000}"/>
    <cellStyle name="60% - Accent5 2 2 5 21" xfId="48607" xr:uid="{00000000-0005-0000-0000-000032730000}"/>
    <cellStyle name="60% - Accent5 2 2 5 22" xfId="50290" xr:uid="{00000000-0005-0000-0000-000033730000}"/>
    <cellStyle name="60% - Accent5 2 2 5 23" xfId="51973" xr:uid="{00000000-0005-0000-0000-000034730000}"/>
    <cellStyle name="60% - Accent5 2 2 5 24" xfId="53656" xr:uid="{00000000-0005-0000-0000-000035730000}"/>
    <cellStyle name="60% - Accent5 2 2 5 25" xfId="55339" xr:uid="{00000000-0005-0000-0000-000036730000}"/>
    <cellStyle name="60% - Accent5 2 2 5 26" xfId="57022" xr:uid="{00000000-0005-0000-0000-000037730000}"/>
    <cellStyle name="60% - Accent5 2 2 5 27" xfId="58705" xr:uid="{00000000-0005-0000-0000-000038730000}"/>
    <cellStyle name="60% - Accent5 2 2 5 28" xfId="60388" xr:uid="{00000000-0005-0000-0000-000039730000}"/>
    <cellStyle name="60% - Accent5 2 2 5 29" xfId="62071" xr:uid="{00000000-0005-0000-0000-00003A730000}"/>
    <cellStyle name="60% - Accent5 2 2 5 3" xfId="4846" xr:uid="{00000000-0005-0000-0000-00003B730000}"/>
    <cellStyle name="60% - Accent5 2 2 5 3 2" xfId="19995" xr:uid="{00000000-0005-0000-0000-00003C730000}"/>
    <cellStyle name="60% - Accent5 2 2 5 30" xfId="63754" xr:uid="{00000000-0005-0000-0000-00003D730000}"/>
    <cellStyle name="60% - Accent5 2 2 5 4" xfId="6529" xr:uid="{00000000-0005-0000-0000-00003E730000}"/>
    <cellStyle name="60% - Accent5 2 2 5 4 2" xfId="21678" xr:uid="{00000000-0005-0000-0000-00003F730000}"/>
    <cellStyle name="60% - Accent5 2 2 5 5" xfId="8212" xr:uid="{00000000-0005-0000-0000-000040730000}"/>
    <cellStyle name="60% - Accent5 2 2 5 5 2" xfId="23361" xr:uid="{00000000-0005-0000-0000-000041730000}"/>
    <cellStyle name="60% - Accent5 2 2 5 6" xfId="9895" xr:uid="{00000000-0005-0000-0000-000042730000}"/>
    <cellStyle name="60% - Accent5 2 2 5 6 2" xfId="25044" xr:uid="{00000000-0005-0000-0000-000043730000}"/>
    <cellStyle name="60% - Accent5 2 2 5 7" xfId="11578" xr:uid="{00000000-0005-0000-0000-000044730000}"/>
    <cellStyle name="60% - Accent5 2 2 5 7 2" xfId="26727" xr:uid="{00000000-0005-0000-0000-000045730000}"/>
    <cellStyle name="60% - Accent5 2 2 5 8" xfId="13262" xr:uid="{00000000-0005-0000-0000-000046730000}"/>
    <cellStyle name="60% - Accent5 2 2 5 8 2" xfId="28411" xr:uid="{00000000-0005-0000-0000-000047730000}"/>
    <cellStyle name="60% - Accent5 2 2 5 9" xfId="14945" xr:uid="{00000000-0005-0000-0000-000048730000}"/>
    <cellStyle name="60% - Accent5 2 2 5 9 2" xfId="30094" xr:uid="{00000000-0005-0000-0000-000049730000}"/>
    <cellStyle name="60% - Accent5 2 2 6" xfId="1900" xr:uid="{00000000-0005-0000-0000-00004A730000}"/>
    <cellStyle name="60% - Accent5 2 2 6 2" xfId="17049" xr:uid="{00000000-0005-0000-0000-00004B730000}"/>
    <cellStyle name="60% - Accent5 2 2 7" xfId="3584" xr:uid="{00000000-0005-0000-0000-00004C730000}"/>
    <cellStyle name="60% - Accent5 2 2 7 2" xfId="18733" xr:uid="{00000000-0005-0000-0000-00004D730000}"/>
    <cellStyle name="60% - Accent5 2 2 8" xfId="5267" xr:uid="{00000000-0005-0000-0000-00004E730000}"/>
    <cellStyle name="60% - Accent5 2 2 8 2" xfId="20416" xr:uid="{00000000-0005-0000-0000-00004F730000}"/>
    <cellStyle name="60% - Accent5 2 2 9" xfId="6950" xr:uid="{00000000-0005-0000-0000-000050730000}"/>
    <cellStyle name="60% - Accent5 2 2 9 2" xfId="22099" xr:uid="{00000000-0005-0000-0000-000051730000}"/>
    <cellStyle name="60% - Accent5 2 20" xfId="37142" xr:uid="{00000000-0005-0000-0000-000052730000}"/>
    <cellStyle name="60% - Accent5 2 21" xfId="38825" xr:uid="{00000000-0005-0000-0000-000053730000}"/>
    <cellStyle name="60% - Accent5 2 22" xfId="40508" xr:uid="{00000000-0005-0000-0000-000054730000}"/>
    <cellStyle name="60% - Accent5 2 23" xfId="42191" xr:uid="{00000000-0005-0000-0000-000055730000}"/>
    <cellStyle name="60% - Accent5 2 24" xfId="43874" xr:uid="{00000000-0005-0000-0000-000056730000}"/>
    <cellStyle name="60% - Accent5 2 25" xfId="45557" xr:uid="{00000000-0005-0000-0000-000057730000}"/>
    <cellStyle name="60% - Accent5 2 26" xfId="47240" xr:uid="{00000000-0005-0000-0000-000058730000}"/>
    <cellStyle name="60% - Accent5 2 27" xfId="48923" xr:uid="{00000000-0005-0000-0000-000059730000}"/>
    <cellStyle name="60% - Accent5 2 28" xfId="50606" xr:uid="{00000000-0005-0000-0000-00005A730000}"/>
    <cellStyle name="60% - Accent5 2 29" xfId="52289" xr:uid="{00000000-0005-0000-0000-00005B730000}"/>
    <cellStyle name="60% - Accent5 2 3" xfId="322" xr:uid="{00000000-0005-0000-0000-00005C730000}"/>
    <cellStyle name="60% - Accent5 2 3 10" xfId="10421" xr:uid="{00000000-0005-0000-0000-00005D730000}"/>
    <cellStyle name="60% - Accent5 2 3 10 2" xfId="25570" xr:uid="{00000000-0005-0000-0000-00005E730000}"/>
    <cellStyle name="60% - Accent5 2 3 11" xfId="12105" xr:uid="{00000000-0005-0000-0000-00005F730000}"/>
    <cellStyle name="60% - Accent5 2 3 11 2" xfId="27254" xr:uid="{00000000-0005-0000-0000-000060730000}"/>
    <cellStyle name="60% - Accent5 2 3 12" xfId="13788" xr:uid="{00000000-0005-0000-0000-000061730000}"/>
    <cellStyle name="60% - Accent5 2 3 12 2" xfId="28937" xr:uid="{00000000-0005-0000-0000-000062730000}"/>
    <cellStyle name="60% - Accent5 2 3 13" xfId="15471" xr:uid="{00000000-0005-0000-0000-000063730000}"/>
    <cellStyle name="60% - Accent5 2 3 14" xfId="30620" xr:uid="{00000000-0005-0000-0000-000064730000}"/>
    <cellStyle name="60% - Accent5 2 3 15" xfId="32303" xr:uid="{00000000-0005-0000-0000-000065730000}"/>
    <cellStyle name="60% - Accent5 2 3 16" xfId="33986" xr:uid="{00000000-0005-0000-0000-000066730000}"/>
    <cellStyle name="60% - Accent5 2 3 17" xfId="35669" xr:uid="{00000000-0005-0000-0000-000067730000}"/>
    <cellStyle name="60% - Accent5 2 3 18" xfId="37352" xr:uid="{00000000-0005-0000-0000-000068730000}"/>
    <cellStyle name="60% - Accent5 2 3 19" xfId="39035" xr:uid="{00000000-0005-0000-0000-000069730000}"/>
    <cellStyle name="60% - Accent5 2 3 2" xfId="742" xr:uid="{00000000-0005-0000-0000-00006A730000}"/>
    <cellStyle name="60% - Accent5 2 3 2 10" xfId="15891" xr:uid="{00000000-0005-0000-0000-00006B730000}"/>
    <cellStyle name="60% - Accent5 2 3 2 11" xfId="31040" xr:uid="{00000000-0005-0000-0000-00006C730000}"/>
    <cellStyle name="60% - Accent5 2 3 2 12" xfId="32723" xr:uid="{00000000-0005-0000-0000-00006D730000}"/>
    <cellStyle name="60% - Accent5 2 3 2 13" xfId="34406" xr:uid="{00000000-0005-0000-0000-00006E730000}"/>
    <cellStyle name="60% - Accent5 2 3 2 14" xfId="36089" xr:uid="{00000000-0005-0000-0000-00006F730000}"/>
    <cellStyle name="60% - Accent5 2 3 2 15" xfId="37772" xr:uid="{00000000-0005-0000-0000-000070730000}"/>
    <cellStyle name="60% - Accent5 2 3 2 16" xfId="39455" xr:uid="{00000000-0005-0000-0000-000071730000}"/>
    <cellStyle name="60% - Accent5 2 3 2 17" xfId="41138" xr:uid="{00000000-0005-0000-0000-000072730000}"/>
    <cellStyle name="60% - Accent5 2 3 2 18" xfId="42821" xr:uid="{00000000-0005-0000-0000-000073730000}"/>
    <cellStyle name="60% - Accent5 2 3 2 19" xfId="44504" xr:uid="{00000000-0005-0000-0000-000074730000}"/>
    <cellStyle name="60% - Accent5 2 3 2 2" xfId="2425" xr:uid="{00000000-0005-0000-0000-000075730000}"/>
    <cellStyle name="60% - Accent5 2 3 2 2 2" xfId="17574" xr:uid="{00000000-0005-0000-0000-000076730000}"/>
    <cellStyle name="60% - Accent5 2 3 2 20" xfId="46187" xr:uid="{00000000-0005-0000-0000-000077730000}"/>
    <cellStyle name="60% - Accent5 2 3 2 21" xfId="47870" xr:uid="{00000000-0005-0000-0000-000078730000}"/>
    <cellStyle name="60% - Accent5 2 3 2 22" xfId="49553" xr:uid="{00000000-0005-0000-0000-000079730000}"/>
    <cellStyle name="60% - Accent5 2 3 2 23" xfId="51236" xr:uid="{00000000-0005-0000-0000-00007A730000}"/>
    <cellStyle name="60% - Accent5 2 3 2 24" xfId="52919" xr:uid="{00000000-0005-0000-0000-00007B730000}"/>
    <cellStyle name="60% - Accent5 2 3 2 25" xfId="54602" xr:uid="{00000000-0005-0000-0000-00007C730000}"/>
    <cellStyle name="60% - Accent5 2 3 2 26" xfId="56285" xr:uid="{00000000-0005-0000-0000-00007D730000}"/>
    <cellStyle name="60% - Accent5 2 3 2 27" xfId="57968" xr:uid="{00000000-0005-0000-0000-00007E730000}"/>
    <cellStyle name="60% - Accent5 2 3 2 28" xfId="59651" xr:uid="{00000000-0005-0000-0000-00007F730000}"/>
    <cellStyle name="60% - Accent5 2 3 2 29" xfId="61334" xr:uid="{00000000-0005-0000-0000-000080730000}"/>
    <cellStyle name="60% - Accent5 2 3 2 3" xfId="4109" xr:uid="{00000000-0005-0000-0000-000081730000}"/>
    <cellStyle name="60% - Accent5 2 3 2 3 2" xfId="19258" xr:uid="{00000000-0005-0000-0000-000082730000}"/>
    <cellStyle name="60% - Accent5 2 3 2 30" xfId="63017" xr:uid="{00000000-0005-0000-0000-000083730000}"/>
    <cellStyle name="60% - Accent5 2 3 2 4" xfId="5792" xr:uid="{00000000-0005-0000-0000-000084730000}"/>
    <cellStyle name="60% - Accent5 2 3 2 4 2" xfId="20941" xr:uid="{00000000-0005-0000-0000-000085730000}"/>
    <cellStyle name="60% - Accent5 2 3 2 5" xfId="7475" xr:uid="{00000000-0005-0000-0000-000086730000}"/>
    <cellStyle name="60% - Accent5 2 3 2 5 2" xfId="22624" xr:uid="{00000000-0005-0000-0000-000087730000}"/>
    <cellStyle name="60% - Accent5 2 3 2 6" xfId="9158" xr:uid="{00000000-0005-0000-0000-000088730000}"/>
    <cellStyle name="60% - Accent5 2 3 2 6 2" xfId="24307" xr:uid="{00000000-0005-0000-0000-000089730000}"/>
    <cellStyle name="60% - Accent5 2 3 2 7" xfId="10841" xr:uid="{00000000-0005-0000-0000-00008A730000}"/>
    <cellStyle name="60% - Accent5 2 3 2 7 2" xfId="25990" xr:uid="{00000000-0005-0000-0000-00008B730000}"/>
    <cellStyle name="60% - Accent5 2 3 2 8" xfId="12525" xr:uid="{00000000-0005-0000-0000-00008C730000}"/>
    <cellStyle name="60% - Accent5 2 3 2 8 2" xfId="27674" xr:uid="{00000000-0005-0000-0000-00008D730000}"/>
    <cellStyle name="60% - Accent5 2 3 2 9" xfId="14208" xr:uid="{00000000-0005-0000-0000-00008E730000}"/>
    <cellStyle name="60% - Accent5 2 3 2 9 2" xfId="29357" xr:uid="{00000000-0005-0000-0000-00008F730000}"/>
    <cellStyle name="60% - Accent5 2 3 20" xfId="40718" xr:uid="{00000000-0005-0000-0000-000090730000}"/>
    <cellStyle name="60% - Accent5 2 3 21" xfId="42401" xr:uid="{00000000-0005-0000-0000-000091730000}"/>
    <cellStyle name="60% - Accent5 2 3 22" xfId="44084" xr:uid="{00000000-0005-0000-0000-000092730000}"/>
    <cellStyle name="60% - Accent5 2 3 23" xfId="45767" xr:uid="{00000000-0005-0000-0000-000093730000}"/>
    <cellStyle name="60% - Accent5 2 3 24" xfId="47450" xr:uid="{00000000-0005-0000-0000-000094730000}"/>
    <cellStyle name="60% - Accent5 2 3 25" xfId="49133" xr:uid="{00000000-0005-0000-0000-000095730000}"/>
    <cellStyle name="60% - Accent5 2 3 26" xfId="50816" xr:uid="{00000000-0005-0000-0000-000096730000}"/>
    <cellStyle name="60% - Accent5 2 3 27" xfId="52499" xr:uid="{00000000-0005-0000-0000-000097730000}"/>
    <cellStyle name="60% - Accent5 2 3 28" xfId="54182" xr:uid="{00000000-0005-0000-0000-000098730000}"/>
    <cellStyle name="60% - Accent5 2 3 29" xfId="55865" xr:uid="{00000000-0005-0000-0000-000099730000}"/>
    <cellStyle name="60% - Accent5 2 3 3" xfId="1163" xr:uid="{00000000-0005-0000-0000-00009A730000}"/>
    <cellStyle name="60% - Accent5 2 3 3 10" xfId="16312" xr:uid="{00000000-0005-0000-0000-00009B730000}"/>
    <cellStyle name="60% - Accent5 2 3 3 11" xfId="31461" xr:uid="{00000000-0005-0000-0000-00009C730000}"/>
    <cellStyle name="60% - Accent5 2 3 3 12" xfId="33144" xr:uid="{00000000-0005-0000-0000-00009D730000}"/>
    <cellStyle name="60% - Accent5 2 3 3 13" xfId="34827" xr:uid="{00000000-0005-0000-0000-00009E730000}"/>
    <cellStyle name="60% - Accent5 2 3 3 14" xfId="36510" xr:uid="{00000000-0005-0000-0000-00009F730000}"/>
    <cellStyle name="60% - Accent5 2 3 3 15" xfId="38193" xr:uid="{00000000-0005-0000-0000-0000A0730000}"/>
    <cellStyle name="60% - Accent5 2 3 3 16" xfId="39876" xr:uid="{00000000-0005-0000-0000-0000A1730000}"/>
    <cellStyle name="60% - Accent5 2 3 3 17" xfId="41559" xr:uid="{00000000-0005-0000-0000-0000A2730000}"/>
    <cellStyle name="60% - Accent5 2 3 3 18" xfId="43242" xr:uid="{00000000-0005-0000-0000-0000A3730000}"/>
    <cellStyle name="60% - Accent5 2 3 3 19" xfId="44925" xr:uid="{00000000-0005-0000-0000-0000A4730000}"/>
    <cellStyle name="60% - Accent5 2 3 3 2" xfId="2846" xr:uid="{00000000-0005-0000-0000-0000A5730000}"/>
    <cellStyle name="60% - Accent5 2 3 3 2 2" xfId="17995" xr:uid="{00000000-0005-0000-0000-0000A6730000}"/>
    <cellStyle name="60% - Accent5 2 3 3 20" xfId="46608" xr:uid="{00000000-0005-0000-0000-0000A7730000}"/>
    <cellStyle name="60% - Accent5 2 3 3 21" xfId="48291" xr:uid="{00000000-0005-0000-0000-0000A8730000}"/>
    <cellStyle name="60% - Accent5 2 3 3 22" xfId="49974" xr:uid="{00000000-0005-0000-0000-0000A9730000}"/>
    <cellStyle name="60% - Accent5 2 3 3 23" xfId="51657" xr:uid="{00000000-0005-0000-0000-0000AA730000}"/>
    <cellStyle name="60% - Accent5 2 3 3 24" xfId="53340" xr:uid="{00000000-0005-0000-0000-0000AB730000}"/>
    <cellStyle name="60% - Accent5 2 3 3 25" xfId="55023" xr:uid="{00000000-0005-0000-0000-0000AC730000}"/>
    <cellStyle name="60% - Accent5 2 3 3 26" xfId="56706" xr:uid="{00000000-0005-0000-0000-0000AD730000}"/>
    <cellStyle name="60% - Accent5 2 3 3 27" xfId="58389" xr:uid="{00000000-0005-0000-0000-0000AE730000}"/>
    <cellStyle name="60% - Accent5 2 3 3 28" xfId="60072" xr:uid="{00000000-0005-0000-0000-0000AF730000}"/>
    <cellStyle name="60% - Accent5 2 3 3 29" xfId="61755" xr:uid="{00000000-0005-0000-0000-0000B0730000}"/>
    <cellStyle name="60% - Accent5 2 3 3 3" xfId="4530" xr:uid="{00000000-0005-0000-0000-0000B1730000}"/>
    <cellStyle name="60% - Accent5 2 3 3 3 2" xfId="19679" xr:uid="{00000000-0005-0000-0000-0000B2730000}"/>
    <cellStyle name="60% - Accent5 2 3 3 30" xfId="63438" xr:uid="{00000000-0005-0000-0000-0000B3730000}"/>
    <cellStyle name="60% - Accent5 2 3 3 4" xfId="6213" xr:uid="{00000000-0005-0000-0000-0000B4730000}"/>
    <cellStyle name="60% - Accent5 2 3 3 4 2" xfId="21362" xr:uid="{00000000-0005-0000-0000-0000B5730000}"/>
    <cellStyle name="60% - Accent5 2 3 3 5" xfId="7896" xr:uid="{00000000-0005-0000-0000-0000B6730000}"/>
    <cellStyle name="60% - Accent5 2 3 3 5 2" xfId="23045" xr:uid="{00000000-0005-0000-0000-0000B7730000}"/>
    <cellStyle name="60% - Accent5 2 3 3 6" xfId="9579" xr:uid="{00000000-0005-0000-0000-0000B8730000}"/>
    <cellStyle name="60% - Accent5 2 3 3 6 2" xfId="24728" xr:uid="{00000000-0005-0000-0000-0000B9730000}"/>
    <cellStyle name="60% - Accent5 2 3 3 7" xfId="11262" xr:uid="{00000000-0005-0000-0000-0000BA730000}"/>
    <cellStyle name="60% - Accent5 2 3 3 7 2" xfId="26411" xr:uid="{00000000-0005-0000-0000-0000BB730000}"/>
    <cellStyle name="60% - Accent5 2 3 3 8" xfId="12946" xr:uid="{00000000-0005-0000-0000-0000BC730000}"/>
    <cellStyle name="60% - Accent5 2 3 3 8 2" xfId="28095" xr:uid="{00000000-0005-0000-0000-0000BD730000}"/>
    <cellStyle name="60% - Accent5 2 3 3 9" xfId="14629" xr:uid="{00000000-0005-0000-0000-0000BE730000}"/>
    <cellStyle name="60% - Accent5 2 3 3 9 2" xfId="29778" xr:uid="{00000000-0005-0000-0000-0000BF730000}"/>
    <cellStyle name="60% - Accent5 2 3 30" xfId="57548" xr:uid="{00000000-0005-0000-0000-0000C0730000}"/>
    <cellStyle name="60% - Accent5 2 3 31" xfId="59231" xr:uid="{00000000-0005-0000-0000-0000C1730000}"/>
    <cellStyle name="60% - Accent5 2 3 32" xfId="60914" xr:uid="{00000000-0005-0000-0000-0000C2730000}"/>
    <cellStyle name="60% - Accent5 2 3 33" xfId="62597" xr:uid="{00000000-0005-0000-0000-0000C3730000}"/>
    <cellStyle name="60% - Accent5 2 3 4" xfId="1584" xr:uid="{00000000-0005-0000-0000-0000C4730000}"/>
    <cellStyle name="60% - Accent5 2 3 4 10" xfId="16733" xr:uid="{00000000-0005-0000-0000-0000C5730000}"/>
    <cellStyle name="60% - Accent5 2 3 4 11" xfId="31882" xr:uid="{00000000-0005-0000-0000-0000C6730000}"/>
    <cellStyle name="60% - Accent5 2 3 4 12" xfId="33565" xr:uid="{00000000-0005-0000-0000-0000C7730000}"/>
    <cellStyle name="60% - Accent5 2 3 4 13" xfId="35248" xr:uid="{00000000-0005-0000-0000-0000C8730000}"/>
    <cellStyle name="60% - Accent5 2 3 4 14" xfId="36931" xr:uid="{00000000-0005-0000-0000-0000C9730000}"/>
    <cellStyle name="60% - Accent5 2 3 4 15" xfId="38614" xr:uid="{00000000-0005-0000-0000-0000CA730000}"/>
    <cellStyle name="60% - Accent5 2 3 4 16" xfId="40297" xr:uid="{00000000-0005-0000-0000-0000CB730000}"/>
    <cellStyle name="60% - Accent5 2 3 4 17" xfId="41980" xr:uid="{00000000-0005-0000-0000-0000CC730000}"/>
    <cellStyle name="60% - Accent5 2 3 4 18" xfId="43663" xr:uid="{00000000-0005-0000-0000-0000CD730000}"/>
    <cellStyle name="60% - Accent5 2 3 4 19" xfId="45346" xr:uid="{00000000-0005-0000-0000-0000CE730000}"/>
    <cellStyle name="60% - Accent5 2 3 4 2" xfId="3267" xr:uid="{00000000-0005-0000-0000-0000CF730000}"/>
    <cellStyle name="60% - Accent5 2 3 4 2 2" xfId="18416" xr:uid="{00000000-0005-0000-0000-0000D0730000}"/>
    <cellStyle name="60% - Accent5 2 3 4 20" xfId="47029" xr:uid="{00000000-0005-0000-0000-0000D1730000}"/>
    <cellStyle name="60% - Accent5 2 3 4 21" xfId="48712" xr:uid="{00000000-0005-0000-0000-0000D2730000}"/>
    <cellStyle name="60% - Accent5 2 3 4 22" xfId="50395" xr:uid="{00000000-0005-0000-0000-0000D3730000}"/>
    <cellStyle name="60% - Accent5 2 3 4 23" xfId="52078" xr:uid="{00000000-0005-0000-0000-0000D4730000}"/>
    <cellStyle name="60% - Accent5 2 3 4 24" xfId="53761" xr:uid="{00000000-0005-0000-0000-0000D5730000}"/>
    <cellStyle name="60% - Accent5 2 3 4 25" xfId="55444" xr:uid="{00000000-0005-0000-0000-0000D6730000}"/>
    <cellStyle name="60% - Accent5 2 3 4 26" xfId="57127" xr:uid="{00000000-0005-0000-0000-0000D7730000}"/>
    <cellStyle name="60% - Accent5 2 3 4 27" xfId="58810" xr:uid="{00000000-0005-0000-0000-0000D8730000}"/>
    <cellStyle name="60% - Accent5 2 3 4 28" xfId="60493" xr:uid="{00000000-0005-0000-0000-0000D9730000}"/>
    <cellStyle name="60% - Accent5 2 3 4 29" xfId="62176" xr:uid="{00000000-0005-0000-0000-0000DA730000}"/>
    <cellStyle name="60% - Accent5 2 3 4 3" xfId="4951" xr:uid="{00000000-0005-0000-0000-0000DB730000}"/>
    <cellStyle name="60% - Accent5 2 3 4 3 2" xfId="20100" xr:uid="{00000000-0005-0000-0000-0000DC730000}"/>
    <cellStyle name="60% - Accent5 2 3 4 30" xfId="63859" xr:uid="{00000000-0005-0000-0000-0000DD730000}"/>
    <cellStyle name="60% - Accent5 2 3 4 4" xfId="6634" xr:uid="{00000000-0005-0000-0000-0000DE730000}"/>
    <cellStyle name="60% - Accent5 2 3 4 4 2" xfId="21783" xr:uid="{00000000-0005-0000-0000-0000DF730000}"/>
    <cellStyle name="60% - Accent5 2 3 4 5" xfId="8317" xr:uid="{00000000-0005-0000-0000-0000E0730000}"/>
    <cellStyle name="60% - Accent5 2 3 4 5 2" xfId="23466" xr:uid="{00000000-0005-0000-0000-0000E1730000}"/>
    <cellStyle name="60% - Accent5 2 3 4 6" xfId="10000" xr:uid="{00000000-0005-0000-0000-0000E2730000}"/>
    <cellStyle name="60% - Accent5 2 3 4 6 2" xfId="25149" xr:uid="{00000000-0005-0000-0000-0000E3730000}"/>
    <cellStyle name="60% - Accent5 2 3 4 7" xfId="11683" xr:uid="{00000000-0005-0000-0000-0000E4730000}"/>
    <cellStyle name="60% - Accent5 2 3 4 7 2" xfId="26832" xr:uid="{00000000-0005-0000-0000-0000E5730000}"/>
    <cellStyle name="60% - Accent5 2 3 4 8" xfId="13367" xr:uid="{00000000-0005-0000-0000-0000E6730000}"/>
    <cellStyle name="60% - Accent5 2 3 4 8 2" xfId="28516" xr:uid="{00000000-0005-0000-0000-0000E7730000}"/>
    <cellStyle name="60% - Accent5 2 3 4 9" xfId="15050" xr:uid="{00000000-0005-0000-0000-0000E8730000}"/>
    <cellStyle name="60% - Accent5 2 3 4 9 2" xfId="30199" xr:uid="{00000000-0005-0000-0000-0000E9730000}"/>
    <cellStyle name="60% - Accent5 2 3 5" xfId="2005" xr:uid="{00000000-0005-0000-0000-0000EA730000}"/>
    <cellStyle name="60% - Accent5 2 3 5 2" xfId="17154" xr:uid="{00000000-0005-0000-0000-0000EB730000}"/>
    <cellStyle name="60% - Accent5 2 3 6" xfId="3689" xr:uid="{00000000-0005-0000-0000-0000EC730000}"/>
    <cellStyle name="60% - Accent5 2 3 6 2" xfId="18838" xr:uid="{00000000-0005-0000-0000-0000ED730000}"/>
    <cellStyle name="60% - Accent5 2 3 7" xfId="5372" xr:uid="{00000000-0005-0000-0000-0000EE730000}"/>
    <cellStyle name="60% - Accent5 2 3 7 2" xfId="20521" xr:uid="{00000000-0005-0000-0000-0000EF730000}"/>
    <cellStyle name="60% - Accent5 2 3 8" xfId="7055" xr:uid="{00000000-0005-0000-0000-0000F0730000}"/>
    <cellStyle name="60% - Accent5 2 3 8 2" xfId="22204" xr:uid="{00000000-0005-0000-0000-0000F1730000}"/>
    <cellStyle name="60% - Accent5 2 3 9" xfId="8738" xr:uid="{00000000-0005-0000-0000-0000F2730000}"/>
    <cellStyle name="60% - Accent5 2 3 9 2" xfId="23887" xr:uid="{00000000-0005-0000-0000-0000F3730000}"/>
    <cellStyle name="60% - Accent5 2 30" xfId="53972" xr:uid="{00000000-0005-0000-0000-0000F4730000}"/>
    <cellStyle name="60% - Accent5 2 31" xfId="55655" xr:uid="{00000000-0005-0000-0000-0000F5730000}"/>
    <cellStyle name="60% - Accent5 2 32" xfId="57338" xr:uid="{00000000-0005-0000-0000-0000F6730000}"/>
    <cellStyle name="60% - Accent5 2 33" xfId="59021" xr:uid="{00000000-0005-0000-0000-0000F7730000}"/>
    <cellStyle name="60% - Accent5 2 34" xfId="60704" xr:uid="{00000000-0005-0000-0000-0000F8730000}"/>
    <cellStyle name="60% - Accent5 2 35" xfId="62387" xr:uid="{00000000-0005-0000-0000-0000F9730000}"/>
    <cellStyle name="60% - Accent5 2 4" xfId="532" xr:uid="{00000000-0005-0000-0000-0000FA730000}"/>
    <cellStyle name="60% - Accent5 2 4 10" xfId="15681" xr:uid="{00000000-0005-0000-0000-0000FB730000}"/>
    <cellStyle name="60% - Accent5 2 4 11" xfId="30830" xr:uid="{00000000-0005-0000-0000-0000FC730000}"/>
    <cellStyle name="60% - Accent5 2 4 12" xfId="32513" xr:uid="{00000000-0005-0000-0000-0000FD730000}"/>
    <cellStyle name="60% - Accent5 2 4 13" xfId="34196" xr:uid="{00000000-0005-0000-0000-0000FE730000}"/>
    <cellStyle name="60% - Accent5 2 4 14" xfId="35879" xr:uid="{00000000-0005-0000-0000-0000FF730000}"/>
    <cellStyle name="60% - Accent5 2 4 15" xfId="37562" xr:uid="{00000000-0005-0000-0000-000000740000}"/>
    <cellStyle name="60% - Accent5 2 4 16" xfId="39245" xr:uid="{00000000-0005-0000-0000-000001740000}"/>
    <cellStyle name="60% - Accent5 2 4 17" xfId="40928" xr:uid="{00000000-0005-0000-0000-000002740000}"/>
    <cellStyle name="60% - Accent5 2 4 18" xfId="42611" xr:uid="{00000000-0005-0000-0000-000003740000}"/>
    <cellStyle name="60% - Accent5 2 4 19" xfId="44294" xr:uid="{00000000-0005-0000-0000-000004740000}"/>
    <cellStyle name="60% - Accent5 2 4 2" xfId="2215" xr:uid="{00000000-0005-0000-0000-000005740000}"/>
    <cellStyle name="60% - Accent5 2 4 2 2" xfId="17364" xr:uid="{00000000-0005-0000-0000-000006740000}"/>
    <cellStyle name="60% - Accent5 2 4 20" xfId="45977" xr:uid="{00000000-0005-0000-0000-000007740000}"/>
    <cellStyle name="60% - Accent5 2 4 21" xfId="47660" xr:uid="{00000000-0005-0000-0000-000008740000}"/>
    <cellStyle name="60% - Accent5 2 4 22" xfId="49343" xr:uid="{00000000-0005-0000-0000-000009740000}"/>
    <cellStyle name="60% - Accent5 2 4 23" xfId="51026" xr:uid="{00000000-0005-0000-0000-00000A740000}"/>
    <cellStyle name="60% - Accent5 2 4 24" xfId="52709" xr:uid="{00000000-0005-0000-0000-00000B740000}"/>
    <cellStyle name="60% - Accent5 2 4 25" xfId="54392" xr:uid="{00000000-0005-0000-0000-00000C740000}"/>
    <cellStyle name="60% - Accent5 2 4 26" xfId="56075" xr:uid="{00000000-0005-0000-0000-00000D740000}"/>
    <cellStyle name="60% - Accent5 2 4 27" xfId="57758" xr:uid="{00000000-0005-0000-0000-00000E740000}"/>
    <cellStyle name="60% - Accent5 2 4 28" xfId="59441" xr:uid="{00000000-0005-0000-0000-00000F740000}"/>
    <cellStyle name="60% - Accent5 2 4 29" xfId="61124" xr:uid="{00000000-0005-0000-0000-000010740000}"/>
    <cellStyle name="60% - Accent5 2 4 3" xfId="3899" xr:uid="{00000000-0005-0000-0000-000011740000}"/>
    <cellStyle name="60% - Accent5 2 4 3 2" xfId="19048" xr:uid="{00000000-0005-0000-0000-000012740000}"/>
    <cellStyle name="60% - Accent5 2 4 30" xfId="62807" xr:uid="{00000000-0005-0000-0000-000013740000}"/>
    <cellStyle name="60% - Accent5 2 4 4" xfId="5582" xr:uid="{00000000-0005-0000-0000-000014740000}"/>
    <cellStyle name="60% - Accent5 2 4 4 2" xfId="20731" xr:uid="{00000000-0005-0000-0000-000015740000}"/>
    <cellStyle name="60% - Accent5 2 4 5" xfId="7265" xr:uid="{00000000-0005-0000-0000-000016740000}"/>
    <cellStyle name="60% - Accent5 2 4 5 2" xfId="22414" xr:uid="{00000000-0005-0000-0000-000017740000}"/>
    <cellStyle name="60% - Accent5 2 4 6" xfId="8948" xr:uid="{00000000-0005-0000-0000-000018740000}"/>
    <cellStyle name="60% - Accent5 2 4 6 2" xfId="24097" xr:uid="{00000000-0005-0000-0000-000019740000}"/>
    <cellStyle name="60% - Accent5 2 4 7" xfId="10631" xr:uid="{00000000-0005-0000-0000-00001A740000}"/>
    <cellStyle name="60% - Accent5 2 4 7 2" xfId="25780" xr:uid="{00000000-0005-0000-0000-00001B740000}"/>
    <cellStyle name="60% - Accent5 2 4 8" xfId="12315" xr:uid="{00000000-0005-0000-0000-00001C740000}"/>
    <cellStyle name="60% - Accent5 2 4 8 2" xfId="27464" xr:uid="{00000000-0005-0000-0000-00001D740000}"/>
    <cellStyle name="60% - Accent5 2 4 9" xfId="13998" xr:uid="{00000000-0005-0000-0000-00001E740000}"/>
    <cellStyle name="60% - Accent5 2 4 9 2" xfId="29147" xr:uid="{00000000-0005-0000-0000-00001F740000}"/>
    <cellStyle name="60% - Accent5 2 5" xfId="953" xr:uid="{00000000-0005-0000-0000-000020740000}"/>
    <cellStyle name="60% - Accent5 2 5 10" xfId="16102" xr:uid="{00000000-0005-0000-0000-000021740000}"/>
    <cellStyle name="60% - Accent5 2 5 11" xfId="31251" xr:uid="{00000000-0005-0000-0000-000022740000}"/>
    <cellStyle name="60% - Accent5 2 5 12" xfId="32934" xr:uid="{00000000-0005-0000-0000-000023740000}"/>
    <cellStyle name="60% - Accent5 2 5 13" xfId="34617" xr:uid="{00000000-0005-0000-0000-000024740000}"/>
    <cellStyle name="60% - Accent5 2 5 14" xfId="36300" xr:uid="{00000000-0005-0000-0000-000025740000}"/>
    <cellStyle name="60% - Accent5 2 5 15" xfId="37983" xr:uid="{00000000-0005-0000-0000-000026740000}"/>
    <cellStyle name="60% - Accent5 2 5 16" xfId="39666" xr:uid="{00000000-0005-0000-0000-000027740000}"/>
    <cellStyle name="60% - Accent5 2 5 17" xfId="41349" xr:uid="{00000000-0005-0000-0000-000028740000}"/>
    <cellStyle name="60% - Accent5 2 5 18" xfId="43032" xr:uid="{00000000-0005-0000-0000-000029740000}"/>
    <cellStyle name="60% - Accent5 2 5 19" xfId="44715" xr:uid="{00000000-0005-0000-0000-00002A740000}"/>
    <cellStyle name="60% - Accent5 2 5 2" xfId="2636" xr:uid="{00000000-0005-0000-0000-00002B740000}"/>
    <cellStyle name="60% - Accent5 2 5 2 2" xfId="17785" xr:uid="{00000000-0005-0000-0000-00002C740000}"/>
    <cellStyle name="60% - Accent5 2 5 20" xfId="46398" xr:uid="{00000000-0005-0000-0000-00002D740000}"/>
    <cellStyle name="60% - Accent5 2 5 21" xfId="48081" xr:uid="{00000000-0005-0000-0000-00002E740000}"/>
    <cellStyle name="60% - Accent5 2 5 22" xfId="49764" xr:uid="{00000000-0005-0000-0000-00002F740000}"/>
    <cellStyle name="60% - Accent5 2 5 23" xfId="51447" xr:uid="{00000000-0005-0000-0000-000030740000}"/>
    <cellStyle name="60% - Accent5 2 5 24" xfId="53130" xr:uid="{00000000-0005-0000-0000-000031740000}"/>
    <cellStyle name="60% - Accent5 2 5 25" xfId="54813" xr:uid="{00000000-0005-0000-0000-000032740000}"/>
    <cellStyle name="60% - Accent5 2 5 26" xfId="56496" xr:uid="{00000000-0005-0000-0000-000033740000}"/>
    <cellStyle name="60% - Accent5 2 5 27" xfId="58179" xr:uid="{00000000-0005-0000-0000-000034740000}"/>
    <cellStyle name="60% - Accent5 2 5 28" xfId="59862" xr:uid="{00000000-0005-0000-0000-000035740000}"/>
    <cellStyle name="60% - Accent5 2 5 29" xfId="61545" xr:uid="{00000000-0005-0000-0000-000036740000}"/>
    <cellStyle name="60% - Accent5 2 5 3" xfId="4320" xr:uid="{00000000-0005-0000-0000-000037740000}"/>
    <cellStyle name="60% - Accent5 2 5 3 2" xfId="19469" xr:uid="{00000000-0005-0000-0000-000038740000}"/>
    <cellStyle name="60% - Accent5 2 5 30" xfId="63228" xr:uid="{00000000-0005-0000-0000-000039740000}"/>
    <cellStyle name="60% - Accent5 2 5 4" xfId="6003" xr:uid="{00000000-0005-0000-0000-00003A740000}"/>
    <cellStyle name="60% - Accent5 2 5 4 2" xfId="21152" xr:uid="{00000000-0005-0000-0000-00003B740000}"/>
    <cellStyle name="60% - Accent5 2 5 5" xfId="7686" xr:uid="{00000000-0005-0000-0000-00003C740000}"/>
    <cellStyle name="60% - Accent5 2 5 5 2" xfId="22835" xr:uid="{00000000-0005-0000-0000-00003D740000}"/>
    <cellStyle name="60% - Accent5 2 5 6" xfId="9369" xr:uid="{00000000-0005-0000-0000-00003E740000}"/>
    <cellStyle name="60% - Accent5 2 5 6 2" xfId="24518" xr:uid="{00000000-0005-0000-0000-00003F740000}"/>
    <cellStyle name="60% - Accent5 2 5 7" xfId="11052" xr:uid="{00000000-0005-0000-0000-000040740000}"/>
    <cellStyle name="60% - Accent5 2 5 7 2" xfId="26201" xr:uid="{00000000-0005-0000-0000-000041740000}"/>
    <cellStyle name="60% - Accent5 2 5 8" xfId="12736" xr:uid="{00000000-0005-0000-0000-000042740000}"/>
    <cellStyle name="60% - Accent5 2 5 8 2" xfId="27885" xr:uid="{00000000-0005-0000-0000-000043740000}"/>
    <cellStyle name="60% - Accent5 2 5 9" xfId="14419" xr:uid="{00000000-0005-0000-0000-000044740000}"/>
    <cellStyle name="60% - Accent5 2 5 9 2" xfId="29568" xr:uid="{00000000-0005-0000-0000-000045740000}"/>
    <cellStyle name="60% - Accent5 2 6" xfId="1374" xr:uid="{00000000-0005-0000-0000-000046740000}"/>
    <cellStyle name="60% - Accent5 2 6 10" xfId="16523" xr:uid="{00000000-0005-0000-0000-000047740000}"/>
    <cellStyle name="60% - Accent5 2 6 11" xfId="31672" xr:uid="{00000000-0005-0000-0000-000048740000}"/>
    <cellStyle name="60% - Accent5 2 6 12" xfId="33355" xr:uid="{00000000-0005-0000-0000-000049740000}"/>
    <cellStyle name="60% - Accent5 2 6 13" xfId="35038" xr:uid="{00000000-0005-0000-0000-00004A740000}"/>
    <cellStyle name="60% - Accent5 2 6 14" xfId="36721" xr:uid="{00000000-0005-0000-0000-00004B740000}"/>
    <cellStyle name="60% - Accent5 2 6 15" xfId="38404" xr:uid="{00000000-0005-0000-0000-00004C740000}"/>
    <cellStyle name="60% - Accent5 2 6 16" xfId="40087" xr:uid="{00000000-0005-0000-0000-00004D740000}"/>
    <cellStyle name="60% - Accent5 2 6 17" xfId="41770" xr:uid="{00000000-0005-0000-0000-00004E740000}"/>
    <cellStyle name="60% - Accent5 2 6 18" xfId="43453" xr:uid="{00000000-0005-0000-0000-00004F740000}"/>
    <cellStyle name="60% - Accent5 2 6 19" xfId="45136" xr:uid="{00000000-0005-0000-0000-000050740000}"/>
    <cellStyle name="60% - Accent5 2 6 2" xfId="3057" xr:uid="{00000000-0005-0000-0000-000051740000}"/>
    <cellStyle name="60% - Accent5 2 6 2 2" xfId="18206" xr:uid="{00000000-0005-0000-0000-000052740000}"/>
    <cellStyle name="60% - Accent5 2 6 20" xfId="46819" xr:uid="{00000000-0005-0000-0000-000053740000}"/>
    <cellStyle name="60% - Accent5 2 6 21" xfId="48502" xr:uid="{00000000-0005-0000-0000-000054740000}"/>
    <cellStyle name="60% - Accent5 2 6 22" xfId="50185" xr:uid="{00000000-0005-0000-0000-000055740000}"/>
    <cellStyle name="60% - Accent5 2 6 23" xfId="51868" xr:uid="{00000000-0005-0000-0000-000056740000}"/>
    <cellStyle name="60% - Accent5 2 6 24" xfId="53551" xr:uid="{00000000-0005-0000-0000-000057740000}"/>
    <cellStyle name="60% - Accent5 2 6 25" xfId="55234" xr:uid="{00000000-0005-0000-0000-000058740000}"/>
    <cellStyle name="60% - Accent5 2 6 26" xfId="56917" xr:uid="{00000000-0005-0000-0000-000059740000}"/>
    <cellStyle name="60% - Accent5 2 6 27" xfId="58600" xr:uid="{00000000-0005-0000-0000-00005A740000}"/>
    <cellStyle name="60% - Accent5 2 6 28" xfId="60283" xr:uid="{00000000-0005-0000-0000-00005B740000}"/>
    <cellStyle name="60% - Accent5 2 6 29" xfId="61966" xr:uid="{00000000-0005-0000-0000-00005C740000}"/>
    <cellStyle name="60% - Accent5 2 6 3" xfId="4741" xr:uid="{00000000-0005-0000-0000-00005D740000}"/>
    <cellStyle name="60% - Accent5 2 6 3 2" xfId="19890" xr:uid="{00000000-0005-0000-0000-00005E740000}"/>
    <cellStyle name="60% - Accent5 2 6 30" xfId="63649" xr:uid="{00000000-0005-0000-0000-00005F740000}"/>
    <cellStyle name="60% - Accent5 2 6 4" xfId="6424" xr:uid="{00000000-0005-0000-0000-000060740000}"/>
    <cellStyle name="60% - Accent5 2 6 4 2" xfId="21573" xr:uid="{00000000-0005-0000-0000-000061740000}"/>
    <cellStyle name="60% - Accent5 2 6 5" xfId="8107" xr:uid="{00000000-0005-0000-0000-000062740000}"/>
    <cellStyle name="60% - Accent5 2 6 5 2" xfId="23256" xr:uid="{00000000-0005-0000-0000-000063740000}"/>
    <cellStyle name="60% - Accent5 2 6 6" xfId="9790" xr:uid="{00000000-0005-0000-0000-000064740000}"/>
    <cellStyle name="60% - Accent5 2 6 6 2" xfId="24939" xr:uid="{00000000-0005-0000-0000-000065740000}"/>
    <cellStyle name="60% - Accent5 2 6 7" xfId="11473" xr:uid="{00000000-0005-0000-0000-000066740000}"/>
    <cellStyle name="60% - Accent5 2 6 7 2" xfId="26622" xr:uid="{00000000-0005-0000-0000-000067740000}"/>
    <cellStyle name="60% - Accent5 2 6 8" xfId="13157" xr:uid="{00000000-0005-0000-0000-000068740000}"/>
    <cellStyle name="60% - Accent5 2 6 8 2" xfId="28306" xr:uid="{00000000-0005-0000-0000-000069740000}"/>
    <cellStyle name="60% - Accent5 2 6 9" xfId="14840" xr:uid="{00000000-0005-0000-0000-00006A740000}"/>
    <cellStyle name="60% - Accent5 2 6 9 2" xfId="29989" xr:uid="{00000000-0005-0000-0000-00006B740000}"/>
    <cellStyle name="60% - Accent5 2 7" xfId="1795" xr:uid="{00000000-0005-0000-0000-00006C740000}"/>
    <cellStyle name="60% - Accent5 2 7 2" xfId="16944" xr:uid="{00000000-0005-0000-0000-00006D740000}"/>
    <cellStyle name="60% - Accent5 2 8" xfId="3479" xr:uid="{00000000-0005-0000-0000-00006E740000}"/>
    <cellStyle name="60% - Accent5 2 8 2" xfId="18628" xr:uid="{00000000-0005-0000-0000-00006F740000}"/>
    <cellStyle name="60% - Accent5 2 9" xfId="5162" xr:uid="{00000000-0005-0000-0000-000070740000}"/>
    <cellStyle name="60% - Accent5 2 9 2" xfId="20311" xr:uid="{00000000-0005-0000-0000-000071740000}"/>
    <cellStyle name="60% - Accent5 20" xfId="33754" xr:uid="{00000000-0005-0000-0000-000072740000}"/>
    <cellStyle name="60% - Accent5 21" xfId="35437" xr:uid="{00000000-0005-0000-0000-000073740000}"/>
    <cellStyle name="60% - Accent5 22" xfId="37120" xr:uid="{00000000-0005-0000-0000-000074740000}"/>
    <cellStyle name="60% - Accent5 23" xfId="38803" xr:uid="{00000000-0005-0000-0000-000075740000}"/>
    <cellStyle name="60% - Accent5 24" xfId="40486" xr:uid="{00000000-0005-0000-0000-000076740000}"/>
    <cellStyle name="60% - Accent5 25" xfId="42169" xr:uid="{00000000-0005-0000-0000-000077740000}"/>
    <cellStyle name="60% - Accent5 26" xfId="43852" xr:uid="{00000000-0005-0000-0000-000078740000}"/>
    <cellStyle name="60% - Accent5 27" xfId="45535" xr:uid="{00000000-0005-0000-0000-000079740000}"/>
    <cellStyle name="60% - Accent5 28" xfId="47218" xr:uid="{00000000-0005-0000-0000-00007A740000}"/>
    <cellStyle name="60% - Accent5 29" xfId="48901" xr:uid="{00000000-0005-0000-0000-00007B740000}"/>
    <cellStyle name="60% - Accent5 3" xfId="132" xr:uid="{00000000-0005-0000-0000-00007C740000}"/>
    <cellStyle name="60% - Accent5 3 10" xfId="6865" xr:uid="{00000000-0005-0000-0000-00007D740000}"/>
    <cellStyle name="60% - Accent5 3 10 2" xfId="22014" xr:uid="{00000000-0005-0000-0000-00007E740000}"/>
    <cellStyle name="60% - Accent5 3 11" xfId="8548" xr:uid="{00000000-0005-0000-0000-00007F740000}"/>
    <cellStyle name="60% - Accent5 3 11 2" xfId="23697" xr:uid="{00000000-0005-0000-0000-000080740000}"/>
    <cellStyle name="60% - Accent5 3 12" xfId="10231" xr:uid="{00000000-0005-0000-0000-000081740000}"/>
    <cellStyle name="60% - Accent5 3 12 2" xfId="25380" xr:uid="{00000000-0005-0000-0000-000082740000}"/>
    <cellStyle name="60% - Accent5 3 13" xfId="11915" xr:uid="{00000000-0005-0000-0000-000083740000}"/>
    <cellStyle name="60% - Accent5 3 13 2" xfId="27064" xr:uid="{00000000-0005-0000-0000-000084740000}"/>
    <cellStyle name="60% - Accent5 3 14" xfId="13598" xr:uid="{00000000-0005-0000-0000-000085740000}"/>
    <cellStyle name="60% - Accent5 3 14 2" xfId="28747" xr:uid="{00000000-0005-0000-0000-000086740000}"/>
    <cellStyle name="60% - Accent5 3 15" xfId="15281" xr:uid="{00000000-0005-0000-0000-000087740000}"/>
    <cellStyle name="60% - Accent5 3 16" xfId="30430" xr:uid="{00000000-0005-0000-0000-000088740000}"/>
    <cellStyle name="60% - Accent5 3 17" xfId="32113" xr:uid="{00000000-0005-0000-0000-000089740000}"/>
    <cellStyle name="60% - Accent5 3 18" xfId="33796" xr:uid="{00000000-0005-0000-0000-00008A740000}"/>
    <cellStyle name="60% - Accent5 3 19" xfId="35479" xr:uid="{00000000-0005-0000-0000-00008B740000}"/>
    <cellStyle name="60% - Accent5 3 2" xfId="237" xr:uid="{00000000-0005-0000-0000-00008C740000}"/>
    <cellStyle name="60% - Accent5 3 2 10" xfId="8653" xr:uid="{00000000-0005-0000-0000-00008D740000}"/>
    <cellStyle name="60% - Accent5 3 2 10 2" xfId="23802" xr:uid="{00000000-0005-0000-0000-00008E740000}"/>
    <cellStyle name="60% - Accent5 3 2 11" xfId="10336" xr:uid="{00000000-0005-0000-0000-00008F740000}"/>
    <cellStyle name="60% - Accent5 3 2 11 2" xfId="25485" xr:uid="{00000000-0005-0000-0000-000090740000}"/>
    <cellStyle name="60% - Accent5 3 2 12" xfId="12020" xr:uid="{00000000-0005-0000-0000-000091740000}"/>
    <cellStyle name="60% - Accent5 3 2 12 2" xfId="27169" xr:uid="{00000000-0005-0000-0000-000092740000}"/>
    <cellStyle name="60% - Accent5 3 2 13" xfId="13703" xr:uid="{00000000-0005-0000-0000-000093740000}"/>
    <cellStyle name="60% - Accent5 3 2 13 2" xfId="28852" xr:uid="{00000000-0005-0000-0000-000094740000}"/>
    <cellStyle name="60% - Accent5 3 2 14" xfId="15386" xr:uid="{00000000-0005-0000-0000-000095740000}"/>
    <cellStyle name="60% - Accent5 3 2 15" xfId="30535" xr:uid="{00000000-0005-0000-0000-000096740000}"/>
    <cellStyle name="60% - Accent5 3 2 16" xfId="32218" xr:uid="{00000000-0005-0000-0000-000097740000}"/>
    <cellStyle name="60% - Accent5 3 2 17" xfId="33901" xr:uid="{00000000-0005-0000-0000-000098740000}"/>
    <cellStyle name="60% - Accent5 3 2 18" xfId="35584" xr:uid="{00000000-0005-0000-0000-000099740000}"/>
    <cellStyle name="60% - Accent5 3 2 19" xfId="37267" xr:uid="{00000000-0005-0000-0000-00009A740000}"/>
    <cellStyle name="60% - Accent5 3 2 2" xfId="447" xr:uid="{00000000-0005-0000-0000-00009B740000}"/>
    <cellStyle name="60% - Accent5 3 2 2 10" xfId="10546" xr:uid="{00000000-0005-0000-0000-00009C740000}"/>
    <cellStyle name="60% - Accent5 3 2 2 10 2" xfId="25695" xr:uid="{00000000-0005-0000-0000-00009D740000}"/>
    <cellStyle name="60% - Accent5 3 2 2 11" xfId="12230" xr:uid="{00000000-0005-0000-0000-00009E740000}"/>
    <cellStyle name="60% - Accent5 3 2 2 11 2" xfId="27379" xr:uid="{00000000-0005-0000-0000-00009F740000}"/>
    <cellStyle name="60% - Accent5 3 2 2 12" xfId="13913" xr:uid="{00000000-0005-0000-0000-0000A0740000}"/>
    <cellStyle name="60% - Accent5 3 2 2 12 2" xfId="29062" xr:uid="{00000000-0005-0000-0000-0000A1740000}"/>
    <cellStyle name="60% - Accent5 3 2 2 13" xfId="15596" xr:uid="{00000000-0005-0000-0000-0000A2740000}"/>
    <cellStyle name="60% - Accent5 3 2 2 14" xfId="30745" xr:uid="{00000000-0005-0000-0000-0000A3740000}"/>
    <cellStyle name="60% - Accent5 3 2 2 15" xfId="32428" xr:uid="{00000000-0005-0000-0000-0000A4740000}"/>
    <cellStyle name="60% - Accent5 3 2 2 16" xfId="34111" xr:uid="{00000000-0005-0000-0000-0000A5740000}"/>
    <cellStyle name="60% - Accent5 3 2 2 17" xfId="35794" xr:uid="{00000000-0005-0000-0000-0000A6740000}"/>
    <cellStyle name="60% - Accent5 3 2 2 18" xfId="37477" xr:uid="{00000000-0005-0000-0000-0000A7740000}"/>
    <cellStyle name="60% - Accent5 3 2 2 19" xfId="39160" xr:uid="{00000000-0005-0000-0000-0000A8740000}"/>
    <cellStyle name="60% - Accent5 3 2 2 2" xfId="867" xr:uid="{00000000-0005-0000-0000-0000A9740000}"/>
    <cellStyle name="60% - Accent5 3 2 2 2 10" xfId="16016" xr:uid="{00000000-0005-0000-0000-0000AA740000}"/>
    <cellStyle name="60% - Accent5 3 2 2 2 11" xfId="31165" xr:uid="{00000000-0005-0000-0000-0000AB740000}"/>
    <cellStyle name="60% - Accent5 3 2 2 2 12" xfId="32848" xr:uid="{00000000-0005-0000-0000-0000AC740000}"/>
    <cellStyle name="60% - Accent5 3 2 2 2 13" xfId="34531" xr:uid="{00000000-0005-0000-0000-0000AD740000}"/>
    <cellStyle name="60% - Accent5 3 2 2 2 14" xfId="36214" xr:uid="{00000000-0005-0000-0000-0000AE740000}"/>
    <cellStyle name="60% - Accent5 3 2 2 2 15" xfId="37897" xr:uid="{00000000-0005-0000-0000-0000AF740000}"/>
    <cellStyle name="60% - Accent5 3 2 2 2 16" xfId="39580" xr:uid="{00000000-0005-0000-0000-0000B0740000}"/>
    <cellStyle name="60% - Accent5 3 2 2 2 17" xfId="41263" xr:uid="{00000000-0005-0000-0000-0000B1740000}"/>
    <cellStyle name="60% - Accent5 3 2 2 2 18" xfId="42946" xr:uid="{00000000-0005-0000-0000-0000B2740000}"/>
    <cellStyle name="60% - Accent5 3 2 2 2 19" xfId="44629" xr:uid="{00000000-0005-0000-0000-0000B3740000}"/>
    <cellStyle name="60% - Accent5 3 2 2 2 2" xfId="2550" xr:uid="{00000000-0005-0000-0000-0000B4740000}"/>
    <cellStyle name="60% - Accent5 3 2 2 2 2 2" xfId="17699" xr:uid="{00000000-0005-0000-0000-0000B5740000}"/>
    <cellStyle name="60% - Accent5 3 2 2 2 20" xfId="46312" xr:uid="{00000000-0005-0000-0000-0000B6740000}"/>
    <cellStyle name="60% - Accent5 3 2 2 2 21" xfId="47995" xr:uid="{00000000-0005-0000-0000-0000B7740000}"/>
    <cellStyle name="60% - Accent5 3 2 2 2 22" xfId="49678" xr:uid="{00000000-0005-0000-0000-0000B8740000}"/>
    <cellStyle name="60% - Accent5 3 2 2 2 23" xfId="51361" xr:uid="{00000000-0005-0000-0000-0000B9740000}"/>
    <cellStyle name="60% - Accent5 3 2 2 2 24" xfId="53044" xr:uid="{00000000-0005-0000-0000-0000BA740000}"/>
    <cellStyle name="60% - Accent5 3 2 2 2 25" xfId="54727" xr:uid="{00000000-0005-0000-0000-0000BB740000}"/>
    <cellStyle name="60% - Accent5 3 2 2 2 26" xfId="56410" xr:uid="{00000000-0005-0000-0000-0000BC740000}"/>
    <cellStyle name="60% - Accent5 3 2 2 2 27" xfId="58093" xr:uid="{00000000-0005-0000-0000-0000BD740000}"/>
    <cellStyle name="60% - Accent5 3 2 2 2 28" xfId="59776" xr:uid="{00000000-0005-0000-0000-0000BE740000}"/>
    <cellStyle name="60% - Accent5 3 2 2 2 29" xfId="61459" xr:uid="{00000000-0005-0000-0000-0000BF740000}"/>
    <cellStyle name="60% - Accent5 3 2 2 2 3" xfId="4234" xr:uid="{00000000-0005-0000-0000-0000C0740000}"/>
    <cellStyle name="60% - Accent5 3 2 2 2 3 2" xfId="19383" xr:uid="{00000000-0005-0000-0000-0000C1740000}"/>
    <cellStyle name="60% - Accent5 3 2 2 2 30" xfId="63142" xr:uid="{00000000-0005-0000-0000-0000C2740000}"/>
    <cellStyle name="60% - Accent5 3 2 2 2 4" xfId="5917" xr:uid="{00000000-0005-0000-0000-0000C3740000}"/>
    <cellStyle name="60% - Accent5 3 2 2 2 4 2" xfId="21066" xr:uid="{00000000-0005-0000-0000-0000C4740000}"/>
    <cellStyle name="60% - Accent5 3 2 2 2 5" xfId="7600" xr:uid="{00000000-0005-0000-0000-0000C5740000}"/>
    <cellStyle name="60% - Accent5 3 2 2 2 5 2" xfId="22749" xr:uid="{00000000-0005-0000-0000-0000C6740000}"/>
    <cellStyle name="60% - Accent5 3 2 2 2 6" xfId="9283" xr:uid="{00000000-0005-0000-0000-0000C7740000}"/>
    <cellStyle name="60% - Accent5 3 2 2 2 6 2" xfId="24432" xr:uid="{00000000-0005-0000-0000-0000C8740000}"/>
    <cellStyle name="60% - Accent5 3 2 2 2 7" xfId="10966" xr:uid="{00000000-0005-0000-0000-0000C9740000}"/>
    <cellStyle name="60% - Accent5 3 2 2 2 7 2" xfId="26115" xr:uid="{00000000-0005-0000-0000-0000CA740000}"/>
    <cellStyle name="60% - Accent5 3 2 2 2 8" xfId="12650" xr:uid="{00000000-0005-0000-0000-0000CB740000}"/>
    <cellStyle name="60% - Accent5 3 2 2 2 8 2" xfId="27799" xr:uid="{00000000-0005-0000-0000-0000CC740000}"/>
    <cellStyle name="60% - Accent5 3 2 2 2 9" xfId="14333" xr:uid="{00000000-0005-0000-0000-0000CD740000}"/>
    <cellStyle name="60% - Accent5 3 2 2 2 9 2" xfId="29482" xr:uid="{00000000-0005-0000-0000-0000CE740000}"/>
    <cellStyle name="60% - Accent5 3 2 2 20" xfId="40843" xr:uid="{00000000-0005-0000-0000-0000CF740000}"/>
    <cellStyle name="60% - Accent5 3 2 2 21" xfId="42526" xr:uid="{00000000-0005-0000-0000-0000D0740000}"/>
    <cellStyle name="60% - Accent5 3 2 2 22" xfId="44209" xr:uid="{00000000-0005-0000-0000-0000D1740000}"/>
    <cellStyle name="60% - Accent5 3 2 2 23" xfId="45892" xr:uid="{00000000-0005-0000-0000-0000D2740000}"/>
    <cellStyle name="60% - Accent5 3 2 2 24" xfId="47575" xr:uid="{00000000-0005-0000-0000-0000D3740000}"/>
    <cellStyle name="60% - Accent5 3 2 2 25" xfId="49258" xr:uid="{00000000-0005-0000-0000-0000D4740000}"/>
    <cellStyle name="60% - Accent5 3 2 2 26" xfId="50941" xr:uid="{00000000-0005-0000-0000-0000D5740000}"/>
    <cellStyle name="60% - Accent5 3 2 2 27" xfId="52624" xr:uid="{00000000-0005-0000-0000-0000D6740000}"/>
    <cellStyle name="60% - Accent5 3 2 2 28" xfId="54307" xr:uid="{00000000-0005-0000-0000-0000D7740000}"/>
    <cellStyle name="60% - Accent5 3 2 2 29" xfId="55990" xr:uid="{00000000-0005-0000-0000-0000D8740000}"/>
    <cellStyle name="60% - Accent5 3 2 2 3" xfId="1288" xr:uid="{00000000-0005-0000-0000-0000D9740000}"/>
    <cellStyle name="60% - Accent5 3 2 2 3 10" xfId="16437" xr:uid="{00000000-0005-0000-0000-0000DA740000}"/>
    <cellStyle name="60% - Accent5 3 2 2 3 11" xfId="31586" xr:uid="{00000000-0005-0000-0000-0000DB740000}"/>
    <cellStyle name="60% - Accent5 3 2 2 3 12" xfId="33269" xr:uid="{00000000-0005-0000-0000-0000DC740000}"/>
    <cellStyle name="60% - Accent5 3 2 2 3 13" xfId="34952" xr:uid="{00000000-0005-0000-0000-0000DD740000}"/>
    <cellStyle name="60% - Accent5 3 2 2 3 14" xfId="36635" xr:uid="{00000000-0005-0000-0000-0000DE740000}"/>
    <cellStyle name="60% - Accent5 3 2 2 3 15" xfId="38318" xr:uid="{00000000-0005-0000-0000-0000DF740000}"/>
    <cellStyle name="60% - Accent5 3 2 2 3 16" xfId="40001" xr:uid="{00000000-0005-0000-0000-0000E0740000}"/>
    <cellStyle name="60% - Accent5 3 2 2 3 17" xfId="41684" xr:uid="{00000000-0005-0000-0000-0000E1740000}"/>
    <cellStyle name="60% - Accent5 3 2 2 3 18" xfId="43367" xr:uid="{00000000-0005-0000-0000-0000E2740000}"/>
    <cellStyle name="60% - Accent5 3 2 2 3 19" xfId="45050" xr:uid="{00000000-0005-0000-0000-0000E3740000}"/>
    <cellStyle name="60% - Accent5 3 2 2 3 2" xfId="2971" xr:uid="{00000000-0005-0000-0000-0000E4740000}"/>
    <cellStyle name="60% - Accent5 3 2 2 3 2 2" xfId="18120" xr:uid="{00000000-0005-0000-0000-0000E5740000}"/>
    <cellStyle name="60% - Accent5 3 2 2 3 20" xfId="46733" xr:uid="{00000000-0005-0000-0000-0000E6740000}"/>
    <cellStyle name="60% - Accent5 3 2 2 3 21" xfId="48416" xr:uid="{00000000-0005-0000-0000-0000E7740000}"/>
    <cellStyle name="60% - Accent5 3 2 2 3 22" xfId="50099" xr:uid="{00000000-0005-0000-0000-0000E8740000}"/>
    <cellStyle name="60% - Accent5 3 2 2 3 23" xfId="51782" xr:uid="{00000000-0005-0000-0000-0000E9740000}"/>
    <cellStyle name="60% - Accent5 3 2 2 3 24" xfId="53465" xr:uid="{00000000-0005-0000-0000-0000EA740000}"/>
    <cellStyle name="60% - Accent5 3 2 2 3 25" xfId="55148" xr:uid="{00000000-0005-0000-0000-0000EB740000}"/>
    <cellStyle name="60% - Accent5 3 2 2 3 26" xfId="56831" xr:uid="{00000000-0005-0000-0000-0000EC740000}"/>
    <cellStyle name="60% - Accent5 3 2 2 3 27" xfId="58514" xr:uid="{00000000-0005-0000-0000-0000ED740000}"/>
    <cellStyle name="60% - Accent5 3 2 2 3 28" xfId="60197" xr:uid="{00000000-0005-0000-0000-0000EE740000}"/>
    <cellStyle name="60% - Accent5 3 2 2 3 29" xfId="61880" xr:uid="{00000000-0005-0000-0000-0000EF740000}"/>
    <cellStyle name="60% - Accent5 3 2 2 3 3" xfId="4655" xr:uid="{00000000-0005-0000-0000-0000F0740000}"/>
    <cellStyle name="60% - Accent5 3 2 2 3 3 2" xfId="19804" xr:uid="{00000000-0005-0000-0000-0000F1740000}"/>
    <cellStyle name="60% - Accent5 3 2 2 3 30" xfId="63563" xr:uid="{00000000-0005-0000-0000-0000F2740000}"/>
    <cellStyle name="60% - Accent5 3 2 2 3 4" xfId="6338" xr:uid="{00000000-0005-0000-0000-0000F3740000}"/>
    <cellStyle name="60% - Accent5 3 2 2 3 4 2" xfId="21487" xr:uid="{00000000-0005-0000-0000-0000F4740000}"/>
    <cellStyle name="60% - Accent5 3 2 2 3 5" xfId="8021" xr:uid="{00000000-0005-0000-0000-0000F5740000}"/>
    <cellStyle name="60% - Accent5 3 2 2 3 5 2" xfId="23170" xr:uid="{00000000-0005-0000-0000-0000F6740000}"/>
    <cellStyle name="60% - Accent5 3 2 2 3 6" xfId="9704" xr:uid="{00000000-0005-0000-0000-0000F7740000}"/>
    <cellStyle name="60% - Accent5 3 2 2 3 6 2" xfId="24853" xr:uid="{00000000-0005-0000-0000-0000F8740000}"/>
    <cellStyle name="60% - Accent5 3 2 2 3 7" xfId="11387" xr:uid="{00000000-0005-0000-0000-0000F9740000}"/>
    <cellStyle name="60% - Accent5 3 2 2 3 7 2" xfId="26536" xr:uid="{00000000-0005-0000-0000-0000FA740000}"/>
    <cellStyle name="60% - Accent5 3 2 2 3 8" xfId="13071" xr:uid="{00000000-0005-0000-0000-0000FB740000}"/>
    <cellStyle name="60% - Accent5 3 2 2 3 8 2" xfId="28220" xr:uid="{00000000-0005-0000-0000-0000FC740000}"/>
    <cellStyle name="60% - Accent5 3 2 2 3 9" xfId="14754" xr:uid="{00000000-0005-0000-0000-0000FD740000}"/>
    <cellStyle name="60% - Accent5 3 2 2 3 9 2" xfId="29903" xr:uid="{00000000-0005-0000-0000-0000FE740000}"/>
    <cellStyle name="60% - Accent5 3 2 2 30" xfId="57673" xr:uid="{00000000-0005-0000-0000-0000FF740000}"/>
    <cellStyle name="60% - Accent5 3 2 2 31" xfId="59356" xr:uid="{00000000-0005-0000-0000-000000750000}"/>
    <cellStyle name="60% - Accent5 3 2 2 32" xfId="61039" xr:uid="{00000000-0005-0000-0000-000001750000}"/>
    <cellStyle name="60% - Accent5 3 2 2 33" xfId="62722" xr:uid="{00000000-0005-0000-0000-000002750000}"/>
    <cellStyle name="60% - Accent5 3 2 2 4" xfId="1709" xr:uid="{00000000-0005-0000-0000-000003750000}"/>
    <cellStyle name="60% - Accent5 3 2 2 4 10" xfId="16858" xr:uid="{00000000-0005-0000-0000-000004750000}"/>
    <cellStyle name="60% - Accent5 3 2 2 4 11" xfId="32007" xr:uid="{00000000-0005-0000-0000-000005750000}"/>
    <cellStyle name="60% - Accent5 3 2 2 4 12" xfId="33690" xr:uid="{00000000-0005-0000-0000-000006750000}"/>
    <cellStyle name="60% - Accent5 3 2 2 4 13" xfId="35373" xr:uid="{00000000-0005-0000-0000-000007750000}"/>
    <cellStyle name="60% - Accent5 3 2 2 4 14" xfId="37056" xr:uid="{00000000-0005-0000-0000-000008750000}"/>
    <cellStyle name="60% - Accent5 3 2 2 4 15" xfId="38739" xr:uid="{00000000-0005-0000-0000-000009750000}"/>
    <cellStyle name="60% - Accent5 3 2 2 4 16" xfId="40422" xr:uid="{00000000-0005-0000-0000-00000A750000}"/>
    <cellStyle name="60% - Accent5 3 2 2 4 17" xfId="42105" xr:uid="{00000000-0005-0000-0000-00000B750000}"/>
    <cellStyle name="60% - Accent5 3 2 2 4 18" xfId="43788" xr:uid="{00000000-0005-0000-0000-00000C750000}"/>
    <cellStyle name="60% - Accent5 3 2 2 4 19" xfId="45471" xr:uid="{00000000-0005-0000-0000-00000D750000}"/>
    <cellStyle name="60% - Accent5 3 2 2 4 2" xfId="3392" xr:uid="{00000000-0005-0000-0000-00000E750000}"/>
    <cellStyle name="60% - Accent5 3 2 2 4 2 2" xfId="18541" xr:uid="{00000000-0005-0000-0000-00000F750000}"/>
    <cellStyle name="60% - Accent5 3 2 2 4 20" xfId="47154" xr:uid="{00000000-0005-0000-0000-000010750000}"/>
    <cellStyle name="60% - Accent5 3 2 2 4 21" xfId="48837" xr:uid="{00000000-0005-0000-0000-000011750000}"/>
    <cellStyle name="60% - Accent5 3 2 2 4 22" xfId="50520" xr:uid="{00000000-0005-0000-0000-000012750000}"/>
    <cellStyle name="60% - Accent5 3 2 2 4 23" xfId="52203" xr:uid="{00000000-0005-0000-0000-000013750000}"/>
    <cellStyle name="60% - Accent5 3 2 2 4 24" xfId="53886" xr:uid="{00000000-0005-0000-0000-000014750000}"/>
    <cellStyle name="60% - Accent5 3 2 2 4 25" xfId="55569" xr:uid="{00000000-0005-0000-0000-000015750000}"/>
    <cellStyle name="60% - Accent5 3 2 2 4 26" xfId="57252" xr:uid="{00000000-0005-0000-0000-000016750000}"/>
    <cellStyle name="60% - Accent5 3 2 2 4 27" xfId="58935" xr:uid="{00000000-0005-0000-0000-000017750000}"/>
    <cellStyle name="60% - Accent5 3 2 2 4 28" xfId="60618" xr:uid="{00000000-0005-0000-0000-000018750000}"/>
    <cellStyle name="60% - Accent5 3 2 2 4 29" xfId="62301" xr:uid="{00000000-0005-0000-0000-000019750000}"/>
    <cellStyle name="60% - Accent5 3 2 2 4 3" xfId="5076" xr:uid="{00000000-0005-0000-0000-00001A750000}"/>
    <cellStyle name="60% - Accent5 3 2 2 4 3 2" xfId="20225" xr:uid="{00000000-0005-0000-0000-00001B750000}"/>
    <cellStyle name="60% - Accent5 3 2 2 4 30" xfId="63984" xr:uid="{00000000-0005-0000-0000-00001C750000}"/>
    <cellStyle name="60% - Accent5 3 2 2 4 4" xfId="6759" xr:uid="{00000000-0005-0000-0000-00001D750000}"/>
    <cellStyle name="60% - Accent5 3 2 2 4 4 2" xfId="21908" xr:uid="{00000000-0005-0000-0000-00001E750000}"/>
    <cellStyle name="60% - Accent5 3 2 2 4 5" xfId="8442" xr:uid="{00000000-0005-0000-0000-00001F750000}"/>
    <cellStyle name="60% - Accent5 3 2 2 4 5 2" xfId="23591" xr:uid="{00000000-0005-0000-0000-000020750000}"/>
    <cellStyle name="60% - Accent5 3 2 2 4 6" xfId="10125" xr:uid="{00000000-0005-0000-0000-000021750000}"/>
    <cellStyle name="60% - Accent5 3 2 2 4 6 2" xfId="25274" xr:uid="{00000000-0005-0000-0000-000022750000}"/>
    <cellStyle name="60% - Accent5 3 2 2 4 7" xfId="11808" xr:uid="{00000000-0005-0000-0000-000023750000}"/>
    <cellStyle name="60% - Accent5 3 2 2 4 7 2" xfId="26957" xr:uid="{00000000-0005-0000-0000-000024750000}"/>
    <cellStyle name="60% - Accent5 3 2 2 4 8" xfId="13492" xr:uid="{00000000-0005-0000-0000-000025750000}"/>
    <cellStyle name="60% - Accent5 3 2 2 4 8 2" xfId="28641" xr:uid="{00000000-0005-0000-0000-000026750000}"/>
    <cellStyle name="60% - Accent5 3 2 2 4 9" xfId="15175" xr:uid="{00000000-0005-0000-0000-000027750000}"/>
    <cellStyle name="60% - Accent5 3 2 2 4 9 2" xfId="30324" xr:uid="{00000000-0005-0000-0000-000028750000}"/>
    <cellStyle name="60% - Accent5 3 2 2 5" xfId="2130" xr:uid="{00000000-0005-0000-0000-000029750000}"/>
    <cellStyle name="60% - Accent5 3 2 2 5 2" xfId="17279" xr:uid="{00000000-0005-0000-0000-00002A750000}"/>
    <cellStyle name="60% - Accent5 3 2 2 6" xfId="3814" xr:uid="{00000000-0005-0000-0000-00002B750000}"/>
    <cellStyle name="60% - Accent5 3 2 2 6 2" xfId="18963" xr:uid="{00000000-0005-0000-0000-00002C750000}"/>
    <cellStyle name="60% - Accent5 3 2 2 7" xfId="5497" xr:uid="{00000000-0005-0000-0000-00002D750000}"/>
    <cellStyle name="60% - Accent5 3 2 2 7 2" xfId="20646" xr:uid="{00000000-0005-0000-0000-00002E750000}"/>
    <cellStyle name="60% - Accent5 3 2 2 8" xfId="7180" xr:uid="{00000000-0005-0000-0000-00002F750000}"/>
    <cellStyle name="60% - Accent5 3 2 2 8 2" xfId="22329" xr:uid="{00000000-0005-0000-0000-000030750000}"/>
    <cellStyle name="60% - Accent5 3 2 2 9" xfId="8863" xr:uid="{00000000-0005-0000-0000-000031750000}"/>
    <cellStyle name="60% - Accent5 3 2 2 9 2" xfId="24012" xr:uid="{00000000-0005-0000-0000-000032750000}"/>
    <cellStyle name="60% - Accent5 3 2 20" xfId="38950" xr:uid="{00000000-0005-0000-0000-000033750000}"/>
    <cellStyle name="60% - Accent5 3 2 21" xfId="40633" xr:uid="{00000000-0005-0000-0000-000034750000}"/>
    <cellStyle name="60% - Accent5 3 2 22" xfId="42316" xr:uid="{00000000-0005-0000-0000-000035750000}"/>
    <cellStyle name="60% - Accent5 3 2 23" xfId="43999" xr:uid="{00000000-0005-0000-0000-000036750000}"/>
    <cellStyle name="60% - Accent5 3 2 24" xfId="45682" xr:uid="{00000000-0005-0000-0000-000037750000}"/>
    <cellStyle name="60% - Accent5 3 2 25" xfId="47365" xr:uid="{00000000-0005-0000-0000-000038750000}"/>
    <cellStyle name="60% - Accent5 3 2 26" xfId="49048" xr:uid="{00000000-0005-0000-0000-000039750000}"/>
    <cellStyle name="60% - Accent5 3 2 27" xfId="50731" xr:uid="{00000000-0005-0000-0000-00003A750000}"/>
    <cellStyle name="60% - Accent5 3 2 28" xfId="52414" xr:uid="{00000000-0005-0000-0000-00003B750000}"/>
    <cellStyle name="60% - Accent5 3 2 29" xfId="54097" xr:uid="{00000000-0005-0000-0000-00003C750000}"/>
    <cellStyle name="60% - Accent5 3 2 3" xfId="657" xr:uid="{00000000-0005-0000-0000-00003D750000}"/>
    <cellStyle name="60% - Accent5 3 2 3 10" xfId="15806" xr:uid="{00000000-0005-0000-0000-00003E750000}"/>
    <cellStyle name="60% - Accent5 3 2 3 11" xfId="30955" xr:uid="{00000000-0005-0000-0000-00003F750000}"/>
    <cellStyle name="60% - Accent5 3 2 3 12" xfId="32638" xr:uid="{00000000-0005-0000-0000-000040750000}"/>
    <cellStyle name="60% - Accent5 3 2 3 13" xfId="34321" xr:uid="{00000000-0005-0000-0000-000041750000}"/>
    <cellStyle name="60% - Accent5 3 2 3 14" xfId="36004" xr:uid="{00000000-0005-0000-0000-000042750000}"/>
    <cellStyle name="60% - Accent5 3 2 3 15" xfId="37687" xr:uid="{00000000-0005-0000-0000-000043750000}"/>
    <cellStyle name="60% - Accent5 3 2 3 16" xfId="39370" xr:uid="{00000000-0005-0000-0000-000044750000}"/>
    <cellStyle name="60% - Accent5 3 2 3 17" xfId="41053" xr:uid="{00000000-0005-0000-0000-000045750000}"/>
    <cellStyle name="60% - Accent5 3 2 3 18" xfId="42736" xr:uid="{00000000-0005-0000-0000-000046750000}"/>
    <cellStyle name="60% - Accent5 3 2 3 19" xfId="44419" xr:uid="{00000000-0005-0000-0000-000047750000}"/>
    <cellStyle name="60% - Accent5 3 2 3 2" xfId="2340" xr:uid="{00000000-0005-0000-0000-000048750000}"/>
    <cellStyle name="60% - Accent5 3 2 3 2 2" xfId="17489" xr:uid="{00000000-0005-0000-0000-000049750000}"/>
    <cellStyle name="60% - Accent5 3 2 3 20" xfId="46102" xr:uid="{00000000-0005-0000-0000-00004A750000}"/>
    <cellStyle name="60% - Accent5 3 2 3 21" xfId="47785" xr:uid="{00000000-0005-0000-0000-00004B750000}"/>
    <cellStyle name="60% - Accent5 3 2 3 22" xfId="49468" xr:uid="{00000000-0005-0000-0000-00004C750000}"/>
    <cellStyle name="60% - Accent5 3 2 3 23" xfId="51151" xr:uid="{00000000-0005-0000-0000-00004D750000}"/>
    <cellStyle name="60% - Accent5 3 2 3 24" xfId="52834" xr:uid="{00000000-0005-0000-0000-00004E750000}"/>
    <cellStyle name="60% - Accent5 3 2 3 25" xfId="54517" xr:uid="{00000000-0005-0000-0000-00004F750000}"/>
    <cellStyle name="60% - Accent5 3 2 3 26" xfId="56200" xr:uid="{00000000-0005-0000-0000-000050750000}"/>
    <cellStyle name="60% - Accent5 3 2 3 27" xfId="57883" xr:uid="{00000000-0005-0000-0000-000051750000}"/>
    <cellStyle name="60% - Accent5 3 2 3 28" xfId="59566" xr:uid="{00000000-0005-0000-0000-000052750000}"/>
    <cellStyle name="60% - Accent5 3 2 3 29" xfId="61249" xr:uid="{00000000-0005-0000-0000-000053750000}"/>
    <cellStyle name="60% - Accent5 3 2 3 3" xfId="4024" xr:uid="{00000000-0005-0000-0000-000054750000}"/>
    <cellStyle name="60% - Accent5 3 2 3 3 2" xfId="19173" xr:uid="{00000000-0005-0000-0000-000055750000}"/>
    <cellStyle name="60% - Accent5 3 2 3 30" xfId="62932" xr:uid="{00000000-0005-0000-0000-000056750000}"/>
    <cellStyle name="60% - Accent5 3 2 3 4" xfId="5707" xr:uid="{00000000-0005-0000-0000-000057750000}"/>
    <cellStyle name="60% - Accent5 3 2 3 4 2" xfId="20856" xr:uid="{00000000-0005-0000-0000-000058750000}"/>
    <cellStyle name="60% - Accent5 3 2 3 5" xfId="7390" xr:uid="{00000000-0005-0000-0000-000059750000}"/>
    <cellStyle name="60% - Accent5 3 2 3 5 2" xfId="22539" xr:uid="{00000000-0005-0000-0000-00005A750000}"/>
    <cellStyle name="60% - Accent5 3 2 3 6" xfId="9073" xr:uid="{00000000-0005-0000-0000-00005B750000}"/>
    <cellStyle name="60% - Accent5 3 2 3 6 2" xfId="24222" xr:uid="{00000000-0005-0000-0000-00005C750000}"/>
    <cellStyle name="60% - Accent5 3 2 3 7" xfId="10756" xr:uid="{00000000-0005-0000-0000-00005D750000}"/>
    <cellStyle name="60% - Accent5 3 2 3 7 2" xfId="25905" xr:uid="{00000000-0005-0000-0000-00005E750000}"/>
    <cellStyle name="60% - Accent5 3 2 3 8" xfId="12440" xr:uid="{00000000-0005-0000-0000-00005F750000}"/>
    <cellStyle name="60% - Accent5 3 2 3 8 2" xfId="27589" xr:uid="{00000000-0005-0000-0000-000060750000}"/>
    <cellStyle name="60% - Accent5 3 2 3 9" xfId="14123" xr:uid="{00000000-0005-0000-0000-000061750000}"/>
    <cellStyle name="60% - Accent5 3 2 3 9 2" xfId="29272" xr:uid="{00000000-0005-0000-0000-000062750000}"/>
    <cellStyle name="60% - Accent5 3 2 30" xfId="55780" xr:uid="{00000000-0005-0000-0000-000063750000}"/>
    <cellStyle name="60% - Accent5 3 2 31" xfId="57463" xr:uid="{00000000-0005-0000-0000-000064750000}"/>
    <cellStyle name="60% - Accent5 3 2 32" xfId="59146" xr:uid="{00000000-0005-0000-0000-000065750000}"/>
    <cellStyle name="60% - Accent5 3 2 33" xfId="60829" xr:uid="{00000000-0005-0000-0000-000066750000}"/>
    <cellStyle name="60% - Accent5 3 2 34" xfId="62512" xr:uid="{00000000-0005-0000-0000-000067750000}"/>
    <cellStyle name="60% - Accent5 3 2 4" xfId="1078" xr:uid="{00000000-0005-0000-0000-000068750000}"/>
    <cellStyle name="60% - Accent5 3 2 4 10" xfId="16227" xr:uid="{00000000-0005-0000-0000-000069750000}"/>
    <cellStyle name="60% - Accent5 3 2 4 11" xfId="31376" xr:uid="{00000000-0005-0000-0000-00006A750000}"/>
    <cellStyle name="60% - Accent5 3 2 4 12" xfId="33059" xr:uid="{00000000-0005-0000-0000-00006B750000}"/>
    <cellStyle name="60% - Accent5 3 2 4 13" xfId="34742" xr:uid="{00000000-0005-0000-0000-00006C750000}"/>
    <cellStyle name="60% - Accent5 3 2 4 14" xfId="36425" xr:uid="{00000000-0005-0000-0000-00006D750000}"/>
    <cellStyle name="60% - Accent5 3 2 4 15" xfId="38108" xr:uid="{00000000-0005-0000-0000-00006E750000}"/>
    <cellStyle name="60% - Accent5 3 2 4 16" xfId="39791" xr:uid="{00000000-0005-0000-0000-00006F750000}"/>
    <cellStyle name="60% - Accent5 3 2 4 17" xfId="41474" xr:uid="{00000000-0005-0000-0000-000070750000}"/>
    <cellStyle name="60% - Accent5 3 2 4 18" xfId="43157" xr:uid="{00000000-0005-0000-0000-000071750000}"/>
    <cellStyle name="60% - Accent5 3 2 4 19" xfId="44840" xr:uid="{00000000-0005-0000-0000-000072750000}"/>
    <cellStyle name="60% - Accent5 3 2 4 2" xfId="2761" xr:uid="{00000000-0005-0000-0000-000073750000}"/>
    <cellStyle name="60% - Accent5 3 2 4 2 2" xfId="17910" xr:uid="{00000000-0005-0000-0000-000074750000}"/>
    <cellStyle name="60% - Accent5 3 2 4 20" xfId="46523" xr:uid="{00000000-0005-0000-0000-000075750000}"/>
    <cellStyle name="60% - Accent5 3 2 4 21" xfId="48206" xr:uid="{00000000-0005-0000-0000-000076750000}"/>
    <cellStyle name="60% - Accent5 3 2 4 22" xfId="49889" xr:uid="{00000000-0005-0000-0000-000077750000}"/>
    <cellStyle name="60% - Accent5 3 2 4 23" xfId="51572" xr:uid="{00000000-0005-0000-0000-000078750000}"/>
    <cellStyle name="60% - Accent5 3 2 4 24" xfId="53255" xr:uid="{00000000-0005-0000-0000-000079750000}"/>
    <cellStyle name="60% - Accent5 3 2 4 25" xfId="54938" xr:uid="{00000000-0005-0000-0000-00007A750000}"/>
    <cellStyle name="60% - Accent5 3 2 4 26" xfId="56621" xr:uid="{00000000-0005-0000-0000-00007B750000}"/>
    <cellStyle name="60% - Accent5 3 2 4 27" xfId="58304" xr:uid="{00000000-0005-0000-0000-00007C750000}"/>
    <cellStyle name="60% - Accent5 3 2 4 28" xfId="59987" xr:uid="{00000000-0005-0000-0000-00007D750000}"/>
    <cellStyle name="60% - Accent5 3 2 4 29" xfId="61670" xr:uid="{00000000-0005-0000-0000-00007E750000}"/>
    <cellStyle name="60% - Accent5 3 2 4 3" xfId="4445" xr:uid="{00000000-0005-0000-0000-00007F750000}"/>
    <cellStyle name="60% - Accent5 3 2 4 3 2" xfId="19594" xr:uid="{00000000-0005-0000-0000-000080750000}"/>
    <cellStyle name="60% - Accent5 3 2 4 30" xfId="63353" xr:uid="{00000000-0005-0000-0000-000081750000}"/>
    <cellStyle name="60% - Accent5 3 2 4 4" xfId="6128" xr:uid="{00000000-0005-0000-0000-000082750000}"/>
    <cellStyle name="60% - Accent5 3 2 4 4 2" xfId="21277" xr:uid="{00000000-0005-0000-0000-000083750000}"/>
    <cellStyle name="60% - Accent5 3 2 4 5" xfId="7811" xr:uid="{00000000-0005-0000-0000-000084750000}"/>
    <cellStyle name="60% - Accent5 3 2 4 5 2" xfId="22960" xr:uid="{00000000-0005-0000-0000-000085750000}"/>
    <cellStyle name="60% - Accent5 3 2 4 6" xfId="9494" xr:uid="{00000000-0005-0000-0000-000086750000}"/>
    <cellStyle name="60% - Accent5 3 2 4 6 2" xfId="24643" xr:uid="{00000000-0005-0000-0000-000087750000}"/>
    <cellStyle name="60% - Accent5 3 2 4 7" xfId="11177" xr:uid="{00000000-0005-0000-0000-000088750000}"/>
    <cellStyle name="60% - Accent5 3 2 4 7 2" xfId="26326" xr:uid="{00000000-0005-0000-0000-000089750000}"/>
    <cellStyle name="60% - Accent5 3 2 4 8" xfId="12861" xr:uid="{00000000-0005-0000-0000-00008A750000}"/>
    <cellStyle name="60% - Accent5 3 2 4 8 2" xfId="28010" xr:uid="{00000000-0005-0000-0000-00008B750000}"/>
    <cellStyle name="60% - Accent5 3 2 4 9" xfId="14544" xr:uid="{00000000-0005-0000-0000-00008C750000}"/>
    <cellStyle name="60% - Accent5 3 2 4 9 2" xfId="29693" xr:uid="{00000000-0005-0000-0000-00008D750000}"/>
    <cellStyle name="60% - Accent5 3 2 5" xfId="1499" xr:uid="{00000000-0005-0000-0000-00008E750000}"/>
    <cellStyle name="60% - Accent5 3 2 5 10" xfId="16648" xr:uid="{00000000-0005-0000-0000-00008F750000}"/>
    <cellStyle name="60% - Accent5 3 2 5 11" xfId="31797" xr:uid="{00000000-0005-0000-0000-000090750000}"/>
    <cellStyle name="60% - Accent5 3 2 5 12" xfId="33480" xr:uid="{00000000-0005-0000-0000-000091750000}"/>
    <cellStyle name="60% - Accent5 3 2 5 13" xfId="35163" xr:uid="{00000000-0005-0000-0000-000092750000}"/>
    <cellStyle name="60% - Accent5 3 2 5 14" xfId="36846" xr:uid="{00000000-0005-0000-0000-000093750000}"/>
    <cellStyle name="60% - Accent5 3 2 5 15" xfId="38529" xr:uid="{00000000-0005-0000-0000-000094750000}"/>
    <cellStyle name="60% - Accent5 3 2 5 16" xfId="40212" xr:uid="{00000000-0005-0000-0000-000095750000}"/>
    <cellStyle name="60% - Accent5 3 2 5 17" xfId="41895" xr:uid="{00000000-0005-0000-0000-000096750000}"/>
    <cellStyle name="60% - Accent5 3 2 5 18" xfId="43578" xr:uid="{00000000-0005-0000-0000-000097750000}"/>
    <cellStyle name="60% - Accent5 3 2 5 19" xfId="45261" xr:uid="{00000000-0005-0000-0000-000098750000}"/>
    <cellStyle name="60% - Accent5 3 2 5 2" xfId="3182" xr:uid="{00000000-0005-0000-0000-000099750000}"/>
    <cellStyle name="60% - Accent5 3 2 5 2 2" xfId="18331" xr:uid="{00000000-0005-0000-0000-00009A750000}"/>
    <cellStyle name="60% - Accent5 3 2 5 20" xfId="46944" xr:uid="{00000000-0005-0000-0000-00009B750000}"/>
    <cellStyle name="60% - Accent5 3 2 5 21" xfId="48627" xr:uid="{00000000-0005-0000-0000-00009C750000}"/>
    <cellStyle name="60% - Accent5 3 2 5 22" xfId="50310" xr:uid="{00000000-0005-0000-0000-00009D750000}"/>
    <cellStyle name="60% - Accent5 3 2 5 23" xfId="51993" xr:uid="{00000000-0005-0000-0000-00009E750000}"/>
    <cellStyle name="60% - Accent5 3 2 5 24" xfId="53676" xr:uid="{00000000-0005-0000-0000-00009F750000}"/>
    <cellStyle name="60% - Accent5 3 2 5 25" xfId="55359" xr:uid="{00000000-0005-0000-0000-0000A0750000}"/>
    <cellStyle name="60% - Accent5 3 2 5 26" xfId="57042" xr:uid="{00000000-0005-0000-0000-0000A1750000}"/>
    <cellStyle name="60% - Accent5 3 2 5 27" xfId="58725" xr:uid="{00000000-0005-0000-0000-0000A2750000}"/>
    <cellStyle name="60% - Accent5 3 2 5 28" xfId="60408" xr:uid="{00000000-0005-0000-0000-0000A3750000}"/>
    <cellStyle name="60% - Accent5 3 2 5 29" xfId="62091" xr:uid="{00000000-0005-0000-0000-0000A4750000}"/>
    <cellStyle name="60% - Accent5 3 2 5 3" xfId="4866" xr:uid="{00000000-0005-0000-0000-0000A5750000}"/>
    <cellStyle name="60% - Accent5 3 2 5 3 2" xfId="20015" xr:uid="{00000000-0005-0000-0000-0000A6750000}"/>
    <cellStyle name="60% - Accent5 3 2 5 30" xfId="63774" xr:uid="{00000000-0005-0000-0000-0000A7750000}"/>
    <cellStyle name="60% - Accent5 3 2 5 4" xfId="6549" xr:uid="{00000000-0005-0000-0000-0000A8750000}"/>
    <cellStyle name="60% - Accent5 3 2 5 4 2" xfId="21698" xr:uid="{00000000-0005-0000-0000-0000A9750000}"/>
    <cellStyle name="60% - Accent5 3 2 5 5" xfId="8232" xr:uid="{00000000-0005-0000-0000-0000AA750000}"/>
    <cellStyle name="60% - Accent5 3 2 5 5 2" xfId="23381" xr:uid="{00000000-0005-0000-0000-0000AB750000}"/>
    <cellStyle name="60% - Accent5 3 2 5 6" xfId="9915" xr:uid="{00000000-0005-0000-0000-0000AC750000}"/>
    <cellStyle name="60% - Accent5 3 2 5 6 2" xfId="25064" xr:uid="{00000000-0005-0000-0000-0000AD750000}"/>
    <cellStyle name="60% - Accent5 3 2 5 7" xfId="11598" xr:uid="{00000000-0005-0000-0000-0000AE750000}"/>
    <cellStyle name="60% - Accent5 3 2 5 7 2" xfId="26747" xr:uid="{00000000-0005-0000-0000-0000AF750000}"/>
    <cellStyle name="60% - Accent5 3 2 5 8" xfId="13282" xr:uid="{00000000-0005-0000-0000-0000B0750000}"/>
    <cellStyle name="60% - Accent5 3 2 5 8 2" xfId="28431" xr:uid="{00000000-0005-0000-0000-0000B1750000}"/>
    <cellStyle name="60% - Accent5 3 2 5 9" xfId="14965" xr:uid="{00000000-0005-0000-0000-0000B2750000}"/>
    <cellStyle name="60% - Accent5 3 2 5 9 2" xfId="30114" xr:uid="{00000000-0005-0000-0000-0000B3750000}"/>
    <cellStyle name="60% - Accent5 3 2 6" xfId="1920" xr:uid="{00000000-0005-0000-0000-0000B4750000}"/>
    <cellStyle name="60% - Accent5 3 2 6 2" xfId="17069" xr:uid="{00000000-0005-0000-0000-0000B5750000}"/>
    <cellStyle name="60% - Accent5 3 2 7" xfId="3604" xr:uid="{00000000-0005-0000-0000-0000B6750000}"/>
    <cellStyle name="60% - Accent5 3 2 7 2" xfId="18753" xr:uid="{00000000-0005-0000-0000-0000B7750000}"/>
    <cellStyle name="60% - Accent5 3 2 8" xfId="5287" xr:uid="{00000000-0005-0000-0000-0000B8750000}"/>
    <cellStyle name="60% - Accent5 3 2 8 2" xfId="20436" xr:uid="{00000000-0005-0000-0000-0000B9750000}"/>
    <cellStyle name="60% - Accent5 3 2 9" xfId="6970" xr:uid="{00000000-0005-0000-0000-0000BA750000}"/>
    <cellStyle name="60% - Accent5 3 2 9 2" xfId="22119" xr:uid="{00000000-0005-0000-0000-0000BB750000}"/>
    <cellStyle name="60% - Accent5 3 20" xfId="37162" xr:uid="{00000000-0005-0000-0000-0000BC750000}"/>
    <cellStyle name="60% - Accent5 3 21" xfId="38845" xr:uid="{00000000-0005-0000-0000-0000BD750000}"/>
    <cellStyle name="60% - Accent5 3 22" xfId="40528" xr:uid="{00000000-0005-0000-0000-0000BE750000}"/>
    <cellStyle name="60% - Accent5 3 23" xfId="42211" xr:uid="{00000000-0005-0000-0000-0000BF750000}"/>
    <cellStyle name="60% - Accent5 3 24" xfId="43894" xr:uid="{00000000-0005-0000-0000-0000C0750000}"/>
    <cellStyle name="60% - Accent5 3 25" xfId="45577" xr:uid="{00000000-0005-0000-0000-0000C1750000}"/>
    <cellStyle name="60% - Accent5 3 26" xfId="47260" xr:uid="{00000000-0005-0000-0000-0000C2750000}"/>
    <cellStyle name="60% - Accent5 3 27" xfId="48943" xr:uid="{00000000-0005-0000-0000-0000C3750000}"/>
    <cellStyle name="60% - Accent5 3 28" xfId="50626" xr:uid="{00000000-0005-0000-0000-0000C4750000}"/>
    <cellStyle name="60% - Accent5 3 29" xfId="52309" xr:uid="{00000000-0005-0000-0000-0000C5750000}"/>
    <cellStyle name="60% - Accent5 3 3" xfId="342" xr:uid="{00000000-0005-0000-0000-0000C6750000}"/>
    <cellStyle name="60% - Accent5 3 3 10" xfId="10441" xr:uid="{00000000-0005-0000-0000-0000C7750000}"/>
    <cellStyle name="60% - Accent5 3 3 10 2" xfId="25590" xr:uid="{00000000-0005-0000-0000-0000C8750000}"/>
    <cellStyle name="60% - Accent5 3 3 11" xfId="12125" xr:uid="{00000000-0005-0000-0000-0000C9750000}"/>
    <cellStyle name="60% - Accent5 3 3 11 2" xfId="27274" xr:uid="{00000000-0005-0000-0000-0000CA750000}"/>
    <cellStyle name="60% - Accent5 3 3 12" xfId="13808" xr:uid="{00000000-0005-0000-0000-0000CB750000}"/>
    <cellStyle name="60% - Accent5 3 3 12 2" xfId="28957" xr:uid="{00000000-0005-0000-0000-0000CC750000}"/>
    <cellStyle name="60% - Accent5 3 3 13" xfId="15491" xr:uid="{00000000-0005-0000-0000-0000CD750000}"/>
    <cellStyle name="60% - Accent5 3 3 14" xfId="30640" xr:uid="{00000000-0005-0000-0000-0000CE750000}"/>
    <cellStyle name="60% - Accent5 3 3 15" xfId="32323" xr:uid="{00000000-0005-0000-0000-0000CF750000}"/>
    <cellStyle name="60% - Accent5 3 3 16" xfId="34006" xr:uid="{00000000-0005-0000-0000-0000D0750000}"/>
    <cellStyle name="60% - Accent5 3 3 17" xfId="35689" xr:uid="{00000000-0005-0000-0000-0000D1750000}"/>
    <cellStyle name="60% - Accent5 3 3 18" xfId="37372" xr:uid="{00000000-0005-0000-0000-0000D2750000}"/>
    <cellStyle name="60% - Accent5 3 3 19" xfId="39055" xr:uid="{00000000-0005-0000-0000-0000D3750000}"/>
    <cellStyle name="60% - Accent5 3 3 2" xfId="762" xr:uid="{00000000-0005-0000-0000-0000D4750000}"/>
    <cellStyle name="60% - Accent5 3 3 2 10" xfId="15911" xr:uid="{00000000-0005-0000-0000-0000D5750000}"/>
    <cellStyle name="60% - Accent5 3 3 2 11" xfId="31060" xr:uid="{00000000-0005-0000-0000-0000D6750000}"/>
    <cellStyle name="60% - Accent5 3 3 2 12" xfId="32743" xr:uid="{00000000-0005-0000-0000-0000D7750000}"/>
    <cellStyle name="60% - Accent5 3 3 2 13" xfId="34426" xr:uid="{00000000-0005-0000-0000-0000D8750000}"/>
    <cellStyle name="60% - Accent5 3 3 2 14" xfId="36109" xr:uid="{00000000-0005-0000-0000-0000D9750000}"/>
    <cellStyle name="60% - Accent5 3 3 2 15" xfId="37792" xr:uid="{00000000-0005-0000-0000-0000DA750000}"/>
    <cellStyle name="60% - Accent5 3 3 2 16" xfId="39475" xr:uid="{00000000-0005-0000-0000-0000DB750000}"/>
    <cellStyle name="60% - Accent5 3 3 2 17" xfId="41158" xr:uid="{00000000-0005-0000-0000-0000DC750000}"/>
    <cellStyle name="60% - Accent5 3 3 2 18" xfId="42841" xr:uid="{00000000-0005-0000-0000-0000DD750000}"/>
    <cellStyle name="60% - Accent5 3 3 2 19" xfId="44524" xr:uid="{00000000-0005-0000-0000-0000DE750000}"/>
    <cellStyle name="60% - Accent5 3 3 2 2" xfId="2445" xr:uid="{00000000-0005-0000-0000-0000DF750000}"/>
    <cellStyle name="60% - Accent5 3 3 2 2 2" xfId="17594" xr:uid="{00000000-0005-0000-0000-0000E0750000}"/>
    <cellStyle name="60% - Accent5 3 3 2 20" xfId="46207" xr:uid="{00000000-0005-0000-0000-0000E1750000}"/>
    <cellStyle name="60% - Accent5 3 3 2 21" xfId="47890" xr:uid="{00000000-0005-0000-0000-0000E2750000}"/>
    <cellStyle name="60% - Accent5 3 3 2 22" xfId="49573" xr:uid="{00000000-0005-0000-0000-0000E3750000}"/>
    <cellStyle name="60% - Accent5 3 3 2 23" xfId="51256" xr:uid="{00000000-0005-0000-0000-0000E4750000}"/>
    <cellStyle name="60% - Accent5 3 3 2 24" xfId="52939" xr:uid="{00000000-0005-0000-0000-0000E5750000}"/>
    <cellStyle name="60% - Accent5 3 3 2 25" xfId="54622" xr:uid="{00000000-0005-0000-0000-0000E6750000}"/>
    <cellStyle name="60% - Accent5 3 3 2 26" xfId="56305" xr:uid="{00000000-0005-0000-0000-0000E7750000}"/>
    <cellStyle name="60% - Accent5 3 3 2 27" xfId="57988" xr:uid="{00000000-0005-0000-0000-0000E8750000}"/>
    <cellStyle name="60% - Accent5 3 3 2 28" xfId="59671" xr:uid="{00000000-0005-0000-0000-0000E9750000}"/>
    <cellStyle name="60% - Accent5 3 3 2 29" xfId="61354" xr:uid="{00000000-0005-0000-0000-0000EA750000}"/>
    <cellStyle name="60% - Accent5 3 3 2 3" xfId="4129" xr:uid="{00000000-0005-0000-0000-0000EB750000}"/>
    <cellStyle name="60% - Accent5 3 3 2 3 2" xfId="19278" xr:uid="{00000000-0005-0000-0000-0000EC750000}"/>
    <cellStyle name="60% - Accent5 3 3 2 30" xfId="63037" xr:uid="{00000000-0005-0000-0000-0000ED750000}"/>
    <cellStyle name="60% - Accent5 3 3 2 4" xfId="5812" xr:uid="{00000000-0005-0000-0000-0000EE750000}"/>
    <cellStyle name="60% - Accent5 3 3 2 4 2" xfId="20961" xr:uid="{00000000-0005-0000-0000-0000EF750000}"/>
    <cellStyle name="60% - Accent5 3 3 2 5" xfId="7495" xr:uid="{00000000-0005-0000-0000-0000F0750000}"/>
    <cellStyle name="60% - Accent5 3 3 2 5 2" xfId="22644" xr:uid="{00000000-0005-0000-0000-0000F1750000}"/>
    <cellStyle name="60% - Accent5 3 3 2 6" xfId="9178" xr:uid="{00000000-0005-0000-0000-0000F2750000}"/>
    <cellStyle name="60% - Accent5 3 3 2 6 2" xfId="24327" xr:uid="{00000000-0005-0000-0000-0000F3750000}"/>
    <cellStyle name="60% - Accent5 3 3 2 7" xfId="10861" xr:uid="{00000000-0005-0000-0000-0000F4750000}"/>
    <cellStyle name="60% - Accent5 3 3 2 7 2" xfId="26010" xr:uid="{00000000-0005-0000-0000-0000F5750000}"/>
    <cellStyle name="60% - Accent5 3 3 2 8" xfId="12545" xr:uid="{00000000-0005-0000-0000-0000F6750000}"/>
    <cellStyle name="60% - Accent5 3 3 2 8 2" xfId="27694" xr:uid="{00000000-0005-0000-0000-0000F7750000}"/>
    <cellStyle name="60% - Accent5 3 3 2 9" xfId="14228" xr:uid="{00000000-0005-0000-0000-0000F8750000}"/>
    <cellStyle name="60% - Accent5 3 3 2 9 2" xfId="29377" xr:uid="{00000000-0005-0000-0000-0000F9750000}"/>
    <cellStyle name="60% - Accent5 3 3 20" xfId="40738" xr:uid="{00000000-0005-0000-0000-0000FA750000}"/>
    <cellStyle name="60% - Accent5 3 3 21" xfId="42421" xr:uid="{00000000-0005-0000-0000-0000FB750000}"/>
    <cellStyle name="60% - Accent5 3 3 22" xfId="44104" xr:uid="{00000000-0005-0000-0000-0000FC750000}"/>
    <cellStyle name="60% - Accent5 3 3 23" xfId="45787" xr:uid="{00000000-0005-0000-0000-0000FD750000}"/>
    <cellStyle name="60% - Accent5 3 3 24" xfId="47470" xr:uid="{00000000-0005-0000-0000-0000FE750000}"/>
    <cellStyle name="60% - Accent5 3 3 25" xfId="49153" xr:uid="{00000000-0005-0000-0000-0000FF750000}"/>
    <cellStyle name="60% - Accent5 3 3 26" xfId="50836" xr:uid="{00000000-0005-0000-0000-000000760000}"/>
    <cellStyle name="60% - Accent5 3 3 27" xfId="52519" xr:uid="{00000000-0005-0000-0000-000001760000}"/>
    <cellStyle name="60% - Accent5 3 3 28" xfId="54202" xr:uid="{00000000-0005-0000-0000-000002760000}"/>
    <cellStyle name="60% - Accent5 3 3 29" xfId="55885" xr:uid="{00000000-0005-0000-0000-000003760000}"/>
    <cellStyle name="60% - Accent5 3 3 3" xfId="1183" xr:uid="{00000000-0005-0000-0000-000004760000}"/>
    <cellStyle name="60% - Accent5 3 3 3 10" xfId="16332" xr:uid="{00000000-0005-0000-0000-000005760000}"/>
    <cellStyle name="60% - Accent5 3 3 3 11" xfId="31481" xr:uid="{00000000-0005-0000-0000-000006760000}"/>
    <cellStyle name="60% - Accent5 3 3 3 12" xfId="33164" xr:uid="{00000000-0005-0000-0000-000007760000}"/>
    <cellStyle name="60% - Accent5 3 3 3 13" xfId="34847" xr:uid="{00000000-0005-0000-0000-000008760000}"/>
    <cellStyle name="60% - Accent5 3 3 3 14" xfId="36530" xr:uid="{00000000-0005-0000-0000-000009760000}"/>
    <cellStyle name="60% - Accent5 3 3 3 15" xfId="38213" xr:uid="{00000000-0005-0000-0000-00000A760000}"/>
    <cellStyle name="60% - Accent5 3 3 3 16" xfId="39896" xr:uid="{00000000-0005-0000-0000-00000B760000}"/>
    <cellStyle name="60% - Accent5 3 3 3 17" xfId="41579" xr:uid="{00000000-0005-0000-0000-00000C760000}"/>
    <cellStyle name="60% - Accent5 3 3 3 18" xfId="43262" xr:uid="{00000000-0005-0000-0000-00000D760000}"/>
    <cellStyle name="60% - Accent5 3 3 3 19" xfId="44945" xr:uid="{00000000-0005-0000-0000-00000E760000}"/>
    <cellStyle name="60% - Accent5 3 3 3 2" xfId="2866" xr:uid="{00000000-0005-0000-0000-00000F760000}"/>
    <cellStyle name="60% - Accent5 3 3 3 2 2" xfId="18015" xr:uid="{00000000-0005-0000-0000-000010760000}"/>
    <cellStyle name="60% - Accent5 3 3 3 20" xfId="46628" xr:uid="{00000000-0005-0000-0000-000011760000}"/>
    <cellStyle name="60% - Accent5 3 3 3 21" xfId="48311" xr:uid="{00000000-0005-0000-0000-000012760000}"/>
    <cellStyle name="60% - Accent5 3 3 3 22" xfId="49994" xr:uid="{00000000-0005-0000-0000-000013760000}"/>
    <cellStyle name="60% - Accent5 3 3 3 23" xfId="51677" xr:uid="{00000000-0005-0000-0000-000014760000}"/>
    <cellStyle name="60% - Accent5 3 3 3 24" xfId="53360" xr:uid="{00000000-0005-0000-0000-000015760000}"/>
    <cellStyle name="60% - Accent5 3 3 3 25" xfId="55043" xr:uid="{00000000-0005-0000-0000-000016760000}"/>
    <cellStyle name="60% - Accent5 3 3 3 26" xfId="56726" xr:uid="{00000000-0005-0000-0000-000017760000}"/>
    <cellStyle name="60% - Accent5 3 3 3 27" xfId="58409" xr:uid="{00000000-0005-0000-0000-000018760000}"/>
    <cellStyle name="60% - Accent5 3 3 3 28" xfId="60092" xr:uid="{00000000-0005-0000-0000-000019760000}"/>
    <cellStyle name="60% - Accent5 3 3 3 29" xfId="61775" xr:uid="{00000000-0005-0000-0000-00001A760000}"/>
    <cellStyle name="60% - Accent5 3 3 3 3" xfId="4550" xr:uid="{00000000-0005-0000-0000-00001B760000}"/>
    <cellStyle name="60% - Accent5 3 3 3 3 2" xfId="19699" xr:uid="{00000000-0005-0000-0000-00001C760000}"/>
    <cellStyle name="60% - Accent5 3 3 3 30" xfId="63458" xr:uid="{00000000-0005-0000-0000-00001D760000}"/>
    <cellStyle name="60% - Accent5 3 3 3 4" xfId="6233" xr:uid="{00000000-0005-0000-0000-00001E760000}"/>
    <cellStyle name="60% - Accent5 3 3 3 4 2" xfId="21382" xr:uid="{00000000-0005-0000-0000-00001F760000}"/>
    <cellStyle name="60% - Accent5 3 3 3 5" xfId="7916" xr:uid="{00000000-0005-0000-0000-000020760000}"/>
    <cellStyle name="60% - Accent5 3 3 3 5 2" xfId="23065" xr:uid="{00000000-0005-0000-0000-000021760000}"/>
    <cellStyle name="60% - Accent5 3 3 3 6" xfId="9599" xr:uid="{00000000-0005-0000-0000-000022760000}"/>
    <cellStyle name="60% - Accent5 3 3 3 6 2" xfId="24748" xr:uid="{00000000-0005-0000-0000-000023760000}"/>
    <cellStyle name="60% - Accent5 3 3 3 7" xfId="11282" xr:uid="{00000000-0005-0000-0000-000024760000}"/>
    <cellStyle name="60% - Accent5 3 3 3 7 2" xfId="26431" xr:uid="{00000000-0005-0000-0000-000025760000}"/>
    <cellStyle name="60% - Accent5 3 3 3 8" xfId="12966" xr:uid="{00000000-0005-0000-0000-000026760000}"/>
    <cellStyle name="60% - Accent5 3 3 3 8 2" xfId="28115" xr:uid="{00000000-0005-0000-0000-000027760000}"/>
    <cellStyle name="60% - Accent5 3 3 3 9" xfId="14649" xr:uid="{00000000-0005-0000-0000-000028760000}"/>
    <cellStyle name="60% - Accent5 3 3 3 9 2" xfId="29798" xr:uid="{00000000-0005-0000-0000-000029760000}"/>
    <cellStyle name="60% - Accent5 3 3 30" xfId="57568" xr:uid="{00000000-0005-0000-0000-00002A760000}"/>
    <cellStyle name="60% - Accent5 3 3 31" xfId="59251" xr:uid="{00000000-0005-0000-0000-00002B760000}"/>
    <cellStyle name="60% - Accent5 3 3 32" xfId="60934" xr:uid="{00000000-0005-0000-0000-00002C760000}"/>
    <cellStyle name="60% - Accent5 3 3 33" xfId="62617" xr:uid="{00000000-0005-0000-0000-00002D760000}"/>
    <cellStyle name="60% - Accent5 3 3 4" xfId="1604" xr:uid="{00000000-0005-0000-0000-00002E760000}"/>
    <cellStyle name="60% - Accent5 3 3 4 10" xfId="16753" xr:uid="{00000000-0005-0000-0000-00002F760000}"/>
    <cellStyle name="60% - Accent5 3 3 4 11" xfId="31902" xr:uid="{00000000-0005-0000-0000-000030760000}"/>
    <cellStyle name="60% - Accent5 3 3 4 12" xfId="33585" xr:uid="{00000000-0005-0000-0000-000031760000}"/>
    <cellStyle name="60% - Accent5 3 3 4 13" xfId="35268" xr:uid="{00000000-0005-0000-0000-000032760000}"/>
    <cellStyle name="60% - Accent5 3 3 4 14" xfId="36951" xr:uid="{00000000-0005-0000-0000-000033760000}"/>
    <cellStyle name="60% - Accent5 3 3 4 15" xfId="38634" xr:uid="{00000000-0005-0000-0000-000034760000}"/>
    <cellStyle name="60% - Accent5 3 3 4 16" xfId="40317" xr:uid="{00000000-0005-0000-0000-000035760000}"/>
    <cellStyle name="60% - Accent5 3 3 4 17" xfId="42000" xr:uid="{00000000-0005-0000-0000-000036760000}"/>
    <cellStyle name="60% - Accent5 3 3 4 18" xfId="43683" xr:uid="{00000000-0005-0000-0000-000037760000}"/>
    <cellStyle name="60% - Accent5 3 3 4 19" xfId="45366" xr:uid="{00000000-0005-0000-0000-000038760000}"/>
    <cellStyle name="60% - Accent5 3 3 4 2" xfId="3287" xr:uid="{00000000-0005-0000-0000-000039760000}"/>
    <cellStyle name="60% - Accent5 3 3 4 2 2" xfId="18436" xr:uid="{00000000-0005-0000-0000-00003A760000}"/>
    <cellStyle name="60% - Accent5 3 3 4 20" xfId="47049" xr:uid="{00000000-0005-0000-0000-00003B760000}"/>
    <cellStyle name="60% - Accent5 3 3 4 21" xfId="48732" xr:uid="{00000000-0005-0000-0000-00003C760000}"/>
    <cellStyle name="60% - Accent5 3 3 4 22" xfId="50415" xr:uid="{00000000-0005-0000-0000-00003D760000}"/>
    <cellStyle name="60% - Accent5 3 3 4 23" xfId="52098" xr:uid="{00000000-0005-0000-0000-00003E760000}"/>
    <cellStyle name="60% - Accent5 3 3 4 24" xfId="53781" xr:uid="{00000000-0005-0000-0000-00003F760000}"/>
    <cellStyle name="60% - Accent5 3 3 4 25" xfId="55464" xr:uid="{00000000-0005-0000-0000-000040760000}"/>
    <cellStyle name="60% - Accent5 3 3 4 26" xfId="57147" xr:uid="{00000000-0005-0000-0000-000041760000}"/>
    <cellStyle name="60% - Accent5 3 3 4 27" xfId="58830" xr:uid="{00000000-0005-0000-0000-000042760000}"/>
    <cellStyle name="60% - Accent5 3 3 4 28" xfId="60513" xr:uid="{00000000-0005-0000-0000-000043760000}"/>
    <cellStyle name="60% - Accent5 3 3 4 29" xfId="62196" xr:uid="{00000000-0005-0000-0000-000044760000}"/>
    <cellStyle name="60% - Accent5 3 3 4 3" xfId="4971" xr:uid="{00000000-0005-0000-0000-000045760000}"/>
    <cellStyle name="60% - Accent5 3 3 4 3 2" xfId="20120" xr:uid="{00000000-0005-0000-0000-000046760000}"/>
    <cellStyle name="60% - Accent5 3 3 4 30" xfId="63879" xr:uid="{00000000-0005-0000-0000-000047760000}"/>
    <cellStyle name="60% - Accent5 3 3 4 4" xfId="6654" xr:uid="{00000000-0005-0000-0000-000048760000}"/>
    <cellStyle name="60% - Accent5 3 3 4 4 2" xfId="21803" xr:uid="{00000000-0005-0000-0000-000049760000}"/>
    <cellStyle name="60% - Accent5 3 3 4 5" xfId="8337" xr:uid="{00000000-0005-0000-0000-00004A760000}"/>
    <cellStyle name="60% - Accent5 3 3 4 5 2" xfId="23486" xr:uid="{00000000-0005-0000-0000-00004B760000}"/>
    <cellStyle name="60% - Accent5 3 3 4 6" xfId="10020" xr:uid="{00000000-0005-0000-0000-00004C760000}"/>
    <cellStyle name="60% - Accent5 3 3 4 6 2" xfId="25169" xr:uid="{00000000-0005-0000-0000-00004D760000}"/>
    <cellStyle name="60% - Accent5 3 3 4 7" xfId="11703" xr:uid="{00000000-0005-0000-0000-00004E760000}"/>
    <cellStyle name="60% - Accent5 3 3 4 7 2" xfId="26852" xr:uid="{00000000-0005-0000-0000-00004F760000}"/>
    <cellStyle name="60% - Accent5 3 3 4 8" xfId="13387" xr:uid="{00000000-0005-0000-0000-000050760000}"/>
    <cellStyle name="60% - Accent5 3 3 4 8 2" xfId="28536" xr:uid="{00000000-0005-0000-0000-000051760000}"/>
    <cellStyle name="60% - Accent5 3 3 4 9" xfId="15070" xr:uid="{00000000-0005-0000-0000-000052760000}"/>
    <cellStyle name="60% - Accent5 3 3 4 9 2" xfId="30219" xr:uid="{00000000-0005-0000-0000-000053760000}"/>
    <cellStyle name="60% - Accent5 3 3 5" xfId="2025" xr:uid="{00000000-0005-0000-0000-000054760000}"/>
    <cellStyle name="60% - Accent5 3 3 5 2" xfId="17174" xr:uid="{00000000-0005-0000-0000-000055760000}"/>
    <cellStyle name="60% - Accent5 3 3 6" xfId="3709" xr:uid="{00000000-0005-0000-0000-000056760000}"/>
    <cellStyle name="60% - Accent5 3 3 6 2" xfId="18858" xr:uid="{00000000-0005-0000-0000-000057760000}"/>
    <cellStyle name="60% - Accent5 3 3 7" xfId="5392" xr:uid="{00000000-0005-0000-0000-000058760000}"/>
    <cellStyle name="60% - Accent5 3 3 7 2" xfId="20541" xr:uid="{00000000-0005-0000-0000-000059760000}"/>
    <cellStyle name="60% - Accent5 3 3 8" xfId="7075" xr:uid="{00000000-0005-0000-0000-00005A760000}"/>
    <cellStyle name="60% - Accent5 3 3 8 2" xfId="22224" xr:uid="{00000000-0005-0000-0000-00005B760000}"/>
    <cellStyle name="60% - Accent5 3 3 9" xfId="8758" xr:uid="{00000000-0005-0000-0000-00005C760000}"/>
    <cellStyle name="60% - Accent5 3 3 9 2" xfId="23907" xr:uid="{00000000-0005-0000-0000-00005D760000}"/>
    <cellStyle name="60% - Accent5 3 30" xfId="53992" xr:uid="{00000000-0005-0000-0000-00005E760000}"/>
    <cellStyle name="60% - Accent5 3 31" xfId="55675" xr:uid="{00000000-0005-0000-0000-00005F760000}"/>
    <cellStyle name="60% - Accent5 3 32" xfId="57358" xr:uid="{00000000-0005-0000-0000-000060760000}"/>
    <cellStyle name="60% - Accent5 3 33" xfId="59041" xr:uid="{00000000-0005-0000-0000-000061760000}"/>
    <cellStyle name="60% - Accent5 3 34" xfId="60724" xr:uid="{00000000-0005-0000-0000-000062760000}"/>
    <cellStyle name="60% - Accent5 3 35" xfId="62407" xr:uid="{00000000-0005-0000-0000-000063760000}"/>
    <cellStyle name="60% - Accent5 3 4" xfId="552" xr:uid="{00000000-0005-0000-0000-000064760000}"/>
    <cellStyle name="60% - Accent5 3 4 10" xfId="15701" xr:uid="{00000000-0005-0000-0000-000065760000}"/>
    <cellStyle name="60% - Accent5 3 4 11" xfId="30850" xr:uid="{00000000-0005-0000-0000-000066760000}"/>
    <cellStyle name="60% - Accent5 3 4 12" xfId="32533" xr:uid="{00000000-0005-0000-0000-000067760000}"/>
    <cellStyle name="60% - Accent5 3 4 13" xfId="34216" xr:uid="{00000000-0005-0000-0000-000068760000}"/>
    <cellStyle name="60% - Accent5 3 4 14" xfId="35899" xr:uid="{00000000-0005-0000-0000-000069760000}"/>
    <cellStyle name="60% - Accent5 3 4 15" xfId="37582" xr:uid="{00000000-0005-0000-0000-00006A760000}"/>
    <cellStyle name="60% - Accent5 3 4 16" xfId="39265" xr:uid="{00000000-0005-0000-0000-00006B760000}"/>
    <cellStyle name="60% - Accent5 3 4 17" xfId="40948" xr:uid="{00000000-0005-0000-0000-00006C760000}"/>
    <cellStyle name="60% - Accent5 3 4 18" xfId="42631" xr:uid="{00000000-0005-0000-0000-00006D760000}"/>
    <cellStyle name="60% - Accent5 3 4 19" xfId="44314" xr:uid="{00000000-0005-0000-0000-00006E760000}"/>
    <cellStyle name="60% - Accent5 3 4 2" xfId="2235" xr:uid="{00000000-0005-0000-0000-00006F760000}"/>
    <cellStyle name="60% - Accent5 3 4 2 2" xfId="17384" xr:uid="{00000000-0005-0000-0000-000070760000}"/>
    <cellStyle name="60% - Accent5 3 4 20" xfId="45997" xr:uid="{00000000-0005-0000-0000-000071760000}"/>
    <cellStyle name="60% - Accent5 3 4 21" xfId="47680" xr:uid="{00000000-0005-0000-0000-000072760000}"/>
    <cellStyle name="60% - Accent5 3 4 22" xfId="49363" xr:uid="{00000000-0005-0000-0000-000073760000}"/>
    <cellStyle name="60% - Accent5 3 4 23" xfId="51046" xr:uid="{00000000-0005-0000-0000-000074760000}"/>
    <cellStyle name="60% - Accent5 3 4 24" xfId="52729" xr:uid="{00000000-0005-0000-0000-000075760000}"/>
    <cellStyle name="60% - Accent5 3 4 25" xfId="54412" xr:uid="{00000000-0005-0000-0000-000076760000}"/>
    <cellStyle name="60% - Accent5 3 4 26" xfId="56095" xr:uid="{00000000-0005-0000-0000-000077760000}"/>
    <cellStyle name="60% - Accent5 3 4 27" xfId="57778" xr:uid="{00000000-0005-0000-0000-000078760000}"/>
    <cellStyle name="60% - Accent5 3 4 28" xfId="59461" xr:uid="{00000000-0005-0000-0000-000079760000}"/>
    <cellStyle name="60% - Accent5 3 4 29" xfId="61144" xr:uid="{00000000-0005-0000-0000-00007A760000}"/>
    <cellStyle name="60% - Accent5 3 4 3" xfId="3919" xr:uid="{00000000-0005-0000-0000-00007B760000}"/>
    <cellStyle name="60% - Accent5 3 4 3 2" xfId="19068" xr:uid="{00000000-0005-0000-0000-00007C760000}"/>
    <cellStyle name="60% - Accent5 3 4 30" xfId="62827" xr:uid="{00000000-0005-0000-0000-00007D760000}"/>
    <cellStyle name="60% - Accent5 3 4 4" xfId="5602" xr:uid="{00000000-0005-0000-0000-00007E760000}"/>
    <cellStyle name="60% - Accent5 3 4 4 2" xfId="20751" xr:uid="{00000000-0005-0000-0000-00007F760000}"/>
    <cellStyle name="60% - Accent5 3 4 5" xfId="7285" xr:uid="{00000000-0005-0000-0000-000080760000}"/>
    <cellStyle name="60% - Accent5 3 4 5 2" xfId="22434" xr:uid="{00000000-0005-0000-0000-000081760000}"/>
    <cellStyle name="60% - Accent5 3 4 6" xfId="8968" xr:uid="{00000000-0005-0000-0000-000082760000}"/>
    <cellStyle name="60% - Accent5 3 4 6 2" xfId="24117" xr:uid="{00000000-0005-0000-0000-000083760000}"/>
    <cellStyle name="60% - Accent5 3 4 7" xfId="10651" xr:uid="{00000000-0005-0000-0000-000084760000}"/>
    <cellStyle name="60% - Accent5 3 4 7 2" xfId="25800" xr:uid="{00000000-0005-0000-0000-000085760000}"/>
    <cellStyle name="60% - Accent5 3 4 8" xfId="12335" xr:uid="{00000000-0005-0000-0000-000086760000}"/>
    <cellStyle name="60% - Accent5 3 4 8 2" xfId="27484" xr:uid="{00000000-0005-0000-0000-000087760000}"/>
    <cellStyle name="60% - Accent5 3 4 9" xfId="14018" xr:uid="{00000000-0005-0000-0000-000088760000}"/>
    <cellStyle name="60% - Accent5 3 4 9 2" xfId="29167" xr:uid="{00000000-0005-0000-0000-000089760000}"/>
    <cellStyle name="60% - Accent5 3 5" xfId="973" xr:uid="{00000000-0005-0000-0000-00008A760000}"/>
    <cellStyle name="60% - Accent5 3 5 10" xfId="16122" xr:uid="{00000000-0005-0000-0000-00008B760000}"/>
    <cellStyle name="60% - Accent5 3 5 11" xfId="31271" xr:uid="{00000000-0005-0000-0000-00008C760000}"/>
    <cellStyle name="60% - Accent5 3 5 12" xfId="32954" xr:uid="{00000000-0005-0000-0000-00008D760000}"/>
    <cellStyle name="60% - Accent5 3 5 13" xfId="34637" xr:uid="{00000000-0005-0000-0000-00008E760000}"/>
    <cellStyle name="60% - Accent5 3 5 14" xfId="36320" xr:uid="{00000000-0005-0000-0000-00008F760000}"/>
    <cellStyle name="60% - Accent5 3 5 15" xfId="38003" xr:uid="{00000000-0005-0000-0000-000090760000}"/>
    <cellStyle name="60% - Accent5 3 5 16" xfId="39686" xr:uid="{00000000-0005-0000-0000-000091760000}"/>
    <cellStyle name="60% - Accent5 3 5 17" xfId="41369" xr:uid="{00000000-0005-0000-0000-000092760000}"/>
    <cellStyle name="60% - Accent5 3 5 18" xfId="43052" xr:uid="{00000000-0005-0000-0000-000093760000}"/>
    <cellStyle name="60% - Accent5 3 5 19" xfId="44735" xr:uid="{00000000-0005-0000-0000-000094760000}"/>
    <cellStyle name="60% - Accent5 3 5 2" xfId="2656" xr:uid="{00000000-0005-0000-0000-000095760000}"/>
    <cellStyle name="60% - Accent5 3 5 2 2" xfId="17805" xr:uid="{00000000-0005-0000-0000-000096760000}"/>
    <cellStyle name="60% - Accent5 3 5 20" xfId="46418" xr:uid="{00000000-0005-0000-0000-000097760000}"/>
    <cellStyle name="60% - Accent5 3 5 21" xfId="48101" xr:uid="{00000000-0005-0000-0000-000098760000}"/>
    <cellStyle name="60% - Accent5 3 5 22" xfId="49784" xr:uid="{00000000-0005-0000-0000-000099760000}"/>
    <cellStyle name="60% - Accent5 3 5 23" xfId="51467" xr:uid="{00000000-0005-0000-0000-00009A760000}"/>
    <cellStyle name="60% - Accent5 3 5 24" xfId="53150" xr:uid="{00000000-0005-0000-0000-00009B760000}"/>
    <cellStyle name="60% - Accent5 3 5 25" xfId="54833" xr:uid="{00000000-0005-0000-0000-00009C760000}"/>
    <cellStyle name="60% - Accent5 3 5 26" xfId="56516" xr:uid="{00000000-0005-0000-0000-00009D760000}"/>
    <cellStyle name="60% - Accent5 3 5 27" xfId="58199" xr:uid="{00000000-0005-0000-0000-00009E760000}"/>
    <cellStyle name="60% - Accent5 3 5 28" xfId="59882" xr:uid="{00000000-0005-0000-0000-00009F760000}"/>
    <cellStyle name="60% - Accent5 3 5 29" xfId="61565" xr:uid="{00000000-0005-0000-0000-0000A0760000}"/>
    <cellStyle name="60% - Accent5 3 5 3" xfId="4340" xr:uid="{00000000-0005-0000-0000-0000A1760000}"/>
    <cellStyle name="60% - Accent5 3 5 3 2" xfId="19489" xr:uid="{00000000-0005-0000-0000-0000A2760000}"/>
    <cellStyle name="60% - Accent5 3 5 30" xfId="63248" xr:uid="{00000000-0005-0000-0000-0000A3760000}"/>
    <cellStyle name="60% - Accent5 3 5 4" xfId="6023" xr:uid="{00000000-0005-0000-0000-0000A4760000}"/>
    <cellStyle name="60% - Accent5 3 5 4 2" xfId="21172" xr:uid="{00000000-0005-0000-0000-0000A5760000}"/>
    <cellStyle name="60% - Accent5 3 5 5" xfId="7706" xr:uid="{00000000-0005-0000-0000-0000A6760000}"/>
    <cellStyle name="60% - Accent5 3 5 5 2" xfId="22855" xr:uid="{00000000-0005-0000-0000-0000A7760000}"/>
    <cellStyle name="60% - Accent5 3 5 6" xfId="9389" xr:uid="{00000000-0005-0000-0000-0000A8760000}"/>
    <cellStyle name="60% - Accent5 3 5 6 2" xfId="24538" xr:uid="{00000000-0005-0000-0000-0000A9760000}"/>
    <cellStyle name="60% - Accent5 3 5 7" xfId="11072" xr:uid="{00000000-0005-0000-0000-0000AA760000}"/>
    <cellStyle name="60% - Accent5 3 5 7 2" xfId="26221" xr:uid="{00000000-0005-0000-0000-0000AB760000}"/>
    <cellStyle name="60% - Accent5 3 5 8" xfId="12756" xr:uid="{00000000-0005-0000-0000-0000AC760000}"/>
    <cellStyle name="60% - Accent5 3 5 8 2" xfId="27905" xr:uid="{00000000-0005-0000-0000-0000AD760000}"/>
    <cellStyle name="60% - Accent5 3 5 9" xfId="14439" xr:uid="{00000000-0005-0000-0000-0000AE760000}"/>
    <cellStyle name="60% - Accent5 3 5 9 2" xfId="29588" xr:uid="{00000000-0005-0000-0000-0000AF760000}"/>
    <cellStyle name="60% - Accent5 3 6" xfId="1394" xr:uid="{00000000-0005-0000-0000-0000B0760000}"/>
    <cellStyle name="60% - Accent5 3 6 10" xfId="16543" xr:uid="{00000000-0005-0000-0000-0000B1760000}"/>
    <cellStyle name="60% - Accent5 3 6 11" xfId="31692" xr:uid="{00000000-0005-0000-0000-0000B2760000}"/>
    <cellStyle name="60% - Accent5 3 6 12" xfId="33375" xr:uid="{00000000-0005-0000-0000-0000B3760000}"/>
    <cellStyle name="60% - Accent5 3 6 13" xfId="35058" xr:uid="{00000000-0005-0000-0000-0000B4760000}"/>
    <cellStyle name="60% - Accent5 3 6 14" xfId="36741" xr:uid="{00000000-0005-0000-0000-0000B5760000}"/>
    <cellStyle name="60% - Accent5 3 6 15" xfId="38424" xr:uid="{00000000-0005-0000-0000-0000B6760000}"/>
    <cellStyle name="60% - Accent5 3 6 16" xfId="40107" xr:uid="{00000000-0005-0000-0000-0000B7760000}"/>
    <cellStyle name="60% - Accent5 3 6 17" xfId="41790" xr:uid="{00000000-0005-0000-0000-0000B8760000}"/>
    <cellStyle name="60% - Accent5 3 6 18" xfId="43473" xr:uid="{00000000-0005-0000-0000-0000B9760000}"/>
    <cellStyle name="60% - Accent5 3 6 19" xfId="45156" xr:uid="{00000000-0005-0000-0000-0000BA760000}"/>
    <cellStyle name="60% - Accent5 3 6 2" xfId="3077" xr:uid="{00000000-0005-0000-0000-0000BB760000}"/>
    <cellStyle name="60% - Accent5 3 6 2 2" xfId="18226" xr:uid="{00000000-0005-0000-0000-0000BC760000}"/>
    <cellStyle name="60% - Accent5 3 6 20" xfId="46839" xr:uid="{00000000-0005-0000-0000-0000BD760000}"/>
    <cellStyle name="60% - Accent5 3 6 21" xfId="48522" xr:uid="{00000000-0005-0000-0000-0000BE760000}"/>
    <cellStyle name="60% - Accent5 3 6 22" xfId="50205" xr:uid="{00000000-0005-0000-0000-0000BF760000}"/>
    <cellStyle name="60% - Accent5 3 6 23" xfId="51888" xr:uid="{00000000-0005-0000-0000-0000C0760000}"/>
    <cellStyle name="60% - Accent5 3 6 24" xfId="53571" xr:uid="{00000000-0005-0000-0000-0000C1760000}"/>
    <cellStyle name="60% - Accent5 3 6 25" xfId="55254" xr:uid="{00000000-0005-0000-0000-0000C2760000}"/>
    <cellStyle name="60% - Accent5 3 6 26" xfId="56937" xr:uid="{00000000-0005-0000-0000-0000C3760000}"/>
    <cellStyle name="60% - Accent5 3 6 27" xfId="58620" xr:uid="{00000000-0005-0000-0000-0000C4760000}"/>
    <cellStyle name="60% - Accent5 3 6 28" xfId="60303" xr:uid="{00000000-0005-0000-0000-0000C5760000}"/>
    <cellStyle name="60% - Accent5 3 6 29" xfId="61986" xr:uid="{00000000-0005-0000-0000-0000C6760000}"/>
    <cellStyle name="60% - Accent5 3 6 3" xfId="4761" xr:uid="{00000000-0005-0000-0000-0000C7760000}"/>
    <cellStyle name="60% - Accent5 3 6 3 2" xfId="19910" xr:uid="{00000000-0005-0000-0000-0000C8760000}"/>
    <cellStyle name="60% - Accent5 3 6 30" xfId="63669" xr:uid="{00000000-0005-0000-0000-0000C9760000}"/>
    <cellStyle name="60% - Accent5 3 6 4" xfId="6444" xr:uid="{00000000-0005-0000-0000-0000CA760000}"/>
    <cellStyle name="60% - Accent5 3 6 4 2" xfId="21593" xr:uid="{00000000-0005-0000-0000-0000CB760000}"/>
    <cellStyle name="60% - Accent5 3 6 5" xfId="8127" xr:uid="{00000000-0005-0000-0000-0000CC760000}"/>
    <cellStyle name="60% - Accent5 3 6 5 2" xfId="23276" xr:uid="{00000000-0005-0000-0000-0000CD760000}"/>
    <cellStyle name="60% - Accent5 3 6 6" xfId="9810" xr:uid="{00000000-0005-0000-0000-0000CE760000}"/>
    <cellStyle name="60% - Accent5 3 6 6 2" xfId="24959" xr:uid="{00000000-0005-0000-0000-0000CF760000}"/>
    <cellStyle name="60% - Accent5 3 6 7" xfId="11493" xr:uid="{00000000-0005-0000-0000-0000D0760000}"/>
    <cellStyle name="60% - Accent5 3 6 7 2" xfId="26642" xr:uid="{00000000-0005-0000-0000-0000D1760000}"/>
    <cellStyle name="60% - Accent5 3 6 8" xfId="13177" xr:uid="{00000000-0005-0000-0000-0000D2760000}"/>
    <cellStyle name="60% - Accent5 3 6 8 2" xfId="28326" xr:uid="{00000000-0005-0000-0000-0000D3760000}"/>
    <cellStyle name="60% - Accent5 3 6 9" xfId="14860" xr:uid="{00000000-0005-0000-0000-0000D4760000}"/>
    <cellStyle name="60% - Accent5 3 6 9 2" xfId="30009" xr:uid="{00000000-0005-0000-0000-0000D5760000}"/>
    <cellStyle name="60% - Accent5 3 7" xfId="1815" xr:uid="{00000000-0005-0000-0000-0000D6760000}"/>
    <cellStyle name="60% - Accent5 3 7 2" xfId="16964" xr:uid="{00000000-0005-0000-0000-0000D7760000}"/>
    <cellStyle name="60% - Accent5 3 8" xfId="3499" xr:uid="{00000000-0005-0000-0000-0000D8760000}"/>
    <cellStyle name="60% - Accent5 3 8 2" xfId="18648" xr:uid="{00000000-0005-0000-0000-0000D9760000}"/>
    <cellStyle name="60% - Accent5 3 9" xfId="5182" xr:uid="{00000000-0005-0000-0000-0000DA760000}"/>
    <cellStyle name="60% - Accent5 3 9 2" xfId="20331" xr:uid="{00000000-0005-0000-0000-0000DB760000}"/>
    <cellStyle name="60% - Accent5 30" xfId="50584" xr:uid="{00000000-0005-0000-0000-0000DC760000}"/>
    <cellStyle name="60% - Accent5 31" xfId="52267" xr:uid="{00000000-0005-0000-0000-0000DD760000}"/>
    <cellStyle name="60% - Accent5 32" xfId="53950" xr:uid="{00000000-0005-0000-0000-0000DE760000}"/>
    <cellStyle name="60% - Accent5 33" xfId="55633" xr:uid="{00000000-0005-0000-0000-0000DF760000}"/>
    <cellStyle name="60% - Accent5 34" xfId="57316" xr:uid="{00000000-0005-0000-0000-0000E0760000}"/>
    <cellStyle name="60% - Accent5 35" xfId="58999" xr:uid="{00000000-0005-0000-0000-0000E1760000}"/>
    <cellStyle name="60% - Accent5 36" xfId="60682" xr:uid="{00000000-0005-0000-0000-0000E2760000}"/>
    <cellStyle name="60% - Accent5 37" xfId="62365" xr:uid="{00000000-0005-0000-0000-0000E3760000}"/>
    <cellStyle name="60% - Accent5 4" xfId="195" xr:uid="{00000000-0005-0000-0000-0000E4760000}"/>
    <cellStyle name="60% - Accent5 4 10" xfId="8611" xr:uid="{00000000-0005-0000-0000-0000E5760000}"/>
    <cellStyle name="60% - Accent5 4 10 2" xfId="23760" xr:uid="{00000000-0005-0000-0000-0000E6760000}"/>
    <cellStyle name="60% - Accent5 4 11" xfId="10294" xr:uid="{00000000-0005-0000-0000-0000E7760000}"/>
    <cellStyle name="60% - Accent5 4 11 2" xfId="25443" xr:uid="{00000000-0005-0000-0000-0000E8760000}"/>
    <cellStyle name="60% - Accent5 4 12" xfId="11978" xr:uid="{00000000-0005-0000-0000-0000E9760000}"/>
    <cellStyle name="60% - Accent5 4 12 2" xfId="27127" xr:uid="{00000000-0005-0000-0000-0000EA760000}"/>
    <cellStyle name="60% - Accent5 4 13" xfId="13661" xr:uid="{00000000-0005-0000-0000-0000EB760000}"/>
    <cellStyle name="60% - Accent5 4 13 2" xfId="28810" xr:uid="{00000000-0005-0000-0000-0000EC760000}"/>
    <cellStyle name="60% - Accent5 4 14" xfId="15344" xr:uid="{00000000-0005-0000-0000-0000ED760000}"/>
    <cellStyle name="60% - Accent5 4 15" xfId="30493" xr:uid="{00000000-0005-0000-0000-0000EE760000}"/>
    <cellStyle name="60% - Accent5 4 16" xfId="32176" xr:uid="{00000000-0005-0000-0000-0000EF760000}"/>
    <cellStyle name="60% - Accent5 4 17" xfId="33859" xr:uid="{00000000-0005-0000-0000-0000F0760000}"/>
    <cellStyle name="60% - Accent5 4 18" xfId="35542" xr:uid="{00000000-0005-0000-0000-0000F1760000}"/>
    <cellStyle name="60% - Accent5 4 19" xfId="37225" xr:uid="{00000000-0005-0000-0000-0000F2760000}"/>
    <cellStyle name="60% - Accent5 4 2" xfId="405" xr:uid="{00000000-0005-0000-0000-0000F3760000}"/>
    <cellStyle name="60% - Accent5 4 2 10" xfId="10504" xr:uid="{00000000-0005-0000-0000-0000F4760000}"/>
    <cellStyle name="60% - Accent5 4 2 10 2" xfId="25653" xr:uid="{00000000-0005-0000-0000-0000F5760000}"/>
    <cellStyle name="60% - Accent5 4 2 11" xfId="12188" xr:uid="{00000000-0005-0000-0000-0000F6760000}"/>
    <cellStyle name="60% - Accent5 4 2 11 2" xfId="27337" xr:uid="{00000000-0005-0000-0000-0000F7760000}"/>
    <cellStyle name="60% - Accent5 4 2 12" xfId="13871" xr:uid="{00000000-0005-0000-0000-0000F8760000}"/>
    <cellStyle name="60% - Accent5 4 2 12 2" xfId="29020" xr:uid="{00000000-0005-0000-0000-0000F9760000}"/>
    <cellStyle name="60% - Accent5 4 2 13" xfId="15554" xr:uid="{00000000-0005-0000-0000-0000FA760000}"/>
    <cellStyle name="60% - Accent5 4 2 14" xfId="30703" xr:uid="{00000000-0005-0000-0000-0000FB760000}"/>
    <cellStyle name="60% - Accent5 4 2 15" xfId="32386" xr:uid="{00000000-0005-0000-0000-0000FC760000}"/>
    <cellStyle name="60% - Accent5 4 2 16" xfId="34069" xr:uid="{00000000-0005-0000-0000-0000FD760000}"/>
    <cellStyle name="60% - Accent5 4 2 17" xfId="35752" xr:uid="{00000000-0005-0000-0000-0000FE760000}"/>
    <cellStyle name="60% - Accent5 4 2 18" xfId="37435" xr:uid="{00000000-0005-0000-0000-0000FF760000}"/>
    <cellStyle name="60% - Accent5 4 2 19" xfId="39118" xr:uid="{00000000-0005-0000-0000-000000770000}"/>
    <cellStyle name="60% - Accent5 4 2 2" xfId="825" xr:uid="{00000000-0005-0000-0000-000001770000}"/>
    <cellStyle name="60% - Accent5 4 2 2 10" xfId="15974" xr:uid="{00000000-0005-0000-0000-000002770000}"/>
    <cellStyle name="60% - Accent5 4 2 2 11" xfId="31123" xr:uid="{00000000-0005-0000-0000-000003770000}"/>
    <cellStyle name="60% - Accent5 4 2 2 12" xfId="32806" xr:uid="{00000000-0005-0000-0000-000004770000}"/>
    <cellStyle name="60% - Accent5 4 2 2 13" xfId="34489" xr:uid="{00000000-0005-0000-0000-000005770000}"/>
    <cellStyle name="60% - Accent5 4 2 2 14" xfId="36172" xr:uid="{00000000-0005-0000-0000-000006770000}"/>
    <cellStyle name="60% - Accent5 4 2 2 15" xfId="37855" xr:uid="{00000000-0005-0000-0000-000007770000}"/>
    <cellStyle name="60% - Accent5 4 2 2 16" xfId="39538" xr:uid="{00000000-0005-0000-0000-000008770000}"/>
    <cellStyle name="60% - Accent5 4 2 2 17" xfId="41221" xr:uid="{00000000-0005-0000-0000-000009770000}"/>
    <cellStyle name="60% - Accent5 4 2 2 18" xfId="42904" xr:uid="{00000000-0005-0000-0000-00000A770000}"/>
    <cellStyle name="60% - Accent5 4 2 2 19" xfId="44587" xr:uid="{00000000-0005-0000-0000-00000B770000}"/>
    <cellStyle name="60% - Accent5 4 2 2 2" xfId="2508" xr:uid="{00000000-0005-0000-0000-00000C770000}"/>
    <cellStyle name="60% - Accent5 4 2 2 2 2" xfId="17657" xr:uid="{00000000-0005-0000-0000-00000D770000}"/>
    <cellStyle name="60% - Accent5 4 2 2 20" xfId="46270" xr:uid="{00000000-0005-0000-0000-00000E770000}"/>
    <cellStyle name="60% - Accent5 4 2 2 21" xfId="47953" xr:uid="{00000000-0005-0000-0000-00000F770000}"/>
    <cellStyle name="60% - Accent5 4 2 2 22" xfId="49636" xr:uid="{00000000-0005-0000-0000-000010770000}"/>
    <cellStyle name="60% - Accent5 4 2 2 23" xfId="51319" xr:uid="{00000000-0005-0000-0000-000011770000}"/>
    <cellStyle name="60% - Accent5 4 2 2 24" xfId="53002" xr:uid="{00000000-0005-0000-0000-000012770000}"/>
    <cellStyle name="60% - Accent5 4 2 2 25" xfId="54685" xr:uid="{00000000-0005-0000-0000-000013770000}"/>
    <cellStyle name="60% - Accent5 4 2 2 26" xfId="56368" xr:uid="{00000000-0005-0000-0000-000014770000}"/>
    <cellStyle name="60% - Accent5 4 2 2 27" xfId="58051" xr:uid="{00000000-0005-0000-0000-000015770000}"/>
    <cellStyle name="60% - Accent5 4 2 2 28" xfId="59734" xr:uid="{00000000-0005-0000-0000-000016770000}"/>
    <cellStyle name="60% - Accent5 4 2 2 29" xfId="61417" xr:uid="{00000000-0005-0000-0000-000017770000}"/>
    <cellStyle name="60% - Accent5 4 2 2 3" xfId="4192" xr:uid="{00000000-0005-0000-0000-000018770000}"/>
    <cellStyle name="60% - Accent5 4 2 2 3 2" xfId="19341" xr:uid="{00000000-0005-0000-0000-000019770000}"/>
    <cellStyle name="60% - Accent5 4 2 2 30" xfId="63100" xr:uid="{00000000-0005-0000-0000-00001A770000}"/>
    <cellStyle name="60% - Accent5 4 2 2 4" xfId="5875" xr:uid="{00000000-0005-0000-0000-00001B770000}"/>
    <cellStyle name="60% - Accent5 4 2 2 4 2" xfId="21024" xr:uid="{00000000-0005-0000-0000-00001C770000}"/>
    <cellStyle name="60% - Accent5 4 2 2 5" xfId="7558" xr:uid="{00000000-0005-0000-0000-00001D770000}"/>
    <cellStyle name="60% - Accent5 4 2 2 5 2" xfId="22707" xr:uid="{00000000-0005-0000-0000-00001E770000}"/>
    <cellStyle name="60% - Accent5 4 2 2 6" xfId="9241" xr:uid="{00000000-0005-0000-0000-00001F770000}"/>
    <cellStyle name="60% - Accent5 4 2 2 6 2" xfId="24390" xr:uid="{00000000-0005-0000-0000-000020770000}"/>
    <cellStyle name="60% - Accent5 4 2 2 7" xfId="10924" xr:uid="{00000000-0005-0000-0000-000021770000}"/>
    <cellStyle name="60% - Accent5 4 2 2 7 2" xfId="26073" xr:uid="{00000000-0005-0000-0000-000022770000}"/>
    <cellStyle name="60% - Accent5 4 2 2 8" xfId="12608" xr:uid="{00000000-0005-0000-0000-000023770000}"/>
    <cellStyle name="60% - Accent5 4 2 2 8 2" xfId="27757" xr:uid="{00000000-0005-0000-0000-000024770000}"/>
    <cellStyle name="60% - Accent5 4 2 2 9" xfId="14291" xr:uid="{00000000-0005-0000-0000-000025770000}"/>
    <cellStyle name="60% - Accent5 4 2 2 9 2" xfId="29440" xr:uid="{00000000-0005-0000-0000-000026770000}"/>
    <cellStyle name="60% - Accent5 4 2 20" xfId="40801" xr:uid="{00000000-0005-0000-0000-000027770000}"/>
    <cellStyle name="60% - Accent5 4 2 21" xfId="42484" xr:uid="{00000000-0005-0000-0000-000028770000}"/>
    <cellStyle name="60% - Accent5 4 2 22" xfId="44167" xr:uid="{00000000-0005-0000-0000-000029770000}"/>
    <cellStyle name="60% - Accent5 4 2 23" xfId="45850" xr:uid="{00000000-0005-0000-0000-00002A770000}"/>
    <cellStyle name="60% - Accent5 4 2 24" xfId="47533" xr:uid="{00000000-0005-0000-0000-00002B770000}"/>
    <cellStyle name="60% - Accent5 4 2 25" xfId="49216" xr:uid="{00000000-0005-0000-0000-00002C770000}"/>
    <cellStyle name="60% - Accent5 4 2 26" xfId="50899" xr:uid="{00000000-0005-0000-0000-00002D770000}"/>
    <cellStyle name="60% - Accent5 4 2 27" xfId="52582" xr:uid="{00000000-0005-0000-0000-00002E770000}"/>
    <cellStyle name="60% - Accent5 4 2 28" xfId="54265" xr:uid="{00000000-0005-0000-0000-00002F770000}"/>
    <cellStyle name="60% - Accent5 4 2 29" xfId="55948" xr:uid="{00000000-0005-0000-0000-000030770000}"/>
    <cellStyle name="60% - Accent5 4 2 3" xfId="1246" xr:uid="{00000000-0005-0000-0000-000031770000}"/>
    <cellStyle name="60% - Accent5 4 2 3 10" xfId="16395" xr:uid="{00000000-0005-0000-0000-000032770000}"/>
    <cellStyle name="60% - Accent5 4 2 3 11" xfId="31544" xr:uid="{00000000-0005-0000-0000-000033770000}"/>
    <cellStyle name="60% - Accent5 4 2 3 12" xfId="33227" xr:uid="{00000000-0005-0000-0000-000034770000}"/>
    <cellStyle name="60% - Accent5 4 2 3 13" xfId="34910" xr:uid="{00000000-0005-0000-0000-000035770000}"/>
    <cellStyle name="60% - Accent5 4 2 3 14" xfId="36593" xr:uid="{00000000-0005-0000-0000-000036770000}"/>
    <cellStyle name="60% - Accent5 4 2 3 15" xfId="38276" xr:uid="{00000000-0005-0000-0000-000037770000}"/>
    <cellStyle name="60% - Accent5 4 2 3 16" xfId="39959" xr:uid="{00000000-0005-0000-0000-000038770000}"/>
    <cellStyle name="60% - Accent5 4 2 3 17" xfId="41642" xr:uid="{00000000-0005-0000-0000-000039770000}"/>
    <cellStyle name="60% - Accent5 4 2 3 18" xfId="43325" xr:uid="{00000000-0005-0000-0000-00003A770000}"/>
    <cellStyle name="60% - Accent5 4 2 3 19" xfId="45008" xr:uid="{00000000-0005-0000-0000-00003B770000}"/>
    <cellStyle name="60% - Accent5 4 2 3 2" xfId="2929" xr:uid="{00000000-0005-0000-0000-00003C770000}"/>
    <cellStyle name="60% - Accent5 4 2 3 2 2" xfId="18078" xr:uid="{00000000-0005-0000-0000-00003D770000}"/>
    <cellStyle name="60% - Accent5 4 2 3 20" xfId="46691" xr:uid="{00000000-0005-0000-0000-00003E770000}"/>
    <cellStyle name="60% - Accent5 4 2 3 21" xfId="48374" xr:uid="{00000000-0005-0000-0000-00003F770000}"/>
    <cellStyle name="60% - Accent5 4 2 3 22" xfId="50057" xr:uid="{00000000-0005-0000-0000-000040770000}"/>
    <cellStyle name="60% - Accent5 4 2 3 23" xfId="51740" xr:uid="{00000000-0005-0000-0000-000041770000}"/>
    <cellStyle name="60% - Accent5 4 2 3 24" xfId="53423" xr:uid="{00000000-0005-0000-0000-000042770000}"/>
    <cellStyle name="60% - Accent5 4 2 3 25" xfId="55106" xr:uid="{00000000-0005-0000-0000-000043770000}"/>
    <cellStyle name="60% - Accent5 4 2 3 26" xfId="56789" xr:uid="{00000000-0005-0000-0000-000044770000}"/>
    <cellStyle name="60% - Accent5 4 2 3 27" xfId="58472" xr:uid="{00000000-0005-0000-0000-000045770000}"/>
    <cellStyle name="60% - Accent5 4 2 3 28" xfId="60155" xr:uid="{00000000-0005-0000-0000-000046770000}"/>
    <cellStyle name="60% - Accent5 4 2 3 29" xfId="61838" xr:uid="{00000000-0005-0000-0000-000047770000}"/>
    <cellStyle name="60% - Accent5 4 2 3 3" xfId="4613" xr:uid="{00000000-0005-0000-0000-000048770000}"/>
    <cellStyle name="60% - Accent5 4 2 3 3 2" xfId="19762" xr:uid="{00000000-0005-0000-0000-000049770000}"/>
    <cellStyle name="60% - Accent5 4 2 3 30" xfId="63521" xr:uid="{00000000-0005-0000-0000-00004A770000}"/>
    <cellStyle name="60% - Accent5 4 2 3 4" xfId="6296" xr:uid="{00000000-0005-0000-0000-00004B770000}"/>
    <cellStyle name="60% - Accent5 4 2 3 4 2" xfId="21445" xr:uid="{00000000-0005-0000-0000-00004C770000}"/>
    <cellStyle name="60% - Accent5 4 2 3 5" xfId="7979" xr:uid="{00000000-0005-0000-0000-00004D770000}"/>
    <cellStyle name="60% - Accent5 4 2 3 5 2" xfId="23128" xr:uid="{00000000-0005-0000-0000-00004E770000}"/>
    <cellStyle name="60% - Accent5 4 2 3 6" xfId="9662" xr:uid="{00000000-0005-0000-0000-00004F770000}"/>
    <cellStyle name="60% - Accent5 4 2 3 6 2" xfId="24811" xr:uid="{00000000-0005-0000-0000-000050770000}"/>
    <cellStyle name="60% - Accent5 4 2 3 7" xfId="11345" xr:uid="{00000000-0005-0000-0000-000051770000}"/>
    <cellStyle name="60% - Accent5 4 2 3 7 2" xfId="26494" xr:uid="{00000000-0005-0000-0000-000052770000}"/>
    <cellStyle name="60% - Accent5 4 2 3 8" xfId="13029" xr:uid="{00000000-0005-0000-0000-000053770000}"/>
    <cellStyle name="60% - Accent5 4 2 3 8 2" xfId="28178" xr:uid="{00000000-0005-0000-0000-000054770000}"/>
    <cellStyle name="60% - Accent5 4 2 3 9" xfId="14712" xr:uid="{00000000-0005-0000-0000-000055770000}"/>
    <cellStyle name="60% - Accent5 4 2 3 9 2" xfId="29861" xr:uid="{00000000-0005-0000-0000-000056770000}"/>
    <cellStyle name="60% - Accent5 4 2 30" xfId="57631" xr:uid="{00000000-0005-0000-0000-000057770000}"/>
    <cellStyle name="60% - Accent5 4 2 31" xfId="59314" xr:uid="{00000000-0005-0000-0000-000058770000}"/>
    <cellStyle name="60% - Accent5 4 2 32" xfId="60997" xr:uid="{00000000-0005-0000-0000-000059770000}"/>
    <cellStyle name="60% - Accent5 4 2 33" xfId="62680" xr:uid="{00000000-0005-0000-0000-00005A770000}"/>
    <cellStyle name="60% - Accent5 4 2 4" xfId="1667" xr:uid="{00000000-0005-0000-0000-00005B770000}"/>
    <cellStyle name="60% - Accent5 4 2 4 10" xfId="16816" xr:uid="{00000000-0005-0000-0000-00005C770000}"/>
    <cellStyle name="60% - Accent5 4 2 4 11" xfId="31965" xr:uid="{00000000-0005-0000-0000-00005D770000}"/>
    <cellStyle name="60% - Accent5 4 2 4 12" xfId="33648" xr:uid="{00000000-0005-0000-0000-00005E770000}"/>
    <cellStyle name="60% - Accent5 4 2 4 13" xfId="35331" xr:uid="{00000000-0005-0000-0000-00005F770000}"/>
    <cellStyle name="60% - Accent5 4 2 4 14" xfId="37014" xr:uid="{00000000-0005-0000-0000-000060770000}"/>
    <cellStyle name="60% - Accent5 4 2 4 15" xfId="38697" xr:uid="{00000000-0005-0000-0000-000061770000}"/>
    <cellStyle name="60% - Accent5 4 2 4 16" xfId="40380" xr:uid="{00000000-0005-0000-0000-000062770000}"/>
    <cellStyle name="60% - Accent5 4 2 4 17" xfId="42063" xr:uid="{00000000-0005-0000-0000-000063770000}"/>
    <cellStyle name="60% - Accent5 4 2 4 18" xfId="43746" xr:uid="{00000000-0005-0000-0000-000064770000}"/>
    <cellStyle name="60% - Accent5 4 2 4 19" xfId="45429" xr:uid="{00000000-0005-0000-0000-000065770000}"/>
    <cellStyle name="60% - Accent5 4 2 4 2" xfId="3350" xr:uid="{00000000-0005-0000-0000-000066770000}"/>
    <cellStyle name="60% - Accent5 4 2 4 2 2" xfId="18499" xr:uid="{00000000-0005-0000-0000-000067770000}"/>
    <cellStyle name="60% - Accent5 4 2 4 20" xfId="47112" xr:uid="{00000000-0005-0000-0000-000068770000}"/>
    <cellStyle name="60% - Accent5 4 2 4 21" xfId="48795" xr:uid="{00000000-0005-0000-0000-000069770000}"/>
    <cellStyle name="60% - Accent5 4 2 4 22" xfId="50478" xr:uid="{00000000-0005-0000-0000-00006A770000}"/>
    <cellStyle name="60% - Accent5 4 2 4 23" xfId="52161" xr:uid="{00000000-0005-0000-0000-00006B770000}"/>
    <cellStyle name="60% - Accent5 4 2 4 24" xfId="53844" xr:uid="{00000000-0005-0000-0000-00006C770000}"/>
    <cellStyle name="60% - Accent5 4 2 4 25" xfId="55527" xr:uid="{00000000-0005-0000-0000-00006D770000}"/>
    <cellStyle name="60% - Accent5 4 2 4 26" xfId="57210" xr:uid="{00000000-0005-0000-0000-00006E770000}"/>
    <cellStyle name="60% - Accent5 4 2 4 27" xfId="58893" xr:uid="{00000000-0005-0000-0000-00006F770000}"/>
    <cellStyle name="60% - Accent5 4 2 4 28" xfId="60576" xr:uid="{00000000-0005-0000-0000-000070770000}"/>
    <cellStyle name="60% - Accent5 4 2 4 29" xfId="62259" xr:uid="{00000000-0005-0000-0000-000071770000}"/>
    <cellStyle name="60% - Accent5 4 2 4 3" xfId="5034" xr:uid="{00000000-0005-0000-0000-000072770000}"/>
    <cellStyle name="60% - Accent5 4 2 4 3 2" xfId="20183" xr:uid="{00000000-0005-0000-0000-000073770000}"/>
    <cellStyle name="60% - Accent5 4 2 4 30" xfId="63942" xr:uid="{00000000-0005-0000-0000-000074770000}"/>
    <cellStyle name="60% - Accent5 4 2 4 4" xfId="6717" xr:uid="{00000000-0005-0000-0000-000075770000}"/>
    <cellStyle name="60% - Accent5 4 2 4 4 2" xfId="21866" xr:uid="{00000000-0005-0000-0000-000076770000}"/>
    <cellStyle name="60% - Accent5 4 2 4 5" xfId="8400" xr:uid="{00000000-0005-0000-0000-000077770000}"/>
    <cellStyle name="60% - Accent5 4 2 4 5 2" xfId="23549" xr:uid="{00000000-0005-0000-0000-000078770000}"/>
    <cellStyle name="60% - Accent5 4 2 4 6" xfId="10083" xr:uid="{00000000-0005-0000-0000-000079770000}"/>
    <cellStyle name="60% - Accent5 4 2 4 6 2" xfId="25232" xr:uid="{00000000-0005-0000-0000-00007A770000}"/>
    <cellStyle name="60% - Accent5 4 2 4 7" xfId="11766" xr:uid="{00000000-0005-0000-0000-00007B770000}"/>
    <cellStyle name="60% - Accent5 4 2 4 7 2" xfId="26915" xr:uid="{00000000-0005-0000-0000-00007C770000}"/>
    <cellStyle name="60% - Accent5 4 2 4 8" xfId="13450" xr:uid="{00000000-0005-0000-0000-00007D770000}"/>
    <cellStyle name="60% - Accent5 4 2 4 8 2" xfId="28599" xr:uid="{00000000-0005-0000-0000-00007E770000}"/>
    <cellStyle name="60% - Accent5 4 2 4 9" xfId="15133" xr:uid="{00000000-0005-0000-0000-00007F770000}"/>
    <cellStyle name="60% - Accent5 4 2 4 9 2" xfId="30282" xr:uid="{00000000-0005-0000-0000-000080770000}"/>
    <cellStyle name="60% - Accent5 4 2 5" xfId="2088" xr:uid="{00000000-0005-0000-0000-000081770000}"/>
    <cellStyle name="60% - Accent5 4 2 5 2" xfId="17237" xr:uid="{00000000-0005-0000-0000-000082770000}"/>
    <cellStyle name="60% - Accent5 4 2 6" xfId="3772" xr:uid="{00000000-0005-0000-0000-000083770000}"/>
    <cellStyle name="60% - Accent5 4 2 6 2" xfId="18921" xr:uid="{00000000-0005-0000-0000-000084770000}"/>
    <cellStyle name="60% - Accent5 4 2 7" xfId="5455" xr:uid="{00000000-0005-0000-0000-000085770000}"/>
    <cellStyle name="60% - Accent5 4 2 7 2" xfId="20604" xr:uid="{00000000-0005-0000-0000-000086770000}"/>
    <cellStyle name="60% - Accent5 4 2 8" xfId="7138" xr:uid="{00000000-0005-0000-0000-000087770000}"/>
    <cellStyle name="60% - Accent5 4 2 8 2" xfId="22287" xr:uid="{00000000-0005-0000-0000-000088770000}"/>
    <cellStyle name="60% - Accent5 4 2 9" xfId="8821" xr:uid="{00000000-0005-0000-0000-000089770000}"/>
    <cellStyle name="60% - Accent5 4 2 9 2" xfId="23970" xr:uid="{00000000-0005-0000-0000-00008A770000}"/>
    <cellStyle name="60% - Accent5 4 20" xfId="38908" xr:uid="{00000000-0005-0000-0000-00008B770000}"/>
    <cellStyle name="60% - Accent5 4 21" xfId="40591" xr:uid="{00000000-0005-0000-0000-00008C770000}"/>
    <cellStyle name="60% - Accent5 4 22" xfId="42274" xr:uid="{00000000-0005-0000-0000-00008D770000}"/>
    <cellStyle name="60% - Accent5 4 23" xfId="43957" xr:uid="{00000000-0005-0000-0000-00008E770000}"/>
    <cellStyle name="60% - Accent5 4 24" xfId="45640" xr:uid="{00000000-0005-0000-0000-00008F770000}"/>
    <cellStyle name="60% - Accent5 4 25" xfId="47323" xr:uid="{00000000-0005-0000-0000-000090770000}"/>
    <cellStyle name="60% - Accent5 4 26" xfId="49006" xr:uid="{00000000-0005-0000-0000-000091770000}"/>
    <cellStyle name="60% - Accent5 4 27" xfId="50689" xr:uid="{00000000-0005-0000-0000-000092770000}"/>
    <cellStyle name="60% - Accent5 4 28" xfId="52372" xr:uid="{00000000-0005-0000-0000-000093770000}"/>
    <cellStyle name="60% - Accent5 4 29" xfId="54055" xr:uid="{00000000-0005-0000-0000-000094770000}"/>
    <cellStyle name="60% - Accent5 4 3" xfId="615" xr:uid="{00000000-0005-0000-0000-000095770000}"/>
    <cellStyle name="60% - Accent5 4 3 10" xfId="15764" xr:uid="{00000000-0005-0000-0000-000096770000}"/>
    <cellStyle name="60% - Accent5 4 3 11" xfId="30913" xr:uid="{00000000-0005-0000-0000-000097770000}"/>
    <cellStyle name="60% - Accent5 4 3 12" xfId="32596" xr:uid="{00000000-0005-0000-0000-000098770000}"/>
    <cellStyle name="60% - Accent5 4 3 13" xfId="34279" xr:uid="{00000000-0005-0000-0000-000099770000}"/>
    <cellStyle name="60% - Accent5 4 3 14" xfId="35962" xr:uid="{00000000-0005-0000-0000-00009A770000}"/>
    <cellStyle name="60% - Accent5 4 3 15" xfId="37645" xr:uid="{00000000-0005-0000-0000-00009B770000}"/>
    <cellStyle name="60% - Accent5 4 3 16" xfId="39328" xr:uid="{00000000-0005-0000-0000-00009C770000}"/>
    <cellStyle name="60% - Accent5 4 3 17" xfId="41011" xr:uid="{00000000-0005-0000-0000-00009D770000}"/>
    <cellStyle name="60% - Accent5 4 3 18" xfId="42694" xr:uid="{00000000-0005-0000-0000-00009E770000}"/>
    <cellStyle name="60% - Accent5 4 3 19" xfId="44377" xr:uid="{00000000-0005-0000-0000-00009F770000}"/>
    <cellStyle name="60% - Accent5 4 3 2" xfId="2298" xr:uid="{00000000-0005-0000-0000-0000A0770000}"/>
    <cellStyle name="60% - Accent5 4 3 2 2" xfId="17447" xr:uid="{00000000-0005-0000-0000-0000A1770000}"/>
    <cellStyle name="60% - Accent5 4 3 20" xfId="46060" xr:uid="{00000000-0005-0000-0000-0000A2770000}"/>
    <cellStyle name="60% - Accent5 4 3 21" xfId="47743" xr:uid="{00000000-0005-0000-0000-0000A3770000}"/>
    <cellStyle name="60% - Accent5 4 3 22" xfId="49426" xr:uid="{00000000-0005-0000-0000-0000A4770000}"/>
    <cellStyle name="60% - Accent5 4 3 23" xfId="51109" xr:uid="{00000000-0005-0000-0000-0000A5770000}"/>
    <cellStyle name="60% - Accent5 4 3 24" xfId="52792" xr:uid="{00000000-0005-0000-0000-0000A6770000}"/>
    <cellStyle name="60% - Accent5 4 3 25" xfId="54475" xr:uid="{00000000-0005-0000-0000-0000A7770000}"/>
    <cellStyle name="60% - Accent5 4 3 26" xfId="56158" xr:uid="{00000000-0005-0000-0000-0000A8770000}"/>
    <cellStyle name="60% - Accent5 4 3 27" xfId="57841" xr:uid="{00000000-0005-0000-0000-0000A9770000}"/>
    <cellStyle name="60% - Accent5 4 3 28" xfId="59524" xr:uid="{00000000-0005-0000-0000-0000AA770000}"/>
    <cellStyle name="60% - Accent5 4 3 29" xfId="61207" xr:uid="{00000000-0005-0000-0000-0000AB770000}"/>
    <cellStyle name="60% - Accent5 4 3 3" xfId="3982" xr:uid="{00000000-0005-0000-0000-0000AC770000}"/>
    <cellStyle name="60% - Accent5 4 3 3 2" xfId="19131" xr:uid="{00000000-0005-0000-0000-0000AD770000}"/>
    <cellStyle name="60% - Accent5 4 3 30" xfId="62890" xr:uid="{00000000-0005-0000-0000-0000AE770000}"/>
    <cellStyle name="60% - Accent5 4 3 4" xfId="5665" xr:uid="{00000000-0005-0000-0000-0000AF770000}"/>
    <cellStyle name="60% - Accent5 4 3 4 2" xfId="20814" xr:uid="{00000000-0005-0000-0000-0000B0770000}"/>
    <cellStyle name="60% - Accent5 4 3 5" xfId="7348" xr:uid="{00000000-0005-0000-0000-0000B1770000}"/>
    <cellStyle name="60% - Accent5 4 3 5 2" xfId="22497" xr:uid="{00000000-0005-0000-0000-0000B2770000}"/>
    <cellStyle name="60% - Accent5 4 3 6" xfId="9031" xr:uid="{00000000-0005-0000-0000-0000B3770000}"/>
    <cellStyle name="60% - Accent5 4 3 6 2" xfId="24180" xr:uid="{00000000-0005-0000-0000-0000B4770000}"/>
    <cellStyle name="60% - Accent5 4 3 7" xfId="10714" xr:uid="{00000000-0005-0000-0000-0000B5770000}"/>
    <cellStyle name="60% - Accent5 4 3 7 2" xfId="25863" xr:uid="{00000000-0005-0000-0000-0000B6770000}"/>
    <cellStyle name="60% - Accent5 4 3 8" xfId="12398" xr:uid="{00000000-0005-0000-0000-0000B7770000}"/>
    <cellStyle name="60% - Accent5 4 3 8 2" xfId="27547" xr:uid="{00000000-0005-0000-0000-0000B8770000}"/>
    <cellStyle name="60% - Accent5 4 3 9" xfId="14081" xr:uid="{00000000-0005-0000-0000-0000B9770000}"/>
    <cellStyle name="60% - Accent5 4 3 9 2" xfId="29230" xr:uid="{00000000-0005-0000-0000-0000BA770000}"/>
    <cellStyle name="60% - Accent5 4 30" xfId="55738" xr:uid="{00000000-0005-0000-0000-0000BB770000}"/>
    <cellStyle name="60% - Accent5 4 31" xfId="57421" xr:uid="{00000000-0005-0000-0000-0000BC770000}"/>
    <cellStyle name="60% - Accent5 4 32" xfId="59104" xr:uid="{00000000-0005-0000-0000-0000BD770000}"/>
    <cellStyle name="60% - Accent5 4 33" xfId="60787" xr:uid="{00000000-0005-0000-0000-0000BE770000}"/>
    <cellStyle name="60% - Accent5 4 34" xfId="62470" xr:uid="{00000000-0005-0000-0000-0000BF770000}"/>
    <cellStyle name="60% - Accent5 4 4" xfId="1036" xr:uid="{00000000-0005-0000-0000-0000C0770000}"/>
    <cellStyle name="60% - Accent5 4 4 10" xfId="16185" xr:uid="{00000000-0005-0000-0000-0000C1770000}"/>
    <cellStyle name="60% - Accent5 4 4 11" xfId="31334" xr:uid="{00000000-0005-0000-0000-0000C2770000}"/>
    <cellStyle name="60% - Accent5 4 4 12" xfId="33017" xr:uid="{00000000-0005-0000-0000-0000C3770000}"/>
    <cellStyle name="60% - Accent5 4 4 13" xfId="34700" xr:uid="{00000000-0005-0000-0000-0000C4770000}"/>
    <cellStyle name="60% - Accent5 4 4 14" xfId="36383" xr:uid="{00000000-0005-0000-0000-0000C5770000}"/>
    <cellStyle name="60% - Accent5 4 4 15" xfId="38066" xr:uid="{00000000-0005-0000-0000-0000C6770000}"/>
    <cellStyle name="60% - Accent5 4 4 16" xfId="39749" xr:uid="{00000000-0005-0000-0000-0000C7770000}"/>
    <cellStyle name="60% - Accent5 4 4 17" xfId="41432" xr:uid="{00000000-0005-0000-0000-0000C8770000}"/>
    <cellStyle name="60% - Accent5 4 4 18" xfId="43115" xr:uid="{00000000-0005-0000-0000-0000C9770000}"/>
    <cellStyle name="60% - Accent5 4 4 19" xfId="44798" xr:uid="{00000000-0005-0000-0000-0000CA770000}"/>
    <cellStyle name="60% - Accent5 4 4 2" xfId="2719" xr:uid="{00000000-0005-0000-0000-0000CB770000}"/>
    <cellStyle name="60% - Accent5 4 4 2 2" xfId="17868" xr:uid="{00000000-0005-0000-0000-0000CC770000}"/>
    <cellStyle name="60% - Accent5 4 4 20" xfId="46481" xr:uid="{00000000-0005-0000-0000-0000CD770000}"/>
    <cellStyle name="60% - Accent5 4 4 21" xfId="48164" xr:uid="{00000000-0005-0000-0000-0000CE770000}"/>
    <cellStyle name="60% - Accent5 4 4 22" xfId="49847" xr:uid="{00000000-0005-0000-0000-0000CF770000}"/>
    <cellStyle name="60% - Accent5 4 4 23" xfId="51530" xr:uid="{00000000-0005-0000-0000-0000D0770000}"/>
    <cellStyle name="60% - Accent5 4 4 24" xfId="53213" xr:uid="{00000000-0005-0000-0000-0000D1770000}"/>
    <cellStyle name="60% - Accent5 4 4 25" xfId="54896" xr:uid="{00000000-0005-0000-0000-0000D2770000}"/>
    <cellStyle name="60% - Accent5 4 4 26" xfId="56579" xr:uid="{00000000-0005-0000-0000-0000D3770000}"/>
    <cellStyle name="60% - Accent5 4 4 27" xfId="58262" xr:uid="{00000000-0005-0000-0000-0000D4770000}"/>
    <cellStyle name="60% - Accent5 4 4 28" xfId="59945" xr:uid="{00000000-0005-0000-0000-0000D5770000}"/>
    <cellStyle name="60% - Accent5 4 4 29" xfId="61628" xr:uid="{00000000-0005-0000-0000-0000D6770000}"/>
    <cellStyle name="60% - Accent5 4 4 3" xfId="4403" xr:uid="{00000000-0005-0000-0000-0000D7770000}"/>
    <cellStyle name="60% - Accent5 4 4 3 2" xfId="19552" xr:uid="{00000000-0005-0000-0000-0000D8770000}"/>
    <cellStyle name="60% - Accent5 4 4 30" xfId="63311" xr:uid="{00000000-0005-0000-0000-0000D9770000}"/>
    <cellStyle name="60% - Accent5 4 4 4" xfId="6086" xr:uid="{00000000-0005-0000-0000-0000DA770000}"/>
    <cellStyle name="60% - Accent5 4 4 4 2" xfId="21235" xr:uid="{00000000-0005-0000-0000-0000DB770000}"/>
    <cellStyle name="60% - Accent5 4 4 5" xfId="7769" xr:uid="{00000000-0005-0000-0000-0000DC770000}"/>
    <cellStyle name="60% - Accent5 4 4 5 2" xfId="22918" xr:uid="{00000000-0005-0000-0000-0000DD770000}"/>
    <cellStyle name="60% - Accent5 4 4 6" xfId="9452" xr:uid="{00000000-0005-0000-0000-0000DE770000}"/>
    <cellStyle name="60% - Accent5 4 4 6 2" xfId="24601" xr:uid="{00000000-0005-0000-0000-0000DF770000}"/>
    <cellStyle name="60% - Accent5 4 4 7" xfId="11135" xr:uid="{00000000-0005-0000-0000-0000E0770000}"/>
    <cellStyle name="60% - Accent5 4 4 7 2" xfId="26284" xr:uid="{00000000-0005-0000-0000-0000E1770000}"/>
    <cellStyle name="60% - Accent5 4 4 8" xfId="12819" xr:uid="{00000000-0005-0000-0000-0000E2770000}"/>
    <cellStyle name="60% - Accent5 4 4 8 2" xfId="27968" xr:uid="{00000000-0005-0000-0000-0000E3770000}"/>
    <cellStyle name="60% - Accent5 4 4 9" xfId="14502" xr:uid="{00000000-0005-0000-0000-0000E4770000}"/>
    <cellStyle name="60% - Accent5 4 4 9 2" xfId="29651" xr:uid="{00000000-0005-0000-0000-0000E5770000}"/>
    <cellStyle name="60% - Accent5 4 5" xfId="1457" xr:uid="{00000000-0005-0000-0000-0000E6770000}"/>
    <cellStyle name="60% - Accent5 4 5 10" xfId="16606" xr:uid="{00000000-0005-0000-0000-0000E7770000}"/>
    <cellStyle name="60% - Accent5 4 5 11" xfId="31755" xr:uid="{00000000-0005-0000-0000-0000E8770000}"/>
    <cellStyle name="60% - Accent5 4 5 12" xfId="33438" xr:uid="{00000000-0005-0000-0000-0000E9770000}"/>
    <cellStyle name="60% - Accent5 4 5 13" xfId="35121" xr:uid="{00000000-0005-0000-0000-0000EA770000}"/>
    <cellStyle name="60% - Accent5 4 5 14" xfId="36804" xr:uid="{00000000-0005-0000-0000-0000EB770000}"/>
    <cellStyle name="60% - Accent5 4 5 15" xfId="38487" xr:uid="{00000000-0005-0000-0000-0000EC770000}"/>
    <cellStyle name="60% - Accent5 4 5 16" xfId="40170" xr:uid="{00000000-0005-0000-0000-0000ED770000}"/>
    <cellStyle name="60% - Accent5 4 5 17" xfId="41853" xr:uid="{00000000-0005-0000-0000-0000EE770000}"/>
    <cellStyle name="60% - Accent5 4 5 18" xfId="43536" xr:uid="{00000000-0005-0000-0000-0000EF770000}"/>
    <cellStyle name="60% - Accent5 4 5 19" xfId="45219" xr:uid="{00000000-0005-0000-0000-0000F0770000}"/>
    <cellStyle name="60% - Accent5 4 5 2" xfId="3140" xr:uid="{00000000-0005-0000-0000-0000F1770000}"/>
    <cellStyle name="60% - Accent5 4 5 2 2" xfId="18289" xr:uid="{00000000-0005-0000-0000-0000F2770000}"/>
    <cellStyle name="60% - Accent5 4 5 20" xfId="46902" xr:uid="{00000000-0005-0000-0000-0000F3770000}"/>
    <cellStyle name="60% - Accent5 4 5 21" xfId="48585" xr:uid="{00000000-0005-0000-0000-0000F4770000}"/>
    <cellStyle name="60% - Accent5 4 5 22" xfId="50268" xr:uid="{00000000-0005-0000-0000-0000F5770000}"/>
    <cellStyle name="60% - Accent5 4 5 23" xfId="51951" xr:uid="{00000000-0005-0000-0000-0000F6770000}"/>
    <cellStyle name="60% - Accent5 4 5 24" xfId="53634" xr:uid="{00000000-0005-0000-0000-0000F7770000}"/>
    <cellStyle name="60% - Accent5 4 5 25" xfId="55317" xr:uid="{00000000-0005-0000-0000-0000F8770000}"/>
    <cellStyle name="60% - Accent5 4 5 26" xfId="57000" xr:uid="{00000000-0005-0000-0000-0000F9770000}"/>
    <cellStyle name="60% - Accent5 4 5 27" xfId="58683" xr:uid="{00000000-0005-0000-0000-0000FA770000}"/>
    <cellStyle name="60% - Accent5 4 5 28" xfId="60366" xr:uid="{00000000-0005-0000-0000-0000FB770000}"/>
    <cellStyle name="60% - Accent5 4 5 29" xfId="62049" xr:uid="{00000000-0005-0000-0000-0000FC770000}"/>
    <cellStyle name="60% - Accent5 4 5 3" xfId="4824" xr:uid="{00000000-0005-0000-0000-0000FD770000}"/>
    <cellStyle name="60% - Accent5 4 5 3 2" xfId="19973" xr:uid="{00000000-0005-0000-0000-0000FE770000}"/>
    <cellStyle name="60% - Accent5 4 5 30" xfId="63732" xr:uid="{00000000-0005-0000-0000-0000FF770000}"/>
    <cellStyle name="60% - Accent5 4 5 4" xfId="6507" xr:uid="{00000000-0005-0000-0000-000000780000}"/>
    <cellStyle name="60% - Accent5 4 5 4 2" xfId="21656" xr:uid="{00000000-0005-0000-0000-000001780000}"/>
    <cellStyle name="60% - Accent5 4 5 5" xfId="8190" xr:uid="{00000000-0005-0000-0000-000002780000}"/>
    <cellStyle name="60% - Accent5 4 5 5 2" xfId="23339" xr:uid="{00000000-0005-0000-0000-000003780000}"/>
    <cellStyle name="60% - Accent5 4 5 6" xfId="9873" xr:uid="{00000000-0005-0000-0000-000004780000}"/>
    <cellStyle name="60% - Accent5 4 5 6 2" xfId="25022" xr:uid="{00000000-0005-0000-0000-000005780000}"/>
    <cellStyle name="60% - Accent5 4 5 7" xfId="11556" xr:uid="{00000000-0005-0000-0000-000006780000}"/>
    <cellStyle name="60% - Accent5 4 5 7 2" xfId="26705" xr:uid="{00000000-0005-0000-0000-000007780000}"/>
    <cellStyle name="60% - Accent5 4 5 8" xfId="13240" xr:uid="{00000000-0005-0000-0000-000008780000}"/>
    <cellStyle name="60% - Accent5 4 5 8 2" xfId="28389" xr:uid="{00000000-0005-0000-0000-000009780000}"/>
    <cellStyle name="60% - Accent5 4 5 9" xfId="14923" xr:uid="{00000000-0005-0000-0000-00000A780000}"/>
    <cellStyle name="60% - Accent5 4 5 9 2" xfId="30072" xr:uid="{00000000-0005-0000-0000-00000B780000}"/>
    <cellStyle name="60% - Accent5 4 6" xfId="1878" xr:uid="{00000000-0005-0000-0000-00000C780000}"/>
    <cellStyle name="60% - Accent5 4 6 2" xfId="17027" xr:uid="{00000000-0005-0000-0000-00000D780000}"/>
    <cellStyle name="60% - Accent5 4 7" xfId="3562" xr:uid="{00000000-0005-0000-0000-00000E780000}"/>
    <cellStyle name="60% - Accent5 4 7 2" xfId="18711" xr:uid="{00000000-0005-0000-0000-00000F780000}"/>
    <cellStyle name="60% - Accent5 4 8" xfId="5245" xr:uid="{00000000-0005-0000-0000-000010780000}"/>
    <cellStyle name="60% - Accent5 4 8 2" xfId="20394" xr:uid="{00000000-0005-0000-0000-000011780000}"/>
    <cellStyle name="60% - Accent5 4 9" xfId="6928" xr:uid="{00000000-0005-0000-0000-000012780000}"/>
    <cellStyle name="60% - Accent5 4 9 2" xfId="22077" xr:uid="{00000000-0005-0000-0000-000013780000}"/>
    <cellStyle name="60% - Accent5 5" xfId="300" xr:uid="{00000000-0005-0000-0000-000014780000}"/>
    <cellStyle name="60% - Accent5 5 10" xfId="10399" xr:uid="{00000000-0005-0000-0000-000015780000}"/>
    <cellStyle name="60% - Accent5 5 10 2" xfId="25548" xr:uid="{00000000-0005-0000-0000-000016780000}"/>
    <cellStyle name="60% - Accent5 5 11" xfId="12083" xr:uid="{00000000-0005-0000-0000-000017780000}"/>
    <cellStyle name="60% - Accent5 5 11 2" xfId="27232" xr:uid="{00000000-0005-0000-0000-000018780000}"/>
    <cellStyle name="60% - Accent5 5 12" xfId="13766" xr:uid="{00000000-0005-0000-0000-000019780000}"/>
    <cellStyle name="60% - Accent5 5 12 2" xfId="28915" xr:uid="{00000000-0005-0000-0000-00001A780000}"/>
    <cellStyle name="60% - Accent5 5 13" xfId="15449" xr:uid="{00000000-0005-0000-0000-00001B780000}"/>
    <cellStyle name="60% - Accent5 5 14" xfId="30598" xr:uid="{00000000-0005-0000-0000-00001C780000}"/>
    <cellStyle name="60% - Accent5 5 15" xfId="32281" xr:uid="{00000000-0005-0000-0000-00001D780000}"/>
    <cellStyle name="60% - Accent5 5 16" xfId="33964" xr:uid="{00000000-0005-0000-0000-00001E780000}"/>
    <cellStyle name="60% - Accent5 5 17" xfId="35647" xr:uid="{00000000-0005-0000-0000-00001F780000}"/>
    <cellStyle name="60% - Accent5 5 18" xfId="37330" xr:uid="{00000000-0005-0000-0000-000020780000}"/>
    <cellStyle name="60% - Accent5 5 19" xfId="39013" xr:uid="{00000000-0005-0000-0000-000021780000}"/>
    <cellStyle name="60% - Accent5 5 2" xfId="720" xr:uid="{00000000-0005-0000-0000-000022780000}"/>
    <cellStyle name="60% - Accent5 5 2 10" xfId="15869" xr:uid="{00000000-0005-0000-0000-000023780000}"/>
    <cellStyle name="60% - Accent5 5 2 11" xfId="31018" xr:uid="{00000000-0005-0000-0000-000024780000}"/>
    <cellStyle name="60% - Accent5 5 2 12" xfId="32701" xr:uid="{00000000-0005-0000-0000-000025780000}"/>
    <cellStyle name="60% - Accent5 5 2 13" xfId="34384" xr:uid="{00000000-0005-0000-0000-000026780000}"/>
    <cellStyle name="60% - Accent5 5 2 14" xfId="36067" xr:uid="{00000000-0005-0000-0000-000027780000}"/>
    <cellStyle name="60% - Accent5 5 2 15" xfId="37750" xr:uid="{00000000-0005-0000-0000-000028780000}"/>
    <cellStyle name="60% - Accent5 5 2 16" xfId="39433" xr:uid="{00000000-0005-0000-0000-000029780000}"/>
    <cellStyle name="60% - Accent5 5 2 17" xfId="41116" xr:uid="{00000000-0005-0000-0000-00002A780000}"/>
    <cellStyle name="60% - Accent5 5 2 18" xfId="42799" xr:uid="{00000000-0005-0000-0000-00002B780000}"/>
    <cellStyle name="60% - Accent5 5 2 19" xfId="44482" xr:uid="{00000000-0005-0000-0000-00002C780000}"/>
    <cellStyle name="60% - Accent5 5 2 2" xfId="2403" xr:uid="{00000000-0005-0000-0000-00002D780000}"/>
    <cellStyle name="60% - Accent5 5 2 2 2" xfId="17552" xr:uid="{00000000-0005-0000-0000-00002E780000}"/>
    <cellStyle name="60% - Accent5 5 2 20" xfId="46165" xr:uid="{00000000-0005-0000-0000-00002F780000}"/>
    <cellStyle name="60% - Accent5 5 2 21" xfId="47848" xr:uid="{00000000-0005-0000-0000-000030780000}"/>
    <cellStyle name="60% - Accent5 5 2 22" xfId="49531" xr:uid="{00000000-0005-0000-0000-000031780000}"/>
    <cellStyle name="60% - Accent5 5 2 23" xfId="51214" xr:uid="{00000000-0005-0000-0000-000032780000}"/>
    <cellStyle name="60% - Accent5 5 2 24" xfId="52897" xr:uid="{00000000-0005-0000-0000-000033780000}"/>
    <cellStyle name="60% - Accent5 5 2 25" xfId="54580" xr:uid="{00000000-0005-0000-0000-000034780000}"/>
    <cellStyle name="60% - Accent5 5 2 26" xfId="56263" xr:uid="{00000000-0005-0000-0000-000035780000}"/>
    <cellStyle name="60% - Accent5 5 2 27" xfId="57946" xr:uid="{00000000-0005-0000-0000-000036780000}"/>
    <cellStyle name="60% - Accent5 5 2 28" xfId="59629" xr:uid="{00000000-0005-0000-0000-000037780000}"/>
    <cellStyle name="60% - Accent5 5 2 29" xfId="61312" xr:uid="{00000000-0005-0000-0000-000038780000}"/>
    <cellStyle name="60% - Accent5 5 2 3" xfId="4087" xr:uid="{00000000-0005-0000-0000-000039780000}"/>
    <cellStyle name="60% - Accent5 5 2 3 2" xfId="19236" xr:uid="{00000000-0005-0000-0000-00003A780000}"/>
    <cellStyle name="60% - Accent5 5 2 30" xfId="62995" xr:uid="{00000000-0005-0000-0000-00003B780000}"/>
    <cellStyle name="60% - Accent5 5 2 4" xfId="5770" xr:uid="{00000000-0005-0000-0000-00003C780000}"/>
    <cellStyle name="60% - Accent5 5 2 4 2" xfId="20919" xr:uid="{00000000-0005-0000-0000-00003D780000}"/>
    <cellStyle name="60% - Accent5 5 2 5" xfId="7453" xr:uid="{00000000-0005-0000-0000-00003E780000}"/>
    <cellStyle name="60% - Accent5 5 2 5 2" xfId="22602" xr:uid="{00000000-0005-0000-0000-00003F780000}"/>
    <cellStyle name="60% - Accent5 5 2 6" xfId="9136" xr:uid="{00000000-0005-0000-0000-000040780000}"/>
    <cellStyle name="60% - Accent5 5 2 6 2" xfId="24285" xr:uid="{00000000-0005-0000-0000-000041780000}"/>
    <cellStyle name="60% - Accent5 5 2 7" xfId="10819" xr:uid="{00000000-0005-0000-0000-000042780000}"/>
    <cellStyle name="60% - Accent5 5 2 7 2" xfId="25968" xr:uid="{00000000-0005-0000-0000-000043780000}"/>
    <cellStyle name="60% - Accent5 5 2 8" xfId="12503" xr:uid="{00000000-0005-0000-0000-000044780000}"/>
    <cellStyle name="60% - Accent5 5 2 8 2" xfId="27652" xr:uid="{00000000-0005-0000-0000-000045780000}"/>
    <cellStyle name="60% - Accent5 5 2 9" xfId="14186" xr:uid="{00000000-0005-0000-0000-000046780000}"/>
    <cellStyle name="60% - Accent5 5 2 9 2" xfId="29335" xr:uid="{00000000-0005-0000-0000-000047780000}"/>
    <cellStyle name="60% - Accent5 5 20" xfId="40696" xr:uid="{00000000-0005-0000-0000-000048780000}"/>
    <cellStyle name="60% - Accent5 5 21" xfId="42379" xr:uid="{00000000-0005-0000-0000-000049780000}"/>
    <cellStyle name="60% - Accent5 5 22" xfId="44062" xr:uid="{00000000-0005-0000-0000-00004A780000}"/>
    <cellStyle name="60% - Accent5 5 23" xfId="45745" xr:uid="{00000000-0005-0000-0000-00004B780000}"/>
    <cellStyle name="60% - Accent5 5 24" xfId="47428" xr:uid="{00000000-0005-0000-0000-00004C780000}"/>
    <cellStyle name="60% - Accent5 5 25" xfId="49111" xr:uid="{00000000-0005-0000-0000-00004D780000}"/>
    <cellStyle name="60% - Accent5 5 26" xfId="50794" xr:uid="{00000000-0005-0000-0000-00004E780000}"/>
    <cellStyle name="60% - Accent5 5 27" xfId="52477" xr:uid="{00000000-0005-0000-0000-00004F780000}"/>
    <cellStyle name="60% - Accent5 5 28" xfId="54160" xr:uid="{00000000-0005-0000-0000-000050780000}"/>
    <cellStyle name="60% - Accent5 5 29" xfId="55843" xr:uid="{00000000-0005-0000-0000-000051780000}"/>
    <cellStyle name="60% - Accent5 5 3" xfId="1141" xr:uid="{00000000-0005-0000-0000-000052780000}"/>
    <cellStyle name="60% - Accent5 5 3 10" xfId="16290" xr:uid="{00000000-0005-0000-0000-000053780000}"/>
    <cellStyle name="60% - Accent5 5 3 11" xfId="31439" xr:uid="{00000000-0005-0000-0000-000054780000}"/>
    <cellStyle name="60% - Accent5 5 3 12" xfId="33122" xr:uid="{00000000-0005-0000-0000-000055780000}"/>
    <cellStyle name="60% - Accent5 5 3 13" xfId="34805" xr:uid="{00000000-0005-0000-0000-000056780000}"/>
    <cellStyle name="60% - Accent5 5 3 14" xfId="36488" xr:uid="{00000000-0005-0000-0000-000057780000}"/>
    <cellStyle name="60% - Accent5 5 3 15" xfId="38171" xr:uid="{00000000-0005-0000-0000-000058780000}"/>
    <cellStyle name="60% - Accent5 5 3 16" xfId="39854" xr:uid="{00000000-0005-0000-0000-000059780000}"/>
    <cellStyle name="60% - Accent5 5 3 17" xfId="41537" xr:uid="{00000000-0005-0000-0000-00005A780000}"/>
    <cellStyle name="60% - Accent5 5 3 18" xfId="43220" xr:uid="{00000000-0005-0000-0000-00005B780000}"/>
    <cellStyle name="60% - Accent5 5 3 19" xfId="44903" xr:uid="{00000000-0005-0000-0000-00005C780000}"/>
    <cellStyle name="60% - Accent5 5 3 2" xfId="2824" xr:uid="{00000000-0005-0000-0000-00005D780000}"/>
    <cellStyle name="60% - Accent5 5 3 2 2" xfId="17973" xr:uid="{00000000-0005-0000-0000-00005E780000}"/>
    <cellStyle name="60% - Accent5 5 3 20" xfId="46586" xr:uid="{00000000-0005-0000-0000-00005F780000}"/>
    <cellStyle name="60% - Accent5 5 3 21" xfId="48269" xr:uid="{00000000-0005-0000-0000-000060780000}"/>
    <cellStyle name="60% - Accent5 5 3 22" xfId="49952" xr:uid="{00000000-0005-0000-0000-000061780000}"/>
    <cellStyle name="60% - Accent5 5 3 23" xfId="51635" xr:uid="{00000000-0005-0000-0000-000062780000}"/>
    <cellStyle name="60% - Accent5 5 3 24" xfId="53318" xr:uid="{00000000-0005-0000-0000-000063780000}"/>
    <cellStyle name="60% - Accent5 5 3 25" xfId="55001" xr:uid="{00000000-0005-0000-0000-000064780000}"/>
    <cellStyle name="60% - Accent5 5 3 26" xfId="56684" xr:uid="{00000000-0005-0000-0000-000065780000}"/>
    <cellStyle name="60% - Accent5 5 3 27" xfId="58367" xr:uid="{00000000-0005-0000-0000-000066780000}"/>
    <cellStyle name="60% - Accent5 5 3 28" xfId="60050" xr:uid="{00000000-0005-0000-0000-000067780000}"/>
    <cellStyle name="60% - Accent5 5 3 29" xfId="61733" xr:uid="{00000000-0005-0000-0000-000068780000}"/>
    <cellStyle name="60% - Accent5 5 3 3" xfId="4508" xr:uid="{00000000-0005-0000-0000-000069780000}"/>
    <cellStyle name="60% - Accent5 5 3 3 2" xfId="19657" xr:uid="{00000000-0005-0000-0000-00006A780000}"/>
    <cellStyle name="60% - Accent5 5 3 30" xfId="63416" xr:uid="{00000000-0005-0000-0000-00006B780000}"/>
    <cellStyle name="60% - Accent5 5 3 4" xfId="6191" xr:uid="{00000000-0005-0000-0000-00006C780000}"/>
    <cellStyle name="60% - Accent5 5 3 4 2" xfId="21340" xr:uid="{00000000-0005-0000-0000-00006D780000}"/>
    <cellStyle name="60% - Accent5 5 3 5" xfId="7874" xr:uid="{00000000-0005-0000-0000-00006E780000}"/>
    <cellStyle name="60% - Accent5 5 3 5 2" xfId="23023" xr:uid="{00000000-0005-0000-0000-00006F780000}"/>
    <cellStyle name="60% - Accent5 5 3 6" xfId="9557" xr:uid="{00000000-0005-0000-0000-000070780000}"/>
    <cellStyle name="60% - Accent5 5 3 6 2" xfId="24706" xr:uid="{00000000-0005-0000-0000-000071780000}"/>
    <cellStyle name="60% - Accent5 5 3 7" xfId="11240" xr:uid="{00000000-0005-0000-0000-000072780000}"/>
    <cellStyle name="60% - Accent5 5 3 7 2" xfId="26389" xr:uid="{00000000-0005-0000-0000-000073780000}"/>
    <cellStyle name="60% - Accent5 5 3 8" xfId="12924" xr:uid="{00000000-0005-0000-0000-000074780000}"/>
    <cellStyle name="60% - Accent5 5 3 8 2" xfId="28073" xr:uid="{00000000-0005-0000-0000-000075780000}"/>
    <cellStyle name="60% - Accent5 5 3 9" xfId="14607" xr:uid="{00000000-0005-0000-0000-000076780000}"/>
    <cellStyle name="60% - Accent5 5 3 9 2" xfId="29756" xr:uid="{00000000-0005-0000-0000-000077780000}"/>
    <cellStyle name="60% - Accent5 5 30" xfId="57526" xr:uid="{00000000-0005-0000-0000-000078780000}"/>
    <cellStyle name="60% - Accent5 5 31" xfId="59209" xr:uid="{00000000-0005-0000-0000-000079780000}"/>
    <cellStyle name="60% - Accent5 5 32" xfId="60892" xr:uid="{00000000-0005-0000-0000-00007A780000}"/>
    <cellStyle name="60% - Accent5 5 33" xfId="62575" xr:uid="{00000000-0005-0000-0000-00007B780000}"/>
    <cellStyle name="60% - Accent5 5 4" xfId="1562" xr:uid="{00000000-0005-0000-0000-00007C780000}"/>
    <cellStyle name="60% - Accent5 5 4 10" xfId="16711" xr:uid="{00000000-0005-0000-0000-00007D780000}"/>
    <cellStyle name="60% - Accent5 5 4 11" xfId="31860" xr:uid="{00000000-0005-0000-0000-00007E780000}"/>
    <cellStyle name="60% - Accent5 5 4 12" xfId="33543" xr:uid="{00000000-0005-0000-0000-00007F780000}"/>
    <cellStyle name="60% - Accent5 5 4 13" xfId="35226" xr:uid="{00000000-0005-0000-0000-000080780000}"/>
    <cellStyle name="60% - Accent5 5 4 14" xfId="36909" xr:uid="{00000000-0005-0000-0000-000081780000}"/>
    <cellStyle name="60% - Accent5 5 4 15" xfId="38592" xr:uid="{00000000-0005-0000-0000-000082780000}"/>
    <cellStyle name="60% - Accent5 5 4 16" xfId="40275" xr:uid="{00000000-0005-0000-0000-000083780000}"/>
    <cellStyle name="60% - Accent5 5 4 17" xfId="41958" xr:uid="{00000000-0005-0000-0000-000084780000}"/>
    <cellStyle name="60% - Accent5 5 4 18" xfId="43641" xr:uid="{00000000-0005-0000-0000-000085780000}"/>
    <cellStyle name="60% - Accent5 5 4 19" xfId="45324" xr:uid="{00000000-0005-0000-0000-000086780000}"/>
    <cellStyle name="60% - Accent5 5 4 2" xfId="3245" xr:uid="{00000000-0005-0000-0000-000087780000}"/>
    <cellStyle name="60% - Accent5 5 4 2 2" xfId="18394" xr:uid="{00000000-0005-0000-0000-000088780000}"/>
    <cellStyle name="60% - Accent5 5 4 20" xfId="47007" xr:uid="{00000000-0005-0000-0000-000089780000}"/>
    <cellStyle name="60% - Accent5 5 4 21" xfId="48690" xr:uid="{00000000-0005-0000-0000-00008A780000}"/>
    <cellStyle name="60% - Accent5 5 4 22" xfId="50373" xr:uid="{00000000-0005-0000-0000-00008B780000}"/>
    <cellStyle name="60% - Accent5 5 4 23" xfId="52056" xr:uid="{00000000-0005-0000-0000-00008C780000}"/>
    <cellStyle name="60% - Accent5 5 4 24" xfId="53739" xr:uid="{00000000-0005-0000-0000-00008D780000}"/>
    <cellStyle name="60% - Accent5 5 4 25" xfId="55422" xr:uid="{00000000-0005-0000-0000-00008E780000}"/>
    <cellStyle name="60% - Accent5 5 4 26" xfId="57105" xr:uid="{00000000-0005-0000-0000-00008F780000}"/>
    <cellStyle name="60% - Accent5 5 4 27" xfId="58788" xr:uid="{00000000-0005-0000-0000-000090780000}"/>
    <cellStyle name="60% - Accent5 5 4 28" xfId="60471" xr:uid="{00000000-0005-0000-0000-000091780000}"/>
    <cellStyle name="60% - Accent5 5 4 29" xfId="62154" xr:uid="{00000000-0005-0000-0000-000092780000}"/>
    <cellStyle name="60% - Accent5 5 4 3" xfId="4929" xr:uid="{00000000-0005-0000-0000-000093780000}"/>
    <cellStyle name="60% - Accent5 5 4 3 2" xfId="20078" xr:uid="{00000000-0005-0000-0000-000094780000}"/>
    <cellStyle name="60% - Accent5 5 4 30" xfId="63837" xr:uid="{00000000-0005-0000-0000-000095780000}"/>
    <cellStyle name="60% - Accent5 5 4 4" xfId="6612" xr:uid="{00000000-0005-0000-0000-000096780000}"/>
    <cellStyle name="60% - Accent5 5 4 4 2" xfId="21761" xr:uid="{00000000-0005-0000-0000-000097780000}"/>
    <cellStyle name="60% - Accent5 5 4 5" xfId="8295" xr:uid="{00000000-0005-0000-0000-000098780000}"/>
    <cellStyle name="60% - Accent5 5 4 5 2" xfId="23444" xr:uid="{00000000-0005-0000-0000-000099780000}"/>
    <cellStyle name="60% - Accent5 5 4 6" xfId="9978" xr:uid="{00000000-0005-0000-0000-00009A780000}"/>
    <cellStyle name="60% - Accent5 5 4 6 2" xfId="25127" xr:uid="{00000000-0005-0000-0000-00009B780000}"/>
    <cellStyle name="60% - Accent5 5 4 7" xfId="11661" xr:uid="{00000000-0005-0000-0000-00009C780000}"/>
    <cellStyle name="60% - Accent5 5 4 7 2" xfId="26810" xr:uid="{00000000-0005-0000-0000-00009D780000}"/>
    <cellStyle name="60% - Accent5 5 4 8" xfId="13345" xr:uid="{00000000-0005-0000-0000-00009E780000}"/>
    <cellStyle name="60% - Accent5 5 4 8 2" xfId="28494" xr:uid="{00000000-0005-0000-0000-00009F780000}"/>
    <cellStyle name="60% - Accent5 5 4 9" xfId="15028" xr:uid="{00000000-0005-0000-0000-0000A0780000}"/>
    <cellStyle name="60% - Accent5 5 4 9 2" xfId="30177" xr:uid="{00000000-0005-0000-0000-0000A1780000}"/>
    <cellStyle name="60% - Accent5 5 5" xfId="1983" xr:uid="{00000000-0005-0000-0000-0000A2780000}"/>
    <cellStyle name="60% - Accent5 5 5 2" xfId="17132" xr:uid="{00000000-0005-0000-0000-0000A3780000}"/>
    <cellStyle name="60% - Accent5 5 6" xfId="3667" xr:uid="{00000000-0005-0000-0000-0000A4780000}"/>
    <cellStyle name="60% - Accent5 5 6 2" xfId="18816" xr:uid="{00000000-0005-0000-0000-0000A5780000}"/>
    <cellStyle name="60% - Accent5 5 7" xfId="5350" xr:uid="{00000000-0005-0000-0000-0000A6780000}"/>
    <cellStyle name="60% - Accent5 5 7 2" xfId="20499" xr:uid="{00000000-0005-0000-0000-0000A7780000}"/>
    <cellStyle name="60% - Accent5 5 8" xfId="7033" xr:uid="{00000000-0005-0000-0000-0000A8780000}"/>
    <cellStyle name="60% - Accent5 5 8 2" xfId="22182" xr:uid="{00000000-0005-0000-0000-0000A9780000}"/>
    <cellStyle name="60% - Accent5 5 9" xfId="8716" xr:uid="{00000000-0005-0000-0000-0000AA780000}"/>
    <cellStyle name="60% - Accent5 5 9 2" xfId="23865" xr:uid="{00000000-0005-0000-0000-0000AB780000}"/>
    <cellStyle name="60% - Accent5 6" xfId="510" xr:uid="{00000000-0005-0000-0000-0000AC780000}"/>
    <cellStyle name="60% - Accent5 6 10" xfId="15659" xr:uid="{00000000-0005-0000-0000-0000AD780000}"/>
    <cellStyle name="60% - Accent5 6 11" xfId="30808" xr:uid="{00000000-0005-0000-0000-0000AE780000}"/>
    <cellStyle name="60% - Accent5 6 12" xfId="32491" xr:uid="{00000000-0005-0000-0000-0000AF780000}"/>
    <cellStyle name="60% - Accent5 6 13" xfId="34174" xr:uid="{00000000-0005-0000-0000-0000B0780000}"/>
    <cellStyle name="60% - Accent5 6 14" xfId="35857" xr:uid="{00000000-0005-0000-0000-0000B1780000}"/>
    <cellStyle name="60% - Accent5 6 15" xfId="37540" xr:uid="{00000000-0005-0000-0000-0000B2780000}"/>
    <cellStyle name="60% - Accent5 6 16" xfId="39223" xr:uid="{00000000-0005-0000-0000-0000B3780000}"/>
    <cellStyle name="60% - Accent5 6 17" xfId="40906" xr:uid="{00000000-0005-0000-0000-0000B4780000}"/>
    <cellStyle name="60% - Accent5 6 18" xfId="42589" xr:uid="{00000000-0005-0000-0000-0000B5780000}"/>
    <cellStyle name="60% - Accent5 6 19" xfId="44272" xr:uid="{00000000-0005-0000-0000-0000B6780000}"/>
    <cellStyle name="60% - Accent5 6 2" xfId="2193" xr:uid="{00000000-0005-0000-0000-0000B7780000}"/>
    <cellStyle name="60% - Accent5 6 2 2" xfId="17342" xr:uid="{00000000-0005-0000-0000-0000B8780000}"/>
    <cellStyle name="60% - Accent5 6 20" xfId="45955" xr:uid="{00000000-0005-0000-0000-0000B9780000}"/>
    <cellStyle name="60% - Accent5 6 21" xfId="47638" xr:uid="{00000000-0005-0000-0000-0000BA780000}"/>
    <cellStyle name="60% - Accent5 6 22" xfId="49321" xr:uid="{00000000-0005-0000-0000-0000BB780000}"/>
    <cellStyle name="60% - Accent5 6 23" xfId="51004" xr:uid="{00000000-0005-0000-0000-0000BC780000}"/>
    <cellStyle name="60% - Accent5 6 24" xfId="52687" xr:uid="{00000000-0005-0000-0000-0000BD780000}"/>
    <cellStyle name="60% - Accent5 6 25" xfId="54370" xr:uid="{00000000-0005-0000-0000-0000BE780000}"/>
    <cellStyle name="60% - Accent5 6 26" xfId="56053" xr:uid="{00000000-0005-0000-0000-0000BF780000}"/>
    <cellStyle name="60% - Accent5 6 27" xfId="57736" xr:uid="{00000000-0005-0000-0000-0000C0780000}"/>
    <cellStyle name="60% - Accent5 6 28" xfId="59419" xr:uid="{00000000-0005-0000-0000-0000C1780000}"/>
    <cellStyle name="60% - Accent5 6 29" xfId="61102" xr:uid="{00000000-0005-0000-0000-0000C2780000}"/>
    <cellStyle name="60% - Accent5 6 3" xfId="3877" xr:uid="{00000000-0005-0000-0000-0000C3780000}"/>
    <cellStyle name="60% - Accent5 6 3 2" xfId="19026" xr:uid="{00000000-0005-0000-0000-0000C4780000}"/>
    <cellStyle name="60% - Accent5 6 30" xfId="62785" xr:uid="{00000000-0005-0000-0000-0000C5780000}"/>
    <cellStyle name="60% - Accent5 6 4" xfId="5560" xr:uid="{00000000-0005-0000-0000-0000C6780000}"/>
    <cellStyle name="60% - Accent5 6 4 2" xfId="20709" xr:uid="{00000000-0005-0000-0000-0000C7780000}"/>
    <cellStyle name="60% - Accent5 6 5" xfId="7243" xr:uid="{00000000-0005-0000-0000-0000C8780000}"/>
    <cellStyle name="60% - Accent5 6 5 2" xfId="22392" xr:uid="{00000000-0005-0000-0000-0000C9780000}"/>
    <cellStyle name="60% - Accent5 6 6" xfId="8926" xr:uid="{00000000-0005-0000-0000-0000CA780000}"/>
    <cellStyle name="60% - Accent5 6 6 2" xfId="24075" xr:uid="{00000000-0005-0000-0000-0000CB780000}"/>
    <cellStyle name="60% - Accent5 6 7" xfId="10609" xr:uid="{00000000-0005-0000-0000-0000CC780000}"/>
    <cellStyle name="60% - Accent5 6 7 2" xfId="25758" xr:uid="{00000000-0005-0000-0000-0000CD780000}"/>
    <cellStyle name="60% - Accent5 6 8" xfId="12293" xr:uid="{00000000-0005-0000-0000-0000CE780000}"/>
    <cellStyle name="60% - Accent5 6 8 2" xfId="27442" xr:uid="{00000000-0005-0000-0000-0000CF780000}"/>
    <cellStyle name="60% - Accent5 6 9" xfId="13976" xr:uid="{00000000-0005-0000-0000-0000D0780000}"/>
    <cellStyle name="60% - Accent5 6 9 2" xfId="29125" xr:uid="{00000000-0005-0000-0000-0000D1780000}"/>
    <cellStyle name="60% - Accent5 7" xfId="931" xr:uid="{00000000-0005-0000-0000-0000D2780000}"/>
    <cellStyle name="60% - Accent5 7 10" xfId="16080" xr:uid="{00000000-0005-0000-0000-0000D3780000}"/>
    <cellStyle name="60% - Accent5 7 11" xfId="31229" xr:uid="{00000000-0005-0000-0000-0000D4780000}"/>
    <cellStyle name="60% - Accent5 7 12" xfId="32912" xr:uid="{00000000-0005-0000-0000-0000D5780000}"/>
    <cellStyle name="60% - Accent5 7 13" xfId="34595" xr:uid="{00000000-0005-0000-0000-0000D6780000}"/>
    <cellStyle name="60% - Accent5 7 14" xfId="36278" xr:uid="{00000000-0005-0000-0000-0000D7780000}"/>
    <cellStyle name="60% - Accent5 7 15" xfId="37961" xr:uid="{00000000-0005-0000-0000-0000D8780000}"/>
    <cellStyle name="60% - Accent5 7 16" xfId="39644" xr:uid="{00000000-0005-0000-0000-0000D9780000}"/>
    <cellStyle name="60% - Accent5 7 17" xfId="41327" xr:uid="{00000000-0005-0000-0000-0000DA780000}"/>
    <cellStyle name="60% - Accent5 7 18" xfId="43010" xr:uid="{00000000-0005-0000-0000-0000DB780000}"/>
    <cellStyle name="60% - Accent5 7 19" xfId="44693" xr:uid="{00000000-0005-0000-0000-0000DC780000}"/>
    <cellStyle name="60% - Accent5 7 2" xfId="2614" xr:uid="{00000000-0005-0000-0000-0000DD780000}"/>
    <cellStyle name="60% - Accent5 7 2 2" xfId="17763" xr:uid="{00000000-0005-0000-0000-0000DE780000}"/>
    <cellStyle name="60% - Accent5 7 20" xfId="46376" xr:uid="{00000000-0005-0000-0000-0000DF780000}"/>
    <cellStyle name="60% - Accent5 7 21" xfId="48059" xr:uid="{00000000-0005-0000-0000-0000E0780000}"/>
    <cellStyle name="60% - Accent5 7 22" xfId="49742" xr:uid="{00000000-0005-0000-0000-0000E1780000}"/>
    <cellStyle name="60% - Accent5 7 23" xfId="51425" xr:uid="{00000000-0005-0000-0000-0000E2780000}"/>
    <cellStyle name="60% - Accent5 7 24" xfId="53108" xr:uid="{00000000-0005-0000-0000-0000E3780000}"/>
    <cellStyle name="60% - Accent5 7 25" xfId="54791" xr:uid="{00000000-0005-0000-0000-0000E4780000}"/>
    <cellStyle name="60% - Accent5 7 26" xfId="56474" xr:uid="{00000000-0005-0000-0000-0000E5780000}"/>
    <cellStyle name="60% - Accent5 7 27" xfId="58157" xr:uid="{00000000-0005-0000-0000-0000E6780000}"/>
    <cellStyle name="60% - Accent5 7 28" xfId="59840" xr:uid="{00000000-0005-0000-0000-0000E7780000}"/>
    <cellStyle name="60% - Accent5 7 29" xfId="61523" xr:uid="{00000000-0005-0000-0000-0000E8780000}"/>
    <cellStyle name="60% - Accent5 7 3" xfId="4298" xr:uid="{00000000-0005-0000-0000-0000E9780000}"/>
    <cellStyle name="60% - Accent5 7 3 2" xfId="19447" xr:uid="{00000000-0005-0000-0000-0000EA780000}"/>
    <cellStyle name="60% - Accent5 7 30" xfId="63206" xr:uid="{00000000-0005-0000-0000-0000EB780000}"/>
    <cellStyle name="60% - Accent5 7 4" xfId="5981" xr:uid="{00000000-0005-0000-0000-0000EC780000}"/>
    <cellStyle name="60% - Accent5 7 4 2" xfId="21130" xr:uid="{00000000-0005-0000-0000-0000ED780000}"/>
    <cellStyle name="60% - Accent5 7 5" xfId="7664" xr:uid="{00000000-0005-0000-0000-0000EE780000}"/>
    <cellStyle name="60% - Accent5 7 5 2" xfId="22813" xr:uid="{00000000-0005-0000-0000-0000EF780000}"/>
    <cellStyle name="60% - Accent5 7 6" xfId="9347" xr:uid="{00000000-0005-0000-0000-0000F0780000}"/>
    <cellStyle name="60% - Accent5 7 6 2" xfId="24496" xr:uid="{00000000-0005-0000-0000-0000F1780000}"/>
    <cellStyle name="60% - Accent5 7 7" xfId="11030" xr:uid="{00000000-0005-0000-0000-0000F2780000}"/>
    <cellStyle name="60% - Accent5 7 7 2" xfId="26179" xr:uid="{00000000-0005-0000-0000-0000F3780000}"/>
    <cellStyle name="60% - Accent5 7 8" xfId="12714" xr:uid="{00000000-0005-0000-0000-0000F4780000}"/>
    <cellStyle name="60% - Accent5 7 8 2" xfId="27863" xr:uid="{00000000-0005-0000-0000-0000F5780000}"/>
    <cellStyle name="60% - Accent5 7 9" xfId="14397" xr:uid="{00000000-0005-0000-0000-0000F6780000}"/>
    <cellStyle name="60% - Accent5 7 9 2" xfId="29546" xr:uid="{00000000-0005-0000-0000-0000F7780000}"/>
    <cellStyle name="60% - Accent5 8" xfId="1352" xr:uid="{00000000-0005-0000-0000-0000F8780000}"/>
    <cellStyle name="60% - Accent5 8 10" xfId="16501" xr:uid="{00000000-0005-0000-0000-0000F9780000}"/>
    <cellStyle name="60% - Accent5 8 11" xfId="31650" xr:uid="{00000000-0005-0000-0000-0000FA780000}"/>
    <cellStyle name="60% - Accent5 8 12" xfId="33333" xr:uid="{00000000-0005-0000-0000-0000FB780000}"/>
    <cellStyle name="60% - Accent5 8 13" xfId="35016" xr:uid="{00000000-0005-0000-0000-0000FC780000}"/>
    <cellStyle name="60% - Accent5 8 14" xfId="36699" xr:uid="{00000000-0005-0000-0000-0000FD780000}"/>
    <cellStyle name="60% - Accent5 8 15" xfId="38382" xr:uid="{00000000-0005-0000-0000-0000FE780000}"/>
    <cellStyle name="60% - Accent5 8 16" xfId="40065" xr:uid="{00000000-0005-0000-0000-0000FF780000}"/>
    <cellStyle name="60% - Accent5 8 17" xfId="41748" xr:uid="{00000000-0005-0000-0000-000000790000}"/>
    <cellStyle name="60% - Accent5 8 18" xfId="43431" xr:uid="{00000000-0005-0000-0000-000001790000}"/>
    <cellStyle name="60% - Accent5 8 19" xfId="45114" xr:uid="{00000000-0005-0000-0000-000002790000}"/>
    <cellStyle name="60% - Accent5 8 2" xfId="3035" xr:uid="{00000000-0005-0000-0000-000003790000}"/>
    <cellStyle name="60% - Accent5 8 2 2" xfId="18184" xr:uid="{00000000-0005-0000-0000-000004790000}"/>
    <cellStyle name="60% - Accent5 8 20" xfId="46797" xr:uid="{00000000-0005-0000-0000-000005790000}"/>
    <cellStyle name="60% - Accent5 8 21" xfId="48480" xr:uid="{00000000-0005-0000-0000-000006790000}"/>
    <cellStyle name="60% - Accent5 8 22" xfId="50163" xr:uid="{00000000-0005-0000-0000-000007790000}"/>
    <cellStyle name="60% - Accent5 8 23" xfId="51846" xr:uid="{00000000-0005-0000-0000-000008790000}"/>
    <cellStyle name="60% - Accent5 8 24" xfId="53529" xr:uid="{00000000-0005-0000-0000-000009790000}"/>
    <cellStyle name="60% - Accent5 8 25" xfId="55212" xr:uid="{00000000-0005-0000-0000-00000A790000}"/>
    <cellStyle name="60% - Accent5 8 26" xfId="56895" xr:uid="{00000000-0005-0000-0000-00000B790000}"/>
    <cellStyle name="60% - Accent5 8 27" xfId="58578" xr:uid="{00000000-0005-0000-0000-00000C790000}"/>
    <cellStyle name="60% - Accent5 8 28" xfId="60261" xr:uid="{00000000-0005-0000-0000-00000D790000}"/>
    <cellStyle name="60% - Accent5 8 29" xfId="61944" xr:uid="{00000000-0005-0000-0000-00000E790000}"/>
    <cellStyle name="60% - Accent5 8 3" xfId="4719" xr:uid="{00000000-0005-0000-0000-00000F790000}"/>
    <cellStyle name="60% - Accent5 8 3 2" xfId="19868" xr:uid="{00000000-0005-0000-0000-000010790000}"/>
    <cellStyle name="60% - Accent5 8 30" xfId="63627" xr:uid="{00000000-0005-0000-0000-000011790000}"/>
    <cellStyle name="60% - Accent5 8 4" xfId="6402" xr:uid="{00000000-0005-0000-0000-000012790000}"/>
    <cellStyle name="60% - Accent5 8 4 2" xfId="21551" xr:uid="{00000000-0005-0000-0000-000013790000}"/>
    <cellStyle name="60% - Accent5 8 5" xfId="8085" xr:uid="{00000000-0005-0000-0000-000014790000}"/>
    <cellStyle name="60% - Accent5 8 5 2" xfId="23234" xr:uid="{00000000-0005-0000-0000-000015790000}"/>
    <cellStyle name="60% - Accent5 8 6" xfId="9768" xr:uid="{00000000-0005-0000-0000-000016790000}"/>
    <cellStyle name="60% - Accent5 8 6 2" xfId="24917" xr:uid="{00000000-0005-0000-0000-000017790000}"/>
    <cellStyle name="60% - Accent5 8 7" xfId="11451" xr:uid="{00000000-0005-0000-0000-000018790000}"/>
    <cellStyle name="60% - Accent5 8 7 2" xfId="26600" xr:uid="{00000000-0005-0000-0000-000019790000}"/>
    <cellStyle name="60% - Accent5 8 8" xfId="13135" xr:uid="{00000000-0005-0000-0000-00001A790000}"/>
    <cellStyle name="60% - Accent5 8 8 2" xfId="28284" xr:uid="{00000000-0005-0000-0000-00001B790000}"/>
    <cellStyle name="60% - Accent5 8 9" xfId="14818" xr:uid="{00000000-0005-0000-0000-00001C790000}"/>
    <cellStyle name="60% - Accent5 8 9 2" xfId="29967" xr:uid="{00000000-0005-0000-0000-00001D790000}"/>
    <cellStyle name="60% - Accent5 9" xfId="1773" xr:uid="{00000000-0005-0000-0000-00001E790000}"/>
    <cellStyle name="60% - Accent5 9 2" xfId="16922" xr:uid="{00000000-0005-0000-0000-00001F790000}"/>
    <cellStyle name="60% - Accent6" xfId="93" builtinId="52" customBuiltin="1"/>
    <cellStyle name="60% - Accent6 10" xfId="3460" xr:uid="{00000000-0005-0000-0000-000021790000}"/>
    <cellStyle name="60% - Accent6 10 2" xfId="18609" xr:uid="{00000000-0005-0000-0000-000022790000}"/>
    <cellStyle name="60% - Accent6 11" xfId="5143" xr:uid="{00000000-0005-0000-0000-000023790000}"/>
    <cellStyle name="60% - Accent6 11 2" xfId="20292" xr:uid="{00000000-0005-0000-0000-000024790000}"/>
    <cellStyle name="60% - Accent6 12" xfId="6826" xr:uid="{00000000-0005-0000-0000-000025790000}"/>
    <cellStyle name="60% - Accent6 12 2" xfId="21975" xr:uid="{00000000-0005-0000-0000-000026790000}"/>
    <cellStyle name="60% - Accent6 13" xfId="8509" xr:uid="{00000000-0005-0000-0000-000027790000}"/>
    <cellStyle name="60% - Accent6 13 2" xfId="23658" xr:uid="{00000000-0005-0000-0000-000028790000}"/>
    <cellStyle name="60% - Accent6 14" xfId="10192" xr:uid="{00000000-0005-0000-0000-000029790000}"/>
    <cellStyle name="60% - Accent6 14 2" xfId="25341" xr:uid="{00000000-0005-0000-0000-00002A790000}"/>
    <cellStyle name="60% - Accent6 15" xfId="11876" xr:uid="{00000000-0005-0000-0000-00002B790000}"/>
    <cellStyle name="60% - Accent6 15 2" xfId="27025" xr:uid="{00000000-0005-0000-0000-00002C790000}"/>
    <cellStyle name="60% - Accent6 16" xfId="13559" xr:uid="{00000000-0005-0000-0000-00002D790000}"/>
    <cellStyle name="60% - Accent6 16 2" xfId="28708" xr:uid="{00000000-0005-0000-0000-00002E790000}"/>
    <cellStyle name="60% - Accent6 17" xfId="15242" xr:uid="{00000000-0005-0000-0000-00002F790000}"/>
    <cellStyle name="60% - Accent6 18" xfId="30391" xr:uid="{00000000-0005-0000-0000-000030790000}"/>
    <cellStyle name="60% - Accent6 19" xfId="32074" xr:uid="{00000000-0005-0000-0000-000031790000}"/>
    <cellStyle name="60% - Accent6 2" xfId="115" xr:uid="{00000000-0005-0000-0000-000032790000}"/>
    <cellStyle name="60% - Accent6 2 10" xfId="6848" xr:uid="{00000000-0005-0000-0000-000033790000}"/>
    <cellStyle name="60% - Accent6 2 10 2" xfId="21997" xr:uid="{00000000-0005-0000-0000-000034790000}"/>
    <cellStyle name="60% - Accent6 2 11" xfId="8531" xr:uid="{00000000-0005-0000-0000-000035790000}"/>
    <cellStyle name="60% - Accent6 2 11 2" xfId="23680" xr:uid="{00000000-0005-0000-0000-000036790000}"/>
    <cellStyle name="60% - Accent6 2 12" xfId="10214" xr:uid="{00000000-0005-0000-0000-000037790000}"/>
    <cellStyle name="60% - Accent6 2 12 2" xfId="25363" xr:uid="{00000000-0005-0000-0000-000038790000}"/>
    <cellStyle name="60% - Accent6 2 13" xfId="11898" xr:uid="{00000000-0005-0000-0000-000039790000}"/>
    <cellStyle name="60% - Accent6 2 13 2" xfId="27047" xr:uid="{00000000-0005-0000-0000-00003A790000}"/>
    <cellStyle name="60% - Accent6 2 14" xfId="13581" xr:uid="{00000000-0005-0000-0000-00003B790000}"/>
    <cellStyle name="60% - Accent6 2 14 2" xfId="28730" xr:uid="{00000000-0005-0000-0000-00003C790000}"/>
    <cellStyle name="60% - Accent6 2 15" xfId="15264" xr:uid="{00000000-0005-0000-0000-00003D790000}"/>
    <cellStyle name="60% - Accent6 2 16" xfId="30413" xr:uid="{00000000-0005-0000-0000-00003E790000}"/>
    <cellStyle name="60% - Accent6 2 17" xfId="32096" xr:uid="{00000000-0005-0000-0000-00003F790000}"/>
    <cellStyle name="60% - Accent6 2 18" xfId="33779" xr:uid="{00000000-0005-0000-0000-000040790000}"/>
    <cellStyle name="60% - Accent6 2 19" xfId="35462" xr:uid="{00000000-0005-0000-0000-000041790000}"/>
    <cellStyle name="60% - Accent6 2 2" xfId="220" xr:uid="{00000000-0005-0000-0000-000042790000}"/>
    <cellStyle name="60% - Accent6 2 2 10" xfId="8636" xr:uid="{00000000-0005-0000-0000-000043790000}"/>
    <cellStyle name="60% - Accent6 2 2 10 2" xfId="23785" xr:uid="{00000000-0005-0000-0000-000044790000}"/>
    <cellStyle name="60% - Accent6 2 2 11" xfId="10319" xr:uid="{00000000-0005-0000-0000-000045790000}"/>
    <cellStyle name="60% - Accent6 2 2 11 2" xfId="25468" xr:uid="{00000000-0005-0000-0000-000046790000}"/>
    <cellStyle name="60% - Accent6 2 2 12" xfId="12003" xr:uid="{00000000-0005-0000-0000-000047790000}"/>
    <cellStyle name="60% - Accent6 2 2 12 2" xfId="27152" xr:uid="{00000000-0005-0000-0000-000048790000}"/>
    <cellStyle name="60% - Accent6 2 2 13" xfId="13686" xr:uid="{00000000-0005-0000-0000-000049790000}"/>
    <cellStyle name="60% - Accent6 2 2 13 2" xfId="28835" xr:uid="{00000000-0005-0000-0000-00004A790000}"/>
    <cellStyle name="60% - Accent6 2 2 14" xfId="15369" xr:uid="{00000000-0005-0000-0000-00004B790000}"/>
    <cellStyle name="60% - Accent6 2 2 15" xfId="30518" xr:uid="{00000000-0005-0000-0000-00004C790000}"/>
    <cellStyle name="60% - Accent6 2 2 16" xfId="32201" xr:uid="{00000000-0005-0000-0000-00004D790000}"/>
    <cellStyle name="60% - Accent6 2 2 17" xfId="33884" xr:uid="{00000000-0005-0000-0000-00004E790000}"/>
    <cellStyle name="60% - Accent6 2 2 18" xfId="35567" xr:uid="{00000000-0005-0000-0000-00004F790000}"/>
    <cellStyle name="60% - Accent6 2 2 19" xfId="37250" xr:uid="{00000000-0005-0000-0000-000050790000}"/>
    <cellStyle name="60% - Accent6 2 2 2" xfId="430" xr:uid="{00000000-0005-0000-0000-000051790000}"/>
    <cellStyle name="60% - Accent6 2 2 2 10" xfId="10529" xr:uid="{00000000-0005-0000-0000-000052790000}"/>
    <cellStyle name="60% - Accent6 2 2 2 10 2" xfId="25678" xr:uid="{00000000-0005-0000-0000-000053790000}"/>
    <cellStyle name="60% - Accent6 2 2 2 11" xfId="12213" xr:uid="{00000000-0005-0000-0000-000054790000}"/>
    <cellStyle name="60% - Accent6 2 2 2 11 2" xfId="27362" xr:uid="{00000000-0005-0000-0000-000055790000}"/>
    <cellStyle name="60% - Accent6 2 2 2 12" xfId="13896" xr:uid="{00000000-0005-0000-0000-000056790000}"/>
    <cellStyle name="60% - Accent6 2 2 2 12 2" xfId="29045" xr:uid="{00000000-0005-0000-0000-000057790000}"/>
    <cellStyle name="60% - Accent6 2 2 2 13" xfId="15579" xr:uid="{00000000-0005-0000-0000-000058790000}"/>
    <cellStyle name="60% - Accent6 2 2 2 14" xfId="30728" xr:uid="{00000000-0005-0000-0000-000059790000}"/>
    <cellStyle name="60% - Accent6 2 2 2 15" xfId="32411" xr:uid="{00000000-0005-0000-0000-00005A790000}"/>
    <cellStyle name="60% - Accent6 2 2 2 16" xfId="34094" xr:uid="{00000000-0005-0000-0000-00005B790000}"/>
    <cellStyle name="60% - Accent6 2 2 2 17" xfId="35777" xr:uid="{00000000-0005-0000-0000-00005C790000}"/>
    <cellStyle name="60% - Accent6 2 2 2 18" xfId="37460" xr:uid="{00000000-0005-0000-0000-00005D790000}"/>
    <cellStyle name="60% - Accent6 2 2 2 19" xfId="39143" xr:uid="{00000000-0005-0000-0000-00005E790000}"/>
    <cellStyle name="60% - Accent6 2 2 2 2" xfId="850" xr:uid="{00000000-0005-0000-0000-00005F790000}"/>
    <cellStyle name="60% - Accent6 2 2 2 2 10" xfId="15999" xr:uid="{00000000-0005-0000-0000-000060790000}"/>
    <cellStyle name="60% - Accent6 2 2 2 2 11" xfId="31148" xr:uid="{00000000-0005-0000-0000-000061790000}"/>
    <cellStyle name="60% - Accent6 2 2 2 2 12" xfId="32831" xr:uid="{00000000-0005-0000-0000-000062790000}"/>
    <cellStyle name="60% - Accent6 2 2 2 2 13" xfId="34514" xr:uid="{00000000-0005-0000-0000-000063790000}"/>
    <cellStyle name="60% - Accent6 2 2 2 2 14" xfId="36197" xr:uid="{00000000-0005-0000-0000-000064790000}"/>
    <cellStyle name="60% - Accent6 2 2 2 2 15" xfId="37880" xr:uid="{00000000-0005-0000-0000-000065790000}"/>
    <cellStyle name="60% - Accent6 2 2 2 2 16" xfId="39563" xr:uid="{00000000-0005-0000-0000-000066790000}"/>
    <cellStyle name="60% - Accent6 2 2 2 2 17" xfId="41246" xr:uid="{00000000-0005-0000-0000-000067790000}"/>
    <cellStyle name="60% - Accent6 2 2 2 2 18" xfId="42929" xr:uid="{00000000-0005-0000-0000-000068790000}"/>
    <cellStyle name="60% - Accent6 2 2 2 2 19" xfId="44612" xr:uid="{00000000-0005-0000-0000-000069790000}"/>
    <cellStyle name="60% - Accent6 2 2 2 2 2" xfId="2533" xr:uid="{00000000-0005-0000-0000-00006A790000}"/>
    <cellStyle name="60% - Accent6 2 2 2 2 2 2" xfId="17682" xr:uid="{00000000-0005-0000-0000-00006B790000}"/>
    <cellStyle name="60% - Accent6 2 2 2 2 20" xfId="46295" xr:uid="{00000000-0005-0000-0000-00006C790000}"/>
    <cellStyle name="60% - Accent6 2 2 2 2 21" xfId="47978" xr:uid="{00000000-0005-0000-0000-00006D790000}"/>
    <cellStyle name="60% - Accent6 2 2 2 2 22" xfId="49661" xr:uid="{00000000-0005-0000-0000-00006E790000}"/>
    <cellStyle name="60% - Accent6 2 2 2 2 23" xfId="51344" xr:uid="{00000000-0005-0000-0000-00006F790000}"/>
    <cellStyle name="60% - Accent6 2 2 2 2 24" xfId="53027" xr:uid="{00000000-0005-0000-0000-000070790000}"/>
    <cellStyle name="60% - Accent6 2 2 2 2 25" xfId="54710" xr:uid="{00000000-0005-0000-0000-000071790000}"/>
    <cellStyle name="60% - Accent6 2 2 2 2 26" xfId="56393" xr:uid="{00000000-0005-0000-0000-000072790000}"/>
    <cellStyle name="60% - Accent6 2 2 2 2 27" xfId="58076" xr:uid="{00000000-0005-0000-0000-000073790000}"/>
    <cellStyle name="60% - Accent6 2 2 2 2 28" xfId="59759" xr:uid="{00000000-0005-0000-0000-000074790000}"/>
    <cellStyle name="60% - Accent6 2 2 2 2 29" xfId="61442" xr:uid="{00000000-0005-0000-0000-000075790000}"/>
    <cellStyle name="60% - Accent6 2 2 2 2 3" xfId="4217" xr:uid="{00000000-0005-0000-0000-000076790000}"/>
    <cellStyle name="60% - Accent6 2 2 2 2 3 2" xfId="19366" xr:uid="{00000000-0005-0000-0000-000077790000}"/>
    <cellStyle name="60% - Accent6 2 2 2 2 30" xfId="63125" xr:uid="{00000000-0005-0000-0000-000078790000}"/>
    <cellStyle name="60% - Accent6 2 2 2 2 4" xfId="5900" xr:uid="{00000000-0005-0000-0000-000079790000}"/>
    <cellStyle name="60% - Accent6 2 2 2 2 4 2" xfId="21049" xr:uid="{00000000-0005-0000-0000-00007A790000}"/>
    <cellStyle name="60% - Accent6 2 2 2 2 5" xfId="7583" xr:uid="{00000000-0005-0000-0000-00007B790000}"/>
    <cellStyle name="60% - Accent6 2 2 2 2 5 2" xfId="22732" xr:uid="{00000000-0005-0000-0000-00007C790000}"/>
    <cellStyle name="60% - Accent6 2 2 2 2 6" xfId="9266" xr:uid="{00000000-0005-0000-0000-00007D790000}"/>
    <cellStyle name="60% - Accent6 2 2 2 2 6 2" xfId="24415" xr:uid="{00000000-0005-0000-0000-00007E790000}"/>
    <cellStyle name="60% - Accent6 2 2 2 2 7" xfId="10949" xr:uid="{00000000-0005-0000-0000-00007F790000}"/>
    <cellStyle name="60% - Accent6 2 2 2 2 7 2" xfId="26098" xr:uid="{00000000-0005-0000-0000-000080790000}"/>
    <cellStyle name="60% - Accent6 2 2 2 2 8" xfId="12633" xr:uid="{00000000-0005-0000-0000-000081790000}"/>
    <cellStyle name="60% - Accent6 2 2 2 2 8 2" xfId="27782" xr:uid="{00000000-0005-0000-0000-000082790000}"/>
    <cellStyle name="60% - Accent6 2 2 2 2 9" xfId="14316" xr:uid="{00000000-0005-0000-0000-000083790000}"/>
    <cellStyle name="60% - Accent6 2 2 2 2 9 2" xfId="29465" xr:uid="{00000000-0005-0000-0000-000084790000}"/>
    <cellStyle name="60% - Accent6 2 2 2 20" xfId="40826" xr:uid="{00000000-0005-0000-0000-000085790000}"/>
    <cellStyle name="60% - Accent6 2 2 2 21" xfId="42509" xr:uid="{00000000-0005-0000-0000-000086790000}"/>
    <cellStyle name="60% - Accent6 2 2 2 22" xfId="44192" xr:uid="{00000000-0005-0000-0000-000087790000}"/>
    <cellStyle name="60% - Accent6 2 2 2 23" xfId="45875" xr:uid="{00000000-0005-0000-0000-000088790000}"/>
    <cellStyle name="60% - Accent6 2 2 2 24" xfId="47558" xr:uid="{00000000-0005-0000-0000-000089790000}"/>
    <cellStyle name="60% - Accent6 2 2 2 25" xfId="49241" xr:uid="{00000000-0005-0000-0000-00008A790000}"/>
    <cellStyle name="60% - Accent6 2 2 2 26" xfId="50924" xr:uid="{00000000-0005-0000-0000-00008B790000}"/>
    <cellStyle name="60% - Accent6 2 2 2 27" xfId="52607" xr:uid="{00000000-0005-0000-0000-00008C790000}"/>
    <cellStyle name="60% - Accent6 2 2 2 28" xfId="54290" xr:uid="{00000000-0005-0000-0000-00008D790000}"/>
    <cellStyle name="60% - Accent6 2 2 2 29" xfId="55973" xr:uid="{00000000-0005-0000-0000-00008E790000}"/>
    <cellStyle name="60% - Accent6 2 2 2 3" xfId="1271" xr:uid="{00000000-0005-0000-0000-00008F790000}"/>
    <cellStyle name="60% - Accent6 2 2 2 3 10" xfId="16420" xr:uid="{00000000-0005-0000-0000-000090790000}"/>
    <cellStyle name="60% - Accent6 2 2 2 3 11" xfId="31569" xr:uid="{00000000-0005-0000-0000-000091790000}"/>
    <cellStyle name="60% - Accent6 2 2 2 3 12" xfId="33252" xr:uid="{00000000-0005-0000-0000-000092790000}"/>
    <cellStyle name="60% - Accent6 2 2 2 3 13" xfId="34935" xr:uid="{00000000-0005-0000-0000-000093790000}"/>
    <cellStyle name="60% - Accent6 2 2 2 3 14" xfId="36618" xr:uid="{00000000-0005-0000-0000-000094790000}"/>
    <cellStyle name="60% - Accent6 2 2 2 3 15" xfId="38301" xr:uid="{00000000-0005-0000-0000-000095790000}"/>
    <cellStyle name="60% - Accent6 2 2 2 3 16" xfId="39984" xr:uid="{00000000-0005-0000-0000-000096790000}"/>
    <cellStyle name="60% - Accent6 2 2 2 3 17" xfId="41667" xr:uid="{00000000-0005-0000-0000-000097790000}"/>
    <cellStyle name="60% - Accent6 2 2 2 3 18" xfId="43350" xr:uid="{00000000-0005-0000-0000-000098790000}"/>
    <cellStyle name="60% - Accent6 2 2 2 3 19" xfId="45033" xr:uid="{00000000-0005-0000-0000-000099790000}"/>
    <cellStyle name="60% - Accent6 2 2 2 3 2" xfId="2954" xr:uid="{00000000-0005-0000-0000-00009A790000}"/>
    <cellStyle name="60% - Accent6 2 2 2 3 2 2" xfId="18103" xr:uid="{00000000-0005-0000-0000-00009B790000}"/>
    <cellStyle name="60% - Accent6 2 2 2 3 20" xfId="46716" xr:uid="{00000000-0005-0000-0000-00009C790000}"/>
    <cellStyle name="60% - Accent6 2 2 2 3 21" xfId="48399" xr:uid="{00000000-0005-0000-0000-00009D790000}"/>
    <cellStyle name="60% - Accent6 2 2 2 3 22" xfId="50082" xr:uid="{00000000-0005-0000-0000-00009E790000}"/>
    <cellStyle name="60% - Accent6 2 2 2 3 23" xfId="51765" xr:uid="{00000000-0005-0000-0000-00009F790000}"/>
    <cellStyle name="60% - Accent6 2 2 2 3 24" xfId="53448" xr:uid="{00000000-0005-0000-0000-0000A0790000}"/>
    <cellStyle name="60% - Accent6 2 2 2 3 25" xfId="55131" xr:uid="{00000000-0005-0000-0000-0000A1790000}"/>
    <cellStyle name="60% - Accent6 2 2 2 3 26" xfId="56814" xr:uid="{00000000-0005-0000-0000-0000A2790000}"/>
    <cellStyle name="60% - Accent6 2 2 2 3 27" xfId="58497" xr:uid="{00000000-0005-0000-0000-0000A3790000}"/>
    <cellStyle name="60% - Accent6 2 2 2 3 28" xfId="60180" xr:uid="{00000000-0005-0000-0000-0000A4790000}"/>
    <cellStyle name="60% - Accent6 2 2 2 3 29" xfId="61863" xr:uid="{00000000-0005-0000-0000-0000A5790000}"/>
    <cellStyle name="60% - Accent6 2 2 2 3 3" xfId="4638" xr:uid="{00000000-0005-0000-0000-0000A6790000}"/>
    <cellStyle name="60% - Accent6 2 2 2 3 3 2" xfId="19787" xr:uid="{00000000-0005-0000-0000-0000A7790000}"/>
    <cellStyle name="60% - Accent6 2 2 2 3 30" xfId="63546" xr:uid="{00000000-0005-0000-0000-0000A8790000}"/>
    <cellStyle name="60% - Accent6 2 2 2 3 4" xfId="6321" xr:uid="{00000000-0005-0000-0000-0000A9790000}"/>
    <cellStyle name="60% - Accent6 2 2 2 3 4 2" xfId="21470" xr:uid="{00000000-0005-0000-0000-0000AA790000}"/>
    <cellStyle name="60% - Accent6 2 2 2 3 5" xfId="8004" xr:uid="{00000000-0005-0000-0000-0000AB790000}"/>
    <cellStyle name="60% - Accent6 2 2 2 3 5 2" xfId="23153" xr:uid="{00000000-0005-0000-0000-0000AC790000}"/>
    <cellStyle name="60% - Accent6 2 2 2 3 6" xfId="9687" xr:uid="{00000000-0005-0000-0000-0000AD790000}"/>
    <cellStyle name="60% - Accent6 2 2 2 3 6 2" xfId="24836" xr:uid="{00000000-0005-0000-0000-0000AE790000}"/>
    <cellStyle name="60% - Accent6 2 2 2 3 7" xfId="11370" xr:uid="{00000000-0005-0000-0000-0000AF790000}"/>
    <cellStyle name="60% - Accent6 2 2 2 3 7 2" xfId="26519" xr:uid="{00000000-0005-0000-0000-0000B0790000}"/>
    <cellStyle name="60% - Accent6 2 2 2 3 8" xfId="13054" xr:uid="{00000000-0005-0000-0000-0000B1790000}"/>
    <cellStyle name="60% - Accent6 2 2 2 3 8 2" xfId="28203" xr:uid="{00000000-0005-0000-0000-0000B2790000}"/>
    <cellStyle name="60% - Accent6 2 2 2 3 9" xfId="14737" xr:uid="{00000000-0005-0000-0000-0000B3790000}"/>
    <cellStyle name="60% - Accent6 2 2 2 3 9 2" xfId="29886" xr:uid="{00000000-0005-0000-0000-0000B4790000}"/>
    <cellStyle name="60% - Accent6 2 2 2 30" xfId="57656" xr:uid="{00000000-0005-0000-0000-0000B5790000}"/>
    <cellStyle name="60% - Accent6 2 2 2 31" xfId="59339" xr:uid="{00000000-0005-0000-0000-0000B6790000}"/>
    <cellStyle name="60% - Accent6 2 2 2 32" xfId="61022" xr:uid="{00000000-0005-0000-0000-0000B7790000}"/>
    <cellStyle name="60% - Accent6 2 2 2 33" xfId="62705" xr:uid="{00000000-0005-0000-0000-0000B8790000}"/>
    <cellStyle name="60% - Accent6 2 2 2 4" xfId="1692" xr:uid="{00000000-0005-0000-0000-0000B9790000}"/>
    <cellStyle name="60% - Accent6 2 2 2 4 10" xfId="16841" xr:uid="{00000000-0005-0000-0000-0000BA790000}"/>
    <cellStyle name="60% - Accent6 2 2 2 4 11" xfId="31990" xr:uid="{00000000-0005-0000-0000-0000BB790000}"/>
    <cellStyle name="60% - Accent6 2 2 2 4 12" xfId="33673" xr:uid="{00000000-0005-0000-0000-0000BC790000}"/>
    <cellStyle name="60% - Accent6 2 2 2 4 13" xfId="35356" xr:uid="{00000000-0005-0000-0000-0000BD790000}"/>
    <cellStyle name="60% - Accent6 2 2 2 4 14" xfId="37039" xr:uid="{00000000-0005-0000-0000-0000BE790000}"/>
    <cellStyle name="60% - Accent6 2 2 2 4 15" xfId="38722" xr:uid="{00000000-0005-0000-0000-0000BF790000}"/>
    <cellStyle name="60% - Accent6 2 2 2 4 16" xfId="40405" xr:uid="{00000000-0005-0000-0000-0000C0790000}"/>
    <cellStyle name="60% - Accent6 2 2 2 4 17" xfId="42088" xr:uid="{00000000-0005-0000-0000-0000C1790000}"/>
    <cellStyle name="60% - Accent6 2 2 2 4 18" xfId="43771" xr:uid="{00000000-0005-0000-0000-0000C2790000}"/>
    <cellStyle name="60% - Accent6 2 2 2 4 19" xfId="45454" xr:uid="{00000000-0005-0000-0000-0000C3790000}"/>
    <cellStyle name="60% - Accent6 2 2 2 4 2" xfId="3375" xr:uid="{00000000-0005-0000-0000-0000C4790000}"/>
    <cellStyle name="60% - Accent6 2 2 2 4 2 2" xfId="18524" xr:uid="{00000000-0005-0000-0000-0000C5790000}"/>
    <cellStyle name="60% - Accent6 2 2 2 4 20" xfId="47137" xr:uid="{00000000-0005-0000-0000-0000C6790000}"/>
    <cellStyle name="60% - Accent6 2 2 2 4 21" xfId="48820" xr:uid="{00000000-0005-0000-0000-0000C7790000}"/>
    <cellStyle name="60% - Accent6 2 2 2 4 22" xfId="50503" xr:uid="{00000000-0005-0000-0000-0000C8790000}"/>
    <cellStyle name="60% - Accent6 2 2 2 4 23" xfId="52186" xr:uid="{00000000-0005-0000-0000-0000C9790000}"/>
    <cellStyle name="60% - Accent6 2 2 2 4 24" xfId="53869" xr:uid="{00000000-0005-0000-0000-0000CA790000}"/>
    <cellStyle name="60% - Accent6 2 2 2 4 25" xfId="55552" xr:uid="{00000000-0005-0000-0000-0000CB790000}"/>
    <cellStyle name="60% - Accent6 2 2 2 4 26" xfId="57235" xr:uid="{00000000-0005-0000-0000-0000CC790000}"/>
    <cellStyle name="60% - Accent6 2 2 2 4 27" xfId="58918" xr:uid="{00000000-0005-0000-0000-0000CD790000}"/>
    <cellStyle name="60% - Accent6 2 2 2 4 28" xfId="60601" xr:uid="{00000000-0005-0000-0000-0000CE790000}"/>
    <cellStyle name="60% - Accent6 2 2 2 4 29" xfId="62284" xr:uid="{00000000-0005-0000-0000-0000CF790000}"/>
    <cellStyle name="60% - Accent6 2 2 2 4 3" xfId="5059" xr:uid="{00000000-0005-0000-0000-0000D0790000}"/>
    <cellStyle name="60% - Accent6 2 2 2 4 3 2" xfId="20208" xr:uid="{00000000-0005-0000-0000-0000D1790000}"/>
    <cellStyle name="60% - Accent6 2 2 2 4 30" xfId="63967" xr:uid="{00000000-0005-0000-0000-0000D2790000}"/>
    <cellStyle name="60% - Accent6 2 2 2 4 4" xfId="6742" xr:uid="{00000000-0005-0000-0000-0000D3790000}"/>
    <cellStyle name="60% - Accent6 2 2 2 4 4 2" xfId="21891" xr:uid="{00000000-0005-0000-0000-0000D4790000}"/>
    <cellStyle name="60% - Accent6 2 2 2 4 5" xfId="8425" xr:uid="{00000000-0005-0000-0000-0000D5790000}"/>
    <cellStyle name="60% - Accent6 2 2 2 4 5 2" xfId="23574" xr:uid="{00000000-0005-0000-0000-0000D6790000}"/>
    <cellStyle name="60% - Accent6 2 2 2 4 6" xfId="10108" xr:uid="{00000000-0005-0000-0000-0000D7790000}"/>
    <cellStyle name="60% - Accent6 2 2 2 4 6 2" xfId="25257" xr:uid="{00000000-0005-0000-0000-0000D8790000}"/>
    <cellStyle name="60% - Accent6 2 2 2 4 7" xfId="11791" xr:uid="{00000000-0005-0000-0000-0000D9790000}"/>
    <cellStyle name="60% - Accent6 2 2 2 4 7 2" xfId="26940" xr:uid="{00000000-0005-0000-0000-0000DA790000}"/>
    <cellStyle name="60% - Accent6 2 2 2 4 8" xfId="13475" xr:uid="{00000000-0005-0000-0000-0000DB790000}"/>
    <cellStyle name="60% - Accent6 2 2 2 4 8 2" xfId="28624" xr:uid="{00000000-0005-0000-0000-0000DC790000}"/>
    <cellStyle name="60% - Accent6 2 2 2 4 9" xfId="15158" xr:uid="{00000000-0005-0000-0000-0000DD790000}"/>
    <cellStyle name="60% - Accent6 2 2 2 4 9 2" xfId="30307" xr:uid="{00000000-0005-0000-0000-0000DE790000}"/>
    <cellStyle name="60% - Accent6 2 2 2 5" xfId="2113" xr:uid="{00000000-0005-0000-0000-0000DF790000}"/>
    <cellStyle name="60% - Accent6 2 2 2 5 2" xfId="17262" xr:uid="{00000000-0005-0000-0000-0000E0790000}"/>
    <cellStyle name="60% - Accent6 2 2 2 6" xfId="3797" xr:uid="{00000000-0005-0000-0000-0000E1790000}"/>
    <cellStyle name="60% - Accent6 2 2 2 6 2" xfId="18946" xr:uid="{00000000-0005-0000-0000-0000E2790000}"/>
    <cellStyle name="60% - Accent6 2 2 2 7" xfId="5480" xr:uid="{00000000-0005-0000-0000-0000E3790000}"/>
    <cellStyle name="60% - Accent6 2 2 2 7 2" xfId="20629" xr:uid="{00000000-0005-0000-0000-0000E4790000}"/>
    <cellStyle name="60% - Accent6 2 2 2 8" xfId="7163" xr:uid="{00000000-0005-0000-0000-0000E5790000}"/>
    <cellStyle name="60% - Accent6 2 2 2 8 2" xfId="22312" xr:uid="{00000000-0005-0000-0000-0000E6790000}"/>
    <cellStyle name="60% - Accent6 2 2 2 9" xfId="8846" xr:uid="{00000000-0005-0000-0000-0000E7790000}"/>
    <cellStyle name="60% - Accent6 2 2 2 9 2" xfId="23995" xr:uid="{00000000-0005-0000-0000-0000E8790000}"/>
    <cellStyle name="60% - Accent6 2 2 20" xfId="38933" xr:uid="{00000000-0005-0000-0000-0000E9790000}"/>
    <cellStyle name="60% - Accent6 2 2 21" xfId="40616" xr:uid="{00000000-0005-0000-0000-0000EA790000}"/>
    <cellStyle name="60% - Accent6 2 2 22" xfId="42299" xr:uid="{00000000-0005-0000-0000-0000EB790000}"/>
    <cellStyle name="60% - Accent6 2 2 23" xfId="43982" xr:uid="{00000000-0005-0000-0000-0000EC790000}"/>
    <cellStyle name="60% - Accent6 2 2 24" xfId="45665" xr:uid="{00000000-0005-0000-0000-0000ED790000}"/>
    <cellStyle name="60% - Accent6 2 2 25" xfId="47348" xr:uid="{00000000-0005-0000-0000-0000EE790000}"/>
    <cellStyle name="60% - Accent6 2 2 26" xfId="49031" xr:uid="{00000000-0005-0000-0000-0000EF790000}"/>
    <cellStyle name="60% - Accent6 2 2 27" xfId="50714" xr:uid="{00000000-0005-0000-0000-0000F0790000}"/>
    <cellStyle name="60% - Accent6 2 2 28" xfId="52397" xr:uid="{00000000-0005-0000-0000-0000F1790000}"/>
    <cellStyle name="60% - Accent6 2 2 29" xfId="54080" xr:uid="{00000000-0005-0000-0000-0000F2790000}"/>
    <cellStyle name="60% - Accent6 2 2 3" xfId="640" xr:uid="{00000000-0005-0000-0000-0000F3790000}"/>
    <cellStyle name="60% - Accent6 2 2 3 10" xfId="15789" xr:uid="{00000000-0005-0000-0000-0000F4790000}"/>
    <cellStyle name="60% - Accent6 2 2 3 11" xfId="30938" xr:uid="{00000000-0005-0000-0000-0000F5790000}"/>
    <cellStyle name="60% - Accent6 2 2 3 12" xfId="32621" xr:uid="{00000000-0005-0000-0000-0000F6790000}"/>
    <cellStyle name="60% - Accent6 2 2 3 13" xfId="34304" xr:uid="{00000000-0005-0000-0000-0000F7790000}"/>
    <cellStyle name="60% - Accent6 2 2 3 14" xfId="35987" xr:uid="{00000000-0005-0000-0000-0000F8790000}"/>
    <cellStyle name="60% - Accent6 2 2 3 15" xfId="37670" xr:uid="{00000000-0005-0000-0000-0000F9790000}"/>
    <cellStyle name="60% - Accent6 2 2 3 16" xfId="39353" xr:uid="{00000000-0005-0000-0000-0000FA790000}"/>
    <cellStyle name="60% - Accent6 2 2 3 17" xfId="41036" xr:uid="{00000000-0005-0000-0000-0000FB790000}"/>
    <cellStyle name="60% - Accent6 2 2 3 18" xfId="42719" xr:uid="{00000000-0005-0000-0000-0000FC790000}"/>
    <cellStyle name="60% - Accent6 2 2 3 19" xfId="44402" xr:uid="{00000000-0005-0000-0000-0000FD790000}"/>
    <cellStyle name="60% - Accent6 2 2 3 2" xfId="2323" xr:uid="{00000000-0005-0000-0000-0000FE790000}"/>
    <cellStyle name="60% - Accent6 2 2 3 2 2" xfId="17472" xr:uid="{00000000-0005-0000-0000-0000FF790000}"/>
    <cellStyle name="60% - Accent6 2 2 3 20" xfId="46085" xr:uid="{00000000-0005-0000-0000-0000007A0000}"/>
    <cellStyle name="60% - Accent6 2 2 3 21" xfId="47768" xr:uid="{00000000-0005-0000-0000-0000017A0000}"/>
    <cellStyle name="60% - Accent6 2 2 3 22" xfId="49451" xr:uid="{00000000-0005-0000-0000-0000027A0000}"/>
    <cellStyle name="60% - Accent6 2 2 3 23" xfId="51134" xr:uid="{00000000-0005-0000-0000-0000037A0000}"/>
    <cellStyle name="60% - Accent6 2 2 3 24" xfId="52817" xr:uid="{00000000-0005-0000-0000-0000047A0000}"/>
    <cellStyle name="60% - Accent6 2 2 3 25" xfId="54500" xr:uid="{00000000-0005-0000-0000-0000057A0000}"/>
    <cellStyle name="60% - Accent6 2 2 3 26" xfId="56183" xr:uid="{00000000-0005-0000-0000-0000067A0000}"/>
    <cellStyle name="60% - Accent6 2 2 3 27" xfId="57866" xr:uid="{00000000-0005-0000-0000-0000077A0000}"/>
    <cellStyle name="60% - Accent6 2 2 3 28" xfId="59549" xr:uid="{00000000-0005-0000-0000-0000087A0000}"/>
    <cellStyle name="60% - Accent6 2 2 3 29" xfId="61232" xr:uid="{00000000-0005-0000-0000-0000097A0000}"/>
    <cellStyle name="60% - Accent6 2 2 3 3" xfId="4007" xr:uid="{00000000-0005-0000-0000-00000A7A0000}"/>
    <cellStyle name="60% - Accent6 2 2 3 3 2" xfId="19156" xr:uid="{00000000-0005-0000-0000-00000B7A0000}"/>
    <cellStyle name="60% - Accent6 2 2 3 30" xfId="62915" xr:uid="{00000000-0005-0000-0000-00000C7A0000}"/>
    <cellStyle name="60% - Accent6 2 2 3 4" xfId="5690" xr:uid="{00000000-0005-0000-0000-00000D7A0000}"/>
    <cellStyle name="60% - Accent6 2 2 3 4 2" xfId="20839" xr:uid="{00000000-0005-0000-0000-00000E7A0000}"/>
    <cellStyle name="60% - Accent6 2 2 3 5" xfId="7373" xr:uid="{00000000-0005-0000-0000-00000F7A0000}"/>
    <cellStyle name="60% - Accent6 2 2 3 5 2" xfId="22522" xr:uid="{00000000-0005-0000-0000-0000107A0000}"/>
    <cellStyle name="60% - Accent6 2 2 3 6" xfId="9056" xr:uid="{00000000-0005-0000-0000-0000117A0000}"/>
    <cellStyle name="60% - Accent6 2 2 3 6 2" xfId="24205" xr:uid="{00000000-0005-0000-0000-0000127A0000}"/>
    <cellStyle name="60% - Accent6 2 2 3 7" xfId="10739" xr:uid="{00000000-0005-0000-0000-0000137A0000}"/>
    <cellStyle name="60% - Accent6 2 2 3 7 2" xfId="25888" xr:uid="{00000000-0005-0000-0000-0000147A0000}"/>
    <cellStyle name="60% - Accent6 2 2 3 8" xfId="12423" xr:uid="{00000000-0005-0000-0000-0000157A0000}"/>
    <cellStyle name="60% - Accent6 2 2 3 8 2" xfId="27572" xr:uid="{00000000-0005-0000-0000-0000167A0000}"/>
    <cellStyle name="60% - Accent6 2 2 3 9" xfId="14106" xr:uid="{00000000-0005-0000-0000-0000177A0000}"/>
    <cellStyle name="60% - Accent6 2 2 3 9 2" xfId="29255" xr:uid="{00000000-0005-0000-0000-0000187A0000}"/>
    <cellStyle name="60% - Accent6 2 2 30" xfId="55763" xr:uid="{00000000-0005-0000-0000-0000197A0000}"/>
    <cellStyle name="60% - Accent6 2 2 31" xfId="57446" xr:uid="{00000000-0005-0000-0000-00001A7A0000}"/>
    <cellStyle name="60% - Accent6 2 2 32" xfId="59129" xr:uid="{00000000-0005-0000-0000-00001B7A0000}"/>
    <cellStyle name="60% - Accent6 2 2 33" xfId="60812" xr:uid="{00000000-0005-0000-0000-00001C7A0000}"/>
    <cellStyle name="60% - Accent6 2 2 34" xfId="62495" xr:uid="{00000000-0005-0000-0000-00001D7A0000}"/>
    <cellStyle name="60% - Accent6 2 2 4" xfId="1061" xr:uid="{00000000-0005-0000-0000-00001E7A0000}"/>
    <cellStyle name="60% - Accent6 2 2 4 10" xfId="16210" xr:uid="{00000000-0005-0000-0000-00001F7A0000}"/>
    <cellStyle name="60% - Accent6 2 2 4 11" xfId="31359" xr:uid="{00000000-0005-0000-0000-0000207A0000}"/>
    <cellStyle name="60% - Accent6 2 2 4 12" xfId="33042" xr:uid="{00000000-0005-0000-0000-0000217A0000}"/>
    <cellStyle name="60% - Accent6 2 2 4 13" xfId="34725" xr:uid="{00000000-0005-0000-0000-0000227A0000}"/>
    <cellStyle name="60% - Accent6 2 2 4 14" xfId="36408" xr:uid="{00000000-0005-0000-0000-0000237A0000}"/>
    <cellStyle name="60% - Accent6 2 2 4 15" xfId="38091" xr:uid="{00000000-0005-0000-0000-0000247A0000}"/>
    <cellStyle name="60% - Accent6 2 2 4 16" xfId="39774" xr:uid="{00000000-0005-0000-0000-0000257A0000}"/>
    <cellStyle name="60% - Accent6 2 2 4 17" xfId="41457" xr:uid="{00000000-0005-0000-0000-0000267A0000}"/>
    <cellStyle name="60% - Accent6 2 2 4 18" xfId="43140" xr:uid="{00000000-0005-0000-0000-0000277A0000}"/>
    <cellStyle name="60% - Accent6 2 2 4 19" xfId="44823" xr:uid="{00000000-0005-0000-0000-0000287A0000}"/>
    <cellStyle name="60% - Accent6 2 2 4 2" xfId="2744" xr:uid="{00000000-0005-0000-0000-0000297A0000}"/>
    <cellStyle name="60% - Accent6 2 2 4 2 2" xfId="17893" xr:uid="{00000000-0005-0000-0000-00002A7A0000}"/>
    <cellStyle name="60% - Accent6 2 2 4 20" xfId="46506" xr:uid="{00000000-0005-0000-0000-00002B7A0000}"/>
    <cellStyle name="60% - Accent6 2 2 4 21" xfId="48189" xr:uid="{00000000-0005-0000-0000-00002C7A0000}"/>
    <cellStyle name="60% - Accent6 2 2 4 22" xfId="49872" xr:uid="{00000000-0005-0000-0000-00002D7A0000}"/>
    <cellStyle name="60% - Accent6 2 2 4 23" xfId="51555" xr:uid="{00000000-0005-0000-0000-00002E7A0000}"/>
    <cellStyle name="60% - Accent6 2 2 4 24" xfId="53238" xr:uid="{00000000-0005-0000-0000-00002F7A0000}"/>
    <cellStyle name="60% - Accent6 2 2 4 25" xfId="54921" xr:uid="{00000000-0005-0000-0000-0000307A0000}"/>
    <cellStyle name="60% - Accent6 2 2 4 26" xfId="56604" xr:uid="{00000000-0005-0000-0000-0000317A0000}"/>
    <cellStyle name="60% - Accent6 2 2 4 27" xfId="58287" xr:uid="{00000000-0005-0000-0000-0000327A0000}"/>
    <cellStyle name="60% - Accent6 2 2 4 28" xfId="59970" xr:uid="{00000000-0005-0000-0000-0000337A0000}"/>
    <cellStyle name="60% - Accent6 2 2 4 29" xfId="61653" xr:uid="{00000000-0005-0000-0000-0000347A0000}"/>
    <cellStyle name="60% - Accent6 2 2 4 3" xfId="4428" xr:uid="{00000000-0005-0000-0000-0000357A0000}"/>
    <cellStyle name="60% - Accent6 2 2 4 3 2" xfId="19577" xr:uid="{00000000-0005-0000-0000-0000367A0000}"/>
    <cellStyle name="60% - Accent6 2 2 4 30" xfId="63336" xr:uid="{00000000-0005-0000-0000-0000377A0000}"/>
    <cellStyle name="60% - Accent6 2 2 4 4" xfId="6111" xr:uid="{00000000-0005-0000-0000-0000387A0000}"/>
    <cellStyle name="60% - Accent6 2 2 4 4 2" xfId="21260" xr:uid="{00000000-0005-0000-0000-0000397A0000}"/>
    <cellStyle name="60% - Accent6 2 2 4 5" xfId="7794" xr:uid="{00000000-0005-0000-0000-00003A7A0000}"/>
    <cellStyle name="60% - Accent6 2 2 4 5 2" xfId="22943" xr:uid="{00000000-0005-0000-0000-00003B7A0000}"/>
    <cellStyle name="60% - Accent6 2 2 4 6" xfId="9477" xr:uid="{00000000-0005-0000-0000-00003C7A0000}"/>
    <cellStyle name="60% - Accent6 2 2 4 6 2" xfId="24626" xr:uid="{00000000-0005-0000-0000-00003D7A0000}"/>
    <cellStyle name="60% - Accent6 2 2 4 7" xfId="11160" xr:uid="{00000000-0005-0000-0000-00003E7A0000}"/>
    <cellStyle name="60% - Accent6 2 2 4 7 2" xfId="26309" xr:uid="{00000000-0005-0000-0000-00003F7A0000}"/>
    <cellStyle name="60% - Accent6 2 2 4 8" xfId="12844" xr:uid="{00000000-0005-0000-0000-0000407A0000}"/>
    <cellStyle name="60% - Accent6 2 2 4 8 2" xfId="27993" xr:uid="{00000000-0005-0000-0000-0000417A0000}"/>
    <cellStyle name="60% - Accent6 2 2 4 9" xfId="14527" xr:uid="{00000000-0005-0000-0000-0000427A0000}"/>
    <cellStyle name="60% - Accent6 2 2 4 9 2" xfId="29676" xr:uid="{00000000-0005-0000-0000-0000437A0000}"/>
    <cellStyle name="60% - Accent6 2 2 5" xfId="1482" xr:uid="{00000000-0005-0000-0000-0000447A0000}"/>
    <cellStyle name="60% - Accent6 2 2 5 10" xfId="16631" xr:uid="{00000000-0005-0000-0000-0000457A0000}"/>
    <cellStyle name="60% - Accent6 2 2 5 11" xfId="31780" xr:uid="{00000000-0005-0000-0000-0000467A0000}"/>
    <cellStyle name="60% - Accent6 2 2 5 12" xfId="33463" xr:uid="{00000000-0005-0000-0000-0000477A0000}"/>
    <cellStyle name="60% - Accent6 2 2 5 13" xfId="35146" xr:uid="{00000000-0005-0000-0000-0000487A0000}"/>
    <cellStyle name="60% - Accent6 2 2 5 14" xfId="36829" xr:uid="{00000000-0005-0000-0000-0000497A0000}"/>
    <cellStyle name="60% - Accent6 2 2 5 15" xfId="38512" xr:uid="{00000000-0005-0000-0000-00004A7A0000}"/>
    <cellStyle name="60% - Accent6 2 2 5 16" xfId="40195" xr:uid="{00000000-0005-0000-0000-00004B7A0000}"/>
    <cellStyle name="60% - Accent6 2 2 5 17" xfId="41878" xr:uid="{00000000-0005-0000-0000-00004C7A0000}"/>
    <cellStyle name="60% - Accent6 2 2 5 18" xfId="43561" xr:uid="{00000000-0005-0000-0000-00004D7A0000}"/>
    <cellStyle name="60% - Accent6 2 2 5 19" xfId="45244" xr:uid="{00000000-0005-0000-0000-00004E7A0000}"/>
    <cellStyle name="60% - Accent6 2 2 5 2" xfId="3165" xr:uid="{00000000-0005-0000-0000-00004F7A0000}"/>
    <cellStyle name="60% - Accent6 2 2 5 2 2" xfId="18314" xr:uid="{00000000-0005-0000-0000-0000507A0000}"/>
    <cellStyle name="60% - Accent6 2 2 5 20" xfId="46927" xr:uid="{00000000-0005-0000-0000-0000517A0000}"/>
    <cellStyle name="60% - Accent6 2 2 5 21" xfId="48610" xr:uid="{00000000-0005-0000-0000-0000527A0000}"/>
    <cellStyle name="60% - Accent6 2 2 5 22" xfId="50293" xr:uid="{00000000-0005-0000-0000-0000537A0000}"/>
    <cellStyle name="60% - Accent6 2 2 5 23" xfId="51976" xr:uid="{00000000-0005-0000-0000-0000547A0000}"/>
    <cellStyle name="60% - Accent6 2 2 5 24" xfId="53659" xr:uid="{00000000-0005-0000-0000-0000557A0000}"/>
    <cellStyle name="60% - Accent6 2 2 5 25" xfId="55342" xr:uid="{00000000-0005-0000-0000-0000567A0000}"/>
    <cellStyle name="60% - Accent6 2 2 5 26" xfId="57025" xr:uid="{00000000-0005-0000-0000-0000577A0000}"/>
    <cellStyle name="60% - Accent6 2 2 5 27" xfId="58708" xr:uid="{00000000-0005-0000-0000-0000587A0000}"/>
    <cellStyle name="60% - Accent6 2 2 5 28" xfId="60391" xr:uid="{00000000-0005-0000-0000-0000597A0000}"/>
    <cellStyle name="60% - Accent6 2 2 5 29" xfId="62074" xr:uid="{00000000-0005-0000-0000-00005A7A0000}"/>
    <cellStyle name="60% - Accent6 2 2 5 3" xfId="4849" xr:uid="{00000000-0005-0000-0000-00005B7A0000}"/>
    <cellStyle name="60% - Accent6 2 2 5 3 2" xfId="19998" xr:uid="{00000000-0005-0000-0000-00005C7A0000}"/>
    <cellStyle name="60% - Accent6 2 2 5 30" xfId="63757" xr:uid="{00000000-0005-0000-0000-00005D7A0000}"/>
    <cellStyle name="60% - Accent6 2 2 5 4" xfId="6532" xr:uid="{00000000-0005-0000-0000-00005E7A0000}"/>
    <cellStyle name="60% - Accent6 2 2 5 4 2" xfId="21681" xr:uid="{00000000-0005-0000-0000-00005F7A0000}"/>
    <cellStyle name="60% - Accent6 2 2 5 5" xfId="8215" xr:uid="{00000000-0005-0000-0000-0000607A0000}"/>
    <cellStyle name="60% - Accent6 2 2 5 5 2" xfId="23364" xr:uid="{00000000-0005-0000-0000-0000617A0000}"/>
    <cellStyle name="60% - Accent6 2 2 5 6" xfId="9898" xr:uid="{00000000-0005-0000-0000-0000627A0000}"/>
    <cellStyle name="60% - Accent6 2 2 5 6 2" xfId="25047" xr:uid="{00000000-0005-0000-0000-0000637A0000}"/>
    <cellStyle name="60% - Accent6 2 2 5 7" xfId="11581" xr:uid="{00000000-0005-0000-0000-0000647A0000}"/>
    <cellStyle name="60% - Accent6 2 2 5 7 2" xfId="26730" xr:uid="{00000000-0005-0000-0000-0000657A0000}"/>
    <cellStyle name="60% - Accent6 2 2 5 8" xfId="13265" xr:uid="{00000000-0005-0000-0000-0000667A0000}"/>
    <cellStyle name="60% - Accent6 2 2 5 8 2" xfId="28414" xr:uid="{00000000-0005-0000-0000-0000677A0000}"/>
    <cellStyle name="60% - Accent6 2 2 5 9" xfId="14948" xr:uid="{00000000-0005-0000-0000-0000687A0000}"/>
    <cellStyle name="60% - Accent6 2 2 5 9 2" xfId="30097" xr:uid="{00000000-0005-0000-0000-0000697A0000}"/>
    <cellStyle name="60% - Accent6 2 2 6" xfId="1903" xr:uid="{00000000-0005-0000-0000-00006A7A0000}"/>
    <cellStyle name="60% - Accent6 2 2 6 2" xfId="17052" xr:uid="{00000000-0005-0000-0000-00006B7A0000}"/>
    <cellStyle name="60% - Accent6 2 2 7" xfId="3587" xr:uid="{00000000-0005-0000-0000-00006C7A0000}"/>
    <cellStyle name="60% - Accent6 2 2 7 2" xfId="18736" xr:uid="{00000000-0005-0000-0000-00006D7A0000}"/>
    <cellStyle name="60% - Accent6 2 2 8" xfId="5270" xr:uid="{00000000-0005-0000-0000-00006E7A0000}"/>
    <cellStyle name="60% - Accent6 2 2 8 2" xfId="20419" xr:uid="{00000000-0005-0000-0000-00006F7A0000}"/>
    <cellStyle name="60% - Accent6 2 2 9" xfId="6953" xr:uid="{00000000-0005-0000-0000-0000707A0000}"/>
    <cellStyle name="60% - Accent6 2 2 9 2" xfId="22102" xr:uid="{00000000-0005-0000-0000-0000717A0000}"/>
    <cellStyle name="60% - Accent6 2 20" xfId="37145" xr:uid="{00000000-0005-0000-0000-0000727A0000}"/>
    <cellStyle name="60% - Accent6 2 21" xfId="38828" xr:uid="{00000000-0005-0000-0000-0000737A0000}"/>
    <cellStyle name="60% - Accent6 2 22" xfId="40511" xr:uid="{00000000-0005-0000-0000-0000747A0000}"/>
    <cellStyle name="60% - Accent6 2 23" xfId="42194" xr:uid="{00000000-0005-0000-0000-0000757A0000}"/>
    <cellStyle name="60% - Accent6 2 24" xfId="43877" xr:uid="{00000000-0005-0000-0000-0000767A0000}"/>
    <cellStyle name="60% - Accent6 2 25" xfId="45560" xr:uid="{00000000-0005-0000-0000-0000777A0000}"/>
    <cellStyle name="60% - Accent6 2 26" xfId="47243" xr:uid="{00000000-0005-0000-0000-0000787A0000}"/>
    <cellStyle name="60% - Accent6 2 27" xfId="48926" xr:uid="{00000000-0005-0000-0000-0000797A0000}"/>
    <cellStyle name="60% - Accent6 2 28" xfId="50609" xr:uid="{00000000-0005-0000-0000-00007A7A0000}"/>
    <cellStyle name="60% - Accent6 2 29" xfId="52292" xr:uid="{00000000-0005-0000-0000-00007B7A0000}"/>
    <cellStyle name="60% - Accent6 2 3" xfId="325" xr:uid="{00000000-0005-0000-0000-00007C7A0000}"/>
    <cellStyle name="60% - Accent6 2 3 10" xfId="10424" xr:uid="{00000000-0005-0000-0000-00007D7A0000}"/>
    <cellStyle name="60% - Accent6 2 3 10 2" xfId="25573" xr:uid="{00000000-0005-0000-0000-00007E7A0000}"/>
    <cellStyle name="60% - Accent6 2 3 11" xfId="12108" xr:uid="{00000000-0005-0000-0000-00007F7A0000}"/>
    <cellStyle name="60% - Accent6 2 3 11 2" xfId="27257" xr:uid="{00000000-0005-0000-0000-0000807A0000}"/>
    <cellStyle name="60% - Accent6 2 3 12" xfId="13791" xr:uid="{00000000-0005-0000-0000-0000817A0000}"/>
    <cellStyle name="60% - Accent6 2 3 12 2" xfId="28940" xr:uid="{00000000-0005-0000-0000-0000827A0000}"/>
    <cellStyle name="60% - Accent6 2 3 13" xfId="15474" xr:uid="{00000000-0005-0000-0000-0000837A0000}"/>
    <cellStyle name="60% - Accent6 2 3 14" xfId="30623" xr:uid="{00000000-0005-0000-0000-0000847A0000}"/>
    <cellStyle name="60% - Accent6 2 3 15" xfId="32306" xr:uid="{00000000-0005-0000-0000-0000857A0000}"/>
    <cellStyle name="60% - Accent6 2 3 16" xfId="33989" xr:uid="{00000000-0005-0000-0000-0000867A0000}"/>
    <cellStyle name="60% - Accent6 2 3 17" xfId="35672" xr:uid="{00000000-0005-0000-0000-0000877A0000}"/>
    <cellStyle name="60% - Accent6 2 3 18" xfId="37355" xr:uid="{00000000-0005-0000-0000-0000887A0000}"/>
    <cellStyle name="60% - Accent6 2 3 19" xfId="39038" xr:uid="{00000000-0005-0000-0000-0000897A0000}"/>
    <cellStyle name="60% - Accent6 2 3 2" xfId="745" xr:uid="{00000000-0005-0000-0000-00008A7A0000}"/>
    <cellStyle name="60% - Accent6 2 3 2 10" xfId="15894" xr:uid="{00000000-0005-0000-0000-00008B7A0000}"/>
    <cellStyle name="60% - Accent6 2 3 2 11" xfId="31043" xr:uid="{00000000-0005-0000-0000-00008C7A0000}"/>
    <cellStyle name="60% - Accent6 2 3 2 12" xfId="32726" xr:uid="{00000000-0005-0000-0000-00008D7A0000}"/>
    <cellStyle name="60% - Accent6 2 3 2 13" xfId="34409" xr:uid="{00000000-0005-0000-0000-00008E7A0000}"/>
    <cellStyle name="60% - Accent6 2 3 2 14" xfId="36092" xr:uid="{00000000-0005-0000-0000-00008F7A0000}"/>
    <cellStyle name="60% - Accent6 2 3 2 15" xfId="37775" xr:uid="{00000000-0005-0000-0000-0000907A0000}"/>
    <cellStyle name="60% - Accent6 2 3 2 16" xfId="39458" xr:uid="{00000000-0005-0000-0000-0000917A0000}"/>
    <cellStyle name="60% - Accent6 2 3 2 17" xfId="41141" xr:uid="{00000000-0005-0000-0000-0000927A0000}"/>
    <cellStyle name="60% - Accent6 2 3 2 18" xfId="42824" xr:uid="{00000000-0005-0000-0000-0000937A0000}"/>
    <cellStyle name="60% - Accent6 2 3 2 19" xfId="44507" xr:uid="{00000000-0005-0000-0000-0000947A0000}"/>
    <cellStyle name="60% - Accent6 2 3 2 2" xfId="2428" xr:uid="{00000000-0005-0000-0000-0000957A0000}"/>
    <cellStyle name="60% - Accent6 2 3 2 2 2" xfId="17577" xr:uid="{00000000-0005-0000-0000-0000967A0000}"/>
    <cellStyle name="60% - Accent6 2 3 2 20" xfId="46190" xr:uid="{00000000-0005-0000-0000-0000977A0000}"/>
    <cellStyle name="60% - Accent6 2 3 2 21" xfId="47873" xr:uid="{00000000-0005-0000-0000-0000987A0000}"/>
    <cellStyle name="60% - Accent6 2 3 2 22" xfId="49556" xr:uid="{00000000-0005-0000-0000-0000997A0000}"/>
    <cellStyle name="60% - Accent6 2 3 2 23" xfId="51239" xr:uid="{00000000-0005-0000-0000-00009A7A0000}"/>
    <cellStyle name="60% - Accent6 2 3 2 24" xfId="52922" xr:uid="{00000000-0005-0000-0000-00009B7A0000}"/>
    <cellStyle name="60% - Accent6 2 3 2 25" xfId="54605" xr:uid="{00000000-0005-0000-0000-00009C7A0000}"/>
    <cellStyle name="60% - Accent6 2 3 2 26" xfId="56288" xr:uid="{00000000-0005-0000-0000-00009D7A0000}"/>
    <cellStyle name="60% - Accent6 2 3 2 27" xfId="57971" xr:uid="{00000000-0005-0000-0000-00009E7A0000}"/>
    <cellStyle name="60% - Accent6 2 3 2 28" xfId="59654" xr:uid="{00000000-0005-0000-0000-00009F7A0000}"/>
    <cellStyle name="60% - Accent6 2 3 2 29" xfId="61337" xr:uid="{00000000-0005-0000-0000-0000A07A0000}"/>
    <cellStyle name="60% - Accent6 2 3 2 3" xfId="4112" xr:uid="{00000000-0005-0000-0000-0000A17A0000}"/>
    <cellStyle name="60% - Accent6 2 3 2 3 2" xfId="19261" xr:uid="{00000000-0005-0000-0000-0000A27A0000}"/>
    <cellStyle name="60% - Accent6 2 3 2 30" xfId="63020" xr:uid="{00000000-0005-0000-0000-0000A37A0000}"/>
    <cellStyle name="60% - Accent6 2 3 2 4" xfId="5795" xr:uid="{00000000-0005-0000-0000-0000A47A0000}"/>
    <cellStyle name="60% - Accent6 2 3 2 4 2" xfId="20944" xr:uid="{00000000-0005-0000-0000-0000A57A0000}"/>
    <cellStyle name="60% - Accent6 2 3 2 5" xfId="7478" xr:uid="{00000000-0005-0000-0000-0000A67A0000}"/>
    <cellStyle name="60% - Accent6 2 3 2 5 2" xfId="22627" xr:uid="{00000000-0005-0000-0000-0000A77A0000}"/>
    <cellStyle name="60% - Accent6 2 3 2 6" xfId="9161" xr:uid="{00000000-0005-0000-0000-0000A87A0000}"/>
    <cellStyle name="60% - Accent6 2 3 2 6 2" xfId="24310" xr:uid="{00000000-0005-0000-0000-0000A97A0000}"/>
    <cellStyle name="60% - Accent6 2 3 2 7" xfId="10844" xr:uid="{00000000-0005-0000-0000-0000AA7A0000}"/>
    <cellStyle name="60% - Accent6 2 3 2 7 2" xfId="25993" xr:uid="{00000000-0005-0000-0000-0000AB7A0000}"/>
    <cellStyle name="60% - Accent6 2 3 2 8" xfId="12528" xr:uid="{00000000-0005-0000-0000-0000AC7A0000}"/>
    <cellStyle name="60% - Accent6 2 3 2 8 2" xfId="27677" xr:uid="{00000000-0005-0000-0000-0000AD7A0000}"/>
    <cellStyle name="60% - Accent6 2 3 2 9" xfId="14211" xr:uid="{00000000-0005-0000-0000-0000AE7A0000}"/>
    <cellStyle name="60% - Accent6 2 3 2 9 2" xfId="29360" xr:uid="{00000000-0005-0000-0000-0000AF7A0000}"/>
    <cellStyle name="60% - Accent6 2 3 20" xfId="40721" xr:uid="{00000000-0005-0000-0000-0000B07A0000}"/>
    <cellStyle name="60% - Accent6 2 3 21" xfId="42404" xr:uid="{00000000-0005-0000-0000-0000B17A0000}"/>
    <cellStyle name="60% - Accent6 2 3 22" xfId="44087" xr:uid="{00000000-0005-0000-0000-0000B27A0000}"/>
    <cellStyle name="60% - Accent6 2 3 23" xfId="45770" xr:uid="{00000000-0005-0000-0000-0000B37A0000}"/>
    <cellStyle name="60% - Accent6 2 3 24" xfId="47453" xr:uid="{00000000-0005-0000-0000-0000B47A0000}"/>
    <cellStyle name="60% - Accent6 2 3 25" xfId="49136" xr:uid="{00000000-0005-0000-0000-0000B57A0000}"/>
    <cellStyle name="60% - Accent6 2 3 26" xfId="50819" xr:uid="{00000000-0005-0000-0000-0000B67A0000}"/>
    <cellStyle name="60% - Accent6 2 3 27" xfId="52502" xr:uid="{00000000-0005-0000-0000-0000B77A0000}"/>
    <cellStyle name="60% - Accent6 2 3 28" xfId="54185" xr:uid="{00000000-0005-0000-0000-0000B87A0000}"/>
    <cellStyle name="60% - Accent6 2 3 29" xfId="55868" xr:uid="{00000000-0005-0000-0000-0000B97A0000}"/>
    <cellStyle name="60% - Accent6 2 3 3" xfId="1166" xr:uid="{00000000-0005-0000-0000-0000BA7A0000}"/>
    <cellStyle name="60% - Accent6 2 3 3 10" xfId="16315" xr:uid="{00000000-0005-0000-0000-0000BB7A0000}"/>
    <cellStyle name="60% - Accent6 2 3 3 11" xfId="31464" xr:uid="{00000000-0005-0000-0000-0000BC7A0000}"/>
    <cellStyle name="60% - Accent6 2 3 3 12" xfId="33147" xr:uid="{00000000-0005-0000-0000-0000BD7A0000}"/>
    <cellStyle name="60% - Accent6 2 3 3 13" xfId="34830" xr:uid="{00000000-0005-0000-0000-0000BE7A0000}"/>
    <cellStyle name="60% - Accent6 2 3 3 14" xfId="36513" xr:uid="{00000000-0005-0000-0000-0000BF7A0000}"/>
    <cellStyle name="60% - Accent6 2 3 3 15" xfId="38196" xr:uid="{00000000-0005-0000-0000-0000C07A0000}"/>
    <cellStyle name="60% - Accent6 2 3 3 16" xfId="39879" xr:uid="{00000000-0005-0000-0000-0000C17A0000}"/>
    <cellStyle name="60% - Accent6 2 3 3 17" xfId="41562" xr:uid="{00000000-0005-0000-0000-0000C27A0000}"/>
    <cellStyle name="60% - Accent6 2 3 3 18" xfId="43245" xr:uid="{00000000-0005-0000-0000-0000C37A0000}"/>
    <cellStyle name="60% - Accent6 2 3 3 19" xfId="44928" xr:uid="{00000000-0005-0000-0000-0000C47A0000}"/>
    <cellStyle name="60% - Accent6 2 3 3 2" xfId="2849" xr:uid="{00000000-0005-0000-0000-0000C57A0000}"/>
    <cellStyle name="60% - Accent6 2 3 3 2 2" xfId="17998" xr:uid="{00000000-0005-0000-0000-0000C67A0000}"/>
    <cellStyle name="60% - Accent6 2 3 3 20" xfId="46611" xr:uid="{00000000-0005-0000-0000-0000C77A0000}"/>
    <cellStyle name="60% - Accent6 2 3 3 21" xfId="48294" xr:uid="{00000000-0005-0000-0000-0000C87A0000}"/>
    <cellStyle name="60% - Accent6 2 3 3 22" xfId="49977" xr:uid="{00000000-0005-0000-0000-0000C97A0000}"/>
    <cellStyle name="60% - Accent6 2 3 3 23" xfId="51660" xr:uid="{00000000-0005-0000-0000-0000CA7A0000}"/>
    <cellStyle name="60% - Accent6 2 3 3 24" xfId="53343" xr:uid="{00000000-0005-0000-0000-0000CB7A0000}"/>
    <cellStyle name="60% - Accent6 2 3 3 25" xfId="55026" xr:uid="{00000000-0005-0000-0000-0000CC7A0000}"/>
    <cellStyle name="60% - Accent6 2 3 3 26" xfId="56709" xr:uid="{00000000-0005-0000-0000-0000CD7A0000}"/>
    <cellStyle name="60% - Accent6 2 3 3 27" xfId="58392" xr:uid="{00000000-0005-0000-0000-0000CE7A0000}"/>
    <cellStyle name="60% - Accent6 2 3 3 28" xfId="60075" xr:uid="{00000000-0005-0000-0000-0000CF7A0000}"/>
    <cellStyle name="60% - Accent6 2 3 3 29" xfId="61758" xr:uid="{00000000-0005-0000-0000-0000D07A0000}"/>
    <cellStyle name="60% - Accent6 2 3 3 3" xfId="4533" xr:uid="{00000000-0005-0000-0000-0000D17A0000}"/>
    <cellStyle name="60% - Accent6 2 3 3 3 2" xfId="19682" xr:uid="{00000000-0005-0000-0000-0000D27A0000}"/>
    <cellStyle name="60% - Accent6 2 3 3 30" xfId="63441" xr:uid="{00000000-0005-0000-0000-0000D37A0000}"/>
    <cellStyle name="60% - Accent6 2 3 3 4" xfId="6216" xr:uid="{00000000-0005-0000-0000-0000D47A0000}"/>
    <cellStyle name="60% - Accent6 2 3 3 4 2" xfId="21365" xr:uid="{00000000-0005-0000-0000-0000D57A0000}"/>
    <cellStyle name="60% - Accent6 2 3 3 5" xfId="7899" xr:uid="{00000000-0005-0000-0000-0000D67A0000}"/>
    <cellStyle name="60% - Accent6 2 3 3 5 2" xfId="23048" xr:uid="{00000000-0005-0000-0000-0000D77A0000}"/>
    <cellStyle name="60% - Accent6 2 3 3 6" xfId="9582" xr:uid="{00000000-0005-0000-0000-0000D87A0000}"/>
    <cellStyle name="60% - Accent6 2 3 3 6 2" xfId="24731" xr:uid="{00000000-0005-0000-0000-0000D97A0000}"/>
    <cellStyle name="60% - Accent6 2 3 3 7" xfId="11265" xr:uid="{00000000-0005-0000-0000-0000DA7A0000}"/>
    <cellStyle name="60% - Accent6 2 3 3 7 2" xfId="26414" xr:uid="{00000000-0005-0000-0000-0000DB7A0000}"/>
    <cellStyle name="60% - Accent6 2 3 3 8" xfId="12949" xr:uid="{00000000-0005-0000-0000-0000DC7A0000}"/>
    <cellStyle name="60% - Accent6 2 3 3 8 2" xfId="28098" xr:uid="{00000000-0005-0000-0000-0000DD7A0000}"/>
    <cellStyle name="60% - Accent6 2 3 3 9" xfId="14632" xr:uid="{00000000-0005-0000-0000-0000DE7A0000}"/>
    <cellStyle name="60% - Accent6 2 3 3 9 2" xfId="29781" xr:uid="{00000000-0005-0000-0000-0000DF7A0000}"/>
    <cellStyle name="60% - Accent6 2 3 30" xfId="57551" xr:uid="{00000000-0005-0000-0000-0000E07A0000}"/>
    <cellStyle name="60% - Accent6 2 3 31" xfId="59234" xr:uid="{00000000-0005-0000-0000-0000E17A0000}"/>
    <cellStyle name="60% - Accent6 2 3 32" xfId="60917" xr:uid="{00000000-0005-0000-0000-0000E27A0000}"/>
    <cellStyle name="60% - Accent6 2 3 33" xfId="62600" xr:uid="{00000000-0005-0000-0000-0000E37A0000}"/>
    <cellStyle name="60% - Accent6 2 3 4" xfId="1587" xr:uid="{00000000-0005-0000-0000-0000E47A0000}"/>
    <cellStyle name="60% - Accent6 2 3 4 10" xfId="16736" xr:uid="{00000000-0005-0000-0000-0000E57A0000}"/>
    <cellStyle name="60% - Accent6 2 3 4 11" xfId="31885" xr:uid="{00000000-0005-0000-0000-0000E67A0000}"/>
    <cellStyle name="60% - Accent6 2 3 4 12" xfId="33568" xr:uid="{00000000-0005-0000-0000-0000E77A0000}"/>
    <cellStyle name="60% - Accent6 2 3 4 13" xfId="35251" xr:uid="{00000000-0005-0000-0000-0000E87A0000}"/>
    <cellStyle name="60% - Accent6 2 3 4 14" xfId="36934" xr:uid="{00000000-0005-0000-0000-0000E97A0000}"/>
    <cellStyle name="60% - Accent6 2 3 4 15" xfId="38617" xr:uid="{00000000-0005-0000-0000-0000EA7A0000}"/>
    <cellStyle name="60% - Accent6 2 3 4 16" xfId="40300" xr:uid="{00000000-0005-0000-0000-0000EB7A0000}"/>
    <cellStyle name="60% - Accent6 2 3 4 17" xfId="41983" xr:uid="{00000000-0005-0000-0000-0000EC7A0000}"/>
    <cellStyle name="60% - Accent6 2 3 4 18" xfId="43666" xr:uid="{00000000-0005-0000-0000-0000ED7A0000}"/>
    <cellStyle name="60% - Accent6 2 3 4 19" xfId="45349" xr:uid="{00000000-0005-0000-0000-0000EE7A0000}"/>
    <cellStyle name="60% - Accent6 2 3 4 2" xfId="3270" xr:uid="{00000000-0005-0000-0000-0000EF7A0000}"/>
    <cellStyle name="60% - Accent6 2 3 4 2 2" xfId="18419" xr:uid="{00000000-0005-0000-0000-0000F07A0000}"/>
    <cellStyle name="60% - Accent6 2 3 4 20" xfId="47032" xr:uid="{00000000-0005-0000-0000-0000F17A0000}"/>
    <cellStyle name="60% - Accent6 2 3 4 21" xfId="48715" xr:uid="{00000000-0005-0000-0000-0000F27A0000}"/>
    <cellStyle name="60% - Accent6 2 3 4 22" xfId="50398" xr:uid="{00000000-0005-0000-0000-0000F37A0000}"/>
    <cellStyle name="60% - Accent6 2 3 4 23" xfId="52081" xr:uid="{00000000-0005-0000-0000-0000F47A0000}"/>
    <cellStyle name="60% - Accent6 2 3 4 24" xfId="53764" xr:uid="{00000000-0005-0000-0000-0000F57A0000}"/>
    <cellStyle name="60% - Accent6 2 3 4 25" xfId="55447" xr:uid="{00000000-0005-0000-0000-0000F67A0000}"/>
    <cellStyle name="60% - Accent6 2 3 4 26" xfId="57130" xr:uid="{00000000-0005-0000-0000-0000F77A0000}"/>
    <cellStyle name="60% - Accent6 2 3 4 27" xfId="58813" xr:uid="{00000000-0005-0000-0000-0000F87A0000}"/>
    <cellStyle name="60% - Accent6 2 3 4 28" xfId="60496" xr:uid="{00000000-0005-0000-0000-0000F97A0000}"/>
    <cellStyle name="60% - Accent6 2 3 4 29" xfId="62179" xr:uid="{00000000-0005-0000-0000-0000FA7A0000}"/>
    <cellStyle name="60% - Accent6 2 3 4 3" xfId="4954" xr:uid="{00000000-0005-0000-0000-0000FB7A0000}"/>
    <cellStyle name="60% - Accent6 2 3 4 3 2" xfId="20103" xr:uid="{00000000-0005-0000-0000-0000FC7A0000}"/>
    <cellStyle name="60% - Accent6 2 3 4 30" xfId="63862" xr:uid="{00000000-0005-0000-0000-0000FD7A0000}"/>
    <cellStyle name="60% - Accent6 2 3 4 4" xfId="6637" xr:uid="{00000000-0005-0000-0000-0000FE7A0000}"/>
    <cellStyle name="60% - Accent6 2 3 4 4 2" xfId="21786" xr:uid="{00000000-0005-0000-0000-0000FF7A0000}"/>
    <cellStyle name="60% - Accent6 2 3 4 5" xfId="8320" xr:uid="{00000000-0005-0000-0000-0000007B0000}"/>
    <cellStyle name="60% - Accent6 2 3 4 5 2" xfId="23469" xr:uid="{00000000-0005-0000-0000-0000017B0000}"/>
    <cellStyle name="60% - Accent6 2 3 4 6" xfId="10003" xr:uid="{00000000-0005-0000-0000-0000027B0000}"/>
    <cellStyle name="60% - Accent6 2 3 4 6 2" xfId="25152" xr:uid="{00000000-0005-0000-0000-0000037B0000}"/>
    <cellStyle name="60% - Accent6 2 3 4 7" xfId="11686" xr:uid="{00000000-0005-0000-0000-0000047B0000}"/>
    <cellStyle name="60% - Accent6 2 3 4 7 2" xfId="26835" xr:uid="{00000000-0005-0000-0000-0000057B0000}"/>
    <cellStyle name="60% - Accent6 2 3 4 8" xfId="13370" xr:uid="{00000000-0005-0000-0000-0000067B0000}"/>
    <cellStyle name="60% - Accent6 2 3 4 8 2" xfId="28519" xr:uid="{00000000-0005-0000-0000-0000077B0000}"/>
    <cellStyle name="60% - Accent6 2 3 4 9" xfId="15053" xr:uid="{00000000-0005-0000-0000-0000087B0000}"/>
    <cellStyle name="60% - Accent6 2 3 4 9 2" xfId="30202" xr:uid="{00000000-0005-0000-0000-0000097B0000}"/>
    <cellStyle name="60% - Accent6 2 3 5" xfId="2008" xr:uid="{00000000-0005-0000-0000-00000A7B0000}"/>
    <cellStyle name="60% - Accent6 2 3 5 2" xfId="17157" xr:uid="{00000000-0005-0000-0000-00000B7B0000}"/>
    <cellStyle name="60% - Accent6 2 3 6" xfId="3692" xr:uid="{00000000-0005-0000-0000-00000C7B0000}"/>
    <cellStyle name="60% - Accent6 2 3 6 2" xfId="18841" xr:uid="{00000000-0005-0000-0000-00000D7B0000}"/>
    <cellStyle name="60% - Accent6 2 3 7" xfId="5375" xr:uid="{00000000-0005-0000-0000-00000E7B0000}"/>
    <cellStyle name="60% - Accent6 2 3 7 2" xfId="20524" xr:uid="{00000000-0005-0000-0000-00000F7B0000}"/>
    <cellStyle name="60% - Accent6 2 3 8" xfId="7058" xr:uid="{00000000-0005-0000-0000-0000107B0000}"/>
    <cellStyle name="60% - Accent6 2 3 8 2" xfId="22207" xr:uid="{00000000-0005-0000-0000-0000117B0000}"/>
    <cellStyle name="60% - Accent6 2 3 9" xfId="8741" xr:uid="{00000000-0005-0000-0000-0000127B0000}"/>
    <cellStyle name="60% - Accent6 2 3 9 2" xfId="23890" xr:uid="{00000000-0005-0000-0000-0000137B0000}"/>
    <cellStyle name="60% - Accent6 2 30" xfId="53975" xr:uid="{00000000-0005-0000-0000-0000147B0000}"/>
    <cellStyle name="60% - Accent6 2 31" xfId="55658" xr:uid="{00000000-0005-0000-0000-0000157B0000}"/>
    <cellStyle name="60% - Accent6 2 32" xfId="57341" xr:uid="{00000000-0005-0000-0000-0000167B0000}"/>
    <cellStyle name="60% - Accent6 2 33" xfId="59024" xr:uid="{00000000-0005-0000-0000-0000177B0000}"/>
    <cellStyle name="60% - Accent6 2 34" xfId="60707" xr:uid="{00000000-0005-0000-0000-0000187B0000}"/>
    <cellStyle name="60% - Accent6 2 35" xfId="62390" xr:uid="{00000000-0005-0000-0000-0000197B0000}"/>
    <cellStyle name="60% - Accent6 2 4" xfId="535" xr:uid="{00000000-0005-0000-0000-00001A7B0000}"/>
    <cellStyle name="60% - Accent6 2 4 10" xfId="15684" xr:uid="{00000000-0005-0000-0000-00001B7B0000}"/>
    <cellStyle name="60% - Accent6 2 4 11" xfId="30833" xr:uid="{00000000-0005-0000-0000-00001C7B0000}"/>
    <cellStyle name="60% - Accent6 2 4 12" xfId="32516" xr:uid="{00000000-0005-0000-0000-00001D7B0000}"/>
    <cellStyle name="60% - Accent6 2 4 13" xfId="34199" xr:uid="{00000000-0005-0000-0000-00001E7B0000}"/>
    <cellStyle name="60% - Accent6 2 4 14" xfId="35882" xr:uid="{00000000-0005-0000-0000-00001F7B0000}"/>
    <cellStyle name="60% - Accent6 2 4 15" xfId="37565" xr:uid="{00000000-0005-0000-0000-0000207B0000}"/>
    <cellStyle name="60% - Accent6 2 4 16" xfId="39248" xr:uid="{00000000-0005-0000-0000-0000217B0000}"/>
    <cellStyle name="60% - Accent6 2 4 17" xfId="40931" xr:uid="{00000000-0005-0000-0000-0000227B0000}"/>
    <cellStyle name="60% - Accent6 2 4 18" xfId="42614" xr:uid="{00000000-0005-0000-0000-0000237B0000}"/>
    <cellStyle name="60% - Accent6 2 4 19" xfId="44297" xr:uid="{00000000-0005-0000-0000-0000247B0000}"/>
    <cellStyle name="60% - Accent6 2 4 2" xfId="2218" xr:uid="{00000000-0005-0000-0000-0000257B0000}"/>
    <cellStyle name="60% - Accent6 2 4 2 2" xfId="17367" xr:uid="{00000000-0005-0000-0000-0000267B0000}"/>
    <cellStyle name="60% - Accent6 2 4 20" xfId="45980" xr:uid="{00000000-0005-0000-0000-0000277B0000}"/>
    <cellStyle name="60% - Accent6 2 4 21" xfId="47663" xr:uid="{00000000-0005-0000-0000-0000287B0000}"/>
    <cellStyle name="60% - Accent6 2 4 22" xfId="49346" xr:uid="{00000000-0005-0000-0000-0000297B0000}"/>
    <cellStyle name="60% - Accent6 2 4 23" xfId="51029" xr:uid="{00000000-0005-0000-0000-00002A7B0000}"/>
    <cellStyle name="60% - Accent6 2 4 24" xfId="52712" xr:uid="{00000000-0005-0000-0000-00002B7B0000}"/>
    <cellStyle name="60% - Accent6 2 4 25" xfId="54395" xr:uid="{00000000-0005-0000-0000-00002C7B0000}"/>
    <cellStyle name="60% - Accent6 2 4 26" xfId="56078" xr:uid="{00000000-0005-0000-0000-00002D7B0000}"/>
    <cellStyle name="60% - Accent6 2 4 27" xfId="57761" xr:uid="{00000000-0005-0000-0000-00002E7B0000}"/>
    <cellStyle name="60% - Accent6 2 4 28" xfId="59444" xr:uid="{00000000-0005-0000-0000-00002F7B0000}"/>
    <cellStyle name="60% - Accent6 2 4 29" xfId="61127" xr:uid="{00000000-0005-0000-0000-0000307B0000}"/>
    <cellStyle name="60% - Accent6 2 4 3" xfId="3902" xr:uid="{00000000-0005-0000-0000-0000317B0000}"/>
    <cellStyle name="60% - Accent6 2 4 3 2" xfId="19051" xr:uid="{00000000-0005-0000-0000-0000327B0000}"/>
    <cellStyle name="60% - Accent6 2 4 30" xfId="62810" xr:uid="{00000000-0005-0000-0000-0000337B0000}"/>
    <cellStyle name="60% - Accent6 2 4 4" xfId="5585" xr:uid="{00000000-0005-0000-0000-0000347B0000}"/>
    <cellStyle name="60% - Accent6 2 4 4 2" xfId="20734" xr:uid="{00000000-0005-0000-0000-0000357B0000}"/>
    <cellStyle name="60% - Accent6 2 4 5" xfId="7268" xr:uid="{00000000-0005-0000-0000-0000367B0000}"/>
    <cellStyle name="60% - Accent6 2 4 5 2" xfId="22417" xr:uid="{00000000-0005-0000-0000-0000377B0000}"/>
    <cellStyle name="60% - Accent6 2 4 6" xfId="8951" xr:uid="{00000000-0005-0000-0000-0000387B0000}"/>
    <cellStyle name="60% - Accent6 2 4 6 2" xfId="24100" xr:uid="{00000000-0005-0000-0000-0000397B0000}"/>
    <cellStyle name="60% - Accent6 2 4 7" xfId="10634" xr:uid="{00000000-0005-0000-0000-00003A7B0000}"/>
    <cellStyle name="60% - Accent6 2 4 7 2" xfId="25783" xr:uid="{00000000-0005-0000-0000-00003B7B0000}"/>
    <cellStyle name="60% - Accent6 2 4 8" xfId="12318" xr:uid="{00000000-0005-0000-0000-00003C7B0000}"/>
    <cellStyle name="60% - Accent6 2 4 8 2" xfId="27467" xr:uid="{00000000-0005-0000-0000-00003D7B0000}"/>
    <cellStyle name="60% - Accent6 2 4 9" xfId="14001" xr:uid="{00000000-0005-0000-0000-00003E7B0000}"/>
    <cellStyle name="60% - Accent6 2 4 9 2" xfId="29150" xr:uid="{00000000-0005-0000-0000-00003F7B0000}"/>
    <cellStyle name="60% - Accent6 2 5" xfId="956" xr:uid="{00000000-0005-0000-0000-0000407B0000}"/>
    <cellStyle name="60% - Accent6 2 5 10" xfId="16105" xr:uid="{00000000-0005-0000-0000-0000417B0000}"/>
    <cellStyle name="60% - Accent6 2 5 11" xfId="31254" xr:uid="{00000000-0005-0000-0000-0000427B0000}"/>
    <cellStyle name="60% - Accent6 2 5 12" xfId="32937" xr:uid="{00000000-0005-0000-0000-0000437B0000}"/>
    <cellStyle name="60% - Accent6 2 5 13" xfId="34620" xr:uid="{00000000-0005-0000-0000-0000447B0000}"/>
    <cellStyle name="60% - Accent6 2 5 14" xfId="36303" xr:uid="{00000000-0005-0000-0000-0000457B0000}"/>
    <cellStyle name="60% - Accent6 2 5 15" xfId="37986" xr:uid="{00000000-0005-0000-0000-0000467B0000}"/>
    <cellStyle name="60% - Accent6 2 5 16" xfId="39669" xr:uid="{00000000-0005-0000-0000-0000477B0000}"/>
    <cellStyle name="60% - Accent6 2 5 17" xfId="41352" xr:uid="{00000000-0005-0000-0000-0000487B0000}"/>
    <cellStyle name="60% - Accent6 2 5 18" xfId="43035" xr:uid="{00000000-0005-0000-0000-0000497B0000}"/>
    <cellStyle name="60% - Accent6 2 5 19" xfId="44718" xr:uid="{00000000-0005-0000-0000-00004A7B0000}"/>
    <cellStyle name="60% - Accent6 2 5 2" xfId="2639" xr:uid="{00000000-0005-0000-0000-00004B7B0000}"/>
    <cellStyle name="60% - Accent6 2 5 2 2" xfId="17788" xr:uid="{00000000-0005-0000-0000-00004C7B0000}"/>
    <cellStyle name="60% - Accent6 2 5 20" xfId="46401" xr:uid="{00000000-0005-0000-0000-00004D7B0000}"/>
    <cellStyle name="60% - Accent6 2 5 21" xfId="48084" xr:uid="{00000000-0005-0000-0000-00004E7B0000}"/>
    <cellStyle name="60% - Accent6 2 5 22" xfId="49767" xr:uid="{00000000-0005-0000-0000-00004F7B0000}"/>
    <cellStyle name="60% - Accent6 2 5 23" xfId="51450" xr:uid="{00000000-0005-0000-0000-0000507B0000}"/>
    <cellStyle name="60% - Accent6 2 5 24" xfId="53133" xr:uid="{00000000-0005-0000-0000-0000517B0000}"/>
    <cellStyle name="60% - Accent6 2 5 25" xfId="54816" xr:uid="{00000000-0005-0000-0000-0000527B0000}"/>
    <cellStyle name="60% - Accent6 2 5 26" xfId="56499" xr:uid="{00000000-0005-0000-0000-0000537B0000}"/>
    <cellStyle name="60% - Accent6 2 5 27" xfId="58182" xr:uid="{00000000-0005-0000-0000-0000547B0000}"/>
    <cellStyle name="60% - Accent6 2 5 28" xfId="59865" xr:uid="{00000000-0005-0000-0000-0000557B0000}"/>
    <cellStyle name="60% - Accent6 2 5 29" xfId="61548" xr:uid="{00000000-0005-0000-0000-0000567B0000}"/>
    <cellStyle name="60% - Accent6 2 5 3" xfId="4323" xr:uid="{00000000-0005-0000-0000-0000577B0000}"/>
    <cellStyle name="60% - Accent6 2 5 3 2" xfId="19472" xr:uid="{00000000-0005-0000-0000-0000587B0000}"/>
    <cellStyle name="60% - Accent6 2 5 30" xfId="63231" xr:uid="{00000000-0005-0000-0000-0000597B0000}"/>
    <cellStyle name="60% - Accent6 2 5 4" xfId="6006" xr:uid="{00000000-0005-0000-0000-00005A7B0000}"/>
    <cellStyle name="60% - Accent6 2 5 4 2" xfId="21155" xr:uid="{00000000-0005-0000-0000-00005B7B0000}"/>
    <cellStyle name="60% - Accent6 2 5 5" xfId="7689" xr:uid="{00000000-0005-0000-0000-00005C7B0000}"/>
    <cellStyle name="60% - Accent6 2 5 5 2" xfId="22838" xr:uid="{00000000-0005-0000-0000-00005D7B0000}"/>
    <cellStyle name="60% - Accent6 2 5 6" xfId="9372" xr:uid="{00000000-0005-0000-0000-00005E7B0000}"/>
    <cellStyle name="60% - Accent6 2 5 6 2" xfId="24521" xr:uid="{00000000-0005-0000-0000-00005F7B0000}"/>
    <cellStyle name="60% - Accent6 2 5 7" xfId="11055" xr:uid="{00000000-0005-0000-0000-0000607B0000}"/>
    <cellStyle name="60% - Accent6 2 5 7 2" xfId="26204" xr:uid="{00000000-0005-0000-0000-0000617B0000}"/>
    <cellStyle name="60% - Accent6 2 5 8" xfId="12739" xr:uid="{00000000-0005-0000-0000-0000627B0000}"/>
    <cellStyle name="60% - Accent6 2 5 8 2" xfId="27888" xr:uid="{00000000-0005-0000-0000-0000637B0000}"/>
    <cellStyle name="60% - Accent6 2 5 9" xfId="14422" xr:uid="{00000000-0005-0000-0000-0000647B0000}"/>
    <cellStyle name="60% - Accent6 2 5 9 2" xfId="29571" xr:uid="{00000000-0005-0000-0000-0000657B0000}"/>
    <cellStyle name="60% - Accent6 2 6" xfId="1377" xr:uid="{00000000-0005-0000-0000-0000667B0000}"/>
    <cellStyle name="60% - Accent6 2 6 10" xfId="16526" xr:uid="{00000000-0005-0000-0000-0000677B0000}"/>
    <cellStyle name="60% - Accent6 2 6 11" xfId="31675" xr:uid="{00000000-0005-0000-0000-0000687B0000}"/>
    <cellStyle name="60% - Accent6 2 6 12" xfId="33358" xr:uid="{00000000-0005-0000-0000-0000697B0000}"/>
    <cellStyle name="60% - Accent6 2 6 13" xfId="35041" xr:uid="{00000000-0005-0000-0000-00006A7B0000}"/>
    <cellStyle name="60% - Accent6 2 6 14" xfId="36724" xr:uid="{00000000-0005-0000-0000-00006B7B0000}"/>
    <cellStyle name="60% - Accent6 2 6 15" xfId="38407" xr:uid="{00000000-0005-0000-0000-00006C7B0000}"/>
    <cellStyle name="60% - Accent6 2 6 16" xfId="40090" xr:uid="{00000000-0005-0000-0000-00006D7B0000}"/>
    <cellStyle name="60% - Accent6 2 6 17" xfId="41773" xr:uid="{00000000-0005-0000-0000-00006E7B0000}"/>
    <cellStyle name="60% - Accent6 2 6 18" xfId="43456" xr:uid="{00000000-0005-0000-0000-00006F7B0000}"/>
    <cellStyle name="60% - Accent6 2 6 19" xfId="45139" xr:uid="{00000000-0005-0000-0000-0000707B0000}"/>
    <cellStyle name="60% - Accent6 2 6 2" xfId="3060" xr:uid="{00000000-0005-0000-0000-0000717B0000}"/>
    <cellStyle name="60% - Accent6 2 6 2 2" xfId="18209" xr:uid="{00000000-0005-0000-0000-0000727B0000}"/>
    <cellStyle name="60% - Accent6 2 6 20" xfId="46822" xr:uid="{00000000-0005-0000-0000-0000737B0000}"/>
    <cellStyle name="60% - Accent6 2 6 21" xfId="48505" xr:uid="{00000000-0005-0000-0000-0000747B0000}"/>
    <cellStyle name="60% - Accent6 2 6 22" xfId="50188" xr:uid="{00000000-0005-0000-0000-0000757B0000}"/>
    <cellStyle name="60% - Accent6 2 6 23" xfId="51871" xr:uid="{00000000-0005-0000-0000-0000767B0000}"/>
    <cellStyle name="60% - Accent6 2 6 24" xfId="53554" xr:uid="{00000000-0005-0000-0000-0000777B0000}"/>
    <cellStyle name="60% - Accent6 2 6 25" xfId="55237" xr:uid="{00000000-0005-0000-0000-0000787B0000}"/>
    <cellStyle name="60% - Accent6 2 6 26" xfId="56920" xr:uid="{00000000-0005-0000-0000-0000797B0000}"/>
    <cellStyle name="60% - Accent6 2 6 27" xfId="58603" xr:uid="{00000000-0005-0000-0000-00007A7B0000}"/>
    <cellStyle name="60% - Accent6 2 6 28" xfId="60286" xr:uid="{00000000-0005-0000-0000-00007B7B0000}"/>
    <cellStyle name="60% - Accent6 2 6 29" xfId="61969" xr:uid="{00000000-0005-0000-0000-00007C7B0000}"/>
    <cellStyle name="60% - Accent6 2 6 3" xfId="4744" xr:uid="{00000000-0005-0000-0000-00007D7B0000}"/>
    <cellStyle name="60% - Accent6 2 6 3 2" xfId="19893" xr:uid="{00000000-0005-0000-0000-00007E7B0000}"/>
    <cellStyle name="60% - Accent6 2 6 30" xfId="63652" xr:uid="{00000000-0005-0000-0000-00007F7B0000}"/>
    <cellStyle name="60% - Accent6 2 6 4" xfId="6427" xr:uid="{00000000-0005-0000-0000-0000807B0000}"/>
    <cellStyle name="60% - Accent6 2 6 4 2" xfId="21576" xr:uid="{00000000-0005-0000-0000-0000817B0000}"/>
    <cellStyle name="60% - Accent6 2 6 5" xfId="8110" xr:uid="{00000000-0005-0000-0000-0000827B0000}"/>
    <cellStyle name="60% - Accent6 2 6 5 2" xfId="23259" xr:uid="{00000000-0005-0000-0000-0000837B0000}"/>
    <cellStyle name="60% - Accent6 2 6 6" xfId="9793" xr:uid="{00000000-0005-0000-0000-0000847B0000}"/>
    <cellStyle name="60% - Accent6 2 6 6 2" xfId="24942" xr:uid="{00000000-0005-0000-0000-0000857B0000}"/>
    <cellStyle name="60% - Accent6 2 6 7" xfId="11476" xr:uid="{00000000-0005-0000-0000-0000867B0000}"/>
    <cellStyle name="60% - Accent6 2 6 7 2" xfId="26625" xr:uid="{00000000-0005-0000-0000-0000877B0000}"/>
    <cellStyle name="60% - Accent6 2 6 8" xfId="13160" xr:uid="{00000000-0005-0000-0000-0000887B0000}"/>
    <cellStyle name="60% - Accent6 2 6 8 2" xfId="28309" xr:uid="{00000000-0005-0000-0000-0000897B0000}"/>
    <cellStyle name="60% - Accent6 2 6 9" xfId="14843" xr:uid="{00000000-0005-0000-0000-00008A7B0000}"/>
    <cellStyle name="60% - Accent6 2 6 9 2" xfId="29992" xr:uid="{00000000-0005-0000-0000-00008B7B0000}"/>
    <cellStyle name="60% - Accent6 2 7" xfId="1798" xr:uid="{00000000-0005-0000-0000-00008C7B0000}"/>
    <cellStyle name="60% - Accent6 2 7 2" xfId="16947" xr:uid="{00000000-0005-0000-0000-00008D7B0000}"/>
    <cellStyle name="60% - Accent6 2 8" xfId="3482" xr:uid="{00000000-0005-0000-0000-00008E7B0000}"/>
    <cellStyle name="60% - Accent6 2 8 2" xfId="18631" xr:uid="{00000000-0005-0000-0000-00008F7B0000}"/>
    <cellStyle name="60% - Accent6 2 9" xfId="5165" xr:uid="{00000000-0005-0000-0000-0000907B0000}"/>
    <cellStyle name="60% - Accent6 2 9 2" xfId="20314" xr:uid="{00000000-0005-0000-0000-0000917B0000}"/>
    <cellStyle name="60% - Accent6 20" xfId="33757" xr:uid="{00000000-0005-0000-0000-0000927B0000}"/>
    <cellStyle name="60% - Accent6 21" xfId="35440" xr:uid="{00000000-0005-0000-0000-0000937B0000}"/>
    <cellStyle name="60% - Accent6 22" xfId="37123" xr:uid="{00000000-0005-0000-0000-0000947B0000}"/>
    <cellStyle name="60% - Accent6 23" xfId="38806" xr:uid="{00000000-0005-0000-0000-0000957B0000}"/>
    <cellStyle name="60% - Accent6 24" xfId="40489" xr:uid="{00000000-0005-0000-0000-0000967B0000}"/>
    <cellStyle name="60% - Accent6 25" xfId="42172" xr:uid="{00000000-0005-0000-0000-0000977B0000}"/>
    <cellStyle name="60% - Accent6 26" xfId="43855" xr:uid="{00000000-0005-0000-0000-0000987B0000}"/>
    <cellStyle name="60% - Accent6 27" xfId="45538" xr:uid="{00000000-0005-0000-0000-0000997B0000}"/>
    <cellStyle name="60% - Accent6 28" xfId="47221" xr:uid="{00000000-0005-0000-0000-00009A7B0000}"/>
    <cellStyle name="60% - Accent6 29" xfId="48904" xr:uid="{00000000-0005-0000-0000-00009B7B0000}"/>
    <cellStyle name="60% - Accent6 3" xfId="135" xr:uid="{00000000-0005-0000-0000-00009C7B0000}"/>
    <cellStyle name="60% - Accent6 3 10" xfId="6868" xr:uid="{00000000-0005-0000-0000-00009D7B0000}"/>
    <cellStyle name="60% - Accent6 3 10 2" xfId="22017" xr:uid="{00000000-0005-0000-0000-00009E7B0000}"/>
    <cellStyle name="60% - Accent6 3 11" xfId="8551" xr:uid="{00000000-0005-0000-0000-00009F7B0000}"/>
    <cellStyle name="60% - Accent6 3 11 2" xfId="23700" xr:uid="{00000000-0005-0000-0000-0000A07B0000}"/>
    <cellStyle name="60% - Accent6 3 12" xfId="10234" xr:uid="{00000000-0005-0000-0000-0000A17B0000}"/>
    <cellStyle name="60% - Accent6 3 12 2" xfId="25383" xr:uid="{00000000-0005-0000-0000-0000A27B0000}"/>
    <cellStyle name="60% - Accent6 3 13" xfId="11918" xr:uid="{00000000-0005-0000-0000-0000A37B0000}"/>
    <cellStyle name="60% - Accent6 3 13 2" xfId="27067" xr:uid="{00000000-0005-0000-0000-0000A47B0000}"/>
    <cellStyle name="60% - Accent6 3 14" xfId="13601" xr:uid="{00000000-0005-0000-0000-0000A57B0000}"/>
    <cellStyle name="60% - Accent6 3 14 2" xfId="28750" xr:uid="{00000000-0005-0000-0000-0000A67B0000}"/>
    <cellStyle name="60% - Accent6 3 15" xfId="15284" xr:uid="{00000000-0005-0000-0000-0000A77B0000}"/>
    <cellStyle name="60% - Accent6 3 16" xfId="30433" xr:uid="{00000000-0005-0000-0000-0000A87B0000}"/>
    <cellStyle name="60% - Accent6 3 17" xfId="32116" xr:uid="{00000000-0005-0000-0000-0000A97B0000}"/>
    <cellStyle name="60% - Accent6 3 18" xfId="33799" xr:uid="{00000000-0005-0000-0000-0000AA7B0000}"/>
    <cellStyle name="60% - Accent6 3 19" xfId="35482" xr:uid="{00000000-0005-0000-0000-0000AB7B0000}"/>
    <cellStyle name="60% - Accent6 3 2" xfId="240" xr:uid="{00000000-0005-0000-0000-0000AC7B0000}"/>
    <cellStyle name="60% - Accent6 3 2 10" xfId="8656" xr:uid="{00000000-0005-0000-0000-0000AD7B0000}"/>
    <cellStyle name="60% - Accent6 3 2 10 2" xfId="23805" xr:uid="{00000000-0005-0000-0000-0000AE7B0000}"/>
    <cellStyle name="60% - Accent6 3 2 11" xfId="10339" xr:uid="{00000000-0005-0000-0000-0000AF7B0000}"/>
    <cellStyle name="60% - Accent6 3 2 11 2" xfId="25488" xr:uid="{00000000-0005-0000-0000-0000B07B0000}"/>
    <cellStyle name="60% - Accent6 3 2 12" xfId="12023" xr:uid="{00000000-0005-0000-0000-0000B17B0000}"/>
    <cellStyle name="60% - Accent6 3 2 12 2" xfId="27172" xr:uid="{00000000-0005-0000-0000-0000B27B0000}"/>
    <cellStyle name="60% - Accent6 3 2 13" xfId="13706" xr:uid="{00000000-0005-0000-0000-0000B37B0000}"/>
    <cellStyle name="60% - Accent6 3 2 13 2" xfId="28855" xr:uid="{00000000-0005-0000-0000-0000B47B0000}"/>
    <cellStyle name="60% - Accent6 3 2 14" xfId="15389" xr:uid="{00000000-0005-0000-0000-0000B57B0000}"/>
    <cellStyle name="60% - Accent6 3 2 15" xfId="30538" xr:uid="{00000000-0005-0000-0000-0000B67B0000}"/>
    <cellStyle name="60% - Accent6 3 2 16" xfId="32221" xr:uid="{00000000-0005-0000-0000-0000B77B0000}"/>
    <cellStyle name="60% - Accent6 3 2 17" xfId="33904" xr:uid="{00000000-0005-0000-0000-0000B87B0000}"/>
    <cellStyle name="60% - Accent6 3 2 18" xfId="35587" xr:uid="{00000000-0005-0000-0000-0000B97B0000}"/>
    <cellStyle name="60% - Accent6 3 2 19" xfId="37270" xr:uid="{00000000-0005-0000-0000-0000BA7B0000}"/>
    <cellStyle name="60% - Accent6 3 2 2" xfId="450" xr:uid="{00000000-0005-0000-0000-0000BB7B0000}"/>
    <cellStyle name="60% - Accent6 3 2 2 10" xfId="10549" xr:uid="{00000000-0005-0000-0000-0000BC7B0000}"/>
    <cellStyle name="60% - Accent6 3 2 2 10 2" xfId="25698" xr:uid="{00000000-0005-0000-0000-0000BD7B0000}"/>
    <cellStyle name="60% - Accent6 3 2 2 11" xfId="12233" xr:uid="{00000000-0005-0000-0000-0000BE7B0000}"/>
    <cellStyle name="60% - Accent6 3 2 2 11 2" xfId="27382" xr:uid="{00000000-0005-0000-0000-0000BF7B0000}"/>
    <cellStyle name="60% - Accent6 3 2 2 12" xfId="13916" xr:uid="{00000000-0005-0000-0000-0000C07B0000}"/>
    <cellStyle name="60% - Accent6 3 2 2 12 2" xfId="29065" xr:uid="{00000000-0005-0000-0000-0000C17B0000}"/>
    <cellStyle name="60% - Accent6 3 2 2 13" xfId="15599" xr:uid="{00000000-0005-0000-0000-0000C27B0000}"/>
    <cellStyle name="60% - Accent6 3 2 2 14" xfId="30748" xr:uid="{00000000-0005-0000-0000-0000C37B0000}"/>
    <cellStyle name="60% - Accent6 3 2 2 15" xfId="32431" xr:uid="{00000000-0005-0000-0000-0000C47B0000}"/>
    <cellStyle name="60% - Accent6 3 2 2 16" xfId="34114" xr:uid="{00000000-0005-0000-0000-0000C57B0000}"/>
    <cellStyle name="60% - Accent6 3 2 2 17" xfId="35797" xr:uid="{00000000-0005-0000-0000-0000C67B0000}"/>
    <cellStyle name="60% - Accent6 3 2 2 18" xfId="37480" xr:uid="{00000000-0005-0000-0000-0000C77B0000}"/>
    <cellStyle name="60% - Accent6 3 2 2 19" xfId="39163" xr:uid="{00000000-0005-0000-0000-0000C87B0000}"/>
    <cellStyle name="60% - Accent6 3 2 2 2" xfId="870" xr:uid="{00000000-0005-0000-0000-0000C97B0000}"/>
    <cellStyle name="60% - Accent6 3 2 2 2 10" xfId="16019" xr:uid="{00000000-0005-0000-0000-0000CA7B0000}"/>
    <cellStyle name="60% - Accent6 3 2 2 2 11" xfId="31168" xr:uid="{00000000-0005-0000-0000-0000CB7B0000}"/>
    <cellStyle name="60% - Accent6 3 2 2 2 12" xfId="32851" xr:uid="{00000000-0005-0000-0000-0000CC7B0000}"/>
    <cellStyle name="60% - Accent6 3 2 2 2 13" xfId="34534" xr:uid="{00000000-0005-0000-0000-0000CD7B0000}"/>
    <cellStyle name="60% - Accent6 3 2 2 2 14" xfId="36217" xr:uid="{00000000-0005-0000-0000-0000CE7B0000}"/>
    <cellStyle name="60% - Accent6 3 2 2 2 15" xfId="37900" xr:uid="{00000000-0005-0000-0000-0000CF7B0000}"/>
    <cellStyle name="60% - Accent6 3 2 2 2 16" xfId="39583" xr:uid="{00000000-0005-0000-0000-0000D07B0000}"/>
    <cellStyle name="60% - Accent6 3 2 2 2 17" xfId="41266" xr:uid="{00000000-0005-0000-0000-0000D17B0000}"/>
    <cellStyle name="60% - Accent6 3 2 2 2 18" xfId="42949" xr:uid="{00000000-0005-0000-0000-0000D27B0000}"/>
    <cellStyle name="60% - Accent6 3 2 2 2 19" xfId="44632" xr:uid="{00000000-0005-0000-0000-0000D37B0000}"/>
    <cellStyle name="60% - Accent6 3 2 2 2 2" xfId="2553" xr:uid="{00000000-0005-0000-0000-0000D47B0000}"/>
    <cellStyle name="60% - Accent6 3 2 2 2 2 2" xfId="17702" xr:uid="{00000000-0005-0000-0000-0000D57B0000}"/>
    <cellStyle name="60% - Accent6 3 2 2 2 20" xfId="46315" xr:uid="{00000000-0005-0000-0000-0000D67B0000}"/>
    <cellStyle name="60% - Accent6 3 2 2 2 21" xfId="47998" xr:uid="{00000000-0005-0000-0000-0000D77B0000}"/>
    <cellStyle name="60% - Accent6 3 2 2 2 22" xfId="49681" xr:uid="{00000000-0005-0000-0000-0000D87B0000}"/>
    <cellStyle name="60% - Accent6 3 2 2 2 23" xfId="51364" xr:uid="{00000000-0005-0000-0000-0000D97B0000}"/>
    <cellStyle name="60% - Accent6 3 2 2 2 24" xfId="53047" xr:uid="{00000000-0005-0000-0000-0000DA7B0000}"/>
    <cellStyle name="60% - Accent6 3 2 2 2 25" xfId="54730" xr:uid="{00000000-0005-0000-0000-0000DB7B0000}"/>
    <cellStyle name="60% - Accent6 3 2 2 2 26" xfId="56413" xr:uid="{00000000-0005-0000-0000-0000DC7B0000}"/>
    <cellStyle name="60% - Accent6 3 2 2 2 27" xfId="58096" xr:uid="{00000000-0005-0000-0000-0000DD7B0000}"/>
    <cellStyle name="60% - Accent6 3 2 2 2 28" xfId="59779" xr:uid="{00000000-0005-0000-0000-0000DE7B0000}"/>
    <cellStyle name="60% - Accent6 3 2 2 2 29" xfId="61462" xr:uid="{00000000-0005-0000-0000-0000DF7B0000}"/>
    <cellStyle name="60% - Accent6 3 2 2 2 3" xfId="4237" xr:uid="{00000000-0005-0000-0000-0000E07B0000}"/>
    <cellStyle name="60% - Accent6 3 2 2 2 3 2" xfId="19386" xr:uid="{00000000-0005-0000-0000-0000E17B0000}"/>
    <cellStyle name="60% - Accent6 3 2 2 2 30" xfId="63145" xr:uid="{00000000-0005-0000-0000-0000E27B0000}"/>
    <cellStyle name="60% - Accent6 3 2 2 2 4" xfId="5920" xr:uid="{00000000-0005-0000-0000-0000E37B0000}"/>
    <cellStyle name="60% - Accent6 3 2 2 2 4 2" xfId="21069" xr:uid="{00000000-0005-0000-0000-0000E47B0000}"/>
    <cellStyle name="60% - Accent6 3 2 2 2 5" xfId="7603" xr:uid="{00000000-0005-0000-0000-0000E57B0000}"/>
    <cellStyle name="60% - Accent6 3 2 2 2 5 2" xfId="22752" xr:uid="{00000000-0005-0000-0000-0000E67B0000}"/>
    <cellStyle name="60% - Accent6 3 2 2 2 6" xfId="9286" xr:uid="{00000000-0005-0000-0000-0000E77B0000}"/>
    <cellStyle name="60% - Accent6 3 2 2 2 6 2" xfId="24435" xr:uid="{00000000-0005-0000-0000-0000E87B0000}"/>
    <cellStyle name="60% - Accent6 3 2 2 2 7" xfId="10969" xr:uid="{00000000-0005-0000-0000-0000E97B0000}"/>
    <cellStyle name="60% - Accent6 3 2 2 2 7 2" xfId="26118" xr:uid="{00000000-0005-0000-0000-0000EA7B0000}"/>
    <cellStyle name="60% - Accent6 3 2 2 2 8" xfId="12653" xr:uid="{00000000-0005-0000-0000-0000EB7B0000}"/>
    <cellStyle name="60% - Accent6 3 2 2 2 8 2" xfId="27802" xr:uid="{00000000-0005-0000-0000-0000EC7B0000}"/>
    <cellStyle name="60% - Accent6 3 2 2 2 9" xfId="14336" xr:uid="{00000000-0005-0000-0000-0000ED7B0000}"/>
    <cellStyle name="60% - Accent6 3 2 2 2 9 2" xfId="29485" xr:uid="{00000000-0005-0000-0000-0000EE7B0000}"/>
    <cellStyle name="60% - Accent6 3 2 2 20" xfId="40846" xr:uid="{00000000-0005-0000-0000-0000EF7B0000}"/>
    <cellStyle name="60% - Accent6 3 2 2 21" xfId="42529" xr:uid="{00000000-0005-0000-0000-0000F07B0000}"/>
    <cellStyle name="60% - Accent6 3 2 2 22" xfId="44212" xr:uid="{00000000-0005-0000-0000-0000F17B0000}"/>
    <cellStyle name="60% - Accent6 3 2 2 23" xfId="45895" xr:uid="{00000000-0005-0000-0000-0000F27B0000}"/>
    <cellStyle name="60% - Accent6 3 2 2 24" xfId="47578" xr:uid="{00000000-0005-0000-0000-0000F37B0000}"/>
    <cellStyle name="60% - Accent6 3 2 2 25" xfId="49261" xr:uid="{00000000-0005-0000-0000-0000F47B0000}"/>
    <cellStyle name="60% - Accent6 3 2 2 26" xfId="50944" xr:uid="{00000000-0005-0000-0000-0000F57B0000}"/>
    <cellStyle name="60% - Accent6 3 2 2 27" xfId="52627" xr:uid="{00000000-0005-0000-0000-0000F67B0000}"/>
    <cellStyle name="60% - Accent6 3 2 2 28" xfId="54310" xr:uid="{00000000-0005-0000-0000-0000F77B0000}"/>
    <cellStyle name="60% - Accent6 3 2 2 29" xfId="55993" xr:uid="{00000000-0005-0000-0000-0000F87B0000}"/>
    <cellStyle name="60% - Accent6 3 2 2 3" xfId="1291" xr:uid="{00000000-0005-0000-0000-0000F97B0000}"/>
    <cellStyle name="60% - Accent6 3 2 2 3 10" xfId="16440" xr:uid="{00000000-0005-0000-0000-0000FA7B0000}"/>
    <cellStyle name="60% - Accent6 3 2 2 3 11" xfId="31589" xr:uid="{00000000-0005-0000-0000-0000FB7B0000}"/>
    <cellStyle name="60% - Accent6 3 2 2 3 12" xfId="33272" xr:uid="{00000000-0005-0000-0000-0000FC7B0000}"/>
    <cellStyle name="60% - Accent6 3 2 2 3 13" xfId="34955" xr:uid="{00000000-0005-0000-0000-0000FD7B0000}"/>
    <cellStyle name="60% - Accent6 3 2 2 3 14" xfId="36638" xr:uid="{00000000-0005-0000-0000-0000FE7B0000}"/>
    <cellStyle name="60% - Accent6 3 2 2 3 15" xfId="38321" xr:uid="{00000000-0005-0000-0000-0000FF7B0000}"/>
    <cellStyle name="60% - Accent6 3 2 2 3 16" xfId="40004" xr:uid="{00000000-0005-0000-0000-0000007C0000}"/>
    <cellStyle name="60% - Accent6 3 2 2 3 17" xfId="41687" xr:uid="{00000000-0005-0000-0000-0000017C0000}"/>
    <cellStyle name="60% - Accent6 3 2 2 3 18" xfId="43370" xr:uid="{00000000-0005-0000-0000-0000027C0000}"/>
    <cellStyle name="60% - Accent6 3 2 2 3 19" xfId="45053" xr:uid="{00000000-0005-0000-0000-0000037C0000}"/>
    <cellStyle name="60% - Accent6 3 2 2 3 2" xfId="2974" xr:uid="{00000000-0005-0000-0000-0000047C0000}"/>
    <cellStyle name="60% - Accent6 3 2 2 3 2 2" xfId="18123" xr:uid="{00000000-0005-0000-0000-0000057C0000}"/>
    <cellStyle name="60% - Accent6 3 2 2 3 20" xfId="46736" xr:uid="{00000000-0005-0000-0000-0000067C0000}"/>
    <cellStyle name="60% - Accent6 3 2 2 3 21" xfId="48419" xr:uid="{00000000-0005-0000-0000-0000077C0000}"/>
    <cellStyle name="60% - Accent6 3 2 2 3 22" xfId="50102" xr:uid="{00000000-0005-0000-0000-0000087C0000}"/>
    <cellStyle name="60% - Accent6 3 2 2 3 23" xfId="51785" xr:uid="{00000000-0005-0000-0000-0000097C0000}"/>
    <cellStyle name="60% - Accent6 3 2 2 3 24" xfId="53468" xr:uid="{00000000-0005-0000-0000-00000A7C0000}"/>
    <cellStyle name="60% - Accent6 3 2 2 3 25" xfId="55151" xr:uid="{00000000-0005-0000-0000-00000B7C0000}"/>
    <cellStyle name="60% - Accent6 3 2 2 3 26" xfId="56834" xr:uid="{00000000-0005-0000-0000-00000C7C0000}"/>
    <cellStyle name="60% - Accent6 3 2 2 3 27" xfId="58517" xr:uid="{00000000-0005-0000-0000-00000D7C0000}"/>
    <cellStyle name="60% - Accent6 3 2 2 3 28" xfId="60200" xr:uid="{00000000-0005-0000-0000-00000E7C0000}"/>
    <cellStyle name="60% - Accent6 3 2 2 3 29" xfId="61883" xr:uid="{00000000-0005-0000-0000-00000F7C0000}"/>
    <cellStyle name="60% - Accent6 3 2 2 3 3" xfId="4658" xr:uid="{00000000-0005-0000-0000-0000107C0000}"/>
    <cellStyle name="60% - Accent6 3 2 2 3 3 2" xfId="19807" xr:uid="{00000000-0005-0000-0000-0000117C0000}"/>
    <cellStyle name="60% - Accent6 3 2 2 3 30" xfId="63566" xr:uid="{00000000-0005-0000-0000-0000127C0000}"/>
    <cellStyle name="60% - Accent6 3 2 2 3 4" xfId="6341" xr:uid="{00000000-0005-0000-0000-0000137C0000}"/>
    <cellStyle name="60% - Accent6 3 2 2 3 4 2" xfId="21490" xr:uid="{00000000-0005-0000-0000-0000147C0000}"/>
    <cellStyle name="60% - Accent6 3 2 2 3 5" xfId="8024" xr:uid="{00000000-0005-0000-0000-0000157C0000}"/>
    <cellStyle name="60% - Accent6 3 2 2 3 5 2" xfId="23173" xr:uid="{00000000-0005-0000-0000-0000167C0000}"/>
    <cellStyle name="60% - Accent6 3 2 2 3 6" xfId="9707" xr:uid="{00000000-0005-0000-0000-0000177C0000}"/>
    <cellStyle name="60% - Accent6 3 2 2 3 6 2" xfId="24856" xr:uid="{00000000-0005-0000-0000-0000187C0000}"/>
    <cellStyle name="60% - Accent6 3 2 2 3 7" xfId="11390" xr:uid="{00000000-0005-0000-0000-0000197C0000}"/>
    <cellStyle name="60% - Accent6 3 2 2 3 7 2" xfId="26539" xr:uid="{00000000-0005-0000-0000-00001A7C0000}"/>
    <cellStyle name="60% - Accent6 3 2 2 3 8" xfId="13074" xr:uid="{00000000-0005-0000-0000-00001B7C0000}"/>
    <cellStyle name="60% - Accent6 3 2 2 3 8 2" xfId="28223" xr:uid="{00000000-0005-0000-0000-00001C7C0000}"/>
    <cellStyle name="60% - Accent6 3 2 2 3 9" xfId="14757" xr:uid="{00000000-0005-0000-0000-00001D7C0000}"/>
    <cellStyle name="60% - Accent6 3 2 2 3 9 2" xfId="29906" xr:uid="{00000000-0005-0000-0000-00001E7C0000}"/>
    <cellStyle name="60% - Accent6 3 2 2 30" xfId="57676" xr:uid="{00000000-0005-0000-0000-00001F7C0000}"/>
    <cellStyle name="60% - Accent6 3 2 2 31" xfId="59359" xr:uid="{00000000-0005-0000-0000-0000207C0000}"/>
    <cellStyle name="60% - Accent6 3 2 2 32" xfId="61042" xr:uid="{00000000-0005-0000-0000-0000217C0000}"/>
    <cellStyle name="60% - Accent6 3 2 2 33" xfId="62725" xr:uid="{00000000-0005-0000-0000-0000227C0000}"/>
    <cellStyle name="60% - Accent6 3 2 2 4" xfId="1712" xr:uid="{00000000-0005-0000-0000-0000237C0000}"/>
    <cellStyle name="60% - Accent6 3 2 2 4 10" xfId="16861" xr:uid="{00000000-0005-0000-0000-0000247C0000}"/>
    <cellStyle name="60% - Accent6 3 2 2 4 11" xfId="32010" xr:uid="{00000000-0005-0000-0000-0000257C0000}"/>
    <cellStyle name="60% - Accent6 3 2 2 4 12" xfId="33693" xr:uid="{00000000-0005-0000-0000-0000267C0000}"/>
    <cellStyle name="60% - Accent6 3 2 2 4 13" xfId="35376" xr:uid="{00000000-0005-0000-0000-0000277C0000}"/>
    <cellStyle name="60% - Accent6 3 2 2 4 14" xfId="37059" xr:uid="{00000000-0005-0000-0000-0000287C0000}"/>
    <cellStyle name="60% - Accent6 3 2 2 4 15" xfId="38742" xr:uid="{00000000-0005-0000-0000-0000297C0000}"/>
    <cellStyle name="60% - Accent6 3 2 2 4 16" xfId="40425" xr:uid="{00000000-0005-0000-0000-00002A7C0000}"/>
    <cellStyle name="60% - Accent6 3 2 2 4 17" xfId="42108" xr:uid="{00000000-0005-0000-0000-00002B7C0000}"/>
    <cellStyle name="60% - Accent6 3 2 2 4 18" xfId="43791" xr:uid="{00000000-0005-0000-0000-00002C7C0000}"/>
    <cellStyle name="60% - Accent6 3 2 2 4 19" xfId="45474" xr:uid="{00000000-0005-0000-0000-00002D7C0000}"/>
    <cellStyle name="60% - Accent6 3 2 2 4 2" xfId="3395" xr:uid="{00000000-0005-0000-0000-00002E7C0000}"/>
    <cellStyle name="60% - Accent6 3 2 2 4 2 2" xfId="18544" xr:uid="{00000000-0005-0000-0000-00002F7C0000}"/>
    <cellStyle name="60% - Accent6 3 2 2 4 20" xfId="47157" xr:uid="{00000000-0005-0000-0000-0000307C0000}"/>
    <cellStyle name="60% - Accent6 3 2 2 4 21" xfId="48840" xr:uid="{00000000-0005-0000-0000-0000317C0000}"/>
    <cellStyle name="60% - Accent6 3 2 2 4 22" xfId="50523" xr:uid="{00000000-0005-0000-0000-0000327C0000}"/>
    <cellStyle name="60% - Accent6 3 2 2 4 23" xfId="52206" xr:uid="{00000000-0005-0000-0000-0000337C0000}"/>
    <cellStyle name="60% - Accent6 3 2 2 4 24" xfId="53889" xr:uid="{00000000-0005-0000-0000-0000347C0000}"/>
    <cellStyle name="60% - Accent6 3 2 2 4 25" xfId="55572" xr:uid="{00000000-0005-0000-0000-0000357C0000}"/>
    <cellStyle name="60% - Accent6 3 2 2 4 26" xfId="57255" xr:uid="{00000000-0005-0000-0000-0000367C0000}"/>
    <cellStyle name="60% - Accent6 3 2 2 4 27" xfId="58938" xr:uid="{00000000-0005-0000-0000-0000377C0000}"/>
    <cellStyle name="60% - Accent6 3 2 2 4 28" xfId="60621" xr:uid="{00000000-0005-0000-0000-0000387C0000}"/>
    <cellStyle name="60% - Accent6 3 2 2 4 29" xfId="62304" xr:uid="{00000000-0005-0000-0000-0000397C0000}"/>
    <cellStyle name="60% - Accent6 3 2 2 4 3" xfId="5079" xr:uid="{00000000-0005-0000-0000-00003A7C0000}"/>
    <cellStyle name="60% - Accent6 3 2 2 4 3 2" xfId="20228" xr:uid="{00000000-0005-0000-0000-00003B7C0000}"/>
    <cellStyle name="60% - Accent6 3 2 2 4 30" xfId="63987" xr:uid="{00000000-0005-0000-0000-00003C7C0000}"/>
    <cellStyle name="60% - Accent6 3 2 2 4 4" xfId="6762" xr:uid="{00000000-0005-0000-0000-00003D7C0000}"/>
    <cellStyle name="60% - Accent6 3 2 2 4 4 2" xfId="21911" xr:uid="{00000000-0005-0000-0000-00003E7C0000}"/>
    <cellStyle name="60% - Accent6 3 2 2 4 5" xfId="8445" xr:uid="{00000000-0005-0000-0000-00003F7C0000}"/>
    <cellStyle name="60% - Accent6 3 2 2 4 5 2" xfId="23594" xr:uid="{00000000-0005-0000-0000-0000407C0000}"/>
    <cellStyle name="60% - Accent6 3 2 2 4 6" xfId="10128" xr:uid="{00000000-0005-0000-0000-0000417C0000}"/>
    <cellStyle name="60% - Accent6 3 2 2 4 6 2" xfId="25277" xr:uid="{00000000-0005-0000-0000-0000427C0000}"/>
    <cellStyle name="60% - Accent6 3 2 2 4 7" xfId="11811" xr:uid="{00000000-0005-0000-0000-0000437C0000}"/>
    <cellStyle name="60% - Accent6 3 2 2 4 7 2" xfId="26960" xr:uid="{00000000-0005-0000-0000-0000447C0000}"/>
    <cellStyle name="60% - Accent6 3 2 2 4 8" xfId="13495" xr:uid="{00000000-0005-0000-0000-0000457C0000}"/>
    <cellStyle name="60% - Accent6 3 2 2 4 8 2" xfId="28644" xr:uid="{00000000-0005-0000-0000-0000467C0000}"/>
    <cellStyle name="60% - Accent6 3 2 2 4 9" xfId="15178" xr:uid="{00000000-0005-0000-0000-0000477C0000}"/>
    <cellStyle name="60% - Accent6 3 2 2 4 9 2" xfId="30327" xr:uid="{00000000-0005-0000-0000-0000487C0000}"/>
    <cellStyle name="60% - Accent6 3 2 2 5" xfId="2133" xr:uid="{00000000-0005-0000-0000-0000497C0000}"/>
    <cellStyle name="60% - Accent6 3 2 2 5 2" xfId="17282" xr:uid="{00000000-0005-0000-0000-00004A7C0000}"/>
    <cellStyle name="60% - Accent6 3 2 2 6" xfId="3817" xr:uid="{00000000-0005-0000-0000-00004B7C0000}"/>
    <cellStyle name="60% - Accent6 3 2 2 6 2" xfId="18966" xr:uid="{00000000-0005-0000-0000-00004C7C0000}"/>
    <cellStyle name="60% - Accent6 3 2 2 7" xfId="5500" xr:uid="{00000000-0005-0000-0000-00004D7C0000}"/>
    <cellStyle name="60% - Accent6 3 2 2 7 2" xfId="20649" xr:uid="{00000000-0005-0000-0000-00004E7C0000}"/>
    <cellStyle name="60% - Accent6 3 2 2 8" xfId="7183" xr:uid="{00000000-0005-0000-0000-00004F7C0000}"/>
    <cellStyle name="60% - Accent6 3 2 2 8 2" xfId="22332" xr:uid="{00000000-0005-0000-0000-0000507C0000}"/>
    <cellStyle name="60% - Accent6 3 2 2 9" xfId="8866" xr:uid="{00000000-0005-0000-0000-0000517C0000}"/>
    <cellStyle name="60% - Accent6 3 2 2 9 2" xfId="24015" xr:uid="{00000000-0005-0000-0000-0000527C0000}"/>
    <cellStyle name="60% - Accent6 3 2 20" xfId="38953" xr:uid="{00000000-0005-0000-0000-0000537C0000}"/>
    <cellStyle name="60% - Accent6 3 2 21" xfId="40636" xr:uid="{00000000-0005-0000-0000-0000547C0000}"/>
    <cellStyle name="60% - Accent6 3 2 22" xfId="42319" xr:uid="{00000000-0005-0000-0000-0000557C0000}"/>
    <cellStyle name="60% - Accent6 3 2 23" xfId="44002" xr:uid="{00000000-0005-0000-0000-0000567C0000}"/>
    <cellStyle name="60% - Accent6 3 2 24" xfId="45685" xr:uid="{00000000-0005-0000-0000-0000577C0000}"/>
    <cellStyle name="60% - Accent6 3 2 25" xfId="47368" xr:uid="{00000000-0005-0000-0000-0000587C0000}"/>
    <cellStyle name="60% - Accent6 3 2 26" xfId="49051" xr:uid="{00000000-0005-0000-0000-0000597C0000}"/>
    <cellStyle name="60% - Accent6 3 2 27" xfId="50734" xr:uid="{00000000-0005-0000-0000-00005A7C0000}"/>
    <cellStyle name="60% - Accent6 3 2 28" xfId="52417" xr:uid="{00000000-0005-0000-0000-00005B7C0000}"/>
    <cellStyle name="60% - Accent6 3 2 29" xfId="54100" xr:uid="{00000000-0005-0000-0000-00005C7C0000}"/>
    <cellStyle name="60% - Accent6 3 2 3" xfId="660" xr:uid="{00000000-0005-0000-0000-00005D7C0000}"/>
    <cellStyle name="60% - Accent6 3 2 3 10" xfId="15809" xr:uid="{00000000-0005-0000-0000-00005E7C0000}"/>
    <cellStyle name="60% - Accent6 3 2 3 11" xfId="30958" xr:uid="{00000000-0005-0000-0000-00005F7C0000}"/>
    <cellStyle name="60% - Accent6 3 2 3 12" xfId="32641" xr:uid="{00000000-0005-0000-0000-0000607C0000}"/>
    <cellStyle name="60% - Accent6 3 2 3 13" xfId="34324" xr:uid="{00000000-0005-0000-0000-0000617C0000}"/>
    <cellStyle name="60% - Accent6 3 2 3 14" xfId="36007" xr:uid="{00000000-0005-0000-0000-0000627C0000}"/>
    <cellStyle name="60% - Accent6 3 2 3 15" xfId="37690" xr:uid="{00000000-0005-0000-0000-0000637C0000}"/>
    <cellStyle name="60% - Accent6 3 2 3 16" xfId="39373" xr:uid="{00000000-0005-0000-0000-0000647C0000}"/>
    <cellStyle name="60% - Accent6 3 2 3 17" xfId="41056" xr:uid="{00000000-0005-0000-0000-0000657C0000}"/>
    <cellStyle name="60% - Accent6 3 2 3 18" xfId="42739" xr:uid="{00000000-0005-0000-0000-0000667C0000}"/>
    <cellStyle name="60% - Accent6 3 2 3 19" xfId="44422" xr:uid="{00000000-0005-0000-0000-0000677C0000}"/>
    <cellStyle name="60% - Accent6 3 2 3 2" xfId="2343" xr:uid="{00000000-0005-0000-0000-0000687C0000}"/>
    <cellStyle name="60% - Accent6 3 2 3 2 2" xfId="17492" xr:uid="{00000000-0005-0000-0000-0000697C0000}"/>
    <cellStyle name="60% - Accent6 3 2 3 20" xfId="46105" xr:uid="{00000000-0005-0000-0000-00006A7C0000}"/>
    <cellStyle name="60% - Accent6 3 2 3 21" xfId="47788" xr:uid="{00000000-0005-0000-0000-00006B7C0000}"/>
    <cellStyle name="60% - Accent6 3 2 3 22" xfId="49471" xr:uid="{00000000-0005-0000-0000-00006C7C0000}"/>
    <cellStyle name="60% - Accent6 3 2 3 23" xfId="51154" xr:uid="{00000000-0005-0000-0000-00006D7C0000}"/>
    <cellStyle name="60% - Accent6 3 2 3 24" xfId="52837" xr:uid="{00000000-0005-0000-0000-00006E7C0000}"/>
    <cellStyle name="60% - Accent6 3 2 3 25" xfId="54520" xr:uid="{00000000-0005-0000-0000-00006F7C0000}"/>
    <cellStyle name="60% - Accent6 3 2 3 26" xfId="56203" xr:uid="{00000000-0005-0000-0000-0000707C0000}"/>
    <cellStyle name="60% - Accent6 3 2 3 27" xfId="57886" xr:uid="{00000000-0005-0000-0000-0000717C0000}"/>
    <cellStyle name="60% - Accent6 3 2 3 28" xfId="59569" xr:uid="{00000000-0005-0000-0000-0000727C0000}"/>
    <cellStyle name="60% - Accent6 3 2 3 29" xfId="61252" xr:uid="{00000000-0005-0000-0000-0000737C0000}"/>
    <cellStyle name="60% - Accent6 3 2 3 3" xfId="4027" xr:uid="{00000000-0005-0000-0000-0000747C0000}"/>
    <cellStyle name="60% - Accent6 3 2 3 3 2" xfId="19176" xr:uid="{00000000-0005-0000-0000-0000757C0000}"/>
    <cellStyle name="60% - Accent6 3 2 3 30" xfId="62935" xr:uid="{00000000-0005-0000-0000-0000767C0000}"/>
    <cellStyle name="60% - Accent6 3 2 3 4" xfId="5710" xr:uid="{00000000-0005-0000-0000-0000777C0000}"/>
    <cellStyle name="60% - Accent6 3 2 3 4 2" xfId="20859" xr:uid="{00000000-0005-0000-0000-0000787C0000}"/>
    <cellStyle name="60% - Accent6 3 2 3 5" xfId="7393" xr:uid="{00000000-0005-0000-0000-0000797C0000}"/>
    <cellStyle name="60% - Accent6 3 2 3 5 2" xfId="22542" xr:uid="{00000000-0005-0000-0000-00007A7C0000}"/>
    <cellStyle name="60% - Accent6 3 2 3 6" xfId="9076" xr:uid="{00000000-0005-0000-0000-00007B7C0000}"/>
    <cellStyle name="60% - Accent6 3 2 3 6 2" xfId="24225" xr:uid="{00000000-0005-0000-0000-00007C7C0000}"/>
    <cellStyle name="60% - Accent6 3 2 3 7" xfId="10759" xr:uid="{00000000-0005-0000-0000-00007D7C0000}"/>
    <cellStyle name="60% - Accent6 3 2 3 7 2" xfId="25908" xr:uid="{00000000-0005-0000-0000-00007E7C0000}"/>
    <cellStyle name="60% - Accent6 3 2 3 8" xfId="12443" xr:uid="{00000000-0005-0000-0000-00007F7C0000}"/>
    <cellStyle name="60% - Accent6 3 2 3 8 2" xfId="27592" xr:uid="{00000000-0005-0000-0000-0000807C0000}"/>
    <cellStyle name="60% - Accent6 3 2 3 9" xfId="14126" xr:uid="{00000000-0005-0000-0000-0000817C0000}"/>
    <cellStyle name="60% - Accent6 3 2 3 9 2" xfId="29275" xr:uid="{00000000-0005-0000-0000-0000827C0000}"/>
    <cellStyle name="60% - Accent6 3 2 30" xfId="55783" xr:uid="{00000000-0005-0000-0000-0000837C0000}"/>
    <cellStyle name="60% - Accent6 3 2 31" xfId="57466" xr:uid="{00000000-0005-0000-0000-0000847C0000}"/>
    <cellStyle name="60% - Accent6 3 2 32" xfId="59149" xr:uid="{00000000-0005-0000-0000-0000857C0000}"/>
    <cellStyle name="60% - Accent6 3 2 33" xfId="60832" xr:uid="{00000000-0005-0000-0000-0000867C0000}"/>
    <cellStyle name="60% - Accent6 3 2 34" xfId="62515" xr:uid="{00000000-0005-0000-0000-0000877C0000}"/>
    <cellStyle name="60% - Accent6 3 2 4" xfId="1081" xr:uid="{00000000-0005-0000-0000-0000887C0000}"/>
    <cellStyle name="60% - Accent6 3 2 4 10" xfId="16230" xr:uid="{00000000-0005-0000-0000-0000897C0000}"/>
    <cellStyle name="60% - Accent6 3 2 4 11" xfId="31379" xr:uid="{00000000-0005-0000-0000-00008A7C0000}"/>
    <cellStyle name="60% - Accent6 3 2 4 12" xfId="33062" xr:uid="{00000000-0005-0000-0000-00008B7C0000}"/>
    <cellStyle name="60% - Accent6 3 2 4 13" xfId="34745" xr:uid="{00000000-0005-0000-0000-00008C7C0000}"/>
    <cellStyle name="60% - Accent6 3 2 4 14" xfId="36428" xr:uid="{00000000-0005-0000-0000-00008D7C0000}"/>
    <cellStyle name="60% - Accent6 3 2 4 15" xfId="38111" xr:uid="{00000000-0005-0000-0000-00008E7C0000}"/>
    <cellStyle name="60% - Accent6 3 2 4 16" xfId="39794" xr:uid="{00000000-0005-0000-0000-00008F7C0000}"/>
    <cellStyle name="60% - Accent6 3 2 4 17" xfId="41477" xr:uid="{00000000-0005-0000-0000-0000907C0000}"/>
    <cellStyle name="60% - Accent6 3 2 4 18" xfId="43160" xr:uid="{00000000-0005-0000-0000-0000917C0000}"/>
    <cellStyle name="60% - Accent6 3 2 4 19" xfId="44843" xr:uid="{00000000-0005-0000-0000-0000927C0000}"/>
    <cellStyle name="60% - Accent6 3 2 4 2" xfId="2764" xr:uid="{00000000-0005-0000-0000-0000937C0000}"/>
    <cellStyle name="60% - Accent6 3 2 4 2 2" xfId="17913" xr:uid="{00000000-0005-0000-0000-0000947C0000}"/>
    <cellStyle name="60% - Accent6 3 2 4 20" xfId="46526" xr:uid="{00000000-0005-0000-0000-0000957C0000}"/>
    <cellStyle name="60% - Accent6 3 2 4 21" xfId="48209" xr:uid="{00000000-0005-0000-0000-0000967C0000}"/>
    <cellStyle name="60% - Accent6 3 2 4 22" xfId="49892" xr:uid="{00000000-0005-0000-0000-0000977C0000}"/>
    <cellStyle name="60% - Accent6 3 2 4 23" xfId="51575" xr:uid="{00000000-0005-0000-0000-0000987C0000}"/>
    <cellStyle name="60% - Accent6 3 2 4 24" xfId="53258" xr:uid="{00000000-0005-0000-0000-0000997C0000}"/>
    <cellStyle name="60% - Accent6 3 2 4 25" xfId="54941" xr:uid="{00000000-0005-0000-0000-00009A7C0000}"/>
    <cellStyle name="60% - Accent6 3 2 4 26" xfId="56624" xr:uid="{00000000-0005-0000-0000-00009B7C0000}"/>
    <cellStyle name="60% - Accent6 3 2 4 27" xfId="58307" xr:uid="{00000000-0005-0000-0000-00009C7C0000}"/>
    <cellStyle name="60% - Accent6 3 2 4 28" xfId="59990" xr:uid="{00000000-0005-0000-0000-00009D7C0000}"/>
    <cellStyle name="60% - Accent6 3 2 4 29" xfId="61673" xr:uid="{00000000-0005-0000-0000-00009E7C0000}"/>
    <cellStyle name="60% - Accent6 3 2 4 3" xfId="4448" xr:uid="{00000000-0005-0000-0000-00009F7C0000}"/>
    <cellStyle name="60% - Accent6 3 2 4 3 2" xfId="19597" xr:uid="{00000000-0005-0000-0000-0000A07C0000}"/>
    <cellStyle name="60% - Accent6 3 2 4 30" xfId="63356" xr:uid="{00000000-0005-0000-0000-0000A17C0000}"/>
    <cellStyle name="60% - Accent6 3 2 4 4" xfId="6131" xr:uid="{00000000-0005-0000-0000-0000A27C0000}"/>
    <cellStyle name="60% - Accent6 3 2 4 4 2" xfId="21280" xr:uid="{00000000-0005-0000-0000-0000A37C0000}"/>
    <cellStyle name="60% - Accent6 3 2 4 5" xfId="7814" xr:uid="{00000000-0005-0000-0000-0000A47C0000}"/>
    <cellStyle name="60% - Accent6 3 2 4 5 2" xfId="22963" xr:uid="{00000000-0005-0000-0000-0000A57C0000}"/>
    <cellStyle name="60% - Accent6 3 2 4 6" xfId="9497" xr:uid="{00000000-0005-0000-0000-0000A67C0000}"/>
    <cellStyle name="60% - Accent6 3 2 4 6 2" xfId="24646" xr:uid="{00000000-0005-0000-0000-0000A77C0000}"/>
    <cellStyle name="60% - Accent6 3 2 4 7" xfId="11180" xr:uid="{00000000-0005-0000-0000-0000A87C0000}"/>
    <cellStyle name="60% - Accent6 3 2 4 7 2" xfId="26329" xr:uid="{00000000-0005-0000-0000-0000A97C0000}"/>
    <cellStyle name="60% - Accent6 3 2 4 8" xfId="12864" xr:uid="{00000000-0005-0000-0000-0000AA7C0000}"/>
    <cellStyle name="60% - Accent6 3 2 4 8 2" xfId="28013" xr:uid="{00000000-0005-0000-0000-0000AB7C0000}"/>
    <cellStyle name="60% - Accent6 3 2 4 9" xfId="14547" xr:uid="{00000000-0005-0000-0000-0000AC7C0000}"/>
    <cellStyle name="60% - Accent6 3 2 4 9 2" xfId="29696" xr:uid="{00000000-0005-0000-0000-0000AD7C0000}"/>
    <cellStyle name="60% - Accent6 3 2 5" xfId="1502" xr:uid="{00000000-0005-0000-0000-0000AE7C0000}"/>
    <cellStyle name="60% - Accent6 3 2 5 10" xfId="16651" xr:uid="{00000000-0005-0000-0000-0000AF7C0000}"/>
    <cellStyle name="60% - Accent6 3 2 5 11" xfId="31800" xr:uid="{00000000-0005-0000-0000-0000B07C0000}"/>
    <cellStyle name="60% - Accent6 3 2 5 12" xfId="33483" xr:uid="{00000000-0005-0000-0000-0000B17C0000}"/>
    <cellStyle name="60% - Accent6 3 2 5 13" xfId="35166" xr:uid="{00000000-0005-0000-0000-0000B27C0000}"/>
    <cellStyle name="60% - Accent6 3 2 5 14" xfId="36849" xr:uid="{00000000-0005-0000-0000-0000B37C0000}"/>
    <cellStyle name="60% - Accent6 3 2 5 15" xfId="38532" xr:uid="{00000000-0005-0000-0000-0000B47C0000}"/>
    <cellStyle name="60% - Accent6 3 2 5 16" xfId="40215" xr:uid="{00000000-0005-0000-0000-0000B57C0000}"/>
    <cellStyle name="60% - Accent6 3 2 5 17" xfId="41898" xr:uid="{00000000-0005-0000-0000-0000B67C0000}"/>
    <cellStyle name="60% - Accent6 3 2 5 18" xfId="43581" xr:uid="{00000000-0005-0000-0000-0000B77C0000}"/>
    <cellStyle name="60% - Accent6 3 2 5 19" xfId="45264" xr:uid="{00000000-0005-0000-0000-0000B87C0000}"/>
    <cellStyle name="60% - Accent6 3 2 5 2" xfId="3185" xr:uid="{00000000-0005-0000-0000-0000B97C0000}"/>
    <cellStyle name="60% - Accent6 3 2 5 2 2" xfId="18334" xr:uid="{00000000-0005-0000-0000-0000BA7C0000}"/>
    <cellStyle name="60% - Accent6 3 2 5 20" xfId="46947" xr:uid="{00000000-0005-0000-0000-0000BB7C0000}"/>
    <cellStyle name="60% - Accent6 3 2 5 21" xfId="48630" xr:uid="{00000000-0005-0000-0000-0000BC7C0000}"/>
    <cellStyle name="60% - Accent6 3 2 5 22" xfId="50313" xr:uid="{00000000-0005-0000-0000-0000BD7C0000}"/>
    <cellStyle name="60% - Accent6 3 2 5 23" xfId="51996" xr:uid="{00000000-0005-0000-0000-0000BE7C0000}"/>
    <cellStyle name="60% - Accent6 3 2 5 24" xfId="53679" xr:uid="{00000000-0005-0000-0000-0000BF7C0000}"/>
    <cellStyle name="60% - Accent6 3 2 5 25" xfId="55362" xr:uid="{00000000-0005-0000-0000-0000C07C0000}"/>
    <cellStyle name="60% - Accent6 3 2 5 26" xfId="57045" xr:uid="{00000000-0005-0000-0000-0000C17C0000}"/>
    <cellStyle name="60% - Accent6 3 2 5 27" xfId="58728" xr:uid="{00000000-0005-0000-0000-0000C27C0000}"/>
    <cellStyle name="60% - Accent6 3 2 5 28" xfId="60411" xr:uid="{00000000-0005-0000-0000-0000C37C0000}"/>
    <cellStyle name="60% - Accent6 3 2 5 29" xfId="62094" xr:uid="{00000000-0005-0000-0000-0000C47C0000}"/>
    <cellStyle name="60% - Accent6 3 2 5 3" xfId="4869" xr:uid="{00000000-0005-0000-0000-0000C57C0000}"/>
    <cellStyle name="60% - Accent6 3 2 5 3 2" xfId="20018" xr:uid="{00000000-0005-0000-0000-0000C67C0000}"/>
    <cellStyle name="60% - Accent6 3 2 5 30" xfId="63777" xr:uid="{00000000-0005-0000-0000-0000C77C0000}"/>
    <cellStyle name="60% - Accent6 3 2 5 4" xfId="6552" xr:uid="{00000000-0005-0000-0000-0000C87C0000}"/>
    <cellStyle name="60% - Accent6 3 2 5 4 2" xfId="21701" xr:uid="{00000000-0005-0000-0000-0000C97C0000}"/>
    <cellStyle name="60% - Accent6 3 2 5 5" xfId="8235" xr:uid="{00000000-0005-0000-0000-0000CA7C0000}"/>
    <cellStyle name="60% - Accent6 3 2 5 5 2" xfId="23384" xr:uid="{00000000-0005-0000-0000-0000CB7C0000}"/>
    <cellStyle name="60% - Accent6 3 2 5 6" xfId="9918" xr:uid="{00000000-0005-0000-0000-0000CC7C0000}"/>
    <cellStyle name="60% - Accent6 3 2 5 6 2" xfId="25067" xr:uid="{00000000-0005-0000-0000-0000CD7C0000}"/>
    <cellStyle name="60% - Accent6 3 2 5 7" xfId="11601" xr:uid="{00000000-0005-0000-0000-0000CE7C0000}"/>
    <cellStyle name="60% - Accent6 3 2 5 7 2" xfId="26750" xr:uid="{00000000-0005-0000-0000-0000CF7C0000}"/>
    <cellStyle name="60% - Accent6 3 2 5 8" xfId="13285" xr:uid="{00000000-0005-0000-0000-0000D07C0000}"/>
    <cellStyle name="60% - Accent6 3 2 5 8 2" xfId="28434" xr:uid="{00000000-0005-0000-0000-0000D17C0000}"/>
    <cellStyle name="60% - Accent6 3 2 5 9" xfId="14968" xr:uid="{00000000-0005-0000-0000-0000D27C0000}"/>
    <cellStyle name="60% - Accent6 3 2 5 9 2" xfId="30117" xr:uid="{00000000-0005-0000-0000-0000D37C0000}"/>
    <cellStyle name="60% - Accent6 3 2 6" xfId="1923" xr:uid="{00000000-0005-0000-0000-0000D47C0000}"/>
    <cellStyle name="60% - Accent6 3 2 6 2" xfId="17072" xr:uid="{00000000-0005-0000-0000-0000D57C0000}"/>
    <cellStyle name="60% - Accent6 3 2 7" xfId="3607" xr:uid="{00000000-0005-0000-0000-0000D67C0000}"/>
    <cellStyle name="60% - Accent6 3 2 7 2" xfId="18756" xr:uid="{00000000-0005-0000-0000-0000D77C0000}"/>
    <cellStyle name="60% - Accent6 3 2 8" xfId="5290" xr:uid="{00000000-0005-0000-0000-0000D87C0000}"/>
    <cellStyle name="60% - Accent6 3 2 8 2" xfId="20439" xr:uid="{00000000-0005-0000-0000-0000D97C0000}"/>
    <cellStyle name="60% - Accent6 3 2 9" xfId="6973" xr:uid="{00000000-0005-0000-0000-0000DA7C0000}"/>
    <cellStyle name="60% - Accent6 3 2 9 2" xfId="22122" xr:uid="{00000000-0005-0000-0000-0000DB7C0000}"/>
    <cellStyle name="60% - Accent6 3 20" xfId="37165" xr:uid="{00000000-0005-0000-0000-0000DC7C0000}"/>
    <cellStyle name="60% - Accent6 3 21" xfId="38848" xr:uid="{00000000-0005-0000-0000-0000DD7C0000}"/>
    <cellStyle name="60% - Accent6 3 22" xfId="40531" xr:uid="{00000000-0005-0000-0000-0000DE7C0000}"/>
    <cellStyle name="60% - Accent6 3 23" xfId="42214" xr:uid="{00000000-0005-0000-0000-0000DF7C0000}"/>
    <cellStyle name="60% - Accent6 3 24" xfId="43897" xr:uid="{00000000-0005-0000-0000-0000E07C0000}"/>
    <cellStyle name="60% - Accent6 3 25" xfId="45580" xr:uid="{00000000-0005-0000-0000-0000E17C0000}"/>
    <cellStyle name="60% - Accent6 3 26" xfId="47263" xr:uid="{00000000-0005-0000-0000-0000E27C0000}"/>
    <cellStyle name="60% - Accent6 3 27" xfId="48946" xr:uid="{00000000-0005-0000-0000-0000E37C0000}"/>
    <cellStyle name="60% - Accent6 3 28" xfId="50629" xr:uid="{00000000-0005-0000-0000-0000E47C0000}"/>
    <cellStyle name="60% - Accent6 3 29" xfId="52312" xr:uid="{00000000-0005-0000-0000-0000E57C0000}"/>
    <cellStyle name="60% - Accent6 3 3" xfId="345" xr:uid="{00000000-0005-0000-0000-0000E67C0000}"/>
    <cellStyle name="60% - Accent6 3 3 10" xfId="10444" xr:uid="{00000000-0005-0000-0000-0000E77C0000}"/>
    <cellStyle name="60% - Accent6 3 3 10 2" xfId="25593" xr:uid="{00000000-0005-0000-0000-0000E87C0000}"/>
    <cellStyle name="60% - Accent6 3 3 11" xfId="12128" xr:uid="{00000000-0005-0000-0000-0000E97C0000}"/>
    <cellStyle name="60% - Accent6 3 3 11 2" xfId="27277" xr:uid="{00000000-0005-0000-0000-0000EA7C0000}"/>
    <cellStyle name="60% - Accent6 3 3 12" xfId="13811" xr:uid="{00000000-0005-0000-0000-0000EB7C0000}"/>
    <cellStyle name="60% - Accent6 3 3 12 2" xfId="28960" xr:uid="{00000000-0005-0000-0000-0000EC7C0000}"/>
    <cellStyle name="60% - Accent6 3 3 13" xfId="15494" xr:uid="{00000000-0005-0000-0000-0000ED7C0000}"/>
    <cellStyle name="60% - Accent6 3 3 14" xfId="30643" xr:uid="{00000000-0005-0000-0000-0000EE7C0000}"/>
    <cellStyle name="60% - Accent6 3 3 15" xfId="32326" xr:uid="{00000000-0005-0000-0000-0000EF7C0000}"/>
    <cellStyle name="60% - Accent6 3 3 16" xfId="34009" xr:uid="{00000000-0005-0000-0000-0000F07C0000}"/>
    <cellStyle name="60% - Accent6 3 3 17" xfId="35692" xr:uid="{00000000-0005-0000-0000-0000F17C0000}"/>
    <cellStyle name="60% - Accent6 3 3 18" xfId="37375" xr:uid="{00000000-0005-0000-0000-0000F27C0000}"/>
    <cellStyle name="60% - Accent6 3 3 19" xfId="39058" xr:uid="{00000000-0005-0000-0000-0000F37C0000}"/>
    <cellStyle name="60% - Accent6 3 3 2" xfId="765" xr:uid="{00000000-0005-0000-0000-0000F47C0000}"/>
    <cellStyle name="60% - Accent6 3 3 2 10" xfId="15914" xr:uid="{00000000-0005-0000-0000-0000F57C0000}"/>
    <cellStyle name="60% - Accent6 3 3 2 11" xfId="31063" xr:uid="{00000000-0005-0000-0000-0000F67C0000}"/>
    <cellStyle name="60% - Accent6 3 3 2 12" xfId="32746" xr:uid="{00000000-0005-0000-0000-0000F77C0000}"/>
    <cellStyle name="60% - Accent6 3 3 2 13" xfId="34429" xr:uid="{00000000-0005-0000-0000-0000F87C0000}"/>
    <cellStyle name="60% - Accent6 3 3 2 14" xfId="36112" xr:uid="{00000000-0005-0000-0000-0000F97C0000}"/>
    <cellStyle name="60% - Accent6 3 3 2 15" xfId="37795" xr:uid="{00000000-0005-0000-0000-0000FA7C0000}"/>
    <cellStyle name="60% - Accent6 3 3 2 16" xfId="39478" xr:uid="{00000000-0005-0000-0000-0000FB7C0000}"/>
    <cellStyle name="60% - Accent6 3 3 2 17" xfId="41161" xr:uid="{00000000-0005-0000-0000-0000FC7C0000}"/>
    <cellStyle name="60% - Accent6 3 3 2 18" xfId="42844" xr:uid="{00000000-0005-0000-0000-0000FD7C0000}"/>
    <cellStyle name="60% - Accent6 3 3 2 19" xfId="44527" xr:uid="{00000000-0005-0000-0000-0000FE7C0000}"/>
    <cellStyle name="60% - Accent6 3 3 2 2" xfId="2448" xr:uid="{00000000-0005-0000-0000-0000FF7C0000}"/>
    <cellStyle name="60% - Accent6 3 3 2 2 2" xfId="17597" xr:uid="{00000000-0005-0000-0000-0000007D0000}"/>
    <cellStyle name="60% - Accent6 3 3 2 20" xfId="46210" xr:uid="{00000000-0005-0000-0000-0000017D0000}"/>
    <cellStyle name="60% - Accent6 3 3 2 21" xfId="47893" xr:uid="{00000000-0005-0000-0000-0000027D0000}"/>
    <cellStyle name="60% - Accent6 3 3 2 22" xfId="49576" xr:uid="{00000000-0005-0000-0000-0000037D0000}"/>
    <cellStyle name="60% - Accent6 3 3 2 23" xfId="51259" xr:uid="{00000000-0005-0000-0000-0000047D0000}"/>
    <cellStyle name="60% - Accent6 3 3 2 24" xfId="52942" xr:uid="{00000000-0005-0000-0000-0000057D0000}"/>
    <cellStyle name="60% - Accent6 3 3 2 25" xfId="54625" xr:uid="{00000000-0005-0000-0000-0000067D0000}"/>
    <cellStyle name="60% - Accent6 3 3 2 26" xfId="56308" xr:uid="{00000000-0005-0000-0000-0000077D0000}"/>
    <cellStyle name="60% - Accent6 3 3 2 27" xfId="57991" xr:uid="{00000000-0005-0000-0000-0000087D0000}"/>
    <cellStyle name="60% - Accent6 3 3 2 28" xfId="59674" xr:uid="{00000000-0005-0000-0000-0000097D0000}"/>
    <cellStyle name="60% - Accent6 3 3 2 29" xfId="61357" xr:uid="{00000000-0005-0000-0000-00000A7D0000}"/>
    <cellStyle name="60% - Accent6 3 3 2 3" xfId="4132" xr:uid="{00000000-0005-0000-0000-00000B7D0000}"/>
    <cellStyle name="60% - Accent6 3 3 2 3 2" xfId="19281" xr:uid="{00000000-0005-0000-0000-00000C7D0000}"/>
    <cellStyle name="60% - Accent6 3 3 2 30" xfId="63040" xr:uid="{00000000-0005-0000-0000-00000D7D0000}"/>
    <cellStyle name="60% - Accent6 3 3 2 4" xfId="5815" xr:uid="{00000000-0005-0000-0000-00000E7D0000}"/>
    <cellStyle name="60% - Accent6 3 3 2 4 2" xfId="20964" xr:uid="{00000000-0005-0000-0000-00000F7D0000}"/>
    <cellStyle name="60% - Accent6 3 3 2 5" xfId="7498" xr:uid="{00000000-0005-0000-0000-0000107D0000}"/>
    <cellStyle name="60% - Accent6 3 3 2 5 2" xfId="22647" xr:uid="{00000000-0005-0000-0000-0000117D0000}"/>
    <cellStyle name="60% - Accent6 3 3 2 6" xfId="9181" xr:uid="{00000000-0005-0000-0000-0000127D0000}"/>
    <cellStyle name="60% - Accent6 3 3 2 6 2" xfId="24330" xr:uid="{00000000-0005-0000-0000-0000137D0000}"/>
    <cellStyle name="60% - Accent6 3 3 2 7" xfId="10864" xr:uid="{00000000-0005-0000-0000-0000147D0000}"/>
    <cellStyle name="60% - Accent6 3 3 2 7 2" xfId="26013" xr:uid="{00000000-0005-0000-0000-0000157D0000}"/>
    <cellStyle name="60% - Accent6 3 3 2 8" xfId="12548" xr:uid="{00000000-0005-0000-0000-0000167D0000}"/>
    <cellStyle name="60% - Accent6 3 3 2 8 2" xfId="27697" xr:uid="{00000000-0005-0000-0000-0000177D0000}"/>
    <cellStyle name="60% - Accent6 3 3 2 9" xfId="14231" xr:uid="{00000000-0005-0000-0000-0000187D0000}"/>
    <cellStyle name="60% - Accent6 3 3 2 9 2" xfId="29380" xr:uid="{00000000-0005-0000-0000-0000197D0000}"/>
    <cellStyle name="60% - Accent6 3 3 20" xfId="40741" xr:uid="{00000000-0005-0000-0000-00001A7D0000}"/>
    <cellStyle name="60% - Accent6 3 3 21" xfId="42424" xr:uid="{00000000-0005-0000-0000-00001B7D0000}"/>
    <cellStyle name="60% - Accent6 3 3 22" xfId="44107" xr:uid="{00000000-0005-0000-0000-00001C7D0000}"/>
    <cellStyle name="60% - Accent6 3 3 23" xfId="45790" xr:uid="{00000000-0005-0000-0000-00001D7D0000}"/>
    <cellStyle name="60% - Accent6 3 3 24" xfId="47473" xr:uid="{00000000-0005-0000-0000-00001E7D0000}"/>
    <cellStyle name="60% - Accent6 3 3 25" xfId="49156" xr:uid="{00000000-0005-0000-0000-00001F7D0000}"/>
    <cellStyle name="60% - Accent6 3 3 26" xfId="50839" xr:uid="{00000000-0005-0000-0000-0000207D0000}"/>
    <cellStyle name="60% - Accent6 3 3 27" xfId="52522" xr:uid="{00000000-0005-0000-0000-0000217D0000}"/>
    <cellStyle name="60% - Accent6 3 3 28" xfId="54205" xr:uid="{00000000-0005-0000-0000-0000227D0000}"/>
    <cellStyle name="60% - Accent6 3 3 29" xfId="55888" xr:uid="{00000000-0005-0000-0000-0000237D0000}"/>
    <cellStyle name="60% - Accent6 3 3 3" xfId="1186" xr:uid="{00000000-0005-0000-0000-0000247D0000}"/>
    <cellStyle name="60% - Accent6 3 3 3 10" xfId="16335" xr:uid="{00000000-0005-0000-0000-0000257D0000}"/>
    <cellStyle name="60% - Accent6 3 3 3 11" xfId="31484" xr:uid="{00000000-0005-0000-0000-0000267D0000}"/>
    <cellStyle name="60% - Accent6 3 3 3 12" xfId="33167" xr:uid="{00000000-0005-0000-0000-0000277D0000}"/>
    <cellStyle name="60% - Accent6 3 3 3 13" xfId="34850" xr:uid="{00000000-0005-0000-0000-0000287D0000}"/>
    <cellStyle name="60% - Accent6 3 3 3 14" xfId="36533" xr:uid="{00000000-0005-0000-0000-0000297D0000}"/>
    <cellStyle name="60% - Accent6 3 3 3 15" xfId="38216" xr:uid="{00000000-0005-0000-0000-00002A7D0000}"/>
    <cellStyle name="60% - Accent6 3 3 3 16" xfId="39899" xr:uid="{00000000-0005-0000-0000-00002B7D0000}"/>
    <cellStyle name="60% - Accent6 3 3 3 17" xfId="41582" xr:uid="{00000000-0005-0000-0000-00002C7D0000}"/>
    <cellStyle name="60% - Accent6 3 3 3 18" xfId="43265" xr:uid="{00000000-0005-0000-0000-00002D7D0000}"/>
    <cellStyle name="60% - Accent6 3 3 3 19" xfId="44948" xr:uid="{00000000-0005-0000-0000-00002E7D0000}"/>
    <cellStyle name="60% - Accent6 3 3 3 2" xfId="2869" xr:uid="{00000000-0005-0000-0000-00002F7D0000}"/>
    <cellStyle name="60% - Accent6 3 3 3 2 2" xfId="18018" xr:uid="{00000000-0005-0000-0000-0000307D0000}"/>
    <cellStyle name="60% - Accent6 3 3 3 20" xfId="46631" xr:uid="{00000000-0005-0000-0000-0000317D0000}"/>
    <cellStyle name="60% - Accent6 3 3 3 21" xfId="48314" xr:uid="{00000000-0005-0000-0000-0000327D0000}"/>
    <cellStyle name="60% - Accent6 3 3 3 22" xfId="49997" xr:uid="{00000000-0005-0000-0000-0000337D0000}"/>
    <cellStyle name="60% - Accent6 3 3 3 23" xfId="51680" xr:uid="{00000000-0005-0000-0000-0000347D0000}"/>
    <cellStyle name="60% - Accent6 3 3 3 24" xfId="53363" xr:uid="{00000000-0005-0000-0000-0000357D0000}"/>
    <cellStyle name="60% - Accent6 3 3 3 25" xfId="55046" xr:uid="{00000000-0005-0000-0000-0000367D0000}"/>
    <cellStyle name="60% - Accent6 3 3 3 26" xfId="56729" xr:uid="{00000000-0005-0000-0000-0000377D0000}"/>
    <cellStyle name="60% - Accent6 3 3 3 27" xfId="58412" xr:uid="{00000000-0005-0000-0000-0000387D0000}"/>
    <cellStyle name="60% - Accent6 3 3 3 28" xfId="60095" xr:uid="{00000000-0005-0000-0000-0000397D0000}"/>
    <cellStyle name="60% - Accent6 3 3 3 29" xfId="61778" xr:uid="{00000000-0005-0000-0000-00003A7D0000}"/>
    <cellStyle name="60% - Accent6 3 3 3 3" xfId="4553" xr:uid="{00000000-0005-0000-0000-00003B7D0000}"/>
    <cellStyle name="60% - Accent6 3 3 3 3 2" xfId="19702" xr:uid="{00000000-0005-0000-0000-00003C7D0000}"/>
    <cellStyle name="60% - Accent6 3 3 3 30" xfId="63461" xr:uid="{00000000-0005-0000-0000-00003D7D0000}"/>
    <cellStyle name="60% - Accent6 3 3 3 4" xfId="6236" xr:uid="{00000000-0005-0000-0000-00003E7D0000}"/>
    <cellStyle name="60% - Accent6 3 3 3 4 2" xfId="21385" xr:uid="{00000000-0005-0000-0000-00003F7D0000}"/>
    <cellStyle name="60% - Accent6 3 3 3 5" xfId="7919" xr:uid="{00000000-0005-0000-0000-0000407D0000}"/>
    <cellStyle name="60% - Accent6 3 3 3 5 2" xfId="23068" xr:uid="{00000000-0005-0000-0000-0000417D0000}"/>
    <cellStyle name="60% - Accent6 3 3 3 6" xfId="9602" xr:uid="{00000000-0005-0000-0000-0000427D0000}"/>
    <cellStyle name="60% - Accent6 3 3 3 6 2" xfId="24751" xr:uid="{00000000-0005-0000-0000-0000437D0000}"/>
    <cellStyle name="60% - Accent6 3 3 3 7" xfId="11285" xr:uid="{00000000-0005-0000-0000-0000447D0000}"/>
    <cellStyle name="60% - Accent6 3 3 3 7 2" xfId="26434" xr:uid="{00000000-0005-0000-0000-0000457D0000}"/>
    <cellStyle name="60% - Accent6 3 3 3 8" xfId="12969" xr:uid="{00000000-0005-0000-0000-0000467D0000}"/>
    <cellStyle name="60% - Accent6 3 3 3 8 2" xfId="28118" xr:uid="{00000000-0005-0000-0000-0000477D0000}"/>
    <cellStyle name="60% - Accent6 3 3 3 9" xfId="14652" xr:uid="{00000000-0005-0000-0000-0000487D0000}"/>
    <cellStyle name="60% - Accent6 3 3 3 9 2" xfId="29801" xr:uid="{00000000-0005-0000-0000-0000497D0000}"/>
    <cellStyle name="60% - Accent6 3 3 30" xfId="57571" xr:uid="{00000000-0005-0000-0000-00004A7D0000}"/>
    <cellStyle name="60% - Accent6 3 3 31" xfId="59254" xr:uid="{00000000-0005-0000-0000-00004B7D0000}"/>
    <cellStyle name="60% - Accent6 3 3 32" xfId="60937" xr:uid="{00000000-0005-0000-0000-00004C7D0000}"/>
    <cellStyle name="60% - Accent6 3 3 33" xfId="62620" xr:uid="{00000000-0005-0000-0000-00004D7D0000}"/>
    <cellStyle name="60% - Accent6 3 3 4" xfId="1607" xr:uid="{00000000-0005-0000-0000-00004E7D0000}"/>
    <cellStyle name="60% - Accent6 3 3 4 10" xfId="16756" xr:uid="{00000000-0005-0000-0000-00004F7D0000}"/>
    <cellStyle name="60% - Accent6 3 3 4 11" xfId="31905" xr:uid="{00000000-0005-0000-0000-0000507D0000}"/>
    <cellStyle name="60% - Accent6 3 3 4 12" xfId="33588" xr:uid="{00000000-0005-0000-0000-0000517D0000}"/>
    <cellStyle name="60% - Accent6 3 3 4 13" xfId="35271" xr:uid="{00000000-0005-0000-0000-0000527D0000}"/>
    <cellStyle name="60% - Accent6 3 3 4 14" xfId="36954" xr:uid="{00000000-0005-0000-0000-0000537D0000}"/>
    <cellStyle name="60% - Accent6 3 3 4 15" xfId="38637" xr:uid="{00000000-0005-0000-0000-0000547D0000}"/>
    <cellStyle name="60% - Accent6 3 3 4 16" xfId="40320" xr:uid="{00000000-0005-0000-0000-0000557D0000}"/>
    <cellStyle name="60% - Accent6 3 3 4 17" xfId="42003" xr:uid="{00000000-0005-0000-0000-0000567D0000}"/>
    <cellStyle name="60% - Accent6 3 3 4 18" xfId="43686" xr:uid="{00000000-0005-0000-0000-0000577D0000}"/>
    <cellStyle name="60% - Accent6 3 3 4 19" xfId="45369" xr:uid="{00000000-0005-0000-0000-0000587D0000}"/>
    <cellStyle name="60% - Accent6 3 3 4 2" xfId="3290" xr:uid="{00000000-0005-0000-0000-0000597D0000}"/>
    <cellStyle name="60% - Accent6 3 3 4 2 2" xfId="18439" xr:uid="{00000000-0005-0000-0000-00005A7D0000}"/>
    <cellStyle name="60% - Accent6 3 3 4 20" xfId="47052" xr:uid="{00000000-0005-0000-0000-00005B7D0000}"/>
    <cellStyle name="60% - Accent6 3 3 4 21" xfId="48735" xr:uid="{00000000-0005-0000-0000-00005C7D0000}"/>
    <cellStyle name="60% - Accent6 3 3 4 22" xfId="50418" xr:uid="{00000000-0005-0000-0000-00005D7D0000}"/>
    <cellStyle name="60% - Accent6 3 3 4 23" xfId="52101" xr:uid="{00000000-0005-0000-0000-00005E7D0000}"/>
    <cellStyle name="60% - Accent6 3 3 4 24" xfId="53784" xr:uid="{00000000-0005-0000-0000-00005F7D0000}"/>
    <cellStyle name="60% - Accent6 3 3 4 25" xfId="55467" xr:uid="{00000000-0005-0000-0000-0000607D0000}"/>
    <cellStyle name="60% - Accent6 3 3 4 26" xfId="57150" xr:uid="{00000000-0005-0000-0000-0000617D0000}"/>
    <cellStyle name="60% - Accent6 3 3 4 27" xfId="58833" xr:uid="{00000000-0005-0000-0000-0000627D0000}"/>
    <cellStyle name="60% - Accent6 3 3 4 28" xfId="60516" xr:uid="{00000000-0005-0000-0000-0000637D0000}"/>
    <cellStyle name="60% - Accent6 3 3 4 29" xfId="62199" xr:uid="{00000000-0005-0000-0000-0000647D0000}"/>
    <cellStyle name="60% - Accent6 3 3 4 3" xfId="4974" xr:uid="{00000000-0005-0000-0000-0000657D0000}"/>
    <cellStyle name="60% - Accent6 3 3 4 3 2" xfId="20123" xr:uid="{00000000-0005-0000-0000-0000667D0000}"/>
    <cellStyle name="60% - Accent6 3 3 4 30" xfId="63882" xr:uid="{00000000-0005-0000-0000-0000677D0000}"/>
    <cellStyle name="60% - Accent6 3 3 4 4" xfId="6657" xr:uid="{00000000-0005-0000-0000-0000687D0000}"/>
    <cellStyle name="60% - Accent6 3 3 4 4 2" xfId="21806" xr:uid="{00000000-0005-0000-0000-0000697D0000}"/>
    <cellStyle name="60% - Accent6 3 3 4 5" xfId="8340" xr:uid="{00000000-0005-0000-0000-00006A7D0000}"/>
    <cellStyle name="60% - Accent6 3 3 4 5 2" xfId="23489" xr:uid="{00000000-0005-0000-0000-00006B7D0000}"/>
    <cellStyle name="60% - Accent6 3 3 4 6" xfId="10023" xr:uid="{00000000-0005-0000-0000-00006C7D0000}"/>
    <cellStyle name="60% - Accent6 3 3 4 6 2" xfId="25172" xr:uid="{00000000-0005-0000-0000-00006D7D0000}"/>
    <cellStyle name="60% - Accent6 3 3 4 7" xfId="11706" xr:uid="{00000000-0005-0000-0000-00006E7D0000}"/>
    <cellStyle name="60% - Accent6 3 3 4 7 2" xfId="26855" xr:uid="{00000000-0005-0000-0000-00006F7D0000}"/>
    <cellStyle name="60% - Accent6 3 3 4 8" xfId="13390" xr:uid="{00000000-0005-0000-0000-0000707D0000}"/>
    <cellStyle name="60% - Accent6 3 3 4 8 2" xfId="28539" xr:uid="{00000000-0005-0000-0000-0000717D0000}"/>
    <cellStyle name="60% - Accent6 3 3 4 9" xfId="15073" xr:uid="{00000000-0005-0000-0000-0000727D0000}"/>
    <cellStyle name="60% - Accent6 3 3 4 9 2" xfId="30222" xr:uid="{00000000-0005-0000-0000-0000737D0000}"/>
    <cellStyle name="60% - Accent6 3 3 5" xfId="2028" xr:uid="{00000000-0005-0000-0000-0000747D0000}"/>
    <cellStyle name="60% - Accent6 3 3 5 2" xfId="17177" xr:uid="{00000000-0005-0000-0000-0000757D0000}"/>
    <cellStyle name="60% - Accent6 3 3 6" xfId="3712" xr:uid="{00000000-0005-0000-0000-0000767D0000}"/>
    <cellStyle name="60% - Accent6 3 3 6 2" xfId="18861" xr:uid="{00000000-0005-0000-0000-0000777D0000}"/>
    <cellStyle name="60% - Accent6 3 3 7" xfId="5395" xr:uid="{00000000-0005-0000-0000-0000787D0000}"/>
    <cellStyle name="60% - Accent6 3 3 7 2" xfId="20544" xr:uid="{00000000-0005-0000-0000-0000797D0000}"/>
    <cellStyle name="60% - Accent6 3 3 8" xfId="7078" xr:uid="{00000000-0005-0000-0000-00007A7D0000}"/>
    <cellStyle name="60% - Accent6 3 3 8 2" xfId="22227" xr:uid="{00000000-0005-0000-0000-00007B7D0000}"/>
    <cellStyle name="60% - Accent6 3 3 9" xfId="8761" xr:uid="{00000000-0005-0000-0000-00007C7D0000}"/>
    <cellStyle name="60% - Accent6 3 3 9 2" xfId="23910" xr:uid="{00000000-0005-0000-0000-00007D7D0000}"/>
    <cellStyle name="60% - Accent6 3 30" xfId="53995" xr:uid="{00000000-0005-0000-0000-00007E7D0000}"/>
    <cellStyle name="60% - Accent6 3 31" xfId="55678" xr:uid="{00000000-0005-0000-0000-00007F7D0000}"/>
    <cellStyle name="60% - Accent6 3 32" xfId="57361" xr:uid="{00000000-0005-0000-0000-0000807D0000}"/>
    <cellStyle name="60% - Accent6 3 33" xfId="59044" xr:uid="{00000000-0005-0000-0000-0000817D0000}"/>
    <cellStyle name="60% - Accent6 3 34" xfId="60727" xr:uid="{00000000-0005-0000-0000-0000827D0000}"/>
    <cellStyle name="60% - Accent6 3 35" xfId="62410" xr:uid="{00000000-0005-0000-0000-0000837D0000}"/>
    <cellStyle name="60% - Accent6 3 4" xfId="555" xr:uid="{00000000-0005-0000-0000-0000847D0000}"/>
    <cellStyle name="60% - Accent6 3 4 10" xfId="15704" xr:uid="{00000000-0005-0000-0000-0000857D0000}"/>
    <cellStyle name="60% - Accent6 3 4 11" xfId="30853" xr:uid="{00000000-0005-0000-0000-0000867D0000}"/>
    <cellStyle name="60% - Accent6 3 4 12" xfId="32536" xr:uid="{00000000-0005-0000-0000-0000877D0000}"/>
    <cellStyle name="60% - Accent6 3 4 13" xfId="34219" xr:uid="{00000000-0005-0000-0000-0000887D0000}"/>
    <cellStyle name="60% - Accent6 3 4 14" xfId="35902" xr:uid="{00000000-0005-0000-0000-0000897D0000}"/>
    <cellStyle name="60% - Accent6 3 4 15" xfId="37585" xr:uid="{00000000-0005-0000-0000-00008A7D0000}"/>
    <cellStyle name="60% - Accent6 3 4 16" xfId="39268" xr:uid="{00000000-0005-0000-0000-00008B7D0000}"/>
    <cellStyle name="60% - Accent6 3 4 17" xfId="40951" xr:uid="{00000000-0005-0000-0000-00008C7D0000}"/>
    <cellStyle name="60% - Accent6 3 4 18" xfId="42634" xr:uid="{00000000-0005-0000-0000-00008D7D0000}"/>
    <cellStyle name="60% - Accent6 3 4 19" xfId="44317" xr:uid="{00000000-0005-0000-0000-00008E7D0000}"/>
    <cellStyle name="60% - Accent6 3 4 2" xfId="2238" xr:uid="{00000000-0005-0000-0000-00008F7D0000}"/>
    <cellStyle name="60% - Accent6 3 4 2 2" xfId="17387" xr:uid="{00000000-0005-0000-0000-0000907D0000}"/>
    <cellStyle name="60% - Accent6 3 4 20" xfId="46000" xr:uid="{00000000-0005-0000-0000-0000917D0000}"/>
    <cellStyle name="60% - Accent6 3 4 21" xfId="47683" xr:uid="{00000000-0005-0000-0000-0000927D0000}"/>
    <cellStyle name="60% - Accent6 3 4 22" xfId="49366" xr:uid="{00000000-0005-0000-0000-0000937D0000}"/>
    <cellStyle name="60% - Accent6 3 4 23" xfId="51049" xr:uid="{00000000-0005-0000-0000-0000947D0000}"/>
    <cellStyle name="60% - Accent6 3 4 24" xfId="52732" xr:uid="{00000000-0005-0000-0000-0000957D0000}"/>
    <cellStyle name="60% - Accent6 3 4 25" xfId="54415" xr:uid="{00000000-0005-0000-0000-0000967D0000}"/>
    <cellStyle name="60% - Accent6 3 4 26" xfId="56098" xr:uid="{00000000-0005-0000-0000-0000977D0000}"/>
    <cellStyle name="60% - Accent6 3 4 27" xfId="57781" xr:uid="{00000000-0005-0000-0000-0000987D0000}"/>
    <cellStyle name="60% - Accent6 3 4 28" xfId="59464" xr:uid="{00000000-0005-0000-0000-0000997D0000}"/>
    <cellStyle name="60% - Accent6 3 4 29" xfId="61147" xr:uid="{00000000-0005-0000-0000-00009A7D0000}"/>
    <cellStyle name="60% - Accent6 3 4 3" xfId="3922" xr:uid="{00000000-0005-0000-0000-00009B7D0000}"/>
    <cellStyle name="60% - Accent6 3 4 3 2" xfId="19071" xr:uid="{00000000-0005-0000-0000-00009C7D0000}"/>
    <cellStyle name="60% - Accent6 3 4 30" xfId="62830" xr:uid="{00000000-0005-0000-0000-00009D7D0000}"/>
    <cellStyle name="60% - Accent6 3 4 4" xfId="5605" xr:uid="{00000000-0005-0000-0000-00009E7D0000}"/>
    <cellStyle name="60% - Accent6 3 4 4 2" xfId="20754" xr:uid="{00000000-0005-0000-0000-00009F7D0000}"/>
    <cellStyle name="60% - Accent6 3 4 5" xfId="7288" xr:uid="{00000000-0005-0000-0000-0000A07D0000}"/>
    <cellStyle name="60% - Accent6 3 4 5 2" xfId="22437" xr:uid="{00000000-0005-0000-0000-0000A17D0000}"/>
    <cellStyle name="60% - Accent6 3 4 6" xfId="8971" xr:uid="{00000000-0005-0000-0000-0000A27D0000}"/>
    <cellStyle name="60% - Accent6 3 4 6 2" xfId="24120" xr:uid="{00000000-0005-0000-0000-0000A37D0000}"/>
    <cellStyle name="60% - Accent6 3 4 7" xfId="10654" xr:uid="{00000000-0005-0000-0000-0000A47D0000}"/>
    <cellStyle name="60% - Accent6 3 4 7 2" xfId="25803" xr:uid="{00000000-0005-0000-0000-0000A57D0000}"/>
    <cellStyle name="60% - Accent6 3 4 8" xfId="12338" xr:uid="{00000000-0005-0000-0000-0000A67D0000}"/>
    <cellStyle name="60% - Accent6 3 4 8 2" xfId="27487" xr:uid="{00000000-0005-0000-0000-0000A77D0000}"/>
    <cellStyle name="60% - Accent6 3 4 9" xfId="14021" xr:uid="{00000000-0005-0000-0000-0000A87D0000}"/>
    <cellStyle name="60% - Accent6 3 4 9 2" xfId="29170" xr:uid="{00000000-0005-0000-0000-0000A97D0000}"/>
    <cellStyle name="60% - Accent6 3 5" xfId="976" xr:uid="{00000000-0005-0000-0000-0000AA7D0000}"/>
    <cellStyle name="60% - Accent6 3 5 10" xfId="16125" xr:uid="{00000000-0005-0000-0000-0000AB7D0000}"/>
    <cellStyle name="60% - Accent6 3 5 11" xfId="31274" xr:uid="{00000000-0005-0000-0000-0000AC7D0000}"/>
    <cellStyle name="60% - Accent6 3 5 12" xfId="32957" xr:uid="{00000000-0005-0000-0000-0000AD7D0000}"/>
    <cellStyle name="60% - Accent6 3 5 13" xfId="34640" xr:uid="{00000000-0005-0000-0000-0000AE7D0000}"/>
    <cellStyle name="60% - Accent6 3 5 14" xfId="36323" xr:uid="{00000000-0005-0000-0000-0000AF7D0000}"/>
    <cellStyle name="60% - Accent6 3 5 15" xfId="38006" xr:uid="{00000000-0005-0000-0000-0000B07D0000}"/>
    <cellStyle name="60% - Accent6 3 5 16" xfId="39689" xr:uid="{00000000-0005-0000-0000-0000B17D0000}"/>
    <cellStyle name="60% - Accent6 3 5 17" xfId="41372" xr:uid="{00000000-0005-0000-0000-0000B27D0000}"/>
    <cellStyle name="60% - Accent6 3 5 18" xfId="43055" xr:uid="{00000000-0005-0000-0000-0000B37D0000}"/>
    <cellStyle name="60% - Accent6 3 5 19" xfId="44738" xr:uid="{00000000-0005-0000-0000-0000B47D0000}"/>
    <cellStyle name="60% - Accent6 3 5 2" xfId="2659" xr:uid="{00000000-0005-0000-0000-0000B57D0000}"/>
    <cellStyle name="60% - Accent6 3 5 2 2" xfId="17808" xr:uid="{00000000-0005-0000-0000-0000B67D0000}"/>
    <cellStyle name="60% - Accent6 3 5 20" xfId="46421" xr:uid="{00000000-0005-0000-0000-0000B77D0000}"/>
    <cellStyle name="60% - Accent6 3 5 21" xfId="48104" xr:uid="{00000000-0005-0000-0000-0000B87D0000}"/>
    <cellStyle name="60% - Accent6 3 5 22" xfId="49787" xr:uid="{00000000-0005-0000-0000-0000B97D0000}"/>
    <cellStyle name="60% - Accent6 3 5 23" xfId="51470" xr:uid="{00000000-0005-0000-0000-0000BA7D0000}"/>
    <cellStyle name="60% - Accent6 3 5 24" xfId="53153" xr:uid="{00000000-0005-0000-0000-0000BB7D0000}"/>
    <cellStyle name="60% - Accent6 3 5 25" xfId="54836" xr:uid="{00000000-0005-0000-0000-0000BC7D0000}"/>
    <cellStyle name="60% - Accent6 3 5 26" xfId="56519" xr:uid="{00000000-0005-0000-0000-0000BD7D0000}"/>
    <cellStyle name="60% - Accent6 3 5 27" xfId="58202" xr:uid="{00000000-0005-0000-0000-0000BE7D0000}"/>
    <cellStyle name="60% - Accent6 3 5 28" xfId="59885" xr:uid="{00000000-0005-0000-0000-0000BF7D0000}"/>
    <cellStyle name="60% - Accent6 3 5 29" xfId="61568" xr:uid="{00000000-0005-0000-0000-0000C07D0000}"/>
    <cellStyle name="60% - Accent6 3 5 3" xfId="4343" xr:uid="{00000000-0005-0000-0000-0000C17D0000}"/>
    <cellStyle name="60% - Accent6 3 5 3 2" xfId="19492" xr:uid="{00000000-0005-0000-0000-0000C27D0000}"/>
    <cellStyle name="60% - Accent6 3 5 30" xfId="63251" xr:uid="{00000000-0005-0000-0000-0000C37D0000}"/>
    <cellStyle name="60% - Accent6 3 5 4" xfId="6026" xr:uid="{00000000-0005-0000-0000-0000C47D0000}"/>
    <cellStyle name="60% - Accent6 3 5 4 2" xfId="21175" xr:uid="{00000000-0005-0000-0000-0000C57D0000}"/>
    <cellStyle name="60% - Accent6 3 5 5" xfId="7709" xr:uid="{00000000-0005-0000-0000-0000C67D0000}"/>
    <cellStyle name="60% - Accent6 3 5 5 2" xfId="22858" xr:uid="{00000000-0005-0000-0000-0000C77D0000}"/>
    <cellStyle name="60% - Accent6 3 5 6" xfId="9392" xr:uid="{00000000-0005-0000-0000-0000C87D0000}"/>
    <cellStyle name="60% - Accent6 3 5 6 2" xfId="24541" xr:uid="{00000000-0005-0000-0000-0000C97D0000}"/>
    <cellStyle name="60% - Accent6 3 5 7" xfId="11075" xr:uid="{00000000-0005-0000-0000-0000CA7D0000}"/>
    <cellStyle name="60% - Accent6 3 5 7 2" xfId="26224" xr:uid="{00000000-0005-0000-0000-0000CB7D0000}"/>
    <cellStyle name="60% - Accent6 3 5 8" xfId="12759" xr:uid="{00000000-0005-0000-0000-0000CC7D0000}"/>
    <cellStyle name="60% - Accent6 3 5 8 2" xfId="27908" xr:uid="{00000000-0005-0000-0000-0000CD7D0000}"/>
    <cellStyle name="60% - Accent6 3 5 9" xfId="14442" xr:uid="{00000000-0005-0000-0000-0000CE7D0000}"/>
    <cellStyle name="60% - Accent6 3 5 9 2" xfId="29591" xr:uid="{00000000-0005-0000-0000-0000CF7D0000}"/>
    <cellStyle name="60% - Accent6 3 6" xfId="1397" xr:uid="{00000000-0005-0000-0000-0000D07D0000}"/>
    <cellStyle name="60% - Accent6 3 6 10" xfId="16546" xr:uid="{00000000-0005-0000-0000-0000D17D0000}"/>
    <cellStyle name="60% - Accent6 3 6 11" xfId="31695" xr:uid="{00000000-0005-0000-0000-0000D27D0000}"/>
    <cellStyle name="60% - Accent6 3 6 12" xfId="33378" xr:uid="{00000000-0005-0000-0000-0000D37D0000}"/>
    <cellStyle name="60% - Accent6 3 6 13" xfId="35061" xr:uid="{00000000-0005-0000-0000-0000D47D0000}"/>
    <cellStyle name="60% - Accent6 3 6 14" xfId="36744" xr:uid="{00000000-0005-0000-0000-0000D57D0000}"/>
    <cellStyle name="60% - Accent6 3 6 15" xfId="38427" xr:uid="{00000000-0005-0000-0000-0000D67D0000}"/>
    <cellStyle name="60% - Accent6 3 6 16" xfId="40110" xr:uid="{00000000-0005-0000-0000-0000D77D0000}"/>
    <cellStyle name="60% - Accent6 3 6 17" xfId="41793" xr:uid="{00000000-0005-0000-0000-0000D87D0000}"/>
    <cellStyle name="60% - Accent6 3 6 18" xfId="43476" xr:uid="{00000000-0005-0000-0000-0000D97D0000}"/>
    <cellStyle name="60% - Accent6 3 6 19" xfId="45159" xr:uid="{00000000-0005-0000-0000-0000DA7D0000}"/>
    <cellStyle name="60% - Accent6 3 6 2" xfId="3080" xr:uid="{00000000-0005-0000-0000-0000DB7D0000}"/>
    <cellStyle name="60% - Accent6 3 6 2 2" xfId="18229" xr:uid="{00000000-0005-0000-0000-0000DC7D0000}"/>
    <cellStyle name="60% - Accent6 3 6 20" xfId="46842" xr:uid="{00000000-0005-0000-0000-0000DD7D0000}"/>
    <cellStyle name="60% - Accent6 3 6 21" xfId="48525" xr:uid="{00000000-0005-0000-0000-0000DE7D0000}"/>
    <cellStyle name="60% - Accent6 3 6 22" xfId="50208" xr:uid="{00000000-0005-0000-0000-0000DF7D0000}"/>
    <cellStyle name="60% - Accent6 3 6 23" xfId="51891" xr:uid="{00000000-0005-0000-0000-0000E07D0000}"/>
    <cellStyle name="60% - Accent6 3 6 24" xfId="53574" xr:uid="{00000000-0005-0000-0000-0000E17D0000}"/>
    <cellStyle name="60% - Accent6 3 6 25" xfId="55257" xr:uid="{00000000-0005-0000-0000-0000E27D0000}"/>
    <cellStyle name="60% - Accent6 3 6 26" xfId="56940" xr:uid="{00000000-0005-0000-0000-0000E37D0000}"/>
    <cellStyle name="60% - Accent6 3 6 27" xfId="58623" xr:uid="{00000000-0005-0000-0000-0000E47D0000}"/>
    <cellStyle name="60% - Accent6 3 6 28" xfId="60306" xr:uid="{00000000-0005-0000-0000-0000E57D0000}"/>
    <cellStyle name="60% - Accent6 3 6 29" xfId="61989" xr:uid="{00000000-0005-0000-0000-0000E67D0000}"/>
    <cellStyle name="60% - Accent6 3 6 3" xfId="4764" xr:uid="{00000000-0005-0000-0000-0000E77D0000}"/>
    <cellStyle name="60% - Accent6 3 6 3 2" xfId="19913" xr:uid="{00000000-0005-0000-0000-0000E87D0000}"/>
    <cellStyle name="60% - Accent6 3 6 30" xfId="63672" xr:uid="{00000000-0005-0000-0000-0000E97D0000}"/>
    <cellStyle name="60% - Accent6 3 6 4" xfId="6447" xr:uid="{00000000-0005-0000-0000-0000EA7D0000}"/>
    <cellStyle name="60% - Accent6 3 6 4 2" xfId="21596" xr:uid="{00000000-0005-0000-0000-0000EB7D0000}"/>
    <cellStyle name="60% - Accent6 3 6 5" xfId="8130" xr:uid="{00000000-0005-0000-0000-0000EC7D0000}"/>
    <cellStyle name="60% - Accent6 3 6 5 2" xfId="23279" xr:uid="{00000000-0005-0000-0000-0000ED7D0000}"/>
    <cellStyle name="60% - Accent6 3 6 6" xfId="9813" xr:uid="{00000000-0005-0000-0000-0000EE7D0000}"/>
    <cellStyle name="60% - Accent6 3 6 6 2" xfId="24962" xr:uid="{00000000-0005-0000-0000-0000EF7D0000}"/>
    <cellStyle name="60% - Accent6 3 6 7" xfId="11496" xr:uid="{00000000-0005-0000-0000-0000F07D0000}"/>
    <cellStyle name="60% - Accent6 3 6 7 2" xfId="26645" xr:uid="{00000000-0005-0000-0000-0000F17D0000}"/>
    <cellStyle name="60% - Accent6 3 6 8" xfId="13180" xr:uid="{00000000-0005-0000-0000-0000F27D0000}"/>
    <cellStyle name="60% - Accent6 3 6 8 2" xfId="28329" xr:uid="{00000000-0005-0000-0000-0000F37D0000}"/>
    <cellStyle name="60% - Accent6 3 6 9" xfId="14863" xr:uid="{00000000-0005-0000-0000-0000F47D0000}"/>
    <cellStyle name="60% - Accent6 3 6 9 2" xfId="30012" xr:uid="{00000000-0005-0000-0000-0000F57D0000}"/>
    <cellStyle name="60% - Accent6 3 7" xfId="1818" xr:uid="{00000000-0005-0000-0000-0000F67D0000}"/>
    <cellStyle name="60% - Accent6 3 7 2" xfId="16967" xr:uid="{00000000-0005-0000-0000-0000F77D0000}"/>
    <cellStyle name="60% - Accent6 3 8" xfId="3502" xr:uid="{00000000-0005-0000-0000-0000F87D0000}"/>
    <cellStyle name="60% - Accent6 3 8 2" xfId="18651" xr:uid="{00000000-0005-0000-0000-0000F97D0000}"/>
    <cellStyle name="60% - Accent6 3 9" xfId="5185" xr:uid="{00000000-0005-0000-0000-0000FA7D0000}"/>
    <cellStyle name="60% - Accent6 3 9 2" xfId="20334" xr:uid="{00000000-0005-0000-0000-0000FB7D0000}"/>
    <cellStyle name="60% - Accent6 30" xfId="50587" xr:uid="{00000000-0005-0000-0000-0000FC7D0000}"/>
    <cellStyle name="60% - Accent6 31" xfId="52270" xr:uid="{00000000-0005-0000-0000-0000FD7D0000}"/>
    <cellStyle name="60% - Accent6 32" xfId="53953" xr:uid="{00000000-0005-0000-0000-0000FE7D0000}"/>
    <cellStyle name="60% - Accent6 33" xfId="55636" xr:uid="{00000000-0005-0000-0000-0000FF7D0000}"/>
    <cellStyle name="60% - Accent6 34" xfId="57319" xr:uid="{00000000-0005-0000-0000-0000007E0000}"/>
    <cellStyle name="60% - Accent6 35" xfId="59002" xr:uid="{00000000-0005-0000-0000-0000017E0000}"/>
    <cellStyle name="60% - Accent6 36" xfId="60685" xr:uid="{00000000-0005-0000-0000-0000027E0000}"/>
    <cellStyle name="60% - Accent6 37" xfId="62368" xr:uid="{00000000-0005-0000-0000-0000037E0000}"/>
    <cellStyle name="60% - Accent6 4" xfId="198" xr:uid="{00000000-0005-0000-0000-0000047E0000}"/>
    <cellStyle name="60% - Accent6 4 10" xfId="8614" xr:uid="{00000000-0005-0000-0000-0000057E0000}"/>
    <cellStyle name="60% - Accent6 4 10 2" xfId="23763" xr:uid="{00000000-0005-0000-0000-0000067E0000}"/>
    <cellStyle name="60% - Accent6 4 11" xfId="10297" xr:uid="{00000000-0005-0000-0000-0000077E0000}"/>
    <cellStyle name="60% - Accent6 4 11 2" xfId="25446" xr:uid="{00000000-0005-0000-0000-0000087E0000}"/>
    <cellStyle name="60% - Accent6 4 12" xfId="11981" xr:uid="{00000000-0005-0000-0000-0000097E0000}"/>
    <cellStyle name="60% - Accent6 4 12 2" xfId="27130" xr:uid="{00000000-0005-0000-0000-00000A7E0000}"/>
    <cellStyle name="60% - Accent6 4 13" xfId="13664" xr:uid="{00000000-0005-0000-0000-00000B7E0000}"/>
    <cellStyle name="60% - Accent6 4 13 2" xfId="28813" xr:uid="{00000000-0005-0000-0000-00000C7E0000}"/>
    <cellStyle name="60% - Accent6 4 14" xfId="15347" xr:uid="{00000000-0005-0000-0000-00000D7E0000}"/>
    <cellStyle name="60% - Accent6 4 15" xfId="30496" xr:uid="{00000000-0005-0000-0000-00000E7E0000}"/>
    <cellStyle name="60% - Accent6 4 16" xfId="32179" xr:uid="{00000000-0005-0000-0000-00000F7E0000}"/>
    <cellStyle name="60% - Accent6 4 17" xfId="33862" xr:uid="{00000000-0005-0000-0000-0000107E0000}"/>
    <cellStyle name="60% - Accent6 4 18" xfId="35545" xr:uid="{00000000-0005-0000-0000-0000117E0000}"/>
    <cellStyle name="60% - Accent6 4 19" xfId="37228" xr:uid="{00000000-0005-0000-0000-0000127E0000}"/>
    <cellStyle name="60% - Accent6 4 2" xfId="408" xr:uid="{00000000-0005-0000-0000-0000137E0000}"/>
    <cellStyle name="60% - Accent6 4 2 10" xfId="10507" xr:uid="{00000000-0005-0000-0000-0000147E0000}"/>
    <cellStyle name="60% - Accent6 4 2 10 2" xfId="25656" xr:uid="{00000000-0005-0000-0000-0000157E0000}"/>
    <cellStyle name="60% - Accent6 4 2 11" xfId="12191" xr:uid="{00000000-0005-0000-0000-0000167E0000}"/>
    <cellStyle name="60% - Accent6 4 2 11 2" xfId="27340" xr:uid="{00000000-0005-0000-0000-0000177E0000}"/>
    <cellStyle name="60% - Accent6 4 2 12" xfId="13874" xr:uid="{00000000-0005-0000-0000-0000187E0000}"/>
    <cellStyle name="60% - Accent6 4 2 12 2" xfId="29023" xr:uid="{00000000-0005-0000-0000-0000197E0000}"/>
    <cellStyle name="60% - Accent6 4 2 13" xfId="15557" xr:uid="{00000000-0005-0000-0000-00001A7E0000}"/>
    <cellStyle name="60% - Accent6 4 2 14" xfId="30706" xr:uid="{00000000-0005-0000-0000-00001B7E0000}"/>
    <cellStyle name="60% - Accent6 4 2 15" xfId="32389" xr:uid="{00000000-0005-0000-0000-00001C7E0000}"/>
    <cellStyle name="60% - Accent6 4 2 16" xfId="34072" xr:uid="{00000000-0005-0000-0000-00001D7E0000}"/>
    <cellStyle name="60% - Accent6 4 2 17" xfId="35755" xr:uid="{00000000-0005-0000-0000-00001E7E0000}"/>
    <cellStyle name="60% - Accent6 4 2 18" xfId="37438" xr:uid="{00000000-0005-0000-0000-00001F7E0000}"/>
    <cellStyle name="60% - Accent6 4 2 19" xfId="39121" xr:uid="{00000000-0005-0000-0000-0000207E0000}"/>
    <cellStyle name="60% - Accent6 4 2 2" xfId="828" xr:uid="{00000000-0005-0000-0000-0000217E0000}"/>
    <cellStyle name="60% - Accent6 4 2 2 10" xfId="15977" xr:uid="{00000000-0005-0000-0000-0000227E0000}"/>
    <cellStyle name="60% - Accent6 4 2 2 11" xfId="31126" xr:uid="{00000000-0005-0000-0000-0000237E0000}"/>
    <cellStyle name="60% - Accent6 4 2 2 12" xfId="32809" xr:uid="{00000000-0005-0000-0000-0000247E0000}"/>
    <cellStyle name="60% - Accent6 4 2 2 13" xfId="34492" xr:uid="{00000000-0005-0000-0000-0000257E0000}"/>
    <cellStyle name="60% - Accent6 4 2 2 14" xfId="36175" xr:uid="{00000000-0005-0000-0000-0000267E0000}"/>
    <cellStyle name="60% - Accent6 4 2 2 15" xfId="37858" xr:uid="{00000000-0005-0000-0000-0000277E0000}"/>
    <cellStyle name="60% - Accent6 4 2 2 16" xfId="39541" xr:uid="{00000000-0005-0000-0000-0000287E0000}"/>
    <cellStyle name="60% - Accent6 4 2 2 17" xfId="41224" xr:uid="{00000000-0005-0000-0000-0000297E0000}"/>
    <cellStyle name="60% - Accent6 4 2 2 18" xfId="42907" xr:uid="{00000000-0005-0000-0000-00002A7E0000}"/>
    <cellStyle name="60% - Accent6 4 2 2 19" xfId="44590" xr:uid="{00000000-0005-0000-0000-00002B7E0000}"/>
    <cellStyle name="60% - Accent6 4 2 2 2" xfId="2511" xr:uid="{00000000-0005-0000-0000-00002C7E0000}"/>
    <cellStyle name="60% - Accent6 4 2 2 2 2" xfId="17660" xr:uid="{00000000-0005-0000-0000-00002D7E0000}"/>
    <cellStyle name="60% - Accent6 4 2 2 20" xfId="46273" xr:uid="{00000000-0005-0000-0000-00002E7E0000}"/>
    <cellStyle name="60% - Accent6 4 2 2 21" xfId="47956" xr:uid="{00000000-0005-0000-0000-00002F7E0000}"/>
    <cellStyle name="60% - Accent6 4 2 2 22" xfId="49639" xr:uid="{00000000-0005-0000-0000-0000307E0000}"/>
    <cellStyle name="60% - Accent6 4 2 2 23" xfId="51322" xr:uid="{00000000-0005-0000-0000-0000317E0000}"/>
    <cellStyle name="60% - Accent6 4 2 2 24" xfId="53005" xr:uid="{00000000-0005-0000-0000-0000327E0000}"/>
    <cellStyle name="60% - Accent6 4 2 2 25" xfId="54688" xr:uid="{00000000-0005-0000-0000-0000337E0000}"/>
    <cellStyle name="60% - Accent6 4 2 2 26" xfId="56371" xr:uid="{00000000-0005-0000-0000-0000347E0000}"/>
    <cellStyle name="60% - Accent6 4 2 2 27" xfId="58054" xr:uid="{00000000-0005-0000-0000-0000357E0000}"/>
    <cellStyle name="60% - Accent6 4 2 2 28" xfId="59737" xr:uid="{00000000-0005-0000-0000-0000367E0000}"/>
    <cellStyle name="60% - Accent6 4 2 2 29" xfId="61420" xr:uid="{00000000-0005-0000-0000-0000377E0000}"/>
    <cellStyle name="60% - Accent6 4 2 2 3" xfId="4195" xr:uid="{00000000-0005-0000-0000-0000387E0000}"/>
    <cellStyle name="60% - Accent6 4 2 2 3 2" xfId="19344" xr:uid="{00000000-0005-0000-0000-0000397E0000}"/>
    <cellStyle name="60% - Accent6 4 2 2 30" xfId="63103" xr:uid="{00000000-0005-0000-0000-00003A7E0000}"/>
    <cellStyle name="60% - Accent6 4 2 2 4" xfId="5878" xr:uid="{00000000-0005-0000-0000-00003B7E0000}"/>
    <cellStyle name="60% - Accent6 4 2 2 4 2" xfId="21027" xr:uid="{00000000-0005-0000-0000-00003C7E0000}"/>
    <cellStyle name="60% - Accent6 4 2 2 5" xfId="7561" xr:uid="{00000000-0005-0000-0000-00003D7E0000}"/>
    <cellStyle name="60% - Accent6 4 2 2 5 2" xfId="22710" xr:uid="{00000000-0005-0000-0000-00003E7E0000}"/>
    <cellStyle name="60% - Accent6 4 2 2 6" xfId="9244" xr:uid="{00000000-0005-0000-0000-00003F7E0000}"/>
    <cellStyle name="60% - Accent6 4 2 2 6 2" xfId="24393" xr:uid="{00000000-0005-0000-0000-0000407E0000}"/>
    <cellStyle name="60% - Accent6 4 2 2 7" xfId="10927" xr:uid="{00000000-0005-0000-0000-0000417E0000}"/>
    <cellStyle name="60% - Accent6 4 2 2 7 2" xfId="26076" xr:uid="{00000000-0005-0000-0000-0000427E0000}"/>
    <cellStyle name="60% - Accent6 4 2 2 8" xfId="12611" xr:uid="{00000000-0005-0000-0000-0000437E0000}"/>
    <cellStyle name="60% - Accent6 4 2 2 8 2" xfId="27760" xr:uid="{00000000-0005-0000-0000-0000447E0000}"/>
    <cellStyle name="60% - Accent6 4 2 2 9" xfId="14294" xr:uid="{00000000-0005-0000-0000-0000457E0000}"/>
    <cellStyle name="60% - Accent6 4 2 2 9 2" xfId="29443" xr:uid="{00000000-0005-0000-0000-0000467E0000}"/>
    <cellStyle name="60% - Accent6 4 2 20" xfId="40804" xr:uid="{00000000-0005-0000-0000-0000477E0000}"/>
    <cellStyle name="60% - Accent6 4 2 21" xfId="42487" xr:uid="{00000000-0005-0000-0000-0000487E0000}"/>
    <cellStyle name="60% - Accent6 4 2 22" xfId="44170" xr:uid="{00000000-0005-0000-0000-0000497E0000}"/>
    <cellStyle name="60% - Accent6 4 2 23" xfId="45853" xr:uid="{00000000-0005-0000-0000-00004A7E0000}"/>
    <cellStyle name="60% - Accent6 4 2 24" xfId="47536" xr:uid="{00000000-0005-0000-0000-00004B7E0000}"/>
    <cellStyle name="60% - Accent6 4 2 25" xfId="49219" xr:uid="{00000000-0005-0000-0000-00004C7E0000}"/>
    <cellStyle name="60% - Accent6 4 2 26" xfId="50902" xr:uid="{00000000-0005-0000-0000-00004D7E0000}"/>
    <cellStyle name="60% - Accent6 4 2 27" xfId="52585" xr:uid="{00000000-0005-0000-0000-00004E7E0000}"/>
    <cellStyle name="60% - Accent6 4 2 28" xfId="54268" xr:uid="{00000000-0005-0000-0000-00004F7E0000}"/>
    <cellStyle name="60% - Accent6 4 2 29" xfId="55951" xr:uid="{00000000-0005-0000-0000-0000507E0000}"/>
    <cellStyle name="60% - Accent6 4 2 3" xfId="1249" xr:uid="{00000000-0005-0000-0000-0000517E0000}"/>
    <cellStyle name="60% - Accent6 4 2 3 10" xfId="16398" xr:uid="{00000000-0005-0000-0000-0000527E0000}"/>
    <cellStyle name="60% - Accent6 4 2 3 11" xfId="31547" xr:uid="{00000000-0005-0000-0000-0000537E0000}"/>
    <cellStyle name="60% - Accent6 4 2 3 12" xfId="33230" xr:uid="{00000000-0005-0000-0000-0000547E0000}"/>
    <cellStyle name="60% - Accent6 4 2 3 13" xfId="34913" xr:uid="{00000000-0005-0000-0000-0000557E0000}"/>
    <cellStyle name="60% - Accent6 4 2 3 14" xfId="36596" xr:uid="{00000000-0005-0000-0000-0000567E0000}"/>
    <cellStyle name="60% - Accent6 4 2 3 15" xfId="38279" xr:uid="{00000000-0005-0000-0000-0000577E0000}"/>
    <cellStyle name="60% - Accent6 4 2 3 16" xfId="39962" xr:uid="{00000000-0005-0000-0000-0000587E0000}"/>
    <cellStyle name="60% - Accent6 4 2 3 17" xfId="41645" xr:uid="{00000000-0005-0000-0000-0000597E0000}"/>
    <cellStyle name="60% - Accent6 4 2 3 18" xfId="43328" xr:uid="{00000000-0005-0000-0000-00005A7E0000}"/>
    <cellStyle name="60% - Accent6 4 2 3 19" xfId="45011" xr:uid="{00000000-0005-0000-0000-00005B7E0000}"/>
    <cellStyle name="60% - Accent6 4 2 3 2" xfId="2932" xr:uid="{00000000-0005-0000-0000-00005C7E0000}"/>
    <cellStyle name="60% - Accent6 4 2 3 2 2" xfId="18081" xr:uid="{00000000-0005-0000-0000-00005D7E0000}"/>
    <cellStyle name="60% - Accent6 4 2 3 20" xfId="46694" xr:uid="{00000000-0005-0000-0000-00005E7E0000}"/>
    <cellStyle name="60% - Accent6 4 2 3 21" xfId="48377" xr:uid="{00000000-0005-0000-0000-00005F7E0000}"/>
    <cellStyle name="60% - Accent6 4 2 3 22" xfId="50060" xr:uid="{00000000-0005-0000-0000-0000607E0000}"/>
    <cellStyle name="60% - Accent6 4 2 3 23" xfId="51743" xr:uid="{00000000-0005-0000-0000-0000617E0000}"/>
    <cellStyle name="60% - Accent6 4 2 3 24" xfId="53426" xr:uid="{00000000-0005-0000-0000-0000627E0000}"/>
    <cellStyle name="60% - Accent6 4 2 3 25" xfId="55109" xr:uid="{00000000-0005-0000-0000-0000637E0000}"/>
    <cellStyle name="60% - Accent6 4 2 3 26" xfId="56792" xr:uid="{00000000-0005-0000-0000-0000647E0000}"/>
    <cellStyle name="60% - Accent6 4 2 3 27" xfId="58475" xr:uid="{00000000-0005-0000-0000-0000657E0000}"/>
    <cellStyle name="60% - Accent6 4 2 3 28" xfId="60158" xr:uid="{00000000-0005-0000-0000-0000667E0000}"/>
    <cellStyle name="60% - Accent6 4 2 3 29" xfId="61841" xr:uid="{00000000-0005-0000-0000-0000677E0000}"/>
    <cellStyle name="60% - Accent6 4 2 3 3" xfId="4616" xr:uid="{00000000-0005-0000-0000-0000687E0000}"/>
    <cellStyle name="60% - Accent6 4 2 3 3 2" xfId="19765" xr:uid="{00000000-0005-0000-0000-0000697E0000}"/>
    <cellStyle name="60% - Accent6 4 2 3 30" xfId="63524" xr:uid="{00000000-0005-0000-0000-00006A7E0000}"/>
    <cellStyle name="60% - Accent6 4 2 3 4" xfId="6299" xr:uid="{00000000-0005-0000-0000-00006B7E0000}"/>
    <cellStyle name="60% - Accent6 4 2 3 4 2" xfId="21448" xr:uid="{00000000-0005-0000-0000-00006C7E0000}"/>
    <cellStyle name="60% - Accent6 4 2 3 5" xfId="7982" xr:uid="{00000000-0005-0000-0000-00006D7E0000}"/>
    <cellStyle name="60% - Accent6 4 2 3 5 2" xfId="23131" xr:uid="{00000000-0005-0000-0000-00006E7E0000}"/>
    <cellStyle name="60% - Accent6 4 2 3 6" xfId="9665" xr:uid="{00000000-0005-0000-0000-00006F7E0000}"/>
    <cellStyle name="60% - Accent6 4 2 3 6 2" xfId="24814" xr:uid="{00000000-0005-0000-0000-0000707E0000}"/>
    <cellStyle name="60% - Accent6 4 2 3 7" xfId="11348" xr:uid="{00000000-0005-0000-0000-0000717E0000}"/>
    <cellStyle name="60% - Accent6 4 2 3 7 2" xfId="26497" xr:uid="{00000000-0005-0000-0000-0000727E0000}"/>
    <cellStyle name="60% - Accent6 4 2 3 8" xfId="13032" xr:uid="{00000000-0005-0000-0000-0000737E0000}"/>
    <cellStyle name="60% - Accent6 4 2 3 8 2" xfId="28181" xr:uid="{00000000-0005-0000-0000-0000747E0000}"/>
    <cellStyle name="60% - Accent6 4 2 3 9" xfId="14715" xr:uid="{00000000-0005-0000-0000-0000757E0000}"/>
    <cellStyle name="60% - Accent6 4 2 3 9 2" xfId="29864" xr:uid="{00000000-0005-0000-0000-0000767E0000}"/>
    <cellStyle name="60% - Accent6 4 2 30" xfId="57634" xr:uid="{00000000-0005-0000-0000-0000777E0000}"/>
    <cellStyle name="60% - Accent6 4 2 31" xfId="59317" xr:uid="{00000000-0005-0000-0000-0000787E0000}"/>
    <cellStyle name="60% - Accent6 4 2 32" xfId="61000" xr:uid="{00000000-0005-0000-0000-0000797E0000}"/>
    <cellStyle name="60% - Accent6 4 2 33" xfId="62683" xr:uid="{00000000-0005-0000-0000-00007A7E0000}"/>
    <cellStyle name="60% - Accent6 4 2 4" xfId="1670" xr:uid="{00000000-0005-0000-0000-00007B7E0000}"/>
    <cellStyle name="60% - Accent6 4 2 4 10" xfId="16819" xr:uid="{00000000-0005-0000-0000-00007C7E0000}"/>
    <cellStyle name="60% - Accent6 4 2 4 11" xfId="31968" xr:uid="{00000000-0005-0000-0000-00007D7E0000}"/>
    <cellStyle name="60% - Accent6 4 2 4 12" xfId="33651" xr:uid="{00000000-0005-0000-0000-00007E7E0000}"/>
    <cellStyle name="60% - Accent6 4 2 4 13" xfId="35334" xr:uid="{00000000-0005-0000-0000-00007F7E0000}"/>
    <cellStyle name="60% - Accent6 4 2 4 14" xfId="37017" xr:uid="{00000000-0005-0000-0000-0000807E0000}"/>
    <cellStyle name="60% - Accent6 4 2 4 15" xfId="38700" xr:uid="{00000000-0005-0000-0000-0000817E0000}"/>
    <cellStyle name="60% - Accent6 4 2 4 16" xfId="40383" xr:uid="{00000000-0005-0000-0000-0000827E0000}"/>
    <cellStyle name="60% - Accent6 4 2 4 17" xfId="42066" xr:uid="{00000000-0005-0000-0000-0000837E0000}"/>
    <cellStyle name="60% - Accent6 4 2 4 18" xfId="43749" xr:uid="{00000000-0005-0000-0000-0000847E0000}"/>
    <cellStyle name="60% - Accent6 4 2 4 19" xfId="45432" xr:uid="{00000000-0005-0000-0000-0000857E0000}"/>
    <cellStyle name="60% - Accent6 4 2 4 2" xfId="3353" xr:uid="{00000000-0005-0000-0000-0000867E0000}"/>
    <cellStyle name="60% - Accent6 4 2 4 2 2" xfId="18502" xr:uid="{00000000-0005-0000-0000-0000877E0000}"/>
    <cellStyle name="60% - Accent6 4 2 4 20" xfId="47115" xr:uid="{00000000-0005-0000-0000-0000887E0000}"/>
    <cellStyle name="60% - Accent6 4 2 4 21" xfId="48798" xr:uid="{00000000-0005-0000-0000-0000897E0000}"/>
    <cellStyle name="60% - Accent6 4 2 4 22" xfId="50481" xr:uid="{00000000-0005-0000-0000-00008A7E0000}"/>
    <cellStyle name="60% - Accent6 4 2 4 23" xfId="52164" xr:uid="{00000000-0005-0000-0000-00008B7E0000}"/>
    <cellStyle name="60% - Accent6 4 2 4 24" xfId="53847" xr:uid="{00000000-0005-0000-0000-00008C7E0000}"/>
    <cellStyle name="60% - Accent6 4 2 4 25" xfId="55530" xr:uid="{00000000-0005-0000-0000-00008D7E0000}"/>
    <cellStyle name="60% - Accent6 4 2 4 26" xfId="57213" xr:uid="{00000000-0005-0000-0000-00008E7E0000}"/>
    <cellStyle name="60% - Accent6 4 2 4 27" xfId="58896" xr:uid="{00000000-0005-0000-0000-00008F7E0000}"/>
    <cellStyle name="60% - Accent6 4 2 4 28" xfId="60579" xr:uid="{00000000-0005-0000-0000-0000907E0000}"/>
    <cellStyle name="60% - Accent6 4 2 4 29" xfId="62262" xr:uid="{00000000-0005-0000-0000-0000917E0000}"/>
    <cellStyle name="60% - Accent6 4 2 4 3" xfId="5037" xr:uid="{00000000-0005-0000-0000-0000927E0000}"/>
    <cellStyle name="60% - Accent6 4 2 4 3 2" xfId="20186" xr:uid="{00000000-0005-0000-0000-0000937E0000}"/>
    <cellStyle name="60% - Accent6 4 2 4 30" xfId="63945" xr:uid="{00000000-0005-0000-0000-0000947E0000}"/>
    <cellStyle name="60% - Accent6 4 2 4 4" xfId="6720" xr:uid="{00000000-0005-0000-0000-0000957E0000}"/>
    <cellStyle name="60% - Accent6 4 2 4 4 2" xfId="21869" xr:uid="{00000000-0005-0000-0000-0000967E0000}"/>
    <cellStyle name="60% - Accent6 4 2 4 5" xfId="8403" xr:uid="{00000000-0005-0000-0000-0000977E0000}"/>
    <cellStyle name="60% - Accent6 4 2 4 5 2" xfId="23552" xr:uid="{00000000-0005-0000-0000-0000987E0000}"/>
    <cellStyle name="60% - Accent6 4 2 4 6" xfId="10086" xr:uid="{00000000-0005-0000-0000-0000997E0000}"/>
    <cellStyle name="60% - Accent6 4 2 4 6 2" xfId="25235" xr:uid="{00000000-0005-0000-0000-00009A7E0000}"/>
    <cellStyle name="60% - Accent6 4 2 4 7" xfId="11769" xr:uid="{00000000-0005-0000-0000-00009B7E0000}"/>
    <cellStyle name="60% - Accent6 4 2 4 7 2" xfId="26918" xr:uid="{00000000-0005-0000-0000-00009C7E0000}"/>
    <cellStyle name="60% - Accent6 4 2 4 8" xfId="13453" xr:uid="{00000000-0005-0000-0000-00009D7E0000}"/>
    <cellStyle name="60% - Accent6 4 2 4 8 2" xfId="28602" xr:uid="{00000000-0005-0000-0000-00009E7E0000}"/>
    <cellStyle name="60% - Accent6 4 2 4 9" xfId="15136" xr:uid="{00000000-0005-0000-0000-00009F7E0000}"/>
    <cellStyle name="60% - Accent6 4 2 4 9 2" xfId="30285" xr:uid="{00000000-0005-0000-0000-0000A07E0000}"/>
    <cellStyle name="60% - Accent6 4 2 5" xfId="2091" xr:uid="{00000000-0005-0000-0000-0000A17E0000}"/>
    <cellStyle name="60% - Accent6 4 2 5 2" xfId="17240" xr:uid="{00000000-0005-0000-0000-0000A27E0000}"/>
    <cellStyle name="60% - Accent6 4 2 6" xfId="3775" xr:uid="{00000000-0005-0000-0000-0000A37E0000}"/>
    <cellStyle name="60% - Accent6 4 2 6 2" xfId="18924" xr:uid="{00000000-0005-0000-0000-0000A47E0000}"/>
    <cellStyle name="60% - Accent6 4 2 7" xfId="5458" xr:uid="{00000000-0005-0000-0000-0000A57E0000}"/>
    <cellStyle name="60% - Accent6 4 2 7 2" xfId="20607" xr:uid="{00000000-0005-0000-0000-0000A67E0000}"/>
    <cellStyle name="60% - Accent6 4 2 8" xfId="7141" xr:uid="{00000000-0005-0000-0000-0000A77E0000}"/>
    <cellStyle name="60% - Accent6 4 2 8 2" xfId="22290" xr:uid="{00000000-0005-0000-0000-0000A87E0000}"/>
    <cellStyle name="60% - Accent6 4 2 9" xfId="8824" xr:uid="{00000000-0005-0000-0000-0000A97E0000}"/>
    <cellStyle name="60% - Accent6 4 2 9 2" xfId="23973" xr:uid="{00000000-0005-0000-0000-0000AA7E0000}"/>
    <cellStyle name="60% - Accent6 4 20" xfId="38911" xr:uid="{00000000-0005-0000-0000-0000AB7E0000}"/>
    <cellStyle name="60% - Accent6 4 21" xfId="40594" xr:uid="{00000000-0005-0000-0000-0000AC7E0000}"/>
    <cellStyle name="60% - Accent6 4 22" xfId="42277" xr:uid="{00000000-0005-0000-0000-0000AD7E0000}"/>
    <cellStyle name="60% - Accent6 4 23" xfId="43960" xr:uid="{00000000-0005-0000-0000-0000AE7E0000}"/>
    <cellStyle name="60% - Accent6 4 24" xfId="45643" xr:uid="{00000000-0005-0000-0000-0000AF7E0000}"/>
    <cellStyle name="60% - Accent6 4 25" xfId="47326" xr:uid="{00000000-0005-0000-0000-0000B07E0000}"/>
    <cellStyle name="60% - Accent6 4 26" xfId="49009" xr:uid="{00000000-0005-0000-0000-0000B17E0000}"/>
    <cellStyle name="60% - Accent6 4 27" xfId="50692" xr:uid="{00000000-0005-0000-0000-0000B27E0000}"/>
    <cellStyle name="60% - Accent6 4 28" xfId="52375" xr:uid="{00000000-0005-0000-0000-0000B37E0000}"/>
    <cellStyle name="60% - Accent6 4 29" xfId="54058" xr:uid="{00000000-0005-0000-0000-0000B47E0000}"/>
    <cellStyle name="60% - Accent6 4 3" xfId="618" xr:uid="{00000000-0005-0000-0000-0000B57E0000}"/>
    <cellStyle name="60% - Accent6 4 3 10" xfId="15767" xr:uid="{00000000-0005-0000-0000-0000B67E0000}"/>
    <cellStyle name="60% - Accent6 4 3 11" xfId="30916" xr:uid="{00000000-0005-0000-0000-0000B77E0000}"/>
    <cellStyle name="60% - Accent6 4 3 12" xfId="32599" xr:uid="{00000000-0005-0000-0000-0000B87E0000}"/>
    <cellStyle name="60% - Accent6 4 3 13" xfId="34282" xr:uid="{00000000-0005-0000-0000-0000B97E0000}"/>
    <cellStyle name="60% - Accent6 4 3 14" xfId="35965" xr:uid="{00000000-0005-0000-0000-0000BA7E0000}"/>
    <cellStyle name="60% - Accent6 4 3 15" xfId="37648" xr:uid="{00000000-0005-0000-0000-0000BB7E0000}"/>
    <cellStyle name="60% - Accent6 4 3 16" xfId="39331" xr:uid="{00000000-0005-0000-0000-0000BC7E0000}"/>
    <cellStyle name="60% - Accent6 4 3 17" xfId="41014" xr:uid="{00000000-0005-0000-0000-0000BD7E0000}"/>
    <cellStyle name="60% - Accent6 4 3 18" xfId="42697" xr:uid="{00000000-0005-0000-0000-0000BE7E0000}"/>
    <cellStyle name="60% - Accent6 4 3 19" xfId="44380" xr:uid="{00000000-0005-0000-0000-0000BF7E0000}"/>
    <cellStyle name="60% - Accent6 4 3 2" xfId="2301" xr:uid="{00000000-0005-0000-0000-0000C07E0000}"/>
    <cellStyle name="60% - Accent6 4 3 2 2" xfId="17450" xr:uid="{00000000-0005-0000-0000-0000C17E0000}"/>
    <cellStyle name="60% - Accent6 4 3 20" xfId="46063" xr:uid="{00000000-0005-0000-0000-0000C27E0000}"/>
    <cellStyle name="60% - Accent6 4 3 21" xfId="47746" xr:uid="{00000000-0005-0000-0000-0000C37E0000}"/>
    <cellStyle name="60% - Accent6 4 3 22" xfId="49429" xr:uid="{00000000-0005-0000-0000-0000C47E0000}"/>
    <cellStyle name="60% - Accent6 4 3 23" xfId="51112" xr:uid="{00000000-0005-0000-0000-0000C57E0000}"/>
    <cellStyle name="60% - Accent6 4 3 24" xfId="52795" xr:uid="{00000000-0005-0000-0000-0000C67E0000}"/>
    <cellStyle name="60% - Accent6 4 3 25" xfId="54478" xr:uid="{00000000-0005-0000-0000-0000C77E0000}"/>
    <cellStyle name="60% - Accent6 4 3 26" xfId="56161" xr:uid="{00000000-0005-0000-0000-0000C87E0000}"/>
    <cellStyle name="60% - Accent6 4 3 27" xfId="57844" xr:uid="{00000000-0005-0000-0000-0000C97E0000}"/>
    <cellStyle name="60% - Accent6 4 3 28" xfId="59527" xr:uid="{00000000-0005-0000-0000-0000CA7E0000}"/>
    <cellStyle name="60% - Accent6 4 3 29" xfId="61210" xr:uid="{00000000-0005-0000-0000-0000CB7E0000}"/>
    <cellStyle name="60% - Accent6 4 3 3" xfId="3985" xr:uid="{00000000-0005-0000-0000-0000CC7E0000}"/>
    <cellStyle name="60% - Accent6 4 3 3 2" xfId="19134" xr:uid="{00000000-0005-0000-0000-0000CD7E0000}"/>
    <cellStyle name="60% - Accent6 4 3 30" xfId="62893" xr:uid="{00000000-0005-0000-0000-0000CE7E0000}"/>
    <cellStyle name="60% - Accent6 4 3 4" xfId="5668" xr:uid="{00000000-0005-0000-0000-0000CF7E0000}"/>
    <cellStyle name="60% - Accent6 4 3 4 2" xfId="20817" xr:uid="{00000000-0005-0000-0000-0000D07E0000}"/>
    <cellStyle name="60% - Accent6 4 3 5" xfId="7351" xr:uid="{00000000-0005-0000-0000-0000D17E0000}"/>
    <cellStyle name="60% - Accent6 4 3 5 2" xfId="22500" xr:uid="{00000000-0005-0000-0000-0000D27E0000}"/>
    <cellStyle name="60% - Accent6 4 3 6" xfId="9034" xr:uid="{00000000-0005-0000-0000-0000D37E0000}"/>
    <cellStyle name="60% - Accent6 4 3 6 2" xfId="24183" xr:uid="{00000000-0005-0000-0000-0000D47E0000}"/>
    <cellStyle name="60% - Accent6 4 3 7" xfId="10717" xr:uid="{00000000-0005-0000-0000-0000D57E0000}"/>
    <cellStyle name="60% - Accent6 4 3 7 2" xfId="25866" xr:uid="{00000000-0005-0000-0000-0000D67E0000}"/>
    <cellStyle name="60% - Accent6 4 3 8" xfId="12401" xr:uid="{00000000-0005-0000-0000-0000D77E0000}"/>
    <cellStyle name="60% - Accent6 4 3 8 2" xfId="27550" xr:uid="{00000000-0005-0000-0000-0000D87E0000}"/>
    <cellStyle name="60% - Accent6 4 3 9" xfId="14084" xr:uid="{00000000-0005-0000-0000-0000D97E0000}"/>
    <cellStyle name="60% - Accent6 4 3 9 2" xfId="29233" xr:uid="{00000000-0005-0000-0000-0000DA7E0000}"/>
    <cellStyle name="60% - Accent6 4 30" xfId="55741" xr:uid="{00000000-0005-0000-0000-0000DB7E0000}"/>
    <cellStyle name="60% - Accent6 4 31" xfId="57424" xr:uid="{00000000-0005-0000-0000-0000DC7E0000}"/>
    <cellStyle name="60% - Accent6 4 32" xfId="59107" xr:uid="{00000000-0005-0000-0000-0000DD7E0000}"/>
    <cellStyle name="60% - Accent6 4 33" xfId="60790" xr:uid="{00000000-0005-0000-0000-0000DE7E0000}"/>
    <cellStyle name="60% - Accent6 4 34" xfId="62473" xr:uid="{00000000-0005-0000-0000-0000DF7E0000}"/>
    <cellStyle name="60% - Accent6 4 4" xfId="1039" xr:uid="{00000000-0005-0000-0000-0000E07E0000}"/>
    <cellStyle name="60% - Accent6 4 4 10" xfId="16188" xr:uid="{00000000-0005-0000-0000-0000E17E0000}"/>
    <cellStyle name="60% - Accent6 4 4 11" xfId="31337" xr:uid="{00000000-0005-0000-0000-0000E27E0000}"/>
    <cellStyle name="60% - Accent6 4 4 12" xfId="33020" xr:uid="{00000000-0005-0000-0000-0000E37E0000}"/>
    <cellStyle name="60% - Accent6 4 4 13" xfId="34703" xr:uid="{00000000-0005-0000-0000-0000E47E0000}"/>
    <cellStyle name="60% - Accent6 4 4 14" xfId="36386" xr:uid="{00000000-0005-0000-0000-0000E57E0000}"/>
    <cellStyle name="60% - Accent6 4 4 15" xfId="38069" xr:uid="{00000000-0005-0000-0000-0000E67E0000}"/>
    <cellStyle name="60% - Accent6 4 4 16" xfId="39752" xr:uid="{00000000-0005-0000-0000-0000E77E0000}"/>
    <cellStyle name="60% - Accent6 4 4 17" xfId="41435" xr:uid="{00000000-0005-0000-0000-0000E87E0000}"/>
    <cellStyle name="60% - Accent6 4 4 18" xfId="43118" xr:uid="{00000000-0005-0000-0000-0000E97E0000}"/>
    <cellStyle name="60% - Accent6 4 4 19" xfId="44801" xr:uid="{00000000-0005-0000-0000-0000EA7E0000}"/>
    <cellStyle name="60% - Accent6 4 4 2" xfId="2722" xr:uid="{00000000-0005-0000-0000-0000EB7E0000}"/>
    <cellStyle name="60% - Accent6 4 4 2 2" xfId="17871" xr:uid="{00000000-0005-0000-0000-0000EC7E0000}"/>
    <cellStyle name="60% - Accent6 4 4 20" xfId="46484" xr:uid="{00000000-0005-0000-0000-0000ED7E0000}"/>
    <cellStyle name="60% - Accent6 4 4 21" xfId="48167" xr:uid="{00000000-0005-0000-0000-0000EE7E0000}"/>
    <cellStyle name="60% - Accent6 4 4 22" xfId="49850" xr:uid="{00000000-0005-0000-0000-0000EF7E0000}"/>
    <cellStyle name="60% - Accent6 4 4 23" xfId="51533" xr:uid="{00000000-0005-0000-0000-0000F07E0000}"/>
    <cellStyle name="60% - Accent6 4 4 24" xfId="53216" xr:uid="{00000000-0005-0000-0000-0000F17E0000}"/>
    <cellStyle name="60% - Accent6 4 4 25" xfId="54899" xr:uid="{00000000-0005-0000-0000-0000F27E0000}"/>
    <cellStyle name="60% - Accent6 4 4 26" xfId="56582" xr:uid="{00000000-0005-0000-0000-0000F37E0000}"/>
    <cellStyle name="60% - Accent6 4 4 27" xfId="58265" xr:uid="{00000000-0005-0000-0000-0000F47E0000}"/>
    <cellStyle name="60% - Accent6 4 4 28" xfId="59948" xr:uid="{00000000-0005-0000-0000-0000F57E0000}"/>
    <cellStyle name="60% - Accent6 4 4 29" xfId="61631" xr:uid="{00000000-0005-0000-0000-0000F67E0000}"/>
    <cellStyle name="60% - Accent6 4 4 3" xfId="4406" xr:uid="{00000000-0005-0000-0000-0000F77E0000}"/>
    <cellStyle name="60% - Accent6 4 4 3 2" xfId="19555" xr:uid="{00000000-0005-0000-0000-0000F87E0000}"/>
    <cellStyle name="60% - Accent6 4 4 30" xfId="63314" xr:uid="{00000000-0005-0000-0000-0000F97E0000}"/>
    <cellStyle name="60% - Accent6 4 4 4" xfId="6089" xr:uid="{00000000-0005-0000-0000-0000FA7E0000}"/>
    <cellStyle name="60% - Accent6 4 4 4 2" xfId="21238" xr:uid="{00000000-0005-0000-0000-0000FB7E0000}"/>
    <cellStyle name="60% - Accent6 4 4 5" xfId="7772" xr:uid="{00000000-0005-0000-0000-0000FC7E0000}"/>
    <cellStyle name="60% - Accent6 4 4 5 2" xfId="22921" xr:uid="{00000000-0005-0000-0000-0000FD7E0000}"/>
    <cellStyle name="60% - Accent6 4 4 6" xfId="9455" xr:uid="{00000000-0005-0000-0000-0000FE7E0000}"/>
    <cellStyle name="60% - Accent6 4 4 6 2" xfId="24604" xr:uid="{00000000-0005-0000-0000-0000FF7E0000}"/>
    <cellStyle name="60% - Accent6 4 4 7" xfId="11138" xr:uid="{00000000-0005-0000-0000-0000007F0000}"/>
    <cellStyle name="60% - Accent6 4 4 7 2" xfId="26287" xr:uid="{00000000-0005-0000-0000-0000017F0000}"/>
    <cellStyle name="60% - Accent6 4 4 8" xfId="12822" xr:uid="{00000000-0005-0000-0000-0000027F0000}"/>
    <cellStyle name="60% - Accent6 4 4 8 2" xfId="27971" xr:uid="{00000000-0005-0000-0000-0000037F0000}"/>
    <cellStyle name="60% - Accent6 4 4 9" xfId="14505" xr:uid="{00000000-0005-0000-0000-0000047F0000}"/>
    <cellStyle name="60% - Accent6 4 4 9 2" xfId="29654" xr:uid="{00000000-0005-0000-0000-0000057F0000}"/>
    <cellStyle name="60% - Accent6 4 5" xfId="1460" xr:uid="{00000000-0005-0000-0000-0000067F0000}"/>
    <cellStyle name="60% - Accent6 4 5 10" xfId="16609" xr:uid="{00000000-0005-0000-0000-0000077F0000}"/>
    <cellStyle name="60% - Accent6 4 5 11" xfId="31758" xr:uid="{00000000-0005-0000-0000-0000087F0000}"/>
    <cellStyle name="60% - Accent6 4 5 12" xfId="33441" xr:uid="{00000000-0005-0000-0000-0000097F0000}"/>
    <cellStyle name="60% - Accent6 4 5 13" xfId="35124" xr:uid="{00000000-0005-0000-0000-00000A7F0000}"/>
    <cellStyle name="60% - Accent6 4 5 14" xfId="36807" xr:uid="{00000000-0005-0000-0000-00000B7F0000}"/>
    <cellStyle name="60% - Accent6 4 5 15" xfId="38490" xr:uid="{00000000-0005-0000-0000-00000C7F0000}"/>
    <cellStyle name="60% - Accent6 4 5 16" xfId="40173" xr:uid="{00000000-0005-0000-0000-00000D7F0000}"/>
    <cellStyle name="60% - Accent6 4 5 17" xfId="41856" xr:uid="{00000000-0005-0000-0000-00000E7F0000}"/>
    <cellStyle name="60% - Accent6 4 5 18" xfId="43539" xr:uid="{00000000-0005-0000-0000-00000F7F0000}"/>
    <cellStyle name="60% - Accent6 4 5 19" xfId="45222" xr:uid="{00000000-0005-0000-0000-0000107F0000}"/>
    <cellStyle name="60% - Accent6 4 5 2" xfId="3143" xr:uid="{00000000-0005-0000-0000-0000117F0000}"/>
    <cellStyle name="60% - Accent6 4 5 2 2" xfId="18292" xr:uid="{00000000-0005-0000-0000-0000127F0000}"/>
    <cellStyle name="60% - Accent6 4 5 20" xfId="46905" xr:uid="{00000000-0005-0000-0000-0000137F0000}"/>
    <cellStyle name="60% - Accent6 4 5 21" xfId="48588" xr:uid="{00000000-0005-0000-0000-0000147F0000}"/>
    <cellStyle name="60% - Accent6 4 5 22" xfId="50271" xr:uid="{00000000-0005-0000-0000-0000157F0000}"/>
    <cellStyle name="60% - Accent6 4 5 23" xfId="51954" xr:uid="{00000000-0005-0000-0000-0000167F0000}"/>
    <cellStyle name="60% - Accent6 4 5 24" xfId="53637" xr:uid="{00000000-0005-0000-0000-0000177F0000}"/>
    <cellStyle name="60% - Accent6 4 5 25" xfId="55320" xr:uid="{00000000-0005-0000-0000-0000187F0000}"/>
    <cellStyle name="60% - Accent6 4 5 26" xfId="57003" xr:uid="{00000000-0005-0000-0000-0000197F0000}"/>
    <cellStyle name="60% - Accent6 4 5 27" xfId="58686" xr:uid="{00000000-0005-0000-0000-00001A7F0000}"/>
    <cellStyle name="60% - Accent6 4 5 28" xfId="60369" xr:uid="{00000000-0005-0000-0000-00001B7F0000}"/>
    <cellStyle name="60% - Accent6 4 5 29" xfId="62052" xr:uid="{00000000-0005-0000-0000-00001C7F0000}"/>
    <cellStyle name="60% - Accent6 4 5 3" xfId="4827" xr:uid="{00000000-0005-0000-0000-00001D7F0000}"/>
    <cellStyle name="60% - Accent6 4 5 3 2" xfId="19976" xr:uid="{00000000-0005-0000-0000-00001E7F0000}"/>
    <cellStyle name="60% - Accent6 4 5 30" xfId="63735" xr:uid="{00000000-0005-0000-0000-00001F7F0000}"/>
    <cellStyle name="60% - Accent6 4 5 4" xfId="6510" xr:uid="{00000000-0005-0000-0000-0000207F0000}"/>
    <cellStyle name="60% - Accent6 4 5 4 2" xfId="21659" xr:uid="{00000000-0005-0000-0000-0000217F0000}"/>
    <cellStyle name="60% - Accent6 4 5 5" xfId="8193" xr:uid="{00000000-0005-0000-0000-0000227F0000}"/>
    <cellStyle name="60% - Accent6 4 5 5 2" xfId="23342" xr:uid="{00000000-0005-0000-0000-0000237F0000}"/>
    <cellStyle name="60% - Accent6 4 5 6" xfId="9876" xr:uid="{00000000-0005-0000-0000-0000247F0000}"/>
    <cellStyle name="60% - Accent6 4 5 6 2" xfId="25025" xr:uid="{00000000-0005-0000-0000-0000257F0000}"/>
    <cellStyle name="60% - Accent6 4 5 7" xfId="11559" xr:uid="{00000000-0005-0000-0000-0000267F0000}"/>
    <cellStyle name="60% - Accent6 4 5 7 2" xfId="26708" xr:uid="{00000000-0005-0000-0000-0000277F0000}"/>
    <cellStyle name="60% - Accent6 4 5 8" xfId="13243" xr:uid="{00000000-0005-0000-0000-0000287F0000}"/>
    <cellStyle name="60% - Accent6 4 5 8 2" xfId="28392" xr:uid="{00000000-0005-0000-0000-0000297F0000}"/>
    <cellStyle name="60% - Accent6 4 5 9" xfId="14926" xr:uid="{00000000-0005-0000-0000-00002A7F0000}"/>
    <cellStyle name="60% - Accent6 4 5 9 2" xfId="30075" xr:uid="{00000000-0005-0000-0000-00002B7F0000}"/>
    <cellStyle name="60% - Accent6 4 6" xfId="1881" xr:uid="{00000000-0005-0000-0000-00002C7F0000}"/>
    <cellStyle name="60% - Accent6 4 6 2" xfId="17030" xr:uid="{00000000-0005-0000-0000-00002D7F0000}"/>
    <cellStyle name="60% - Accent6 4 7" xfId="3565" xr:uid="{00000000-0005-0000-0000-00002E7F0000}"/>
    <cellStyle name="60% - Accent6 4 7 2" xfId="18714" xr:uid="{00000000-0005-0000-0000-00002F7F0000}"/>
    <cellStyle name="60% - Accent6 4 8" xfId="5248" xr:uid="{00000000-0005-0000-0000-0000307F0000}"/>
    <cellStyle name="60% - Accent6 4 8 2" xfId="20397" xr:uid="{00000000-0005-0000-0000-0000317F0000}"/>
    <cellStyle name="60% - Accent6 4 9" xfId="6931" xr:uid="{00000000-0005-0000-0000-0000327F0000}"/>
    <cellStyle name="60% - Accent6 4 9 2" xfId="22080" xr:uid="{00000000-0005-0000-0000-0000337F0000}"/>
    <cellStyle name="60% - Accent6 5" xfId="303" xr:uid="{00000000-0005-0000-0000-0000347F0000}"/>
    <cellStyle name="60% - Accent6 5 10" xfId="10402" xr:uid="{00000000-0005-0000-0000-0000357F0000}"/>
    <cellStyle name="60% - Accent6 5 10 2" xfId="25551" xr:uid="{00000000-0005-0000-0000-0000367F0000}"/>
    <cellStyle name="60% - Accent6 5 11" xfId="12086" xr:uid="{00000000-0005-0000-0000-0000377F0000}"/>
    <cellStyle name="60% - Accent6 5 11 2" xfId="27235" xr:uid="{00000000-0005-0000-0000-0000387F0000}"/>
    <cellStyle name="60% - Accent6 5 12" xfId="13769" xr:uid="{00000000-0005-0000-0000-0000397F0000}"/>
    <cellStyle name="60% - Accent6 5 12 2" xfId="28918" xr:uid="{00000000-0005-0000-0000-00003A7F0000}"/>
    <cellStyle name="60% - Accent6 5 13" xfId="15452" xr:uid="{00000000-0005-0000-0000-00003B7F0000}"/>
    <cellStyle name="60% - Accent6 5 14" xfId="30601" xr:uid="{00000000-0005-0000-0000-00003C7F0000}"/>
    <cellStyle name="60% - Accent6 5 15" xfId="32284" xr:uid="{00000000-0005-0000-0000-00003D7F0000}"/>
    <cellStyle name="60% - Accent6 5 16" xfId="33967" xr:uid="{00000000-0005-0000-0000-00003E7F0000}"/>
    <cellStyle name="60% - Accent6 5 17" xfId="35650" xr:uid="{00000000-0005-0000-0000-00003F7F0000}"/>
    <cellStyle name="60% - Accent6 5 18" xfId="37333" xr:uid="{00000000-0005-0000-0000-0000407F0000}"/>
    <cellStyle name="60% - Accent6 5 19" xfId="39016" xr:uid="{00000000-0005-0000-0000-0000417F0000}"/>
    <cellStyle name="60% - Accent6 5 2" xfId="723" xr:uid="{00000000-0005-0000-0000-0000427F0000}"/>
    <cellStyle name="60% - Accent6 5 2 10" xfId="15872" xr:uid="{00000000-0005-0000-0000-0000437F0000}"/>
    <cellStyle name="60% - Accent6 5 2 11" xfId="31021" xr:uid="{00000000-0005-0000-0000-0000447F0000}"/>
    <cellStyle name="60% - Accent6 5 2 12" xfId="32704" xr:uid="{00000000-0005-0000-0000-0000457F0000}"/>
    <cellStyle name="60% - Accent6 5 2 13" xfId="34387" xr:uid="{00000000-0005-0000-0000-0000467F0000}"/>
    <cellStyle name="60% - Accent6 5 2 14" xfId="36070" xr:uid="{00000000-0005-0000-0000-0000477F0000}"/>
    <cellStyle name="60% - Accent6 5 2 15" xfId="37753" xr:uid="{00000000-0005-0000-0000-0000487F0000}"/>
    <cellStyle name="60% - Accent6 5 2 16" xfId="39436" xr:uid="{00000000-0005-0000-0000-0000497F0000}"/>
    <cellStyle name="60% - Accent6 5 2 17" xfId="41119" xr:uid="{00000000-0005-0000-0000-00004A7F0000}"/>
    <cellStyle name="60% - Accent6 5 2 18" xfId="42802" xr:uid="{00000000-0005-0000-0000-00004B7F0000}"/>
    <cellStyle name="60% - Accent6 5 2 19" xfId="44485" xr:uid="{00000000-0005-0000-0000-00004C7F0000}"/>
    <cellStyle name="60% - Accent6 5 2 2" xfId="2406" xr:uid="{00000000-0005-0000-0000-00004D7F0000}"/>
    <cellStyle name="60% - Accent6 5 2 2 2" xfId="17555" xr:uid="{00000000-0005-0000-0000-00004E7F0000}"/>
    <cellStyle name="60% - Accent6 5 2 20" xfId="46168" xr:uid="{00000000-0005-0000-0000-00004F7F0000}"/>
    <cellStyle name="60% - Accent6 5 2 21" xfId="47851" xr:uid="{00000000-0005-0000-0000-0000507F0000}"/>
    <cellStyle name="60% - Accent6 5 2 22" xfId="49534" xr:uid="{00000000-0005-0000-0000-0000517F0000}"/>
    <cellStyle name="60% - Accent6 5 2 23" xfId="51217" xr:uid="{00000000-0005-0000-0000-0000527F0000}"/>
    <cellStyle name="60% - Accent6 5 2 24" xfId="52900" xr:uid="{00000000-0005-0000-0000-0000537F0000}"/>
    <cellStyle name="60% - Accent6 5 2 25" xfId="54583" xr:uid="{00000000-0005-0000-0000-0000547F0000}"/>
    <cellStyle name="60% - Accent6 5 2 26" xfId="56266" xr:uid="{00000000-0005-0000-0000-0000557F0000}"/>
    <cellStyle name="60% - Accent6 5 2 27" xfId="57949" xr:uid="{00000000-0005-0000-0000-0000567F0000}"/>
    <cellStyle name="60% - Accent6 5 2 28" xfId="59632" xr:uid="{00000000-0005-0000-0000-0000577F0000}"/>
    <cellStyle name="60% - Accent6 5 2 29" xfId="61315" xr:uid="{00000000-0005-0000-0000-0000587F0000}"/>
    <cellStyle name="60% - Accent6 5 2 3" xfId="4090" xr:uid="{00000000-0005-0000-0000-0000597F0000}"/>
    <cellStyle name="60% - Accent6 5 2 3 2" xfId="19239" xr:uid="{00000000-0005-0000-0000-00005A7F0000}"/>
    <cellStyle name="60% - Accent6 5 2 30" xfId="62998" xr:uid="{00000000-0005-0000-0000-00005B7F0000}"/>
    <cellStyle name="60% - Accent6 5 2 4" xfId="5773" xr:uid="{00000000-0005-0000-0000-00005C7F0000}"/>
    <cellStyle name="60% - Accent6 5 2 4 2" xfId="20922" xr:uid="{00000000-0005-0000-0000-00005D7F0000}"/>
    <cellStyle name="60% - Accent6 5 2 5" xfId="7456" xr:uid="{00000000-0005-0000-0000-00005E7F0000}"/>
    <cellStyle name="60% - Accent6 5 2 5 2" xfId="22605" xr:uid="{00000000-0005-0000-0000-00005F7F0000}"/>
    <cellStyle name="60% - Accent6 5 2 6" xfId="9139" xr:uid="{00000000-0005-0000-0000-0000607F0000}"/>
    <cellStyle name="60% - Accent6 5 2 6 2" xfId="24288" xr:uid="{00000000-0005-0000-0000-0000617F0000}"/>
    <cellStyle name="60% - Accent6 5 2 7" xfId="10822" xr:uid="{00000000-0005-0000-0000-0000627F0000}"/>
    <cellStyle name="60% - Accent6 5 2 7 2" xfId="25971" xr:uid="{00000000-0005-0000-0000-0000637F0000}"/>
    <cellStyle name="60% - Accent6 5 2 8" xfId="12506" xr:uid="{00000000-0005-0000-0000-0000647F0000}"/>
    <cellStyle name="60% - Accent6 5 2 8 2" xfId="27655" xr:uid="{00000000-0005-0000-0000-0000657F0000}"/>
    <cellStyle name="60% - Accent6 5 2 9" xfId="14189" xr:uid="{00000000-0005-0000-0000-0000667F0000}"/>
    <cellStyle name="60% - Accent6 5 2 9 2" xfId="29338" xr:uid="{00000000-0005-0000-0000-0000677F0000}"/>
    <cellStyle name="60% - Accent6 5 20" xfId="40699" xr:uid="{00000000-0005-0000-0000-0000687F0000}"/>
    <cellStyle name="60% - Accent6 5 21" xfId="42382" xr:uid="{00000000-0005-0000-0000-0000697F0000}"/>
    <cellStyle name="60% - Accent6 5 22" xfId="44065" xr:uid="{00000000-0005-0000-0000-00006A7F0000}"/>
    <cellStyle name="60% - Accent6 5 23" xfId="45748" xr:uid="{00000000-0005-0000-0000-00006B7F0000}"/>
    <cellStyle name="60% - Accent6 5 24" xfId="47431" xr:uid="{00000000-0005-0000-0000-00006C7F0000}"/>
    <cellStyle name="60% - Accent6 5 25" xfId="49114" xr:uid="{00000000-0005-0000-0000-00006D7F0000}"/>
    <cellStyle name="60% - Accent6 5 26" xfId="50797" xr:uid="{00000000-0005-0000-0000-00006E7F0000}"/>
    <cellStyle name="60% - Accent6 5 27" xfId="52480" xr:uid="{00000000-0005-0000-0000-00006F7F0000}"/>
    <cellStyle name="60% - Accent6 5 28" xfId="54163" xr:uid="{00000000-0005-0000-0000-0000707F0000}"/>
    <cellStyle name="60% - Accent6 5 29" xfId="55846" xr:uid="{00000000-0005-0000-0000-0000717F0000}"/>
    <cellStyle name="60% - Accent6 5 3" xfId="1144" xr:uid="{00000000-0005-0000-0000-0000727F0000}"/>
    <cellStyle name="60% - Accent6 5 3 10" xfId="16293" xr:uid="{00000000-0005-0000-0000-0000737F0000}"/>
    <cellStyle name="60% - Accent6 5 3 11" xfId="31442" xr:uid="{00000000-0005-0000-0000-0000747F0000}"/>
    <cellStyle name="60% - Accent6 5 3 12" xfId="33125" xr:uid="{00000000-0005-0000-0000-0000757F0000}"/>
    <cellStyle name="60% - Accent6 5 3 13" xfId="34808" xr:uid="{00000000-0005-0000-0000-0000767F0000}"/>
    <cellStyle name="60% - Accent6 5 3 14" xfId="36491" xr:uid="{00000000-0005-0000-0000-0000777F0000}"/>
    <cellStyle name="60% - Accent6 5 3 15" xfId="38174" xr:uid="{00000000-0005-0000-0000-0000787F0000}"/>
    <cellStyle name="60% - Accent6 5 3 16" xfId="39857" xr:uid="{00000000-0005-0000-0000-0000797F0000}"/>
    <cellStyle name="60% - Accent6 5 3 17" xfId="41540" xr:uid="{00000000-0005-0000-0000-00007A7F0000}"/>
    <cellStyle name="60% - Accent6 5 3 18" xfId="43223" xr:uid="{00000000-0005-0000-0000-00007B7F0000}"/>
    <cellStyle name="60% - Accent6 5 3 19" xfId="44906" xr:uid="{00000000-0005-0000-0000-00007C7F0000}"/>
    <cellStyle name="60% - Accent6 5 3 2" xfId="2827" xr:uid="{00000000-0005-0000-0000-00007D7F0000}"/>
    <cellStyle name="60% - Accent6 5 3 2 2" xfId="17976" xr:uid="{00000000-0005-0000-0000-00007E7F0000}"/>
    <cellStyle name="60% - Accent6 5 3 20" xfId="46589" xr:uid="{00000000-0005-0000-0000-00007F7F0000}"/>
    <cellStyle name="60% - Accent6 5 3 21" xfId="48272" xr:uid="{00000000-0005-0000-0000-0000807F0000}"/>
    <cellStyle name="60% - Accent6 5 3 22" xfId="49955" xr:uid="{00000000-0005-0000-0000-0000817F0000}"/>
    <cellStyle name="60% - Accent6 5 3 23" xfId="51638" xr:uid="{00000000-0005-0000-0000-0000827F0000}"/>
    <cellStyle name="60% - Accent6 5 3 24" xfId="53321" xr:uid="{00000000-0005-0000-0000-0000837F0000}"/>
    <cellStyle name="60% - Accent6 5 3 25" xfId="55004" xr:uid="{00000000-0005-0000-0000-0000847F0000}"/>
    <cellStyle name="60% - Accent6 5 3 26" xfId="56687" xr:uid="{00000000-0005-0000-0000-0000857F0000}"/>
    <cellStyle name="60% - Accent6 5 3 27" xfId="58370" xr:uid="{00000000-0005-0000-0000-0000867F0000}"/>
    <cellStyle name="60% - Accent6 5 3 28" xfId="60053" xr:uid="{00000000-0005-0000-0000-0000877F0000}"/>
    <cellStyle name="60% - Accent6 5 3 29" xfId="61736" xr:uid="{00000000-0005-0000-0000-0000887F0000}"/>
    <cellStyle name="60% - Accent6 5 3 3" xfId="4511" xr:uid="{00000000-0005-0000-0000-0000897F0000}"/>
    <cellStyle name="60% - Accent6 5 3 3 2" xfId="19660" xr:uid="{00000000-0005-0000-0000-00008A7F0000}"/>
    <cellStyle name="60% - Accent6 5 3 30" xfId="63419" xr:uid="{00000000-0005-0000-0000-00008B7F0000}"/>
    <cellStyle name="60% - Accent6 5 3 4" xfId="6194" xr:uid="{00000000-0005-0000-0000-00008C7F0000}"/>
    <cellStyle name="60% - Accent6 5 3 4 2" xfId="21343" xr:uid="{00000000-0005-0000-0000-00008D7F0000}"/>
    <cellStyle name="60% - Accent6 5 3 5" xfId="7877" xr:uid="{00000000-0005-0000-0000-00008E7F0000}"/>
    <cellStyle name="60% - Accent6 5 3 5 2" xfId="23026" xr:uid="{00000000-0005-0000-0000-00008F7F0000}"/>
    <cellStyle name="60% - Accent6 5 3 6" xfId="9560" xr:uid="{00000000-0005-0000-0000-0000907F0000}"/>
    <cellStyle name="60% - Accent6 5 3 6 2" xfId="24709" xr:uid="{00000000-0005-0000-0000-0000917F0000}"/>
    <cellStyle name="60% - Accent6 5 3 7" xfId="11243" xr:uid="{00000000-0005-0000-0000-0000927F0000}"/>
    <cellStyle name="60% - Accent6 5 3 7 2" xfId="26392" xr:uid="{00000000-0005-0000-0000-0000937F0000}"/>
    <cellStyle name="60% - Accent6 5 3 8" xfId="12927" xr:uid="{00000000-0005-0000-0000-0000947F0000}"/>
    <cellStyle name="60% - Accent6 5 3 8 2" xfId="28076" xr:uid="{00000000-0005-0000-0000-0000957F0000}"/>
    <cellStyle name="60% - Accent6 5 3 9" xfId="14610" xr:uid="{00000000-0005-0000-0000-0000967F0000}"/>
    <cellStyle name="60% - Accent6 5 3 9 2" xfId="29759" xr:uid="{00000000-0005-0000-0000-0000977F0000}"/>
    <cellStyle name="60% - Accent6 5 30" xfId="57529" xr:uid="{00000000-0005-0000-0000-0000987F0000}"/>
    <cellStyle name="60% - Accent6 5 31" xfId="59212" xr:uid="{00000000-0005-0000-0000-0000997F0000}"/>
    <cellStyle name="60% - Accent6 5 32" xfId="60895" xr:uid="{00000000-0005-0000-0000-00009A7F0000}"/>
    <cellStyle name="60% - Accent6 5 33" xfId="62578" xr:uid="{00000000-0005-0000-0000-00009B7F0000}"/>
    <cellStyle name="60% - Accent6 5 4" xfId="1565" xr:uid="{00000000-0005-0000-0000-00009C7F0000}"/>
    <cellStyle name="60% - Accent6 5 4 10" xfId="16714" xr:uid="{00000000-0005-0000-0000-00009D7F0000}"/>
    <cellStyle name="60% - Accent6 5 4 11" xfId="31863" xr:uid="{00000000-0005-0000-0000-00009E7F0000}"/>
    <cellStyle name="60% - Accent6 5 4 12" xfId="33546" xr:uid="{00000000-0005-0000-0000-00009F7F0000}"/>
    <cellStyle name="60% - Accent6 5 4 13" xfId="35229" xr:uid="{00000000-0005-0000-0000-0000A07F0000}"/>
    <cellStyle name="60% - Accent6 5 4 14" xfId="36912" xr:uid="{00000000-0005-0000-0000-0000A17F0000}"/>
    <cellStyle name="60% - Accent6 5 4 15" xfId="38595" xr:uid="{00000000-0005-0000-0000-0000A27F0000}"/>
    <cellStyle name="60% - Accent6 5 4 16" xfId="40278" xr:uid="{00000000-0005-0000-0000-0000A37F0000}"/>
    <cellStyle name="60% - Accent6 5 4 17" xfId="41961" xr:uid="{00000000-0005-0000-0000-0000A47F0000}"/>
    <cellStyle name="60% - Accent6 5 4 18" xfId="43644" xr:uid="{00000000-0005-0000-0000-0000A57F0000}"/>
    <cellStyle name="60% - Accent6 5 4 19" xfId="45327" xr:uid="{00000000-0005-0000-0000-0000A67F0000}"/>
    <cellStyle name="60% - Accent6 5 4 2" xfId="3248" xr:uid="{00000000-0005-0000-0000-0000A77F0000}"/>
    <cellStyle name="60% - Accent6 5 4 2 2" xfId="18397" xr:uid="{00000000-0005-0000-0000-0000A87F0000}"/>
    <cellStyle name="60% - Accent6 5 4 20" xfId="47010" xr:uid="{00000000-0005-0000-0000-0000A97F0000}"/>
    <cellStyle name="60% - Accent6 5 4 21" xfId="48693" xr:uid="{00000000-0005-0000-0000-0000AA7F0000}"/>
    <cellStyle name="60% - Accent6 5 4 22" xfId="50376" xr:uid="{00000000-0005-0000-0000-0000AB7F0000}"/>
    <cellStyle name="60% - Accent6 5 4 23" xfId="52059" xr:uid="{00000000-0005-0000-0000-0000AC7F0000}"/>
    <cellStyle name="60% - Accent6 5 4 24" xfId="53742" xr:uid="{00000000-0005-0000-0000-0000AD7F0000}"/>
    <cellStyle name="60% - Accent6 5 4 25" xfId="55425" xr:uid="{00000000-0005-0000-0000-0000AE7F0000}"/>
    <cellStyle name="60% - Accent6 5 4 26" xfId="57108" xr:uid="{00000000-0005-0000-0000-0000AF7F0000}"/>
    <cellStyle name="60% - Accent6 5 4 27" xfId="58791" xr:uid="{00000000-0005-0000-0000-0000B07F0000}"/>
    <cellStyle name="60% - Accent6 5 4 28" xfId="60474" xr:uid="{00000000-0005-0000-0000-0000B17F0000}"/>
    <cellStyle name="60% - Accent6 5 4 29" xfId="62157" xr:uid="{00000000-0005-0000-0000-0000B27F0000}"/>
    <cellStyle name="60% - Accent6 5 4 3" xfId="4932" xr:uid="{00000000-0005-0000-0000-0000B37F0000}"/>
    <cellStyle name="60% - Accent6 5 4 3 2" xfId="20081" xr:uid="{00000000-0005-0000-0000-0000B47F0000}"/>
    <cellStyle name="60% - Accent6 5 4 30" xfId="63840" xr:uid="{00000000-0005-0000-0000-0000B57F0000}"/>
    <cellStyle name="60% - Accent6 5 4 4" xfId="6615" xr:uid="{00000000-0005-0000-0000-0000B67F0000}"/>
    <cellStyle name="60% - Accent6 5 4 4 2" xfId="21764" xr:uid="{00000000-0005-0000-0000-0000B77F0000}"/>
    <cellStyle name="60% - Accent6 5 4 5" xfId="8298" xr:uid="{00000000-0005-0000-0000-0000B87F0000}"/>
    <cellStyle name="60% - Accent6 5 4 5 2" xfId="23447" xr:uid="{00000000-0005-0000-0000-0000B97F0000}"/>
    <cellStyle name="60% - Accent6 5 4 6" xfId="9981" xr:uid="{00000000-0005-0000-0000-0000BA7F0000}"/>
    <cellStyle name="60% - Accent6 5 4 6 2" xfId="25130" xr:uid="{00000000-0005-0000-0000-0000BB7F0000}"/>
    <cellStyle name="60% - Accent6 5 4 7" xfId="11664" xr:uid="{00000000-0005-0000-0000-0000BC7F0000}"/>
    <cellStyle name="60% - Accent6 5 4 7 2" xfId="26813" xr:uid="{00000000-0005-0000-0000-0000BD7F0000}"/>
    <cellStyle name="60% - Accent6 5 4 8" xfId="13348" xr:uid="{00000000-0005-0000-0000-0000BE7F0000}"/>
    <cellStyle name="60% - Accent6 5 4 8 2" xfId="28497" xr:uid="{00000000-0005-0000-0000-0000BF7F0000}"/>
    <cellStyle name="60% - Accent6 5 4 9" xfId="15031" xr:uid="{00000000-0005-0000-0000-0000C07F0000}"/>
    <cellStyle name="60% - Accent6 5 4 9 2" xfId="30180" xr:uid="{00000000-0005-0000-0000-0000C17F0000}"/>
    <cellStyle name="60% - Accent6 5 5" xfId="1986" xr:uid="{00000000-0005-0000-0000-0000C27F0000}"/>
    <cellStyle name="60% - Accent6 5 5 2" xfId="17135" xr:uid="{00000000-0005-0000-0000-0000C37F0000}"/>
    <cellStyle name="60% - Accent6 5 6" xfId="3670" xr:uid="{00000000-0005-0000-0000-0000C47F0000}"/>
    <cellStyle name="60% - Accent6 5 6 2" xfId="18819" xr:uid="{00000000-0005-0000-0000-0000C57F0000}"/>
    <cellStyle name="60% - Accent6 5 7" xfId="5353" xr:uid="{00000000-0005-0000-0000-0000C67F0000}"/>
    <cellStyle name="60% - Accent6 5 7 2" xfId="20502" xr:uid="{00000000-0005-0000-0000-0000C77F0000}"/>
    <cellStyle name="60% - Accent6 5 8" xfId="7036" xr:uid="{00000000-0005-0000-0000-0000C87F0000}"/>
    <cellStyle name="60% - Accent6 5 8 2" xfId="22185" xr:uid="{00000000-0005-0000-0000-0000C97F0000}"/>
    <cellStyle name="60% - Accent6 5 9" xfId="8719" xr:uid="{00000000-0005-0000-0000-0000CA7F0000}"/>
    <cellStyle name="60% - Accent6 5 9 2" xfId="23868" xr:uid="{00000000-0005-0000-0000-0000CB7F0000}"/>
    <cellStyle name="60% - Accent6 6" xfId="513" xr:uid="{00000000-0005-0000-0000-0000CC7F0000}"/>
    <cellStyle name="60% - Accent6 6 10" xfId="15662" xr:uid="{00000000-0005-0000-0000-0000CD7F0000}"/>
    <cellStyle name="60% - Accent6 6 11" xfId="30811" xr:uid="{00000000-0005-0000-0000-0000CE7F0000}"/>
    <cellStyle name="60% - Accent6 6 12" xfId="32494" xr:uid="{00000000-0005-0000-0000-0000CF7F0000}"/>
    <cellStyle name="60% - Accent6 6 13" xfId="34177" xr:uid="{00000000-0005-0000-0000-0000D07F0000}"/>
    <cellStyle name="60% - Accent6 6 14" xfId="35860" xr:uid="{00000000-0005-0000-0000-0000D17F0000}"/>
    <cellStyle name="60% - Accent6 6 15" xfId="37543" xr:uid="{00000000-0005-0000-0000-0000D27F0000}"/>
    <cellStyle name="60% - Accent6 6 16" xfId="39226" xr:uid="{00000000-0005-0000-0000-0000D37F0000}"/>
    <cellStyle name="60% - Accent6 6 17" xfId="40909" xr:uid="{00000000-0005-0000-0000-0000D47F0000}"/>
    <cellStyle name="60% - Accent6 6 18" xfId="42592" xr:uid="{00000000-0005-0000-0000-0000D57F0000}"/>
    <cellStyle name="60% - Accent6 6 19" xfId="44275" xr:uid="{00000000-0005-0000-0000-0000D67F0000}"/>
    <cellStyle name="60% - Accent6 6 2" xfId="2196" xr:uid="{00000000-0005-0000-0000-0000D77F0000}"/>
    <cellStyle name="60% - Accent6 6 2 2" xfId="17345" xr:uid="{00000000-0005-0000-0000-0000D87F0000}"/>
    <cellStyle name="60% - Accent6 6 20" xfId="45958" xr:uid="{00000000-0005-0000-0000-0000D97F0000}"/>
    <cellStyle name="60% - Accent6 6 21" xfId="47641" xr:uid="{00000000-0005-0000-0000-0000DA7F0000}"/>
    <cellStyle name="60% - Accent6 6 22" xfId="49324" xr:uid="{00000000-0005-0000-0000-0000DB7F0000}"/>
    <cellStyle name="60% - Accent6 6 23" xfId="51007" xr:uid="{00000000-0005-0000-0000-0000DC7F0000}"/>
    <cellStyle name="60% - Accent6 6 24" xfId="52690" xr:uid="{00000000-0005-0000-0000-0000DD7F0000}"/>
    <cellStyle name="60% - Accent6 6 25" xfId="54373" xr:uid="{00000000-0005-0000-0000-0000DE7F0000}"/>
    <cellStyle name="60% - Accent6 6 26" xfId="56056" xr:uid="{00000000-0005-0000-0000-0000DF7F0000}"/>
    <cellStyle name="60% - Accent6 6 27" xfId="57739" xr:uid="{00000000-0005-0000-0000-0000E07F0000}"/>
    <cellStyle name="60% - Accent6 6 28" xfId="59422" xr:uid="{00000000-0005-0000-0000-0000E17F0000}"/>
    <cellStyle name="60% - Accent6 6 29" xfId="61105" xr:uid="{00000000-0005-0000-0000-0000E27F0000}"/>
    <cellStyle name="60% - Accent6 6 3" xfId="3880" xr:uid="{00000000-0005-0000-0000-0000E37F0000}"/>
    <cellStyle name="60% - Accent6 6 3 2" xfId="19029" xr:uid="{00000000-0005-0000-0000-0000E47F0000}"/>
    <cellStyle name="60% - Accent6 6 30" xfId="62788" xr:uid="{00000000-0005-0000-0000-0000E57F0000}"/>
    <cellStyle name="60% - Accent6 6 4" xfId="5563" xr:uid="{00000000-0005-0000-0000-0000E67F0000}"/>
    <cellStyle name="60% - Accent6 6 4 2" xfId="20712" xr:uid="{00000000-0005-0000-0000-0000E77F0000}"/>
    <cellStyle name="60% - Accent6 6 5" xfId="7246" xr:uid="{00000000-0005-0000-0000-0000E87F0000}"/>
    <cellStyle name="60% - Accent6 6 5 2" xfId="22395" xr:uid="{00000000-0005-0000-0000-0000E97F0000}"/>
    <cellStyle name="60% - Accent6 6 6" xfId="8929" xr:uid="{00000000-0005-0000-0000-0000EA7F0000}"/>
    <cellStyle name="60% - Accent6 6 6 2" xfId="24078" xr:uid="{00000000-0005-0000-0000-0000EB7F0000}"/>
    <cellStyle name="60% - Accent6 6 7" xfId="10612" xr:uid="{00000000-0005-0000-0000-0000EC7F0000}"/>
    <cellStyle name="60% - Accent6 6 7 2" xfId="25761" xr:uid="{00000000-0005-0000-0000-0000ED7F0000}"/>
    <cellStyle name="60% - Accent6 6 8" xfId="12296" xr:uid="{00000000-0005-0000-0000-0000EE7F0000}"/>
    <cellStyle name="60% - Accent6 6 8 2" xfId="27445" xr:uid="{00000000-0005-0000-0000-0000EF7F0000}"/>
    <cellStyle name="60% - Accent6 6 9" xfId="13979" xr:uid="{00000000-0005-0000-0000-0000F07F0000}"/>
    <cellStyle name="60% - Accent6 6 9 2" xfId="29128" xr:uid="{00000000-0005-0000-0000-0000F17F0000}"/>
    <cellStyle name="60% - Accent6 7" xfId="934" xr:uid="{00000000-0005-0000-0000-0000F27F0000}"/>
    <cellStyle name="60% - Accent6 7 10" xfId="16083" xr:uid="{00000000-0005-0000-0000-0000F37F0000}"/>
    <cellStyle name="60% - Accent6 7 11" xfId="31232" xr:uid="{00000000-0005-0000-0000-0000F47F0000}"/>
    <cellStyle name="60% - Accent6 7 12" xfId="32915" xr:uid="{00000000-0005-0000-0000-0000F57F0000}"/>
    <cellStyle name="60% - Accent6 7 13" xfId="34598" xr:uid="{00000000-0005-0000-0000-0000F67F0000}"/>
    <cellStyle name="60% - Accent6 7 14" xfId="36281" xr:uid="{00000000-0005-0000-0000-0000F77F0000}"/>
    <cellStyle name="60% - Accent6 7 15" xfId="37964" xr:uid="{00000000-0005-0000-0000-0000F87F0000}"/>
    <cellStyle name="60% - Accent6 7 16" xfId="39647" xr:uid="{00000000-0005-0000-0000-0000F97F0000}"/>
    <cellStyle name="60% - Accent6 7 17" xfId="41330" xr:uid="{00000000-0005-0000-0000-0000FA7F0000}"/>
    <cellStyle name="60% - Accent6 7 18" xfId="43013" xr:uid="{00000000-0005-0000-0000-0000FB7F0000}"/>
    <cellStyle name="60% - Accent6 7 19" xfId="44696" xr:uid="{00000000-0005-0000-0000-0000FC7F0000}"/>
    <cellStyle name="60% - Accent6 7 2" xfId="2617" xr:uid="{00000000-0005-0000-0000-0000FD7F0000}"/>
    <cellStyle name="60% - Accent6 7 2 2" xfId="17766" xr:uid="{00000000-0005-0000-0000-0000FE7F0000}"/>
    <cellStyle name="60% - Accent6 7 20" xfId="46379" xr:uid="{00000000-0005-0000-0000-0000FF7F0000}"/>
    <cellStyle name="60% - Accent6 7 21" xfId="48062" xr:uid="{00000000-0005-0000-0000-000000800000}"/>
    <cellStyle name="60% - Accent6 7 22" xfId="49745" xr:uid="{00000000-0005-0000-0000-000001800000}"/>
    <cellStyle name="60% - Accent6 7 23" xfId="51428" xr:uid="{00000000-0005-0000-0000-000002800000}"/>
    <cellStyle name="60% - Accent6 7 24" xfId="53111" xr:uid="{00000000-0005-0000-0000-000003800000}"/>
    <cellStyle name="60% - Accent6 7 25" xfId="54794" xr:uid="{00000000-0005-0000-0000-000004800000}"/>
    <cellStyle name="60% - Accent6 7 26" xfId="56477" xr:uid="{00000000-0005-0000-0000-000005800000}"/>
    <cellStyle name="60% - Accent6 7 27" xfId="58160" xr:uid="{00000000-0005-0000-0000-000006800000}"/>
    <cellStyle name="60% - Accent6 7 28" xfId="59843" xr:uid="{00000000-0005-0000-0000-000007800000}"/>
    <cellStyle name="60% - Accent6 7 29" xfId="61526" xr:uid="{00000000-0005-0000-0000-000008800000}"/>
    <cellStyle name="60% - Accent6 7 3" xfId="4301" xr:uid="{00000000-0005-0000-0000-000009800000}"/>
    <cellStyle name="60% - Accent6 7 3 2" xfId="19450" xr:uid="{00000000-0005-0000-0000-00000A800000}"/>
    <cellStyle name="60% - Accent6 7 30" xfId="63209" xr:uid="{00000000-0005-0000-0000-00000B800000}"/>
    <cellStyle name="60% - Accent6 7 4" xfId="5984" xr:uid="{00000000-0005-0000-0000-00000C800000}"/>
    <cellStyle name="60% - Accent6 7 4 2" xfId="21133" xr:uid="{00000000-0005-0000-0000-00000D800000}"/>
    <cellStyle name="60% - Accent6 7 5" xfId="7667" xr:uid="{00000000-0005-0000-0000-00000E800000}"/>
    <cellStyle name="60% - Accent6 7 5 2" xfId="22816" xr:uid="{00000000-0005-0000-0000-00000F800000}"/>
    <cellStyle name="60% - Accent6 7 6" xfId="9350" xr:uid="{00000000-0005-0000-0000-000010800000}"/>
    <cellStyle name="60% - Accent6 7 6 2" xfId="24499" xr:uid="{00000000-0005-0000-0000-000011800000}"/>
    <cellStyle name="60% - Accent6 7 7" xfId="11033" xr:uid="{00000000-0005-0000-0000-000012800000}"/>
    <cellStyle name="60% - Accent6 7 7 2" xfId="26182" xr:uid="{00000000-0005-0000-0000-000013800000}"/>
    <cellStyle name="60% - Accent6 7 8" xfId="12717" xr:uid="{00000000-0005-0000-0000-000014800000}"/>
    <cellStyle name="60% - Accent6 7 8 2" xfId="27866" xr:uid="{00000000-0005-0000-0000-000015800000}"/>
    <cellStyle name="60% - Accent6 7 9" xfId="14400" xr:uid="{00000000-0005-0000-0000-000016800000}"/>
    <cellStyle name="60% - Accent6 7 9 2" xfId="29549" xr:uid="{00000000-0005-0000-0000-000017800000}"/>
    <cellStyle name="60% - Accent6 8" xfId="1355" xr:uid="{00000000-0005-0000-0000-000018800000}"/>
    <cellStyle name="60% - Accent6 8 10" xfId="16504" xr:uid="{00000000-0005-0000-0000-000019800000}"/>
    <cellStyle name="60% - Accent6 8 11" xfId="31653" xr:uid="{00000000-0005-0000-0000-00001A800000}"/>
    <cellStyle name="60% - Accent6 8 12" xfId="33336" xr:uid="{00000000-0005-0000-0000-00001B800000}"/>
    <cellStyle name="60% - Accent6 8 13" xfId="35019" xr:uid="{00000000-0005-0000-0000-00001C800000}"/>
    <cellStyle name="60% - Accent6 8 14" xfId="36702" xr:uid="{00000000-0005-0000-0000-00001D800000}"/>
    <cellStyle name="60% - Accent6 8 15" xfId="38385" xr:uid="{00000000-0005-0000-0000-00001E800000}"/>
    <cellStyle name="60% - Accent6 8 16" xfId="40068" xr:uid="{00000000-0005-0000-0000-00001F800000}"/>
    <cellStyle name="60% - Accent6 8 17" xfId="41751" xr:uid="{00000000-0005-0000-0000-000020800000}"/>
    <cellStyle name="60% - Accent6 8 18" xfId="43434" xr:uid="{00000000-0005-0000-0000-000021800000}"/>
    <cellStyle name="60% - Accent6 8 19" xfId="45117" xr:uid="{00000000-0005-0000-0000-000022800000}"/>
    <cellStyle name="60% - Accent6 8 2" xfId="3038" xr:uid="{00000000-0005-0000-0000-000023800000}"/>
    <cellStyle name="60% - Accent6 8 2 2" xfId="18187" xr:uid="{00000000-0005-0000-0000-000024800000}"/>
    <cellStyle name="60% - Accent6 8 20" xfId="46800" xr:uid="{00000000-0005-0000-0000-000025800000}"/>
    <cellStyle name="60% - Accent6 8 21" xfId="48483" xr:uid="{00000000-0005-0000-0000-000026800000}"/>
    <cellStyle name="60% - Accent6 8 22" xfId="50166" xr:uid="{00000000-0005-0000-0000-000027800000}"/>
    <cellStyle name="60% - Accent6 8 23" xfId="51849" xr:uid="{00000000-0005-0000-0000-000028800000}"/>
    <cellStyle name="60% - Accent6 8 24" xfId="53532" xr:uid="{00000000-0005-0000-0000-000029800000}"/>
    <cellStyle name="60% - Accent6 8 25" xfId="55215" xr:uid="{00000000-0005-0000-0000-00002A800000}"/>
    <cellStyle name="60% - Accent6 8 26" xfId="56898" xr:uid="{00000000-0005-0000-0000-00002B800000}"/>
    <cellStyle name="60% - Accent6 8 27" xfId="58581" xr:uid="{00000000-0005-0000-0000-00002C800000}"/>
    <cellStyle name="60% - Accent6 8 28" xfId="60264" xr:uid="{00000000-0005-0000-0000-00002D800000}"/>
    <cellStyle name="60% - Accent6 8 29" xfId="61947" xr:uid="{00000000-0005-0000-0000-00002E800000}"/>
    <cellStyle name="60% - Accent6 8 3" xfId="4722" xr:uid="{00000000-0005-0000-0000-00002F800000}"/>
    <cellStyle name="60% - Accent6 8 3 2" xfId="19871" xr:uid="{00000000-0005-0000-0000-000030800000}"/>
    <cellStyle name="60% - Accent6 8 30" xfId="63630" xr:uid="{00000000-0005-0000-0000-000031800000}"/>
    <cellStyle name="60% - Accent6 8 4" xfId="6405" xr:uid="{00000000-0005-0000-0000-000032800000}"/>
    <cellStyle name="60% - Accent6 8 4 2" xfId="21554" xr:uid="{00000000-0005-0000-0000-000033800000}"/>
    <cellStyle name="60% - Accent6 8 5" xfId="8088" xr:uid="{00000000-0005-0000-0000-000034800000}"/>
    <cellStyle name="60% - Accent6 8 5 2" xfId="23237" xr:uid="{00000000-0005-0000-0000-000035800000}"/>
    <cellStyle name="60% - Accent6 8 6" xfId="9771" xr:uid="{00000000-0005-0000-0000-000036800000}"/>
    <cellStyle name="60% - Accent6 8 6 2" xfId="24920" xr:uid="{00000000-0005-0000-0000-000037800000}"/>
    <cellStyle name="60% - Accent6 8 7" xfId="11454" xr:uid="{00000000-0005-0000-0000-000038800000}"/>
    <cellStyle name="60% - Accent6 8 7 2" xfId="26603" xr:uid="{00000000-0005-0000-0000-000039800000}"/>
    <cellStyle name="60% - Accent6 8 8" xfId="13138" xr:uid="{00000000-0005-0000-0000-00003A800000}"/>
    <cellStyle name="60% - Accent6 8 8 2" xfId="28287" xr:uid="{00000000-0005-0000-0000-00003B800000}"/>
    <cellStyle name="60% - Accent6 8 9" xfId="14821" xr:uid="{00000000-0005-0000-0000-00003C800000}"/>
    <cellStyle name="60% - Accent6 8 9 2" xfId="29970" xr:uid="{00000000-0005-0000-0000-00003D800000}"/>
    <cellStyle name="60% - Accent6 9" xfId="1776" xr:uid="{00000000-0005-0000-0000-00003E800000}"/>
    <cellStyle name="60% - Accent6 9 2" xfId="16925" xr:uid="{00000000-0005-0000-0000-00003F800000}"/>
    <cellStyle name="Accent1" xfId="70" builtinId="29" customBuiltin="1"/>
    <cellStyle name="Accent2" xfId="74" builtinId="33" customBuiltin="1"/>
    <cellStyle name="Accent3" xfId="78" builtinId="37" customBuiltin="1"/>
    <cellStyle name="Accent4" xfId="82" builtinId="41" customBuiltin="1"/>
    <cellStyle name="Accent5" xfId="86" builtinId="45" customBuiltin="1"/>
    <cellStyle name="Accent6" xfId="90" builtinId="49" customBuiltin="1"/>
    <cellStyle name="Bad" xfId="60" builtinId="27" customBuiltin="1"/>
    <cellStyle name="Calculation" xfId="64" builtinId="22" customBuiltin="1"/>
    <cellStyle name="Check Cell" xfId="66" builtinId="23" customBuiltin="1"/>
    <cellStyle name="Comma" xfId="1" builtinId="3"/>
    <cellStyle name="Comma 10" xfId="872" xr:uid="{00000000-0005-0000-0000-00004A800000}"/>
    <cellStyle name="Comma 10 10" xfId="16021" xr:uid="{00000000-0005-0000-0000-00004B800000}"/>
    <cellStyle name="Comma 10 11" xfId="31170" xr:uid="{00000000-0005-0000-0000-00004C800000}"/>
    <cellStyle name="Comma 10 12" xfId="32853" xr:uid="{00000000-0005-0000-0000-00004D800000}"/>
    <cellStyle name="Comma 10 13" xfId="34536" xr:uid="{00000000-0005-0000-0000-00004E800000}"/>
    <cellStyle name="Comma 10 14" xfId="36219" xr:uid="{00000000-0005-0000-0000-00004F800000}"/>
    <cellStyle name="Comma 10 15" xfId="37902" xr:uid="{00000000-0005-0000-0000-000050800000}"/>
    <cellStyle name="Comma 10 16" xfId="39585" xr:uid="{00000000-0005-0000-0000-000051800000}"/>
    <cellStyle name="Comma 10 17" xfId="41268" xr:uid="{00000000-0005-0000-0000-000052800000}"/>
    <cellStyle name="Comma 10 18" xfId="42951" xr:uid="{00000000-0005-0000-0000-000053800000}"/>
    <cellStyle name="Comma 10 19" xfId="44634" xr:uid="{00000000-0005-0000-0000-000054800000}"/>
    <cellStyle name="Comma 10 2" xfId="2555" xr:uid="{00000000-0005-0000-0000-000055800000}"/>
    <cellStyle name="Comma 10 2 2" xfId="17704" xr:uid="{00000000-0005-0000-0000-000056800000}"/>
    <cellStyle name="Comma 10 20" xfId="46317" xr:uid="{00000000-0005-0000-0000-000057800000}"/>
    <cellStyle name="Comma 10 21" xfId="48000" xr:uid="{00000000-0005-0000-0000-000058800000}"/>
    <cellStyle name="Comma 10 22" xfId="49683" xr:uid="{00000000-0005-0000-0000-000059800000}"/>
    <cellStyle name="Comma 10 23" xfId="51366" xr:uid="{00000000-0005-0000-0000-00005A800000}"/>
    <cellStyle name="Comma 10 24" xfId="53049" xr:uid="{00000000-0005-0000-0000-00005B800000}"/>
    <cellStyle name="Comma 10 25" xfId="54732" xr:uid="{00000000-0005-0000-0000-00005C800000}"/>
    <cellStyle name="Comma 10 26" xfId="56415" xr:uid="{00000000-0005-0000-0000-00005D800000}"/>
    <cellStyle name="Comma 10 27" xfId="58098" xr:uid="{00000000-0005-0000-0000-00005E800000}"/>
    <cellStyle name="Comma 10 28" xfId="59781" xr:uid="{00000000-0005-0000-0000-00005F800000}"/>
    <cellStyle name="Comma 10 29" xfId="61464" xr:uid="{00000000-0005-0000-0000-000060800000}"/>
    <cellStyle name="Comma 10 3" xfId="4239" xr:uid="{00000000-0005-0000-0000-000061800000}"/>
    <cellStyle name="Comma 10 3 2" xfId="19388" xr:uid="{00000000-0005-0000-0000-000062800000}"/>
    <cellStyle name="Comma 10 30" xfId="63147" xr:uid="{00000000-0005-0000-0000-000063800000}"/>
    <cellStyle name="Comma 10 4" xfId="5922" xr:uid="{00000000-0005-0000-0000-000064800000}"/>
    <cellStyle name="Comma 10 4 2" xfId="21071" xr:uid="{00000000-0005-0000-0000-000065800000}"/>
    <cellStyle name="Comma 10 5" xfId="7605" xr:uid="{00000000-0005-0000-0000-000066800000}"/>
    <cellStyle name="Comma 10 5 2" xfId="22754" xr:uid="{00000000-0005-0000-0000-000067800000}"/>
    <cellStyle name="Comma 10 6" xfId="9288" xr:uid="{00000000-0005-0000-0000-000068800000}"/>
    <cellStyle name="Comma 10 6 2" xfId="24437" xr:uid="{00000000-0005-0000-0000-000069800000}"/>
    <cellStyle name="Comma 10 7" xfId="10971" xr:uid="{00000000-0005-0000-0000-00006A800000}"/>
    <cellStyle name="Comma 10 7 2" xfId="26120" xr:uid="{00000000-0005-0000-0000-00006B800000}"/>
    <cellStyle name="Comma 10 8" xfId="12655" xr:uid="{00000000-0005-0000-0000-00006C800000}"/>
    <cellStyle name="Comma 10 8 2" xfId="27804" xr:uid="{00000000-0005-0000-0000-00006D800000}"/>
    <cellStyle name="Comma 10 9" xfId="14338" xr:uid="{00000000-0005-0000-0000-00006E800000}"/>
    <cellStyle name="Comma 10 9 2" xfId="29487" xr:uid="{00000000-0005-0000-0000-00006F800000}"/>
    <cellStyle name="Comma 11" xfId="1293" xr:uid="{00000000-0005-0000-0000-000070800000}"/>
    <cellStyle name="Comma 11 10" xfId="16442" xr:uid="{00000000-0005-0000-0000-000071800000}"/>
    <cellStyle name="Comma 11 11" xfId="31591" xr:uid="{00000000-0005-0000-0000-000072800000}"/>
    <cellStyle name="Comma 11 12" xfId="33274" xr:uid="{00000000-0005-0000-0000-000073800000}"/>
    <cellStyle name="Comma 11 13" xfId="34957" xr:uid="{00000000-0005-0000-0000-000074800000}"/>
    <cellStyle name="Comma 11 14" xfId="36640" xr:uid="{00000000-0005-0000-0000-000075800000}"/>
    <cellStyle name="Comma 11 15" xfId="38323" xr:uid="{00000000-0005-0000-0000-000076800000}"/>
    <cellStyle name="Comma 11 16" xfId="40006" xr:uid="{00000000-0005-0000-0000-000077800000}"/>
    <cellStyle name="Comma 11 17" xfId="41689" xr:uid="{00000000-0005-0000-0000-000078800000}"/>
    <cellStyle name="Comma 11 18" xfId="43372" xr:uid="{00000000-0005-0000-0000-000079800000}"/>
    <cellStyle name="Comma 11 19" xfId="45055" xr:uid="{00000000-0005-0000-0000-00007A800000}"/>
    <cellStyle name="Comma 11 2" xfId="2976" xr:uid="{00000000-0005-0000-0000-00007B800000}"/>
    <cellStyle name="Comma 11 2 2" xfId="18125" xr:uid="{00000000-0005-0000-0000-00007C800000}"/>
    <cellStyle name="Comma 11 20" xfId="46738" xr:uid="{00000000-0005-0000-0000-00007D800000}"/>
    <cellStyle name="Comma 11 21" xfId="48421" xr:uid="{00000000-0005-0000-0000-00007E800000}"/>
    <cellStyle name="Comma 11 22" xfId="50104" xr:uid="{00000000-0005-0000-0000-00007F800000}"/>
    <cellStyle name="Comma 11 23" xfId="51787" xr:uid="{00000000-0005-0000-0000-000080800000}"/>
    <cellStyle name="Comma 11 24" xfId="53470" xr:uid="{00000000-0005-0000-0000-000081800000}"/>
    <cellStyle name="Comma 11 25" xfId="55153" xr:uid="{00000000-0005-0000-0000-000082800000}"/>
    <cellStyle name="Comma 11 26" xfId="56836" xr:uid="{00000000-0005-0000-0000-000083800000}"/>
    <cellStyle name="Comma 11 27" xfId="58519" xr:uid="{00000000-0005-0000-0000-000084800000}"/>
    <cellStyle name="Comma 11 28" xfId="60202" xr:uid="{00000000-0005-0000-0000-000085800000}"/>
    <cellStyle name="Comma 11 29" xfId="61885" xr:uid="{00000000-0005-0000-0000-000086800000}"/>
    <cellStyle name="Comma 11 3" xfId="4660" xr:uid="{00000000-0005-0000-0000-000087800000}"/>
    <cellStyle name="Comma 11 3 2" xfId="19809" xr:uid="{00000000-0005-0000-0000-000088800000}"/>
    <cellStyle name="Comma 11 30" xfId="63568" xr:uid="{00000000-0005-0000-0000-000089800000}"/>
    <cellStyle name="Comma 11 4" xfId="6343" xr:uid="{00000000-0005-0000-0000-00008A800000}"/>
    <cellStyle name="Comma 11 4 2" xfId="21492" xr:uid="{00000000-0005-0000-0000-00008B800000}"/>
    <cellStyle name="Comma 11 5" xfId="8026" xr:uid="{00000000-0005-0000-0000-00008C800000}"/>
    <cellStyle name="Comma 11 5 2" xfId="23175" xr:uid="{00000000-0005-0000-0000-00008D800000}"/>
    <cellStyle name="Comma 11 6" xfId="9709" xr:uid="{00000000-0005-0000-0000-00008E800000}"/>
    <cellStyle name="Comma 11 6 2" xfId="24858" xr:uid="{00000000-0005-0000-0000-00008F800000}"/>
    <cellStyle name="Comma 11 7" xfId="11392" xr:uid="{00000000-0005-0000-0000-000090800000}"/>
    <cellStyle name="Comma 11 7 2" xfId="26541" xr:uid="{00000000-0005-0000-0000-000091800000}"/>
    <cellStyle name="Comma 11 8" xfId="13076" xr:uid="{00000000-0005-0000-0000-000092800000}"/>
    <cellStyle name="Comma 11 8 2" xfId="28225" xr:uid="{00000000-0005-0000-0000-000093800000}"/>
    <cellStyle name="Comma 11 9" xfId="14759" xr:uid="{00000000-0005-0000-0000-000094800000}"/>
    <cellStyle name="Comma 11 9 2" xfId="29908" xr:uid="{00000000-0005-0000-0000-000095800000}"/>
    <cellStyle name="Comma 12" xfId="1714" xr:uid="{00000000-0005-0000-0000-000096800000}"/>
    <cellStyle name="Comma 12 2" xfId="16863" xr:uid="{00000000-0005-0000-0000-000097800000}"/>
    <cellStyle name="Comma 13" xfId="3398" xr:uid="{00000000-0005-0000-0000-000098800000}"/>
    <cellStyle name="Comma 13 2" xfId="18547" xr:uid="{00000000-0005-0000-0000-000099800000}"/>
    <cellStyle name="Comma 14" xfId="5081" xr:uid="{00000000-0005-0000-0000-00009A800000}"/>
    <cellStyle name="Comma 14 2" xfId="20230" xr:uid="{00000000-0005-0000-0000-00009B800000}"/>
    <cellStyle name="Comma 15" xfId="6764" xr:uid="{00000000-0005-0000-0000-00009C800000}"/>
    <cellStyle name="Comma 15 2" xfId="21913" xr:uid="{00000000-0005-0000-0000-00009D800000}"/>
    <cellStyle name="Comma 16" xfId="8447" xr:uid="{00000000-0005-0000-0000-00009E800000}"/>
    <cellStyle name="Comma 16 2" xfId="23596" xr:uid="{00000000-0005-0000-0000-00009F800000}"/>
    <cellStyle name="Comma 17" xfId="10130" xr:uid="{00000000-0005-0000-0000-0000A0800000}"/>
    <cellStyle name="Comma 17 2" xfId="25279" xr:uid="{00000000-0005-0000-0000-0000A1800000}"/>
    <cellStyle name="Comma 18" xfId="11814" xr:uid="{00000000-0005-0000-0000-0000A2800000}"/>
    <cellStyle name="Comma 18 2" xfId="26963" xr:uid="{00000000-0005-0000-0000-0000A3800000}"/>
    <cellStyle name="Comma 19" xfId="13497" xr:uid="{00000000-0005-0000-0000-0000A4800000}"/>
    <cellStyle name="Comma 19 2" xfId="28646" xr:uid="{00000000-0005-0000-0000-0000A5800000}"/>
    <cellStyle name="Comma 2" xfId="4" xr:uid="{00000000-0005-0000-0000-0000A6800000}"/>
    <cellStyle name="Comma 2 10" xfId="1295" xr:uid="{00000000-0005-0000-0000-0000A7800000}"/>
    <cellStyle name="Comma 2 10 10" xfId="16444" xr:uid="{00000000-0005-0000-0000-0000A8800000}"/>
    <cellStyle name="Comma 2 10 11" xfId="31593" xr:uid="{00000000-0005-0000-0000-0000A9800000}"/>
    <cellStyle name="Comma 2 10 12" xfId="33276" xr:uid="{00000000-0005-0000-0000-0000AA800000}"/>
    <cellStyle name="Comma 2 10 13" xfId="34959" xr:uid="{00000000-0005-0000-0000-0000AB800000}"/>
    <cellStyle name="Comma 2 10 14" xfId="36642" xr:uid="{00000000-0005-0000-0000-0000AC800000}"/>
    <cellStyle name="Comma 2 10 15" xfId="38325" xr:uid="{00000000-0005-0000-0000-0000AD800000}"/>
    <cellStyle name="Comma 2 10 16" xfId="40008" xr:uid="{00000000-0005-0000-0000-0000AE800000}"/>
    <cellStyle name="Comma 2 10 17" xfId="41691" xr:uid="{00000000-0005-0000-0000-0000AF800000}"/>
    <cellStyle name="Comma 2 10 18" xfId="43374" xr:uid="{00000000-0005-0000-0000-0000B0800000}"/>
    <cellStyle name="Comma 2 10 19" xfId="45057" xr:uid="{00000000-0005-0000-0000-0000B1800000}"/>
    <cellStyle name="Comma 2 10 2" xfId="2978" xr:uid="{00000000-0005-0000-0000-0000B2800000}"/>
    <cellStyle name="Comma 2 10 2 2" xfId="18127" xr:uid="{00000000-0005-0000-0000-0000B3800000}"/>
    <cellStyle name="Comma 2 10 20" xfId="46740" xr:uid="{00000000-0005-0000-0000-0000B4800000}"/>
    <cellStyle name="Comma 2 10 21" xfId="48423" xr:uid="{00000000-0005-0000-0000-0000B5800000}"/>
    <cellStyle name="Comma 2 10 22" xfId="50106" xr:uid="{00000000-0005-0000-0000-0000B6800000}"/>
    <cellStyle name="Comma 2 10 23" xfId="51789" xr:uid="{00000000-0005-0000-0000-0000B7800000}"/>
    <cellStyle name="Comma 2 10 24" xfId="53472" xr:uid="{00000000-0005-0000-0000-0000B8800000}"/>
    <cellStyle name="Comma 2 10 25" xfId="55155" xr:uid="{00000000-0005-0000-0000-0000B9800000}"/>
    <cellStyle name="Comma 2 10 26" xfId="56838" xr:uid="{00000000-0005-0000-0000-0000BA800000}"/>
    <cellStyle name="Comma 2 10 27" xfId="58521" xr:uid="{00000000-0005-0000-0000-0000BB800000}"/>
    <cellStyle name="Comma 2 10 28" xfId="60204" xr:uid="{00000000-0005-0000-0000-0000BC800000}"/>
    <cellStyle name="Comma 2 10 29" xfId="61887" xr:uid="{00000000-0005-0000-0000-0000BD800000}"/>
    <cellStyle name="Comma 2 10 3" xfId="4662" xr:uid="{00000000-0005-0000-0000-0000BE800000}"/>
    <cellStyle name="Comma 2 10 3 2" xfId="19811" xr:uid="{00000000-0005-0000-0000-0000BF800000}"/>
    <cellStyle name="Comma 2 10 30" xfId="63570" xr:uid="{00000000-0005-0000-0000-0000C0800000}"/>
    <cellStyle name="Comma 2 10 4" xfId="6345" xr:uid="{00000000-0005-0000-0000-0000C1800000}"/>
    <cellStyle name="Comma 2 10 4 2" xfId="21494" xr:uid="{00000000-0005-0000-0000-0000C2800000}"/>
    <cellStyle name="Comma 2 10 5" xfId="8028" xr:uid="{00000000-0005-0000-0000-0000C3800000}"/>
    <cellStyle name="Comma 2 10 5 2" xfId="23177" xr:uid="{00000000-0005-0000-0000-0000C4800000}"/>
    <cellStyle name="Comma 2 10 6" xfId="9711" xr:uid="{00000000-0005-0000-0000-0000C5800000}"/>
    <cellStyle name="Comma 2 10 6 2" xfId="24860" xr:uid="{00000000-0005-0000-0000-0000C6800000}"/>
    <cellStyle name="Comma 2 10 7" xfId="11394" xr:uid="{00000000-0005-0000-0000-0000C7800000}"/>
    <cellStyle name="Comma 2 10 7 2" xfId="26543" xr:uid="{00000000-0005-0000-0000-0000C8800000}"/>
    <cellStyle name="Comma 2 10 8" xfId="13078" xr:uid="{00000000-0005-0000-0000-0000C9800000}"/>
    <cellStyle name="Comma 2 10 8 2" xfId="28227" xr:uid="{00000000-0005-0000-0000-0000CA800000}"/>
    <cellStyle name="Comma 2 10 9" xfId="14761" xr:uid="{00000000-0005-0000-0000-0000CB800000}"/>
    <cellStyle name="Comma 2 10 9 2" xfId="29910" xr:uid="{00000000-0005-0000-0000-0000CC800000}"/>
    <cellStyle name="Comma 2 11" xfId="1716" xr:uid="{00000000-0005-0000-0000-0000CD800000}"/>
    <cellStyle name="Comma 2 11 2" xfId="16865" xr:uid="{00000000-0005-0000-0000-0000CE800000}"/>
    <cellStyle name="Comma 2 12" xfId="3400" xr:uid="{00000000-0005-0000-0000-0000CF800000}"/>
    <cellStyle name="Comma 2 12 2" xfId="18549" xr:uid="{00000000-0005-0000-0000-0000D0800000}"/>
    <cellStyle name="Comma 2 13" xfId="5083" xr:uid="{00000000-0005-0000-0000-0000D1800000}"/>
    <cellStyle name="Comma 2 13 2" xfId="20232" xr:uid="{00000000-0005-0000-0000-0000D2800000}"/>
    <cellStyle name="Comma 2 14" xfId="6766" xr:uid="{00000000-0005-0000-0000-0000D3800000}"/>
    <cellStyle name="Comma 2 14 2" xfId="21915" xr:uid="{00000000-0005-0000-0000-0000D4800000}"/>
    <cellStyle name="Comma 2 15" xfId="8449" xr:uid="{00000000-0005-0000-0000-0000D5800000}"/>
    <cellStyle name="Comma 2 15 2" xfId="23598" xr:uid="{00000000-0005-0000-0000-0000D6800000}"/>
    <cellStyle name="Comma 2 16" xfId="10132" xr:uid="{00000000-0005-0000-0000-0000D7800000}"/>
    <cellStyle name="Comma 2 16 2" xfId="25281" xr:uid="{00000000-0005-0000-0000-0000D8800000}"/>
    <cellStyle name="Comma 2 17" xfId="11816" xr:uid="{00000000-0005-0000-0000-0000D9800000}"/>
    <cellStyle name="Comma 2 17 2" xfId="26965" xr:uid="{00000000-0005-0000-0000-0000DA800000}"/>
    <cellStyle name="Comma 2 18" xfId="13499" xr:uid="{00000000-0005-0000-0000-0000DB800000}"/>
    <cellStyle name="Comma 2 18 2" xfId="28648" xr:uid="{00000000-0005-0000-0000-0000DC800000}"/>
    <cellStyle name="Comma 2 19" xfId="15182" xr:uid="{00000000-0005-0000-0000-0000DD800000}"/>
    <cellStyle name="Comma 2 2" xfId="24" xr:uid="{00000000-0005-0000-0000-0000DE800000}"/>
    <cellStyle name="Comma 2 2 10" xfId="6779" xr:uid="{00000000-0005-0000-0000-0000DF800000}"/>
    <cellStyle name="Comma 2 2 10 2" xfId="21928" xr:uid="{00000000-0005-0000-0000-0000E0800000}"/>
    <cellStyle name="Comma 2 2 11" xfId="8462" xr:uid="{00000000-0005-0000-0000-0000E1800000}"/>
    <cellStyle name="Comma 2 2 11 2" xfId="23611" xr:uid="{00000000-0005-0000-0000-0000E2800000}"/>
    <cellStyle name="Comma 2 2 12" xfId="10145" xr:uid="{00000000-0005-0000-0000-0000E3800000}"/>
    <cellStyle name="Comma 2 2 12 2" xfId="25294" xr:uid="{00000000-0005-0000-0000-0000E4800000}"/>
    <cellStyle name="Comma 2 2 13" xfId="11829" xr:uid="{00000000-0005-0000-0000-0000E5800000}"/>
    <cellStyle name="Comma 2 2 13 2" xfId="26978" xr:uid="{00000000-0005-0000-0000-0000E6800000}"/>
    <cellStyle name="Comma 2 2 14" xfId="13512" xr:uid="{00000000-0005-0000-0000-0000E7800000}"/>
    <cellStyle name="Comma 2 2 14 2" xfId="28661" xr:uid="{00000000-0005-0000-0000-0000E8800000}"/>
    <cellStyle name="Comma 2 2 15" xfId="15195" xr:uid="{00000000-0005-0000-0000-0000E9800000}"/>
    <cellStyle name="Comma 2 2 16" xfId="30344" xr:uid="{00000000-0005-0000-0000-0000EA800000}"/>
    <cellStyle name="Comma 2 2 17" xfId="32027" xr:uid="{00000000-0005-0000-0000-0000EB800000}"/>
    <cellStyle name="Comma 2 2 18" xfId="33710" xr:uid="{00000000-0005-0000-0000-0000EC800000}"/>
    <cellStyle name="Comma 2 2 19" xfId="35393" xr:uid="{00000000-0005-0000-0000-0000ED800000}"/>
    <cellStyle name="Comma 2 2 2" xfId="151" xr:uid="{00000000-0005-0000-0000-0000EE800000}"/>
    <cellStyle name="Comma 2 2 2 10" xfId="8567" xr:uid="{00000000-0005-0000-0000-0000EF800000}"/>
    <cellStyle name="Comma 2 2 2 10 2" xfId="23716" xr:uid="{00000000-0005-0000-0000-0000F0800000}"/>
    <cellStyle name="Comma 2 2 2 11" xfId="10250" xr:uid="{00000000-0005-0000-0000-0000F1800000}"/>
    <cellStyle name="Comma 2 2 2 11 2" xfId="25399" xr:uid="{00000000-0005-0000-0000-0000F2800000}"/>
    <cellStyle name="Comma 2 2 2 12" xfId="11934" xr:uid="{00000000-0005-0000-0000-0000F3800000}"/>
    <cellStyle name="Comma 2 2 2 12 2" xfId="27083" xr:uid="{00000000-0005-0000-0000-0000F4800000}"/>
    <cellStyle name="Comma 2 2 2 13" xfId="13617" xr:uid="{00000000-0005-0000-0000-0000F5800000}"/>
    <cellStyle name="Comma 2 2 2 13 2" xfId="28766" xr:uid="{00000000-0005-0000-0000-0000F6800000}"/>
    <cellStyle name="Comma 2 2 2 14" xfId="15300" xr:uid="{00000000-0005-0000-0000-0000F7800000}"/>
    <cellStyle name="Comma 2 2 2 15" xfId="30449" xr:uid="{00000000-0005-0000-0000-0000F8800000}"/>
    <cellStyle name="Comma 2 2 2 16" xfId="32132" xr:uid="{00000000-0005-0000-0000-0000F9800000}"/>
    <cellStyle name="Comma 2 2 2 17" xfId="33815" xr:uid="{00000000-0005-0000-0000-0000FA800000}"/>
    <cellStyle name="Comma 2 2 2 18" xfId="35498" xr:uid="{00000000-0005-0000-0000-0000FB800000}"/>
    <cellStyle name="Comma 2 2 2 19" xfId="37181" xr:uid="{00000000-0005-0000-0000-0000FC800000}"/>
    <cellStyle name="Comma 2 2 2 2" xfId="361" xr:uid="{00000000-0005-0000-0000-0000FD800000}"/>
    <cellStyle name="Comma 2 2 2 2 10" xfId="10460" xr:uid="{00000000-0005-0000-0000-0000FE800000}"/>
    <cellStyle name="Comma 2 2 2 2 10 2" xfId="25609" xr:uid="{00000000-0005-0000-0000-0000FF800000}"/>
    <cellStyle name="Comma 2 2 2 2 11" xfId="12144" xr:uid="{00000000-0005-0000-0000-000000810000}"/>
    <cellStyle name="Comma 2 2 2 2 11 2" xfId="27293" xr:uid="{00000000-0005-0000-0000-000001810000}"/>
    <cellStyle name="Comma 2 2 2 2 12" xfId="13827" xr:uid="{00000000-0005-0000-0000-000002810000}"/>
    <cellStyle name="Comma 2 2 2 2 12 2" xfId="28976" xr:uid="{00000000-0005-0000-0000-000003810000}"/>
    <cellStyle name="Comma 2 2 2 2 13" xfId="15510" xr:uid="{00000000-0005-0000-0000-000004810000}"/>
    <cellStyle name="Comma 2 2 2 2 14" xfId="30659" xr:uid="{00000000-0005-0000-0000-000005810000}"/>
    <cellStyle name="Comma 2 2 2 2 15" xfId="32342" xr:uid="{00000000-0005-0000-0000-000006810000}"/>
    <cellStyle name="Comma 2 2 2 2 16" xfId="34025" xr:uid="{00000000-0005-0000-0000-000007810000}"/>
    <cellStyle name="Comma 2 2 2 2 17" xfId="35708" xr:uid="{00000000-0005-0000-0000-000008810000}"/>
    <cellStyle name="Comma 2 2 2 2 18" xfId="37391" xr:uid="{00000000-0005-0000-0000-000009810000}"/>
    <cellStyle name="Comma 2 2 2 2 19" xfId="39074" xr:uid="{00000000-0005-0000-0000-00000A810000}"/>
    <cellStyle name="Comma 2 2 2 2 2" xfId="781" xr:uid="{00000000-0005-0000-0000-00000B810000}"/>
    <cellStyle name="Comma 2 2 2 2 2 10" xfId="15930" xr:uid="{00000000-0005-0000-0000-00000C810000}"/>
    <cellStyle name="Comma 2 2 2 2 2 11" xfId="31079" xr:uid="{00000000-0005-0000-0000-00000D810000}"/>
    <cellStyle name="Comma 2 2 2 2 2 12" xfId="32762" xr:uid="{00000000-0005-0000-0000-00000E810000}"/>
    <cellStyle name="Comma 2 2 2 2 2 13" xfId="34445" xr:uid="{00000000-0005-0000-0000-00000F810000}"/>
    <cellStyle name="Comma 2 2 2 2 2 14" xfId="36128" xr:uid="{00000000-0005-0000-0000-000010810000}"/>
    <cellStyle name="Comma 2 2 2 2 2 15" xfId="37811" xr:uid="{00000000-0005-0000-0000-000011810000}"/>
    <cellStyle name="Comma 2 2 2 2 2 16" xfId="39494" xr:uid="{00000000-0005-0000-0000-000012810000}"/>
    <cellStyle name="Comma 2 2 2 2 2 17" xfId="41177" xr:uid="{00000000-0005-0000-0000-000013810000}"/>
    <cellStyle name="Comma 2 2 2 2 2 18" xfId="42860" xr:uid="{00000000-0005-0000-0000-000014810000}"/>
    <cellStyle name="Comma 2 2 2 2 2 19" xfId="44543" xr:uid="{00000000-0005-0000-0000-000015810000}"/>
    <cellStyle name="Comma 2 2 2 2 2 2" xfId="2464" xr:uid="{00000000-0005-0000-0000-000016810000}"/>
    <cellStyle name="Comma 2 2 2 2 2 2 2" xfId="17613" xr:uid="{00000000-0005-0000-0000-000017810000}"/>
    <cellStyle name="Comma 2 2 2 2 2 20" xfId="46226" xr:uid="{00000000-0005-0000-0000-000018810000}"/>
    <cellStyle name="Comma 2 2 2 2 2 21" xfId="47909" xr:uid="{00000000-0005-0000-0000-000019810000}"/>
    <cellStyle name="Comma 2 2 2 2 2 22" xfId="49592" xr:uid="{00000000-0005-0000-0000-00001A810000}"/>
    <cellStyle name="Comma 2 2 2 2 2 23" xfId="51275" xr:uid="{00000000-0005-0000-0000-00001B810000}"/>
    <cellStyle name="Comma 2 2 2 2 2 24" xfId="52958" xr:uid="{00000000-0005-0000-0000-00001C810000}"/>
    <cellStyle name="Comma 2 2 2 2 2 25" xfId="54641" xr:uid="{00000000-0005-0000-0000-00001D810000}"/>
    <cellStyle name="Comma 2 2 2 2 2 26" xfId="56324" xr:uid="{00000000-0005-0000-0000-00001E810000}"/>
    <cellStyle name="Comma 2 2 2 2 2 27" xfId="58007" xr:uid="{00000000-0005-0000-0000-00001F810000}"/>
    <cellStyle name="Comma 2 2 2 2 2 28" xfId="59690" xr:uid="{00000000-0005-0000-0000-000020810000}"/>
    <cellStyle name="Comma 2 2 2 2 2 29" xfId="61373" xr:uid="{00000000-0005-0000-0000-000021810000}"/>
    <cellStyle name="Comma 2 2 2 2 2 3" xfId="4148" xr:uid="{00000000-0005-0000-0000-000022810000}"/>
    <cellStyle name="Comma 2 2 2 2 2 3 2" xfId="19297" xr:uid="{00000000-0005-0000-0000-000023810000}"/>
    <cellStyle name="Comma 2 2 2 2 2 30" xfId="63056" xr:uid="{00000000-0005-0000-0000-000024810000}"/>
    <cellStyle name="Comma 2 2 2 2 2 4" xfId="5831" xr:uid="{00000000-0005-0000-0000-000025810000}"/>
    <cellStyle name="Comma 2 2 2 2 2 4 2" xfId="20980" xr:uid="{00000000-0005-0000-0000-000026810000}"/>
    <cellStyle name="Comma 2 2 2 2 2 5" xfId="7514" xr:uid="{00000000-0005-0000-0000-000027810000}"/>
    <cellStyle name="Comma 2 2 2 2 2 5 2" xfId="22663" xr:uid="{00000000-0005-0000-0000-000028810000}"/>
    <cellStyle name="Comma 2 2 2 2 2 6" xfId="9197" xr:uid="{00000000-0005-0000-0000-000029810000}"/>
    <cellStyle name="Comma 2 2 2 2 2 6 2" xfId="24346" xr:uid="{00000000-0005-0000-0000-00002A810000}"/>
    <cellStyle name="Comma 2 2 2 2 2 7" xfId="10880" xr:uid="{00000000-0005-0000-0000-00002B810000}"/>
    <cellStyle name="Comma 2 2 2 2 2 7 2" xfId="26029" xr:uid="{00000000-0005-0000-0000-00002C810000}"/>
    <cellStyle name="Comma 2 2 2 2 2 8" xfId="12564" xr:uid="{00000000-0005-0000-0000-00002D810000}"/>
    <cellStyle name="Comma 2 2 2 2 2 8 2" xfId="27713" xr:uid="{00000000-0005-0000-0000-00002E810000}"/>
    <cellStyle name="Comma 2 2 2 2 2 9" xfId="14247" xr:uid="{00000000-0005-0000-0000-00002F810000}"/>
    <cellStyle name="Comma 2 2 2 2 2 9 2" xfId="29396" xr:uid="{00000000-0005-0000-0000-000030810000}"/>
    <cellStyle name="Comma 2 2 2 2 20" xfId="40757" xr:uid="{00000000-0005-0000-0000-000031810000}"/>
    <cellStyle name="Comma 2 2 2 2 21" xfId="42440" xr:uid="{00000000-0005-0000-0000-000032810000}"/>
    <cellStyle name="Comma 2 2 2 2 22" xfId="44123" xr:uid="{00000000-0005-0000-0000-000033810000}"/>
    <cellStyle name="Comma 2 2 2 2 23" xfId="45806" xr:uid="{00000000-0005-0000-0000-000034810000}"/>
    <cellStyle name="Comma 2 2 2 2 24" xfId="47489" xr:uid="{00000000-0005-0000-0000-000035810000}"/>
    <cellStyle name="Comma 2 2 2 2 25" xfId="49172" xr:uid="{00000000-0005-0000-0000-000036810000}"/>
    <cellStyle name="Comma 2 2 2 2 26" xfId="50855" xr:uid="{00000000-0005-0000-0000-000037810000}"/>
    <cellStyle name="Comma 2 2 2 2 27" xfId="52538" xr:uid="{00000000-0005-0000-0000-000038810000}"/>
    <cellStyle name="Comma 2 2 2 2 28" xfId="54221" xr:uid="{00000000-0005-0000-0000-000039810000}"/>
    <cellStyle name="Comma 2 2 2 2 29" xfId="55904" xr:uid="{00000000-0005-0000-0000-00003A810000}"/>
    <cellStyle name="Comma 2 2 2 2 3" xfId="1202" xr:uid="{00000000-0005-0000-0000-00003B810000}"/>
    <cellStyle name="Comma 2 2 2 2 3 10" xfId="16351" xr:uid="{00000000-0005-0000-0000-00003C810000}"/>
    <cellStyle name="Comma 2 2 2 2 3 11" xfId="31500" xr:uid="{00000000-0005-0000-0000-00003D810000}"/>
    <cellStyle name="Comma 2 2 2 2 3 12" xfId="33183" xr:uid="{00000000-0005-0000-0000-00003E810000}"/>
    <cellStyle name="Comma 2 2 2 2 3 13" xfId="34866" xr:uid="{00000000-0005-0000-0000-00003F810000}"/>
    <cellStyle name="Comma 2 2 2 2 3 14" xfId="36549" xr:uid="{00000000-0005-0000-0000-000040810000}"/>
    <cellStyle name="Comma 2 2 2 2 3 15" xfId="38232" xr:uid="{00000000-0005-0000-0000-000041810000}"/>
    <cellStyle name="Comma 2 2 2 2 3 16" xfId="39915" xr:uid="{00000000-0005-0000-0000-000042810000}"/>
    <cellStyle name="Comma 2 2 2 2 3 17" xfId="41598" xr:uid="{00000000-0005-0000-0000-000043810000}"/>
    <cellStyle name="Comma 2 2 2 2 3 18" xfId="43281" xr:uid="{00000000-0005-0000-0000-000044810000}"/>
    <cellStyle name="Comma 2 2 2 2 3 19" xfId="44964" xr:uid="{00000000-0005-0000-0000-000045810000}"/>
    <cellStyle name="Comma 2 2 2 2 3 2" xfId="2885" xr:uid="{00000000-0005-0000-0000-000046810000}"/>
    <cellStyle name="Comma 2 2 2 2 3 2 2" xfId="18034" xr:uid="{00000000-0005-0000-0000-000047810000}"/>
    <cellStyle name="Comma 2 2 2 2 3 20" xfId="46647" xr:uid="{00000000-0005-0000-0000-000048810000}"/>
    <cellStyle name="Comma 2 2 2 2 3 21" xfId="48330" xr:uid="{00000000-0005-0000-0000-000049810000}"/>
    <cellStyle name="Comma 2 2 2 2 3 22" xfId="50013" xr:uid="{00000000-0005-0000-0000-00004A810000}"/>
    <cellStyle name="Comma 2 2 2 2 3 23" xfId="51696" xr:uid="{00000000-0005-0000-0000-00004B810000}"/>
    <cellStyle name="Comma 2 2 2 2 3 24" xfId="53379" xr:uid="{00000000-0005-0000-0000-00004C810000}"/>
    <cellStyle name="Comma 2 2 2 2 3 25" xfId="55062" xr:uid="{00000000-0005-0000-0000-00004D810000}"/>
    <cellStyle name="Comma 2 2 2 2 3 26" xfId="56745" xr:uid="{00000000-0005-0000-0000-00004E810000}"/>
    <cellStyle name="Comma 2 2 2 2 3 27" xfId="58428" xr:uid="{00000000-0005-0000-0000-00004F810000}"/>
    <cellStyle name="Comma 2 2 2 2 3 28" xfId="60111" xr:uid="{00000000-0005-0000-0000-000050810000}"/>
    <cellStyle name="Comma 2 2 2 2 3 29" xfId="61794" xr:uid="{00000000-0005-0000-0000-000051810000}"/>
    <cellStyle name="Comma 2 2 2 2 3 3" xfId="4569" xr:uid="{00000000-0005-0000-0000-000052810000}"/>
    <cellStyle name="Comma 2 2 2 2 3 3 2" xfId="19718" xr:uid="{00000000-0005-0000-0000-000053810000}"/>
    <cellStyle name="Comma 2 2 2 2 3 30" xfId="63477" xr:uid="{00000000-0005-0000-0000-000054810000}"/>
    <cellStyle name="Comma 2 2 2 2 3 4" xfId="6252" xr:uid="{00000000-0005-0000-0000-000055810000}"/>
    <cellStyle name="Comma 2 2 2 2 3 4 2" xfId="21401" xr:uid="{00000000-0005-0000-0000-000056810000}"/>
    <cellStyle name="Comma 2 2 2 2 3 5" xfId="7935" xr:uid="{00000000-0005-0000-0000-000057810000}"/>
    <cellStyle name="Comma 2 2 2 2 3 5 2" xfId="23084" xr:uid="{00000000-0005-0000-0000-000058810000}"/>
    <cellStyle name="Comma 2 2 2 2 3 6" xfId="9618" xr:uid="{00000000-0005-0000-0000-000059810000}"/>
    <cellStyle name="Comma 2 2 2 2 3 6 2" xfId="24767" xr:uid="{00000000-0005-0000-0000-00005A810000}"/>
    <cellStyle name="Comma 2 2 2 2 3 7" xfId="11301" xr:uid="{00000000-0005-0000-0000-00005B810000}"/>
    <cellStyle name="Comma 2 2 2 2 3 7 2" xfId="26450" xr:uid="{00000000-0005-0000-0000-00005C810000}"/>
    <cellStyle name="Comma 2 2 2 2 3 8" xfId="12985" xr:uid="{00000000-0005-0000-0000-00005D810000}"/>
    <cellStyle name="Comma 2 2 2 2 3 8 2" xfId="28134" xr:uid="{00000000-0005-0000-0000-00005E810000}"/>
    <cellStyle name="Comma 2 2 2 2 3 9" xfId="14668" xr:uid="{00000000-0005-0000-0000-00005F810000}"/>
    <cellStyle name="Comma 2 2 2 2 3 9 2" xfId="29817" xr:uid="{00000000-0005-0000-0000-000060810000}"/>
    <cellStyle name="Comma 2 2 2 2 30" xfId="57587" xr:uid="{00000000-0005-0000-0000-000061810000}"/>
    <cellStyle name="Comma 2 2 2 2 31" xfId="59270" xr:uid="{00000000-0005-0000-0000-000062810000}"/>
    <cellStyle name="Comma 2 2 2 2 32" xfId="60953" xr:uid="{00000000-0005-0000-0000-000063810000}"/>
    <cellStyle name="Comma 2 2 2 2 33" xfId="62636" xr:uid="{00000000-0005-0000-0000-000064810000}"/>
    <cellStyle name="Comma 2 2 2 2 4" xfId="1623" xr:uid="{00000000-0005-0000-0000-000065810000}"/>
    <cellStyle name="Comma 2 2 2 2 4 10" xfId="16772" xr:uid="{00000000-0005-0000-0000-000066810000}"/>
    <cellStyle name="Comma 2 2 2 2 4 11" xfId="31921" xr:uid="{00000000-0005-0000-0000-000067810000}"/>
    <cellStyle name="Comma 2 2 2 2 4 12" xfId="33604" xr:uid="{00000000-0005-0000-0000-000068810000}"/>
    <cellStyle name="Comma 2 2 2 2 4 13" xfId="35287" xr:uid="{00000000-0005-0000-0000-000069810000}"/>
    <cellStyle name="Comma 2 2 2 2 4 14" xfId="36970" xr:uid="{00000000-0005-0000-0000-00006A810000}"/>
    <cellStyle name="Comma 2 2 2 2 4 15" xfId="38653" xr:uid="{00000000-0005-0000-0000-00006B810000}"/>
    <cellStyle name="Comma 2 2 2 2 4 16" xfId="40336" xr:uid="{00000000-0005-0000-0000-00006C810000}"/>
    <cellStyle name="Comma 2 2 2 2 4 17" xfId="42019" xr:uid="{00000000-0005-0000-0000-00006D810000}"/>
    <cellStyle name="Comma 2 2 2 2 4 18" xfId="43702" xr:uid="{00000000-0005-0000-0000-00006E810000}"/>
    <cellStyle name="Comma 2 2 2 2 4 19" xfId="45385" xr:uid="{00000000-0005-0000-0000-00006F810000}"/>
    <cellStyle name="Comma 2 2 2 2 4 2" xfId="3306" xr:uid="{00000000-0005-0000-0000-000070810000}"/>
    <cellStyle name="Comma 2 2 2 2 4 2 2" xfId="18455" xr:uid="{00000000-0005-0000-0000-000071810000}"/>
    <cellStyle name="Comma 2 2 2 2 4 20" xfId="47068" xr:uid="{00000000-0005-0000-0000-000072810000}"/>
    <cellStyle name="Comma 2 2 2 2 4 21" xfId="48751" xr:uid="{00000000-0005-0000-0000-000073810000}"/>
    <cellStyle name="Comma 2 2 2 2 4 22" xfId="50434" xr:uid="{00000000-0005-0000-0000-000074810000}"/>
    <cellStyle name="Comma 2 2 2 2 4 23" xfId="52117" xr:uid="{00000000-0005-0000-0000-000075810000}"/>
    <cellStyle name="Comma 2 2 2 2 4 24" xfId="53800" xr:uid="{00000000-0005-0000-0000-000076810000}"/>
    <cellStyle name="Comma 2 2 2 2 4 25" xfId="55483" xr:uid="{00000000-0005-0000-0000-000077810000}"/>
    <cellStyle name="Comma 2 2 2 2 4 26" xfId="57166" xr:uid="{00000000-0005-0000-0000-000078810000}"/>
    <cellStyle name="Comma 2 2 2 2 4 27" xfId="58849" xr:uid="{00000000-0005-0000-0000-000079810000}"/>
    <cellStyle name="Comma 2 2 2 2 4 28" xfId="60532" xr:uid="{00000000-0005-0000-0000-00007A810000}"/>
    <cellStyle name="Comma 2 2 2 2 4 29" xfId="62215" xr:uid="{00000000-0005-0000-0000-00007B810000}"/>
    <cellStyle name="Comma 2 2 2 2 4 3" xfId="4990" xr:uid="{00000000-0005-0000-0000-00007C810000}"/>
    <cellStyle name="Comma 2 2 2 2 4 3 2" xfId="20139" xr:uid="{00000000-0005-0000-0000-00007D810000}"/>
    <cellStyle name="Comma 2 2 2 2 4 30" xfId="63898" xr:uid="{00000000-0005-0000-0000-00007E810000}"/>
    <cellStyle name="Comma 2 2 2 2 4 4" xfId="6673" xr:uid="{00000000-0005-0000-0000-00007F810000}"/>
    <cellStyle name="Comma 2 2 2 2 4 4 2" xfId="21822" xr:uid="{00000000-0005-0000-0000-000080810000}"/>
    <cellStyle name="Comma 2 2 2 2 4 5" xfId="8356" xr:uid="{00000000-0005-0000-0000-000081810000}"/>
    <cellStyle name="Comma 2 2 2 2 4 5 2" xfId="23505" xr:uid="{00000000-0005-0000-0000-000082810000}"/>
    <cellStyle name="Comma 2 2 2 2 4 6" xfId="10039" xr:uid="{00000000-0005-0000-0000-000083810000}"/>
    <cellStyle name="Comma 2 2 2 2 4 6 2" xfId="25188" xr:uid="{00000000-0005-0000-0000-000084810000}"/>
    <cellStyle name="Comma 2 2 2 2 4 7" xfId="11722" xr:uid="{00000000-0005-0000-0000-000085810000}"/>
    <cellStyle name="Comma 2 2 2 2 4 7 2" xfId="26871" xr:uid="{00000000-0005-0000-0000-000086810000}"/>
    <cellStyle name="Comma 2 2 2 2 4 8" xfId="13406" xr:uid="{00000000-0005-0000-0000-000087810000}"/>
    <cellStyle name="Comma 2 2 2 2 4 8 2" xfId="28555" xr:uid="{00000000-0005-0000-0000-000088810000}"/>
    <cellStyle name="Comma 2 2 2 2 4 9" xfId="15089" xr:uid="{00000000-0005-0000-0000-000089810000}"/>
    <cellStyle name="Comma 2 2 2 2 4 9 2" xfId="30238" xr:uid="{00000000-0005-0000-0000-00008A810000}"/>
    <cellStyle name="Comma 2 2 2 2 5" xfId="2044" xr:uid="{00000000-0005-0000-0000-00008B810000}"/>
    <cellStyle name="Comma 2 2 2 2 5 2" xfId="17193" xr:uid="{00000000-0005-0000-0000-00008C810000}"/>
    <cellStyle name="Comma 2 2 2 2 6" xfId="3728" xr:uid="{00000000-0005-0000-0000-00008D810000}"/>
    <cellStyle name="Comma 2 2 2 2 6 2" xfId="18877" xr:uid="{00000000-0005-0000-0000-00008E810000}"/>
    <cellStyle name="Comma 2 2 2 2 7" xfId="5411" xr:uid="{00000000-0005-0000-0000-00008F810000}"/>
    <cellStyle name="Comma 2 2 2 2 7 2" xfId="20560" xr:uid="{00000000-0005-0000-0000-000090810000}"/>
    <cellStyle name="Comma 2 2 2 2 8" xfId="7094" xr:uid="{00000000-0005-0000-0000-000091810000}"/>
    <cellStyle name="Comma 2 2 2 2 8 2" xfId="22243" xr:uid="{00000000-0005-0000-0000-000092810000}"/>
    <cellStyle name="Comma 2 2 2 2 9" xfId="8777" xr:uid="{00000000-0005-0000-0000-000093810000}"/>
    <cellStyle name="Comma 2 2 2 2 9 2" xfId="23926" xr:uid="{00000000-0005-0000-0000-000094810000}"/>
    <cellStyle name="Comma 2 2 2 20" xfId="38864" xr:uid="{00000000-0005-0000-0000-000095810000}"/>
    <cellStyle name="Comma 2 2 2 21" xfId="40547" xr:uid="{00000000-0005-0000-0000-000096810000}"/>
    <cellStyle name="Comma 2 2 2 22" xfId="42230" xr:uid="{00000000-0005-0000-0000-000097810000}"/>
    <cellStyle name="Comma 2 2 2 23" xfId="43913" xr:uid="{00000000-0005-0000-0000-000098810000}"/>
    <cellStyle name="Comma 2 2 2 24" xfId="45596" xr:uid="{00000000-0005-0000-0000-000099810000}"/>
    <cellStyle name="Comma 2 2 2 25" xfId="47279" xr:uid="{00000000-0005-0000-0000-00009A810000}"/>
    <cellStyle name="Comma 2 2 2 26" xfId="48962" xr:uid="{00000000-0005-0000-0000-00009B810000}"/>
    <cellStyle name="Comma 2 2 2 27" xfId="50645" xr:uid="{00000000-0005-0000-0000-00009C810000}"/>
    <cellStyle name="Comma 2 2 2 28" xfId="52328" xr:uid="{00000000-0005-0000-0000-00009D810000}"/>
    <cellStyle name="Comma 2 2 2 29" xfId="54011" xr:uid="{00000000-0005-0000-0000-00009E810000}"/>
    <cellStyle name="Comma 2 2 2 3" xfId="571" xr:uid="{00000000-0005-0000-0000-00009F810000}"/>
    <cellStyle name="Comma 2 2 2 3 10" xfId="15720" xr:uid="{00000000-0005-0000-0000-0000A0810000}"/>
    <cellStyle name="Comma 2 2 2 3 11" xfId="30869" xr:uid="{00000000-0005-0000-0000-0000A1810000}"/>
    <cellStyle name="Comma 2 2 2 3 12" xfId="32552" xr:uid="{00000000-0005-0000-0000-0000A2810000}"/>
    <cellStyle name="Comma 2 2 2 3 13" xfId="34235" xr:uid="{00000000-0005-0000-0000-0000A3810000}"/>
    <cellStyle name="Comma 2 2 2 3 14" xfId="35918" xr:uid="{00000000-0005-0000-0000-0000A4810000}"/>
    <cellStyle name="Comma 2 2 2 3 15" xfId="37601" xr:uid="{00000000-0005-0000-0000-0000A5810000}"/>
    <cellStyle name="Comma 2 2 2 3 16" xfId="39284" xr:uid="{00000000-0005-0000-0000-0000A6810000}"/>
    <cellStyle name="Comma 2 2 2 3 17" xfId="40967" xr:uid="{00000000-0005-0000-0000-0000A7810000}"/>
    <cellStyle name="Comma 2 2 2 3 18" xfId="42650" xr:uid="{00000000-0005-0000-0000-0000A8810000}"/>
    <cellStyle name="Comma 2 2 2 3 19" xfId="44333" xr:uid="{00000000-0005-0000-0000-0000A9810000}"/>
    <cellStyle name="Comma 2 2 2 3 2" xfId="2254" xr:uid="{00000000-0005-0000-0000-0000AA810000}"/>
    <cellStyle name="Comma 2 2 2 3 2 2" xfId="17403" xr:uid="{00000000-0005-0000-0000-0000AB810000}"/>
    <cellStyle name="Comma 2 2 2 3 20" xfId="46016" xr:uid="{00000000-0005-0000-0000-0000AC810000}"/>
    <cellStyle name="Comma 2 2 2 3 21" xfId="47699" xr:uid="{00000000-0005-0000-0000-0000AD810000}"/>
    <cellStyle name="Comma 2 2 2 3 22" xfId="49382" xr:uid="{00000000-0005-0000-0000-0000AE810000}"/>
    <cellStyle name="Comma 2 2 2 3 23" xfId="51065" xr:uid="{00000000-0005-0000-0000-0000AF810000}"/>
    <cellStyle name="Comma 2 2 2 3 24" xfId="52748" xr:uid="{00000000-0005-0000-0000-0000B0810000}"/>
    <cellStyle name="Comma 2 2 2 3 25" xfId="54431" xr:uid="{00000000-0005-0000-0000-0000B1810000}"/>
    <cellStyle name="Comma 2 2 2 3 26" xfId="56114" xr:uid="{00000000-0005-0000-0000-0000B2810000}"/>
    <cellStyle name="Comma 2 2 2 3 27" xfId="57797" xr:uid="{00000000-0005-0000-0000-0000B3810000}"/>
    <cellStyle name="Comma 2 2 2 3 28" xfId="59480" xr:uid="{00000000-0005-0000-0000-0000B4810000}"/>
    <cellStyle name="Comma 2 2 2 3 29" xfId="61163" xr:uid="{00000000-0005-0000-0000-0000B5810000}"/>
    <cellStyle name="Comma 2 2 2 3 3" xfId="3938" xr:uid="{00000000-0005-0000-0000-0000B6810000}"/>
    <cellStyle name="Comma 2 2 2 3 3 2" xfId="19087" xr:uid="{00000000-0005-0000-0000-0000B7810000}"/>
    <cellStyle name="Comma 2 2 2 3 30" xfId="62846" xr:uid="{00000000-0005-0000-0000-0000B8810000}"/>
    <cellStyle name="Comma 2 2 2 3 4" xfId="5621" xr:uid="{00000000-0005-0000-0000-0000B9810000}"/>
    <cellStyle name="Comma 2 2 2 3 4 2" xfId="20770" xr:uid="{00000000-0005-0000-0000-0000BA810000}"/>
    <cellStyle name="Comma 2 2 2 3 5" xfId="7304" xr:uid="{00000000-0005-0000-0000-0000BB810000}"/>
    <cellStyle name="Comma 2 2 2 3 5 2" xfId="22453" xr:uid="{00000000-0005-0000-0000-0000BC810000}"/>
    <cellStyle name="Comma 2 2 2 3 6" xfId="8987" xr:uid="{00000000-0005-0000-0000-0000BD810000}"/>
    <cellStyle name="Comma 2 2 2 3 6 2" xfId="24136" xr:uid="{00000000-0005-0000-0000-0000BE810000}"/>
    <cellStyle name="Comma 2 2 2 3 7" xfId="10670" xr:uid="{00000000-0005-0000-0000-0000BF810000}"/>
    <cellStyle name="Comma 2 2 2 3 7 2" xfId="25819" xr:uid="{00000000-0005-0000-0000-0000C0810000}"/>
    <cellStyle name="Comma 2 2 2 3 8" xfId="12354" xr:uid="{00000000-0005-0000-0000-0000C1810000}"/>
    <cellStyle name="Comma 2 2 2 3 8 2" xfId="27503" xr:uid="{00000000-0005-0000-0000-0000C2810000}"/>
    <cellStyle name="Comma 2 2 2 3 9" xfId="14037" xr:uid="{00000000-0005-0000-0000-0000C3810000}"/>
    <cellStyle name="Comma 2 2 2 3 9 2" xfId="29186" xr:uid="{00000000-0005-0000-0000-0000C4810000}"/>
    <cellStyle name="Comma 2 2 2 30" xfId="55694" xr:uid="{00000000-0005-0000-0000-0000C5810000}"/>
    <cellStyle name="Comma 2 2 2 31" xfId="57377" xr:uid="{00000000-0005-0000-0000-0000C6810000}"/>
    <cellStyle name="Comma 2 2 2 32" xfId="59060" xr:uid="{00000000-0005-0000-0000-0000C7810000}"/>
    <cellStyle name="Comma 2 2 2 33" xfId="60743" xr:uid="{00000000-0005-0000-0000-0000C8810000}"/>
    <cellStyle name="Comma 2 2 2 34" xfId="62426" xr:uid="{00000000-0005-0000-0000-0000C9810000}"/>
    <cellStyle name="Comma 2 2 2 4" xfId="992" xr:uid="{00000000-0005-0000-0000-0000CA810000}"/>
    <cellStyle name="Comma 2 2 2 4 10" xfId="16141" xr:uid="{00000000-0005-0000-0000-0000CB810000}"/>
    <cellStyle name="Comma 2 2 2 4 11" xfId="31290" xr:uid="{00000000-0005-0000-0000-0000CC810000}"/>
    <cellStyle name="Comma 2 2 2 4 12" xfId="32973" xr:uid="{00000000-0005-0000-0000-0000CD810000}"/>
    <cellStyle name="Comma 2 2 2 4 13" xfId="34656" xr:uid="{00000000-0005-0000-0000-0000CE810000}"/>
    <cellStyle name="Comma 2 2 2 4 14" xfId="36339" xr:uid="{00000000-0005-0000-0000-0000CF810000}"/>
    <cellStyle name="Comma 2 2 2 4 15" xfId="38022" xr:uid="{00000000-0005-0000-0000-0000D0810000}"/>
    <cellStyle name="Comma 2 2 2 4 16" xfId="39705" xr:uid="{00000000-0005-0000-0000-0000D1810000}"/>
    <cellStyle name="Comma 2 2 2 4 17" xfId="41388" xr:uid="{00000000-0005-0000-0000-0000D2810000}"/>
    <cellStyle name="Comma 2 2 2 4 18" xfId="43071" xr:uid="{00000000-0005-0000-0000-0000D3810000}"/>
    <cellStyle name="Comma 2 2 2 4 19" xfId="44754" xr:uid="{00000000-0005-0000-0000-0000D4810000}"/>
    <cellStyle name="Comma 2 2 2 4 2" xfId="2675" xr:uid="{00000000-0005-0000-0000-0000D5810000}"/>
    <cellStyle name="Comma 2 2 2 4 2 2" xfId="17824" xr:uid="{00000000-0005-0000-0000-0000D6810000}"/>
    <cellStyle name="Comma 2 2 2 4 20" xfId="46437" xr:uid="{00000000-0005-0000-0000-0000D7810000}"/>
    <cellStyle name="Comma 2 2 2 4 21" xfId="48120" xr:uid="{00000000-0005-0000-0000-0000D8810000}"/>
    <cellStyle name="Comma 2 2 2 4 22" xfId="49803" xr:uid="{00000000-0005-0000-0000-0000D9810000}"/>
    <cellStyle name="Comma 2 2 2 4 23" xfId="51486" xr:uid="{00000000-0005-0000-0000-0000DA810000}"/>
    <cellStyle name="Comma 2 2 2 4 24" xfId="53169" xr:uid="{00000000-0005-0000-0000-0000DB810000}"/>
    <cellStyle name="Comma 2 2 2 4 25" xfId="54852" xr:uid="{00000000-0005-0000-0000-0000DC810000}"/>
    <cellStyle name="Comma 2 2 2 4 26" xfId="56535" xr:uid="{00000000-0005-0000-0000-0000DD810000}"/>
    <cellStyle name="Comma 2 2 2 4 27" xfId="58218" xr:uid="{00000000-0005-0000-0000-0000DE810000}"/>
    <cellStyle name="Comma 2 2 2 4 28" xfId="59901" xr:uid="{00000000-0005-0000-0000-0000DF810000}"/>
    <cellStyle name="Comma 2 2 2 4 29" xfId="61584" xr:uid="{00000000-0005-0000-0000-0000E0810000}"/>
    <cellStyle name="Comma 2 2 2 4 3" xfId="4359" xr:uid="{00000000-0005-0000-0000-0000E1810000}"/>
    <cellStyle name="Comma 2 2 2 4 3 2" xfId="19508" xr:uid="{00000000-0005-0000-0000-0000E2810000}"/>
    <cellStyle name="Comma 2 2 2 4 30" xfId="63267" xr:uid="{00000000-0005-0000-0000-0000E3810000}"/>
    <cellStyle name="Comma 2 2 2 4 4" xfId="6042" xr:uid="{00000000-0005-0000-0000-0000E4810000}"/>
    <cellStyle name="Comma 2 2 2 4 4 2" xfId="21191" xr:uid="{00000000-0005-0000-0000-0000E5810000}"/>
    <cellStyle name="Comma 2 2 2 4 5" xfId="7725" xr:uid="{00000000-0005-0000-0000-0000E6810000}"/>
    <cellStyle name="Comma 2 2 2 4 5 2" xfId="22874" xr:uid="{00000000-0005-0000-0000-0000E7810000}"/>
    <cellStyle name="Comma 2 2 2 4 6" xfId="9408" xr:uid="{00000000-0005-0000-0000-0000E8810000}"/>
    <cellStyle name="Comma 2 2 2 4 6 2" xfId="24557" xr:uid="{00000000-0005-0000-0000-0000E9810000}"/>
    <cellStyle name="Comma 2 2 2 4 7" xfId="11091" xr:uid="{00000000-0005-0000-0000-0000EA810000}"/>
    <cellStyle name="Comma 2 2 2 4 7 2" xfId="26240" xr:uid="{00000000-0005-0000-0000-0000EB810000}"/>
    <cellStyle name="Comma 2 2 2 4 8" xfId="12775" xr:uid="{00000000-0005-0000-0000-0000EC810000}"/>
    <cellStyle name="Comma 2 2 2 4 8 2" xfId="27924" xr:uid="{00000000-0005-0000-0000-0000ED810000}"/>
    <cellStyle name="Comma 2 2 2 4 9" xfId="14458" xr:uid="{00000000-0005-0000-0000-0000EE810000}"/>
    <cellStyle name="Comma 2 2 2 4 9 2" xfId="29607" xr:uid="{00000000-0005-0000-0000-0000EF810000}"/>
    <cellStyle name="Comma 2 2 2 5" xfId="1413" xr:uid="{00000000-0005-0000-0000-0000F0810000}"/>
    <cellStyle name="Comma 2 2 2 5 10" xfId="16562" xr:uid="{00000000-0005-0000-0000-0000F1810000}"/>
    <cellStyle name="Comma 2 2 2 5 11" xfId="31711" xr:uid="{00000000-0005-0000-0000-0000F2810000}"/>
    <cellStyle name="Comma 2 2 2 5 12" xfId="33394" xr:uid="{00000000-0005-0000-0000-0000F3810000}"/>
    <cellStyle name="Comma 2 2 2 5 13" xfId="35077" xr:uid="{00000000-0005-0000-0000-0000F4810000}"/>
    <cellStyle name="Comma 2 2 2 5 14" xfId="36760" xr:uid="{00000000-0005-0000-0000-0000F5810000}"/>
    <cellStyle name="Comma 2 2 2 5 15" xfId="38443" xr:uid="{00000000-0005-0000-0000-0000F6810000}"/>
    <cellStyle name="Comma 2 2 2 5 16" xfId="40126" xr:uid="{00000000-0005-0000-0000-0000F7810000}"/>
    <cellStyle name="Comma 2 2 2 5 17" xfId="41809" xr:uid="{00000000-0005-0000-0000-0000F8810000}"/>
    <cellStyle name="Comma 2 2 2 5 18" xfId="43492" xr:uid="{00000000-0005-0000-0000-0000F9810000}"/>
    <cellStyle name="Comma 2 2 2 5 19" xfId="45175" xr:uid="{00000000-0005-0000-0000-0000FA810000}"/>
    <cellStyle name="Comma 2 2 2 5 2" xfId="3096" xr:uid="{00000000-0005-0000-0000-0000FB810000}"/>
    <cellStyle name="Comma 2 2 2 5 2 2" xfId="18245" xr:uid="{00000000-0005-0000-0000-0000FC810000}"/>
    <cellStyle name="Comma 2 2 2 5 20" xfId="46858" xr:uid="{00000000-0005-0000-0000-0000FD810000}"/>
    <cellStyle name="Comma 2 2 2 5 21" xfId="48541" xr:uid="{00000000-0005-0000-0000-0000FE810000}"/>
    <cellStyle name="Comma 2 2 2 5 22" xfId="50224" xr:uid="{00000000-0005-0000-0000-0000FF810000}"/>
    <cellStyle name="Comma 2 2 2 5 23" xfId="51907" xr:uid="{00000000-0005-0000-0000-000000820000}"/>
    <cellStyle name="Comma 2 2 2 5 24" xfId="53590" xr:uid="{00000000-0005-0000-0000-000001820000}"/>
    <cellStyle name="Comma 2 2 2 5 25" xfId="55273" xr:uid="{00000000-0005-0000-0000-000002820000}"/>
    <cellStyle name="Comma 2 2 2 5 26" xfId="56956" xr:uid="{00000000-0005-0000-0000-000003820000}"/>
    <cellStyle name="Comma 2 2 2 5 27" xfId="58639" xr:uid="{00000000-0005-0000-0000-000004820000}"/>
    <cellStyle name="Comma 2 2 2 5 28" xfId="60322" xr:uid="{00000000-0005-0000-0000-000005820000}"/>
    <cellStyle name="Comma 2 2 2 5 29" xfId="62005" xr:uid="{00000000-0005-0000-0000-000006820000}"/>
    <cellStyle name="Comma 2 2 2 5 3" xfId="4780" xr:uid="{00000000-0005-0000-0000-000007820000}"/>
    <cellStyle name="Comma 2 2 2 5 3 2" xfId="19929" xr:uid="{00000000-0005-0000-0000-000008820000}"/>
    <cellStyle name="Comma 2 2 2 5 30" xfId="63688" xr:uid="{00000000-0005-0000-0000-000009820000}"/>
    <cellStyle name="Comma 2 2 2 5 4" xfId="6463" xr:uid="{00000000-0005-0000-0000-00000A820000}"/>
    <cellStyle name="Comma 2 2 2 5 4 2" xfId="21612" xr:uid="{00000000-0005-0000-0000-00000B820000}"/>
    <cellStyle name="Comma 2 2 2 5 5" xfId="8146" xr:uid="{00000000-0005-0000-0000-00000C820000}"/>
    <cellStyle name="Comma 2 2 2 5 5 2" xfId="23295" xr:uid="{00000000-0005-0000-0000-00000D820000}"/>
    <cellStyle name="Comma 2 2 2 5 6" xfId="9829" xr:uid="{00000000-0005-0000-0000-00000E820000}"/>
    <cellStyle name="Comma 2 2 2 5 6 2" xfId="24978" xr:uid="{00000000-0005-0000-0000-00000F820000}"/>
    <cellStyle name="Comma 2 2 2 5 7" xfId="11512" xr:uid="{00000000-0005-0000-0000-000010820000}"/>
    <cellStyle name="Comma 2 2 2 5 7 2" xfId="26661" xr:uid="{00000000-0005-0000-0000-000011820000}"/>
    <cellStyle name="Comma 2 2 2 5 8" xfId="13196" xr:uid="{00000000-0005-0000-0000-000012820000}"/>
    <cellStyle name="Comma 2 2 2 5 8 2" xfId="28345" xr:uid="{00000000-0005-0000-0000-000013820000}"/>
    <cellStyle name="Comma 2 2 2 5 9" xfId="14879" xr:uid="{00000000-0005-0000-0000-000014820000}"/>
    <cellStyle name="Comma 2 2 2 5 9 2" xfId="30028" xr:uid="{00000000-0005-0000-0000-000015820000}"/>
    <cellStyle name="Comma 2 2 2 6" xfId="1834" xr:uid="{00000000-0005-0000-0000-000016820000}"/>
    <cellStyle name="Comma 2 2 2 6 2" xfId="16983" xr:uid="{00000000-0005-0000-0000-000017820000}"/>
    <cellStyle name="Comma 2 2 2 7" xfId="3518" xr:uid="{00000000-0005-0000-0000-000018820000}"/>
    <cellStyle name="Comma 2 2 2 7 2" xfId="18667" xr:uid="{00000000-0005-0000-0000-000019820000}"/>
    <cellStyle name="Comma 2 2 2 8" xfId="5201" xr:uid="{00000000-0005-0000-0000-00001A820000}"/>
    <cellStyle name="Comma 2 2 2 8 2" xfId="20350" xr:uid="{00000000-0005-0000-0000-00001B820000}"/>
    <cellStyle name="Comma 2 2 2 9" xfId="6884" xr:uid="{00000000-0005-0000-0000-00001C820000}"/>
    <cellStyle name="Comma 2 2 2 9 2" xfId="22033" xr:uid="{00000000-0005-0000-0000-00001D820000}"/>
    <cellStyle name="Comma 2 2 20" xfId="37076" xr:uid="{00000000-0005-0000-0000-00001E820000}"/>
    <cellStyle name="Comma 2 2 21" xfId="38759" xr:uid="{00000000-0005-0000-0000-00001F820000}"/>
    <cellStyle name="Comma 2 2 22" xfId="40442" xr:uid="{00000000-0005-0000-0000-000020820000}"/>
    <cellStyle name="Comma 2 2 23" xfId="42125" xr:uid="{00000000-0005-0000-0000-000021820000}"/>
    <cellStyle name="Comma 2 2 24" xfId="43808" xr:uid="{00000000-0005-0000-0000-000022820000}"/>
    <cellStyle name="Comma 2 2 25" xfId="45491" xr:uid="{00000000-0005-0000-0000-000023820000}"/>
    <cellStyle name="Comma 2 2 26" xfId="47174" xr:uid="{00000000-0005-0000-0000-000024820000}"/>
    <cellStyle name="Comma 2 2 27" xfId="48857" xr:uid="{00000000-0005-0000-0000-000025820000}"/>
    <cellStyle name="Comma 2 2 28" xfId="50540" xr:uid="{00000000-0005-0000-0000-000026820000}"/>
    <cellStyle name="Comma 2 2 29" xfId="52223" xr:uid="{00000000-0005-0000-0000-000027820000}"/>
    <cellStyle name="Comma 2 2 3" xfId="256" xr:uid="{00000000-0005-0000-0000-000028820000}"/>
    <cellStyle name="Comma 2 2 3 10" xfId="10355" xr:uid="{00000000-0005-0000-0000-000029820000}"/>
    <cellStyle name="Comma 2 2 3 10 2" xfId="25504" xr:uid="{00000000-0005-0000-0000-00002A820000}"/>
    <cellStyle name="Comma 2 2 3 11" xfId="12039" xr:uid="{00000000-0005-0000-0000-00002B820000}"/>
    <cellStyle name="Comma 2 2 3 11 2" xfId="27188" xr:uid="{00000000-0005-0000-0000-00002C820000}"/>
    <cellStyle name="Comma 2 2 3 12" xfId="13722" xr:uid="{00000000-0005-0000-0000-00002D820000}"/>
    <cellStyle name="Comma 2 2 3 12 2" xfId="28871" xr:uid="{00000000-0005-0000-0000-00002E820000}"/>
    <cellStyle name="Comma 2 2 3 13" xfId="15405" xr:uid="{00000000-0005-0000-0000-00002F820000}"/>
    <cellStyle name="Comma 2 2 3 14" xfId="30554" xr:uid="{00000000-0005-0000-0000-000030820000}"/>
    <cellStyle name="Comma 2 2 3 15" xfId="32237" xr:uid="{00000000-0005-0000-0000-000031820000}"/>
    <cellStyle name="Comma 2 2 3 16" xfId="33920" xr:uid="{00000000-0005-0000-0000-000032820000}"/>
    <cellStyle name="Comma 2 2 3 17" xfId="35603" xr:uid="{00000000-0005-0000-0000-000033820000}"/>
    <cellStyle name="Comma 2 2 3 18" xfId="37286" xr:uid="{00000000-0005-0000-0000-000034820000}"/>
    <cellStyle name="Comma 2 2 3 19" xfId="38969" xr:uid="{00000000-0005-0000-0000-000035820000}"/>
    <cellStyle name="Comma 2 2 3 2" xfId="676" xr:uid="{00000000-0005-0000-0000-000036820000}"/>
    <cellStyle name="Comma 2 2 3 2 10" xfId="15825" xr:uid="{00000000-0005-0000-0000-000037820000}"/>
    <cellStyle name="Comma 2 2 3 2 11" xfId="30974" xr:uid="{00000000-0005-0000-0000-000038820000}"/>
    <cellStyle name="Comma 2 2 3 2 12" xfId="32657" xr:uid="{00000000-0005-0000-0000-000039820000}"/>
    <cellStyle name="Comma 2 2 3 2 13" xfId="34340" xr:uid="{00000000-0005-0000-0000-00003A820000}"/>
    <cellStyle name="Comma 2 2 3 2 14" xfId="36023" xr:uid="{00000000-0005-0000-0000-00003B820000}"/>
    <cellStyle name="Comma 2 2 3 2 15" xfId="37706" xr:uid="{00000000-0005-0000-0000-00003C820000}"/>
    <cellStyle name="Comma 2 2 3 2 16" xfId="39389" xr:uid="{00000000-0005-0000-0000-00003D820000}"/>
    <cellStyle name="Comma 2 2 3 2 17" xfId="41072" xr:uid="{00000000-0005-0000-0000-00003E820000}"/>
    <cellStyle name="Comma 2 2 3 2 18" xfId="42755" xr:uid="{00000000-0005-0000-0000-00003F820000}"/>
    <cellStyle name="Comma 2 2 3 2 19" xfId="44438" xr:uid="{00000000-0005-0000-0000-000040820000}"/>
    <cellStyle name="Comma 2 2 3 2 2" xfId="2359" xr:uid="{00000000-0005-0000-0000-000041820000}"/>
    <cellStyle name="Comma 2 2 3 2 2 2" xfId="17508" xr:uid="{00000000-0005-0000-0000-000042820000}"/>
    <cellStyle name="Comma 2 2 3 2 20" xfId="46121" xr:uid="{00000000-0005-0000-0000-000043820000}"/>
    <cellStyle name="Comma 2 2 3 2 21" xfId="47804" xr:uid="{00000000-0005-0000-0000-000044820000}"/>
    <cellStyle name="Comma 2 2 3 2 22" xfId="49487" xr:uid="{00000000-0005-0000-0000-000045820000}"/>
    <cellStyle name="Comma 2 2 3 2 23" xfId="51170" xr:uid="{00000000-0005-0000-0000-000046820000}"/>
    <cellStyle name="Comma 2 2 3 2 24" xfId="52853" xr:uid="{00000000-0005-0000-0000-000047820000}"/>
    <cellStyle name="Comma 2 2 3 2 25" xfId="54536" xr:uid="{00000000-0005-0000-0000-000048820000}"/>
    <cellStyle name="Comma 2 2 3 2 26" xfId="56219" xr:uid="{00000000-0005-0000-0000-000049820000}"/>
    <cellStyle name="Comma 2 2 3 2 27" xfId="57902" xr:uid="{00000000-0005-0000-0000-00004A820000}"/>
    <cellStyle name="Comma 2 2 3 2 28" xfId="59585" xr:uid="{00000000-0005-0000-0000-00004B820000}"/>
    <cellStyle name="Comma 2 2 3 2 29" xfId="61268" xr:uid="{00000000-0005-0000-0000-00004C820000}"/>
    <cellStyle name="Comma 2 2 3 2 3" xfId="4043" xr:uid="{00000000-0005-0000-0000-00004D820000}"/>
    <cellStyle name="Comma 2 2 3 2 3 2" xfId="19192" xr:uid="{00000000-0005-0000-0000-00004E820000}"/>
    <cellStyle name="Comma 2 2 3 2 30" xfId="62951" xr:uid="{00000000-0005-0000-0000-00004F820000}"/>
    <cellStyle name="Comma 2 2 3 2 4" xfId="5726" xr:uid="{00000000-0005-0000-0000-000050820000}"/>
    <cellStyle name="Comma 2 2 3 2 4 2" xfId="20875" xr:uid="{00000000-0005-0000-0000-000051820000}"/>
    <cellStyle name="Comma 2 2 3 2 5" xfId="7409" xr:uid="{00000000-0005-0000-0000-000052820000}"/>
    <cellStyle name="Comma 2 2 3 2 5 2" xfId="22558" xr:uid="{00000000-0005-0000-0000-000053820000}"/>
    <cellStyle name="Comma 2 2 3 2 6" xfId="9092" xr:uid="{00000000-0005-0000-0000-000054820000}"/>
    <cellStyle name="Comma 2 2 3 2 6 2" xfId="24241" xr:uid="{00000000-0005-0000-0000-000055820000}"/>
    <cellStyle name="Comma 2 2 3 2 7" xfId="10775" xr:uid="{00000000-0005-0000-0000-000056820000}"/>
    <cellStyle name="Comma 2 2 3 2 7 2" xfId="25924" xr:uid="{00000000-0005-0000-0000-000057820000}"/>
    <cellStyle name="Comma 2 2 3 2 8" xfId="12459" xr:uid="{00000000-0005-0000-0000-000058820000}"/>
    <cellStyle name="Comma 2 2 3 2 8 2" xfId="27608" xr:uid="{00000000-0005-0000-0000-000059820000}"/>
    <cellStyle name="Comma 2 2 3 2 9" xfId="14142" xr:uid="{00000000-0005-0000-0000-00005A820000}"/>
    <cellStyle name="Comma 2 2 3 2 9 2" xfId="29291" xr:uid="{00000000-0005-0000-0000-00005B820000}"/>
    <cellStyle name="Comma 2 2 3 20" xfId="40652" xr:uid="{00000000-0005-0000-0000-00005C820000}"/>
    <cellStyle name="Comma 2 2 3 21" xfId="42335" xr:uid="{00000000-0005-0000-0000-00005D820000}"/>
    <cellStyle name="Comma 2 2 3 22" xfId="44018" xr:uid="{00000000-0005-0000-0000-00005E820000}"/>
    <cellStyle name="Comma 2 2 3 23" xfId="45701" xr:uid="{00000000-0005-0000-0000-00005F820000}"/>
    <cellStyle name="Comma 2 2 3 24" xfId="47384" xr:uid="{00000000-0005-0000-0000-000060820000}"/>
    <cellStyle name="Comma 2 2 3 25" xfId="49067" xr:uid="{00000000-0005-0000-0000-000061820000}"/>
    <cellStyle name="Comma 2 2 3 26" xfId="50750" xr:uid="{00000000-0005-0000-0000-000062820000}"/>
    <cellStyle name="Comma 2 2 3 27" xfId="52433" xr:uid="{00000000-0005-0000-0000-000063820000}"/>
    <cellStyle name="Comma 2 2 3 28" xfId="54116" xr:uid="{00000000-0005-0000-0000-000064820000}"/>
    <cellStyle name="Comma 2 2 3 29" xfId="55799" xr:uid="{00000000-0005-0000-0000-000065820000}"/>
    <cellStyle name="Comma 2 2 3 3" xfId="1097" xr:uid="{00000000-0005-0000-0000-000066820000}"/>
    <cellStyle name="Comma 2 2 3 3 10" xfId="16246" xr:uid="{00000000-0005-0000-0000-000067820000}"/>
    <cellStyle name="Comma 2 2 3 3 11" xfId="31395" xr:uid="{00000000-0005-0000-0000-000068820000}"/>
    <cellStyle name="Comma 2 2 3 3 12" xfId="33078" xr:uid="{00000000-0005-0000-0000-000069820000}"/>
    <cellStyle name="Comma 2 2 3 3 13" xfId="34761" xr:uid="{00000000-0005-0000-0000-00006A820000}"/>
    <cellStyle name="Comma 2 2 3 3 14" xfId="36444" xr:uid="{00000000-0005-0000-0000-00006B820000}"/>
    <cellStyle name="Comma 2 2 3 3 15" xfId="38127" xr:uid="{00000000-0005-0000-0000-00006C820000}"/>
    <cellStyle name="Comma 2 2 3 3 16" xfId="39810" xr:uid="{00000000-0005-0000-0000-00006D820000}"/>
    <cellStyle name="Comma 2 2 3 3 17" xfId="41493" xr:uid="{00000000-0005-0000-0000-00006E820000}"/>
    <cellStyle name="Comma 2 2 3 3 18" xfId="43176" xr:uid="{00000000-0005-0000-0000-00006F820000}"/>
    <cellStyle name="Comma 2 2 3 3 19" xfId="44859" xr:uid="{00000000-0005-0000-0000-000070820000}"/>
    <cellStyle name="Comma 2 2 3 3 2" xfId="2780" xr:uid="{00000000-0005-0000-0000-000071820000}"/>
    <cellStyle name="Comma 2 2 3 3 2 2" xfId="17929" xr:uid="{00000000-0005-0000-0000-000072820000}"/>
    <cellStyle name="Comma 2 2 3 3 20" xfId="46542" xr:uid="{00000000-0005-0000-0000-000073820000}"/>
    <cellStyle name="Comma 2 2 3 3 21" xfId="48225" xr:uid="{00000000-0005-0000-0000-000074820000}"/>
    <cellStyle name="Comma 2 2 3 3 22" xfId="49908" xr:uid="{00000000-0005-0000-0000-000075820000}"/>
    <cellStyle name="Comma 2 2 3 3 23" xfId="51591" xr:uid="{00000000-0005-0000-0000-000076820000}"/>
    <cellStyle name="Comma 2 2 3 3 24" xfId="53274" xr:uid="{00000000-0005-0000-0000-000077820000}"/>
    <cellStyle name="Comma 2 2 3 3 25" xfId="54957" xr:uid="{00000000-0005-0000-0000-000078820000}"/>
    <cellStyle name="Comma 2 2 3 3 26" xfId="56640" xr:uid="{00000000-0005-0000-0000-000079820000}"/>
    <cellStyle name="Comma 2 2 3 3 27" xfId="58323" xr:uid="{00000000-0005-0000-0000-00007A820000}"/>
    <cellStyle name="Comma 2 2 3 3 28" xfId="60006" xr:uid="{00000000-0005-0000-0000-00007B820000}"/>
    <cellStyle name="Comma 2 2 3 3 29" xfId="61689" xr:uid="{00000000-0005-0000-0000-00007C820000}"/>
    <cellStyle name="Comma 2 2 3 3 3" xfId="4464" xr:uid="{00000000-0005-0000-0000-00007D820000}"/>
    <cellStyle name="Comma 2 2 3 3 3 2" xfId="19613" xr:uid="{00000000-0005-0000-0000-00007E820000}"/>
    <cellStyle name="Comma 2 2 3 3 30" xfId="63372" xr:uid="{00000000-0005-0000-0000-00007F820000}"/>
    <cellStyle name="Comma 2 2 3 3 4" xfId="6147" xr:uid="{00000000-0005-0000-0000-000080820000}"/>
    <cellStyle name="Comma 2 2 3 3 4 2" xfId="21296" xr:uid="{00000000-0005-0000-0000-000081820000}"/>
    <cellStyle name="Comma 2 2 3 3 5" xfId="7830" xr:uid="{00000000-0005-0000-0000-000082820000}"/>
    <cellStyle name="Comma 2 2 3 3 5 2" xfId="22979" xr:uid="{00000000-0005-0000-0000-000083820000}"/>
    <cellStyle name="Comma 2 2 3 3 6" xfId="9513" xr:uid="{00000000-0005-0000-0000-000084820000}"/>
    <cellStyle name="Comma 2 2 3 3 6 2" xfId="24662" xr:uid="{00000000-0005-0000-0000-000085820000}"/>
    <cellStyle name="Comma 2 2 3 3 7" xfId="11196" xr:uid="{00000000-0005-0000-0000-000086820000}"/>
    <cellStyle name="Comma 2 2 3 3 7 2" xfId="26345" xr:uid="{00000000-0005-0000-0000-000087820000}"/>
    <cellStyle name="Comma 2 2 3 3 8" xfId="12880" xr:uid="{00000000-0005-0000-0000-000088820000}"/>
    <cellStyle name="Comma 2 2 3 3 8 2" xfId="28029" xr:uid="{00000000-0005-0000-0000-000089820000}"/>
    <cellStyle name="Comma 2 2 3 3 9" xfId="14563" xr:uid="{00000000-0005-0000-0000-00008A820000}"/>
    <cellStyle name="Comma 2 2 3 3 9 2" xfId="29712" xr:uid="{00000000-0005-0000-0000-00008B820000}"/>
    <cellStyle name="Comma 2 2 3 30" xfId="57482" xr:uid="{00000000-0005-0000-0000-00008C820000}"/>
    <cellStyle name="Comma 2 2 3 31" xfId="59165" xr:uid="{00000000-0005-0000-0000-00008D820000}"/>
    <cellStyle name="Comma 2 2 3 32" xfId="60848" xr:uid="{00000000-0005-0000-0000-00008E820000}"/>
    <cellStyle name="Comma 2 2 3 33" xfId="62531" xr:uid="{00000000-0005-0000-0000-00008F820000}"/>
    <cellStyle name="Comma 2 2 3 4" xfId="1518" xr:uid="{00000000-0005-0000-0000-000090820000}"/>
    <cellStyle name="Comma 2 2 3 4 10" xfId="16667" xr:uid="{00000000-0005-0000-0000-000091820000}"/>
    <cellStyle name="Comma 2 2 3 4 11" xfId="31816" xr:uid="{00000000-0005-0000-0000-000092820000}"/>
    <cellStyle name="Comma 2 2 3 4 12" xfId="33499" xr:uid="{00000000-0005-0000-0000-000093820000}"/>
    <cellStyle name="Comma 2 2 3 4 13" xfId="35182" xr:uid="{00000000-0005-0000-0000-000094820000}"/>
    <cellStyle name="Comma 2 2 3 4 14" xfId="36865" xr:uid="{00000000-0005-0000-0000-000095820000}"/>
    <cellStyle name="Comma 2 2 3 4 15" xfId="38548" xr:uid="{00000000-0005-0000-0000-000096820000}"/>
    <cellStyle name="Comma 2 2 3 4 16" xfId="40231" xr:uid="{00000000-0005-0000-0000-000097820000}"/>
    <cellStyle name="Comma 2 2 3 4 17" xfId="41914" xr:uid="{00000000-0005-0000-0000-000098820000}"/>
    <cellStyle name="Comma 2 2 3 4 18" xfId="43597" xr:uid="{00000000-0005-0000-0000-000099820000}"/>
    <cellStyle name="Comma 2 2 3 4 19" xfId="45280" xr:uid="{00000000-0005-0000-0000-00009A820000}"/>
    <cellStyle name="Comma 2 2 3 4 2" xfId="3201" xr:uid="{00000000-0005-0000-0000-00009B820000}"/>
    <cellStyle name="Comma 2 2 3 4 2 2" xfId="18350" xr:uid="{00000000-0005-0000-0000-00009C820000}"/>
    <cellStyle name="Comma 2 2 3 4 20" xfId="46963" xr:uid="{00000000-0005-0000-0000-00009D820000}"/>
    <cellStyle name="Comma 2 2 3 4 21" xfId="48646" xr:uid="{00000000-0005-0000-0000-00009E820000}"/>
    <cellStyle name="Comma 2 2 3 4 22" xfId="50329" xr:uid="{00000000-0005-0000-0000-00009F820000}"/>
    <cellStyle name="Comma 2 2 3 4 23" xfId="52012" xr:uid="{00000000-0005-0000-0000-0000A0820000}"/>
    <cellStyle name="Comma 2 2 3 4 24" xfId="53695" xr:uid="{00000000-0005-0000-0000-0000A1820000}"/>
    <cellStyle name="Comma 2 2 3 4 25" xfId="55378" xr:uid="{00000000-0005-0000-0000-0000A2820000}"/>
    <cellStyle name="Comma 2 2 3 4 26" xfId="57061" xr:uid="{00000000-0005-0000-0000-0000A3820000}"/>
    <cellStyle name="Comma 2 2 3 4 27" xfId="58744" xr:uid="{00000000-0005-0000-0000-0000A4820000}"/>
    <cellStyle name="Comma 2 2 3 4 28" xfId="60427" xr:uid="{00000000-0005-0000-0000-0000A5820000}"/>
    <cellStyle name="Comma 2 2 3 4 29" xfId="62110" xr:uid="{00000000-0005-0000-0000-0000A6820000}"/>
    <cellStyle name="Comma 2 2 3 4 3" xfId="4885" xr:uid="{00000000-0005-0000-0000-0000A7820000}"/>
    <cellStyle name="Comma 2 2 3 4 3 2" xfId="20034" xr:uid="{00000000-0005-0000-0000-0000A8820000}"/>
    <cellStyle name="Comma 2 2 3 4 30" xfId="63793" xr:uid="{00000000-0005-0000-0000-0000A9820000}"/>
    <cellStyle name="Comma 2 2 3 4 4" xfId="6568" xr:uid="{00000000-0005-0000-0000-0000AA820000}"/>
    <cellStyle name="Comma 2 2 3 4 4 2" xfId="21717" xr:uid="{00000000-0005-0000-0000-0000AB820000}"/>
    <cellStyle name="Comma 2 2 3 4 5" xfId="8251" xr:uid="{00000000-0005-0000-0000-0000AC820000}"/>
    <cellStyle name="Comma 2 2 3 4 5 2" xfId="23400" xr:uid="{00000000-0005-0000-0000-0000AD820000}"/>
    <cellStyle name="Comma 2 2 3 4 6" xfId="9934" xr:uid="{00000000-0005-0000-0000-0000AE820000}"/>
    <cellStyle name="Comma 2 2 3 4 6 2" xfId="25083" xr:uid="{00000000-0005-0000-0000-0000AF820000}"/>
    <cellStyle name="Comma 2 2 3 4 7" xfId="11617" xr:uid="{00000000-0005-0000-0000-0000B0820000}"/>
    <cellStyle name="Comma 2 2 3 4 7 2" xfId="26766" xr:uid="{00000000-0005-0000-0000-0000B1820000}"/>
    <cellStyle name="Comma 2 2 3 4 8" xfId="13301" xr:uid="{00000000-0005-0000-0000-0000B2820000}"/>
    <cellStyle name="Comma 2 2 3 4 8 2" xfId="28450" xr:uid="{00000000-0005-0000-0000-0000B3820000}"/>
    <cellStyle name="Comma 2 2 3 4 9" xfId="14984" xr:uid="{00000000-0005-0000-0000-0000B4820000}"/>
    <cellStyle name="Comma 2 2 3 4 9 2" xfId="30133" xr:uid="{00000000-0005-0000-0000-0000B5820000}"/>
    <cellStyle name="Comma 2 2 3 5" xfId="1939" xr:uid="{00000000-0005-0000-0000-0000B6820000}"/>
    <cellStyle name="Comma 2 2 3 5 2" xfId="17088" xr:uid="{00000000-0005-0000-0000-0000B7820000}"/>
    <cellStyle name="Comma 2 2 3 6" xfId="3623" xr:uid="{00000000-0005-0000-0000-0000B8820000}"/>
    <cellStyle name="Comma 2 2 3 6 2" xfId="18772" xr:uid="{00000000-0005-0000-0000-0000B9820000}"/>
    <cellStyle name="Comma 2 2 3 7" xfId="5306" xr:uid="{00000000-0005-0000-0000-0000BA820000}"/>
    <cellStyle name="Comma 2 2 3 7 2" xfId="20455" xr:uid="{00000000-0005-0000-0000-0000BB820000}"/>
    <cellStyle name="Comma 2 2 3 8" xfId="6989" xr:uid="{00000000-0005-0000-0000-0000BC820000}"/>
    <cellStyle name="Comma 2 2 3 8 2" xfId="22138" xr:uid="{00000000-0005-0000-0000-0000BD820000}"/>
    <cellStyle name="Comma 2 2 3 9" xfId="8672" xr:uid="{00000000-0005-0000-0000-0000BE820000}"/>
    <cellStyle name="Comma 2 2 3 9 2" xfId="23821" xr:uid="{00000000-0005-0000-0000-0000BF820000}"/>
    <cellStyle name="Comma 2 2 30" xfId="53906" xr:uid="{00000000-0005-0000-0000-0000C0820000}"/>
    <cellStyle name="Comma 2 2 31" xfId="55589" xr:uid="{00000000-0005-0000-0000-0000C1820000}"/>
    <cellStyle name="Comma 2 2 32" xfId="57272" xr:uid="{00000000-0005-0000-0000-0000C2820000}"/>
    <cellStyle name="Comma 2 2 33" xfId="58955" xr:uid="{00000000-0005-0000-0000-0000C3820000}"/>
    <cellStyle name="Comma 2 2 34" xfId="60638" xr:uid="{00000000-0005-0000-0000-0000C4820000}"/>
    <cellStyle name="Comma 2 2 35" xfId="62321" xr:uid="{00000000-0005-0000-0000-0000C5820000}"/>
    <cellStyle name="Comma 2 2 4" xfId="466" xr:uid="{00000000-0005-0000-0000-0000C6820000}"/>
    <cellStyle name="Comma 2 2 4 10" xfId="15615" xr:uid="{00000000-0005-0000-0000-0000C7820000}"/>
    <cellStyle name="Comma 2 2 4 11" xfId="30764" xr:uid="{00000000-0005-0000-0000-0000C8820000}"/>
    <cellStyle name="Comma 2 2 4 12" xfId="32447" xr:uid="{00000000-0005-0000-0000-0000C9820000}"/>
    <cellStyle name="Comma 2 2 4 13" xfId="34130" xr:uid="{00000000-0005-0000-0000-0000CA820000}"/>
    <cellStyle name="Comma 2 2 4 14" xfId="35813" xr:uid="{00000000-0005-0000-0000-0000CB820000}"/>
    <cellStyle name="Comma 2 2 4 15" xfId="37496" xr:uid="{00000000-0005-0000-0000-0000CC820000}"/>
    <cellStyle name="Comma 2 2 4 16" xfId="39179" xr:uid="{00000000-0005-0000-0000-0000CD820000}"/>
    <cellStyle name="Comma 2 2 4 17" xfId="40862" xr:uid="{00000000-0005-0000-0000-0000CE820000}"/>
    <cellStyle name="Comma 2 2 4 18" xfId="42545" xr:uid="{00000000-0005-0000-0000-0000CF820000}"/>
    <cellStyle name="Comma 2 2 4 19" xfId="44228" xr:uid="{00000000-0005-0000-0000-0000D0820000}"/>
    <cellStyle name="Comma 2 2 4 2" xfId="2149" xr:uid="{00000000-0005-0000-0000-0000D1820000}"/>
    <cellStyle name="Comma 2 2 4 2 2" xfId="17298" xr:uid="{00000000-0005-0000-0000-0000D2820000}"/>
    <cellStyle name="Comma 2 2 4 20" xfId="45911" xr:uid="{00000000-0005-0000-0000-0000D3820000}"/>
    <cellStyle name="Comma 2 2 4 21" xfId="47594" xr:uid="{00000000-0005-0000-0000-0000D4820000}"/>
    <cellStyle name="Comma 2 2 4 22" xfId="49277" xr:uid="{00000000-0005-0000-0000-0000D5820000}"/>
    <cellStyle name="Comma 2 2 4 23" xfId="50960" xr:uid="{00000000-0005-0000-0000-0000D6820000}"/>
    <cellStyle name="Comma 2 2 4 24" xfId="52643" xr:uid="{00000000-0005-0000-0000-0000D7820000}"/>
    <cellStyle name="Comma 2 2 4 25" xfId="54326" xr:uid="{00000000-0005-0000-0000-0000D8820000}"/>
    <cellStyle name="Comma 2 2 4 26" xfId="56009" xr:uid="{00000000-0005-0000-0000-0000D9820000}"/>
    <cellStyle name="Comma 2 2 4 27" xfId="57692" xr:uid="{00000000-0005-0000-0000-0000DA820000}"/>
    <cellStyle name="Comma 2 2 4 28" xfId="59375" xr:uid="{00000000-0005-0000-0000-0000DB820000}"/>
    <cellStyle name="Comma 2 2 4 29" xfId="61058" xr:uid="{00000000-0005-0000-0000-0000DC820000}"/>
    <cellStyle name="Comma 2 2 4 3" xfId="3833" xr:uid="{00000000-0005-0000-0000-0000DD820000}"/>
    <cellStyle name="Comma 2 2 4 3 2" xfId="18982" xr:uid="{00000000-0005-0000-0000-0000DE820000}"/>
    <cellStyle name="Comma 2 2 4 30" xfId="62741" xr:uid="{00000000-0005-0000-0000-0000DF820000}"/>
    <cellStyle name="Comma 2 2 4 4" xfId="5516" xr:uid="{00000000-0005-0000-0000-0000E0820000}"/>
    <cellStyle name="Comma 2 2 4 4 2" xfId="20665" xr:uid="{00000000-0005-0000-0000-0000E1820000}"/>
    <cellStyle name="Comma 2 2 4 5" xfId="7199" xr:uid="{00000000-0005-0000-0000-0000E2820000}"/>
    <cellStyle name="Comma 2 2 4 5 2" xfId="22348" xr:uid="{00000000-0005-0000-0000-0000E3820000}"/>
    <cellStyle name="Comma 2 2 4 6" xfId="8882" xr:uid="{00000000-0005-0000-0000-0000E4820000}"/>
    <cellStyle name="Comma 2 2 4 6 2" xfId="24031" xr:uid="{00000000-0005-0000-0000-0000E5820000}"/>
    <cellStyle name="Comma 2 2 4 7" xfId="10565" xr:uid="{00000000-0005-0000-0000-0000E6820000}"/>
    <cellStyle name="Comma 2 2 4 7 2" xfId="25714" xr:uid="{00000000-0005-0000-0000-0000E7820000}"/>
    <cellStyle name="Comma 2 2 4 8" xfId="12249" xr:uid="{00000000-0005-0000-0000-0000E8820000}"/>
    <cellStyle name="Comma 2 2 4 8 2" xfId="27398" xr:uid="{00000000-0005-0000-0000-0000E9820000}"/>
    <cellStyle name="Comma 2 2 4 9" xfId="13932" xr:uid="{00000000-0005-0000-0000-0000EA820000}"/>
    <cellStyle name="Comma 2 2 4 9 2" xfId="29081" xr:uid="{00000000-0005-0000-0000-0000EB820000}"/>
    <cellStyle name="Comma 2 2 5" xfId="887" xr:uid="{00000000-0005-0000-0000-0000EC820000}"/>
    <cellStyle name="Comma 2 2 5 10" xfId="16036" xr:uid="{00000000-0005-0000-0000-0000ED820000}"/>
    <cellStyle name="Comma 2 2 5 11" xfId="31185" xr:uid="{00000000-0005-0000-0000-0000EE820000}"/>
    <cellStyle name="Comma 2 2 5 12" xfId="32868" xr:uid="{00000000-0005-0000-0000-0000EF820000}"/>
    <cellStyle name="Comma 2 2 5 13" xfId="34551" xr:uid="{00000000-0005-0000-0000-0000F0820000}"/>
    <cellStyle name="Comma 2 2 5 14" xfId="36234" xr:uid="{00000000-0005-0000-0000-0000F1820000}"/>
    <cellStyle name="Comma 2 2 5 15" xfId="37917" xr:uid="{00000000-0005-0000-0000-0000F2820000}"/>
    <cellStyle name="Comma 2 2 5 16" xfId="39600" xr:uid="{00000000-0005-0000-0000-0000F3820000}"/>
    <cellStyle name="Comma 2 2 5 17" xfId="41283" xr:uid="{00000000-0005-0000-0000-0000F4820000}"/>
    <cellStyle name="Comma 2 2 5 18" xfId="42966" xr:uid="{00000000-0005-0000-0000-0000F5820000}"/>
    <cellStyle name="Comma 2 2 5 19" xfId="44649" xr:uid="{00000000-0005-0000-0000-0000F6820000}"/>
    <cellStyle name="Comma 2 2 5 2" xfId="2570" xr:uid="{00000000-0005-0000-0000-0000F7820000}"/>
    <cellStyle name="Comma 2 2 5 2 2" xfId="17719" xr:uid="{00000000-0005-0000-0000-0000F8820000}"/>
    <cellStyle name="Comma 2 2 5 20" xfId="46332" xr:uid="{00000000-0005-0000-0000-0000F9820000}"/>
    <cellStyle name="Comma 2 2 5 21" xfId="48015" xr:uid="{00000000-0005-0000-0000-0000FA820000}"/>
    <cellStyle name="Comma 2 2 5 22" xfId="49698" xr:uid="{00000000-0005-0000-0000-0000FB820000}"/>
    <cellStyle name="Comma 2 2 5 23" xfId="51381" xr:uid="{00000000-0005-0000-0000-0000FC820000}"/>
    <cellStyle name="Comma 2 2 5 24" xfId="53064" xr:uid="{00000000-0005-0000-0000-0000FD820000}"/>
    <cellStyle name="Comma 2 2 5 25" xfId="54747" xr:uid="{00000000-0005-0000-0000-0000FE820000}"/>
    <cellStyle name="Comma 2 2 5 26" xfId="56430" xr:uid="{00000000-0005-0000-0000-0000FF820000}"/>
    <cellStyle name="Comma 2 2 5 27" xfId="58113" xr:uid="{00000000-0005-0000-0000-000000830000}"/>
    <cellStyle name="Comma 2 2 5 28" xfId="59796" xr:uid="{00000000-0005-0000-0000-000001830000}"/>
    <cellStyle name="Comma 2 2 5 29" xfId="61479" xr:uid="{00000000-0005-0000-0000-000002830000}"/>
    <cellStyle name="Comma 2 2 5 3" xfId="4254" xr:uid="{00000000-0005-0000-0000-000003830000}"/>
    <cellStyle name="Comma 2 2 5 3 2" xfId="19403" xr:uid="{00000000-0005-0000-0000-000004830000}"/>
    <cellStyle name="Comma 2 2 5 30" xfId="63162" xr:uid="{00000000-0005-0000-0000-000005830000}"/>
    <cellStyle name="Comma 2 2 5 4" xfId="5937" xr:uid="{00000000-0005-0000-0000-000006830000}"/>
    <cellStyle name="Comma 2 2 5 4 2" xfId="21086" xr:uid="{00000000-0005-0000-0000-000007830000}"/>
    <cellStyle name="Comma 2 2 5 5" xfId="7620" xr:uid="{00000000-0005-0000-0000-000008830000}"/>
    <cellStyle name="Comma 2 2 5 5 2" xfId="22769" xr:uid="{00000000-0005-0000-0000-000009830000}"/>
    <cellStyle name="Comma 2 2 5 6" xfId="9303" xr:uid="{00000000-0005-0000-0000-00000A830000}"/>
    <cellStyle name="Comma 2 2 5 6 2" xfId="24452" xr:uid="{00000000-0005-0000-0000-00000B830000}"/>
    <cellStyle name="Comma 2 2 5 7" xfId="10986" xr:uid="{00000000-0005-0000-0000-00000C830000}"/>
    <cellStyle name="Comma 2 2 5 7 2" xfId="26135" xr:uid="{00000000-0005-0000-0000-00000D830000}"/>
    <cellStyle name="Comma 2 2 5 8" xfId="12670" xr:uid="{00000000-0005-0000-0000-00000E830000}"/>
    <cellStyle name="Comma 2 2 5 8 2" xfId="27819" xr:uid="{00000000-0005-0000-0000-00000F830000}"/>
    <cellStyle name="Comma 2 2 5 9" xfId="14353" xr:uid="{00000000-0005-0000-0000-000010830000}"/>
    <cellStyle name="Comma 2 2 5 9 2" xfId="29502" xr:uid="{00000000-0005-0000-0000-000011830000}"/>
    <cellStyle name="Comma 2 2 6" xfId="1308" xr:uid="{00000000-0005-0000-0000-000012830000}"/>
    <cellStyle name="Comma 2 2 6 10" xfId="16457" xr:uid="{00000000-0005-0000-0000-000013830000}"/>
    <cellStyle name="Comma 2 2 6 11" xfId="31606" xr:uid="{00000000-0005-0000-0000-000014830000}"/>
    <cellStyle name="Comma 2 2 6 12" xfId="33289" xr:uid="{00000000-0005-0000-0000-000015830000}"/>
    <cellStyle name="Comma 2 2 6 13" xfId="34972" xr:uid="{00000000-0005-0000-0000-000016830000}"/>
    <cellStyle name="Comma 2 2 6 14" xfId="36655" xr:uid="{00000000-0005-0000-0000-000017830000}"/>
    <cellStyle name="Comma 2 2 6 15" xfId="38338" xr:uid="{00000000-0005-0000-0000-000018830000}"/>
    <cellStyle name="Comma 2 2 6 16" xfId="40021" xr:uid="{00000000-0005-0000-0000-000019830000}"/>
    <cellStyle name="Comma 2 2 6 17" xfId="41704" xr:uid="{00000000-0005-0000-0000-00001A830000}"/>
    <cellStyle name="Comma 2 2 6 18" xfId="43387" xr:uid="{00000000-0005-0000-0000-00001B830000}"/>
    <cellStyle name="Comma 2 2 6 19" xfId="45070" xr:uid="{00000000-0005-0000-0000-00001C830000}"/>
    <cellStyle name="Comma 2 2 6 2" xfId="2991" xr:uid="{00000000-0005-0000-0000-00001D830000}"/>
    <cellStyle name="Comma 2 2 6 2 2" xfId="18140" xr:uid="{00000000-0005-0000-0000-00001E830000}"/>
    <cellStyle name="Comma 2 2 6 20" xfId="46753" xr:uid="{00000000-0005-0000-0000-00001F830000}"/>
    <cellStyle name="Comma 2 2 6 21" xfId="48436" xr:uid="{00000000-0005-0000-0000-000020830000}"/>
    <cellStyle name="Comma 2 2 6 22" xfId="50119" xr:uid="{00000000-0005-0000-0000-000021830000}"/>
    <cellStyle name="Comma 2 2 6 23" xfId="51802" xr:uid="{00000000-0005-0000-0000-000022830000}"/>
    <cellStyle name="Comma 2 2 6 24" xfId="53485" xr:uid="{00000000-0005-0000-0000-000023830000}"/>
    <cellStyle name="Comma 2 2 6 25" xfId="55168" xr:uid="{00000000-0005-0000-0000-000024830000}"/>
    <cellStyle name="Comma 2 2 6 26" xfId="56851" xr:uid="{00000000-0005-0000-0000-000025830000}"/>
    <cellStyle name="Comma 2 2 6 27" xfId="58534" xr:uid="{00000000-0005-0000-0000-000026830000}"/>
    <cellStyle name="Comma 2 2 6 28" xfId="60217" xr:uid="{00000000-0005-0000-0000-000027830000}"/>
    <cellStyle name="Comma 2 2 6 29" xfId="61900" xr:uid="{00000000-0005-0000-0000-000028830000}"/>
    <cellStyle name="Comma 2 2 6 3" xfId="4675" xr:uid="{00000000-0005-0000-0000-000029830000}"/>
    <cellStyle name="Comma 2 2 6 3 2" xfId="19824" xr:uid="{00000000-0005-0000-0000-00002A830000}"/>
    <cellStyle name="Comma 2 2 6 30" xfId="63583" xr:uid="{00000000-0005-0000-0000-00002B830000}"/>
    <cellStyle name="Comma 2 2 6 4" xfId="6358" xr:uid="{00000000-0005-0000-0000-00002C830000}"/>
    <cellStyle name="Comma 2 2 6 4 2" xfId="21507" xr:uid="{00000000-0005-0000-0000-00002D830000}"/>
    <cellStyle name="Comma 2 2 6 5" xfId="8041" xr:uid="{00000000-0005-0000-0000-00002E830000}"/>
    <cellStyle name="Comma 2 2 6 5 2" xfId="23190" xr:uid="{00000000-0005-0000-0000-00002F830000}"/>
    <cellStyle name="Comma 2 2 6 6" xfId="9724" xr:uid="{00000000-0005-0000-0000-000030830000}"/>
    <cellStyle name="Comma 2 2 6 6 2" xfId="24873" xr:uid="{00000000-0005-0000-0000-000031830000}"/>
    <cellStyle name="Comma 2 2 6 7" xfId="11407" xr:uid="{00000000-0005-0000-0000-000032830000}"/>
    <cellStyle name="Comma 2 2 6 7 2" xfId="26556" xr:uid="{00000000-0005-0000-0000-000033830000}"/>
    <cellStyle name="Comma 2 2 6 8" xfId="13091" xr:uid="{00000000-0005-0000-0000-000034830000}"/>
    <cellStyle name="Comma 2 2 6 8 2" xfId="28240" xr:uid="{00000000-0005-0000-0000-000035830000}"/>
    <cellStyle name="Comma 2 2 6 9" xfId="14774" xr:uid="{00000000-0005-0000-0000-000036830000}"/>
    <cellStyle name="Comma 2 2 6 9 2" xfId="29923" xr:uid="{00000000-0005-0000-0000-000037830000}"/>
    <cellStyle name="Comma 2 2 7" xfId="1729" xr:uid="{00000000-0005-0000-0000-000038830000}"/>
    <cellStyle name="Comma 2 2 7 2" xfId="16878" xr:uid="{00000000-0005-0000-0000-000039830000}"/>
    <cellStyle name="Comma 2 2 8" xfId="3413" xr:uid="{00000000-0005-0000-0000-00003A830000}"/>
    <cellStyle name="Comma 2 2 8 2" xfId="18562" xr:uid="{00000000-0005-0000-0000-00003B830000}"/>
    <cellStyle name="Comma 2 2 9" xfId="5096" xr:uid="{00000000-0005-0000-0000-00003C830000}"/>
    <cellStyle name="Comma 2 2 9 2" xfId="20245" xr:uid="{00000000-0005-0000-0000-00003D830000}"/>
    <cellStyle name="Comma 2 20" xfId="30331" xr:uid="{00000000-0005-0000-0000-00003E830000}"/>
    <cellStyle name="Comma 2 21" xfId="32014" xr:uid="{00000000-0005-0000-0000-00003F830000}"/>
    <cellStyle name="Comma 2 22" xfId="33697" xr:uid="{00000000-0005-0000-0000-000040830000}"/>
    <cellStyle name="Comma 2 23" xfId="35380" xr:uid="{00000000-0005-0000-0000-000041830000}"/>
    <cellStyle name="Comma 2 24" xfId="37063" xr:uid="{00000000-0005-0000-0000-000042830000}"/>
    <cellStyle name="Comma 2 25" xfId="38746" xr:uid="{00000000-0005-0000-0000-000043830000}"/>
    <cellStyle name="Comma 2 26" xfId="40429" xr:uid="{00000000-0005-0000-0000-000044830000}"/>
    <cellStyle name="Comma 2 27" xfId="42112" xr:uid="{00000000-0005-0000-0000-000045830000}"/>
    <cellStyle name="Comma 2 28" xfId="43795" xr:uid="{00000000-0005-0000-0000-000046830000}"/>
    <cellStyle name="Comma 2 29" xfId="45478" xr:uid="{00000000-0005-0000-0000-000047830000}"/>
    <cellStyle name="Comma 2 3" xfId="33" xr:uid="{00000000-0005-0000-0000-000048830000}"/>
    <cellStyle name="Comma 2 3 10" xfId="6788" xr:uid="{00000000-0005-0000-0000-000049830000}"/>
    <cellStyle name="Comma 2 3 10 2" xfId="21937" xr:uid="{00000000-0005-0000-0000-00004A830000}"/>
    <cellStyle name="Comma 2 3 11" xfId="8471" xr:uid="{00000000-0005-0000-0000-00004B830000}"/>
    <cellStyle name="Comma 2 3 11 2" xfId="23620" xr:uid="{00000000-0005-0000-0000-00004C830000}"/>
    <cellStyle name="Comma 2 3 12" xfId="10154" xr:uid="{00000000-0005-0000-0000-00004D830000}"/>
    <cellStyle name="Comma 2 3 12 2" xfId="25303" xr:uid="{00000000-0005-0000-0000-00004E830000}"/>
    <cellStyle name="Comma 2 3 13" xfId="11838" xr:uid="{00000000-0005-0000-0000-00004F830000}"/>
    <cellStyle name="Comma 2 3 13 2" xfId="26987" xr:uid="{00000000-0005-0000-0000-000050830000}"/>
    <cellStyle name="Comma 2 3 14" xfId="13521" xr:uid="{00000000-0005-0000-0000-000051830000}"/>
    <cellStyle name="Comma 2 3 14 2" xfId="28670" xr:uid="{00000000-0005-0000-0000-000052830000}"/>
    <cellStyle name="Comma 2 3 15" xfId="15204" xr:uid="{00000000-0005-0000-0000-000053830000}"/>
    <cellStyle name="Comma 2 3 16" xfId="30353" xr:uid="{00000000-0005-0000-0000-000054830000}"/>
    <cellStyle name="Comma 2 3 17" xfId="32036" xr:uid="{00000000-0005-0000-0000-000055830000}"/>
    <cellStyle name="Comma 2 3 18" xfId="33719" xr:uid="{00000000-0005-0000-0000-000056830000}"/>
    <cellStyle name="Comma 2 3 19" xfId="35402" xr:uid="{00000000-0005-0000-0000-000057830000}"/>
    <cellStyle name="Comma 2 3 2" xfId="160" xr:uid="{00000000-0005-0000-0000-000058830000}"/>
    <cellStyle name="Comma 2 3 2 10" xfId="8576" xr:uid="{00000000-0005-0000-0000-000059830000}"/>
    <cellStyle name="Comma 2 3 2 10 2" xfId="23725" xr:uid="{00000000-0005-0000-0000-00005A830000}"/>
    <cellStyle name="Comma 2 3 2 11" xfId="10259" xr:uid="{00000000-0005-0000-0000-00005B830000}"/>
    <cellStyle name="Comma 2 3 2 11 2" xfId="25408" xr:uid="{00000000-0005-0000-0000-00005C830000}"/>
    <cellStyle name="Comma 2 3 2 12" xfId="11943" xr:uid="{00000000-0005-0000-0000-00005D830000}"/>
    <cellStyle name="Comma 2 3 2 12 2" xfId="27092" xr:uid="{00000000-0005-0000-0000-00005E830000}"/>
    <cellStyle name="Comma 2 3 2 13" xfId="13626" xr:uid="{00000000-0005-0000-0000-00005F830000}"/>
    <cellStyle name="Comma 2 3 2 13 2" xfId="28775" xr:uid="{00000000-0005-0000-0000-000060830000}"/>
    <cellStyle name="Comma 2 3 2 14" xfId="15309" xr:uid="{00000000-0005-0000-0000-000061830000}"/>
    <cellStyle name="Comma 2 3 2 15" xfId="30458" xr:uid="{00000000-0005-0000-0000-000062830000}"/>
    <cellStyle name="Comma 2 3 2 16" xfId="32141" xr:uid="{00000000-0005-0000-0000-000063830000}"/>
    <cellStyle name="Comma 2 3 2 17" xfId="33824" xr:uid="{00000000-0005-0000-0000-000064830000}"/>
    <cellStyle name="Comma 2 3 2 18" xfId="35507" xr:uid="{00000000-0005-0000-0000-000065830000}"/>
    <cellStyle name="Comma 2 3 2 19" xfId="37190" xr:uid="{00000000-0005-0000-0000-000066830000}"/>
    <cellStyle name="Comma 2 3 2 2" xfId="370" xr:uid="{00000000-0005-0000-0000-000067830000}"/>
    <cellStyle name="Comma 2 3 2 2 10" xfId="10469" xr:uid="{00000000-0005-0000-0000-000068830000}"/>
    <cellStyle name="Comma 2 3 2 2 10 2" xfId="25618" xr:uid="{00000000-0005-0000-0000-000069830000}"/>
    <cellStyle name="Comma 2 3 2 2 11" xfId="12153" xr:uid="{00000000-0005-0000-0000-00006A830000}"/>
    <cellStyle name="Comma 2 3 2 2 11 2" xfId="27302" xr:uid="{00000000-0005-0000-0000-00006B830000}"/>
    <cellStyle name="Comma 2 3 2 2 12" xfId="13836" xr:uid="{00000000-0005-0000-0000-00006C830000}"/>
    <cellStyle name="Comma 2 3 2 2 12 2" xfId="28985" xr:uid="{00000000-0005-0000-0000-00006D830000}"/>
    <cellStyle name="Comma 2 3 2 2 13" xfId="15519" xr:uid="{00000000-0005-0000-0000-00006E830000}"/>
    <cellStyle name="Comma 2 3 2 2 14" xfId="30668" xr:uid="{00000000-0005-0000-0000-00006F830000}"/>
    <cellStyle name="Comma 2 3 2 2 15" xfId="32351" xr:uid="{00000000-0005-0000-0000-000070830000}"/>
    <cellStyle name="Comma 2 3 2 2 16" xfId="34034" xr:uid="{00000000-0005-0000-0000-000071830000}"/>
    <cellStyle name="Comma 2 3 2 2 17" xfId="35717" xr:uid="{00000000-0005-0000-0000-000072830000}"/>
    <cellStyle name="Comma 2 3 2 2 18" xfId="37400" xr:uid="{00000000-0005-0000-0000-000073830000}"/>
    <cellStyle name="Comma 2 3 2 2 19" xfId="39083" xr:uid="{00000000-0005-0000-0000-000074830000}"/>
    <cellStyle name="Comma 2 3 2 2 2" xfId="790" xr:uid="{00000000-0005-0000-0000-000075830000}"/>
    <cellStyle name="Comma 2 3 2 2 2 10" xfId="15939" xr:uid="{00000000-0005-0000-0000-000076830000}"/>
    <cellStyle name="Comma 2 3 2 2 2 11" xfId="31088" xr:uid="{00000000-0005-0000-0000-000077830000}"/>
    <cellStyle name="Comma 2 3 2 2 2 12" xfId="32771" xr:uid="{00000000-0005-0000-0000-000078830000}"/>
    <cellStyle name="Comma 2 3 2 2 2 13" xfId="34454" xr:uid="{00000000-0005-0000-0000-000079830000}"/>
    <cellStyle name="Comma 2 3 2 2 2 14" xfId="36137" xr:uid="{00000000-0005-0000-0000-00007A830000}"/>
    <cellStyle name="Comma 2 3 2 2 2 15" xfId="37820" xr:uid="{00000000-0005-0000-0000-00007B830000}"/>
    <cellStyle name="Comma 2 3 2 2 2 16" xfId="39503" xr:uid="{00000000-0005-0000-0000-00007C830000}"/>
    <cellStyle name="Comma 2 3 2 2 2 17" xfId="41186" xr:uid="{00000000-0005-0000-0000-00007D830000}"/>
    <cellStyle name="Comma 2 3 2 2 2 18" xfId="42869" xr:uid="{00000000-0005-0000-0000-00007E830000}"/>
    <cellStyle name="Comma 2 3 2 2 2 19" xfId="44552" xr:uid="{00000000-0005-0000-0000-00007F830000}"/>
    <cellStyle name="Comma 2 3 2 2 2 2" xfId="2473" xr:uid="{00000000-0005-0000-0000-000080830000}"/>
    <cellStyle name="Comma 2 3 2 2 2 2 2" xfId="17622" xr:uid="{00000000-0005-0000-0000-000081830000}"/>
    <cellStyle name="Comma 2 3 2 2 2 20" xfId="46235" xr:uid="{00000000-0005-0000-0000-000082830000}"/>
    <cellStyle name="Comma 2 3 2 2 2 21" xfId="47918" xr:uid="{00000000-0005-0000-0000-000083830000}"/>
    <cellStyle name="Comma 2 3 2 2 2 22" xfId="49601" xr:uid="{00000000-0005-0000-0000-000084830000}"/>
    <cellStyle name="Comma 2 3 2 2 2 23" xfId="51284" xr:uid="{00000000-0005-0000-0000-000085830000}"/>
    <cellStyle name="Comma 2 3 2 2 2 24" xfId="52967" xr:uid="{00000000-0005-0000-0000-000086830000}"/>
    <cellStyle name="Comma 2 3 2 2 2 25" xfId="54650" xr:uid="{00000000-0005-0000-0000-000087830000}"/>
    <cellStyle name="Comma 2 3 2 2 2 26" xfId="56333" xr:uid="{00000000-0005-0000-0000-000088830000}"/>
    <cellStyle name="Comma 2 3 2 2 2 27" xfId="58016" xr:uid="{00000000-0005-0000-0000-000089830000}"/>
    <cellStyle name="Comma 2 3 2 2 2 28" xfId="59699" xr:uid="{00000000-0005-0000-0000-00008A830000}"/>
    <cellStyle name="Comma 2 3 2 2 2 29" xfId="61382" xr:uid="{00000000-0005-0000-0000-00008B830000}"/>
    <cellStyle name="Comma 2 3 2 2 2 3" xfId="4157" xr:uid="{00000000-0005-0000-0000-00008C830000}"/>
    <cellStyle name="Comma 2 3 2 2 2 3 2" xfId="19306" xr:uid="{00000000-0005-0000-0000-00008D830000}"/>
    <cellStyle name="Comma 2 3 2 2 2 30" xfId="63065" xr:uid="{00000000-0005-0000-0000-00008E830000}"/>
    <cellStyle name="Comma 2 3 2 2 2 4" xfId="5840" xr:uid="{00000000-0005-0000-0000-00008F830000}"/>
    <cellStyle name="Comma 2 3 2 2 2 4 2" xfId="20989" xr:uid="{00000000-0005-0000-0000-000090830000}"/>
    <cellStyle name="Comma 2 3 2 2 2 5" xfId="7523" xr:uid="{00000000-0005-0000-0000-000091830000}"/>
    <cellStyle name="Comma 2 3 2 2 2 5 2" xfId="22672" xr:uid="{00000000-0005-0000-0000-000092830000}"/>
    <cellStyle name="Comma 2 3 2 2 2 6" xfId="9206" xr:uid="{00000000-0005-0000-0000-000093830000}"/>
    <cellStyle name="Comma 2 3 2 2 2 6 2" xfId="24355" xr:uid="{00000000-0005-0000-0000-000094830000}"/>
    <cellStyle name="Comma 2 3 2 2 2 7" xfId="10889" xr:uid="{00000000-0005-0000-0000-000095830000}"/>
    <cellStyle name="Comma 2 3 2 2 2 7 2" xfId="26038" xr:uid="{00000000-0005-0000-0000-000096830000}"/>
    <cellStyle name="Comma 2 3 2 2 2 8" xfId="12573" xr:uid="{00000000-0005-0000-0000-000097830000}"/>
    <cellStyle name="Comma 2 3 2 2 2 8 2" xfId="27722" xr:uid="{00000000-0005-0000-0000-000098830000}"/>
    <cellStyle name="Comma 2 3 2 2 2 9" xfId="14256" xr:uid="{00000000-0005-0000-0000-000099830000}"/>
    <cellStyle name="Comma 2 3 2 2 2 9 2" xfId="29405" xr:uid="{00000000-0005-0000-0000-00009A830000}"/>
    <cellStyle name="Comma 2 3 2 2 20" xfId="40766" xr:uid="{00000000-0005-0000-0000-00009B830000}"/>
    <cellStyle name="Comma 2 3 2 2 21" xfId="42449" xr:uid="{00000000-0005-0000-0000-00009C830000}"/>
    <cellStyle name="Comma 2 3 2 2 22" xfId="44132" xr:uid="{00000000-0005-0000-0000-00009D830000}"/>
    <cellStyle name="Comma 2 3 2 2 23" xfId="45815" xr:uid="{00000000-0005-0000-0000-00009E830000}"/>
    <cellStyle name="Comma 2 3 2 2 24" xfId="47498" xr:uid="{00000000-0005-0000-0000-00009F830000}"/>
    <cellStyle name="Comma 2 3 2 2 25" xfId="49181" xr:uid="{00000000-0005-0000-0000-0000A0830000}"/>
    <cellStyle name="Comma 2 3 2 2 26" xfId="50864" xr:uid="{00000000-0005-0000-0000-0000A1830000}"/>
    <cellStyle name="Comma 2 3 2 2 27" xfId="52547" xr:uid="{00000000-0005-0000-0000-0000A2830000}"/>
    <cellStyle name="Comma 2 3 2 2 28" xfId="54230" xr:uid="{00000000-0005-0000-0000-0000A3830000}"/>
    <cellStyle name="Comma 2 3 2 2 29" xfId="55913" xr:uid="{00000000-0005-0000-0000-0000A4830000}"/>
    <cellStyle name="Comma 2 3 2 2 3" xfId="1211" xr:uid="{00000000-0005-0000-0000-0000A5830000}"/>
    <cellStyle name="Comma 2 3 2 2 3 10" xfId="16360" xr:uid="{00000000-0005-0000-0000-0000A6830000}"/>
    <cellStyle name="Comma 2 3 2 2 3 11" xfId="31509" xr:uid="{00000000-0005-0000-0000-0000A7830000}"/>
    <cellStyle name="Comma 2 3 2 2 3 12" xfId="33192" xr:uid="{00000000-0005-0000-0000-0000A8830000}"/>
    <cellStyle name="Comma 2 3 2 2 3 13" xfId="34875" xr:uid="{00000000-0005-0000-0000-0000A9830000}"/>
    <cellStyle name="Comma 2 3 2 2 3 14" xfId="36558" xr:uid="{00000000-0005-0000-0000-0000AA830000}"/>
    <cellStyle name="Comma 2 3 2 2 3 15" xfId="38241" xr:uid="{00000000-0005-0000-0000-0000AB830000}"/>
    <cellStyle name="Comma 2 3 2 2 3 16" xfId="39924" xr:uid="{00000000-0005-0000-0000-0000AC830000}"/>
    <cellStyle name="Comma 2 3 2 2 3 17" xfId="41607" xr:uid="{00000000-0005-0000-0000-0000AD830000}"/>
    <cellStyle name="Comma 2 3 2 2 3 18" xfId="43290" xr:uid="{00000000-0005-0000-0000-0000AE830000}"/>
    <cellStyle name="Comma 2 3 2 2 3 19" xfId="44973" xr:uid="{00000000-0005-0000-0000-0000AF830000}"/>
    <cellStyle name="Comma 2 3 2 2 3 2" xfId="2894" xr:uid="{00000000-0005-0000-0000-0000B0830000}"/>
    <cellStyle name="Comma 2 3 2 2 3 2 2" xfId="18043" xr:uid="{00000000-0005-0000-0000-0000B1830000}"/>
    <cellStyle name="Comma 2 3 2 2 3 20" xfId="46656" xr:uid="{00000000-0005-0000-0000-0000B2830000}"/>
    <cellStyle name="Comma 2 3 2 2 3 21" xfId="48339" xr:uid="{00000000-0005-0000-0000-0000B3830000}"/>
    <cellStyle name="Comma 2 3 2 2 3 22" xfId="50022" xr:uid="{00000000-0005-0000-0000-0000B4830000}"/>
    <cellStyle name="Comma 2 3 2 2 3 23" xfId="51705" xr:uid="{00000000-0005-0000-0000-0000B5830000}"/>
    <cellStyle name="Comma 2 3 2 2 3 24" xfId="53388" xr:uid="{00000000-0005-0000-0000-0000B6830000}"/>
    <cellStyle name="Comma 2 3 2 2 3 25" xfId="55071" xr:uid="{00000000-0005-0000-0000-0000B7830000}"/>
    <cellStyle name="Comma 2 3 2 2 3 26" xfId="56754" xr:uid="{00000000-0005-0000-0000-0000B8830000}"/>
    <cellStyle name="Comma 2 3 2 2 3 27" xfId="58437" xr:uid="{00000000-0005-0000-0000-0000B9830000}"/>
    <cellStyle name="Comma 2 3 2 2 3 28" xfId="60120" xr:uid="{00000000-0005-0000-0000-0000BA830000}"/>
    <cellStyle name="Comma 2 3 2 2 3 29" xfId="61803" xr:uid="{00000000-0005-0000-0000-0000BB830000}"/>
    <cellStyle name="Comma 2 3 2 2 3 3" xfId="4578" xr:uid="{00000000-0005-0000-0000-0000BC830000}"/>
    <cellStyle name="Comma 2 3 2 2 3 3 2" xfId="19727" xr:uid="{00000000-0005-0000-0000-0000BD830000}"/>
    <cellStyle name="Comma 2 3 2 2 3 30" xfId="63486" xr:uid="{00000000-0005-0000-0000-0000BE830000}"/>
    <cellStyle name="Comma 2 3 2 2 3 4" xfId="6261" xr:uid="{00000000-0005-0000-0000-0000BF830000}"/>
    <cellStyle name="Comma 2 3 2 2 3 4 2" xfId="21410" xr:uid="{00000000-0005-0000-0000-0000C0830000}"/>
    <cellStyle name="Comma 2 3 2 2 3 5" xfId="7944" xr:uid="{00000000-0005-0000-0000-0000C1830000}"/>
    <cellStyle name="Comma 2 3 2 2 3 5 2" xfId="23093" xr:uid="{00000000-0005-0000-0000-0000C2830000}"/>
    <cellStyle name="Comma 2 3 2 2 3 6" xfId="9627" xr:uid="{00000000-0005-0000-0000-0000C3830000}"/>
    <cellStyle name="Comma 2 3 2 2 3 6 2" xfId="24776" xr:uid="{00000000-0005-0000-0000-0000C4830000}"/>
    <cellStyle name="Comma 2 3 2 2 3 7" xfId="11310" xr:uid="{00000000-0005-0000-0000-0000C5830000}"/>
    <cellStyle name="Comma 2 3 2 2 3 7 2" xfId="26459" xr:uid="{00000000-0005-0000-0000-0000C6830000}"/>
    <cellStyle name="Comma 2 3 2 2 3 8" xfId="12994" xr:uid="{00000000-0005-0000-0000-0000C7830000}"/>
    <cellStyle name="Comma 2 3 2 2 3 8 2" xfId="28143" xr:uid="{00000000-0005-0000-0000-0000C8830000}"/>
    <cellStyle name="Comma 2 3 2 2 3 9" xfId="14677" xr:uid="{00000000-0005-0000-0000-0000C9830000}"/>
    <cellStyle name="Comma 2 3 2 2 3 9 2" xfId="29826" xr:uid="{00000000-0005-0000-0000-0000CA830000}"/>
    <cellStyle name="Comma 2 3 2 2 30" xfId="57596" xr:uid="{00000000-0005-0000-0000-0000CB830000}"/>
    <cellStyle name="Comma 2 3 2 2 31" xfId="59279" xr:uid="{00000000-0005-0000-0000-0000CC830000}"/>
    <cellStyle name="Comma 2 3 2 2 32" xfId="60962" xr:uid="{00000000-0005-0000-0000-0000CD830000}"/>
    <cellStyle name="Comma 2 3 2 2 33" xfId="62645" xr:uid="{00000000-0005-0000-0000-0000CE830000}"/>
    <cellStyle name="Comma 2 3 2 2 4" xfId="1632" xr:uid="{00000000-0005-0000-0000-0000CF830000}"/>
    <cellStyle name="Comma 2 3 2 2 4 10" xfId="16781" xr:uid="{00000000-0005-0000-0000-0000D0830000}"/>
    <cellStyle name="Comma 2 3 2 2 4 11" xfId="31930" xr:uid="{00000000-0005-0000-0000-0000D1830000}"/>
    <cellStyle name="Comma 2 3 2 2 4 12" xfId="33613" xr:uid="{00000000-0005-0000-0000-0000D2830000}"/>
    <cellStyle name="Comma 2 3 2 2 4 13" xfId="35296" xr:uid="{00000000-0005-0000-0000-0000D3830000}"/>
    <cellStyle name="Comma 2 3 2 2 4 14" xfId="36979" xr:uid="{00000000-0005-0000-0000-0000D4830000}"/>
    <cellStyle name="Comma 2 3 2 2 4 15" xfId="38662" xr:uid="{00000000-0005-0000-0000-0000D5830000}"/>
    <cellStyle name="Comma 2 3 2 2 4 16" xfId="40345" xr:uid="{00000000-0005-0000-0000-0000D6830000}"/>
    <cellStyle name="Comma 2 3 2 2 4 17" xfId="42028" xr:uid="{00000000-0005-0000-0000-0000D7830000}"/>
    <cellStyle name="Comma 2 3 2 2 4 18" xfId="43711" xr:uid="{00000000-0005-0000-0000-0000D8830000}"/>
    <cellStyle name="Comma 2 3 2 2 4 19" xfId="45394" xr:uid="{00000000-0005-0000-0000-0000D9830000}"/>
    <cellStyle name="Comma 2 3 2 2 4 2" xfId="3315" xr:uid="{00000000-0005-0000-0000-0000DA830000}"/>
    <cellStyle name="Comma 2 3 2 2 4 2 2" xfId="18464" xr:uid="{00000000-0005-0000-0000-0000DB830000}"/>
    <cellStyle name="Comma 2 3 2 2 4 20" xfId="47077" xr:uid="{00000000-0005-0000-0000-0000DC830000}"/>
    <cellStyle name="Comma 2 3 2 2 4 21" xfId="48760" xr:uid="{00000000-0005-0000-0000-0000DD830000}"/>
    <cellStyle name="Comma 2 3 2 2 4 22" xfId="50443" xr:uid="{00000000-0005-0000-0000-0000DE830000}"/>
    <cellStyle name="Comma 2 3 2 2 4 23" xfId="52126" xr:uid="{00000000-0005-0000-0000-0000DF830000}"/>
    <cellStyle name="Comma 2 3 2 2 4 24" xfId="53809" xr:uid="{00000000-0005-0000-0000-0000E0830000}"/>
    <cellStyle name="Comma 2 3 2 2 4 25" xfId="55492" xr:uid="{00000000-0005-0000-0000-0000E1830000}"/>
    <cellStyle name="Comma 2 3 2 2 4 26" xfId="57175" xr:uid="{00000000-0005-0000-0000-0000E2830000}"/>
    <cellStyle name="Comma 2 3 2 2 4 27" xfId="58858" xr:uid="{00000000-0005-0000-0000-0000E3830000}"/>
    <cellStyle name="Comma 2 3 2 2 4 28" xfId="60541" xr:uid="{00000000-0005-0000-0000-0000E4830000}"/>
    <cellStyle name="Comma 2 3 2 2 4 29" xfId="62224" xr:uid="{00000000-0005-0000-0000-0000E5830000}"/>
    <cellStyle name="Comma 2 3 2 2 4 3" xfId="4999" xr:uid="{00000000-0005-0000-0000-0000E6830000}"/>
    <cellStyle name="Comma 2 3 2 2 4 3 2" xfId="20148" xr:uid="{00000000-0005-0000-0000-0000E7830000}"/>
    <cellStyle name="Comma 2 3 2 2 4 30" xfId="63907" xr:uid="{00000000-0005-0000-0000-0000E8830000}"/>
    <cellStyle name="Comma 2 3 2 2 4 4" xfId="6682" xr:uid="{00000000-0005-0000-0000-0000E9830000}"/>
    <cellStyle name="Comma 2 3 2 2 4 4 2" xfId="21831" xr:uid="{00000000-0005-0000-0000-0000EA830000}"/>
    <cellStyle name="Comma 2 3 2 2 4 5" xfId="8365" xr:uid="{00000000-0005-0000-0000-0000EB830000}"/>
    <cellStyle name="Comma 2 3 2 2 4 5 2" xfId="23514" xr:uid="{00000000-0005-0000-0000-0000EC830000}"/>
    <cellStyle name="Comma 2 3 2 2 4 6" xfId="10048" xr:uid="{00000000-0005-0000-0000-0000ED830000}"/>
    <cellStyle name="Comma 2 3 2 2 4 6 2" xfId="25197" xr:uid="{00000000-0005-0000-0000-0000EE830000}"/>
    <cellStyle name="Comma 2 3 2 2 4 7" xfId="11731" xr:uid="{00000000-0005-0000-0000-0000EF830000}"/>
    <cellStyle name="Comma 2 3 2 2 4 7 2" xfId="26880" xr:uid="{00000000-0005-0000-0000-0000F0830000}"/>
    <cellStyle name="Comma 2 3 2 2 4 8" xfId="13415" xr:uid="{00000000-0005-0000-0000-0000F1830000}"/>
    <cellStyle name="Comma 2 3 2 2 4 8 2" xfId="28564" xr:uid="{00000000-0005-0000-0000-0000F2830000}"/>
    <cellStyle name="Comma 2 3 2 2 4 9" xfId="15098" xr:uid="{00000000-0005-0000-0000-0000F3830000}"/>
    <cellStyle name="Comma 2 3 2 2 4 9 2" xfId="30247" xr:uid="{00000000-0005-0000-0000-0000F4830000}"/>
    <cellStyle name="Comma 2 3 2 2 5" xfId="2053" xr:uid="{00000000-0005-0000-0000-0000F5830000}"/>
    <cellStyle name="Comma 2 3 2 2 5 2" xfId="17202" xr:uid="{00000000-0005-0000-0000-0000F6830000}"/>
    <cellStyle name="Comma 2 3 2 2 6" xfId="3737" xr:uid="{00000000-0005-0000-0000-0000F7830000}"/>
    <cellStyle name="Comma 2 3 2 2 6 2" xfId="18886" xr:uid="{00000000-0005-0000-0000-0000F8830000}"/>
    <cellStyle name="Comma 2 3 2 2 7" xfId="5420" xr:uid="{00000000-0005-0000-0000-0000F9830000}"/>
    <cellStyle name="Comma 2 3 2 2 7 2" xfId="20569" xr:uid="{00000000-0005-0000-0000-0000FA830000}"/>
    <cellStyle name="Comma 2 3 2 2 8" xfId="7103" xr:uid="{00000000-0005-0000-0000-0000FB830000}"/>
    <cellStyle name="Comma 2 3 2 2 8 2" xfId="22252" xr:uid="{00000000-0005-0000-0000-0000FC830000}"/>
    <cellStyle name="Comma 2 3 2 2 9" xfId="8786" xr:uid="{00000000-0005-0000-0000-0000FD830000}"/>
    <cellStyle name="Comma 2 3 2 2 9 2" xfId="23935" xr:uid="{00000000-0005-0000-0000-0000FE830000}"/>
    <cellStyle name="Comma 2 3 2 20" xfId="38873" xr:uid="{00000000-0005-0000-0000-0000FF830000}"/>
    <cellStyle name="Comma 2 3 2 21" xfId="40556" xr:uid="{00000000-0005-0000-0000-000000840000}"/>
    <cellStyle name="Comma 2 3 2 22" xfId="42239" xr:uid="{00000000-0005-0000-0000-000001840000}"/>
    <cellStyle name="Comma 2 3 2 23" xfId="43922" xr:uid="{00000000-0005-0000-0000-000002840000}"/>
    <cellStyle name="Comma 2 3 2 24" xfId="45605" xr:uid="{00000000-0005-0000-0000-000003840000}"/>
    <cellStyle name="Comma 2 3 2 25" xfId="47288" xr:uid="{00000000-0005-0000-0000-000004840000}"/>
    <cellStyle name="Comma 2 3 2 26" xfId="48971" xr:uid="{00000000-0005-0000-0000-000005840000}"/>
    <cellStyle name="Comma 2 3 2 27" xfId="50654" xr:uid="{00000000-0005-0000-0000-000006840000}"/>
    <cellStyle name="Comma 2 3 2 28" xfId="52337" xr:uid="{00000000-0005-0000-0000-000007840000}"/>
    <cellStyle name="Comma 2 3 2 29" xfId="54020" xr:uid="{00000000-0005-0000-0000-000008840000}"/>
    <cellStyle name="Comma 2 3 2 3" xfId="580" xr:uid="{00000000-0005-0000-0000-000009840000}"/>
    <cellStyle name="Comma 2 3 2 3 10" xfId="15729" xr:uid="{00000000-0005-0000-0000-00000A840000}"/>
    <cellStyle name="Comma 2 3 2 3 11" xfId="30878" xr:uid="{00000000-0005-0000-0000-00000B840000}"/>
    <cellStyle name="Comma 2 3 2 3 12" xfId="32561" xr:uid="{00000000-0005-0000-0000-00000C840000}"/>
    <cellStyle name="Comma 2 3 2 3 13" xfId="34244" xr:uid="{00000000-0005-0000-0000-00000D840000}"/>
    <cellStyle name="Comma 2 3 2 3 14" xfId="35927" xr:uid="{00000000-0005-0000-0000-00000E840000}"/>
    <cellStyle name="Comma 2 3 2 3 15" xfId="37610" xr:uid="{00000000-0005-0000-0000-00000F840000}"/>
    <cellStyle name="Comma 2 3 2 3 16" xfId="39293" xr:uid="{00000000-0005-0000-0000-000010840000}"/>
    <cellStyle name="Comma 2 3 2 3 17" xfId="40976" xr:uid="{00000000-0005-0000-0000-000011840000}"/>
    <cellStyle name="Comma 2 3 2 3 18" xfId="42659" xr:uid="{00000000-0005-0000-0000-000012840000}"/>
    <cellStyle name="Comma 2 3 2 3 19" xfId="44342" xr:uid="{00000000-0005-0000-0000-000013840000}"/>
    <cellStyle name="Comma 2 3 2 3 2" xfId="2263" xr:uid="{00000000-0005-0000-0000-000014840000}"/>
    <cellStyle name="Comma 2 3 2 3 2 2" xfId="17412" xr:uid="{00000000-0005-0000-0000-000015840000}"/>
    <cellStyle name="Comma 2 3 2 3 20" xfId="46025" xr:uid="{00000000-0005-0000-0000-000016840000}"/>
    <cellStyle name="Comma 2 3 2 3 21" xfId="47708" xr:uid="{00000000-0005-0000-0000-000017840000}"/>
    <cellStyle name="Comma 2 3 2 3 22" xfId="49391" xr:uid="{00000000-0005-0000-0000-000018840000}"/>
    <cellStyle name="Comma 2 3 2 3 23" xfId="51074" xr:uid="{00000000-0005-0000-0000-000019840000}"/>
    <cellStyle name="Comma 2 3 2 3 24" xfId="52757" xr:uid="{00000000-0005-0000-0000-00001A840000}"/>
    <cellStyle name="Comma 2 3 2 3 25" xfId="54440" xr:uid="{00000000-0005-0000-0000-00001B840000}"/>
    <cellStyle name="Comma 2 3 2 3 26" xfId="56123" xr:uid="{00000000-0005-0000-0000-00001C840000}"/>
    <cellStyle name="Comma 2 3 2 3 27" xfId="57806" xr:uid="{00000000-0005-0000-0000-00001D840000}"/>
    <cellStyle name="Comma 2 3 2 3 28" xfId="59489" xr:uid="{00000000-0005-0000-0000-00001E840000}"/>
    <cellStyle name="Comma 2 3 2 3 29" xfId="61172" xr:uid="{00000000-0005-0000-0000-00001F840000}"/>
    <cellStyle name="Comma 2 3 2 3 3" xfId="3947" xr:uid="{00000000-0005-0000-0000-000020840000}"/>
    <cellStyle name="Comma 2 3 2 3 3 2" xfId="19096" xr:uid="{00000000-0005-0000-0000-000021840000}"/>
    <cellStyle name="Comma 2 3 2 3 30" xfId="62855" xr:uid="{00000000-0005-0000-0000-000022840000}"/>
    <cellStyle name="Comma 2 3 2 3 4" xfId="5630" xr:uid="{00000000-0005-0000-0000-000023840000}"/>
    <cellStyle name="Comma 2 3 2 3 4 2" xfId="20779" xr:uid="{00000000-0005-0000-0000-000024840000}"/>
    <cellStyle name="Comma 2 3 2 3 5" xfId="7313" xr:uid="{00000000-0005-0000-0000-000025840000}"/>
    <cellStyle name="Comma 2 3 2 3 5 2" xfId="22462" xr:uid="{00000000-0005-0000-0000-000026840000}"/>
    <cellStyle name="Comma 2 3 2 3 6" xfId="8996" xr:uid="{00000000-0005-0000-0000-000027840000}"/>
    <cellStyle name="Comma 2 3 2 3 6 2" xfId="24145" xr:uid="{00000000-0005-0000-0000-000028840000}"/>
    <cellStyle name="Comma 2 3 2 3 7" xfId="10679" xr:uid="{00000000-0005-0000-0000-000029840000}"/>
    <cellStyle name="Comma 2 3 2 3 7 2" xfId="25828" xr:uid="{00000000-0005-0000-0000-00002A840000}"/>
    <cellStyle name="Comma 2 3 2 3 8" xfId="12363" xr:uid="{00000000-0005-0000-0000-00002B840000}"/>
    <cellStyle name="Comma 2 3 2 3 8 2" xfId="27512" xr:uid="{00000000-0005-0000-0000-00002C840000}"/>
    <cellStyle name="Comma 2 3 2 3 9" xfId="14046" xr:uid="{00000000-0005-0000-0000-00002D840000}"/>
    <cellStyle name="Comma 2 3 2 3 9 2" xfId="29195" xr:uid="{00000000-0005-0000-0000-00002E840000}"/>
    <cellStyle name="Comma 2 3 2 30" xfId="55703" xr:uid="{00000000-0005-0000-0000-00002F840000}"/>
    <cellStyle name="Comma 2 3 2 31" xfId="57386" xr:uid="{00000000-0005-0000-0000-000030840000}"/>
    <cellStyle name="Comma 2 3 2 32" xfId="59069" xr:uid="{00000000-0005-0000-0000-000031840000}"/>
    <cellStyle name="Comma 2 3 2 33" xfId="60752" xr:uid="{00000000-0005-0000-0000-000032840000}"/>
    <cellStyle name="Comma 2 3 2 34" xfId="62435" xr:uid="{00000000-0005-0000-0000-000033840000}"/>
    <cellStyle name="Comma 2 3 2 4" xfId="1001" xr:uid="{00000000-0005-0000-0000-000034840000}"/>
    <cellStyle name="Comma 2 3 2 4 10" xfId="16150" xr:uid="{00000000-0005-0000-0000-000035840000}"/>
    <cellStyle name="Comma 2 3 2 4 11" xfId="31299" xr:uid="{00000000-0005-0000-0000-000036840000}"/>
    <cellStyle name="Comma 2 3 2 4 12" xfId="32982" xr:uid="{00000000-0005-0000-0000-000037840000}"/>
    <cellStyle name="Comma 2 3 2 4 13" xfId="34665" xr:uid="{00000000-0005-0000-0000-000038840000}"/>
    <cellStyle name="Comma 2 3 2 4 14" xfId="36348" xr:uid="{00000000-0005-0000-0000-000039840000}"/>
    <cellStyle name="Comma 2 3 2 4 15" xfId="38031" xr:uid="{00000000-0005-0000-0000-00003A840000}"/>
    <cellStyle name="Comma 2 3 2 4 16" xfId="39714" xr:uid="{00000000-0005-0000-0000-00003B840000}"/>
    <cellStyle name="Comma 2 3 2 4 17" xfId="41397" xr:uid="{00000000-0005-0000-0000-00003C840000}"/>
    <cellStyle name="Comma 2 3 2 4 18" xfId="43080" xr:uid="{00000000-0005-0000-0000-00003D840000}"/>
    <cellStyle name="Comma 2 3 2 4 19" xfId="44763" xr:uid="{00000000-0005-0000-0000-00003E840000}"/>
    <cellStyle name="Comma 2 3 2 4 2" xfId="2684" xr:uid="{00000000-0005-0000-0000-00003F840000}"/>
    <cellStyle name="Comma 2 3 2 4 2 2" xfId="17833" xr:uid="{00000000-0005-0000-0000-000040840000}"/>
    <cellStyle name="Comma 2 3 2 4 20" xfId="46446" xr:uid="{00000000-0005-0000-0000-000041840000}"/>
    <cellStyle name="Comma 2 3 2 4 21" xfId="48129" xr:uid="{00000000-0005-0000-0000-000042840000}"/>
    <cellStyle name="Comma 2 3 2 4 22" xfId="49812" xr:uid="{00000000-0005-0000-0000-000043840000}"/>
    <cellStyle name="Comma 2 3 2 4 23" xfId="51495" xr:uid="{00000000-0005-0000-0000-000044840000}"/>
    <cellStyle name="Comma 2 3 2 4 24" xfId="53178" xr:uid="{00000000-0005-0000-0000-000045840000}"/>
    <cellStyle name="Comma 2 3 2 4 25" xfId="54861" xr:uid="{00000000-0005-0000-0000-000046840000}"/>
    <cellStyle name="Comma 2 3 2 4 26" xfId="56544" xr:uid="{00000000-0005-0000-0000-000047840000}"/>
    <cellStyle name="Comma 2 3 2 4 27" xfId="58227" xr:uid="{00000000-0005-0000-0000-000048840000}"/>
    <cellStyle name="Comma 2 3 2 4 28" xfId="59910" xr:uid="{00000000-0005-0000-0000-000049840000}"/>
    <cellStyle name="Comma 2 3 2 4 29" xfId="61593" xr:uid="{00000000-0005-0000-0000-00004A840000}"/>
    <cellStyle name="Comma 2 3 2 4 3" xfId="4368" xr:uid="{00000000-0005-0000-0000-00004B840000}"/>
    <cellStyle name="Comma 2 3 2 4 3 2" xfId="19517" xr:uid="{00000000-0005-0000-0000-00004C840000}"/>
    <cellStyle name="Comma 2 3 2 4 30" xfId="63276" xr:uid="{00000000-0005-0000-0000-00004D840000}"/>
    <cellStyle name="Comma 2 3 2 4 4" xfId="6051" xr:uid="{00000000-0005-0000-0000-00004E840000}"/>
    <cellStyle name="Comma 2 3 2 4 4 2" xfId="21200" xr:uid="{00000000-0005-0000-0000-00004F840000}"/>
    <cellStyle name="Comma 2 3 2 4 5" xfId="7734" xr:uid="{00000000-0005-0000-0000-000050840000}"/>
    <cellStyle name="Comma 2 3 2 4 5 2" xfId="22883" xr:uid="{00000000-0005-0000-0000-000051840000}"/>
    <cellStyle name="Comma 2 3 2 4 6" xfId="9417" xr:uid="{00000000-0005-0000-0000-000052840000}"/>
    <cellStyle name="Comma 2 3 2 4 6 2" xfId="24566" xr:uid="{00000000-0005-0000-0000-000053840000}"/>
    <cellStyle name="Comma 2 3 2 4 7" xfId="11100" xr:uid="{00000000-0005-0000-0000-000054840000}"/>
    <cellStyle name="Comma 2 3 2 4 7 2" xfId="26249" xr:uid="{00000000-0005-0000-0000-000055840000}"/>
    <cellStyle name="Comma 2 3 2 4 8" xfId="12784" xr:uid="{00000000-0005-0000-0000-000056840000}"/>
    <cellStyle name="Comma 2 3 2 4 8 2" xfId="27933" xr:uid="{00000000-0005-0000-0000-000057840000}"/>
    <cellStyle name="Comma 2 3 2 4 9" xfId="14467" xr:uid="{00000000-0005-0000-0000-000058840000}"/>
    <cellStyle name="Comma 2 3 2 4 9 2" xfId="29616" xr:uid="{00000000-0005-0000-0000-000059840000}"/>
    <cellStyle name="Comma 2 3 2 5" xfId="1422" xr:uid="{00000000-0005-0000-0000-00005A840000}"/>
    <cellStyle name="Comma 2 3 2 5 10" xfId="16571" xr:uid="{00000000-0005-0000-0000-00005B840000}"/>
    <cellStyle name="Comma 2 3 2 5 11" xfId="31720" xr:uid="{00000000-0005-0000-0000-00005C840000}"/>
    <cellStyle name="Comma 2 3 2 5 12" xfId="33403" xr:uid="{00000000-0005-0000-0000-00005D840000}"/>
    <cellStyle name="Comma 2 3 2 5 13" xfId="35086" xr:uid="{00000000-0005-0000-0000-00005E840000}"/>
    <cellStyle name="Comma 2 3 2 5 14" xfId="36769" xr:uid="{00000000-0005-0000-0000-00005F840000}"/>
    <cellStyle name="Comma 2 3 2 5 15" xfId="38452" xr:uid="{00000000-0005-0000-0000-000060840000}"/>
    <cellStyle name="Comma 2 3 2 5 16" xfId="40135" xr:uid="{00000000-0005-0000-0000-000061840000}"/>
    <cellStyle name="Comma 2 3 2 5 17" xfId="41818" xr:uid="{00000000-0005-0000-0000-000062840000}"/>
    <cellStyle name="Comma 2 3 2 5 18" xfId="43501" xr:uid="{00000000-0005-0000-0000-000063840000}"/>
    <cellStyle name="Comma 2 3 2 5 19" xfId="45184" xr:uid="{00000000-0005-0000-0000-000064840000}"/>
    <cellStyle name="Comma 2 3 2 5 2" xfId="3105" xr:uid="{00000000-0005-0000-0000-000065840000}"/>
    <cellStyle name="Comma 2 3 2 5 2 2" xfId="18254" xr:uid="{00000000-0005-0000-0000-000066840000}"/>
    <cellStyle name="Comma 2 3 2 5 20" xfId="46867" xr:uid="{00000000-0005-0000-0000-000067840000}"/>
    <cellStyle name="Comma 2 3 2 5 21" xfId="48550" xr:uid="{00000000-0005-0000-0000-000068840000}"/>
    <cellStyle name="Comma 2 3 2 5 22" xfId="50233" xr:uid="{00000000-0005-0000-0000-000069840000}"/>
    <cellStyle name="Comma 2 3 2 5 23" xfId="51916" xr:uid="{00000000-0005-0000-0000-00006A840000}"/>
    <cellStyle name="Comma 2 3 2 5 24" xfId="53599" xr:uid="{00000000-0005-0000-0000-00006B840000}"/>
    <cellStyle name="Comma 2 3 2 5 25" xfId="55282" xr:uid="{00000000-0005-0000-0000-00006C840000}"/>
    <cellStyle name="Comma 2 3 2 5 26" xfId="56965" xr:uid="{00000000-0005-0000-0000-00006D840000}"/>
    <cellStyle name="Comma 2 3 2 5 27" xfId="58648" xr:uid="{00000000-0005-0000-0000-00006E840000}"/>
    <cellStyle name="Comma 2 3 2 5 28" xfId="60331" xr:uid="{00000000-0005-0000-0000-00006F840000}"/>
    <cellStyle name="Comma 2 3 2 5 29" xfId="62014" xr:uid="{00000000-0005-0000-0000-000070840000}"/>
    <cellStyle name="Comma 2 3 2 5 3" xfId="4789" xr:uid="{00000000-0005-0000-0000-000071840000}"/>
    <cellStyle name="Comma 2 3 2 5 3 2" xfId="19938" xr:uid="{00000000-0005-0000-0000-000072840000}"/>
    <cellStyle name="Comma 2 3 2 5 30" xfId="63697" xr:uid="{00000000-0005-0000-0000-000073840000}"/>
    <cellStyle name="Comma 2 3 2 5 4" xfId="6472" xr:uid="{00000000-0005-0000-0000-000074840000}"/>
    <cellStyle name="Comma 2 3 2 5 4 2" xfId="21621" xr:uid="{00000000-0005-0000-0000-000075840000}"/>
    <cellStyle name="Comma 2 3 2 5 5" xfId="8155" xr:uid="{00000000-0005-0000-0000-000076840000}"/>
    <cellStyle name="Comma 2 3 2 5 5 2" xfId="23304" xr:uid="{00000000-0005-0000-0000-000077840000}"/>
    <cellStyle name="Comma 2 3 2 5 6" xfId="9838" xr:uid="{00000000-0005-0000-0000-000078840000}"/>
    <cellStyle name="Comma 2 3 2 5 6 2" xfId="24987" xr:uid="{00000000-0005-0000-0000-000079840000}"/>
    <cellStyle name="Comma 2 3 2 5 7" xfId="11521" xr:uid="{00000000-0005-0000-0000-00007A840000}"/>
    <cellStyle name="Comma 2 3 2 5 7 2" xfId="26670" xr:uid="{00000000-0005-0000-0000-00007B840000}"/>
    <cellStyle name="Comma 2 3 2 5 8" xfId="13205" xr:uid="{00000000-0005-0000-0000-00007C840000}"/>
    <cellStyle name="Comma 2 3 2 5 8 2" xfId="28354" xr:uid="{00000000-0005-0000-0000-00007D840000}"/>
    <cellStyle name="Comma 2 3 2 5 9" xfId="14888" xr:uid="{00000000-0005-0000-0000-00007E840000}"/>
    <cellStyle name="Comma 2 3 2 5 9 2" xfId="30037" xr:uid="{00000000-0005-0000-0000-00007F840000}"/>
    <cellStyle name="Comma 2 3 2 6" xfId="1843" xr:uid="{00000000-0005-0000-0000-000080840000}"/>
    <cellStyle name="Comma 2 3 2 6 2" xfId="16992" xr:uid="{00000000-0005-0000-0000-000081840000}"/>
    <cellStyle name="Comma 2 3 2 7" xfId="3527" xr:uid="{00000000-0005-0000-0000-000082840000}"/>
    <cellStyle name="Comma 2 3 2 7 2" xfId="18676" xr:uid="{00000000-0005-0000-0000-000083840000}"/>
    <cellStyle name="Comma 2 3 2 8" xfId="5210" xr:uid="{00000000-0005-0000-0000-000084840000}"/>
    <cellStyle name="Comma 2 3 2 8 2" xfId="20359" xr:uid="{00000000-0005-0000-0000-000085840000}"/>
    <cellStyle name="Comma 2 3 2 9" xfId="6893" xr:uid="{00000000-0005-0000-0000-000086840000}"/>
    <cellStyle name="Comma 2 3 2 9 2" xfId="22042" xr:uid="{00000000-0005-0000-0000-000087840000}"/>
    <cellStyle name="Comma 2 3 20" xfId="37085" xr:uid="{00000000-0005-0000-0000-000088840000}"/>
    <cellStyle name="Comma 2 3 21" xfId="38768" xr:uid="{00000000-0005-0000-0000-000089840000}"/>
    <cellStyle name="Comma 2 3 22" xfId="40451" xr:uid="{00000000-0005-0000-0000-00008A840000}"/>
    <cellStyle name="Comma 2 3 23" xfId="42134" xr:uid="{00000000-0005-0000-0000-00008B840000}"/>
    <cellStyle name="Comma 2 3 24" xfId="43817" xr:uid="{00000000-0005-0000-0000-00008C840000}"/>
    <cellStyle name="Comma 2 3 25" xfId="45500" xr:uid="{00000000-0005-0000-0000-00008D840000}"/>
    <cellStyle name="Comma 2 3 26" xfId="47183" xr:uid="{00000000-0005-0000-0000-00008E840000}"/>
    <cellStyle name="Comma 2 3 27" xfId="48866" xr:uid="{00000000-0005-0000-0000-00008F840000}"/>
    <cellStyle name="Comma 2 3 28" xfId="50549" xr:uid="{00000000-0005-0000-0000-000090840000}"/>
    <cellStyle name="Comma 2 3 29" xfId="52232" xr:uid="{00000000-0005-0000-0000-000091840000}"/>
    <cellStyle name="Comma 2 3 3" xfId="265" xr:uid="{00000000-0005-0000-0000-000092840000}"/>
    <cellStyle name="Comma 2 3 3 10" xfId="10364" xr:uid="{00000000-0005-0000-0000-000093840000}"/>
    <cellStyle name="Comma 2 3 3 10 2" xfId="25513" xr:uid="{00000000-0005-0000-0000-000094840000}"/>
    <cellStyle name="Comma 2 3 3 11" xfId="12048" xr:uid="{00000000-0005-0000-0000-000095840000}"/>
    <cellStyle name="Comma 2 3 3 11 2" xfId="27197" xr:uid="{00000000-0005-0000-0000-000096840000}"/>
    <cellStyle name="Comma 2 3 3 12" xfId="13731" xr:uid="{00000000-0005-0000-0000-000097840000}"/>
    <cellStyle name="Comma 2 3 3 12 2" xfId="28880" xr:uid="{00000000-0005-0000-0000-000098840000}"/>
    <cellStyle name="Comma 2 3 3 13" xfId="15414" xr:uid="{00000000-0005-0000-0000-000099840000}"/>
    <cellStyle name="Comma 2 3 3 14" xfId="30563" xr:uid="{00000000-0005-0000-0000-00009A840000}"/>
    <cellStyle name="Comma 2 3 3 15" xfId="32246" xr:uid="{00000000-0005-0000-0000-00009B840000}"/>
    <cellStyle name="Comma 2 3 3 16" xfId="33929" xr:uid="{00000000-0005-0000-0000-00009C840000}"/>
    <cellStyle name="Comma 2 3 3 17" xfId="35612" xr:uid="{00000000-0005-0000-0000-00009D840000}"/>
    <cellStyle name="Comma 2 3 3 18" xfId="37295" xr:uid="{00000000-0005-0000-0000-00009E840000}"/>
    <cellStyle name="Comma 2 3 3 19" xfId="38978" xr:uid="{00000000-0005-0000-0000-00009F840000}"/>
    <cellStyle name="Comma 2 3 3 2" xfId="685" xr:uid="{00000000-0005-0000-0000-0000A0840000}"/>
    <cellStyle name="Comma 2 3 3 2 10" xfId="15834" xr:uid="{00000000-0005-0000-0000-0000A1840000}"/>
    <cellStyle name="Comma 2 3 3 2 11" xfId="30983" xr:uid="{00000000-0005-0000-0000-0000A2840000}"/>
    <cellStyle name="Comma 2 3 3 2 12" xfId="32666" xr:uid="{00000000-0005-0000-0000-0000A3840000}"/>
    <cellStyle name="Comma 2 3 3 2 13" xfId="34349" xr:uid="{00000000-0005-0000-0000-0000A4840000}"/>
    <cellStyle name="Comma 2 3 3 2 14" xfId="36032" xr:uid="{00000000-0005-0000-0000-0000A5840000}"/>
    <cellStyle name="Comma 2 3 3 2 15" xfId="37715" xr:uid="{00000000-0005-0000-0000-0000A6840000}"/>
    <cellStyle name="Comma 2 3 3 2 16" xfId="39398" xr:uid="{00000000-0005-0000-0000-0000A7840000}"/>
    <cellStyle name="Comma 2 3 3 2 17" xfId="41081" xr:uid="{00000000-0005-0000-0000-0000A8840000}"/>
    <cellStyle name="Comma 2 3 3 2 18" xfId="42764" xr:uid="{00000000-0005-0000-0000-0000A9840000}"/>
    <cellStyle name="Comma 2 3 3 2 19" xfId="44447" xr:uid="{00000000-0005-0000-0000-0000AA840000}"/>
    <cellStyle name="Comma 2 3 3 2 2" xfId="2368" xr:uid="{00000000-0005-0000-0000-0000AB840000}"/>
    <cellStyle name="Comma 2 3 3 2 2 2" xfId="17517" xr:uid="{00000000-0005-0000-0000-0000AC840000}"/>
    <cellStyle name="Comma 2 3 3 2 20" xfId="46130" xr:uid="{00000000-0005-0000-0000-0000AD840000}"/>
    <cellStyle name="Comma 2 3 3 2 21" xfId="47813" xr:uid="{00000000-0005-0000-0000-0000AE840000}"/>
    <cellStyle name="Comma 2 3 3 2 22" xfId="49496" xr:uid="{00000000-0005-0000-0000-0000AF840000}"/>
    <cellStyle name="Comma 2 3 3 2 23" xfId="51179" xr:uid="{00000000-0005-0000-0000-0000B0840000}"/>
    <cellStyle name="Comma 2 3 3 2 24" xfId="52862" xr:uid="{00000000-0005-0000-0000-0000B1840000}"/>
    <cellStyle name="Comma 2 3 3 2 25" xfId="54545" xr:uid="{00000000-0005-0000-0000-0000B2840000}"/>
    <cellStyle name="Comma 2 3 3 2 26" xfId="56228" xr:uid="{00000000-0005-0000-0000-0000B3840000}"/>
    <cellStyle name="Comma 2 3 3 2 27" xfId="57911" xr:uid="{00000000-0005-0000-0000-0000B4840000}"/>
    <cellStyle name="Comma 2 3 3 2 28" xfId="59594" xr:uid="{00000000-0005-0000-0000-0000B5840000}"/>
    <cellStyle name="Comma 2 3 3 2 29" xfId="61277" xr:uid="{00000000-0005-0000-0000-0000B6840000}"/>
    <cellStyle name="Comma 2 3 3 2 3" xfId="4052" xr:uid="{00000000-0005-0000-0000-0000B7840000}"/>
    <cellStyle name="Comma 2 3 3 2 3 2" xfId="19201" xr:uid="{00000000-0005-0000-0000-0000B8840000}"/>
    <cellStyle name="Comma 2 3 3 2 30" xfId="62960" xr:uid="{00000000-0005-0000-0000-0000B9840000}"/>
    <cellStyle name="Comma 2 3 3 2 4" xfId="5735" xr:uid="{00000000-0005-0000-0000-0000BA840000}"/>
    <cellStyle name="Comma 2 3 3 2 4 2" xfId="20884" xr:uid="{00000000-0005-0000-0000-0000BB840000}"/>
    <cellStyle name="Comma 2 3 3 2 5" xfId="7418" xr:uid="{00000000-0005-0000-0000-0000BC840000}"/>
    <cellStyle name="Comma 2 3 3 2 5 2" xfId="22567" xr:uid="{00000000-0005-0000-0000-0000BD840000}"/>
    <cellStyle name="Comma 2 3 3 2 6" xfId="9101" xr:uid="{00000000-0005-0000-0000-0000BE840000}"/>
    <cellStyle name="Comma 2 3 3 2 6 2" xfId="24250" xr:uid="{00000000-0005-0000-0000-0000BF840000}"/>
    <cellStyle name="Comma 2 3 3 2 7" xfId="10784" xr:uid="{00000000-0005-0000-0000-0000C0840000}"/>
    <cellStyle name="Comma 2 3 3 2 7 2" xfId="25933" xr:uid="{00000000-0005-0000-0000-0000C1840000}"/>
    <cellStyle name="Comma 2 3 3 2 8" xfId="12468" xr:uid="{00000000-0005-0000-0000-0000C2840000}"/>
    <cellStyle name="Comma 2 3 3 2 8 2" xfId="27617" xr:uid="{00000000-0005-0000-0000-0000C3840000}"/>
    <cellStyle name="Comma 2 3 3 2 9" xfId="14151" xr:uid="{00000000-0005-0000-0000-0000C4840000}"/>
    <cellStyle name="Comma 2 3 3 2 9 2" xfId="29300" xr:uid="{00000000-0005-0000-0000-0000C5840000}"/>
    <cellStyle name="Comma 2 3 3 20" xfId="40661" xr:uid="{00000000-0005-0000-0000-0000C6840000}"/>
    <cellStyle name="Comma 2 3 3 21" xfId="42344" xr:uid="{00000000-0005-0000-0000-0000C7840000}"/>
    <cellStyle name="Comma 2 3 3 22" xfId="44027" xr:uid="{00000000-0005-0000-0000-0000C8840000}"/>
    <cellStyle name="Comma 2 3 3 23" xfId="45710" xr:uid="{00000000-0005-0000-0000-0000C9840000}"/>
    <cellStyle name="Comma 2 3 3 24" xfId="47393" xr:uid="{00000000-0005-0000-0000-0000CA840000}"/>
    <cellStyle name="Comma 2 3 3 25" xfId="49076" xr:uid="{00000000-0005-0000-0000-0000CB840000}"/>
    <cellStyle name="Comma 2 3 3 26" xfId="50759" xr:uid="{00000000-0005-0000-0000-0000CC840000}"/>
    <cellStyle name="Comma 2 3 3 27" xfId="52442" xr:uid="{00000000-0005-0000-0000-0000CD840000}"/>
    <cellStyle name="Comma 2 3 3 28" xfId="54125" xr:uid="{00000000-0005-0000-0000-0000CE840000}"/>
    <cellStyle name="Comma 2 3 3 29" xfId="55808" xr:uid="{00000000-0005-0000-0000-0000CF840000}"/>
    <cellStyle name="Comma 2 3 3 3" xfId="1106" xr:uid="{00000000-0005-0000-0000-0000D0840000}"/>
    <cellStyle name="Comma 2 3 3 3 10" xfId="16255" xr:uid="{00000000-0005-0000-0000-0000D1840000}"/>
    <cellStyle name="Comma 2 3 3 3 11" xfId="31404" xr:uid="{00000000-0005-0000-0000-0000D2840000}"/>
    <cellStyle name="Comma 2 3 3 3 12" xfId="33087" xr:uid="{00000000-0005-0000-0000-0000D3840000}"/>
    <cellStyle name="Comma 2 3 3 3 13" xfId="34770" xr:uid="{00000000-0005-0000-0000-0000D4840000}"/>
    <cellStyle name="Comma 2 3 3 3 14" xfId="36453" xr:uid="{00000000-0005-0000-0000-0000D5840000}"/>
    <cellStyle name="Comma 2 3 3 3 15" xfId="38136" xr:uid="{00000000-0005-0000-0000-0000D6840000}"/>
    <cellStyle name="Comma 2 3 3 3 16" xfId="39819" xr:uid="{00000000-0005-0000-0000-0000D7840000}"/>
    <cellStyle name="Comma 2 3 3 3 17" xfId="41502" xr:uid="{00000000-0005-0000-0000-0000D8840000}"/>
    <cellStyle name="Comma 2 3 3 3 18" xfId="43185" xr:uid="{00000000-0005-0000-0000-0000D9840000}"/>
    <cellStyle name="Comma 2 3 3 3 19" xfId="44868" xr:uid="{00000000-0005-0000-0000-0000DA840000}"/>
    <cellStyle name="Comma 2 3 3 3 2" xfId="2789" xr:uid="{00000000-0005-0000-0000-0000DB840000}"/>
    <cellStyle name="Comma 2 3 3 3 2 2" xfId="17938" xr:uid="{00000000-0005-0000-0000-0000DC840000}"/>
    <cellStyle name="Comma 2 3 3 3 20" xfId="46551" xr:uid="{00000000-0005-0000-0000-0000DD840000}"/>
    <cellStyle name="Comma 2 3 3 3 21" xfId="48234" xr:uid="{00000000-0005-0000-0000-0000DE840000}"/>
    <cellStyle name="Comma 2 3 3 3 22" xfId="49917" xr:uid="{00000000-0005-0000-0000-0000DF840000}"/>
    <cellStyle name="Comma 2 3 3 3 23" xfId="51600" xr:uid="{00000000-0005-0000-0000-0000E0840000}"/>
    <cellStyle name="Comma 2 3 3 3 24" xfId="53283" xr:uid="{00000000-0005-0000-0000-0000E1840000}"/>
    <cellStyle name="Comma 2 3 3 3 25" xfId="54966" xr:uid="{00000000-0005-0000-0000-0000E2840000}"/>
    <cellStyle name="Comma 2 3 3 3 26" xfId="56649" xr:uid="{00000000-0005-0000-0000-0000E3840000}"/>
    <cellStyle name="Comma 2 3 3 3 27" xfId="58332" xr:uid="{00000000-0005-0000-0000-0000E4840000}"/>
    <cellStyle name="Comma 2 3 3 3 28" xfId="60015" xr:uid="{00000000-0005-0000-0000-0000E5840000}"/>
    <cellStyle name="Comma 2 3 3 3 29" xfId="61698" xr:uid="{00000000-0005-0000-0000-0000E6840000}"/>
    <cellStyle name="Comma 2 3 3 3 3" xfId="4473" xr:uid="{00000000-0005-0000-0000-0000E7840000}"/>
    <cellStyle name="Comma 2 3 3 3 3 2" xfId="19622" xr:uid="{00000000-0005-0000-0000-0000E8840000}"/>
    <cellStyle name="Comma 2 3 3 3 30" xfId="63381" xr:uid="{00000000-0005-0000-0000-0000E9840000}"/>
    <cellStyle name="Comma 2 3 3 3 4" xfId="6156" xr:uid="{00000000-0005-0000-0000-0000EA840000}"/>
    <cellStyle name="Comma 2 3 3 3 4 2" xfId="21305" xr:uid="{00000000-0005-0000-0000-0000EB840000}"/>
    <cellStyle name="Comma 2 3 3 3 5" xfId="7839" xr:uid="{00000000-0005-0000-0000-0000EC840000}"/>
    <cellStyle name="Comma 2 3 3 3 5 2" xfId="22988" xr:uid="{00000000-0005-0000-0000-0000ED840000}"/>
    <cellStyle name="Comma 2 3 3 3 6" xfId="9522" xr:uid="{00000000-0005-0000-0000-0000EE840000}"/>
    <cellStyle name="Comma 2 3 3 3 6 2" xfId="24671" xr:uid="{00000000-0005-0000-0000-0000EF840000}"/>
    <cellStyle name="Comma 2 3 3 3 7" xfId="11205" xr:uid="{00000000-0005-0000-0000-0000F0840000}"/>
    <cellStyle name="Comma 2 3 3 3 7 2" xfId="26354" xr:uid="{00000000-0005-0000-0000-0000F1840000}"/>
    <cellStyle name="Comma 2 3 3 3 8" xfId="12889" xr:uid="{00000000-0005-0000-0000-0000F2840000}"/>
    <cellStyle name="Comma 2 3 3 3 8 2" xfId="28038" xr:uid="{00000000-0005-0000-0000-0000F3840000}"/>
    <cellStyle name="Comma 2 3 3 3 9" xfId="14572" xr:uid="{00000000-0005-0000-0000-0000F4840000}"/>
    <cellStyle name="Comma 2 3 3 3 9 2" xfId="29721" xr:uid="{00000000-0005-0000-0000-0000F5840000}"/>
    <cellStyle name="Comma 2 3 3 30" xfId="57491" xr:uid="{00000000-0005-0000-0000-0000F6840000}"/>
    <cellStyle name="Comma 2 3 3 31" xfId="59174" xr:uid="{00000000-0005-0000-0000-0000F7840000}"/>
    <cellStyle name="Comma 2 3 3 32" xfId="60857" xr:uid="{00000000-0005-0000-0000-0000F8840000}"/>
    <cellStyle name="Comma 2 3 3 33" xfId="62540" xr:uid="{00000000-0005-0000-0000-0000F9840000}"/>
    <cellStyle name="Comma 2 3 3 4" xfId="1527" xr:uid="{00000000-0005-0000-0000-0000FA840000}"/>
    <cellStyle name="Comma 2 3 3 4 10" xfId="16676" xr:uid="{00000000-0005-0000-0000-0000FB840000}"/>
    <cellStyle name="Comma 2 3 3 4 11" xfId="31825" xr:uid="{00000000-0005-0000-0000-0000FC840000}"/>
    <cellStyle name="Comma 2 3 3 4 12" xfId="33508" xr:uid="{00000000-0005-0000-0000-0000FD840000}"/>
    <cellStyle name="Comma 2 3 3 4 13" xfId="35191" xr:uid="{00000000-0005-0000-0000-0000FE840000}"/>
    <cellStyle name="Comma 2 3 3 4 14" xfId="36874" xr:uid="{00000000-0005-0000-0000-0000FF840000}"/>
    <cellStyle name="Comma 2 3 3 4 15" xfId="38557" xr:uid="{00000000-0005-0000-0000-000000850000}"/>
    <cellStyle name="Comma 2 3 3 4 16" xfId="40240" xr:uid="{00000000-0005-0000-0000-000001850000}"/>
    <cellStyle name="Comma 2 3 3 4 17" xfId="41923" xr:uid="{00000000-0005-0000-0000-000002850000}"/>
    <cellStyle name="Comma 2 3 3 4 18" xfId="43606" xr:uid="{00000000-0005-0000-0000-000003850000}"/>
    <cellStyle name="Comma 2 3 3 4 19" xfId="45289" xr:uid="{00000000-0005-0000-0000-000004850000}"/>
    <cellStyle name="Comma 2 3 3 4 2" xfId="3210" xr:uid="{00000000-0005-0000-0000-000005850000}"/>
    <cellStyle name="Comma 2 3 3 4 2 2" xfId="18359" xr:uid="{00000000-0005-0000-0000-000006850000}"/>
    <cellStyle name="Comma 2 3 3 4 20" xfId="46972" xr:uid="{00000000-0005-0000-0000-000007850000}"/>
    <cellStyle name="Comma 2 3 3 4 21" xfId="48655" xr:uid="{00000000-0005-0000-0000-000008850000}"/>
    <cellStyle name="Comma 2 3 3 4 22" xfId="50338" xr:uid="{00000000-0005-0000-0000-000009850000}"/>
    <cellStyle name="Comma 2 3 3 4 23" xfId="52021" xr:uid="{00000000-0005-0000-0000-00000A850000}"/>
    <cellStyle name="Comma 2 3 3 4 24" xfId="53704" xr:uid="{00000000-0005-0000-0000-00000B850000}"/>
    <cellStyle name="Comma 2 3 3 4 25" xfId="55387" xr:uid="{00000000-0005-0000-0000-00000C850000}"/>
    <cellStyle name="Comma 2 3 3 4 26" xfId="57070" xr:uid="{00000000-0005-0000-0000-00000D850000}"/>
    <cellStyle name="Comma 2 3 3 4 27" xfId="58753" xr:uid="{00000000-0005-0000-0000-00000E850000}"/>
    <cellStyle name="Comma 2 3 3 4 28" xfId="60436" xr:uid="{00000000-0005-0000-0000-00000F850000}"/>
    <cellStyle name="Comma 2 3 3 4 29" xfId="62119" xr:uid="{00000000-0005-0000-0000-000010850000}"/>
    <cellStyle name="Comma 2 3 3 4 3" xfId="4894" xr:uid="{00000000-0005-0000-0000-000011850000}"/>
    <cellStyle name="Comma 2 3 3 4 3 2" xfId="20043" xr:uid="{00000000-0005-0000-0000-000012850000}"/>
    <cellStyle name="Comma 2 3 3 4 30" xfId="63802" xr:uid="{00000000-0005-0000-0000-000013850000}"/>
    <cellStyle name="Comma 2 3 3 4 4" xfId="6577" xr:uid="{00000000-0005-0000-0000-000014850000}"/>
    <cellStyle name="Comma 2 3 3 4 4 2" xfId="21726" xr:uid="{00000000-0005-0000-0000-000015850000}"/>
    <cellStyle name="Comma 2 3 3 4 5" xfId="8260" xr:uid="{00000000-0005-0000-0000-000016850000}"/>
    <cellStyle name="Comma 2 3 3 4 5 2" xfId="23409" xr:uid="{00000000-0005-0000-0000-000017850000}"/>
    <cellStyle name="Comma 2 3 3 4 6" xfId="9943" xr:uid="{00000000-0005-0000-0000-000018850000}"/>
    <cellStyle name="Comma 2 3 3 4 6 2" xfId="25092" xr:uid="{00000000-0005-0000-0000-000019850000}"/>
    <cellStyle name="Comma 2 3 3 4 7" xfId="11626" xr:uid="{00000000-0005-0000-0000-00001A850000}"/>
    <cellStyle name="Comma 2 3 3 4 7 2" xfId="26775" xr:uid="{00000000-0005-0000-0000-00001B850000}"/>
    <cellStyle name="Comma 2 3 3 4 8" xfId="13310" xr:uid="{00000000-0005-0000-0000-00001C850000}"/>
    <cellStyle name="Comma 2 3 3 4 8 2" xfId="28459" xr:uid="{00000000-0005-0000-0000-00001D850000}"/>
    <cellStyle name="Comma 2 3 3 4 9" xfId="14993" xr:uid="{00000000-0005-0000-0000-00001E850000}"/>
    <cellStyle name="Comma 2 3 3 4 9 2" xfId="30142" xr:uid="{00000000-0005-0000-0000-00001F850000}"/>
    <cellStyle name="Comma 2 3 3 5" xfId="1948" xr:uid="{00000000-0005-0000-0000-000020850000}"/>
    <cellStyle name="Comma 2 3 3 5 2" xfId="17097" xr:uid="{00000000-0005-0000-0000-000021850000}"/>
    <cellStyle name="Comma 2 3 3 6" xfId="3632" xr:uid="{00000000-0005-0000-0000-000022850000}"/>
    <cellStyle name="Comma 2 3 3 6 2" xfId="18781" xr:uid="{00000000-0005-0000-0000-000023850000}"/>
    <cellStyle name="Comma 2 3 3 7" xfId="5315" xr:uid="{00000000-0005-0000-0000-000024850000}"/>
    <cellStyle name="Comma 2 3 3 7 2" xfId="20464" xr:uid="{00000000-0005-0000-0000-000025850000}"/>
    <cellStyle name="Comma 2 3 3 8" xfId="6998" xr:uid="{00000000-0005-0000-0000-000026850000}"/>
    <cellStyle name="Comma 2 3 3 8 2" xfId="22147" xr:uid="{00000000-0005-0000-0000-000027850000}"/>
    <cellStyle name="Comma 2 3 3 9" xfId="8681" xr:uid="{00000000-0005-0000-0000-000028850000}"/>
    <cellStyle name="Comma 2 3 3 9 2" xfId="23830" xr:uid="{00000000-0005-0000-0000-000029850000}"/>
    <cellStyle name="Comma 2 3 30" xfId="53915" xr:uid="{00000000-0005-0000-0000-00002A850000}"/>
    <cellStyle name="Comma 2 3 31" xfId="55598" xr:uid="{00000000-0005-0000-0000-00002B850000}"/>
    <cellStyle name="Comma 2 3 32" xfId="57281" xr:uid="{00000000-0005-0000-0000-00002C850000}"/>
    <cellStyle name="Comma 2 3 33" xfId="58964" xr:uid="{00000000-0005-0000-0000-00002D850000}"/>
    <cellStyle name="Comma 2 3 34" xfId="60647" xr:uid="{00000000-0005-0000-0000-00002E850000}"/>
    <cellStyle name="Comma 2 3 35" xfId="62330" xr:uid="{00000000-0005-0000-0000-00002F850000}"/>
    <cellStyle name="Comma 2 3 4" xfId="475" xr:uid="{00000000-0005-0000-0000-000030850000}"/>
    <cellStyle name="Comma 2 3 4 10" xfId="15624" xr:uid="{00000000-0005-0000-0000-000031850000}"/>
    <cellStyle name="Comma 2 3 4 11" xfId="30773" xr:uid="{00000000-0005-0000-0000-000032850000}"/>
    <cellStyle name="Comma 2 3 4 12" xfId="32456" xr:uid="{00000000-0005-0000-0000-000033850000}"/>
    <cellStyle name="Comma 2 3 4 13" xfId="34139" xr:uid="{00000000-0005-0000-0000-000034850000}"/>
    <cellStyle name="Comma 2 3 4 14" xfId="35822" xr:uid="{00000000-0005-0000-0000-000035850000}"/>
    <cellStyle name="Comma 2 3 4 15" xfId="37505" xr:uid="{00000000-0005-0000-0000-000036850000}"/>
    <cellStyle name="Comma 2 3 4 16" xfId="39188" xr:uid="{00000000-0005-0000-0000-000037850000}"/>
    <cellStyle name="Comma 2 3 4 17" xfId="40871" xr:uid="{00000000-0005-0000-0000-000038850000}"/>
    <cellStyle name="Comma 2 3 4 18" xfId="42554" xr:uid="{00000000-0005-0000-0000-000039850000}"/>
    <cellStyle name="Comma 2 3 4 19" xfId="44237" xr:uid="{00000000-0005-0000-0000-00003A850000}"/>
    <cellStyle name="Comma 2 3 4 2" xfId="2158" xr:uid="{00000000-0005-0000-0000-00003B850000}"/>
    <cellStyle name="Comma 2 3 4 2 2" xfId="17307" xr:uid="{00000000-0005-0000-0000-00003C850000}"/>
    <cellStyle name="Comma 2 3 4 20" xfId="45920" xr:uid="{00000000-0005-0000-0000-00003D850000}"/>
    <cellStyle name="Comma 2 3 4 21" xfId="47603" xr:uid="{00000000-0005-0000-0000-00003E850000}"/>
    <cellStyle name="Comma 2 3 4 22" xfId="49286" xr:uid="{00000000-0005-0000-0000-00003F850000}"/>
    <cellStyle name="Comma 2 3 4 23" xfId="50969" xr:uid="{00000000-0005-0000-0000-000040850000}"/>
    <cellStyle name="Comma 2 3 4 24" xfId="52652" xr:uid="{00000000-0005-0000-0000-000041850000}"/>
    <cellStyle name="Comma 2 3 4 25" xfId="54335" xr:uid="{00000000-0005-0000-0000-000042850000}"/>
    <cellStyle name="Comma 2 3 4 26" xfId="56018" xr:uid="{00000000-0005-0000-0000-000043850000}"/>
    <cellStyle name="Comma 2 3 4 27" xfId="57701" xr:uid="{00000000-0005-0000-0000-000044850000}"/>
    <cellStyle name="Comma 2 3 4 28" xfId="59384" xr:uid="{00000000-0005-0000-0000-000045850000}"/>
    <cellStyle name="Comma 2 3 4 29" xfId="61067" xr:uid="{00000000-0005-0000-0000-000046850000}"/>
    <cellStyle name="Comma 2 3 4 3" xfId="3842" xr:uid="{00000000-0005-0000-0000-000047850000}"/>
    <cellStyle name="Comma 2 3 4 3 2" xfId="18991" xr:uid="{00000000-0005-0000-0000-000048850000}"/>
    <cellStyle name="Comma 2 3 4 30" xfId="62750" xr:uid="{00000000-0005-0000-0000-000049850000}"/>
    <cellStyle name="Comma 2 3 4 4" xfId="5525" xr:uid="{00000000-0005-0000-0000-00004A850000}"/>
    <cellStyle name="Comma 2 3 4 4 2" xfId="20674" xr:uid="{00000000-0005-0000-0000-00004B850000}"/>
    <cellStyle name="Comma 2 3 4 5" xfId="7208" xr:uid="{00000000-0005-0000-0000-00004C850000}"/>
    <cellStyle name="Comma 2 3 4 5 2" xfId="22357" xr:uid="{00000000-0005-0000-0000-00004D850000}"/>
    <cellStyle name="Comma 2 3 4 6" xfId="8891" xr:uid="{00000000-0005-0000-0000-00004E850000}"/>
    <cellStyle name="Comma 2 3 4 6 2" xfId="24040" xr:uid="{00000000-0005-0000-0000-00004F850000}"/>
    <cellStyle name="Comma 2 3 4 7" xfId="10574" xr:uid="{00000000-0005-0000-0000-000050850000}"/>
    <cellStyle name="Comma 2 3 4 7 2" xfId="25723" xr:uid="{00000000-0005-0000-0000-000051850000}"/>
    <cellStyle name="Comma 2 3 4 8" xfId="12258" xr:uid="{00000000-0005-0000-0000-000052850000}"/>
    <cellStyle name="Comma 2 3 4 8 2" xfId="27407" xr:uid="{00000000-0005-0000-0000-000053850000}"/>
    <cellStyle name="Comma 2 3 4 9" xfId="13941" xr:uid="{00000000-0005-0000-0000-000054850000}"/>
    <cellStyle name="Comma 2 3 4 9 2" xfId="29090" xr:uid="{00000000-0005-0000-0000-000055850000}"/>
    <cellStyle name="Comma 2 3 5" xfId="896" xr:uid="{00000000-0005-0000-0000-000056850000}"/>
    <cellStyle name="Comma 2 3 5 10" xfId="16045" xr:uid="{00000000-0005-0000-0000-000057850000}"/>
    <cellStyle name="Comma 2 3 5 11" xfId="31194" xr:uid="{00000000-0005-0000-0000-000058850000}"/>
    <cellStyle name="Comma 2 3 5 12" xfId="32877" xr:uid="{00000000-0005-0000-0000-000059850000}"/>
    <cellStyle name="Comma 2 3 5 13" xfId="34560" xr:uid="{00000000-0005-0000-0000-00005A850000}"/>
    <cellStyle name="Comma 2 3 5 14" xfId="36243" xr:uid="{00000000-0005-0000-0000-00005B850000}"/>
    <cellStyle name="Comma 2 3 5 15" xfId="37926" xr:uid="{00000000-0005-0000-0000-00005C850000}"/>
    <cellStyle name="Comma 2 3 5 16" xfId="39609" xr:uid="{00000000-0005-0000-0000-00005D850000}"/>
    <cellStyle name="Comma 2 3 5 17" xfId="41292" xr:uid="{00000000-0005-0000-0000-00005E850000}"/>
    <cellStyle name="Comma 2 3 5 18" xfId="42975" xr:uid="{00000000-0005-0000-0000-00005F850000}"/>
    <cellStyle name="Comma 2 3 5 19" xfId="44658" xr:uid="{00000000-0005-0000-0000-000060850000}"/>
    <cellStyle name="Comma 2 3 5 2" xfId="2579" xr:uid="{00000000-0005-0000-0000-000061850000}"/>
    <cellStyle name="Comma 2 3 5 2 2" xfId="17728" xr:uid="{00000000-0005-0000-0000-000062850000}"/>
    <cellStyle name="Comma 2 3 5 20" xfId="46341" xr:uid="{00000000-0005-0000-0000-000063850000}"/>
    <cellStyle name="Comma 2 3 5 21" xfId="48024" xr:uid="{00000000-0005-0000-0000-000064850000}"/>
    <cellStyle name="Comma 2 3 5 22" xfId="49707" xr:uid="{00000000-0005-0000-0000-000065850000}"/>
    <cellStyle name="Comma 2 3 5 23" xfId="51390" xr:uid="{00000000-0005-0000-0000-000066850000}"/>
    <cellStyle name="Comma 2 3 5 24" xfId="53073" xr:uid="{00000000-0005-0000-0000-000067850000}"/>
    <cellStyle name="Comma 2 3 5 25" xfId="54756" xr:uid="{00000000-0005-0000-0000-000068850000}"/>
    <cellStyle name="Comma 2 3 5 26" xfId="56439" xr:uid="{00000000-0005-0000-0000-000069850000}"/>
    <cellStyle name="Comma 2 3 5 27" xfId="58122" xr:uid="{00000000-0005-0000-0000-00006A850000}"/>
    <cellStyle name="Comma 2 3 5 28" xfId="59805" xr:uid="{00000000-0005-0000-0000-00006B850000}"/>
    <cellStyle name="Comma 2 3 5 29" xfId="61488" xr:uid="{00000000-0005-0000-0000-00006C850000}"/>
    <cellStyle name="Comma 2 3 5 3" xfId="4263" xr:uid="{00000000-0005-0000-0000-00006D850000}"/>
    <cellStyle name="Comma 2 3 5 3 2" xfId="19412" xr:uid="{00000000-0005-0000-0000-00006E850000}"/>
    <cellStyle name="Comma 2 3 5 30" xfId="63171" xr:uid="{00000000-0005-0000-0000-00006F850000}"/>
    <cellStyle name="Comma 2 3 5 4" xfId="5946" xr:uid="{00000000-0005-0000-0000-000070850000}"/>
    <cellStyle name="Comma 2 3 5 4 2" xfId="21095" xr:uid="{00000000-0005-0000-0000-000071850000}"/>
    <cellStyle name="Comma 2 3 5 5" xfId="7629" xr:uid="{00000000-0005-0000-0000-000072850000}"/>
    <cellStyle name="Comma 2 3 5 5 2" xfId="22778" xr:uid="{00000000-0005-0000-0000-000073850000}"/>
    <cellStyle name="Comma 2 3 5 6" xfId="9312" xr:uid="{00000000-0005-0000-0000-000074850000}"/>
    <cellStyle name="Comma 2 3 5 6 2" xfId="24461" xr:uid="{00000000-0005-0000-0000-000075850000}"/>
    <cellStyle name="Comma 2 3 5 7" xfId="10995" xr:uid="{00000000-0005-0000-0000-000076850000}"/>
    <cellStyle name="Comma 2 3 5 7 2" xfId="26144" xr:uid="{00000000-0005-0000-0000-000077850000}"/>
    <cellStyle name="Comma 2 3 5 8" xfId="12679" xr:uid="{00000000-0005-0000-0000-000078850000}"/>
    <cellStyle name="Comma 2 3 5 8 2" xfId="27828" xr:uid="{00000000-0005-0000-0000-000079850000}"/>
    <cellStyle name="Comma 2 3 5 9" xfId="14362" xr:uid="{00000000-0005-0000-0000-00007A850000}"/>
    <cellStyle name="Comma 2 3 5 9 2" xfId="29511" xr:uid="{00000000-0005-0000-0000-00007B850000}"/>
    <cellStyle name="Comma 2 3 6" xfId="1317" xr:uid="{00000000-0005-0000-0000-00007C850000}"/>
    <cellStyle name="Comma 2 3 6 10" xfId="16466" xr:uid="{00000000-0005-0000-0000-00007D850000}"/>
    <cellStyle name="Comma 2 3 6 11" xfId="31615" xr:uid="{00000000-0005-0000-0000-00007E850000}"/>
    <cellStyle name="Comma 2 3 6 12" xfId="33298" xr:uid="{00000000-0005-0000-0000-00007F850000}"/>
    <cellStyle name="Comma 2 3 6 13" xfId="34981" xr:uid="{00000000-0005-0000-0000-000080850000}"/>
    <cellStyle name="Comma 2 3 6 14" xfId="36664" xr:uid="{00000000-0005-0000-0000-000081850000}"/>
    <cellStyle name="Comma 2 3 6 15" xfId="38347" xr:uid="{00000000-0005-0000-0000-000082850000}"/>
    <cellStyle name="Comma 2 3 6 16" xfId="40030" xr:uid="{00000000-0005-0000-0000-000083850000}"/>
    <cellStyle name="Comma 2 3 6 17" xfId="41713" xr:uid="{00000000-0005-0000-0000-000084850000}"/>
    <cellStyle name="Comma 2 3 6 18" xfId="43396" xr:uid="{00000000-0005-0000-0000-000085850000}"/>
    <cellStyle name="Comma 2 3 6 19" xfId="45079" xr:uid="{00000000-0005-0000-0000-000086850000}"/>
    <cellStyle name="Comma 2 3 6 2" xfId="3000" xr:uid="{00000000-0005-0000-0000-000087850000}"/>
    <cellStyle name="Comma 2 3 6 2 2" xfId="18149" xr:uid="{00000000-0005-0000-0000-000088850000}"/>
    <cellStyle name="Comma 2 3 6 20" xfId="46762" xr:uid="{00000000-0005-0000-0000-000089850000}"/>
    <cellStyle name="Comma 2 3 6 21" xfId="48445" xr:uid="{00000000-0005-0000-0000-00008A850000}"/>
    <cellStyle name="Comma 2 3 6 22" xfId="50128" xr:uid="{00000000-0005-0000-0000-00008B850000}"/>
    <cellStyle name="Comma 2 3 6 23" xfId="51811" xr:uid="{00000000-0005-0000-0000-00008C850000}"/>
    <cellStyle name="Comma 2 3 6 24" xfId="53494" xr:uid="{00000000-0005-0000-0000-00008D850000}"/>
    <cellStyle name="Comma 2 3 6 25" xfId="55177" xr:uid="{00000000-0005-0000-0000-00008E850000}"/>
    <cellStyle name="Comma 2 3 6 26" xfId="56860" xr:uid="{00000000-0005-0000-0000-00008F850000}"/>
    <cellStyle name="Comma 2 3 6 27" xfId="58543" xr:uid="{00000000-0005-0000-0000-000090850000}"/>
    <cellStyle name="Comma 2 3 6 28" xfId="60226" xr:uid="{00000000-0005-0000-0000-000091850000}"/>
    <cellStyle name="Comma 2 3 6 29" xfId="61909" xr:uid="{00000000-0005-0000-0000-000092850000}"/>
    <cellStyle name="Comma 2 3 6 3" xfId="4684" xr:uid="{00000000-0005-0000-0000-000093850000}"/>
    <cellStyle name="Comma 2 3 6 3 2" xfId="19833" xr:uid="{00000000-0005-0000-0000-000094850000}"/>
    <cellStyle name="Comma 2 3 6 30" xfId="63592" xr:uid="{00000000-0005-0000-0000-000095850000}"/>
    <cellStyle name="Comma 2 3 6 4" xfId="6367" xr:uid="{00000000-0005-0000-0000-000096850000}"/>
    <cellStyle name="Comma 2 3 6 4 2" xfId="21516" xr:uid="{00000000-0005-0000-0000-000097850000}"/>
    <cellStyle name="Comma 2 3 6 5" xfId="8050" xr:uid="{00000000-0005-0000-0000-000098850000}"/>
    <cellStyle name="Comma 2 3 6 5 2" xfId="23199" xr:uid="{00000000-0005-0000-0000-000099850000}"/>
    <cellStyle name="Comma 2 3 6 6" xfId="9733" xr:uid="{00000000-0005-0000-0000-00009A850000}"/>
    <cellStyle name="Comma 2 3 6 6 2" xfId="24882" xr:uid="{00000000-0005-0000-0000-00009B850000}"/>
    <cellStyle name="Comma 2 3 6 7" xfId="11416" xr:uid="{00000000-0005-0000-0000-00009C850000}"/>
    <cellStyle name="Comma 2 3 6 7 2" xfId="26565" xr:uid="{00000000-0005-0000-0000-00009D850000}"/>
    <cellStyle name="Comma 2 3 6 8" xfId="13100" xr:uid="{00000000-0005-0000-0000-00009E850000}"/>
    <cellStyle name="Comma 2 3 6 8 2" xfId="28249" xr:uid="{00000000-0005-0000-0000-00009F850000}"/>
    <cellStyle name="Comma 2 3 6 9" xfId="14783" xr:uid="{00000000-0005-0000-0000-0000A0850000}"/>
    <cellStyle name="Comma 2 3 6 9 2" xfId="29932" xr:uid="{00000000-0005-0000-0000-0000A1850000}"/>
    <cellStyle name="Comma 2 3 7" xfId="1738" xr:uid="{00000000-0005-0000-0000-0000A2850000}"/>
    <cellStyle name="Comma 2 3 7 2" xfId="16887" xr:uid="{00000000-0005-0000-0000-0000A3850000}"/>
    <cellStyle name="Comma 2 3 8" xfId="3422" xr:uid="{00000000-0005-0000-0000-0000A4850000}"/>
    <cellStyle name="Comma 2 3 8 2" xfId="18571" xr:uid="{00000000-0005-0000-0000-0000A5850000}"/>
    <cellStyle name="Comma 2 3 9" xfId="5105" xr:uid="{00000000-0005-0000-0000-0000A6850000}"/>
    <cellStyle name="Comma 2 3 9 2" xfId="20254" xr:uid="{00000000-0005-0000-0000-0000A7850000}"/>
    <cellStyle name="Comma 2 30" xfId="47161" xr:uid="{00000000-0005-0000-0000-0000A8850000}"/>
    <cellStyle name="Comma 2 31" xfId="48844" xr:uid="{00000000-0005-0000-0000-0000A9850000}"/>
    <cellStyle name="Comma 2 32" xfId="50527" xr:uid="{00000000-0005-0000-0000-0000AA850000}"/>
    <cellStyle name="Comma 2 33" xfId="52210" xr:uid="{00000000-0005-0000-0000-0000AB850000}"/>
    <cellStyle name="Comma 2 34" xfId="53893" xr:uid="{00000000-0005-0000-0000-0000AC850000}"/>
    <cellStyle name="Comma 2 35" xfId="55576" xr:uid="{00000000-0005-0000-0000-0000AD850000}"/>
    <cellStyle name="Comma 2 36" xfId="57259" xr:uid="{00000000-0005-0000-0000-0000AE850000}"/>
    <cellStyle name="Comma 2 37" xfId="58942" xr:uid="{00000000-0005-0000-0000-0000AF850000}"/>
    <cellStyle name="Comma 2 38" xfId="60625" xr:uid="{00000000-0005-0000-0000-0000B0850000}"/>
    <cellStyle name="Comma 2 39" xfId="62308" xr:uid="{00000000-0005-0000-0000-0000B1850000}"/>
    <cellStyle name="Comma 2 4" xfId="42" xr:uid="{00000000-0005-0000-0000-0000B2850000}"/>
    <cellStyle name="Comma 2 4 10" xfId="6797" xr:uid="{00000000-0005-0000-0000-0000B3850000}"/>
    <cellStyle name="Comma 2 4 10 2" xfId="21946" xr:uid="{00000000-0005-0000-0000-0000B4850000}"/>
    <cellStyle name="Comma 2 4 11" xfId="8480" xr:uid="{00000000-0005-0000-0000-0000B5850000}"/>
    <cellStyle name="Comma 2 4 11 2" xfId="23629" xr:uid="{00000000-0005-0000-0000-0000B6850000}"/>
    <cellStyle name="Comma 2 4 12" xfId="10163" xr:uid="{00000000-0005-0000-0000-0000B7850000}"/>
    <cellStyle name="Comma 2 4 12 2" xfId="25312" xr:uid="{00000000-0005-0000-0000-0000B8850000}"/>
    <cellStyle name="Comma 2 4 13" xfId="11847" xr:uid="{00000000-0005-0000-0000-0000B9850000}"/>
    <cellStyle name="Comma 2 4 13 2" xfId="26996" xr:uid="{00000000-0005-0000-0000-0000BA850000}"/>
    <cellStyle name="Comma 2 4 14" xfId="13530" xr:uid="{00000000-0005-0000-0000-0000BB850000}"/>
    <cellStyle name="Comma 2 4 14 2" xfId="28679" xr:uid="{00000000-0005-0000-0000-0000BC850000}"/>
    <cellStyle name="Comma 2 4 15" xfId="15213" xr:uid="{00000000-0005-0000-0000-0000BD850000}"/>
    <cellStyle name="Comma 2 4 16" xfId="30362" xr:uid="{00000000-0005-0000-0000-0000BE850000}"/>
    <cellStyle name="Comma 2 4 17" xfId="32045" xr:uid="{00000000-0005-0000-0000-0000BF850000}"/>
    <cellStyle name="Comma 2 4 18" xfId="33728" xr:uid="{00000000-0005-0000-0000-0000C0850000}"/>
    <cellStyle name="Comma 2 4 19" xfId="35411" xr:uid="{00000000-0005-0000-0000-0000C1850000}"/>
    <cellStyle name="Comma 2 4 2" xfId="169" xr:uid="{00000000-0005-0000-0000-0000C2850000}"/>
    <cellStyle name="Comma 2 4 2 10" xfId="8585" xr:uid="{00000000-0005-0000-0000-0000C3850000}"/>
    <cellStyle name="Comma 2 4 2 10 2" xfId="23734" xr:uid="{00000000-0005-0000-0000-0000C4850000}"/>
    <cellStyle name="Comma 2 4 2 11" xfId="10268" xr:uid="{00000000-0005-0000-0000-0000C5850000}"/>
    <cellStyle name="Comma 2 4 2 11 2" xfId="25417" xr:uid="{00000000-0005-0000-0000-0000C6850000}"/>
    <cellStyle name="Comma 2 4 2 12" xfId="11952" xr:uid="{00000000-0005-0000-0000-0000C7850000}"/>
    <cellStyle name="Comma 2 4 2 12 2" xfId="27101" xr:uid="{00000000-0005-0000-0000-0000C8850000}"/>
    <cellStyle name="Comma 2 4 2 13" xfId="13635" xr:uid="{00000000-0005-0000-0000-0000C9850000}"/>
    <cellStyle name="Comma 2 4 2 13 2" xfId="28784" xr:uid="{00000000-0005-0000-0000-0000CA850000}"/>
    <cellStyle name="Comma 2 4 2 14" xfId="15318" xr:uid="{00000000-0005-0000-0000-0000CB850000}"/>
    <cellStyle name="Comma 2 4 2 15" xfId="30467" xr:uid="{00000000-0005-0000-0000-0000CC850000}"/>
    <cellStyle name="Comma 2 4 2 16" xfId="32150" xr:uid="{00000000-0005-0000-0000-0000CD850000}"/>
    <cellStyle name="Comma 2 4 2 17" xfId="33833" xr:uid="{00000000-0005-0000-0000-0000CE850000}"/>
    <cellStyle name="Comma 2 4 2 18" xfId="35516" xr:uid="{00000000-0005-0000-0000-0000CF850000}"/>
    <cellStyle name="Comma 2 4 2 19" xfId="37199" xr:uid="{00000000-0005-0000-0000-0000D0850000}"/>
    <cellStyle name="Comma 2 4 2 2" xfId="379" xr:uid="{00000000-0005-0000-0000-0000D1850000}"/>
    <cellStyle name="Comma 2 4 2 2 10" xfId="10478" xr:uid="{00000000-0005-0000-0000-0000D2850000}"/>
    <cellStyle name="Comma 2 4 2 2 10 2" xfId="25627" xr:uid="{00000000-0005-0000-0000-0000D3850000}"/>
    <cellStyle name="Comma 2 4 2 2 11" xfId="12162" xr:uid="{00000000-0005-0000-0000-0000D4850000}"/>
    <cellStyle name="Comma 2 4 2 2 11 2" xfId="27311" xr:uid="{00000000-0005-0000-0000-0000D5850000}"/>
    <cellStyle name="Comma 2 4 2 2 12" xfId="13845" xr:uid="{00000000-0005-0000-0000-0000D6850000}"/>
    <cellStyle name="Comma 2 4 2 2 12 2" xfId="28994" xr:uid="{00000000-0005-0000-0000-0000D7850000}"/>
    <cellStyle name="Comma 2 4 2 2 13" xfId="15528" xr:uid="{00000000-0005-0000-0000-0000D8850000}"/>
    <cellStyle name="Comma 2 4 2 2 14" xfId="30677" xr:uid="{00000000-0005-0000-0000-0000D9850000}"/>
    <cellStyle name="Comma 2 4 2 2 15" xfId="32360" xr:uid="{00000000-0005-0000-0000-0000DA850000}"/>
    <cellStyle name="Comma 2 4 2 2 16" xfId="34043" xr:uid="{00000000-0005-0000-0000-0000DB850000}"/>
    <cellStyle name="Comma 2 4 2 2 17" xfId="35726" xr:uid="{00000000-0005-0000-0000-0000DC850000}"/>
    <cellStyle name="Comma 2 4 2 2 18" xfId="37409" xr:uid="{00000000-0005-0000-0000-0000DD850000}"/>
    <cellStyle name="Comma 2 4 2 2 19" xfId="39092" xr:uid="{00000000-0005-0000-0000-0000DE850000}"/>
    <cellStyle name="Comma 2 4 2 2 2" xfId="799" xr:uid="{00000000-0005-0000-0000-0000DF850000}"/>
    <cellStyle name="Comma 2 4 2 2 2 10" xfId="15948" xr:uid="{00000000-0005-0000-0000-0000E0850000}"/>
    <cellStyle name="Comma 2 4 2 2 2 11" xfId="31097" xr:uid="{00000000-0005-0000-0000-0000E1850000}"/>
    <cellStyle name="Comma 2 4 2 2 2 12" xfId="32780" xr:uid="{00000000-0005-0000-0000-0000E2850000}"/>
    <cellStyle name="Comma 2 4 2 2 2 13" xfId="34463" xr:uid="{00000000-0005-0000-0000-0000E3850000}"/>
    <cellStyle name="Comma 2 4 2 2 2 14" xfId="36146" xr:uid="{00000000-0005-0000-0000-0000E4850000}"/>
    <cellStyle name="Comma 2 4 2 2 2 15" xfId="37829" xr:uid="{00000000-0005-0000-0000-0000E5850000}"/>
    <cellStyle name="Comma 2 4 2 2 2 16" xfId="39512" xr:uid="{00000000-0005-0000-0000-0000E6850000}"/>
    <cellStyle name="Comma 2 4 2 2 2 17" xfId="41195" xr:uid="{00000000-0005-0000-0000-0000E7850000}"/>
    <cellStyle name="Comma 2 4 2 2 2 18" xfId="42878" xr:uid="{00000000-0005-0000-0000-0000E8850000}"/>
    <cellStyle name="Comma 2 4 2 2 2 19" xfId="44561" xr:uid="{00000000-0005-0000-0000-0000E9850000}"/>
    <cellStyle name="Comma 2 4 2 2 2 2" xfId="2482" xr:uid="{00000000-0005-0000-0000-0000EA850000}"/>
    <cellStyle name="Comma 2 4 2 2 2 2 2" xfId="17631" xr:uid="{00000000-0005-0000-0000-0000EB850000}"/>
    <cellStyle name="Comma 2 4 2 2 2 20" xfId="46244" xr:uid="{00000000-0005-0000-0000-0000EC850000}"/>
    <cellStyle name="Comma 2 4 2 2 2 21" xfId="47927" xr:uid="{00000000-0005-0000-0000-0000ED850000}"/>
    <cellStyle name="Comma 2 4 2 2 2 22" xfId="49610" xr:uid="{00000000-0005-0000-0000-0000EE850000}"/>
    <cellStyle name="Comma 2 4 2 2 2 23" xfId="51293" xr:uid="{00000000-0005-0000-0000-0000EF850000}"/>
    <cellStyle name="Comma 2 4 2 2 2 24" xfId="52976" xr:uid="{00000000-0005-0000-0000-0000F0850000}"/>
    <cellStyle name="Comma 2 4 2 2 2 25" xfId="54659" xr:uid="{00000000-0005-0000-0000-0000F1850000}"/>
    <cellStyle name="Comma 2 4 2 2 2 26" xfId="56342" xr:uid="{00000000-0005-0000-0000-0000F2850000}"/>
    <cellStyle name="Comma 2 4 2 2 2 27" xfId="58025" xr:uid="{00000000-0005-0000-0000-0000F3850000}"/>
    <cellStyle name="Comma 2 4 2 2 2 28" xfId="59708" xr:uid="{00000000-0005-0000-0000-0000F4850000}"/>
    <cellStyle name="Comma 2 4 2 2 2 29" xfId="61391" xr:uid="{00000000-0005-0000-0000-0000F5850000}"/>
    <cellStyle name="Comma 2 4 2 2 2 3" xfId="4166" xr:uid="{00000000-0005-0000-0000-0000F6850000}"/>
    <cellStyle name="Comma 2 4 2 2 2 3 2" xfId="19315" xr:uid="{00000000-0005-0000-0000-0000F7850000}"/>
    <cellStyle name="Comma 2 4 2 2 2 30" xfId="63074" xr:uid="{00000000-0005-0000-0000-0000F8850000}"/>
    <cellStyle name="Comma 2 4 2 2 2 4" xfId="5849" xr:uid="{00000000-0005-0000-0000-0000F9850000}"/>
    <cellStyle name="Comma 2 4 2 2 2 4 2" xfId="20998" xr:uid="{00000000-0005-0000-0000-0000FA850000}"/>
    <cellStyle name="Comma 2 4 2 2 2 5" xfId="7532" xr:uid="{00000000-0005-0000-0000-0000FB850000}"/>
    <cellStyle name="Comma 2 4 2 2 2 5 2" xfId="22681" xr:uid="{00000000-0005-0000-0000-0000FC850000}"/>
    <cellStyle name="Comma 2 4 2 2 2 6" xfId="9215" xr:uid="{00000000-0005-0000-0000-0000FD850000}"/>
    <cellStyle name="Comma 2 4 2 2 2 6 2" xfId="24364" xr:uid="{00000000-0005-0000-0000-0000FE850000}"/>
    <cellStyle name="Comma 2 4 2 2 2 7" xfId="10898" xr:uid="{00000000-0005-0000-0000-0000FF850000}"/>
    <cellStyle name="Comma 2 4 2 2 2 7 2" xfId="26047" xr:uid="{00000000-0005-0000-0000-000000860000}"/>
    <cellStyle name="Comma 2 4 2 2 2 8" xfId="12582" xr:uid="{00000000-0005-0000-0000-000001860000}"/>
    <cellStyle name="Comma 2 4 2 2 2 8 2" xfId="27731" xr:uid="{00000000-0005-0000-0000-000002860000}"/>
    <cellStyle name="Comma 2 4 2 2 2 9" xfId="14265" xr:uid="{00000000-0005-0000-0000-000003860000}"/>
    <cellStyle name="Comma 2 4 2 2 2 9 2" xfId="29414" xr:uid="{00000000-0005-0000-0000-000004860000}"/>
    <cellStyle name="Comma 2 4 2 2 20" xfId="40775" xr:uid="{00000000-0005-0000-0000-000005860000}"/>
    <cellStyle name="Comma 2 4 2 2 21" xfId="42458" xr:uid="{00000000-0005-0000-0000-000006860000}"/>
    <cellStyle name="Comma 2 4 2 2 22" xfId="44141" xr:uid="{00000000-0005-0000-0000-000007860000}"/>
    <cellStyle name="Comma 2 4 2 2 23" xfId="45824" xr:uid="{00000000-0005-0000-0000-000008860000}"/>
    <cellStyle name="Comma 2 4 2 2 24" xfId="47507" xr:uid="{00000000-0005-0000-0000-000009860000}"/>
    <cellStyle name="Comma 2 4 2 2 25" xfId="49190" xr:uid="{00000000-0005-0000-0000-00000A860000}"/>
    <cellStyle name="Comma 2 4 2 2 26" xfId="50873" xr:uid="{00000000-0005-0000-0000-00000B860000}"/>
    <cellStyle name="Comma 2 4 2 2 27" xfId="52556" xr:uid="{00000000-0005-0000-0000-00000C860000}"/>
    <cellStyle name="Comma 2 4 2 2 28" xfId="54239" xr:uid="{00000000-0005-0000-0000-00000D860000}"/>
    <cellStyle name="Comma 2 4 2 2 29" xfId="55922" xr:uid="{00000000-0005-0000-0000-00000E860000}"/>
    <cellStyle name="Comma 2 4 2 2 3" xfId="1220" xr:uid="{00000000-0005-0000-0000-00000F860000}"/>
    <cellStyle name="Comma 2 4 2 2 3 10" xfId="16369" xr:uid="{00000000-0005-0000-0000-000010860000}"/>
    <cellStyle name="Comma 2 4 2 2 3 11" xfId="31518" xr:uid="{00000000-0005-0000-0000-000011860000}"/>
    <cellStyle name="Comma 2 4 2 2 3 12" xfId="33201" xr:uid="{00000000-0005-0000-0000-000012860000}"/>
    <cellStyle name="Comma 2 4 2 2 3 13" xfId="34884" xr:uid="{00000000-0005-0000-0000-000013860000}"/>
    <cellStyle name="Comma 2 4 2 2 3 14" xfId="36567" xr:uid="{00000000-0005-0000-0000-000014860000}"/>
    <cellStyle name="Comma 2 4 2 2 3 15" xfId="38250" xr:uid="{00000000-0005-0000-0000-000015860000}"/>
    <cellStyle name="Comma 2 4 2 2 3 16" xfId="39933" xr:uid="{00000000-0005-0000-0000-000016860000}"/>
    <cellStyle name="Comma 2 4 2 2 3 17" xfId="41616" xr:uid="{00000000-0005-0000-0000-000017860000}"/>
    <cellStyle name="Comma 2 4 2 2 3 18" xfId="43299" xr:uid="{00000000-0005-0000-0000-000018860000}"/>
    <cellStyle name="Comma 2 4 2 2 3 19" xfId="44982" xr:uid="{00000000-0005-0000-0000-000019860000}"/>
    <cellStyle name="Comma 2 4 2 2 3 2" xfId="2903" xr:uid="{00000000-0005-0000-0000-00001A860000}"/>
    <cellStyle name="Comma 2 4 2 2 3 2 2" xfId="18052" xr:uid="{00000000-0005-0000-0000-00001B860000}"/>
    <cellStyle name="Comma 2 4 2 2 3 20" xfId="46665" xr:uid="{00000000-0005-0000-0000-00001C860000}"/>
    <cellStyle name="Comma 2 4 2 2 3 21" xfId="48348" xr:uid="{00000000-0005-0000-0000-00001D860000}"/>
    <cellStyle name="Comma 2 4 2 2 3 22" xfId="50031" xr:uid="{00000000-0005-0000-0000-00001E860000}"/>
    <cellStyle name="Comma 2 4 2 2 3 23" xfId="51714" xr:uid="{00000000-0005-0000-0000-00001F860000}"/>
    <cellStyle name="Comma 2 4 2 2 3 24" xfId="53397" xr:uid="{00000000-0005-0000-0000-000020860000}"/>
    <cellStyle name="Comma 2 4 2 2 3 25" xfId="55080" xr:uid="{00000000-0005-0000-0000-000021860000}"/>
    <cellStyle name="Comma 2 4 2 2 3 26" xfId="56763" xr:uid="{00000000-0005-0000-0000-000022860000}"/>
    <cellStyle name="Comma 2 4 2 2 3 27" xfId="58446" xr:uid="{00000000-0005-0000-0000-000023860000}"/>
    <cellStyle name="Comma 2 4 2 2 3 28" xfId="60129" xr:uid="{00000000-0005-0000-0000-000024860000}"/>
    <cellStyle name="Comma 2 4 2 2 3 29" xfId="61812" xr:uid="{00000000-0005-0000-0000-000025860000}"/>
    <cellStyle name="Comma 2 4 2 2 3 3" xfId="4587" xr:uid="{00000000-0005-0000-0000-000026860000}"/>
    <cellStyle name="Comma 2 4 2 2 3 3 2" xfId="19736" xr:uid="{00000000-0005-0000-0000-000027860000}"/>
    <cellStyle name="Comma 2 4 2 2 3 30" xfId="63495" xr:uid="{00000000-0005-0000-0000-000028860000}"/>
    <cellStyle name="Comma 2 4 2 2 3 4" xfId="6270" xr:uid="{00000000-0005-0000-0000-000029860000}"/>
    <cellStyle name="Comma 2 4 2 2 3 4 2" xfId="21419" xr:uid="{00000000-0005-0000-0000-00002A860000}"/>
    <cellStyle name="Comma 2 4 2 2 3 5" xfId="7953" xr:uid="{00000000-0005-0000-0000-00002B860000}"/>
    <cellStyle name="Comma 2 4 2 2 3 5 2" xfId="23102" xr:uid="{00000000-0005-0000-0000-00002C860000}"/>
    <cellStyle name="Comma 2 4 2 2 3 6" xfId="9636" xr:uid="{00000000-0005-0000-0000-00002D860000}"/>
    <cellStyle name="Comma 2 4 2 2 3 6 2" xfId="24785" xr:uid="{00000000-0005-0000-0000-00002E860000}"/>
    <cellStyle name="Comma 2 4 2 2 3 7" xfId="11319" xr:uid="{00000000-0005-0000-0000-00002F860000}"/>
    <cellStyle name="Comma 2 4 2 2 3 7 2" xfId="26468" xr:uid="{00000000-0005-0000-0000-000030860000}"/>
    <cellStyle name="Comma 2 4 2 2 3 8" xfId="13003" xr:uid="{00000000-0005-0000-0000-000031860000}"/>
    <cellStyle name="Comma 2 4 2 2 3 8 2" xfId="28152" xr:uid="{00000000-0005-0000-0000-000032860000}"/>
    <cellStyle name="Comma 2 4 2 2 3 9" xfId="14686" xr:uid="{00000000-0005-0000-0000-000033860000}"/>
    <cellStyle name="Comma 2 4 2 2 3 9 2" xfId="29835" xr:uid="{00000000-0005-0000-0000-000034860000}"/>
    <cellStyle name="Comma 2 4 2 2 30" xfId="57605" xr:uid="{00000000-0005-0000-0000-000035860000}"/>
    <cellStyle name="Comma 2 4 2 2 31" xfId="59288" xr:uid="{00000000-0005-0000-0000-000036860000}"/>
    <cellStyle name="Comma 2 4 2 2 32" xfId="60971" xr:uid="{00000000-0005-0000-0000-000037860000}"/>
    <cellStyle name="Comma 2 4 2 2 33" xfId="62654" xr:uid="{00000000-0005-0000-0000-000038860000}"/>
    <cellStyle name="Comma 2 4 2 2 4" xfId="1641" xr:uid="{00000000-0005-0000-0000-000039860000}"/>
    <cellStyle name="Comma 2 4 2 2 4 10" xfId="16790" xr:uid="{00000000-0005-0000-0000-00003A860000}"/>
    <cellStyle name="Comma 2 4 2 2 4 11" xfId="31939" xr:uid="{00000000-0005-0000-0000-00003B860000}"/>
    <cellStyle name="Comma 2 4 2 2 4 12" xfId="33622" xr:uid="{00000000-0005-0000-0000-00003C860000}"/>
    <cellStyle name="Comma 2 4 2 2 4 13" xfId="35305" xr:uid="{00000000-0005-0000-0000-00003D860000}"/>
    <cellStyle name="Comma 2 4 2 2 4 14" xfId="36988" xr:uid="{00000000-0005-0000-0000-00003E860000}"/>
    <cellStyle name="Comma 2 4 2 2 4 15" xfId="38671" xr:uid="{00000000-0005-0000-0000-00003F860000}"/>
    <cellStyle name="Comma 2 4 2 2 4 16" xfId="40354" xr:uid="{00000000-0005-0000-0000-000040860000}"/>
    <cellStyle name="Comma 2 4 2 2 4 17" xfId="42037" xr:uid="{00000000-0005-0000-0000-000041860000}"/>
    <cellStyle name="Comma 2 4 2 2 4 18" xfId="43720" xr:uid="{00000000-0005-0000-0000-000042860000}"/>
    <cellStyle name="Comma 2 4 2 2 4 19" xfId="45403" xr:uid="{00000000-0005-0000-0000-000043860000}"/>
    <cellStyle name="Comma 2 4 2 2 4 2" xfId="3324" xr:uid="{00000000-0005-0000-0000-000044860000}"/>
    <cellStyle name="Comma 2 4 2 2 4 2 2" xfId="18473" xr:uid="{00000000-0005-0000-0000-000045860000}"/>
    <cellStyle name="Comma 2 4 2 2 4 20" xfId="47086" xr:uid="{00000000-0005-0000-0000-000046860000}"/>
    <cellStyle name="Comma 2 4 2 2 4 21" xfId="48769" xr:uid="{00000000-0005-0000-0000-000047860000}"/>
    <cellStyle name="Comma 2 4 2 2 4 22" xfId="50452" xr:uid="{00000000-0005-0000-0000-000048860000}"/>
    <cellStyle name="Comma 2 4 2 2 4 23" xfId="52135" xr:uid="{00000000-0005-0000-0000-000049860000}"/>
    <cellStyle name="Comma 2 4 2 2 4 24" xfId="53818" xr:uid="{00000000-0005-0000-0000-00004A860000}"/>
    <cellStyle name="Comma 2 4 2 2 4 25" xfId="55501" xr:uid="{00000000-0005-0000-0000-00004B860000}"/>
    <cellStyle name="Comma 2 4 2 2 4 26" xfId="57184" xr:uid="{00000000-0005-0000-0000-00004C860000}"/>
    <cellStyle name="Comma 2 4 2 2 4 27" xfId="58867" xr:uid="{00000000-0005-0000-0000-00004D860000}"/>
    <cellStyle name="Comma 2 4 2 2 4 28" xfId="60550" xr:uid="{00000000-0005-0000-0000-00004E860000}"/>
    <cellStyle name="Comma 2 4 2 2 4 29" xfId="62233" xr:uid="{00000000-0005-0000-0000-00004F860000}"/>
    <cellStyle name="Comma 2 4 2 2 4 3" xfId="5008" xr:uid="{00000000-0005-0000-0000-000050860000}"/>
    <cellStyle name="Comma 2 4 2 2 4 3 2" xfId="20157" xr:uid="{00000000-0005-0000-0000-000051860000}"/>
    <cellStyle name="Comma 2 4 2 2 4 30" xfId="63916" xr:uid="{00000000-0005-0000-0000-000052860000}"/>
    <cellStyle name="Comma 2 4 2 2 4 4" xfId="6691" xr:uid="{00000000-0005-0000-0000-000053860000}"/>
    <cellStyle name="Comma 2 4 2 2 4 4 2" xfId="21840" xr:uid="{00000000-0005-0000-0000-000054860000}"/>
    <cellStyle name="Comma 2 4 2 2 4 5" xfId="8374" xr:uid="{00000000-0005-0000-0000-000055860000}"/>
    <cellStyle name="Comma 2 4 2 2 4 5 2" xfId="23523" xr:uid="{00000000-0005-0000-0000-000056860000}"/>
    <cellStyle name="Comma 2 4 2 2 4 6" xfId="10057" xr:uid="{00000000-0005-0000-0000-000057860000}"/>
    <cellStyle name="Comma 2 4 2 2 4 6 2" xfId="25206" xr:uid="{00000000-0005-0000-0000-000058860000}"/>
    <cellStyle name="Comma 2 4 2 2 4 7" xfId="11740" xr:uid="{00000000-0005-0000-0000-000059860000}"/>
    <cellStyle name="Comma 2 4 2 2 4 7 2" xfId="26889" xr:uid="{00000000-0005-0000-0000-00005A860000}"/>
    <cellStyle name="Comma 2 4 2 2 4 8" xfId="13424" xr:uid="{00000000-0005-0000-0000-00005B860000}"/>
    <cellStyle name="Comma 2 4 2 2 4 8 2" xfId="28573" xr:uid="{00000000-0005-0000-0000-00005C860000}"/>
    <cellStyle name="Comma 2 4 2 2 4 9" xfId="15107" xr:uid="{00000000-0005-0000-0000-00005D860000}"/>
    <cellStyle name="Comma 2 4 2 2 4 9 2" xfId="30256" xr:uid="{00000000-0005-0000-0000-00005E860000}"/>
    <cellStyle name="Comma 2 4 2 2 5" xfId="2062" xr:uid="{00000000-0005-0000-0000-00005F860000}"/>
    <cellStyle name="Comma 2 4 2 2 5 2" xfId="17211" xr:uid="{00000000-0005-0000-0000-000060860000}"/>
    <cellStyle name="Comma 2 4 2 2 6" xfId="3746" xr:uid="{00000000-0005-0000-0000-000061860000}"/>
    <cellStyle name="Comma 2 4 2 2 6 2" xfId="18895" xr:uid="{00000000-0005-0000-0000-000062860000}"/>
    <cellStyle name="Comma 2 4 2 2 7" xfId="5429" xr:uid="{00000000-0005-0000-0000-000063860000}"/>
    <cellStyle name="Comma 2 4 2 2 7 2" xfId="20578" xr:uid="{00000000-0005-0000-0000-000064860000}"/>
    <cellStyle name="Comma 2 4 2 2 8" xfId="7112" xr:uid="{00000000-0005-0000-0000-000065860000}"/>
    <cellStyle name="Comma 2 4 2 2 8 2" xfId="22261" xr:uid="{00000000-0005-0000-0000-000066860000}"/>
    <cellStyle name="Comma 2 4 2 2 9" xfId="8795" xr:uid="{00000000-0005-0000-0000-000067860000}"/>
    <cellStyle name="Comma 2 4 2 2 9 2" xfId="23944" xr:uid="{00000000-0005-0000-0000-000068860000}"/>
    <cellStyle name="Comma 2 4 2 20" xfId="38882" xr:uid="{00000000-0005-0000-0000-000069860000}"/>
    <cellStyle name="Comma 2 4 2 21" xfId="40565" xr:uid="{00000000-0005-0000-0000-00006A860000}"/>
    <cellStyle name="Comma 2 4 2 22" xfId="42248" xr:uid="{00000000-0005-0000-0000-00006B860000}"/>
    <cellStyle name="Comma 2 4 2 23" xfId="43931" xr:uid="{00000000-0005-0000-0000-00006C860000}"/>
    <cellStyle name="Comma 2 4 2 24" xfId="45614" xr:uid="{00000000-0005-0000-0000-00006D860000}"/>
    <cellStyle name="Comma 2 4 2 25" xfId="47297" xr:uid="{00000000-0005-0000-0000-00006E860000}"/>
    <cellStyle name="Comma 2 4 2 26" xfId="48980" xr:uid="{00000000-0005-0000-0000-00006F860000}"/>
    <cellStyle name="Comma 2 4 2 27" xfId="50663" xr:uid="{00000000-0005-0000-0000-000070860000}"/>
    <cellStyle name="Comma 2 4 2 28" xfId="52346" xr:uid="{00000000-0005-0000-0000-000071860000}"/>
    <cellStyle name="Comma 2 4 2 29" xfId="54029" xr:uid="{00000000-0005-0000-0000-000072860000}"/>
    <cellStyle name="Comma 2 4 2 3" xfId="589" xr:uid="{00000000-0005-0000-0000-000073860000}"/>
    <cellStyle name="Comma 2 4 2 3 10" xfId="15738" xr:uid="{00000000-0005-0000-0000-000074860000}"/>
    <cellStyle name="Comma 2 4 2 3 11" xfId="30887" xr:uid="{00000000-0005-0000-0000-000075860000}"/>
    <cellStyle name="Comma 2 4 2 3 12" xfId="32570" xr:uid="{00000000-0005-0000-0000-000076860000}"/>
    <cellStyle name="Comma 2 4 2 3 13" xfId="34253" xr:uid="{00000000-0005-0000-0000-000077860000}"/>
    <cellStyle name="Comma 2 4 2 3 14" xfId="35936" xr:uid="{00000000-0005-0000-0000-000078860000}"/>
    <cellStyle name="Comma 2 4 2 3 15" xfId="37619" xr:uid="{00000000-0005-0000-0000-000079860000}"/>
    <cellStyle name="Comma 2 4 2 3 16" xfId="39302" xr:uid="{00000000-0005-0000-0000-00007A860000}"/>
    <cellStyle name="Comma 2 4 2 3 17" xfId="40985" xr:uid="{00000000-0005-0000-0000-00007B860000}"/>
    <cellStyle name="Comma 2 4 2 3 18" xfId="42668" xr:uid="{00000000-0005-0000-0000-00007C860000}"/>
    <cellStyle name="Comma 2 4 2 3 19" xfId="44351" xr:uid="{00000000-0005-0000-0000-00007D860000}"/>
    <cellStyle name="Comma 2 4 2 3 2" xfId="2272" xr:uid="{00000000-0005-0000-0000-00007E860000}"/>
    <cellStyle name="Comma 2 4 2 3 2 2" xfId="17421" xr:uid="{00000000-0005-0000-0000-00007F860000}"/>
    <cellStyle name="Comma 2 4 2 3 20" xfId="46034" xr:uid="{00000000-0005-0000-0000-000080860000}"/>
    <cellStyle name="Comma 2 4 2 3 21" xfId="47717" xr:uid="{00000000-0005-0000-0000-000081860000}"/>
    <cellStyle name="Comma 2 4 2 3 22" xfId="49400" xr:uid="{00000000-0005-0000-0000-000082860000}"/>
    <cellStyle name="Comma 2 4 2 3 23" xfId="51083" xr:uid="{00000000-0005-0000-0000-000083860000}"/>
    <cellStyle name="Comma 2 4 2 3 24" xfId="52766" xr:uid="{00000000-0005-0000-0000-000084860000}"/>
    <cellStyle name="Comma 2 4 2 3 25" xfId="54449" xr:uid="{00000000-0005-0000-0000-000085860000}"/>
    <cellStyle name="Comma 2 4 2 3 26" xfId="56132" xr:uid="{00000000-0005-0000-0000-000086860000}"/>
    <cellStyle name="Comma 2 4 2 3 27" xfId="57815" xr:uid="{00000000-0005-0000-0000-000087860000}"/>
    <cellStyle name="Comma 2 4 2 3 28" xfId="59498" xr:uid="{00000000-0005-0000-0000-000088860000}"/>
    <cellStyle name="Comma 2 4 2 3 29" xfId="61181" xr:uid="{00000000-0005-0000-0000-000089860000}"/>
    <cellStyle name="Comma 2 4 2 3 3" xfId="3956" xr:uid="{00000000-0005-0000-0000-00008A860000}"/>
    <cellStyle name="Comma 2 4 2 3 3 2" xfId="19105" xr:uid="{00000000-0005-0000-0000-00008B860000}"/>
    <cellStyle name="Comma 2 4 2 3 30" xfId="62864" xr:uid="{00000000-0005-0000-0000-00008C860000}"/>
    <cellStyle name="Comma 2 4 2 3 4" xfId="5639" xr:uid="{00000000-0005-0000-0000-00008D860000}"/>
    <cellStyle name="Comma 2 4 2 3 4 2" xfId="20788" xr:uid="{00000000-0005-0000-0000-00008E860000}"/>
    <cellStyle name="Comma 2 4 2 3 5" xfId="7322" xr:uid="{00000000-0005-0000-0000-00008F860000}"/>
    <cellStyle name="Comma 2 4 2 3 5 2" xfId="22471" xr:uid="{00000000-0005-0000-0000-000090860000}"/>
    <cellStyle name="Comma 2 4 2 3 6" xfId="9005" xr:uid="{00000000-0005-0000-0000-000091860000}"/>
    <cellStyle name="Comma 2 4 2 3 6 2" xfId="24154" xr:uid="{00000000-0005-0000-0000-000092860000}"/>
    <cellStyle name="Comma 2 4 2 3 7" xfId="10688" xr:uid="{00000000-0005-0000-0000-000093860000}"/>
    <cellStyle name="Comma 2 4 2 3 7 2" xfId="25837" xr:uid="{00000000-0005-0000-0000-000094860000}"/>
    <cellStyle name="Comma 2 4 2 3 8" xfId="12372" xr:uid="{00000000-0005-0000-0000-000095860000}"/>
    <cellStyle name="Comma 2 4 2 3 8 2" xfId="27521" xr:uid="{00000000-0005-0000-0000-000096860000}"/>
    <cellStyle name="Comma 2 4 2 3 9" xfId="14055" xr:uid="{00000000-0005-0000-0000-000097860000}"/>
    <cellStyle name="Comma 2 4 2 3 9 2" xfId="29204" xr:uid="{00000000-0005-0000-0000-000098860000}"/>
    <cellStyle name="Comma 2 4 2 30" xfId="55712" xr:uid="{00000000-0005-0000-0000-000099860000}"/>
    <cellStyle name="Comma 2 4 2 31" xfId="57395" xr:uid="{00000000-0005-0000-0000-00009A860000}"/>
    <cellStyle name="Comma 2 4 2 32" xfId="59078" xr:uid="{00000000-0005-0000-0000-00009B860000}"/>
    <cellStyle name="Comma 2 4 2 33" xfId="60761" xr:uid="{00000000-0005-0000-0000-00009C860000}"/>
    <cellStyle name="Comma 2 4 2 34" xfId="62444" xr:uid="{00000000-0005-0000-0000-00009D860000}"/>
    <cellStyle name="Comma 2 4 2 4" xfId="1010" xr:uid="{00000000-0005-0000-0000-00009E860000}"/>
    <cellStyle name="Comma 2 4 2 4 10" xfId="16159" xr:uid="{00000000-0005-0000-0000-00009F860000}"/>
    <cellStyle name="Comma 2 4 2 4 11" xfId="31308" xr:uid="{00000000-0005-0000-0000-0000A0860000}"/>
    <cellStyle name="Comma 2 4 2 4 12" xfId="32991" xr:uid="{00000000-0005-0000-0000-0000A1860000}"/>
    <cellStyle name="Comma 2 4 2 4 13" xfId="34674" xr:uid="{00000000-0005-0000-0000-0000A2860000}"/>
    <cellStyle name="Comma 2 4 2 4 14" xfId="36357" xr:uid="{00000000-0005-0000-0000-0000A3860000}"/>
    <cellStyle name="Comma 2 4 2 4 15" xfId="38040" xr:uid="{00000000-0005-0000-0000-0000A4860000}"/>
    <cellStyle name="Comma 2 4 2 4 16" xfId="39723" xr:uid="{00000000-0005-0000-0000-0000A5860000}"/>
    <cellStyle name="Comma 2 4 2 4 17" xfId="41406" xr:uid="{00000000-0005-0000-0000-0000A6860000}"/>
    <cellStyle name="Comma 2 4 2 4 18" xfId="43089" xr:uid="{00000000-0005-0000-0000-0000A7860000}"/>
    <cellStyle name="Comma 2 4 2 4 19" xfId="44772" xr:uid="{00000000-0005-0000-0000-0000A8860000}"/>
    <cellStyle name="Comma 2 4 2 4 2" xfId="2693" xr:uid="{00000000-0005-0000-0000-0000A9860000}"/>
    <cellStyle name="Comma 2 4 2 4 2 2" xfId="17842" xr:uid="{00000000-0005-0000-0000-0000AA860000}"/>
    <cellStyle name="Comma 2 4 2 4 20" xfId="46455" xr:uid="{00000000-0005-0000-0000-0000AB860000}"/>
    <cellStyle name="Comma 2 4 2 4 21" xfId="48138" xr:uid="{00000000-0005-0000-0000-0000AC860000}"/>
    <cellStyle name="Comma 2 4 2 4 22" xfId="49821" xr:uid="{00000000-0005-0000-0000-0000AD860000}"/>
    <cellStyle name="Comma 2 4 2 4 23" xfId="51504" xr:uid="{00000000-0005-0000-0000-0000AE860000}"/>
    <cellStyle name="Comma 2 4 2 4 24" xfId="53187" xr:uid="{00000000-0005-0000-0000-0000AF860000}"/>
    <cellStyle name="Comma 2 4 2 4 25" xfId="54870" xr:uid="{00000000-0005-0000-0000-0000B0860000}"/>
    <cellStyle name="Comma 2 4 2 4 26" xfId="56553" xr:uid="{00000000-0005-0000-0000-0000B1860000}"/>
    <cellStyle name="Comma 2 4 2 4 27" xfId="58236" xr:uid="{00000000-0005-0000-0000-0000B2860000}"/>
    <cellStyle name="Comma 2 4 2 4 28" xfId="59919" xr:uid="{00000000-0005-0000-0000-0000B3860000}"/>
    <cellStyle name="Comma 2 4 2 4 29" xfId="61602" xr:uid="{00000000-0005-0000-0000-0000B4860000}"/>
    <cellStyle name="Comma 2 4 2 4 3" xfId="4377" xr:uid="{00000000-0005-0000-0000-0000B5860000}"/>
    <cellStyle name="Comma 2 4 2 4 3 2" xfId="19526" xr:uid="{00000000-0005-0000-0000-0000B6860000}"/>
    <cellStyle name="Comma 2 4 2 4 30" xfId="63285" xr:uid="{00000000-0005-0000-0000-0000B7860000}"/>
    <cellStyle name="Comma 2 4 2 4 4" xfId="6060" xr:uid="{00000000-0005-0000-0000-0000B8860000}"/>
    <cellStyle name="Comma 2 4 2 4 4 2" xfId="21209" xr:uid="{00000000-0005-0000-0000-0000B9860000}"/>
    <cellStyle name="Comma 2 4 2 4 5" xfId="7743" xr:uid="{00000000-0005-0000-0000-0000BA860000}"/>
    <cellStyle name="Comma 2 4 2 4 5 2" xfId="22892" xr:uid="{00000000-0005-0000-0000-0000BB860000}"/>
    <cellStyle name="Comma 2 4 2 4 6" xfId="9426" xr:uid="{00000000-0005-0000-0000-0000BC860000}"/>
    <cellStyle name="Comma 2 4 2 4 6 2" xfId="24575" xr:uid="{00000000-0005-0000-0000-0000BD860000}"/>
    <cellStyle name="Comma 2 4 2 4 7" xfId="11109" xr:uid="{00000000-0005-0000-0000-0000BE860000}"/>
    <cellStyle name="Comma 2 4 2 4 7 2" xfId="26258" xr:uid="{00000000-0005-0000-0000-0000BF860000}"/>
    <cellStyle name="Comma 2 4 2 4 8" xfId="12793" xr:uid="{00000000-0005-0000-0000-0000C0860000}"/>
    <cellStyle name="Comma 2 4 2 4 8 2" xfId="27942" xr:uid="{00000000-0005-0000-0000-0000C1860000}"/>
    <cellStyle name="Comma 2 4 2 4 9" xfId="14476" xr:uid="{00000000-0005-0000-0000-0000C2860000}"/>
    <cellStyle name="Comma 2 4 2 4 9 2" xfId="29625" xr:uid="{00000000-0005-0000-0000-0000C3860000}"/>
    <cellStyle name="Comma 2 4 2 5" xfId="1431" xr:uid="{00000000-0005-0000-0000-0000C4860000}"/>
    <cellStyle name="Comma 2 4 2 5 10" xfId="16580" xr:uid="{00000000-0005-0000-0000-0000C5860000}"/>
    <cellStyle name="Comma 2 4 2 5 11" xfId="31729" xr:uid="{00000000-0005-0000-0000-0000C6860000}"/>
    <cellStyle name="Comma 2 4 2 5 12" xfId="33412" xr:uid="{00000000-0005-0000-0000-0000C7860000}"/>
    <cellStyle name="Comma 2 4 2 5 13" xfId="35095" xr:uid="{00000000-0005-0000-0000-0000C8860000}"/>
    <cellStyle name="Comma 2 4 2 5 14" xfId="36778" xr:uid="{00000000-0005-0000-0000-0000C9860000}"/>
    <cellStyle name="Comma 2 4 2 5 15" xfId="38461" xr:uid="{00000000-0005-0000-0000-0000CA860000}"/>
    <cellStyle name="Comma 2 4 2 5 16" xfId="40144" xr:uid="{00000000-0005-0000-0000-0000CB860000}"/>
    <cellStyle name="Comma 2 4 2 5 17" xfId="41827" xr:uid="{00000000-0005-0000-0000-0000CC860000}"/>
    <cellStyle name="Comma 2 4 2 5 18" xfId="43510" xr:uid="{00000000-0005-0000-0000-0000CD860000}"/>
    <cellStyle name="Comma 2 4 2 5 19" xfId="45193" xr:uid="{00000000-0005-0000-0000-0000CE860000}"/>
    <cellStyle name="Comma 2 4 2 5 2" xfId="3114" xr:uid="{00000000-0005-0000-0000-0000CF860000}"/>
    <cellStyle name="Comma 2 4 2 5 2 2" xfId="18263" xr:uid="{00000000-0005-0000-0000-0000D0860000}"/>
    <cellStyle name="Comma 2 4 2 5 20" xfId="46876" xr:uid="{00000000-0005-0000-0000-0000D1860000}"/>
    <cellStyle name="Comma 2 4 2 5 21" xfId="48559" xr:uid="{00000000-0005-0000-0000-0000D2860000}"/>
    <cellStyle name="Comma 2 4 2 5 22" xfId="50242" xr:uid="{00000000-0005-0000-0000-0000D3860000}"/>
    <cellStyle name="Comma 2 4 2 5 23" xfId="51925" xr:uid="{00000000-0005-0000-0000-0000D4860000}"/>
    <cellStyle name="Comma 2 4 2 5 24" xfId="53608" xr:uid="{00000000-0005-0000-0000-0000D5860000}"/>
    <cellStyle name="Comma 2 4 2 5 25" xfId="55291" xr:uid="{00000000-0005-0000-0000-0000D6860000}"/>
    <cellStyle name="Comma 2 4 2 5 26" xfId="56974" xr:uid="{00000000-0005-0000-0000-0000D7860000}"/>
    <cellStyle name="Comma 2 4 2 5 27" xfId="58657" xr:uid="{00000000-0005-0000-0000-0000D8860000}"/>
    <cellStyle name="Comma 2 4 2 5 28" xfId="60340" xr:uid="{00000000-0005-0000-0000-0000D9860000}"/>
    <cellStyle name="Comma 2 4 2 5 29" xfId="62023" xr:uid="{00000000-0005-0000-0000-0000DA860000}"/>
    <cellStyle name="Comma 2 4 2 5 3" xfId="4798" xr:uid="{00000000-0005-0000-0000-0000DB860000}"/>
    <cellStyle name="Comma 2 4 2 5 3 2" xfId="19947" xr:uid="{00000000-0005-0000-0000-0000DC860000}"/>
    <cellStyle name="Comma 2 4 2 5 30" xfId="63706" xr:uid="{00000000-0005-0000-0000-0000DD860000}"/>
    <cellStyle name="Comma 2 4 2 5 4" xfId="6481" xr:uid="{00000000-0005-0000-0000-0000DE860000}"/>
    <cellStyle name="Comma 2 4 2 5 4 2" xfId="21630" xr:uid="{00000000-0005-0000-0000-0000DF860000}"/>
    <cellStyle name="Comma 2 4 2 5 5" xfId="8164" xr:uid="{00000000-0005-0000-0000-0000E0860000}"/>
    <cellStyle name="Comma 2 4 2 5 5 2" xfId="23313" xr:uid="{00000000-0005-0000-0000-0000E1860000}"/>
    <cellStyle name="Comma 2 4 2 5 6" xfId="9847" xr:uid="{00000000-0005-0000-0000-0000E2860000}"/>
    <cellStyle name="Comma 2 4 2 5 6 2" xfId="24996" xr:uid="{00000000-0005-0000-0000-0000E3860000}"/>
    <cellStyle name="Comma 2 4 2 5 7" xfId="11530" xr:uid="{00000000-0005-0000-0000-0000E4860000}"/>
    <cellStyle name="Comma 2 4 2 5 7 2" xfId="26679" xr:uid="{00000000-0005-0000-0000-0000E5860000}"/>
    <cellStyle name="Comma 2 4 2 5 8" xfId="13214" xr:uid="{00000000-0005-0000-0000-0000E6860000}"/>
    <cellStyle name="Comma 2 4 2 5 8 2" xfId="28363" xr:uid="{00000000-0005-0000-0000-0000E7860000}"/>
    <cellStyle name="Comma 2 4 2 5 9" xfId="14897" xr:uid="{00000000-0005-0000-0000-0000E8860000}"/>
    <cellStyle name="Comma 2 4 2 5 9 2" xfId="30046" xr:uid="{00000000-0005-0000-0000-0000E9860000}"/>
    <cellStyle name="Comma 2 4 2 6" xfId="1852" xr:uid="{00000000-0005-0000-0000-0000EA860000}"/>
    <cellStyle name="Comma 2 4 2 6 2" xfId="17001" xr:uid="{00000000-0005-0000-0000-0000EB860000}"/>
    <cellStyle name="Comma 2 4 2 7" xfId="3536" xr:uid="{00000000-0005-0000-0000-0000EC860000}"/>
    <cellStyle name="Comma 2 4 2 7 2" xfId="18685" xr:uid="{00000000-0005-0000-0000-0000ED860000}"/>
    <cellStyle name="Comma 2 4 2 8" xfId="5219" xr:uid="{00000000-0005-0000-0000-0000EE860000}"/>
    <cellStyle name="Comma 2 4 2 8 2" xfId="20368" xr:uid="{00000000-0005-0000-0000-0000EF860000}"/>
    <cellStyle name="Comma 2 4 2 9" xfId="6902" xr:uid="{00000000-0005-0000-0000-0000F0860000}"/>
    <cellStyle name="Comma 2 4 2 9 2" xfId="22051" xr:uid="{00000000-0005-0000-0000-0000F1860000}"/>
    <cellStyle name="Comma 2 4 20" xfId="37094" xr:uid="{00000000-0005-0000-0000-0000F2860000}"/>
    <cellStyle name="Comma 2 4 21" xfId="38777" xr:uid="{00000000-0005-0000-0000-0000F3860000}"/>
    <cellStyle name="Comma 2 4 22" xfId="40460" xr:uid="{00000000-0005-0000-0000-0000F4860000}"/>
    <cellStyle name="Comma 2 4 23" xfId="42143" xr:uid="{00000000-0005-0000-0000-0000F5860000}"/>
    <cellStyle name="Comma 2 4 24" xfId="43826" xr:uid="{00000000-0005-0000-0000-0000F6860000}"/>
    <cellStyle name="Comma 2 4 25" xfId="45509" xr:uid="{00000000-0005-0000-0000-0000F7860000}"/>
    <cellStyle name="Comma 2 4 26" xfId="47192" xr:uid="{00000000-0005-0000-0000-0000F8860000}"/>
    <cellStyle name="Comma 2 4 27" xfId="48875" xr:uid="{00000000-0005-0000-0000-0000F9860000}"/>
    <cellStyle name="Comma 2 4 28" xfId="50558" xr:uid="{00000000-0005-0000-0000-0000FA860000}"/>
    <cellStyle name="Comma 2 4 29" xfId="52241" xr:uid="{00000000-0005-0000-0000-0000FB860000}"/>
    <cellStyle name="Comma 2 4 3" xfId="274" xr:uid="{00000000-0005-0000-0000-0000FC860000}"/>
    <cellStyle name="Comma 2 4 3 10" xfId="10373" xr:uid="{00000000-0005-0000-0000-0000FD860000}"/>
    <cellStyle name="Comma 2 4 3 10 2" xfId="25522" xr:uid="{00000000-0005-0000-0000-0000FE860000}"/>
    <cellStyle name="Comma 2 4 3 11" xfId="12057" xr:uid="{00000000-0005-0000-0000-0000FF860000}"/>
    <cellStyle name="Comma 2 4 3 11 2" xfId="27206" xr:uid="{00000000-0005-0000-0000-000000870000}"/>
    <cellStyle name="Comma 2 4 3 12" xfId="13740" xr:uid="{00000000-0005-0000-0000-000001870000}"/>
    <cellStyle name="Comma 2 4 3 12 2" xfId="28889" xr:uid="{00000000-0005-0000-0000-000002870000}"/>
    <cellStyle name="Comma 2 4 3 13" xfId="15423" xr:uid="{00000000-0005-0000-0000-000003870000}"/>
    <cellStyle name="Comma 2 4 3 14" xfId="30572" xr:uid="{00000000-0005-0000-0000-000004870000}"/>
    <cellStyle name="Comma 2 4 3 15" xfId="32255" xr:uid="{00000000-0005-0000-0000-000005870000}"/>
    <cellStyle name="Comma 2 4 3 16" xfId="33938" xr:uid="{00000000-0005-0000-0000-000006870000}"/>
    <cellStyle name="Comma 2 4 3 17" xfId="35621" xr:uid="{00000000-0005-0000-0000-000007870000}"/>
    <cellStyle name="Comma 2 4 3 18" xfId="37304" xr:uid="{00000000-0005-0000-0000-000008870000}"/>
    <cellStyle name="Comma 2 4 3 19" xfId="38987" xr:uid="{00000000-0005-0000-0000-000009870000}"/>
    <cellStyle name="Comma 2 4 3 2" xfId="694" xr:uid="{00000000-0005-0000-0000-00000A870000}"/>
    <cellStyle name="Comma 2 4 3 2 10" xfId="15843" xr:uid="{00000000-0005-0000-0000-00000B870000}"/>
    <cellStyle name="Comma 2 4 3 2 11" xfId="30992" xr:uid="{00000000-0005-0000-0000-00000C870000}"/>
    <cellStyle name="Comma 2 4 3 2 12" xfId="32675" xr:uid="{00000000-0005-0000-0000-00000D870000}"/>
    <cellStyle name="Comma 2 4 3 2 13" xfId="34358" xr:uid="{00000000-0005-0000-0000-00000E870000}"/>
    <cellStyle name="Comma 2 4 3 2 14" xfId="36041" xr:uid="{00000000-0005-0000-0000-00000F870000}"/>
    <cellStyle name="Comma 2 4 3 2 15" xfId="37724" xr:uid="{00000000-0005-0000-0000-000010870000}"/>
    <cellStyle name="Comma 2 4 3 2 16" xfId="39407" xr:uid="{00000000-0005-0000-0000-000011870000}"/>
    <cellStyle name="Comma 2 4 3 2 17" xfId="41090" xr:uid="{00000000-0005-0000-0000-000012870000}"/>
    <cellStyle name="Comma 2 4 3 2 18" xfId="42773" xr:uid="{00000000-0005-0000-0000-000013870000}"/>
    <cellStyle name="Comma 2 4 3 2 19" xfId="44456" xr:uid="{00000000-0005-0000-0000-000014870000}"/>
    <cellStyle name="Comma 2 4 3 2 2" xfId="2377" xr:uid="{00000000-0005-0000-0000-000015870000}"/>
    <cellStyle name="Comma 2 4 3 2 2 2" xfId="17526" xr:uid="{00000000-0005-0000-0000-000016870000}"/>
    <cellStyle name="Comma 2 4 3 2 20" xfId="46139" xr:uid="{00000000-0005-0000-0000-000017870000}"/>
    <cellStyle name="Comma 2 4 3 2 21" xfId="47822" xr:uid="{00000000-0005-0000-0000-000018870000}"/>
    <cellStyle name="Comma 2 4 3 2 22" xfId="49505" xr:uid="{00000000-0005-0000-0000-000019870000}"/>
    <cellStyle name="Comma 2 4 3 2 23" xfId="51188" xr:uid="{00000000-0005-0000-0000-00001A870000}"/>
    <cellStyle name="Comma 2 4 3 2 24" xfId="52871" xr:uid="{00000000-0005-0000-0000-00001B870000}"/>
    <cellStyle name="Comma 2 4 3 2 25" xfId="54554" xr:uid="{00000000-0005-0000-0000-00001C870000}"/>
    <cellStyle name="Comma 2 4 3 2 26" xfId="56237" xr:uid="{00000000-0005-0000-0000-00001D870000}"/>
    <cellStyle name="Comma 2 4 3 2 27" xfId="57920" xr:uid="{00000000-0005-0000-0000-00001E870000}"/>
    <cellStyle name="Comma 2 4 3 2 28" xfId="59603" xr:uid="{00000000-0005-0000-0000-00001F870000}"/>
    <cellStyle name="Comma 2 4 3 2 29" xfId="61286" xr:uid="{00000000-0005-0000-0000-000020870000}"/>
    <cellStyle name="Comma 2 4 3 2 3" xfId="4061" xr:uid="{00000000-0005-0000-0000-000021870000}"/>
    <cellStyle name="Comma 2 4 3 2 3 2" xfId="19210" xr:uid="{00000000-0005-0000-0000-000022870000}"/>
    <cellStyle name="Comma 2 4 3 2 30" xfId="62969" xr:uid="{00000000-0005-0000-0000-000023870000}"/>
    <cellStyle name="Comma 2 4 3 2 4" xfId="5744" xr:uid="{00000000-0005-0000-0000-000024870000}"/>
    <cellStyle name="Comma 2 4 3 2 4 2" xfId="20893" xr:uid="{00000000-0005-0000-0000-000025870000}"/>
    <cellStyle name="Comma 2 4 3 2 5" xfId="7427" xr:uid="{00000000-0005-0000-0000-000026870000}"/>
    <cellStyle name="Comma 2 4 3 2 5 2" xfId="22576" xr:uid="{00000000-0005-0000-0000-000027870000}"/>
    <cellStyle name="Comma 2 4 3 2 6" xfId="9110" xr:uid="{00000000-0005-0000-0000-000028870000}"/>
    <cellStyle name="Comma 2 4 3 2 6 2" xfId="24259" xr:uid="{00000000-0005-0000-0000-000029870000}"/>
    <cellStyle name="Comma 2 4 3 2 7" xfId="10793" xr:uid="{00000000-0005-0000-0000-00002A870000}"/>
    <cellStyle name="Comma 2 4 3 2 7 2" xfId="25942" xr:uid="{00000000-0005-0000-0000-00002B870000}"/>
    <cellStyle name="Comma 2 4 3 2 8" xfId="12477" xr:uid="{00000000-0005-0000-0000-00002C870000}"/>
    <cellStyle name="Comma 2 4 3 2 8 2" xfId="27626" xr:uid="{00000000-0005-0000-0000-00002D870000}"/>
    <cellStyle name="Comma 2 4 3 2 9" xfId="14160" xr:uid="{00000000-0005-0000-0000-00002E870000}"/>
    <cellStyle name="Comma 2 4 3 2 9 2" xfId="29309" xr:uid="{00000000-0005-0000-0000-00002F870000}"/>
    <cellStyle name="Comma 2 4 3 20" xfId="40670" xr:uid="{00000000-0005-0000-0000-000030870000}"/>
    <cellStyle name="Comma 2 4 3 21" xfId="42353" xr:uid="{00000000-0005-0000-0000-000031870000}"/>
    <cellStyle name="Comma 2 4 3 22" xfId="44036" xr:uid="{00000000-0005-0000-0000-000032870000}"/>
    <cellStyle name="Comma 2 4 3 23" xfId="45719" xr:uid="{00000000-0005-0000-0000-000033870000}"/>
    <cellStyle name="Comma 2 4 3 24" xfId="47402" xr:uid="{00000000-0005-0000-0000-000034870000}"/>
    <cellStyle name="Comma 2 4 3 25" xfId="49085" xr:uid="{00000000-0005-0000-0000-000035870000}"/>
    <cellStyle name="Comma 2 4 3 26" xfId="50768" xr:uid="{00000000-0005-0000-0000-000036870000}"/>
    <cellStyle name="Comma 2 4 3 27" xfId="52451" xr:uid="{00000000-0005-0000-0000-000037870000}"/>
    <cellStyle name="Comma 2 4 3 28" xfId="54134" xr:uid="{00000000-0005-0000-0000-000038870000}"/>
    <cellStyle name="Comma 2 4 3 29" xfId="55817" xr:uid="{00000000-0005-0000-0000-000039870000}"/>
    <cellStyle name="Comma 2 4 3 3" xfId="1115" xr:uid="{00000000-0005-0000-0000-00003A870000}"/>
    <cellStyle name="Comma 2 4 3 3 10" xfId="16264" xr:uid="{00000000-0005-0000-0000-00003B870000}"/>
    <cellStyle name="Comma 2 4 3 3 11" xfId="31413" xr:uid="{00000000-0005-0000-0000-00003C870000}"/>
    <cellStyle name="Comma 2 4 3 3 12" xfId="33096" xr:uid="{00000000-0005-0000-0000-00003D870000}"/>
    <cellStyle name="Comma 2 4 3 3 13" xfId="34779" xr:uid="{00000000-0005-0000-0000-00003E870000}"/>
    <cellStyle name="Comma 2 4 3 3 14" xfId="36462" xr:uid="{00000000-0005-0000-0000-00003F870000}"/>
    <cellStyle name="Comma 2 4 3 3 15" xfId="38145" xr:uid="{00000000-0005-0000-0000-000040870000}"/>
    <cellStyle name="Comma 2 4 3 3 16" xfId="39828" xr:uid="{00000000-0005-0000-0000-000041870000}"/>
    <cellStyle name="Comma 2 4 3 3 17" xfId="41511" xr:uid="{00000000-0005-0000-0000-000042870000}"/>
    <cellStyle name="Comma 2 4 3 3 18" xfId="43194" xr:uid="{00000000-0005-0000-0000-000043870000}"/>
    <cellStyle name="Comma 2 4 3 3 19" xfId="44877" xr:uid="{00000000-0005-0000-0000-000044870000}"/>
    <cellStyle name="Comma 2 4 3 3 2" xfId="2798" xr:uid="{00000000-0005-0000-0000-000045870000}"/>
    <cellStyle name="Comma 2 4 3 3 2 2" xfId="17947" xr:uid="{00000000-0005-0000-0000-000046870000}"/>
    <cellStyle name="Comma 2 4 3 3 20" xfId="46560" xr:uid="{00000000-0005-0000-0000-000047870000}"/>
    <cellStyle name="Comma 2 4 3 3 21" xfId="48243" xr:uid="{00000000-0005-0000-0000-000048870000}"/>
    <cellStyle name="Comma 2 4 3 3 22" xfId="49926" xr:uid="{00000000-0005-0000-0000-000049870000}"/>
    <cellStyle name="Comma 2 4 3 3 23" xfId="51609" xr:uid="{00000000-0005-0000-0000-00004A870000}"/>
    <cellStyle name="Comma 2 4 3 3 24" xfId="53292" xr:uid="{00000000-0005-0000-0000-00004B870000}"/>
    <cellStyle name="Comma 2 4 3 3 25" xfId="54975" xr:uid="{00000000-0005-0000-0000-00004C870000}"/>
    <cellStyle name="Comma 2 4 3 3 26" xfId="56658" xr:uid="{00000000-0005-0000-0000-00004D870000}"/>
    <cellStyle name="Comma 2 4 3 3 27" xfId="58341" xr:uid="{00000000-0005-0000-0000-00004E870000}"/>
    <cellStyle name="Comma 2 4 3 3 28" xfId="60024" xr:uid="{00000000-0005-0000-0000-00004F870000}"/>
    <cellStyle name="Comma 2 4 3 3 29" xfId="61707" xr:uid="{00000000-0005-0000-0000-000050870000}"/>
    <cellStyle name="Comma 2 4 3 3 3" xfId="4482" xr:uid="{00000000-0005-0000-0000-000051870000}"/>
    <cellStyle name="Comma 2 4 3 3 3 2" xfId="19631" xr:uid="{00000000-0005-0000-0000-000052870000}"/>
    <cellStyle name="Comma 2 4 3 3 30" xfId="63390" xr:uid="{00000000-0005-0000-0000-000053870000}"/>
    <cellStyle name="Comma 2 4 3 3 4" xfId="6165" xr:uid="{00000000-0005-0000-0000-000054870000}"/>
    <cellStyle name="Comma 2 4 3 3 4 2" xfId="21314" xr:uid="{00000000-0005-0000-0000-000055870000}"/>
    <cellStyle name="Comma 2 4 3 3 5" xfId="7848" xr:uid="{00000000-0005-0000-0000-000056870000}"/>
    <cellStyle name="Comma 2 4 3 3 5 2" xfId="22997" xr:uid="{00000000-0005-0000-0000-000057870000}"/>
    <cellStyle name="Comma 2 4 3 3 6" xfId="9531" xr:uid="{00000000-0005-0000-0000-000058870000}"/>
    <cellStyle name="Comma 2 4 3 3 6 2" xfId="24680" xr:uid="{00000000-0005-0000-0000-000059870000}"/>
    <cellStyle name="Comma 2 4 3 3 7" xfId="11214" xr:uid="{00000000-0005-0000-0000-00005A870000}"/>
    <cellStyle name="Comma 2 4 3 3 7 2" xfId="26363" xr:uid="{00000000-0005-0000-0000-00005B870000}"/>
    <cellStyle name="Comma 2 4 3 3 8" xfId="12898" xr:uid="{00000000-0005-0000-0000-00005C870000}"/>
    <cellStyle name="Comma 2 4 3 3 8 2" xfId="28047" xr:uid="{00000000-0005-0000-0000-00005D870000}"/>
    <cellStyle name="Comma 2 4 3 3 9" xfId="14581" xr:uid="{00000000-0005-0000-0000-00005E870000}"/>
    <cellStyle name="Comma 2 4 3 3 9 2" xfId="29730" xr:uid="{00000000-0005-0000-0000-00005F870000}"/>
    <cellStyle name="Comma 2 4 3 30" xfId="57500" xr:uid="{00000000-0005-0000-0000-000060870000}"/>
    <cellStyle name="Comma 2 4 3 31" xfId="59183" xr:uid="{00000000-0005-0000-0000-000061870000}"/>
    <cellStyle name="Comma 2 4 3 32" xfId="60866" xr:uid="{00000000-0005-0000-0000-000062870000}"/>
    <cellStyle name="Comma 2 4 3 33" xfId="62549" xr:uid="{00000000-0005-0000-0000-000063870000}"/>
    <cellStyle name="Comma 2 4 3 4" xfId="1536" xr:uid="{00000000-0005-0000-0000-000064870000}"/>
    <cellStyle name="Comma 2 4 3 4 10" xfId="16685" xr:uid="{00000000-0005-0000-0000-000065870000}"/>
    <cellStyle name="Comma 2 4 3 4 11" xfId="31834" xr:uid="{00000000-0005-0000-0000-000066870000}"/>
    <cellStyle name="Comma 2 4 3 4 12" xfId="33517" xr:uid="{00000000-0005-0000-0000-000067870000}"/>
    <cellStyle name="Comma 2 4 3 4 13" xfId="35200" xr:uid="{00000000-0005-0000-0000-000068870000}"/>
    <cellStyle name="Comma 2 4 3 4 14" xfId="36883" xr:uid="{00000000-0005-0000-0000-000069870000}"/>
    <cellStyle name="Comma 2 4 3 4 15" xfId="38566" xr:uid="{00000000-0005-0000-0000-00006A870000}"/>
    <cellStyle name="Comma 2 4 3 4 16" xfId="40249" xr:uid="{00000000-0005-0000-0000-00006B870000}"/>
    <cellStyle name="Comma 2 4 3 4 17" xfId="41932" xr:uid="{00000000-0005-0000-0000-00006C870000}"/>
    <cellStyle name="Comma 2 4 3 4 18" xfId="43615" xr:uid="{00000000-0005-0000-0000-00006D870000}"/>
    <cellStyle name="Comma 2 4 3 4 19" xfId="45298" xr:uid="{00000000-0005-0000-0000-00006E870000}"/>
    <cellStyle name="Comma 2 4 3 4 2" xfId="3219" xr:uid="{00000000-0005-0000-0000-00006F870000}"/>
    <cellStyle name="Comma 2 4 3 4 2 2" xfId="18368" xr:uid="{00000000-0005-0000-0000-000070870000}"/>
    <cellStyle name="Comma 2 4 3 4 20" xfId="46981" xr:uid="{00000000-0005-0000-0000-000071870000}"/>
    <cellStyle name="Comma 2 4 3 4 21" xfId="48664" xr:uid="{00000000-0005-0000-0000-000072870000}"/>
    <cellStyle name="Comma 2 4 3 4 22" xfId="50347" xr:uid="{00000000-0005-0000-0000-000073870000}"/>
    <cellStyle name="Comma 2 4 3 4 23" xfId="52030" xr:uid="{00000000-0005-0000-0000-000074870000}"/>
    <cellStyle name="Comma 2 4 3 4 24" xfId="53713" xr:uid="{00000000-0005-0000-0000-000075870000}"/>
    <cellStyle name="Comma 2 4 3 4 25" xfId="55396" xr:uid="{00000000-0005-0000-0000-000076870000}"/>
    <cellStyle name="Comma 2 4 3 4 26" xfId="57079" xr:uid="{00000000-0005-0000-0000-000077870000}"/>
    <cellStyle name="Comma 2 4 3 4 27" xfId="58762" xr:uid="{00000000-0005-0000-0000-000078870000}"/>
    <cellStyle name="Comma 2 4 3 4 28" xfId="60445" xr:uid="{00000000-0005-0000-0000-000079870000}"/>
    <cellStyle name="Comma 2 4 3 4 29" xfId="62128" xr:uid="{00000000-0005-0000-0000-00007A870000}"/>
    <cellStyle name="Comma 2 4 3 4 3" xfId="4903" xr:uid="{00000000-0005-0000-0000-00007B870000}"/>
    <cellStyle name="Comma 2 4 3 4 3 2" xfId="20052" xr:uid="{00000000-0005-0000-0000-00007C870000}"/>
    <cellStyle name="Comma 2 4 3 4 30" xfId="63811" xr:uid="{00000000-0005-0000-0000-00007D870000}"/>
    <cellStyle name="Comma 2 4 3 4 4" xfId="6586" xr:uid="{00000000-0005-0000-0000-00007E870000}"/>
    <cellStyle name="Comma 2 4 3 4 4 2" xfId="21735" xr:uid="{00000000-0005-0000-0000-00007F870000}"/>
    <cellStyle name="Comma 2 4 3 4 5" xfId="8269" xr:uid="{00000000-0005-0000-0000-000080870000}"/>
    <cellStyle name="Comma 2 4 3 4 5 2" xfId="23418" xr:uid="{00000000-0005-0000-0000-000081870000}"/>
    <cellStyle name="Comma 2 4 3 4 6" xfId="9952" xr:uid="{00000000-0005-0000-0000-000082870000}"/>
    <cellStyle name="Comma 2 4 3 4 6 2" xfId="25101" xr:uid="{00000000-0005-0000-0000-000083870000}"/>
    <cellStyle name="Comma 2 4 3 4 7" xfId="11635" xr:uid="{00000000-0005-0000-0000-000084870000}"/>
    <cellStyle name="Comma 2 4 3 4 7 2" xfId="26784" xr:uid="{00000000-0005-0000-0000-000085870000}"/>
    <cellStyle name="Comma 2 4 3 4 8" xfId="13319" xr:uid="{00000000-0005-0000-0000-000086870000}"/>
    <cellStyle name="Comma 2 4 3 4 8 2" xfId="28468" xr:uid="{00000000-0005-0000-0000-000087870000}"/>
    <cellStyle name="Comma 2 4 3 4 9" xfId="15002" xr:uid="{00000000-0005-0000-0000-000088870000}"/>
    <cellStyle name="Comma 2 4 3 4 9 2" xfId="30151" xr:uid="{00000000-0005-0000-0000-000089870000}"/>
    <cellStyle name="Comma 2 4 3 5" xfId="1957" xr:uid="{00000000-0005-0000-0000-00008A870000}"/>
    <cellStyle name="Comma 2 4 3 5 2" xfId="17106" xr:uid="{00000000-0005-0000-0000-00008B870000}"/>
    <cellStyle name="Comma 2 4 3 6" xfId="3641" xr:uid="{00000000-0005-0000-0000-00008C870000}"/>
    <cellStyle name="Comma 2 4 3 6 2" xfId="18790" xr:uid="{00000000-0005-0000-0000-00008D870000}"/>
    <cellStyle name="Comma 2 4 3 7" xfId="5324" xr:uid="{00000000-0005-0000-0000-00008E870000}"/>
    <cellStyle name="Comma 2 4 3 7 2" xfId="20473" xr:uid="{00000000-0005-0000-0000-00008F870000}"/>
    <cellStyle name="Comma 2 4 3 8" xfId="7007" xr:uid="{00000000-0005-0000-0000-000090870000}"/>
    <cellStyle name="Comma 2 4 3 8 2" xfId="22156" xr:uid="{00000000-0005-0000-0000-000091870000}"/>
    <cellStyle name="Comma 2 4 3 9" xfId="8690" xr:uid="{00000000-0005-0000-0000-000092870000}"/>
    <cellStyle name="Comma 2 4 3 9 2" xfId="23839" xr:uid="{00000000-0005-0000-0000-000093870000}"/>
    <cellStyle name="Comma 2 4 30" xfId="53924" xr:uid="{00000000-0005-0000-0000-000094870000}"/>
    <cellStyle name="Comma 2 4 31" xfId="55607" xr:uid="{00000000-0005-0000-0000-000095870000}"/>
    <cellStyle name="Comma 2 4 32" xfId="57290" xr:uid="{00000000-0005-0000-0000-000096870000}"/>
    <cellStyle name="Comma 2 4 33" xfId="58973" xr:uid="{00000000-0005-0000-0000-000097870000}"/>
    <cellStyle name="Comma 2 4 34" xfId="60656" xr:uid="{00000000-0005-0000-0000-000098870000}"/>
    <cellStyle name="Comma 2 4 35" xfId="62339" xr:uid="{00000000-0005-0000-0000-000099870000}"/>
    <cellStyle name="Comma 2 4 4" xfId="484" xr:uid="{00000000-0005-0000-0000-00009A870000}"/>
    <cellStyle name="Comma 2 4 4 10" xfId="15633" xr:uid="{00000000-0005-0000-0000-00009B870000}"/>
    <cellStyle name="Comma 2 4 4 11" xfId="30782" xr:uid="{00000000-0005-0000-0000-00009C870000}"/>
    <cellStyle name="Comma 2 4 4 12" xfId="32465" xr:uid="{00000000-0005-0000-0000-00009D870000}"/>
    <cellStyle name="Comma 2 4 4 13" xfId="34148" xr:uid="{00000000-0005-0000-0000-00009E870000}"/>
    <cellStyle name="Comma 2 4 4 14" xfId="35831" xr:uid="{00000000-0005-0000-0000-00009F870000}"/>
    <cellStyle name="Comma 2 4 4 15" xfId="37514" xr:uid="{00000000-0005-0000-0000-0000A0870000}"/>
    <cellStyle name="Comma 2 4 4 16" xfId="39197" xr:uid="{00000000-0005-0000-0000-0000A1870000}"/>
    <cellStyle name="Comma 2 4 4 17" xfId="40880" xr:uid="{00000000-0005-0000-0000-0000A2870000}"/>
    <cellStyle name="Comma 2 4 4 18" xfId="42563" xr:uid="{00000000-0005-0000-0000-0000A3870000}"/>
    <cellStyle name="Comma 2 4 4 19" xfId="44246" xr:uid="{00000000-0005-0000-0000-0000A4870000}"/>
    <cellStyle name="Comma 2 4 4 2" xfId="2167" xr:uid="{00000000-0005-0000-0000-0000A5870000}"/>
    <cellStyle name="Comma 2 4 4 2 2" xfId="17316" xr:uid="{00000000-0005-0000-0000-0000A6870000}"/>
    <cellStyle name="Comma 2 4 4 20" xfId="45929" xr:uid="{00000000-0005-0000-0000-0000A7870000}"/>
    <cellStyle name="Comma 2 4 4 21" xfId="47612" xr:uid="{00000000-0005-0000-0000-0000A8870000}"/>
    <cellStyle name="Comma 2 4 4 22" xfId="49295" xr:uid="{00000000-0005-0000-0000-0000A9870000}"/>
    <cellStyle name="Comma 2 4 4 23" xfId="50978" xr:uid="{00000000-0005-0000-0000-0000AA870000}"/>
    <cellStyle name="Comma 2 4 4 24" xfId="52661" xr:uid="{00000000-0005-0000-0000-0000AB870000}"/>
    <cellStyle name="Comma 2 4 4 25" xfId="54344" xr:uid="{00000000-0005-0000-0000-0000AC870000}"/>
    <cellStyle name="Comma 2 4 4 26" xfId="56027" xr:uid="{00000000-0005-0000-0000-0000AD870000}"/>
    <cellStyle name="Comma 2 4 4 27" xfId="57710" xr:uid="{00000000-0005-0000-0000-0000AE870000}"/>
    <cellStyle name="Comma 2 4 4 28" xfId="59393" xr:uid="{00000000-0005-0000-0000-0000AF870000}"/>
    <cellStyle name="Comma 2 4 4 29" xfId="61076" xr:uid="{00000000-0005-0000-0000-0000B0870000}"/>
    <cellStyle name="Comma 2 4 4 3" xfId="3851" xr:uid="{00000000-0005-0000-0000-0000B1870000}"/>
    <cellStyle name="Comma 2 4 4 3 2" xfId="19000" xr:uid="{00000000-0005-0000-0000-0000B2870000}"/>
    <cellStyle name="Comma 2 4 4 30" xfId="62759" xr:uid="{00000000-0005-0000-0000-0000B3870000}"/>
    <cellStyle name="Comma 2 4 4 4" xfId="5534" xr:uid="{00000000-0005-0000-0000-0000B4870000}"/>
    <cellStyle name="Comma 2 4 4 4 2" xfId="20683" xr:uid="{00000000-0005-0000-0000-0000B5870000}"/>
    <cellStyle name="Comma 2 4 4 5" xfId="7217" xr:uid="{00000000-0005-0000-0000-0000B6870000}"/>
    <cellStyle name="Comma 2 4 4 5 2" xfId="22366" xr:uid="{00000000-0005-0000-0000-0000B7870000}"/>
    <cellStyle name="Comma 2 4 4 6" xfId="8900" xr:uid="{00000000-0005-0000-0000-0000B8870000}"/>
    <cellStyle name="Comma 2 4 4 6 2" xfId="24049" xr:uid="{00000000-0005-0000-0000-0000B9870000}"/>
    <cellStyle name="Comma 2 4 4 7" xfId="10583" xr:uid="{00000000-0005-0000-0000-0000BA870000}"/>
    <cellStyle name="Comma 2 4 4 7 2" xfId="25732" xr:uid="{00000000-0005-0000-0000-0000BB870000}"/>
    <cellStyle name="Comma 2 4 4 8" xfId="12267" xr:uid="{00000000-0005-0000-0000-0000BC870000}"/>
    <cellStyle name="Comma 2 4 4 8 2" xfId="27416" xr:uid="{00000000-0005-0000-0000-0000BD870000}"/>
    <cellStyle name="Comma 2 4 4 9" xfId="13950" xr:uid="{00000000-0005-0000-0000-0000BE870000}"/>
    <cellStyle name="Comma 2 4 4 9 2" xfId="29099" xr:uid="{00000000-0005-0000-0000-0000BF870000}"/>
    <cellStyle name="Comma 2 4 5" xfId="905" xr:uid="{00000000-0005-0000-0000-0000C0870000}"/>
    <cellStyle name="Comma 2 4 5 10" xfId="16054" xr:uid="{00000000-0005-0000-0000-0000C1870000}"/>
    <cellStyle name="Comma 2 4 5 11" xfId="31203" xr:uid="{00000000-0005-0000-0000-0000C2870000}"/>
    <cellStyle name="Comma 2 4 5 12" xfId="32886" xr:uid="{00000000-0005-0000-0000-0000C3870000}"/>
    <cellStyle name="Comma 2 4 5 13" xfId="34569" xr:uid="{00000000-0005-0000-0000-0000C4870000}"/>
    <cellStyle name="Comma 2 4 5 14" xfId="36252" xr:uid="{00000000-0005-0000-0000-0000C5870000}"/>
    <cellStyle name="Comma 2 4 5 15" xfId="37935" xr:uid="{00000000-0005-0000-0000-0000C6870000}"/>
    <cellStyle name="Comma 2 4 5 16" xfId="39618" xr:uid="{00000000-0005-0000-0000-0000C7870000}"/>
    <cellStyle name="Comma 2 4 5 17" xfId="41301" xr:uid="{00000000-0005-0000-0000-0000C8870000}"/>
    <cellStyle name="Comma 2 4 5 18" xfId="42984" xr:uid="{00000000-0005-0000-0000-0000C9870000}"/>
    <cellStyle name="Comma 2 4 5 19" xfId="44667" xr:uid="{00000000-0005-0000-0000-0000CA870000}"/>
    <cellStyle name="Comma 2 4 5 2" xfId="2588" xr:uid="{00000000-0005-0000-0000-0000CB870000}"/>
    <cellStyle name="Comma 2 4 5 2 2" xfId="17737" xr:uid="{00000000-0005-0000-0000-0000CC870000}"/>
    <cellStyle name="Comma 2 4 5 20" xfId="46350" xr:uid="{00000000-0005-0000-0000-0000CD870000}"/>
    <cellStyle name="Comma 2 4 5 21" xfId="48033" xr:uid="{00000000-0005-0000-0000-0000CE870000}"/>
    <cellStyle name="Comma 2 4 5 22" xfId="49716" xr:uid="{00000000-0005-0000-0000-0000CF870000}"/>
    <cellStyle name="Comma 2 4 5 23" xfId="51399" xr:uid="{00000000-0005-0000-0000-0000D0870000}"/>
    <cellStyle name="Comma 2 4 5 24" xfId="53082" xr:uid="{00000000-0005-0000-0000-0000D1870000}"/>
    <cellStyle name="Comma 2 4 5 25" xfId="54765" xr:uid="{00000000-0005-0000-0000-0000D2870000}"/>
    <cellStyle name="Comma 2 4 5 26" xfId="56448" xr:uid="{00000000-0005-0000-0000-0000D3870000}"/>
    <cellStyle name="Comma 2 4 5 27" xfId="58131" xr:uid="{00000000-0005-0000-0000-0000D4870000}"/>
    <cellStyle name="Comma 2 4 5 28" xfId="59814" xr:uid="{00000000-0005-0000-0000-0000D5870000}"/>
    <cellStyle name="Comma 2 4 5 29" xfId="61497" xr:uid="{00000000-0005-0000-0000-0000D6870000}"/>
    <cellStyle name="Comma 2 4 5 3" xfId="4272" xr:uid="{00000000-0005-0000-0000-0000D7870000}"/>
    <cellStyle name="Comma 2 4 5 3 2" xfId="19421" xr:uid="{00000000-0005-0000-0000-0000D8870000}"/>
    <cellStyle name="Comma 2 4 5 30" xfId="63180" xr:uid="{00000000-0005-0000-0000-0000D9870000}"/>
    <cellStyle name="Comma 2 4 5 4" xfId="5955" xr:uid="{00000000-0005-0000-0000-0000DA870000}"/>
    <cellStyle name="Comma 2 4 5 4 2" xfId="21104" xr:uid="{00000000-0005-0000-0000-0000DB870000}"/>
    <cellStyle name="Comma 2 4 5 5" xfId="7638" xr:uid="{00000000-0005-0000-0000-0000DC870000}"/>
    <cellStyle name="Comma 2 4 5 5 2" xfId="22787" xr:uid="{00000000-0005-0000-0000-0000DD870000}"/>
    <cellStyle name="Comma 2 4 5 6" xfId="9321" xr:uid="{00000000-0005-0000-0000-0000DE870000}"/>
    <cellStyle name="Comma 2 4 5 6 2" xfId="24470" xr:uid="{00000000-0005-0000-0000-0000DF870000}"/>
    <cellStyle name="Comma 2 4 5 7" xfId="11004" xr:uid="{00000000-0005-0000-0000-0000E0870000}"/>
    <cellStyle name="Comma 2 4 5 7 2" xfId="26153" xr:uid="{00000000-0005-0000-0000-0000E1870000}"/>
    <cellStyle name="Comma 2 4 5 8" xfId="12688" xr:uid="{00000000-0005-0000-0000-0000E2870000}"/>
    <cellStyle name="Comma 2 4 5 8 2" xfId="27837" xr:uid="{00000000-0005-0000-0000-0000E3870000}"/>
    <cellStyle name="Comma 2 4 5 9" xfId="14371" xr:uid="{00000000-0005-0000-0000-0000E4870000}"/>
    <cellStyle name="Comma 2 4 5 9 2" xfId="29520" xr:uid="{00000000-0005-0000-0000-0000E5870000}"/>
    <cellStyle name="Comma 2 4 6" xfId="1326" xr:uid="{00000000-0005-0000-0000-0000E6870000}"/>
    <cellStyle name="Comma 2 4 6 10" xfId="16475" xr:uid="{00000000-0005-0000-0000-0000E7870000}"/>
    <cellStyle name="Comma 2 4 6 11" xfId="31624" xr:uid="{00000000-0005-0000-0000-0000E8870000}"/>
    <cellStyle name="Comma 2 4 6 12" xfId="33307" xr:uid="{00000000-0005-0000-0000-0000E9870000}"/>
    <cellStyle name="Comma 2 4 6 13" xfId="34990" xr:uid="{00000000-0005-0000-0000-0000EA870000}"/>
    <cellStyle name="Comma 2 4 6 14" xfId="36673" xr:uid="{00000000-0005-0000-0000-0000EB870000}"/>
    <cellStyle name="Comma 2 4 6 15" xfId="38356" xr:uid="{00000000-0005-0000-0000-0000EC870000}"/>
    <cellStyle name="Comma 2 4 6 16" xfId="40039" xr:uid="{00000000-0005-0000-0000-0000ED870000}"/>
    <cellStyle name="Comma 2 4 6 17" xfId="41722" xr:uid="{00000000-0005-0000-0000-0000EE870000}"/>
    <cellStyle name="Comma 2 4 6 18" xfId="43405" xr:uid="{00000000-0005-0000-0000-0000EF870000}"/>
    <cellStyle name="Comma 2 4 6 19" xfId="45088" xr:uid="{00000000-0005-0000-0000-0000F0870000}"/>
    <cellStyle name="Comma 2 4 6 2" xfId="3009" xr:uid="{00000000-0005-0000-0000-0000F1870000}"/>
    <cellStyle name="Comma 2 4 6 2 2" xfId="18158" xr:uid="{00000000-0005-0000-0000-0000F2870000}"/>
    <cellStyle name="Comma 2 4 6 20" xfId="46771" xr:uid="{00000000-0005-0000-0000-0000F3870000}"/>
    <cellStyle name="Comma 2 4 6 21" xfId="48454" xr:uid="{00000000-0005-0000-0000-0000F4870000}"/>
    <cellStyle name="Comma 2 4 6 22" xfId="50137" xr:uid="{00000000-0005-0000-0000-0000F5870000}"/>
    <cellStyle name="Comma 2 4 6 23" xfId="51820" xr:uid="{00000000-0005-0000-0000-0000F6870000}"/>
    <cellStyle name="Comma 2 4 6 24" xfId="53503" xr:uid="{00000000-0005-0000-0000-0000F7870000}"/>
    <cellStyle name="Comma 2 4 6 25" xfId="55186" xr:uid="{00000000-0005-0000-0000-0000F8870000}"/>
    <cellStyle name="Comma 2 4 6 26" xfId="56869" xr:uid="{00000000-0005-0000-0000-0000F9870000}"/>
    <cellStyle name="Comma 2 4 6 27" xfId="58552" xr:uid="{00000000-0005-0000-0000-0000FA870000}"/>
    <cellStyle name="Comma 2 4 6 28" xfId="60235" xr:uid="{00000000-0005-0000-0000-0000FB870000}"/>
    <cellStyle name="Comma 2 4 6 29" xfId="61918" xr:uid="{00000000-0005-0000-0000-0000FC870000}"/>
    <cellStyle name="Comma 2 4 6 3" xfId="4693" xr:uid="{00000000-0005-0000-0000-0000FD870000}"/>
    <cellStyle name="Comma 2 4 6 3 2" xfId="19842" xr:uid="{00000000-0005-0000-0000-0000FE870000}"/>
    <cellStyle name="Comma 2 4 6 30" xfId="63601" xr:uid="{00000000-0005-0000-0000-0000FF870000}"/>
    <cellStyle name="Comma 2 4 6 4" xfId="6376" xr:uid="{00000000-0005-0000-0000-000000880000}"/>
    <cellStyle name="Comma 2 4 6 4 2" xfId="21525" xr:uid="{00000000-0005-0000-0000-000001880000}"/>
    <cellStyle name="Comma 2 4 6 5" xfId="8059" xr:uid="{00000000-0005-0000-0000-000002880000}"/>
    <cellStyle name="Comma 2 4 6 5 2" xfId="23208" xr:uid="{00000000-0005-0000-0000-000003880000}"/>
    <cellStyle name="Comma 2 4 6 6" xfId="9742" xr:uid="{00000000-0005-0000-0000-000004880000}"/>
    <cellStyle name="Comma 2 4 6 6 2" xfId="24891" xr:uid="{00000000-0005-0000-0000-000005880000}"/>
    <cellStyle name="Comma 2 4 6 7" xfId="11425" xr:uid="{00000000-0005-0000-0000-000006880000}"/>
    <cellStyle name="Comma 2 4 6 7 2" xfId="26574" xr:uid="{00000000-0005-0000-0000-000007880000}"/>
    <cellStyle name="Comma 2 4 6 8" xfId="13109" xr:uid="{00000000-0005-0000-0000-000008880000}"/>
    <cellStyle name="Comma 2 4 6 8 2" xfId="28258" xr:uid="{00000000-0005-0000-0000-000009880000}"/>
    <cellStyle name="Comma 2 4 6 9" xfId="14792" xr:uid="{00000000-0005-0000-0000-00000A880000}"/>
    <cellStyle name="Comma 2 4 6 9 2" xfId="29941" xr:uid="{00000000-0005-0000-0000-00000B880000}"/>
    <cellStyle name="Comma 2 4 7" xfId="1747" xr:uid="{00000000-0005-0000-0000-00000C880000}"/>
    <cellStyle name="Comma 2 4 7 2" xfId="16896" xr:uid="{00000000-0005-0000-0000-00000D880000}"/>
    <cellStyle name="Comma 2 4 8" xfId="3431" xr:uid="{00000000-0005-0000-0000-00000E880000}"/>
    <cellStyle name="Comma 2 4 8 2" xfId="18580" xr:uid="{00000000-0005-0000-0000-00000F880000}"/>
    <cellStyle name="Comma 2 4 9" xfId="5114" xr:uid="{00000000-0005-0000-0000-000010880000}"/>
    <cellStyle name="Comma 2 4 9 2" xfId="20263" xr:uid="{00000000-0005-0000-0000-000011880000}"/>
    <cellStyle name="Comma 2 40" xfId="63991" xr:uid="{00000000-0005-0000-0000-000012880000}"/>
    <cellStyle name="Comma 2 5" xfId="51" xr:uid="{00000000-0005-0000-0000-000013880000}"/>
    <cellStyle name="Comma 2 5 10" xfId="6806" xr:uid="{00000000-0005-0000-0000-000014880000}"/>
    <cellStyle name="Comma 2 5 10 2" xfId="21955" xr:uid="{00000000-0005-0000-0000-000015880000}"/>
    <cellStyle name="Comma 2 5 11" xfId="8489" xr:uid="{00000000-0005-0000-0000-000016880000}"/>
    <cellStyle name="Comma 2 5 11 2" xfId="23638" xr:uid="{00000000-0005-0000-0000-000017880000}"/>
    <cellStyle name="Comma 2 5 12" xfId="10172" xr:uid="{00000000-0005-0000-0000-000018880000}"/>
    <cellStyle name="Comma 2 5 12 2" xfId="25321" xr:uid="{00000000-0005-0000-0000-000019880000}"/>
    <cellStyle name="Comma 2 5 13" xfId="11856" xr:uid="{00000000-0005-0000-0000-00001A880000}"/>
    <cellStyle name="Comma 2 5 13 2" xfId="27005" xr:uid="{00000000-0005-0000-0000-00001B880000}"/>
    <cellStyle name="Comma 2 5 14" xfId="13539" xr:uid="{00000000-0005-0000-0000-00001C880000}"/>
    <cellStyle name="Comma 2 5 14 2" xfId="28688" xr:uid="{00000000-0005-0000-0000-00001D880000}"/>
    <cellStyle name="Comma 2 5 15" xfId="15222" xr:uid="{00000000-0005-0000-0000-00001E880000}"/>
    <cellStyle name="Comma 2 5 16" xfId="30371" xr:uid="{00000000-0005-0000-0000-00001F880000}"/>
    <cellStyle name="Comma 2 5 17" xfId="32054" xr:uid="{00000000-0005-0000-0000-000020880000}"/>
    <cellStyle name="Comma 2 5 18" xfId="33737" xr:uid="{00000000-0005-0000-0000-000021880000}"/>
    <cellStyle name="Comma 2 5 19" xfId="35420" xr:uid="{00000000-0005-0000-0000-000022880000}"/>
    <cellStyle name="Comma 2 5 2" xfId="178" xr:uid="{00000000-0005-0000-0000-000023880000}"/>
    <cellStyle name="Comma 2 5 2 10" xfId="8594" xr:uid="{00000000-0005-0000-0000-000024880000}"/>
    <cellStyle name="Comma 2 5 2 10 2" xfId="23743" xr:uid="{00000000-0005-0000-0000-000025880000}"/>
    <cellStyle name="Comma 2 5 2 11" xfId="10277" xr:uid="{00000000-0005-0000-0000-000026880000}"/>
    <cellStyle name="Comma 2 5 2 11 2" xfId="25426" xr:uid="{00000000-0005-0000-0000-000027880000}"/>
    <cellStyle name="Comma 2 5 2 12" xfId="11961" xr:uid="{00000000-0005-0000-0000-000028880000}"/>
    <cellStyle name="Comma 2 5 2 12 2" xfId="27110" xr:uid="{00000000-0005-0000-0000-000029880000}"/>
    <cellStyle name="Comma 2 5 2 13" xfId="13644" xr:uid="{00000000-0005-0000-0000-00002A880000}"/>
    <cellStyle name="Comma 2 5 2 13 2" xfId="28793" xr:uid="{00000000-0005-0000-0000-00002B880000}"/>
    <cellStyle name="Comma 2 5 2 14" xfId="15327" xr:uid="{00000000-0005-0000-0000-00002C880000}"/>
    <cellStyle name="Comma 2 5 2 15" xfId="30476" xr:uid="{00000000-0005-0000-0000-00002D880000}"/>
    <cellStyle name="Comma 2 5 2 16" xfId="32159" xr:uid="{00000000-0005-0000-0000-00002E880000}"/>
    <cellStyle name="Comma 2 5 2 17" xfId="33842" xr:uid="{00000000-0005-0000-0000-00002F880000}"/>
    <cellStyle name="Comma 2 5 2 18" xfId="35525" xr:uid="{00000000-0005-0000-0000-000030880000}"/>
    <cellStyle name="Comma 2 5 2 19" xfId="37208" xr:uid="{00000000-0005-0000-0000-000031880000}"/>
    <cellStyle name="Comma 2 5 2 2" xfId="388" xr:uid="{00000000-0005-0000-0000-000032880000}"/>
    <cellStyle name="Comma 2 5 2 2 10" xfId="10487" xr:uid="{00000000-0005-0000-0000-000033880000}"/>
    <cellStyle name="Comma 2 5 2 2 10 2" xfId="25636" xr:uid="{00000000-0005-0000-0000-000034880000}"/>
    <cellStyle name="Comma 2 5 2 2 11" xfId="12171" xr:uid="{00000000-0005-0000-0000-000035880000}"/>
    <cellStyle name="Comma 2 5 2 2 11 2" xfId="27320" xr:uid="{00000000-0005-0000-0000-000036880000}"/>
    <cellStyle name="Comma 2 5 2 2 12" xfId="13854" xr:uid="{00000000-0005-0000-0000-000037880000}"/>
    <cellStyle name="Comma 2 5 2 2 12 2" xfId="29003" xr:uid="{00000000-0005-0000-0000-000038880000}"/>
    <cellStyle name="Comma 2 5 2 2 13" xfId="15537" xr:uid="{00000000-0005-0000-0000-000039880000}"/>
    <cellStyle name="Comma 2 5 2 2 14" xfId="30686" xr:uid="{00000000-0005-0000-0000-00003A880000}"/>
    <cellStyle name="Comma 2 5 2 2 15" xfId="32369" xr:uid="{00000000-0005-0000-0000-00003B880000}"/>
    <cellStyle name="Comma 2 5 2 2 16" xfId="34052" xr:uid="{00000000-0005-0000-0000-00003C880000}"/>
    <cellStyle name="Comma 2 5 2 2 17" xfId="35735" xr:uid="{00000000-0005-0000-0000-00003D880000}"/>
    <cellStyle name="Comma 2 5 2 2 18" xfId="37418" xr:uid="{00000000-0005-0000-0000-00003E880000}"/>
    <cellStyle name="Comma 2 5 2 2 19" xfId="39101" xr:uid="{00000000-0005-0000-0000-00003F880000}"/>
    <cellStyle name="Comma 2 5 2 2 2" xfId="808" xr:uid="{00000000-0005-0000-0000-000040880000}"/>
    <cellStyle name="Comma 2 5 2 2 2 10" xfId="15957" xr:uid="{00000000-0005-0000-0000-000041880000}"/>
    <cellStyle name="Comma 2 5 2 2 2 11" xfId="31106" xr:uid="{00000000-0005-0000-0000-000042880000}"/>
    <cellStyle name="Comma 2 5 2 2 2 12" xfId="32789" xr:uid="{00000000-0005-0000-0000-000043880000}"/>
    <cellStyle name="Comma 2 5 2 2 2 13" xfId="34472" xr:uid="{00000000-0005-0000-0000-000044880000}"/>
    <cellStyle name="Comma 2 5 2 2 2 14" xfId="36155" xr:uid="{00000000-0005-0000-0000-000045880000}"/>
    <cellStyle name="Comma 2 5 2 2 2 15" xfId="37838" xr:uid="{00000000-0005-0000-0000-000046880000}"/>
    <cellStyle name="Comma 2 5 2 2 2 16" xfId="39521" xr:uid="{00000000-0005-0000-0000-000047880000}"/>
    <cellStyle name="Comma 2 5 2 2 2 17" xfId="41204" xr:uid="{00000000-0005-0000-0000-000048880000}"/>
    <cellStyle name="Comma 2 5 2 2 2 18" xfId="42887" xr:uid="{00000000-0005-0000-0000-000049880000}"/>
    <cellStyle name="Comma 2 5 2 2 2 19" xfId="44570" xr:uid="{00000000-0005-0000-0000-00004A880000}"/>
    <cellStyle name="Comma 2 5 2 2 2 2" xfId="2491" xr:uid="{00000000-0005-0000-0000-00004B880000}"/>
    <cellStyle name="Comma 2 5 2 2 2 2 2" xfId="17640" xr:uid="{00000000-0005-0000-0000-00004C880000}"/>
    <cellStyle name="Comma 2 5 2 2 2 20" xfId="46253" xr:uid="{00000000-0005-0000-0000-00004D880000}"/>
    <cellStyle name="Comma 2 5 2 2 2 21" xfId="47936" xr:uid="{00000000-0005-0000-0000-00004E880000}"/>
    <cellStyle name="Comma 2 5 2 2 2 22" xfId="49619" xr:uid="{00000000-0005-0000-0000-00004F880000}"/>
    <cellStyle name="Comma 2 5 2 2 2 23" xfId="51302" xr:uid="{00000000-0005-0000-0000-000050880000}"/>
    <cellStyle name="Comma 2 5 2 2 2 24" xfId="52985" xr:uid="{00000000-0005-0000-0000-000051880000}"/>
    <cellStyle name="Comma 2 5 2 2 2 25" xfId="54668" xr:uid="{00000000-0005-0000-0000-000052880000}"/>
    <cellStyle name="Comma 2 5 2 2 2 26" xfId="56351" xr:uid="{00000000-0005-0000-0000-000053880000}"/>
    <cellStyle name="Comma 2 5 2 2 2 27" xfId="58034" xr:uid="{00000000-0005-0000-0000-000054880000}"/>
    <cellStyle name="Comma 2 5 2 2 2 28" xfId="59717" xr:uid="{00000000-0005-0000-0000-000055880000}"/>
    <cellStyle name="Comma 2 5 2 2 2 29" xfId="61400" xr:uid="{00000000-0005-0000-0000-000056880000}"/>
    <cellStyle name="Comma 2 5 2 2 2 3" xfId="4175" xr:uid="{00000000-0005-0000-0000-000057880000}"/>
    <cellStyle name="Comma 2 5 2 2 2 3 2" xfId="19324" xr:uid="{00000000-0005-0000-0000-000058880000}"/>
    <cellStyle name="Comma 2 5 2 2 2 30" xfId="63083" xr:uid="{00000000-0005-0000-0000-000059880000}"/>
    <cellStyle name="Comma 2 5 2 2 2 4" xfId="5858" xr:uid="{00000000-0005-0000-0000-00005A880000}"/>
    <cellStyle name="Comma 2 5 2 2 2 4 2" xfId="21007" xr:uid="{00000000-0005-0000-0000-00005B880000}"/>
    <cellStyle name="Comma 2 5 2 2 2 5" xfId="7541" xr:uid="{00000000-0005-0000-0000-00005C880000}"/>
    <cellStyle name="Comma 2 5 2 2 2 5 2" xfId="22690" xr:uid="{00000000-0005-0000-0000-00005D880000}"/>
    <cellStyle name="Comma 2 5 2 2 2 6" xfId="9224" xr:uid="{00000000-0005-0000-0000-00005E880000}"/>
    <cellStyle name="Comma 2 5 2 2 2 6 2" xfId="24373" xr:uid="{00000000-0005-0000-0000-00005F880000}"/>
    <cellStyle name="Comma 2 5 2 2 2 7" xfId="10907" xr:uid="{00000000-0005-0000-0000-000060880000}"/>
    <cellStyle name="Comma 2 5 2 2 2 7 2" xfId="26056" xr:uid="{00000000-0005-0000-0000-000061880000}"/>
    <cellStyle name="Comma 2 5 2 2 2 8" xfId="12591" xr:uid="{00000000-0005-0000-0000-000062880000}"/>
    <cellStyle name="Comma 2 5 2 2 2 8 2" xfId="27740" xr:uid="{00000000-0005-0000-0000-000063880000}"/>
    <cellStyle name="Comma 2 5 2 2 2 9" xfId="14274" xr:uid="{00000000-0005-0000-0000-000064880000}"/>
    <cellStyle name="Comma 2 5 2 2 2 9 2" xfId="29423" xr:uid="{00000000-0005-0000-0000-000065880000}"/>
    <cellStyle name="Comma 2 5 2 2 20" xfId="40784" xr:uid="{00000000-0005-0000-0000-000066880000}"/>
    <cellStyle name="Comma 2 5 2 2 21" xfId="42467" xr:uid="{00000000-0005-0000-0000-000067880000}"/>
    <cellStyle name="Comma 2 5 2 2 22" xfId="44150" xr:uid="{00000000-0005-0000-0000-000068880000}"/>
    <cellStyle name="Comma 2 5 2 2 23" xfId="45833" xr:uid="{00000000-0005-0000-0000-000069880000}"/>
    <cellStyle name="Comma 2 5 2 2 24" xfId="47516" xr:uid="{00000000-0005-0000-0000-00006A880000}"/>
    <cellStyle name="Comma 2 5 2 2 25" xfId="49199" xr:uid="{00000000-0005-0000-0000-00006B880000}"/>
    <cellStyle name="Comma 2 5 2 2 26" xfId="50882" xr:uid="{00000000-0005-0000-0000-00006C880000}"/>
    <cellStyle name="Comma 2 5 2 2 27" xfId="52565" xr:uid="{00000000-0005-0000-0000-00006D880000}"/>
    <cellStyle name="Comma 2 5 2 2 28" xfId="54248" xr:uid="{00000000-0005-0000-0000-00006E880000}"/>
    <cellStyle name="Comma 2 5 2 2 29" xfId="55931" xr:uid="{00000000-0005-0000-0000-00006F880000}"/>
    <cellStyle name="Comma 2 5 2 2 3" xfId="1229" xr:uid="{00000000-0005-0000-0000-000070880000}"/>
    <cellStyle name="Comma 2 5 2 2 3 10" xfId="16378" xr:uid="{00000000-0005-0000-0000-000071880000}"/>
    <cellStyle name="Comma 2 5 2 2 3 11" xfId="31527" xr:uid="{00000000-0005-0000-0000-000072880000}"/>
    <cellStyle name="Comma 2 5 2 2 3 12" xfId="33210" xr:uid="{00000000-0005-0000-0000-000073880000}"/>
    <cellStyle name="Comma 2 5 2 2 3 13" xfId="34893" xr:uid="{00000000-0005-0000-0000-000074880000}"/>
    <cellStyle name="Comma 2 5 2 2 3 14" xfId="36576" xr:uid="{00000000-0005-0000-0000-000075880000}"/>
    <cellStyle name="Comma 2 5 2 2 3 15" xfId="38259" xr:uid="{00000000-0005-0000-0000-000076880000}"/>
    <cellStyle name="Comma 2 5 2 2 3 16" xfId="39942" xr:uid="{00000000-0005-0000-0000-000077880000}"/>
    <cellStyle name="Comma 2 5 2 2 3 17" xfId="41625" xr:uid="{00000000-0005-0000-0000-000078880000}"/>
    <cellStyle name="Comma 2 5 2 2 3 18" xfId="43308" xr:uid="{00000000-0005-0000-0000-000079880000}"/>
    <cellStyle name="Comma 2 5 2 2 3 19" xfId="44991" xr:uid="{00000000-0005-0000-0000-00007A880000}"/>
    <cellStyle name="Comma 2 5 2 2 3 2" xfId="2912" xr:uid="{00000000-0005-0000-0000-00007B880000}"/>
    <cellStyle name="Comma 2 5 2 2 3 2 2" xfId="18061" xr:uid="{00000000-0005-0000-0000-00007C880000}"/>
    <cellStyle name="Comma 2 5 2 2 3 20" xfId="46674" xr:uid="{00000000-0005-0000-0000-00007D880000}"/>
    <cellStyle name="Comma 2 5 2 2 3 21" xfId="48357" xr:uid="{00000000-0005-0000-0000-00007E880000}"/>
    <cellStyle name="Comma 2 5 2 2 3 22" xfId="50040" xr:uid="{00000000-0005-0000-0000-00007F880000}"/>
    <cellStyle name="Comma 2 5 2 2 3 23" xfId="51723" xr:uid="{00000000-0005-0000-0000-000080880000}"/>
    <cellStyle name="Comma 2 5 2 2 3 24" xfId="53406" xr:uid="{00000000-0005-0000-0000-000081880000}"/>
    <cellStyle name="Comma 2 5 2 2 3 25" xfId="55089" xr:uid="{00000000-0005-0000-0000-000082880000}"/>
    <cellStyle name="Comma 2 5 2 2 3 26" xfId="56772" xr:uid="{00000000-0005-0000-0000-000083880000}"/>
    <cellStyle name="Comma 2 5 2 2 3 27" xfId="58455" xr:uid="{00000000-0005-0000-0000-000084880000}"/>
    <cellStyle name="Comma 2 5 2 2 3 28" xfId="60138" xr:uid="{00000000-0005-0000-0000-000085880000}"/>
    <cellStyle name="Comma 2 5 2 2 3 29" xfId="61821" xr:uid="{00000000-0005-0000-0000-000086880000}"/>
    <cellStyle name="Comma 2 5 2 2 3 3" xfId="4596" xr:uid="{00000000-0005-0000-0000-000087880000}"/>
    <cellStyle name="Comma 2 5 2 2 3 3 2" xfId="19745" xr:uid="{00000000-0005-0000-0000-000088880000}"/>
    <cellStyle name="Comma 2 5 2 2 3 30" xfId="63504" xr:uid="{00000000-0005-0000-0000-000089880000}"/>
    <cellStyle name="Comma 2 5 2 2 3 4" xfId="6279" xr:uid="{00000000-0005-0000-0000-00008A880000}"/>
    <cellStyle name="Comma 2 5 2 2 3 4 2" xfId="21428" xr:uid="{00000000-0005-0000-0000-00008B880000}"/>
    <cellStyle name="Comma 2 5 2 2 3 5" xfId="7962" xr:uid="{00000000-0005-0000-0000-00008C880000}"/>
    <cellStyle name="Comma 2 5 2 2 3 5 2" xfId="23111" xr:uid="{00000000-0005-0000-0000-00008D880000}"/>
    <cellStyle name="Comma 2 5 2 2 3 6" xfId="9645" xr:uid="{00000000-0005-0000-0000-00008E880000}"/>
    <cellStyle name="Comma 2 5 2 2 3 6 2" xfId="24794" xr:uid="{00000000-0005-0000-0000-00008F880000}"/>
    <cellStyle name="Comma 2 5 2 2 3 7" xfId="11328" xr:uid="{00000000-0005-0000-0000-000090880000}"/>
    <cellStyle name="Comma 2 5 2 2 3 7 2" xfId="26477" xr:uid="{00000000-0005-0000-0000-000091880000}"/>
    <cellStyle name="Comma 2 5 2 2 3 8" xfId="13012" xr:uid="{00000000-0005-0000-0000-000092880000}"/>
    <cellStyle name="Comma 2 5 2 2 3 8 2" xfId="28161" xr:uid="{00000000-0005-0000-0000-000093880000}"/>
    <cellStyle name="Comma 2 5 2 2 3 9" xfId="14695" xr:uid="{00000000-0005-0000-0000-000094880000}"/>
    <cellStyle name="Comma 2 5 2 2 3 9 2" xfId="29844" xr:uid="{00000000-0005-0000-0000-000095880000}"/>
    <cellStyle name="Comma 2 5 2 2 30" xfId="57614" xr:uid="{00000000-0005-0000-0000-000096880000}"/>
    <cellStyle name="Comma 2 5 2 2 31" xfId="59297" xr:uid="{00000000-0005-0000-0000-000097880000}"/>
    <cellStyle name="Comma 2 5 2 2 32" xfId="60980" xr:uid="{00000000-0005-0000-0000-000098880000}"/>
    <cellStyle name="Comma 2 5 2 2 33" xfId="62663" xr:uid="{00000000-0005-0000-0000-000099880000}"/>
    <cellStyle name="Comma 2 5 2 2 4" xfId="1650" xr:uid="{00000000-0005-0000-0000-00009A880000}"/>
    <cellStyle name="Comma 2 5 2 2 4 10" xfId="16799" xr:uid="{00000000-0005-0000-0000-00009B880000}"/>
    <cellStyle name="Comma 2 5 2 2 4 11" xfId="31948" xr:uid="{00000000-0005-0000-0000-00009C880000}"/>
    <cellStyle name="Comma 2 5 2 2 4 12" xfId="33631" xr:uid="{00000000-0005-0000-0000-00009D880000}"/>
    <cellStyle name="Comma 2 5 2 2 4 13" xfId="35314" xr:uid="{00000000-0005-0000-0000-00009E880000}"/>
    <cellStyle name="Comma 2 5 2 2 4 14" xfId="36997" xr:uid="{00000000-0005-0000-0000-00009F880000}"/>
    <cellStyle name="Comma 2 5 2 2 4 15" xfId="38680" xr:uid="{00000000-0005-0000-0000-0000A0880000}"/>
    <cellStyle name="Comma 2 5 2 2 4 16" xfId="40363" xr:uid="{00000000-0005-0000-0000-0000A1880000}"/>
    <cellStyle name="Comma 2 5 2 2 4 17" xfId="42046" xr:uid="{00000000-0005-0000-0000-0000A2880000}"/>
    <cellStyle name="Comma 2 5 2 2 4 18" xfId="43729" xr:uid="{00000000-0005-0000-0000-0000A3880000}"/>
    <cellStyle name="Comma 2 5 2 2 4 19" xfId="45412" xr:uid="{00000000-0005-0000-0000-0000A4880000}"/>
    <cellStyle name="Comma 2 5 2 2 4 2" xfId="3333" xr:uid="{00000000-0005-0000-0000-0000A5880000}"/>
    <cellStyle name="Comma 2 5 2 2 4 2 2" xfId="18482" xr:uid="{00000000-0005-0000-0000-0000A6880000}"/>
    <cellStyle name="Comma 2 5 2 2 4 20" xfId="47095" xr:uid="{00000000-0005-0000-0000-0000A7880000}"/>
    <cellStyle name="Comma 2 5 2 2 4 21" xfId="48778" xr:uid="{00000000-0005-0000-0000-0000A8880000}"/>
    <cellStyle name="Comma 2 5 2 2 4 22" xfId="50461" xr:uid="{00000000-0005-0000-0000-0000A9880000}"/>
    <cellStyle name="Comma 2 5 2 2 4 23" xfId="52144" xr:uid="{00000000-0005-0000-0000-0000AA880000}"/>
    <cellStyle name="Comma 2 5 2 2 4 24" xfId="53827" xr:uid="{00000000-0005-0000-0000-0000AB880000}"/>
    <cellStyle name="Comma 2 5 2 2 4 25" xfId="55510" xr:uid="{00000000-0005-0000-0000-0000AC880000}"/>
    <cellStyle name="Comma 2 5 2 2 4 26" xfId="57193" xr:uid="{00000000-0005-0000-0000-0000AD880000}"/>
    <cellStyle name="Comma 2 5 2 2 4 27" xfId="58876" xr:uid="{00000000-0005-0000-0000-0000AE880000}"/>
    <cellStyle name="Comma 2 5 2 2 4 28" xfId="60559" xr:uid="{00000000-0005-0000-0000-0000AF880000}"/>
    <cellStyle name="Comma 2 5 2 2 4 29" xfId="62242" xr:uid="{00000000-0005-0000-0000-0000B0880000}"/>
    <cellStyle name="Comma 2 5 2 2 4 3" xfId="5017" xr:uid="{00000000-0005-0000-0000-0000B1880000}"/>
    <cellStyle name="Comma 2 5 2 2 4 3 2" xfId="20166" xr:uid="{00000000-0005-0000-0000-0000B2880000}"/>
    <cellStyle name="Comma 2 5 2 2 4 30" xfId="63925" xr:uid="{00000000-0005-0000-0000-0000B3880000}"/>
    <cellStyle name="Comma 2 5 2 2 4 4" xfId="6700" xr:uid="{00000000-0005-0000-0000-0000B4880000}"/>
    <cellStyle name="Comma 2 5 2 2 4 4 2" xfId="21849" xr:uid="{00000000-0005-0000-0000-0000B5880000}"/>
    <cellStyle name="Comma 2 5 2 2 4 5" xfId="8383" xr:uid="{00000000-0005-0000-0000-0000B6880000}"/>
    <cellStyle name="Comma 2 5 2 2 4 5 2" xfId="23532" xr:uid="{00000000-0005-0000-0000-0000B7880000}"/>
    <cellStyle name="Comma 2 5 2 2 4 6" xfId="10066" xr:uid="{00000000-0005-0000-0000-0000B8880000}"/>
    <cellStyle name="Comma 2 5 2 2 4 6 2" xfId="25215" xr:uid="{00000000-0005-0000-0000-0000B9880000}"/>
    <cellStyle name="Comma 2 5 2 2 4 7" xfId="11749" xr:uid="{00000000-0005-0000-0000-0000BA880000}"/>
    <cellStyle name="Comma 2 5 2 2 4 7 2" xfId="26898" xr:uid="{00000000-0005-0000-0000-0000BB880000}"/>
    <cellStyle name="Comma 2 5 2 2 4 8" xfId="13433" xr:uid="{00000000-0005-0000-0000-0000BC880000}"/>
    <cellStyle name="Comma 2 5 2 2 4 8 2" xfId="28582" xr:uid="{00000000-0005-0000-0000-0000BD880000}"/>
    <cellStyle name="Comma 2 5 2 2 4 9" xfId="15116" xr:uid="{00000000-0005-0000-0000-0000BE880000}"/>
    <cellStyle name="Comma 2 5 2 2 4 9 2" xfId="30265" xr:uid="{00000000-0005-0000-0000-0000BF880000}"/>
    <cellStyle name="Comma 2 5 2 2 5" xfId="2071" xr:uid="{00000000-0005-0000-0000-0000C0880000}"/>
    <cellStyle name="Comma 2 5 2 2 5 2" xfId="17220" xr:uid="{00000000-0005-0000-0000-0000C1880000}"/>
    <cellStyle name="Comma 2 5 2 2 6" xfId="3755" xr:uid="{00000000-0005-0000-0000-0000C2880000}"/>
    <cellStyle name="Comma 2 5 2 2 6 2" xfId="18904" xr:uid="{00000000-0005-0000-0000-0000C3880000}"/>
    <cellStyle name="Comma 2 5 2 2 7" xfId="5438" xr:uid="{00000000-0005-0000-0000-0000C4880000}"/>
    <cellStyle name="Comma 2 5 2 2 7 2" xfId="20587" xr:uid="{00000000-0005-0000-0000-0000C5880000}"/>
    <cellStyle name="Comma 2 5 2 2 8" xfId="7121" xr:uid="{00000000-0005-0000-0000-0000C6880000}"/>
    <cellStyle name="Comma 2 5 2 2 8 2" xfId="22270" xr:uid="{00000000-0005-0000-0000-0000C7880000}"/>
    <cellStyle name="Comma 2 5 2 2 9" xfId="8804" xr:uid="{00000000-0005-0000-0000-0000C8880000}"/>
    <cellStyle name="Comma 2 5 2 2 9 2" xfId="23953" xr:uid="{00000000-0005-0000-0000-0000C9880000}"/>
    <cellStyle name="Comma 2 5 2 20" xfId="38891" xr:uid="{00000000-0005-0000-0000-0000CA880000}"/>
    <cellStyle name="Comma 2 5 2 21" xfId="40574" xr:uid="{00000000-0005-0000-0000-0000CB880000}"/>
    <cellStyle name="Comma 2 5 2 22" xfId="42257" xr:uid="{00000000-0005-0000-0000-0000CC880000}"/>
    <cellStyle name="Comma 2 5 2 23" xfId="43940" xr:uid="{00000000-0005-0000-0000-0000CD880000}"/>
    <cellStyle name="Comma 2 5 2 24" xfId="45623" xr:uid="{00000000-0005-0000-0000-0000CE880000}"/>
    <cellStyle name="Comma 2 5 2 25" xfId="47306" xr:uid="{00000000-0005-0000-0000-0000CF880000}"/>
    <cellStyle name="Comma 2 5 2 26" xfId="48989" xr:uid="{00000000-0005-0000-0000-0000D0880000}"/>
    <cellStyle name="Comma 2 5 2 27" xfId="50672" xr:uid="{00000000-0005-0000-0000-0000D1880000}"/>
    <cellStyle name="Comma 2 5 2 28" xfId="52355" xr:uid="{00000000-0005-0000-0000-0000D2880000}"/>
    <cellStyle name="Comma 2 5 2 29" xfId="54038" xr:uid="{00000000-0005-0000-0000-0000D3880000}"/>
    <cellStyle name="Comma 2 5 2 3" xfId="598" xr:uid="{00000000-0005-0000-0000-0000D4880000}"/>
    <cellStyle name="Comma 2 5 2 3 10" xfId="15747" xr:uid="{00000000-0005-0000-0000-0000D5880000}"/>
    <cellStyle name="Comma 2 5 2 3 11" xfId="30896" xr:uid="{00000000-0005-0000-0000-0000D6880000}"/>
    <cellStyle name="Comma 2 5 2 3 12" xfId="32579" xr:uid="{00000000-0005-0000-0000-0000D7880000}"/>
    <cellStyle name="Comma 2 5 2 3 13" xfId="34262" xr:uid="{00000000-0005-0000-0000-0000D8880000}"/>
    <cellStyle name="Comma 2 5 2 3 14" xfId="35945" xr:uid="{00000000-0005-0000-0000-0000D9880000}"/>
    <cellStyle name="Comma 2 5 2 3 15" xfId="37628" xr:uid="{00000000-0005-0000-0000-0000DA880000}"/>
    <cellStyle name="Comma 2 5 2 3 16" xfId="39311" xr:uid="{00000000-0005-0000-0000-0000DB880000}"/>
    <cellStyle name="Comma 2 5 2 3 17" xfId="40994" xr:uid="{00000000-0005-0000-0000-0000DC880000}"/>
    <cellStyle name="Comma 2 5 2 3 18" xfId="42677" xr:uid="{00000000-0005-0000-0000-0000DD880000}"/>
    <cellStyle name="Comma 2 5 2 3 19" xfId="44360" xr:uid="{00000000-0005-0000-0000-0000DE880000}"/>
    <cellStyle name="Comma 2 5 2 3 2" xfId="2281" xr:uid="{00000000-0005-0000-0000-0000DF880000}"/>
    <cellStyle name="Comma 2 5 2 3 2 2" xfId="17430" xr:uid="{00000000-0005-0000-0000-0000E0880000}"/>
    <cellStyle name="Comma 2 5 2 3 20" xfId="46043" xr:uid="{00000000-0005-0000-0000-0000E1880000}"/>
    <cellStyle name="Comma 2 5 2 3 21" xfId="47726" xr:uid="{00000000-0005-0000-0000-0000E2880000}"/>
    <cellStyle name="Comma 2 5 2 3 22" xfId="49409" xr:uid="{00000000-0005-0000-0000-0000E3880000}"/>
    <cellStyle name="Comma 2 5 2 3 23" xfId="51092" xr:uid="{00000000-0005-0000-0000-0000E4880000}"/>
    <cellStyle name="Comma 2 5 2 3 24" xfId="52775" xr:uid="{00000000-0005-0000-0000-0000E5880000}"/>
    <cellStyle name="Comma 2 5 2 3 25" xfId="54458" xr:uid="{00000000-0005-0000-0000-0000E6880000}"/>
    <cellStyle name="Comma 2 5 2 3 26" xfId="56141" xr:uid="{00000000-0005-0000-0000-0000E7880000}"/>
    <cellStyle name="Comma 2 5 2 3 27" xfId="57824" xr:uid="{00000000-0005-0000-0000-0000E8880000}"/>
    <cellStyle name="Comma 2 5 2 3 28" xfId="59507" xr:uid="{00000000-0005-0000-0000-0000E9880000}"/>
    <cellStyle name="Comma 2 5 2 3 29" xfId="61190" xr:uid="{00000000-0005-0000-0000-0000EA880000}"/>
    <cellStyle name="Comma 2 5 2 3 3" xfId="3965" xr:uid="{00000000-0005-0000-0000-0000EB880000}"/>
    <cellStyle name="Comma 2 5 2 3 3 2" xfId="19114" xr:uid="{00000000-0005-0000-0000-0000EC880000}"/>
    <cellStyle name="Comma 2 5 2 3 30" xfId="62873" xr:uid="{00000000-0005-0000-0000-0000ED880000}"/>
    <cellStyle name="Comma 2 5 2 3 4" xfId="5648" xr:uid="{00000000-0005-0000-0000-0000EE880000}"/>
    <cellStyle name="Comma 2 5 2 3 4 2" xfId="20797" xr:uid="{00000000-0005-0000-0000-0000EF880000}"/>
    <cellStyle name="Comma 2 5 2 3 5" xfId="7331" xr:uid="{00000000-0005-0000-0000-0000F0880000}"/>
    <cellStyle name="Comma 2 5 2 3 5 2" xfId="22480" xr:uid="{00000000-0005-0000-0000-0000F1880000}"/>
    <cellStyle name="Comma 2 5 2 3 6" xfId="9014" xr:uid="{00000000-0005-0000-0000-0000F2880000}"/>
    <cellStyle name="Comma 2 5 2 3 6 2" xfId="24163" xr:uid="{00000000-0005-0000-0000-0000F3880000}"/>
    <cellStyle name="Comma 2 5 2 3 7" xfId="10697" xr:uid="{00000000-0005-0000-0000-0000F4880000}"/>
    <cellStyle name="Comma 2 5 2 3 7 2" xfId="25846" xr:uid="{00000000-0005-0000-0000-0000F5880000}"/>
    <cellStyle name="Comma 2 5 2 3 8" xfId="12381" xr:uid="{00000000-0005-0000-0000-0000F6880000}"/>
    <cellStyle name="Comma 2 5 2 3 8 2" xfId="27530" xr:uid="{00000000-0005-0000-0000-0000F7880000}"/>
    <cellStyle name="Comma 2 5 2 3 9" xfId="14064" xr:uid="{00000000-0005-0000-0000-0000F8880000}"/>
    <cellStyle name="Comma 2 5 2 3 9 2" xfId="29213" xr:uid="{00000000-0005-0000-0000-0000F9880000}"/>
    <cellStyle name="Comma 2 5 2 30" xfId="55721" xr:uid="{00000000-0005-0000-0000-0000FA880000}"/>
    <cellStyle name="Comma 2 5 2 31" xfId="57404" xr:uid="{00000000-0005-0000-0000-0000FB880000}"/>
    <cellStyle name="Comma 2 5 2 32" xfId="59087" xr:uid="{00000000-0005-0000-0000-0000FC880000}"/>
    <cellStyle name="Comma 2 5 2 33" xfId="60770" xr:uid="{00000000-0005-0000-0000-0000FD880000}"/>
    <cellStyle name="Comma 2 5 2 34" xfId="62453" xr:uid="{00000000-0005-0000-0000-0000FE880000}"/>
    <cellStyle name="Comma 2 5 2 4" xfId="1019" xr:uid="{00000000-0005-0000-0000-0000FF880000}"/>
    <cellStyle name="Comma 2 5 2 4 10" xfId="16168" xr:uid="{00000000-0005-0000-0000-000000890000}"/>
    <cellStyle name="Comma 2 5 2 4 11" xfId="31317" xr:uid="{00000000-0005-0000-0000-000001890000}"/>
    <cellStyle name="Comma 2 5 2 4 12" xfId="33000" xr:uid="{00000000-0005-0000-0000-000002890000}"/>
    <cellStyle name="Comma 2 5 2 4 13" xfId="34683" xr:uid="{00000000-0005-0000-0000-000003890000}"/>
    <cellStyle name="Comma 2 5 2 4 14" xfId="36366" xr:uid="{00000000-0005-0000-0000-000004890000}"/>
    <cellStyle name="Comma 2 5 2 4 15" xfId="38049" xr:uid="{00000000-0005-0000-0000-000005890000}"/>
    <cellStyle name="Comma 2 5 2 4 16" xfId="39732" xr:uid="{00000000-0005-0000-0000-000006890000}"/>
    <cellStyle name="Comma 2 5 2 4 17" xfId="41415" xr:uid="{00000000-0005-0000-0000-000007890000}"/>
    <cellStyle name="Comma 2 5 2 4 18" xfId="43098" xr:uid="{00000000-0005-0000-0000-000008890000}"/>
    <cellStyle name="Comma 2 5 2 4 19" xfId="44781" xr:uid="{00000000-0005-0000-0000-000009890000}"/>
    <cellStyle name="Comma 2 5 2 4 2" xfId="2702" xr:uid="{00000000-0005-0000-0000-00000A890000}"/>
    <cellStyle name="Comma 2 5 2 4 2 2" xfId="17851" xr:uid="{00000000-0005-0000-0000-00000B890000}"/>
    <cellStyle name="Comma 2 5 2 4 20" xfId="46464" xr:uid="{00000000-0005-0000-0000-00000C890000}"/>
    <cellStyle name="Comma 2 5 2 4 21" xfId="48147" xr:uid="{00000000-0005-0000-0000-00000D890000}"/>
    <cellStyle name="Comma 2 5 2 4 22" xfId="49830" xr:uid="{00000000-0005-0000-0000-00000E890000}"/>
    <cellStyle name="Comma 2 5 2 4 23" xfId="51513" xr:uid="{00000000-0005-0000-0000-00000F890000}"/>
    <cellStyle name="Comma 2 5 2 4 24" xfId="53196" xr:uid="{00000000-0005-0000-0000-000010890000}"/>
    <cellStyle name="Comma 2 5 2 4 25" xfId="54879" xr:uid="{00000000-0005-0000-0000-000011890000}"/>
    <cellStyle name="Comma 2 5 2 4 26" xfId="56562" xr:uid="{00000000-0005-0000-0000-000012890000}"/>
    <cellStyle name="Comma 2 5 2 4 27" xfId="58245" xr:uid="{00000000-0005-0000-0000-000013890000}"/>
    <cellStyle name="Comma 2 5 2 4 28" xfId="59928" xr:uid="{00000000-0005-0000-0000-000014890000}"/>
    <cellStyle name="Comma 2 5 2 4 29" xfId="61611" xr:uid="{00000000-0005-0000-0000-000015890000}"/>
    <cellStyle name="Comma 2 5 2 4 3" xfId="4386" xr:uid="{00000000-0005-0000-0000-000016890000}"/>
    <cellStyle name="Comma 2 5 2 4 3 2" xfId="19535" xr:uid="{00000000-0005-0000-0000-000017890000}"/>
    <cellStyle name="Comma 2 5 2 4 30" xfId="63294" xr:uid="{00000000-0005-0000-0000-000018890000}"/>
    <cellStyle name="Comma 2 5 2 4 4" xfId="6069" xr:uid="{00000000-0005-0000-0000-000019890000}"/>
    <cellStyle name="Comma 2 5 2 4 4 2" xfId="21218" xr:uid="{00000000-0005-0000-0000-00001A890000}"/>
    <cellStyle name="Comma 2 5 2 4 5" xfId="7752" xr:uid="{00000000-0005-0000-0000-00001B890000}"/>
    <cellStyle name="Comma 2 5 2 4 5 2" xfId="22901" xr:uid="{00000000-0005-0000-0000-00001C890000}"/>
    <cellStyle name="Comma 2 5 2 4 6" xfId="9435" xr:uid="{00000000-0005-0000-0000-00001D890000}"/>
    <cellStyle name="Comma 2 5 2 4 6 2" xfId="24584" xr:uid="{00000000-0005-0000-0000-00001E890000}"/>
    <cellStyle name="Comma 2 5 2 4 7" xfId="11118" xr:uid="{00000000-0005-0000-0000-00001F890000}"/>
    <cellStyle name="Comma 2 5 2 4 7 2" xfId="26267" xr:uid="{00000000-0005-0000-0000-000020890000}"/>
    <cellStyle name="Comma 2 5 2 4 8" xfId="12802" xr:uid="{00000000-0005-0000-0000-000021890000}"/>
    <cellStyle name="Comma 2 5 2 4 8 2" xfId="27951" xr:uid="{00000000-0005-0000-0000-000022890000}"/>
    <cellStyle name="Comma 2 5 2 4 9" xfId="14485" xr:uid="{00000000-0005-0000-0000-000023890000}"/>
    <cellStyle name="Comma 2 5 2 4 9 2" xfId="29634" xr:uid="{00000000-0005-0000-0000-000024890000}"/>
    <cellStyle name="Comma 2 5 2 5" xfId="1440" xr:uid="{00000000-0005-0000-0000-000025890000}"/>
    <cellStyle name="Comma 2 5 2 5 10" xfId="16589" xr:uid="{00000000-0005-0000-0000-000026890000}"/>
    <cellStyle name="Comma 2 5 2 5 11" xfId="31738" xr:uid="{00000000-0005-0000-0000-000027890000}"/>
    <cellStyle name="Comma 2 5 2 5 12" xfId="33421" xr:uid="{00000000-0005-0000-0000-000028890000}"/>
    <cellStyle name="Comma 2 5 2 5 13" xfId="35104" xr:uid="{00000000-0005-0000-0000-000029890000}"/>
    <cellStyle name="Comma 2 5 2 5 14" xfId="36787" xr:uid="{00000000-0005-0000-0000-00002A890000}"/>
    <cellStyle name="Comma 2 5 2 5 15" xfId="38470" xr:uid="{00000000-0005-0000-0000-00002B890000}"/>
    <cellStyle name="Comma 2 5 2 5 16" xfId="40153" xr:uid="{00000000-0005-0000-0000-00002C890000}"/>
    <cellStyle name="Comma 2 5 2 5 17" xfId="41836" xr:uid="{00000000-0005-0000-0000-00002D890000}"/>
    <cellStyle name="Comma 2 5 2 5 18" xfId="43519" xr:uid="{00000000-0005-0000-0000-00002E890000}"/>
    <cellStyle name="Comma 2 5 2 5 19" xfId="45202" xr:uid="{00000000-0005-0000-0000-00002F890000}"/>
    <cellStyle name="Comma 2 5 2 5 2" xfId="3123" xr:uid="{00000000-0005-0000-0000-000030890000}"/>
    <cellStyle name="Comma 2 5 2 5 2 2" xfId="18272" xr:uid="{00000000-0005-0000-0000-000031890000}"/>
    <cellStyle name="Comma 2 5 2 5 20" xfId="46885" xr:uid="{00000000-0005-0000-0000-000032890000}"/>
    <cellStyle name="Comma 2 5 2 5 21" xfId="48568" xr:uid="{00000000-0005-0000-0000-000033890000}"/>
    <cellStyle name="Comma 2 5 2 5 22" xfId="50251" xr:uid="{00000000-0005-0000-0000-000034890000}"/>
    <cellStyle name="Comma 2 5 2 5 23" xfId="51934" xr:uid="{00000000-0005-0000-0000-000035890000}"/>
    <cellStyle name="Comma 2 5 2 5 24" xfId="53617" xr:uid="{00000000-0005-0000-0000-000036890000}"/>
    <cellStyle name="Comma 2 5 2 5 25" xfId="55300" xr:uid="{00000000-0005-0000-0000-000037890000}"/>
    <cellStyle name="Comma 2 5 2 5 26" xfId="56983" xr:uid="{00000000-0005-0000-0000-000038890000}"/>
    <cellStyle name="Comma 2 5 2 5 27" xfId="58666" xr:uid="{00000000-0005-0000-0000-000039890000}"/>
    <cellStyle name="Comma 2 5 2 5 28" xfId="60349" xr:uid="{00000000-0005-0000-0000-00003A890000}"/>
    <cellStyle name="Comma 2 5 2 5 29" xfId="62032" xr:uid="{00000000-0005-0000-0000-00003B890000}"/>
    <cellStyle name="Comma 2 5 2 5 3" xfId="4807" xr:uid="{00000000-0005-0000-0000-00003C890000}"/>
    <cellStyle name="Comma 2 5 2 5 3 2" xfId="19956" xr:uid="{00000000-0005-0000-0000-00003D890000}"/>
    <cellStyle name="Comma 2 5 2 5 30" xfId="63715" xr:uid="{00000000-0005-0000-0000-00003E890000}"/>
    <cellStyle name="Comma 2 5 2 5 4" xfId="6490" xr:uid="{00000000-0005-0000-0000-00003F890000}"/>
    <cellStyle name="Comma 2 5 2 5 4 2" xfId="21639" xr:uid="{00000000-0005-0000-0000-000040890000}"/>
    <cellStyle name="Comma 2 5 2 5 5" xfId="8173" xr:uid="{00000000-0005-0000-0000-000041890000}"/>
    <cellStyle name="Comma 2 5 2 5 5 2" xfId="23322" xr:uid="{00000000-0005-0000-0000-000042890000}"/>
    <cellStyle name="Comma 2 5 2 5 6" xfId="9856" xr:uid="{00000000-0005-0000-0000-000043890000}"/>
    <cellStyle name="Comma 2 5 2 5 6 2" xfId="25005" xr:uid="{00000000-0005-0000-0000-000044890000}"/>
    <cellStyle name="Comma 2 5 2 5 7" xfId="11539" xr:uid="{00000000-0005-0000-0000-000045890000}"/>
    <cellStyle name="Comma 2 5 2 5 7 2" xfId="26688" xr:uid="{00000000-0005-0000-0000-000046890000}"/>
    <cellStyle name="Comma 2 5 2 5 8" xfId="13223" xr:uid="{00000000-0005-0000-0000-000047890000}"/>
    <cellStyle name="Comma 2 5 2 5 8 2" xfId="28372" xr:uid="{00000000-0005-0000-0000-000048890000}"/>
    <cellStyle name="Comma 2 5 2 5 9" xfId="14906" xr:uid="{00000000-0005-0000-0000-000049890000}"/>
    <cellStyle name="Comma 2 5 2 5 9 2" xfId="30055" xr:uid="{00000000-0005-0000-0000-00004A890000}"/>
    <cellStyle name="Comma 2 5 2 6" xfId="1861" xr:uid="{00000000-0005-0000-0000-00004B890000}"/>
    <cellStyle name="Comma 2 5 2 6 2" xfId="17010" xr:uid="{00000000-0005-0000-0000-00004C890000}"/>
    <cellStyle name="Comma 2 5 2 7" xfId="3545" xr:uid="{00000000-0005-0000-0000-00004D890000}"/>
    <cellStyle name="Comma 2 5 2 7 2" xfId="18694" xr:uid="{00000000-0005-0000-0000-00004E890000}"/>
    <cellStyle name="Comma 2 5 2 8" xfId="5228" xr:uid="{00000000-0005-0000-0000-00004F890000}"/>
    <cellStyle name="Comma 2 5 2 8 2" xfId="20377" xr:uid="{00000000-0005-0000-0000-000050890000}"/>
    <cellStyle name="Comma 2 5 2 9" xfId="6911" xr:uid="{00000000-0005-0000-0000-000051890000}"/>
    <cellStyle name="Comma 2 5 2 9 2" xfId="22060" xr:uid="{00000000-0005-0000-0000-000052890000}"/>
    <cellStyle name="Comma 2 5 20" xfId="37103" xr:uid="{00000000-0005-0000-0000-000053890000}"/>
    <cellStyle name="Comma 2 5 21" xfId="38786" xr:uid="{00000000-0005-0000-0000-000054890000}"/>
    <cellStyle name="Comma 2 5 22" xfId="40469" xr:uid="{00000000-0005-0000-0000-000055890000}"/>
    <cellStyle name="Comma 2 5 23" xfId="42152" xr:uid="{00000000-0005-0000-0000-000056890000}"/>
    <cellStyle name="Comma 2 5 24" xfId="43835" xr:uid="{00000000-0005-0000-0000-000057890000}"/>
    <cellStyle name="Comma 2 5 25" xfId="45518" xr:uid="{00000000-0005-0000-0000-000058890000}"/>
    <cellStyle name="Comma 2 5 26" xfId="47201" xr:uid="{00000000-0005-0000-0000-000059890000}"/>
    <cellStyle name="Comma 2 5 27" xfId="48884" xr:uid="{00000000-0005-0000-0000-00005A890000}"/>
    <cellStyle name="Comma 2 5 28" xfId="50567" xr:uid="{00000000-0005-0000-0000-00005B890000}"/>
    <cellStyle name="Comma 2 5 29" xfId="52250" xr:uid="{00000000-0005-0000-0000-00005C890000}"/>
    <cellStyle name="Comma 2 5 3" xfId="283" xr:uid="{00000000-0005-0000-0000-00005D890000}"/>
    <cellStyle name="Comma 2 5 3 10" xfId="10382" xr:uid="{00000000-0005-0000-0000-00005E890000}"/>
    <cellStyle name="Comma 2 5 3 10 2" xfId="25531" xr:uid="{00000000-0005-0000-0000-00005F890000}"/>
    <cellStyle name="Comma 2 5 3 11" xfId="12066" xr:uid="{00000000-0005-0000-0000-000060890000}"/>
    <cellStyle name="Comma 2 5 3 11 2" xfId="27215" xr:uid="{00000000-0005-0000-0000-000061890000}"/>
    <cellStyle name="Comma 2 5 3 12" xfId="13749" xr:uid="{00000000-0005-0000-0000-000062890000}"/>
    <cellStyle name="Comma 2 5 3 12 2" xfId="28898" xr:uid="{00000000-0005-0000-0000-000063890000}"/>
    <cellStyle name="Comma 2 5 3 13" xfId="15432" xr:uid="{00000000-0005-0000-0000-000064890000}"/>
    <cellStyle name="Comma 2 5 3 14" xfId="30581" xr:uid="{00000000-0005-0000-0000-000065890000}"/>
    <cellStyle name="Comma 2 5 3 15" xfId="32264" xr:uid="{00000000-0005-0000-0000-000066890000}"/>
    <cellStyle name="Comma 2 5 3 16" xfId="33947" xr:uid="{00000000-0005-0000-0000-000067890000}"/>
    <cellStyle name="Comma 2 5 3 17" xfId="35630" xr:uid="{00000000-0005-0000-0000-000068890000}"/>
    <cellStyle name="Comma 2 5 3 18" xfId="37313" xr:uid="{00000000-0005-0000-0000-000069890000}"/>
    <cellStyle name="Comma 2 5 3 19" xfId="38996" xr:uid="{00000000-0005-0000-0000-00006A890000}"/>
    <cellStyle name="Comma 2 5 3 2" xfId="703" xr:uid="{00000000-0005-0000-0000-00006B890000}"/>
    <cellStyle name="Comma 2 5 3 2 10" xfId="15852" xr:uid="{00000000-0005-0000-0000-00006C890000}"/>
    <cellStyle name="Comma 2 5 3 2 11" xfId="31001" xr:uid="{00000000-0005-0000-0000-00006D890000}"/>
    <cellStyle name="Comma 2 5 3 2 12" xfId="32684" xr:uid="{00000000-0005-0000-0000-00006E890000}"/>
    <cellStyle name="Comma 2 5 3 2 13" xfId="34367" xr:uid="{00000000-0005-0000-0000-00006F890000}"/>
    <cellStyle name="Comma 2 5 3 2 14" xfId="36050" xr:uid="{00000000-0005-0000-0000-000070890000}"/>
    <cellStyle name="Comma 2 5 3 2 15" xfId="37733" xr:uid="{00000000-0005-0000-0000-000071890000}"/>
    <cellStyle name="Comma 2 5 3 2 16" xfId="39416" xr:uid="{00000000-0005-0000-0000-000072890000}"/>
    <cellStyle name="Comma 2 5 3 2 17" xfId="41099" xr:uid="{00000000-0005-0000-0000-000073890000}"/>
    <cellStyle name="Comma 2 5 3 2 18" xfId="42782" xr:uid="{00000000-0005-0000-0000-000074890000}"/>
    <cellStyle name="Comma 2 5 3 2 19" xfId="44465" xr:uid="{00000000-0005-0000-0000-000075890000}"/>
    <cellStyle name="Comma 2 5 3 2 2" xfId="2386" xr:uid="{00000000-0005-0000-0000-000076890000}"/>
    <cellStyle name="Comma 2 5 3 2 2 2" xfId="17535" xr:uid="{00000000-0005-0000-0000-000077890000}"/>
    <cellStyle name="Comma 2 5 3 2 20" xfId="46148" xr:uid="{00000000-0005-0000-0000-000078890000}"/>
    <cellStyle name="Comma 2 5 3 2 21" xfId="47831" xr:uid="{00000000-0005-0000-0000-000079890000}"/>
    <cellStyle name="Comma 2 5 3 2 22" xfId="49514" xr:uid="{00000000-0005-0000-0000-00007A890000}"/>
    <cellStyle name="Comma 2 5 3 2 23" xfId="51197" xr:uid="{00000000-0005-0000-0000-00007B890000}"/>
    <cellStyle name="Comma 2 5 3 2 24" xfId="52880" xr:uid="{00000000-0005-0000-0000-00007C890000}"/>
    <cellStyle name="Comma 2 5 3 2 25" xfId="54563" xr:uid="{00000000-0005-0000-0000-00007D890000}"/>
    <cellStyle name="Comma 2 5 3 2 26" xfId="56246" xr:uid="{00000000-0005-0000-0000-00007E890000}"/>
    <cellStyle name="Comma 2 5 3 2 27" xfId="57929" xr:uid="{00000000-0005-0000-0000-00007F890000}"/>
    <cellStyle name="Comma 2 5 3 2 28" xfId="59612" xr:uid="{00000000-0005-0000-0000-000080890000}"/>
    <cellStyle name="Comma 2 5 3 2 29" xfId="61295" xr:uid="{00000000-0005-0000-0000-000081890000}"/>
    <cellStyle name="Comma 2 5 3 2 3" xfId="4070" xr:uid="{00000000-0005-0000-0000-000082890000}"/>
    <cellStyle name="Comma 2 5 3 2 3 2" xfId="19219" xr:uid="{00000000-0005-0000-0000-000083890000}"/>
    <cellStyle name="Comma 2 5 3 2 30" xfId="62978" xr:uid="{00000000-0005-0000-0000-000084890000}"/>
    <cellStyle name="Comma 2 5 3 2 4" xfId="5753" xr:uid="{00000000-0005-0000-0000-000085890000}"/>
    <cellStyle name="Comma 2 5 3 2 4 2" xfId="20902" xr:uid="{00000000-0005-0000-0000-000086890000}"/>
    <cellStyle name="Comma 2 5 3 2 5" xfId="7436" xr:uid="{00000000-0005-0000-0000-000087890000}"/>
    <cellStyle name="Comma 2 5 3 2 5 2" xfId="22585" xr:uid="{00000000-0005-0000-0000-000088890000}"/>
    <cellStyle name="Comma 2 5 3 2 6" xfId="9119" xr:uid="{00000000-0005-0000-0000-000089890000}"/>
    <cellStyle name="Comma 2 5 3 2 6 2" xfId="24268" xr:uid="{00000000-0005-0000-0000-00008A890000}"/>
    <cellStyle name="Comma 2 5 3 2 7" xfId="10802" xr:uid="{00000000-0005-0000-0000-00008B890000}"/>
    <cellStyle name="Comma 2 5 3 2 7 2" xfId="25951" xr:uid="{00000000-0005-0000-0000-00008C890000}"/>
    <cellStyle name="Comma 2 5 3 2 8" xfId="12486" xr:uid="{00000000-0005-0000-0000-00008D890000}"/>
    <cellStyle name="Comma 2 5 3 2 8 2" xfId="27635" xr:uid="{00000000-0005-0000-0000-00008E890000}"/>
    <cellStyle name="Comma 2 5 3 2 9" xfId="14169" xr:uid="{00000000-0005-0000-0000-00008F890000}"/>
    <cellStyle name="Comma 2 5 3 2 9 2" xfId="29318" xr:uid="{00000000-0005-0000-0000-000090890000}"/>
    <cellStyle name="Comma 2 5 3 20" xfId="40679" xr:uid="{00000000-0005-0000-0000-000091890000}"/>
    <cellStyle name="Comma 2 5 3 21" xfId="42362" xr:uid="{00000000-0005-0000-0000-000092890000}"/>
    <cellStyle name="Comma 2 5 3 22" xfId="44045" xr:uid="{00000000-0005-0000-0000-000093890000}"/>
    <cellStyle name="Comma 2 5 3 23" xfId="45728" xr:uid="{00000000-0005-0000-0000-000094890000}"/>
    <cellStyle name="Comma 2 5 3 24" xfId="47411" xr:uid="{00000000-0005-0000-0000-000095890000}"/>
    <cellStyle name="Comma 2 5 3 25" xfId="49094" xr:uid="{00000000-0005-0000-0000-000096890000}"/>
    <cellStyle name="Comma 2 5 3 26" xfId="50777" xr:uid="{00000000-0005-0000-0000-000097890000}"/>
    <cellStyle name="Comma 2 5 3 27" xfId="52460" xr:uid="{00000000-0005-0000-0000-000098890000}"/>
    <cellStyle name="Comma 2 5 3 28" xfId="54143" xr:uid="{00000000-0005-0000-0000-000099890000}"/>
    <cellStyle name="Comma 2 5 3 29" xfId="55826" xr:uid="{00000000-0005-0000-0000-00009A890000}"/>
    <cellStyle name="Comma 2 5 3 3" xfId="1124" xr:uid="{00000000-0005-0000-0000-00009B890000}"/>
    <cellStyle name="Comma 2 5 3 3 10" xfId="16273" xr:uid="{00000000-0005-0000-0000-00009C890000}"/>
    <cellStyle name="Comma 2 5 3 3 11" xfId="31422" xr:uid="{00000000-0005-0000-0000-00009D890000}"/>
    <cellStyle name="Comma 2 5 3 3 12" xfId="33105" xr:uid="{00000000-0005-0000-0000-00009E890000}"/>
    <cellStyle name="Comma 2 5 3 3 13" xfId="34788" xr:uid="{00000000-0005-0000-0000-00009F890000}"/>
    <cellStyle name="Comma 2 5 3 3 14" xfId="36471" xr:uid="{00000000-0005-0000-0000-0000A0890000}"/>
    <cellStyle name="Comma 2 5 3 3 15" xfId="38154" xr:uid="{00000000-0005-0000-0000-0000A1890000}"/>
    <cellStyle name="Comma 2 5 3 3 16" xfId="39837" xr:uid="{00000000-0005-0000-0000-0000A2890000}"/>
    <cellStyle name="Comma 2 5 3 3 17" xfId="41520" xr:uid="{00000000-0005-0000-0000-0000A3890000}"/>
    <cellStyle name="Comma 2 5 3 3 18" xfId="43203" xr:uid="{00000000-0005-0000-0000-0000A4890000}"/>
    <cellStyle name="Comma 2 5 3 3 19" xfId="44886" xr:uid="{00000000-0005-0000-0000-0000A5890000}"/>
    <cellStyle name="Comma 2 5 3 3 2" xfId="2807" xr:uid="{00000000-0005-0000-0000-0000A6890000}"/>
    <cellStyle name="Comma 2 5 3 3 2 2" xfId="17956" xr:uid="{00000000-0005-0000-0000-0000A7890000}"/>
    <cellStyle name="Comma 2 5 3 3 20" xfId="46569" xr:uid="{00000000-0005-0000-0000-0000A8890000}"/>
    <cellStyle name="Comma 2 5 3 3 21" xfId="48252" xr:uid="{00000000-0005-0000-0000-0000A9890000}"/>
    <cellStyle name="Comma 2 5 3 3 22" xfId="49935" xr:uid="{00000000-0005-0000-0000-0000AA890000}"/>
    <cellStyle name="Comma 2 5 3 3 23" xfId="51618" xr:uid="{00000000-0005-0000-0000-0000AB890000}"/>
    <cellStyle name="Comma 2 5 3 3 24" xfId="53301" xr:uid="{00000000-0005-0000-0000-0000AC890000}"/>
    <cellStyle name="Comma 2 5 3 3 25" xfId="54984" xr:uid="{00000000-0005-0000-0000-0000AD890000}"/>
    <cellStyle name="Comma 2 5 3 3 26" xfId="56667" xr:uid="{00000000-0005-0000-0000-0000AE890000}"/>
    <cellStyle name="Comma 2 5 3 3 27" xfId="58350" xr:uid="{00000000-0005-0000-0000-0000AF890000}"/>
    <cellStyle name="Comma 2 5 3 3 28" xfId="60033" xr:uid="{00000000-0005-0000-0000-0000B0890000}"/>
    <cellStyle name="Comma 2 5 3 3 29" xfId="61716" xr:uid="{00000000-0005-0000-0000-0000B1890000}"/>
    <cellStyle name="Comma 2 5 3 3 3" xfId="4491" xr:uid="{00000000-0005-0000-0000-0000B2890000}"/>
    <cellStyle name="Comma 2 5 3 3 3 2" xfId="19640" xr:uid="{00000000-0005-0000-0000-0000B3890000}"/>
    <cellStyle name="Comma 2 5 3 3 30" xfId="63399" xr:uid="{00000000-0005-0000-0000-0000B4890000}"/>
    <cellStyle name="Comma 2 5 3 3 4" xfId="6174" xr:uid="{00000000-0005-0000-0000-0000B5890000}"/>
    <cellStyle name="Comma 2 5 3 3 4 2" xfId="21323" xr:uid="{00000000-0005-0000-0000-0000B6890000}"/>
    <cellStyle name="Comma 2 5 3 3 5" xfId="7857" xr:uid="{00000000-0005-0000-0000-0000B7890000}"/>
    <cellStyle name="Comma 2 5 3 3 5 2" xfId="23006" xr:uid="{00000000-0005-0000-0000-0000B8890000}"/>
    <cellStyle name="Comma 2 5 3 3 6" xfId="9540" xr:uid="{00000000-0005-0000-0000-0000B9890000}"/>
    <cellStyle name="Comma 2 5 3 3 6 2" xfId="24689" xr:uid="{00000000-0005-0000-0000-0000BA890000}"/>
    <cellStyle name="Comma 2 5 3 3 7" xfId="11223" xr:uid="{00000000-0005-0000-0000-0000BB890000}"/>
    <cellStyle name="Comma 2 5 3 3 7 2" xfId="26372" xr:uid="{00000000-0005-0000-0000-0000BC890000}"/>
    <cellStyle name="Comma 2 5 3 3 8" xfId="12907" xr:uid="{00000000-0005-0000-0000-0000BD890000}"/>
    <cellStyle name="Comma 2 5 3 3 8 2" xfId="28056" xr:uid="{00000000-0005-0000-0000-0000BE890000}"/>
    <cellStyle name="Comma 2 5 3 3 9" xfId="14590" xr:uid="{00000000-0005-0000-0000-0000BF890000}"/>
    <cellStyle name="Comma 2 5 3 3 9 2" xfId="29739" xr:uid="{00000000-0005-0000-0000-0000C0890000}"/>
    <cellStyle name="Comma 2 5 3 30" xfId="57509" xr:uid="{00000000-0005-0000-0000-0000C1890000}"/>
    <cellStyle name="Comma 2 5 3 31" xfId="59192" xr:uid="{00000000-0005-0000-0000-0000C2890000}"/>
    <cellStyle name="Comma 2 5 3 32" xfId="60875" xr:uid="{00000000-0005-0000-0000-0000C3890000}"/>
    <cellStyle name="Comma 2 5 3 33" xfId="62558" xr:uid="{00000000-0005-0000-0000-0000C4890000}"/>
    <cellStyle name="Comma 2 5 3 4" xfId="1545" xr:uid="{00000000-0005-0000-0000-0000C5890000}"/>
    <cellStyle name="Comma 2 5 3 4 10" xfId="16694" xr:uid="{00000000-0005-0000-0000-0000C6890000}"/>
    <cellStyle name="Comma 2 5 3 4 11" xfId="31843" xr:uid="{00000000-0005-0000-0000-0000C7890000}"/>
    <cellStyle name="Comma 2 5 3 4 12" xfId="33526" xr:uid="{00000000-0005-0000-0000-0000C8890000}"/>
    <cellStyle name="Comma 2 5 3 4 13" xfId="35209" xr:uid="{00000000-0005-0000-0000-0000C9890000}"/>
    <cellStyle name="Comma 2 5 3 4 14" xfId="36892" xr:uid="{00000000-0005-0000-0000-0000CA890000}"/>
    <cellStyle name="Comma 2 5 3 4 15" xfId="38575" xr:uid="{00000000-0005-0000-0000-0000CB890000}"/>
    <cellStyle name="Comma 2 5 3 4 16" xfId="40258" xr:uid="{00000000-0005-0000-0000-0000CC890000}"/>
    <cellStyle name="Comma 2 5 3 4 17" xfId="41941" xr:uid="{00000000-0005-0000-0000-0000CD890000}"/>
    <cellStyle name="Comma 2 5 3 4 18" xfId="43624" xr:uid="{00000000-0005-0000-0000-0000CE890000}"/>
    <cellStyle name="Comma 2 5 3 4 19" xfId="45307" xr:uid="{00000000-0005-0000-0000-0000CF890000}"/>
    <cellStyle name="Comma 2 5 3 4 2" xfId="3228" xr:uid="{00000000-0005-0000-0000-0000D0890000}"/>
    <cellStyle name="Comma 2 5 3 4 2 2" xfId="18377" xr:uid="{00000000-0005-0000-0000-0000D1890000}"/>
    <cellStyle name="Comma 2 5 3 4 20" xfId="46990" xr:uid="{00000000-0005-0000-0000-0000D2890000}"/>
    <cellStyle name="Comma 2 5 3 4 21" xfId="48673" xr:uid="{00000000-0005-0000-0000-0000D3890000}"/>
    <cellStyle name="Comma 2 5 3 4 22" xfId="50356" xr:uid="{00000000-0005-0000-0000-0000D4890000}"/>
    <cellStyle name="Comma 2 5 3 4 23" xfId="52039" xr:uid="{00000000-0005-0000-0000-0000D5890000}"/>
    <cellStyle name="Comma 2 5 3 4 24" xfId="53722" xr:uid="{00000000-0005-0000-0000-0000D6890000}"/>
    <cellStyle name="Comma 2 5 3 4 25" xfId="55405" xr:uid="{00000000-0005-0000-0000-0000D7890000}"/>
    <cellStyle name="Comma 2 5 3 4 26" xfId="57088" xr:uid="{00000000-0005-0000-0000-0000D8890000}"/>
    <cellStyle name="Comma 2 5 3 4 27" xfId="58771" xr:uid="{00000000-0005-0000-0000-0000D9890000}"/>
    <cellStyle name="Comma 2 5 3 4 28" xfId="60454" xr:uid="{00000000-0005-0000-0000-0000DA890000}"/>
    <cellStyle name="Comma 2 5 3 4 29" xfId="62137" xr:uid="{00000000-0005-0000-0000-0000DB890000}"/>
    <cellStyle name="Comma 2 5 3 4 3" xfId="4912" xr:uid="{00000000-0005-0000-0000-0000DC890000}"/>
    <cellStyle name="Comma 2 5 3 4 3 2" xfId="20061" xr:uid="{00000000-0005-0000-0000-0000DD890000}"/>
    <cellStyle name="Comma 2 5 3 4 30" xfId="63820" xr:uid="{00000000-0005-0000-0000-0000DE890000}"/>
    <cellStyle name="Comma 2 5 3 4 4" xfId="6595" xr:uid="{00000000-0005-0000-0000-0000DF890000}"/>
    <cellStyle name="Comma 2 5 3 4 4 2" xfId="21744" xr:uid="{00000000-0005-0000-0000-0000E0890000}"/>
    <cellStyle name="Comma 2 5 3 4 5" xfId="8278" xr:uid="{00000000-0005-0000-0000-0000E1890000}"/>
    <cellStyle name="Comma 2 5 3 4 5 2" xfId="23427" xr:uid="{00000000-0005-0000-0000-0000E2890000}"/>
    <cellStyle name="Comma 2 5 3 4 6" xfId="9961" xr:uid="{00000000-0005-0000-0000-0000E3890000}"/>
    <cellStyle name="Comma 2 5 3 4 6 2" xfId="25110" xr:uid="{00000000-0005-0000-0000-0000E4890000}"/>
    <cellStyle name="Comma 2 5 3 4 7" xfId="11644" xr:uid="{00000000-0005-0000-0000-0000E5890000}"/>
    <cellStyle name="Comma 2 5 3 4 7 2" xfId="26793" xr:uid="{00000000-0005-0000-0000-0000E6890000}"/>
    <cellStyle name="Comma 2 5 3 4 8" xfId="13328" xr:uid="{00000000-0005-0000-0000-0000E7890000}"/>
    <cellStyle name="Comma 2 5 3 4 8 2" xfId="28477" xr:uid="{00000000-0005-0000-0000-0000E8890000}"/>
    <cellStyle name="Comma 2 5 3 4 9" xfId="15011" xr:uid="{00000000-0005-0000-0000-0000E9890000}"/>
    <cellStyle name="Comma 2 5 3 4 9 2" xfId="30160" xr:uid="{00000000-0005-0000-0000-0000EA890000}"/>
    <cellStyle name="Comma 2 5 3 5" xfId="1966" xr:uid="{00000000-0005-0000-0000-0000EB890000}"/>
    <cellStyle name="Comma 2 5 3 5 2" xfId="17115" xr:uid="{00000000-0005-0000-0000-0000EC890000}"/>
    <cellStyle name="Comma 2 5 3 6" xfId="3650" xr:uid="{00000000-0005-0000-0000-0000ED890000}"/>
    <cellStyle name="Comma 2 5 3 6 2" xfId="18799" xr:uid="{00000000-0005-0000-0000-0000EE890000}"/>
    <cellStyle name="Comma 2 5 3 7" xfId="5333" xr:uid="{00000000-0005-0000-0000-0000EF890000}"/>
    <cellStyle name="Comma 2 5 3 7 2" xfId="20482" xr:uid="{00000000-0005-0000-0000-0000F0890000}"/>
    <cellStyle name="Comma 2 5 3 8" xfId="7016" xr:uid="{00000000-0005-0000-0000-0000F1890000}"/>
    <cellStyle name="Comma 2 5 3 8 2" xfId="22165" xr:uid="{00000000-0005-0000-0000-0000F2890000}"/>
    <cellStyle name="Comma 2 5 3 9" xfId="8699" xr:uid="{00000000-0005-0000-0000-0000F3890000}"/>
    <cellStyle name="Comma 2 5 3 9 2" xfId="23848" xr:uid="{00000000-0005-0000-0000-0000F4890000}"/>
    <cellStyle name="Comma 2 5 30" xfId="53933" xr:uid="{00000000-0005-0000-0000-0000F5890000}"/>
    <cellStyle name="Comma 2 5 31" xfId="55616" xr:uid="{00000000-0005-0000-0000-0000F6890000}"/>
    <cellStyle name="Comma 2 5 32" xfId="57299" xr:uid="{00000000-0005-0000-0000-0000F7890000}"/>
    <cellStyle name="Comma 2 5 33" xfId="58982" xr:uid="{00000000-0005-0000-0000-0000F8890000}"/>
    <cellStyle name="Comma 2 5 34" xfId="60665" xr:uid="{00000000-0005-0000-0000-0000F9890000}"/>
    <cellStyle name="Comma 2 5 35" xfId="62348" xr:uid="{00000000-0005-0000-0000-0000FA890000}"/>
    <cellStyle name="Comma 2 5 4" xfId="493" xr:uid="{00000000-0005-0000-0000-0000FB890000}"/>
    <cellStyle name="Comma 2 5 4 10" xfId="15642" xr:uid="{00000000-0005-0000-0000-0000FC890000}"/>
    <cellStyle name="Comma 2 5 4 11" xfId="30791" xr:uid="{00000000-0005-0000-0000-0000FD890000}"/>
    <cellStyle name="Comma 2 5 4 12" xfId="32474" xr:uid="{00000000-0005-0000-0000-0000FE890000}"/>
    <cellStyle name="Comma 2 5 4 13" xfId="34157" xr:uid="{00000000-0005-0000-0000-0000FF890000}"/>
    <cellStyle name="Comma 2 5 4 14" xfId="35840" xr:uid="{00000000-0005-0000-0000-0000008A0000}"/>
    <cellStyle name="Comma 2 5 4 15" xfId="37523" xr:uid="{00000000-0005-0000-0000-0000018A0000}"/>
    <cellStyle name="Comma 2 5 4 16" xfId="39206" xr:uid="{00000000-0005-0000-0000-0000028A0000}"/>
    <cellStyle name="Comma 2 5 4 17" xfId="40889" xr:uid="{00000000-0005-0000-0000-0000038A0000}"/>
    <cellStyle name="Comma 2 5 4 18" xfId="42572" xr:uid="{00000000-0005-0000-0000-0000048A0000}"/>
    <cellStyle name="Comma 2 5 4 19" xfId="44255" xr:uid="{00000000-0005-0000-0000-0000058A0000}"/>
    <cellStyle name="Comma 2 5 4 2" xfId="2176" xr:uid="{00000000-0005-0000-0000-0000068A0000}"/>
    <cellStyle name="Comma 2 5 4 2 2" xfId="17325" xr:uid="{00000000-0005-0000-0000-0000078A0000}"/>
    <cellStyle name="Comma 2 5 4 20" xfId="45938" xr:uid="{00000000-0005-0000-0000-0000088A0000}"/>
    <cellStyle name="Comma 2 5 4 21" xfId="47621" xr:uid="{00000000-0005-0000-0000-0000098A0000}"/>
    <cellStyle name="Comma 2 5 4 22" xfId="49304" xr:uid="{00000000-0005-0000-0000-00000A8A0000}"/>
    <cellStyle name="Comma 2 5 4 23" xfId="50987" xr:uid="{00000000-0005-0000-0000-00000B8A0000}"/>
    <cellStyle name="Comma 2 5 4 24" xfId="52670" xr:uid="{00000000-0005-0000-0000-00000C8A0000}"/>
    <cellStyle name="Comma 2 5 4 25" xfId="54353" xr:uid="{00000000-0005-0000-0000-00000D8A0000}"/>
    <cellStyle name="Comma 2 5 4 26" xfId="56036" xr:uid="{00000000-0005-0000-0000-00000E8A0000}"/>
    <cellStyle name="Comma 2 5 4 27" xfId="57719" xr:uid="{00000000-0005-0000-0000-00000F8A0000}"/>
    <cellStyle name="Comma 2 5 4 28" xfId="59402" xr:uid="{00000000-0005-0000-0000-0000108A0000}"/>
    <cellStyle name="Comma 2 5 4 29" xfId="61085" xr:uid="{00000000-0005-0000-0000-0000118A0000}"/>
    <cellStyle name="Comma 2 5 4 3" xfId="3860" xr:uid="{00000000-0005-0000-0000-0000128A0000}"/>
    <cellStyle name="Comma 2 5 4 3 2" xfId="19009" xr:uid="{00000000-0005-0000-0000-0000138A0000}"/>
    <cellStyle name="Comma 2 5 4 30" xfId="62768" xr:uid="{00000000-0005-0000-0000-0000148A0000}"/>
    <cellStyle name="Comma 2 5 4 4" xfId="5543" xr:uid="{00000000-0005-0000-0000-0000158A0000}"/>
    <cellStyle name="Comma 2 5 4 4 2" xfId="20692" xr:uid="{00000000-0005-0000-0000-0000168A0000}"/>
    <cellStyle name="Comma 2 5 4 5" xfId="7226" xr:uid="{00000000-0005-0000-0000-0000178A0000}"/>
    <cellStyle name="Comma 2 5 4 5 2" xfId="22375" xr:uid="{00000000-0005-0000-0000-0000188A0000}"/>
    <cellStyle name="Comma 2 5 4 6" xfId="8909" xr:uid="{00000000-0005-0000-0000-0000198A0000}"/>
    <cellStyle name="Comma 2 5 4 6 2" xfId="24058" xr:uid="{00000000-0005-0000-0000-00001A8A0000}"/>
    <cellStyle name="Comma 2 5 4 7" xfId="10592" xr:uid="{00000000-0005-0000-0000-00001B8A0000}"/>
    <cellStyle name="Comma 2 5 4 7 2" xfId="25741" xr:uid="{00000000-0005-0000-0000-00001C8A0000}"/>
    <cellStyle name="Comma 2 5 4 8" xfId="12276" xr:uid="{00000000-0005-0000-0000-00001D8A0000}"/>
    <cellStyle name="Comma 2 5 4 8 2" xfId="27425" xr:uid="{00000000-0005-0000-0000-00001E8A0000}"/>
    <cellStyle name="Comma 2 5 4 9" xfId="13959" xr:uid="{00000000-0005-0000-0000-00001F8A0000}"/>
    <cellStyle name="Comma 2 5 4 9 2" xfId="29108" xr:uid="{00000000-0005-0000-0000-0000208A0000}"/>
    <cellStyle name="Comma 2 5 5" xfId="914" xr:uid="{00000000-0005-0000-0000-0000218A0000}"/>
    <cellStyle name="Comma 2 5 5 10" xfId="16063" xr:uid="{00000000-0005-0000-0000-0000228A0000}"/>
    <cellStyle name="Comma 2 5 5 11" xfId="31212" xr:uid="{00000000-0005-0000-0000-0000238A0000}"/>
    <cellStyle name="Comma 2 5 5 12" xfId="32895" xr:uid="{00000000-0005-0000-0000-0000248A0000}"/>
    <cellStyle name="Comma 2 5 5 13" xfId="34578" xr:uid="{00000000-0005-0000-0000-0000258A0000}"/>
    <cellStyle name="Comma 2 5 5 14" xfId="36261" xr:uid="{00000000-0005-0000-0000-0000268A0000}"/>
    <cellStyle name="Comma 2 5 5 15" xfId="37944" xr:uid="{00000000-0005-0000-0000-0000278A0000}"/>
    <cellStyle name="Comma 2 5 5 16" xfId="39627" xr:uid="{00000000-0005-0000-0000-0000288A0000}"/>
    <cellStyle name="Comma 2 5 5 17" xfId="41310" xr:uid="{00000000-0005-0000-0000-0000298A0000}"/>
    <cellStyle name="Comma 2 5 5 18" xfId="42993" xr:uid="{00000000-0005-0000-0000-00002A8A0000}"/>
    <cellStyle name="Comma 2 5 5 19" xfId="44676" xr:uid="{00000000-0005-0000-0000-00002B8A0000}"/>
    <cellStyle name="Comma 2 5 5 2" xfId="2597" xr:uid="{00000000-0005-0000-0000-00002C8A0000}"/>
    <cellStyle name="Comma 2 5 5 2 2" xfId="17746" xr:uid="{00000000-0005-0000-0000-00002D8A0000}"/>
    <cellStyle name="Comma 2 5 5 20" xfId="46359" xr:uid="{00000000-0005-0000-0000-00002E8A0000}"/>
    <cellStyle name="Comma 2 5 5 21" xfId="48042" xr:uid="{00000000-0005-0000-0000-00002F8A0000}"/>
    <cellStyle name="Comma 2 5 5 22" xfId="49725" xr:uid="{00000000-0005-0000-0000-0000308A0000}"/>
    <cellStyle name="Comma 2 5 5 23" xfId="51408" xr:uid="{00000000-0005-0000-0000-0000318A0000}"/>
    <cellStyle name="Comma 2 5 5 24" xfId="53091" xr:uid="{00000000-0005-0000-0000-0000328A0000}"/>
    <cellStyle name="Comma 2 5 5 25" xfId="54774" xr:uid="{00000000-0005-0000-0000-0000338A0000}"/>
    <cellStyle name="Comma 2 5 5 26" xfId="56457" xr:uid="{00000000-0005-0000-0000-0000348A0000}"/>
    <cellStyle name="Comma 2 5 5 27" xfId="58140" xr:uid="{00000000-0005-0000-0000-0000358A0000}"/>
    <cellStyle name="Comma 2 5 5 28" xfId="59823" xr:uid="{00000000-0005-0000-0000-0000368A0000}"/>
    <cellStyle name="Comma 2 5 5 29" xfId="61506" xr:uid="{00000000-0005-0000-0000-0000378A0000}"/>
    <cellStyle name="Comma 2 5 5 3" xfId="4281" xr:uid="{00000000-0005-0000-0000-0000388A0000}"/>
    <cellStyle name="Comma 2 5 5 3 2" xfId="19430" xr:uid="{00000000-0005-0000-0000-0000398A0000}"/>
    <cellStyle name="Comma 2 5 5 30" xfId="63189" xr:uid="{00000000-0005-0000-0000-00003A8A0000}"/>
    <cellStyle name="Comma 2 5 5 4" xfId="5964" xr:uid="{00000000-0005-0000-0000-00003B8A0000}"/>
    <cellStyle name="Comma 2 5 5 4 2" xfId="21113" xr:uid="{00000000-0005-0000-0000-00003C8A0000}"/>
    <cellStyle name="Comma 2 5 5 5" xfId="7647" xr:uid="{00000000-0005-0000-0000-00003D8A0000}"/>
    <cellStyle name="Comma 2 5 5 5 2" xfId="22796" xr:uid="{00000000-0005-0000-0000-00003E8A0000}"/>
    <cellStyle name="Comma 2 5 5 6" xfId="9330" xr:uid="{00000000-0005-0000-0000-00003F8A0000}"/>
    <cellStyle name="Comma 2 5 5 6 2" xfId="24479" xr:uid="{00000000-0005-0000-0000-0000408A0000}"/>
    <cellStyle name="Comma 2 5 5 7" xfId="11013" xr:uid="{00000000-0005-0000-0000-0000418A0000}"/>
    <cellStyle name="Comma 2 5 5 7 2" xfId="26162" xr:uid="{00000000-0005-0000-0000-0000428A0000}"/>
    <cellStyle name="Comma 2 5 5 8" xfId="12697" xr:uid="{00000000-0005-0000-0000-0000438A0000}"/>
    <cellStyle name="Comma 2 5 5 8 2" xfId="27846" xr:uid="{00000000-0005-0000-0000-0000448A0000}"/>
    <cellStyle name="Comma 2 5 5 9" xfId="14380" xr:uid="{00000000-0005-0000-0000-0000458A0000}"/>
    <cellStyle name="Comma 2 5 5 9 2" xfId="29529" xr:uid="{00000000-0005-0000-0000-0000468A0000}"/>
    <cellStyle name="Comma 2 5 6" xfId="1335" xr:uid="{00000000-0005-0000-0000-0000478A0000}"/>
    <cellStyle name="Comma 2 5 6 10" xfId="16484" xr:uid="{00000000-0005-0000-0000-0000488A0000}"/>
    <cellStyle name="Comma 2 5 6 11" xfId="31633" xr:uid="{00000000-0005-0000-0000-0000498A0000}"/>
    <cellStyle name="Comma 2 5 6 12" xfId="33316" xr:uid="{00000000-0005-0000-0000-00004A8A0000}"/>
    <cellStyle name="Comma 2 5 6 13" xfId="34999" xr:uid="{00000000-0005-0000-0000-00004B8A0000}"/>
    <cellStyle name="Comma 2 5 6 14" xfId="36682" xr:uid="{00000000-0005-0000-0000-00004C8A0000}"/>
    <cellStyle name="Comma 2 5 6 15" xfId="38365" xr:uid="{00000000-0005-0000-0000-00004D8A0000}"/>
    <cellStyle name="Comma 2 5 6 16" xfId="40048" xr:uid="{00000000-0005-0000-0000-00004E8A0000}"/>
    <cellStyle name="Comma 2 5 6 17" xfId="41731" xr:uid="{00000000-0005-0000-0000-00004F8A0000}"/>
    <cellStyle name="Comma 2 5 6 18" xfId="43414" xr:uid="{00000000-0005-0000-0000-0000508A0000}"/>
    <cellStyle name="Comma 2 5 6 19" xfId="45097" xr:uid="{00000000-0005-0000-0000-0000518A0000}"/>
    <cellStyle name="Comma 2 5 6 2" xfId="3018" xr:uid="{00000000-0005-0000-0000-0000528A0000}"/>
    <cellStyle name="Comma 2 5 6 2 2" xfId="18167" xr:uid="{00000000-0005-0000-0000-0000538A0000}"/>
    <cellStyle name="Comma 2 5 6 20" xfId="46780" xr:uid="{00000000-0005-0000-0000-0000548A0000}"/>
    <cellStyle name="Comma 2 5 6 21" xfId="48463" xr:uid="{00000000-0005-0000-0000-0000558A0000}"/>
    <cellStyle name="Comma 2 5 6 22" xfId="50146" xr:uid="{00000000-0005-0000-0000-0000568A0000}"/>
    <cellStyle name="Comma 2 5 6 23" xfId="51829" xr:uid="{00000000-0005-0000-0000-0000578A0000}"/>
    <cellStyle name="Comma 2 5 6 24" xfId="53512" xr:uid="{00000000-0005-0000-0000-0000588A0000}"/>
    <cellStyle name="Comma 2 5 6 25" xfId="55195" xr:uid="{00000000-0005-0000-0000-0000598A0000}"/>
    <cellStyle name="Comma 2 5 6 26" xfId="56878" xr:uid="{00000000-0005-0000-0000-00005A8A0000}"/>
    <cellStyle name="Comma 2 5 6 27" xfId="58561" xr:uid="{00000000-0005-0000-0000-00005B8A0000}"/>
    <cellStyle name="Comma 2 5 6 28" xfId="60244" xr:uid="{00000000-0005-0000-0000-00005C8A0000}"/>
    <cellStyle name="Comma 2 5 6 29" xfId="61927" xr:uid="{00000000-0005-0000-0000-00005D8A0000}"/>
    <cellStyle name="Comma 2 5 6 3" xfId="4702" xr:uid="{00000000-0005-0000-0000-00005E8A0000}"/>
    <cellStyle name="Comma 2 5 6 3 2" xfId="19851" xr:uid="{00000000-0005-0000-0000-00005F8A0000}"/>
    <cellStyle name="Comma 2 5 6 30" xfId="63610" xr:uid="{00000000-0005-0000-0000-0000608A0000}"/>
    <cellStyle name="Comma 2 5 6 4" xfId="6385" xr:uid="{00000000-0005-0000-0000-0000618A0000}"/>
    <cellStyle name="Comma 2 5 6 4 2" xfId="21534" xr:uid="{00000000-0005-0000-0000-0000628A0000}"/>
    <cellStyle name="Comma 2 5 6 5" xfId="8068" xr:uid="{00000000-0005-0000-0000-0000638A0000}"/>
    <cellStyle name="Comma 2 5 6 5 2" xfId="23217" xr:uid="{00000000-0005-0000-0000-0000648A0000}"/>
    <cellStyle name="Comma 2 5 6 6" xfId="9751" xr:uid="{00000000-0005-0000-0000-0000658A0000}"/>
    <cellStyle name="Comma 2 5 6 6 2" xfId="24900" xr:uid="{00000000-0005-0000-0000-0000668A0000}"/>
    <cellStyle name="Comma 2 5 6 7" xfId="11434" xr:uid="{00000000-0005-0000-0000-0000678A0000}"/>
    <cellStyle name="Comma 2 5 6 7 2" xfId="26583" xr:uid="{00000000-0005-0000-0000-0000688A0000}"/>
    <cellStyle name="Comma 2 5 6 8" xfId="13118" xr:uid="{00000000-0005-0000-0000-0000698A0000}"/>
    <cellStyle name="Comma 2 5 6 8 2" xfId="28267" xr:uid="{00000000-0005-0000-0000-00006A8A0000}"/>
    <cellStyle name="Comma 2 5 6 9" xfId="14801" xr:uid="{00000000-0005-0000-0000-00006B8A0000}"/>
    <cellStyle name="Comma 2 5 6 9 2" xfId="29950" xr:uid="{00000000-0005-0000-0000-00006C8A0000}"/>
    <cellStyle name="Comma 2 5 7" xfId="1756" xr:uid="{00000000-0005-0000-0000-00006D8A0000}"/>
    <cellStyle name="Comma 2 5 7 2" xfId="16905" xr:uid="{00000000-0005-0000-0000-00006E8A0000}"/>
    <cellStyle name="Comma 2 5 8" xfId="3440" xr:uid="{00000000-0005-0000-0000-00006F8A0000}"/>
    <cellStyle name="Comma 2 5 8 2" xfId="18589" xr:uid="{00000000-0005-0000-0000-0000708A0000}"/>
    <cellStyle name="Comma 2 5 9" xfId="5123" xr:uid="{00000000-0005-0000-0000-0000718A0000}"/>
    <cellStyle name="Comma 2 5 9 2" xfId="20272" xr:uid="{00000000-0005-0000-0000-0000728A0000}"/>
    <cellStyle name="Comma 2 6" xfId="138" xr:uid="{00000000-0005-0000-0000-0000738A0000}"/>
    <cellStyle name="Comma 2 6 10" xfId="8554" xr:uid="{00000000-0005-0000-0000-0000748A0000}"/>
    <cellStyle name="Comma 2 6 10 2" xfId="23703" xr:uid="{00000000-0005-0000-0000-0000758A0000}"/>
    <cellStyle name="Comma 2 6 11" xfId="10237" xr:uid="{00000000-0005-0000-0000-0000768A0000}"/>
    <cellStyle name="Comma 2 6 11 2" xfId="25386" xr:uid="{00000000-0005-0000-0000-0000778A0000}"/>
    <cellStyle name="Comma 2 6 12" xfId="11921" xr:uid="{00000000-0005-0000-0000-0000788A0000}"/>
    <cellStyle name="Comma 2 6 12 2" xfId="27070" xr:uid="{00000000-0005-0000-0000-0000798A0000}"/>
    <cellStyle name="Comma 2 6 13" xfId="13604" xr:uid="{00000000-0005-0000-0000-00007A8A0000}"/>
    <cellStyle name="Comma 2 6 13 2" xfId="28753" xr:uid="{00000000-0005-0000-0000-00007B8A0000}"/>
    <cellStyle name="Comma 2 6 14" xfId="15287" xr:uid="{00000000-0005-0000-0000-00007C8A0000}"/>
    <cellStyle name="Comma 2 6 15" xfId="30436" xr:uid="{00000000-0005-0000-0000-00007D8A0000}"/>
    <cellStyle name="Comma 2 6 16" xfId="32119" xr:uid="{00000000-0005-0000-0000-00007E8A0000}"/>
    <cellStyle name="Comma 2 6 17" xfId="33802" xr:uid="{00000000-0005-0000-0000-00007F8A0000}"/>
    <cellStyle name="Comma 2 6 18" xfId="35485" xr:uid="{00000000-0005-0000-0000-0000808A0000}"/>
    <cellStyle name="Comma 2 6 19" xfId="37168" xr:uid="{00000000-0005-0000-0000-0000818A0000}"/>
    <cellStyle name="Comma 2 6 2" xfId="348" xr:uid="{00000000-0005-0000-0000-0000828A0000}"/>
    <cellStyle name="Comma 2 6 2 10" xfId="10447" xr:uid="{00000000-0005-0000-0000-0000838A0000}"/>
    <cellStyle name="Comma 2 6 2 10 2" xfId="25596" xr:uid="{00000000-0005-0000-0000-0000848A0000}"/>
    <cellStyle name="Comma 2 6 2 11" xfId="12131" xr:uid="{00000000-0005-0000-0000-0000858A0000}"/>
    <cellStyle name="Comma 2 6 2 11 2" xfId="27280" xr:uid="{00000000-0005-0000-0000-0000868A0000}"/>
    <cellStyle name="Comma 2 6 2 12" xfId="13814" xr:uid="{00000000-0005-0000-0000-0000878A0000}"/>
    <cellStyle name="Comma 2 6 2 12 2" xfId="28963" xr:uid="{00000000-0005-0000-0000-0000888A0000}"/>
    <cellStyle name="Comma 2 6 2 13" xfId="15497" xr:uid="{00000000-0005-0000-0000-0000898A0000}"/>
    <cellStyle name="Comma 2 6 2 14" xfId="30646" xr:uid="{00000000-0005-0000-0000-00008A8A0000}"/>
    <cellStyle name="Comma 2 6 2 15" xfId="32329" xr:uid="{00000000-0005-0000-0000-00008B8A0000}"/>
    <cellStyle name="Comma 2 6 2 16" xfId="34012" xr:uid="{00000000-0005-0000-0000-00008C8A0000}"/>
    <cellStyle name="Comma 2 6 2 17" xfId="35695" xr:uid="{00000000-0005-0000-0000-00008D8A0000}"/>
    <cellStyle name="Comma 2 6 2 18" xfId="37378" xr:uid="{00000000-0005-0000-0000-00008E8A0000}"/>
    <cellStyle name="Comma 2 6 2 19" xfId="39061" xr:uid="{00000000-0005-0000-0000-00008F8A0000}"/>
    <cellStyle name="Comma 2 6 2 2" xfId="768" xr:uid="{00000000-0005-0000-0000-0000908A0000}"/>
    <cellStyle name="Comma 2 6 2 2 10" xfId="15917" xr:uid="{00000000-0005-0000-0000-0000918A0000}"/>
    <cellStyle name="Comma 2 6 2 2 11" xfId="31066" xr:uid="{00000000-0005-0000-0000-0000928A0000}"/>
    <cellStyle name="Comma 2 6 2 2 12" xfId="32749" xr:uid="{00000000-0005-0000-0000-0000938A0000}"/>
    <cellStyle name="Comma 2 6 2 2 13" xfId="34432" xr:uid="{00000000-0005-0000-0000-0000948A0000}"/>
    <cellStyle name="Comma 2 6 2 2 14" xfId="36115" xr:uid="{00000000-0005-0000-0000-0000958A0000}"/>
    <cellStyle name="Comma 2 6 2 2 15" xfId="37798" xr:uid="{00000000-0005-0000-0000-0000968A0000}"/>
    <cellStyle name="Comma 2 6 2 2 16" xfId="39481" xr:uid="{00000000-0005-0000-0000-0000978A0000}"/>
    <cellStyle name="Comma 2 6 2 2 17" xfId="41164" xr:uid="{00000000-0005-0000-0000-0000988A0000}"/>
    <cellStyle name="Comma 2 6 2 2 18" xfId="42847" xr:uid="{00000000-0005-0000-0000-0000998A0000}"/>
    <cellStyle name="Comma 2 6 2 2 19" xfId="44530" xr:uid="{00000000-0005-0000-0000-00009A8A0000}"/>
    <cellStyle name="Comma 2 6 2 2 2" xfId="2451" xr:uid="{00000000-0005-0000-0000-00009B8A0000}"/>
    <cellStyle name="Comma 2 6 2 2 2 2" xfId="17600" xr:uid="{00000000-0005-0000-0000-00009C8A0000}"/>
    <cellStyle name="Comma 2 6 2 2 20" xfId="46213" xr:uid="{00000000-0005-0000-0000-00009D8A0000}"/>
    <cellStyle name="Comma 2 6 2 2 21" xfId="47896" xr:uid="{00000000-0005-0000-0000-00009E8A0000}"/>
    <cellStyle name="Comma 2 6 2 2 22" xfId="49579" xr:uid="{00000000-0005-0000-0000-00009F8A0000}"/>
    <cellStyle name="Comma 2 6 2 2 23" xfId="51262" xr:uid="{00000000-0005-0000-0000-0000A08A0000}"/>
    <cellStyle name="Comma 2 6 2 2 24" xfId="52945" xr:uid="{00000000-0005-0000-0000-0000A18A0000}"/>
    <cellStyle name="Comma 2 6 2 2 25" xfId="54628" xr:uid="{00000000-0005-0000-0000-0000A28A0000}"/>
    <cellStyle name="Comma 2 6 2 2 26" xfId="56311" xr:uid="{00000000-0005-0000-0000-0000A38A0000}"/>
    <cellStyle name="Comma 2 6 2 2 27" xfId="57994" xr:uid="{00000000-0005-0000-0000-0000A48A0000}"/>
    <cellStyle name="Comma 2 6 2 2 28" xfId="59677" xr:uid="{00000000-0005-0000-0000-0000A58A0000}"/>
    <cellStyle name="Comma 2 6 2 2 29" xfId="61360" xr:uid="{00000000-0005-0000-0000-0000A68A0000}"/>
    <cellStyle name="Comma 2 6 2 2 3" xfId="4135" xr:uid="{00000000-0005-0000-0000-0000A78A0000}"/>
    <cellStyle name="Comma 2 6 2 2 3 2" xfId="19284" xr:uid="{00000000-0005-0000-0000-0000A88A0000}"/>
    <cellStyle name="Comma 2 6 2 2 30" xfId="63043" xr:uid="{00000000-0005-0000-0000-0000A98A0000}"/>
    <cellStyle name="Comma 2 6 2 2 4" xfId="5818" xr:uid="{00000000-0005-0000-0000-0000AA8A0000}"/>
    <cellStyle name="Comma 2 6 2 2 4 2" xfId="20967" xr:uid="{00000000-0005-0000-0000-0000AB8A0000}"/>
    <cellStyle name="Comma 2 6 2 2 5" xfId="7501" xr:uid="{00000000-0005-0000-0000-0000AC8A0000}"/>
    <cellStyle name="Comma 2 6 2 2 5 2" xfId="22650" xr:uid="{00000000-0005-0000-0000-0000AD8A0000}"/>
    <cellStyle name="Comma 2 6 2 2 6" xfId="9184" xr:uid="{00000000-0005-0000-0000-0000AE8A0000}"/>
    <cellStyle name="Comma 2 6 2 2 6 2" xfId="24333" xr:uid="{00000000-0005-0000-0000-0000AF8A0000}"/>
    <cellStyle name="Comma 2 6 2 2 7" xfId="10867" xr:uid="{00000000-0005-0000-0000-0000B08A0000}"/>
    <cellStyle name="Comma 2 6 2 2 7 2" xfId="26016" xr:uid="{00000000-0005-0000-0000-0000B18A0000}"/>
    <cellStyle name="Comma 2 6 2 2 8" xfId="12551" xr:uid="{00000000-0005-0000-0000-0000B28A0000}"/>
    <cellStyle name="Comma 2 6 2 2 8 2" xfId="27700" xr:uid="{00000000-0005-0000-0000-0000B38A0000}"/>
    <cellStyle name="Comma 2 6 2 2 9" xfId="14234" xr:uid="{00000000-0005-0000-0000-0000B48A0000}"/>
    <cellStyle name="Comma 2 6 2 2 9 2" xfId="29383" xr:uid="{00000000-0005-0000-0000-0000B58A0000}"/>
    <cellStyle name="Comma 2 6 2 20" xfId="40744" xr:uid="{00000000-0005-0000-0000-0000B68A0000}"/>
    <cellStyle name="Comma 2 6 2 21" xfId="42427" xr:uid="{00000000-0005-0000-0000-0000B78A0000}"/>
    <cellStyle name="Comma 2 6 2 22" xfId="44110" xr:uid="{00000000-0005-0000-0000-0000B88A0000}"/>
    <cellStyle name="Comma 2 6 2 23" xfId="45793" xr:uid="{00000000-0005-0000-0000-0000B98A0000}"/>
    <cellStyle name="Comma 2 6 2 24" xfId="47476" xr:uid="{00000000-0005-0000-0000-0000BA8A0000}"/>
    <cellStyle name="Comma 2 6 2 25" xfId="49159" xr:uid="{00000000-0005-0000-0000-0000BB8A0000}"/>
    <cellStyle name="Comma 2 6 2 26" xfId="50842" xr:uid="{00000000-0005-0000-0000-0000BC8A0000}"/>
    <cellStyle name="Comma 2 6 2 27" xfId="52525" xr:uid="{00000000-0005-0000-0000-0000BD8A0000}"/>
    <cellStyle name="Comma 2 6 2 28" xfId="54208" xr:uid="{00000000-0005-0000-0000-0000BE8A0000}"/>
    <cellStyle name="Comma 2 6 2 29" xfId="55891" xr:uid="{00000000-0005-0000-0000-0000BF8A0000}"/>
    <cellStyle name="Comma 2 6 2 3" xfId="1189" xr:uid="{00000000-0005-0000-0000-0000C08A0000}"/>
    <cellStyle name="Comma 2 6 2 3 10" xfId="16338" xr:uid="{00000000-0005-0000-0000-0000C18A0000}"/>
    <cellStyle name="Comma 2 6 2 3 11" xfId="31487" xr:uid="{00000000-0005-0000-0000-0000C28A0000}"/>
    <cellStyle name="Comma 2 6 2 3 12" xfId="33170" xr:uid="{00000000-0005-0000-0000-0000C38A0000}"/>
    <cellStyle name="Comma 2 6 2 3 13" xfId="34853" xr:uid="{00000000-0005-0000-0000-0000C48A0000}"/>
    <cellStyle name="Comma 2 6 2 3 14" xfId="36536" xr:uid="{00000000-0005-0000-0000-0000C58A0000}"/>
    <cellStyle name="Comma 2 6 2 3 15" xfId="38219" xr:uid="{00000000-0005-0000-0000-0000C68A0000}"/>
    <cellStyle name="Comma 2 6 2 3 16" xfId="39902" xr:uid="{00000000-0005-0000-0000-0000C78A0000}"/>
    <cellStyle name="Comma 2 6 2 3 17" xfId="41585" xr:uid="{00000000-0005-0000-0000-0000C88A0000}"/>
    <cellStyle name="Comma 2 6 2 3 18" xfId="43268" xr:uid="{00000000-0005-0000-0000-0000C98A0000}"/>
    <cellStyle name="Comma 2 6 2 3 19" xfId="44951" xr:uid="{00000000-0005-0000-0000-0000CA8A0000}"/>
    <cellStyle name="Comma 2 6 2 3 2" xfId="2872" xr:uid="{00000000-0005-0000-0000-0000CB8A0000}"/>
    <cellStyle name="Comma 2 6 2 3 2 2" xfId="18021" xr:uid="{00000000-0005-0000-0000-0000CC8A0000}"/>
    <cellStyle name="Comma 2 6 2 3 20" xfId="46634" xr:uid="{00000000-0005-0000-0000-0000CD8A0000}"/>
    <cellStyle name="Comma 2 6 2 3 21" xfId="48317" xr:uid="{00000000-0005-0000-0000-0000CE8A0000}"/>
    <cellStyle name="Comma 2 6 2 3 22" xfId="50000" xr:uid="{00000000-0005-0000-0000-0000CF8A0000}"/>
    <cellStyle name="Comma 2 6 2 3 23" xfId="51683" xr:uid="{00000000-0005-0000-0000-0000D08A0000}"/>
    <cellStyle name="Comma 2 6 2 3 24" xfId="53366" xr:uid="{00000000-0005-0000-0000-0000D18A0000}"/>
    <cellStyle name="Comma 2 6 2 3 25" xfId="55049" xr:uid="{00000000-0005-0000-0000-0000D28A0000}"/>
    <cellStyle name="Comma 2 6 2 3 26" xfId="56732" xr:uid="{00000000-0005-0000-0000-0000D38A0000}"/>
    <cellStyle name="Comma 2 6 2 3 27" xfId="58415" xr:uid="{00000000-0005-0000-0000-0000D48A0000}"/>
    <cellStyle name="Comma 2 6 2 3 28" xfId="60098" xr:uid="{00000000-0005-0000-0000-0000D58A0000}"/>
    <cellStyle name="Comma 2 6 2 3 29" xfId="61781" xr:uid="{00000000-0005-0000-0000-0000D68A0000}"/>
    <cellStyle name="Comma 2 6 2 3 3" xfId="4556" xr:uid="{00000000-0005-0000-0000-0000D78A0000}"/>
    <cellStyle name="Comma 2 6 2 3 3 2" xfId="19705" xr:uid="{00000000-0005-0000-0000-0000D88A0000}"/>
    <cellStyle name="Comma 2 6 2 3 30" xfId="63464" xr:uid="{00000000-0005-0000-0000-0000D98A0000}"/>
    <cellStyle name="Comma 2 6 2 3 4" xfId="6239" xr:uid="{00000000-0005-0000-0000-0000DA8A0000}"/>
    <cellStyle name="Comma 2 6 2 3 4 2" xfId="21388" xr:uid="{00000000-0005-0000-0000-0000DB8A0000}"/>
    <cellStyle name="Comma 2 6 2 3 5" xfId="7922" xr:uid="{00000000-0005-0000-0000-0000DC8A0000}"/>
    <cellStyle name="Comma 2 6 2 3 5 2" xfId="23071" xr:uid="{00000000-0005-0000-0000-0000DD8A0000}"/>
    <cellStyle name="Comma 2 6 2 3 6" xfId="9605" xr:uid="{00000000-0005-0000-0000-0000DE8A0000}"/>
    <cellStyle name="Comma 2 6 2 3 6 2" xfId="24754" xr:uid="{00000000-0005-0000-0000-0000DF8A0000}"/>
    <cellStyle name="Comma 2 6 2 3 7" xfId="11288" xr:uid="{00000000-0005-0000-0000-0000E08A0000}"/>
    <cellStyle name="Comma 2 6 2 3 7 2" xfId="26437" xr:uid="{00000000-0005-0000-0000-0000E18A0000}"/>
    <cellStyle name="Comma 2 6 2 3 8" xfId="12972" xr:uid="{00000000-0005-0000-0000-0000E28A0000}"/>
    <cellStyle name="Comma 2 6 2 3 8 2" xfId="28121" xr:uid="{00000000-0005-0000-0000-0000E38A0000}"/>
    <cellStyle name="Comma 2 6 2 3 9" xfId="14655" xr:uid="{00000000-0005-0000-0000-0000E48A0000}"/>
    <cellStyle name="Comma 2 6 2 3 9 2" xfId="29804" xr:uid="{00000000-0005-0000-0000-0000E58A0000}"/>
    <cellStyle name="Comma 2 6 2 30" xfId="57574" xr:uid="{00000000-0005-0000-0000-0000E68A0000}"/>
    <cellStyle name="Comma 2 6 2 31" xfId="59257" xr:uid="{00000000-0005-0000-0000-0000E78A0000}"/>
    <cellStyle name="Comma 2 6 2 32" xfId="60940" xr:uid="{00000000-0005-0000-0000-0000E88A0000}"/>
    <cellStyle name="Comma 2 6 2 33" xfId="62623" xr:uid="{00000000-0005-0000-0000-0000E98A0000}"/>
    <cellStyle name="Comma 2 6 2 4" xfId="1610" xr:uid="{00000000-0005-0000-0000-0000EA8A0000}"/>
    <cellStyle name="Comma 2 6 2 4 10" xfId="16759" xr:uid="{00000000-0005-0000-0000-0000EB8A0000}"/>
    <cellStyle name="Comma 2 6 2 4 11" xfId="31908" xr:uid="{00000000-0005-0000-0000-0000EC8A0000}"/>
    <cellStyle name="Comma 2 6 2 4 12" xfId="33591" xr:uid="{00000000-0005-0000-0000-0000ED8A0000}"/>
    <cellStyle name="Comma 2 6 2 4 13" xfId="35274" xr:uid="{00000000-0005-0000-0000-0000EE8A0000}"/>
    <cellStyle name="Comma 2 6 2 4 14" xfId="36957" xr:uid="{00000000-0005-0000-0000-0000EF8A0000}"/>
    <cellStyle name="Comma 2 6 2 4 15" xfId="38640" xr:uid="{00000000-0005-0000-0000-0000F08A0000}"/>
    <cellStyle name="Comma 2 6 2 4 16" xfId="40323" xr:uid="{00000000-0005-0000-0000-0000F18A0000}"/>
    <cellStyle name="Comma 2 6 2 4 17" xfId="42006" xr:uid="{00000000-0005-0000-0000-0000F28A0000}"/>
    <cellStyle name="Comma 2 6 2 4 18" xfId="43689" xr:uid="{00000000-0005-0000-0000-0000F38A0000}"/>
    <cellStyle name="Comma 2 6 2 4 19" xfId="45372" xr:uid="{00000000-0005-0000-0000-0000F48A0000}"/>
    <cellStyle name="Comma 2 6 2 4 2" xfId="3293" xr:uid="{00000000-0005-0000-0000-0000F58A0000}"/>
    <cellStyle name="Comma 2 6 2 4 2 2" xfId="18442" xr:uid="{00000000-0005-0000-0000-0000F68A0000}"/>
    <cellStyle name="Comma 2 6 2 4 20" xfId="47055" xr:uid="{00000000-0005-0000-0000-0000F78A0000}"/>
    <cellStyle name="Comma 2 6 2 4 21" xfId="48738" xr:uid="{00000000-0005-0000-0000-0000F88A0000}"/>
    <cellStyle name="Comma 2 6 2 4 22" xfId="50421" xr:uid="{00000000-0005-0000-0000-0000F98A0000}"/>
    <cellStyle name="Comma 2 6 2 4 23" xfId="52104" xr:uid="{00000000-0005-0000-0000-0000FA8A0000}"/>
    <cellStyle name="Comma 2 6 2 4 24" xfId="53787" xr:uid="{00000000-0005-0000-0000-0000FB8A0000}"/>
    <cellStyle name="Comma 2 6 2 4 25" xfId="55470" xr:uid="{00000000-0005-0000-0000-0000FC8A0000}"/>
    <cellStyle name="Comma 2 6 2 4 26" xfId="57153" xr:uid="{00000000-0005-0000-0000-0000FD8A0000}"/>
    <cellStyle name="Comma 2 6 2 4 27" xfId="58836" xr:uid="{00000000-0005-0000-0000-0000FE8A0000}"/>
    <cellStyle name="Comma 2 6 2 4 28" xfId="60519" xr:uid="{00000000-0005-0000-0000-0000FF8A0000}"/>
    <cellStyle name="Comma 2 6 2 4 29" xfId="62202" xr:uid="{00000000-0005-0000-0000-0000008B0000}"/>
    <cellStyle name="Comma 2 6 2 4 3" xfId="4977" xr:uid="{00000000-0005-0000-0000-0000018B0000}"/>
    <cellStyle name="Comma 2 6 2 4 3 2" xfId="20126" xr:uid="{00000000-0005-0000-0000-0000028B0000}"/>
    <cellStyle name="Comma 2 6 2 4 30" xfId="63885" xr:uid="{00000000-0005-0000-0000-0000038B0000}"/>
    <cellStyle name="Comma 2 6 2 4 4" xfId="6660" xr:uid="{00000000-0005-0000-0000-0000048B0000}"/>
    <cellStyle name="Comma 2 6 2 4 4 2" xfId="21809" xr:uid="{00000000-0005-0000-0000-0000058B0000}"/>
    <cellStyle name="Comma 2 6 2 4 5" xfId="8343" xr:uid="{00000000-0005-0000-0000-0000068B0000}"/>
    <cellStyle name="Comma 2 6 2 4 5 2" xfId="23492" xr:uid="{00000000-0005-0000-0000-0000078B0000}"/>
    <cellStyle name="Comma 2 6 2 4 6" xfId="10026" xr:uid="{00000000-0005-0000-0000-0000088B0000}"/>
    <cellStyle name="Comma 2 6 2 4 6 2" xfId="25175" xr:uid="{00000000-0005-0000-0000-0000098B0000}"/>
    <cellStyle name="Comma 2 6 2 4 7" xfId="11709" xr:uid="{00000000-0005-0000-0000-00000A8B0000}"/>
    <cellStyle name="Comma 2 6 2 4 7 2" xfId="26858" xr:uid="{00000000-0005-0000-0000-00000B8B0000}"/>
    <cellStyle name="Comma 2 6 2 4 8" xfId="13393" xr:uid="{00000000-0005-0000-0000-00000C8B0000}"/>
    <cellStyle name="Comma 2 6 2 4 8 2" xfId="28542" xr:uid="{00000000-0005-0000-0000-00000D8B0000}"/>
    <cellStyle name="Comma 2 6 2 4 9" xfId="15076" xr:uid="{00000000-0005-0000-0000-00000E8B0000}"/>
    <cellStyle name="Comma 2 6 2 4 9 2" xfId="30225" xr:uid="{00000000-0005-0000-0000-00000F8B0000}"/>
    <cellStyle name="Comma 2 6 2 5" xfId="2031" xr:uid="{00000000-0005-0000-0000-0000108B0000}"/>
    <cellStyle name="Comma 2 6 2 5 2" xfId="17180" xr:uid="{00000000-0005-0000-0000-0000118B0000}"/>
    <cellStyle name="Comma 2 6 2 6" xfId="3715" xr:uid="{00000000-0005-0000-0000-0000128B0000}"/>
    <cellStyle name="Comma 2 6 2 6 2" xfId="18864" xr:uid="{00000000-0005-0000-0000-0000138B0000}"/>
    <cellStyle name="Comma 2 6 2 7" xfId="5398" xr:uid="{00000000-0005-0000-0000-0000148B0000}"/>
    <cellStyle name="Comma 2 6 2 7 2" xfId="20547" xr:uid="{00000000-0005-0000-0000-0000158B0000}"/>
    <cellStyle name="Comma 2 6 2 8" xfId="7081" xr:uid="{00000000-0005-0000-0000-0000168B0000}"/>
    <cellStyle name="Comma 2 6 2 8 2" xfId="22230" xr:uid="{00000000-0005-0000-0000-0000178B0000}"/>
    <cellStyle name="Comma 2 6 2 9" xfId="8764" xr:uid="{00000000-0005-0000-0000-0000188B0000}"/>
    <cellStyle name="Comma 2 6 2 9 2" xfId="23913" xr:uid="{00000000-0005-0000-0000-0000198B0000}"/>
    <cellStyle name="Comma 2 6 20" xfId="38851" xr:uid="{00000000-0005-0000-0000-00001A8B0000}"/>
    <cellStyle name="Comma 2 6 21" xfId="40534" xr:uid="{00000000-0005-0000-0000-00001B8B0000}"/>
    <cellStyle name="Comma 2 6 22" xfId="42217" xr:uid="{00000000-0005-0000-0000-00001C8B0000}"/>
    <cellStyle name="Comma 2 6 23" xfId="43900" xr:uid="{00000000-0005-0000-0000-00001D8B0000}"/>
    <cellStyle name="Comma 2 6 24" xfId="45583" xr:uid="{00000000-0005-0000-0000-00001E8B0000}"/>
    <cellStyle name="Comma 2 6 25" xfId="47266" xr:uid="{00000000-0005-0000-0000-00001F8B0000}"/>
    <cellStyle name="Comma 2 6 26" xfId="48949" xr:uid="{00000000-0005-0000-0000-0000208B0000}"/>
    <cellStyle name="Comma 2 6 27" xfId="50632" xr:uid="{00000000-0005-0000-0000-0000218B0000}"/>
    <cellStyle name="Comma 2 6 28" xfId="52315" xr:uid="{00000000-0005-0000-0000-0000228B0000}"/>
    <cellStyle name="Comma 2 6 29" xfId="53998" xr:uid="{00000000-0005-0000-0000-0000238B0000}"/>
    <cellStyle name="Comma 2 6 3" xfId="558" xr:uid="{00000000-0005-0000-0000-0000248B0000}"/>
    <cellStyle name="Comma 2 6 3 10" xfId="15707" xr:uid="{00000000-0005-0000-0000-0000258B0000}"/>
    <cellStyle name="Comma 2 6 3 11" xfId="30856" xr:uid="{00000000-0005-0000-0000-0000268B0000}"/>
    <cellStyle name="Comma 2 6 3 12" xfId="32539" xr:uid="{00000000-0005-0000-0000-0000278B0000}"/>
    <cellStyle name="Comma 2 6 3 13" xfId="34222" xr:uid="{00000000-0005-0000-0000-0000288B0000}"/>
    <cellStyle name="Comma 2 6 3 14" xfId="35905" xr:uid="{00000000-0005-0000-0000-0000298B0000}"/>
    <cellStyle name="Comma 2 6 3 15" xfId="37588" xr:uid="{00000000-0005-0000-0000-00002A8B0000}"/>
    <cellStyle name="Comma 2 6 3 16" xfId="39271" xr:uid="{00000000-0005-0000-0000-00002B8B0000}"/>
    <cellStyle name="Comma 2 6 3 17" xfId="40954" xr:uid="{00000000-0005-0000-0000-00002C8B0000}"/>
    <cellStyle name="Comma 2 6 3 18" xfId="42637" xr:uid="{00000000-0005-0000-0000-00002D8B0000}"/>
    <cellStyle name="Comma 2 6 3 19" xfId="44320" xr:uid="{00000000-0005-0000-0000-00002E8B0000}"/>
    <cellStyle name="Comma 2 6 3 2" xfId="2241" xr:uid="{00000000-0005-0000-0000-00002F8B0000}"/>
    <cellStyle name="Comma 2 6 3 2 2" xfId="17390" xr:uid="{00000000-0005-0000-0000-0000308B0000}"/>
    <cellStyle name="Comma 2 6 3 20" xfId="46003" xr:uid="{00000000-0005-0000-0000-0000318B0000}"/>
    <cellStyle name="Comma 2 6 3 21" xfId="47686" xr:uid="{00000000-0005-0000-0000-0000328B0000}"/>
    <cellStyle name="Comma 2 6 3 22" xfId="49369" xr:uid="{00000000-0005-0000-0000-0000338B0000}"/>
    <cellStyle name="Comma 2 6 3 23" xfId="51052" xr:uid="{00000000-0005-0000-0000-0000348B0000}"/>
    <cellStyle name="Comma 2 6 3 24" xfId="52735" xr:uid="{00000000-0005-0000-0000-0000358B0000}"/>
    <cellStyle name="Comma 2 6 3 25" xfId="54418" xr:uid="{00000000-0005-0000-0000-0000368B0000}"/>
    <cellStyle name="Comma 2 6 3 26" xfId="56101" xr:uid="{00000000-0005-0000-0000-0000378B0000}"/>
    <cellStyle name="Comma 2 6 3 27" xfId="57784" xr:uid="{00000000-0005-0000-0000-0000388B0000}"/>
    <cellStyle name="Comma 2 6 3 28" xfId="59467" xr:uid="{00000000-0005-0000-0000-0000398B0000}"/>
    <cellStyle name="Comma 2 6 3 29" xfId="61150" xr:uid="{00000000-0005-0000-0000-00003A8B0000}"/>
    <cellStyle name="Comma 2 6 3 3" xfId="3925" xr:uid="{00000000-0005-0000-0000-00003B8B0000}"/>
    <cellStyle name="Comma 2 6 3 3 2" xfId="19074" xr:uid="{00000000-0005-0000-0000-00003C8B0000}"/>
    <cellStyle name="Comma 2 6 3 30" xfId="62833" xr:uid="{00000000-0005-0000-0000-00003D8B0000}"/>
    <cellStyle name="Comma 2 6 3 4" xfId="5608" xr:uid="{00000000-0005-0000-0000-00003E8B0000}"/>
    <cellStyle name="Comma 2 6 3 4 2" xfId="20757" xr:uid="{00000000-0005-0000-0000-00003F8B0000}"/>
    <cellStyle name="Comma 2 6 3 5" xfId="7291" xr:uid="{00000000-0005-0000-0000-0000408B0000}"/>
    <cellStyle name="Comma 2 6 3 5 2" xfId="22440" xr:uid="{00000000-0005-0000-0000-0000418B0000}"/>
    <cellStyle name="Comma 2 6 3 6" xfId="8974" xr:uid="{00000000-0005-0000-0000-0000428B0000}"/>
    <cellStyle name="Comma 2 6 3 6 2" xfId="24123" xr:uid="{00000000-0005-0000-0000-0000438B0000}"/>
    <cellStyle name="Comma 2 6 3 7" xfId="10657" xr:uid="{00000000-0005-0000-0000-0000448B0000}"/>
    <cellStyle name="Comma 2 6 3 7 2" xfId="25806" xr:uid="{00000000-0005-0000-0000-0000458B0000}"/>
    <cellStyle name="Comma 2 6 3 8" xfId="12341" xr:uid="{00000000-0005-0000-0000-0000468B0000}"/>
    <cellStyle name="Comma 2 6 3 8 2" xfId="27490" xr:uid="{00000000-0005-0000-0000-0000478B0000}"/>
    <cellStyle name="Comma 2 6 3 9" xfId="14024" xr:uid="{00000000-0005-0000-0000-0000488B0000}"/>
    <cellStyle name="Comma 2 6 3 9 2" xfId="29173" xr:uid="{00000000-0005-0000-0000-0000498B0000}"/>
    <cellStyle name="Comma 2 6 30" xfId="55681" xr:uid="{00000000-0005-0000-0000-00004A8B0000}"/>
    <cellStyle name="Comma 2 6 31" xfId="57364" xr:uid="{00000000-0005-0000-0000-00004B8B0000}"/>
    <cellStyle name="Comma 2 6 32" xfId="59047" xr:uid="{00000000-0005-0000-0000-00004C8B0000}"/>
    <cellStyle name="Comma 2 6 33" xfId="60730" xr:uid="{00000000-0005-0000-0000-00004D8B0000}"/>
    <cellStyle name="Comma 2 6 34" xfId="62413" xr:uid="{00000000-0005-0000-0000-00004E8B0000}"/>
    <cellStyle name="Comma 2 6 4" xfId="979" xr:uid="{00000000-0005-0000-0000-00004F8B0000}"/>
    <cellStyle name="Comma 2 6 4 10" xfId="16128" xr:uid="{00000000-0005-0000-0000-0000508B0000}"/>
    <cellStyle name="Comma 2 6 4 11" xfId="31277" xr:uid="{00000000-0005-0000-0000-0000518B0000}"/>
    <cellStyle name="Comma 2 6 4 12" xfId="32960" xr:uid="{00000000-0005-0000-0000-0000528B0000}"/>
    <cellStyle name="Comma 2 6 4 13" xfId="34643" xr:uid="{00000000-0005-0000-0000-0000538B0000}"/>
    <cellStyle name="Comma 2 6 4 14" xfId="36326" xr:uid="{00000000-0005-0000-0000-0000548B0000}"/>
    <cellStyle name="Comma 2 6 4 15" xfId="38009" xr:uid="{00000000-0005-0000-0000-0000558B0000}"/>
    <cellStyle name="Comma 2 6 4 16" xfId="39692" xr:uid="{00000000-0005-0000-0000-0000568B0000}"/>
    <cellStyle name="Comma 2 6 4 17" xfId="41375" xr:uid="{00000000-0005-0000-0000-0000578B0000}"/>
    <cellStyle name="Comma 2 6 4 18" xfId="43058" xr:uid="{00000000-0005-0000-0000-0000588B0000}"/>
    <cellStyle name="Comma 2 6 4 19" xfId="44741" xr:uid="{00000000-0005-0000-0000-0000598B0000}"/>
    <cellStyle name="Comma 2 6 4 2" xfId="2662" xr:uid="{00000000-0005-0000-0000-00005A8B0000}"/>
    <cellStyle name="Comma 2 6 4 2 2" xfId="17811" xr:uid="{00000000-0005-0000-0000-00005B8B0000}"/>
    <cellStyle name="Comma 2 6 4 20" xfId="46424" xr:uid="{00000000-0005-0000-0000-00005C8B0000}"/>
    <cellStyle name="Comma 2 6 4 21" xfId="48107" xr:uid="{00000000-0005-0000-0000-00005D8B0000}"/>
    <cellStyle name="Comma 2 6 4 22" xfId="49790" xr:uid="{00000000-0005-0000-0000-00005E8B0000}"/>
    <cellStyle name="Comma 2 6 4 23" xfId="51473" xr:uid="{00000000-0005-0000-0000-00005F8B0000}"/>
    <cellStyle name="Comma 2 6 4 24" xfId="53156" xr:uid="{00000000-0005-0000-0000-0000608B0000}"/>
    <cellStyle name="Comma 2 6 4 25" xfId="54839" xr:uid="{00000000-0005-0000-0000-0000618B0000}"/>
    <cellStyle name="Comma 2 6 4 26" xfId="56522" xr:uid="{00000000-0005-0000-0000-0000628B0000}"/>
    <cellStyle name="Comma 2 6 4 27" xfId="58205" xr:uid="{00000000-0005-0000-0000-0000638B0000}"/>
    <cellStyle name="Comma 2 6 4 28" xfId="59888" xr:uid="{00000000-0005-0000-0000-0000648B0000}"/>
    <cellStyle name="Comma 2 6 4 29" xfId="61571" xr:uid="{00000000-0005-0000-0000-0000658B0000}"/>
    <cellStyle name="Comma 2 6 4 3" xfId="4346" xr:uid="{00000000-0005-0000-0000-0000668B0000}"/>
    <cellStyle name="Comma 2 6 4 3 2" xfId="19495" xr:uid="{00000000-0005-0000-0000-0000678B0000}"/>
    <cellStyle name="Comma 2 6 4 30" xfId="63254" xr:uid="{00000000-0005-0000-0000-0000688B0000}"/>
    <cellStyle name="Comma 2 6 4 4" xfId="6029" xr:uid="{00000000-0005-0000-0000-0000698B0000}"/>
    <cellStyle name="Comma 2 6 4 4 2" xfId="21178" xr:uid="{00000000-0005-0000-0000-00006A8B0000}"/>
    <cellStyle name="Comma 2 6 4 5" xfId="7712" xr:uid="{00000000-0005-0000-0000-00006B8B0000}"/>
    <cellStyle name="Comma 2 6 4 5 2" xfId="22861" xr:uid="{00000000-0005-0000-0000-00006C8B0000}"/>
    <cellStyle name="Comma 2 6 4 6" xfId="9395" xr:uid="{00000000-0005-0000-0000-00006D8B0000}"/>
    <cellStyle name="Comma 2 6 4 6 2" xfId="24544" xr:uid="{00000000-0005-0000-0000-00006E8B0000}"/>
    <cellStyle name="Comma 2 6 4 7" xfId="11078" xr:uid="{00000000-0005-0000-0000-00006F8B0000}"/>
    <cellStyle name="Comma 2 6 4 7 2" xfId="26227" xr:uid="{00000000-0005-0000-0000-0000708B0000}"/>
    <cellStyle name="Comma 2 6 4 8" xfId="12762" xr:uid="{00000000-0005-0000-0000-0000718B0000}"/>
    <cellStyle name="Comma 2 6 4 8 2" xfId="27911" xr:uid="{00000000-0005-0000-0000-0000728B0000}"/>
    <cellStyle name="Comma 2 6 4 9" xfId="14445" xr:uid="{00000000-0005-0000-0000-0000738B0000}"/>
    <cellStyle name="Comma 2 6 4 9 2" xfId="29594" xr:uid="{00000000-0005-0000-0000-0000748B0000}"/>
    <cellStyle name="Comma 2 6 5" xfId="1400" xr:uid="{00000000-0005-0000-0000-0000758B0000}"/>
    <cellStyle name="Comma 2 6 5 10" xfId="16549" xr:uid="{00000000-0005-0000-0000-0000768B0000}"/>
    <cellStyle name="Comma 2 6 5 11" xfId="31698" xr:uid="{00000000-0005-0000-0000-0000778B0000}"/>
    <cellStyle name="Comma 2 6 5 12" xfId="33381" xr:uid="{00000000-0005-0000-0000-0000788B0000}"/>
    <cellStyle name="Comma 2 6 5 13" xfId="35064" xr:uid="{00000000-0005-0000-0000-0000798B0000}"/>
    <cellStyle name="Comma 2 6 5 14" xfId="36747" xr:uid="{00000000-0005-0000-0000-00007A8B0000}"/>
    <cellStyle name="Comma 2 6 5 15" xfId="38430" xr:uid="{00000000-0005-0000-0000-00007B8B0000}"/>
    <cellStyle name="Comma 2 6 5 16" xfId="40113" xr:uid="{00000000-0005-0000-0000-00007C8B0000}"/>
    <cellStyle name="Comma 2 6 5 17" xfId="41796" xr:uid="{00000000-0005-0000-0000-00007D8B0000}"/>
    <cellStyle name="Comma 2 6 5 18" xfId="43479" xr:uid="{00000000-0005-0000-0000-00007E8B0000}"/>
    <cellStyle name="Comma 2 6 5 19" xfId="45162" xr:uid="{00000000-0005-0000-0000-00007F8B0000}"/>
    <cellStyle name="Comma 2 6 5 2" xfId="3083" xr:uid="{00000000-0005-0000-0000-0000808B0000}"/>
    <cellStyle name="Comma 2 6 5 2 2" xfId="18232" xr:uid="{00000000-0005-0000-0000-0000818B0000}"/>
    <cellStyle name="Comma 2 6 5 20" xfId="46845" xr:uid="{00000000-0005-0000-0000-0000828B0000}"/>
    <cellStyle name="Comma 2 6 5 21" xfId="48528" xr:uid="{00000000-0005-0000-0000-0000838B0000}"/>
    <cellStyle name="Comma 2 6 5 22" xfId="50211" xr:uid="{00000000-0005-0000-0000-0000848B0000}"/>
    <cellStyle name="Comma 2 6 5 23" xfId="51894" xr:uid="{00000000-0005-0000-0000-0000858B0000}"/>
    <cellStyle name="Comma 2 6 5 24" xfId="53577" xr:uid="{00000000-0005-0000-0000-0000868B0000}"/>
    <cellStyle name="Comma 2 6 5 25" xfId="55260" xr:uid="{00000000-0005-0000-0000-0000878B0000}"/>
    <cellStyle name="Comma 2 6 5 26" xfId="56943" xr:uid="{00000000-0005-0000-0000-0000888B0000}"/>
    <cellStyle name="Comma 2 6 5 27" xfId="58626" xr:uid="{00000000-0005-0000-0000-0000898B0000}"/>
    <cellStyle name="Comma 2 6 5 28" xfId="60309" xr:uid="{00000000-0005-0000-0000-00008A8B0000}"/>
    <cellStyle name="Comma 2 6 5 29" xfId="61992" xr:uid="{00000000-0005-0000-0000-00008B8B0000}"/>
    <cellStyle name="Comma 2 6 5 3" xfId="4767" xr:uid="{00000000-0005-0000-0000-00008C8B0000}"/>
    <cellStyle name="Comma 2 6 5 3 2" xfId="19916" xr:uid="{00000000-0005-0000-0000-00008D8B0000}"/>
    <cellStyle name="Comma 2 6 5 30" xfId="63675" xr:uid="{00000000-0005-0000-0000-00008E8B0000}"/>
    <cellStyle name="Comma 2 6 5 4" xfId="6450" xr:uid="{00000000-0005-0000-0000-00008F8B0000}"/>
    <cellStyle name="Comma 2 6 5 4 2" xfId="21599" xr:uid="{00000000-0005-0000-0000-0000908B0000}"/>
    <cellStyle name="Comma 2 6 5 5" xfId="8133" xr:uid="{00000000-0005-0000-0000-0000918B0000}"/>
    <cellStyle name="Comma 2 6 5 5 2" xfId="23282" xr:uid="{00000000-0005-0000-0000-0000928B0000}"/>
    <cellStyle name="Comma 2 6 5 6" xfId="9816" xr:uid="{00000000-0005-0000-0000-0000938B0000}"/>
    <cellStyle name="Comma 2 6 5 6 2" xfId="24965" xr:uid="{00000000-0005-0000-0000-0000948B0000}"/>
    <cellStyle name="Comma 2 6 5 7" xfId="11499" xr:uid="{00000000-0005-0000-0000-0000958B0000}"/>
    <cellStyle name="Comma 2 6 5 7 2" xfId="26648" xr:uid="{00000000-0005-0000-0000-0000968B0000}"/>
    <cellStyle name="Comma 2 6 5 8" xfId="13183" xr:uid="{00000000-0005-0000-0000-0000978B0000}"/>
    <cellStyle name="Comma 2 6 5 8 2" xfId="28332" xr:uid="{00000000-0005-0000-0000-0000988B0000}"/>
    <cellStyle name="Comma 2 6 5 9" xfId="14866" xr:uid="{00000000-0005-0000-0000-0000998B0000}"/>
    <cellStyle name="Comma 2 6 5 9 2" xfId="30015" xr:uid="{00000000-0005-0000-0000-00009A8B0000}"/>
    <cellStyle name="Comma 2 6 6" xfId="1821" xr:uid="{00000000-0005-0000-0000-00009B8B0000}"/>
    <cellStyle name="Comma 2 6 6 2" xfId="16970" xr:uid="{00000000-0005-0000-0000-00009C8B0000}"/>
    <cellStyle name="Comma 2 6 7" xfId="3505" xr:uid="{00000000-0005-0000-0000-00009D8B0000}"/>
    <cellStyle name="Comma 2 6 7 2" xfId="18654" xr:uid="{00000000-0005-0000-0000-00009E8B0000}"/>
    <cellStyle name="Comma 2 6 8" xfId="5188" xr:uid="{00000000-0005-0000-0000-00009F8B0000}"/>
    <cellStyle name="Comma 2 6 8 2" xfId="20337" xr:uid="{00000000-0005-0000-0000-0000A08B0000}"/>
    <cellStyle name="Comma 2 6 9" xfId="6871" xr:uid="{00000000-0005-0000-0000-0000A18B0000}"/>
    <cellStyle name="Comma 2 6 9 2" xfId="22020" xr:uid="{00000000-0005-0000-0000-0000A28B0000}"/>
    <cellStyle name="Comma 2 7" xfId="243" xr:uid="{00000000-0005-0000-0000-0000A38B0000}"/>
    <cellStyle name="Comma 2 7 10" xfId="10342" xr:uid="{00000000-0005-0000-0000-0000A48B0000}"/>
    <cellStyle name="Comma 2 7 10 2" xfId="25491" xr:uid="{00000000-0005-0000-0000-0000A58B0000}"/>
    <cellStyle name="Comma 2 7 11" xfId="12026" xr:uid="{00000000-0005-0000-0000-0000A68B0000}"/>
    <cellStyle name="Comma 2 7 11 2" xfId="27175" xr:uid="{00000000-0005-0000-0000-0000A78B0000}"/>
    <cellStyle name="Comma 2 7 12" xfId="13709" xr:uid="{00000000-0005-0000-0000-0000A88B0000}"/>
    <cellStyle name="Comma 2 7 12 2" xfId="28858" xr:uid="{00000000-0005-0000-0000-0000A98B0000}"/>
    <cellStyle name="Comma 2 7 13" xfId="15392" xr:uid="{00000000-0005-0000-0000-0000AA8B0000}"/>
    <cellStyle name="Comma 2 7 14" xfId="30541" xr:uid="{00000000-0005-0000-0000-0000AB8B0000}"/>
    <cellStyle name="Comma 2 7 15" xfId="32224" xr:uid="{00000000-0005-0000-0000-0000AC8B0000}"/>
    <cellStyle name="Comma 2 7 16" xfId="33907" xr:uid="{00000000-0005-0000-0000-0000AD8B0000}"/>
    <cellStyle name="Comma 2 7 17" xfId="35590" xr:uid="{00000000-0005-0000-0000-0000AE8B0000}"/>
    <cellStyle name="Comma 2 7 18" xfId="37273" xr:uid="{00000000-0005-0000-0000-0000AF8B0000}"/>
    <cellStyle name="Comma 2 7 19" xfId="38956" xr:uid="{00000000-0005-0000-0000-0000B08B0000}"/>
    <cellStyle name="Comma 2 7 2" xfId="663" xr:uid="{00000000-0005-0000-0000-0000B18B0000}"/>
    <cellStyle name="Comma 2 7 2 10" xfId="15812" xr:uid="{00000000-0005-0000-0000-0000B28B0000}"/>
    <cellStyle name="Comma 2 7 2 11" xfId="30961" xr:uid="{00000000-0005-0000-0000-0000B38B0000}"/>
    <cellStyle name="Comma 2 7 2 12" xfId="32644" xr:uid="{00000000-0005-0000-0000-0000B48B0000}"/>
    <cellStyle name="Comma 2 7 2 13" xfId="34327" xr:uid="{00000000-0005-0000-0000-0000B58B0000}"/>
    <cellStyle name="Comma 2 7 2 14" xfId="36010" xr:uid="{00000000-0005-0000-0000-0000B68B0000}"/>
    <cellStyle name="Comma 2 7 2 15" xfId="37693" xr:uid="{00000000-0005-0000-0000-0000B78B0000}"/>
    <cellStyle name="Comma 2 7 2 16" xfId="39376" xr:uid="{00000000-0005-0000-0000-0000B88B0000}"/>
    <cellStyle name="Comma 2 7 2 17" xfId="41059" xr:uid="{00000000-0005-0000-0000-0000B98B0000}"/>
    <cellStyle name="Comma 2 7 2 18" xfId="42742" xr:uid="{00000000-0005-0000-0000-0000BA8B0000}"/>
    <cellStyle name="Comma 2 7 2 19" xfId="44425" xr:uid="{00000000-0005-0000-0000-0000BB8B0000}"/>
    <cellStyle name="Comma 2 7 2 2" xfId="2346" xr:uid="{00000000-0005-0000-0000-0000BC8B0000}"/>
    <cellStyle name="Comma 2 7 2 2 2" xfId="17495" xr:uid="{00000000-0005-0000-0000-0000BD8B0000}"/>
    <cellStyle name="Comma 2 7 2 20" xfId="46108" xr:uid="{00000000-0005-0000-0000-0000BE8B0000}"/>
    <cellStyle name="Comma 2 7 2 21" xfId="47791" xr:uid="{00000000-0005-0000-0000-0000BF8B0000}"/>
    <cellStyle name="Comma 2 7 2 22" xfId="49474" xr:uid="{00000000-0005-0000-0000-0000C08B0000}"/>
    <cellStyle name="Comma 2 7 2 23" xfId="51157" xr:uid="{00000000-0005-0000-0000-0000C18B0000}"/>
    <cellStyle name="Comma 2 7 2 24" xfId="52840" xr:uid="{00000000-0005-0000-0000-0000C28B0000}"/>
    <cellStyle name="Comma 2 7 2 25" xfId="54523" xr:uid="{00000000-0005-0000-0000-0000C38B0000}"/>
    <cellStyle name="Comma 2 7 2 26" xfId="56206" xr:uid="{00000000-0005-0000-0000-0000C48B0000}"/>
    <cellStyle name="Comma 2 7 2 27" xfId="57889" xr:uid="{00000000-0005-0000-0000-0000C58B0000}"/>
    <cellStyle name="Comma 2 7 2 28" xfId="59572" xr:uid="{00000000-0005-0000-0000-0000C68B0000}"/>
    <cellStyle name="Comma 2 7 2 29" xfId="61255" xr:uid="{00000000-0005-0000-0000-0000C78B0000}"/>
    <cellStyle name="Comma 2 7 2 3" xfId="4030" xr:uid="{00000000-0005-0000-0000-0000C88B0000}"/>
    <cellStyle name="Comma 2 7 2 3 2" xfId="19179" xr:uid="{00000000-0005-0000-0000-0000C98B0000}"/>
    <cellStyle name="Comma 2 7 2 30" xfId="62938" xr:uid="{00000000-0005-0000-0000-0000CA8B0000}"/>
    <cellStyle name="Comma 2 7 2 4" xfId="5713" xr:uid="{00000000-0005-0000-0000-0000CB8B0000}"/>
    <cellStyle name="Comma 2 7 2 4 2" xfId="20862" xr:uid="{00000000-0005-0000-0000-0000CC8B0000}"/>
    <cellStyle name="Comma 2 7 2 5" xfId="7396" xr:uid="{00000000-0005-0000-0000-0000CD8B0000}"/>
    <cellStyle name="Comma 2 7 2 5 2" xfId="22545" xr:uid="{00000000-0005-0000-0000-0000CE8B0000}"/>
    <cellStyle name="Comma 2 7 2 6" xfId="9079" xr:uid="{00000000-0005-0000-0000-0000CF8B0000}"/>
    <cellStyle name="Comma 2 7 2 6 2" xfId="24228" xr:uid="{00000000-0005-0000-0000-0000D08B0000}"/>
    <cellStyle name="Comma 2 7 2 7" xfId="10762" xr:uid="{00000000-0005-0000-0000-0000D18B0000}"/>
    <cellStyle name="Comma 2 7 2 7 2" xfId="25911" xr:uid="{00000000-0005-0000-0000-0000D28B0000}"/>
    <cellStyle name="Comma 2 7 2 8" xfId="12446" xr:uid="{00000000-0005-0000-0000-0000D38B0000}"/>
    <cellStyle name="Comma 2 7 2 8 2" xfId="27595" xr:uid="{00000000-0005-0000-0000-0000D48B0000}"/>
    <cellStyle name="Comma 2 7 2 9" xfId="14129" xr:uid="{00000000-0005-0000-0000-0000D58B0000}"/>
    <cellStyle name="Comma 2 7 2 9 2" xfId="29278" xr:uid="{00000000-0005-0000-0000-0000D68B0000}"/>
    <cellStyle name="Comma 2 7 20" xfId="40639" xr:uid="{00000000-0005-0000-0000-0000D78B0000}"/>
    <cellStyle name="Comma 2 7 21" xfId="42322" xr:uid="{00000000-0005-0000-0000-0000D88B0000}"/>
    <cellStyle name="Comma 2 7 22" xfId="44005" xr:uid="{00000000-0005-0000-0000-0000D98B0000}"/>
    <cellStyle name="Comma 2 7 23" xfId="45688" xr:uid="{00000000-0005-0000-0000-0000DA8B0000}"/>
    <cellStyle name="Comma 2 7 24" xfId="47371" xr:uid="{00000000-0005-0000-0000-0000DB8B0000}"/>
    <cellStyle name="Comma 2 7 25" xfId="49054" xr:uid="{00000000-0005-0000-0000-0000DC8B0000}"/>
    <cellStyle name="Comma 2 7 26" xfId="50737" xr:uid="{00000000-0005-0000-0000-0000DD8B0000}"/>
    <cellStyle name="Comma 2 7 27" xfId="52420" xr:uid="{00000000-0005-0000-0000-0000DE8B0000}"/>
    <cellStyle name="Comma 2 7 28" xfId="54103" xr:uid="{00000000-0005-0000-0000-0000DF8B0000}"/>
    <cellStyle name="Comma 2 7 29" xfId="55786" xr:uid="{00000000-0005-0000-0000-0000E08B0000}"/>
    <cellStyle name="Comma 2 7 3" xfId="1084" xr:uid="{00000000-0005-0000-0000-0000E18B0000}"/>
    <cellStyle name="Comma 2 7 3 10" xfId="16233" xr:uid="{00000000-0005-0000-0000-0000E28B0000}"/>
    <cellStyle name="Comma 2 7 3 11" xfId="31382" xr:uid="{00000000-0005-0000-0000-0000E38B0000}"/>
    <cellStyle name="Comma 2 7 3 12" xfId="33065" xr:uid="{00000000-0005-0000-0000-0000E48B0000}"/>
    <cellStyle name="Comma 2 7 3 13" xfId="34748" xr:uid="{00000000-0005-0000-0000-0000E58B0000}"/>
    <cellStyle name="Comma 2 7 3 14" xfId="36431" xr:uid="{00000000-0005-0000-0000-0000E68B0000}"/>
    <cellStyle name="Comma 2 7 3 15" xfId="38114" xr:uid="{00000000-0005-0000-0000-0000E78B0000}"/>
    <cellStyle name="Comma 2 7 3 16" xfId="39797" xr:uid="{00000000-0005-0000-0000-0000E88B0000}"/>
    <cellStyle name="Comma 2 7 3 17" xfId="41480" xr:uid="{00000000-0005-0000-0000-0000E98B0000}"/>
    <cellStyle name="Comma 2 7 3 18" xfId="43163" xr:uid="{00000000-0005-0000-0000-0000EA8B0000}"/>
    <cellStyle name="Comma 2 7 3 19" xfId="44846" xr:uid="{00000000-0005-0000-0000-0000EB8B0000}"/>
    <cellStyle name="Comma 2 7 3 2" xfId="2767" xr:uid="{00000000-0005-0000-0000-0000EC8B0000}"/>
    <cellStyle name="Comma 2 7 3 2 2" xfId="17916" xr:uid="{00000000-0005-0000-0000-0000ED8B0000}"/>
    <cellStyle name="Comma 2 7 3 20" xfId="46529" xr:uid="{00000000-0005-0000-0000-0000EE8B0000}"/>
    <cellStyle name="Comma 2 7 3 21" xfId="48212" xr:uid="{00000000-0005-0000-0000-0000EF8B0000}"/>
    <cellStyle name="Comma 2 7 3 22" xfId="49895" xr:uid="{00000000-0005-0000-0000-0000F08B0000}"/>
    <cellStyle name="Comma 2 7 3 23" xfId="51578" xr:uid="{00000000-0005-0000-0000-0000F18B0000}"/>
    <cellStyle name="Comma 2 7 3 24" xfId="53261" xr:uid="{00000000-0005-0000-0000-0000F28B0000}"/>
    <cellStyle name="Comma 2 7 3 25" xfId="54944" xr:uid="{00000000-0005-0000-0000-0000F38B0000}"/>
    <cellStyle name="Comma 2 7 3 26" xfId="56627" xr:uid="{00000000-0005-0000-0000-0000F48B0000}"/>
    <cellStyle name="Comma 2 7 3 27" xfId="58310" xr:uid="{00000000-0005-0000-0000-0000F58B0000}"/>
    <cellStyle name="Comma 2 7 3 28" xfId="59993" xr:uid="{00000000-0005-0000-0000-0000F68B0000}"/>
    <cellStyle name="Comma 2 7 3 29" xfId="61676" xr:uid="{00000000-0005-0000-0000-0000F78B0000}"/>
    <cellStyle name="Comma 2 7 3 3" xfId="4451" xr:uid="{00000000-0005-0000-0000-0000F88B0000}"/>
    <cellStyle name="Comma 2 7 3 3 2" xfId="19600" xr:uid="{00000000-0005-0000-0000-0000F98B0000}"/>
    <cellStyle name="Comma 2 7 3 30" xfId="63359" xr:uid="{00000000-0005-0000-0000-0000FA8B0000}"/>
    <cellStyle name="Comma 2 7 3 4" xfId="6134" xr:uid="{00000000-0005-0000-0000-0000FB8B0000}"/>
    <cellStyle name="Comma 2 7 3 4 2" xfId="21283" xr:uid="{00000000-0005-0000-0000-0000FC8B0000}"/>
    <cellStyle name="Comma 2 7 3 5" xfId="7817" xr:uid="{00000000-0005-0000-0000-0000FD8B0000}"/>
    <cellStyle name="Comma 2 7 3 5 2" xfId="22966" xr:uid="{00000000-0005-0000-0000-0000FE8B0000}"/>
    <cellStyle name="Comma 2 7 3 6" xfId="9500" xr:uid="{00000000-0005-0000-0000-0000FF8B0000}"/>
    <cellStyle name="Comma 2 7 3 6 2" xfId="24649" xr:uid="{00000000-0005-0000-0000-0000008C0000}"/>
    <cellStyle name="Comma 2 7 3 7" xfId="11183" xr:uid="{00000000-0005-0000-0000-0000018C0000}"/>
    <cellStyle name="Comma 2 7 3 7 2" xfId="26332" xr:uid="{00000000-0005-0000-0000-0000028C0000}"/>
    <cellStyle name="Comma 2 7 3 8" xfId="12867" xr:uid="{00000000-0005-0000-0000-0000038C0000}"/>
    <cellStyle name="Comma 2 7 3 8 2" xfId="28016" xr:uid="{00000000-0005-0000-0000-0000048C0000}"/>
    <cellStyle name="Comma 2 7 3 9" xfId="14550" xr:uid="{00000000-0005-0000-0000-0000058C0000}"/>
    <cellStyle name="Comma 2 7 3 9 2" xfId="29699" xr:uid="{00000000-0005-0000-0000-0000068C0000}"/>
    <cellStyle name="Comma 2 7 30" xfId="57469" xr:uid="{00000000-0005-0000-0000-0000078C0000}"/>
    <cellStyle name="Comma 2 7 31" xfId="59152" xr:uid="{00000000-0005-0000-0000-0000088C0000}"/>
    <cellStyle name="Comma 2 7 32" xfId="60835" xr:uid="{00000000-0005-0000-0000-0000098C0000}"/>
    <cellStyle name="Comma 2 7 33" xfId="62518" xr:uid="{00000000-0005-0000-0000-00000A8C0000}"/>
    <cellStyle name="Comma 2 7 4" xfId="1505" xr:uid="{00000000-0005-0000-0000-00000B8C0000}"/>
    <cellStyle name="Comma 2 7 4 10" xfId="16654" xr:uid="{00000000-0005-0000-0000-00000C8C0000}"/>
    <cellStyle name="Comma 2 7 4 11" xfId="31803" xr:uid="{00000000-0005-0000-0000-00000D8C0000}"/>
    <cellStyle name="Comma 2 7 4 12" xfId="33486" xr:uid="{00000000-0005-0000-0000-00000E8C0000}"/>
    <cellStyle name="Comma 2 7 4 13" xfId="35169" xr:uid="{00000000-0005-0000-0000-00000F8C0000}"/>
    <cellStyle name="Comma 2 7 4 14" xfId="36852" xr:uid="{00000000-0005-0000-0000-0000108C0000}"/>
    <cellStyle name="Comma 2 7 4 15" xfId="38535" xr:uid="{00000000-0005-0000-0000-0000118C0000}"/>
    <cellStyle name="Comma 2 7 4 16" xfId="40218" xr:uid="{00000000-0005-0000-0000-0000128C0000}"/>
    <cellStyle name="Comma 2 7 4 17" xfId="41901" xr:uid="{00000000-0005-0000-0000-0000138C0000}"/>
    <cellStyle name="Comma 2 7 4 18" xfId="43584" xr:uid="{00000000-0005-0000-0000-0000148C0000}"/>
    <cellStyle name="Comma 2 7 4 19" xfId="45267" xr:uid="{00000000-0005-0000-0000-0000158C0000}"/>
    <cellStyle name="Comma 2 7 4 2" xfId="3188" xr:uid="{00000000-0005-0000-0000-0000168C0000}"/>
    <cellStyle name="Comma 2 7 4 2 2" xfId="18337" xr:uid="{00000000-0005-0000-0000-0000178C0000}"/>
    <cellStyle name="Comma 2 7 4 20" xfId="46950" xr:uid="{00000000-0005-0000-0000-0000188C0000}"/>
    <cellStyle name="Comma 2 7 4 21" xfId="48633" xr:uid="{00000000-0005-0000-0000-0000198C0000}"/>
    <cellStyle name="Comma 2 7 4 22" xfId="50316" xr:uid="{00000000-0005-0000-0000-00001A8C0000}"/>
    <cellStyle name="Comma 2 7 4 23" xfId="51999" xr:uid="{00000000-0005-0000-0000-00001B8C0000}"/>
    <cellStyle name="Comma 2 7 4 24" xfId="53682" xr:uid="{00000000-0005-0000-0000-00001C8C0000}"/>
    <cellStyle name="Comma 2 7 4 25" xfId="55365" xr:uid="{00000000-0005-0000-0000-00001D8C0000}"/>
    <cellStyle name="Comma 2 7 4 26" xfId="57048" xr:uid="{00000000-0005-0000-0000-00001E8C0000}"/>
    <cellStyle name="Comma 2 7 4 27" xfId="58731" xr:uid="{00000000-0005-0000-0000-00001F8C0000}"/>
    <cellStyle name="Comma 2 7 4 28" xfId="60414" xr:uid="{00000000-0005-0000-0000-0000208C0000}"/>
    <cellStyle name="Comma 2 7 4 29" xfId="62097" xr:uid="{00000000-0005-0000-0000-0000218C0000}"/>
    <cellStyle name="Comma 2 7 4 3" xfId="4872" xr:uid="{00000000-0005-0000-0000-0000228C0000}"/>
    <cellStyle name="Comma 2 7 4 3 2" xfId="20021" xr:uid="{00000000-0005-0000-0000-0000238C0000}"/>
    <cellStyle name="Comma 2 7 4 30" xfId="63780" xr:uid="{00000000-0005-0000-0000-0000248C0000}"/>
    <cellStyle name="Comma 2 7 4 4" xfId="6555" xr:uid="{00000000-0005-0000-0000-0000258C0000}"/>
    <cellStyle name="Comma 2 7 4 4 2" xfId="21704" xr:uid="{00000000-0005-0000-0000-0000268C0000}"/>
    <cellStyle name="Comma 2 7 4 5" xfId="8238" xr:uid="{00000000-0005-0000-0000-0000278C0000}"/>
    <cellStyle name="Comma 2 7 4 5 2" xfId="23387" xr:uid="{00000000-0005-0000-0000-0000288C0000}"/>
    <cellStyle name="Comma 2 7 4 6" xfId="9921" xr:uid="{00000000-0005-0000-0000-0000298C0000}"/>
    <cellStyle name="Comma 2 7 4 6 2" xfId="25070" xr:uid="{00000000-0005-0000-0000-00002A8C0000}"/>
    <cellStyle name="Comma 2 7 4 7" xfId="11604" xr:uid="{00000000-0005-0000-0000-00002B8C0000}"/>
    <cellStyle name="Comma 2 7 4 7 2" xfId="26753" xr:uid="{00000000-0005-0000-0000-00002C8C0000}"/>
    <cellStyle name="Comma 2 7 4 8" xfId="13288" xr:uid="{00000000-0005-0000-0000-00002D8C0000}"/>
    <cellStyle name="Comma 2 7 4 8 2" xfId="28437" xr:uid="{00000000-0005-0000-0000-00002E8C0000}"/>
    <cellStyle name="Comma 2 7 4 9" xfId="14971" xr:uid="{00000000-0005-0000-0000-00002F8C0000}"/>
    <cellStyle name="Comma 2 7 4 9 2" xfId="30120" xr:uid="{00000000-0005-0000-0000-0000308C0000}"/>
    <cellStyle name="Comma 2 7 5" xfId="1926" xr:uid="{00000000-0005-0000-0000-0000318C0000}"/>
    <cellStyle name="Comma 2 7 5 2" xfId="17075" xr:uid="{00000000-0005-0000-0000-0000328C0000}"/>
    <cellStyle name="Comma 2 7 6" xfId="3610" xr:uid="{00000000-0005-0000-0000-0000338C0000}"/>
    <cellStyle name="Comma 2 7 6 2" xfId="18759" xr:uid="{00000000-0005-0000-0000-0000348C0000}"/>
    <cellStyle name="Comma 2 7 7" xfId="5293" xr:uid="{00000000-0005-0000-0000-0000358C0000}"/>
    <cellStyle name="Comma 2 7 7 2" xfId="20442" xr:uid="{00000000-0005-0000-0000-0000368C0000}"/>
    <cellStyle name="Comma 2 7 8" xfId="6976" xr:uid="{00000000-0005-0000-0000-0000378C0000}"/>
    <cellStyle name="Comma 2 7 8 2" xfId="22125" xr:uid="{00000000-0005-0000-0000-0000388C0000}"/>
    <cellStyle name="Comma 2 7 9" xfId="8659" xr:uid="{00000000-0005-0000-0000-0000398C0000}"/>
    <cellStyle name="Comma 2 7 9 2" xfId="23808" xr:uid="{00000000-0005-0000-0000-00003A8C0000}"/>
    <cellStyle name="Comma 2 8" xfId="453" xr:uid="{00000000-0005-0000-0000-00003B8C0000}"/>
    <cellStyle name="Comma 2 8 10" xfId="15602" xr:uid="{00000000-0005-0000-0000-00003C8C0000}"/>
    <cellStyle name="Comma 2 8 11" xfId="30751" xr:uid="{00000000-0005-0000-0000-00003D8C0000}"/>
    <cellStyle name="Comma 2 8 12" xfId="32434" xr:uid="{00000000-0005-0000-0000-00003E8C0000}"/>
    <cellStyle name="Comma 2 8 13" xfId="34117" xr:uid="{00000000-0005-0000-0000-00003F8C0000}"/>
    <cellStyle name="Comma 2 8 14" xfId="35800" xr:uid="{00000000-0005-0000-0000-0000408C0000}"/>
    <cellStyle name="Comma 2 8 15" xfId="37483" xr:uid="{00000000-0005-0000-0000-0000418C0000}"/>
    <cellStyle name="Comma 2 8 16" xfId="39166" xr:uid="{00000000-0005-0000-0000-0000428C0000}"/>
    <cellStyle name="Comma 2 8 17" xfId="40849" xr:uid="{00000000-0005-0000-0000-0000438C0000}"/>
    <cellStyle name="Comma 2 8 18" xfId="42532" xr:uid="{00000000-0005-0000-0000-0000448C0000}"/>
    <cellStyle name="Comma 2 8 19" xfId="44215" xr:uid="{00000000-0005-0000-0000-0000458C0000}"/>
    <cellStyle name="Comma 2 8 2" xfId="2136" xr:uid="{00000000-0005-0000-0000-0000468C0000}"/>
    <cellStyle name="Comma 2 8 2 2" xfId="17285" xr:uid="{00000000-0005-0000-0000-0000478C0000}"/>
    <cellStyle name="Comma 2 8 20" xfId="45898" xr:uid="{00000000-0005-0000-0000-0000488C0000}"/>
    <cellStyle name="Comma 2 8 21" xfId="47581" xr:uid="{00000000-0005-0000-0000-0000498C0000}"/>
    <cellStyle name="Comma 2 8 22" xfId="49264" xr:uid="{00000000-0005-0000-0000-00004A8C0000}"/>
    <cellStyle name="Comma 2 8 23" xfId="50947" xr:uid="{00000000-0005-0000-0000-00004B8C0000}"/>
    <cellStyle name="Comma 2 8 24" xfId="52630" xr:uid="{00000000-0005-0000-0000-00004C8C0000}"/>
    <cellStyle name="Comma 2 8 25" xfId="54313" xr:uid="{00000000-0005-0000-0000-00004D8C0000}"/>
    <cellStyle name="Comma 2 8 26" xfId="55996" xr:uid="{00000000-0005-0000-0000-00004E8C0000}"/>
    <cellStyle name="Comma 2 8 27" xfId="57679" xr:uid="{00000000-0005-0000-0000-00004F8C0000}"/>
    <cellStyle name="Comma 2 8 28" xfId="59362" xr:uid="{00000000-0005-0000-0000-0000508C0000}"/>
    <cellStyle name="Comma 2 8 29" xfId="61045" xr:uid="{00000000-0005-0000-0000-0000518C0000}"/>
    <cellStyle name="Comma 2 8 3" xfId="3820" xr:uid="{00000000-0005-0000-0000-0000528C0000}"/>
    <cellStyle name="Comma 2 8 3 2" xfId="18969" xr:uid="{00000000-0005-0000-0000-0000538C0000}"/>
    <cellStyle name="Comma 2 8 30" xfId="62728" xr:uid="{00000000-0005-0000-0000-0000548C0000}"/>
    <cellStyle name="Comma 2 8 4" xfId="5503" xr:uid="{00000000-0005-0000-0000-0000558C0000}"/>
    <cellStyle name="Comma 2 8 4 2" xfId="20652" xr:uid="{00000000-0005-0000-0000-0000568C0000}"/>
    <cellStyle name="Comma 2 8 5" xfId="7186" xr:uid="{00000000-0005-0000-0000-0000578C0000}"/>
    <cellStyle name="Comma 2 8 5 2" xfId="22335" xr:uid="{00000000-0005-0000-0000-0000588C0000}"/>
    <cellStyle name="Comma 2 8 6" xfId="8869" xr:uid="{00000000-0005-0000-0000-0000598C0000}"/>
    <cellStyle name="Comma 2 8 6 2" xfId="24018" xr:uid="{00000000-0005-0000-0000-00005A8C0000}"/>
    <cellStyle name="Comma 2 8 7" xfId="10552" xr:uid="{00000000-0005-0000-0000-00005B8C0000}"/>
    <cellStyle name="Comma 2 8 7 2" xfId="25701" xr:uid="{00000000-0005-0000-0000-00005C8C0000}"/>
    <cellStyle name="Comma 2 8 8" xfId="12236" xr:uid="{00000000-0005-0000-0000-00005D8C0000}"/>
    <cellStyle name="Comma 2 8 8 2" xfId="27385" xr:uid="{00000000-0005-0000-0000-00005E8C0000}"/>
    <cellStyle name="Comma 2 8 9" xfId="13919" xr:uid="{00000000-0005-0000-0000-00005F8C0000}"/>
    <cellStyle name="Comma 2 8 9 2" xfId="29068" xr:uid="{00000000-0005-0000-0000-0000608C0000}"/>
    <cellStyle name="Comma 2 9" xfId="874" xr:uid="{00000000-0005-0000-0000-0000618C0000}"/>
    <cellStyle name="Comma 2 9 10" xfId="16023" xr:uid="{00000000-0005-0000-0000-0000628C0000}"/>
    <cellStyle name="Comma 2 9 11" xfId="31172" xr:uid="{00000000-0005-0000-0000-0000638C0000}"/>
    <cellStyle name="Comma 2 9 12" xfId="32855" xr:uid="{00000000-0005-0000-0000-0000648C0000}"/>
    <cellStyle name="Comma 2 9 13" xfId="34538" xr:uid="{00000000-0005-0000-0000-0000658C0000}"/>
    <cellStyle name="Comma 2 9 14" xfId="36221" xr:uid="{00000000-0005-0000-0000-0000668C0000}"/>
    <cellStyle name="Comma 2 9 15" xfId="37904" xr:uid="{00000000-0005-0000-0000-0000678C0000}"/>
    <cellStyle name="Comma 2 9 16" xfId="39587" xr:uid="{00000000-0005-0000-0000-0000688C0000}"/>
    <cellStyle name="Comma 2 9 17" xfId="41270" xr:uid="{00000000-0005-0000-0000-0000698C0000}"/>
    <cellStyle name="Comma 2 9 18" xfId="42953" xr:uid="{00000000-0005-0000-0000-00006A8C0000}"/>
    <cellStyle name="Comma 2 9 19" xfId="44636" xr:uid="{00000000-0005-0000-0000-00006B8C0000}"/>
    <cellStyle name="Comma 2 9 2" xfId="2557" xr:uid="{00000000-0005-0000-0000-00006C8C0000}"/>
    <cellStyle name="Comma 2 9 2 2" xfId="17706" xr:uid="{00000000-0005-0000-0000-00006D8C0000}"/>
    <cellStyle name="Comma 2 9 20" xfId="46319" xr:uid="{00000000-0005-0000-0000-00006E8C0000}"/>
    <cellStyle name="Comma 2 9 21" xfId="48002" xr:uid="{00000000-0005-0000-0000-00006F8C0000}"/>
    <cellStyle name="Comma 2 9 22" xfId="49685" xr:uid="{00000000-0005-0000-0000-0000708C0000}"/>
    <cellStyle name="Comma 2 9 23" xfId="51368" xr:uid="{00000000-0005-0000-0000-0000718C0000}"/>
    <cellStyle name="Comma 2 9 24" xfId="53051" xr:uid="{00000000-0005-0000-0000-0000728C0000}"/>
    <cellStyle name="Comma 2 9 25" xfId="54734" xr:uid="{00000000-0005-0000-0000-0000738C0000}"/>
    <cellStyle name="Comma 2 9 26" xfId="56417" xr:uid="{00000000-0005-0000-0000-0000748C0000}"/>
    <cellStyle name="Comma 2 9 27" xfId="58100" xr:uid="{00000000-0005-0000-0000-0000758C0000}"/>
    <cellStyle name="Comma 2 9 28" xfId="59783" xr:uid="{00000000-0005-0000-0000-0000768C0000}"/>
    <cellStyle name="Comma 2 9 29" xfId="61466" xr:uid="{00000000-0005-0000-0000-0000778C0000}"/>
    <cellStyle name="Comma 2 9 3" xfId="4241" xr:uid="{00000000-0005-0000-0000-0000788C0000}"/>
    <cellStyle name="Comma 2 9 3 2" xfId="19390" xr:uid="{00000000-0005-0000-0000-0000798C0000}"/>
    <cellStyle name="Comma 2 9 30" xfId="63149" xr:uid="{00000000-0005-0000-0000-00007A8C0000}"/>
    <cellStyle name="Comma 2 9 4" xfId="5924" xr:uid="{00000000-0005-0000-0000-00007B8C0000}"/>
    <cellStyle name="Comma 2 9 4 2" xfId="21073" xr:uid="{00000000-0005-0000-0000-00007C8C0000}"/>
    <cellStyle name="Comma 2 9 5" xfId="7607" xr:uid="{00000000-0005-0000-0000-00007D8C0000}"/>
    <cellStyle name="Comma 2 9 5 2" xfId="22756" xr:uid="{00000000-0005-0000-0000-00007E8C0000}"/>
    <cellStyle name="Comma 2 9 6" xfId="9290" xr:uid="{00000000-0005-0000-0000-00007F8C0000}"/>
    <cellStyle name="Comma 2 9 6 2" xfId="24439" xr:uid="{00000000-0005-0000-0000-0000808C0000}"/>
    <cellStyle name="Comma 2 9 7" xfId="10973" xr:uid="{00000000-0005-0000-0000-0000818C0000}"/>
    <cellStyle name="Comma 2 9 7 2" xfId="26122" xr:uid="{00000000-0005-0000-0000-0000828C0000}"/>
    <cellStyle name="Comma 2 9 8" xfId="12657" xr:uid="{00000000-0005-0000-0000-0000838C0000}"/>
    <cellStyle name="Comma 2 9 8 2" xfId="27806" xr:uid="{00000000-0005-0000-0000-0000848C0000}"/>
    <cellStyle name="Comma 2 9 9" xfId="14340" xr:uid="{00000000-0005-0000-0000-0000858C0000}"/>
    <cellStyle name="Comma 2 9 9 2" xfId="29489" xr:uid="{00000000-0005-0000-0000-0000868C0000}"/>
    <cellStyle name="Comma 20" xfId="15180" xr:uid="{00000000-0005-0000-0000-0000878C0000}"/>
    <cellStyle name="Comma 21" xfId="30329" xr:uid="{00000000-0005-0000-0000-0000888C0000}"/>
    <cellStyle name="Comma 22" xfId="32012" xr:uid="{00000000-0005-0000-0000-0000898C0000}"/>
    <cellStyle name="Comma 23" xfId="33695" xr:uid="{00000000-0005-0000-0000-00008A8C0000}"/>
    <cellStyle name="Comma 24" xfId="35378" xr:uid="{00000000-0005-0000-0000-00008B8C0000}"/>
    <cellStyle name="Comma 25" xfId="37061" xr:uid="{00000000-0005-0000-0000-00008C8C0000}"/>
    <cellStyle name="Comma 26" xfId="38744" xr:uid="{00000000-0005-0000-0000-00008D8C0000}"/>
    <cellStyle name="Comma 27" xfId="40427" xr:uid="{00000000-0005-0000-0000-00008E8C0000}"/>
    <cellStyle name="Comma 28" xfId="42110" xr:uid="{00000000-0005-0000-0000-00008F8C0000}"/>
    <cellStyle name="Comma 29" xfId="43793" xr:uid="{00000000-0005-0000-0000-0000908C0000}"/>
    <cellStyle name="Comma 3" xfId="20" xr:uid="{00000000-0005-0000-0000-0000918C0000}"/>
    <cellStyle name="Comma 3 10" xfId="6775" xr:uid="{00000000-0005-0000-0000-0000928C0000}"/>
    <cellStyle name="Comma 3 10 2" xfId="21924" xr:uid="{00000000-0005-0000-0000-0000938C0000}"/>
    <cellStyle name="Comma 3 11" xfId="8458" xr:uid="{00000000-0005-0000-0000-0000948C0000}"/>
    <cellStyle name="Comma 3 11 2" xfId="23607" xr:uid="{00000000-0005-0000-0000-0000958C0000}"/>
    <cellStyle name="Comma 3 12" xfId="10141" xr:uid="{00000000-0005-0000-0000-0000968C0000}"/>
    <cellStyle name="Comma 3 12 2" xfId="25290" xr:uid="{00000000-0005-0000-0000-0000978C0000}"/>
    <cellStyle name="Comma 3 13" xfId="11825" xr:uid="{00000000-0005-0000-0000-0000988C0000}"/>
    <cellStyle name="Comma 3 13 2" xfId="26974" xr:uid="{00000000-0005-0000-0000-0000998C0000}"/>
    <cellStyle name="Comma 3 14" xfId="13508" xr:uid="{00000000-0005-0000-0000-00009A8C0000}"/>
    <cellStyle name="Comma 3 14 2" xfId="28657" xr:uid="{00000000-0005-0000-0000-00009B8C0000}"/>
    <cellStyle name="Comma 3 15" xfId="15191" xr:uid="{00000000-0005-0000-0000-00009C8C0000}"/>
    <cellStyle name="Comma 3 16" xfId="30340" xr:uid="{00000000-0005-0000-0000-00009D8C0000}"/>
    <cellStyle name="Comma 3 17" xfId="32023" xr:uid="{00000000-0005-0000-0000-00009E8C0000}"/>
    <cellStyle name="Comma 3 18" xfId="33706" xr:uid="{00000000-0005-0000-0000-00009F8C0000}"/>
    <cellStyle name="Comma 3 19" xfId="35389" xr:uid="{00000000-0005-0000-0000-0000A08C0000}"/>
    <cellStyle name="Comma 3 2" xfId="147" xr:uid="{00000000-0005-0000-0000-0000A18C0000}"/>
    <cellStyle name="Comma 3 2 10" xfId="8563" xr:uid="{00000000-0005-0000-0000-0000A28C0000}"/>
    <cellStyle name="Comma 3 2 10 2" xfId="23712" xr:uid="{00000000-0005-0000-0000-0000A38C0000}"/>
    <cellStyle name="Comma 3 2 11" xfId="10246" xr:uid="{00000000-0005-0000-0000-0000A48C0000}"/>
    <cellStyle name="Comma 3 2 11 2" xfId="25395" xr:uid="{00000000-0005-0000-0000-0000A58C0000}"/>
    <cellStyle name="Comma 3 2 12" xfId="11930" xr:uid="{00000000-0005-0000-0000-0000A68C0000}"/>
    <cellStyle name="Comma 3 2 12 2" xfId="27079" xr:uid="{00000000-0005-0000-0000-0000A78C0000}"/>
    <cellStyle name="Comma 3 2 13" xfId="13613" xr:uid="{00000000-0005-0000-0000-0000A88C0000}"/>
    <cellStyle name="Comma 3 2 13 2" xfId="28762" xr:uid="{00000000-0005-0000-0000-0000A98C0000}"/>
    <cellStyle name="Comma 3 2 14" xfId="15296" xr:uid="{00000000-0005-0000-0000-0000AA8C0000}"/>
    <cellStyle name="Comma 3 2 15" xfId="30445" xr:uid="{00000000-0005-0000-0000-0000AB8C0000}"/>
    <cellStyle name="Comma 3 2 16" xfId="32128" xr:uid="{00000000-0005-0000-0000-0000AC8C0000}"/>
    <cellStyle name="Comma 3 2 17" xfId="33811" xr:uid="{00000000-0005-0000-0000-0000AD8C0000}"/>
    <cellStyle name="Comma 3 2 18" xfId="35494" xr:uid="{00000000-0005-0000-0000-0000AE8C0000}"/>
    <cellStyle name="Comma 3 2 19" xfId="37177" xr:uid="{00000000-0005-0000-0000-0000AF8C0000}"/>
    <cellStyle name="Comma 3 2 2" xfId="357" xr:uid="{00000000-0005-0000-0000-0000B08C0000}"/>
    <cellStyle name="Comma 3 2 2 10" xfId="10456" xr:uid="{00000000-0005-0000-0000-0000B18C0000}"/>
    <cellStyle name="Comma 3 2 2 10 2" xfId="25605" xr:uid="{00000000-0005-0000-0000-0000B28C0000}"/>
    <cellStyle name="Comma 3 2 2 11" xfId="12140" xr:uid="{00000000-0005-0000-0000-0000B38C0000}"/>
    <cellStyle name="Comma 3 2 2 11 2" xfId="27289" xr:uid="{00000000-0005-0000-0000-0000B48C0000}"/>
    <cellStyle name="Comma 3 2 2 12" xfId="13823" xr:uid="{00000000-0005-0000-0000-0000B58C0000}"/>
    <cellStyle name="Comma 3 2 2 12 2" xfId="28972" xr:uid="{00000000-0005-0000-0000-0000B68C0000}"/>
    <cellStyle name="Comma 3 2 2 13" xfId="15506" xr:uid="{00000000-0005-0000-0000-0000B78C0000}"/>
    <cellStyle name="Comma 3 2 2 14" xfId="30655" xr:uid="{00000000-0005-0000-0000-0000B88C0000}"/>
    <cellStyle name="Comma 3 2 2 15" xfId="32338" xr:uid="{00000000-0005-0000-0000-0000B98C0000}"/>
    <cellStyle name="Comma 3 2 2 16" xfId="34021" xr:uid="{00000000-0005-0000-0000-0000BA8C0000}"/>
    <cellStyle name="Comma 3 2 2 17" xfId="35704" xr:uid="{00000000-0005-0000-0000-0000BB8C0000}"/>
    <cellStyle name="Comma 3 2 2 18" xfId="37387" xr:uid="{00000000-0005-0000-0000-0000BC8C0000}"/>
    <cellStyle name="Comma 3 2 2 19" xfId="39070" xr:uid="{00000000-0005-0000-0000-0000BD8C0000}"/>
    <cellStyle name="Comma 3 2 2 2" xfId="777" xr:uid="{00000000-0005-0000-0000-0000BE8C0000}"/>
    <cellStyle name="Comma 3 2 2 2 10" xfId="15926" xr:uid="{00000000-0005-0000-0000-0000BF8C0000}"/>
    <cellStyle name="Comma 3 2 2 2 11" xfId="31075" xr:uid="{00000000-0005-0000-0000-0000C08C0000}"/>
    <cellStyle name="Comma 3 2 2 2 12" xfId="32758" xr:uid="{00000000-0005-0000-0000-0000C18C0000}"/>
    <cellStyle name="Comma 3 2 2 2 13" xfId="34441" xr:uid="{00000000-0005-0000-0000-0000C28C0000}"/>
    <cellStyle name="Comma 3 2 2 2 14" xfId="36124" xr:uid="{00000000-0005-0000-0000-0000C38C0000}"/>
    <cellStyle name="Comma 3 2 2 2 15" xfId="37807" xr:uid="{00000000-0005-0000-0000-0000C48C0000}"/>
    <cellStyle name="Comma 3 2 2 2 16" xfId="39490" xr:uid="{00000000-0005-0000-0000-0000C58C0000}"/>
    <cellStyle name="Comma 3 2 2 2 17" xfId="41173" xr:uid="{00000000-0005-0000-0000-0000C68C0000}"/>
    <cellStyle name="Comma 3 2 2 2 18" xfId="42856" xr:uid="{00000000-0005-0000-0000-0000C78C0000}"/>
    <cellStyle name="Comma 3 2 2 2 19" xfId="44539" xr:uid="{00000000-0005-0000-0000-0000C88C0000}"/>
    <cellStyle name="Comma 3 2 2 2 2" xfId="2460" xr:uid="{00000000-0005-0000-0000-0000C98C0000}"/>
    <cellStyle name="Comma 3 2 2 2 2 2" xfId="17609" xr:uid="{00000000-0005-0000-0000-0000CA8C0000}"/>
    <cellStyle name="Comma 3 2 2 2 20" xfId="46222" xr:uid="{00000000-0005-0000-0000-0000CB8C0000}"/>
    <cellStyle name="Comma 3 2 2 2 21" xfId="47905" xr:uid="{00000000-0005-0000-0000-0000CC8C0000}"/>
    <cellStyle name="Comma 3 2 2 2 22" xfId="49588" xr:uid="{00000000-0005-0000-0000-0000CD8C0000}"/>
    <cellStyle name="Comma 3 2 2 2 23" xfId="51271" xr:uid="{00000000-0005-0000-0000-0000CE8C0000}"/>
    <cellStyle name="Comma 3 2 2 2 24" xfId="52954" xr:uid="{00000000-0005-0000-0000-0000CF8C0000}"/>
    <cellStyle name="Comma 3 2 2 2 25" xfId="54637" xr:uid="{00000000-0005-0000-0000-0000D08C0000}"/>
    <cellStyle name="Comma 3 2 2 2 26" xfId="56320" xr:uid="{00000000-0005-0000-0000-0000D18C0000}"/>
    <cellStyle name="Comma 3 2 2 2 27" xfId="58003" xr:uid="{00000000-0005-0000-0000-0000D28C0000}"/>
    <cellStyle name="Comma 3 2 2 2 28" xfId="59686" xr:uid="{00000000-0005-0000-0000-0000D38C0000}"/>
    <cellStyle name="Comma 3 2 2 2 29" xfId="61369" xr:uid="{00000000-0005-0000-0000-0000D48C0000}"/>
    <cellStyle name="Comma 3 2 2 2 3" xfId="4144" xr:uid="{00000000-0005-0000-0000-0000D58C0000}"/>
    <cellStyle name="Comma 3 2 2 2 3 2" xfId="19293" xr:uid="{00000000-0005-0000-0000-0000D68C0000}"/>
    <cellStyle name="Comma 3 2 2 2 30" xfId="63052" xr:uid="{00000000-0005-0000-0000-0000D78C0000}"/>
    <cellStyle name="Comma 3 2 2 2 4" xfId="5827" xr:uid="{00000000-0005-0000-0000-0000D88C0000}"/>
    <cellStyle name="Comma 3 2 2 2 4 2" xfId="20976" xr:uid="{00000000-0005-0000-0000-0000D98C0000}"/>
    <cellStyle name="Comma 3 2 2 2 5" xfId="7510" xr:uid="{00000000-0005-0000-0000-0000DA8C0000}"/>
    <cellStyle name="Comma 3 2 2 2 5 2" xfId="22659" xr:uid="{00000000-0005-0000-0000-0000DB8C0000}"/>
    <cellStyle name="Comma 3 2 2 2 6" xfId="9193" xr:uid="{00000000-0005-0000-0000-0000DC8C0000}"/>
    <cellStyle name="Comma 3 2 2 2 6 2" xfId="24342" xr:uid="{00000000-0005-0000-0000-0000DD8C0000}"/>
    <cellStyle name="Comma 3 2 2 2 7" xfId="10876" xr:uid="{00000000-0005-0000-0000-0000DE8C0000}"/>
    <cellStyle name="Comma 3 2 2 2 7 2" xfId="26025" xr:uid="{00000000-0005-0000-0000-0000DF8C0000}"/>
    <cellStyle name="Comma 3 2 2 2 8" xfId="12560" xr:uid="{00000000-0005-0000-0000-0000E08C0000}"/>
    <cellStyle name="Comma 3 2 2 2 8 2" xfId="27709" xr:uid="{00000000-0005-0000-0000-0000E18C0000}"/>
    <cellStyle name="Comma 3 2 2 2 9" xfId="14243" xr:uid="{00000000-0005-0000-0000-0000E28C0000}"/>
    <cellStyle name="Comma 3 2 2 2 9 2" xfId="29392" xr:uid="{00000000-0005-0000-0000-0000E38C0000}"/>
    <cellStyle name="Comma 3 2 2 20" xfId="40753" xr:uid="{00000000-0005-0000-0000-0000E48C0000}"/>
    <cellStyle name="Comma 3 2 2 21" xfId="42436" xr:uid="{00000000-0005-0000-0000-0000E58C0000}"/>
    <cellStyle name="Comma 3 2 2 22" xfId="44119" xr:uid="{00000000-0005-0000-0000-0000E68C0000}"/>
    <cellStyle name="Comma 3 2 2 23" xfId="45802" xr:uid="{00000000-0005-0000-0000-0000E78C0000}"/>
    <cellStyle name="Comma 3 2 2 24" xfId="47485" xr:uid="{00000000-0005-0000-0000-0000E88C0000}"/>
    <cellStyle name="Comma 3 2 2 25" xfId="49168" xr:uid="{00000000-0005-0000-0000-0000E98C0000}"/>
    <cellStyle name="Comma 3 2 2 26" xfId="50851" xr:uid="{00000000-0005-0000-0000-0000EA8C0000}"/>
    <cellStyle name="Comma 3 2 2 27" xfId="52534" xr:uid="{00000000-0005-0000-0000-0000EB8C0000}"/>
    <cellStyle name="Comma 3 2 2 28" xfId="54217" xr:uid="{00000000-0005-0000-0000-0000EC8C0000}"/>
    <cellStyle name="Comma 3 2 2 29" xfId="55900" xr:uid="{00000000-0005-0000-0000-0000ED8C0000}"/>
    <cellStyle name="Comma 3 2 2 3" xfId="1198" xr:uid="{00000000-0005-0000-0000-0000EE8C0000}"/>
    <cellStyle name="Comma 3 2 2 3 10" xfId="16347" xr:uid="{00000000-0005-0000-0000-0000EF8C0000}"/>
    <cellStyle name="Comma 3 2 2 3 11" xfId="31496" xr:uid="{00000000-0005-0000-0000-0000F08C0000}"/>
    <cellStyle name="Comma 3 2 2 3 12" xfId="33179" xr:uid="{00000000-0005-0000-0000-0000F18C0000}"/>
    <cellStyle name="Comma 3 2 2 3 13" xfId="34862" xr:uid="{00000000-0005-0000-0000-0000F28C0000}"/>
    <cellStyle name="Comma 3 2 2 3 14" xfId="36545" xr:uid="{00000000-0005-0000-0000-0000F38C0000}"/>
    <cellStyle name="Comma 3 2 2 3 15" xfId="38228" xr:uid="{00000000-0005-0000-0000-0000F48C0000}"/>
    <cellStyle name="Comma 3 2 2 3 16" xfId="39911" xr:uid="{00000000-0005-0000-0000-0000F58C0000}"/>
    <cellStyle name="Comma 3 2 2 3 17" xfId="41594" xr:uid="{00000000-0005-0000-0000-0000F68C0000}"/>
    <cellStyle name="Comma 3 2 2 3 18" xfId="43277" xr:uid="{00000000-0005-0000-0000-0000F78C0000}"/>
    <cellStyle name="Comma 3 2 2 3 19" xfId="44960" xr:uid="{00000000-0005-0000-0000-0000F88C0000}"/>
    <cellStyle name="Comma 3 2 2 3 2" xfId="2881" xr:uid="{00000000-0005-0000-0000-0000F98C0000}"/>
    <cellStyle name="Comma 3 2 2 3 2 2" xfId="18030" xr:uid="{00000000-0005-0000-0000-0000FA8C0000}"/>
    <cellStyle name="Comma 3 2 2 3 20" xfId="46643" xr:uid="{00000000-0005-0000-0000-0000FB8C0000}"/>
    <cellStyle name="Comma 3 2 2 3 21" xfId="48326" xr:uid="{00000000-0005-0000-0000-0000FC8C0000}"/>
    <cellStyle name="Comma 3 2 2 3 22" xfId="50009" xr:uid="{00000000-0005-0000-0000-0000FD8C0000}"/>
    <cellStyle name="Comma 3 2 2 3 23" xfId="51692" xr:uid="{00000000-0005-0000-0000-0000FE8C0000}"/>
    <cellStyle name="Comma 3 2 2 3 24" xfId="53375" xr:uid="{00000000-0005-0000-0000-0000FF8C0000}"/>
    <cellStyle name="Comma 3 2 2 3 25" xfId="55058" xr:uid="{00000000-0005-0000-0000-0000008D0000}"/>
    <cellStyle name="Comma 3 2 2 3 26" xfId="56741" xr:uid="{00000000-0005-0000-0000-0000018D0000}"/>
    <cellStyle name="Comma 3 2 2 3 27" xfId="58424" xr:uid="{00000000-0005-0000-0000-0000028D0000}"/>
    <cellStyle name="Comma 3 2 2 3 28" xfId="60107" xr:uid="{00000000-0005-0000-0000-0000038D0000}"/>
    <cellStyle name="Comma 3 2 2 3 29" xfId="61790" xr:uid="{00000000-0005-0000-0000-0000048D0000}"/>
    <cellStyle name="Comma 3 2 2 3 3" xfId="4565" xr:uid="{00000000-0005-0000-0000-0000058D0000}"/>
    <cellStyle name="Comma 3 2 2 3 3 2" xfId="19714" xr:uid="{00000000-0005-0000-0000-0000068D0000}"/>
    <cellStyle name="Comma 3 2 2 3 30" xfId="63473" xr:uid="{00000000-0005-0000-0000-0000078D0000}"/>
    <cellStyle name="Comma 3 2 2 3 4" xfId="6248" xr:uid="{00000000-0005-0000-0000-0000088D0000}"/>
    <cellStyle name="Comma 3 2 2 3 4 2" xfId="21397" xr:uid="{00000000-0005-0000-0000-0000098D0000}"/>
    <cellStyle name="Comma 3 2 2 3 5" xfId="7931" xr:uid="{00000000-0005-0000-0000-00000A8D0000}"/>
    <cellStyle name="Comma 3 2 2 3 5 2" xfId="23080" xr:uid="{00000000-0005-0000-0000-00000B8D0000}"/>
    <cellStyle name="Comma 3 2 2 3 6" xfId="9614" xr:uid="{00000000-0005-0000-0000-00000C8D0000}"/>
    <cellStyle name="Comma 3 2 2 3 6 2" xfId="24763" xr:uid="{00000000-0005-0000-0000-00000D8D0000}"/>
    <cellStyle name="Comma 3 2 2 3 7" xfId="11297" xr:uid="{00000000-0005-0000-0000-00000E8D0000}"/>
    <cellStyle name="Comma 3 2 2 3 7 2" xfId="26446" xr:uid="{00000000-0005-0000-0000-00000F8D0000}"/>
    <cellStyle name="Comma 3 2 2 3 8" xfId="12981" xr:uid="{00000000-0005-0000-0000-0000108D0000}"/>
    <cellStyle name="Comma 3 2 2 3 8 2" xfId="28130" xr:uid="{00000000-0005-0000-0000-0000118D0000}"/>
    <cellStyle name="Comma 3 2 2 3 9" xfId="14664" xr:uid="{00000000-0005-0000-0000-0000128D0000}"/>
    <cellStyle name="Comma 3 2 2 3 9 2" xfId="29813" xr:uid="{00000000-0005-0000-0000-0000138D0000}"/>
    <cellStyle name="Comma 3 2 2 30" xfId="57583" xr:uid="{00000000-0005-0000-0000-0000148D0000}"/>
    <cellStyle name="Comma 3 2 2 31" xfId="59266" xr:uid="{00000000-0005-0000-0000-0000158D0000}"/>
    <cellStyle name="Comma 3 2 2 32" xfId="60949" xr:uid="{00000000-0005-0000-0000-0000168D0000}"/>
    <cellStyle name="Comma 3 2 2 33" xfId="62632" xr:uid="{00000000-0005-0000-0000-0000178D0000}"/>
    <cellStyle name="Comma 3 2 2 4" xfId="1619" xr:uid="{00000000-0005-0000-0000-0000188D0000}"/>
    <cellStyle name="Comma 3 2 2 4 10" xfId="16768" xr:uid="{00000000-0005-0000-0000-0000198D0000}"/>
    <cellStyle name="Comma 3 2 2 4 11" xfId="31917" xr:uid="{00000000-0005-0000-0000-00001A8D0000}"/>
    <cellStyle name="Comma 3 2 2 4 12" xfId="33600" xr:uid="{00000000-0005-0000-0000-00001B8D0000}"/>
    <cellStyle name="Comma 3 2 2 4 13" xfId="35283" xr:uid="{00000000-0005-0000-0000-00001C8D0000}"/>
    <cellStyle name="Comma 3 2 2 4 14" xfId="36966" xr:uid="{00000000-0005-0000-0000-00001D8D0000}"/>
    <cellStyle name="Comma 3 2 2 4 15" xfId="38649" xr:uid="{00000000-0005-0000-0000-00001E8D0000}"/>
    <cellStyle name="Comma 3 2 2 4 16" xfId="40332" xr:uid="{00000000-0005-0000-0000-00001F8D0000}"/>
    <cellStyle name="Comma 3 2 2 4 17" xfId="42015" xr:uid="{00000000-0005-0000-0000-0000208D0000}"/>
    <cellStyle name="Comma 3 2 2 4 18" xfId="43698" xr:uid="{00000000-0005-0000-0000-0000218D0000}"/>
    <cellStyle name="Comma 3 2 2 4 19" xfId="45381" xr:uid="{00000000-0005-0000-0000-0000228D0000}"/>
    <cellStyle name="Comma 3 2 2 4 2" xfId="3302" xr:uid="{00000000-0005-0000-0000-0000238D0000}"/>
    <cellStyle name="Comma 3 2 2 4 2 2" xfId="18451" xr:uid="{00000000-0005-0000-0000-0000248D0000}"/>
    <cellStyle name="Comma 3 2 2 4 20" xfId="47064" xr:uid="{00000000-0005-0000-0000-0000258D0000}"/>
    <cellStyle name="Comma 3 2 2 4 21" xfId="48747" xr:uid="{00000000-0005-0000-0000-0000268D0000}"/>
    <cellStyle name="Comma 3 2 2 4 22" xfId="50430" xr:uid="{00000000-0005-0000-0000-0000278D0000}"/>
    <cellStyle name="Comma 3 2 2 4 23" xfId="52113" xr:uid="{00000000-0005-0000-0000-0000288D0000}"/>
    <cellStyle name="Comma 3 2 2 4 24" xfId="53796" xr:uid="{00000000-0005-0000-0000-0000298D0000}"/>
    <cellStyle name="Comma 3 2 2 4 25" xfId="55479" xr:uid="{00000000-0005-0000-0000-00002A8D0000}"/>
    <cellStyle name="Comma 3 2 2 4 26" xfId="57162" xr:uid="{00000000-0005-0000-0000-00002B8D0000}"/>
    <cellStyle name="Comma 3 2 2 4 27" xfId="58845" xr:uid="{00000000-0005-0000-0000-00002C8D0000}"/>
    <cellStyle name="Comma 3 2 2 4 28" xfId="60528" xr:uid="{00000000-0005-0000-0000-00002D8D0000}"/>
    <cellStyle name="Comma 3 2 2 4 29" xfId="62211" xr:uid="{00000000-0005-0000-0000-00002E8D0000}"/>
    <cellStyle name="Comma 3 2 2 4 3" xfId="4986" xr:uid="{00000000-0005-0000-0000-00002F8D0000}"/>
    <cellStyle name="Comma 3 2 2 4 3 2" xfId="20135" xr:uid="{00000000-0005-0000-0000-0000308D0000}"/>
    <cellStyle name="Comma 3 2 2 4 30" xfId="63894" xr:uid="{00000000-0005-0000-0000-0000318D0000}"/>
    <cellStyle name="Comma 3 2 2 4 4" xfId="6669" xr:uid="{00000000-0005-0000-0000-0000328D0000}"/>
    <cellStyle name="Comma 3 2 2 4 4 2" xfId="21818" xr:uid="{00000000-0005-0000-0000-0000338D0000}"/>
    <cellStyle name="Comma 3 2 2 4 5" xfId="8352" xr:uid="{00000000-0005-0000-0000-0000348D0000}"/>
    <cellStyle name="Comma 3 2 2 4 5 2" xfId="23501" xr:uid="{00000000-0005-0000-0000-0000358D0000}"/>
    <cellStyle name="Comma 3 2 2 4 6" xfId="10035" xr:uid="{00000000-0005-0000-0000-0000368D0000}"/>
    <cellStyle name="Comma 3 2 2 4 6 2" xfId="25184" xr:uid="{00000000-0005-0000-0000-0000378D0000}"/>
    <cellStyle name="Comma 3 2 2 4 7" xfId="11718" xr:uid="{00000000-0005-0000-0000-0000388D0000}"/>
    <cellStyle name="Comma 3 2 2 4 7 2" xfId="26867" xr:uid="{00000000-0005-0000-0000-0000398D0000}"/>
    <cellStyle name="Comma 3 2 2 4 8" xfId="13402" xr:uid="{00000000-0005-0000-0000-00003A8D0000}"/>
    <cellStyle name="Comma 3 2 2 4 8 2" xfId="28551" xr:uid="{00000000-0005-0000-0000-00003B8D0000}"/>
    <cellStyle name="Comma 3 2 2 4 9" xfId="15085" xr:uid="{00000000-0005-0000-0000-00003C8D0000}"/>
    <cellStyle name="Comma 3 2 2 4 9 2" xfId="30234" xr:uid="{00000000-0005-0000-0000-00003D8D0000}"/>
    <cellStyle name="Comma 3 2 2 5" xfId="2040" xr:uid="{00000000-0005-0000-0000-00003E8D0000}"/>
    <cellStyle name="Comma 3 2 2 5 2" xfId="17189" xr:uid="{00000000-0005-0000-0000-00003F8D0000}"/>
    <cellStyle name="Comma 3 2 2 6" xfId="3724" xr:uid="{00000000-0005-0000-0000-0000408D0000}"/>
    <cellStyle name="Comma 3 2 2 6 2" xfId="18873" xr:uid="{00000000-0005-0000-0000-0000418D0000}"/>
    <cellStyle name="Comma 3 2 2 7" xfId="5407" xr:uid="{00000000-0005-0000-0000-0000428D0000}"/>
    <cellStyle name="Comma 3 2 2 7 2" xfId="20556" xr:uid="{00000000-0005-0000-0000-0000438D0000}"/>
    <cellStyle name="Comma 3 2 2 8" xfId="7090" xr:uid="{00000000-0005-0000-0000-0000448D0000}"/>
    <cellStyle name="Comma 3 2 2 8 2" xfId="22239" xr:uid="{00000000-0005-0000-0000-0000458D0000}"/>
    <cellStyle name="Comma 3 2 2 9" xfId="8773" xr:uid="{00000000-0005-0000-0000-0000468D0000}"/>
    <cellStyle name="Comma 3 2 2 9 2" xfId="23922" xr:uid="{00000000-0005-0000-0000-0000478D0000}"/>
    <cellStyle name="Comma 3 2 20" xfId="38860" xr:uid="{00000000-0005-0000-0000-0000488D0000}"/>
    <cellStyle name="Comma 3 2 21" xfId="40543" xr:uid="{00000000-0005-0000-0000-0000498D0000}"/>
    <cellStyle name="Comma 3 2 22" xfId="42226" xr:uid="{00000000-0005-0000-0000-00004A8D0000}"/>
    <cellStyle name="Comma 3 2 23" xfId="43909" xr:uid="{00000000-0005-0000-0000-00004B8D0000}"/>
    <cellStyle name="Comma 3 2 24" xfId="45592" xr:uid="{00000000-0005-0000-0000-00004C8D0000}"/>
    <cellStyle name="Comma 3 2 25" xfId="47275" xr:uid="{00000000-0005-0000-0000-00004D8D0000}"/>
    <cellStyle name="Comma 3 2 26" xfId="48958" xr:uid="{00000000-0005-0000-0000-00004E8D0000}"/>
    <cellStyle name="Comma 3 2 27" xfId="50641" xr:uid="{00000000-0005-0000-0000-00004F8D0000}"/>
    <cellStyle name="Comma 3 2 28" xfId="52324" xr:uid="{00000000-0005-0000-0000-0000508D0000}"/>
    <cellStyle name="Comma 3 2 29" xfId="54007" xr:uid="{00000000-0005-0000-0000-0000518D0000}"/>
    <cellStyle name="Comma 3 2 3" xfId="567" xr:uid="{00000000-0005-0000-0000-0000528D0000}"/>
    <cellStyle name="Comma 3 2 3 10" xfId="15716" xr:uid="{00000000-0005-0000-0000-0000538D0000}"/>
    <cellStyle name="Comma 3 2 3 11" xfId="30865" xr:uid="{00000000-0005-0000-0000-0000548D0000}"/>
    <cellStyle name="Comma 3 2 3 12" xfId="32548" xr:uid="{00000000-0005-0000-0000-0000558D0000}"/>
    <cellStyle name="Comma 3 2 3 13" xfId="34231" xr:uid="{00000000-0005-0000-0000-0000568D0000}"/>
    <cellStyle name="Comma 3 2 3 14" xfId="35914" xr:uid="{00000000-0005-0000-0000-0000578D0000}"/>
    <cellStyle name="Comma 3 2 3 15" xfId="37597" xr:uid="{00000000-0005-0000-0000-0000588D0000}"/>
    <cellStyle name="Comma 3 2 3 16" xfId="39280" xr:uid="{00000000-0005-0000-0000-0000598D0000}"/>
    <cellStyle name="Comma 3 2 3 17" xfId="40963" xr:uid="{00000000-0005-0000-0000-00005A8D0000}"/>
    <cellStyle name="Comma 3 2 3 18" xfId="42646" xr:uid="{00000000-0005-0000-0000-00005B8D0000}"/>
    <cellStyle name="Comma 3 2 3 19" xfId="44329" xr:uid="{00000000-0005-0000-0000-00005C8D0000}"/>
    <cellStyle name="Comma 3 2 3 2" xfId="2250" xr:uid="{00000000-0005-0000-0000-00005D8D0000}"/>
    <cellStyle name="Comma 3 2 3 2 2" xfId="17399" xr:uid="{00000000-0005-0000-0000-00005E8D0000}"/>
    <cellStyle name="Comma 3 2 3 20" xfId="46012" xr:uid="{00000000-0005-0000-0000-00005F8D0000}"/>
    <cellStyle name="Comma 3 2 3 21" xfId="47695" xr:uid="{00000000-0005-0000-0000-0000608D0000}"/>
    <cellStyle name="Comma 3 2 3 22" xfId="49378" xr:uid="{00000000-0005-0000-0000-0000618D0000}"/>
    <cellStyle name="Comma 3 2 3 23" xfId="51061" xr:uid="{00000000-0005-0000-0000-0000628D0000}"/>
    <cellStyle name="Comma 3 2 3 24" xfId="52744" xr:uid="{00000000-0005-0000-0000-0000638D0000}"/>
    <cellStyle name="Comma 3 2 3 25" xfId="54427" xr:uid="{00000000-0005-0000-0000-0000648D0000}"/>
    <cellStyle name="Comma 3 2 3 26" xfId="56110" xr:uid="{00000000-0005-0000-0000-0000658D0000}"/>
    <cellStyle name="Comma 3 2 3 27" xfId="57793" xr:uid="{00000000-0005-0000-0000-0000668D0000}"/>
    <cellStyle name="Comma 3 2 3 28" xfId="59476" xr:uid="{00000000-0005-0000-0000-0000678D0000}"/>
    <cellStyle name="Comma 3 2 3 29" xfId="61159" xr:uid="{00000000-0005-0000-0000-0000688D0000}"/>
    <cellStyle name="Comma 3 2 3 3" xfId="3934" xr:uid="{00000000-0005-0000-0000-0000698D0000}"/>
    <cellStyle name="Comma 3 2 3 3 2" xfId="19083" xr:uid="{00000000-0005-0000-0000-00006A8D0000}"/>
    <cellStyle name="Comma 3 2 3 30" xfId="62842" xr:uid="{00000000-0005-0000-0000-00006B8D0000}"/>
    <cellStyle name="Comma 3 2 3 4" xfId="5617" xr:uid="{00000000-0005-0000-0000-00006C8D0000}"/>
    <cellStyle name="Comma 3 2 3 4 2" xfId="20766" xr:uid="{00000000-0005-0000-0000-00006D8D0000}"/>
    <cellStyle name="Comma 3 2 3 5" xfId="7300" xr:uid="{00000000-0005-0000-0000-00006E8D0000}"/>
    <cellStyle name="Comma 3 2 3 5 2" xfId="22449" xr:uid="{00000000-0005-0000-0000-00006F8D0000}"/>
    <cellStyle name="Comma 3 2 3 6" xfId="8983" xr:uid="{00000000-0005-0000-0000-0000708D0000}"/>
    <cellStyle name="Comma 3 2 3 6 2" xfId="24132" xr:uid="{00000000-0005-0000-0000-0000718D0000}"/>
    <cellStyle name="Comma 3 2 3 7" xfId="10666" xr:uid="{00000000-0005-0000-0000-0000728D0000}"/>
    <cellStyle name="Comma 3 2 3 7 2" xfId="25815" xr:uid="{00000000-0005-0000-0000-0000738D0000}"/>
    <cellStyle name="Comma 3 2 3 8" xfId="12350" xr:uid="{00000000-0005-0000-0000-0000748D0000}"/>
    <cellStyle name="Comma 3 2 3 8 2" xfId="27499" xr:uid="{00000000-0005-0000-0000-0000758D0000}"/>
    <cellStyle name="Comma 3 2 3 9" xfId="14033" xr:uid="{00000000-0005-0000-0000-0000768D0000}"/>
    <cellStyle name="Comma 3 2 3 9 2" xfId="29182" xr:uid="{00000000-0005-0000-0000-0000778D0000}"/>
    <cellStyle name="Comma 3 2 30" xfId="55690" xr:uid="{00000000-0005-0000-0000-0000788D0000}"/>
    <cellStyle name="Comma 3 2 31" xfId="57373" xr:uid="{00000000-0005-0000-0000-0000798D0000}"/>
    <cellStyle name="Comma 3 2 32" xfId="59056" xr:uid="{00000000-0005-0000-0000-00007A8D0000}"/>
    <cellStyle name="Comma 3 2 33" xfId="60739" xr:uid="{00000000-0005-0000-0000-00007B8D0000}"/>
    <cellStyle name="Comma 3 2 34" xfId="62422" xr:uid="{00000000-0005-0000-0000-00007C8D0000}"/>
    <cellStyle name="Comma 3 2 4" xfId="988" xr:uid="{00000000-0005-0000-0000-00007D8D0000}"/>
    <cellStyle name="Comma 3 2 4 10" xfId="16137" xr:uid="{00000000-0005-0000-0000-00007E8D0000}"/>
    <cellStyle name="Comma 3 2 4 11" xfId="31286" xr:uid="{00000000-0005-0000-0000-00007F8D0000}"/>
    <cellStyle name="Comma 3 2 4 12" xfId="32969" xr:uid="{00000000-0005-0000-0000-0000808D0000}"/>
    <cellStyle name="Comma 3 2 4 13" xfId="34652" xr:uid="{00000000-0005-0000-0000-0000818D0000}"/>
    <cellStyle name="Comma 3 2 4 14" xfId="36335" xr:uid="{00000000-0005-0000-0000-0000828D0000}"/>
    <cellStyle name="Comma 3 2 4 15" xfId="38018" xr:uid="{00000000-0005-0000-0000-0000838D0000}"/>
    <cellStyle name="Comma 3 2 4 16" xfId="39701" xr:uid="{00000000-0005-0000-0000-0000848D0000}"/>
    <cellStyle name="Comma 3 2 4 17" xfId="41384" xr:uid="{00000000-0005-0000-0000-0000858D0000}"/>
    <cellStyle name="Comma 3 2 4 18" xfId="43067" xr:uid="{00000000-0005-0000-0000-0000868D0000}"/>
    <cellStyle name="Comma 3 2 4 19" xfId="44750" xr:uid="{00000000-0005-0000-0000-0000878D0000}"/>
    <cellStyle name="Comma 3 2 4 2" xfId="2671" xr:uid="{00000000-0005-0000-0000-0000888D0000}"/>
    <cellStyle name="Comma 3 2 4 2 2" xfId="17820" xr:uid="{00000000-0005-0000-0000-0000898D0000}"/>
    <cellStyle name="Comma 3 2 4 20" xfId="46433" xr:uid="{00000000-0005-0000-0000-00008A8D0000}"/>
    <cellStyle name="Comma 3 2 4 21" xfId="48116" xr:uid="{00000000-0005-0000-0000-00008B8D0000}"/>
    <cellStyle name="Comma 3 2 4 22" xfId="49799" xr:uid="{00000000-0005-0000-0000-00008C8D0000}"/>
    <cellStyle name="Comma 3 2 4 23" xfId="51482" xr:uid="{00000000-0005-0000-0000-00008D8D0000}"/>
    <cellStyle name="Comma 3 2 4 24" xfId="53165" xr:uid="{00000000-0005-0000-0000-00008E8D0000}"/>
    <cellStyle name="Comma 3 2 4 25" xfId="54848" xr:uid="{00000000-0005-0000-0000-00008F8D0000}"/>
    <cellStyle name="Comma 3 2 4 26" xfId="56531" xr:uid="{00000000-0005-0000-0000-0000908D0000}"/>
    <cellStyle name="Comma 3 2 4 27" xfId="58214" xr:uid="{00000000-0005-0000-0000-0000918D0000}"/>
    <cellStyle name="Comma 3 2 4 28" xfId="59897" xr:uid="{00000000-0005-0000-0000-0000928D0000}"/>
    <cellStyle name="Comma 3 2 4 29" xfId="61580" xr:uid="{00000000-0005-0000-0000-0000938D0000}"/>
    <cellStyle name="Comma 3 2 4 3" xfId="4355" xr:uid="{00000000-0005-0000-0000-0000948D0000}"/>
    <cellStyle name="Comma 3 2 4 3 2" xfId="19504" xr:uid="{00000000-0005-0000-0000-0000958D0000}"/>
    <cellStyle name="Comma 3 2 4 30" xfId="63263" xr:uid="{00000000-0005-0000-0000-0000968D0000}"/>
    <cellStyle name="Comma 3 2 4 4" xfId="6038" xr:uid="{00000000-0005-0000-0000-0000978D0000}"/>
    <cellStyle name="Comma 3 2 4 4 2" xfId="21187" xr:uid="{00000000-0005-0000-0000-0000988D0000}"/>
    <cellStyle name="Comma 3 2 4 5" xfId="7721" xr:uid="{00000000-0005-0000-0000-0000998D0000}"/>
    <cellStyle name="Comma 3 2 4 5 2" xfId="22870" xr:uid="{00000000-0005-0000-0000-00009A8D0000}"/>
    <cellStyle name="Comma 3 2 4 6" xfId="9404" xr:uid="{00000000-0005-0000-0000-00009B8D0000}"/>
    <cellStyle name="Comma 3 2 4 6 2" xfId="24553" xr:uid="{00000000-0005-0000-0000-00009C8D0000}"/>
    <cellStyle name="Comma 3 2 4 7" xfId="11087" xr:uid="{00000000-0005-0000-0000-00009D8D0000}"/>
    <cellStyle name="Comma 3 2 4 7 2" xfId="26236" xr:uid="{00000000-0005-0000-0000-00009E8D0000}"/>
    <cellStyle name="Comma 3 2 4 8" xfId="12771" xr:uid="{00000000-0005-0000-0000-00009F8D0000}"/>
    <cellStyle name="Comma 3 2 4 8 2" xfId="27920" xr:uid="{00000000-0005-0000-0000-0000A08D0000}"/>
    <cellStyle name="Comma 3 2 4 9" xfId="14454" xr:uid="{00000000-0005-0000-0000-0000A18D0000}"/>
    <cellStyle name="Comma 3 2 4 9 2" xfId="29603" xr:uid="{00000000-0005-0000-0000-0000A28D0000}"/>
    <cellStyle name="Comma 3 2 5" xfId="1409" xr:uid="{00000000-0005-0000-0000-0000A38D0000}"/>
    <cellStyle name="Comma 3 2 5 10" xfId="16558" xr:uid="{00000000-0005-0000-0000-0000A48D0000}"/>
    <cellStyle name="Comma 3 2 5 11" xfId="31707" xr:uid="{00000000-0005-0000-0000-0000A58D0000}"/>
    <cellStyle name="Comma 3 2 5 12" xfId="33390" xr:uid="{00000000-0005-0000-0000-0000A68D0000}"/>
    <cellStyle name="Comma 3 2 5 13" xfId="35073" xr:uid="{00000000-0005-0000-0000-0000A78D0000}"/>
    <cellStyle name="Comma 3 2 5 14" xfId="36756" xr:uid="{00000000-0005-0000-0000-0000A88D0000}"/>
    <cellStyle name="Comma 3 2 5 15" xfId="38439" xr:uid="{00000000-0005-0000-0000-0000A98D0000}"/>
    <cellStyle name="Comma 3 2 5 16" xfId="40122" xr:uid="{00000000-0005-0000-0000-0000AA8D0000}"/>
    <cellStyle name="Comma 3 2 5 17" xfId="41805" xr:uid="{00000000-0005-0000-0000-0000AB8D0000}"/>
    <cellStyle name="Comma 3 2 5 18" xfId="43488" xr:uid="{00000000-0005-0000-0000-0000AC8D0000}"/>
    <cellStyle name="Comma 3 2 5 19" xfId="45171" xr:uid="{00000000-0005-0000-0000-0000AD8D0000}"/>
    <cellStyle name="Comma 3 2 5 2" xfId="3092" xr:uid="{00000000-0005-0000-0000-0000AE8D0000}"/>
    <cellStyle name="Comma 3 2 5 2 2" xfId="18241" xr:uid="{00000000-0005-0000-0000-0000AF8D0000}"/>
    <cellStyle name="Comma 3 2 5 20" xfId="46854" xr:uid="{00000000-0005-0000-0000-0000B08D0000}"/>
    <cellStyle name="Comma 3 2 5 21" xfId="48537" xr:uid="{00000000-0005-0000-0000-0000B18D0000}"/>
    <cellStyle name="Comma 3 2 5 22" xfId="50220" xr:uid="{00000000-0005-0000-0000-0000B28D0000}"/>
    <cellStyle name="Comma 3 2 5 23" xfId="51903" xr:uid="{00000000-0005-0000-0000-0000B38D0000}"/>
    <cellStyle name="Comma 3 2 5 24" xfId="53586" xr:uid="{00000000-0005-0000-0000-0000B48D0000}"/>
    <cellStyle name="Comma 3 2 5 25" xfId="55269" xr:uid="{00000000-0005-0000-0000-0000B58D0000}"/>
    <cellStyle name="Comma 3 2 5 26" xfId="56952" xr:uid="{00000000-0005-0000-0000-0000B68D0000}"/>
    <cellStyle name="Comma 3 2 5 27" xfId="58635" xr:uid="{00000000-0005-0000-0000-0000B78D0000}"/>
    <cellStyle name="Comma 3 2 5 28" xfId="60318" xr:uid="{00000000-0005-0000-0000-0000B88D0000}"/>
    <cellStyle name="Comma 3 2 5 29" xfId="62001" xr:uid="{00000000-0005-0000-0000-0000B98D0000}"/>
    <cellStyle name="Comma 3 2 5 3" xfId="4776" xr:uid="{00000000-0005-0000-0000-0000BA8D0000}"/>
    <cellStyle name="Comma 3 2 5 3 2" xfId="19925" xr:uid="{00000000-0005-0000-0000-0000BB8D0000}"/>
    <cellStyle name="Comma 3 2 5 30" xfId="63684" xr:uid="{00000000-0005-0000-0000-0000BC8D0000}"/>
    <cellStyle name="Comma 3 2 5 4" xfId="6459" xr:uid="{00000000-0005-0000-0000-0000BD8D0000}"/>
    <cellStyle name="Comma 3 2 5 4 2" xfId="21608" xr:uid="{00000000-0005-0000-0000-0000BE8D0000}"/>
    <cellStyle name="Comma 3 2 5 5" xfId="8142" xr:uid="{00000000-0005-0000-0000-0000BF8D0000}"/>
    <cellStyle name="Comma 3 2 5 5 2" xfId="23291" xr:uid="{00000000-0005-0000-0000-0000C08D0000}"/>
    <cellStyle name="Comma 3 2 5 6" xfId="9825" xr:uid="{00000000-0005-0000-0000-0000C18D0000}"/>
    <cellStyle name="Comma 3 2 5 6 2" xfId="24974" xr:uid="{00000000-0005-0000-0000-0000C28D0000}"/>
    <cellStyle name="Comma 3 2 5 7" xfId="11508" xr:uid="{00000000-0005-0000-0000-0000C38D0000}"/>
    <cellStyle name="Comma 3 2 5 7 2" xfId="26657" xr:uid="{00000000-0005-0000-0000-0000C48D0000}"/>
    <cellStyle name="Comma 3 2 5 8" xfId="13192" xr:uid="{00000000-0005-0000-0000-0000C58D0000}"/>
    <cellStyle name="Comma 3 2 5 8 2" xfId="28341" xr:uid="{00000000-0005-0000-0000-0000C68D0000}"/>
    <cellStyle name="Comma 3 2 5 9" xfId="14875" xr:uid="{00000000-0005-0000-0000-0000C78D0000}"/>
    <cellStyle name="Comma 3 2 5 9 2" xfId="30024" xr:uid="{00000000-0005-0000-0000-0000C88D0000}"/>
    <cellStyle name="Comma 3 2 6" xfId="1830" xr:uid="{00000000-0005-0000-0000-0000C98D0000}"/>
    <cellStyle name="Comma 3 2 6 2" xfId="16979" xr:uid="{00000000-0005-0000-0000-0000CA8D0000}"/>
    <cellStyle name="Comma 3 2 7" xfId="3514" xr:uid="{00000000-0005-0000-0000-0000CB8D0000}"/>
    <cellStyle name="Comma 3 2 7 2" xfId="18663" xr:uid="{00000000-0005-0000-0000-0000CC8D0000}"/>
    <cellStyle name="Comma 3 2 8" xfId="5197" xr:uid="{00000000-0005-0000-0000-0000CD8D0000}"/>
    <cellStyle name="Comma 3 2 8 2" xfId="20346" xr:uid="{00000000-0005-0000-0000-0000CE8D0000}"/>
    <cellStyle name="Comma 3 2 9" xfId="6880" xr:uid="{00000000-0005-0000-0000-0000CF8D0000}"/>
    <cellStyle name="Comma 3 2 9 2" xfId="22029" xr:uid="{00000000-0005-0000-0000-0000D08D0000}"/>
    <cellStyle name="Comma 3 20" xfId="37072" xr:uid="{00000000-0005-0000-0000-0000D18D0000}"/>
    <cellStyle name="Comma 3 21" xfId="38755" xr:uid="{00000000-0005-0000-0000-0000D28D0000}"/>
    <cellStyle name="Comma 3 22" xfId="40438" xr:uid="{00000000-0005-0000-0000-0000D38D0000}"/>
    <cellStyle name="Comma 3 23" xfId="42121" xr:uid="{00000000-0005-0000-0000-0000D48D0000}"/>
    <cellStyle name="Comma 3 24" xfId="43804" xr:uid="{00000000-0005-0000-0000-0000D58D0000}"/>
    <cellStyle name="Comma 3 25" xfId="45487" xr:uid="{00000000-0005-0000-0000-0000D68D0000}"/>
    <cellStyle name="Comma 3 26" xfId="47170" xr:uid="{00000000-0005-0000-0000-0000D78D0000}"/>
    <cellStyle name="Comma 3 27" xfId="48853" xr:uid="{00000000-0005-0000-0000-0000D88D0000}"/>
    <cellStyle name="Comma 3 28" xfId="50536" xr:uid="{00000000-0005-0000-0000-0000D98D0000}"/>
    <cellStyle name="Comma 3 29" xfId="52219" xr:uid="{00000000-0005-0000-0000-0000DA8D0000}"/>
    <cellStyle name="Comma 3 3" xfId="252" xr:uid="{00000000-0005-0000-0000-0000DB8D0000}"/>
    <cellStyle name="Comma 3 3 10" xfId="10351" xr:uid="{00000000-0005-0000-0000-0000DC8D0000}"/>
    <cellStyle name="Comma 3 3 10 2" xfId="25500" xr:uid="{00000000-0005-0000-0000-0000DD8D0000}"/>
    <cellStyle name="Comma 3 3 11" xfId="12035" xr:uid="{00000000-0005-0000-0000-0000DE8D0000}"/>
    <cellStyle name="Comma 3 3 11 2" xfId="27184" xr:uid="{00000000-0005-0000-0000-0000DF8D0000}"/>
    <cellStyle name="Comma 3 3 12" xfId="13718" xr:uid="{00000000-0005-0000-0000-0000E08D0000}"/>
    <cellStyle name="Comma 3 3 12 2" xfId="28867" xr:uid="{00000000-0005-0000-0000-0000E18D0000}"/>
    <cellStyle name="Comma 3 3 13" xfId="15401" xr:uid="{00000000-0005-0000-0000-0000E28D0000}"/>
    <cellStyle name="Comma 3 3 14" xfId="30550" xr:uid="{00000000-0005-0000-0000-0000E38D0000}"/>
    <cellStyle name="Comma 3 3 15" xfId="32233" xr:uid="{00000000-0005-0000-0000-0000E48D0000}"/>
    <cellStyle name="Comma 3 3 16" xfId="33916" xr:uid="{00000000-0005-0000-0000-0000E58D0000}"/>
    <cellStyle name="Comma 3 3 17" xfId="35599" xr:uid="{00000000-0005-0000-0000-0000E68D0000}"/>
    <cellStyle name="Comma 3 3 18" xfId="37282" xr:uid="{00000000-0005-0000-0000-0000E78D0000}"/>
    <cellStyle name="Comma 3 3 19" xfId="38965" xr:uid="{00000000-0005-0000-0000-0000E88D0000}"/>
    <cellStyle name="Comma 3 3 2" xfId="672" xr:uid="{00000000-0005-0000-0000-0000E98D0000}"/>
    <cellStyle name="Comma 3 3 2 10" xfId="15821" xr:uid="{00000000-0005-0000-0000-0000EA8D0000}"/>
    <cellStyle name="Comma 3 3 2 11" xfId="30970" xr:uid="{00000000-0005-0000-0000-0000EB8D0000}"/>
    <cellStyle name="Comma 3 3 2 12" xfId="32653" xr:uid="{00000000-0005-0000-0000-0000EC8D0000}"/>
    <cellStyle name="Comma 3 3 2 13" xfId="34336" xr:uid="{00000000-0005-0000-0000-0000ED8D0000}"/>
    <cellStyle name="Comma 3 3 2 14" xfId="36019" xr:uid="{00000000-0005-0000-0000-0000EE8D0000}"/>
    <cellStyle name="Comma 3 3 2 15" xfId="37702" xr:uid="{00000000-0005-0000-0000-0000EF8D0000}"/>
    <cellStyle name="Comma 3 3 2 16" xfId="39385" xr:uid="{00000000-0005-0000-0000-0000F08D0000}"/>
    <cellStyle name="Comma 3 3 2 17" xfId="41068" xr:uid="{00000000-0005-0000-0000-0000F18D0000}"/>
    <cellStyle name="Comma 3 3 2 18" xfId="42751" xr:uid="{00000000-0005-0000-0000-0000F28D0000}"/>
    <cellStyle name="Comma 3 3 2 19" xfId="44434" xr:uid="{00000000-0005-0000-0000-0000F38D0000}"/>
    <cellStyle name="Comma 3 3 2 2" xfId="2355" xr:uid="{00000000-0005-0000-0000-0000F48D0000}"/>
    <cellStyle name="Comma 3 3 2 2 2" xfId="17504" xr:uid="{00000000-0005-0000-0000-0000F58D0000}"/>
    <cellStyle name="Comma 3 3 2 20" xfId="46117" xr:uid="{00000000-0005-0000-0000-0000F68D0000}"/>
    <cellStyle name="Comma 3 3 2 21" xfId="47800" xr:uid="{00000000-0005-0000-0000-0000F78D0000}"/>
    <cellStyle name="Comma 3 3 2 22" xfId="49483" xr:uid="{00000000-0005-0000-0000-0000F88D0000}"/>
    <cellStyle name="Comma 3 3 2 23" xfId="51166" xr:uid="{00000000-0005-0000-0000-0000F98D0000}"/>
    <cellStyle name="Comma 3 3 2 24" xfId="52849" xr:uid="{00000000-0005-0000-0000-0000FA8D0000}"/>
    <cellStyle name="Comma 3 3 2 25" xfId="54532" xr:uid="{00000000-0005-0000-0000-0000FB8D0000}"/>
    <cellStyle name="Comma 3 3 2 26" xfId="56215" xr:uid="{00000000-0005-0000-0000-0000FC8D0000}"/>
    <cellStyle name="Comma 3 3 2 27" xfId="57898" xr:uid="{00000000-0005-0000-0000-0000FD8D0000}"/>
    <cellStyle name="Comma 3 3 2 28" xfId="59581" xr:uid="{00000000-0005-0000-0000-0000FE8D0000}"/>
    <cellStyle name="Comma 3 3 2 29" xfId="61264" xr:uid="{00000000-0005-0000-0000-0000FF8D0000}"/>
    <cellStyle name="Comma 3 3 2 3" xfId="4039" xr:uid="{00000000-0005-0000-0000-0000008E0000}"/>
    <cellStyle name="Comma 3 3 2 3 2" xfId="19188" xr:uid="{00000000-0005-0000-0000-0000018E0000}"/>
    <cellStyle name="Comma 3 3 2 30" xfId="62947" xr:uid="{00000000-0005-0000-0000-0000028E0000}"/>
    <cellStyle name="Comma 3 3 2 4" xfId="5722" xr:uid="{00000000-0005-0000-0000-0000038E0000}"/>
    <cellStyle name="Comma 3 3 2 4 2" xfId="20871" xr:uid="{00000000-0005-0000-0000-0000048E0000}"/>
    <cellStyle name="Comma 3 3 2 5" xfId="7405" xr:uid="{00000000-0005-0000-0000-0000058E0000}"/>
    <cellStyle name="Comma 3 3 2 5 2" xfId="22554" xr:uid="{00000000-0005-0000-0000-0000068E0000}"/>
    <cellStyle name="Comma 3 3 2 6" xfId="9088" xr:uid="{00000000-0005-0000-0000-0000078E0000}"/>
    <cellStyle name="Comma 3 3 2 6 2" xfId="24237" xr:uid="{00000000-0005-0000-0000-0000088E0000}"/>
    <cellStyle name="Comma 3 3 2 7" xfId="10771" xr:uid="{00000000-0005-0000-0000-0000098E0000}"/>
    <cellStyle name="Comma 3 3 2 7 2" xfId="25920" xr:uid="{00000000-0005-0000-0000-00000A8E0000}"/>
    <cellStyle name="Comma 3 3 2 8" xfId="12455" xr:uid="{00000000-0005-0000-0000-00000B8E0000}"/>
    <cellStyle name="Comma 3 3 2 8 2" xfId="27604" xr:uid="{00000000-0005-0000-0000-00000C8E0000}"/>
    <cellStyle name="Comma 3 3 2 9" xfId="14138" xr:uid="{00000000-0005-0000-0000-00000D8E0000}"/>
    <cellStyle name="Comma 3 3 2 9 2" xfId="29287" xr:uid="{00000000-0005-0000-0000-00000E8E0000}"/>
    <cellStyle name="Comma 3 3 20" xfId="40648" xr:uid="{00000000-0005-0000-0000-00000F8E0000}"/>
    <cellStyle name="Comma 3 3 21" xfId="42331" xr:uid="{00000000-0005-0000-0000-0000108E0000}"/>
    <cellStyle name="Comma 3 3 22" xfId="44014" xr:uid="{00000000-0005-0000-0000-0000118E0000}"/>
    <cellStyle name="Comma 3 3 23" xfId="45697" xr:uid="{00000000-0005-0000-0000-0000128E0000}"/>
    <cellStyle name="Comma 3 3 24" xfId="47380" xr:uid="{00000000-0005-0000-0000-0000138E0000}"/>
    <cellStyle name="Comma 3 3 25" xfId="49063" xr:uid="{00000000-0005-0000-0000-0000148E0000}"/>
    <cellStyle name="Comma 3 3 26" xfId="50746" xr:uid="{00000000-0005-0000-0000-0000158E0000}"/>
    <cellStyle name="Comma 3 3 27" xfId="52429" xr:uid="{00000000-0005-0000-0000-0000168E0000}"/>
    <cellStyle name="Comma 3 3 28" xfId="54112" xr:uid="{00000000-0005-0000-0000-0000178E0000}"/>
    <cellStyle name="Comma 3 3 29" xfId="55795" xr:uid="{00000000-0005-0000-0000-0000188E0000}"/>
    <cellStyle name="Comma 3 3 3" xfId="1093" xr:uid="{00000000-0005-0000-0000-0000198E0000}"/>
    <cellStyle name="Comma 3 3 3 10" xfId="16242" xr:uid="{00000000-0005-0000-0000-00001A8E0000}"/>
    <cellStyle name="Comma 3 3 3 11" xfId="31391" xr:uid="{00000000-0005-0000-0000-00001B8E0000}"/>
    <cellStyle name="Comma 3 3 3 12" xfId="33074" xr:uid="{00000000-0005-0000-0000-00001C8E0000}"/>
    <cellStyle name="Comma 3 3 3 13" xfId="34757" xr:uid="{00000000-0005-0000-0000-00001D8E0000}"/>
    <cellStyle name="Comma 3 3 3 14" xfId="36440" xr:uid="{00000000-0005-0000-0000-00001E8E0000}"/>
    <cellStyle name="Comma 3 3 3 15" xfId="38123" xr:uid="{00000000-0005-0000-0000-00001F8E0000}"/>
    <cellStyle name="Comma 3 3 3 16" xfId="39806" xr:uid="{00000000-0005-0000-0000-0000208E0000}"/>
    <cellStyle name="Comma 3 3 3 17" xfId="41489" xr:uid="{00000000-0005-0000-0000-0000218E0000}"/>
    <cellStyle name="Comma 3 3 3 18" xfId="43172" xr:uid="{00000000-0005-0000-0000-0000228E0000}"/>
    <cellStyle name="Comma 3 3 3 19" xfId="44855" xr:uid="{00000000-0005-0000-0000-0000238E0000}"/>
    <cellStyle name="Comma 3 3 3 2" xfId="2776" xr:uid="{00000000-0005-0000-0000-0000248E0000}"/>
    <cellStyle name="Comma 3 3 3 2 2" xfId="17925" xr:uid="{00000000-0005-0000-0000-0000258E0000}"/>
    <cellStyle name="Comma 3 3 3 20" xfId="46538" xr:uid="{00000000-0005-0000-0000-0000268E0000}"/>
    <cellStyle name="Comma 3 3 3 21" xfId="48221" xr:uid="{00000000-0005-0000-0000-0000278E0000}"/>
    <cellStyle name="Comma 3 3 3 22" xfId="49904" xr:uid="{00000000-0005-0000-0000-0000288E0000}"/>
    <cellStyle name="Comma 3 3 3 23" xfId="51587" xr:uid="{00000000-0005-0000-0000-0000298E0000}"/>
    <cellStyle name="Comma 3 3 3 24" xfId="53270" xr:uid="{00000000-0005-0000-0000-00002A8E0000}"/>
    <cellStyle name="Comma 3 3 3 25" xfId="54953" xr:uid="{00000000-0005-0000-0000-00002B8E0000}"/>
    <cellStyle name="Comma 3 3 3 26" xfId="56636" xr:uid="{00000000-0005-0000-0000-00002C8E0000}"/>
    <cellStyle name="Comma 3 3 3 27" xfId="58319" xr:uid="{00000000-0005-0000-0000-00002D8E0000}"/>
    <cellStyle name="Comma 3 3 3 28" xfId="60002" xr:uid="{00000000-0005-0000-0000-00002E8E0000}"/>
    <cellStyle name="Comma 3 3 3 29" xfId="61685" xr:uid="{00000000-0005-0000-0000-00002F8E0000}"/>
    <cellStyle name="Comma 3 3 3 3" xfId="4460" xr:uid="{00000000-0005-0000-0000-0000308E0000}"/>
    <cellStyle name="Comma 3 3 3 3 2" xfId="19609" xr:uid="{00000000-0005-0000-0000-0000318E0000}"/>
    <cellStyle name="Comma 3 3 3 30" xfId="63368" xr:uid="{00000000-0005-0000-0000-0000328E0000}"/>
    <cellStyle name="Comma 3 3 3 4" xfId="6143" xr:uid="{00000000-0005-0000-0000-0000338E0000}"/>
    <cellStyle name="Comma 3 3 3 4 2" xfId="21292" xr:uid="{00000000-0005-0000-0000-0000348E0000}"/>
    <cellStyle name="Comma 3 3 3 5" xfId="7826" xr:uid="{00000000-0005-0000-0000-0000358E0000}"/>
    <cellStyle name="Comma 3 3 3 5 2" xfId="22975" xr:uid="{00000000-0005-0000-0000-0000368E0000}"/>
    <cellStyle name="Comma 3 3 3 6" xfId="9509" xr:uid="{00000000-0005-0000-0000-0000378E0000}"/>
    <cellStyle name="Comma 3 3 3 6 2" xfId="24658" xr:uid="{00000000-0005-0000-0000-0000388E0000}"/>
    <cellStyle name="Comma 3 3 3 7" xfId="11192" xr:uid="{00000000-0005-0000-0000-0000398E0000}"/>
    <cellStyle name="Comma 3 3 3 7 2" xfId="26341" xr:uid="{00000000-0005-0000-0000-00003A8E0000}"/>
    <cellStyle name="Comma 3 3 3 8" xfId="12876" xr:uid="{00000000-0005-0000-0000-00003B8E0000}"/>
    <cellStyle name="Comma 3 3 3 8 2" xfId="28025" xr:uid="{00000000-0005-0000-0000-00003C8E0000}"/>
    <cellStyle name="Comma 3 3 3 9" xfId="14559" xr:uid="{00000000-0005-0000-0000-00003D8E0000}"/>
    <cellStyle name="Comma 3 3 3 9 2" xfId="29708" xr:uid="{00000000-0005-0000-0000-00003E8E0000}"/>
    <cellStyle name="Comma 3 3 30" xfId="57478" xr:uid="{00000000-0005-0000-0000-00003F8E0000}"/>
    <cellStyle name="Comma 3 3 31" xfId="59161" xr:uid="{00000000-0005-0000-0000-0000408E0000}"/>
    <cellStyle name="Comma 3 3 32" xfId="60844" xr:uid="{00000000-0005-0000-0000-0000418E0000}"/>
    <cellStyle name="Comma 3 3 33" xfId="62527" xr:uid="{00000000-0005-0000-0000-0000428E0000}"/>
    <cellStyle name="Comma 3 3 4" xfId="1514" xr:uid="{00000000-0005-0000-0000-0000438E0000}"/>
    <cellStyle name="Comma 3 3 4 10" xfId="16663" xr:uid="{00000000-0005-0000-0000-0000448E0000}"/>
    <cellStyle name="Comma 3 3 4 11" xfId="31812" xr:uid="{00000000-0005-0000-0000-0000458E0000}"/>
    <cellStyle name="Comma 3 3 4 12" xfId="33495" xr:uid="{00000000-0005-0000-0000-0000468E0000}"/>
    <cellStyle name="Comma 3 3 4 13" xfId="35178" xr:uid="{00000000-0005-0000-0000-0000478E0000}"/>
    <cellStyle name="Comma 3 3 4 14" xfId="36861" xr:uid="{00000000-0005-0000-0000-0000488E0000}"/>
    <cellStyle name="Comma 3 3 4 15" xfId="38544" xr:uid="{00000000-0005-0000-0000-0000498E0000}"/>
    <cellStyle name="Comma 3 3 4 16" xfId="40227" xr:uid="{00000000-0005-0000-0000-00004A8E0000}"/>
    <cellStyle name="Comma 3 3 4 17" xfId="41910" xr:uid="{00000000-0005-0000-0000-00004B8E0000}"/>
    <cellStyle name="Comma 3 3 4 18" xfId="43593" xr:uid="{00000000-0005-0000-0000-00004C8E0000}"/>
    <cellStyle name="Comma 3 3 4 19" xfId="45276" xr:uid="{00000000-0005-0000-0000-00004D8E0000}"/>
    <cellStyle name="Comma 3 3 4 2" xfId="3197" xr:uid="{00000000-0005-0000-0000-00004E8E0000}"/>
    <cellStyle name="Comma 3 3 4 2 2" xfId="18346" xr:uid="{00000000-0005-0000-0000-00004F8E0000}"/>
    <cellStyle name="Comma 3 3 4 20" xfId="46959" xr:uid="{00000000-0005-0000-0000-0000508E0000}"/>
    <cellStyle name="Comma 3 3 4 21" xfId="48642" xr:uid="{00000000-0005-0000-0000-0000518E0000}"/>
    <cellStyle name="Comma 3 3 4 22" xfId="50325" xr:uid="{00000000-0005-0000-0000-0000528E0000}"/>
    <cellStyle name="Comma 3 3 4 23" xfId="52008" xr:uid="{00000000-0005-0000-0000-0000538E0000}"/>
    <cellStyle name="Comma 3 3 4 24" xfId="53691" xr:uid="{00000000-0005-0000-0000-0000548E0000}"/>
    <cellStyle name="Comma 3 3 4 25" xfId="55374" xr:uid="{00000000-0005-0000-0000-0000558E0000}"/>
    <cellStyle name="Comma 3 3 4 26" xfId="57057" xr:uid="{00000000-0005-0000-0000-0000568E0000}"/>
    <cellStyle name="Comma 3 3 4 27" xfId="58740" xr:uid="{00000000-0005-0000-0000-0000578E0000}"/>
    <cellStyle name="Comma 3 3 4 28" xfId="60423" xr:uid="{00000000-0005-0000-0000-0000588E0000}"/>
    <cellStyle name="Comma 3 3 4 29" xfId="62106" xr:uid="{00000000-0005-0000-0000-0000598E0000}"/>
    <cellStyle name="Comma 3 3 4 3" xfId="4881" xr:uid="{00000000-0005-0000-0000-00005A8E0000}"/>
    <cellStyle name="Comma 3 3 4 3 2" xfId="20030" xr:uid="{00000000-0005-0000-0000-00005B8E0000}"/>
    <cellStyle name="Comma 3 3 4 30" xfId="63789" xr:uid="{00000000-0005-0000-0000-00005C8E0000}"/>
    <cellStyle name="Comma 3 3 4 4" xfId="6564" xr:uid="{00000000-0005-0000-0000-00005D8E0000}"/>
    <cellStyle name="Comma 3 3 4 4 2" xfId="21713" xr:uid="{00000000-0005-0000-0000-00005E8E0000}"/>
    <cellStyle name="Comma 3 3 4 5" xfId="8247" xr:uid="{00000000-0005-0000-0000-00005F8E0000}"/>
    <cellStyle name="Comma 3 3 4 5 2" xfId="23396" xr:uid="{00000000-0005-0000-0000-0000608E0000}"/>
    <cellStyle name="Comma 3 3 4 6" xfId="9930" xr:uid="{00000000-0005-0000-0000-0000618E0000}"/>
    <cellStyle name="Comma 3 3 4 6 2" xfId="25079" xr:uid="{00000000-0005-0000-0000-0000628E0000}"/>
    <cellStyle name="Comma 3 3 4 7" xfId="11613" xr:uid="{00000000-0005-0000-0000-0000638E0000}"/>
    <cellStyle name="Comma 3 3 4 7 2" xfId="26762" xr:uid="{00000000-0005-0000-0000-0000648E0000}"/>
    <cellStyle name="Comma 3 3 4 8" xfId="13297" xr:uid="{00000000-0005-0000-0000-0000658E0000}"/>
    <cellStyle name="Comma 3 3 4 8 2" xfId="28446" xr:uid="{00000000-0005-0000-0000-0000668E0000}"/>
    <cellStyle name="Comma 3 3 4 9" xfId="14980" xr:uid="{00000000-0005-0000-0000-0000678E0000}"/>
    <cellStyle name="Comma 3 3 4 9 2" xfId="30129" xr:uid="{00000000-0005-0000-0000-0000688E0000}"/>
    <cellStyle name="Comma 3 3 5" xfId="1935" xr:uid="{00000000-0005-0000-0000-0000698E0000}"/>
    <cellStyle name="Comma 3 3 5 2" xfId="17084" xr:uid="{00000000-0005-0000-0000-00006A8E0000}"/>
    <cellStyle name="Comma 3 3 6" xfId="3619" xr:uid="{00000000-0005-0000-0000-00006B8E0000}"/>
    <cellStyle name="Comma 3 3 6 2" xfId="18768" xr:uid="{00000000-0005-0000-0000-00006C8E0000}"/>
    <cellStyle name="Comma 3 3 7" xfId="5302" xr:uid="{00000000-0005-0000-0000-00006D8E0000}"/>
    <cellStyle name="Comma 3 3 7 2" xfId="20451" xr:uid="{00000000-0005-0000-0000-00006E8E0000}"/>
    <cellStyle name="Comma 3 3 8" xfId="6985" xr:uid="{00000000-0005-0000-0000-00006F8E0000}"/>
    <cellStyle name="Comma 3 3 8 2" xfId="22134" xr:uid="{00000000-0005-0000-0000-0000708E0000}"/>
    <cellStyle name="Comma 3 3 9" xfId="8668" xr:uid="{00000000-0005-0000-0000-0000718E0000}"/>
    <cellStyle name="Comma 3 3 9 2" xfId="23817" xr:uid="{00000000-0005-0000-0000-0000728E0000}"/>
    <cellStyle name="Comma 3 30" xfId="53902" xr:uid="{00000000-0005-0000-0000-0000738E0000}"/>
    <cellStyle name="Comma 3 31" xfId="55585" xr:uid="{00000000-0005-0000-0000-0000748E0000}"/>
    <cellStyle name="Comma 3 32" xfId="57268" xr:uid="{00000000-0005-0000-0000-0000758E0000}"/>
    <cellStyle name="Comma 3 33" xfId="58951" xr:uid="{00000000-0005-0000-0000-0000768E0000}"/>
    <cellStyle name="Comma 3 34" xfId="60634" xr:uid="{00000000-0005-0000-0000-0000778E0000}"/>
    <cellStyle name="Comma 3 35" xfId="62317" xr:uid="{00000000-0005-0000-0000-0000788E0000}"/>
    <cellStyle name="Comma 3 4" xfId="462" xr:uid="{00000000-0005-0000-0000-0000798E0000}"/>
    <cellStyle name="Comma 3 4 10" xfId="15611" xr:uid="{00000000-0005-0000-0000-00007A8E0000}"/>
    <cellStyle name="Comma 3 4 11" xfId="30760" xr:uid="{00000000-0005-0000-0000-00007B8E0000}"/>
    <cellStyle name="Comma 3 4 12" xfId="32443" xr:uid="{00000000-0005-0000-0000-00007C8E0000}"/>
    <cellStyle name="Comma 3 4 13" xfId="34126" xr:uid="{00000000-0005-0000-0000-00007D8E0000}"/>
    <cellStyle name="Comma 3 4 14" xfId="35809" xr:uid="{00000000-0005-0000-0000-00007E8E0000}"/>
    <cellStyle name="Comma 3 4 15" xfId="37492" xr:uid="{00000000-0005-0000-0000-00007F8E0000}"/>
    <cellStyle name="Comma 3 4 16" xfId="39175" xr:uid="{00000000-0005-0000-0000-0000808E0000}"/>
    <cellStyle name="Comma 3 4 17" xfId="40858" xr:uid="{00000000-0005-0000-0000-0000818E0000}"/>
    <cellStyle name="Comma 3 4 18" xfId="42541" xr:uid="{00000000-0005-0000-0000-0000828E0000}"/>
    <cellStyle name="Comma 3 4 19" xfId="44224" xr:uid="{00000000-0005-0000-0000-0000838E0000}"/>
    <cellStyle name="Comma 3 4 2" xfId="2145" xr:uid="{00000000-0005-0000-0000-0000848E0000}"/>
    <cellStyle name="Comma 3 4 2 2" xfId="17294" xr:uid="{00000000-0005-0000-0000-0000858E0000}"/>
    <cellStyle name="Comma 3 4 20" xfId="45907" xr:uid="{00000000-0005-0000-0000-0000868E0000}"/>
    <cellStyle name="Comma 3 4 21" xfId="47590" xr:uid="{00000000-0005-0000-0000-0000878E0000}"/>
    <cellStyle name="Comma 3 4 22" xfId="49273" xr:uid="{00000000-0005-0000-0000-0000888E0000}"/>
    <cellStyle name="Comma 3 4 23" xfId="50956" xr:uid="{00000000-0005-0000-0000-0000898E0000}"/>
    <cellStyle name="Comma 3 4 24" xfId="52639" xr:uid="{00000000-0005-0000-0000-00008A8E0000}"/>
    <cellStyle name="Comma 3 4 25" xfId="54322" xr:uid="{00000000-0005-0000-0000-00008B8E0000}"/>
    <cellStyle name="Comma 3 4 26" xfId="56005" xr:uid="{00000000-0005-0000-0000-00008C8E0000}"/>
    <cellStyle name="Comma 3 4 27" xfId="57688" xr:uid="{00000000-0005-0000-0000-00008D8E0000}"/>
    <cellStyle name="Comma 3 4 28" xfId="59371" xr:uid="{00000000-0005-0000-0000-00008E8E0000}"/>
    <cellStyle name="Comma 3 4 29" xfId="61054" xr:uid="{00000000-0005-0000-0000-00008F8E0000}"/>
    <cellStyle name="Comma 3 4 3" xfId="3829" xr:uid="{00000000-0005-0000-0000-0000908E0000}"/>
    <cellStyle name="Comma 3 4 3 2" xfId="18978" xr:uid="{00000000-0005-0000-0000-0000918E0000}"/>
    <cellStyle name="Comma 3 4 30" xfId="62737" xr:uid="{00000000-0005-0000-0000-0000928E0000}"/>
    <cellStyle name="Comma 3 4 4" xfId="5512" xr:uid="{00000000-0005-0000-0000-0000938E0000}"/>
    <cellStyle name="Comma 3 4 4 2" xfId="20661" xr:uid="{00000000-0005-0000-0000-0000948E0000}"/>
    <cellStyle name="Comma 3 4 5" xfId="7195" xr:uid="{00000000-0005-0000-0000-0000958E0000}"/>
    <cellStyle name="Comma 3 4 5 2" xfId="22344" xr:uid="{00000000-0005-0000-0000-0000968E0000}"/>
    <cellStyle name="Comma 3 4 6" xfId="8878" xr:uid="{00000000-0005-0000-0000-0000978E0000}"/>
    <cellStyle name="Comma 3 4 6 2" xfId="24027" xr:uid="{00000000-0005-0000-0000-0000988E0000}"/>
    <cellStyle name="Comma 3 4 7" xfId="10561" xr:uid="{00000000-0005-0000-0000-0000998E0000}"/>
    <cellStyle name="Comma 3 4 7 2" xfId="25710" xr:uid="{00000000-0005-0000-0000-00009A8E0000}"/>
    <cellStyle name="Comma 3 4 8" xfId="12245" xr:uid="{00000000-0005-0000-0000-00009B8E0000}"/>
    <cellStyle name="Comma 3 4 8 2" xfId="27394" xr:uid="{00000000-0005-0000-0000-00009C8E0000}"/>
    <cellStyle name="Comma 3 4 9" xfId="13928" xr:uid="{00000000-0005-0000-0000-00009D8E0000}"/>
    <cellStyle name="Comma 3 4 9 2" xfId="29077" xr:uid="{00000000-0005-0000-0000-00009E8E0000}"/>
    <cellStyle name="Comma 3 5" xfId="883" xr:uid="{00000000-0005-0000-0000-00009F8E0000}"/>
    <cellStyle name="Comma 3 5 10" xfId="16032" xr:uid="{00000000-0005-0000-0000-0000A08E0000}"/>
    <cellStyle name="Comma 3 5 11" xfId="31181" xr:uid="{00000000-0005-0000-0000-0000A18E0000}"/>
    <cellStyle name="Comma 3 5 12" xfId="32864" xr:uid="{00000000-0005-0000-0000-0000A28E0000}"/>
    <cellStyle name="Comma 3 5 13" xfId="34547" xr:uid="{00000000-0005-0000-0000-0000A38E0000}"/>
    <cellStyle name="Comma 3 5 14" xfId="36230" xr:uid="{00000000-0005-0000-0000-0000A48E0000}"/>
    <cellStyle name="Comma 3 5 15" xfId="37913" xr:uid="{00000000-0005-0000-0000-0000A58E0000}"/>
    <cellStyle name="Comma 3 5 16" xfId="39596" xr:uid="{00000000-0005-0000-0000-0000A68E0000}"/>
    <cellStyle name="Comma 3 5 17" xfId="41279" xr:uid="{00000000-0005-0000-0000-0000A78E0000}"/>
    <cellStyle name="Comma 3 5 18" xfId="42962" xr:uid="{00000000-0005-0000-0000-0000A88E0000}"/>
    <cellStyle name="Comma 3 5 19" xfId="44645" xr:uid="{00000000-0005-0000-0000-0000A98E0000}"/>
    <cellStyle name="Comma 3 5 2" xfId="2566" xr:uid="{00000000-0005-0000-0000-0000AA8E0000}"/>
    <cellStyle name="Comma 3 5 2 2" xfId="17715" xr:uid="{00000000-0005-0000-0000-0000AB8E0000}"/>
    <cellStyle name="Comma 3 5 20" xfId="46328" xr:uid="{00000000-0005-0000-0000-0000AC8E0000}"/>
    <cellStyle name="Comma 3 5 21" xfId="48011" xr:uid="{00000000-0005-0000-0000-0000AD8E0000}"/>
    <cellStyle name="Comma 3 5 22" xfId="49694" xr:uid="{00000000-0005-0000-0000-0000AE8E0000}"/>
    <cellStyle name="Comma 3 5 23" xfId="51377" xr:uid="{00000000-0005-0000-0000-0000AF8E0000}"/>
    <cellStyle name="Comma 3 5 24" xfId="53060" xr:uid="{00000000-0005-0000-0000-0000B08E0000}"/>
    <cellStyle name="Comma 3 5 25" xfId="54743" xr:uid="{00000000-0005-0000-0000-0000B18E0000}"/>
    <cellStyle name="Comma 3 5 26" xfId="56426" xr:uid="{00000000-0005-0000-0000-0000B28E0000}"/>
    <cellStyle name="Comma 3 5 27" xfId="58109" xr:uid="{00000000-0005-0000-0000-0000B38E0000}"/>
    <cellStyle name="Comma 3 5 28" xfId="59792" xr:uid="{00000000-0005-0000-0000-0000B48E0000}"/>
    <cellStyle name="Comma 3 5 29" xfId="61475" xr:uid="{00000000-0005-0000-0000-0000B58E0000}"/>
    <cellStyle name="Comma 3 5 3" xfId="4250" xr:uid="{00000000-0005-0000-0000-0000B68E0000}"/>
    <cellStyle name="Comma 3 5 3 2" xfId="19399" xr:uid="{00000000-0005-0000-0000-0000B78E0000}"/>
    <cellStyle name="Comma 3 5 30" xfId="63158" xr:uid="{00000000-0005-0000-0000-0000B88E0000}"/>
    <cellStyle name="Comma 3 5 4" xfId="5933" xr:uid="{00000000-0005-0000-0000-0000B98E0000}"/>
    <cellStyle name="Comma 3 5 4 2" xfId="21082" xr:uid="{00000000-0005-0000-0000-0000BA8E0000}"/>
    <cellStyle name="Comma 3 5 5" xfId="7616" xr:uid="{00000000-0005-0000-0000-0000BB8E0000}"/>
    <cellStyle name="Comma 3 5 5 2" xfId="22765" xr:uid="{00000000-0005-0000-0000-0000BC8E0000}"/>
    <cellStyle name="Comma 3 5 6" xfId="9299" xr:uid="{00000000-0005-0000-0000-0000BD8E0000}"/>
    <cellStyle name="Comma 3 5 6 2" xfId="24448" xr:uid="{00000000-0005-0000-0000-0000BE8E0000}"/>
    <cellStyle name="Comma 3 5 7" xfId="10982" xr:uid="{00000000-0005-0000-0000-0000BF8E0000}"/>
    <cellStyle name="Comma 3 5 7 2" xfId="26131" xr:uid="{00000000-0005-0000-0000-0000C08E0000}"/>
    <cellStyle name="Comma 3 5 8" xfId="12666" xr:uid="{00000000-0005-0000-0000-0000C18E0000}"/>
    <cellStyle name="Comma 3 5 8 2" xfId="27815" xr:uid="{00000000-0005-0000-0000-0000C28E0000}"/>
    <cellStyle name="Comma 3 5 9" xfId="14349" xr:uid="{00000000-0005-0000-0000-0000C38E0000}"/>
    <cellStyle name="Comma 3 5 9 2" xfId="29498" xr:uid="{00000000-0005-0000-0000-0000C48E0000}"/>
    <cellStyle name="Comma 3 6" xfId="1304" xr:uid="{00000000-0005-0000-0000-0000C58E0000}"/>
    <cellStyle name="Comma 3 6 10" xfId="16453" xr:uid="{00000000-0005-0000-0000-0000C68E0000}"/>
    <cellStyle name="Comma 3 6 11" xfId="31602" xr:uid="{00000000-0005-0000-0000-0000C78E0000}"/>
    <cellStyle name="Comma 3 6 12" xfId="33285" xr:uid="{00000000-0005-0000-0000-0000C88E0000}"/>
    <cellStyle name="Comma 3 6 13" xfId="34968" xr:uid="{00000000-0005-0000-0000-0000C98E0000}"/>
    <cellStyle name="Comma 3 6 14" xfId="36651" xr:uid="{00000000-0005-0000-0000-0000CA8E0000}"/>
    <cellStyle name="Comma 3 6 15" xfId="38334" xr:uid="{00000000-0005-0000-0000-0000CB8E0000}"/>
    <cellStyle name="Comma 3 6 16" xfId="40017" xr:uid="{00000000-0005-0000-0000-0000CC8E0000}"/>
    <cellStyle name="Comma 3 6 17" xfId="41700" xr:uid="{00000000-0005-0000-0000-0000CD8E0000}"/>
    <cellStyle name="Comma 3 6 18" xfId="43383" xr:uid="{00000000-0005-0000-0000-0000CE8E0000}"/>
    <cellStyle name="Comma 3 6 19" xfId="45066" xr:uid="{00000000-0005-0000-0000-0000CF8E0000}"/>
    <cellStyle name="Comma 3 6 2" xfId="2987" xr:uid="{00000000-0005-0000-0000-0000D08E0000}"/>
    <cellStyle name="Comma 3 6 2 2" xfId="18136" xr:uid="{00000000-0005-0000-0000-0000D18E0000}"/>
    <cellStyle name="Comma 3 6 20" xfId="46749" xr:uid="{00000000-0005-0000-0000-0000D28E0000}"/>
    <cellStyle name="Comma 3 6 21" xfId="48432" xr:uid="{00000000-0005-0000-0000-0000D38E0000}"/>
    <cellStyle name="Comma 3 6 22" xfId="50115" xr:uid="{00000000-0005-0000-0000-0000D48E0000}"/>
    <cellStyle name="Comma 3 6 23" xfId="51798" xr:uid="{00000000-0005-0000-0000-0000D58E0000}"/>
    <cellStyle name="Comma 3 6 24" xfId="53481" xr:uid="{00000000-0005-0000-0000-0000D68E0000}"/>
    <cellStyle name="Comma 3 6 25" xfId="55164" xr:uid="{00000000-0005-0000-0000-0000D78E0000}"/>
    <cellStyle name="Comma 3 6 26" xfId="56847" xr:uid="{00000000-0005-0000-0000-0000D88E0000}"/>
    <cellStyle name="Comma 3 6 27" xfId="58530" xr:uid="{00000000-0005-0000-0000-0000D98E0000}"/>
    <cellStyle name="Comma 3 6 28" xfId="60213" xr:uid="{00000000-0005-0000-0000-0000DA8E0000}"/>
    <cellStyle name="Comma 3 6 29" xfId="61896" xr:uid="{00000000-0005-0000-0000-0000DB8E0000}"/>
    <cellStyle name="Comma 3 6 3" xfId="4671" xr:uid="{00000000-0005-0000-0000-0000DC8E0000}"/>
    <cellStyle name="Comma 3 6 3 2" xfId="19820" xr:uid="{00000000-0005-0000-0000-0000DD8E0000}"/>
    <cellStyle name="Comma 3 6 30" xfId="63579" xr:uid="{00000000-0005-0000-0000-0000DE8E0000}"/>
    <cellStyle name="Comma 3 6 4" xfId="6354" xr:uid="{00000000-0005-0000-0000-0000DF8E0000}"/>
    <cellStyle name="Comma 3 6 4 2" xfId="21503" xr:uid="{00000000-0005-0000-0000-0000E08E0000}"/>
    <cellStyle name="Comma 3 6 5" xfId="8037" xr:uid="{00000000-0005-0000-0000-0000E18E0000}"/>
    <cellStyle name="Comma 3 6 5 2" xfId="23186" xr:uid="{00000000-0005-0000-0000-0000E28E0000}"/>
    <cellStyle name="Comma 3 6 6" xfId="9720" xr:uid="{00000000-0005-0000-0000-0000E38E0000}"/>
    <cellStyle name="Comma 3 6 6 2" xfId="24869" xr:uid="{00000000-0005-0000-0000-0000E48E0000}"/>
    <cellStyle name="Comma 3 6 7" xfId="11403" xr:uid="{00000000-0005-0000-0000-0000E58E0000}"/>
    <cellStyle name="Comma 3 6 7 2" xfId="26552" xr:uid="{00000000-0005-0000-0000-0000E68E0000}"/>
    <cellStyle name="Comma 3 6 8" xfId="13087" xr:uid="{00000000-0005-0000-0000-0000E78E0000}"/>
    <cellStyle name="Comma 3 6 8 2" xfId="28236" xr:uid="{00000000-0005-0000-0000-0000E88E0000}"/>
    <cellStyle name="Comma 3 6 9" xfId="14770" xr:uid="{00000000-0005-0000-0000-0000E98E0000}"/>
    <cellStyle name="Comma 3 6 9 2" xfId="29919" xr:uid="{00000000-0005-0000-0000-0000EA8E0000}"/>
    <cellStyle name="Comma 3 7" xfId="1725" xr:uid="{00000000-0005-0000-0000-0000EB8E0000}"/>
    <cellStyle name="Comma 3 7 2" xfId="16874" xr:uid="{00000000-0005-0000-0000-0000EC8E0000}"/>
    <cellStyle name="Comma 3 8" xfId="3409" xr:uid="{00000000-0005-0000-0000-0000ED8E0000}"/>
    <cellStyle name="Comma 3 8 2" xfId="18558" xr:uid="{00000000-0005-0000-0000-0000EE8E0000}"/>
    <cellStyle name="Comma 3 9" xfId="5092" xr:uid="{00000000-0005-0000-0000-0000EF8E0000}"/>
    <cellStyle name="Comma 3 9 2" xfId="20241" xr:uid="{00000000-0005-0000-0000-0000F08E0000}"/>
    <cellStyle name="Comma 30" xfId="45476" xr:uid="{00000000-0005-0000-0000-0000F18E0000}"/>
    <cellStyle name="Comma 31" xfId="47159" xr:uid="{00000000-0005-0000-0000-0000F28E0000}"/>
    <cellStyle name="Comma 32" xfId="48842" xr:uid="{00000000-0005-0000-0000-0000F38E0000}"/>
    <cellStyle name="Comma 33" xfId="50525" xr:uid="{00000000-0005-0000-0000-0000F48E0000}"/>
    <cellStyle name="Comma 34" xfId="52208" xr:uid="{00000000-0005-0000-0000-0000F58E0000}"/>
    <cellStyle name="Comma 35" xfId="53891" xr:uid="{00000000-0005-0000-0000-0000F68E0000}"/>
    <cellStyle name="Comma 36" xfId="55574" xr:uid="{00000000-0005-0000-0000-0000F78E0000}"/>
    <cellStyle name="Comma 37" xfId="57257" xr:uid="{00000000-0005-0000-0000-0000F88E0000}"/>
    <cellStyle name="Comma 38" xfId="58940" xr:uid="{00000000-0005-0000-0000-0000F98E0000}"/>
    <cellStyle name="Comma 39" xfId="60623" xr:uid="{00000000-0005-0000-0000-0000FA8E0000}"/>
    <cellStyle name="Comma 4" xfId="29" xr:uid="{00000000-0005-0000-0000-0000FB8E0000}"/>
    <cellStyle name="Comma 4 10" xfId="6784" xr:uid="{00000000-0005-0000-0000-0000FC8E0000}"/>
    <cellStyle name="Comma 4 10 2" xfId="21933" xr:uid="{00000000-0005-0000-0000-0000FD8E0000}"/>
    <cellStyle name="Comma 4 11" xfId="8467" xr:uid="{00000000-0005-0000-0000-0000FE8E0000}"/>
    <cellStyle name="Comma 4 11 2" xfId="23616" xr:uid="{00000000-0005-0000-0000-0000FF8E0000}"/>
    <cellStyle name="Comma 4 12" xfId="10150" xr:uid="{00000000-0005-0000-0000-0000008F0000}"/>
    <cellStyle name="Comma 4 12 2" xfId="25299" xr:uid="{00000000-0005-0000-0000-0000018F0000}"/>
    <cellStyle name="Comma 4 13" xfId="11834" xr:uid="{00000000-0005-0000-0000-0000028F0000}"/>
    <cellStyle name="Comma 4 13 2" xfId="26983" xr:uid="{00000000-0005-0000-0000-0000038F0000}"/>
    <cellStyle name="Comma 4 14" xfId="13517" xr:uid="{00000000-0005-0000-0000-0000048F0000}"/>
    <cellStyle name="Comma 4 14 2" xfId="28666" xr:uid="{00000000-0005-0000-0000-0000058F0000}"/>
    <cellStyle name="Comma 4 15" xfId="15200" xr:uid="{00000000-0005-0000-0000-0000068F0000}"/>
    <cellStyle name="Comma 4 16" xfId="30349" xr:uid="{00000000-0005-0000-0000-0000078F0000}"/>
    <cellStyle name="Comma 4 17" xfId="32032" xr:uid="{00000000-0005-0000-0000-0000088F0000}"/>
    <cellStyle name="Comma 4 18" xfId="33715" xr:uid="{00000000-0005-0000-0000-0000098F0000}"/>
    <cellStyle name="Comma 4 19" xfId="35398" xr:uid="{00000000-0005-0000-0000-00000A8F0000}"/>
    <cellStyle name="Comma 4 2" xfId="156" xr:uid="{00000000-0005-0000-0000-00000B8F0000}"/>
    <cellStyle name="Comma 4 2 10" xfId="8572" xr:uid="{00000000-0005-0000-0000-00000C8F0000}"/>
    <cellStyle name="Comma 4 2 10 2" xfId="23721" xr:uid="{00000000-0005-0000-0000-00000D8F0000}"/>
    <cellStyle name="Comma 4 2 11" xfId="10255" xr:uid="{00000000-0005-0000-0000-00000E8F0000}"/>
    <cellStyle name="Comma 4 2 11 2" xfId="25404" xr:uid="{00000000-0005-0000-0000-00000F8F0000}"/>
    <cellStyle name="Comma 4 2 12" xfId="11939" xr:uid="{00000000-0005-0000-0000-0000108F0000}"/>
    <cellStyle name="Comma 4 2 12 2" xfId="27088" xr:uid="{00000000-0005-0000-0000-0000118F0000}"/>
    <cellStyle name="Comma 4 2 13" xfId="13622" xr:uid="{00000000-0005-0000-0000-0000128F0000}"/>
    <cellStyle name="Comma 4 2 13 2" xfId="28771" xr:uid="{00000000-0005-0000-0000-0000138F0000}"/>
    <cellStyle name="Comma 4 2 14" xfId="15305" xr:uid="{00000000-0005-0000-0000-0000148F0000}"/>
    <cellStyle name="Comma 4 2 15" xfId="30454" xr:uid="{00000000-0005-0000-0000-0000158F0000}"/>
    <cellStyle name="Comma 4 2 16" xfId="32137" xr:uid="{00000000-0005-0000-0000-0000168F0000}"/>
    <cellStyle name="Comma 4 2 17" xfId="33820" xr:uid="{00000000-0005-0000-0000-0000178F0000}"/>
    <cellStyle name="Comma 4 2 18" xfId="35503" xr:uid="{00000000-0005-0000-0000-0000188F0000}"/>
    <cellStyle name="Comma 4 2 19" xfId="37186" xr:uid="{00000000-0005-0000-0000-0000198F0000}"/>
    <cellStyle name="Comma 4 2 2" xfId="366" xr:uid="{00000000-0005-0000-0000-00001A8F0000}"/>
    <cellStyle name="Comma 4 2 2 10" xfId="10465" xr:uid="{00000000-0005-0000-0000-00001B8F0000}"/>
    <cellStyle name="Comma 4 2 2 10 2" xfId="25614" xr:uid="{00000000-0005-0000-0000-00001C8F0000}"/>
    <cellStyle name="Comma 4 2 2 11" xfId="12149" xr:uid="{00000000-0005-0000-0000-00001D8F0000}"/>
    <cellStyle name="Comma 4 2 2 11 2" xfId="27298" xr:uid="{00000000-0005-0000-0000-00001E8F0000}"/>
    <cellStyle name="Comma 4 2 2 12" xfId="13832" xr:uid="{00000000-0005-0000-0000-00001F8F0000}"/>
    <cellStyle name="Comma 4 2 2 12 2" xfId="28981" xr:uid="{00000000-0005-0000-0000-0000208F0000}"/>
    <cellStyle name="Comma 4 2 2 13" xfId="15515" xr:uid="{00000000-0005-0000-0000-0000218F0000}"/>
    <cellStyle name="Comma 4 2 2 14" xfId="30664" xr:uid="{00000000-0005-0000-0000-0000228F0000}"/>
    <cellStyle name="Comma 4 2 2 15" xfId="32347" xr:uid="{00000000-0005-0000-0000-0000238F0000}"/>
    <cellStyle name="Comma 4 2 2 16" xfId="34030" xr:uid="{00000000-0005-0000-0000-0000248F0000}"/>
    <cellStyle name="Comma 4 2 2 17" xfId="35713" xr:uid="{00000000-0005-0000-0000-0000258F0000}"/>
    <cellStyle name="Comma 4 2 2 18" xfId="37396" xr:uid="{00000000-0005-0000-0000-0000268F0000}"/>
    <cellStyle name="Comma 4 2 2 19" xfId="39079" xr:uid="{00000000-0005-0000-0000-0000278F0000}"/>
    <cellStyle name="Comma 4 2 2 2" xfId="786" xr:uid="{00000000-0005-0000-0000-0000288F0000}"/>
    <cellStyle name="Comma 4 2 2 2 10" xfId="15935" xr:uid="{00000000-0005-0000-0000-0000298F0000}"/>
    <cellStyle name="Comma 4 2 2 2 11" xfId="31084" xr:uid="{00000000-0005-0000-0000-00002A8F0000}"/>
    <cellStyle name="Comma 4 2 2 2 12" xfId="32767" xr:uid="{00000000-0005-0000-0000-00002B8F0000}"/>
    <cellStyle name="Comma 4 2 2 2 13" xfId="34450" xr:uid="{00000000-0005-0000-0000-00002C8F0000}"/>
    <cellStyle name="Comma 4 2 2 2 14" xfId="36133" xr:uid="{00000000-0005-0000-0000-00002D8F0000}"/>
    <cellStyle name="Comma 4 2 2 2 15" xfId="37816" xr:uid="{00000000-0005-0000-0000-00002E8F0000}"/>
    <cellStyle name="Comma 4 2 2 2 16" xfId="39499" xr:uid="{00000000-0005-0000-0000-00002F8F0000}"/>
    <cellStyle name="Comma 4 2 2 2 17" xfId="41182" xr:uid="{00000000-0005-0000-0000-0000308F0000}"/>
    <cellStyle name="Comma 4 2 2 2 18" xfId="42865" xr:uid="{00000000-0005-0000-0000-0000318F0000}"/>
    <cellStyle name="Comma 4 2 2 2 19" xfId="44548" xr:uid="{00000000-0005-0000-0000-0000328F0000}"/>
    <cellStyle name="Comma 4 2 2 2 2" xfId="2469" xr:uid="{00000000-0005-0000-0000-0000338F0000}"/>
    <cellStyle name="Comma 4 2 2 2 2 2" xfId="17618" xr:uid="{00000000-0005-0000-0000-0000348F0000}"/>
    <cellStyle name="Comma 4 2 2 2 20" xfId="46231" xr:uid="{00000000-0005-0000-0000-0000358F0000}"/>
    <cellStyle name="Comma 4 2 2 2 21" xfId="47914" xr:uid="{00000000-0005-0000-0000-0000368F0000}"/>
    <cellStyle name="Comma 4 2 2 2 22" xfId="49597" xr:uid="{00000000-0005-0000-0000-0000378F0000}"/>
    <cellStyle name="Comma 4 2 2 2 23" xfId="51280" xr:uid="{00000000-0005-0000-0000-0000388F0000}"/>
    <cellStyle name="Comma 4 2 2 2 24" xfId="52963" xr:uid="{00000000-0005-0000-0000-0000398F0000}"/>
    <cellStyle name="Comma 4 2 2 2 25" xfId="54646" xr:uid="{00000000-0005-0000-0000-00003A8F0000}"/>
    <cellStyle name="Comma 4 2 2 2 26" xfId="56329" xr:uid="{00000000-0005-0000-0000-00003B8F0000}"/>
    <cellStyle name="Comma 4 2 2 2 27" xfId="58012" xr:uid="{00000000-0005-0000-0000-00003C8F0000}"/>
    <cellStyle name="Comma 4 2 2 2 28" xfId="59695" xr:uid="{00000000-0005-0000-0000-00003D8F0000}"/>
    <cellStyle name="Comma 4 2 2 2 29" xfId="61378" xr:uid="{00000000-0005-0000-0000-00003E8F0000}"/>
    <cellStyle name="Comma 4 2 2 2 3" xfId="4153" xr:uid="{00000000-0005-0000-0000-00003F8F0000}"/>
    <cellStyle name="Comma 4 2 2 2 3 2" xfId="19302" xr:uid="{00000000-0005-0000-0000-0000408F0000}"/>
    <cellStyle name="Comma 4 2 2 2 30" xfId="63061" xr:uid="{00000000-0005-0000-0000-0000418F0000}"/>
    <cellStyle name="Comma 4 2 2 2 4" xfId="5836" xr:uid="{00000000-0005-0000-0000-0000428F0000}"/>
    <cellStyle name="Comma 4 2 2 2 4 2" xfId="20985" xr:uid="{00000000-0005-0000-0000-0000438F0000}"/>
    <cellStyle name="Comma 4 2 2 2 5" xfId="7519" xr:uid="{00000000-0005-0000-0000-0000448F0000}"/>
    <cellStyle name="Comma 4 2 2 2 5 2" xfId="22668" xr:uid="{00000000-0005-0000-0000-0000458F0000}"/>
    <cellStyle name="Comma 4 2 2 2 6" xfId="9202" xr:uid="{00000000-0005-0000-0000-0000468F0000}"/>
    <cellStyle name="Comma 4 2 2 2 6 2" xfId="24351" xr:uid="{00000000-0005-0000-0000-0000478F0000}"/>
    <cellStyle name="Comma 4 2 2 2 7" xfId="10885" xr:uid="{00000000-0005-0000-0000-0000488F0000}"/>
    <cellStyle name="Comma 4 2 2 2 7 2" xfId="26034" xr:uid="{00000000-0005-0000-0000-0000498F0000}"/>
    <cellStyle name="Comma 4 2 2 2 8" xfId="12569" xr:uid="{00000000-0005-0000-0000-00004A8F0000}"/>
    <cellStyle name="Comma 4 2 2 2 8 2" xfId="27718" xr:uid="{00000000-0005-0000-0000-00004B8F0000}"/>
    <cellStyle name="Comma 4 2 2 2 9" xfId="14252" xr:uid="{00000000-0005-0000-0000-00004C8F0000}"/>
    <cellStyle name="Comma 4 2 2 2 9 2" xfId="29401" xr:uid="{00000000-0005-0000-0000-00004D8F0000}"/>
    <cellStyle name="Comma 4 2 2 20" xfId="40762" xr:uid="{00000000-0005-0000-0000-00004E8F0000}"/>
    <cellStyle name="Comma 4 2 2 21" xfId="42445" xr:uid="{00000000-0005-0000-0000-00004F8F0000}"/>
    <cellStyle name="Comma 4 2 2 22" xfId="44128" xr:uid="{00000000-0005-0000-0000-0000508F0000}"/>
    <cellStyle name="Comma 4 2 2 23" xfId="45811" xr:uid="{00000000-0005-0000-0000-0000518F0000}"/>
    <cellStyle name="Comma 4 2 2 24" xfId="47494" xr:uid="{00000000-0005-0000-0000-0000528F0000}"/>
    <cellStyle name="Comma 4 2 2 25" xfId="49177" xr:uid="{00000000-0005-0000-0000-0000538F0000}"/>
    <cellStyle name="Comma 4 2 2 26" xfId="50860" xr:uid="{00000000-0005-0000-0000-0000548F0000}"/>
    <cellStyle name="Comma 4 2 2 27" xfId="52543" xr:uid="{00000000-0005-0000-0000-0000558F0000}"/>
    <cellStyle name="Comma 4 2 2 28" xfId="54226" xr:uid="{00000000-0005-0000-0000-0000568F0000}"/>
    <cellStyle name="Comma 4 2 2 29" xfId="55909" xr:uid="{00000000-0005-0000-0000-0000578F0000}"/>
    <cellStyle name="Comma 4 2 2 3" xfId="1207" xr:uid="{00000000-0005-0000-0000-0000588F0000}"/>
    <cellStyle name="Comma 4 2 2 3 10" xfId="16356" xr:uid="{00000000-0005-0000-0000-0000598F0000}"/>
    <cellStyle name="Comma 4 2 2 3 11" xfId="31505" xr:uid="{00000000-0005-0000-0000-00005A8F0000}"/>
    <cellStyle name="Comma 4 2 2 3 12" xfId="33188" xr:uid="{00000000-0005-0000-0000-00005B8F0000}"/>
    <cellStyle name="Comma 4 2 2 3 13" xfId="34871" xr:uid="{00000000-0005-0000-0000-00005C8F0000}"/>
    <cellStyle name="Comma 4 2 2 3 14" xfId="36554" xr:uid="{00000000-0005-0000-0000-00005D8F0000}"/>
    <cellStyle name="Comma 4 2 2 3 15" xfId="38237" xr:uid="{00000000-0005-0000-0000-00005E8F0000}"/>
    <cellStyle name="Comma 4 2 2 3 16" xfId="39920" xr:uid="{00000000-0005-0000-0000-00005F8F0000}"/>
    <cellStyle name="Comma 4 2 2 3 17" xfId="41603" xr:uid="{00000000-0005-0000-0000-0000608F0000}"/>
    <cellStyle name="Comma 4 2 2 3 18" xfId="43286" xr:uid="{00000000-0005-0000-0000-0000618F0000}"/>
    <cellStyle name="Comma 4 2 2 3 19" xfId="44969" xr:uid="{00000000-0005-0000-0000-0000628F0000}"/>
    <cellStyle name="Comma 4 2 2 3 2" xfId="2890" xr:uid="{00000000-0005-0000-0000-0000638F0000}"/>
    <cellStyle name="Comma 4 2 2 3 2 2" xfId="18039" xr:uid="{00000000-0005-0000-0000-0000648F0000}"/>
    <cellStyle name="Comma 4 2 2 3 20" xfId="46652" xr:uid="{00000000-0005-0000-0000-0000658F0000}"/>
    <cellStyle name="Comma 4 2 2 3 21" xfId="48335" xr:uid="{00000000-0005-0000-0000-0000668F0000}"/>
    <cellStyle name="Comma 4 2 2 3 22" xfId="50018" xr:uid="{00000000-0005-0000-0000-0000678F0000}"/>
    <cellStyle name="Comma 4 2 2 3 23" xfId="51701" xr:uid="{00000000-0005-0000-0000-0000688F0000}"/>
    <cellStyle name="Comma 4 2 2 3 24" xfId="53384" xr:uid="{00000000-0005-0000-0000-0000698F0000}"/>
    <cellStyle name="Comma 4 2 2 3 25" xfId="55067" xr:uid="{00000000-0005-0000-0000-00006A8F0000}"/>
    <cellStyle name="Comma 4 2 2 3 26" xfId="56750" xr:uid="{00000000-0005-0000-0000-00006B8F0000}"/>
    <cellStyle name="Comma 4 2 2 3 27" xfId="58433" xr:uid="{00000000-0005-0000-0000-00006C8F0000}"/>
    <cellStyle name="Comma 4 2 2 3 28" xfId="60116" xr:uid="{00000000-0005-0000-0000-00006D8F0000}"/>
    <cellStyle name="Comma 4 2 2 3 29" xfId="61799" xr:uid="{00000000-0005-0000-0000-00006E8F0000}"/>
    <cellStyle name="Comma 4 2 2 3 3" xfId="4574" xr:uid="{00000000-0005-0000-0000-00006F8F0000}"/>
    <cellStyle name="Comma 4 2 2 3 3 2" xfId="19723" xr:uid="{00000000-0005-0000-0000-0000708F0000}"/>
    <cellStyle name="Comma 4 2 2 3 30" xfId="63482" xr:uid="{00000000-0005-0000-0000-0000718F0000}"/>
    <cellStyle name="Comma 4 2 2 3 4" xfId="6257" xr:uid="{00000000-0005-0000-0000-0000728F0000}"/>
    <cellStyle name="Comma 4 2 2 3 4 2" xfId="21406" xr:uid="{00000000-0005-0000-0000-0000738F0000}"/>
    <cellStyle name="Comma 4 2 2 3 5" xfId="7940" xr:uid="{00000000-0005-0000-0000-0000748F0000}"/>
    <cellStyle name="Comma 4 2 2 3 5 2" xfId="23089" xr:uid="{00000000-0005-0000-0000-0000758F0000}"/>
    <cellStyle name="Comma 4 2 2 3 6" xfId="9623" xr:uid="{00000000-0005-0000-0000-0000768F0000}"/>
    <cellStyle name="Comma 4 2 2 3 6 2" xfId="24772" xr:uid="{00000000-0005-0000-0000-0000778F0000}"/>
    <cellStyle name="Comma 4 2 2 3 7" xfId="11306" xr:uid="{00000000-0005-0000-0000-0000788F0000}"/>
    <cellStyle name="Comma 4 2 2 3 7 2" xfId="26455" xr:uid="{00000000-0005-0000-0000-0000798F0000}"/>
    <cellStyle name="Comma 4 2 2 3 8" xfId="12990" xr:uid="{00000000-0005-0000-0000-00007A8F0000}"/>
    <cellStyle name="Comma 4 2 2 3 8 2" xfId="28139" xr:uid="{00000000-0005-0000-0000-00007B8F0000}"/>
    <cellStyle name="Comma 4 2 2 3 9" xfId="14673" xr:uid="{00000000-0005-0000-0000-00007C8F0000}"/>
    <cellStyle name="Comma 4 2 2 3 9 2" xfId="29822" xr:uid="{00000000-0005-0000-0000-00007D8F0000}"/>
    <cellStyle name="Comma 4 2 2 30" xfId="57592" xr:uid="{00000000-0005-0000-0000-00007E8F0000}"/>
    <cellStyle name="Comma 4 2 2 31" xfId="59275" xr:uid="{00000000-0005-0000-0000-00007F8F0000}"/>
    <cellStyle name="Comma 4 2 2 32" xfId="60958" xr:uid="{00000000-0005-0000-0000-0000808F0000}"/>
    <cellStyle name="Comma 4 2 2 33" xfId="62641" xr:uid="{00000000-0005-0000-0000-0000818F0000}"/>
    <cellStyle name="Comma 4 2 2 4" xfId="1628" xr:uid="{00000000-0005-0000-0000-0000828F0000}"/>
    <cellStyle name="Comma 4 2 2 4 10" xfId="16777" xr:uid="{00000000-0005-0000-0000-0000838F0000}"/>
    <cellStyle name="Comma 4 2 2 4 11" xfId="31926" xr:uid="{00000000-0005-0000-0000-0000848F0000}"/>
    <cellStyle name="Comma 4 2 2 4 12" xfId="33609" xr:uid="{00000000-0005-0000-0000-0000858F0000}"/>
    <cellStyle name="Comma 4 2 2 4 13" xfId="35292" xr:uid="{00000000-0005-0000-0000-0000868F0000}"/>
    <cellStyle name="Comma 4 2 2 4 14" xfId="36975" xr:uid="{00000000-0005-0000-0000-0000878F0000}"/>
    <cellStyle name="Comma 4 2 2 4 15" xfId="38658" xr:uid="{00000000-0005-0000-0000-0000888F0000}"/>
    <cellStyle name="Comma 4 2 2 4 16" xfId="40341" xr:uid="{00000000-0005-0000-0000-0000898F0000}"/>
    <cellStyle name="Comma 4 2 2 4 17" xfId="42024" xr:uid="{00000000-0005-0000-0000-00008A8F0000}"/>
    <cellStyle name="Comma 4 2 2 4 18" xfId="43707" xr:uid="{00000000-0005-0000-0000-00008B8F0000}"/>
    <cellStyle name="Comma 4 2 2 4 19" xfId="45390" xr:uid="{00000000-0005-0000-0000-00008C8F0000}"/>
    <cellStyle name="Comma 4 2 2 4 2" xfId="3311" xr:uid="{00000000-0005-0000-0000-00008D8F0000}"/>
    <cellStyle name="Comma 4 2 2 4 2 2" xfId="18460" xr:uid="{00000000-0005-0000-0000-00008E8F0000}"/>
    <cellStyle name="Comma 4 2 2 4 20" xfId="47073" xr:uid="{00000000-0005-0000-0000-00008F8F0000}"/>
    <cellStyle name="Comma 4 2 2 4 21" xfId="48756" xr:uid="{00000000-0005-0000-0000-0000908F0000}"/>
    <cellStyle name="Comma 4 2 2 4 22" xfId="50439" xr:uid="{00000000-0005-0000-0000-0000918F0000}"/>
    <cellStyle name="Comma 4 2 2 4 23" xfId="52122" xr:uid="{00000000-0005-0000-0000-0000928F0000}"/>
    <cellStyle name="Comma 4 2 2 4 24" xfId="53805" xr:uid="{00000000-0005-0000-0000-0000938F0000}"/>
    <cellStyle name="Comma 4 2 2 4 25" xfId="55488" xr:uid="{00000000-0005-0000-0000-0000948F0000}"/>
    <cellStyle name="Comma 4 2 2 4 26" xfId="57171" xr:uid="{00000000-0005-0000-0000-0000958F0000}"/>
    <cellStyle name="Comma 4 2 2 4 27" xfId="58854" xr:uid="{00000000-0005-0000-0000-0000968F0000}"/>
    <cellStyle name="Comma 4 2 2 4 28" xfId="60537" xr:uid="{00000000-0005-0000-0000-0000978F0000}"/>
    <cellStyle name="Comma 4 2 2 4 29" xfId="62220" xr:uid="{00000000-0005-0000-0000-0000988F0000}"/>
    <cellStyle name="Comma 4 2 2 4 3" xfId="4995" xr:uid="{00000000-0005-0000-0000-0000998F0000}"/>
    <cellStyle name="Comma 4 2 2 4 3 2" xfId="20144" xr:uid="{00000000-0005-0000-0000-00009A8F0000}"/>
    <cellStyle name="Comma 4 2 2 4 30" xfId="63903" xr:uid="{00000000-0005-0000-0000-00009B8F0000}"/>
    <cellStyle name="Comma 4 2 2 4 4" xfId="6678" xr:uid="{00000000-0005-0000-0000-00009C8F0000}"/>
    <cellStyle name="Comma 4 2 2 4 4 2" xfId="21827" xr:uid="{00000000-0005-0000-0000-00009D8F0000}"/>
    <cellStyle name="Comma 4 2 2 4 5" xfId="8361" xr:uid="{00000000-0005-0000-0000-00009E8F0000}"/>
    <cellStyle name="Comma 4 2 2 4 5 2" xfId="23510" xr:uid="{00000000-0005-0000-0000-00009F8F0000}"/>
    <cellStyle name="Comma 4 2 2 4 6" xfId="10044" xr:uid="{00000000-0005-0000-0000-0000A08F0000}"/>
    <cellStyle name="Comma 4 2 2 4 6 2" xfId="25193" xr:uid="{00000000-0005-0000-0000-0000A18F0000}"/>
    <cellStyle name="Comma 4 2 2 4 7" xfId="11727" xr:uid="{00000000-0005-0000-0000-0000A28F0000}"/>
    <cellStyle name="Comma 4 2 2 4 7 2" xfId="26876" xr:uid="{00000000-0005-0000-0000-0000A38F0000}"/>
    <cellStyle name="Comma 4 2 2 4 8" xfId="13411" xr:uid="{00000000-0005-0000-0000-0000A48F0000}"/>
    <cellStyle name="Comma 4 2 2 4 8 2" xfId="28560" xr:uid="{00000000-0005-0000-0000-0000A58F0000}"/>
    <cellStyle name="Comma 4 2 2 4 9" xfId="15094" xr:uid="{00000000-0005-0000-0000-0000A68F0000}"/>
    <cellStyle name="Comma 4 2 2 4 9 2" xfId="30243" xr:uid="{00000000-0005-0000-0000-0000A78F0000}"/>
    <cellStyle name="Comma 4 2 2 5" xfId="2049" xr:uid="{00000000-0005-0000-0000-0000A88F0000}"/>
    <cellStyle name="Comma 4 2 2 5 2" xfId="17198" xr:uid="{00000000-0005-0000-0000-0000A98F0000}"/>
    <cellStyle name="Comma 4 2 2 6" xfId="3733" xr:uid="{00000000-0005-0000-0000-0000AA8F0000}"/>
    <cellStyle name="Comma 4 2 2 6 2" xfId="18882" xr:uid="{00000000-0005-0000-0000-0000AB8F0000}"/>
    <cellStyle name="Comma 4 2 2 7" xfId="5416" xr:uid="{00000000-0005-0000-0000-0000AC8F0000}"/>
    <cellStyle name="Comma 4 2 2 7 2" xfId="20565" xr:uid="{00000000-0005-0000-0000-0000AD8F0000}"/>
    <cellStyle name="Comma 4 2 2 8" xfId="7099" xr:uid="{00000000-0005-0000-0000-0000AE8F0000}"/>
    <cellStyle name="Comma 4 2 2 8 2" xfId="22248" xr:uid="{00000000-0005-0000-0000-0000AF8F0000}"/>
    <cellStyle name="Comma 4 2 2 9" xfId="8782" xr:uid="{00000000-0005-0000-0000-0000B08F0000}"/>
    <cellStyle name="Comma 4 2 2 9 2" xfId="23931" xr:uid="{00000000-0005-0000-0000-0000B18F0000}"/>
    <cellStyle name="Comma 4 2 20" xfId="38869" xr:uid="{00000000-0005-0000-0000-0000B28F0000}"/>
    <cellStyle name="Comma 4 2 21" xfId="40552" xr:uid="{00000000-0005-0000-0000-0000B38F0000}"/>
    <cellStyle name="Comma 4 2 22" xfId="42235" xr:uid="{00000000-0005-0000-0000-0000B48F0000}"/>
    <cellStyle name="Comma 4 2 23" xfId="43918" xr:uid="{00000000-0005-0000-0000-0000B58F0000}"/>
    <cellStyle name="Comma 4 2 24" xfId="45601" xr:uid="{00000000-0005-0000-0000-0000B68F0000}"/>
    <cellStyle name="Comma 4 2 25" xfId="47284" xr:uid="{00000000-0005-0000-0000-0000B78F0000}"/>
    <cellStyle name="Comma 4 2 26" xfId="48967" xr:uid="{00000000-0005-0000-0000-0000B88F0000}"/>
    <cellStyle name="Comma 4 2 27" xfId="50650" xr:uid="{00000000-0005-0000-0000-0000B98F0000}"/>
    <cellStyle name="Comma 4 2 28" xfId="52333" xr:uid="{00000000-0005-0000-0000-0000BA8F0000}"/>
    <cellStyle name="Comma 4 2 29" xfId="54016" xr:uid="{00000000-0005-0000-0000-0000BB8F0000}"/>
    <cellStyle name="Comma 4 2 3" xfId="576" xr:uid="{00000000-0005-0000-0000-0000BC8F0000}"/>
    <cellStyle name="Comma 4 2 3 10" xfId="15725" xr:uid="{00000000-0005-0000-0000-0000BD8F0000}"/>
    <cellStyle name="Comma 4 2 3 11" xfId="30874" xr:uid="{00000000-0005-0000-0000-0000BE8F0000}"/>
    <cellStyle name="Comma 4 2 3 12" xfId="32557" xr:uid="{00000000-0005-0000-0000-0000BF8F0000}"/>
    <cellStyle name="Comma 4 2 3 13" xfId="34240" xr:uid="{00000000-0005-0000-0000-0000C08F0000}"/>
    <cellStyle name="Comma 4 2 3 14" xfId="35923" xr:uid="{00000000-0005-0000-0000-0000C18F0000}"/>
    <cellStyle name="Comma 4 2 3 15" xfId="37606" xr:uid="{00000000-0005-0000-0000-0000C28F0000}"/>
    <cellStyle name="Comma 4 2 3 16" xfId="39289" xr:uid="{00000000-0005-0000-0000-0000C38F0000}"/>
    <cellStyle name="Comma 4 2 3 17" xfId="40972" xr:uid="{00000000-0005-0000-0000-0000C48F0000}"/>
    <cellStyle name="Comma 4 2 3 18" xfId="42655" xr:uid="{00000000-0005-0000-0000-0000C58F0000}"/>
    <cellStyle name="Comma 4 2 3 19" xfId="44338" xr:uid="{00000000-0005-0000-0000-0000C68F0000}"/>
    <cellStyle name="Comma 4 2 3 2" xfId="2259" xr:uid="{00000000-0005-0000-0000-0000C78F0000}"/>
    <cellStyle name="Comma 4 2 3 2 2" xfId="17408" xr:uid="{00000000-0005-0000-0000-0000C88F0000}"/>
    <cellStyle name="Comma 4 2 3 20" xfId="46021" xr:uid="{00000000-0005-0000-0000-0000C98F0000}"/>
    <cellStyle name="Comma 4 2 3 21" xfId="47704" xr:uid="{00000000-0005-0000-0000-0000CA8F0000}"/>
    <cellStyle name="Comma 4 2 3 22" xfId="49387" xr:uid="{00000000-0005-0000-0000-0000CB8F0000}"/>
    <cellStyle name="Comma 4 2 3 23" xfId="51070" xr:uid="{00000000-0005-0000-0000-0000CC8F0000}"/>
    <cellStyle name="Comma 4 2 3 24" xfId="52753" xr:uid="{00000000-0005-0000-0000-0000CD8F0000}"/>
    <cellStyle name="Comma 4 2 3 25" xfId="54436" xr:uid="{00000000-0005-0000-0000-0000CE8F0000}"/>
    <cellStyle name="Comma 4 2 3 26" xfId="56119" xr:uid="{00000000-0005-0000-0000-0000CF8F0000}"/>
    <cellStyle name="Comma 4 2 3 27" xfId="57802" xr:uid="{00000000-0005-0000-0000-0000D08F0000}"/>
    <cellStyle name="Comma 4 2 3 28" xfId="59485" xr:uid="{00000000-0005-0000-0000-0000D18F0000}"/>
    <cellStyle name="Comma 4 2 3 29" xfId="61168" xr:uid="{00000000-0005-0000-0000-0000D28F0000}"/>
    <cellStyle name="Comma 4 2 3 3" xfId="3943" xr:uid="{00000000-0005-0000-0000-0000D38F0000}"/>
    <cellStyle name="Comma 4 2 3 3 2" xfId="19092" xr:uid="{00000000-0005-0000-0000-0000D48F0000}"/>
    <cellStyle name="Comma 4 2 3 30" xfId="62851" xr:uid="{00000000-0005-0000-0000-0000D58F0000}"/>
    <cellStyle name="Comma 4 2 3 4" xfId="5626" xr:uid="{00000000-0005-0000-0000-0000D68F0000}"/>
    <cellStyle name="Comma 4 2 3 4 2" xfId="20775" xr:uid="{00000000-0005-0000-0000-0000D78F0000}"/>
    <cellStyle name="Comma 4 2 3 5" xfId="7309" xr:uid="{00000000-0005-0000-0000-0000D88F0000}"/>
    <cellStyle name="Comma 4 2 3 5 2" xfId="22458" xr:uid="{00000000-0005-0000-0000-0000D98F0000}"/>
    <cellStyle name="Comma 4 2 3 6" xfId="8992" xr:uid="{00000000-0005-0000-0000-0000DA8F0000}"/>
    <cellStyle name="Comma 4 2 3 6 2" xfId="24141" xr:uid="{00000000-0005-0000-0000-0000DB8F0000}"/>
    <cellStyle name="Comma 4 2 3 7" xfId="10675" xr:uid="{00000000-0005-0000-0000-0000DC8F0000}"/>
    <cellStyle name="Comma 4 2 3 7 2" xfId="25824" xr:uid="{00000000-0005-0000-0000-0000DD8F0000}"/>
    <cellStyle name="Comma 4 2 3 8" xfId="12359" xr:uid="{00000000-0005-0000-0000-0000DE8F0000}"/>
    <cellStyle name="Comma 4 2 3 8 2" xfId="27508" xr:uid="{00000000-0005-0000-0000-0000DF8F0000}"/>
    <cellStyle name="Comma 4 2 3 9" xfId="14042" xr:uid="{00000000-0005-0000-0000-0000E08F0000}"/>
    <cellStyle name="Comma 4 2 3 9 2" xfId="29191" xr:uid="{00000000-0005-0000-0000-0000E18F0000}"/>
    <cellStyle name="Comma 4 2 30" xfId="55699" xr:uid="{00000000-0005-0000-0000-0000E28F0000}"/>
    <cellStyle name="Comma 4 2 31" xfId="57382" xr:uid="{00000000-0005-0000-0000-0000E38F0000}"/>
    <cellStyle name="Comma 4 2 32" xfId="59065" xr:uid="{00000000-0005-0000-0000-0000E48F0000}"/>
    <cellStyle name="Comma 4 2 33" xfId="60748" xr:uid="{00000000-0005-0000-0000-0000E58F0000}"/>
    <cellStyle name="Comma 4 2 34" xfId="62431" xr:uid="{00000000-0005-0000-0000-0000E68F0000}"/>
    <cellStyle name="Comma 4 2 4" xfId="997" xr:uid="{00000000-0005-0000-0000-0000E78F0000}"/>
    <cellStyle name="Comma 4 2 4 10" xfId="16146" xr:uid="{00000000-0005-0000-0000-0000E88F0000}"/>
    <cellStyle name="Comma 4 2 4 11" xfId="31295" xr:uid="{00000000-0005-0000-0000-0000E98F0000}"/>
    <cellStyle name="Comma 4 2 4 12" xfId="32978" xr:uid="{00000000-0005-0000-0000-0000EA8F0000}"/>
    <cellStyle name="Comma 4 2 4 13" xfId="34661" xr:uid="{00000000-0005-0000-0000-0000EB8F0000}"/>
    <cellStyle name="Comma 4 2 4 14" xfId="36344" xr:uid="{00000000-0005-0000-0000-0000EC8F0000}"/>
    <cellStyle name="Comma 4 2 4 15" xfId="38027" xr:uid="{00000000-0005-0000-0000-0000ED8F0000}"/>
    <cellStyle name="Comma 4 2 4 16" xfId="39710" xr:uid="{00000000-0005-0000-0000-0000EE8F0000}"/>
    <cellStyle name="Comma 4 2 4 17" xfId="41393" xr:uid="{00000000-0005-0000-0000-0000EF8F0000}"/>
    <cellStyle name="Comma 4 2 4 18" xfId="43076" xr:uid="{00000000-0005-0000-0000-0000F08F0000}"/>
    <cellStyle name="Comma 4 2 4 19" xfId="44759" xr:uid="{00000000-0005-0000-0000-0000F18F0000}"/>
    <cellStyle name="Comma 4 2 4 2" xfId="2680" xr:uid="{00000000-0005-0000-0000-0000F28F0000}"/>
    <cellStyle name="Comma 4 2 4 2 2" xfId="17829" xr:uid="{00000000-0005-0000-0000-0000F38F0000}"/>
    <cellStyle name="Comma 4 2 4 20" xfId="46442" xr:uid="{00000000-0005-0000-0000-0000F48F0000}"/>
    <cellStyle name="Comma 4 2 4 21" xfId="48125" xr:uid="{00000000-0005-0000-0000-0000F58F0000}"/>
    <cellStyle name="Comma 4 2 4 22" xfId="49808" xr:uid="{00000000-0005-0000-0000-0000F68F0000}"/>
    <cellStyle name="Comma 4 2 4 23" xfId="51491" xr:uid="{00000000-0005-0000-0000-0000F78F0000}"/>
    <cellStyle name="Comma 4 2 4 24" xfId="53174" xr:uid="{00000000-0005-0000-0000-0000F88F0000}"/>
    <cellStyle name="Comma 4 2 4 25" xfId="54857" xr:uid="{00000000-0005-0000-0000-0000F98F0000}"/>
    <cellStyle name="Comma 4 2 4 26" xfId="56540" xr:uid="{00000000-0005-0000-0000-0000FA8F0000}"/>
    <cellStyle name="Comma 4 2 4 27" xfId="58223" xr:uid="{00000000-0005-0000-0000-0000FB8F0000}"/>
    <cellStyle name="Comma 4 2 4 28" xfId="59906" xr:uid="{00000000-0005-0000-0000-0000FC8F0000}"/>
    <cellStyle name="Comma 4 2 4 29" xfId="61589" xr:uid="{00000000-0005-0000-0000-0000FD8F0000}"/>
    <cellStyle name="Comma 4 2 4 3" xfId="4364" xr:uid="{00000000-0005-0000-0000-0000FE8F0000}"/>
    <cellStyle name="Comma 4 2 4 3 2" xfId="19513" xr:uid="{00000000-0005-0000-0000-0000FF8F0000}"/>
    <cellStyle name="Comma 4 2 4 30" xfId="63272" xr:uid="{00000000-0005-0000-0000-000000900000}"/>
    <cellStyle name="Comma 4 2 4 4" xfId="6047" xr:uid="{00000000-0005-0000-0000-000001900000}"/>
    <cellStyle name="Comma 4 2 4 4 2" xfId="21196" xr:uid="{00000000-0005-0000-0000-000002900000}"/>
    <cellStyle name="Comma 4 2 4 5" xfId="7730" xr:uid="{00000000-0005-0000-0000-000003900000}"/>
    <cellStyle name="Comma 4 2 4 5 2" xfId="22879" xr:uid="{00000000-0005-0000-0000-000004900000}"/>
    <cellStyle name="Comma 4 2 4 6" xfId="9413" xr:uid="{00000000-0005-0000-0000-000005900000}"/>
    <cellStyle name="Comma 4 2 4 6 2" xfId="24562" xr:uid="{00000000-0005-0000-0000-000006900000}"/>
    <cellStyle name="Comma 4 2 4 7" xfId="11096" xr:uid="{00000000-0005-0000-0000-000007900000}"/>
    <cellStyle name="Comma 4 2 4 7 2" xfId="26245" xr:uid="{00000000-0005-0000-0000-000008900000}"/>
    <cellStyle name="Comma 4 2 4 8" xfId="12780" xr:uid="{00000000-0005-0000-0000-000009900000}"/>
    <cellStyle name="Comma 4 2 4 8 2" xfId="27929" xr:uid="{00000000-0005-0000-0000-00000A900000}"/>
    <cellStyle name="Comma 4 2 4 9" xfId="14463" xr:uid="{00000000-0005-0000-0000-00000B900000}"/>
    <cellStyle name="Comma 4 2 4 9 2" xfId="29612" xr:uid="{00000000-0005-0000-0000-00000C900000}"/>
    <cellStyle name="Comma 4 2 5" xfId="1418" xr:uid="{00000000-0005-0000-0000-00000D900000}"/>
    <cellStyle name="Comma 4 2 5 10" xfId="16567" xr:uid="{00000000-0005-0000-0000-00000E900000}"/>
    <cellStyle name="Comma 4 2 5 11" xfId="31716" xr:uid="{00000000-0005-0000-0000-00000F900000}"/>
    <cellStyle name="Comma 4 2 5 12" xfId="33399" xr:uid="{00000000-0005-0000-0000-000010900000}"/>
    <cellStyle name="Comma 4 2 5 13" xfId="35082" xr:uid="{00000000-0005-0000-0000-000011900000}"/>
    <cellStyle name="Comma 4 2 5 14" xfId="36765" xr:uid="{00000000-0005-0000-0000-000012900000}"/>
    <cellStyle name="Comma 4 2 5 15" xfId="38448" xr:uid="{00000000-0005-0000-0000-000013900000}"/>
    <cellStyle name="Comma 4 2 5 16" xfId="40131" xr:uid="{00000000-0005-0000-0000-000014900000}"/>
    <cellStyle name="Comma 4 2 5 17" xfId="41814" xr:uid="{00000000-0005-0000-0000-000015900000}"/>
    <cellStyle name="Comma 4 2 5 18" xfId="43497" xr:uid="{00000000-0005-0000-0000-000016900000}"/>
    <cellStyle name="Comma 4 2 5 19" xfId="45180" xr:uid="{00000000-0005-0000-0000-000017900000}"/>
    <cellStyle name="Comma 4 2 5 2" xfId="3101" xr:uid="{00000000-0005-0000-0000-000018900000}"/>
    <cellStyle name="Comma 4 2 5 2 2" xfId="18250" xr:uid="{00000000-0005-0000-0000-000019900000}"/>
    <cellStyle name="Comma 4 2 5 20" xfId="46863" xr:uid="{00000000-0005-0000-0000-00001A900000}"/>
    <cellStyle name="Comma 4 2 5 21" xfId="48546" xr:uid="{00000000-0005-0000-0000-00001B900000}"/>
    <cellStyle name="Comma 4 2 5 22" xfId="50229" xr:uid="{00000000-0005-0000-0000-00001C900000}"/>
    <cellStyle name="Comma 4 2 5 23" xfId="51912" xr:uid="{00000000-0005-0000-0000-00001D900000}"/>
    <cellStyle name="Comma 4 2 5 24" xfId="53595" xr:uid="{00000000-0005-0000-0000-00001E900000}"/>
    <cellStyle name="Comma 4 2 5 25" xfId="55278" xr:uid="{00000000-0005-0000-0000-00001F900000}"/>
    <cellStyle name="Comma 4 2 5 26" xfId="56961" xr:uid="{00000000-0005-0000-0000-000020900000}"/>
    <cellStyle name="Comma 4 2 5 27" xfId="58644" xr:uid="{00000000-0005-0000-0000-000021900000}"/>
    <cellStyle name="Comma 4 2 5 28" xfId="60327" xr:uid="{00000000-0005-0000-0000-000022900000}"/>
    <cellStyle name="Comma 4 2 5 29" xfId="62010" xr:uid="{00000000-0005-0000-0000-000023900000}"/>
    <cellStyle name="Comma 4 2 5 3" xfId="4785" xr:uid="{00000000-0005-0000-0000-000024900000}"/>
    <cellStyle name="Comma 4 2 5 3 2" xfId="19934" xr:uid="{00000000-0005-0000-0000-000025900000}"/>
    <cellStyle name="Comma 4 2 5 30" xfId="63693" xr:uid="{00000000-0005-0000-0000-000026900000}"/>
    <cellStyle name="Comma 4 2 5 4" xfId="6468" xr:uid="{00000000-0005-0000-0000-000027900000}"/>
    <cellStyle name="Comma 4 2 5 4 2" xfId="21617" xr:uid="{00000000-0005-0000-0000-000028900000}"/>
    <cellStyle name="Comma 4 2 5 5" xfId="8151" xr:uid="{00000000-0005-0000-0000-000029900000}"/>
    <cellStyle name="Comma 4 2 5 5 2" xfId="23300" xr:uid="{00000000-0005-0000-0000-00002A900000}"/>
    <cellStyle name="Comma 4 2 5 6" xfId="9834" xr:uid="{00000000-0005-0000-0000-00002B900000}"/>
    <cellStyle name="Comma 4 2 5 6 2" xfId="24983" xr:uid="{00000000-0005-0000-0000-00002C900000}"/>
    <cellStyle name="Comma 4 2 5 7" xfId="11517" xr:uid="{00000000-0005-0000-0000-00002D900000}"/>
    <cellStyle name="Comma 4 2 5 7 2" xfId="26666" xr:uid="{00000000-0005-0000-0000-00002E900000}"/>
    <cellStyle name="Comma 4 2 5 8" xfId="13201" xr:uid="{00000000-0005-0000-0000-00002F900000}"/>
    <cellStyle name="Comma 4 2 5 8 2" xfId="28350" xr:uid="{00000000-0005-0000-0000-000030900000}"/>
    <cellStyle name="Comma 4 2 5 9" xfId="14884" xr:uid="{00000000-0005-0000-0000-000031900000}"/>
    <cellStyle name="Comma 4 2 5 9 2" xfId="30033" xr:uid="{00000000-0005-0000-0000-000032900000}"/>
    <cellStyle name="Comma 4 2 6" xfId="1839" xr:uid="{00000000-0005-0000-0000-000033900000}"/>
    <cellStyle name="Comma 4 2 6 2" xfId="16988" xr:uid="{00000000-0005-0000-0000-000034900000}"/>
    <cellStyle name="Comma 4 2 7" xfId="3523" xr:uid="{00000000-0005-0000-0000-000035900000}"/>
    <cellStyle name="Comma 4 2 7 2" xfId="18672" xr:uid="{00000000-0005-0000-0000-000036900000}"/>
    <cellStyle name="Comma 4 2 8" xfId="5206" xr:uid="{00000000-0005-0000-0000-000037900000}"/>
    <cellStyle name="Comma 4 2 8 2" xfId="20355" xr:uid="{00000000-0005-0000-0000-000038900000}"/>
    <cellStyle name="Comma 4 2 9" xfId="6889" xr:uid="{00000000-0005-0000-0000-000039900000}"/>
    <cellStyle name="Comma 4 2 9 2" xfId="22038" xr:uid="{00000000-0005-0000-0000-00003A900000}"/>
    <cellStyle name="Comma 4 20" xfId="37081" xr:uid="{00000000-0005-0000-0000-00003B900000}"/>
    <cellStyle name="Comma 4 21" xfId="38764" xr:uid="{00000000-0005-0000-0000-00003C900000}"/>
    <cellStyle name="Comma 4 22" xfId="40447" xr:uid="{00000000-0005-0000-0000-00003D900000}"/>
    <cellStyle name="Comma 4 23" xfId="42130" xr:uid="{00000000-0005-0000-0000-00003E900000}"/>
    <cellStyle name="Comma 4 24" xfId="43813" xr:uid="{00000000-0005-0000-0000-00003F900000}"/>
    <cellStyle name="Comma 4 25" xfId="45496" xr:uid="{00000000-0005-0000-0000-000040900000}"/>
    <cellStyle name="Comma 4 26" xfId="47179" xr:uid="{00000000-0005-0000-0000-000041900000}"/>
    <cellStyle name="Comma 4 27" xfId="48862" xr:uid="{00000000-0005-0000-0000-000042900000}"/>
    <cellStyle name="Comma 4 28" xfId="50545" xr:uid="{00000000-0005-0000-0000-000043900000}"/>
    <cellStyle name="Comma 4 29" xfId="52228" xr:uid="{00000000-0005-0000-0000-000044900000}"/>
    <cellStyle name="Comma 4 3" xfId="261" xr:uid="{00000000-0005-0000-0000-000045900000}"/>
    <cellStyle name="Comma 4 3 10" xfId="10360" xr:uid="{00000000-0005-0000-0000-000046900000}"/>
    <cellStyle name="Comma 4 3 10 2" xfId="25509" xr:uid="{00000000-0005-0000-0000-000047900000}"/>
    <cellStyle name="Comma 4 3 11" xfId="12044" xr:uid="{00000000-0005-0000-0000-000048900000}"/>
    <cellStyle name="Comma 4 3 11 2" xfId="27193" xr:uid="{00000000-0005-0000-0000-000049900000}"/>
    <cellStyle name="Comma 4 3 12" xfId="13727" xr:uid="{00000000-0005-0000-0000-00004A900000}"/>
    <cellStyle name="Comma 4 3 12 2" xfId="28876" xr:uid="{00000000-0005-0000-0000-00004B900000}"/>
    <cellStyle name="Comma 4 3 13" xfId="15410" xr:uid="{00000000-0005-0000-0000-00004C900000}"/>
    <cellStyle name="Comma 4 3 14" xfId="30559" xr:uid="{00000000-0005-0000-0000-00004D900000}"/>
    <cellStyle name="Comma 4 3 15" xfId="32242" xr:uid="{00000000-0005-0000-0000-00004E900000}"/>
    <cellStyle name="Comma 4 3 16" xfId="33925" xr:uid="{00000000-0005-0000-0000-00004F900000}"/>
    <cellStyle name="Comma 4 3 17" xfId="35608" xr:uid="{00000000-0005-0000-0000-000050900000}"/>
    <cellStyle name="Comma 4 3 18" xfId="37291" xr:uid="{00000000-0005-0000-0000-000051900000}"/>
    <cellStyle name="Comma 4 3 19" xfId="38974" xr:uid="{00000000-0005-0000-0000-000052900000}"/>
    <cellStyle name="Comma 4 3 2" xfId="681" xr:uid="{00000000-0005-0000-0000-000053900000}"/>
    <cellStyle name="Comma 4 3 2 10" xfId="15830" xr:uid="{00000000-0005-0000-0000-000054900000}"/>
    <cellStyle name="Comma 4 3 2 11" xfId="30979" xr:uid="{00000000-0005-0000-0000-000055900000}"/>
    <cellStyle name="Comma 4 3 2 12" xfId="32662" xr:uid="{00000000-0005-0000-0000-000056900000}"/>
    <cellStyle name="Comma 4 3 2 13" xfId="34345" xr:uid="{00000000-0005-0000-0000-000057900000}"/>
    <cellStyle name="Comma 4 3 2 14" xfId="36028" xr:uid="{00000000-0005-0000-0000-000058900000}"/>
    <cellStyle name="Comma 4 3 2 15" xfId="37711" xr:uid="{00000000-0005-0000-0000-000059900000}"/>
    <cellStyle name="Comma 4 3 2 16" xfId="39394" xr:uid="{00000000-0005-0000-0000-00005A900000}"/>
    <cellStyle name="Comma 4 3 2 17" xfId="41077" xr:uid="{00000000-0005-0000-0000-00005B900000}"/>
    <cellStyle name="Comma 4 3 2 18" xfId="42760" xr:uid="{00000000-0005-0000-0000-00005C900000}"/>
    <cellStyle name="Comma 4 3 2 19" xfId="44443" xr:uid="{00000000-0005-0000-0000-00005D900000}"/>
    <cellStyle name="Comma 4 3 2 2" xfId="2364" xr:uid="{00000000-0005-0000-0000-00005E900000}"/>
    <cellStyle name="Comma 4 3 2 2 2" xfId="17513" xr:uid="{00000000-0005-0000-0000-00005F900000}"/>
    <cellStyle name="Comma 4 3 2 20" xfId="46126" xr:uid="{00000000-0005-0000-0000-000060900000}"/>
    <cellStyle name="Comma 4 3 2 21" xfId="47809" xr:uid="{00000000-0005-0000-0000-000061900000}"/>
    <cellStyle name="Comma 4 3 2 22" xfId="49492" xr:uid="{00000000-0005-0000-0000-000062900000}"/>
    <cellStyle name="Comma 4 3 2 23" xfId="51175" xr:uid="{00000000-0005-0000-0000-000063900000}"/>
    <cellStyle name="Comma 4 3 2 24" xfId="52858" xr:uid="{00000000-0005-0000-0000-000064900000}"/>
    <cellStyle name="Comma 4 3 2 25" xfId="54541" xr:uid="{00000000-0005-0000-0000-000065900000}"/>
    <cellStyle name="Comma 4 3 2 26" xfId="56224" xr:uid="{00000000-0005-0000-0000-000066900000}"/>
    <cellStyle name="Comma 4 3 2 27" xfId="57907" xr:uid="{00000000-0005-0000-0000-000067900000}"/>
    <cellStyle name="Comma 4 3 2 28" xfId="59590" xr:uid="{00000000-0005-0000-0000-000068900000}"/>
    <cellStyle name="Comma 4 3 2 29" xfId="61273" xr:uid="{00000000-0005-0000-0000-000069900000}"/>
    <cellStyle name="Comma 4 3 2 3" xfId="4048" xr:uid="{00000000-0005-0000-0000-00006A900000}"/>
    <cellStyle name="Comma 4 3 2 3 2" xfId="19197" xr:uid="{00000000-0005-0000-0000-00006B900000}"/>
    <cellStyle name="Comma 4 3 2 30" xfId="62956" xr:uid="{00000000-0005-0000-0000-00006C900000}"/>
    <cellStyle name="Comma 4 3 2 4" xfId="5731" xr:uid="{00000000-0005-0000-0000-00006D900000}"/>
    <cellStyle name="Comma 4 3 2 4 2" xfId="20880" xr:uid="{00000000-0005-0000-0000-00006E900000}"/>
    <cellStyle name="Comma 4 3 2 5" xfId="7414" xr:uid="{00000000-0005-0000-0000-00006F900000}"/>
    <cellStyle name="Comma 4 3 2 5 2" xfId="22563" xr:uid="{00000000-0005-0000-0000-000070900000}"/>
    <cellStyle name="Comma 4 3 2 6" xfId="9097" xr:uid="{00000000-0005-0000-0000-000071900000}"/>
    <cellStyle name="Comma 4 3 2 6 2" xfId="24246" xr:uid="{00000000-0005-0000-0000-000072900000}"/>
    <cellStyle name="Comma 4 3 2 7" xfId="10780" xr:uid="{00000000-0005-0000-0000-000073900000}"/>
    <cellStyle name="Comma 4 3 2 7 2" xfId="25929" xr:uid="{00000000-0005-0000-0000-000074900000}"/>
    <cellStyle name="Comma 4 3 2 8" xfId="12464" xr:uid="{00000000-0005-0000-0000-000075900000}"/>
    <cellStyle name="Comma 4 3 2 8 2" xfId="27613" xr:uid="{00000000-0005-0000-0000-000076900000}"/>
    <cellStyle name="Comma 4 3 2 9" xfId="14147" xr:uid="{00000000-0005-0000-0000-000077900000}"/>
    <cellStyle name="Comma 4 3 2 9 2" xfId="29296" xr:uid="{00000000-0005-0000-0000-000078900000}"/>
    <cellStyle name="Comma 4 3 20" xfId="40657" xr:uid="{00000000-0005-0000-0000-000079900000}"/>
    <cellStyle name="Comma 4 3 21" xfId="42340" xr:uid="{00000000-0005-0000-0000-00007A900000}"/>
    <cellStyle name="Comma 4 3 22" xfId="44023" xr:uid="{00000000-0005-0000-0000-00007B900000}"/>
    <cellStyle name="Comma 4 3 23" xfId="45706" xr:uid="{00000000-0005-0000-0000-00007C900000}"/>
    <cellStyle name="Comma 4 3 24" xfId="47389" xr:uid="{00000000-0005-0000-0000-00007D900000}"/>
    <cellStyle name="Comma 4 3 25" xfId="49072" xr:uid="{00000000-0005-0000-0000-00007E900000}"/>
    <cellStyle name="Comma 4 3 26" xfId="50755" xr:uid="{00000000-0005-0000-0000-00007F900000}"/>
    <cellStyle name="Comma 4 3 27" xfId="52438" xr:uid="{00000000-0005-0000-0000-000080900000}"/>
    <cellStyle name="Comma 4 3 28" xfId="54121" xr:uid="{00000000-0005-0000-0000-000081900000}"/>
    <cellStyle name="Comma 4 3 29" xfId="55804" xr:uid="{00000000-0005-0000-0000-000082900000}"/>
    <cellStyle name="Comma 4 3 3" xfId="1102" xr:uid="{00000000-0005-0000-0000-000083900000}"/>
    <cellStyle name="Comma 4 3 3 10" xfId="16251" xr:uid="{00000000-0005-0000-0000-000084900000}"/>
    <cellStyle name="Comma 4 3 3 11" xfId="31400" xr:uid="{00000000-0005-0000-0000-000085900000}"/>
    <cellStyle name="Comma 4 3 3 12" xfId="33083" xr:uid="{00000000-0005-0000-0000-000086900000}"/>
    <cellStyle name="Comma 4 3 3 13" xfId="34766" xr:uid="{00000000-0005-0000-0000-000087900000}"/>
    <cellStyle name="Comma 4 3 3 14" xfId="36449" xr:uid="{00000000-0005-0000-0000-000088900000}"/>
    <cellStyle name="Comma 4 3 3 15" xfId="38132" xr:uid="{00000000-0005-0000-0000-000089900000}"/>
    <cellStyle name="Comma 4 3 3 16" xfId="39815" xr:uid="{00000000-0005-0000-0000-00008A900000}"/>
    <cellStyle name="Comma 4 3 3 17" xfId="41498" xr:uid="{00000000-0005-0000-0000-00008B900000}"/>
    <cellStyle name="Comma 4 3 3 18" xfId="43181" xr:uid="{00000000-0005-0000-0000-00008C900000}"/>
    <cellStyle name="Comma 4 3 3 19" xfId="44864" xr:uid="{00000000-0005-0000-0000-00008D900000}"/>
    <cellStyle name="Comma 4 3 3 2" xfId="2785" xr:uid="{00000000-0005-0000-0000-00008E900000}"/>
    <cellStyle name="Comma 4 3 3 2 2" xfId="17934" xr:uid="{00000000-0005-0000-0000-00008F900000}"/>
    <cellStyle name="Comma 4 3 3 20" xfId="46547" xr:uid="{00000000-0005-0000-0000-000090900000}"/>
    <cellStyle name="Comma 4 3 3 21" xfId="48230" xr:uid="{00000000-0005-0000-0000-000091900000}"/>
    <cellStyle name="Comma 4 3 3 22" xfId="49913" xr:uid="{00000000-0005-0000-0000-000092900000}"/>
    <cellStyle name="Comma 4 3 3 23" xfId="51596" xr:uid="{00000000-0005-0000-0000-000093900000}"/>
    <cellStyle name="Comma 4 3 3 24" xfId="53279" xr:uid="{00000000-0005-0000-0000-000094900000}"/>
    <cellStyle name="Comma 4 3 3 25" xfId="54962" xr:uid="{00000000-0005-0000-0000-000095900000}"/>
    <cellStyle name="Comma 4 3 3 26" xfId="56645" xr:uid="{00000000-0005-0000-0000-000096900000}"/>
    <cellStyle name="Comma 4 3 3 27" xfId="58328" xr:uid="{00000000-0005-0000-0000-000097900000}"/>
    <cellStyle name="Comma 4 3 3 28" xfId="60011" xr:uid="{00000000-0005-0000-0000-000098900000}"/>
    <cellStyle name="Comma 4 3 3 29" xfId="61694" xr:uid="{00000000-0005-0000-0000-000099900000}"/>
    <cellStyle name="Comma 4 3 3 3" xfId="4469" xr:uid="{00000000-0005-0000-0000-00009A900000}"/>
    <cellStyle name="Comma 4 3 3 3 2" xfId="19618" xr:uid="{00000000-0005-0000-0000-00009B900000}"/>
    <cellStyle name="Comma 4 3 3 30" xfId="63377" xr:uid="{00000000-0005-0000-0000-00009C900000}"/>
    <cellStyle name="Comma 4 3 3 4" xfId="6152" xr:uid="{00000000-0005-0000-0000-00009D900000}"/>
    <cellStyle name="Comma 4 3 3 4 2" xfId="21301" xr:uid="{00000000-0005-0000-0000-00009E900000}"/>
    <cellStyle name="Comma 4 3 3 5" xfId="7835" xr:uid="{00000000-0005-0000-0000-00009F900000}"/>
    <cellStyle name="Comma 4 3 3 5 2" xfId="22984" xr:uid="{00000000-0005-0000-0000-0000A0900000}"/>
    <cellStyle name="Comma 4 3 3 6" xfId="9518" xr:uid="{00000000-0005-0000-0000-0000A1900000}"/>
    <cellStyle name="Comma 4 3 3 6 2" xfId="24667" xr:uid="{00000000-0005-0000-0000-0000A2900000}"/>
    <cellStyle name="Comma 4 3 3 7" xfId="11201" xr:uid="{00000000-0005-0000-0000-0000A3900000}"/>
    <cellStyle name="Comma 4 3 3 7 2" xfId="26350" xr:uid="{00000000-0005-0000-0000-0000A4900000}"/>
    <cellStyle name="Comma 4 3 3 8" xfId="12885" xr:uid="{00000000-0005-0000-0000-0000A5900000}"/>
    <cellStyle name="Comma 4 3 3 8 2" xfId="28034" xr:uid="{00000000-0005-0000-0000-0000A6900000}"/>
    <cellStyle name="Comma 4 3 3 9" xfId="14568" xr:uid="{00000000-0005-0000-0000-0000A7900000}"/>
    <cellStyle name="Comma 4 3 3 9 2" xfId="29717" xr:uid="{00000000-0005-0000-0000-0000A8900000}"/>
    <cellStyle name="Comma 4 3 30" xfId="57487" xr:uid="{00000000-0005-0000-0000-0000A9900000}"/>
    <cellStyle name="Comma 4 3 31" xfId="59170" xr:uid="{00000000-0005-0000-0000-0000AA900000}"/>
    <cellStyle name="Comma 4 3 32" xfId="60853" xr:uid="{00000000-0005-0000-0000-0000AB900000}"/>
    <cellStyle name="Comma 4 3 33" xfId="62536" xr:uid="{00000000-0005-0000-0000-0000AC900000}"/>
    <cellStyle name="Comma 4 3 4" xfId="1523" xr:uid="{00000000-0005-0000-0000-0000AD900000}"/>
    <cellStyle name="Comma 4 3 4 10" xfId="16672" xr:uid="{00000000-0005-0000-0000-0000AE900000}"/>
    <cellStyle name="Comma 4 3 4 11" xfId="31821" xr:uid="{00000000-0005-0000-0000-0000AF900000}"/>
    <cellStyle name="Comma 4 3 4 12" xfId="33504" xr:uid="{00000000-0005-0000-0000-0000B0900000}"/>
    <cellStyle name="Comma 4 3 4 13" xfId="35187" xr:uid="{00000000-0005-0000-0000-0000B1900000}"/>
    <cellStyle name="Comma 4 3 4 14" xfId="36870" xr:uid="{00000000-0005-0000-0000-0000B2900000}"/>
    <cellStyle name="Comma 4 3 4 15" xfId="38553" xr:uid="{00000000-0005-0000-0000-0000B3900000}"/>
    <cellStyle name="Comma 4 3 4 16" xfId="40236" xr:uid="{00000000-0005-0000-0000-0000B4900000}"/>
    <cellStyle name="Comma 4 3 4 17" xfId="41919" xr:uid="{00000000-0005-0000-0000-0000B5900000}"/>
    <cellStyle name="Comma 4 3 4 18" xfId="43602" xr:uid="{00000000-0005-0000-0000-0000B6900000}"/>
    <cellStyle name="Comma 4 3 4 19" xfId="45285" xr:uid="{00000000-0005-0000-0000-0000B7900000}"/>
    <cellStyle name="Comma 4 3 4 2" xfId="3206" xr:uid="{00000000-0005-0000-0000-0000B8900000}"/>
    <cellStyle name="Comma 4 3 4 2 2" xfId="18355" xr:uid="{00000000-0005-0000-0000-0000B9900000}"/>
    <cellStyle name="Comma 4 3 4 20" xfId="46968" xr:uid="{00000000-0005-0000-0000-0000BA900000}"/>
    <cellStyle name="Comma 4 3 4 21" xfId="48651" xr:uid="{00000000-0005-0000-0000-0000BB900000}"/>
    <cellStyle name="Comma 4 3 4 22" xfId="50334" xr:uid="{00000000-0005-0000-0000-0000BC900000}"/>
    <cellStyle name="Comma 4 3 4 23" xfId="52017" xr:uid="{00000000-0005-0000-0000-0000BD900000}"/>
    <cellStyle name="Comma 4 3 4 24" xfId="53700" xr:uid="{00000000-0005-0000-0000-0000BE900000}"/>
    <cellStyle name="Comma 4 3 4 25" xfId="55383" xr:uid="{00000000-0005-0000-0000-0000BF900000}"/>
    <cellStyle name="Comma 4 3 4 26" xfId="57066" xr:uid="{00000000-0005-0000-0000-0000C0900000}"/>
    <cellStyle name="Comma 4 3 4 27" xfId="58749" xr:uid="{00000000-0005-0000-0000-0000C1900000}"/>
    <cellStyle name="Comma 4 3 4 28" xfId="60432" xr:uid="{00000000-0005-0000-0000-0000C2900000}"/>
    <cellStyle name="Comma 4 3 4 29" xfId="62115" xr:uid="{00000000-0005-0000-0000-0000C3900000}"/>
    <cellStyle name="Comma 4 3 4 3" xfId="4890" xr:uid="{00000000-0005-0000-0000-0000C4900000}"/>
    <cellStyle name="Comma 4 3 4 3 2" xfId="20039" xr:uid="{00000000-0005-0000-0000-0000C5900000}"/>
    <cellStyle name="Comma 4 3 4 30" xfId="63798" xr:uid="{00000000-0005-0000-0000-0000C6900000}"/>
    <cellStyle name="Comma 4 3 4 4" xfId="6573" xr:uid="{00000000-0005-0000-0000-0000C7900000}"/>
    <cellStyle name="Comma 4 3 4 4 2" xfId="21722" xr:uid="{00000000-0005-0000-0000-0000C8900000}"/>
    <cellStyle name="Comma 4 3 4 5" xfId="8256" xr:uid="{00000000-0005-0000-0000-0000C9900000}"/>
    <cellStyle name="Comma 4 3 4 5 2" xfId="23405" xr:uid="{00000000-0005-0000-0000-0000CA900000}"/>
    <cellStyle name="Comma 4 3 4 6" xfId="9939" xr:uid="{00000000-0005-0000-0000-0000CB900000}"/>
    <cellStyle name="Comma 4 3 4 6 2" xfId="25088" xr:uid="{00000000-0005-0000-0000-0000CC900000}"/>
    <cellStyle name="Comma 4 3 4 7" xfId="11622" xr:uid="{00000000-0005-0000-0000-0000CD900000}"/>
    <cellStyle name="Comma 4 3 4 7 2" xfId="26771" xr:uid="{00000000-0005-0000-0000-0000CE900000}"/>
    <cellStyle name="Comma 4 3 4 8" xfId="13306" xr:uid="{00000000-0005-0000-0000-0000CF900000}"/>
    <cellStyle name="Comma 4 3 4 8 2" xfId="28455" xr:uid="{00000000-0005-0000-0000-0000D0900000}"/>
    <cellStyle name="Comma 4 3 4 9" xfId="14989" xr:uid="{00000000-0005-0000-0000-0000D1900000}"/>
    <cellStyle name="Comma 4 3 4 9 2" xfId="30138" xr:uid="{00000000-0005-0000-0000-0000D2900000}"/>
    <cellStyle name="Comma 4 3 5" xfId="1944" xr:uid="{00000000-0005-0000-0000-0000D3900000}"/>
    <cellStyle name="Comma 4 3 5 2" xfId="17093" xr:uid="{00000000-0005-0000-0000-0000D4900000}"/>
    <cellStyle name="Comma 4 3 6" xfId="3628" xr:uid="{00000000-0005-0000-0000-0000D5900000}"/>
    <cellStyle name="Comma 4 3 6 2" xfId="18777" xr:uid="{00000000-0005-0000-0000-0000D6900000}"/>
    <cellStyle name="Comma 4 3 7" xfId="5311" xr:uid="{00000000-0005-0000-0000-0000D7900000}"/>
    <cellStyle name="Comma 4 3 7 2" xfId="20460" xr:uid="{00000000-0005-0000-0000-0000D8900000}"/>
    <cellStyle name="Comma 4 3 8" xfId="6994" xr:uid="{00000000-0005-0000-0000-0000D9900000}"/>
    <cellStyle name="Comma 4 3 8 2" xfId="22143" xr:uid="{00000000-0005-0000-0000-0000DA900000}"/>
    <cellStyle name="Comma 4 3 9" xfId="8677" xr:uid="{00000000-0005-0000-0000-0000DB900000}"/>
    <cellStyle name="Comma 4 3 9 2" xfId="23826" xr:uid="{00000000-0005-0000-0000-0000DC900000}"/>
    <cellStyle name="Comma 4 30" xfId="53911" xr:uid="{00000000-0005-0000-0000-0000DD900000}"/>
    <cellStyle name="Comma 4 31" xfId="55594" xr:uid="{00000000-0005-0000-0000-0000DE900000}"/>
    <cellStyle name="Comma 4 32" xfId="57277" xr:uid="{00000000-0005-0000-0000-0000DF900000}"/>
    <cellStyle name="Comma 4 33" xfId="58960" xr:uid="{00000000-0005-0000-0000-0000E0900000}"/>
    <cellStyle name="Comma 4 34" xfId="60643" xr:uid="{00000000-0005-0000-0000-0000E1900000}"/>
    <cellStyle name="Comma 4 35" xfId="62326" xr:uid="{00000000-0005-0000-0000-0000E2900000}"/>
    <cellStyle name="Comma 4 4" xfId="471" xr:uid="{00000000-0005-0000-0000-0000E3900000}"/>
    <cellStyle name="Comma 4 4 10" xfId="15620" xr:uid="{00000000-0005-0000-0000-0000E4900000}"/>
    <cellStyle name="Comma 4 4 11" xfId="30769" xr:uid="{00000000-0005-0000-0000-0000E5900000}"/>
    <cellStyle name="Comma 4 4 12" xfId="32452" xr:uid="{00000000-0005-0000-0000-0000E6900000}"/>
    <cellStyle name="Comma 4 4 13" xfId="34135" xr:uid="{00000000-0005-0000-0000-0000E7900000}"/>
    <cellStyle name="Comma 4 4 14" xfId="35818" xr:uid="{00000000-0005-0000-0000-0000E8900000}"/>
    <cellStyle name="Comma 4 4 15" xfId="37501" xr:uid="{00000000-0005-0000-0000-0000E9900000}"/>
    <cellStyle name="Comma 4 4 16" xfId="39184" xr:uid="{00000000-0005-0000-0000-0000EA900000}"/>
    <cellStyle name="Comma 4 4 17" xfId="40867" xr:uid="{00000000-0005-0000-0000-0000EB900000}"/>
    <cellStyle name="Comma 4 4 18" xfId="42550" xr:uid="{00000000-0005-0000-0000-0000EC900000}"/>
    <cellStyle name="Comma 4 4 19" xfId="44233" xr:uid="{00000000-0005-0000-0000-0000ED900000}"/>
    <cellStyle name="Comma 4 4 2" xfId="2154" xr:uid="{00000000-0005-0000-0000-0000EE900000}"/>
    <cellStyle name="Comma 4 4 2 2" xfId="17303" xr:uid="{00000000-0005-0000-0000-0000EF900000}"/>
    <cellStyle name="Comma 4 4 20" xfId="45916" xr:uid="{00000000-0005-0000-0000-0000F0900000}"/>
    <cellStyle name="Comma 4 4 21" xfId="47599" xr:uid="{00000000-0005-0000-0000-0000F1900000}"/>
    <cellStyle name="Comma 4 4 22" xfId="49282" xr:uid="{00000000-0005-0000-0000-0000F2900000}"/>
    <cellStyle name="Comma 4 4 23" xfId="50965" xr:uid="{00000000-0005-0000-0000-0000F3900000}"/>
    <cellStyle name="Comma 4 4 24" xfId="52648" xr:uid="{00000000-0005-0000-0000-0000F4900000}"/>
    <cellStyle name="Comma 4 4 25" xfId="54331" xr:uid="{00000000-0005-0000-0000-0000F5900000}"/>
    <cellStyle name="Comma 4 4 26" xfId="56014" xr:uid="{00000000-0005-0000-0000-0000F6900000}"/>
    <cellStyle name="Comma 4 4 27" xfId="57697" xr:uid="{00000000-0005-0000-0000-0000F7900000}"/>
    <cellStyle name="Comma 4 4 28" xfId="59380" xr:uid="{00000000-0005-0000-0000-0000F8900000}"/>
    <cellStyle name="Comma 4 4 29" xfId="61063" xr:uid="{00000000-0005-0000-0000-0000F9900000}"/>
    <cellStyle name="Comma 4 4 3" xfId="3838" xr:uid="{00000000-0005-0000-0000-0000FA900000}"/>
    <cellStyle name="Comma 4 4 3 2" xfId="18987" xr:uid="{00000000-0005-0000-0000-0000FB900000}"/>
    <cellStyle name="Comma 4 4 30" xfId="62746" xr:uid="{00000000-0005-0000-0000-0000FC900000}"/>
    <cellStyle name="Comma 4 4 4" xfId="5521" xr:uid="{00000000-0005-0000-0000-0000FD900000}"/>
    <cellStyle name="Comma 4 4 4 2" xfId="20670" xr:uid="{00000000-0005-0000-0000-0000FE900000}"/>
    <cellStyle name="Comma 4 4 5" xfId="7204" xr:uid="{00000000-0005-0000-0000-0000FF900000}"/>
    <cellStyle name="Comma 4 4 5 2" xfId="22353" xr:uid="{00000000-0005-0000-0000-000000910000}"/>
    <cellStyle name="Comma 4 4 6" xfId="8887" xr:uid="{00000000-0005-0000-0000-000001910000}"/>
    <cellStyle name="Comma 4 4 6 2" xfId="24036" xr:uid="{00000000-0005-0000-0000-000002910000}"/>
    <cellStyle name="Comma 4 4 7" xfId="10570" xr:uid="{00000000-0005-0000-0000-000003910000}"/>
    <cellStyle name="Comma 4 4 7 2" xfId="25719" xr:uid="{00000000-0005-0000-0000-000004910000}"/>
    <cellStyle name="Comma 4 4 8" xfId="12254" xr:uid="{00000000-0005-0000-0000-000005910000}"/>
    <cellStyle name="Comma 4 4 8 2" xfId="27403" xr:uid="{00000000-0005-0000-0000-000006910000}"/>
    <cellStyle name="Comma 4 4 9" xfId="13937" xr:uid="{00000000-0005-0000-0000-000007910000}"/>
    <cellStyle name="Comma 4 4 9 2" xfId="29086" xr:uid="{00000000-0005-0000-0000-000008910000}"/>
    <cellStyle name="Comma 4 5" xfId="892" xr:uid="{00000000-0005-0000-0000-000009910000}"/>
    <cellStyle name="Comma 4 5 10" xfId="16041" xr:uid="{00000000-0005-0000-0000-00000A910000}"/>
    <cellStyle name="Comma 4 5 11" xfId="31190" xr:uid="{00000000-0005-0000-0000-00000B910000}"/>
    <cellStyle name="Comma 4 5 12" xfId="32873" xr:uid="{00000000-0005-0000-0000-00000C910000}"/>
    <cellStyle name="Comma 4 5 13" xfId="34556" xr:uid="{00000000-0005-0000-0000-00000D910000}"/>
    <cellStyle name="Comma 4 5 14" xfId="36239" xr:uid="{00000000-0005-0000-0000-00000E910000}"/>
    <cellStyle name="Comma 4 5 15" xfId="37922" xr:uid="{00000000-0005-0000-0000-00000F910000}"/>
    <cellStyle name="Comma 4 5 16" xfId="39605" xr:uid="{00000000-0005-0000-0000-000010910000}"/>
    <cellStyle name="Comma 4 5 17" xfId="41288" xr:uid="{00000000-0005-0000-0000-000011910000}"/>
    <cellStyle name="Comma 4 5 18" xfId="42971" xr:uid="{00000000-0005-0000-0000-000012910000}"/>
    <cellStyle name="Comma 4 5 19" xfId="44654" xr:uid="{00000000-0005-0000-0000-000013910000}"/>
    <cellStyle name="Comma 4 5 2" xfId="2575" xr:uid="{00000000-0005-0000-0000-000014910000}"/>
    <cellStyle name="Comma 4 5 2 2" xfId="17724" xr:uid="{00000000-0005-0000-0000-000015910000}"/>
    <cellStyle name="Comma 4 5 20" xfId="46337" xr:uid="{00000000-0005-0000-0000-000016910000}"/>
    <cellStyle name="Comma 4 5 21" xfId="48020" xr:uid="{00000000-0005-0000-0000-000017910000}"/>
    <cellStyle name="Comma 4 5 22" xfId="49703" xr:uid="{00000000-0005-0000-0000-000018910000}"/>
    <cellStyle name="Comma 4 5 23" xfId="51386" xr:uid="{00000000-0005-0000-0000-000019910000}"/>
    <cellStyle name="Comma 4 5 24" xfId="53069" xr:uid="{00000000-0005-0000-0000-00001A910000}"/>
    <cellStyle name="Comma 4 5 25" xfId="54752" xr:uid="{00000000-0005-0000-0000-00001B910000}"/>
    <cellStyle name="Comma 4 5 26" xfId="56435" xr:uid="{00000000-0005-0000-0000-00001C910000}"/>
    <cellStyle name="Comma 4 5 27" xfId="58118" xr:uid="{00000000-0005-0000-0000-00001D910000}"/>
    <cellStyle name="Comma 4 5 28" xfId="59801" xr:uid="{00000000-0005-0000-0000-00001E910000}"/>
    <cellStyle name="Comma 4 5 29" xfId="61484" xr:uid="{00000000-0005-0000-0000-00001F910000}"/>
    <cellStyle name="Comma 4 5 3" xfId="4259" xr:uid="{00000000-0005-0000-0000-000020910000}"/>
    <cellStyle name="Comma 4 5 3 2" xfId="19408" xr:uid="{00000000-0005-0000-0000-000021910000}"/>
    <cellStyle name="Comma 4 5 30" xfId="63167" xr:uid="{00000000-0005-0000-0000-000022910000}"/>
    <cellStyle name="Comma 4 5 4" xfId="5942" xr:uid="{00000000-0005-0000-0000-000023910000}"/>
    <cellStyle name="Comma 4 5 4 2" xfId="21091" xr:uid="{00000000-0005-0000-0000-000024910000}"/>
    <cellStyle name="Comma 4 5 5" xfId="7625" xr:uid="{00000000-0005-0000-0000-000025910000}"/>
    <cellStyle name="Comma 4 5 5 2" xfId="22774" xr:uid="{00000000-0005-0000-0000-000026910000}"/>
    <cellStyle name="Comma 4 5 6" xfId="9308" xr:uid="{00000000-0005-0000-0000-000027910000}"/>
    <cellStyle name="Comma 4 5 6 2" xfId="24457" xr:uid="{00000000-0005-0000-0000-000028910000}"/>
    <cellStyle name="Comma 4 5 7" xfId="10991" xr:uid="{00000000-0005-0000-0000-000029910000}"/>
    <cellStyle name="Comma 4 5 7 2" xfId="26140" xr:uid="{00000000-0005-0000-0000-00002A910000}"/>
    <cellStyle name="Comma 4 5 8" xfId="12675" xr:uid="{00000000-0005-0000-0000-00002B910000}"/>
    <cellStyle name="Comma 4 5 8 2" xfId="27824" xr:uid="{00000000-0005-0000-0000-00002C910000}"/>
    <cellStyle name="Comma 4 5 9" xfId="14358" xr:uid="{00000000-0005-0000-0000-00002D910000}"/>
    <cellStyle name="Comma 4 5 9 2" xfId="29507" xr:uid="{00000000-0005-0000-0000-00002E910000}"/>
    <cellStyle name="Comma 4 6" xfId="1313" xr:uid="{00000000-0005-0000-0000-00002F910000}"/>
    <cellStyle name="Comma 4 6 10" xfId="16462" xr:uid="{00000000-0005-0000-0000-000030910000}"/>
    <cellStyle name="Comma 4 6 11" xfId="31611" xr:uid="{00000000-0005-0000-0000-000031910000}"/>
    <cellStyle name="Comma 4 6 12" xfId="33294" xr:uid="{00000000-0005-0000-0000-000032910000}"/>
    <cellStyle name="Comma 4 6 13" xfId="34977" xr:uid="{00000000-0005-0000-0000-000033910000}"/>
    <cellStyle name="Comma 4 6 14" xfId="36660" xr:uid="{00000000-0005-0000-0000-000034910000}"/>
    <cellStyle name="Comma 4 6 15" xfId="38343" xr:uid="{00000000-0005-0000-0000-000035910000}"/>
    <cellStyle name="Comma 4 6 16" xfId="40026" xr:uid="{00000000-0005-0000-0000-000036910000}"/>
    <cellStyle name="Comma 4 6 17" xfId="41709" xr:uid="{00000000-0005-0000-0000-000037910000}"/>
    <cellStyle name="Comma 4 6 18" xfId="43392" xr:uid="{00000000-0005-0000-0000-000038910000}"/>
    <cellStyle name="Comma 4 6 19" xfId="45075" xr:uid="{00000000-0005-0000-0000-000039910000}"/>
    <cellStyle name="Comma 4 6 2" xfId="2996" xr:uid="{00000000-0005-0000-0000-00003A910000}"/>
    <cellStyle name="Comma 4 6 2 2" xfId="18145" xr:uid="{00000000-0005-0000-0000-00003B910000}"/>
    <cellStyle name="Comma 4 6 20" xfId="46758" xr:uid="{00000000-0005-0000-0000-00003C910000}"/>
    <cellStyle name="Comma 4 6 21" xfId="48441" xr:uid="{00000000-0005-0000-0000-00003D910000}"/>
    <cellStyle name="Comma 4 6 22" xfId="50124" xr:uid="{00000000-0005-0000-0000-00003E910000}"/>
    <cellStyle name="Comma 4 6 23" xfId="51807" xr:uid="{00000000-0005-0000-0000-00003F910000}"/>
    <cellStyle name="Comma 4 6 24" xfId="53490" xr:uid="{00000000-0005-0000-0000-000040910000}"/>
    <cellStyle name="Comma 4 6 25" xfId="55173" xr:uid="{00000000-0005-0000-0000-000041910000}"/>
    <cellStyle name="Comma 4 6 26" xfId="56856" xr:uid="{00000000-0005-0000-0000-000042910000}"/>
    <cellStyle name="Comma 4 6 27" xfId="58539" xr:uid="{00000000-0005-0000-0000-000043910000}"/>
    <cellStyle name="Comma 4 6 28" xfId="60222" xr:uid="{00000000-0005-0000-0000-000044910000}"/>
    <cellStyle name="Comma 4 6 29" xfId="61905" xr:uid="{00000000-0005-0000-0000-000045910000}"/>
    <cellStyle name="Comma 4 6 3" xfId="4680" xr:uid="{00000000-0005-0000-0000-000046910000}"/>
    <cellStyle name="Comma 4 6 3 2" xfId="19829" xr:uid="{00000000-0005-0000-0000-000047910000}"/>
    <cellStyle name="Comma 4 6 30" xfId="63588" xr:uid="{00000000-0005-0000-0000-000048910000}"/>
    <cellStyle name="Comma 4 6 4" xfId="6363" xr:uid="{00000000-0005-0000-0000-000049910000}"/>
    <cellStyle name="Comma 4 6 4 2" xfId="21512" xr:uid="{00000000-0005-0000-0000-00004A910000}"/>
    <cellStyle name="Comma 4 6 5" xfId="8046" xr:uid="{00000000-0005-0000-0000-00004B910000}"/>
    <cellStyle name="Comma 4 6 5 2" xfId="23195" xr:uid="{00000000-0005-0000-0000-00004C910000}"/>
    <cellStyle name="Comma 4 6 6" xfId="9729" xr:uid="{00000000-0005-0000-0000-00004D910000}"/>
    <cellStyle name="Comma 4 6 6 2" xfId="24878" xr:uid="{00000000-0005-0000-0000-00004E910000}"/>
    <cellStyle name="Comma 4 6 7" xfId="11412" xr:uid="{00000000-0005-0000-0000-00004F910000}"/>
    <cellStyle name="Comma 4 6 7 2" xfId="26561" xr:uid="{00000000-0005-0000-0000-000050910000}"/>
    <cellStyle name="Comma 4 6 8" xfId="13096" xr:uid="{00000000-0005-0000-0000-000051910000}"/>
    <cellStyle name="Comma 4 6 8 2" xfId="28245" xr:uid="{00000000-0005-0000-0000-000052910000}"/>
    <cellStyle name="Comma 4 6 9" xfId="14779" xr:uid="{00000000-0005-0000-0000-000053910000}"/>
    <cellStyle name="Comma 4 6 9 2" xfId="29928" xr:uid="{00000000-0005-0000-0000-000054910000}"/>
    <cellStyle name="Comma 4 7" xfId="1734" xr:uid="{00000000-0005-0000-0000-000055910000}"/>
    <cellStyle name="Comma 4 7 2" xfId="16883" xr:uid="{00000000-0005-0000-0000-000056910000}"/>
    <cellStyle name="Comma 4 8" xfId="3418" xr:uid="{00000000-0005-0000-0000-000057910000}"/>
    <cellStyle name="Comma 4 8 2" xfId="18567" xr:uid="{00000000-0005-0000-0000-000058910000}"/>
    <cellStyle name="Comma 4 9" xfId="5101" xr:uid="{00000000-0005-0000-0000-000059910000}"/>
    <cellStyle name="Comma 4 9 2" xfId="20250" xr:uid="{00000000-0005-0000-0000-00005A910000}"/>
    <cellStyle name="Comma 40" xfId="62306" xr:uid="{00000000-0005-0000-0000-00005B910000}"/>
    <cellStyle name="Comma 41" xfId="63990" xr:uid="{00000000-0005-0000-0000-00005C910000}"/>
    <cellStyle name="Comma 42" xfId="63992" xr:uid="{00000000-0005-0000-0000-00005D910000}"/>
    <cellStyle name="Comma 5" xfId="38" xr:uid="{00000000-0005-0000-0000-00005E910000}"/>
    <cellStyle name="Comma 5 10" xfId="6793" xr:uid="{00000000-0005-0000-0000-00005F910000}"/>
    <cellStyle name="Comma 5 10 2" xfId="21942" xr:uid="{00000000-0005-0000-0000-000060910000}"/>
    <cellStyle name="Comma 5 11" xfId="8476" xr:uid="{00000000-0005-0000-0000-000061910000}"/>
    <cellStyle name="Comma 5 11 2" xfId="23625" xr:uid="{00000000-0005-0000-0000-000062910000}"/>
    <cellStyle name="Comma 5 12" xfId="10159" xr:uid="{00000000-0005-0000-0000-000063910000}"/>
    <cellStyle name="Comma 5 12 2" xfId="25308" xr:uid="{00000000-0005-0000-0000-000064910000}"/>
    <cellStyle name="Comma 5 13" xfId="11843" xr:uid="{00000000-0005-0000-0000-000065910000}"/>
    <cellStyle name="Comma 5 13 2" xfId="26992" xr:uid="{00000000-0005-0000-0000-000066910000}"/>
    <cellStyle name="Comma 5 14" xfId="13526" xr:uid="{00000000-0005-0000-0000-000067910000}"/>
    <cellStyle name="Comma 5 14 2" xfId="28675" xr:uid="{00000000-0005-0000-0000-000068910000}"/>
    <cellStyle name="Comma 5 15" xfId="15209" xr:uid="{00000000-0005-0000-0000-000069910000}"/>
    <cellStyle name="Comma 5 16" xfId="30358" xr:uid="{00000000-0005-0000-0000-00006A910000}"/>
    <cellStyle name="Comma 5 17" xfId="32041" xr:uid="{00000000-0005-0000-0000-00006B910000}"/>
    <cellStyle name="Comma 5 18" xfId="33724" xr:uid="{00000000-0005-0000-0000-00006C910000}"/>
    <cellStyle name="Comma 5 19" xfId="35407" xr:uid="{00000000-0005-0000-0000-00006D910000}"/>
    <cellStyle name="Comma 5 2" xfId="165" xr:uid="{00000000-0005-0000-0000-00006E910000}"/>
    <cellStyle name="Comma 5 2 10" xfId="8581" xr:uid="{00000000-0005-0000-0000-00006F910000}"/>
    <cellStyle name="Comma 5 2 10 2" xfId="23730" xr:uid="{00000000-0005-0000-0000-000070910000}"/>
    <cellStyle name="Comma 5 2 11" xfId="10264" xr:uid="{00000000-0005-0000-0000-000071910000}"/>
    <cellStyle name="Comma 5 2 11 2" xfId="25413" xr:uid="{00000000-0005-0000-0000-000072910000}"/>
    <cellStyle name="Comma 5 2 12" xfId="11948" xr:uid="{00000000-0005-0000-0000-000073910000}"/>
    <cellStyle name="Comma 5 2 12 2" xfId="27097" xr:uid="{00000000-0005-0000-0000-000074910000}"/>
    <cellStyle name="Comma 5 2 13" xfId="13631" xr:uid="{00000000-0005-0000-0000-000075910000}"/>
    <cellStyle name="Comma 5 2 13 2" xfId="28780" xr:uid="{00000000-0005-0000-0000-000076910000}"/>
    <cellStyle name="Comma 5 2 14" xfId="15314" xr:uid="{00000000-0005-0000-0000-000077910000}"/>
    <cellStyle name="Comma 5 2 15" xfId="30463" xr:uid="{00000000-0005-0000-0000-000078910000}"/>
    <cellStyle name="Comma 5 2 16" xfId="32146" xr:uid="{00000000-0005-0000-0000-000079910000}"/>
    <cellStyle name="Comma 5 2 17" xfId="33829" xr:uid="{00000000-0005-0000-0000-00007A910000}"/>
    <cellStyle name="Comma 5 2 18" xfId="35512" xr:uid="{00000000-0005-0000-0000-00007B910000}"/>
    <cellStyle name="Comma 5 2 19" xfId="37195" xr:uid="{00000000-0005-0000-0000-00007C910000}"/>
    <cellStyle name="Comma 5 2 2" xfId="375" xr:uid="{00000000-0005-0000-0000-00007D910000}"/>
    <cellStyle name="Comma 5 2 2 10" xfId="10474" xr:uid="{00000000-0005-0000-0000-00007E910000}"/>
    <cellStyle name="Comma 5 2 2 10 2" xfId="25623" xr:uid="{00000000-0005-0000-0000-00007F910000}"/>
    <cellStyle name="Comma 5 2 2 11" xfId="12158" xr:uid="{00000000-0005-0000-0000-000080910000}"/>
    <cellStyle name="Comma 5 2 2 11 2" xfId="27307" xr:uid="{00000000-0005-0000-0000-000081910000}"/>
    <cellStyle name="Comma 5 2 2 12" xfId="13841" xr:uid="{00000000-0005-0000-0000-000082910000}"/>
    <cellStyle name="Comma 5 2 2 12 2" xfId="28990" xr:uid="{00000000-0005-0000-0000-000083910000}"/>
    <cellStyle name="Comma 5 2 2 13" xfId="15524" xr:uid="{00000000-0005-0000-0000-000084910000}"/>
    <cellStyle name="Comma 5 2 2 14" xfId="30673" xr:uid="{00000000-0005-0000-0000-000085910000}"/>
    <cellStyle name="Comma 5 2 2 15" xfId="32356" xr:uid="{00000000-0005-0000-0000-000086910000}"/>
    <cellStyle name="Comma 5 2 2 16" xfId="34039" xr:uid="{00000000-0005-0000-0000-000087910000}"/>
    <cellStyle name="Comma 5 2 2 17" xfId="35722" xr:uid="{00000000-0005-0000-0000-000088910000}"/>
    <cellStyle name="Comma 5 2 2 18" xfId="37405" xr:uid="{00000000-0005-0000-0000-000089910000}"/>
    <cellStyle name="Comma 5 2 2 19" xfId="39088" xr:uid="{00000000-0005-0000-0000-00008A910000}"/>
    <cellStyle name="Comma 5 2 2 2" xfId="795" xr:uid="{00000000-0005-0000-0000-00008B910000}"/>
    <cellStyle name="Comma 5 2 2 2 10" xfId="15944" xr:uid="{00000000-0005-0000-0000-00008C910000}"/>
    <cellStyle name="Comma 5 2 2 2 11" xfId="31093" xr:uid="{00000000-0005-0000-0000-00008D910000}"/>
    <cellStyle name="Comma 5 2 2 2 12" xfId="32776" xr:uid="{00000000-0005-0000-0000-00008E910000}"/>
    <cellStyle name="Comma 5 2 2 2 13" xfId="34459" xr:uid="{00000000-0005-0000-0000-00008F910000}"/>
    <cellStyle name="Comma 5 2 2 2 14" xfId="36142" xr:uid="{00000000-0005-0000-0000-000090910000}"/>
    <cellStyle name="Comma 5 2 2 2 15" xfId="37825" xr:uid="{00000000-0005-0000-0000-000091910000}"/>
    <cellStyle name="Comma 5 2 2 2 16" xfId="39508" xr:uid="{00000000-0005-0000-0000-000092910000}"/>
    <cellStyle name="Comma 5 2 2 2 17" xfId="41191" xr:uid="{00000000-0005-0000-0000-000093910000}"/>
    <cellStyle name="Comma 5 2 2 2 18" xfId="42874" xr:uid="{00000000-0005-0000-0000-000094910000}"/>
    <cellStyle name="Comma 5 2 2 2 19" xfId="44557" xr:uid="{00000000-0005-0000-0000-000095910000}"/>
    <cellStyle name="Comma 5 2 2 2 2" xfId="2478" xr:uid="{00000000-0005-0000-0000-000096910000}"/>
    <cellStyle name="Comma 5 2 2 2 2 2" xfId="17627" xr:uid="{00000000-0005-0000-0000-000097910000}"/>
    <cellStyle name="Comma 5 2 2 2 20" xfId="46240" xr:uid="{00000000-0005-0000-0000-000098910000}"/>
    <cellStyle name="Comma 5 2 2 2 21" xfId="47923" xr:uid="{00000000-0005-0000-0000-000099910000}"/>
    <cellStyle name="Comma 5 2 2 2 22" xfId="49606" xr:uid="{00000000-0005-0000-0000-00009A910000}"/>
    <cellStyle name="Comma 5 2 2 2 23" xfId="51289" xr:uid="{00000000-0005-0000-0000-00009B910000}"/>
    <cellStyle name="Comma 5 2 2 2 24" xfId="52972" xr:uid="{00000000-0005-0000-0000-00009C910000}"/>
    <cellStyle name="Comma 5 2 2 2 25" xfId="54655" xr:uid="{00000000-0005-0000-0000-00009D910000}"/>
    <cellStyle name="Comma 5 2 2 2 26" xfId="56338" xr:uid="{00000000-0005-0000-0000-00009E910000}"/>
    <cellStyle name="Comma 5 2 2 2 27" xfId="58021" xr:uid="{00000000-0005-0000-0000-00009F910000}"/>
    <cellStyle name="Comma 5 2 2 2 28" xfId="59704" xr:uid="{00000000-0005-0000-0000-0000A0910000}"/>
    <cellStyle name="Comma 5 2 2 2 29" xfId="61387" xr:uid="{00000000-0005-0000-0000-0000A1910000}"/>
    <cellStyle name="Comma 5 2 2 2 3" xfId="4162" xr:uid="{00000000-0005-0000-0000-0000A2910000}"/>
    <cellStyle name="Comma 5 2 2 2 3 2" xfId="19311" xr:uid="{00000000-0005-0000-0000-0000A3910000}"/>
    <cellStyle name="Comma 5 2 2 2 30" xfId="63070" xr:uid="{00000000-0005-0000-0000-0000A4910000}"/>
    <cellStyle name="Comma 5 2 2 2 4" xfId="5845" xr:uid="{00000000-0005-0000-0000-0000A5910000}"/>
    <cellStyle name="Comma 5 2 2 2 4 2" xfId="20994" xr:uid="{00000000-0005-0000-0000-0000A6910000}"/>
    <cellStyle name="Comma 5 2 2 2 5" xfId="7528" xr:uid="{00000000-0005-0000-0000-0000A7910000}"/>
    <cellStyle name="Comma 5 2 2 2 5 2" xfId="22677" xr:uid="{00000000-0005-0000-0000-0000A8910000}"/>
    <cellStyle name="Comma 5 2 2 2 6" xfId="9211" xr:uid="{00000000-0005-0000-0000-0000A9910000}"/>
    <cellStyle name="Comma 5 2 2 2 6 2" xfId="24360" xr:uid="{00000000-0005-0000-0000-0000AA910000}"/>
    <cellStyle name="Comma 5 2 2 2 7" xfId="10894" xr:uid="{00000000-0005-0000-0000-0000AB910000}"/>
    <cellStyle name="Comma 5 2 2 2 7 2" xfId="26043" xr:uid="{00000000-0005-0000-0000-0000AC910000}"/>
    <cellStyle name="Comma 5 2 2 2 8" xfId="12578" xr:uid="{00000000-0005-0000-0000-0000AD910000}"/>
    <cellStyle name="Comma 5 2 2 2 8 2" xfId="27727" xr:uid="{00000000-0005-0000-0000-0000AE910000}"/>
    <cellStyle name="Comma 5 2 2 2 9" xfId="14261" xr:uid="{00000000-0005-0000-0000-0000AF910000}"/>
    <cellStyle name="Comma 5 2 2 2 9 2" xfId="29410" xr:uid="{00000000-0005-0000-0000-0000B0910000}"/>
    <cellStyle name="Comma 5 2 2 20" xfId="40771" xr:uid="{00000000-0005-0000-0000-0000B1910000}"/>
    <cellStyle name="Comma 5 2 2 21" xfId="42454" xr:uid="{00000000-0005-0000-0000-0000B2910000}"/>
    <cellStyle name="Comma 5 2 2 22" xfId="44137" xr:uid="{00000000-0005-0000-0000-0000B3910000}"/>
    <cellStyle name="Comma 5 2 2 23" xfId="45820" xr:uid="{00000000-0005-0000-0000-0000B4910000}"/>
    <cellStyle name="Comma 5 2 2 24" xfId="47503" xr:uid="{00000000-0005-0000-0000-0000B5910000}"/>
    <cellStyle name="Comma 5 2 2 25" xfId="49186" xr:uid="{00000000-0005-0000-0000-0000B6910000}"/>
    <cellStyle name="Comma 5 2 2 26" xfId="50869" xr:uid="{00000000-0005-0000-0000-0000B7910000}"/>
    <cellStyle name="Comma 5 2 2 27" xfId="52552" xr:uid="{00000000-0005-0000-0000-0000B8910000}"/>
    <cellStyle name="Comma 5 2 2 28" xfId="54235" xr:uid="{00000000-0005-0000-0000-0000B9910000}"/>
    <cellStyle name="Comma 5 2 2 29" xfId="55918" xr:uid="{00000000-0005-0000-0000-0000BA910000}"/>
    <cellStyle name="Comma 5 2 2 3" xfId="1216" xr:uid="{00000000-0005-0000-0000-0000BB910000}"/>
    <cellStyle name="Comma 5 2 2 3 10" xfId="16365" xr:uid="{00000000-0005-0000-0000-0000BC910000}"/>
    <cellStyle name="Comma 5 2 2 3 11" xfId="31514" xr:uid="{00000000-0005-0000-0000-0000BD910000}"/>
    <cellStyle name="Comma 5 2 2 3 12" xfId="33197" xr:uid="{00000000-0005-0000-0000-0000BE910000}"/>
    <cellStyle name="Comma 5 2 2 3 13" xfId="34880" xr:uid="{00000000-0005-0000-0000-0000BF910000}"/>
    <cellStyle name="Comma 5 2 2 3 14" xfId="36563" xr:uid="{00000000-0005-0000-0000-0000C0910000}"/>
    <cellStyle name="Comma 5 2 2 3 15" xfId="38246" xr:uid="{00000000-0005-0000-0000-0000C1910000}"/>
    <cellStyle name="Comma 5 2 2 3 16" xfId="39929" xr:uid="{00000000-0005-0000-0000-0000C2910000}"/>
    <cellStyle name="Comma 5 2 2 3 17" xfId="41612" xr:uid="{00000000-0005-0000-0000-0000C3910000}"/>
    <cellStyle name="Comma 5 2 2 3 18" xfId="43295" xr:uid="{00000000-0005-0000-0000-0000C4910000}"/>
    <cellStyle name="Comma 5 2 2 3 19" xfId="44978" xr:uid="{00000000-0005-0000-0000-0000C5910000}"/>
    <cellStyle name="Comma 5 2 2 3 2" xfId="2899" xr:uid="{00000000-0005-0000-0000-0000C6910000}"/>
    <cellStyle name="Comma 5 2 2 3 2 2" xfId="18048" xr:uid="{00000000-0005-0000-0000-0000C7910000}"/>
    <cellStyle name="Comma 5 2 2 3 20" xfId="46661" xr:uid="{00000000-0005-0000-0000-0000C8910000}"/>
    <cellStyle name="Comma 5 2 2 3 21" xfId="48344" xr:uid="{00000000-0005-0000-0000-0000C9910000}"/>
    <cellStyle name="Comma 5 2 2 3 22" xfId="50027" xr:uid="{00000000-0005-0000-0000-0000CA910000}"/>
    <cellStyle name="Comma 5 2 2 3 23" xfId="51710" xr:uid="{00000000-0005-0000-0000-0000CB910000}"/>
    <cellStyle name="Comma 5 2 2 3 24" xfId="53393" xr:uid="{00000000-0005-0000-0000-0000CC910000}"/>
    <cellStyle name="Comma 5 2 2 3 25" xfId="55076" xr:uid="{00000000-0005-0000-0000-0000CD910000}"/>
    <cellStyle name="Comma 5 2 2 3 26" xfId="56759" xr:uid="{00000000-0005-0000-0000-0000CE910000}"/>
    <cellStyle name="Comma 5 2 2 3 27" xfId="58442" xr:uid="{00000000-0005-0000-0000-0000CF910000}"/>
    <cellStyle name="Comma 5 2 2 3 28" xfId="60125" xr:uid="{00000000-0005-0000-0000-0000D0910000}"/>
    <cellStyle name="Comma 5 2 2 3 29" xfId="61808" xr:uid="{00000000-0005-0000-0000-0000D1910000}"/>
    <cellStyle name="Comma 5 2 2 3 3" xfId="4583" xr:uid="{00000000-0005-0000-0000-0000D2910000}"/>
    <cellStyle name="Comma 5 2 2 3 3 2" xfId="19732" xr:uid="{00000000-0005-0000-0000-0000D3910000}"/>
    <cellStyle name="Comma 5 2 2 3 30" xfId="63491" xr:uid="{00000000-0005-0000-0000-0000D4910000}"/>
    <cellStyle name="Comma 5 2 2 3 4" xfId="6266" xr:uid="{00000000-0005-0000-0000-0000D5910000}"/>
    <cellStyle name="Comma 5 2 2 3 4 2" xfId="21415" xr:uid="{00000000-0005-0000-0000-0000D6910000}"/>
    <cellStyle name="Comma 5 2 2 3 5" xfId="7949" xr:uid="{00000000-0005-0000-0000-0000D7910000}"/>
    <cellStyle name="Comma 5 2 2 3 5 2" xfId="23098" xr:uid="{00000000-0005-0000-0000-0000D8910000}"/>
    <cellStyle name="Comma 5 2 2 3 6" xfId="9632" xr:uid="{00000000-0005-0000-0000-0000D9910000}"/>
    <cellStyle name="Comma 5 2 2 3 6 2" xfId="24781" xr:uid="{00000000-0005-0000-0000-0000DA910000}"/>
    <cellStyle name="Comma 5 2 2 3 7" xfId="11315" xr:uid="{00000000-0005-0000-0000-0000DB910000}"/>
    <cellStyle name="Comma 5 2 2 3 7 2" xfId="26464" xr:uid="{00000000-0005-0000-0000-0000DC910000}"/>
    <cellStyle name="Comma 5 2 2 3 8" xfId="12999" xr:uid="{00000000-0005-0000-0000-0000DD910000}"/>
    <cellStyle name="Comma 5 2 2 3 8 2" xfId="28148" xr:uid="{00000000-0005-0000-0000-0000DE910000}"/>
    <cellStyle name="Comma 5 2 2 3 9" xfId="14682" xr:uid="{00000000-0005-0000-0000-0000DF910000}"/>
    <cellStyle name="Comma 5 2 2 3 9 2" xfId="29831" xr:uid="{00000000-0005-0000-0000-0000E0910000}"/>
    <cellStyle name="Comma 5 2 2 30" xfId="57601" xr:uid="{00000000-0005-0000-0000-0000E1910000}"/>
    <cellStyle name="Comma 5 2 2 31" xfId="59284" xr:uid="{00000000-0005-0000-0000-0000E2910000}"/>
    <cellStyle name="Comma 5 2 2 32" xfId="60967" xr:uid="{00000000-0005-0000-0000-0000E3910000}"/>
    <cellStyle name="Comma 5 2 2 33" xfId="62650" xr:uid="{00000000-0005-0000-0000-0000E4910000}"/>
    <cellStyle name="Comma 5 2 2 4" xfId="1637" xr:uid="{00000000-0005-0000-0000-0000E5910000}"/>
    <cellStyle name="Comma 5 2 2 4 10" xfId="16786" xr:uid="{00000000-0005-0000-0000-0000E6910000}"/>
    <cellStyle name="Comma 5 2 2 4 11" xfId="31935" xr:uid="{00000000-0005-0000-0000-0000E7910000}"/>
    <cellStyle name="Comma 5 2 2 4 12" xfId="33618" xr:uid="{00000000-0005-0000-0000-0000E8910000}"/>
    <cellStyle name="Comma 5 2 2 4 13" xfId="35301" xr:uid="{00000000-0005-0000-0000-0000E9910000}"/>
    <cellStyle name="Comma 5 2 2 4 14" xfId="36984" xr:uid="{00000000-0005-0000-0000-0000EA910000}"/>
    <cellStyle name="Comma 5 2 2 4 15" xfId="38667" xr:uid="{00000000-0005-0000-0000-0000EB910000}"/>
    <cellStyle name="Comma 5 2 2 4 16" xfId="40350" xr:uid="{00000000-0005-0000-0000-0000EC910000}"/>
    <cellStyle name="Comma 5 2 2 4 17" xfId="42033" xr:uid="{00000000-0005-0000-0000-0000ED910000}"/>
    <cellStyle name="Comma 5 2 2 4 18" xfId="43716" xr:uid="{00000000-0005-0000-0000-0000EE910000}"/>
    <cellStyle name="Comma 5 2 2 4 19" xfId="45399" xr:uid="{00000000-0005-0000-0000-0000EF910000}"/>
    <cellStyle name="Comma 5 2 2 4 2" xfId="3320" xr:uid="{00000000-0005-0000-0000-0000F0910000}"/>
    <cellStyle name="Comma 5 2 2 4 2 2" xfId="18469" xr:uid="{00000000-0005-0000-0000-0000F1910000}"/>
    <cellStyle name="Comma 5 2 2 4 20" xfId="47082" xr:uid="{00000000-0005-0000-0000-0000F2910000}"/>
    <cellStyle name="Comma 5 2 2 4 21" xfId="48765" xr:uid="{00000000-0005-0000-0000-0000F3910000}"/>
    <cellStyle name="Comma 5 2 2 4 22" xfId="50448" xr:uid="{00000000-0005-0000-0000-0000F4910000}"/>
    <cellStyle name="Comma 5 2 2 4 23" xfId="52131" xr:uid="{00000000-0005-0000-0000-0000F5910000}"/>
    <cellStyle name="Comma 5 2 2 4 24" xfId="53814" xr:uid="{00000000-0005-0000-0000-0000F6910000}"/>
    <cellStyle name="Comma 5 2 2 4 25" xfId="55497" xr:uid="{00000000-0005-0000-0000-0000F7910000}"/>
    <cellStyle name="Comma 5 2 2 4 26" xfId="57180" xr:uid="{00000000-0005-0000-0000-0000F8910000}"/>
    <cellStyle name="Comma 5 2 2 4 27" xfId="58863" xr:uid="{00000000-0005-0000-0000-0000F9910000}"/>
    <cellStyle name="Comma 5 2 2 4 28" xfId="60546" xr:uid="{00000000-0005-0000-0000-0000FA910000}"/>
    <cellStyle name="Comma 5 2 2 4 29" xfId="62229" xr:uid="{00000000-0005-0000-0000-0000FB910000}"/>
    <cellStyle name="Comma 5 2 2 4 3" xfId="5004" xr:uid="{00000000-0005-0000-0000-0000FC910000}"/>
    <cellStyle name="Comma 5 2 2 4 3 2" xfId="20153" xr:uid="{00000000-0005-0000-0000-0000FD910000}"/>
    <cellStyle name="Comma 5 2 2 4 30" xfId="63912" xr:uid="{00000000-0005-0000-0000-0000FE910000}"/>
    <cellStyle name="Comma 5 2 2 4 4" xfId="6687" xr:uid="{00000000-0005-0000-0000-0000FF910000}"/>
    <cellStyle name="Comma 5 2 2 4 4 2" xfId="21836" xr:uid="{00000000-0005-0000-0000-000000920000}"/>
    <cellStyle name="Comma 5 2 2 4 5" xfId="8370" xr:uid="{00000000-0005-0000-0000-000001920000}"/>
    <cellStyle name="Comma 5 2 2 4 5 2" xfId="23519" xr:uid="{00000000-0005-0000-0000-000002920000}"/>
    <cellStyle name="Comma 5 2 2 4 6" xfId="10053" xr:uid="{00000000-0005-0000-0000-000003920000}"/>
    <cellStyle name="Comma 5 2 2 4 6 2" xfId="25202" xr:uid="{00000000-0005-0000-0000-000004920000}"/>
    <cellStyle name="Comma 5 2 2 4 7" xfId="11736" xr:uid="{00000000-0005-0000-0000-000005920000}"/>
    <cellStyle name="Comma 5 2 2 4 7 2" xfId="26885" xr:uid="{00000000-0005-0000-0000-000006920000}"/>
    <cellStyle name="Comma 5 2 2 4 8" xfId="13420" xr:uid="{00000000-0005-0000-0000-000007920000}"/>
    <cellStyle name="Comma 5 2 2 4 8 2" xfId="28569" xr:uid="{00000000-0005-0000-0000-000008920000}"/>
    <cellStyle name="Comma 5 2 2 4 9" xfId="15103" xr:uid="{00000000-0005-0000-0000-000009920000}"/>
    <cellStyle name="Comma 5 2 2 4 9 2" xfId="30252" xr:uid="{00000000-0005-0000-0000-00000A920000}"/>
    <cellStyle name="Comma 5 2 2 5" xfId="2058" xr:uid="{00000000-0005-0000-0000-00000B920000}"/>
    <cellStyle name="Comma 5 2 2 5 2" xfId="17207" xr:uid="{00000000-0005-0000-0000-00000C920000}"/>
    <cellStyle name="Comma 5 2 2 6" xfId="3742" xr:uid="{00000000-0005-0000-0000-00000D920000}"/>
    <cellStyle name="Comma 5 2 2 6 2" xfId="18891" xr:uid="{00000000-0005-0000-0000-00000E920000}"/>
    <cellStyle name="Comma 5 2 2 7" xfId="5425" xr:uid="{00000000-0005-0000-0000-00000F920000}"/>
    <cellStyle name="Comma 5 2 2 7 2" xfId="20574" xr:uid="{00000000-0005-0000-0000-000010920000}"/>
    <cellStyle name="Comma 5 2 2 8" xfId="7108" xr:uid="{00000000-0005-0000-0000-000011920000}"/>
    <cellStyle name="Comma 5 2 2 8 2" xfId="22257" xr:uid="{00000000-0005-0000-0000-000012920000}"/>
    <cellStyle name="Comma 5 2 2 9" xfId="8791" xr:uid="{00000000-0005-0000-0000-000013920000}"/>
    <cellStyle name="Comma 5 2 2 9 2" xfId="23940" xr:uid="{00000000-0005-0000-0000-000014920000}"/>
    <cellStyle name="Comma 5 2 20" xfId="38878" xr:uid="{00000000-0005-0000-0000-000015920000}"/>
    <cellStyle name="Comma 5 2 21" xfId="40561" xr:uid="{00000000-0005-0000-0000-000016920000}"/>
    <cellStyle name="Comma 5 2 22" xfId="42244" xr:uid="{00000000-0005-0000-0000-000017920000}"/>
    <cellStyle name="Comma 5 2 23" xfId="43927" xr:uid="{00000000-0005-0000-0000-000018920000}"/>
    <cellStyle name="Comma 5 2 24" xfId="45610" xr:uid="{00000000-0005-0000-0000-000019920000}"/>
    <cellStyle name="Comma 5 2 25" xfId="47293" xr:uid="{00000000-0005-0000-0000-00001A920000}"/>
    <cellStyle name="Comma 5 2 26" xfId="48976" xr:uid="{00000000-0005-0000-0000-00001B920000}"/>
    <cellStyle name="Comma 5 2 27" xfId="50659" xr:uid="{00000000-0005-0000-0000-00001C920000}"/>
    <cellStyle name="Comma 5 2 28" xfId="52342" xr:uid="{00000000-0005-0000-0000-00001D920000}"/>
    <cellStyle name="Comma 5 2 29" xfId="54025" xr:uid="{00000000-0005-0000-0000-00001E920000}"/>
    <cellStyle name="Comma 5 2 3" xfId="585" xr:uid="{00000000-0005-0000-0000-00001F920000}"/>
    <cellStyle name="Comma 5 2 3 10" xfId="15734" xr:uid="{00000000-0005-0000-0000-000020920000}"/>
    <cellStyle name="Comma 5 2 3 11" xfId="30883" xr:uid="{00000000-0005-0000-0000-000021920000}"/>
    <cellStyle name="Comma 5 2 3 12" xfId="32566" xr:uid="{00000000-0005-0000-0000-000022920000}"/>
    <cellStyle name="Comma 5 2 3 13" xfId="34249" xr:uid="{00000000-0005-0000-0000-000023920000}"/>
    <cellStyle name="Comma 5 2 3 14" xfId="35932" xr:uid="{00000000-0005-0000-0000-000024920000}"/>
    <cellStyle name="Comma 5 2 3 15" xfId="37615" xr:uid="{00000000-0005-0000-0000-000025920000}"/>
    <cellStyle name="Comma 5 2 3 16" xfId="39298" xr:uid="{00000000-0005-0000-0000-000026920000}"/>
    <cellStyle name="Comma 5 2 3 17" xfId="40981" xr:uid="{00000000-0005-0000-0000-000027920000}"/>
    <cellStyle name="Comma 5 2 3 18" xfId="42664" xr:uid="{00000000-0005-0000-0000-000028920000}"/>
    <cellStyle name="Comma 5 2 3 19" xfId="44347" xr:uid="{00000000-0005-0000-0000-000029920000}"/>
    <cellStyle name="Comma 5 2 3 2" xfId="2268" xr:uid="{00000000-0005-0000-0000-00002A920000}"/>
    <cellStyle name="Comma 5 2 3 2 2" xfId="17417" xr:uid="{00000000-0005-0000-0000-00002B920000}"/>
    <cellStyle name="Comma 5 2 3 20" xfId="46030" xr:uid="{00000000-0005-0000-0000-00002C920000}"/>
    <cellStyle name="Comma 5 2 3 21" xfId="47713" xr:uid="{00000000-0005-0000-0000-00002D920000}"/>
    <cellStyle name="Comma 5 2 3 22" xfId="49396" xr:uid="{00000000-0005-0000-0000-00002E920000}"/>
    <cellStyle name="Comma 5 2 3 23" xfId="51079" xr:uid="{00000000-0005-0000-0000-00002F920000}"/>
    <cellStyle name="Comma 5 2 3 24" xfId="52762" xr:uid="{00000000-0005-0000-0000-000030920000}"/>
    <cellStyle name="Comma 5 2 3 25" xfId="54445" xr:uid="{00000000-0005-0000-0000-000031920000}"/>
    <cellStyle name="Comma 5 2 3 26" xfId="56128" xr:uid="{00000000-0005-0000-0000-000032920000}"/>
    <cellStyle name="Comma 5 2 3 27" xfId="57811" xr:uid="{00000000-0005-0000-0000-000033920000}"/>
    <cellStyle name="Comma 5 2 3 28" xfId="59494" xr:uid="{00000000-0005-0000-0000-000034920000}"/>
    <cellStyle name="Comma 5 2 3 29" xfId="61177" xr:uid="{00000000-0005-0000-0000-000035920000}"/>
    <cellStyle name="Comma 5 2 3 3" xfId="3952" xr:uid="{00000000-0005-0000-0000-000036920000}"/>
    <cellStyle name="Comma 5 2 3 3 2" xfId="19101" xr:uid="{00000000-0005-0000-0000-000037920000}"/>
    <cellStyle name="Comma 5 2 3 30" xfId="62860" xr:uid="{00000000-0005-0000-0000-000038920000}"/>
    <cellStyle name="Comma 5 2 3 4" xfId="5635" xr:uid="{00000000-0005-0000-0000-000039920000}"/>
    <cellStyle name="Comma 5 2 3 4 2" xfId="20784" xr:uid="{00000000-0005-0000-0000-00003A920000}"/>
    <cellStyle name="Comma 5 2 3 5" xfId="7318" xr:uid="{00000000-0005-0000-0000-00003B920000}"/>
    <cellStyle name="Comma 5 2 3 5 2" xfId="22467" xr:uid="{00000000-0005-0000-0000-00003C920000}"/>
    <cellStyle name="Comma 5 2 3 6" xfId="9001" xr:uid="{00000000-0005-0000-0000-00003D920000}"/>
    <cellStyle name="Comma 5 2 3 6 2" xfId="24150" xr:uid="{00000000-0005-0000-0000-00003E920000}"/>
    <cellStyle name="Comma 5 2 3 7" xfId="10684" xr:uid="{00000000-0005-0000-0000-00003F920000}"/>
    <cellStyle name="Comma 5 2 3 7 2" xfId="25833" xr:uid="{00000000-0005-0000-0000-000040920000}"/>
    <cellStyle name="Comma 5 2 3 8" xfId="12368" xr:uid="{00000000-0005-0000-0000-000041920000}"/>
    <cellStyle name="Comma 5 2 3 8 2" xfId="27517" xr:uid="{00000000-0005-0000-0000-000042920000}"/>
    <cellStyle name="Comma 5 2 3 9" xfId="14051" xr:uid="{00000000-0005-0000-0000-000043920000}"/>
    <cellStyle name="Comma 5 2 3 9 2" xfId="29200" xr:uid="{00000000-0005-0000-0000-000044920000}"/>
    <cellStyle name="Comma 5 2 30" xfId="55708" xr:uid="{00000000-0005-0000-0000-000045920000}"/>
    <cellStyle name="Comma 5 2 31" xfId="57391" xr:uid="{00000000-0005-0000-0000-000046920000}"/>
    <cellStyle name="Comma 5 2 32" xfId="59074" xr:uid="{00000000-0005-0000-0000-000047920000}"/>
    <cellStyle name="Comma 5 2 33" xfId="60757" xr:uid="{00000000-0005-0000-0000-000048920000}"/>
    <cellStyle name="Comma 5 2 34" xfId="62440" xr:uid="{00000000-0005-0000-0000-000049920000}"/>
    <cellStyle name="Comma 5 2 4" xfId="1006" xr:uid="{00000000-0005-0000-0000-00004A920000}"/>
    <cellStyle name="Comma 5 2 4 10" xfId="16155" xr:uid="{00000000-0005-0000-0000-00004B920000}"/>
    <cellStyle name="Comma 5 2 4 11" xfId="31304" xr:uid="{00000000-0005-0000-0000-00004C920000}"/>
    <cellStyle name="Comma 5 2 4 12" xfId="32987" xr:uid="{00000000-0005-0000-0000-00004D920000}"/>
    <cellStyle name="Comma 5 2 4 13" xfId="34670" xr:uid="{00000000-0005-0000-0000-00004E920000}"/>
    <cellStyle name="Comma 5 2 4 14" xfId="36353" xr:uid="{00000000-0005-0000-0000-00004F920000}"/>
    <cellStyle name="Comma 5 2 4 15" xfId="38036" xr:uid="{00000000-0005-0000-0000-000050920000}"/>
    <cellStyle name="Comma 5 2 4 16" xfId="39719" xr:uid="{00000000-0005-0000-0000-000051920000}"/>
    <cellStyle name="Comma 5 2 4 17" xfId="41402" xr:uid="{00000000-0005-0000-0000-000052920000}"/>
    <cellStyle name="Comma 5 2 4 18" xfId="43085" xr:uid="{00000000-0005-0000-0000-000053920000}"/>
    <cellStyle name="Comma 5 2 4 19" xfId="44768" xr:uid="{00000000-0005-0000-0000-000054920000}"/>
    <cellStyle name="Comma 5 2 4 2" xfId="2689" xr:uid="{00000000-0005-0000-0000-000055920000}"/>
    <cellStyle name="Comma 5 2 4 2 2" xfId="17838" xr:uid="{00000000-0005-0000-0000-000056920000}"/>
    <cellStyle name="Comma 5 2 4 20" xfId="46451" xr:uid="{00000000-0005-0000-0000-000057920000}"/>
    <cellStyle name="Comma 5 2 4 21" xfId="48134" xr:uid="{00000000-0005-0000-0000-000058920000}"/>
    <cellStyle name="Comma 5 2 4 22" xfId="49817" xr:uid="{00000000-0005-0000-0000-000059920000}"/>
    <cellStyle name="Comma 5 2 4 23" xfId="51500" xr:uid="{00000000-0005-0000-0000-00005A920000}"/>
    <cellStyle name="Comma 5 2 4 24" xfId="53183" xr:uid="{00000000-0005-0000-0000-00005B920000}"/>
    <cellStyle name="Comma 5 2 4 25" xfId="54866" xr:uid="{00000000-0005-0000-0000-00005C920000}"/>
    <cellStyle name="Comma 5 2 4 26" xfId="56549" xr:uid="{00000000-0005-0000-0000-00005D920000}"/>
    <cellStyle name="Comma 5 2 4 27" xfId="58232" xr:uid="{00000000-0005-0000-0000-00005E920000}"/>
    <cellStyle name="Comma 5 2 4 28" xfId="59915" xr:uid="{00000000-0005-0000-0000-00005F920000}"/>
    <cellStyle name="Comma 5 2 4 29" xfId="61598" xr:uid="{00000000-0005-0000-0000-000060920000}"/>
    <cellStyle name="Comma 5 2 4 3" xfId="4373" xr:uid="{00000000-0005-0000-0000-000061920000}"/>
    <cellStyle name="Comma 5 2 4 3 2" xfId="19522" xr:uid="{00000000-0005-0000-0000-000062920000}"/>
    <cellStyle name="Comma 5 2 4 30" xfId="63281" xr:uid="{00000000-0005-0000-0000-000063920000}"/>
    <cellStyle name="Comma 5 2 4 4" xfId="6056" xr:uid="{00000000-0005-0000-0000-000064920000}"/>
    <cellStyle name="Comma 5 2 4 4 2" xfId="21205" xr:uid="{00000000-0005-0000-0000-000065920000}"/>
    <cellStyle name="Comma 5 2 4 5" xfId="7739" xr:uid="{00000000-0005-0000-0000-000066920000}"/>
    <cellStyle name="Comma 5 2 4 5 2" xfId="22888" xr:uid="{00000000-0005-0000-0000-000067920000}"/>
    <cellStyle name="Comma 5 2 4 6" xfId="9422" xr:uid="{00000000-0005-0000-0000-000068920000}"/>
    <cellStyle name="Comma 5 2 4 6 2" xfId="24571" xr:uid="{00000000-0005-0000-0000-000069920000}"/>
    <cellStyle name="Comma 5 2 4 7" xfId="11105" xr:uid="{00000000-0005-0000-0000-00006A920000}"/>
    <cellStyle name="Comma 5 2 4 7 2" xfId="26254" xr:uid="{00000000-0005-0000-0000-00006B920000}"/>
    <cellStyle name="Comma 5 2 4 8" xfId="12789" xr:uid="{00000000-0005-0000-0000-00006C920000}"/>
    <cellStyle name="Comma 5 2 4 8 2" xfId="27938" xr:uid="{00000000-0005-0000-0000-00006D920000}"/>
    <cellStyle name="Comma 5 2 4 9" xfId="14472" xr:uid="{00000000-0005-0000-0000-00006E920000}"/>
    <cellStyle name="Comma 5 2 4 9 2" xfId="29621" xr:uid="{00000000-0005-0000-0000-00006F920000}"/>
    <cellStyle name="Comma 5 2 5" xfId="1427" xr:uid="{00000000-0005-0000-0000-000070920000}"/>
    <cellStyle name="Comma 5 2 5 10" xfId="16576" xr:uid="{00000000-0005-0000-0000-000071920000}"/>
    <cellStyle name="Comma 5 2 5 11" xfId="31725" xr:uid="{00000000-0005-0000-0000-000072920000}"/>
    <cellStyle name="Comma 5 2 5 12" xfId="33408" xr:uid="{00000000-0005-0000-0000-000073920000}"/>
    <cellStyle name="Comma 5 2 5 13" xfId="35091" xr:uid="{00000000-0005-0000-0000-000074920000}"/>
    <cellStyle name="Comma 5 2 5 14" xfId="36774" xr:uid="{00000000-0005-0000-0000-000075920000}"/>
    <cellStyle name="Comma 5 2 5 15" xfId="38457" xr:uid="{00000000-0005-0000-0000-000076920000}"/>
    <cellStyle name="Comma 5 2 5 16" xfId="40140" xr:uid="{00000000-0005-0000-0000-000077920000}"/>
    <cellStyle name="Comma 5 2 5 17" xfId="41823" xr:uid="{00000000-0005-0000-0000-000078920000}"/>
    <cellStyle name="Comma 5 2 5 18" xfId="43506" xr:uid="{00000000-0005-0000-0000-000079920000}"/>
    <cellStyle name="Comma 5 2 5 19" xfId="45189" xr:uid="{00000000-0005-0000-0000-00007A920000}"/>
    <cellStyle name="Comma 5 2 5 2" xfId="3110" xr:uid="{00000000-0005-0000-0000-00007B920000}"/>
    <cellStyle name="Comma 5 2 5 2 2" xfId="18259" xr:uid="{00000000-0005-0000-0000-00007C920000}"/>
    <cellStyle name="Comma 5 2 5 20" xfId="46872" xr:uid="{00000000-0005-0000-0000-00007D920000}"/>
    <cellStyle name="Comma 5 2 5 21" xfId="48555" xr:uid="{00000000-0005-0000-0000-00007E920000}"/>
    <cellStyle name="Comma 5 2 5 22" xfId="50238" xr:uid="{00000000-0005-0000-0000-00007F920000}"/>
    <cellStyle name="Comma 5 2 5 23" xfId="51921" xr:uid="{00000000-0005-0000-0000-000080920000}"/>
    <cellStyle name="Comma 5 2 5 24" xfId="53604" xr:uid="{00000000-0005-0000-0000-000081920000}"/>
    <cellStyle name="Comma 5 2 5 25" xfId="55287" xr:uid="{00000000-0005-0000-0000-000082920000}"/>
    <cellStyle name="Comma 5 2 5 26" xfId="56970" xr:uid="{00000000-0005-0000-0000-000083920000}"/>
    <cellStyle name="Comma 5 2 5 27" xfId="58653" xr:uid="{00000000-0005-0000-0000-000084920000}"/>
    <cellStyle name="Comma 5 2 5 28" xfId="60336" xr:uid="{00000000-0005-0000-0000-000085920000}"/>
    <cellStyle name="Comma 5 2 5 29" xfId="62019" xr:uid="{00000000-0005-0000-0000-000086920000}"/>
    <cellStyle name="Comma 5 2 5 3" xfId="4794" xr:uid="{00000000-0005-0000-0000-000087920000}"/>
    <cellStyle name="Comma 5 2 5 3 2" xfId="19943" xr:uid="{00000000-0005-0000-0000-000088920000}"/>
    <cellStyle name="Comma 5 2 5 30" xfId="63702" xr:uid="{00000000-0005-0000-0000-000089920000}"/>
    <cellStyle name="Comma 5 2 5 4" xfId="6477" xr:uid="{00000000-0005-0000-0000-00008A920000}"/>
    <cellStyle name="Comma 5 2 5 4 2" xfId="21626" xr:uid="{00000000-0005-0000-0000-00008B920000}"/>
    <cellStyle name="Comma 5 2 5 5" xfId="8160" xr:uid="{00000000-0005-0000-0000-00008C920000}"/>
    <cellStyle name="Comma 5 2 5 5 2" xfId="23309" xr:uid="{00000000-0005-0000-0000-00008D920000}"/>
    <cellStyle name="Comma 5 2 5 6" xfId="9843" xr:uid="{00000000-0005-0000-0000-00008E920000}"/>
    <cellStyle name="Comma 5 2 5 6 2" xfId="24992" xr:uid="{00000000-0005-0000-0000-00008F920000}"/>
    <cellStyle name="Comma 5 2 5 7" xfId="11526" xr:uid="{00000000-0005-0000-0000-000090920000}"/>
    <cellStyle name="Comma 5 2 5 7 2" xfId="26675" xr:uid="{00000000-0005-0000-0000-000091920000}"/>
    <cellStyle name="Comma 5 2 5 8" xfId="13210" xr:uid="{00000000-0005-0000-0000-000092920000}"/>
    <cellStyle name="Comma 5 2 5 8 2" xfId="28359" xr:uid="{00000000-0005-0000-0000-000093920000}"/>
    <cellStyle name="Comma 5 2 5 9" xfId="14893" xr:uid="{00000000-0005-0000-0000-000094920000}"/>
    <cellStyle name="Comma 5 2 5 9 2" xfId="30042" xr:uid="{00000000-0005-0000-0000-000095920000}"/>
    <cellStyle name="Comma 5 2 6" xfId="1848" xr:uid="{00000000-0005-0000-0000-000096920000}"/>
    <cellStyle name="Comma 5 2 6 2" xfId="16997" xr:uid="{00000000-0005-0000-0000-000097920000}"/>
    <cellStyle name="Comma 5 2 7" xfId="3532" xr:uid="{00000000-0005-0000-0000-000098920000}"/>
    <cellStyle name="Comma 5 2 7 2" xfId="18681" xr:uid="{00000000-0005-0000-0000-000099920000}"/>
    <cellStyle name="Comma 5 2 8" xfId="5215" xr:uid="{00000000-0005-0000-0000-00009A920000}"/>
    <cellStyle name="Comma 5 2 8 2" xfId="20364" xr:uid="{00000000-0005-0000-0000-00009B920000}"/>
    <cellStyle name="Comma 5 2 9" xfId="6898" xr:uid="{00000000-0005-0000-0000-00009C920000}"/>
    <cellStyle name="Comma 5 2 9 2" xfId="22047" xr:uid="{00000000-0005-0000-0000-00009D920000}"/>
    <cellStyle name="Comma 5 20" xfId="37090" xr:uid="{00000000-0005-0000-0000-00009E920000}"/>
    <cellStyle name="Comma 5 21" xfId="38773" xr:uid="{00000000-0005-0000-0000-00009F920000}"/>
    <cellStyle name="Comma 5 22" xfId="40456" xr:uid="{00000000-0005-0000-0000-0000A0920000}"/>
    <cellStyle name="Comma 5 23" xfId="42139" xr:uid="{00000000-0005-0000-0000-0000A1920000}"/>
    <cellStyle name="Comma 5 24" xfId="43822" xr:uid="{00000000-0005-0000-0000-0000A2920000}"/>
    <cellStyle name="Comma 5 25" xfId="45505" xr:uid="{00000000-0005-0000-0000-0000A3920000}"/>
    <cellStyle name="Comma 5 26" xfId="47188" xr:uid="{00000000-0005-0000-0000-0000A4920000}"/>
    <cellStyle name="Comma 5 27" xfId="48871" xr:uid="{00000000-0005-0000-0000-0000A5920000}"/>
    <cellStyle name="Comma 5 28" xfId="50554" xr:uid="{00000000-0005-0000-0000-0000A6920000}"/>
    <cellStyle name="Comma 5 29" xfId="52237" xr:uid="{00000000-0005-0000-0000-0000A7920000}"/>
    <cellStyle name="Comma 5 3" xfId="270" xr:uid="{00000000-0005-0000-0000-0000A8920000}"/>
    <cellStyle name="Comma 5 3 10" xfId="10369" xr:uid="{00000000-0005-0000-0000-0000A9920000}"/>
    <cellStyle name="Comma 5 3 10 2" xfId="25518" xr:uid="{00000000-0005-0000-0000-0000AA920000}"/>
    <cellStyle name="Comma 5 3 11" xfId="12053" xr:uid="{00000000-0005-0000-0000-0000AB920000}"/>
    <cellStyle name="Comma 5 3 11 2" xfId="27202" xr:uid="{00000000-0005-0000-0000-0000AC920000}"/>
    <cellStyle name="Comma 5 3 12" xfId="13736" xr:uid="{00000000-0005-0000-0000-0000AD920000}"/>
    <cellStyle name="Comma 5 3 12 2" xfId="28885" xr:uid="{00000000-0005-0000-0000-0000AE920000}"/>
    <cellStyle name="Comma 5 3 13" xfId="15419" xr:uid="{00000000-0005-0000-0000-0000AF920000}"/>
    <cellStyle name="Comma 5 3 14" xfId="30568" xr:uid="{00000000-0005-0000-0000-0000B0920000}"/>
    <cellStyle name="Comma 5 3 15" xfId="32251" xr:uid="{00000000-0005-0000-0000-0000B1920000}"/>
    <cellStyle name="Comma 5 3 16" xfId="33934" xr:uid="{00000000-0005-0000-0000-0000B2920000}"/>
    <cellStyle name="Comma 5 3 17" xfId="35617" xr:uid="{00000000-0005-0000-0000-0000B3920000}"/>
    <cellStyle name="Comma 5 3 18" xfId="37300" xr:uid="{00000000-0005-0000-0000-0000B4920000}"/>
    <cellStyle name="Comma 5 3 19" xfId="38983" xr:uid="{00000000-0005-0000-0000-0000B5920000}"/>
    <cellStyle name="Comma 5 3 2" xfId="690" xr:uid="{00000000-0005-0000-0000-0000B6920000}"/>
    <cellStyle name="Comma 5 3 2 10" xfId="15839" xr:uid="{00000000-0005-0000-0000-0000B7920000}"/>
    <cellStyle name="Comma 5 3 2 11" xfId="30988" xr:uid="{00000000-0005-0000-0000-0000B8920000}"/>
    <cellStyle name="Comma 5 3 2 12" xfId="32671" xr:uid="{00000000-0005-0000-0000-0000B9920000}"/>
    <cellStyle name="Comma 5 3 2 13" xfId="34354" xr:uid="{00000000-0005-0000-0000-0000BA920000}"/>
    <cellStyle name="Comma 5 3 2 14" xfId="36037" xr:uid="{00000000-0005-0000-0000-0000BB920000}"/>
    <cellStyle name="Comma 5 3 2 15" xfId="37720" xr:uid="{00000000-0005-0000-0000-0000BC920000}"/>
    <cellStyle name="Comma 5 3 2 16" xfId="39403" xr:uid="{00000000-0005-0000-0000-0000BD920000}"/>
    <cellStyle name="Comma 5 3 2 17" xfId="41086" xr:uid="{00000000-0005-0000-0000-0000BE920000}"/>
    <cellStyle name="Comma 5 3 2 18" xfId="42769" xr:uid="{00000000-0005-0000-0000-0000BF920000}"/>
    <cellStyle name="Comma 5 3 2 19" xfId="44452" xr:uid="{00000000-0005-0000-0000-0000C0920000}"/>
    <cellStyle name="Comma 5 3 2 2" xfId="2373" xr:uid="{00000000-0005-0000-0000-0000C1920000}"/>
    <cellStyle name="Comma 5 3 2 2 2" xfId="17522" xr:uid="{00000000-0005-0000-0000-0000C2920000}"/>
    <cellStyle name="Comma 5 3 2 20" xfId="46135" xr:uid="{00000000-0005-0000-0000-0000C3920000}"/>
    <cellStyle name="Comma 5 3 2 21" xfId="47818" xr:uid="{00000000-0005-0000-0000-0000C4920000}"/>
    <cellStyle name="Comma 5 3 2 22" xfId="49501" xr:uid="{00000000-0005-0000-0000-0000C5920000}"/>
    <cellStyle name="Comma 5 3 2 23" xfId="51184" xr:uid="{00000000-0005-0000-0000-0000C6920000}"/>
    <cellStyle name="Comma 5 3 2 24" xfId="52867" xr:uid="{00000000-0005-0000-0000-0000C7920000}"/>
    <cellStyle name="Comma 5 3 2 25" xfId="54550" xr:uid="{00000000-0005-0000-0000-0000C8920000}"/>
    <cellStyle name="Comma 5 3 2 26" xfId="56233" xr:uid="{00000000-0005-0000-0000-0000C9920000}"/>
    <cellStyle name="Comma 5 3 2 27" xfId="57916" xr:uid="{00000000-0005-0000-0000-0000CA920000}"/>
    <cellStyle name="Comma 5 3 2 28" xfId="59599" xr:uid="{00000000-0005-0000-0000-0000CB920000}"/>
    <cellStyle name="Comma 5 3 2 29" xfId="61282" xr:uid="{00000000-0005-0000-0000-0000CC920000}"/>
    <cellStyle name="Comma 5 3 2 3" xfId="4057" xr:uid="{00000000-0005-0000-0000-0000CD920000}"/>
    <cellStyle name="Comma 5 3 2 3 2" xfId="19206" xr:uid="{00000000-0005-0000-0000-0000CE920000}"/>
    <cellStyle name="Comma 5 3 2 30" xfId="62965" xr:uid="{00000000-0005-0000-0000-0000CF920000}"/>
    <cellStyle name="Comma 5 3 2 4" xfId="5740" xr:uid="{00000000-0005-0000-0000-0000D0920000}"/>
    <cellStyle name="Comma 5 3 2 4 2" xfId="20889" xr:uid="{00000000-0005-0000-0000-0000D1920000}"/>
    <cellStyle name="Comma 5 3 2 5" xfId="7423" xr:uid="{00000000-0005-0000-0000-0000D2920000}"/>
    <cellStyle name="Comma 5 3 2 5 2" xfId="22572" xr:uid="{00000000-0005-0000-0000-0000D3920000}"/>
    <cellStyle name="Comma 5 3 2 6" xfId="9106" xr:uid="{00000000-0005-0000-0000-0000D4920000}"/>
    <cellStyle name="Comma 5 3 2 6 2" xfId="24255" xr:uid="{00000000-0005-0000-0000-0000D5920000}"/>
    <cellStyle name="Comma 5 3 2 7" xfId="10789" xr:uid="{00000000-0005-0000-0000-0000D6920000}"/>
    <cellStyle name="Comma 5 3 2 7 2" xfId="25938" xr:uid="{00000000-0005-0000-0000-0000D7920000}"/>
    <cellStyle name="Comma 5 3 2 8" xfId="12473" xr:uid="{00000000-0005-0000-0000-0000D8920000}"/>
    <cellStyle name="Comma 5 3 2 8 2" xfId="27622" xr:uid="{00000000-0005-0000-0000-0000D9920000}"/>
    <cellStyle name="Comma 5 3 2 9" xfId="14156" xr:uid="{00000000-0005-0000-0000-0000DA920000}"/>
    <cellStyle name="Comma 5 3 2 9 2" xfId="29305" xr:uid="{00000000-0005-0000-0000-0000DB920000}"/>
    <cellStyle name="Comma 5 3 20" xfId="40666" xr:uid="{00000000-0005-0000-0000-0000DC920000}"/>
    <cellStyle name="Comma 5 3 21" xfId="42349" xr:uid="{00000000-0005-0000-0000-0000DD920000}"/>
    <cellStyle name="Comma 5 3 22" xfId="44032" xr:uid="{00000000-0005-0000-0000-0000DE920000}"/>
    <cellStyle name="Comma 5 3 23" xfId="45715" xr:uid="{00000000-0005-0000-0000-0000DF920000}"/>
    <cellStyle name="Comma 5 3 24" xfId="47398" xr:uid="{00000000-0005-0000-0000-0000E0920000}"/>
    <cellStyle name="Comma 5 3 25" xfId="49081" xr:uid="{00000000-0005-0000-0000-0000E1920000}"/>
    <cellStyle name="Comma 5 3 26" xfId="50764" xr:uid="{00000000-0005-0000-0000-0000E2920000}"/>
    <cellStyle name="Comma 5 3 27" xfId="52447" xr:uid="{00000000-0005-0000-0000-0000E3920000}"/>
    <cellStyle name="Comma 5 3 28" xfId="54130" xr:uid="{00000000-0005-0000-0000-0000E4920000}"/>
    <cellStyle name="Comma 5 3 29" xfId="55813" xr:uid="{00000000-0005-0000-0000-0000E5920000}"/>
    <cellStyle name="Comma 5 3 3" xfId="1111" xr:uid="{00000000-0005-0000-0000-0000E6920000}"/>
    <cellStyle name="Comma 5 3 3 10" xfId="16260" xr:uid="{00000000-0005-0000-0000-0000E7920000}"/>
    <cellStyle name="Comma 5 3 3 11" xfId="31409" xr:uid="{00000000-0005-0000-0000-0000E8920000}"/>
    <cellStyle name="Comma 5 3 3 12" xfId="33092" xr:uid="{00000000-0005-0000-0000-0000E9920000}"/>
    <cellStyle name="Comma 5 3 3 13" xfId="34775" xr:uid="{00000000-0005-0000-0000-0000EA920000}"/>
    <cellStyle name="Comma 5 3 3 14" xfId="36458" xr:uid="{00000000-0005-0000-0000-0000EB920000}"/>
    <cellStyle name="Comma 5 3 3 15" xfId="38141" xr:uid="{00000000-0005-0000-0000-0000EC920000}"/>
    <cellStyle name="Comma 5 3 3 16" xfId="39824" xr:uid="{00000000-0005-0000-0000-0000ED920000}"/>
    <cellStyle name="Comma 5 3 3 17" xfId="41507" xr:uid="{00000000-0005-0000-0000-0000EE920000}"/>
    <cellStyle name="Comma 5 3 3 18" xfId="43190" xr:uid="{00000000-0005-0000-0000-0000EF920000}"/>
    <cellStyle name="Comma 5 3 3 19" xfId="44873" xr:uid="{00000000-0005-0000-0000-0000F0920000}"/>
    <cellStyle name="Comma 5 3 3 2" xfId="2794" xr:uid="{00000000-0005-0000-0000-0000F1920000}"/>
    <cellStyle name="Comma 5 3 3 2 2" xfId="17943" xr:uid="{00000000-0005-0000-0000-0000F2920000}"/>
    <cellStyle name="Comma 5 3 3 20" xfId="46556" xr:uid="{00000000-0005-0000-0000-0000F3920000}"/>
    <cellStyle name="Comma 5 3 3 21" xfId="48239" xr:uid="{00000000-0005-0000-0000-0000F4920000}"/>
    <cellStyle name="Comma 5 3 3 22" xfId="49922" xr:uid="{00000000-0005-0000-0000-0000F5920000}"/>
    <cellStyle name="Comma 5 3 3 23" xfId="51605" xr:uid="{00000000-0005-0000-0000-0000F6920000}"/>
    <cellStyle name="Comma 5 3 3 24" xfId="53288" xr:uid="{00000000-0005-0000-0000-0000F7920000}"/>
    <cellStyle name="Comma 5 3 3 25" xfId="54971" xr:uid="{00000000-0005-0000-0000-0000F8920000}"/>
    <cellStyle name="Comma 5 3 3 26" xfId="56654" xr:uid="{00000000-0005-0000-0000-0000F9920000}"/>
    <cellStyle name="Comma 5 3 3 27" xfId="58337" xr:uid="{00000000-0005-0000-0000-0000FA920000}"/>
    <cellStyle name="Comma 5 3 3 28" xfId="60020" xr:uid="{00000000-0005-0000-0000-0000FB920000}"/>
    <cellStyle name="Comma 5 3 3 29" xfId="61703" xr:uid="{00000000-0005-0000-0000-0000FC920000}"/>
    <cellStyle name="Comma 5 3 3 3" xfId="4478" xr:uid="{00000000-0005-0000-0000-0000FD920000}"/>
    <cellStyle name="Comma 5 3 3 3 2" xfId="19627" xr:uid="{00000000-0005-0000-0000-0000FE920000}"/>
    <cellStyle name="Comma 5 3 3 30" xfId="63386" xr:uid="{00000000-0005-0000-0000-0000FF920000}"/>
    <cellStyle name="Comma 5 3 3 4" xfId="6161" xr:uid="{00000000-0005-0000-0000-000000930000}"/>
    <cellStyle name="Comma 5 3 3 4 2" xfId="21310" xr:uid="{00000000-0005-0000-0000-000001930000}"/>
    <cellStyle name="Comma 5 3 3 5" xfId="7844" xr:uid="{00000000-0005-0000-0000-000002930000}"/>
    <cellStyle name="Comma 5 3 3 5 2" xfId="22993" xr:uid="{00000000-0005-0000-0000-000003930000}"/>
    <cellStyle name="Comma 5 3 3 6" xfId="9527" xr:uid="{00000000-0005-0000-0000-000004930000}"/>
    <cellStyle name="Comma 5 3 3 6 2" xfId="24676" xr:uid="{00000000-0005-0000-0000-000005930000}"/>
    <cellStyle name="Comma 5 3 3 7" xfId="11210" xr:uid="{00000000-0005-0000-0000-000006930000}"/>
    <cellStyle name="Comma 5 3 3 7 2" xfId="26359" xr:uid="{00000000-0005-0000-0000-000007930000}"/>
    <cellStyle name="Comma 5 3 3 8" xfId="12894" xr:uid="{00000000-0005-0000-0000-000008930000}"/>
    <cellStyle name="Comma 5 3 3 8 2" xfId="28043" xr:uid="{00000000-0005-0000-0000-000009930000}"/>
    <cellStyle name="Comma 5 3 3 9" xfId="14577" xr:uid="{00000000-0005-0000-0000-00000A930000}"/>
    <cellStyle name="Comma 5 3 3 9 2" xfId="29726" xr:uid="{00000000-0005-0000-0000-00000B930000}"/>
    <cellStyle name="Comma 5 3 30" xfId="57496" xr:uid="{00000000-0005-0000-0000-00000C930000}"/>
    <cellStyle name="Comma 5 3 31" xfId="59179" xr:uid="{00000000-0005-0000-0000-00000D930000}"/>
    <cellStyle name="Comma 5 3 32" xfId="60862" xr:uid="{00000000-0005-0000-0000-00000E930000}"/>
    <cellStyle name="Comma 5 3 33" xfId="62545" xr:uid="{00000000-0005-0000-0000-00000F930000}"/>
    <cellStyle name="Comma 5 3 4" xfId="1532" xr:uid="{00000000-0005-0000-0000-000010930000}"/>
    <cellStyle name="Comma 5 3 4 10" xfId="16681" xr:uid="{00000000-0005-0000-0000-000011930000}"/>
    <cellStyle name="Comma 5 3 4 11" xfId="31830" xr:uid="{00000000-0005-0000-0000-000012930000}"/>
    <cellStyle name="Comma 5 3 4 12" xfId="33513" xr:uid="{00000000-0005-0000-0000-000013930000}"/>
    <cellStyle name="Comma 5 3 4 13" xfId="35196" xr:uid="{00000000-0005-0000-0000-000014930000}"/>
    <cellStyle name="Comma 5 3 4 14" xfId="36879" xr:uid="{00000000-0005-0000-0000-000015930000}"/>
    <cellStyle name="Comma 5 3 4 15" xfId="38562" xr:uid="{00000000-0005-0000-0000-000016930000}"/>
    <cellStyle name="Comma 5 3 4 16" xfId="40245" xr:uid="{00000000-0005-0000-0000-000017930000}"/>
    <cellStyle name="Comma 5 3 4 17" xfId="41928" xr:uid="{00000000-0005-0000-0000-000018930000}"/>
    <cellStyle name="Comma 5 3 4 18" xfId="43611" xr:uid="{00000000-0005-0000-0000-000019930000}"/>
    <cellStyle name="Comma 5 3 4 19" xfId="45294" xr:uid="{00000000-0005-0000-0000-00001A930000}"/>
    <cellStyle name="Comma 5 3 4 2" xfId="3215" xr:uid="{00000000-0005-0000-0000-00001B930000}"/>
    <cellStyle name="Comma 5 3 4 2 2" xfId="18364" xr:uid="{00000000-0005-0000-0000-00001C930000}"/>
    <cellStyle name="Comma 5 3 4 20" xfId="46977" xr:uid="{00000000-0005-0000-0000-00001D930000}"/>
    <cellStyle name="Comma 5 3 4 21" xfId="48660" xr:uid="{00000000-0005-0000-0000-00001E930000}"/>
    <cellStyle name="Comma 5 3 4 22" xfId="50343" xr:uid="{00000000-0005-0000-0000-00001F930000}"/>
    <cellStyle name="Comma 5 3 4 23" xfId="52026" xr:uid="{00000000-0005-0000-0000-000020930000}"/>
    <cellStyle name="Comma 5 3 4 24" xfId="53709" xr:uid="{00000000-0005-0000-0000-000021930000}"/>
    <cellStyle name="Comma 5 3 4 25" xfId="55392" xr:uid="{00000000-0005-0000-0000-000022930000}"/>
    <cellStyle name="Comma 5 3 4 26" xfId="57075" xr:uid="{00000000-0005-0000-0000-000023930000}"/>
    <cellStyle name="Comma 5 3 4 27" xfId="58758" xr:uid="{00000000-0005-0000-0000-000024930000}"/>
    <cellStyle name="Comma 5 3 4 28" xfId="60441" xr:uid="{00000000-0005-0000-0000-000025930000}"/>
    <cellStyle name="Comma 5 3 4 29" xfId="62124" xr:uid="{00000000-0005-0000-0000-000026930000}"/>
    <cellStyle name="Comma 5 3 4 3" xfId="4899" xr:uid="{00000000-0005-0000-0000-000027930000}"/>
    <cellStyle name="Comma 5 3 4 3 2" xfId="20048" xr:uid="{00000000-0005-0000-0000-000028930000}"/>
    <cellStyle name="Comma 5 3 4 30" xfId="63807" xr:uid="{00000000-0005-0000-0000-000029930000}"/>
    <cellStyle name="Comma 5 3 4 4" xfId="6582" xr:uid="{00000000-0005-0000-0000-00002A930000}"/>
    <cellStyle name="Comma 5 3 4 4 2" xfId="21731" xr:uid="{00000000-0005-0000-0000-00002B930000}"/>
    <cellStyle name="Comma 5 3 4 5" xfId="8265" xr:uid="{00000000-0005-0000-0000-00002C930000}"/>
    <cellStyle name="Comma 5 3 4 5 2" xfId="23414" xr:uid="{00000000-0005-0000-0000-00002D930000}"/>
    <cellStyle name="Comma 5 3 4 6" xfId="9948" xr:uid="{00000000-0005-0000-0000-00002E930000}"/>
    <cellStyle name="Comma 5 3 4 6 2" xfId="25097" xr:uid="{00000000-0005-0000-0000-00002F930000}"/>
    <cellStyle name="Comma 5 3 4 7" xfId="11631" xr:uid="{00000000-0005-0000-0000-000030930000}"/>
    <cellStyle name="Comma 5 3 4 7 2" xfId="26780" xr:uid="{00000000-0005-0000-0000-000031930000}"/>
    <cellStyle name="Comma 5 3 4 8" xfId="13315" xr:uid="{00000000-0005-0000-0000-000032930000}"/>
    <cellStyle name="Comma 5 3 4 8 2" xfId="28464" xr:uid="{00000000-0005-0000-0000-000033930000}"/>
    <cellStyle name="Comma 5 3 4 9" xfId="14998" xr:uid="{00000000-0005-0000-0000-000034930000}"/>
    <cellStyle name="Comma 5 3 4 9 2" xfId="30147" xr:uid="{00000000-0005-0000-0000-000035930000}"/>
    <cellStyle name="Comma 5 3 5" xfId="1953" xr:uid="{00000000-0005-0000-0000-000036930000}"/>
    <cellStyle name="Comma 5 3 5 2" xfId="17102" xr:uid="{00000000-0005-0000-0000-000037930000}"/>
    <cellStyle name="Comma 5 3 6" xfId="3637" xr:uid="{00000000-0005-0000-0000-000038930000}"/>
    <cellStyle name="Comma 5 3 6 2" xfId="18786" xr:uid="{00000000-0005-0000-0000-000039930000}"/>
    <cellStyle name="Comma 5 3 7" xfId="5320" xr:uid="{00000000-0005-0000-0000-00003A930000}"/>
    <cellStyle name="Comma 5 3 7 2" xfId="20469" xr:uid="{00000000-0005-0000-0000-00003B930000}"/>
    <cellStyle name="Comma 5 3 8" xfId="7003" xr:uid="{00000000-0005-0000-0000-00003C930000}"/>
    <cellStyle name="Comma 5 3 8 2" xfId="22152" xr:uid="{00000000-0005-0000-0000-00003D930000}"/>
    <cellStyle name="Comma 5 3 9" xfId="8686" xr:uid="{00000000-0005-0000-0000-00003E930000}"/>
    <cellStyle name="Comma 5 3 9 2" xfId="23835" xr:uid="{00000000-0005-0000-0000-00003F930000}"/>
    <cellStyle name="Comma 5 30" xfId="53920" xr:uid="{00000000-0005-0000-0000-000040930000}"/>
    <cellStyle name="Comma 5 31" xfId="55603" xr:uid="{00000000-0005-0000-0000-000041930000}"/>
    <cellStyle name="Comma 5 32" xfId="57286" xr:uid="{00000000-0005-0000-0000-000042930000}"/>
    <cellStyle name="Comma 5 33" xfId="58969" xr:uid="{00000000-0005-0000-0000-000043930000}"/>
    <cellStyle name="Comma 5 34" xfId="60652" xr:uid="{00000000-0005-0000-0000-000044930000}"/>
    <cellStyle name="Comma 5 35" xfId="62335" xr:uid="{00000000-0005-0000-0000-000045930000}"/>
    <cellStyle name="Comma 5 4" xfId="480" xr:uid="{00000000-0005-0000-0000-000046930000}"/>
    <cellStyle name="Comma 5 4 10" xfId="15629" xr:uid="{00000000-0005-0000-0000-000047930000}"/>
    <cellStyle name="Comma 5 4 11" xfId="30778" xr:uid="{00000000-0005-0000-0000-000048930000}"/>
    <cellStyle name="Comma 5 4 12" xfId="32461" xr:uid="{00000000-0005-0000-0000-000049930000}"/>
    <cellStyle name="Comma 5 4 13" xfId="34144" xr:uid="{00000000-0005-0000-0000-00004A930000}"/>
    <cellStyle name="Comma 5 4 14" xfId="35827" xr:uid="{00000000-0005-0000-0000-00004B930000}"/>
    <cellStyle name="Comma 5 4 15" xfId="37510" xr:uid="{00000000-0005-0000-0000-00004C930000}"/>
    <cellStyle name="Comma 5 4 16" xfId="39193" xr:uid="{00000000-0005-0000-0000-00004D930000}"/>
    <cellStyle name="Comma 5 4 17" xfId="40876" xr:uid="{00000000-0005-0000-0000-00004E930000}"/>
    <cellStyle name="Comma 5 4 18" xfId="42559" xr:uid="{00000000-0005-0000-0000-00004F930000}"/>
    <cellStyle name="Comma 5 4 19" xfId="44242" xr:uid="{00000000-0005-0000-0000-000050930000}"/>
    <cellStyle name="Comma 5 4 2" xfId="2163" xr:uid="{00000000-0005-0000-0000-000051930000}"/>
    <cellStyle name="Comma 5 4 2 2" xfId="17312" xr:uid="{00000000-0005-0000-0000-000052930000}"/>
    <cellStyle name="Comma 5 4 20" xfId="45925" xr:uid="{00000000-0005-0000-0000-000053930000}"/>
    <cellStyle name="Comma 5 4 21" xfId="47608" xr:uid="{00000000-0005-0000-0000-000054930000}"/>
    <cellStyle name="Comma 5 4 22" xfId="49291" xr:uid="{00000000-0005-0000-0000-000055930000}"/>
    <cellStyle name="Comma 5 4 23" xfId="50974" xr:uid="{00000000-0005-0000-0000-000056930000}"/>
    <cellStyle name="Comma 5 4 24" xfId="52657" xr:uid="{00000000-0005-0000-0000-000057930000}"/>
    <cellStyle name="Comma 5 4 25" xfId="54340" xr:uid="{00000000-0005-0000-0000-000058930000}"/>
    <cellStyle name="Comma 5 4 26" xfId="56023" xr:uid="{00000000-0005-0000-0000-000059930000}"/>
    <cellStyle name="Comma 5 4 27" xfId="57706" xr:uid="{00000000-0005-0000-0000-00005A930000}"/>
    <cellStyle name="Comma 5 4 28" xfId="59389" xr:uid="{00000000-0005-0000-0000-00005B930000}"/>
    <cellStyle name="Comma 5 4 29" xfId="61072" xr:uid="{00000000-0005-0000-0000-00005C930000}"/>
    <cellStyle name="Comma 5 4 3" xfId="3847" xr:uid="{00000000-0005-0000-0000-00005D930000}"/>
    <cellStyle name="Comma 5 4 3 2" xfId="18996" xr:uid="{00000000-0005-0000-0000-00005E930000}"/>
    <cellStyle name="Comma 5 4 30" xfId="62755" xr:uid="{00000000-0005-0000-0000-00005F930000}"/>
    <cellStyle name="Comma 5 4 4" xfId="5530" xr:uid="{00000000-0005-0000-0000-000060930000}"/>
    <cellStyle name="Comma 5 4 4 2" xfId="20679" xr:uid="{00000000-0005-0000-0000-000061930000}"/>
    <cellStyle name="Comma 5 4 5" xfId="7213" xr:uid="{00000000-0005-0000-0000-000062930000}"/>
    <cellStyle name="Comma 5 4 5 2" xfId="22362" xr:uid="{00000000-0005-0000-0000-000063930000}"/>
    <cellStyle name="Comma 5 4 6" xfId="8896" xr:uid="{00000000-0005-0000-0000-000064930000}"/>
    <cellStyle name="Comma 5 4 6 2" xfId="24045" xr:uid="{00000000-0005-0000-0000-000065930000}"/>
    <cellStyle name="Comma 5 4 7" xfId="10579" xr:uid="{00000000-0005-0000-0000-000066930000}"/>
    <cellStyle name="Comma 5 4 7 2" xfId="25728" xr:uid="{00000000-0005-0000-0000-000067930000}"/>
    <cellStyle name="Comma 5 4 8" xfId="12263" xr:uid="{00000000-0005-0000-0000-000068930000}"/>
    <cellStyle name="Comma 5 4 8 2" xfId="27412" xr:uid="{00000000-0005-0000-0000-000069930000}"/>
    <cellStyle name="Comma 5 4 9" xfId="13946" xr:uid="{00000000-0005-0000-0000-00006A930000}"/>
    <cellStyle name="Comma 5 4 9 2" xfId="29095" xr:uid="{00000000-0005-0000-0000-00006B930000}"/>
    <cellStyle name="Comma 5 5" xfId="901" xr:uid="{00000000-0005-0000-0000-00006C930000}"/>
    <cellStyle name="Comma 5 5 10" xfId="16050" xr:uid="{00000000-0005-0000-0000-00006D930000}"/>
    <cellStyle name="Comma 5 5 11" xfId="31199" xr:uid="{00000000-0005-0000-0000-00006E930000}"/>
    <cellStyle name="Comma 5 5 12" xfId="32882" xr:uid="{00000000-0005-0000-0000-00006F930000}"/>
    <cellStyle name="Comma 5 5 13" xfId="34565" xr:uid="{00000000-0005-0000-0000-000070930000}"/>
    <cellStyle name="Comma 5 5 14" xfId="36248" xr:uid="{00000000-0005-0000-0000-000071930000}"/>
    <cellStyle name="Comma 5 5 15" xfId="37931" xr:uid="{00000000-0005-0000-0000-000072930000}"/>
    <cellStyle name="Comma 5 5 16" xfId="39614" xr:uid="{00000000-0005-0000-0000-000073930000}"/>
    <cellStyle name="Comma 5 5 17" xfId="41297" xr:uid="{00000000-0005-0000-0000-000074930000}"/>
    <cellStyle name="Comma 5 5 18" xfId="42980" xr:uid="{00000000-0005-0000-0000-000075930000}"/>
    <cellStyle name="Comma 5 5 19" xfId="44663" xr:uid="{00000000-0005-0000-0000-000076930000}"/>
    <cellStyle name="Comma 5 5 2" xfId="2584" xr:uid="{00000000-0005-0000-0000-000077930000}"/>
    <cellStyle name="Comma 5 5 2 2" xfId="17733" xr:uid="{00000000-0005-0000-0000-000078930000}"/>
    <cellStyle name="Comma 5 5 20" xfId="46346" xr:uid="{00000000-0005-0000-0000-000079930000}"/>
    <cellStyle name="Comma 5 5 21" xfId="48029" xr:uid="{00000000-0005-0000-0000-00007A930000}"/>
    <cellStyle name="Comma 5 5 22" xfId="49712" xr:uid="{00000000-0005-0000-0000-00007B930000}"/>
    <cellStyle name="Comma 5 5 23" xfId="51395" xr:uid="{00000000-0005-0000-0000-00007C930000}"/>
    <cellStyle name="Comma 5 5 24" xfId="53078" xr:uid="{00000000-0005-0000-0000-00007D930000}"/>
    <cellStyle name="Comma 5 5 25" xfId="54761" xr:uid="{00000000-0005-0000-0000-00007E930000}"/>
    <cellStyle name="Comma 5 5 26" xfId="56444" xr:uid="{00000000-0005-0000-0000-00007F930000}"/>
    <cellStyle name="Comma 5 5 27" xfId="58127" xr:uid="{00000000-0005-0000-0000-000080930000}"/>
    <cellStyle name="Comma 5 5 28" xfId="59810" xr:uid="{00000000-0005-0000-0000-000081930000}"/>
    <cellStyle name="Comma 5 5 29" xfId="61493" xr:uid="{00000000-0005-0000-0000-000082930000}"/>
    <cellStyle name="Comma 5 5 3" xfId="4268" xr:uid="{00000000-0005-0000-0000-000083930000}"/>
    <cellStyle name="Comma 5 5 3 2" xfId="19417" xr:uid="{00000000-0005-0000-0000-000084930000}"/>
    <cellStyle name="Comma 5 5 30" xfId="63176" xr:uid="{00000000-0005-0000-0000-000085930000}"/>
    <cellStyle name="Comma 5 5 4" xfId="5951" xr:uid="{00000000-0005-0000-0000-000086930000}"/>
    <cellStyle name="Comma 5 5 4 2" xfId="21100" xr:uid="{00000000-0005-0000-0000-000087930000}"/>
    <cellStyle name="Comma 5 5 5" xfId="7634" xr:uid="{00000000-0005-0000-0000-000088930000}"/>
    <cellStyle name="Comma 5 5 5 2" xfId="22783" xr:uid="{00000000-0005-0000-0000-000089930000}"/>
    <cellStyle name="Comma 5 5 6" xfId="9317" xr:uid="{00000000-0005-0000-0000-00008A930000}"/>
    <cellStyle name="Comma 5 5 6 2" xfId="24466" xr:uid="{00000000-0005-0000-0000-00008B930000}"/>
    <cellStyle name="Comma 5 5 7" xfId="11000" xr:uid="{00000000-0005-0000-0000-00008C930000}"/>
    <cellStyle name="Comma 5 5 7 2" xfId="26149" xr:uid="{00000000-0005-0000-0000-00008D930000}"/>
    <cellStyle name="Comma 5 5 8" xfId="12684" xr:uid="{00000000-0005-0000-0000-00008E930000}"/>
    <cellStyle name="Comma 5 5 8 2" xfId="27833" xr:uid="{00000000-0005-0000-0000-00008F930000}"/>
    <cellStyle name="Comma 5 5 9" xfId="14367" xr:uid="{00000000-0005-0000-0000-000090930000}"/>
    <cellStyle name="Comma 5 5 9 2" xfId="29516" xr:uid="{00000000-0005-0000-0000-000091930000}"/>
    <cellStyle name="Comma 5 6" xfId="1322" xr:uid="{00000000-0005-0000-0000-000092930000}"/>
    <cellStyle name="Comma 5 6 10" xfId="16471" xr:uid="{00000000-0005-0000-0000-000093930000}"/>
    <cellStyle name="Comma 5 6 11" xfId="31620" xr:uid="{00000000-0005-0000-0000-000094930000}"/>
    <cellStyle name="Comma 5 6 12" xfId="33303" xr:uid="{00000000-0005-0000-0000-000095930000}"/>
    <cellStyle name="Comma 5 6 13" xfId="34986" xr:uid="{00000000-0005-0000-0000-000096930000}"/>
    <cellStyle name="Comma 5 6 14" xfId="36669" xr:uid="{00000000-0005-0000-0000-000097930000}"/>
    <cellStyle name="Comma 5 6 15" xfId="38352" xr:uid="{00000000-0005-0000-0000-000098930000}"/>
    <cellStyle name="Comma 5 6 16" xfId="40035" xr:uid="{00000000-0005-0000-0000-000099930000}"/>
    <cellStyle name="Comma 5 6 17" xfId="41718" xr:uid="{00000000-0005-0000-0000-00009A930000}"/>
    <cellStyle name="Comma 5 6 18" xfId="43401" xr:uid="{00000000-0005-0000-0000-00009B930000}"/>
    <cellStyle name="Comma 5 6 19" xfId="45084" xr:uid="{00000000-0005-0000-0000-00009C930000}"/>
    <cellStyle name="Comma 5 6 2" xfId="3005" xr:uid="{00000000-0005-0000-0000-00009D930000}"/>
    <cellStyle name="Comma 5 6 2 2" xfId="18154" xr:uid="{00000000-0005-0000-0000-00009E930000}"/>
    <cellStyle name="Comma 5 6 20" xfId="46767" xr:uid="{00000000-0005-0000-0000-00009F930000}"/>
    <cellStyle name="Comma 5 6 21" xfId="48450" xr:uid="{00000000-0005-0000-0000-0000A0930000}"/>
    <cellStyle name="Comma 5 6 22" xfId="50133" xr:uid="{00000000-0005-0000-0000-0000A1930000}"/>
    <cellStyle name="Comma 5 6 23" xfId="51816" xr:uid="{00000000-0005-0000-0000-0000A2930000}"/>
    <cellStyle name="Comma 5 6 24" xfId="53499" xr:uid="{00000000-0005-0000-0000-0000A3930000}"/>
    <cellStyle name="Comma 5 6 25" xfId="55182" xr:uid="{00000000-0005-0000-0000-0000A4930000}"/>
    <cellStyle name="Comma 5 6 26" xfId="56865" xr:uid="{00000000-0005-0000-0000-0000A5930000}"/>
    <cellStyle name="Comma 5 6 27" xfId="58548" xr:uid="{00000000-0005-0000-0000-0000A6930000}"/>
    <cellStyle name="Comma 5 6 28" xfId="60231" xr:uid="{00000000-0005-0000-0000-0000A7930000}"/>
    <cellStyle name="Comma 5 6 29" xfId="61914" xr:uid="{00000000-0005-0000-0000-0000A8930000}"/>
    <cellStyle name="Comma 5 6 3" xfId="4689" xr:uid="{00000000-0005-0000-0000-0000A9930000}"/>
    <cellStyle name="Comma 5 6 3 2" xfId="19838" xr:uid="{00000000-0005-0000-0000-0000AA930000}"/>
    <cellStyle name="Comma 5 6 30" xfId="63597" xr:uid="{00000000-0005-0000-0000-0000AB930000}"/>
    <cellStyle name="Comma 5 6 4" xfId="6372" xr:uid="{00000000-0005-0000-0000-0000AC930000}"/>
    <cellStyle name="Comma 5 6 4 2" xfId="21521" xr:uid="{00000000-0005-0000-0000-0000AD930000}"/>
    <cellStyle name="Comma 5 6 5" xfId="8055" xr:uid="{00000000-0005-0000-0000-0000AE930000}"/>
    <cellStyle name="Comma 5 6 5 2" xfId="23204" xr:uid="{00000000-0005-0000-0000-0000AF930000}"/>
    <cellStyle name="Comma 5 6 6" xfId="9738" xr:uid="{00000000-0005-0000-0000-0000B0930000}"/>
    <cellStyle name="Comma 5 6 6 2" xfId="24887" xr:uid="{00000000-0005-0000-0000-0000B1930000}"/>
    <cellStyle name="Comma 5 6 7" xfId="11421" xr:uid="{00000000-0005-0000-0000-0000B2930000}"/>
    <cellStyle name="Comma 5 6 7 2" xfId="26570" xr:uid="{00000000-0005-0000-0000-0000B3930000}"/>
    <cellStyle name="Comma 5 6 8" xfId="13105" xr:uid="{00000000-0005-0000-0000-0000B4930000}"/>
    <cellStyle name="Comma 5 6 8 2" xfId="28254" xr:uid="{00000000-0005-0000-0000-0000B5930000}"/>
    <cellStyle name="Comma 5 6 9" xfId="14788" xr:uid="{00000000-0005-0000-0000-0000B6930000}"/>
    <cellStyle name="Comma 5 6 9 2" xfId="29937" xr:uid="{00000000-0005-0000-0000-0000B7930000}"/>
    <cellStyle name="Comma 5 7" xfId="1743" xr:uid="{00000000-0005-0000-0000-0000B8930000}"/>
    <cellStyle name="Comma 5 7 2" xfId="16892" xr:uid="{00000000-0005-0000-0000-0000B9930000}"/>
    <cellStyle name="Comma 5 8" xfId="3427" xr:uid="{00000000-0005-0000-0000-0000BA930000}"/>
    <cellStyle name="Comma 5 8 2" xfId="18576" xr:uid="{00000000-0005-0000-0000-0000BB930000}"/>
    <cellStyle name="Comma 5 9" xfId="5110" xr:uid="{00000000-0005-0000-0000-0000BC930000}"/>
    <cellStyle name="Comma 5 9 2" xfId="20259" xr:uid="{00000000-0005-0000-0000-0000BD930000}"/>
    <cellStyle name="Comma 6" xfId="47" xr:uid="{00000000-0005-0000-0000-0000BE930000}"/>
    <cellStyle name="Comma 6 10" xfId="6802" xr:uid="{00000000-0005-0000-0000-0000BF930000}"/>
    <cellStyle name="Comma 6 10 2" xfId="21951" xr:uid="{00000000-0005-0000-0000-0000C0930000}"/>
    <cellStyle name="Comma 6 11" xfId="8485" xr:uid="{00000000-0005-0000-0000-0000C1930000}"/>
    <cellStyle name="Comma 6 11 2" xfId="23634" xr:uid="{00000000-0005-0000-0000-0000C2930000}"/>
    <cellStyle name="Comma 6 12" xfId="10168" xr:uid="{00000000-0005-0000-0000-0000C3930000}"/>
    <cellStyle name="Comma 6 12 2" xfId="25317" xr:uid="{00000000-0005-0000-0000-0000C4930000}"/>
    <cellStyle name="Comma 6 13" xfId="11852" xr:uid="{00000000-0005-0000-0000-0000C5930000}"/>
    <cellStyle name="Comma 6 13 2" xfId="27001" xr:uid="{00000000-0005-0000-0000-0000C6930000}"/>
    <cellStyle name="Comma 6 14" xfId="13535" xr:uid="{00000000-0005-0000-0000-0000C7930000}"/>
    <cellStyle name="Comma 6 14 2" xfId="28684" xr:uid="{00000000-0005-0000-0000-0000C8930000}"/>
    <cellStyle name="Comma 6 15" xfId="15218" xr:uid="{00000000-0005-0000-0000-0000C9930000}"/>
    <cellStyle name="Comma 6 16" xfId="30367" xr:uid="{00000000-0005-0000-0000-0000CA930000}"/>
    <cellStyle name="Comma 6 17" xfId="32050" xr:uid="{00000000-0005-0000-0000-0000CB930000}"/>
    <cellStyle name="Comma 6 18" xfId="33733" xr:uid="{00000000-0005-0000-0000-0000CC930000}"/>
    <cellStyle name="Comma 6 19" xfId="35416" xr:uid="{00000000-0005-0000-0000-0000CD930000}"/>
    <cellStyle name="Comma 6 2" xfId="174" xr:uid="{00000000-0005-0000-0000-0000CE930000}"/>
    <cellStyle name="Comma 6 2 10" xfId="8590" xr:uid="{00000000-0005-0000-0000-0000CF930000}"/>
    <cellStyle name="Comma 6 2 10 2" xfId="23739" xr:uid="{00000000-0005-0000-0000-0000D0930000}"/>
    <cellStyle name="Comma 6 2 11" xfId="10273" xr:uid="{00000000-0005-0000-0000-0000D1930000}"/>
    <cellStyle name="Comma 6 2 11 2" xfId="25422" xr:uid="{00000000-0005-0000-0000-0000D2930000}"/>
    <cellStyle name="Comma 6 2 12" xfId="11957" xr:uid="{00000000-0005-0000-0000-0000D3930000}"/>
    <cellStyle name="Comma 6 2 12 2" xfId="27106" xr:uid="{00000000-0005-0000-0000-0000D4930000}"/>
    <cellStyle name="Comma 6 2 13" xfId="13640" xr:uid="{00000000-0005-0000-0000-0000D5930000}"/>
    <cellStyle name="Comma 6 2 13 2" xfId="28789" xr:uid="{00000000-0005-0000-0000-0000D6930000}"/>
    <cellStyle name="Comma 6 2 14" xfId="15323" xr:uid="{00000000-0005-0000-0000-0000D7930000}"/>
    <cellStyle name="Comma 6 2 15" xfId="30472" xr:uid="{00000000-0005-0000-0000-0000D8930000}"/>
    <cellStyle name="Comma 6 2 16" xfId="32155" xr:uid="{00000000-0005-0000-0000-0000D9930000}"/>
    <cellStyle name="Comma 6 2 17" xfId="33838" xr:uid="{00000000-0005-0000-0000-0000DA930000}"/>
    <cellStyle name="Comma 6 2 18" xfId="35521" xr:uid="{00000000-0005-0000-0000-0000DB930000}"/>
    <cellStyle name="Comma 6 2 19" xfId="37204" xr:uid="{00000000-0005-0000-0000-0000DC930000}"/>
    <cellStyle name="Comma 6 2 2" xfId="384" xr:uid="{00000000-0005-0000-0000-0000DD930000}"/>
    <cellStyle name="Comma 6 2 2 10" xfId="10483" xr:uid="{00000000-0005-0000-0000-0000DE930000}"/>
    <cellStyle name="Comma 6 2 2 10 2" xfId="25632" xr:uid="{00000000-0005-0000-0000-0000DF930000}"/>
    <cellStyle name="Comma 6 2 2 11" xfId="12167" xr:uid="{00000000-0005-0000-0000-0000E0930000}"/>
    <cellStyle name="Comma 6 2 2 11 2" xfId="27316" xr:uid="{00000000-0005-0000-0000-0000E1930000}"/>
    <cellStyle name="Comma 6 2 2 12" xfId="13850" xr:uid="{00000000-0005-0000-0000-0000E2930000}"/>
    <cellStyle name="Comma 6 2 2 12 2" xfId="28999" xr:uid="{00000000-0005-0000-0000-0000E3930000}"/>
    <cellStyle name="Comma 6 2 2 13" xfId="15533" xr:uid="{00000000-0005-0000-0000-0000E4930000}"/>
    <cellStyle name="Comma 6 2 2 14" xfId="30682" xr:uid="{00000000-0005-0000-0000-0000E5930000}"/>
    <cellStyle name="Comma 6 2 2 15" xfId="32365" xr:uid="{00000000-0005-0000-0000-0000E6930000}"/>
    <cellStyle name="Comma 6 2 2 16" xfId="34048" xr:uid="{00000000-0005-0000-0000-0000E7930000}"/>
    <cellStyle name="Comma 6 2 2 17" xfId="35731" xr:uid="{00000000-0005-0000-0000-0000E8930000}"/>
    <cellStyle name="Comma 6 2 2 18" xfId="37414" xr:uid="{00000000-0005-0000-0000-0000E9930000}"/>
    <cellStyle name="Comma 6 2 2 19" xfId="39097" xr:uid="{00000000-0005-0000-0000-0000EA930000}"/>
    <cellStyle name="Comma 6 2 2 2" xfId="804" xr:uid="{00000000-0005-0000-0000-0000EB930000}"/>
    <cellStyle name="Comma 6 2 2 2 10" xfId="15953" xr:uid="{00000000-0005-0000-0000-0000EC930000}"/>
    <cellStyle name="Comma 6 2 2 2 11" xfId="31102" xr:uid="{00000000-0005-0000-0000-0000ED930000}"/>
    <cellStyle name="Comma 6 2 2 2 12" xfId="32785" xr:uid="{00000000-0005-0000-0000-0000EE930000}"/>
    <cellStyle name="Comma 6 2 2 2 13" xfId="34468" xr:uid="{00000000-0005-0000-0000-0000EF930000}"/>
    <cellStyle name="Comma 6 2 2 2 14" xfId="36151" xr:uid="{00000000-0005-0000-0000-0000F0930000}"/>
    <cellStyle name="Comma 6 2 2 2 15" xfId="37834" xr:uid="{00000000-0005-0000-0000-0000F1930000}"/>
    <cellStyle name="Comma 6 2 2 2 16" xfId="39517" xr:uid="{00000000-0005-0000-0000-0000F2930000}"/>
    <cellStyle name="Comma 6 2 2 2 17" xfId="41200" xr:uid="{00000000-0005-0000-0000-0000F3930000}"/>
    <cellStyle name="Comma 6 2 2 2 18" xfId="42883" xr:uid="{00000000-0005-0000-0000-0000F4930000}"/>
    <cellStyle name="Comma 6 2 2 2 19" xfId="44566" xr:uid="{00000000-0005-0000-0000-0000F5930000}"/>
    <cellStyle name="Comma 6 2 2 2 2" xfId="2487" xr:uid="{00000000-0005-0000-0000-0000F6930000}"/>
    <cellStyle name="Comma 6 2 2 2 2 2" xfId="17636" xr:uid="{00000000-0005-0000-0000-0000F7930000}"/>
    <cellStyle name="Comma 6 2 2 2 20" xfId="46249" xr:uid="{00000000-0005-0000-0000-0000F8930000}"/>
    <cellStyle name="Comma 6 2 2 2 21" xfId="47932" xr:uid="{00000000-0005-0000-0000-0000F9930000}"/>
    <cellStyle name="Comma 6 2 2 2 22" xfId="49615" xr:uid="{00000000-0005-0000-0000-0000FA930000}"/>
    <cellStyle name="Comma 6 2 2 2 23" xfId="51298" xr:uid="{00000000-0005-0000-0000-0000FB930000}"/>
    <cellStyle name="Comma 6 2 2 2 24" xfId="52981" xr:uid="{00000000-0005-0000-0000-0000FC930000}"/>
    <cellStyle name="Comma 6 2 2 2 25" xfId="54664" xr:uid="{00000000-0005-0000-0000-0000FD930000}"/>
    <cellStyle name="Comma 6 2 2 2 26" xfId="56347" xr:uid="{00000000-0005-0000-0000-0000FE930000}"/>
    <cellStyle name="Comma 6 2 2 2 27" xfId="58030" xr:uid="{00000000-0005-0000-0000-0000FF930000}"/>
    <cellStyle name="Comma 6 2 2 2 28" xfId="59713" xr:uid="{00000000-0005-0000-0000-000000940000}"/>
    <cellStyle name="Comma 6 2 2 2 29" xfId="61396" xr:uid="{00000000-0005-0000-0000-000001940000}"/>
    <cellStyle name="Comma 6 2 2 2 3" xfId="4171" xr:uid="{00000000-0005-0000-0000-000002940000}"/>
    <cellStyle name="Comma 6 2 2 2 3 2" xfId="19320" xr:uid="{00000000-0005-0000-0000-000003940000}"/>
    <cellStyle name="Comma 6 2 2 2 30" xfId="63079" xr:uid="{00000000-0005-0000-0000-000004940000}"/>
    <cellStyle name="Comma 6 2 2 2 4" xfId="5854" xr:uid="{00000000-0005-0000-0000-000005940000}"/>
    <cellStyle name="Comma 6 2 2 2 4 2" xfId="21003" xr:uid="{00000000-0005-0000-0000-000006940000}"/>
    <cellStyle name="Comma 6 2 2 2 5" xfId="7537" xr:uid="{00000000-0005-0000-0000-000007940000}"/>
    <cellStyle name="Comma 6 2 2 2 5 2" xfId="22686" xr:uid="{00000000-0005-0000-0000-000008940000}"/>
    <cellStyle name="Comma 6 2 2 2 6" xfId="9220" xr:uid="{00000000-0005-0000-0000-000009940000}"/>
    <cellStyle name="Comma 6 2 2 2 6 2" xfId="24369" xr:uid="{00000000-0005-0000-0000-00000A940000}"/>
    <cellStyle name="Comma 6 2 2 2 7" xfId="10903" xr:uid="{00000000-0005-0000-0000-00000B940000}"/>
    <cellStyle name="Comma 6 2 2 2 7 2" xfId="26052" xr:uid="{00000000-0005-0000-0000-00000C940000}"/>
    <cellStyle name="Comma 6 2 2 2 8" xfId="12587" xr:uid="{00000000-0005-0000-0000-00000D940000}"/>
    <cellStyle name="Comma 6 2 2 2 8 2" xfId="27736" xr:uid="{00000000-0005-0000-0000-00000E940000}"/>
    <cellStyle name="Comma 6 2 2 2 9" xfId="14270" xr:uid="{00000000-0005-0000-0000-00000F940000}"/>
    <cellStyle name="Comma 6 2 2 2 9 2" xfId="29419" xr:uid="{00000000-0005-0000-0000-000010940000}"/>
    <cellStyle name="Comma 6 2 2 20" xfId="40780" xr:uid="{00000000-0005-0000-0000-000011940000}"/>
    <cellStyle name="Comma 6 2 2 21" xfId="42463" xr:uid="{00000000-0005-0000-0000-000012940000}"/>
    <cellStyle name="Comma 6 2 2 22" xfId="44146" xr:uid="{00000000-0005-0000-0000-000013940000}"/>
    <cellStyle name="Comma 6 2 2 23" xfId="45829" xr:uid="{00000000-0005-0000-0000-000014940000}"/>
    <cellStyle name="Comma 6 2 2 24" xfId="47512" xr:uid="{00000000-0005-0000-0000-000015940000}"/>
    <cellStyle name="Comma 6 2 2 25" xfId="49195" xr:uid="{00000000-0005-0000-0000-000016940000}"/>
    <cellStyle name="Comma 6 2 2 26" xfId="50878" xr:uid="{00000000-0005-0000-0000-000017940000}"/>
    <cellStyle name="Comma 6 2 2 27" xfId="52561" xr:uid="{00000000-0005-0000-0000-000018940000}"/>
    <cellStyle name="Comma 6 2 2 28" xfId="54244" xr:uid="{00000000-0005-0000-0000-000019940000}"/>
    <cellStyle name="Comma 6 2 2 29" xfId="55927" xr:uid="{00000000-0005-0000-0000-00001A940000}"/>
    <cellStyle name="Comma 6 2 2 3" xfId="1225" xr:uid="{00000000-0005-0000-0000-00001B940000}"/>
    <cellStyle name="Comma 6 2 2 3 10" xfId="16374" xr:uid="{00000000-0005-0000-0000-00001C940000}"/>
    <cellStyle name="Comma 6 2 2 3 11" xfId="31523" xr:uid="{00000000-0005-0000-0000-00001D940000}"/>
    <cellStyle name="Comma 6 2 2 3 12" xfId="33206" xr:uid="{00000000-0005-0000-0000-00001E940000}"/>
    <cellStyle name="Comma 6 2 2 3 13" xfId="34889" xr:uid="{00000000-0005-0000-0000-00001F940000}"/>
    <cellStyle name="Comma 6 2 2 3 14" xfId="36572" xr:uid="{00000000-0005-0000-0000-000020940000}"/>
    <cellStyle name="Comma 6 2 2 3 15" xfId="38255" xr:uid="{00000000-0005-0000-0000-000021940000}"/>
    <cellStyle name="Comma 6 2 2 3 16" xfId="39938" xr:uid="{00000000-0005-0000-0000-000022940000}"/>
    <cellStyle name="Comma 6 2 2 3 17" xfId="41621" xr:uid="{00000000-0005-0000-0000-000023940000}"/>
    <cellStyle name="Comma 6 2 2 3 18" xfId="43304" xr:uid="{00000000-0005-0000-0000-000024940000}"/>
    <cellStyle name="Comma 6 2 2 3 19" xfId="44987" xr:uid="{00000000-0005-0000-0000-000025940000}"/>
    <cellStyle name="Comma 6 2 2 3 2" xfId="2908" xr:uid="{00000000-0005-0000-0000-000026940000}"/>
    <cellStyle name="Comma 6 2 2 3 2 2" xfId="18057" xr:uid="{00000000-0005-0000-0000-000027940000}"/>
    <cellStyle name="Comma 6 2 2 3 20" xfId="46670" xr:uid="{00000000-0005-0000-0000-000028940000}"/>
    <cellStyle name="Comma 6 2 2 3 21" xfId="48353" xr:uid="{00000000-0005-0000-0000-000029940000}"/>
    <cellStyle name="Comma 6 2 2 3 22" xfId="50036" xr:uid="{00000000-0005-0000-0000-00002A940000}"/>
    <cellStyle name="Comma 6 2 2 3 23" xfId="51719" xr:uid="{00000000-0005-0000-0000-00002B940000}"/>
    <cellStyle name="Comma 6 2 2 3 24" xfId="53402" xr:uid="{00000000-0005-0000-0000-00002C940000}"/>
    <cellStyle name="Comma 6 2 2 3 25" xfId="55085" xr:uid="{00000000-0005-0000-0000-00002D940000}"/>
    <cellStyle name="Comma 6 2 2 3 26" xfId="56768" xr:uid="{00000000-0005-0000-0000-00002E940000}"/>
    <cellStyle name="Comma 6 2 2 3 27" xfId="58451" xr:uid="{00000000-0005-0000-0000-00002F940000}"/>
    <cellStyle name="Comma 6 2 2 3 28" xfId="60134" xr:uid="{00000000-0005-0000-0000-000030940000}"/>
    <cellStyle name="Comma 6 2 2 3 29" xfId="61817" xr:uid="{00000000-0005-0000-0000-000031940000}"/>
    <cellStyle name="Comma 6 2 2 3 3" xfId="4592" xr:uid="{00000000-0005-0000-0000-000032940000}"/>
    <cellStyle name="Comma 6 2 2 3 3 2" xfId="19741" xr:uid="{00000000-0005-0000-0000-000033940000}"/>
    <cellStyle name="Comma 6 2 2 3 30" xfId="63500" xr:uid="{00000000-0005-0000-0000-000034940000}"/>
    <cellStyle name="Comma 6 2 2 3 4" xfId="6275" xr:uid="{00000000-0005-0000-0000-000035940000}"/>
    <cellStyle name="Comma 6 2 2 3 4 2" xfId="21424" xr:uid="{00000000-0005-0000-0000-000036940000}"/>
    <cellStyle name="Comma 6 2 2 3 5" xfId="7958" xr:uid="{00000000-0005-0000-0000-000037940000}"/>
    <cellStyle name="Comma 6 2 2 3 5 2" xfId="23107" xr:uid="{00000000-0005-0000-0000-000038940000}"/>
    <cellStyle name="Comma 6 2 2 3 6" xfId="9641" xr:uid="{00000000-0005-0000-0000-000039940000}"/>
    <cellStyle name="Comma 6 2 2 3 6 2" xfId="24790" xr:uid="{00000000-0005-0000-0000-00003A940000}"/>
    <cellStyle name="Comma 6 2 2 3 7" xfId="11324" xr:uid="{00000000-0005-0000-0000-00003B940000}"/>
    <cellStyle name="Comma 6 2 2 3 7 2" xfId="26473" xr:uid="{00000000-0005-0000-0000-00003C940000}"/>
    <cellStyle name="Comma 6 2 2 3 8" xfId="13008" xr:uid="{00000000-0005-0000-0000-00003D940000}"/>
    <cellStyle name="Comma 6 2 2 3 8 2" xfId="28157" xr:uid="{00000000-0005-0000-0000-00003E940000}"/>
    <cellStyle name="Comma 6 2 2 3 9" xfId="14691" xr:uid="{00000000-0005-0000-0000-00003F940000}"/>
    <cellStyle name="Comma 6 2 2 3 9 2" xfId="29840" xr:uid="{00000000-0005-0000-0000-000040940000}"/>
    <cellStyle name="Comma 6 2 2 30" xfId="57610" xr:uid="{00000000-0005-0000-0000-000041940000}"/>
    <cellStyle name="Comma 6 2 2 31" xfId="59293" xr:uid="{00000000-0005-0000-0000-000042940000}"/>
    <cellStyle name="Comma 6 2 2 32" xfId="60976" xr:uid="{00000000-0005-0000-0000-000043940000}"/>
    <cellStyle name="Comma 6 2 2 33" xfId="62659" xr:uid="{00000000-0005-0000-0000-000044940000}"/>
    <cellStyle name="Comma 6 2 2 4" xfId="1646" xr:uid="{00000000-0005-0000-0000-000045940000}"/>
    <cellStyle name="Comma 6 2 2 4 10" xfId="16795" xr:uid="{00000000-0005-0000-0000-000046940000}"/>
    <cellStyle name="Comma 6 2 2 4 11" xfId="31944" xr:uid="{00000000-0005-0000-0000-000047940000}"/>
    <cellStyle name="Comma 6 2 2 4 12" xfId="33627" xr:uid="{00000000-0005-0000-0000-000048940000}"/>
    <cellStyle name="Comma 6 2 2 4 13" xfId="35310" xr:uid="{00000000-0005-0000-0000-000049940000}"/>
    <cellStyle name="Comma 6 2 2 4 14" xfId="36993" xr:uid="{00000000-0005-0000-0000-00004A940000}"/>
    <cellStyle name="Comma 6 2 2 4 15" xfId="38676" xr:uid="{00000000-0005-0000-0000-00004B940000}"/>
    <cellStyle name="Comma 6 2 2 4 16" xfId="40359" xr:uid="{00000000-0005-0000-0000-00004C940000}"/>
    <cellStyle name="Comma 6 2 2 4 17" xfId="42042" xr:uid="{00000000-0005-0000-0000-00004D940000}"/>
    <cellStyle name="Comma 6 2 2 4 18" xfId="43725" xr:uid="{00000000-0005-0000-0000-00004E940000}"/>
    <cellStyle name="Comma 6 2 2 4 19" xfId="45408" xr:uid="{00000000-0005-0000-0000-00004F940000}"/>
    <cellStyle name="Comma 6 2 2 4 2" xfId="3329" xr:uid="{00000000-0005-0000-0000-000050940000}"/>
    <cellStyle name="Comma 6 2 2 4 2 2" xfId="18478" xr:uid="{00000000-0005-0000-0000-000051940000}"/>
    <cellStyle name="Comma 6 2 2 4 20" xfId="47091" xr:uid="{00000000-0005-0000-0000-000052940000}"/>
    <cellStyle name="Comma 6 2 2 4 21" xfId="48774" xr:uid="{00000000-0005-0000-0000-000053940000}"/>
    <cellStyle name="Comma 6 2 2 4 22" xfId="50457" xr:uid="{00000000-0005-0000-0000-000054940000}"/>
    <cellStyle name="Comma 6 2 2 4 23" xfId="52140" xr:uid="{00000000-0005-0000-0000-000055940000}"/>
    <cellStyle name="Comma 6 2 2 4 24" xfId="53823" xr:uid="{00000000-0005-0000-0000-000056940000}"/>
    <cellStyle name="Comma 6 2 2 4 25" xfId="55506" xr:uid="{00000000-0005-0000-0000-000057940000}"/>
    <cellStyle name="Comma 6 2 2 4 26" xfId="57189" xr:uid="{00000000-0005-0000-0000-000058940000}"/>
    <cellStyle name="Comma 6 2 2 4 27" xfId="58872" xr:uid="{00000000-0005-0000-0000-000059940000}"/>
    <cellStyle name="Comma 6 2 2 4 28" xfId="60555" xr:uid="{00000000-0005-0000-0000-00005A940000}"/>
    <cellStyle name="Comma 6 2 2 4 29" xfId="62238" xr:uid="{00000000-0005-0000-0000-00005B940000}"/>
    <cellStyle name="Comma 6 2 2 4 3" xfId="5013" xr:uid="{00000000-0005-0000-0000-00005C940000}"/>
    <cellStyle name="Comma 6 2 2 4 3 2" xfId="20162" xr:uid="{00000000-0005-0000-0000-00005D940000}"/>
    <cellStyle name="Comma 6 2 2 4 30" xfId="63921" xr:uid="{00000000-0005-0000-0000-00005E940000}"/>
    <cellStyle name="Comma 6 2 2 4 4" xfId="6696" xr:uid="{00000000-0005-0000-0000-00005F940000}"/>
    <cellStyle name="Comma 6 2 2 4 4 2" xfId="21845" xr:uid="{00000000-0005-0000-0000-000060940000}"/>
    <cellStyle name="Comma 6 2 2 4 5" xfId="8379" xr:uid="{00000000-0005-0000-0000-000061940000}"/>
    <cellStyle name="Comma 6 2 2 4 5 2" xfId="23528" xr:uid="{00000000-0005-0000-0000-000062940000}"/>
    <cellStyle name="Comma 6 2 2 4 6" xfId="10062" xr:uid="{00000000-0005-0000-0000-000063940000}"/>
    <cellStyle name="Comma 6 2 2 4 6 2" xfId="25211" xr:uid="{00000000-0005-0000-0000-000064940000}"/>
    <cellStyle name="Comma 6 2 2 4 7" xfId="11745" xr:uid="{00000000-0005-0000-0000-000065940000}"/>
    <cellStyle name="Comma 6 2 2 4 7 2" xfId="26894" xr:uid="{00000000-0005-0000-0000-000066940000}"/>
    <cellStyle name="Comma 6 2 2 4 8" xfId="13429" xr:uid="{00000000-0005-0000-0000-000067940000}"/>
    <cellStyle name="Comma 6 2 2 4 8 2" xfId="28578" xr:uid="{00000000-0005-0000-0000-000068940000}"/>
    <cellStyle name="Comma 6 2 2 4 9" xfId="15112" xr:uid="{00000000-0005-0000-0000-000069940000}"/>
    <cellStyle name="Comma 6 2 2 4 9 2" xfId="30261" xr:uid="{00000000-0005-0000-0000-00006A940000}"/>
    <cellStyle name="Comma 6 2 2 5" xfId="2067" xr:uid="{00000000-0005-0000-0000-00006B940000}"/>
    <cellStyle name="Comma 6 2 2 5 2" xfId="17216" xr:uid="{00000000-0005-0000-0000-00006C940000}"/>
    <cellStyle name="Comma 6 2 2 6" xfId="3751" xr:uid="{00000000-0005-0000-0000-00006D940000}"/>
    <cellStyle name="Comma 6 2 2 6 2" xfId="18900" xr:uid="{00000000-0005-0000-0000-00006E940000}"/>
    <cellStyle name="Comma 6 2 2 7" xfId="5434" xr:uid="{00000000-0005-0000-0000-00006F940000}"/>
    <cellStyle name="Comma 6 2 2 7 2" xfId="20583" xr:uid="{00000000-0005-0000-0000-000070940000}"/>
    <cellStyle name="Comma 6 2 2 8" xfId="7117" xr:uid="{00000000-0005-0000-0000-000071940000}"/>
    <cellStyle name="Comma 6 2 2 8 2" xfId="22266" xr:uid="{00000000-0005-0000-0000-000072940000}"/>
    <cellStyle name="Comma 6 2 2 9" xfId="8800" xr:uid="{00000000-0005-0000-0000-000073940000}"/>
    <cellStyle name="Comma 6 2 2 9 2" xfId="23949" xr:uid="{00000000-0005-0000-0000-000074940000}"/>
    <cellStyle name="Comma 6 2 20" xfId="38887" xr:uid="{00000000-0005-0000-0000-000075940000}"/>
    <cellStyle name="Comma 6 2 21" xfId="40570" xr:uid="{00000000-0005-0000-0000-000076940000}"/>
    <cellStyle name="Comma 6 2 22" xfId="42253" xr:uid="{00000000-0005-0000-0000-000077940000}"/>
    <cellStyle name="Comma 6 2 23" xfId="43936" xr:uid="{00000000-0005-0000-0000-000078940000}"/>
    <cellStyle name="Comma 6 2 24" xfId="45619" xr:uid="{00000000-0005-0000-0000-000079940000}"/>
    <cellStyle name="Comma 6 2 25" xfId="47302" xr:uid="{00000000-0005-0000-0000-00007A940000}"/>
    <cellStyle name="Comma 6 2 26" xfId="48985" xr:uid="{00000000-0005-0000-0000-00007B940000}"/>
    <cellStyle name="Comma 6 2 27" xfId="50668" xr:uid="{00000000-0005-0000-0000-00007C940000}"/>
    <cellStyle name="Comma 6 2 28" xfId="52351" xr:uid="{00000000-0005-0000-0000-00007D940000}"/>
    <cellStyle name="Comma 6 2 29" xfId="54034" xr:uid="{00000000-0005-0000-0000-00007E940000}"/>
    <cellStyle name="Comma 6 2 3" xfId="594" xr:uid="{00000000-0005-0000-0000-00007F940000}"/>
    <cellStyle name="Comma 6 2 3 10" xfId="15743" xr:uid="{00000000-0005-0000-0000-000080940000}"/>
    <cellStyle name="Comma 6 2 3 11" xfId="30892" xr:uid="{00000000-0005-0000-0000-000081940000}"/>
    <cellStyle name="Comma 6 2 3 12" xfId="32575" xr:uid="{00000000-0005-0000-0000-000082940000}"/>
    <cellStyle name="Comma 6 2 3 13" xfId="34258" xr:uid="{00000000-0005-0000-0000-000083940000}"/>
    <cellStyle name="Comma 6 2 3 14" xfId="35941" xr:uid="{00000000-0005-0000-0000-000084940000}"/>
    <cellStyle name="Comma 6 2 3 15" xfId="37624" xr:uid="{00000000-0005-0000-0000-000085940000}"/>
    <cellStyle name="Comma 6 2 3 16" xfId="39307" xr:uid="{00000000-0005-0000-0000-000086940000}"/>
    <cellStyle name="Comma 6 2 3 17" xfId="40990" xr:uid="{00000000-0005-0000-0000-000087940000}"/>
    <cellStyle name="Comma 6 2 3 18" xfId="42673" xr:uid="{00000000-0005-0000-0000-000088940000}"/>
    <cellStyle name="Comma 6 2 3 19" xfId="44356" xr:uid="{00000000-0005-0000-0000-000089940000}"/>
    <cellStyle name="Comma 6 2 3 2" xfId="2277" xr:uid="{00000000-0005-0000-0000-00008A940000}"/>
    <cellStyle name="Comma 6 2 3 2 2" xfId="17426" xr:uid="{00000000-0005-0000-0000-00008B940000}"/>
    <cellStyle name="Comma 6 2 3 20" xfId="46039" xr:uid="{00000000-0005-0000-0000-00008C940000}"/>
    <cellStyle name="Comma 6 2 3 21" xfId="47722" xr:uid="{00000000-0005-0000-0000-00008D940000}"/>
    <cellStyle name="Comma 6 2 3 22" xfId="49405" xr:uid="{00000000-0005-0000-0000-00008E940000}"/>
    <cellStyle name="Comma 6 2 3 23" xfId="51088" xr:uid="{00000000-0005-0000-0000-00008F940000}"/>
    <cellStyle name="Comma 6 2 3 24" xfId="52771" xr:uid="{00000000-0005-0000-0000-000090940000}"/>
    <cellStyle name="Comma 6 2 3 25" xfId="54454" xr:uid="{00000000-0005-0000-0000-000091940000}"/>
    <cellStyle name="Comma 6 2 3 26" xfId="56137" xr:uid="{00000000-0005-0000-0000-000092940000}"/>
    <cellStyle name="Comma 6 2 3 27" xfId="57820" xr:uid="{00000000-0005-0000-0000-000093940000}"/>
    <cellStyle name="Comma 6 2 3 28" xfId="59503" xr:uid="{00000000-0005-0000-0000-000094940000}"/>
    <cellStyle name="Comma 6 2 3 29" xfId="61186" xr:uid="{00000000-0005-0000-0000-000095940000}"/>
    <cellStyle name="Comma 6 2 3 3" xfId="3961" xr:uid="{00000000-0005-0000-0000-000096940000}"/>
    <cellStyle name="Comma 6 2 3 3 2" xfId="19110" xr:uid="{00000000-0005-0000-0000-000097940000}"/>
    <cellStyle name="Comma 6 2 3 30" xfId="62869" xr:uid="{00000000-0005-0000-0000-000098940000}"/>
    <cellStyle name="Comma 6 2 3 4" xfId="5644" xr:uid="{00000000-0005-0000-0000-000099940000}"/>
    <cellStyle name="Comma 6 2 3 4 2" xfId="20793" xr:uid="{00000000-0005-0000-0000-00009A940000}"/>
    <cellStyle name="Comma 6 2 3 5" xfId="7327" xr:uid="{00000000-0005-0000-0000-00009B940000}"/>
    <cellStyle name="Comma 6 2 3 5 2" xfId="22476" xr:uid="{00000000-0005-0000-0000-00009C940000}"/>
    <cellStyle name="Comma 6 2 3 6" xfId="9010" xr:uid="{00000000-0005-0000-0000-00009D940000}"/>
    <cellStyle name="Comma 6 2 3 6 2" xfId="24159" xr:uid="{00000000-0005-0000-0000-00009E940000}"/>
    <cellStyle name="Comma 6 2 3 7" xfId="10693" xr:uid="{00000000-0005-0000-0000-00009F940000}"/>
    <cellStyle name="Comma 6 2 3 7 2" xfId="25842" xr:uid="{00000000-0005-0000-0000-0000A0940000}"/>
    <cellStyle name="Comma 6 2 3 8" xfId="12377" xr:uid="{00000000-0005-0000-0000-0000A1940000}"/>
    <cellStyle name="Comma 6 2 3 8 2" xfId="27526" xr:uid="{00000000-0005-0000-0000-0000A2940000}"/>
    <cellStyle name="Comma 6 2 3 9" xfId="14060" xr:uid="{00000000-0005-0000-0000-0000A3940000}"/>
    <cellStyle name="Comma 6 2 3 9 2" xfId="29209" xr:uid="{00000000-0005-0000-0000-0000A4940000}"/>
    <cellStyle name="Comma 6 2 30" xfId="55717" xr:uid="{00000000-0005-0000-0000-0000A5940000}"/>
    <cellStyle name="Comma 6 2 31" xfId="57400" xr:uid="{00000000-0005-0000-0000-0000A6940000}"/>
    <cellStyle name="Comma 6 2 32" xfId="59083" xr:uid="{00000000-0005-0000-0000-0000A7940000}"/>
    <cellStyle name="Comma 6 2 33" xfId="60766" xr:uid="{00000000-0005-0000-0000-0000A8940000}"/>
    <cellStyle name="Comma 6 2 34" xfId="62449" xr:uid="{00000000-0005-0000-0000-0000A9940000}"/>
    <cellStyle name="Comma 6 2 4" xfId="1015" xr:uid="{00000000-0005-0000-0000-0000AA940000}"/>
    <cellStyle name="Comma 6 2 4 10" xfId="16164" xr:uid="{00000000-0005-0000-0000-0000AB940000}"/>
    <cellStyle name="Comma 6 2 4 11" xfId="31313" xr:uid="{00000000-0005-0000-0000-0000AC940000}"/>
    <cellStyle name="Comma 6 2 4 12" xfId="32996" xr:uid="{00000000-0005-0000-0000-0000AD940000}"/>
    <cellStyle name="Comma 6 2 4 13" xfId="34679" xr:uid="{00000000-0005-0000-0000-0000AE940000}"/>
    <cellStyle name="Comma 6 2 4 14" xfId="36362" xr:uid="{00000000-0005-0000-0000-0000AF940000}"/>
    <cellStyle name="Comma 6 2 4 15" xfId="38045" xr:uid="{00000000-0005-0000-0000-0000B0940000}"/>
    <cellStyle name="Comma 6 2 4 16" xfId="39728" xr:uid="{00000000-0005-0000-0000-0000B1940000}"/>
    <cellStyle name="Comma 6 2 4 17" xfId="41411" xr:uid="{00000000-0005-0000-0000-0000B2940000}"/>
    <cellStyle name="Comma 6 2 4 18" xfId="43094" xr:uid="{00000000-0005-0000-0000-0000B3940000}"/>
    <cellStyle name="Comma 6 2 4 19" xfId="44777" xr:uid="{00000000-0005-0000-0000-0000B4940000}"/>
    <cellStyle name="Comma 6 2 4 2" xfId="2698" xr:uid="{00000000-0005-0000-0000-0000B5940000}"/>
    <cellStyle name="Comma 6 2 4 2 2" xfId="17847" xr:uid="{00000000-0005-0000-0000-0000B6940000}"/>
    <cellStyle name="Comma 6 2 4 20" xfId="46460" xr:uid="{00000000-0005-0000-0000-0000B7940000}"/>
    <cellStyle name="Comma 6 2 4 21" xfId="48143" xr:uid="{00000000-0005-0000-0000-0000B8940000}"/>
    <cellStyle name="Comma 6 2 4 22" xfId="49826" xr:uid="{00000000-0005-0000-0000-0000B9940000}"/>
    <cellStyle name="Comma 6 2 4 23" xfId="51509" xr:uid="{00000000-0005-0000-0000-0000BA940000}"/>
    <cellStyle name="Comma 6 2 4 24" xfId="53192" xr:uid="{00000000-0005-0000-0000-0000BB940000}"/>
    <cellStyle name="Comma 6 2 4 25" xfId="54875" xr:uid="{00000000-0005-0000-0000-0000BC940000}"/>
    <cellStyle name="Comma 6 2 4 26" xfId="56558" xr:uid="{00000000-0005-0000-0000-0000BD940000}"/>
    <cellStyle name="Comma 6 2 4 27" xfId="58241" xr:uid="{00000000-0005-0000-0000-0000BE940000}"/>
    <cellStyle name="Comma 6 2 4 28" xfId="59924" xr:uid="{00000000-0005-0000-0000-0000BF940000}"/>
    <cellStyle name="Comma 6 2 4 29" xfId="61607" xr:uid="{00000000-0005-0000-0000-0000C0940000}"/>
    <cellStyle name="Comma 6 2 4 3" xfId="4382" xr:uid="{00000000-0005-0000-0000-0000C1940000}"/>
    <cellStyle name="Comma 6 2 4 3 2" xfId="19531" xr:uid="{00000000-0005-0000-0000-0000C2940000}"/>
    <cellStyle name="Comma 6 2 4 30" xfId="63290" xr:uid="{00000000-0005-0000-0000-0000C3940000}"/>
    <cellStyle name="Comma 6 2 4 4" xfId="6065" xr:uid="{00000000-0005-0000-0000-0000C4940000}"/>
    <cellStyle name="Comma 6 2 4 4 2" xfId="21214" xr:uid="{00000000-0005-0000-0000-0000C5940000}"/>
    <cellStyle name="Comma 6 2 4 5" xfId="7748" xr:uid="{00000000-0005-0000-0000-0000C6940000}"/>
    <cellStyle name="Comma 6 2 4 5 2" xfId="22897" xr:uid="{00000000-0005-0000-0000-0000C7940000}"/>
    <cellStyle name="Comma 6 2 4 6" xfId="9431" xr:uid="{00000000-0005-0000-0000-0000C8940000}"/>
    <cellStyle name="Comma 6 2 4 6 2" xfId="24580" xr:uid="{00000000-0005-0000-0000-0000C9940000}"/>
    <cellStyle name="Comma 6 2 4 7" xfId="11114" xr:uid="{00000000-0005-0000-0000-0000CA940000}"/>
    <cellStyle name="Comma 6 2 4 7 2" xfId="26263" xr:uid="{00000000-0005-0000-0000-0000CB940000}"/>
    <cellStyle name="Comma 6 2 4 8" xfId="12798" xr:uid="{00000000-0005-0000-0000-0000CC940000}"/>
    <cellStyle name="Comma 6 2 4 8 2" xfId="27947" xr:uid="{00000000-0005-0000-0000-0000CD940000}"/>
    <cellStyle name="Comma 6 2 4 9" xfId="14481" xr:uid="{00000000-0005-0000-0000-0000CE940000}"/>
    <cellStyle name="Comma 6 2 4 9 2" xfId="29630" xr:uid="{00000000-0005-0000-0000-0000CF940000}"/>
    <cellStyle name="Comma 6 2 5" xfId="1436" xr:uid="{00000000-0005-0000-0000-0000D0940000}"/>
    <cellStyle name="Comma 6 2 5 10" xfId="16585" xr:uid="{00000000-0005-0000-0000-0000D1940000}"/>
    <cellStyle name="Comma 6 2 5 11" xfId="31734" xr:uid="{00000000-0005-0000-0000-0000D2940000}"/>
    <cellStyle name="Comma 6 2 5 12" xfId="33417" xr:uid="{00000000-0005-0000-0000-0000D3940000}"/>
    <cellStyle name="Comma 6 2 5 13" xfId="35100" xr:uid="{00000000-0005-0000-0000-0000D4940000}"/>
    <cellStyle name="Comma 6 2 5 14" xfId="36783" xr:uid="{00000000-0005-0000-0000-0000D5940000}"/>
    <cellStyle name="Comma 6 2 5 15" xfId="38466" xr:uid="{00000000-0005-0000-0000-0000D6940000}"/>
    <cellStyle name="Comma 6 2 5 16" xfId="40149" xr:uid="{00000000-0005-0000-0000-0000D7940000}"/>
    <cellStyle name="Comma 6 2 5 17" xfId="41832" xr:uid="{00000000-0005-0000-0000-0000D8940000}"/>
    <cellStyle name="Comma 6 2 5 18" xfId="43515" xr:uid="{00000000-0005-0000-0000-0000D9940000}"/>
    <cellStyle name="Comma 6 2 5 19" xfId="45198" xr:uid="{00000000-0005-0000-0000-0000DA940000}"/>
    <cellStyle name="Comma 6 2 5 2" xfId="3119" xr:uid="{00000000-0005-0000-0000-0000DB940000}"/>
    <cellStyle name="Comma 6 2 5 2 2" xfId="18268" xr:uid="{00000000-0005-0000-0000-0000DC940000}"/>
    <cellStyle name="Comma 6 2 5 20" xfId="46881" xr:uid="{00000000-0005-0000-0000-0000DD940000}"/>
    <cellStyle name="Comma 6 2 5 21" xfId="48564" xr:uid="{00000000-0005-0000-0000-0000DE940000}"/>
    <cellStyle name="Comma 6 2 5 22" xfId="50247" xr:uid="{00000000-0005-0000-0000-0000DF940000}"/>
    <cellStyle name="Comma 6 2 5 23" xfId="51930" xr:uid="{00000000-0005-0000-0000-0000E0940000}"/>
    <cellStyle name="Comma 6 2 5 24" xfId="53613" xr:uid="{00000000-0005-0000-0000-0000E1940000}"/>
    <cellStyle name="Comma 6 2 5 25" xfId="55296" xr:uid="{00000000-0005-0000-0000-0000E2940000}"/>
    <cellStyle name="Comma 6 2 5 26" xfId="56979" xr:uid="{00000000-0005-0000-0000-0000E3940000}"/>
    <cellStyle name="Comma 6 2 5 27" xfId="58662" xr:uid="{00000000-0005-0000-0000-0000E4940000}"/>
    <cellStyle name="Comma 6 2 5 28" xfId="60345" xr:uid="{00000000-0005-0000-0000-0000E5940000}"/>
    <cellStyle name="Comma 6 2 5 29" xfId="62028" xr:uid="{00000000-0005-0000-0000-0000E6940000}"/>
    <cellStyle name="Comma 6 2 5 3" xfId="4803" xr:uid="{00000000-0005-0000-0000-0000E7940000}"/>
    <cellStyle name="Comma 6 2 5 3 2" xfId="19952" xr:uid="{00000000-0005-0000-0000-0000E8940000}"/>
    <cellStyle name="Comma 6 2 5 30" xfId="63711" xr:uid="{00000000-0005-0000-0000-0000E9940000}"/>
    <cellStyle name="Comma 6 2 5 4" xfId="6486" xr:uid="{00000000-0005-0000-0000-0000EA940000}"/>
    <cellStyle name="Comma 6 2 5 4 2" xfId="21635" xr:uid="{00000000-0005-0000-0000-0000EB940000}"/>
    <cellStyle name="Comma 6 2 5 5" xfId="8169" xr:uid="{00000000-0005-0000-0000-0000EC940000}"/>
    <cellStyle name="Comma 6 2 5 5 2" xfId="23318" xr:uid="{00000000-0005-0000-0000-0000ED940000}"/>
    <cellStyle name="Comma 6 2 5 6" xfId="9852" xr:uid="{00000000-0005-0000-0000-0000EE940000}"/>
    <cellStyle name="Comma 6 2 5 6 2" xfId="25001" xr:uid="{00000000-0005-0000-0000-0000EF940000}"/>
    <cellStyle name="Comma 6 2 5 7" xfId="11535" xr:uid="{00000000-0005-0000-0000-0000F0940000}"/>
    <cellStyle name="Comma 6 2 5 7 2" xfId="26684" xr:uid="{00000000-0005-0000-0000-0000F1940000}"/>
    <cellStyle name="Comma 6 2 5 8" xfId="13219" xr:uid="{00000000-0005-0000-0000-0000F2940000}"/>
    <cellStyle name="Comma 6 2 5 8 2" xfId="28368" xr:uid="{00000000-0005-0000-0000-0000F3940000}"/>
    <cellStyle name="Comma 6 2 5 9" xfId="14902" xr:uid="{00000000-0005-0000-0000-0000F4940000}"/>
    <cellStyle name="Comma 6 2 5 9 2" xfId="30051" xr:uid="{00000000-0005-0000-0000-0000F5940000}"/>
    <cellStyle name="Comma 6 2 6" xfId="1857" xr:uid="{00000000-0005-0000-0000-0000F6940000}"/>
    <cellStyle name="Comma 6 2 6 2" xfId="17006" xr:uid="{00000000-0005-0000-0000-0000F7940000}"/>
    <cellStyle name="Comma 6 2 7" xfId="3541" xr:uid="{00000000-0005-0000-0000-0000F8940000}"/>
    <cellStyle name="Comma 6 2 7 2" xfId="18690" xr:uid="{00000000-0005-0000-0000-0000F9940000}"/>
    <cellStyle name="Comma 6 2 8" xfId="5224" xr:uid="{00000000-0005-0000-0000-0000FA940000}"/>
    <cellStyle name="Comma 6 2 8 2" xfId="20373" xr:uid="{00000000-0005-0000-0000-0000FB940000}"/>
    <cellStyle name="Comma 6 2 9" xfId="6907" xr:uid="{00000000-0005-0000-0000-0000FC940000}"/>
    <cellStyle name="Comma 6 2 9 2" xfId="22056" xr:uid="{00000000-0005-0000-0000-0000FD940000}"/>
    <cellStyle name="Comma 6 20" xfId="37099" xr:uid="{00000000-0005-0000-0000-0000FE940000}"/>
    <cellStyle name="Comma 6 21" xfId="38782" xr:uid="{00000000-0005-0000-0000-0000FF940000}"/>
    <cellStyle name="Comma 6 22" xfId="40465" xr:uid="{00000000-0005-0000-0000-000000950000}"/>
    <cellStyle name="Comma 6 23" xfId="42148" xr:uid="{00000000-0005-0000-0000-000001950000}"/>
    <cellStyle name="Comma 6 24" xfId="43831" xr:uid="{00000000-0005-0000-0000-000002950000}"/>
    <cellStyle name="Comma 6 25" xfId="45514" xr:uid="{00000000-0005-0000-0000-000003950000}"/>
    <cellStyle name="Comma 6 26" xfId="47197" xr:uid="{00000000-0005-0000-0000-000004950000}"/>
    <cellStyle name="Comma 6 27" xfId="48880" xr:uid="{00000000-0005-0000-0000-000005950000}"/>
    <cellStyle name="Comma 6 28" xfId="50563" xr:uid="{00000000-0005-0000-0000-000006950000}"/>
    <cellStyle name="Comma 6 29" xfId="52246" xr:uid="{00000000-0005-0000-0000-000007950000}"/>
    <cellStyle name="Comma 6 3" xfId="279" xr:uid="{00000000-0005-0000-0000-000008950000}"/>
    <cellStyle name="Comma 6 3 10" xfId="10378" xr:uid="{00000000-0005-0000-0000-000009950000}"/>
    <cellStyle name="Comma 6 3 10 2" xfId="25527" xr:uid="{00000000-0005-0000-0000-00000A950000}"/>
    <cellStyle name="Comma 6 3 11" xfId="12062" xr:uid="{00000000-0005-0000-0000-00000B950000}"/>
    <cellStyle name="Comma 6 3 11 2" xfId="27211" xr:uid="{00000000-0005-0000-0000-00000C950000}"/>
    <cellStyle name="Comma 6 3 12" xfId="13745" xr:uid="{00000000-0005-0000-0000-00000D950000}"/>
    <cellStyle name="Comma 6 3 12 2" xfId="28894" xr:uid="{00000000-0005-0000-0000-00000E950000}"/>
    <cellStyle name="Comma 6 3 13" xfId="15428" xr:uid="{00000000-0005-0000-0000-00000F950000}"/>
    <cellStyle name="Comma 6 3 14" xfId="30577" xr:uid="{00000000-0005-0000-0000-000010950000}"/>
    <cellStyle name="Comma 6 3 15" xfId="32260" xr:uid="{00000000-0005-0000-0000-000011950000}"/>
    <cellStyle name="Comma 6 3 16" xfId="33943" xr:uid="{00000000-0005-0000-0000-000012950000}"/>
    <cellStyle name="Comma 6 3 17" xfId="35626" xr:uid="{00000000-0005-0000-0000-000013950000}"/>
    <cellStyle name="Comma 6 3 18" xfId="37309" xr:uid="{00000000-0005-0000-0000-000014950000}"/>
    <cellStyle name="Comma 6 3 19" xfId="38992" xr:uid="{00000000-0005-0000-0000-000015950000}"/>
    <cellStyle name="Comma 6 3 2" xfId="699" xr:uid="{00000000-0005-0000-0000-000016950000}"/>
    <cellStyle name="Comma 6 3 2 10" xfId="15848" xr:uid="{00000000-0005-0000-0000-000017950000}"/>
    <cellStyle name="Comma 6 3 2 11" xfId="30997" xr:uid="{00000000-0005-0000-0000-000018950000}"/>
    <cellStyle name="Comma 6 3 2 12" xfId="32680" xr:uid="{00000000-0005-0000-0000-000019950000}"/>
    <cellStyle name="Comma 6 3 2 13" xfId="34363" xr:uid="{00000000-0005-0000-0000-00001A950000}"/>
    <cellStyle name="Comma 6 3 2 14" xfId="36046" xr:uid="{00000000-0005-0000-0000-00001B950000}"/>
    <cellStyle name="Comma 6 3 2 15" xfId="37729" xr:uid="{00000000-0005-0000-0000-00001C950000}"/>
    <cellStyle name="Comma 6 3 2 16" xfId="39412" xr:uid="{00000000-0005-0000-0000-00001D950000}"/>
    <cellStyle name="Comma 6 3 2 17" xfId="41095" xr:uid="{00000000-0005-0000-0000-00001E950000}"/>
    <cellStyle name="Comma 6 3 2 18" xfId="42778" xr:uid="{00000000-0005-0000-0000-00001F950000}"/>
    <cellStyle name="Comma 6 3 2 19" xfId="44461" xr:uid="{00000000-0005-0000-0000-000020950000}"/>
    <cellStyle name="Comma 6 3 2 2" xfId="2382" xr:uid="{00000000-0005-0000-0000-000021950000}"/>
    <cellStyle name="Comma 6 3 2 2 2" xfId="17531" xr:uid="{00000000-0005-0000-0000-000022950000}"/>
    <cellStyle name="Comma 6 3 2 20" xfId="46144" xr:uid="{00000000-0005-0000-0000-000023950000}"/>
    <cellStyle name="Comma 6 3 2 21" xfId="47827" xr:uid="{00000000-0005-0000-0000-000024950000}"/>
    <cellStyle name="Comma 6 3 2 22" xfId="49510" xr:uid="{00000000-0005-0000-0000-000025950000}"/>
    <cellStyle name="Comma 6 3 2 23" xfId="51193" xr:uid="{00000000-0005-0000-0000-000026950000}"/>
    <cellStyle name="Comma 6 3 2 24" xfId="52876" xr:uid="{00000000-0005-0000-0000-000027950000}"/>
    <cellStyle name="Comma 6 3 2 25" xfId="54559" xr:uid="{00000000-0005-0000-0000-000028950000}"/>
    <cellStyle name="Comma 6 3 2 26" xfId="56242" xr:uid="{00000000-0005-0000-0000-000029950000}"/>
    <cellStyle name="Comma 6 3 2 27" xfId="57925" xr:uid="{00000000-0005-0000-0000-00002A950000}"/>
    <cellStyle name="Comma 6 3 2 28" xfId="59608" xr:uid="{00000000-0005-0000-0000-00002B950000}"/>
    <cellStyle name="Comma 6 3 2 29" xfId="61291" xr:uid="{00000000-0005-0000-0000-00002C950000}"/>
    <cellStyle name="Comma 6 3 2 3" xfId="4066" xr:uid="{00000000-0005-0000-0000-00002D950000}"/>
    <cellStyle name="Comma 6 3 2 3 2" xfId="19215" xr:uid="{00000000-0005-0000-0000-00002E950000}"/>
    <cellStyle name="Comma 6 3 2 30" xfId="62974" xr:uid="{00000000-0005-0000-0000-00002F950000}"/>
    <cellStyle name="Comma 6 3 2 4" xfId="5749" xr:uid="{00000000-0005-0000-0000-000030950000}"/>
    <cellStyle name="Comma 6 3 2 4 2" xfId="20898" xr:uid="{00000000-0005-0000-0000-000031950000}"/>
    <cellStyle name="Comma 6 3 2 5" xfId="7432" xr:uid="{00000000-0005-0000-0000-000032950000}"/>
    <cellStyle name="Comma 6 3 2 5 2" xfId="22581" xr:uid="{00000000-0005-0000-0000-000033950000}"/>
    <cellStyle name="Comma 6 3 2 6" xfId="9115" xr:uid="{00000000-0005-0000-0000-000034950000}"/>
    <cellStyle name="Comma 6 3 2 6 2" xfId="24264" xr:uid="{00000000-0005-0000-0000-000035950000}"/>
    <cellStyle name="Comma 6 3 2 7" xfId="10798" xr:uid="{00000000-0005-0000-0000-000036950000}"/>
    <cellStyle name="Comma 6 3 2 7 2" xfId="25947" xr:uid="{00000000-0005-0000-0000-000037950000}"/>
    <cellStyle name="Comma 6 3 2 8" xfId="12482" xr:uid="{00000000-0005-0000-0000-000038950000}"/>
    <cellStyle name="Comma 6 3 2 8 2" xfId="27631" xr:uid="{00000000-0005-0000-0000-000039950000}"/>
    <cellStyle name="Comma 6 3 2 9" xfId="14165" xr:uid="{00000000-0005-0000-0000-00003A950000}"/>
    <cellStyle name="Comma 6 3 2 9 2" xfId="29314" xr:uid="{00000000-0005-0000-0000-00003B950000}"/>
    <cellStyle name="Comma 6 3 20" xfId="40675" xr:uid="{00000000-0005-0000-0000-00003C950000}"/>
    <cellStyle name="Comma 6 3 21" xfId="42358" xr:uid="{00000000-0005-0000-0000-00003D950000}"/>
    <cellStyle name="Comma 6 3 22" xfId="44041" xr:uid="{00000000-0005-0000-0000-00003E950000}"/>
    <cellStyle name="Comma 6 3 23" xfId="45724" xr:uid="{00000000-0005-0000-0000-00003F950000}"/>
    <cellStyle name="Comma 6 3 24" xfId="47407" xr:uid="{00000000-0005-0000-0000-000040950000}"/>
    <cellStyle name="Comma 6 3 25" xfId="49090" xr:uid="{00000000-0005-0000-0000-000041950000}"/>
    <cellStyle name="Comma 6 3 26" xfId="50773" xr:uid="{00000000-0005-0000-0000-000042950000}"/>
    <cellStyle name="Comma 6 3 27" xfId="52456" xr:uid="{00000000-0005-0000-0000-000043950000}"/>
    <cellStyle name="Comma 6 3 28" xfId="54139" xr:uid="{00000000-0005-0000-0000-000044950000}"/>
    <cellStyle name="Comma 6 3 29" xfId="55822" xr:uid="{00000000-0005-0000-0000-000045950000}"/>
    <cellStyle name="Comma 6 3 3" xfId="1120" xr:uid="{00000000-0005-0000-0000-000046950000}"/>
    <cellStyle name="Comma 6 3 3 10" xfId="16269" xr:uid="{00000000-0005-0000-0000-000047950000}"/>
    <cellStyle name="Comma 6 3 3 11" xfId="31418" xr:uid="{00000000-0005-0000-0000-000048950000}"/>
    <cellStyle name="Comma 6 3 3 12" xfId="33101" xr:uid="{00000000-0005-0000-0000-000049950000}"/>
    <cellStyle name="Comma 6 3 3 13" xfId="34784" xr:uid="{00000000-0005-0000-0000-00004A950000}"/>
    <cellStyle name="Comma 6 3 3 14" xfId="36467" xr:uid="{00000000-0005-0000-0000-00004B950000}"/>
    <cellStyle name="Comma 6 3 3 15" xfId="38150" xr:uid="{00000000-0005-0000-0000-00004C950000}"/>
    <cellStyle name="Comma 6 3 3 16" xfId="39833" xr:uid="{00000000-0005-0000-0000-00004D950000}"/>
    <cellStyle name="Comma 6 3 3 17" xfId="41516" xr:uid="{00000000-0005-0000-0000-00004E950000}"/>
    <cellStyle name="Comma 6 3 3 18" xfId="43199" xr:uid="{00000000-0005-0000-0000-00004F950000}"/>
    <cellStyle name="Comma 6 3 3 19" xfId="44882" xr:uid="{00000000-0005-0000-0000-000050950000}"/>
    <cellStyle name="Comma 6 3 3 2" xfId="2803" xr:uid="{00000000-0005-0000-0000-000051950000}"/>
    <cellStyle name="Comma 6 3 3 2 2" xfId="17952" xr:uid="{00000000-0005-0000-0000-000052950000}"/>
    <cellStyle name="Comma 6 3 3 20" xfId="46565" xr:uid="{00000000-0005-0000-0000-000053950000}"/>
    <cellStyle name="Comma 6 3 3 21" xfId="48248" xr:uid="{00000000-0005-0000-0000-000054950000}"/>
    <cellStyle name="Comma 6 3 3 22" xfId="49931" xr:uid="{00000000-0005-0000-0000-000055950000}"/>
    <cellStyle name="Comma 6 3 3 23" xfId="51614" xr:uid="{00000000-0005-0000-0000-000056950000}"/>
    <cellStyle name="Comma 6 3 3 24" xfId="53297" xr:uid="{00000000-0005-0000-0000-000057950000}"/>
    <cellStyle name="Comma 6 3 3 25" xfId="54980" xr:uid="{00000000-0005-0000-0000-000058950000}"/>
    <cellStyle name="Comma 6 3 3 26" xfId="56663" xr:uid="{00000000-0005-0000-0000-000059950000}"/>
    <cellStyle name="Comma 6 3 3 27" xfId="58346" xr:uid="{00000000-0005-0000-0000-00005A950000}"/>
    <cellStyle name="Comma 6 3 3 28" xfId="60029" xr:uid="{00000000-0005-0000-0000-00005B950000}"/>
    <cellStyle name="Comma 6 3 3 29" xfId="61712" xr:uid="{00000000-0005-0000-0000-00005C950000}"/>
    <cellStyle name="Comma 6 3 3 3" xfId="4487" xr:uid="{00000000-0005-0000-0000-00005D950000}"/>
    <cellStyle name="Comma 6 3 3 3 2" xfId="19636" xr:uid="{00000000-0005-0000-0000-00005E950000}"/>
    <cellStyle name="Comma 6 3 3 30" xfId="63395" xr:uid="{00000000-0005-0000-0000-00005F950000}"/>
    <cellStyle name="Comma 6 3 3 4" xfId="6170" xr:uid="{00000000-0005-0000-0000-000060950000}"/>
    <cellStyle name="Comma 6 3 3 4 2" xfId="21319" xr:uid="{00000000-0005-0000-0000-000061950000}"/>
    <cellStyle name="Comma 6 3 3 5" xfId="7853" xr:uid="{00000000-0005-0000-0000-000062950000}"/>
    <cellStyle name="Comma 6 3 3 5 2" xfId="23002" xr:uid="{00000000-0005-0000-0000-000063950000}"/>
    <cellStyle name="Comma 6 3 3 6" xfId="9536" xr:uid="{00000000-0005-0000-0000-000064950000}"/>
    <cellStyle name="Comma 6 3 3 6 2" xfId="24685" xr:uid="{00000000-0005-0000-0000-000065950000}"/>
    <cellStyle name="Comma 6 3 3 7" xfId="11219" xr:uid="{00000000-0005-0000-0000-000066950000}"/>
    <cellStyle name="Comma 6 3 3 7 2" xfId="26368" xr:uid="{00000000-0005-0000-0000-000067950000}"/>
    <cellStyle name="Comma 6 3 3 8" xfId="12903" xr:uid="{00000000-0005-0000-0000-000068950000}"/>
    <cellStyle name="Comma 6 3 3 8 2" xfId="28052" xr:uid="{00000000-0005-0000-0000-000069950000}"/>
    <cellStyle name="Comma 6 3 3 9" xfId="14586" xr:uid="{00000000-0005-0000-0000-00006A950000}"/>
    <cellStyle name="Comma 6 3 3 9 2" xfId="29735" xr:uid="{00000000-0005-0000-0000-00006B950000}"/>
    <cellStyle name="Comma 6 3 30" xfId="57505" xr:uid="{00000000-0005-0000-0000-00006C950000}"/>
    <cellStyle name="Comma 6 3 31" xfId="59188" xr:uid="{00000000-0005-0000-0000-00006D950000}"/>
    <cellStyle name="Comma 6 3 32" xfId="60871" xr:uid="{00000000-0005-0000-0000-00006E950000}"/>
    <cellStyle name="Comma 6 3 33" xfId="62554" xr:uid="{00000000-0005-0000-0000-00006F950000}"/>
    <cellStyle name="Comma 6 3 4" xfId="1541" xr:uid="{00000000-0005-0000-0000-000070950000}"/>
    <cellStyle name="Comma 6 3 4 10" xfId="16690" xr:uid="{00000000-0005-0000-0000-000071950000}"/>
    <cellStyle name="Comma 6 3 4 11" xfId="31839" xr:uid="{00000000-0005-0000-0000-000072950000}"/>
    <cellStyle name="Comma 6 3 4 12" xfId="33522" xr:uid="{00000000-0005-0000-0000-000073950000}"/>
    <cellStyle name="Comma 6 3 4 13" xfId="35205" xr:uid="{00000000-0005-0000-0000-000074950000}"/>
    <cellStyle name="Comma 6 3 4 14" xfId="36888" xr:uid="{00000000-0005-0000-0000-000075950000}"/>
    <cellStyle name="Comma 6 3 4 15" xfId="38571" xr:uid="{00000000-0005-0000-0000-000076950000}"/>
    <cellStyle name="Comma 6 3 4 16" xfId="40254" xr:uid="{00000000-0005-0000-0000-000077950000}"/>
    <cellStyle name="Comma 6 3 4 17" xfId="41937" xr:uid="{00000000-0005-0000-0000-000078950000}"/>
    <cellStyle name="Comma 6 3 4 18" xfId="43620" xr:uid="{00000000-0005-0000-0000-000079950000}"/>
    <cellStyle name="Comma 6 3 4 19" xfId="45303" xr:uid="{00000000-0005-0000-0000-00007A950000}"/>
    <cellStyle name="Comma 6 3 4 2" xfId="3224" xr:uid="{00000000-0005-0000-0000-00007B950000}"/>
    <cellStyle name="Comma 6 3 4 2 2" xfId="18373" xr:uid="{00000000-0005-0000-0000-00007C950000}"/>
    <cellStyle name="Comma 6 3 4 20" xfId="46986" xr:uid="{00000000-0005-0000-0000-00007D950000}"/>
    <cellStyle name="Comma 6 3 4 21" xfId="48669" xr:uid="{00000000-0005-0000-0000-00007E950000}"/>
    <cellStyle name="Comma 6 3 4 22" xfId="50352" xr:uid="{00000000-0005-0000-0000-00007F950000}"/>
    <cellStyle name="Comma 6 3 4 23" xfId="52035" xr:uid="{00000000-0005-0000-0000-000080950000}"/>
    <cellStyle name="Comma 6 3 4 24" xfId="53718" xr:uid="{00000000-0005-0000-0000-000081950000}"/>
    <cellStyle name="Comma 6 3 4 25" xfId="55401" xr:uid="{00000000-0005-0000-0000-000082950000}"/>
    <cellStyle name="Comma 6 3 4 26" xfId="57084" xr:uid="{00000000-0005-0000-0000-000083950000}"/>
    <cellStyle name="Comma 6 3 4 27" xfId="58767" xr:uid="{00000000-0005-0000-0000-000084950000}"/>
    <cellStyle name="Comma 6 3 4 28" xfId="60450" xr:uid="{00000000-0005-0000-0000-000085950000}"/>
    <cellStyle name="Comma 6 3 4 29" xfId="62133" xr:uid="{00000000-0005-0000-0000-000086950000}"/>
    <cellStyle name="Comma 6 3 4 3" xfId="4908" xr:uid="{00000000-0005-0000-0000-000087950000}"/>
    <cellStyle name="Comma 6 3 4 3 2" xfId="20057" xr:uid="{00000000-0005-0000-0000-000088950000}"/>
    <cellStyle name="Comma 6 3 4 30" xfId="63816" xr:uid="{00000000-0005-0000-0000-000089950000}"/>
    <cellStyle name="Comma 6 3 4 4" xfId="6591" xr:uid="{00000000-0005-0000-0000-00008A950000}"/>
    <cellStyle name="Comma 6 3 4 4 2" xfId="21740" xr:uid="{00000000-0005-0000-0000-00008B950000}"/>
    <cellStyle name="Comma 6 3 4 5" xfId="8274" xr:uid="{00000000-0005-0000-0000-00008C950000}"/>
    <cellStyle name="Comma 6 3 4 5 2" xfId="23423" xr:uid="{00000000-0005-0000-0000-00008D950000}"/>
    <cellStyle name="Comma 6 3 4 6" xfId="9957" xr:uid="{00000000-0005-0000-0000-00008E950000}"/>
    <cellStyle name="Comma 6 3 4 6 2" xfId="25106" xr:uid="{00000000-0005-0000-0000-00008F950000}"/>
    <cellStyle name="Comma 6 3 4 7" xfId="11640" xr:uid="{00000000-0005-0000-0000-000090950000}"/>
    <cellStyle name="Comma 6 3 4 7 2" xfId="26789" xr:uid="{00000000-0005-0000-0000-000091950000}"/>
    <cellStyle name="Comma 6 3 4 8" xfId="13324" xr:uid="{00000000-0005-0000-0000-000092950000}"/>
    <cellStyle name="Comma 6 3 4 8 2" xfId="28473" xr:uid="{00000000-0005-0000-0000-000093950000}"/>
    <cellStyle name="Comma 6 3 4 9" xfId="15007" xr:uid="{00000000-0005-0000-0000-000094950000}"/>
    <cellStyle name="Comma 6 3 4 9 2" xfId="30156" xr:uid="{00000000-0005-0000-0000-000095950000}"/>
    <cellStyle name="Comma 6 3 5" xfId="1962" xr:uid="{00000000-0005-0000-0000-000096950000}"/>
    <cellStyle name="Comma 6 3 5 2" xfId="17111" xr:uid="{00000000-0005-0000-0000-000097950000}"/>
    <cellStyle name="Comma 6 3 6" xfId="3646" xr:uid="{00000000-0005-0000-0000-000098950000}"/>
    <cellStyle name="Comma 6 3 6 2" xfId="18795" xr:uid="{00000000-0005-0000-0000-000099950000}"/>
    <cellStyle name="Comma 6 3 7" xfId="5329" xr:uid="{00000000-0005-0000-0000-00009A950000}"/>
    <cellStyle name="Comma 6 3 7 2" xfId="20478" xr:uid="{00000000-0005-0000-0000-00009B950000}"/>
    <cellStyle name="Comma 6 3 8" xfId="7012" xr:uid="{00000000-0005-0000-0000-00009C950000}"/>
    <cellStyle name="Comma 6 3 8 2" xfId="22161" xr:uid="{00000000-0005-0000-0000-00009D950000}"/>
    <cellStyle name="Comma 6 3 9" xfId="8695" xr:uid="{00000000-0005-0000-0000-00009E950000}"/>
    <cellStyle name="Comma 6 3 9 2" xfId="23844" xr:uid="{00000000-0005-0000-0000-00009F950000}"/>
    <cellStyle name="Comma 6 30" xfId="53929" xr:uid="{00000000-0005-0000-0000-0000A0950000}"/>
    <cellStyle name="Comma 6 31" xfId="55612" xr:uid="{00000000-0005-0000-0000-0000A1950000}"/>
    <cellStyle name="Comma 6 32" xfId="57295" xr:uid="{00000000-0005-0000-0000-0000A2950000}"/>
    <cellStyle name="Comma 6 33" xfId="58978" xr:uid="{00000000-0005-0000-0000-0000A3950000}"/>
    <cellStyle name="Comma 6 34" xfId="60661" xr:uid="{00000000-0005-0000-0000-0000A4950000}"/>
    <cellStyle name="Comma 6 35" xfId="62344" xr:uid="{00000000-0005-0000-0000-0000A5950000}"/>
    <cellStyle name="Comma 6 4" xfId="489" xr:uid="{00000000-0005-0000-0000-0000A6950000}"/>
    <cellStyle name="Comma 6 4 10" xfId="15638" xr:uid="{00000000-0005-0000-0000-0000A7950000}"/>
    <cellStyle name="Comma 6 4 11" xfId="30787" xr:uid="{00000000-0005-0000-0000-0000A8950000}"/>
    <cellStyle name="Comma 6 4 12" xfId="32470" xr:uid="{00000000-0005-0000-0000-0000A9950000}"/>
    <cellStyle name="Comma 6 4 13" xfId="34153" xr:uid="{00000000-0005-0000-0000-0000AA950000}"/>
    <cellStyle name="Comma 6 4 14" xfId="35836" xr:uid="{00000000-0005-0000-0000-0000AB950000}"/>
    <cellStyle name="Comma 6 4 15" xfId="37519" xr:uid="{00000000-0005-0000-0000-0000AC950000}"/>
    <cellStyle name="Comma 6 4 16" xfId="39202" xr:uid="{00000000-0005-0000-0000-0000AD950000}"/>
    <cellStyle name="Comma 6 4 17" xfId="40885" xr:uid="{00000000-0005-0000-0000-0000AE950000}"/>
    <cellStyle name="Comma 6 4 18" xfId="42568" xr:uid="{00000000-0005-0000-0000-0000AF950000}"/>
    <cellStyle name="Comma 6 4 19" xfId="44251" xr:uid="{00000000-0005-0000-0000-0000B0950000}"/>
    <cellStyle name="Comma 6 4 2" xfId="2172" xr:uid="{00000000-0005-0000-0000-0000B1950000}"/>
    <cellStyle name="Comma 6 4 2 2" xfId="17321" xr:uid="{00000000-0005-0000-0000-0000B2950000}"/>
    <cellStyle name="Comma 6 4 20" xfId="45934" xr:uid="{00000000-0005-0000-0000-0000B3950000}"/>
    <cellStyle name="Comma 6 4 21" xfId="47617" xr:uid="{00000000-0005-0000-0000-0000B4950000}"/>
    <cellStyle name="Comma 6 4 22" xfId="49300" xr:uid="{00000000-0005-0000-0000-0000B5950000}"/>
    <cellStyle name="Comma 6 4 23" xfId="50983" xr:uid="{00000000-0005-0000-0000-0000B6950000}"/>
    <cellStyle name="Comma 6 4 24" xfId="52666" xr:uid="{00000000-0005-0000-0000-0000B7950000}"/>
    <cellStyle name="Comma 6 4 25" xfId="54349" xr:uid="{00000000-0005-0000-0000-0000B8950000}"/>
    <cellStyle name="Comma 6 4 26" xfId="56032" xr:uid="{00000000-0005-0000-0000-0000B9950000}"/>
    <cellStyle name="Comma 6 4 27" xfId="57715" xr:uid="{00000000-0005-0000-0000-0000BA950000}"/>
    <cellStyle name="Comma 6 4 28" xfId="59398" xr:uid="{00000000-0005-0000-0000-0000BB950000}"/>
    <cellStyle name="Comma 6 4 29" xfId="61081" xr:uid="{00000000-0005-0000-0000-0000BC950000}"/>
    <cellStyle name="Comma 6 4 3" xfId="3856" xr:uid="{00000000-0005-0000-0000-0000BD950000}"/>
    <cellStyle name="Comma 6 4 3 2" xfId="19005" xr:uid="{00000000-0005-0000-0000-0000BE950000}"/>
    <cellStyle name="Comma 6 4 30" xfId="62764" xr:uid="{00000000-0005-0000-0000-0000BF950000}"/>
    <cellStyle name="Comma 6 4 4" xfId="5539" xr:uid="{00000000-0005-0000-0000-0000C0950000}"/>
    <cellStyle name="Comma 6 4 4 2" xfId="20688" xr:uid="{00000000-0005-0000-0000-0000C1950000}"/>
    <cellStyle name="Comma 6 4 5" xfId="7222" xr:uid="{00000000-0005-0000-0000-0000C2950000}"/>
    <cellStyle name="Comma 6 4 5 2" xfId="22371" xr:uid="{00000000-0005-0000-0000-0000C3950000}"/>
    <cellStyle name="Comma 6 4 6" xfId="8905" xr:uid="{00000000-0005-0000-0000-0000C4950000}"/>
    <cellStyle name="Comma 6 4 6 2" xfId="24054" xr:uid="{00000000-0005-0000-0000-0000C5950000}"/>
    <cellStyle name="Comma 6 4 7" xfId="10588" xr:uid="{00000000-0005-0000-0000-0000C6950000}"/>
    <cellStyle name="Comma 6 4 7 2" xfId="25737" xr:uid="{00000000-0005-0000-0000-0000C7950000}"/>
    <cellStyle name="Comma 6 4 8" xfId="12272" xr:uid="{00000000-0005-0000-0000-0000C8950000}"/>
    <cellStyle name="Comma 6 4 8 2" xfId="27421" xr:uid="{00000000-0005-0000-0000-0000C9950000}"/>
    <cellStyle name="Comma 6 4 9" xfId="13955" xr:uid="{00000000-0005-0000-0000-0000CA950000}"/>
    <cellStyle name="Comma 6 4 9 2" xfId="29104" xr:uid="{00000000-0005-0000-0000-0000CB950000}"/>
    <cellStyle name="Comma 6 5" xfId="910" xr:uid="{00000000-0005-0000-0000-0000CC950000}"/>
    <cellStyle name="Comma 6 5 10" xfId="16059" xr:uid="{00000000-0005-0000-0000-0000CD950000}"/>
    <cellStyle name="Comma 6 5 11" xfId="31208" xr:uid="{00000000-0005-0000-0000-0000CE950000}"/>
    <cellStyle name="Comma 6 5 12" xfId="32891" xr:uid="{00000000-0005-0000-0000-0000CF950000}"/>
    <cellStyle name="Comma 6 5 13" xfId="34574" xr:uid="{00000000-0005-0000-0000-0000D0950000}"/>
    <cellStyle name="Comma 6 5 14" xfId="36257" xr:uid="{00000000-0005-0000-0000-0000D1950000}"/>
    <cellStyle name="Comma 6 5 15" xfId="37940" xr:uid="{00000000-0005-0000-0000-0000D2950000}"/>
    <cellStyle name="Comma 6 5 16" xfId="39623" xr:uid="{00000000-0005-0000-0000-0000D3950000}"/>
    <cellStyle name="Comma 6 5 17" xfId="41306" xr:uid="{00000000-0005-0000-0000-0000D4950000}"/>
    <cellStyle name="Comma 6 5 18" xfId="42989" xr:uid="{00000000-0005-0000-0000-0000D5950000}"/>
    <cellStyle name="Comma 6 5 19" xfId="44672" xr:uid="{00000000-0005-0000-0000-0000D6950000}"/>
    <cellStyle name="Comma 6 5 2" xfId="2593" xr:uid="{00000000-0005-0000-0000-0000D7950000}"/>
    <cellStyle name="Comma 6 5 2 2" xfId="17742" xr:uid="{00000000-0005-0000-0000-0000D8950000}"/>
    <cellStyle name="Comma 6 5 20" xfId="46355" xr:uid="{00000000-0005-0000-0000-0000D9950000}"/>
    <cellStyle name="Comma 6 5 21" xfId="48038" xr:uid="{00000000-0005-0000-0000-0000DA950000}"/>
    <cellStyle name="Comma 6 5 22" xfId="49721" xr:uid="{00000000-0005-0000-0000-0000DB950000}"/>
    <cellStyle name="Comma 6 5 23" xfId="51404" xr:uid="{00000000-0005-0000-0000-0000DC950000}"/>
    <cellStyle name="Comma 6 5 24" xfId="53087" xr:uid="{00000000-0005-0000-0000-0000DD950000}"/>
    <cellStyle name="Comma 6 5 25" xfId="54770" xr:uid="{00000000-0005-0000-0000-0000DE950000}"/>
    <cellStyle name="Comma 6 5 26" xfId="56453" xr:uid="{00000000-0005-0000-0000-0000DF950000}"/>
    <cellStyle name="Comma 6 5 27" xfId="58136" xr:uid="{00000000-0005-0000-0000-0000E0950000}"/>
    <cellStyle name="Comma 6 5 28" xfId="59819" xr:uid="{00000000-0005-0000-0000-0000E1950000}"/>
    <cellStyle name="Comma 6 5 29" xfId="61502" xr:uid="{00000000-0005-0000-0000-0000E2950000}"/>
    <cellStyle name="Comma 6 5 3" xfId="4277" xr:uid="{00000000-0005-0000-0000-0000E3950000}"/>
    <cellStyle name="Comma 6 5 3 2" xfId="19426" xr:uid="{00000000-0005-0000-0000-0000E4950000}"/>
    <cellStyle name="Comma 6 5 30" xfId="63185" xr:uid="{00000000-0005-0000-0000-0000E5950000}"/>
    <cellStyle name="Comma 6 5 4" xfId="5960" xr:uid="{00000000-0005-0000-0000-0000E6950000}"/>
    <cellStyle name="Comma 6 5 4 2" xfId="21109" xr:uid="{00000000-0005-0000-0000-0000E7950000}"/>
    <cellStyle name="Comma 6 5 5" xfId="7643" xr:uid="{00000000-0005-0000-0000-0000E8950000}"/>
    <cellStyle name="Comma 6 5 5 2" xfId="22792" xr:uid="{00000000-0005-0000-0000-0000E9950000}"/>
    <cellStyle name="Comma 6 5 6" xfId="9326" xr:uid="{00000000-0005-0000-0000-0000EA950000}"/>
    <cellStyle name="Comma 6 5 6 2" xfId="24475" xr:uid="{00000000-0005-0000-0000-0000EB950000}"/>
    <cellStyle name="Comma 6 5 7" xfId="11009" xr:uid="{00000000-0005-0000-0000-0000EC950000}"/>
    <cellStyle name="Comma 6 5 7 2" xfId="26158" xr:uid="{00000000-0005-0000-0000-0000ED950000}"/>
    <cellStyle name="Comma 6 5 8" xfId="12693" xr:uid="{00000000-0005-0000-0000-0000EE950000}"/>
    <cellStyle name="Comma 6 5 8 2" xfId="27842" xr:uid="{00000000-0005-0000-0000-0000EF950000}"/>
    <cellStyle name="Comma 6 5 9" xfId="14376" xr:uid="{00000000-0005-0000-0000-0000F0950000}"/>
    <cellStyle name="Comma 6 5 9 2" xfId="29525" xr:uid="{00000000-0005-0000-0000-0000F1950000}"/>
    <cellStyle name="Comma 6 6" xfId="1331" xr:uid="{00000000-0005-0000-0000-0000F2950000}"/>
    <cellStyle name="Comma 6 6 10" xfId="16480" xr:uid="{00000000-0005-0000-0000-0000F3950000}"/>
    <cellStyle name="Comma 6 6 11" xfId="31629" xr:uid="{00000000-0005-0000-0000-0000F4950000}"/>
    <cellStyle name="Comma 6 6 12" xfId="33312" xr:uid="{00000000-0005-0000-0000-0000F5950000}"/>
    <cellStyle name="Comma 6 6 13" xfId="34995" xr:uid="{00000000-0005-0000-0000-0000F6950000}"/>
    <cellStyle name="Comma 6 6 14" xfId="36678" xr:uid="{00000000-0005-0000-0000-0000F7950000}"/>
    <cellStyle name="Comma 6 6 15" xfId="38361" xr:uid="{00000000-0005-0000-0000-0000F8950000}"/>
    <cellStyle name="Comma 6 6 16" xfId="40044" xr:uid="{00000000-0005-0000-0000-0000F9950000}"/>
    <cellStyle name="Comma 6 6 17" xfId="41727" xr:uid="{00000000-0005-0000-0000-0000FA950000}"/>
    <cellStyle name="Comma 6 6 18" xfId="43410" xr:uid="{00000000-0005-0000-0000-0000FB950000}"/>
    <cellStyle name="Comma 6 6 19" xfId="45093" xr:uid="{00000000-0005-0000-0000-0000FC950000}"/>
    <cellStyle name="Comma 6 6 2" xfId="3014" xr:uid="{00000000-0005-0000-0000-0000FD950000}"/>
    <cellStyle name="Comma 6 6 2 2" xfId="18163" xr:uid="{00000000-0005-0000-0000-0000FE950000}"/>
    <cellStyle name="Comma 6 6 20" xfId="46776" xr:uid="{00000000-0005-0000-0000-0000FF950000}"/>
    <cellStyle name="Comma 6 6 21" xfId="48459" xr:uid="{00000000-0005-0000-0000-000000960000}"/>
    <cellStyle name="Comma 6 6 22" xfId="50142" xr:uid="{00000000-0005-0000-0000-000001960000}"/>
    <cellStyle name="Comma 6 6 23" xfId="51825" xr:uid="{00000000-0005-0000-0000-000002960000}"/>
    <cellStyle name="Comma 6 6 24" xfId="53508" xr:uid="{00000000-0005-0000-0000-000003960000}"/>
    <cellStyle name="Comma 6 6 25" xfId="55191" xr:uid="{00000000-0005-0000-0000-000004960000}"/>
    <cellStyle name="Comma 6 6 26" xfId="56874" xr:uid="{00000000-0005-0000-0000-000005960000}"/>
    <cellStyle name="Comma 6 6 27" xfId="58557" xr:uid="{00000000-0005-0000-0000-000006960000}"/>
    <cellStyle name="Comma 6 6 28" xfId="60240" xr:uid="{00000000-0005-0000-0000-000007960000}"/>
    <cellStyle name="Comma 6 6 29" xfId="61923" xr:uid="{00000000-0005-0000-0000-000008960000}"/>
    <cellStyle name="Comma 6 6 3" xfId="4698" xr:uid="{00000000-0005-0000-0000-000009960000}"/>
    <cellStyle name="Comma 6 6 3 2" xfId="19847" xr:uid="{00000000-0005-0000-0000-00000A960000}"/>
    <cellStyle name="Comma 6 6 30" xfId="63606" xr:uid="{00000000-0005-0000-0000-00000B960000}"/>
    <cellStyle name="Comma 6 6 4" xfId="6381" xr:uid="{00000000-0005-0000-0000-00000C960000}"/>
    <cellStyle name="Comma 6 6 4 2" xfId="21530" xr:uid="{00000000-0005-0000-0000-00000D960000}"/>
    <cellStyle name="Comma 6 6 5" xfId="8064" xr:uid="{00000000-0005-0000-0000-00000E960000}"/>
    <cellStyle name="Comma 6 6 5 2" xfId="23213" xr:uid="{00000000-0005-0000-0000-00000F960000}"/>
    <cellStyle name="Comma 6 6 6" xfId="9747" xr:uid="{00000000-0005-0000-0000-000010960000}"/>
    <cellStyle name="Comma 6 6 6 2" xfId="24896" xr:uid="{00000000-0005-0000-0000-000011960000}"/>
    <cellStyle name="Comma 6 6 7" xfId="11430" xr:uid="{00000000-0005-0000-0000-000012960000}"/>
    <cellStyle name="Comma 6 6 7 2" xfId="26579" xr:uid="{00000000-0005-0000-0000-000013960000}"/>
    <cellStyle name="Comma 6 6 8" xfId="13114" xr:uid="{00000000-0005-0000-0000-000014960000}"/>
    <cellStyle name="Comma 6 6 8 2" xfId="28263" xr:uid="{00000000-0005-0000-0000-000015960000}"/>
    <cellStyle name="Comma 6 6 9" xfId="14797" xr:uid="{00000000-0005-0000-0000-000016960000}"/>
    <cellStyle name="Comma 6 6 9 2" xfId="29946" xr:uid="{00000000-0005-0000-0000-000017960000}"/>
    <cellStyle name="Comma 6 7" xfId="1752" xr:uid="{00000000-0005-0000-0000-000018960000}"/>
    <cellStyle name="Comma 6 7 2" xfId="16901" xr:uid="{00000000-0005-0000-0000-000019960000}"/>
    <cellStyle name="Comma 6 8" xfId="3436" xr:uid="{00000000-0005-0000-0000-00001A960000}"/>
    <cellStyle name="Comma 6 8 2" xfId="18585" xr:uid="{00000000-0005-0000-0000-00001B960000}"/>
    <cellStyle name="Comma 6 9" xfId="5119" xr:uid="{00000000-0005-0000-0000-00001C960000}"/>
    <cellStyle name="Comma 6 9 2" xfId="20268" xr:uid="{00000000-0005-0000-0000-00001D960000}"/>
    <cellStyle name="Comma 7" xfId="136" xr:uid="{00000000-0005-0000-0000-00001E960000}"/>
    <cellStyle name="Comma 7 10" xfId="8552" xr:uid="{00000000-0005-0000-0000-00001F960000}"/>
    <cellStyle name="Comma 7 10 2" xfId="23701" xr:uid="{00000000-0005-0000-0000-000020960000}"/>
    <cellStyle name="Comma 7 11" xfId="10235" xr:uid="{00000000-0005-0000-0000-000021960000}"/>
    <cellStyle name="Comma 7 11 2" xfId="25384" xr:uid="{00000000-0005-0000-0000-000022960000}"/>
    <cellStyle name="Comma 7 12" xfId="11919" xr:uid="{00000000-0005-0000-0000-000023960000}"/>
    <cellStyle name="Comma 7 12 2" xfId="27068" xr:uid="{00000000-0005-0000-0000-000024960000}"/>
    <cellStyle name="Comma 7 13" xfId="13602" xr:uid="{00000000-0005-0000-0000-000025960000}"/>
    <cellStyle name="Comma 7 13 2" xfId="28751" xr:uid="{00000000-0005-0000-0000-000026960000}"/>
    <cellStyle name="Comma 7 14" xfId="15285" xr:uid="{00000000-0005-0000-0000-000027960000}"/>
    <cellStyle name="Comma 7 15" xfId="30434" xr:uid="{00000000-0005-0000-0000-000028960000}"/>
    <cellStyle name="Comma 7 16" xfId="32117" xr:uid="{00000000-0005-0000-0000-000029960000}"/>
    <cellStyle name="Comma 7 17" xfId="33800" xr:uid="{00000000-0005-0000-0000-00002A960000}"/>
    <cellStyle name="Comma 7 18" xfId="35483" xr:uid="{00000000-0005-0000-0000-00002B960000}"/>
    <cellStyle name="Comma 7 19" xfId="37166" xr:uid="{00000000-0005-0000-0000-00002C960000}"/>
    <cellStyle name="Comma 7 2" xfId="346" xr:uid="{00000000-0005-0000-0000-00002D960000}"/>
    <cellStyle name="Comma 7 2 10" xfId="10445" xr:uid="{00000000-0005-0000-0000-00002E960000}"/>
    <cellStyle name="Comma 7 2 10 2" xfId="25594" xr:uid="{00000000-0005-0000-0000-00002F960000}"/>
    <cellStyle name="Comma 7 2 11" xfId="12129" xr:uid="{00000000-0005-0000-0000-000030960000}"/>
    <cellStyle name="Comma 7 2 11 2" xfId="27278" xr:uid="{00000000-0005-0000-0000-000031960000}"/>
    <cellStyle name="Comma 7 2 12" xfId="13812" xr:uid="{00000000-0005-0000-0000-000032960000}"/>
    <cellStyle name="Comma 7 2 12 2" xfId="28961" xr:uid="{00000000-0005-0000-0000-000033960000}"/>
    <cellStyle name="Comma 7 2 13" xfId="15495" xr:uid="{00000000-0005-0000-0000-000034960000}"/>
    <cellStyle name="Comma 7 2 14" xfId="30644" xr:uid="{00000000-0005-0000-0000-000035960000}"/>
    <cellStyle name="Comma 7 2 15" xfId="32327" xr:uid="{00000000-0005-0000-0000-000036960000}"/>
    <cellStyle name="Comma 7 2 16" xfId="34010" xr:uid="{00000000-0005-0000-0000-000037960000}"/>
    <cellStyle name="Comma 7 2 17" xfId="35693" xr:uid="{00000000-0005-0000-0000-000038960000}"/>
    <cellStyle name="Comma 7 2 18" xfId="37376" xr:uid="{00000000-0005-0000-0000-000039960000}"/>
    <cellStyle name="Comma 7 2 19" xfId="39059" xr:uid="{00000000-0005-0000-0000-00003A960000}"/>
    <cellStyle name="Comma 7 2 2" xfId="766" xr:uid="{00000000-0005-0000-0000-00003B960000}"/>
    <cellStyle name="Comma 7 2 2 10" xfId="15915" xr:uid="{00000000-0005-0000-0000-00003C960000}"/>
    <cellStyle name="Comma 7 2 2 11" xfId="31064" xr:uid="{00000000-0005-0000-0000-00003D960000}"/>
    <cellStyle name="Comma 7 2 2 12" xfId="32747" xr:uid="{00000000-0005-0000-0000-00003E960000}"/>
    <cellStyle name="Comma 7 2 2 13" xfId="34430" xr:uid="{00000000-0005-0000-0000-00003F960000}"/>
    <cellStyle name="Comma 7 2 2 14" xfId="36113" xr:uid="{00000000-0005-0000-0000-000040960000}"/>
    <cellStyle name="Comma 7 2 2 15" xfId="37796" xr:uid="{00000000-0005-0000-0000-000041960000}"/>
    <cellStyle name="Comma 7 2 2 16" xfId="39479" xr:uid="{00000000-0005-0000-0000-000042960000}"/>
    <cellStyle name="Comma 7 2 2 17" xfId="41162" xr:uid="{00000000-0005-0000-0000-000043960000}"/>
    <cellStyle name="Comma 7 2 2 18" xfId="42845" xr:uid="{00000000-0005-0000-0000-000044960000}"/>
    <cellStyle name="Comma 7 2 2 19" xfId="44528" xr:uid="{00000000-0005-0000-0000-000045960000}"/>
    <cellStyle name="Comma 7 2 2 2" xfId="2449" xr:uid="{00000000-0005-0000-0000-000046960000}"/>
    <cellStyle name="Comma 7 2 2 2 2" xfId="17598" xr:uid="{00000000-0005-0000-0000-000047960000}"/>
    <cellStyle name="Comma 7 2 2 20" xfId="46211" xr:uid="{00000000-0005-0000-0000-000048960000}"/>
    <cellStyle name="Comma 7 2 2 21" xfId="47894" xr:uid="{00000000-0005-0000-0000-000049960000}"/>
    <cellStyle name="Comma 7 2 2 22" xfId="49577" xr:uid="{00000000-0005-0000-0000-00004A960000}"/>
    <cellStyle name="Comma 7 2 2 23" xfId="51260" xr:uid="{00000000-0005-0000-0000-00004B960000}"/>
    <cellStyle name="Comma 7 2 2 24" xfId="52943" xr:uid="{00000000-0005-0000-0000-00004C960000}"/>
    <cellStyle name="Comma 7 2 2 25" xfId="54626" xr:uid="{00000000-0005-0000-0000-00004D960000}"/>
    <cellStyle name="Comma 7 2 2 26" xfId="56309" xr:uid="{00000000-0005-0000-0000-00004E960000}"/>
    <cellStyle name="Comma 7 2 2 27" xfId="57992" xr:uid="{00000000-0005-0000-0000-00004F960000}"/>
    <cellStyle name="Comma 7 2 2 28" xfId="59675" xr:uid="{00000000-0005-0000-0000-000050960000}"/>
    <cellStyle name="Comma 7 2 2 29" xfId="61358" xr:uid="{00000000-0005-0000-0000-000051960000}"/>
    <cellStyle name="Comma 7 2 2 3" xfId="4133" xr:uid="{00000000-0005-0000-0000-000052960000}"/>
    <cellStyle name="Comma 7 2 2 3 2" xfId="19282" xr:uid="{00000000-0005-0000-0000-000053960000}"/>
    <cellStyle name="Comma 7 2 2 30" xfId="63041" xr:uid="{00000000-0005-0000-0000-000054960000}"/>
    <cellStyle name="Comma 7 2 2 4" xfId="5816" xr:uid="{00000000-0005-0000-0000-000055960000}"/>
    <cellStyle name="Comma 7 2 2 4 2" xfId="20965" xr:uid="{00000000-0005-0000-0000-000056960000}"/>
    <cellStyle name="Comma 7 2 2 5" xfId="7499" xr:uid="{00000000-0005-0000-0000-000057960000}"/>
    <cellStyle name="Comma 7 2 2 5 2" xfId="22648" xr:uid="{00000000-0005-0000-0000-000058960000}"/>
    <cellStyle name="Comma 7 2 2 6" xfId="9182" xr:uid="{00000000-0005-0000-0000-000059960000}"/>
    <cellStyle name="Comma 7 2 2 6 2" xfId="24331" xr:uid="{00000000-0005-0000-0000-00005A960000}"/>
    <cellStyle name="Comma 7 2 2 7" xfId="10865" xr:uid="{00000000-0005-0000-0000-00005B960000}"/>
    <cellStyle name="Comma 7 2 2 7 2" xfId="26014" xr:uid="{00000000-0005-0000-0000-00005C960000}"/>
    <cellStyle name="Comma 7 2 2 8" xfId="12549" xr:uid="{00000000-0005-0000-0000-00005D960000}"/>
    <cellStyle name="Comma 7 2 2 8 2" xfId="27698" xr:uid="{00000000-0005-0000-0000-00005E960000}"/>
    <cellStyle name="Comma 7 2 2 9" xfId="14232" xr:uid="{00000000-0005-0000-0000-00005F960000}"/>
    <cellStyle name="Comma 7 2 2 9 2" xfId="29381" xr:uid="{00000000-0005-0000-0000-000060960000}"/>
    <cellStyle name="Comma 7 2 20" xfId="40742" xr:uid="{00000000-0005-0000-0000-000061960000}"/>
    <cellStyle name="Comma 7 2 21" xfId="42425" xr:uid="{00000000-0005-0000-0000-000062960000}"/>
    <cellStyle name="Comma 7 2 22" xfId="44108" xr:uid="{00000000-0005-0000-0000-000063960000}"/>
    <cellStyle name="Comma 7 2 23" xfId="45791" xr:uid="{00000000-0005-0000-0000-000064960000}"/>
    <cellStyle name="Comma 7 2 24" xfId="47474" xr:uid="{00000000-0005-0000-0000-000065960000}"/>
    <cellStyle name="Comma 7 2 25" xfId="49157" xr:uid="{00000000-0005-0000-0000-000066960000}"/>
    <cellStyle name="Comma 7 2 26" xfId="50840" xr:uid="{00000000-0005-0000-0000-000067960000}"/>
    <cellStyle name="Comma 7 2 27" xfId="52523" xr:uid="{00000000-0005-0000-0000-000068960000}"/>
    <cellStyle name="Comma 7 2 28" xfId="54206" xr:uid="{00000000-0005-0000-0000-000069960000}"/>
    <cellStyle name="Comma 7 2 29" xfId="55889" xr:uid="{00000000-0005-0000-0000-00006A960000}"/>
    <cellStyle name="Comma 7 2 3" xfId="1187" xr:uid="{00000000-0005-0000-0000-00006B960000}"/>
    <cellStyle name="Comma 7 2 3 10" xfId="16336" xr:uid="{00000000-0005-0000-0000-00006C960000}"/>
    <cellStyle name="Comma 7 2 3 11" xfId="31485" xr:uid="{00000000-0005-0000-0000-00006D960000}"/>
    <cellStyle name="Comma 7 2 3 12" xfId="33168" xr:uid="{00000000-0005-0000-0000-00006E960000}"/>
    <cellStyle name="Comma 7 2 3 13" xfId="34851" xr:uid="{00000000-0005-0000-0000-00006F960000}"/>
    <cellStyle name="Comma 7 2 3 14" xfId="36534" xr:uid="{00000000-0005-0000-0000-000070960000}"/>
    <cellStyle name="Comma 7 2 3 15" xfId="38217" xr:uid="{00000000-0005-0000-0000-000071960000}"/>
    <cellStyle name="Comma 7 2 3 16" xfId="39900" xr:uid="{00000000-0005-0000-0000-000072960000}"/>
    <cellStyle name="Comma 7 2 3 17" xfId="41583" xr:uid="{00000000-0005-0000-0000-000073960000}"/>
    <cellStyle name="Comma 7 2 3 18" xfId="43266" xr:uid="{00000000-0005-0000-0000-000074960000}"/>
    <cellStyle name="Comma 7 2 3 19" xfId="44949" xr:uid="{00000000-0005-0000-0000-000075960000}"/>
    <cellStyle name="Comma 7 2 3 2" xfId="2870" xr:uid="{00000000-0005-0000-0000-000076960000}"/>
    <cellStyle name="Comma 7 2 3 2 2" xfId="18019" xr:uid="{00000000-0005-0000-0000-000077960000}"/>
    <cellStyle name="Comma 7 2 3 20" xfId="46632" xr:uid="{00000000-0005-0000-0000-000078960000}"/>
    <cellStyle name="Comma 7 2 3 21" xfId="48315" xr:uid="{00000000-0005-0000-0000-000079960000}"/>
    <cellStyle name="Comma 7 2 3 22" xfId="49998" xr:uid="{00000000-0005-0000-0000-00007A960000}"/>
    <cellStyle name="Comma 7 2 3 23" xfId="51681" xr:uid="{00000000-0005-0000-0000-00007B960000}"/>
    <cellStyle name="Comma 7 2 3 24" xfId="53364" xr:uid="{00000000-0005-0000-0000-00007C960000}"/>
    <cellStyle name="Comma 7 2 3 25" xfId="55047" xr:uid="{00000000-0005-0000-0000-00007D960000}"/>
    <cellStyle name="Comma 7 2 3 26" xfId="56730" xr:uid="{00000000-0005-0000-0000-00007E960000}"/>
    <cellStyle name="Comma 7 2 3 27" xfId="58413" xr:uid="{00000000-0005-0000-0000-00007F960000}"/>
    <cellStyle name="Comma 7 2 3 28" xfId="60096" xr:uid="{00000000-0005-0000-0000-000080960000}"/>
    <cellStyle name="Comma 7 2 3 29" xfId="61779" xr:uid="{00000000-0005-0000-0000-000081960000}"/>
    <cellStyle name="Comma 7 2 3 3" xfId="4554" xr:uid="{00000000-0005-0000-0000-000082960000}"/>
    <cellStyle name="Comma 7 2 3 3 2" xfId="19703" xr:uid="{00000000-0005-0000-0000-000083960000}"/>
    <cellStyle name="Comma 7 2 3 30" xfId="63462" xr:uid="{00000000-0005-0000-0000-000084960000}"/>
    <cellStyle name="Comma 7 2 3 4" xfId="6237" xr:uid="{00000000-0005-0000-0000-000085960000}"/>
    <cellStyle name="Comma 7 2 3 4 2" xfId="21386" xr:uid="{00000000-0005-0000-0000-000086960000}"/>
    <cellStyle name="Comma 7 2 3 5" xfId="7920" xr:uid="{00000000-0005-0000-0000-000087960000}"/>
    <cellStyle name="Comma 7 2 3 5 2" xfId="23069" xr:uid="{00000000-0005-0000-0000-000088960000}"/>
    <cellStyle name="Comma 7 2 3 6" xfId="9603" xr:uid="{00000000-0005-0000-0000-000089960000}"/>
    <cellStyle name="Comma 7 2 3 6 2" xfId="24752" xr:uid="{00000000-0005-0000-0000-00008A960000}"/>
    <cellStyle name="Comma 7 2 3 7" xfId="11286" xr:uid="{00000000-0005-0000-0000-00008B960000}"/>
    <cellStyle name="Comma 7 2 3 7 2" xfId="26435" xr:uid="{00000000-0005-0000-0000-00008C960000}"/>
    <cellStyle name="Comma 7 2 3 8" xfId="12970" xr:uid="{00000000-0005-0000-0000-00008D960000}"/>
    <cellStyle name="Comma 7 2 3 8 2" xfId="28119" xr:uid="{00000000-0005-0000-0000-00008E960000}"/>
    <cellStyle name="Comma 7 2 3 9" xfId="14653" xr:uid="{00000000-0005-0000-0000-00008F960000}"/>
    <cellStyle name="Comma 7 2 3 9 2" xfId="29802" xr:uid="{00000000-0005-0000-0000-000090960000}"/>
    <cellStyle name="Comma 7 2 30" xfId="57572" xr:uid="{00000000-0005-0000-0000-000091960000}"/>
    <cellStyle name="Comma 7 2 31" xfId="59255" xr:uid="{00000000-0005-0000-0000-000092960000}"/>
    <cellStyle name="Comma 7 2 32" xfId="60938" xr:uid="{00000000-0005-0000-0000-000093960000}"/>
    <cellStyle name="Comma 7 2 33" xfId="62621" xr:uid="{00000000-0005-0000-0000-000094960000}"/>
    <cellStyle name="Comma 7 2 4" xfId="1608" xr:uid="{00000000-0005-0000-0000-000095960000}"/>
    <cellStyle name="Comma 7 2 4 10" xfId="16757" xr:uid="{00000000-0005-0000-0000-000096960000}"/>
    <cellStyle name="Comma 7 2 4 11" xfId="31906" xr:uid="{00000000-0005-0000-0000-000097960000}"/>
    <cellStyle name="Comma 7 2 4 12" xfId="33589" xr:uid="{00000000-0005-0000-0000-000098960000}"/>
    <cellStyle name="Comma 7 2 4 13" xfId="35272" xr:uid="{00000000-0005-0000-0000-000099960000}"/>
    <cellStyle name="Comma 7 2 4 14" xfId="36955" xr:uid="{00000000-0005-0000-0000-00009A960000}"/>
    <cellStyle name="Comma 7 2 4 15" xfId="38638" xr:uid="{00000000-0005-0000-0000-00009B960000}"/>
    <cellStyle name="Comma 7 2 4 16" xfId="40321" xr:uid="{00000000-0005-0000-0000-00009C960000}"/>
    <cellStyle name="Comma 7 2 4 17" xfId="42004" xr:uid="{00000000-0005-0000-0000-00009D960000}"/>
    <cellStyle name="Comma 7 2 4 18" xfId="43687" xr:uid="{00000000-0005-0000-0000-00009E960000}"/>
    <cellStyle name="Comma 7 2 4 19" xfId="45370" xr:uid="{00000000-0005-0000-0000-00009F960000}"/>
    <cellStyle name="Comma 7 2 4 2" xfId="3291" xr:uid="{00000000-0005-0000-0000-0000A0960000}"/>
    <cellStyle name="Comma 7 2 4 2 2" xfId="18440" xr:uid="{00000000-0005-0000-0000-0000A1960000}"/>
    <cellStyle name="Comma 7 2 4 20" xfId="47053" xr:uid="{00000000-0005-0000-0000-0000A2960000}"/>
    <cellStyle name="Comma 7 2 4 21" xfId="48736" xr:uid="{00000000-0005-0000-0000-0000A3960000}"/>
    <cellStyle name="Comma 7 2 4 22" xfId="50419" xr:uid="{00000000-0005-0000-0000-0000A4960000}"/>
    <cellStyle name="Comma 7 2 4 23" xfId="52102" xr:uid="{00000000-0005-0000-0000-0000A5960000}"/>
    <cellStyle name="Comma 7 2 4 24" xfId="53785" xr:uid="{00000000-0005-0000-0000-0000A6960000}"/>
    <cellStyle name="Comma 7 2 4 25" xfId="55468" xr:uid="{00000000-0005-0000-0000-0000A7960000}"/>
    <cellStyle name="Comma 7 2 4 26" xfId="57151" xr:uid="{00000000-0005-0000-0000-0000A8960000}"/>
    <cellStyle name="Comma 7 2 4 27" xfId="58834" xr:uid="{00000000-0005-0000-0000-0000A9960000}"/>
    <cellStyle name="Comma 7 2 4 28" xfId="60517" xr:uid="{00000000-0005-0000-0000-0000AA960000}"/>
    <cellStyle name="Comma 7 2 4 29" xfId="62200" xr:uid="{00000000-0005-0000-0000-0000AB960000}"/>
    <cellStyle name="Comma 7 2 4 3" xfId="4975" xr:uid="{00000000-0005-0000-0000-0000AC960000}"/>
    <cellStyle name="Comma 7 2 4 3 2" xfId="20124" xr:uid="{00000000-0005-0000-0000-0000AD960000}"/>
    <cellStyle name="Comma 7 2 4 30" xfId="63883" xr:uid="{00000000-0005-0000-0000-0000AE960000}"/>
    <cellStyle name="Comma 7 2 4 4" xfId="6658" xr:uid="{00000000-0005-0000-0000-0000AF960000}"/>
    <cellStyle name="Comma 7 2 4 4 2" xfId="21807" xr:uid="{00000000-0005-0000-0000-0000B0960000}"/>
    <cellStyle name="Comma 7 2 4 5" xfId="8341" xr:uid="{00000000-0005-0000-0000-0000B1960000}"/>
    <cellStyle name="Comma 7 2 4 5 2" xfId="23490" xr:uid="{00000000-0005-0000-0000-0000B2960000}"/>
    <cellStyle name="Comma 7 2 4 6" xfId="10024" xr:uid="{00000000-0005-0000-0000-0000B3960000}"/>
    <cellStyle name="Comma 7 2 4 6 2" xfId="25173" xr:uid="{00000000-0005-0000-0000-0000B4960000}"/>
    <cellStyle name="Comma 7 2 4 7" xfId="11707" xr:uid="{00000000-0005-0000-0000-0000B5960000}"/>
    <cellStyle name="Comma 7 2 4 7 2" xfId="26856" xr:uid="{00000000-0005-0000-0000-0000B6960000}"/>
    <cellStyle name="Comma 7 2 4 8" xfId="13391" xr:uid="{00000000-0005-0000-0000-0000B7960000}"/>
    <cellStyle name="Comma 7 2 4 8 2" xfId="28540" xr:uid="{00000000-0005-0000-0000-0000B8960000}"/>
    <cellStyle name="Comma 7 2 4 9" xfId="15074" xr:uid="{00000000-0005-0000-0000-0000B9960000}"/>
    <cellStyle name="Comma 7 2 4 9 2" xfId="30223" xr:uid="{00000000-0005-0000-0000-0000BA960000}"/>
    <cellStyle name="Comma 7 2 5" xfId="2029" xr:uid="{00000000-0005-0000-0000-0000BB960000}"/>
    <cellStyle name="Comma 7 2 5 2" xfId="17178" xr:uid="{00000000-0005-0000-0000-0000BC960000}"/>
    <cellStyle name="Comma 7 2 6" xfId="3713" xr:uid="{00000000-0005-0000-0000-0000BD960000}"/>
    <cellStyle name="Comma 7 2 6 2" xfId="18862" xr:uid="{00000000-0005-0000-0000-0000BE960000}"/>
    <cellStyle name="Comma 7 2 7" xfId="5396" xr:uid="{00000000-0005-0000-0000-0000BF960000}"/>
    <cellStyle name="Comma 7 2 7 2" xfId="20545" xr:uid="{00000000-0005-0000-0000-0000C0960000}"/>
    <cellStyle name="Comma 7 2 8" xfId="7079" xr:uid="{00000000-0005-0000-0000-0000C1960000}"/>
    <cellStyle name="Comma 7 2 8 2" xfId="22228" xr:uid="{00000000-0005-0000-0000-0000C2960000}"/>
    <cellStyle name="Comma 7 2 9" xfId="8762" xr:uid="{00000000-0005-0000-0000-0000C3960000}"/>
    <cellStyle name="Comma 7 2 9 2" xfId="23911" xr:uid="{00000000-0005-0000-0000-0000C4960000}"/>
    <cellStyle name="Comma 7 20" xfId="38849" xr:uid="{00000000-0005-0000-0000-0000C5960000}"/>
    <cellStyle name="Comma 7 21" xfId="40532" xr:uid="{00000000-0005-0000-0000-0000C6960000}"/>
    <cellStyle name="Comma 7 22" xfId="42215" xr:uid="{00000000-0005-0000-0000-0000C7960000}"/>
    <cellStyle name="Comma 7 23" xfId="43898" xr:uid="{00000000-0005-0000-0000-0000C8960000}"/>
    <cellStyle name="Comma 7 24" xfId="45581" xr:uid="{00000000-0005-0000-0000-0000C9960000}"/>
    <cellStyle name="Comma 7 25" xfId="47264" xr:uid="{00000000-0005-0000-0000-0000CA960000}"/>
    <cellStyle name="Comma 7 26" xfId="48947" xr:uid="{00000000-0005-0000-0000-0000CB960000}"/>
    <cellStyle name="Comma 7 27" xfId="50630" xr:uid="{00000000-0005-0000-0000-0000CC960000}"/>
    <cellStyle name="Comma 7 28" xfId="52313" xr:uid="{00000000-0005-0000-0000-0000CD960000}"/>
    <cellStyle name="Comma 7 29" xfId="53996" xr:uid="{00000000-0005-0000-0000-0000CE960000}"/>
    <cellStyle name="Comma 7 3" xfId="556" xr:uid="{00000000-0005-0000-0000-0000CF960000}"/>
    <cellStyle name="Comma 7 3 10" xfId="15705" xr:uid="{00000000-0005-0000-0000-0000D0960000}"/>
    <cellStyle name="Comma 7 3 11" xfId="30854" xr:uid="{00000000-0005-0000-0000-0000D1960000}"/>
    <cellStyle name="Comma 7 3 12" xfId="32537" xr:uid="{00000000-0005-0000-0000-0000D2960000}"/>
    <cellStyle name="Comma 7 3 13" xfId="34220" xr:uid="{00000000-0005-0000-0000-0000D3960000}"/>
    <cellStyle name="Comma 7 3 14" xfId="35903" xr:uid="{00000000-0005-0000-0000-0000D4960000}"/>
    <cellStyle name="Comma 7 3 15" xfId="37586" xr:uid="{00000000-0005-0000-0000-0000D5960000}"/>
    <cellStyle name="Comma 7 3 16" xfId="39269" xr:uid="{00000000-0005-0000-0000-0000D6960000}"/>
    <cellStyle name="Comma 7 3 17" xfId="40952" xr:uid="{00000000-0005-0000-0000-0000D7960000}"/>
    <cellStyle name="Comma 7 3 18" xfId="42635" xr:uid="{00000000-0005-0000-0000-0000D8960000}"/>
    <cellStyle name="Comma 7 3 19" xfId="44318" xr:uid="{00000000-0005-0000-0000-0000D9960000}"/>
    <cellStyle name="Comma 7 3 2" xfId="2239" xr:uid="{00000000-0005-0000-0000-0000DA960000}"/>
    <cellStyle name="Comma 7 3 2 2" xfId="17388" xr:uid="{00000000-0005-0000-0000-0000DB960000}"/>
    <cellStyle name="Comma 7 3 20" xfId="46001" xr:uid="{00000000-0005-0000-0000-0000DC960000}"/>
    <cellStyle name="Comma 7 3 21" xfId="47684" xr:uid="{00000000-0005-0000-0000-0000DD960000}"/>
    <cellStyle name="Comma 7 3 22" xfId="49367" xr:uid="{00000000-0005-0000-0000-0000DE960000}"/>
    <cellStyle name="Comma 7 3 23" xfId="51050" xr:uid="{00000000-0005-0000-0000-0000DF960000}"/>
    <cellStyle name="Comma 7 3 24" xfId="52733" xr:uid="{00000000-0005-0000-0000-0000E0960000}"/>
    <cellStyle name="Comma 7 3 25" xfId="54416" xr:uid="{00000000-0005-0000-0000-0000E1960000}"/>
    <cellStyle name="Comma 7 3 26" xfId="56099" xr:uid="{00000000-0005-0000-0000-0000E2960000}"/>
    <cellStyle name="Comma 7 3 27" xfId="57782" xr:uid="{00000000-0005-0000-0000-0000E3960000}"/>
    <cellStyle name="Comma 7 3 28" xfId="59465" xr:uid="{00000000-0005-0000-0000-0000E4960000}"/>
    <cellStyle name="Comma 7 3 29" xfId="61148" xr:uid="{00000000-0005-0000-0000-0000E5960000}"/>
    <cellStyle name="Comma 7 3 3" xfId="3923" xr:uid="{00000000-0005-0000-0000-0000E6960000}"/>
    <cellStyle name="Comma 7 3 3 2" xfId="19072" xr:uid="{00000000-0005-0000-0000-0000E7960000}"/>
    <cellStyle name="Comma 7 3 30" xfId="62831" xr:uid="{00000000-0005-0000-0000-0000E8960000}"/>
    <cellStyle name="Comma 7 3 4" xfId="5606" xr:uid="{00000000-0005-0000-0000-0000E9960000}"/>
    <cellStyle name="Comma 7 3 4 2" xfId="20755" xr:uid="{00000000-0005-0000-0000-0000EA960000}"/>
    <cellStyle name="Comma 7 3 5" xfId="7289" xr:uid="{00000000-0005-0000-0000-0000EB960000}"/>
    <cellStyle name="Comma 7 3 5 2" xfId="22438" xr:uid="{00000000-0005-0000-0000-0000EC960000}"/>
    <cellStyle name="Comma 7 3 6" xfId="8972" xr:uid="{00000000-0005-0000-0000-0000ED960000}"/>
    <cellStyle name="Comma 7 3 6 2" xfId="24121" xr:uid="{00000000-0005-0000-0000-0000EE960000}"/>
    <cellStyle name="Comma 7 3 7" xfId="10655" xr:uid="{00000000-0005-0000-0000-0000EF960000}"/>
    <cellStyle name="Comma 7 3 7 2" xfId="25804" xr:uid="{00000000-0005-0000-0000-0000F0960000}"/>
    <cellStyle name="Comma 7 3 8" xfId="12339" xr:uid="{00000000-0005-0000-0000-0000F1960000}"/>
    <cellStyle name="Comma 7 3 8 2" xfId="27488" xr:uid="{00000000-0005-0000-0000-0000F2960000}"/>
    <cellStyle name="Comma 7 3 9" xfId="14022" xr:uid="{00000000-0005-0000-0000-0000F3960000}"/>
    <cellStyle name="Comma 7 3 9 2" xfId="29171" xr:uid="{00000000-0005-0000-0000-0000F4960000}"/>
    <cellStyle name="Comma 7 30" xfId="55679" xr:uid="{00000000-0005-0000-0000-0000F5960000}"/>
    <cellStyle name="Comma 7 31" xfId="57362" xr:uid="{00000000-0005-0000-0000-0000F6960000}"/>
    <cellStyle name="Comma 7 32" xfId="59045" xr:uid="{00000000-0005-0000-0000-0000F7960000}"/>
    <cellStyle name="Comma 7 33" xfId="60728" xr:uid="{00000000-0005-0000-0000-0000F8960000}"/>
    <cellStyle name="Comma 7 34" xfId="62411" xr:uid="{00000000-0005-0000-0000-0000F9960000}"/>
    <cellStyle name="Comma 7 4" xfId="977" xr:uid="{00000000-0005-0000-0000-0000FA960000}"/>
    <cellStyle name="Comma 7 4 10" xfId="16126" xr:uid="{00000000-0005-0000-0000-0000FB960000}"/>
    <cellStyle name="Comma 7 4 11" xfId="31275" xr:uid="{00000000-0005-0000-0000-0000FC960000}"/>
    <cellStyle name="Comma 7 4 12" xfId="32958" xr:uid="{00000000-0005-0000-0000-0000FD960000}"/>
    <cellStyle name="Comma 7 4 13" xfId="34641" xr:uid="{00000000-0005-0000-0000-0000FE960000}"/>
    <cellStyle name="Comma 7 4 14" xfId="36324" xr:uid="{00000000-0005-0000-0000-0000FF960000}"/>
    <cellStyle name="Comma 7 4 15" xfId="38007" xr:uid="{00000000-0005-0000-0000-000000970000}"/>
    <cellStyle name="Comma 7 4 16" xfId="39690" xr:uid="{00000000-0005-0000-0000-000001970000}"/>
    <cellStyle name="Comma 7 4 17" xfId="41373" xr:uid="{00000000-0005-0000-0000-000002970000}"/>
    <cellStyle name="Comma 7 4 18" xfId="43056" xr:uid="{00000000-0005-0000-0000-000003970000}"/>
    <cellStyle name="Comma 7 4 19" xfId="44739" xr:uid="{00000000-0005-0000-0000-000004970000}"/>
    <cellStyle name="Comma 7 4 2" xfId="2660" xr:uid="{00000000-0005-0000-0000-000005970000}"/>
    <cellStyle name="Comma 7 4 2 2" xfId="17809" xr:uid="{00000000-0005-0000-0000-000006970000}"/>
    <cellStyle name="Comma 7 4 20" xfId="46422" xr:uid="{00000000-0005-0000-0000-000007970000}"/>
    <cellStyle name="Comma 7 4 21" xfId="48105" xr:uid="{00000000-0005-0000-0000-000008970000}"/>
    <cellStyle name="Comma 7 4 22" xfId="49788" xr:uid="{00000000-0005-0000-0000-000009970000}"/>
    <cellStyle name="Comma 7 4 23" xfId="51471" xr:uid="{00000000-0005-0000-0000-00000A970000}"/>
    <cellStyle name="Comma 7 4 24" xfId="53154" xr:uid="{00000000-0005-0000-0000-00000B970000}"/>
    <cellStyle name="Comma 7 4 25" xfId="54837" xr:uid="{00000000-0005-0000-0000-00000C970000}"/>
    <cellStyle name="Comma 7 4 26" xfId="56520" xr:uid="{00000000-0005-0000-0000-00000D970000}"/>
    <cellStyle name="Comma 7 4 27" xfId="58203" xr:uid="{00000000-0005-0000-0000-00000E970000}"/>
    <cellStyle name="Comma 7 4 28" xfId="59886" xr:uid="{00000000-0005-0000-0000-00000F970000}"/>
    <cellStyle name="Comma 7 4 29" xfId="61569" xr:uid="{00000000-0005-0000-0000-000010970000}"/>
    <cellStyle name="Comma 7 4 3" xfId="4344" xr:uid="{00000000-0005-0000-0000-000011970000}"/>
    <cellStyle name="Comma 7 4 3 2" xfId="19493" xr:uid="{00000000-0005-0000-0000-000012970000}"/>
    <cellStyle name="Comma 7 4 30" xfId="63252" xr:uid="{00000000-0005-0000-0000-000013970000}"/>
    <cellStyle name="Comma 7 4 4" xfId="6027" xr:uid="{00000000-0005-0000-0000-000014970000}"/>
    <cellStyle name="Comma 7 4 4 2" xfId="21176" xr:uid="{00000000-0005-0000-0000-000015970000}"/>
    <cellStyle name="Comma 7 4 5" xfId="7710" xr:uid="{00000000-0005-0000-0000-000016970000}"/>
    <cellStyle name="Comma 7 4 5 2" xfId="22859" xr:uid="{00000000-0005-0000-0000-000017970000}"/>
    <cellStyle name="Comma 7 4 6" xfId="9393" xr:uid="{00000000-0005-0000-0000-000018970000}"/>
    <cellStyle name="Comma 7 4 6 2" xfId="24542" xr:uid="{00000000-0005-0000-0000-000019970000}"/>
    <cellStyle name="Comma 7 4 7" xfId="11076" xr:uid="{00000000-0005-0000-0000-00001A970000}"/>
    <cellStyle name="Comma 7 4 7 2" xfId="26225" xr:uid="{00000000-0005-0000-0000-00001B970000}"/>
    <cellStyle name="Comma 7 4 8" xfId="12760" xr:uid="{00000000-0005-0000-0000-00001C970000}"/>
    <cellStyle name="Comma 7 4 8 2" xfId="27909" xr:uid="{00000000-0005-0000-0000-00001D970000}"/>
    <cellStyle name="Comma 7 4 9" xfId="14443" xr:uid="{00000000-0005-0000-0000-00001E970000}"/>
    <cellStyle name="Comma 7 4 9 2" xfId="29592" xr:uid="{00000000-0005-0000-0000-00001F970000}"/>
    <cellStyle name="Comma 7 5" xfId="1398" xr:uid="{00000000-0005-0000-0000-000020970000}"/>
    <cellStyle name="Comma 7 5 10" xfId="16547" xr:uid="{00000000-0005-0000-0000-000021970000}"/>
    <cellStyle name="Comma 7 5 11" xfId="31696" xr:uid="{00000000-0005-0000-0000-000022970000}"/>
    <cellStyle name="Comma 7 5 12" xfId="33379" xr:uid="{00000000-0005-0000-0000-000023970000}"/>
    <cellStyle name="Comma 7 5 13" xfId="35062" xr:uid="{00000000-0005-0000-0000-000024970000}"/>
    <cellStyle name="Comma 7 5 14" xfId="36745" xr:uid="{00000000-0005-0000-0000-000025970000}"/>
    <cellStyle name="Comma 7 5 15" xfId="38428" xr:uid="{00000000-0005-0000-0000-000026970000}"/>
    <cellStyle name="Comma 7 5 16" xfId="40111" xr:uid="{00000000-0005-0000-0000-000027970000}"/>
    <cellStyle name="Comma 7 5 17" xfId="41794" xr:uid="{00000000-0005-0000-0000-000028970000}"/>
    <cellStyle name="Comma 7 5 18" xfId="43477" xr:uid="{00000000-0005-0000-0000-000029970000}"/>
    <cellStyle name="Comma 7 5 19" xfId="45160" xr:uid="{00000000-0005-0000-0000-00002A970000}"/>
    <cellStyle name="Comma 7 5 2" xfId="3081" xr:uid="{00000000-0005-0000-0000-00002B970000}"/>
    <cellStyle name="Comma 7 5 2 2" xfId="18230" xr:uid="{00000000-0005-0000-0000-00002C970000}"/>
    <cellStyle name="Comma 7 5 20" xfId="46843" xr:uid="{00000000-0005-0000-0000-00002D970000}"/>
    <cellStyle name="Comma 7 5 21" xfId="48526" xr:uid="{00000000-0005-0000-0000-00002E970000}"/>
    <cellStyle name="Comma 7 5 22" xfId="50209" xr:uid="{00000000-0005-0000-0000-00002F970000}"/>
    <cellStyle name="Comma 7 5 23" xfId="51892" xr:uid="{00000000-0005-0000-0000-000030970000}"/>
    <cellStyle name="Comma 7 5 24" xfId="53575" xr:uid="{00000000-0005-0000-0000-000031970000}"/>
    <cellStyle name="Comma 7 5 25" xfId="55258" xr:uid="{00000000-0005-0000-0000-000032970000}"/>
    <cellStyle name="Comma 7 5 26" xfId="56941" xr:uid="{00000000-0005-0000-0000-000033970000}"/>
    <cellStyle name="Comma 7 5 27" xfId="58624" xr:uid="{00000000-0005-0000-0000-000034970000}"/>
    <cellStyle name="Comma 7 5 28" xfId="60307" xr:uid="{00000000-0005-0000-0000-000035970000}"/>
    <cellStyle name="Comma 7 5 29" xfId="61990" xr:uid="{00000000-0005-0000-0000-000036970000}"/>
    <cellStyle name="Comma 7 5 3" xfId="4765" xr:uid="{00000000-0005-0000-0000-000037970000}"/>
    <cellStyle name="Comma 7 5 3 2" xfId="19914" xr:uid="{00000000-0005-0000-0000-000038970000}"/>
    <cellStyle name="Comma 7 5 30" xfId="63673" xr:uid="{00000000-0005-0000-0000-000039970000}"/>
    <cellStyle name="Comma 7 5 4" xfId="6448" xr:uid="{00000000-0005-0000-0000-00003A970000}"/>
    <cellStyle name="Comma 7 5 4 2" xfId="21597" xr:uid="{00000000-0005-0000-0000-00003B970000}"/>
    <cellStyle name="Comma 7 5 5" xfId="8131" xr:uid="{00000000-0005-0000-0000-00003C970000}"/>
    <cellStyle name="Comma 7 5 5 2" xfId="23280" xr:uid="{00000000-0005-0000-0000-00003D970000}"/>
    <cellStyle name="Comma 7 5 6" xfId="9814" xr:uid="{00000000-0005-0000-0000-00003E970000}"/>
    <cellStyle name="Comma 7 5 6 2" xfId="24963" xr:uid="{00000000-0005-0000-0000-00003F970000}"/>
    <cellStyle name="Comma 7 5 7" xfId="11497" xr:uid="{00000000-0005-0000-0000-000040970000}"/>
    <cellStyle name="Comma 7 5 7 2" xfId="26646" xr:uid="{00000000-0005-0000-0000-000041970000}"/>
    <cellStyle name="Comma 7 5 8" xfId="13181" xr:uid="{00000000-0005-0000-0000-000042970000}"/>
    <cellStyle name="Comma 7 5 8 2" xfId="28330" xr:uid="{00000000-0005-0000-0000-000043970000}"/>
    <cellStyle name="Comma 7 5 9" xfId="14864" xr:uid="{00000000-0005-0000-0000-000044970000}"/>
    <cellStyle name="Comma 7 5 9 2" xfId="30013" xr:uid="{00000000-0005-0000-0000-000045970000}"/>
    <cellStyle name="Comma 7 6" xfId="1819" xr:uid="{00000000-0005-0000-0000-000046970000}"/>
    <cellStyle name="Comma 7 6 2" xfId="16968" xr:uid="{00000000-0005-0000-0000-000047970000}"/>
    <cellStyle name="Comma 7 7" xfId="3503" xr:uid="{00000000-0005-0000-0000-000048970000}"/>
    <cellStyle name="Comma 7 7 2" xfId="18652" xr:uid="{00000000-0005-0000-0000-000049970000}"/>
    <cellStyle name="Comma 7 8" xfId="5186" xr:uid="{00000000-0005-0000-0000-00004A970000}"/>
    <cellStyle name="Comma 7 8 2" xfId="20335" xr:uid="{00000000-0005-0000-0000-00004B970000}"/>
    <cellStyle name="Comma 7 9" xfId="6869" xr:uid="{00000000-0005-0000-0000-00004C970000}"/>
    <cellStyle name="Comma 7 9 2" xfId="22018" xr:uid="{00000000-0005-0000-0000-00004D970000}"/>
    <cellStyle name="Comma 8" xfId="241" xr:uid="{00000000-0005-0000-0000-00004E970000}"/>
    <cellStyle name="Comma 8 10" xfId="10340" xr:uid="{00000000-0005-0000-0000-00004F970000}"/>
    <cellStyle name="Comma 8 10 2" xfId="25489" xr:uid="{00000000-0005-0000-0000-000050970000}"/>
    <cellStyle name="Comma 8 11" xfId="12024" xr:uid="{00000000-0005-0000-0000-000051970000}"/>
    <cellStyle name="Comma 8 11 2" xfId="27173" xr:uid="{00000000-0005-0000-0000-000052970000}"/>
    <cellStyle name="Comma 8 12" xfId="13707" xr:uid="{00000000-0005-0000-0000-000053970000}"/>
    <cellStyle name="Comma 8 12 2" xfId="28856" xr:uid="{00000000-0005-0000-0000-000054970000}"/>
    <cellStyle name="Comma 8 13" xfId="15390" xr:uid="{00000000-0005-0000-0000-000055970000}"/>
    <cellStyle name="Comma 8 14" xfId="30539" xr:uid="{00000000-0005-0000-0000-000056970000}"/>
    <cellStyle name="Comma 8 15" xfId="32222" xr:uid="{00000000-0005-0000-0000-000057970000}"/>
    <cellStyle name="Comma 8 16" xfId="33905" xr:uid="{00000000-0005-0000-0000-000058970000}"/>
    <cellStyle name="Comma 8 17" xfId="35588" xr:uid="{00000000-0005-0000-0000-000059970000}"/>
    <cellStyle name="Comma 8 18" xfId="37271" xr:uid="{00000000-0005-0000-0000-00005A970000}"/>
    <cellStyle name="Comma 8 19" xfId="38954" xr:uid="{00000000-0005-0000-0000-00005B970000}"/>
    <cellStyle name="Comma 8 2" xfId="661" xr:uid="{00000000-0005-0000-0000-00005C970000}"/>
    <cellStyle name="Comma 8 2 10" xfId="15810" xr:uid="{00000000-0005-0000-0000-00005D970000}"/>
    <cellStyle name="Comma 8 2 11" xfId="30959" xr:uid="{00000000-0005-0000-0000-00005E970000}"/>
    <cellStyle name="Comma 8 2 12" xfId="32642" xr:uid="{00000000-0005-0000-0000-00005F970000}"/>
    <cellStyle name="Comma 8 2 13" xfId="34325" xr:uid="{00000000-0005-0000-0000-000060970000}"/>
    <cellStyle name="Comma 8 2 14" xfId="36008" xr:uid="{00000000-0005-0000-0000-000061970000}"/>
    <cellStyle name="Comma 8 2 15" xfId="37691" xr:uid="{00000000-0005-0000-0000-000062970000}"/>
    <cellStyle name="Comma 8 2 16" xfId="39374" xr:uid="{00000000-0005-0000-0000-000063970000}"/>
    <cellStyle name="Comma 8 2 17" xfId="41057" xr:uid="{00000000-0005-0000-0000-000064970000}"/>
    <cellStyle name="Comma 8 2 18" xfId="42740" xr:uid="{00000000-0005-0000-0000-000065970000}"/>
    <cellStyle name="Comma 8 2 19" xfId="44423" xr:uid="{00000000-0005-0000-0000-000066970000}"/>
    <cellStyle name="Comma 8 2 2" xfId="2344" xr:uid="{00000000-0005-0000-0000-000067970000}"/>
    <cellStyle name="Comma 8 2 2 2" xfId="17493" xr:uid="{00000000-0005-0000-0000-000068970000}"/>
    <cellStyle name="Comma 8 2 20" xfId="46106" xr:uid="{00000000-0005-0000-0000-000069970000}"/>
    <cellStyle name="Comma 8 2 21" xfId="47789" xr:uid="{00000000-0005-0000-0000-00006A970000}"/>
    <cellStyle name="Comma 8 2 22" xfId="49472" xr:uid="{00000000-0005-0000-0000-00006B970000}"/>
    <cellStyle name="Comma 8 2 23" xfId="51155" xr:uid="{00000000-0005-0000-0000-00006C970000}"/>
    <cellStyle name="Comma 8 2 24" xfId="52838" xr:uid="{00000000-0005-0000-0000-00006D970000}"/>
    <cellStyle name="Comma 8 2 25" xfId="54521" xr:uid="{00000000-0005-0000-0000-00006E970000}"/>
    <cellStyle name="Comma 8 2 26" xfId="56204" xr:uid="{00000000-0005-0000-0000-00006F970000}"/>
    <cellStyle name="Comma 8 2 27" xfId="57887" xr:uid="{00000000-0005-0000-0000-000070970000}"/>
    <cellStyle name="Comma 8 2 28" xfId="59570" xr:uid="{00000000-0005-0000-0000-000071970000}"/>
    <cellStyle name="Comma 8 2 29" xfId="61253" xr:uid="{00000000-0005-0000-0000-000072970000}"/>
    <cellStyle name="Comma 8 2 3" xfId="4028" xr:uid="{00000000-0005-0000-0000-000073970000}"/>
    <cellStyle name="Comma 8 2 3 2" xfId="19177" xr:uid="{00000000-0005-0000-0000-000074970000}"/>
    <cellStyle name="Comma 8 2 30" xfId="62936" xr:uid="{00000000-0005-0000-0000-000075970000}"/>
    <cellStyle name="Comma 8 2 4" xfId="5711" xr:uid="{00000000-0005-0000-0000-000076970000}"/>
    <cellStyle name="Comma 8 2 4 2" xfId="20860" xr:uid="{00000000-0005-0000-0000-000077970000}"/>
    <cellStyle name="Comma 8 2 5" xfId="7394" xr:uid="{00000000-0005-0000-0000-000078970000}"/>
    <cellStyle name="Comma 8 2 5 2" xfId="22543" xr:uid="{00000000-0005-0000-0000-000079970000}"/>
    <cellStyle name="Comma 8 2 6" xfId="9077" xr:uid="{00000000-0005-0000-0000-00007A970000}"/>
    <cellStyle name="Comma 8 2 6 2" xfId="24226" xr:uid="{00000000-0005-0000-0000-00007B970000}"/>
    <cellStyle name="Comma 8 2 7" xfId="10760" xr:uid="{00000000-0005-0000-0000-00007C970000}"/>
    <cellStyle name="Comma 8 2 7 2" xfId="25909" xr:uid="{00000000-0005-0000-0000-00007D970000}"/>
    <cellStyle name="Comma 8 2 8" xfId="12444" xr:uid="{00000000-0005-0000-0000-00007E970000}"/>
    <cellStyle name="Comma 8 2 8 2" xfId="27593" xr:uid="{00000000-0005-0000-0000-00007F970000}"/>
    <cellStyle name="Comma 8 2 9" xfId="14127" xr:uid="{00000000-0005-0000-0000-000080970000}"/>
    <cellStyle name="Comma 8 2 9 2" xfId="29276" xr:uid="{00000000-0005-0000-0000-000081970000}"/>
    <cellStyle name="Comma 8 20" xfId="40637" xr:uid="{00000000-0005-0000-0000-000082970000}"/>
    <cellStyle name="Comma 8 21" xfId="42320" xr:uid="{00000000-0005-0000-0000-000083970000}"/>
    <cellStyle name="Comma 8 22" xfId="44003" xr:uid="{00000000-0005-0000-0000-000084970000}"/>
    <cellStyle name="Comma 8 23" xfId="45686" xr:uid="{00000000-0005-0000-0000-000085970000}"/>
    <cellStyle name="Comma 8 24" xfId="47369" xr:uid="{00000000-0005-0000-0000-000086970000}"/>
    <cellStyle name="Comma 8 25" xfId="49052" xr:uid="{00000000-0005-0000-0000-000087970000}"/>
    <cellStyle name="Comma 8 26" xfId="50735" xr:uid="{00000000-0005-0000-0000-000088970000}"/>
    <cellStyle name="Comma 8 27" xfId="52418" xr:uid="{00000000-0005-0000-0000-000089970000}"/>
    <cellStyle name="Comma 8 28" xfId="54101" xr:uid="{00000000-0005-0000-0000-00008A970000}"/>
    <cellStyle name="Comma 8 29" xfId="55784" xr:uid="{00000000-0005-0000-0000-00008B970000}"/>
    <cellStyle name="Comma 8 3" xfId="1082" xr:uid="{00000000-0005-0000-0000-00008C970000}"/>
    <cellStyle name="Comma 8 3 10" xfId="16231" xr:uid="{00000000-0005-0000-0000-00008D970000}"/>
    <cellStyle name="Comma 8 3 11" xfId="31380" xr:uid="{00000000-0005-0000-0000-00008E970000}"/>
    <cellStyle name="Comma 8 3 12" xfId="33063" xr:uid="{00000000-0005-0000-0000-00008F970000}"/>
    <cellStyle name="Comma 8 3 13" xfId="34746" xr:uid="{00000000-0005-0000-0000-000090970000}"/>
    <cellStyle name="Comma 8 3 14" xfId="36429" xr:uid="{00000000-0005-0000-0000-000091970000}"/>
    <cellStyle name="Comma 8 3 15" xfId="38112" xr:uid="{00000000-0005-0000-0000-000092970000}"/>
    <cellStyle name="Comma 8 3 16" xfId="39795" xr:uid="{00000000-0005-0000-0000-000093970000}"/>
    <cellStyle name="Comma 8 3 17" xfId="41478" xr:uid="{00000000-0005-0000-0000-000094970000}"/>
    <cellStyle name="Comma 8 3 18" xfId="43161" xr:uid="{00000000-0005-0000-0000-000095970000}"/>
    <cellStyle name="Comma 8 3 19" xfId="44844" xr:uid="{00000000-0005-0000-0000-000096970000}"/>
    <cellStyle name="Comma 8 3 2" xfId="2765" xr:uid="{00000000-0005-0000-0000-000097970000}"/>
    <cellStyle name="Comma 8 3 2 2" xfId="17914" xr:uid="{00000000-0005-0000-0000-000098970000}"/>
    <cellStyle name="Comma 8 3 20" xfId="46527" xr:uid="{00000000-0005-0000-0000-000099970000}"/>
    <cellStyle name="Comma 8 3 21" xfId="48210" xr:uid="{00000000-0005-0000-0000-00009A970000}"/>
    <cellStyle name="Comma 8 3 22" xfId="49893" xr:uid="{00000000-0005-0000-0000-00009B970000}"/>
    <cellStyle name="Comma 8 3 23" xfId="51576" xr:uid="{00000000-0005-0000-0000-00009C970000}"/>
    <cellStyle name="Comma 8 3 24" xfId="53259" xr:uid="{00000000-0005-0000-0000-00009D970000}"/>
    <cellStyle name="Comma 8 3 25" xfId="54942" xr:uid="{00000000-0005-0000-0000-00009E970000}"/>
    <cellStyle name="Comma 8 3 26" xfId="56625" xr:uid="{00000000-0005-0000-0000-00009F970000}"/>
    <cellStyle name="Comma 8 3 27" xfId="58308" xr:uid="{00000000-0005-0000-0000-0000A0970000}"/>
    <cellStyle name="Comma 8 3 28" xfId="59991" xr:uid="{00000000-0005-0000-0000-0000A1970000}"/>
    <cellStyle name="Comma 8 3 29" xfId="61674" xr:uid="{00000000-0005-0000-0000-0000A2970000}"/>
    <cellStyle name="Comma 8 3 3" xfId="4449" xr:uid="{00000000-0005-0000-0000-0000A3970000}"/>
    <cellStyle name="Comma 8 3 3 2" xfId="19598" xr:uid="{00000000-0005-0000-0000-0000A4970000}"/>
    <cellStyle name="Comma 8 3 30" xfId="63357" xr:uid="{00000000-0005-0000-0000-0000A5970000}"/>
    <cellStyle name="Comma 8 3 4" xfId="6132" xr:uid="{00000000-0005-0000-0000-0000A6970000}"/>
    <cellStyle name="Comma 8 3 4 2" xfId="21281" xr:uid="{00000000-0005-0000-0000-0000A7970000}"/>
    <cellStyle name="Comma 8 3 5" xfId="7815" xr:uid="{00000000-0005-0000-0000-0000A8970000}"/>
    <cellStyle name="Comma 8 3 5 2" xfId="22964" xr:uid="{00000000-0005-0000-0000-0000A9970000}"/>
    <cellStyle name="Comma 8 3 6" xfId="9498" xr:uid="{00000000-0005-0000-0000-0000AA970000}"/>
    <cellStyle name="Comma 8 3 6 2" xfId="24647" xr:uid="{00000000-0005-0000-0000-0000AB970000}"/>
    <cellStyle name="Comma 8 3 7" xfId="11181" xr:uid="{00000000-0005-0000-0000-0000AC970000}"/>
    <cellStyle name="Comma 8 3 7 2" xfId="26330" xr:uid="{00000000-0005-0000-0000-0000AD970000}"/>
    <cellStyle name="Comma 8 3 8" xfId="12865" xr:uid="{00000000-0005-0000-0000-0000AE970000}"/>
    <cellStyle name="Comma 8 3 8 2" xfId="28014" xr:uid="{00000000-0005-0000-0000-0000AF970000}"/>
    <cellStyle name="Comma 8 3 9" xfId="14548" xr:uid="{00000000-0005-0000-0000-0000B0970000}"/>
    <cellStyle name="Comma 8 3 9 2" xfId="29697" xr:uid="{00000000-0005-0000-0000-0000B1970000}"/>
    <cellStyle name="Comma 8 30" xfId="57467" xr:uid="{00000000-0005-0000-0000-0000B2970000}"/>
    <cellStyle name="Comma 8 31" xfId="59150" xr:uid="{00000000-0005-0000-0000-0000B3970000}"/>
    <cellStyle name="Comma 8 32" xfId="60833" xr:uid="{00000000-0005-0000-0000-0000B4970000}"/>
    <cellStyle name="Comma 8 33" xfId="62516" xr:uid="{00000000-0005-0000-0000-0000B5970000}"/>
    <cellStyle name="Comma 8 4" xfId="1503" xr:uid="{00000000-0005-0000-0000-0000B6970000}"/>
    <cellStyle name="Comma 8 4 10" xfId="16652" xr:uid="{00000000-0005-0000-0000-0000B7970000}"/>
    <cellStyle name="Comma 8 4 11" xfId="31801" xr:uid="{00000000-0005-0000-0000-0000B8970000}"/>
    <cellStyle name="Comma 8 4 12" xfId="33484" xr:uid="{00000000-0005-0000-0000-0000B9970000}"/>
    <cellStyle name="Comma 8 4 13" xfId="35167" xr:uid="{00000000-0005-0000-0000-0000BA970000}"/>
    <cellStyle name="Comma 8 4 14" xfId="36850" xr:uid="{00000000-0005-0000-0000-0000BB970000}"/>
    <cellStyle name="Comma 8 4 15" xfId="38533" xr:uid="{00000000-0005-0000-0000-0000BC970000}"/>
    <cellStyle name="Comma 8 4 16" xfId="40216" xr:uid="{00000000-0005-0000-0000-0000BD970000}"/>
    <cellStyle name="Comma 8 4 17" xfId="41899" xr:uid="{00000000-0005-0000-0000-0000BE970000}"/>
    <cellStyle name="Comma 8 4 18" xfId="43582" xr:uid="{00000000-0005-0000-0000-0000BF970000}"/>
    <cellStyle name="Comma 8 4 19" xfId="45265" xr:uid="{00000000-0005-0000-0000-0000C0970000}"/>
    <cellStyle name="Comma 8 4 2" xfId="3186" xr:uid="{00000000-0005-0000-0000-0000C1970000}"/>
    <cellStyle name="Comma 8 4 2 2" xfId="18335" xr:uid="{00000000-0005-0000-0000-0000C2970000}"/>
    <cellStyle name="Comma 8 4 20" xfId="46948" xr:uid="{00000000-0005-0000-0000-0000C3970000}"/>
    <cellStyle name="Comma 8 4 21" xfId="48631" xr:uid="{00000000-0005-0000-0000-0000C4970000}"/>
    <cellStyle name="Comma 8 4 22" xfId="50314" xr:uid="{00000000-0005-0000-0000-0000C5970000}"/>
    <cellStyle name="Comma 8 4 23" xfId="51997" xr:uid="{00000000-0005-0000-0000-0000C6970000}"/>
    <cellStyle name="Comma 8 4 24" xfId="53680" xr:uid="{00000000-0005-0000-0000-0000C7970000}"/>
    <cellStyle name="Comma 8 4 25" xfId="55363" xr:uid="{00000000-0005-0000-0000-0000C8970000}"/>
    <cellStyle name="Comma 8 4 26" xfId="57046" xr:uid="{00000000-0005-0000-0000-0000C9970000}"/>
    <cellStyle name="Comma 8 4 27" xfId="58729" xr:uid="{00000000-0005-0000-0000-0000CA970000}"/>
    <cellStyle name="Comma 8 4 28" xfId="60412" xr:uid="{00000000-0005-0000-0000-0000CB970000}"/>
    <cellStyle name="Comma 8 4 29" xfId="62095" xr:uid="{00000000-0005-0000-0000-0000CC970000}"/>
    <cellStyle name="Comma 8 4 3" xfId="4870" xr:uid="{00000000-0005-0000-0000-0000CD970000}"/>
    <cellStyle name="Comma 8 4 3 2" xfId="20019" xr:uid="{00000000-0005-0000-0000-0000CE970000}"/>
    <cellStyle name="Comma 8 4 30" xfId="63778" xr:uid="{00000000-0005-0000-0000-0000CF970000}"/>
    <cellStyle name="Comma 8 4 4" xfId="6553" xr:uid="{00000000-0005-0000-0000-0000D0970000}"/>
    <cellStyle name="Comma 8 4 4 2" xfId="21702" xr:uid="{00000000-0005-0000-0000-0000D1970000}"/>
    <cellStyle name="Comma 8 4 5" xfId="8236" xr:uid="{00000000-0005-0000-0000-0000D2970000}"/>
    <cellStyle name="Comma 8 4 5 2" xfId="23385" xr:uid="{00000000-0005-0000-0000-0000D3970000}"/>
    <cellStyle name="Comma 8 4 6" xfId="9919" xr:uid="{00000000-0005-0000-0000-0000D4970000}"/>
    <cellStyle name="Comma 8 4 6 2" xfId="25068" xr:uid="{00000000-0005-0000-0000-0000D5970000}"/>
    <cellStyle name="Comma 8 4 7" xfId="11602" xr:uid="{00000000-0005-0000-0000-0000D6970000}"/>
    <cellStyle name="Comma 8 4 7 2" xfId="26751" xr:uid="{00000000-0005-0000-0000-0000D7970000}"/>
    <cellStyle name="Comma 8 4 8" xfId="13286" xr:uid="{00000000-0005-0000-0000-0000D8970000}"/>
    <cellStyle name="Comma 8 4 8 2" xfId="28435" xr:uid="{00000000-0005-0000-0000-0000D9970000}"/>
    <cellStyle name="Comma 8 4 9" xfId="14969" xr:uid="{00000000-0005-0000-0000-0000DA970000}"/>
    <cellStyle name="Comma 8 4 9 2" xfId="30118" xr:uid="{00000000-0005-0000-0000-0000DB970000}"/>
    <cellStyle name="Comma 8 5" xfId="1924" xr:uid="{00000000-0005-0000-0000-0000DC970000}"/>
    <cellStyle name="Comma 8 5 2" xfId="17073" xr:uid="{00000000-0005-0000-0000-0000DD970000}"/>
    <cellStyle name="Comma 8 6" xfId="3608" xr:uid="{00000000-0005-0000-0000-0000DE970000}"/>
    <cellStyle name="Comma 8 6 2" xfId="18757" xr:uid="{00000000-0005-0000-0000-0000DF970000}"/>
    <cellStyle name="Comma 8 7" xfId="5291" xr:uid="{00000000-0005-0000-0000-0000E0970000}"/>
    <cellStyle name="Comma 8 7 2" xfId="20440" xr:uid="{00000000-0005-0000-0000-0000E1970000}"/>
    <cellStyle name="Comma 8 8" xfId="6974" xr:uid="{00000000-0005-0000-0000-0000E2970000}"/>
    <cellStyle name="Comma 8 8 2" xfId="22123" xr:uid="{00000000-0005-0000-0000-0000E3970000}"/>
    <cellStyle name="Comma 8 9" xfId="8657" xr:uid="{00000000-0005-0000-0000-0000E4970000}"/>
    <cellStyle name="Comma 8 9 2" xfId="23806" xr:uid="{00000000-0005-0000-0000-0000E5970000}"/>
    <cellStyle name="Comma 9" xfId="451" xr:uid="{00000000-0005-0000-0000-0000E6970000}"/>
    <cellStyle name="Comma 9 10" xfId="15600" xr:uid="{00000000-0005-0000-0000-0000E7970000}"/>
    <cellStyle name="Comma 9 11" xfId="30749" xr:uid="{00000000-0005-0000-0000-0000E8970000}"/>
    <cellStyle name="Comma 9 12" xfId="32432" xr:uid="{00000000-0005-0000-0000-0000E9970000}"/>
    <cellStyle name="Comma 9 13" xfId="34115" xr:uid="{00000000-0005-0000-0000-0000EA970000}"/>
    <cellStyle name="Comma 9 14" xfId="35798" xr:uid="{00000000-0005-0000-0000-0000EB970000}"/>
    <cellStyle name="Comma 9 15" xfId="37481" xr:uid="{00000000-0005-0000-0000-0000EC970000}"/>
    <cellStyle name="Comma 9 16" xfId="39164" xr:uid="{00000000-0005-0000-0000-0000ED970000}"/>
    <cellStyle name="Comma 9 17" xfId="40847" xr:uid="{00000000-0005-0000-0000-0000EE970000}"/>
    <cellStyle name="Comma 9 18" xfId="42530" xr:uid="{00000000-0005-0000-0000-0000EF970000}"/>
    <cellStyle name="Comma 9 19" xfId="44213" xr:uid="{00000000-0005-0000-0000-0000F0970000}"/>
    <cellStyle name="Comma 9 2" xfId="2134" xr:uid="{00000000-0005-0000-0000-0000F1970000}"/>
    <cellStyle name="Comma 9 2 2" xfId="17283" xr:uid="{00000000-0005-0000-0000-0000F2970000}"/>
    <cellStyle name="Comma 9 20" xfId="45896" xr:uid="{00000000-0005-0000-0000-0000F3970000}"/>
    <cellStyle name="Comma 9 21" xfId="47579" xr:uid="{00000000-0005-0000-0000-0000F4970000}"/>
    <cellStyle name="Comma 9 22" xfId="49262" xr:uid="{00000000-0005-0000-0000-0000F5970000}"/>
    <cellStyle name="Comma 9 23" xfId="50945" xr:uid="{00000000-0005-0000-0000-0000F6970000}"/>
    <cellStyle name="Comma 9 24" xfId="52628" xr:uid="{00000000-0005-0000-0000-0000F7970000}"/>
    <cellStyle name="Comma 9 25" xfId="54311" xr:uid="{00000000-0005-0000-0000-0000F8970000}"/>
    <cellStyle name="Comma 9 26" xfId="55994" xr:uid="{00000000-0005-0000-0000-0000F9970000}"/>
    <cellStyle name="Comma 9 27" xfId="57677" xr:uid="{00000000-0005-0000-0000-0000FA970000}"/>
    <cellStyle name="Comma 9 28" xfId="59360" xr:uid="{00000000-0005-0000-0000-0000FB970000}"/>
    <cellStyle name="Comma 9 29" xfId="61043" xr:uid="{00000000-0005-0000-0000-0000FC970000}"/>
    <cellStyle name="Comma 9 3" xfId="3818" xr:uid="{00000000-0005-0000-0000-0000FD970000}"/>
    <cellStyle name="Comma 9 3 2" xfId="18967" xr:uid="{00000000-0005-0000-0000-0000FE970000}"/>
    <cellStyle name="Comma 9 30" xfId="62726" xr:uid="{00000000-0005-0000-0000-0000FF970000}"/>
    <cellStyle name="Comma 9 4" xfId="5501" xr:uid="{00000000-0005-0000-0000-000000980000}"/>
    <cellStyle name="Comma 9 4 2" xfId="20650" xr:uid="{00000000-0005-0000-0000-000001980000}"/>
    <cellStyle name="Comma 9 5" xfId="7184" xr:uid="{00000000-0005-0000-0000-000002980000}"/>
    <cellStyle name="Comma 9 5 2" xfId="22333" xr:uid="{00000000-0005-0000-0000-000003980000}"/>
    <cellStyle name="Comma 9 6" xfId="8867" xr:uid="{00000000-0005-0000-0000-000004980000}"/>
    <cellStyle name="Comma 9 6 2" xfId="24016" xr:uid="{00000000-0005-0000-0000-000005980000}"/>
    <cellStyle name="Comma 9 7" xfId="10550" xr:uid="{00000000-0005-0000-0000-000006980000}"/>
    <cellStyle name="Comma 9 7 2" xfId="25699" xr:uid="{00000000-0005-0000-0000-000007980000}"/>
    <cellStyle name="Comma 9 8" xfId="12234" xr:uid="{00000000-0005-0000-0000-000008980000}"/>
    <cellStyle name="Comma 9 8 2" xfId="27383" xr:uid="{00000000-0005-0000-0000-000009980000}"/>
    <cellStyle name="Comma 9 9" xfId="13917" xr:uid="{00000000-0005-0000-0000-00000A980000}"/>
    <cellStyle name="Comma 9 9 2" xfId="29066" xr:uid="{00000000-0005-0000-0000-00000B980000}"/>
    <cellStyle name="Explanatory Text" xfId="68" builtinId="53" customBuiltin="1"/>
    <cellStyle name="Good" xfId="59" builtinId="26" customBuiltin="1"/>
    <cellStyle name="Heading 1" xfId="55" builtinId="16" customBuiltin="1"/>
    <cellStyle name="Heading 2" xfId="56" builtinId="17" customBuiltin="1"/>
    <cellStyle name="Heading 3" xfId="57" builtinId="18" customBuiltin="1"/>
    <cellStyle name="Heading 4" xfId="58" builtinId="19" customBuiltin="1"/>
    <cellStyle name="Hyperlink" xfId="3" builtinId="8"/>
    <cellStyle name="Input" xfId="62" builtinId="20" customBuiltin="1"/>
    <cellStyle name="Linked Cell" xfId="65" builtinId="24" customBuiltin="1"/>
    <cellStyle name="Neutral" xfId="61" builtinId="28" customBuiltin="1"/>
    <cellStyle name="Normal" xfId="0" builtinId="0"/>
    <cellStyle name="Normal 10" xfId="116" xr:uid="{00000000-0005-0000-0000-000017980000}"/>
    <cellStyle name="Normal 10 10" xfId="6849" xr:uid="{00000000-0005-0000-0000-000018980000}"/>
    <cellStyle name="Normal 10 10 2" xfId="21998" xr:uid="{00000000-0005-0000-0000-000019980000}"/>
    <cellStyle name="Normal 10 11" xfId="8532" xr:uid="{00000000-0005-0000-0000-00001A980000}"/>
    <cellStyle name="Normal 10 11 2" xfId="23681" xr:uid="{00000000-0005-0000-0000-00001B980000}"/>
    <cellStyle name="Normal 10 12" xfId="10215" xr:uid="{00000000-0005-0000-0000-00001C980000}"/>
    <cellStyle name="Normal 10 12 2" xfId="25364" xr:uid="{00000000-0005-0000-0000-00001D980000}"/>
    <cellStyle name="Normal 10 13" xfId="11899" xr:uid="{00000000-0005-0000-0000-00001E980000}"/>
    <cellStyle name="Normal 10 13 2" xfId="27048" xr:uid="{00000000-0005-0000-0000-00001F980000}"/>
    <cellStyle name="Normal 10 14" xfId="13582" xr:uid="{00000000-0005-0000-0000-000020980000}"/>
    <cellStyle name="Normal 10 14 2" xfId="28731" xr:uid="{00000000-0005-0000-0000-000021980000}"/>
    <cellStyle name="Normal 10 15" xfId="15265" xr:uid="{00000000-0005-0000-0000-000022980000}"/>
    <cellStyle name="Normal 10 16" xfId="30414" xr:uid="{00000000-0005-0000-0000-000023980000}"/>
    <cellStyle name="Normal 10 17" xfId="32097" xr:uid="{00000000-0005-0000-0000-000024980000}"/>
    <cellStyle name="Normal 10 18" xfId="33780" xr:uid="{00000000-0005-0000-0000-000025980000}"/>
    <cellStyle name="Normal 10 19" xfId="35463" xr:uid="{00000000-0005-0000-0000-000026980000}"/>
    <cellStyle name="Normal 10 2" xfId="221" xr:uid="{00000000-0005-0000-0000-000027980000}"/>
    <cellStyle name="Normal 10 2 10" xfId="8637" xr:uid="{00000000-0005-0000-0000-000028980000}"/>
    <cellStyle name="Normal 10 2 10 2" xfId="23786" xr:uid="{00000000-0005-0000-0000-000029980000}"/>
    <cellStyle name="Normal 10 2 11" xfId="10320" xr:uid="{00000000-0005-0000-0000-00002A980000}"/>
    <cellStyle name="Normal 10 2 11 2" xfId="25469" xr:uid="{00000000-0005-0000-0000-00002B980000}"/>
    <cellStyle name="Normal 10 2 12" xfId="12004" xr:uid="{00000000-0005-0000-0000-00002C980000}"/>
    <cellStyle name="Normal 10 2 12 2" xfId="27153" xr:uid="{00000000-0005-0000-0000-00002D980000}"/>
    <cellStyle name="Normal 10 2 13" xfId="13687" xr:uid="{00000000-0005-0000-0000-00002E980000}"/>
    <cellStyle name="Normal 10 2 13 2" xfId="28836" xr:uid="{00000000-0005-0000-0000-00002F980000}"/>
    <cellStyle name="Normal 10 2 14" xfId="15370" xr:uid="{00000000-0005-0000-0000-000030980000}"/>
    <cellStyle name="Normal 10 2 15" xfId="30519" xr:uid="{00000000-0005-0000-0000-000031980000}"/>
    <cellStyle name="Normal 10 2 16" xfId="32202" xr:uid="{00000000-0005-0000-0000-000032980000}"/>
    <cellStyle name="Normal 10 2 17" xfId="33885" xr:uid="{00000000-0005-0000-0000-000033980000}"/>
    <cellStyle name="Normal 10 2 18" xfId="35568" xr:uid="{00000000-0005-0000-0000-000034980000}"/>
    <cellStyle name="Normal 10 2 19" xfId="37251" xr:uid="{00000000-0005-0000-0000-000035980000}"/>
    <cellStyle name="Normal 10 2 2" xfId="431" xr:uid="{00000000-0005-0000-0000-000036980000}"/>
    <cellStyle name="Normal 10 2 2 10" xfId="10530" xr:uid="{00000000-0005-0000-0000-000037980000}"/>
    <cellStyle name="Normal 10 2 2 10 2" xfId="25679" xr:uid="{00000000-0005-0000-0000-000038980000}"/>
    <cellStyle name="Normal 10 2 2 11" xfId="12214" xr:uid="{00000000-0005-0000-0000-000039980000}"/>
    <cellStyle name="Normal 10 2 2 11 2" xfId="27363" xr:uid="{00000000-0005-0000-0000-00003A980000}"/>
    <cellStyle name="Normal 10 2 2 12" xfId="13897" xr:uid="{00000000-0005-0000-0000-00003B980000}"/>
    <cellStyle name="Normal 10 2 2 12 2" xfId="29046" xr:uid="{00000000-0005-0000-0000-00003C980000}"/>
    <cellStyle name="Normal 10 2 2 13" xfId="15580" xr:uid="{00000000-0005-0000-0000-00003D980000}"/>
    <cellStyle name="Normal 10 2 2 14" xfId="30729" xr:uid="{00000000-0005-0000-0000-00003E980000}"/>
    <cellStyle name="Normal 10 2 2 15" xfId="32412" xr:uid="{00000000-0005-0000-0000-00003F980000}"/>
    <cellStyle name="Normal 10 2 2 16" xfId="34095" xr:uid="{00000000-0005-0000-0000-000040980000}"/>
    <cellStyle name="Normal 10 2 2 17" xfId="35778" xr:uid="{00000000-0005-0000-0000-000041980000}"/>
    <cellStyle name="Normal 10 2 2 18" xfId="37461" xr:uid="{00000000-0005-0000-0000-000042980000}"/>
    <cellStyle name="Normal 10 2 2 19" xfId="39144" xr:uid="{00000000-0005-0000-0000-000043980000}"/>
    <cellStyle name="Normal 10 2 2 2" xfId="851" xr:uid="{00000000-0005-0000-0000-000044980000}"/>
    <cellStyle name="Normal 10 2 2 2 10" xfId="16000" xr:uid="{00000000-0005-0000-0000-000045980000}"/>
    <cellStyle name="Normal 10 2 2 2 11" xfId="31149" xr:uid="{00000000-0005-0000-0000-000046980000}"/>
    <cellStyle name="Normal 10 2 2 2 12" xfId="32832" xr:uid="{00000000-0005-0000-0000-000047980000}"/>
    <cellStyle name="Normal 10 2 2 2 13" xfId="34515" xr:uid="{00000000-0005-0000-0000-000048980000}"/>
    <cellStyle name="Normal 10 2 2 2 14" xfId="36198" xr:uid="{00000000-0005-0000-0000-000049980000}"/>
    <cellStyle name="Normal 10 2 2 2 15" xfId="37881" xr:uid="{00000000-0005-0000-0000-00004A980000}"/>
    <cellStyle name="Normal 10 2 2 2 16" xfId="39564" xr:uid="{00000000-0005-0000-0000-00004B980000}"/>
    <cellStyle name="Normal 10 2 2 2 17" xfId="41247" xr:uid="{00000000-0005-0000-0000-00004C980000}"/>
    <cellStyle name="Normal 10 2 2 2 18" xfId="42930" xr:uid="{00000000-0005-0000-0000-00004D980000}"/>
    <cellStyle name="Normal 10 2 2 2 19" xfId="44613" xr:uid="{00000000-0005-0000-0000-00004E980000}"/>
    <cellStyle name="Normal 10 2 2 2 2" xfId="2534" xr:uid="{00000000-0005-0000-0000-00004F980000}"/>
    <cellStyle name="Normal 10 2 2 2 2 2" xfId="17683" xr:uid="{00000000-0005-0000-0000-000050980000}"/>
    <cellStyle name="Normal 10 2 2 2 20" xfId="46296" xr:uid="{00000000-0005-0000-0000-000051980000}"/>
    <cellStyle name="Normal 10 2 2 2 21" xfId="47979" xr:uid="{00000000-0005-0000-0000-000052980000}"/>
    <cellStyle name="Normal 10 2 2 2 22" xfId="49662" xr:uid="{00000000-0005-0000-0000-000053980000}"/>
    <cellStyle name="Normal 10 2 2 2 23" xfId="51345" xr:uid="{00000000-0005-0000-0000-000054980000}"/>
    <cellStyle name="Normal 10 2 2 2 24" xfId="53028" xr:uid="{00000000-0005-0000-0000-000055980000}"/>
    <cellStyle name="Normal 10 2 2 2 25" xfId="54711" xr:uid="{00000000-0005-0000-0000-000056980000}"/>
    <cellStyle name="Normal 10 2 2 2 26" xfId="56394" xr:uid="{00000000-0005-0000-0000-000057980000}"/>
    <cellStyle name="Normal 10 2 2 2 27" xfId="58077" xr:uid="{00000000-0005-0000-0000-000058980000}"/>
    <cellStyle name="Normal 10 2 2 2 28" xfId="59760" xr:uid="{00000000-0005-0000-0000-000059980000}"/>
    <cellStyle name="Normal 10 2 2 2 29" xfId="61443" xr:uid="{00000000-0005-0000-0000-00005A980000}"/>
    <cellStyle name="Normal 10 2 2 2 3" xfId="4218" xr:uid="{00000000-0005-0000-0000-00005B980000}"/>
    <cellStyle name="Normal 10 2 2 2 3 2" xfId="19367" xr:uid="{00000000-0005-0000-0000-00005C980000}"/>
    <cellStyle name="Normal 10 2 2 2 30" xfId="63126" xr:uid="{00000000-0005-0000-0000-00005D980000}"/>
    <cellStyle name="Normal 10 2 2 2 4" xfId="5901" xr:uid="{00000000-0005-0000-0000-00005E980000}"/>
    <cellStyle name="Normal 10 2 2 2 4 2" xfId="21050" xr:uid="{00000000-0005-0000-0000-00005F980000}"/>
    <cellStyle name="Normal 10 2 2 2 5" xfId="7584" xr:uid="{00000000-0005-0000-0000-000060980000}"/>
    <cellStyle name="Normal 10 2 2 2 5 2" xfId="22733" xr:uid="{00000000-0005-0000-0000-000061980000}"/>
    <cellStyle name="Normal 10 2 2 2 6" xfId="9267" xr:uid="{00000000-0005-0000-0000-000062980000}"/>
    <cellStyle name="Normal 10 2 2 2 6 2" xfId="24416" xr:uid="{00000000-0005-0000-0000-000063980000}"/>
    <cellStyle name="Normal 10 2 2 2 7" xfId="10950" xr:uid="{00000000-0005-0000-0000-000064980000}"/>
    <cellStyle name="Normal 10 2 2 2 7 2" xfId="26099" xr:uid="{00000000-0005-0000-0000-000065980000}"/>
    <cellStyle name="Normal 10 2 2 2 8" xfId="12634" xr:uid="{00000000-0005-0000-0000-000066980000}"/>
    <cellStyle name="Normal 10 2 2 2 8 2" xfId="27783" xr:uid="{00000000-0005-0000-0000-000067980000}"/>
    <cellStyle name="Normal 10 2 2 2 9" xfId="14317" xr:uid="{00000000-0005-0000-0000-000068980000}"/>
    <cellStyle name="Normal 10 2 2 2 9 2" xfId="29466" xr:uid="{00000000-0005-0000-0000-000069980000}"/>
    <cellStyle name="Normal 10 2 2 20" xfId="40827" xr:uid="{00000000-0005-0000-0000-00006A980000}"/>
    <cellStyle name="Normal 10 2 2 21" xfId="42510" xr:uid="{00000000-0005-0000-0000-00006B980000}"/>
    <cellStyle name="Normal 10 2 2 22" xfId="44193" xr:uid="{00000000-0005-0000-0000-00006C980000}"/>
    <cellStyle name="Normal 10 2 2 23" xfId="45876" xr:uid="{00000000-0005-0000-0000-00006D980000}"/>
    <cellStyle name="Normal 10 2 2 24" xfId="47559" xr:uid="{00000000-0005-0000-0000-00006E980000}"/>
    <cellStyle name="Normal 10 2 2 25" xfId="49242" xr:uid="{00000000-0005-0000-0000-00006F980000}"/>
    <cellStyle name="Normal 10 2 2 26" xfId="50925" xr:uid="{00000000-0005-0000-0000-000070980000}"/>
    <cellStyle name="Normal 10 2 2 27" xfId="52608" xr:uid="{00000000-0005-0000-0000-000071980000}"/>
    <cellStyle name="Normal 10 2 2 28" xfId="54291" xr:uid="{00000000-0005-0000-0000-000072980000}"/>
    <cellStyle name="Normal 10 2 2 29" xfId="55974" xr:uid="{00000000-0005-0000-0000-000073980000}"/>
    <cellStyle name="Normal 10 2 2 3" xfId="1272" xr:uid="{00000000-0005-0000-0000-000074980000}"/>
    <cellStyle name="Normal 10 2 2 3 10" xfId="16421" xr:uid="{00000000-0005-0000-0000-000075980000}"/>
    <cellStyle name="Normal 10 2 2 3 11" xfId="31570" xr:uid="{00000000-0005-0000-0000-000076980000}"/>
    <cellStyle name="Normal 10 2 2 3 12" xfId="33253" xr:uid="{00000000-0005-0000-0000-000077980000}"/>
    <cellStyle name="Normal 10 2 2 3 13" xfId="34936" xr:uid="{00000000-0005-0000-0000-000078980000}"/>
    <cellStyle name="Normal 10 2 2 3 14" xfId="36619" xr:uid="{00000000-0005-0000-0000-000079980000}"/>
    <cellStyle name="Normal 10 2 2 3 15" xfId="38302" xr:uid="{00000000-0005-0000-0000-00007A980000}"/>
    <cellStyle name="Normal 10 2 2 3 16" xfId="39985" xr:uid="{00000000-0005-0000-0000-00007B980000}"/>
    <cellStyle name="Normal 10 2 2 3 17" xfId="41668" xr:uid="{00000000-0005-0000-0000-00007C980000}"/>
    <cellStyle name="Normal 10 2 2 3 18" xfId="43351" xr:uid="{00000000-0005-0000-0000-00007D980000}"/>
    <cellStyle name="Normal 10 2 2 3 19" xfId="45034" xr:uid="{00000000-0005-0000-0000-00007E980000}"/>
    <cellStyle name="Normal 10 2 2 3 2" xfId="2955" xr:uid="{00000000-0005-0000-0000-00007F980000}"/>
    <cellStyle name="Normal 10 2 2 3 2 2" xfId="18104" xr:uid="{00000000-0005-0000-0000-000080980000}"/>
    <cellStyle name="Normal 10 2 2 3 20" xfId="46717" xr:uid="{00000000-0005-0000-0000-000081980000}"/>
    <cellStyle name="Normal 10 2 2 3 21" xfId="48400" xr:uid="{00000000-0005-0000-0000-000082980000}"/>
    <cellStyle name="Normal 10 2 2 3 22" xfId="50083" xr:uid="{00000000-0005-0000-0000-000083980000}"/>
    <cellStyle name="Normal 10 2 2 3 23" xfId="51766" xr:uid="{00000000-0005-0000-0000-000084980000}"/>
    <cellStyle name="Normal 10 2 2 3 24" xfId="53449" xr:uid="{00000000-0005-0000-0000-000085980000}"/>
    <cellStyle name="Normal 10 2 2 3 25" xfId="55132" xr:uid="{00000000-0005-0000-0000-000086980000}"/>
    <cellStyle name="Normal 10 2 2 3 26" xfId="56815" xr:uid="{00000000-0005-0000-0000-000087980000}"/>
    <cellStyle name="Normal 10 2 2 3 27" xfId="58498" xr:uid="{00000000-0005-0000-0000-000088980000}"/>
    <cellStyle name="Normal 10 2 2 3 28" xfId="60181" xr:uid="{00000000-0005-0000-0000-000089980000}"/>
    <cellStyle name="Normal 10 2 2 3 29" xfId="61864" xr:uid="{00000000-0005-0000-0000-00008A980000}"/>
    <cellStyle name="Normal 10 2 2 3 3" xfId="4639" xr:uid="{00000000-0005-0000-0000-00008B980000}"/>
    <cellStyle name="Normal 10 2 2 3 3 2" xfId="19788" xr:uid="{00000000-0005-0000-0000-00008C980000}"/>
    <cellStyle name="Normal 10 2 2 3 30" xfId="63547" xr:uid="{00000000-0005-0000-0000-00008D980000}"/>
    <cellStyle name="Normal 10 2 2 3 4" xfId="6322" xr:uid="{00000000-0005-0000-0000-00008E980000}"/>
    <cellStyle name="Normal 10 2 2 3 4 2" xfId="21471" xr:uid="{00000000-0005-0000-0000-00008F980000}"/>
    <cellStyle name="Normal 10 2 2 3 5" xfId="8005" xr:uid="{00000000-0005-0000-0000-000090980000}"/>
    <cellStyle name="Normal 10 2 2 3 5 2" xfId="23154" xr:uid="{00000000-0005-0000-0000-000091980000}"/>
    <cellStyle name="Normal 10 2 2 3 6" xfId="9688" xr:uid="{00000000-0005-0000-0000-000092980000}"/>
    <cellStyle name="Normal 10 2 2 3 6 2" xfId="24837" xr:uid="{00000000-0005-0000-0000-000093980000}"/>
    <cellStyle name="Normal 10 2 2 3 7" xfId="11371" xr:uid="{00000000-0005-0000-0000-000094980000}"/>
    <cellStyle name="Normal 10 2 2 3 7 2" xfId="26520" xr:uid="{00000000-0005-0000-0000-000095980000}"/>
    <cellStyle name="Normal 10 2 2 3 8" xfId="13055" xr:uid="{00000000-0005-0000-0000-000096980000}"/>
    <cellStyle name="Normal 10 2 2 3 8 2" xfId="28204" xr:uid="{00000000-0005-0000-0000-000097980000}"/>
    <cellStyle name="Normal 10 2 2 3 9" xfId="14738" xr:uid="{00000000-0005-0000-0000-000098980000}"/>
    <cellStyle name="Normal 10 2 2 3 9 2" xfId="29887" xr:uid="{00000000-0005-0000-0000-000099980000}"/>
    <cellStyle name="Normal 10 2 2 30" xfId="57657" xr:uid="{00000000-0005-0000-0000-00009A980000}"/>
    <cellStyle name="Normal 10 2 2 31" xfId="59340" xr:uid="{00000000-0005-0000-0000-00009B980000}"/>
    <cellStyle name="Normal 10 2 2 32" xfId="61023" xr:uid="{00000000-0005-0000-0000-00009C980000}"/>
    <cellStyle name="Normal 10 2 2 33" xfId="62706" xr:uid="{00000000-0005-0000-0000-00009D980000}"/>
    <cellStyle name="Normal 10 2 2 4" xfId="1693" xr:uid="{00000000-0005-0000-0000-00009E980000}"/>
    <cellStyle name="Normal 10 2 2 4 10" xfId="16842" xr:uid="{00000000-0005-0000-0000-00009F980000}"/>
    <cellStyle name="Normal 10 2 2 4 11" xfId="31991" xr:uid="{00000000-0005-0000-0000-0000A0980000}"/>
    <cellStyle name="Normal 10 2 2 4 12" xfId="33674" xr:uid="{00000000-0005-0000-0000-0000A1980000}"/>
    <cellStyle name="Normal 10 2 2 4 13" xfId="35357" xr:uid="{00000000-0005-0000-0000-0000A2980000}"/>
    <cellStyle name="Normal 10 2 2 4 14" xfId="37040" xr:uid="{00000000-0005-0000-0000-0000A3980000}"/>
    <cellStyle name="Normal 10 2 2 4 15" xfId="38723" xr:uid="{00000000-0005-0000-0000-0000A4980000}"/>
    <cellStyle name="Normal 10 2 2 4 16" xfId="40406" xr:uid="{00000000-0005-0000-0000-0000A5980000}"/>
    <cellStyle name="Normal 10 2 2 4 17" xfId="42089" xr:uid="{00000000-0005-0000-0000-0000A6980000}"/>
    <cellStyle name="Normal 10 2 2 4 18" xfId="43772" xr:uid="{00000000-0005-0000-0000-0000A7980000}"/>
    <cellStyle name="Normal 10 2 2 4 19" xfId="45455" xr:uid="{00000000-0005-0000-0000-0000A8980000}"/>
    <cellStyle name="Normal 10 2 2 4 2" xfId="3376" xr:uid="{00000000-0005-0000-0000-0000A9980000}"/>
    <cellStyle name="Normal 10 2 2 4 2 2" xfId="18525" xr:uid="{00000000-0005-0000-0000-0000AA980000}"/>
    <cellStyle name="Normal 10 2 2 4 20" xfId="47138" xr:uid="{00000000-0005-0000-0000-0000AB980000}"/>
    <cellStyle name="Normal 10 2 2 4 21" xfId="48821" xr:uid="{00000000-0005-0000-0000-0000AC980000}"/>
    <cellStyle name="Normal 10 2 2 4 22" xfId="50504" xr:uid="{00000000-0005-0000-0000-0000AD980000}"/>
    <cellStyle name="Normal 10 2 2 4 23" xfId="52187" xr:uid="{00000000-0005-0000-0000-0000AE980000}"/>
    <cellStyle name="Normal 10 2 2 4 24" xfId="53870" xr:uid="{00000000-0005-0000-0000-0000AF980000}"/>
    <cellStyle name="Normal 10 2 2 4 25" xfId="55553" xr:uid="{00000000-0005-0000-0000-0000B0980000}"/>
    <cellStyle name="Normal 10 2 2 4 26" xfId="57236" xr:uid="{00000000-0005-0000-0000-0000B1980000}"/>
    <cellStyle name="Normal 10 2 2 4 27" xfId="58919" xr:uid="{00000000-0005-0000-0000-0000B2980000}"/>
    <cellStyle name="Normal 10 2 2 4 28" xfId="60602" xr:uid="{00000000-0005-0000-0000-0000B3980000}"/>
    <cellStyle name="Normal 10 2 2 4 29" xfId="62285" xr:uid="{00000000-0005-0000-0000-0000B4980000}"/>
    <cellStyle name="Normal 10 2 2 4 3" xfId="5060" xr:uid="{00000000-0005-0000-0000-0000B5980000}"/>
    <cellStyle name="Normal 10 2 2 4 3 2" xfId="20209" xr:uid="{00000000-0005-0000-0000-0000B6980000}"/>
    <cellStyle name="Normal 10 2 2 4 30" xfId="63968" xr:uid="{00000000-0005-0000-0000-0000B7980000}"/>
    <cellStyle name="Normal 10 2 2 4 4" xfId="6743" xr:uid="{00000000-0005-0000-0000-0000B8980000}"/>
    <cellStyle name="Normal 10 2 2 4 4 2" xfId="21892" xr:uid="{00000000-0005-0000-0000-0000B9980000}"/>
    <cellStyle name="Normal 10 2 2 4 5" xfId="8426" xr:uid="{00000000-0005-0000-0000-0000BA980000}"/>
    <cellStyle name="Normal 10 2 2 4 5 2" xfId="23575" xr:uid="{00000000-0005-0000-0000-0000BB980000}"/>
    <cellStyle name="Normal 10 2 2 4 6" xfId="10109" xr:uid="{00000000-0005-0000-0000-0000BC980000}"/>
    <cellStyle name="Normal 10 2 2 4 6 2" xfId="25258" xr:uid="{00000000-0005-0000-0000-0000BD980000}"/>
    <cellStyle name="Normal 10 2 2 4 7" xfId="11792" xr:uid="{00000000-0005-0000-0000-0000BE980000}"/>
    <cellStyle name="Normal 10 2 2 4 7 2" xfId="26941" xr:uid="{00000000-0005-0000-0000-0000BF980000}"/>
    <cellStyle name="Normal 10 2 2 4 8" xfId="13476" xr:uid="{00000000-0005-0000-0000-0000C0980000}"/>
    <cellStyle name="Normal 10 2 2 4 8 2" xfId="28625" xr:uid="{00000000-0005-0000-0000-0000C1980000}"/>
    <cellStyle name="Normal 10 2 2 4 9" xfId="15159" xr:uid="{00000000-0005-0000-0000-0000C2980000}"/>
    <cellStyle name="Normal 10 2 2 4 9 2" xfId="30308" xr:uid="{00000000-0005-0000-0000-0000C3980000}"/>
    <cellStyle name="Normal 10 2 2 5" xfId="2114" xr:uid="{00000000-0005-0000-0000-0000C4980000}"/>
    <cellStyle name="Normal 10 2 2 5 2" xfId="17263" xr:uid="{00000000-0005-0000-0000-0000C5980000}"/>
    <cellStyle name="Normal 10 2 2 6" xfId="3798" xr:uid="{00000000-0005-0000-0000-0000C6980000}"/>
    <cellStyle name="Normal 10 2 2 6 2" xfId="18947" xr:uid="{00000000-0005-0000-0000-0000C7980000}"/>
    <cellStyle name="Normal 10 2 2 7" xfId="5481" xr:uid="{00000000-0005-0000-0000-0000C8980000}"/>
    <cellStyle name="Normal 10 2 2 7 2" xfId="20630" xr:uid="{00000000-0005-0000-0000-0000C9980000}"/>
    <cellStyle name="Normal 10 2 2 8" xfId="7164" xr:uid="{00000000-0005-0000-0000-0000CA980000}"/>
    <cellStyle name="Normal 10 2 2 8 2" xfId="22313" xr:uid="{00000000-0005-0000-0000-0000CB980000}"/>
    <cellStyle name="Normal 10 2 2 9" xfId="8847" xr:uid="{00000000-0005-0000-0000-0000CC980000}"/>
    <cellStyle name="Normal 10 2 2 9 2" xfId="23996" xr:uid="{00000000-0005-0000-0000-0000CD980000}"/>
    <cellStyle name="Normal 10 2 20" xfId="38934" xr:uid="{00000000-0005-0000-0000-0000CE980000}"/>
    <cellStyle name="Normal 10 2 21" xfId="40617" xr:uid="{00000000-0005-0000-0000-0000CF980000}"/>
    <cellStyle name="Normal 10 2 22" xfId="42300" xr:uid="{00000000-0005-0000-0000-0000D0980000}"/>
    <cellStyle name="Normal 10 2 23" xfId="43983" xr:uid="{00000000-0005-0000-0000-0000D1980000}"/>
    <cellStyle name="Normal 10 2 24" xfId="45666" xr:uid="{00000000-0005-0000-0000-0000D2980000}"/>
    <cellStyle name="Normal 10 2 25" xfId="47349" xr:uid="{00000000-0005-0000-0000-0000D3980000}"/>
    <cellStyle name="Normal 10 2 26" xfId="49032" xr:uid="{00000000-0005-0000-0000-0000D4980000}"/>
    <cellStyle name="Normal 10 2 27" xfId="50715" xr:uid="{00000000-0005-0000-0000-0000D5980000}"/>
    <cellStyle name="Normal 10 2 28" xfId="52398" xr:uid="{00000000-0005-0000-0000-0000D6980000}"/>
    <cellStyle name="Normal 10 2 29" xfId="54081" xr:uid="{00000000-0005-0000-0000-0000D7980000}"/>
    <cellStyle name="Normal 10 2 3" xfId="641" xr:uid="{00000000-0005-0000-0000-0000D8980000}"/>
    <cellStyle name="Normal 10 2 3 10" xfId="15790" xr:uid="{00000000-0005-0000-0000-0000D9980000}"/>
    <cellStyle name="Normal 10 2 3 11" xfId="30939" xr:uid="{00000000-0005-0000-0000-0000DA980000}"/>
    <cellStyle name="Normal 10 2 3 12" xfId="32622" xr:uid="{00000000-0005-0000-0000-0000DB980000}"/>
    <cellStyle name="Normal 10 2 3 13" xfId="34305" xr:uid="{00000000-0005-0000-0000-0000DC980000}"/>
    <cellStyle name="Normal 10 2 3 14" xfId="35988" xr:uid="{00000000-0005-0000-0000-0000DD980000}"/>
    <cellStyle name="Normal 10 2 3 15" xfId="37671" xr:uid="{00000000-0005-0000-0000-0000DE980000}"/>
    <cellStyle name="Normal 10 2 3 16" xfId="39354" xr:uid="{00000000-0005-0000-0000-0000DF980000}"/>
    <cellStyle name="Normal 10 2 3 17" xfId="41037" xr:uid="{00000000-0005-0000-0000-0000E0980000}"/>
    <cellStyle name="Normal 10 2 3 18" xfId="42720" xr:uid="{00000000-0005-0000-0000-0000E1980000}"/>
    <cellStyle name="Normal 10 2 3 19" xfId="44403" xr:uid="{00000000-0005-0000-0000-0000E2980000}"/>
    <cellStyle name="Normal 10 2 3 2" xfId="2324" xr:uid="{00000000-0005-0000-0000-0000E3980000}"/>
    <cellStyle name="Normal 10 2 3 2 2" xfId="17473" xr:uid="{00000000-0005-0000-0000-0000E4980000}"/>
    <cellStyle name="Normal 10 2 3 20" xfId="46086" xr:uid="{00000000-0005-0000-0000-0000E5980000}"/>
    <cellStyle name="Normal 10 2 3 21" xfId="47769" xr:uid="{00000000-0005-0000-0000-0000E6980000}"/>
    <cellStyle name="Normal 10 2 3 22" xfId="49452" xr:uid="{00000000-0005-0000-0000-0000E7980000}"/>
    <cellStyle name="Normal 10 2 3 23" xfId="51135" xr:uid="{00000000-0005-0000-0000-0000E8980000}"/>
    <cellStyle name="Normal 10 2 3 24" xfId="52818" xr:uid="{00000000-0005-0000-0000-0000E9980000}"/>
    <cellStyle name="Normal 10 2 3 25" xfId="54501" xr:uid="{00000000-0005-0000-0000-0000EA980000}"/>
    <cellStyle name="Normal 10 2 3 26" xfId="56184" xr:uid="{00000000-0005-0000-0000-0000EB980000}"/>
    <cellStyle name="Normal 10 2 3 27" xfId="57867" xr:uid="{00000000-0005-0000-0000-0000EC980000}"/>
    <cellStyle name="Normal 10 2 3 28" xfId="59550" xr:uid="{00000000-0005-0000-0000-0000ED980000}"/>
    <cellStyle name="Normal 10 2 3 29" xfId="61233" xr:uid="{00000000-0005-0000-0000-0000EE980000}"/>
    <cellStyle name="Normal 10 2 3 3" xfId="4008" xr:uid="{00000000-0005-0000-0000-0000EF980000}"/>
    <cellStyle name="Normal 10 2 3 3 2" xfId="19157" xr:uid="{00000000-0005-0000-0000-0000F0980000}"/>
    <cellStyle name="Normal 10 2 3 30" xfId="62916" xr:uid="{00000000-0005-0000-0000-0000F1980000}"/>
    <cellStyle name="Normal 10 2 3 4" xfId="5691" xr:uid="{00000000-0005-0000-0000-0000F2980000}"/>
    <cellStyle name="Normal 10 2 3 4 2" xfId="20840" xr:uid="{00000000-0005-0000-0000-0000F3980000}"/>
    <cellStyle name="Normal 10 2 3 5" xfId="7374" xr:uid="{00000000-0005-0000-0000-0000F4980000}"/>
    <cellStyle name="Normal 10 2 3 5 2" xfId="22523" xr:uid="{00000000-0005-0000-0000-0000F5980000}"/>
    <cellStyle name="Normal 10 2 3 6" xfId="9057" xr:uid="{00000000-0005-0000-0000-0000F6980000}"/>
    <cellStyle name="Normal 10 2 3 6 2" xfId="24206" xr:uid="{00000000-0005-0000-0000-0000F7980000}"/>
    <cellStyle name="Normal 10 2 3 7" xfId="10740" xr:uid="{00000000-0005-0000-0000-0000F8980000}"/>
    <cellStyle name="Normal 10 2 3 7 2" xfId="25889" xr:uid="{00000000-0005-0000-0000-0000F9980000}"/>
    <cellStyle name="Normal 10 2 3 8" xfId="12424" xr:uid="{00000000-0005-0000-0000-0000FA980000}"/>
    <cellStyle name="Normal 10 2 3 8 2" xfId="27573" xr:uid="{00000000-0005-0000-0000-0000FB980000}"/>
    <cellStyle name="Normal 10 2 3 9" xfId="14107" xr:uid="{00000000-0005-0000-0000-0000FC980000}"/>
    <cellStyle name="Normal 10 2 3 9 2" xfId="29256" xr:uid="{00000000-0005-0000-0000-0000FD980000}"/>
    <cellStyle name="Normal 10 2 30" xfId="55764" xr:uid="{00000000-0005-0000-0000-0000FE980000}"/>
    <cellStyle name="Normal 10 2 31" xfId="57447" xr:uid="{00000000-0005-0000-0000-0000FF980000}"/>
    <cellStyle name="Normal 10 2 32" xfId="59130" xr:uid="{00000000-0005-0000-0000-000000990000}"/>
    <cellStyle name="Normal 10 2 33" xfId="60813" xr:uid="{00000000-0005-0000-0000-000001990000}"/>
    <cellStyle name="Normal 10 2 34" xfId="62496" xr:uid="{00000000-0005-0000-0000-000002990000}"/>
    <cellStyle name="Normal 10 2 4" xfId="1062" xr:uid="{00000000-0005-0000-0000-000003990000}"/>
    <cellStyle name="Normal 10 2 4 10" xfId="16211" xr:uid="{00000000-0005-0000-0000-000004990000}"/>
    <cellStyle name="Normal 10 2 4 11" xfId="31360" xr:uid="{00000000-0005-0000-0000-000005990000}"/>
    <cellStyle name="Normal 10 2 4 12" xfId="33043" xr:uid="{00000000-0005-0000-0000-000006990000}"/>
    <cellStyle name="Normal 10 2 4 13" xfId="34726" xr:uid="{00000000-0005-0000-0000-000007990000}"/>
    <cellStyle name="Normal 10 2 4 14" xfId="36409" xr:uid="{00000000-0005-0000-0000-000008990000}"/>
    <cellStyle name="Normal 10 2 4 15" xfId="38092" xr:uid="{00000000-0005-0000-0000-000009990000}"/>
    <cellStyle name="Normal 10 2 4 16" xfId="39775" xr:uid="{00000000-0005-0000-0000-00000A990000}"/>
    <cellStyle name="Normal 10 2 4 17" xfId="41458" xr:uid="{00000000-0005-0000-0000-00000B990000}"/>
    <cellStyle name="Normal 10 2 4 18" xfId="43141" xr:uid="{00000000-0005-0000-0000-00000C990000}"/>
    <cellStyle name="Normal 10 2 4 19" xfId="44824" xr:uid="{00000000-0005-0000-0000-00000D990000}"/>
    <cellStyle name="Normal 10 2 4 2" xfId="2745" xr:uid="{00000000-0005-0000-0000-00000E990000}"/>
    <cellStyle name="Normal 10 2 4 2 2" xfId="17894" xr:uid="{00000000-0005-0000-0000-00000F990000}"/>
    <cellStyle name="Normal 10 2 4 20" xfId="46507" xr:uid="{00000000-0005-0000-0000-000010990000}"/>
    <cellStyle name="Normal 10 2 4 21" xfId="48190" xr:uid="{00000000-0005-0000-0000-000011990000}"/>
    <cellStyle name="Normal 10 2 4 22" xfId="49873" xr:uid="{00000000-0005-0000-0000-000012990000}"/>
    <cellStyle name="Normal 10 2 4 23" xfId="51556" xr:uid="{00000000-0005-0000-0000-000013990000}"/>
    <cellStyle name="Normal 10 2 4 24" xfId="53239" xr:uid="{00000000-0005-0000-0000-000014990000}"/>
    <cellStyle name="Normal 10 2 4 25" xfId="54922" xr:uid="{00000000-0005-0000-0000-000015990000}"/>
    <cellStyle name="Normal 10 2 4 26" xfId="56605" xr:uid="{00000000-0005-0000-0000-000016990000}"/>
    <cellStyle name="Normal 10 2 4 27" xfId="58288" xr:uid="{00000000-0005-0000-0000-000017990000}"/>
    <cellStyle name="Normal 10 2 4 28" xfId="59971" xr:uid="{00000000-0005-0000-0000-000018990000}"/>
    <cellStyle name="Normal 10 2 4 29" xfId="61654" xr:uid="{00000000-0005-0000-0000-000019990000}"/>
    <cellStyle name="Normal 10 2 4 3" xfId="4429" xr:uid="{00000000-0005-0000-0000-00001A990000}"/>
    <cellStyle name="Normal 10 2 4 3 2" xfId="19578" xr:uid="{00000000-0005-0000-0000-00001B990000}"/>
    <cellStyle name="Normal 10 2 4 30" xfId="63337" xr:uid="{00000000-0005-0000-0000-00001C990000}"/>
    <cellStyle name="Normal 10 2 4 4" xfId="6112" xr:uid="{00000000-0005-0000-0000-00001D990000}"/>
    <cellStyle name="Normal 10 2 4 4 2" xfId="21261" xr:uid="{00000000-0005-0000-0000-00001E990000}"/>
    <cellStyle name="Normal 10 2 4 5" xfId="7795" xr:uid="{00000000-0005-0000-0000-00001F990000}"/>
    <cellStyle name="Normal 10 2 4 5 2" xfId="22944" xr:uid="{00000000-0005-0000-0000-000020990000}"/>
    <cellStyle name="Normal 10 2 4 6" xfId="9478" xr:uid="{00000000-0005-0000-0000-000021990000}"/>
    <cellStyle name="Normal 10 2 4 6 2" xfId="24627" xr:uid="{00000000-0005-0000-0000-000022990000}"/>
    <cellStyle name="Normal 10 2 4 7" xfId="11161" xr:uid="{00000000-0005-0000-0000-000023990000}"/>
    <cellStyle name="Normal 10 2 4 7 2" xfId="26310" xr:uid="{00000000-0005-0000-0000-000024990000}"/>
    <cellStyle name="Normal 10 2 4 8" xfId="12845" xr:uid="{00000000-0005-0000-0000-000025990000}"/>
    <cellStyle name="Normal 10 2 4 8 2" xfId="27994" xr:uid="{00000000-0005-0000-0000-000026990000}"/>
    <cellStyle name="Normal 10 2 4 9" xfId="14528" xr:uid="{00000000-0005-0000-0000-000027990000}"/>
    <cellStyle name="Normal 10 2 4 9 2" xfId="29677" xr:uid="{00000000-0005-0000-0000-000028990000}"/>
    <cellStyle name="Normal 10 2 5" xfId="1483" xr:uid="{00000000-0005-0000-0000-000029990000}"/>
    <cellStyle name="Normal 10 2 5 10" xfId="16632" xr:uid="{00000000-0005-0000-0000-00002A990000}"/>
    <cellStyle name="Normal 10 2 5 11" xfId="31781" xr:uid="{00000000-0005-0000-0000-00002B990000}"/>
    <cellStyle name="Normal 10 2 5 12" xfId="33464" xr:uid="{00000000-0005-0000-0000-00002C990000}"/>
    <cellStyle name="Normal 10 2 5 13" xfId="35147" xr:uid="{00000000-0005-0000-0000-00002D990000}"/>
    <cellStyle name="Normal 10 2 5 14" xfId="36830" xr:uid="{00000000-0005-0000-0000-00002E990000}"/>
    <cellStyle name="Normal 10 2 5 15" xfId="38513" xr:uid="{00000000-0005-0000-0000-00002F990000}"/>
    <cellStyle name="Normal 10 2 5 16" xfId="40196" xr:uid="{00000000-0005-0000-0000-000030990000}"/>
    <cellStyle name="Normal 10 2 5 17" xfId="41879" xr:uid="{00000000-0005-0000-0000-000031990000}"/>
    <cellStyle name="Normal 10 2 5 18" xfId="43562" xr:uid="{00000000-0005-0000-0000-000032990000}"/>
    <cellStyle name="Normal 10 2 5 19" xfId="45245" xr:uid="{00000000-0005-0000-0000-000033990000}"/>
    <cellStyle name="Normal 10 2 5 2" xfId="3166" xr:uid="{00000000-0005-0000-0000-000034990000}"/>
    <cellStyle name="Normal 10 2 5 2 2" xfId="18315" xr:uid="{00000000-0005-0000-0000-000035990000}"/>
    <cellStyle name="Normal 10 2 5 20" xfId="46928" xr:uid="{00000000-0005-0000-0000-000036990000}"/>
    <cellStyle name="Normal 10 2 5 21" xfId="48611" xr:uid="{00000000-0005-0000-0000-000037990000}"/>
    <cellStyle name="Normal 10 2 5 22" xfId="50294" xr:uid="{00000000-0005-0000-0000-000038990000}"/>
    <cellStyle name="Normal 10 2 5 23" xfId="51977" xr:uid="{00000000-0005-0000-0000-000039990000}"/>
    <cellStyle name="Normal 10 2 5 24" xfId="53660" xr:uid="{00000000-0005-0000-0000-00003A990000}"/>
    <cellStyle name="Normal 10 2 5 25" xfId="55343" xr:uid="{00000000-0005-0000-0000-00003B990000}"/>
    <cellStyle name="Normal 10 2 5 26" xfId="57026" xr:uid="{00000000-0005-0000-0000-00003C990000}"/>
    <cellStyle name="Normal 10 2 5 27" xfId="58709" xr:uid="{00000000-0005-0000-0000-00003D990000}"/>
    <cellStyle name="Normal 10 2 5 28" xfId="60392" xr:uid="{00000000-0005-0000-0000-00003E990000}"/>
    <cellStyle name="Normal 10 2 5 29" xfId="62075" xr:uid="{00000000-0005-0000-0000-00003F990000}"/>
    <cellStyle name="Normal 10 2 5 3" xfId="4850" xr:uid="{00000000-0005-0000-0000-000040990000}"/>
    <cellStyle name="Normal 10 2 5 3 2" xfId="19999" xr:uid="{00000000-0005-0000-0000-000041990000}"/>
    <cellStyle name="Normal 10 2 5 30" xfId="63758" xr:uid="{00000000-0005-0000-0000-000042990000}"/>
    <cellStyle name="Normal 10 2 5 4" xfId="6533" xr:uid="{00000000-0005-0000-0000-000043990000}"/>
    <cellStyle name="Normal 10 2 5 4 2" xfId="21682" xr:uid="{00000000-0005-0000-0000-000044990000}"/>
    <cellStyle name="Normal 10 2 5 5" xfId="8216" xr:uid="{00000000-0005-0000-0000-000045990000}"/>
    <cellStyle name="Normal 10 2 5 5 2" xfId="23365" xr:uid="{00000000-0005-0000-0000-000046990000}"/>
    <cellStyle name="Normal 10 2 5 6" xfId="9899" xr:uid="{00000000-0005-0000-0000-000047990000}"/>
    <cellStyle name="Normal 10 2 5 6 2" xfId="25048" xr:uid="{00000000-0005-0000-0000-000048990000}"/>
    <cellStyle name="Normal 10 2 5 7" xfId="11582" xr:uid="{00000000-0005-0000-0000-000049990000}"/>
    <cellStyle name="Normal 10 2 5 7 2" xfId="26731" xr:uid="{00000000-0005-0000-0000-00004A990000}"/>
    <cellStyle name="Normal 10 2 5 8" xfId="13266" xr:uid="{00000000-0005-0000-0000-00004B990000}"/>
    <cellStyle name="Normal 10 2 5 8 2" xfId="28415" xr:uid="{00000000-0005-0000-0000-00004C990000}"/>
    <cellStyle name="Normal 10 2 5 9" xfId="14949" xr:uid="{00000000-0005-0000-0000-00004D990000}"/>
    <cellStyle name="Normal 10 2 5 9 2" xfId="30098" xr:uid="{00000000-0005-0000-0000-00004E990000}"/>
    <cellStyle name="Normal 10 2 6" xfId="1904" xr:uid="{00000000-0005-0000-0000-00004F990000}"/>
    <cellStyle name="Normal 10 2 6 2" xfId="17053" xr:uid="{00000000-0005-0000-0000-000050990000}"/>
    <cellStyle name="Normal 10 2 7" xfId="3588" xr:uid="{00000000-0005-0000-0000-000051990000}"/>
    <cellStyle name="Normal 10 2 7 2" xfId="18737" xr:uid="{00000000-0005-0000-0000-000052990000}"/>
    <cellStyle name="Normal 10 2 8" xfId="5271" xr:uid="{00000000-0005-0000-0000-000053990000}"/>
    <cellStyle name="Normal 10 2 8 2" xfId="20420" xr:uid="{00000000-0005-0000-0000-000054990000}"/>
    <cellStyle name="Normal 10 2 9" xfId="6954" xr:uid="{00000000-0005-0000-0000-000055990000}"/>
    <cellStyle name="Normal 10 2 9 2" xfId="22103" xr:uid="{00000000-0005-0000-0000-000056990000}"/>
    <cellStyle name="Normal 10 20" xfId="37146" xr:uid="{00000000-0005-0000-0000-000057990000}"/>
    <cellStyle name="Normal 10 21" xfId="38829" xr:uid="{00000000-0005-0000-0000-000058990000}"/>
    <cellStyle name="Normal 10 22" xfId="40512" xr:uid="{00000000-0005-0000-0000-000059990000}"/>
    <cellStyle name="Normal 10 23" xfId="42195" xr:uid="{00000000-0005-0000-0000-00005A990000}"/>
    <cellStyle name="Normal 10 24" xfId="43878" xr:uid="{00000000-0005-0000-0000-00005B990000}"/>
    <cellStyle name="Normal 10 25" xfId="45561" xr:uid="{00000000-0005-0000-0000-00005C990000}"/>
    <cellStyle name="Normal 10 26" xfId="47244" xr:uid="{00000000-0005-0000-0000-00005D990000}"/>
    <cellStyle name="Normal 10 27" xfId="48927" xr:uid="{00000000-0005-0000-0000-00005E990000}"/>
    <cellStyle name="Normal 10 28" xfId="50610" xr:uid="{00000000-0005-0000-0000-00005F990000}"/>
    <cellStyle name="Normal 10 29" xfId="52293" xr:uid="{00000000-0005-0000-0000-000060990000}"/>
    <cellStyle name="Normal 10 3" xfId="326" xr:uid="{00000000-0005-0000-0000-000061990000}"/>
    <cellStyle name="Normal 10 3 10" xfId="10425" xr:uid="{00000000-0005-0000-0000-000062990000}"/>
    <cellStyle name="Normal 10 3 10 2" xfId="25574" xr:uid="{00000000-0005-0000-0000-000063990000}"/>
    <cellStyle name="Normal 10 3 11" xfId="12109" xr:uid="{00000000-0005-0000-0000-000064990000}"/>
    <cellStyle name="Normal 10 3 11 2" xfId="27258" xr:uid="{00000000-0005-0000-0000-000065990000}"/>
    <cellStyle name="Normal 10 3 12" xfId="13792" xr:uid="{00000000-0005-0000-0000-000066990000}"/>
    <cellStyle name="Normal 10 3 12 2" xfId="28941" xr:uid="{00000000-0005-0000-0000-000067990000}"/>
    <cellStyle name="Normal 10 3 13" xfId="15475" xr:uid="{00000000-0005-0000-0000-000068990000}"/>
    <cellStyle name="Normal 10 3 14" xfId="30624" xr:uid="{00000000-0005-0000-0000-000069990000}"/>
    <cellStyle name="Normal 10 3 15" xfId="32307" xr:uid="{00000000-0005-0000-0000-00006A990000}"/>
    <cellStyle name="Normal 10 3 16" xfId="33990" xr:uid="{00000000-0005-0000-0000-00006B990000}"/>
    <cellStyle name="Normal 10 3 17" xfId="35673" xr:uid="{00000000-0005-0000-0000-00006C990000}"/>
    <cellStyle name="Normal 10 3 18" xfId="37356" xr:uid="{00000000-0005-0000-0000-00006D990000}"/>
    <cellStyle name="Normal 10 3 19" xfId="39039" xr:uid="{00000000-0005-0000-0000-00006E990000}"/>
    <cellStyle name="Normal 10 3 2" xfId="746" xr:uid="{00000000-0005-0000-0000-00006F990000}"/>
    <cellStyle name="Normal 10 3 2 10" xfId="15895" xr:uid="{00000000-0005-0000-0000-000070990000}"/>
    <cellStyle name="Normal 10 3 2 11" xfId="31044" xr:uid="{00000000-0005-0000-0000-000071990000}"/>
    <cellStyle name="Normal 10 3 2 12" xfId="32727" xr:uid="{00000000-0005-0000-0000-000072990000}"/>
    <cellStyle name="Normal 10 3 2 13" xfId="34410" xr:uid="{00000000-0005-0000-0000-000073990000}"/>
    <cellStyle name="Normal 10 3 2 14" xfId="36093" xr:uid="{00000000-0005-0000-0000-000074990000}"/>
    <cellStyle name="Normal 10 3 2 15" xfId="37776" xr:uid="{00000000-0005-0000-0000-000075990000}"/>
    <cellStyle name="Normal 10 3 2 16" xfId="39459" xr:uid="{00000000-0005-0000-0000-000076990000}"/>
    <cellStyle name="Normal 10 3 2 17" xfId="41142" xr:uid="{00000000-0005-0000-0000-000077990000}"/>
    <cellStyle name="Normal 10 3 2 18" xfId="42825" xr:uid="{00000000-0005-0000-0000-000078990000}"/>
    <cellStyle name="Normal 10 3 2 19" xfId="44508" xr:uid="{00000000-0005-0000-0000-000079990000}"/>
    <cellStyle name="Normal 10 3 2 2" xfId="2429" xr:uid="{00000000-0005-0000-0000-00007A990000}"/>
    <cellStyle name="Normal 10 3 2 2 2" xfId="17578" xr:uid="{00000000-0005-0000-0000-00007B990000}"/>
    <cellStyle name="Normal 10 3 2 20" xfId="46191" xr:uid="{00000000-0005-0000-0000-00007C990000}"/>
    <cellStyle name="Normal 10 3 2 21" xfId="47874" xr:uid="{00000000-0005-0000-0000-00007D990000}"/>
    <cellStyle name="Normal 10 3 2 22" xfId="49557" xr:uid="{00000000-0005-0000-0000-00007E990000}"/>
    <cellStyle name="Normal 10 3 2 23" xfId="51240" xr:uid="{00000000-0005-0000-0000-00007F990000}"/>
    <cellStyle name="Normal 10 3 2 24" xfId="52923" xr:uid="{00000000-0005-0000-0000-000080990000}"/>
    <cellStyle name="Normal 10 3 2 25" xfId="54606" xr:uid="{00000000-0005-0000-0000-000081990000}"/>
    <cellStyle name="Normal 10 3 2 26" xfId="56289" xr:uid="{00000000-0005-0000-0000-000082990000}"/>
    <cellStyle name="Normal 10 3 2 27" xfId="57972" xr:uid="{00000000-0005-0000-0000-000083990000}"/>
    <cellStyle name="Normal 10 3 2 28" xfId="59655" xr:uid="{00000000-0005-0000-0000-000084990000}"/>
    <cellStyle name="Normal 10 3 2 29" xfId="61338" xr:uid="{00000000-0005-0000-0000-000085990000}"/>
    <cellStyle name="Normal 10 3 2 3" xfId="4113" xr:uid="{00000000-0005-0000-0000-000086990000}"/>
    <cellStyle name="Normal 10 3 2 3 2" xfId="19262" xr:uid="{00000000-0005-0000-0000-000087990000}"/>
    <cellStyle name="Normal 10 3 2 30" xfId="63021" xr:uid="{00000000-0005-0000-0000-000088990000}"/>
    <cellStyle name="Normal 10 3 2 4" xfId="5796" xr:uid="{00000000-0005-0000-0000-000089990000}"/>
    <cellStyle name="Normal 10 3 2 4 2" xfId="20945" xr:uid="{00000000-0005-0000-0000-00008A990000}"/>
    <cellStyle name="Normal 10 3 2 5" xfId="7479" xr:uid="{00000000-0005-0000-0000-00008B990000}"/>
    <cellStyle name="Normal 10 3 2 5 2" xfId="22628" xr:uid="{00000000-0005-0000-0000-00008C990000}"/>
    <cellStyle name="Normal 10 3 2 6" xfId="9162" xr:uid="{00000000-0005-0000-0000-00008D990000}"/>
    <cellStyle name="Normal 10 3 2 6 2" xfId="24311" xr:uid="{00000000-0005-0000-0000-00008E990000}"/>
    <cellStyle name="Normal 10 3 2 7" xfId="10845" xr:uid="{00000000-0005-0000-0000-00008F990000}"/>
    <cellStyle name="Normal 10 3 2 7 2" xfId="25994" xr:uid="{00000000-0005-0000-0000-000090990000}"/>
    <cellStyle name="Normal 10 3 2 8" xfId="12529" xr:uid="{00000000-0005-0000-0000-000091990000}"/>
    <cellStyle name="Normal 10 3 2 8 2" xfId="27678" xr:uid="{00000000-0005-0000-0000-000092990000}"/>
    <cellStyle name="Normal 10 3 2 9" xfId="14212" xr:uid="{00000000-0005-0000-0000-000093990000}"/>
    <cellStyle name="Normal 10 3 2 9 2" xfId="29361" xr:uid="{00000000-0005-0000-0000-000094990000}"/>
    <cellStyle name="Normal 10 3 20" xfId="40722" xr:uid="{00000000-0005-0000-0000-000095990000}"/>
    <cellStyle name="Normal 10 3 21" xfId="42405" xr:uid="{00000000-0005-0000-0000-000096990000}"/>
    <cellStyle name="Normal 10 3 22" xfId="44088" xr:uid="{00000000-0005-0000-0000-000097990000}"/>
    <cellStyle name="Normal 10 3 23" xfId="45771" xr:uid="{00000000-0005-0000-0000-000098990000}"/>
    <cellStyle name="Normal 10 3 24" xfId="47454" xr:uid="{00000000-0005-0000-0000-000099990000}"/>
    <cellStyle name="Normal 10 3 25" xfId="49137" xr:uid="{00000000-0005-0000-0000-00009A990000}"/>
    <cellStyle name="Normal 10 3 26" xfId="50820" xr:uid="{00000000-0005-0000-0000-00009B990000}"/>
    <cellStyle name="Normal 10 3 27" xfId="52503" xr:uid="{00000000-0005-0000-0000-00009C990000}"/>
    <cellStyle name="Normal 10 3 28" xfId="54186" xr:uid="{00000000-0005-0000-0000-00009D990000}"/>
    <cellStyle name="Normal 10 3 29" xfId="55869" xr:uid="{00000000-0005-0000-0000-00009E990000}"/>
    <cellStyle name="Normal 10 3 3" xfId="1167" xr:uid="{00000000-0005-0000-0000-00009F990000}"/>
    <cellStyle name="Normal 10 3 3 10" xfId="16316" xr:uid="{00000000-0005-0000-0000-0000A0990000}"/>
    <cellStyle name="Normal 10 3 3 11" xfId="31465" xr:uid="{00000000-0005-0000-0000-0000A1990000}"/>
    <cellStyle name="Normal 10 3 3 12" xfId="33148" xr:uid="{00000000-0005-0000-0000-0000A2990000}"/>
    <cellStyle name="Normal 10 3 3 13" xfId="34831" xr:uid="{00000000-0005-0000-0000-0000A3990000}"/>
    <cellStyle name="Normal 10 3 3 14" xfId="36514" xr:uid="{00000000-0005-0000-0000-0000A4990000}"/>
    <cellStyle name="Normal 10 3 3 15" xfId="38197" xr:uid="{00000000-0005-0000-0000-0000A5990000}"/>
    <cellStyle name="Normal 10 3 3 16" xfId="39880" xr:uid="{00000000-0005-0000-0000-0000A6990000}"/>
    <cellStyle name="Normal 10 3 3 17" xfId="41563" xr:uid="{00000000-0005-0000-0000-0000A7990000}"/>
    <cellStyle name="Normal 10 3 3 18" xfId="43246" xr:uid="{00000000-0005-0000-0000-0000A8990000}"/>
    <cellStyle name="Normal 10 3 3 19" xfId="44929" xr:uid="{00000000-0005-0000-0000-0000A9990000}"/>
    <cellStyle name="Normal 10 3 3 2" xfId="2850" xr:uid="{00000000-0005-0000-0000-0000AA990000}"/>
    <cellStyle name="Normal 10 3 3 2 2" xfId="17999" xr:uid="{00000000-0005-0000-0000-0000AB990000}"/>
    <cellStyle name="Normal 10 3 3 20" xfId="46612" xr:uid="{00000000-0005-0000-0000-0000AC990000}"/>
    <cellStyle name="Normal 10 3 3 21" xfId="48295" xr:uid="{00000000-0005-0000-0000-0000AD990000}"/>
    <cellStyle name="Normal 10 3 3 22" xfId="49978" xr:uid="{00000000-0005-0000-0000-0000AE990000}"/>
    <cellStyle name="Normal 10 3 3 23" xfId="51661" xr:uid="{00000000-0005-0000-0000-0000AF990000}"/>
    <cellStyle name="Normal 10 3 3 24" xfId="53344" xr:uid="{00000000-0005-0000-0000-0000B0990000}"/>
    <cellStyle name="Normal 10 3 3 25" xfId="55027" xr:uid="{00000000-0005-0000-0000-0000B1990000}"/>
    <cellStyle name="Normal 10 3 3 26" xfId="56710" xr:uid="{00000000-0005-0000-0000-0000B2990000}"/>
    <cellStyle name="Normal 10 3 3 27" xfId="58393" xr:uid="{00000000-0005-0000-0000-0000B3990000}"/>
    <cellStyle name="Normal 10 3 3 28" xfId="60076" xr:uid="{00000000-0005-0000-0000-0000B4990000}"/>
    <cellStyle name="Normal 10 3 3 29" xfId="61759" xr:uid="{00000000-0005-0000-0000-0000B5990000}"/>
    <cellStyle name="Normal 10 3 3 3" xfId="4534" xr:uid="{00000000-0005-0000-0000-0000B6990000}"/>
    <cellStyle name="Normal 10 3 3 3 2" xfId="19683" xr:uid="{00000000-0005-0000-0000-0000B7990000}"/>
    <cellStyle name="Normal 10 3 3 30" xfId="63442" xr:uid="{00000000-0005-0000-0000-0000B8990000}"/>
    <cellStyle name="Normal 10 3 3 4" xfId="6217" xr:uid="{00000000-0005-0000-0000-0000B9990000}"/>
    <cellStyle name="Normal 10 3 3 4 2" xfId="21366" xr:uid="{00000000-0005-0000-0000-0000BA990000}"/>
    <cellStyle name="Normal 10 3 3 5" xfId="7900" xr:uid="{00000000-0005-0000-0000-0000BB990000}"/>
    <cellStyle name="Normal 10 3 3 5 2" xfId="23049" xr:uid="{00000000-0005-0000-0000-0000BC990000}"/>
    <cellStyle name="Normal 10 3 3 6" xfId="9583" xr:uid="{00000000-0005-0000-0000-0000BD990000}"/>
    <cellStyle name="Normal 10 3 3 6 2" xfId="24732" xr:uid="{00000000-0005-0000-0000-0000BE990000}"/>
    <cellStyle name="Normal 10 3 3 7" xfId="11266" xr:uid="{00000000-0005-0000-0000-0000BF990000}"/>
    <cellStyle name="Normal 10 3 3 7 2" xfId="26415" xr:uid="{00000000-0005-0000-0000-0000C0990000}"/>
    <cellStyle name="Normal 10 3 3 8" xfId="12950" xr:uid="{00000000-0005-0000-0000-0000C1990000}"/>
    <cellStyle name="Normal 10 3 3 8 2" xfId="28099" xr:uid="{00000000-0005-0000-0000-0000C2990000}"/>
    <cellStyle name="Normal 10 3 3 9" xfId="14633" xr:uid="{00000000-0005-0000-0000-0000C3990000}"/>
    <cellStyle name="Normal 10 3 3 9 2" xfId="29782" xr:uid="{00000000-0005-0000-0000-0000C4990000}"/>
    <cellStyle name="Normal 10 3 30" xfId="57552" xr:uid="{00000000-0005-0000-0000-0000C5990000}"/>
    <cellStyle name="Normal 10 3 31" xfId="59235" xr:uid="{00000000-0005-0000-0000-0000C6990000}"/>
    <cellStyle name="Normal 10 3 32" xfId="60918" xr:uid="{00000000-0005-0000-0000-0000C7990000}"/>
    <cellStyle name="Normal 10 3 33" xfId="62601" xr:uid="{00000000-0005-0000-0000-0000C8990000}"/>
    <cellStyle name="Normal 10 3 4" xfId="1588" xr:uid="{00000000-0005-0000-0000-0000C9990000}"/>
    <cellStyle name="Normal 10 3 4 10" xfId="16737" xr:uid="{00000000-0005-0000-0000-0000CA990000}"/>
    <cellStyle name="Normal 10 3 4 11" xfId="31886" xr:uid="{00000000-0005-0000-0000-0000CB990000}"/>
    <cellStyle name="Normal 10 3 4 12" xfId="33569" xr:uid="{00000000-0005-0000-0000-0000CC990000}"/>
    <cellStyle name="Normal 10 3 4 13" xfId="35252" xr:uid="{00000000-0005-0000-0000-0000CD990000}"/>
    <cellStyle name="Normal 10 3 4 14" xfId="36935" xr:uid="{00000000-0005-0000-0000-0000CE990000}"/>
    <cellStyle name="Normal 10 3 4 15" xfId="38618" xr:uid="{00000000-0005-0000-0000-0000CF990000}"/>
    <cellStyle name="Normal 10 3 4 16" xfId="40301" xr:uid="{00000000-0005-0000-0000-0000D0990000}"/>
    <cellStyle name="Normal 10 3 4 17" xfId="41984" xr:uid="{00000000-0005-0000-0000-0000D1990000}"/>
    <cellStyle name="Normal 10 3 4 18" xfId="43667" xr:uid="{00000000-0005-0000-0000-0000D2990000}"/>
    <cellStyle name="Normal 10 3 4 19" xfId="45350" xr:uid="{00000000-0005-0000-0000-0000D3990000}"/>
    <cellStyle name="Normal 10 3 4 2" xfId="3271" xr:uid="{00000000-0005-0000-0000-0000D4990000}"/>
    <cellStyle name="Normal 10 3 4 2 2" xfId="18420" xr:uid="{00000000-0005-0000-0000-0000D5990000}"/>
    <cellStyle name="Normal 10 3 4 20" xfId="47033" xr:uid="{00000000-0005-0000-0000-0000D6990000}"/>
    <cellStyle name="Normal 10 3 4 21" xfId="48716" xr:uid="{00000000-0005-0000-0000-0000D7990000}"/>
    <cellStyle name="Normal 10 3 4 22" xfId="50399" xr:uid="{00000000-0005-0000-0000-0000D8990000}"/>
    <cellStyle name="Normal 10 3 4 23" xfId="52082" xr:uid="{00000000-0005-0000-0000-0000D9990000}"/>
    <cellStyle name="Normal 10 3 4 24" xfId="53765" xr:uid="{00000000-0005-0000-0000-0000DA990000}"/>
    <cellStyle name="Normal 10 3 4 25" xfId="55448" xr:uid="{00000000-0005-0000-0000-0000DB990000}"/>
    <cellStyle name="Normal 10 3 4 26" xfId="57131" xr:uid="{00000000-0005-0000-0000-0000DC990000}"/>
    <cellStyle name="Normal 10 3 4 27" xfId="58814" xr:uid="{00000000-0005-0000-0000-0000DD990000}"/>
    <cellStyle name="Normal 10 3 4 28" xfId="60497" xr:uid="{00000000-0005-0000-0000-0000DE990000}"/>
    <cellStyle name="Normal 10 3 4 29" xfId="62180" xr:uid="{00000000-0005-0000-0000-0000DF990000}"/>
    <cellStyle name="Normal 10 3 4 3" xfId="4955" xr:uid="{00000000-0005-0000-0000-0000E0990000}"/>
    <cellStyle name="Normal 10 3 4 3 2" xfId="20104" xr:uid="{00000000-0005-0000-0000-0000E1990000}"/>
    <cellStyle name="Normal 10 3 4 30" xfId="63863" xr:uid="{00000000-0005-0000-0000-0000E2990000}"/>
    <cellStyle name="Normal 10 3 4 4" xfId="6638" xr:uid="{00000000-0005-0000-0000-0000E3990000}"/>
    <cellStyle name="Normal 10 3 4 4 2" xfId="21787" xr:uid="{00000000-0005-0000-0000-0000E4990000}"/>
    <cellStyle name="Normal 10 3 4 5" xfId="8321" xr:uid="{00000000-0005-0000-0000-0000E5990000}"/>
    <cellStyle name="Normal 10 3 4 5 2" xfId="23470" xr:uid="{00000000-0005-0000-0000-0000E6990000}"/>
    <cellStyle name="Normal 10 3 4 6" xfId="10004" xr:uid="{00000000-0005-0000-0000-0000E7990000}"/>
    <cellStyle name="Normal 10 3 4 6 2" xfId="25153" xr:uid="{00000000-0005-0000-0000-0000E8990000}"/>
    <cellStyle name="Normal 10 3 4 7" xfId="11687" xr:uid="{00000000-0005-0000-0000-0000E9990000}"/>
    <cellStyle name="Normal 10 3 4 7 2" xfId="26836" xr:uid="{00000000-0005-0000-0000-0000EA990000}"/>
    <cellStyle name="Normal 10 3 4 8" xfId="13371" xr:uid="{00000000-0005-0000-0000-0000EB990000}"/>
    <cellStyle name="Normal 10 3 4 8 2" xfId="28520" xr:uid="{00000000-0005-0000-0000-0000EC990000}"/>
    <cellStyle name="Normal 10 3 4 9" xfId="15054" xr:uid="{00000000-0005-0000-0000-0000ED990000}"/>
    <cellStyle name="Normal 10 3 4 9 2" xfId="30203" xr:uid="{00000000-0005-0000-0000-0000EE990000}"/>
    <cellStyle name="Normal 10 3 5" xfId="2009" xr:uid="{00000000-0005-0000-0000-0000EF990000}"/>
    <cellStyle name="Normal 10 3 5 2" xfId="17158" xr:uid="{00000000-0005-0000-0000-0000F0990000}"/>
    <cellStyle name="Normal 10 3 6" xfId="3693" xr:uid="{00000000-0005-0000-0000-0000F1990000}"/>
    <cellStyle name="Normal 10 3 6 2" xfId="18842" xr:uid="{00000000-0005-0000-0000-0000F2990000}"/>
    <cellStyle name="Normal 10 3 7" xfId="5376" xr:uid="{00000000-0005-0000-0000-0000F3990000}"/>
    <cellStyle name="Normal 10 3 7 2" xfId="20525" xr:uid="{00000000-0005-0000-0000-0000F4990000}"/>
    <cellStyle name="Normal 10 3 8" xfId="7059" xr:uid="{00000000-0005-0000-0000-0000F5990000}"/>
    <cellStyle name="Normal 10 3 8 2" xfId="22208" xr:uid="{00000000-0005-0000-0000-0000F6990000}"/>
    <cellStyle name="Normal 10 3 9" xfId="8742" xr:uid="{00000000-0005-0000-0000-0000F7990000}"/>
    <cellStyle name="Normal 10 3 9 2" xfId="23891" xr:uid="{00000000-0005-0000-0000-0000F8990000}"/>
    <cellStyle name="Normal 10 30" xfId="53976" xr:uid="{00000000-0005-0000-0000-0000F9990000}"/>
    <cellStyle name="Normal 10 31" xfId="55659" xr:uid="{00000000-0005-0000-0000-0000FA990000}"/>
    <cellStyle name="Normal 10 32" xfId="57342" xr:uid="{00000000-0005-0000-0000-0000FB990000}"/>
    <cellStyle name="Normal 10 33" xfId="59025" xr:uid="{00000000-0005-0000-0000-0000FC990000}"/>
    <cellStyle name="Normal 10 34" xfId="60708" xr:uid="{00000000-0005-0000-0000-0000FD990000}"/>
    <cellStyle name="Normal 10 35" xfId="62391" xr:uid="{00000000-0005-0000-0000-0000FE990000}"/>
    <cellStyle name="Normal 10 4" xfId="536" xr:uid="{00000000-0005-0000-0000-0000FF990000}"/>
    <cellStyle name="Normal 10 4 10" xfId="15685" xr:uid="{00000000-0005-0000-0000-0000009A0000}"/>
    <cellStyle name="Normal 10 4 11" xfId="30834" xr:uid="{00000000-0005-0000-0000-0000019A0000}"/>
    <cellStyle name="Normal 10 4 12" xfId="32517" xr:uid="{00000000-0005-0000-0000-0000029A0000}"/>
    <cellStyle name="Normal 10 4 13" xfId="34200" xr:uid="{00000000-0005-0000-0000-0000039A0000}"/>
    <cellStyle name="Normal 10 4 14" xfId="35883" xr:uid="{00000000-0005-0000-0000-0000049A0000}"/>
    <cellStyle name="Normal 10 4 15" xfId="37566" xr:uid="{00000000-0005-0000-0000-0000059A0000}"/>
    <cellStyle name="Normal 10 4 16" xfId="39249" xr:uid="{00000000-0005-0000-0000-0000069A0000}"/>
    <cellStyle name="Normal 10 4 17" xfId="40932" xr:uid="{00000000-0005-0000-0000-0000079A0000}"/>
    <cellStyle name="Normal 10 4 18" xfId="42615" xr:uid="{00000000-0005-0000-0000-0000089A0000}"/>
    <cellStyle name="Normal 10 4 19" xfId="44298" xr:uid="{00000000-0005-0000-0000-0000099A0000}"/>
    <cellStyle name="Normal 10 4 2" xfId="2219" xr:uid="{00000000-0005-0000-0000-00000A9A0000}"/>
    <cellStyle name="Normal 10 4 2 2" xfId="17368" xr:uid="{00000000-0005-0000-0000-00000B9A0000}"/>
    <cellStyle name="Normal 10 4 20" xfId="45981" xr:uid="{00000000-0005-0000-0000-00000C9A0000}"/>
    <cellStyle name="Normal 10 4 21" xfId="47664" xr:uid="{00000000-0005-0000-0000-00000D9A0000}"/>
    <cellStyle name="Normal 10 4 22" xfId="49347" xr:uid="{00000000-0005-0000-0000-00000E9A0000}"/>
    <cellStyle name="Normal 10 4 23" xfId="51030" xr:uid="{00000000-0005-0000-0000-00000F9A0000}"/>
    <cellStyle name="Normal 10 4 24" xfId="52713" xr:uid="{00000000-0005-0000-0000-0000109A0000}"/>
    <cellStyle name="Normal 10 4 25" xfId="54396" xr:uid="{00000000-0005-0000-0000-0000119A0000}"/>
    <cellStyle name="Normal 10 4 26" xfId="56079" xr:uid="{00000000-0005-0000-0000-0000129A0000}"/>
    <cellStyle name="Normal 10 4 27" xfId="57762" xr:uid="{00000000-0005-0000-0000-0000139A0000}"/>
    <cellStyle name="Normal 10 4 28" xfId="59445" xr:uid="{00000000-0005-0000-0000-0000149A0000}"/>
    <cellStyle name="Normal 10 4 29" xfId="61128" xr:uid="{00000000-0005-0000-0000-0000159A0000}"/>
    <cellStyle name="Normal 10 4 3" xfId="3903" xr:uid="{00000000-0005-0000-0000-0000169A0000}"/>
    <cellStyle name="Normal 10 4 3 2" xfId="19052" xr:uid="{00000000-0005-0000-0000-0000179A0000}"/>
    <cellStyle name="Normal 10 4 30" xfId="62811" xr:uid="{00000000-0005-0000-0000-0000189A0000}"/>
    <cellStyle name="Normal 10 4 4" xfId="5586" xr:uid="{00000000-0005-0000-0000-0000199A0000}"/>
    <cellStyle name="Normal 10 4 4 2" xfId="20735" xr:uid="{00000000-0005-0000-0000-00001A9A0000}"/>
    <cellStyle name="Normal 10 4 5" xfId="7269" xr:uid="{00000000-0005-0000-0000-00001B9A0000}"/>
    <cellStyle name="Normal 10 4 5 2" xfId="22418" xr:uid="{00000000-0005-0000-0000-00001C9A0000}"/>
    <cellStyle name="Normal 10 4 6" xfId="8952" xr:uid="{00000000-0005-0000-0000-00001D9A0000}"/>
    <cellStyle name="Normal 10 4 6 2" xfId="24101" xr:uid="{00000000-0005-0000-0000-00001E9A0000}"/>
    <cellStyle name="Normal 10 4 7" xfId="10635" xr:uid="{00000000-0005-0000-0000-00001F9A0000}"/>
    <cellStyle name="Normal 10 4 7 2" xfId="25784" xr:uid="{00000000-0005-0000-0000-0000209A0000}"/>
    <cellStyle name="Normal 10 4 8" xfId="12319" xr:uid="{00000000-0005-0000-0000-0000219A0000}"/>
    <cellStyle name="Normal 10 4 8 2" xfId="27468" xr:uid="{00000000-0005-0000-0000-0000229A0000}"/>
    <cellStyle name="Normal 10 4 9" xfId="14002" xr:uid="{00000000-0005-0000-0000-0000239A0000}"/>
    <cellStyle name="Normal 10 4 9 2" xfId="29151" xr:uid="{00000000-0005-0000-0000-0000249A0000}"/>
    <cellStyle name="Normal 10 5" xfId="957" xr:uid="{00000000-0005-0000-0000-0000259A0000}"/>
    <cellStyle name="Normal 10 5 10" xfId="16106" xr:uid="{00000000-0005-0000-0000-0000269A0000}"/>
    <cellStyle name="Normal 10 5 11" xfId="31255" xr:uid="{00000000-0005-0000-0000-0000279A0000}"/>
    <cellStyle name="Normal 10 5 12" xfId="32938" xr:uid="{00000000-0005-0000-0000-0000289A0000}"/>
    <cellStyle name="Normal 10 5 13" xfId="34621" xr:uid="{00000000-0005-0000-0000-0000299A0000}"/>
    <cellStyle name="Normal 10 5 14" xfId="36304" xr:uid="{00000000-0005-0000-0000-00002A9A0000}"/>
    <cellStyle name="Normal 10 5 15" xfId="37987" xr:uid="{00000000-0005-0000-0000-00002B9A0000}"/>
    <cellStyle name="Normal 10 5 16" xfId="39670" xr:uid="{00000000-0005-0000-0000-00002C9A0000}"/>
    <cellStyle name="Normal 10 5 17" xfId="41353" xr:uid="{00000000-0005-0000-0000-00002D9A0000}"/>
    <cellStyle name="Normal 10 5 18" xfId="43036" xr:uid="{00000000-0005-0000-0000-00002E9A0000}"/>
    <cellStyle name="Normal 10 5 19" xfId="44719" xr:uid="{00000000-0005-0000-0000-00002F9A0000}"/>
    <cellStyle name="Normal 10 5 2" xfId="2640" xr:uid="{00000000-0005-0000-0000-0000309A0000}"/>
    <cellStyle name="Normal 10 5 2 2" xfId="17789" xr:uid="{00000000-0005-0000-0000-0000319A0000}"/>
    <cellStyle name="Normal 10 5 20" xfId="46402" xr:uid="{00000000-0005-0000-0000-0000329A0000}"/>
    <cellStyle name="Normal 10 5 21" xfId="48085" xr:uid="{00000000-0005-0000-0000-0000339A0000}"/>
    <cellStyle name="Normal 10 5 22" xfId="49768" xr:uid="{00000000-0005-0000-0000-0000349A0000}"/>
    <cellStyle name="Normal 10 5 23" xfId="51451" xr:uid="{00000000-0005-0000-0000-0000359A0000}"/>
    <cellStyle name="Normal 10 5 24" xfId="53134" xr:uid="{00000000-0005-0000-0000-0000369A0000}"/>
    <cellStyle name="Normal 10 5 25" xfId="54817" xr:uid="{00000000-0005-0000-0000-0000379A0000}"/>
    <cellStyle name="Normal 10 5 26" xfId="56500" xr:uid="{00000000-0005-0000-0000-0000389A0000}"/>
    <cellStyle name="Normal 10 5 27" xfId="58183" xr:uid="{00000000-0005-0000-0000-0000399A0000}"/>
    <cellStyle name="Normal 10 5 28" xfId="59866" xr:uid="{00000000-0005-0000-0000-00003A9A0000}"/>
    <cellStyle name="Normal 10 5 29" xfId="61549" xr:uid="{00000000-0005-0000-0000-00003B9A0000}"/>
    <cellStyle name="Normal 10 5 3" xfId="4324" xr:uid="{00000000-0005-0000-0000-00003C9A0000}"/>
    <cellStyle name="Normal 10 5 3 2" xfId="19473" xr:uid="{00000000-0005-0000-0000-00003D9A0000}"/>
    <cellStyle name="Normal 10 5 30" xfId="63232" xr:uid="{00000000-0005-0000-0000-00003E9A0000}"/>
    <cellStyle name="Normal 10 5 4" xfId="6007" xr:uid="{00000000-0005-0000-0000-00003F9A0000}"/>
    <cellStyle name="Normal 10 5 4 2" xfId="21156" xr:uid="{00000000-0005-0000-0000-0000409A0000}"/>
    <cellStyle name="Normal 10 5 5" xfId="7690" xr:uid="{00000000-0005-0000-0000-0000419A0000}"/>
    <cellStyle name="Normal 10 5 5 2" xfId="22839" xr:uid="{00000000-0005-0000-0000-0000429A0000}"/>
    <cellStyle name="Normal 10 5 6" xfId="9373" xr:uid="{00000000-0005-0000-0000-0000439A0000}"/>
    <cellStyle name="Normal 10 5 6 2" xfId="24522" xr:uid="{00000000-0005-0000-0000-0000449A0000}"/>
    <cellStyle name="Normal 10 5 7" xfId="11056" xr:uid="{00000000-0005-0000-0000-0000459A0000}"/>
    <cellStyle name="Normal 10 5 7 2" xfId="26205" xr:uid="{00000000-0005-0000-0000-0000469A0000}"/>
    <cellStyle name="Normal 10 5 8" xfId="12740" xr:uid="{00000000-0005-0000-0000-0000479A0000}"/>
    <cellStyle name="Normal 10 5 8 2" xfId="27889" xr:uid="{00000000-0005-0000-0000-0000489A0000}"/>
    <cellStyle name="Normal 10 5 9" xfId="14423" xr:uid="{00000000-0005-0000-0000-0000499A0000}"/>
    <cellStyle name="Normal 10 5 9 2" xfId="29572" xr:uid="{00000000-0005-0000-0000-00004A9A0000}"/>
    <cellStyle name="Normal 10 6" xfId="1378" xr:uid="{00000000-0005-0000-0000-00004B9A0000}"/>
    <cellStyle name="Normal 10 6 10" xfId="16527" xr:uid="{00000000-0005-0000-0000-00004C9A0000}"/>
    <cellStyle name="Normal 10 6 11" xfId="31676" xr:uid="{00000000-0005-0000-0000-00004D9A0000}"/>
    <cellStyle name="Normal 10 6 12" xfId="33359" xr:uid="{00000000-0005-0000-0000-00004E9A0000}"/>
    <cellStyle name="Normal 10 6 13" xfId="35042" xr:uid="{00000000-0005-0000-0000-00004F9A0000}"/>
    <cellStyle name="Normal 10 6 14" xfId="36725" xr:uid="{00000000-0005-0000-0000-0000509A0000}"/>
    <cellStyle name="Normal 10 6 15" xfId="38408" xr:uid="{00000000-0005-0000-0000-0000519A0000}"/>
    <cellStyle name="Normal 10 6 16" xfId="40091" xr:uid="{00000000-0005-0000-0000-0000529A0000}"/>
    <cellStyle name="Normal 10 6 17" xfId="41774" xr:uid="{00000000-0005-0000-0000-0000539A0000}"/>
    <cellStyle name="Normal 10 6 18" xfId="43457" xr:uid="{00000000-0005-0000-0000-0000549A0000}"/>
    <cellStyle name="Normal 10 6 19" xfId="45140" xr:uid="{00000000-0005-0000-0000-0000559A0000}"/>
    <cellStyle name="Normal 10 6 2" xfId="3061" xr:uid="{00000000-0005-0000-0000-0000569A0000}"/>
    <cellStyle name="Normal 10 6 2 2" xfId="18210" xr:uid="{00000000-0005-0000-0000-0000579A0000}"/>
    <cellStyle name="Normal 10 6 20" xfId="46823" xr:uid="{00000000-0005-0000-0000-0000589A0000}"/>
    <cellStyle name="Normal 10 6 21" xfId="48506" xr:uid="{00000000-0005-0000-0000-0000599A0000}"/>
    <cellStyle name="Normal 10 6 22" xfId="50189" xr:uid="{00000000-0005-0000-0000-00005A9A0000}"/>
    <cellStyle name="Normal 10 6 23" xfId="51872" xr:uid="{00000000-0005-0000-0000-00005B9A0000}"/>
    <cellStyle name="Normal 10 6 24" xfId="53555" xr:uid="{00000000-0005-0000-0000-00005C9A0000}"/>
    <cellStyle name="Normal 10 6 25" xfId="55238" xr:uid="{00000000-0005-0000-0000-00005D9A0000}"/>
    <cellStyle name="Normal 10 6 26" xfId="56921" xr:uid="{00000000-0005-0000-0000-00005E9A0000}"/>
    <cellStyle name="Normal 10 6 27" xfId="58604" xr:uid="{00000000-0005-0000-0000-00005F9A0000}"/>
    <cellStyle name="Normal 10 6 28" xfId="60287" xr:uid="{00000000-0005-0000-0000-0000609A0000}"/>
    <cellStyle name="Normal 10 6 29" xfId="61970" xr:uid="{00000000-0005-0000-0000-0000619A0000}"/>
    <cellStyle name="Normal 10 6 3" xfId="4745" xr:uid="{00000000-0005-0000-0000-0000629A0000}"/>
    <cellStyle name="Normal 10 6 3 2" xfId="19894" xr:uid="{00000000-0005-0000-0000-0000639A0000}"/>
    <cellStyle name="Normal 10 6 30" xfId="63653" xr:uid="{00000000-0005-0000-0000-0000649A0000}"/>
    <cellStyle name="Normal 10 6 4" xfId="6428" xr:uid="{00000000-0005-0000-0000-0000659A0000}"/>
    <cellStyle name="Normal 10 6 4 2" xfId="21577" xr:uid="{00000000-0005-0000-0000-0000669A0000}"/>
    <cellStyle name="Normal 10 6 5" xfId="8111" xr:uid="{00000000-0005-0000-0000-0000679A0000}"/>
    <cellStyle name="Normal 10 6 5 2" xfId="23260" xr:uid="{00000000-0005-0000-0000-0000689A0000}"/>
    <cellStyle name="Normal 10 6 6" xfId="9794" xr:uid="{00000000-0005-0000-0000-0000699A0000}"/>
    <cellStyle name="Normal 10 6 6 2" xfId="24943" xr:uid="{00000000-0005-0000-0000-00006A9A0000}"/>
    <cellStyle name="Normal 10 6 7" xfId="11477" xr:uid="{00000000-0005-0000-0000-00006B9A0000}"/>
    <cellStyle name="Normal 10 6 7 2" xfId="26626" xr:uid="{00000000-0005-0000-0000-00006C9A0000}"/>
    <cellStyle name="Normal 10 6 8" xfId="13161" xr:uid="{00000000-0005-0000-0000-00006D9A0000}"/>
    <cellStyle name="Normal 10 6 8 2" xfId="28310" xr:uid="{00000000-0005-0000-0000-00006E9A0000}"/>
    <cellStyle name="Normal 10 6 9" xfId="14844" xr:uid="{00000000-0005-0000-0000-00006F9A0000}"/>
    <cellStyle name="Normal 10 6 9 2" xfId="29993" xr:uid="{00000000-0005-0000-0000-0000709A0000}"/>
    <cellStyle name="Normal 10 7" xfId="1799" xr:uid="{00000000-0005-0000-0000-0000719A0000}"/>
    <cellStyle name="Normal 10 7 2" xfId="16948" xr:uid="{00000000-0005-0000-0000-0000729A0000}"/>
    <cellStyle name="Normal 10 8" xfId="3483" xr:uid="{00000000-0005-0000-0000-0000739A0000}"/>
    <cellStyle name="Normal 10 8 2" xfId="18632" xr:uid="{00000000-0005-0000-0000-0000749A0000}"/>
    <cellStyle name="Normal 10 9" xfId="5166" xr:uid="{00000000-0005-0000-0000-0000759A0000}"/>
    <cellStyle name="Normal 10 9 2" xfId="20315" xr:uid="{00000000-0005-0000-0000-0000769A0000}"/>
    <cellStyle name="Normal 11" xfId="871" xr:uid="{00000000-0005-0000-0000-0000779A0000}"/>
    <cellStyle name="Normal 11 10" xfId="12654" xr:uid="{00000000-0005-0000-0000-0000789A0000}"/>
    <cellStyle name="Normal 11 10 2" xfId="27803" xr:uid="{00000000-0005-0000-0000-0000799A0000}"/>
    <cellStyle name="Normal 11 11" xfId="14337" xr:uid="{00000000-0005-0000-0000-00007A9A0000}"/>
    <cellStyle name="Normal 11 11 2" xfId="29486" xr:uid="{00000000-0005-0000-0000-00007B9A0000}"/>
    <cellStyle name="Normal 11 12" xfId="16020" xr:uid="{00000000-0005-0000-0000-00007C9A0000}"/>
    <cellStyle name="Normal 11 13" xfId="31169" xr:uid="{00000000-0005-0000-0000-00007D9A0000}"/>
    <cellStyle name="Normal 11 14" xfId="32852" xr:uid="{00000000-0005-0000-0000-00007E9A0000}"/>
    <cellStyle name="Normal 11 15" xfId="34535" xr:uid="{00000000-0005-0000-0000-00007F9A0000}"/>
    <cellStyle name="Normal 11 16" xfId="36218" xr:uid="{00000000-0005-0000-0000-0000809A0000}"/>
    <cellStyle name="Normal 11 17" xfId="37901" xr:uid="{00000000-0005-0000-0000-0000819A0000}"/>
    <cellStyle name="Normal 11 18" xfId="39584" xr:uid="{00000000-0005-0000-0000-0000829A0000}"/>
    <cellStyle name="Normal 11 19" xfId="41267" xr:uid="{00000000-0005-0000-0000-0000839A0000}"/>
    <cellStyle name="Normal 11 2" xfId="1292" xr:uid="{00000000-0005-0000-0000-0000849A0000}"/>
    <cellStyle name="Normal 11 2 10" xfId="16441" xr:uid="{00000000-0005-0000-0000-0000859A0000}"/>
    <cellStyle name="Normal 11 2 11" xfId="31590" xr:uid="{00000000-0005-0000-0000-0000869A0000}"/>
    <cellStyle name="Normal 11 2 12" xfId="33273" xr:uid="{00000000-0005-0000-0000-0000879A0000}"/>
    <cellStyle name="Normal 11 2 13" xfId="34956" xr:uid="{00000000-0005-0000-0000-0000889A0000}"/>
    <cellStyle name="Normal 11 2 14" xfId="36639" xr:uid="{00000000-0005-0000-0000-0000899A0000}"/>
    <cellStyle name="Normal 11 2 15" xfId="38322" xr:uid="{00000000-0005-0000-0000-00008A9A0000}"/>
    <cellStyle name="Normal 11 2 16" xfId="40005" xr:uid="{00000000-0005-0000-0000-00008B9A0000}"/>
    <cellStyle name="Normal 11 2 17" xfId="41688" xr:uid="{00000000-0005-0000-0000-00008C9A0000}"/>
    <cellStyle name="Normal 11 2 18" xfId="43371" xr:uid="{00000000-0005-0000-0000-00008D9A0000}"/>
    <cellStyle name="Normal 11 2 19" xfId="45054" xr:uid="{00000000-0005-0000-0000-00008E9A0000}"/>
    <cellStyle name="Normal 11 2 2" xfId="2975" xr:uid="{00000000-0005-0000-0000-00008F9A0000}"/>
    <cellStyle name="Normal 11 2 2 2" xfId="18124" xr:uid="{00000000-0005-0000-0000-0000909A0000}"/>
    <cellStyle name="Normal 11 2 20" xfId="46737" xr:uid="{00000000-0005-0000-0000-0000919A0000}"/>
    <cellStyle name="Normal 11 2 21" xfId="48420" xr:uid="{00000000-0005-0000-0000-0000929A0000}"/>
    <cellStyle name="Normal 11 2 22" xfId="50103" xr:uid="{00000000-0005-0000-0000-0000939A0000}"/>
    <cellStyle name="Normal 11 2 23" xfId="51786" xr:uid="{00000000-0005-0000-0000-0000949A0000}"/>
    <cellStyle name="Normal 11 2 24" xfId="53469" xr:uid="{00000000-0005-0000-0000-0000959A0000}"/>
    <cellStyle name="Normal 11 2 25" xfId="55152" xr:uid="{00000000-0005-0000-0000-0000969A0000}"/>
    <cellStyle name="Normal 11 2 26" xfId="56835" xr:uid="{00000000-0005-0000-0000-0000979A0000}"/>
    <cellStyle name="Normal 11 2 27" xfId="58518" xr:uid="{00000000-0005-0000-0000-0000989A0000}"/>
    <cellStyle name="Normal 11 2 28" xfId="60201" xr:uid="{00000000-0005-0000-0000-0000999A0000}"/>
    <cellStyle name="Normal 11 2 29" xfId="61884" xr:uid="{00000000-0005-0000-0000-00009A9A0000}"/>
    <cellStyle name="Normal 11 2 3" xfId="4659" xr:uid="{00000000-0005-0000-0000-00009B9A0000}"/>
    <cellStyle name="Normal 11 2 3 2" xfId="19808" xr:uid="{00000000-0005-0000-0000-00009C9A0000}"/>
    <cellStyle name="Normal 11 2 30" xfId="63567" xr:uid="{00000000-0005-0000-0000-00009D9A0000}"/>
    <cellStyle name="Normal 11 2 4" xfId="6342" xr:uid="{00000000-0005-0000-0000-00009E9A0000}"/>
    <cellStyle name="Normal 11 2 4 2" xfId="21491" xr:uid="{00000000-0005-0000-0000-00009F9A0000}"/>
    <cellStyle name="Normal 11 2 5" xfId="8025" xr:uid="{00000000-0005-0000-0000-0000A09A0000}"/>
    <cellStyle name="Normal 11 2 5 2" xfId="23174" xr:uid="{00000000-0005-0000-0000-0000A19A0000}"/>
    <cellStyle name="Normal 11 2 6" xfId="9708" xr:uid="{00000000-0005-0000-0000-0000A29A0000}"/>
    <cellStyle name="Normal 11 2 6 2" xfId="24857" xr:uid="{00000000-0005-0000-0000-0000A39A0000}"/>
    <cellStyle name="Normal 11 2 7" xfId="11391" xr:uid="{00000000-0005-0000-0000-0000A49A0000}"/>
    <cellStyle name="Normal 11 2 7 2" xfId="26540" xr:uid="{00000000-0005-0000-0000-0000A59A0000}"/>
    <cellStyle name="Normal 11 2 8" xfId="13075" xr:uid="{00000000-0005-0000-0000-0000A69A0000}"/>
    <cellStyle name="Normal 11 2 8 2" xfId="28224" xr:uid="{00000000-0005-0000-0000-0000A79A0000}"/>
    <cellStyle name="Normal 11 2 9" xfId="14758" xr:uid="{00000000-0005-0000-0000-0000A89A0000}"/>
    <cellStyle name="Normal 11 2 9 2" xfId="29907" xr:uid="{00000000-0005-0000-0000-0000A99A0000}"/>
    <cellStyle name="Normal 11 20" xfId="42950" xr:uid="{00000000-0005-0000-0000-0000AA9A0000}"/>
    <cellStyle name="Normal 11 21" xfId="44633" xr:uid="{00000000-0005-0000-0000-0000AB9A0000}"/>
    <cellStyle name="Normal 11 22" xfId="46316" xr:uid="{00000000-0005-0000-0000-0000AC9A0000}"/>
    <cellStyle name="Normal 11 23" xfId="47999" xr:uid="{00000000-0005-0000-0000-0000AD9A0000}"/>
    <cellStyle name="Normal 11 24" xfId="49682" xr:uid="{00000000-0005-0000-0000-0000AE9A0000}"/>
    <cellStyle name="Normal 11 25" xfId="51365" xr:uid="{00000000-0005-0000-0000-0000AF9A0000}"/>
    <cellStyle name="Normal 11 26" xfId="53048" xr:uid="{00000000-0005-0000-0000-0000B09A0000}"/>
    <cellStyle name="Normal 11 27" xfId="54731" xr:uid="{00000000-0005-0000-0000-0000B19A0000}"/>
    <cellStyle name="Normal 11 28" xfId="56414" xr:uid="{00000000-0005-0000-0000-0000B29A0000}"/>
    <cellStyle name="Normal 11 29" xfId="58097" xr:uid="{00000000-0005-0000-0000-0000B39A0000}"/>
    <cellStyle name="Normal 11 3" xfId="1713" xr:uid="{00000000-0005-0000-0000-0000B49A0000}"/>
    <cellStyle name="Normal 11 3 10" xfId="16862" xr:uid="{00000000-0005-0000-0000-0000B59A0000}"/>
    <cellStyle name="Normal 11 3 11" xfId="32011" xr:uid="{00000000-0005-0000-0000-0000B69A0000}"/>
    <cellStyle name="Normal 11 3 12" xfId="33694" xr:uid="{00000000-0005-0000-0000-0000B79A0000}"/>
    <cellStyle name="Normal 11 3 13" xfId="35377" xr:uid="{00000000-0005-0000-0000-0000B89A0000}"/>
    <cellStyle name="Normal 11 3 14" xfId="37060" xr:uid="{00000000-0005-0000-0000-0000B99A0000}"/>
    <cellStyle name="Normal 11 3 15" xfId="38743" xr:uid="{00000000-0005-0000-0000-0000BA9A0000}"/>
    <cellStyle name="Normal 11 3 16" xfId="40426" xr:uid="{00000000-0005-0000-0000-0000BB9A0000}"/>
    <cellStyle name="Normal 11 3 17" xfId="42109" xr:uid="{00000000-0005-0000-0000-0000BC9A0000}"/>
    <cellStyle name="Normal 11 3 18" xfId="43792" xr:uid="{00000000-0005-0000-0000-0000BD9A0000}"/>
    <cellStyle name="Normal 11 3 19" xfId="45475" xr:uid="{00000000-0005-0000-0000-0000BE9A0000}"/>
    <cellStyle name="Normal 11 3 2" xfId="3396" xr:uid="{00000000-0005-0000-0000-0000BF9A0000}"/>
    <cellStyle name="Normal 11 3 2 2" xfId="18545" xr:uid="{00000000-0005-0000-0000-0000C09A0000}"/>
    <cellStyle name="Normal 11 3 20" xfId="47158" xr:uid="{00000000-0005-0000-0000-0000C19A0000}"/>
    <cellStyle name="Normal 11 3 21" xfId="48841" xr:uid="{00000000-0005-0000-0000-0000C29A0000}"/>
    <cellStyle name="Normal 11 3 22" xfId="50524" xr:uid="{00000000-0005-0000-0000-0000C39A0000}"/>
    <cellStyle name="Normal 11 3 23" xfId="52207" xr:uid="{00000000-0005-0000-0000-0000C49A0000}"/>
    <cellStyle name="Normal 11 3 24" xfId="53890" xr:uid="{00000000-0005-0000-0000-0000C59A0000}"/>
    <cellStyle name="Normal 11 3 25" xfId="55573" xr:uid="{00000000-0005-0000-0000-0000C69A0000}"/>
    <cellStyle name="Normal 11 3 26" xfId="57256" xr:uid="{00000000-0005-0000-0000-0000C79A0000}"/>
    <cellStyle name="Normal 11 3 27" xfId="58939" xr:uid="{00000000-0005-0000-0000-0000C89A0000}"/>
    <cellStyle name="Normal 11 3 28" xfId="60622" xr:uid="{00000000-0005-0000-0000-0000C99A0000}"/>
    <cellStyle name="Normal 11 3 29" xfId="62305" xr:uid="{00000000-0005-0000-0000-0000CA9A0000}"/>
    <cellStyle name="Normal 11 3 3" xfId="5080" xr:uid="{00000000-0005-0000-0000-0000CB9A0000}"/>
    <cellStyle name="Normal 11 3 3 2" xfId="20229" xr:uid="{00000000-0005-0000-0000-0000CC9A0000}"/>
    <cellStyle name="Normal 11 3 30" xfId="63988" xr:uid="{00000000-0005-0000-0000-0000CD9A0000}"/>
    <cellStyle name="Normal 11 3 4" xfId="6763" xr:uid="{00000000-0005-0000-0000-0000CE9A0000}"/>
    <cellStyle name="Normal 11 3 4 2" xfId="21912" xr:uid="{00000000-0005-0000-0000-0000CF9A0000}"/>
    <cellStyle name="Normal 11 3 5" xfId="8446" xr:uid="{00000000-0005-0000-0000-0000D09A0000}"/>
    <cellStyle name="Normal 11 3 5 2" xfId="23595" xr:uid="{00000000-0005-0000-0000-0000D19A0000}"/>
    <cellStyle name="Normal 11 3 6" xfId="10129" xr:uid="{00000000-0005-0000-0000-0000D29A0000}"/>
    <cellStyle name="Normal 11 3 6 2" xfId="25278" xr:uid="{00000000-0005-0000-0000-0000D39A0000}"/>
    <cellStyle name="Normal 11 3 7" xfId="11812" xr:uid="{00000000-0005-0000-0000-0000D49A0000}"/>
    <cellStyle name="Normal 11 3 7 2" xfId="26961" xr:uid="{00000000-0005-0000-0000-0000D59A0000}"/>
    <cellStyle name="Normal 11 3 8" xfId="13496" xr:uid="{00000000-0005-0000-0000-0000D69A0000}"/>
    <cellStyle name="Normal 11 3 8 2" xfId="28645" xr:uid="{00000000-0005-0000-0000-0000D79A0000}"/>
    <cellStyle name="Normal 11 3 9" xfId="15179" xr:uid="{00000000-0005-0000-0000-0000D89A0000}"/>
    <cellStyle name="Normal 11 3 9 2" xfId="30328" xr:uid="{00000000-0005-0000-0000-0000D99A0000}"/>
    <cellStyle name="Normal 11 30" xfId="59780" xr:uid="{00000000-0005-0000-0000-0000DA9A0000}"/>
    <cellStyle name="Normal 11 31" xfId="61463" xr:uid="{00000000-0005-0000-0000-0000DB9A0000}"/>
    <cellStyle name="Normal 11 32" xfId="63146" xr:uid="{00000000-0005-0000-0000-0000DC9A0000}"/>
    <cellStyle name="Normal 11 4" xfId="2554" xr:uid="{00000000-0005-0000-0000-0000DD9A0000}"/>
    <cellStyle name="Normal 11 4 2" xfId="17703" xr:uid="{00000000-0005-0000-0000-0000DE9A0000}"/>
    <cellStyle name="Normal 11 5" xfId="4238" xr:uid="{00000000-0005-0000-0000-0000DF9A0000}"/>
    <cellStyle name="Normal 11 5 2" xfId="19387" xr:uid="{00000000-0005-0000-0000-0000E09A0000}"/>
    <cellStyle name="Normal 11 6" xfId="5921" xr:uid="{00000000-0005-0000-0000-0000E19A0000}"/>
    <cellStyle name="Normal 11 6 2" xfId="21070" xr:uid="{00000000-0005-0000-0000-0000E29A0000}"/>
    <cellStyle name="Normal 11 7" xfId="7604" xr:uid="{00000000-0005-0000-0000-0000E39A0000}"/>
    <cellStyle name="Normal 11 7 2" xfId="22753" xr:uid="{00000000-0005-0000-0000-0000E49A0000}"/>
    <cellStyle name="Normal 11 8" xfId="9287" xr:uid="{00000000-0005-0000-0000-0000E59A0000}"/>
    <cellStyle name="Normal 11 8 2" xfId="24436" xr:uid="{00000000-0005-0000-0000-0000E69A0000}"/>
    <cellStyle name="Normal 11 9" xfId="10970" xr:uid="{00000000-0005-0000-0000-0000E79A0000}"/>
    <cellStyle name="Normal 11 9 2" xfId="26119" xr:uid="{00000000-0005-0000-0000-0000E89A0000}"/>
    <cellStyle name="Normal 12" xfId="3397" xr:uid="{00000000-0005-0000-0000-0000E99A0000}"/>
    <cellStyle name="Normal 12 2" xfId="18546" xr:uid="{00000000-0005-0000-0000-0000EA9A0000}"/>
    <cellStyle name="Normal 13" xfId="11813" xr:uid="{00000000-0005-0000-0000-0000EB9A0000}"/>
    <cellStyle name="Normal 13 2" xfId="26962" xr:uid="{00000000-0005-0000-0000-0000EC9A0000}"/>
    <cellStyle name="Normal 14" xfId="63989" xr:uid="{00000000-0005-0000-0000-0000ED9A0000}"/>
    <cellStyle name="Normal 2" xfId="5" xr:uid="{00000000-0005-0000-0000-0000EE9A0000}"/>
    <cellStyle name="Normal 2 10" xfId="454" xr:uid="{00000000-0005-0000-0000-0000EF9A0000}"/>
    <cellStyle name="Normal 2 10 10" xfId="15603" xr:uid="{00000000-0005-0000-0000-0000F09A0000}"/>
    <cellStyle name="Normal 2 10 11" xfId="30752" xr:uid="{00000000-0005-0000-0000-0000F19A0000}"/>
    <cellStyle name="Normal 2 10 12" xfId="32435" xr:uid="{00000000-0005-0000-0000-0000F29A0000}"/>
    <cellStyle name="Normal 2 10 13" xfId="34118" xr:uid="{00000000-0005-0000-0000-0000F39A0000}"/>
    <cellStyle name="Normal 2 10 14" xfId="35801" xr:uid="{00000000-0005-0000-0000-0000F49A0000}"/>
    <cellStyle name="Normal 2 10 15" xfId="37484" xr:uid="{00000000-0005-0000-0000-0000F59A0000}"/>
    <cellStyle name="Normal 2 10 16" xfId="39167" xr:uid="{00000000-0005-0000-0000-0000F69A0000}"/>
    <cellStyle name="Normal 2 10 17" xfId="40850" xr:uid="{00000000-0005-0000-0000-0000F79A0000}"/>
    <cellStyle name="Normal 2 10 18" xfId="42533" xr:uid="{00000000-0005-0000-0000-0000F89A0000}"/>
    <cellStyle name="Normal 2 10 19" xfId="44216" xr:uid="{00000000-0005-0000-0000-0000F99A0000}"/>
    <cellStyle name="Normal 2 10 2" xfId="2137" xr:uid="{00000000-0005-0000-0000-0000FA9A0000}"/>
    <cellStyle name="Normal 2 10 2 2" xfId="17286" xr:uid="{00000000-0005-0000-0000-0000FB9A0000}"/>
    <cellStyle name="Normal 2 10 20" xfId="45899" xr:uid="{00000000-0005-0000-0000-0000FC9A0000}"/>
    <cellStyle name="Normal 2 10 21" xfId="47582" xr:uid="{00000000-0005-0000-0000-0000FD9A0000}"/>
    <cellStyle name="Normal 2 10 22" xfId="49265" xr:uid="{00000000-0005-0000-0000-0000FE9A0000}"/>
    <cellStyle name="Normal 2 10 23" xfId="50948" xr:uid="{00000000-0005-0000-0000-0000FF9A0000}"/>
    <cellStyle name="Normal 2 10 24" xfId="52631" xr:uid="{00000000-0005-0000-0000-0000009B0000}"/>
    <cellStyle name="Normal 2 10 25" xfId="54314" xr:uid="{00000000-0005-0000-0000-0000019B0000}"/>
    <cellStyle name="Normal 2 10 26" xfId="55997" xr:uid="{00000000-0005-0000-0000-0000029B0000}"/>
    <cellStyle name="Normal 2 10 27" xfId="57680" xr:uid="{00000000-0005-0000-0000-0000039B0000}"/>
    <cellStyle name="Normal 2 10 28" xfId="59363" xr:uid="{00000000-0005-0000-0000-0000049B0000}"/>
    <cellStyle name="Normal 2 10 29" xfId="61046" xr:uid="{00000000-0005-0000-0000-0000059B0000}"/>
    <cellStyle name="Normal 2 10 3" xfId="3821" xr:uid="{00000000-0005-0000-0000-0000069B0000}"/>
    <cellStyle name="Normal 2 10 3 2" xfId="18970" xr:uid="{00000000-0005-0000-0000-0000079B0000}"/>
    <cellStyle name="Normal 2 10 30" xfId="62729" xr:uid="{00000000-0005-0000-0000-0000089B0000}"/>
    <cellStyle name="Normal 2 10 4" xfId="5504" xr:uid="{00000000-0005-0000-0000-0000099B0000}"/>
    <cellStyle name="Normal 2 10 4 2" xfId="20653" xr:uid="{00000000-0005-0000-0000-00000A9B0000}"/>
    <cellStyle name="Normal 2 10 5" xfId="7187" xr:uid="{00000000-0005-0000-0000-00000B9B0000}"/>
    <cellStyle name="Normal 2 10 5 2" xfId="22336" xr:uid="{00000000-0005-0000-0000-00000C9B0000}"/>
    <cellStyle name="Normal 2 10 6" xfId="8870" xr:uid="{00000000-0005-0000-0000-00000D9B0000}"/>
    <cellStyle name="Normal 2 10 6 2" xfId="24019" xr:uid="{00000000-0005-0000-0000-00000E9B0000}"/>
    <cellStyle name="Normal 2 10 7" xfId="10553" xr:uid="{00000000-0005-0000-0000-00000F9B0000}"/>
    <cellStyle name="Normal 2 10 7 2" xfId="25702" xr:uid="{00000000-0005-0000-0000-0000109B0000}"/>
    <cellStyle name="Normal 2 10 8" xfId="12237" xr:uid="{00000000-0005-0000-0000-0000119B0000}"/>
    <cellStyle name="Normal 2 10 8 2" xfId="27386" xr:uid="{00000000-0005-0000-0000-0000129B0000}"/>
    <cellStyle name="Normal 2 10 9" xfId="13920" xr:uid="{00000000-0005-0000-0000-0000139B0000}"/>
    <cellStyle name="Normal 2 10 9 2" xfId="29069" xr:uid="{00000000-0005-0000-0000-0000149B0000}"/>
    <cellStyle name="Normal 2 11" xfId="875" xr:uid="{00000000-0005-0000-0000-0000159B0000}"/>
    <cellStyle name="Normal 2 11 10" xfId="16024" xr:uid="{00000000-0005-0000-0000-0000169B0000}"/>
    <cellStyle name="Normal 2 11 11" xfId="31173" xr:uid="{00000000-0005-0000-0000-0000179B0000}"/>
    <cellStyle name="Normal 2 11 12" xfId="32856" xr:uid="{00000000-0005-0000-0000-0000189B0000}"/>
    <cellStyle name="Normal 2 11 13" xfId="34539" xr:uid="{00000000-0005-0000-0000-0000199B0000}"/>
    <cellStyle name="Normal 2 11 14" xfId="36222" xr:uid="{00000000-0005-0000-0000-00001A9B0000}"/>
    <cellStyle name="Normal 2 11 15" xfId="37905" xr:uid="{00000000-0005-0000-0000-00001B9B0000}"/>
    <cellStyle name="Normal 2 11 16" xfId="39588" xr:uid="{00000000-0005-0000-0000-00001C9B0000}"/>
    <cellStyle name="Normal 2 11 17" xfId="41271" xr:uid="{00000000-0005-0000-0000-00001D9B0000}"/>
    <cellStyle name="Normal 2 11 18" xfId="42954" xr:uid="{00000000-0005-0000-0000-00001E9B0000}"/>
    <cellStyle name="Normal 2 11 19" xfId="44637" xr:uid="{00000000-0005-0000-0000-00001F9B0000}"/>
    <cellStyle name="Normal 2 11 2" xfId="2558" xr:uid="{00000000-0005-0000-0000-0000209B0000}"/>
    <cellStyle name="Normal 2 11 2 2" xfId="17707" xr:uid="{00000000-0005-0000-0000-0000219B0000}"/>
    <cellStyle name="Normal 2 11 20" xfId="46320" xr:uid="{00000000-0005-0000-0000-0000229B0000}"/>
    <cellStyle name="Normal 2 11 21" xfId="48003" xr:uid="{00000000-0005-0000-0000-0000239B0000}"/>
    <cellStyle name="Normal 2 11 22" xfId="49686" xr:uid="{00000000-0005-0000-0000-0000249B0000}"/>
    <cellStyle name="Normal 2 11 23" xfId="51369" xr:uid="{00000000-0005-0000-0000-0000259B0000}"/>
    <cellStyle name="Normal 2 11 24" xfId="53052" xr:uid="{00000000-0005-0000-0000-0000269B0000}"/>
    <cellStyle name="Normal 2 11 25" xfId="54735" xr:uid="{00000000-0005-0000-0000-0000279B0000}"/>
    <cellStyle name="Normal 2 11 26" xfId="56418" xr:uid="{00000000-0005-0000-0000-0000289B0000}"/>
    <cellStyle name="Normal 2 11 27" xfId="58101" xr:uid="{00000000-0005-0000-0000-0000299B0000}"/>
    <cellStyle name="Normal 2 11 28" xfId="59784" xr:uid="{00000000-0005-0000-0000-00002A9B0000}"/>
    <cellStyle name="Normal 2 11 29" xfId="61467" xr:uid="{00000000-0005-0000-0000-00002B9B0000}"/>
    <cellStyle name="Normal 2 11 3" xfId="4242" xr:uid="{00000000-0005-0000-0000-00002C9B0000}"/>
    <cellStyle name="Normal 2 11 3 2" xfId="19391" xr:uid="{00000000-0005-0000-0000-00002D9B0000}"/>
    <cellStyle name="Normal 2 11 30" xfId="63150" xr:uid="{00000000-0005-0000-0000-00002E9B0000}"/>
    <cellStyle name="Normal 2 11 4" xfId="5925" xr:uid="{00000000-0005-0000-0000-00002F9B0000}"/>
    <cellStyle name="Normal 2 11 4 2" xfId="21074" xr:uid="{00000000-0005-0000-0000-0000309B0000}"/>
    <cellStyle name="Normal 2 11 5" xfId="7608" xr:uid="{00000000-0005-0000-0000-0000319B0000}"/>
    <cellStyle name="Normal 2 11 5 2" xfId="22757" xr:uid="{00000000-0005-0000-0000-0000329B0000}"/>
    <cellStyle name="Normal 2 11 6" xfId="9291" xr:uid="{00000000-0005-0000-0000-0000339B0000}"/>
    <cellStyle name="Normal 2 11 6 2" xfId="24440" xr:uid="{00000000-0005-0000-0000-0000349B0000}"/>
    <cellStyle name="Normal 2 11 7" xfId="10974" xr:uid="{00000000-0005-0000-0000-0000359B0000}"/>
    <cellStyle name="Normal 2 11 7 2" xfId="26123" xr:uid="{00000000-0005-0000-0000-0000369B0000}"/>
    <cellStyle name="Normal 2 11 8" xfId="12658" xr:uid="{00000000-0005-0000-0000-0000379B0000}"/>
    <cellStyle name="Normal 2 11 8 2" xfId="27807" xr:uid="{00000000-0005-0000-0000-0000389B0000}"/>
    <cellStyle name="Normal 2 11 9" xfId="14341" xr:uid="{00000000-0005-0000-0000-0000399B0000}"/>
    <cellStyle name="Normal 2 11 9 2" xfId="29490" xr:uid="{00000000-0005-0000-0000-00003A9B0000}"/>
    <cellStyle name="Normal 2 12" xfId="1296" xr:uid="{00000000-0005-0000-0000-00003B9B0000}"/>
    <cellStyle name="Normal 2 12 10" xfId="16445" xr:uid="{00000000-0005-0000-0000-00003C9B0000}"/>
    <cellStyle name="Normal 2 12 11" xfId="31594" xr:uid="{00000000-0005-0000-0000-00003D9B0000}"/>
    <cellStyle name="Normal 2 12 12" xfId="33277" xr:uid="{00000000-0005-0000-0000-00003E9B0000}"/>
    <cellStyle name="Normal 2 12 13" xfId="34960" xr:uid="{00000000-0005-0000-0000-00003F9B0000}"/>
    <cellStyle name="Normal 2 12 14" xfId="36643" xr:uid="{00000000-0005-0000-0000-0000409B0000}"/>
    <cellStyle name="Normal 2 12 15" xfId="38326" xr:uid="{00000000-0005-0000-0000-0000419B0000}"/>
    <cellStyle name="Normal 2 12 16" xfId="40009" xr:uid="{00000000-0005-0000-0000-0000429B0000}"/>
    <cellStyle name="Normal 2 12 17" xfId="41692" xr:uid="{00000000-0005-0000-0000-0000439B0000}"/>
    <cellStyle name="Normal 2 12 18" xfId="43375" xr:uid="{00000000-0005-0000-0000-0000449B0000}"/>
    <cellStyle name="Normal 2 12 19" xfId="45058" xr:uid="{00000000-0005-0000-0000-0000459B0000}"/>
    <cellStyle name="Normal 2 12 2" xfId="2979" xr:uid="{00000000-0005-0000-0000-0000469B0000}"/>
    <cellStyle name="Normal 2 12 2 2" xfId="18128" xr:uid="{00000000-0005-0000-0000-0000479B0000}"/>
    <cellStyle name="Normal 2 12 20" xfId="46741" xr:uid="{00000000-0005-0000-0000-0000489B0000}"/>
    <cellStyle name="Normal 2 12 21" xfId="48424" xr:uid="{00000000-0005-0000-0000-0000499B0000}"/>
    <cellStyle name="Normal 2 12 22" xfId="50107" xr:uid="{00000000-0005-0000-0000-00004A9B0000}"/>
    <cellStyle name="Normal 2 12 23" xfId="51790" xr:uid="{00000000-0005-0000-0000-00004B9B0000}"/>
    <cellStyle name="Normal 2 12 24" xfId="53473" xr:uid="{00000000-0005-0000-0000-00004C9B0000}"/>
    <cellStyle name="Normal 2 12 25" xfId="55156" xr:uid="{00000000-0005-0000-0000-00004D9B0000}"/>
    <cellStyle name="Normal 2 12 26" xfId="56839" xr:uid="{00000000-0005-0000-0000-00004E9B0000}"/>
    <cellStyle name="Normal 2 12 27" xfId="58522" xr:uid="{00000000-0005-0000-0000-00004F9B0000}"/>
    <cellStyle name="Normal 2 12 28" xfId="60205" xr:uid="{00000000-0005-0000-0000-0000509B0000}"/>
    <cellStyle name="Normal 2 12 29" xfId="61888" xr:uid="{00000000-0005-0000-0000-0000519B0000}"/>
    <cellStyle name="Normal 2 12 3" xfId="4663" xr:uid="{00000000-0005-0000-0000-0000529B0000}"/>
    <cellStyle name="Normal 2 12 3 2" xfId="19812" xr:uid="{00000000-0005-0000-0000-0000539B0000}"/>
    <cellStyle name="Normal 2 12 30" xfId="63571" xr:uid="{00000000-0005-0000-0000-0000549B0000}"/>
    <cellStyle name="Normal 2 12 4" xfId="6346" xr:uid="{00000000-0005-0000-0000-0000559B0000}"/>
    <cellStyle name="Normal 2 12 4 2" xfId="21495" xr:uid="{00000000-0005-0000-0000-0000569B0000}"/>
    <cellStyle name="Normal 2 12 5" xfId="8029" xr:uid="{00000000-0005-0000-0000-0000579B0000}"/>
    <cellStyle name="Normal 2 12 5 2" xfId="23178" xr:uid="{00000000-0005-0000-0000-0000589B0000}"/>
    <cellStyle name="Normal 2 12 6" xfId="9712" xr:uid="{00000000-0005-0000-0000-0000599B0000}"/>
    <cellStyle name="Normal 2 12 6 2" xfId="24861" xr:uid="{00000000-0005-0000-0000-00005A9B0000}"/>
    <cellStyle name="Normal 2 12 7" xfId="11395" xr:uid="{00000000-0005-0000-0000-00005B9B0000}"/>
    <cellStyle name="Normal 2 12 7 2" xfId="26544" xr:uid="{00000000-0005-0000-0000-00005C9B0000}"/>
    <cellStyle name="Normal 2 12 8" xfId="13079" xr:uid="{00000000-0005-0000-0000-00005D9B0000}"/>
    <cellStyle name="Normal 2 12 8 2" xfId="28228" xr:uid="{00000000-0005-0000-0000-00005E9B0000}"/>
    <cellStyle name="Normal 2 12 9" xfId="14762" xr:uid="{00000000-0005-0000-0000-00005F9B0000}"/>
    <cellStyle name="Normal 2 12 9 2" xfId="29911" xr:uid="{00000000-0005-0000-0000-0000609B0000}"/>
    <cellStyle name="Normal 2 13" xfId="1717" xr:uid="{00000000-0005-0000-0000-0000619B0000}"/>
    <cellStyle name="Normal 2 13 2" xfId="16866" xr:uid="{00000000-0005-0000-0000-0000629B0000}"/>
    <cellStyle name="Normal 2 14" xfId="3401" xr:uid="{00000000-0005-0000-0000-0000639B0000}"/>
    <cellStyle name="Normal 2 14 2" xfId="18550" xr:uid="{00000000-0005-0000-0000-0000649B0000}"/>
    <cellStyle name="Normal 2 15" xfId="5084" xr:uid="{00000000-0005-0000-0000-0000659B0000}"/>
    <cellStyle name="Normal 2 15 2" xfId="20233" xr:uid="{00000000-0005-0000-0000-0000669B0000}"/>
    <cellStyle name="Normal 2 16" xfId="6767" xr:uid="{00000000-0005-0000-0000-0000679B0000}"/>
    <cellStyle name="Normal 2 16 2" xfId="21916" xr:uid="{00000000-0005-0000-0000-0000689B0000}"/>
    <cellStyle name="Normal 2 17" xfId="8450" xr:uid="{00000000-0005-0000-0000-0000699B0000}"/>
    <cellStyle name="Normal 2 17 2" xfId="23599" xr:uid="{00000000-0005-0000-0000-00006A9B0000}"/>
    <cellStyle name="Normal 2 18" xfId="10133" xr:uid="{00000000-0005-0000-0000-00006B9B0000}"/>
    <cellStyle name="Normal 2 18 2" xfId="25282" xr:uid="{00000000-0005-0000-0000-00006C9B0000}"/>
    <cellStyle name="Normal 2 19" xfId="11817" xr:uid="{00000000-0005-0000-0000-00006D9B0000}"/>
    <cellStyle name="Normal 2 19 2" xfId="26966" xr:uid="{00000000-0005-0000-0000-00006E9B0000}"/>
    <cellStyle name="Normal 2 2" xfId="6" xr:uid="{00000000-0005-0000-0000-00006F9B0000}"/>
    <cellStyle name="Normal 2 20" xfId="13500" xr:uid="{00000000-0005-0000-0000-0000709B0000}"/>
    <cellStyle name="Normal 2 20 2" xfId="28649" xr:uid="{00000000-0005-0000-0000-0000719B0000}"/>
    <cellStyle name="Normal 2 21" xfId="15183" xr:uid="{00000000-0005-0000-0000-0000729B0000}"/>
    <cellStyle name="Normal 2 22" xfId="30332" xr:uid="{00000000-0005-0000-0000-0000739B0000}"/>
    <cellStyle name="Normal 2 23" xfId="32015" xr:uid="{00000000-0005-0000-0000-0000749B0000}"/>
    <cellStyle name="Normal 2 24" xfId="33698" xr:uid="{00000000-0005-0000-0000-0000759B0000}"/>
    <cellStyle name="Normal 2 25" xfId="35381" xr:uid="{00000000-0005-0000-0000-0000769B0000}"/>
    <cellStyle name="Normal 2 26" xfId="37064" xr:uid="{00000000-0005-0000-0000-0000779B0000}"/>
    <cellStyle name="Normal 2 27" xfId="38747" xr:uid="{00000000-0005-0000-0000-0000789B0000}"/>
    <cellStyle name="Normal 2 28" xfId="40430" xr:uid="{00000000-0005-0000-0000-0000799B0000}"/>
    <cellStyle name="Normal 2 29" xfId="42113" xr:uid="{00000000-0005-0000-0000-00007A9B0000}"/>
    <cellStyle name="Normal 2 3" xfId="7" xr:uid="{00000000-0005-0000-0000-00007B9B0000}"/>
    <cellStyle name="Normal 2 3 10" xfId="1297" xr:uid="{00000000-0005-0000-0000-00007C9B0000}"/>
    <cellStyle name="Normal 2 3 10 10" xfId="16446" xr:uid="{00000000-0005-0000-0000-00007D9B0000}"/>
    <cellStyle name="Normal 2 3 10 11" xfId="31595" xr:uid="{00000000-0005-0000-0000-00007E9B0000}"/>
    <cellStyle name="Normal 2 3 10 12" xfId="33278" xr:uid="{00000000-0005-0000-0000-00007F9B0000}"/>
    <cellStyle name="Normal 2 3 10 13" xfId="34961" xr:uid="{00000000-0005-0000-0000-0000809B0000}"/>
    <cellStyle name="Normal 2 3 10 14" xfId="36644" xr:uid="{00000000-0005-0000-0000-0000819B0000}"/>
    <cellStyle name="Normal 2 3 10 15" xfId="38327" xr:uid="{00000000-0005-0000-0000-0000829B0000}"/>
    <cellStyle name="Normal 2 3 10 16" xfId="40010" xr:uid="{00000000-0005-0000-0000-0000839B0000}"/>
    <cellStyle name="Normal 2 3 10 17" xfId="41693" xr:uid="{00000000-0005-0000-0000-0000849B0000}"/>
    <cellStyle name="Normal 2 3 10 18" xfId="43376" xr:uid="{00000000-0005-0000-0000-0000859B0000}"/>
    <cellStyle name="Normal 2 3 10 19" xfId="45059" xr:uid="{00000000-0005-0000-0000-0000869B0000}"/>
    <cellStyle name="Normal 2 3 10 2" xfId="2980" xr:uid="{00000000-0005-0000-0000-0000879B0000}"/>
    <cellStyle name="Normal 2 3 10 2 2" xfId="18129" xr:uid="{00000000-0005-0000-0000-0000889B0000}"/>
    <cellStyle name="Normal 2 3 10 20" xfId="46742" xr:uid="{00000000-0005-0000-0000-0000899B0000}"/>
    <cellStyle name="Normal 2 3 10 21" xfId="48425" xr:uid="{00000000-0005-0000-0000-00008A9B0000}"/>
    <cellStyle name="Normal 2 3 10 22" xfId="50108" xr:uid="{00000000-0005-0000-0000-00008B9B0000}"/>
    <cellStyle name="Normal 2 3 10 23" xfId="51791" xr:uid="{00000000-0005-0000-0000-00008C9B0000}"/>
    <cellStyle name="Normal 2 3 10 24" xfId="53474" xr:uid="{00000000-0005-0000-0000-00008D9B0000}"/>
    <cellStyle name="Normal 2 3 10 25" xfId="55157" xr:uid="{00000000-0005-0000-0000-00008E9B0000}"/>
    <cellStyle name="Normal 2 3 10 26" xfId="56840" xr:uid="{00000000-0005-0000-0000-00008F9B0000}"/>
    <cellStyle name="Normal 2 3 10 27" xfId="58523" xr:uid="{00000000-0005-0000-0000-0000909B0000}"/>
    <cellStyle name="Normal 2 3 10 28" xfId="60206" xr:uid="{00000000-0005-0000-0000-0000919B0000}"/>
    <cellStyle name="Normal 2 3 10 29" xfId="61889" xr:uid="{00000000-0005-0000-0000-0000929B0000}"/>
    <cellStyle name="Normal 2 3 10 3" xfId="4664" xr:uid="{00000000-0005-0000-0000-0000939B0000}"/>
    <cellStyle name="Normal 2 3 10 3 2" xfId="19813" xr:uid="{00000000-0005-0000-0000-0000949B0000}"/>
    <cellStyle name="Normal 2 3 10 30" xfId="63572" xr:uid="{00000000-0005-0000-0000-0000959B0000}"/>
    <cellStyle name="Normal 2 3 10 4" xfId="6347" xr:uid="{00000000-0005-0000-0000-0000969B0000}"/>
    <cellStyle name="Normal 2 3 10 4 2" xfId="21496" xr:uid="{00000000-0005-0000-0000-0000979B0000}"/>
    <cellStyle name="Normal 2 3 10 5" xfId="8030" xr:uid="{00000000-0005-0000-0000-0000989B0000}"/>
    <cellStyle name="Normal 2 3 10 5 2" xfId="23179" xr:uid="{00000000-0005-0000-0000-0000999B0000}"/>
    <cellStyle name="Normal 2 3 10 6" xfId="9713" xr:uid="{00000000-0005-0000-0000-00009A9B0000}"/>
    <cellStyle name="Normal 2 3 10 6 2" xfId="24862" xr:uid="{00000000-0005-0000-0000-00009B9B0000}"/>
    <cellStyle name="Normal 2 3 10 7" xfId="11396" xr:uid="{00000000-0005-0000-0000-00009C9B0000}"/>
    <cellStyle name="Normal 2 3 10 7 2" xfId="26545" xr:uid="{00000000-0005-0000-0000-00009D9B0000}"/>
    <cellStyle name="Normal 2 3 10 8" xfId="13080" xr:uid="{00000000-0005-0000-0000-00009E9B0000}"/>
    <cellStyle name="Normal 2 3 10 8 2" xfId="28229" xr:uid="{00000000-0005-0000-0000-00009F9B0000}"/>
    <cellStyle name="Normal 2 3 10 9" xfId="14763" xr:uid="{00000000-0005-0000-0000-0000A09B0000}"/>
    <cellStyle name="Normal 2 3 10 9 2" xfId="29912" xr:uid="{00000000-0005-0000-0000-0000A19B0000}"/>
    <cellStyle name="Normal 2 3 11" xfId="1718" xr:uid="{00000000-0005-0000-0000-0000A29B0000}"/>
    <cellStyle name="Normal 2 3 11 2" xfId="16867" xr:uid="{00000000-0005-0000-0000-0000A39B0000}"/>
    <cellStyle name="Normal 2 3 12" xfId="3402" xr:uid="{00000000-0005-0000-0000-0000A49B0000}"/>
    <cellStyle name="Normal 2 3 12 2" xfId="18551" xr:uid="{00000000-0005-0000-0000-0000A59B0000}"/>
    <cellStyle name="Normal 2 3 13" xfId="5085" xr:uid="{00000000-0005-0000-0000-0000A69B0000}"/>
    <cellStyle name="Normal 2 3 13 2" xfId="20234" xr:uid="{00000000-0005-0000-0000-0000A79B0000}"/>
    <cellStyle name="Normal 2 3 14" xfId="6768" xr:uid="{00000000-0005-0000-0000-0000A89B0000}"/>
    <cellStyle name="Normal 2 3 14 2" xfId="21917" xr:uid="{00000000-0005-0000-0000-0000A99B0000}"/>
    <cellStyle name="Normal 2 3 15" xfId="8451" xr:uid="{00000000-0005-0000-0000-0000AA9B0000}"/>
    <cellStyle name="Normal 2 3 15 2" xfId="23600" xr:uid="{00000000-0005-0000-0000-0000AB9B0000}"/>
    <cellStyle name="Normal 2 3 16" xfId="10134" xr:uid="{00000000-0005-0000-0000-0000AC9B0000}"/>
    <cellStyle name="Normal 2 3 16 2" xfId="25283" xr:uid="{00000000-0005-0000-0000-0000AD9B0000}"/>
    <cellStyle name="Normal 2 3 17" xfId="11818" xr:uid="{00000000-0005-0000-0000-0000AE9B0000}"/>
    <cellStyle name="Normal 2 3 17 2" xfId="26967" xr:uid="{00000000-0005-0000-0000-0000AF9B0000}"/>
    <cellStyle name="Normal 2 3 18" xfId="13501" xr:uid="{00000000-0005-0000-0000-0000B09B0000}"/>
    <cellStyle name="Normal 2 3 18 2" xfId="28650" xr:uid="{00000000-0005-0000-0000-0000B19B0000}"/>
    <cellStyle name="Normal 2 3 19" xfId="15184" xr:uid="{00000000-0005-0000-0000-0000B29B0000}"/>
    <cellStyle name="Normal 2 3 2" xfId="26" xr:uid="{00000000-0005-0000-0000-0000B39B0000}"/>
    <cellStyle name="Normal 2 3 2 10" xfId="6781" xr:uid="{00000000-0005-0000-0000-0000B49B0000}"/>
    <cellStyle name="Normal 2 3 2 10 2" xfId="21930" xr:uid="{00000000-0005-0000-0000-0000B59B0000}"/>
    <cellStyle name="Normal 2 3 2 11" xfId="8464" xr:uid="{00000000-0005-0000-0000-0000B69B0000}"/>
    <cellStyle name="Normal 2 3 2 11 2" xfId="23613" xr:uid="{00000000-0005-0000-0000-0000B79B0000}"/>
    <cellStyle name="Normal 2 3 2 12" xfId="10147" xr:uid="{00000000-0005-0000-0000-0000B89B0000}"/>
    <cellStyle name="Normal 2 3 2 12 2" xfId="25296" xr:uid="{00000000-0005-0000-0000-0000B99B0000}"/>
    <cellStyle name="Normal 2 3 2 13" xfId="11831" xr:uid="{00000000-0005-0000-0000-0000BA9B0000}"/>
    <cellStyle name="Normal 2 3 2 13 2" xfId="26980" xr:uid="{00000000-0005-0000-0000-0000BB9B0000}"/>
    <cellStyle name="Normal 2 3 2 14" xfId="13514" xr:uid="{00000000-0005-0000-0000-0000BC9B0000}"/>
    <cellStyle name="Normal 2 3 2 14 2" xfId="28663" xr:uid="{00000000-0005-0000-0000-0000BD9B0000}"/>
    <cellStyle name="Normal 2 3 2 15" xfId="15197" xr:uid="{00000000-0005-0000-0000-0000BE9B0000}"/>
    <cellStyle name="Normal 2 3 2 16" xfId="30346" xr:uid="{00000000-0005-0000-0000-0000BF9B0000}"/>
    <cellStyle name="Normal 2 3 2 17" xfId="32029" xr:uid="{00000000-0005-0000-0000-0000C09B0000}"/>
    <cellStyle name="Normal 2 3 2 18" xfId="33712" xr:uid="{00000000-0005-0000-0000-0000C19B0000}"/>
    <cellStyle name="Normal 2 3 2 19" xfId="35395" xr:uid="{00000000-0005-0000-0000-0000C29B0000}"/>
    <cellStyle name="Normal 2 3 2 2" xfId="153" xr:uid="{00000000-0005-0000-0000-0000C39B0000}"/>
    <cellStyle name="Normal 2 3 2 2 10" xfId="8569" xr:uid="{00000000-0005-0000-0000-0000C49B0000}"/>
    <cellStyle name="Normal 2 3 2 2 10 2" xfId="23718" xr:uid="{00000000-0005-0000-0000-0000C59B0000}"/>
    <cellStyle name="Normal 2 3 2 2 11" xfId="10252" xr:uid="{00000000-0005-0000-0000-0000C69B0000}"/>
    <cellStyle name="Normal 2 3 2 2 11 2" xfId="25401" xr:uid="{00000000-0005-0000-0000-0000C79B0000}"/>
    <cellStyle name="Normal 2 3 2 2 12" xfId="11936" xr:uid="{00000000-0005-0000-0000-0000C89B0000}"/>
    <cellStyle name="Normal 2 3 2 2 12 2" xfId="27085" xr:uid="{00000000-0005-0000-0000-0000C99B0000}"/>
    <cellStyle name="Normal 2 3 2 2 13" xfId="13619" xr:uid="{00000000-0005-0000-0000-0000CA9B0000}"/>
    <cellStyle name="Normal 2 3 2 2 13 2" xfId="28768" xr:uid="{00000000-0005-0000-0000-0000CB9B0000}"/>
    <cellStyle name="Normal 2 3 2 2 14" xfId="15302" xr:uid="{00000000-0005-0000-0000-0000CC9B0000}"/>
    <cellStyle name="Normal 2 3 2 2 15" xfId="30451" xr:uid="{00000000-0005-0000-0000-0000CD9B0000}"/>
    <cellStyle name="Normal 2 3 2 2 16" xfId="32134" xr:uid="{00000000-0005-0000-0000-0000CE9B0000}"/>
    <cellStyle name="Normal 2 3 2 2 17" xfId="33817" xr:uid="{00000000-0005-0000-0000-0000CF9B0000}"/>
    <cellStyle name="Normal 2 3 2 2 18" xfId="35500" xr:uid="{00000000-0005-0000-0000-0000D09B0000}"/>
    <cellStyle name="Normal 2 3 2 2 19" xfId="37183" xr:uid="{00000000-0005-0000-0000-0000D19B0000}"/>
    <cellStyle name="Normal 2 3 2 2 2" xfId="363" xr:uid="{00000000-0005-0000-0000-0000D29B0000}"/>
    <cellStyle name="Normal 2 3 2 2 2 10" xfId="10462" xr:uid="{00000000-0005-0000-0000-0000D39B0000}"/>
    <cellStyle name="Normal 2 3 2 2 2 10 2" xfId="25611" xr:uid="{00000000-0005-0000-0000-0000D49B0000}"/>
    <cellStyle name="Normal 2 3 2 2 2 11" xfId="12146" xr:uid="{00000000-0005-0000-0000-0000D59B0000}"/>
    <cellStyle name="Normal 2 3 2 2 2 11 2" xfId="27295" xr:uid="{00000000-0005-0000-0000-0000D69B0000}"/>
    <cellStyle name="Normal 2 3 2 2 2 12" xfId="13829" xr:uid="{00000000-0005-0000-0000-0000D79B0000}"/>
    <cellStyle name="Normal 2 3 2 2 2 12 2" xfId="28978" xr:uid="{00000000-0005-0000-0000-0000D89B0000}"/>
    <cellStyle name="Normal 2 3 2 2 2 13" xfId="15512" xr:uid="{00000000-0005-0000-0000-0000D99B0000}"/>
    <cellStyle name="Normal 2 3 2 2 2 14" xfId="30661" xr:uid="{00000000-0005-0000-0000-0000DA9B0000}"/>
    <cellStyle name="Normal 2 3 2 2 2 15" xfId="32344" xr:uid="{00000000-0005-0000-0000-0000DB9B0000}"/>
    <cellStyle name="Normal 2 3 2 2 2 16" xfId="34027" xr:uid="{00000000-0005-0000-0000-0000DC9B0000}"/>
    <cellStyle name="Normal 2 3 2 2 2 17" xfId="35710" xr:uid="{00000000-0005-0000-0000-0000DD9B0000}"/>
    <cellStyle name="Normal 2 3 2 2 2 18" xfId="37393" xr:uid="{00000000-0005-0000-0000-0000DE9B0000}"/>
    <cellStyle name="Normal 2 3 2 2 2 19" xfId="39076" xr:uid="{00000000-0005-0000-0000-0000DF9B0000}"/>
    <cellStyle name="Normal 2 3 2 2 2 2" xfId="783" xr:uid="{00000000-0005-0000-0000-0000E09B0000}"/>
    <cellStyle name="Normal 2 3 2 2 2 2 10" xfId="15932" xr:uid="{00000000-0005-0000-0000-0000E19B0000}"/>
    <cellStyle name="Normal 2 3 2 2 2 2 11" xfId="31081" xr:uid="{00000000-0005-0000-0000-0000E29B0000}"/>
    <cellStyle name="Normal 2 3 2 2 2 2 12" xfId="32764" xr:uid="{00000000-0005-0000-0000-0000E39B0000}"/>
    <cellStyle name="Normal 2 3 2 2 2 2 13" xfId="34447" xr:uid="{00000000-0005-0000-0000-0000E49B0000}"/>
    <cellStyle name="Normal 2 3 2 2 2 2 14" xfId="36130" xr:uid="{00000000-0005-0000-0000-0000E59B0000}"/>
    <cellStyle name="Normal 2 3 2 2 2 2 15" xfId="37813" xr:uid="{00000000-0005-0000-0000-0000E69B0000}"/>
    <cellStyle name="Normal 2 3 2 2 2 2 16" xfId="39496" xr:uid="{00000000-0005-0000-0000-0000E79B0000}"/>
    <cellStyle name="Normal 2 3 2 2 2 2 17" xfId="41179" xr:uid="{00000000-0005-0000-0000-0000E89B0000}"/>
    <cellStyle name="Normal 2 3 2 2 2 2 18" xfId="42862" xr:uid="{00000000-0005-0000-0000-0000E99B0000}"/>
    <cellStyle name="Normal 2 3 2 2 2 2 19" xfId="44545" xr:uid="{00000000-0005-0000-0000-0000EA9B0000}"/>
    <cellStyle name="Normal 2 3 2 2 2 2 2" xfId="2466" xr:uid="{00000000-0005-0000-0000-0000EB9B0000}"/>
    <cellStyle name="Normal 2 3 2 2 2 2 2 2" xfId="17615" xr:uid="{00000000-0005-0000-0000-0000EC9B0000}"/>
    <cellStyle name="Normal 2 3 2 2 2 2 20" xfId="46228" xr:uid="{00000000-0005-0000-0000-0000ED9B0000}"/>
    <cellStyle name="Normal 2 3 2 2 2 2 21" xfId="47911" xr:uid="{00000000-0005-0000-0000-0000EE9B0000}"/>
    <cellStyle name="Normal 2 3 2 2 2 2 22" xfId="49594" xr:uid="{00000000-0005-0000-0000-0000EF9B0000}"/>
    <cellStyle name="Normal 2 3 2 2 2 2 23" xfId="51277" xr:uid="{00000000-0005-0000-0000-0000F09B0000}"/>
    <cellStyle name="Normal 2 3 2 2 2 2 24" xfId="52960" xr:uid="{00000000-0005-0000-0000-0000F19B0000}"/>
    <cellStyle name="Normal 2 3 2 2 2 2 25" xfId="54643" xr:uid="{00000000-0005-0000-0000-0000F29B0000}"/>
    <cellStyle name="Normal 2 3 2 2 2 2 26" xfId="56326" xr:uid="{00000000-0005-0000-0000-0000F39B0000}"/>
    <cellStyle name="Normal 2 3 2 2 2 2 27" xfId="58009" xr:uid="{00000000-0005-0000-0000-0000F49B0000}"/>
    <cellStyle name="Normal 2 3 2 2 2 2 28" xfId="59692" xr:uid="{00000000-0005-0000-0000-0000F59B0000}"/>
    <cellStyle name="Normal 2 3 2 2 2 2 29" xfId="61375" xr:uid="{00000000-0005-0000-0000-0000F69B0000}"/>
    <cellStyle name="Normal 2 3 2 2 2 2 3" xfId="4150" xr:uid="{00000000-0005-0000-0000-0000F79B0000}"/>
    <cellStyle name="Normal 2 3 2 2 2 2 3 2" xfId="19299" xr:uid="{00000000-0005-0000-0000-0000F89B0000}"/>
    <cellStyle name="Normal 2 3 2 2 2 2 30" xfId="63058" xr:uid="{00000000-0005-0000-0000-0000F99B0000}"/>
    <cellStyle name="Normal 2 3 2 2 2 2 4" xfId="5833" xr:uid="{00000000-0005-0000-0000-0000FA9B0000}"/>
    <cellStyle name="Normal 2 3 2 2 2 2 4 2" xfId="20982" xr:uid="{00000000-0005-0000-0000-0000FB9B0000}"/>
    <cellStyle name="Normal 2 3 2 2 2 2 5" xfId="7516" xr:uid="{00000000-0005-0000-0000-0000FC9B0000}"/>
    <cellStyle name="Normal 2 3 2 2 2 2 5 2" xfId="22665" xr:uid="{00000000-0005-0000-0000-0000FD9B0000}"/>
    <cellStyle name="Normal 2 3 2 2 2 2 6" xfId="9199" xr:uid="{00000000-0005-0000-0000-0000FE9B0000}"/>
    <cellStyle name="Normal 2 3 2 2 2 2 6 2" xfId="24348" xr:uid="{00000000-0005-0000-0000-0000FF9B0000}"/>
    <cellStyle name="Normal 2 3 2 2 2 2 7" xfId="10882" xr:uid="{00000000-0005-0000-0000-0000009C0000}"/>
    <cellStyle name="Normal 2 3 2 2 2 2 7 2" xfId="26031" xr:uid="{00000000-0005-0000-0000-0000019C0000}"/>
    <cellStyle name="Normal 2 3 2 2 2 2 8" xfId="12566" xr:uid="{00000000-0005-0000-0000-0000029C0000}"/>
    <cellStyle name="Normal 2 3 2 2 2 2 8 2" xfId="27715" xr:uid="{00000000-0005-0000-0000-0000039C0000}"/>
    <cellStyle name="Normal 2 3 2 2 2 2 9" xfId="14249" xr:uid="{00000000-0005-0000-0000-0000049C0000}"/>
    <cellStyle name="Normal 2 3 2 2 2 2 9 2" xfId="29398" xr:uid="{00000000-0005-0000-0000-0000059C0000}"/>
    <cellStyle name="Normal 2 3 2 2 2 20" xfId="40759" xr:uid="{00000000-0005-0000-0000-0000069C0000}"/>
    <cellStyle name="Normal 2 3 2 2 2 21" xfId="42442" xr:uid="{00000000-0005-0000-0000-0000079C0000}"/>
    <cellStyle name="Normal 2 3 2 2 2 22" xfId="44125" xr:uid="{00000000-0005-0000-0000-0000089C0000}"/>
    <cellStyle name="Normal 2 3 2 2 2 23" xfId="45808" xr:uid="{00000000-0005-0000-0000-0000099C0000}"/>
    <cellStyle name="Normal 2 3 2 2 2 24" xfId="47491" xr:uid="{00000000-0005-0000-0000-00000A9C0000}"/>
    <cellStyle name="Normal 2 3 2 2 2 25" xfId="49174" xr:uid="{00000000-0005-0000-0000-00000B9C0000}"/>
    <cellStyle name="Normal 2 3 2 2 2 26" xfId="50857" xr:uid="{00000000-0005-0000-0000-00000C9C0000}"/>
    <cellStyle name="Normal 2 3 2 2 2 27" xfId="52540" xr:uid="{00000000-0005-0000-0000-00000D9C0000}"/>
    <cellStyle name="Normal 2 3 2 2 2 28" xfId="54223" xr:uid="{00000000-0005-0000-0000-00000E9C0000}"/>
    <cellStyle name="Normal 2 3 2 2 2 29" xfId="55906" xr:uid="{00000000-0005-0000-0000-00000F9C0000}"/>
    <cellStyle name="Normal 2 3 2 2 2 3" xfId="1204" xr:uid="{00000000-0005-0000-0000-0000109C0000}"/>
    <cellStyle name="Normal 2 3 2 2 2 3 10" xfId="16353" xr:uid="{00000000-0005-0000-0000-0000119C0000}"/>
    <cellStyle name="Normal 2 3 2 2 2 3 11" xfId="31502" xr:uid="{00000000-0005-0000-0000-0000129C0000}"/>
    <cellStyle name="Normal 2 3 2 2 2 3 12" xfId="33185" xr:uid="{00000000-0005-0000-0000-0000139C0000}"/>
    <cellStyle name="Normal 2 3 2 2 2 3 13" xfId="34868" xr:uid="{00000000-0005-0000-0000-0000149C0000}"/>
    <cellStyle name="Normal 2 3 2 2 2 3 14" xfId="36551" xr:uid="{00000000-0005-0000-0000-0000159C0000}"/>
    <cellStyle name="Normal 2 3 2 2 2 3 15" xfId="38234" xr:uid="{00000000-0005-0000-0000-0000169C0000}"/>
    <cellStyle name="Normal 2 3 2 2 2 3 16" xfId="39917" xr:uid="{00000000-0005-0000-0000-0000179C0000}"/>
    <cellStyle name="Normal 2 3 2 2 2 3 17" xfId="41600" xr:uid="{00000000-0005-0000-0000-0000189C0000}"/>
    <cellStyle name="Normal 2 3 2 2 2 3 18" xfId="43283" xr:uid="{00000000-0005-0000-0000-0000199C0000}"/>
    <cellStyle name="Normal 2 3 2 2 2 3 19" xfId="44966" xr:uid="{00000000-0005-0000-0000-00001A9C0000}"/>
    <cellStyle name="Normal 2 3 2 2 2 3 2" xfId="2887" xr:uid="{00000000-0005-0000-0000-00001B9C0000}"/>
    <cellStyle name="Normal 2 3 2 2 2 3 2 2" xfId="18036" xr:uid="{00000000-0005-0000-0000-00001C9C0000}"/>
    <cellStyle name="Normal 2 3 2 2 2 3 20" xfId="46649" xr:uid="{00000000-0005-0000-0000-00001D9C0000}"/>
    <cellStyle name="Normal 2 3 2 2 2 3 21" xfId="48332" xr:uid="{00000000-0005-0000-0000-00001E9C0000}"/>
    <cellStyle name="Normal 2 3 2 2 2 3 22" xfId="50015" xr:uid="{00000000-0005-0000-0000-00001F9C0000}"/>
    <cellStyle name="Normal 2 3 2 2 2 3 23" xfId="51698" xr:uid="{00000000-0005-0000-0000-0000209C0000}"/>
    <cellStyle name="Normal 2 3 2 2 2 3 24" xfId="53381" xr:uid="{00000000-0005-0000-0000-0000219C0000}"/>
    <cellStyle name="Normal 2 3 2 2 2 3 25" xfId="55064" xr:uid="{00000000-0005-0000-0000-0000229C0000}"/>
    <cellStyle name="Normal 2 3 2 2 2 3 26" xfId="56747" xr:uid="{00000000-0005-0000-0000-0000239C0000}"/>
    <cellStyle name="Normal 2 3 2 2 2 3 27" xfId="58430" xr:uid="{00000000-0005-0000-0000-0000249C0000}"/>
    <cellStyle name="Normal 2 3 2 2 2 3 28" xfId="60113" xr:uid="{00000000-0005-0000-0000-0000259C0000}"/>
    <cellStyle name="Normal 2 3 2 2 2 3 29" xfId="61796" xr:uid="{00000000-0005-0000-0000-0000269C0000}"/>
    <cellStyle name="Normal 2 3 2 2 2 3 3" xfId="4571" xr:uid="{00000000-0005-0000-0000-0000279C0000}"/>
    <cellStyle name="Normal 2 3 2 2 2 3 3 2" xfId="19720" xr:uid="{00000000-0005-0000-0000-0000289C0000}"/>
    <cellStyle name="Normal 2 3 2 2 2 3 30" xfId="63479" xr:uid="{00000000-0005-0000-0000-0000299C0000}"/>
    <cellStyle name="Normal 2 3 2 2 2 3 4" xfId="6254" xr:uid="{00000000-0005-0000-0000-00002A9C0000}"/>
    <cellStyle name="Normal 2 3 2 2 2 3 4 2" xfId="21403" xr:uid="{00000000-0005-0000-0000-00002B9C0000}"/>
    <cellStyle name="Normal 2 3 2 2 2 3 5" xfId="7937" xr:uid="{00000000-0005-0000-0000-00002C9C0000}"/>
    <cellStyle name="Normal 2 3 2 2 2 3 5 2" xfId="23086" xr:uid="{00000000-0005-0000-0000-00002D9C0000}"/>
    <cellStyle name="Normal 2 3 2 2 2 3 6" xfId="9620" xr:uid="{00000000-0005-0000-0000-00002E9C0000}"/>
    <cellStyle name="Normal 2 3 2 2 2 3 6 2" xfId="24769" xr:uid="{00000000-0005-0000-0000-00002F9C0000}"/>
    <cellStyle name="Normal 2 3 2 2 2 3 7" xfId="11303" xr:uid="{00000000-0005-0000-0000-0000309C0000}"/>
    <cellStyle name="Normal 2 3 2 2 2 3 7 2" xfId="26452" xr:uid="{00000000-0005-0000-0000-0000319C0000}"/>
    <cellStyle name="Normal 2 3 2 2 2 3 8" xfId="12987" xr:uid="{00000000-0005-0000-0000-0000329C0000}"/>
    <cellStyle name="Normal 2 3 2 2 2 3 8 2" xfId="28136" xr:uid="{00000000-0005-0000-0000-0000339C0000}"/>
    <cellStyle name="Normal 2 3 2 2 2 3 9" xfId="14670" xr:uid="{00000000-0005-0000-0000-0000349C0000}"/>
    <cellStyle name="Normal 2 3 2 2 2 3 9 2" xfId="29819" xr:uid="{00000000-0005-0000-0000-0000359C0000}"/>
    <cellStyle name="Normal 2 3 2 2 2 30" xfId="57589" xr:uid="{00000000-0005-0000-0000-0000369C0000}"/>
    <cellStyle name="Normal 2 3 2 2 2 31" xfId="59272" xr:uid="{00000000-0005-0000-0000-0000379C0000}"/>
    <cellStyle name="Normal 2 3 2 2 2 32" xfId="60955" xr:uid="{00000000-0005-0000-0000-0000389C0000}"/>
    <cellStyle name="Normal 2 3 2 2 2 33" xfId="62638" xr:uid="{00000000-0005-0000-0000-0000399C0000}"/>
    <cellStyle name="Normal 2 3 2 2 2 4" xfId="1625" xr:uid="{00000000-0005-0000-0000-00003A9C0000}"/>
    <cellStyle name="Normal 2 3 2 2 2 4 10" xfId="16774" xr:uid="{00000000-0005-0000-0000-00003B9C0000}"/>
    <cellStyle name="Normal 2 3 2 2 2 4 11" xfId="31923" xr:uid="{00000000-0005-0000-0000-00003C9C0000}"/>
    <cellStyle name="Normal 2 3 2 2 2 4 12" xfId="33606" xr:uid="{00000000-0005-0000-0000-00003D9C0000}"/>
    <cellStyle name="Normal 2 3 2 2 2 4 13" xfId="35289" xr:uid="{00000000-0005-0000-0000-00003E9C0000}"/>
    <cellStyle name="Normal 2 3 2 2 2 4 14" xfId="36972" xr:uid="{00000000-0005-0000-0000-00003F9C0000}"/>
    <cellStyle name="Normal 2 3 2 2 2 4 15" xfId="38655" xr:uid="{00000000-0005-0000-0000-0000409C0000}"/>
    <cellStyle name="Normal 2 3 2 2 2 4 16" xfId="40338" xr:uid="{00000000-0005-0000-0000-0000419C0000}"/>
    <cellStyle name="Normal 2 3 2 2 2 4 17" xfId="42021" xr:uid="{00000000-0005-0000-0000-0000429C0000}"/>
    <cellStyle name="Normal 2 3 2 2 2 4 18" xfId="43704" xr:uid="{00000000-0005-0000-0000-0000439C0000}"/>
    <cellStyle name="Normal 2 3 2 2 2 4 19" xfId="45387" xr:uid="{00000000-0005-0000-0000-0000449C0000}"/>
    <cellStyle name="Normal 2 3 2 2 2 4 2" xfId="3308" xr:uid="{00000000-0005-0000-0000-0000459C0000}"/>
    <cellStyle name="Normal 2 3 2 2 2 4 2 2" xfId="18457" xr:uid="{00000000-0005-0000-0000-0000469C0000}"/>
    <cellStyle name="Normal 2 3 2 2 2 4 20" xfId="47070" xr:uid="{00000000-0005-0000-0000-0000479C0000}"/>
    <cellStyle name="Normal 2 3 2 2 2 4 21" xfId="48753" xr:uid="{00000000-0005-0000-0000-0000489C0000}"/>
    <cellStyle name="Normal 2 3 2 2 2 4 22" xfId="50436" xr:uid="{00000000-0005-0000-0000-0000499C0000}"/>
    <cellStyle name="Normal 2 3 2 2 2 4 23" xfId="52119" xr:uid="{00000000-0005-0000-0000-00004A9C0000}"/>
    <cellStyle name="Normal 2 3 2 2 2 4 24" xfId="53802" xr:uid="{00000000-0005-0000-0000-00004B9C0000}"/>
    <cellStyle name="Normal 2 3 2 2 2 4 25" xfId="55485" xr:uid="{00000000-0005-0000-0000-00004C9C0000}"/>
    <cellStyle name="Normal 2 3 2 2 2 4 26" xfId="57168" xr:uid="{00000000-0005-0000-0000-00004D9C0000}"/>
    <cellStyle name="Normal 2 3 2 2 2 4 27" xfId="58851" xr:uid="{00000000-0005-0000-0000-00004E9C0000}"/>
    <cellStyle name="Normal 2 3 2 2 2 4 28" xfId="60534" xr:uid="{00000000-0005-0000-0000-00004F9C0000}"/>
    <cellStyle name="Normal 2 3 2 2 2 4 29" xfId="62217" xr:uid="{00000000-0005-0000-0000-0000509C0000}"/>
    <cellStyle name="Normal 2 3 2 2 2 4 3" xfId="4992" xr:uid="{00000000-0005-0000-0000-0000519C0000}"/>
    <cellStyle name="Normal 2 3 2 2 2 4 3 2" xfId="20141" xr:uid="{00000000-0005-0000-0000-0000529C0000}"/>
    <cellStyle name="Normal 2 3 2 2 2 4 30" xfId="63900" xr:uid="{00000000-0005-0000-0000-0000539C0000}"/>
    <cellStyle name="Normal 2 3 2 2 2 4 4" xfId="6675" xr:uid="{00000000-0005-0000-0000-0000549C0000}"/>
    <cellStyle name="Normal 2 3 2 2 2 4 4 2" xfId="21824" xr:uid="{00000000-0005-0000-0000-0000559C0000}"/>
    <cellStyle name="Normal 2 3 2 2 2 4 5" xfId="8358" xr:uid="{00000000-0005-0000-0000-0000569C0000}"/>
    <cellStyle name="Normal 2 3 2 2 2 4 5 2" xfId="23507" xr:uid="{00000000-0005-0000-0000-0000579C0000}"/>
    <cellStyle name="Normal 2 3 2 2 2 4 6" xfId="10041" xr:uid="{00000000-0005-0000-0000-0000589C0000}"/>
    <cellStyle name="Normal 2 3 2 2 2 4 6 2" xfId="25190" xr:uid="{00000000-0005-0000-0000-0000599C0000}"/>
    <cellStyle name="Normal 2 3 2 2 2 4 7" xfId="11724" xr:uid="{00000000-0005-0000-0000-00005A9C0000}"/>
    <cellStyle name="Normal 2 3 2 2 2 4 7 2" xfId="26873" xr:uid="{00000000-0005-0000-0000-00005B9C0000}"/>
    <cellStyle name="Normal 2 3 2 2 2 4 8" xfId="13408" xr:uid="{00000000-0005-0000-0000-00005C9C0000}"/>
    <cellStyle name="Normal 2 3 2 2 2 4 8 2" xfId="28557" xr:uid="{00000000-0005-0000-0000-00005D9C0000}"/>
    <cellStyle name="Normal 2 3 2 2 2 4 9" xfId="15091" xr:uid="{00000000-0005-0000-0000-00005E9C0000}"/>
    <cellStyle name="Normal 2 3 2 2 2 4 9 2" xfId="30240" xr:uid="{00000000-0005-0000-0000-00005F9C0000}"/>
    <cellStyle name="Normal 2 3 2 2 2 5" xfId="2046" xr:uid="{00000000-0005-0000-0000-0000609C0000}"/>
    <cellStyle name="Normal 2 3 2 2 2 5 2" xfId="17195" xr:uid="{00000000-0005-0000-0000-0000619C0000}"/>
    <cellStyle name="Normal 2 3 2 2 2 6" xfId="3730" xr:uid="{00000000-0005-0000-0000-0000629C0000}"/>
    <cellStyle name="Normal 2 3 2 2 2 6 2" xfId="18879" xr:uid="{00000000-0005-0000-0000-0000639C0000}"/>
    <cellStyle name="Normal 2 3 2 2 2 7" xfId="5413" xr:uid="{00000000-0005-0000-0000-0000649C0000}"/>
    <cellStyle name="Normal 2 3 2 2 2 7 2" xfId="20562" xr:uid="{00000000-0005-0000-0000-0000659C0000}"/>
    <cellStyle name="Normal 2 3 2 2 2 8" xfId="7096" xr:uid="{00000000-0005-0000-0000-0000669C0000}"/>
    <cellStyle name="Normal 2 3 2 2 2 8 2" xfId="22245" xr:uid="{00000000-0005-0000-0000-0000679C0000}"/>
    <cellStyle name="Normal 2 3 2 2 2 9" xfId="8779" xr:uid="{00000000-0005-0000-0000-0000689C0000}"/>
    <cellStyle name="Normal 2 3 2 2 2 9 2" xfId="23928" xr:uid="{00000000-0005-0000-0000-0000699C0000}"/>
    <cellStyle name="Normal 2 3 2 2 20" xfId="38866" xr:uid="{00000000-0005-0000-0000-00006A9C0000}"/>
    <cellStyle name="Normal 2 3 2 2 21" xfId="40549" xr:uid="{00000000-0005-0000-0000-00006B9C0000}"/>
    <cellStyle name="Normal 2 3 2 2 22" xfId="42232" xr:uid="{00000000-0005-0000-0000-00006C9C0000}"/>
    <cellStyle name="Normal 2 3 2 2 23" xfId="43915" xr:uid="{00000000-0005-0000-0000-00006D9C0000}"/>
    <cellStyle name="Normal 2 3 2 2 24" xfId="45598" xr:uid="{00000000-0005-0000-0000-00006E9C0000}"/>
    <cellStyle name="Normal 2 3 2 2 25" xfId="47281" xr:uid="{00000000-0005-0000-0000-00006F9C0000}"/>
    <cellStyle name="Normal 2 3 2 2 26" xfId="48964" xr:uid="{00000000-0005-0000-0000-0000709C0000}"/>
    <cellStyle name="Normal 2 3 2 2 27" xfId="50647" xr:uid="{00000000-0005-0000-0000-0000719C0000}"/>
    <cellStyle name="Normal 2 3 2 2 28" xfId="52330" xr:uid="{00000000-0005-0000-0000-0000729C0000}"/>
    <cellStyle name="Normal 2 3 2 2 29" xfId="54013" xr:uid="{00000000-0005-0000-0000-0000739C0000}"/>
    <cellStyle name="Normal 2 3 2 2 3" xfId="573" xr:uid="{00000000-0005-0000-0000-0000749C0000}"/>
    <cellStyle name="Normal 2 3 2 2 3 10" xfId="15722" xr:uid="{00000000-0005-0000-0000-0000759C0000}"/>
    <cellStyle name="Normal 2 3 2 2 3 11" xfId="30871" xr:uid="{00000000-0005-0000-0000-0000769C0000}"/>
    <cellStyle name="Normal 2 3 2 2 3 12" xfId="32554" xr:uid="{00000000-0005-0000-0000-0000779C0000}"/>
    <cellStyle name="Normal 2 3 2 2 3 13" xfId="34237" xr:uid="{00000000-0005-0000-0000-0000789C0000}"/>
    <cellStyle name="Normal 2 3 2 2 3 14" xfId="35920" xr:uid="{00000000-0005-0000-0000-0000799C0000}"/>
    <cellStyle name="Normal 2 3 2 2 3 15" xfId="37603" xr:uid="{00000000-0005-0000-0000-00007A9C0000}"/>
    <cellStyle name="Normal 2 3 2 2 3 16" xfId="39286" xr:uid="{00000000-0005-0000-0000-00007B9C0000}"/>
    <cellStyle name="Normal 2 3 2 2 3 17" xfId="40969" xr:uid="{00000000-0005-0000-0000-00007C9C0000}"/>
    <cellStyle name="Normal 2 3 2 2 3 18" xfId="42652" xr:uid="{00000000-0005-0000-0000-00007D9C0000}"/>
    <cellStyle name="Normal 2 3 2 2 3 19" xfId="44335" xr:uid="{00000000-0005-0000-0000-00007E9C0000}"/>
    <cellStyle name="Normal 2 3 2 2 3 2" xfId="2256" xr:uid="{00000000-0005-0000-0000-00007F9C0000}"/>
    <cellStyle name="Normal 2 3 2 2 3 2 2" xfId="17405" xr:uid="{00000000-0005-0000-0000-0000809C0000}"/>
    <cellStyle name="Normal 2 3 2 2 3 20" xfId="46018" xr:uid="{00000000-0005-0000-0000-0000819C0000}"/>
    <cellStyle name="Normal 2 3 2 2 3 21" xfId="47701" xr:uid="{00000000-0005-0000-0000-0000829C0000}"/>
    <cellStyle name="Normal 2 3 2 2 3 22" xfId="49384" xr:uid="{00000000-0005-0000-0000-0000839C0000}"/>
    <cellStyle name="Normal 2 3 2 2 3 23" xfId="51067" xr:uid="{00000000-0005-0000-0000-0000849C0000}"/>
    <cellStyle name="Normal 2 3 2 2 3 24" xfId="52750" xr:uid="{00000000-0005-0000-0000-0000859C0000}"/>
    <cellStyle name="Normal 2 3 2 2 3 25" xfId="54433" xr:uid="{00000000-0005-0000-0000-0000869C0000}"/>
    <cellStyle name="Normal 2 3 2 2 3 26" xfId="56116" xr:uid="{00000000-0005-0000-0000-0000879C0000}"/>
    <cellStyle name="Normal 2 3 2 2 3 27" xfId="57799" xr:uid="{00000000-0005-0000-0000-0000889C0000}"/>
    <cellStyle name="Normal 2 3 2 2 3 28" xfId="59482" xr:uid="{00000000-0005-0000-0000-0000899C0000}"/>
    <cellStyle name="Normal 2 3 2 2 3 29" xfId="61165" xr:uid="{00000000-0005-0000-0000-00008A9C0000}"/>
    <cellStyle name="Normal 2 3 2 2 3 3" xfId="3940" xr:uid="{00000000-0005-0000-0000-00008B9C0000}"/>
    <cellStyle name="Normal 2 3 2 2 3 3 2" xfId="19089" xr:uid="{00000000-0005-0000-0000-00008C9C0000}"/>
    <cellStyle name="Normal 2 3 2 2 3 30" xfId="62848" xr:uid="{00000000-0005-0000-0000-00008D9C0000}"/>
    <cellStyle name="Normal 2 3 2 2 3 4" xfId="5623" xr:uid="{00000000-0005-0000-0000-00008E9C0000}"/>
    <cellStyle name="Normal 2 3 2 2 3 4 2" xfId="20772" xr:uid="{00000000-0005-0000-0000-00008F9C0000}"/>
    <cellStyle name="Normal 2 3 2 2 3 5" xfId="7306" xr:uid="{00000000-0005-0000-0000-0000909C0000}"/>
    <cellStyle name="Normal 2 3 2 2 3 5 2" xfId="22455" xr:uid="{00000000-0005-0000-0000-0000919C0000}"/>
    <cellStyle name="Normal 2 3 2 2 3 6" xfId="8989" xr:uid="{00000000-0005-0000-0000-0000929C0000}"/>
    <cellStyle name="Normal 2 3 2 2 3 6 2" xfId="24138" xr:uid="{00000000-0005-0000-0000-0000939C0000}"/>
    <cellStyle name="Normal 2 3 2 2 3 7" xfId="10672" xr:uid="{00000000-0005-0000-0000-0000949C0000}"/>
    <cellStyle name="Normal 2 3 2 2 3 7 2" xfId="25821" xr:uid="{00000000-0005-0000-0000-0000959C0000}"/>
    <cellStyle name="Normal 2 3 2 2 3 8" xfId="12356" xr:uid="{00000000-0005-0000-0000-0000969C0000}"/>
    <cellStyle name="Normal 2 3 2 2 3 8 2" xfId="27505" xr:uid="{00000000-0005-0000-0000-0000979C0000}"/>
    <cellStyle name="Normal 2 3 2 2 3 9" xfId="14039" xr:uid="{00000000-0005-0000-0000-0000989C0000}"/>
    <cellStyle name="Normal 2 3 2 2 3 9 2" xfId="29188" xr:uid="{00000000-0005-0000-0000-0000999C0000}"/>
    <cellStyle name="Normal 2 3 2 2 30" xfId="55696" xr:uid="{00000000-0005-0000-0000-00009A9C0000}"/>
    <cellStyle name="Normal 2 3 2 2 31" xfId="57379" xr:uid="{00000000-0005-0000-0000-00009B9C0000}"/>
    <cellStyle name="Normal 2 3 2 2 32" xfId="59062" xr:uid="{00000000-0005-0000-0000-00009C9C0000}"/>
    <cellStyle name="Normal 2 3 2 2 33" xfId="60745" xr:uid="{00000000-0005-0000-0000-00009D9C0000}"/>
    <cellStyle name="Normal 2 3 2 2 34" xfId="62428" xr:uid="{00000000-0005-0000-0000-00009E9C0000}"/>
    <cellStyle name="Normal 2 3 2 2 4" xfId="994" xr:uid="{00000000-0005-0000-0000-00009F9C0000}"/>
    <cellStyle name="Normal 2 3 2 2 4 10" xfId="16143" xr:uid="{00000000-0005-0000-0000-0000A09C0000}"/>
    <cellStyle name="Normal 2 3 2 2 4 11" xfId="31292" xr:uid="{00000000-0005-0000-0000-0000A19C0000}"/>
    <cellStyle name="Normal 2 3 2 2 4 12" xfId="32975" xr:uid="{00000000-0005-0000-0000-0000A29C0000}"/>
    <cellStyle name="Normal 2 3 2 2 4 13" xfId="34658" xr:uid="{00000000-0005-0000-0000-0000A39C0000}"/>
    <cellStyle name="Normal 2 3 2 2 4 14" xfId="36341" xr:uid="{00000000-0005-0000-0000-0000A49C0000}"/>
    <cellStyle name="Normal 2 3 2 2 4 15" xfId="38024" xr:uid="{00000000-0005-0000-0000-0000A59C0000}"/>
    <cellStyle name="Normal 2 3 2 2 4 16" xfId="39707" xr:uid="{00000000-0005-0000-0000-0000A69C0000}"/>
    <cellStyle name="Normal 2 3 2 2 4 17" xfId="41390" xr:uid="{00000000-0005-0000-0000-0000A79C0000}"/>
    <cellStyle name="Normal 2 3 2 2 4 18" xfId="43073" xr:uid="{00000000-0005-0000-0000-0000A89C0000}"/>
    <cellStyle name="Normal 2 3 2 2 4 19" xfId="44756" xr:uid="{00000000-0005-0000-0000-0000A99C0000}"/>
    <cellStyle name="Normal 2 3 2 2 4 2" xfId="2677" xr:uid="{00000000-0005-0000-0000-0000AA9C0000}"/>
    <cellStyle name="Normal 2 3 2 2 4 2 2" xfId="17826" xr:uid="{00000000-0005-0000-0000-0000AB9C0000}"/>
    <cellStyle name="Normal 2 3 2 2 4 20" xfId="46439" xr:uid="{00000000-0005-0000-0000-0000AC9C0000}"/>
    <cellStyle name="Normal 2 3 2 2 4 21" xfId="48122" xr:uid="{00000000-0005-0000-0000-0000AD9C0000}"/>
    <cellStyle name="Normal 2 3 2 2 4 22" xfId="49805" xr:uid="{00000000-0005-0000-0000-0000AE9C0000}"/>
    <cellStyle name="Normal 2 3 2 2 4 23" xfId="51488" xr:uid="{00000000-0005-0000-0000-0000AF9C0000}"/>
    <cellStyle name="Normal 2 3 2 2 4 24" xfId="53171" xr:uid="{00000000-0005-0000-0000-0000B09C0000}"/>
    <cellStyle name="Normal 2 3 2 2 4 25" xfId="54854" xr:uid="{00000000-0005-0000-0000-0000B19C0000}"/>
    <cellStyle name="Normal 2 3 2 2 4 26" xfId="56537" xr:uid="{00000000-0005-0000-0000-0000B29C0000}"/>
    <cellStyle name="Normal 2 3 2 2 4 27" xfId="58220" xr:uid="{00000000-0005-0000-0000-0000B39C0000}"/>
    <cellStyle name="Normal 2 3 2 2 4 28" xfId="59903" xr:uid="{00000000-0005-0000-0000-0000B49C0000}"/>
    <cellStyle name="Normal 2 3 2 2 4 29" xfId="61586" xr:uid="{00000000-0005-0000-0000-0000B59C0000}"/>
    <cellStyle name="Normal 2 3 2 2 4 3" xfId="4361" xr:uid="{00000000-0005-0000-0000-0000B69C0000}"/>
    <cellStyle name="Normal 2 3 2 2 4 3 2" xfId="19510" xr:uid="{00000000-0005-0000-0000-0000B79C0000}"/>
    <cellStyle name="Normal 2 3 2 2 4 30" xfId="63269" xr:uid="{00000000-0005-0000-0000-0000B89C0000}"/>
    <cellStyle name="Normal 2 3 2 2 4 4" xfId="6044" xr:uid="{00000000-0005-0000-0000-0000B99C0000}"/>
    <cellStyle name="Normal 2 3 2 2 4 4 2" xfId="21193" xr:uid="{00000000-0005-0000-0000-0000BA9C0000}"/>
    <cellStyle name="Normal 2 3 2 2 4 5" xfId="7727" xr:uid="{00000000-0005-0000-0000-0000BB9C0000}"/>
    <cellStyle name="Normal 2 3 2 2 4 5 2" xfId="22876" xr:uid="{00000000-0005-0000-0000-0000BC9C0000}"/>
    <cellStyle name="Normal 2 3 2 2 4 6" xfId="9410" xr:uid="{00000000-0005-0000-0000-0000BD9C0000}"/>
    <cellStyle name="Normal 2 3 2 2 4 6 2" xfId="24559" xr:uid="{00000000-0005-0000-0000-0000BE9C0000}"/>
    <cellStyle name="Normal 2 3 2 2 4 7" xfId="11093" xr:uid="{00000000-0005-0000-0000-0000BF9C0000}"/>
    <cellStyle name="Normal 2 3 2 2 4 7 2" xfId="26242" xr:uid="{00000000-0005-0000-0000-0000C09C0000}"/>
    <cellStyle name="Normal 2 3 2 2 4 8" xfId="12777" xr:uid="{00000000-0005-0000-0000-0000C19C0000}"/>
    <cellStyle name="Normal 2 3 2 2 4 8 2" xfId="27926" xr:uid="{00000000-0005-0000-0000-0000C29C0000}"/>
    <cellStyle name="Normal 2 3 2 2 4 9" xfId="14460" xr:uid="{00000000-0005-0000-0000-0000C39C0000}"/>
    <cellStyle name="Normal 2 3 2 2 4 9 2" xfId="29609" xr:uid="{00000000-0005-0000-0000-0000C49C0000}"/>
    <cellStyle name="Normal 2 3 2 2 5" xfId="1415" xr:uid="{00000000-0005-0000-0000-0000C59C0000}"/>
    <cellStyle name="Normal 2 3 2 2 5 10" xfId="16564" xr:uid="{00000000-0005-0000-0000-0000C69C0000}"/>
    <cellStyle name="Normal 2 3 2 2 5 11" xfId="31713" xr:uid="{00000000-0005-0000-0000-0000C79C0000}"/>
    <cellStyle name="Normal 2 3 2 2 5 12" xfId="33396" xr:uid="{00000000-0005-0000-0000-0000C89C0000}"/>
    <cellStyle name="Normal 2 3 2 2 5 13" xfId="35079" xr:uid="{00000000-0005-0000-0000-0000C99C0000}"/>
    <cellStyle name="Normal 2 3 2 2 5 14" xfId="36762" xr:uid="{00000000-0005-0000-0000-0000CA9C0000}"/>
    <cellStyle name="Normal 2 3 2 2 5 15" xfId="38445" xr:uid="{00000000-0005-0000-0000-0000CB9C0000}"/>
    <cellStyle name="Normal 2 3 2 2 5 16" xfId="40128" xr:uid="{00000000-0005-0000-0000-0000CC9C0000}"/>
    <cellStyle name="Normal 2 3 2 2 5 17" xfId="41811" xr:uid="{00000000-0005-0000-0000-0000CD9C0000}"/>
    <cellStyle name="Normal 2 3 2 2 5 18" xfId="43494" xr:uid="{00000000-0005-0000-0000-0000CE9C0000}"/>
    <cellStyle name="Normal 2 3 2 2 5 19" xfId="45177" xr:uid="{00000000-0005-0000-0000-0000CF9C0000}"/>
    <cellStyle name="Normal 2 3 2 2 5 2" xfId="3098" xr:uid="{00000000-0005-0000-0000-0000D09C0000}"/>
    <cellStyle name="Normal 2 3 2 2 5 2 2" xfId="18247" xr:uid="{00000000-0005-0000-0000-0000D19C0000}"/>
    <cellStyle name="Normal 2 3 2 2 5 20" xfId="46860" xr:uid="{00000000-0005-0000-0000-0000D29C0000}"/>
    <cellStyle name="Normal 2 3 2 2 5 21" xfId="48543" xr:uid="{00000000-0005-0000-0000-0000D39C0000}"/>
    <cellStyle name="Normal 2 3 2 2 5 22" xfId="50226" xr:uid="{00000000-0005-0000-0000-0000D49C0000}"/>
    <cellStyle name="Normal 2 3 2 2 5 23" xfId="51909" xr:uid="{00000000-0005-0000-0000-0000D59C0000}"/>
    <cellStyle name="Normal 2 3 2 2 5 24" xfId="53592" xr:uid="{00000000-0005-0000-0000-0000D69C0000}"/>
    <cellStyle name="Normal 2 3 2 2 5 25" xfId="55275" xr:uid="{00000000-0005-0000-0000-0000D79C0000}"/>
    <cellStyle name="Normal 2 3 2 2 5 26" xfId="56958" xr:uid="{00000000-0005-0000-0000-0000D89C0000}"/>
    <cellStyle name="Normal 2 3 2 2 5 27" xfId="58641" xr:uid="{00000000-0005-0000-0000-0000D99C0000}"/>
    <cellStyle name="Normal 2 3 2 2 5 28" xfId="60324" xr:uid="{00000000-0005-0000-0000-0000DA9C0000}"/>
    <cellStyle name="Normal 2 3 2 2 5 29" xfId="62007" xr:uid="{00000000-0005-0000-0000-0000DB9C0000}"/>
    <cellStyle name="Normal 2 3 2 2 5 3" xfId="4782" xr:uid="{00000000-0005-0000-0000-0000DC9C0000}"/>
    <cellStyle name="Normal 2 3 2 2 5 3 2" xfId="19931" xr:uid="{00000000-0005-0000-0000-0000DD9C0000}"/>
    <cellStyle name="Normal 2 3 2 2 5 30" xfId="63690" xr:uid="{00000000-0005-0000-0000-0000DE9C0000}"/>
    <cellStyle name="Normal 2 3 2 2 5 4" xfId="6465" xr:uid="{00000000-0005-0000-0000-0000DF9C0000}"/>
    <cellStyle name="Normal 2 3 2 2 5 4 2" xfId="21614" xr:uid="{00000000-0005-0000-0000-0000E09C0000}"/>
    <cellStyle name="Normal 2 3 2 2 5 5" xfId="8148" xr:uid="{00000000-0005-0000-0000-0000E19C0000}"/>
    <cellStyle name="Normal 2 3 2 2 5 5 2" xfId="23297" xr:uid="{00000000-0005-0000-0000-0000E29C0000}"/>
    <cellStyle name="Normal 2 3 2 2 5 6" xfId="9831" xr:uid="{00000000-0005-0000-0000-0000E39C0000}"/>
    <cellStyle name="Normal 2 3 2 2 5 6 2" xfId="24980" xr:uid="{00000000-0005-0000-0000-0000E49C0000}"/>
    <cellStyle name="Normal 2 3 2 2 5 7" xfId="11514" xr:uid="{00000000-0005-0000-0000-0000E59C0000}"/>
    <cellStyle name="Normal 2 3 2 2 5 7 2" xfId="26663" xr:uid="{00000000-0005-0000-0000-0000E69C0000}"/>
    <cellStyle name="Normal 2 3 2 2 5 8" xfId="13198" xr:uid="{00000000-0005-0000-0000-0000E79C0000}"/>
    <cellStyle name="Normal 2 3 2 2 5 8 2" xfId="28347" xr:uid="{00000000-0005-0000-0000-0000E89C0000}"/>
    <cellStyle name="Normal 2 3 2 2 5 9" xfId="14881" xr:uid="{00000000-0005-0000-0000-0000E99C0000}"/>
    <cellStyle name="Normal 2 3 2 2 5 9 2" xfId="30030" xr:uid="{00000000-0005-0000-0000-0000EA9C0000}"/>
    <cellStyle name="Normal 2 3 2 2 6" xfId="1836" xr:uid="{00000000-0005-0000-0000-0000EB9C0000}"/>
    <cellStyle name="Normal 2 3 2 2 6 2" xfId="16985" xr:uid="{00000000-0005-0000-0000-0000EC9C0000}"/>
    <cellStyle name="Normal 2 3 2 2 7" xfId="3520" xr:uid="{00000000-0005-0000-0000-0000ED9C0000}"/>
    <cellStyle name="Normal 2 3 2 2 7 2" xfId="18669" xr:uid="{00000000-0005-0000-0000-0000EE9C0000}"/>
    <cellStyle name="Normal 2 3 2 2 8" xfId="5203" xr:uid="{00000000-0005-0000-0000-0000EF9C0000}"/>
    <cellStyle name="Normal 2 3 2 2 8 2" xfId="20352" xr:uid="{00000000-0005-0000-0000-0000F09C0000}"/>
    <cellStyle name="Normal 2 3 2 2 9" xfId="6886" xr:uid="{00000000-0005-0000-0000-0000F19C0000}"/>
    <cellStyle name="Normal 2 3 2 2 9 2" xfId="22035" xr:uid="{00000000-0005-0000-0000-0000F29C0000}"/>
    <cellStyle name="Normal 2 3 2 20" xfId="37078" xr:uid="{00000000-0005-0000-0000-0000F39C0000}"/>
    <cellStyle name="Normal 2 3 2 21" xfId="38761" xr:uid="{00000000-0005-0000-0000-0000F49C0000}"/>
    <cellStyle name="Normal 2 3 2 22" xfId="40444" xr:uid="{00000000-0005-0000-0000-0000F59C0000}"/>
    <cellStyle name="Normal 2 3 2 23" xfId="42127" xr:uid="{00000000-0005-0000-0000-0000F69C0000}"/>
    <cellStyle name="Normal 2 3 2 24" xfId="43810" xr:uid="{00000000-0005-0000-0000-0000F79C0000}"/>
    <cellStyle name="Normal 2 3 2 25" xfId="45493" xr:uid="{00000000-0005-0000-0000-0000F89C0000}"/>
    <cellStyle name="Normal 2 3 2 26" xfId="47176" xr:uid="{00000000-0005-0000-0000-0000F99C0000}"/>
    <cellStyle name="Normal 2 3 2 27" xfId="48859" xr:uid="{00000000-0005-0000-0000-0000FA9C0000}"/>
    <cellStyle name="Normal 2 3 2 28" xfId="50542" xr:uid="{00000000-0005-0000-0000-0000FB9C0000}"/>
    <cellStyle name="Normal 2 3 2 29" xfId="52225" xr:uid="{00000000-0005-0000-0000-0000FC9C0000}"/>
    <cellStyle name="Normal 2 3 2 3" xfId="258" xr:uid="{00000000-0005-0000-0000-0000FD9C0000}"/>
    <cellStyle name="Normal 2 3 2 3 10" xfId="10357" xr:uid="{00000000-0005-0000-0000-0000FE9C0000}"/>
    <cellStyle name="Normal 2 3 2 3 10 2" xfId="25506" xr:uid="{00000000-0005-0000-0000-0000FF9C0000}"/>
    <cellStyle name="Normal 2 3 2 3 11" xfId="12041" xr:uid="{00000000-0005-0000-0000-0000009D0000}"/>
    <cellStyle name="Normal 2 3 2 3 11 2" xfId="27190" xr:uid="{00000000-0005-0000-0000-0000019D0000}"/>
    <cellStyle name="Normal 2 3 2 3 12" xfId="13724" xr:uid="{00000000-0005-0000-0000-0000029D0000}"/>
    <cellStyle name="Normal 2 3 2 3 12 2" xfId="28873" xr:uid="{00000000-0005-0000-0000-0000039D0000}"/>
    <cellStyle name="Normal 2 3 2 3 13" xfId="15407" xr:uid="{00000000-0005-0000-0000-0000049D0000}"/>
    <cellStyle name="Normal 2 3 2 3 14" xfId="30556" xr:uid="{00000000-0005-0000-0000-0000059D0000}"/>
    <cellStyle name="Normal 2 3 2 3 15" xfId="32239" xr:uid="{00000000-0005-0000-0000-0000069D0000}"/>
    <cellStyle name="Normal 2 3 2 3 16" xfId="33922" xr:uid="{00000000-0005-0000-0000-0000079D0000}"/>
    <cellStyle name="Normal 2 3 2 3 17" xfId="35605" xr:uid="{00000000-0005-0000-0000-0000089D0000}"/>
    <cellStyle name="Normal 2 3 2 3 18" xfId="37288" xr:uid="{00000000-0005-0000-0000-0000099D0000}"/>
    <cellStyle name="Normal 2 3 2 3 19" xfId="38971" xr:uid="{00000000-0005-0000-0000-00000A9D0000}"/>
    <cellStyle name="Normal 2 3 2 3 2" xfId="678" xr:uid="{00000000-0005-0000-0000-00000B9D0000}"/>
    <cellStyle name="Normal 2 3 2 3 2 10" xfId="15827" xr:uid="{00000000-0005-0000-0000-00000C9D0000}"/>
    <cellStyle name="Normal 2 3 2 3 2 11" xfId="30976" xr:uid="{00000000-0005-0000-0000-00000D9D0000}"/>
    <cellStyle name="Normal 2 3 2 3 2 12" xfId="32659" xr:uid="{00000000-0005-0000-0000-00000E9D0000}"/>
    <cellStyle name="Normal 2 3 2 3 2 13" xfId="34342" xr:uid="{00000000-0005-0000-0000-00000F9D0000}"/>
    <cellStyle name="Normal 2 3 2 3 2 14" xfId="36025" xr:uid="{00000000-0005-0000-0000-0000109D0000}"/>
    <cellStyle name="Normal 2 3 2 3 2 15" xfId="37708" xr:uid="{00000000-0005-0000-0000-0000119D0000}"/>
    <cellStyle name="Normal 2 3 2 3 2 16" xfId="39391" xr:uid="{00000000-0005-0000-0000-0000129D0000}"/>
    <cellStyle name="Normal 2 3 2 3 2 17" xfId="41074" xr:uid="{00000000-0005-0000-0000-0000139D0000}"/>
    <cellStyle name="Normal 2 3 2 3 2 18" xfId="42757" xr:uid="{00000000-0005-0000-0000-0000149D0000}"/>
    <cellStyle name="Normal 2 3 2 3 2 19" xfId="44440" xr:uid="{00000000-0005-0000-0000-0000159D0000}"/>
    <cellStyle name="Normal 2 3 2 3 2 2" xfId="2361" xr:uid="{00000000-0005-0000-0000-0000169D0000}"/>
    <cellStyle name="Normal 2 3 2 3 2 2 2" xfId="17510" xr:uid="{00000000-0005-0000-0000-0000179D0000}"/>
    <cellStyle name="Normal 2 3 2 3 2 20" xfId="46123" xr:uid="{00000000-0005-0000-0000-0000189D0000}"/>
    <cellStyle name="Normal 2 3 2 3 2 21" xfId="47806" xr:uid="{00000000-0005-0000-0000-0000199D0000}"/>
    <cellStyle name="Normal 2 3 2 3 2 22" xfId="49489" xr:uid="{00000000-0005-0000-0000-00001A9D0000}"/>
    <cellStyle name="Normal 2 3 2 3 2 23" xfId="51172" xr:uid="{00000000-0005-0000-0000-00001B9D0000}"/>
    <cellStyle name="Normal 2 3 2 3 2 24" xfId="52855" xr:uid="{00000000-0005-0000-0000-00001C9D0000}"/>
    <cellStyle name="Normal 2 3 2 3 2 25" xfId="54538" xr:uid="{00000000-0005-0000-0000-00001D9D0000}"/>
    <cellStyle name="Normal 2 3 2 3 2 26" xfId="56221" xr:uid="{00000000-0005-0000-0000-00001E9D0000}"/>
    <cellStyle name="Normal 2 3 2 3 2 27" xfId="57904" xr:uid="{00000000-0005-0000-0000-00001F9D0000}"/>
    <cellStyle name="Normal 2 3 2 3 2 28" xfId="59587" xr:uid="{00000000-0005-0000-0000-0000209D0000}"/>
    <cellStyle name="Normal 2 3 2 3 2 29" xfId="61270" xr:uid="{00000000-0005-0000-0000-0000219D0000}"/>
    <cellStyle name="Normal 2 3 2 3 2 3" xfId="4045" xr:uid="{00000000-0005-0000-0000-0000229D0000}"/>
    <cellStyle name="Normal 2 3 2 3 2 3 2" xfId="19194" xr:uid="{00000000-0005-0000-0000-0000239D0000}"/>
    <cellStyle name="Normal 2 3 2 3 2 30" xfId="62953" xr:uid="{00000000-0005-0000-0000-0000249D0000}"/>
    <cellStyle name="Normal 2 3 2 3 2 4" xfId="5728" xr:uid="{00000000-0005-0000-0000-0000259D0000}"/>
    <cellStyle name="Normal 2 3 2 3 2 4 2" xfId="20877" xr:uid="{00000000-0005-0000-0000-0000269D0000}"/>
    <cellStyle name="Normal 2 3 2 3 2 5" xfId="7411" xr:uid="{00000000-0005-0000-0000-0000279D0000}"/>
    <cellStyle name="Normal 2 3 2 3 2 5 2" xfId="22560" xr:uid="{00000000-0005-0000-0000-0000289D0000}"/>
    <cellStyle name="Normal 2 3 2 3 2 6" xfId="9094" xr:uid="{00000000-0005-0000-0000-0000299D0000}"/>
    <cellStyle name="Normal 2 3 2 3 2 6 2" xfId="24243" xr:uid="{00000000-0005-0000-0000-00002A9D0000}"/>
    <cellStyle name="Normal 2 3 2 3 2 7" xfId="10777" xr:uid="{00000000-0005-0000-0000-00002B9D0000}"/>
    <cellStyle name="Normal 2 3 2 3 2 7 2" xfId="25926" xr:uid="{00000000-0005-0000-0000-00002C9D0000}"/>
    <cellStyle name="Normal 2 3 2 3 2 8" xfId="12461" xr:uid="{00000000-0005-0000-0000-00002D9D0000}"/>
    <cellStyle name="Normal 2 3 2 3 2 8 2" xfId="27610" xr:uid="{00000000-0005-0000-0000-00002E9D0000}"/>
    <cellStyle name="Normal 2 3 2 3 2 9" xfId="14144" xr:uid="{00000000-0005-0000-0000-00002F9D0000}"/>
    <cellStyle name="Normal 2 3 2 3 2 9 2" xfId="29293" xr:uid="{00000000-0005-0000-0000-0000309D0000}"/>
    <cellStyle name="Normal 2 3 2 3 20" xfId="40654" xr:uid="{00000000-0005-0000-0000-0000319D0000}"/>
    <cellStyle name="Normal 2 3 2 3 21" xfId="42337" xr:uid="{00000000-0005-0000-0000-0000329D0000}"/>
    <cellStyle name="Normal 2 3 2 3 22" xfId="44020" xr:uid="{00000000-0005-0000-0000-0000339D0000}"/>
    <cellStyle name="Normal 2 3 2 3 23" xfId="45703" xr:uid="{00000000-0005-0000-0000-0000349D0000}"/>
    <cellStyle name="Normal 2 3 2 3 24" xfId="47386" xr:uid="{00000000-0005-0000-0000-0000359D0000}"/>
    <cellStyle name="Normal 2 3 2 3 25" xfId="49069" xr:uid="{00000000-0005-0000-0000-0000369D0000}"/>
    <cellStyle name="Normal 2 3 2 3 26" xfId="50752" xr:uid="{00000000-0005-0000-0000-0000379D0000}"/>
    <cellStyle name="Normal 2 3 2 3 27" xfId="52435" xr:uid="{00000000-0005-0000-0000-0000389D0000}"/>
    <cellStyle name="Normal 2 3 2 3 28" xfId="54118" xr:uid="{00000000-0005-0000-0000-0000399D0000}"/>
    <cellStyle name="Normal 2 3 2 3 29" xfId="55801" xr:uid="{00000000-0005-0000-0000-00003A9D0000}"/>
    <cellStyle name="Normal 2 3 2 3 3" xfId="1099" xr:uid="{00000000-0005-0000-0000-00003B9D0000}"/>
    <cellStyle name="Normal 2 3 2 3 3 10" xfId="16248" xr:uid="{00000000-0005-0000-0000-00003C9D0000}"/>
    <cellStyle name="Normal 2 3 2 3 3 11" xfId="31397" xr:uid="{00000000-0005-0000-0000-00003D9D0000}"/>
    <cellStyle name="Normal 2 3 2 3 3 12" xfId="33080" xr:uid="{00000000-0005-0000-0000-00003E9D0000}"/>
    <cellStyle name="Normal 2 3 2 3 3 13" xfId="34763" xr:uid="{00000000-0005-0000-0000-00003F9D0000}"/>
    <cellStyle name="Normal 2 3 2 3 3 14" xfId="36446" xr:uid="{00000000-0005-0000-0000-0000409D0000}"/>
    <cellStyle name="Normal 2 3 2 3 3 15" xfId="38129" xr:uid="{00000000-0005-0000-0000-0000419D0000}"/>
    <cellStyle name="Normal 2 3 2 3 3 16" xfId="39812" xr:uid="{00000000-0005-0000-0000-0000429D0000}"/>
    <cellStyle name="Normal 2 3 2 3 3 17" xfId="41495" xr:uid="{00000000-0005-0000-0000-0000439D0000}"/>
    <cellStyle name="Normal 2 3 2 3 3 18" xfId="43178" xr:uid="{00000000-0005-0000-0000-0000449D0000}"/>
    <cellStyle name="Normal 2 3 2 3 3 19" xfId="44861" xr:uid="{00000000-0005-0000-0000-0000459D0000}"/>
    <cellStyle name="Normal 2 3 2 3 3 2" xfId="2782" xr:uid="{00000000-0005-0000-0000-0000469D0000}"/>
    <cellStyle name="Normal 2 3 2 3 3 2 2" xfId="17931" xr:uid="{00000000-0005-0000-0000-0000479D0000}"/>
    <cellStyle name="Normal 2 3 2 3 3 20" xfId="46544" xr:uid="{00000000-0005-0000-0000-0000489D0000}"/>
    <cellStyle name="Normal 2 3 2 3 3 21" xfId="48227" xr:uid="{00000000-0005-0000-0000-0000499D0000}"/>
    <cellStyle name="Normal 2 3 2 3 3 22" xfId="49910" xr:uid="{00000000-0005-0000-0000-00004A9D0000}"/>
    <cellStyle name="Normal 2 3 2 3 3 23" xfId="51593" xr:uid="{00000000-0005-0000-0000-00004B9D0000}"/>
    <cellStyle name="Normal 2 3 2 3 3 24" xfId="53276" xr:uid="{00000000-0005-0000-0000-00004C9D0000}"/>
    <cellStyle name="Normal 2 3 2 3 3 25" xfId="54959" xr:uid="{00000000-0005-0000-0000-00004D9D0000}"/>
    <cellStyle name="Normal 2 3 2 3 3 26" xfId="56642" xr:uid="{00000000-0005-0000-0000-00004E9D0000}"/>
    <cellStyle name="Normal 2 3 2 3 3 27" xfId="58325" xr:uid="{00000000-0005-0000-0000-00004F9D0000}"/>
    <cellStyle name="Normal 2 3 2 3 3 28" xfId="60008" xr:uid="{00000000-0005-0000-0000-0000509D0000}"/>
    <cellStyle name="Normal 2 3 2 3 3 29" xfId="61691" xr:uid="{00000000-0005-0000-0000-0000519D0000}"/>
    <cellStyle name="Normal 2 3 2 3 3 3" xfId="4466" xr:uid="{00000000-0005-0000-0000-0000529D0000}"/>
    <cellStyle name="Normal 2 3 2 3 3 3 2" xfId="19615" xr:uid="{00000000-0005-0000-0000-0000539D0000}"/>
    <cellStyle name="Normal 2 3 2 3 3 30" xfId="63374" xr:uid="{00000000-0005-0000-0000-0000549D0000}"/>
    <cellStyle name="Normal 2 3 2 3 3 4" xfId="6149" xr:uid="{00000000-0005-0000-0000-0000559D0000}"/>
    <cellStyle name="Normal 2 3 2 3 3 4 2" xfId="21298" xr:uid="{00000000-0005-0000-0000-0000569D0000}"/>
    <cellStyle name="Normal 2 3 2 3 3 5" xfId="7832" xr:uid="{00000000-0005-0000-0000-0000579D0000}"/>
    <cellStyle name="Normal 2 3 2 3 3 5 2" xfId="22981" xr:uid="{00000000-0005-0000-0000-0000589D0000}"/>
    <cellStyle name="Normal 2 3 2 3 3 6" xfId="9515" xr:uid="{00000000-0005-0000-0000-0000599D0000}"/>
    <cellStyle name="Normal 2 3 2 3 3 6 2" xfId="24664" xr:uid="{00000000-0005-0000-0000-00005A9D0000}"/>
    <cellStyle name="Normal 2 3 2 3 3 7" xfId="11198" xr:uid="{00000000-0005-0000-0000-00005B9D0000}"/>
    <cellStyle name="Normal 2 3 2 3 3 7 2" xfId="26347" xr:uid="{00000000-0005-0000-0000-00005C9D0000}"/>
    <cellStyle name="Normal 2 3 2 3 3 8" xfId="12882" xr:uid="{00000000-0005-0000-0000-00005D9D0000}"/>
    <cellStyle name="Normal 2 3 2 3 3 8 2" xfId="28031" xr:uid="{00000000-0005-0000-0000-00005E9D0000}"/>
    <cellStyle name="Normal 2 3 2 3 3 9" xfId="14565" xr:uid="{00000000-0005-0000-0000-00005F9D0000}"/>
    <cellStyle name="Normal 2 3 2 3 3 9 2" xfId="29714" xr:uid="{00000000-0005-0000-0000-0000609D0000}"/>
    <cellStyle name="Normal 2 3 2 3 30" xfId="57484" xr:uid="{00000000-0005-0000-0000-0000619D0000}"/>
    <cellStyle name="Normal 2 3 2 3 31" xfId="59167" xr:uid="{00000000-0005-0000-0000-0000629D0000}"/>
    <cellStyle name="Normal 2 3 2 3 32" xfId="60850" xr:uid="{00000000-0005-0000-0000-0000639D0000}"/>
    <cellStyle name="Normal 2 3 2 3 33" xfId="62533" xr:uid="{00000000-0005-0000-0000-0000649D0000}"/>
    <cellStyle name="Normal 2 3 2 3 4" xfId="1520" xr:uid="{00000000-0005-0000-0000-0000659D0000}"/>
    <cellStyle name="Normal 2 3 2 3 4 10" xfId="16669" xr:uid="{00000000-0005-0000-0000-0000669D0000}"/>
    <cellStyle name="Normal 2 3 2 3 4 11" xfId="31818" xr:uid="{00000000-0005-0000-0000-0000679D0000}"/>
    <cellStyle name="Normal 2 3 2 3 4 12" xfId="33501" xr:uid="{00000000-0005-0000-0000-0000689D0000}"/>
    <cellStyle name="Normal 2 3 2 3 4 13" xfId="35184" xr:uid="{00000000-0005-0000-0000-0000699D0000}"/>
    <cellStyle name="Normal 2 3 2 3 4 14" xfId="36867" xr:uid="{00000000-0005-0000-0000-00006A9D0000}"/>
    <cellStyle name="Normal 2 3 2 3 4 15" xfId="38550" xr:uid="{00000000-0005-0000-0000-00006B9D0000}"/>
    <cellStyle name="Normal 2 3 2 3 4 16" xfId="40233" xr:uid="{00000000-0005-0000-0000-00006C9D0000}"/>
    <cellStyle name="Normal 2 3 2 3 4 17" xfId="41916" xr:uid="{00000000-0005-0000-0000-00006D9D0000}"/>
    <cellStyle name="Normal 2 3 2 3 4 18" xfId="43599" xr:uid="{00000000-0005-0000-0000-00006E9D0000}"/>
    <cellStyle name="Normal 2 3 2 3 4 19" xfId="45282" xr:uid="{00000000-0005-0000-0000-00006F9D0000}"/>
    <cellStyle name="Normal 2 3 2 3 4 2" xfId="3203" xr:uid="{00000000-0005-0000-0000-0000709D0000}"/>
    <cellStyle name="Normal 2 3 2 3 4 2 2" xfId="18352" xr:uid="{00000000-0005-0000-0000-0000719D0000}"/>
    <cellStyle name="Normal 2 3 2 3 4 20" xfId="46965" xr:uid="{00000000-0005-0000-0000-0000729D0000}"/>
    <cellStyle name="Normal 2 3 2 3 4 21" xfId="48648" xr:uid="{00000000-0005-0000-0000-0000739D0000}"/>
    <cellStyle name="Normal 2 3 2 3 4 22" xfId="50331" xr:uid="{00000000-0005-0000-0000-0000749D0000}"/>
    <cellStyle name="Normal 2 3 2 3 4 23" xfId="52014" xr:uid="{00000000-0005-0000-0000-0000759D0000}"/>
    <cellStyle name="Normal 2 3 2 3 4 24" xfId="53697" xr:uid="{00000000-0005-0000-0000-0000769D0000}"/>
    <cellStyle name="Normal 2 3 2 3 4 25" xfId="55380" xr:uid="{00000000-0005-0000-0000-0000779D0000}"/>
    <cellStyle name="Normal 2 3 2 3 4 26" xfId="57063" xr:uid="{00000000-0005-0000-0000-0000789D0000}"/>
    <cellStyle name="Normal 2 3 2 3 4 27" xfId="58746" xr:uid="{00000000-0005-0000-0000-0000799D0000}"/>
    <cellStyle name="Normal 2 3 2 3 4 28" xfId="60429" xr:uid="{00000000-0005-0000-0000-00007A9D0000}"/>
    <cellStyle name="Normal 2 3 2 3 4 29" xfId="62112" xr:uid="{00000000-0005-0000-0000-00007B9D0000}"/>
    <cellStyle name="Normal 2 3 2 3 4 3" xfId="4887" xr:uid="{00000000-0005-0000-0000-00007C9D0000}"/>
    <cellStyle name="Normal 2 3 2 3 4 3 2" xfId="20036" xr:uid="{00000000-0005-0000-0000-00007D9D0000}"/>
    <cellStyle name="Normal 2 3 2 3 4 30" xfId="63795" xr:uid="{00000000-0005-0000-0000-00007E9D0000}"/>
    <cellStyle name="Normal 2 3 2 3 4 4" xfId="6570" xr:uid="{00000000-0005-0000-0000-00007F9D0000}"/>
    <cellStyle name="Normal 2 3 2 3 4 4 2" xfId="21719" xr:uid="{00000000-0005-0000-0000-0000809D0000}"/>
    <cellStyle name="Normal 2 3 2 3 4 5" xfId="8253" xr:uid="{00000000-0005-0000-0000-0000819D0000}"/>
    <cellStyle name="Normal 2 3 2 3 4 5 2" xfId="23402" xr:uid="{00000000-0005-0000-0000-0000829D0000}"/>
    <cellStyle name="Normal 2 3 2 3 4 6" xfId="9936" xr:uid="{00000000-0005-0000-0000-0000839D0000}"/>
    <cellStyle name="Normal 2 3 2 3 4 6 2" xfId="25085" xr:uid="{00000000-0005-0000-0000-0000849D0000}"/>
    <cellStyle name="Normal 2 3 2 3 4 7" xfId="11619" xr:uid="{00000000-0005-0000-0000-0000859D0000}"/>
    <cellStyle name="Normal 2 3 2 3 4 7 2" xfId="26768" xr:uid="{00000000-0005-0000-0000-0000869D0000}"/>
    <cellStyle name="Normal 2 3 2 3 4 8" xfId="13303" xr:uid="{00000000-0005-0000-0000-0000879D0000}"/>
    <cellStyle name="Normal 2 3 2 3 4 8 2" xfId="28452" xr:uid="{00000000-0005-0000-0000-0000889D0000}"/>
    <cellStyle name="Normal 2 3 2 3 4 9" xfId="14986" xr:uid="{00000000-0005-0000-0000-0000899D0000}"/>
    <cellStyle name="Normal 2 3 2 3 4 9 2" xfId="30135" xr:uid="{00000000-0005-0000-0000-00008A9D0000}"/>
    <cellStyle name="Normal 2 3 2 3 5" xfId="1941" xr:uid="{00000000-0005-0000-0000-00008B9D0000}"/>
    <cellStyle name="Normal 2 3 2 3 5 2" xfId="17090" xr:uid="{00000000-0005-0000-0000-00008C9D0000}"/>
    <cellStyle name="Normal 2 3 2 3 6" xfId="3625" xr:uid="{00000000-0005-0000-0000-00008D9D0000}"/>
    <cellStyle name="Normal 2 3 2 3 6 2" xfId="18774" xr:uid="{00000000-0005-0000-0000-00008E9D0000}"/>
    <cellStyle name="Normal 2 3 2 3 7" xfId="5308" xr:uid="{00000000-0005-0000-0000-00008F9D0000}"/>
    <cellStyle name="Normal 2 3 2 3 7 2" xfId="20457" xr:uid="{00000000-0005-0000-0000-0000909D0000}"/>
    <cellStyle name="Normal 2 3 2 3 8" xfId="6991" xr:uid="{00000000-0005-0000-0000-0000919D0000}"/>
    <cellStyle name="Normal 2 3 2 3 8 2" xfId="22140" xr:uid="{00000000-0005-0000-0000-0000929D0000}"/>
    <cellStyle name="Normal 2 3 2 3 9" xfId="8674" xr:uid="{00000000-0005-0000-0000-0000939D0000}"/>
    <cellStyle name="Normal 2 3 2 3 9 2" xfId="23823" xr:uid="{00000000-0005-0000-0000-0000949D0000}"/>
    <cellStyle name="Normal 2 3 2 30" xfId="53908" xr:uid="{00000000-0005-0000-0000-0000959D0000}"/>
    <cellStyle name="Normal 2 3 2 31" xfId="55591" xr:uid="{00000000-0005-0000-0000-0000969D0000}"/>
    <cellStyle name="Normal 2 3 2 32" xfId="57274" xr:uid="{00000000-0005-0000-0000-0000979D0000}"/>
    <cellStyle name="Normal 2 3 2 33" xfId="58957" xr:uid="{00000000-0005-0000-0000-0000989D0000}"/>
    <cellStyle name="Normal 2 3 2 34" xfId="60640" xr:uid="{00000000-0005-0000-0000-0000999D0000}"/>
    <cellStyle name="Normal 2 3 2 35" xfId="62323" xr:uid="{00000000-0005-0000-0000-00009A9D0000}"/>
    <cellStyle name="Normal 2 3 2 4" xfId="468" xr:uid="{00000000-0005-0000-0000-00009B9D0000}"/>
    <cellStyle name="Normal 2 3 2 4 10" xfId="15617" xr:uid="{00000000-0005-0000-0000-00009C9D0000}"/>
    <cellStyle name="Normal 2 3 2 4 11" xfId="30766" xr:uid="{00000000-0005-0000-0000-00009D9D0000}"/>
    <cellStyle name="Normal 2 3 2 4 12" xfId="32449" xr:uid="{00000000-0005-0000-0000-00009E9D0000}"/>
    <cellStyle name="Normal 2 3 2 4 13" xfId="34132" xr:uid="{00000000-0005-0000-0000-00009F9D0000}"/>
    <cellStyle name="Normal 2 3 2 4 14" xfId="35815" xr:uid="{00000000-0005-0000-0000-0000A09D0000}"/>
    <cellStyle name="Normal 2 3 2 4 15" xfId="37498" xr:uid="{00000000-0005-0000-0000-0000A19D0000}"/>
    <cellStyle name="Normal 2 3 2 4 16" xfId="39181" xr:uid="{00000000-0005-0000-0000-0000A29D0000}"/>
    <cellStyle name="Normal 2 3 2 4 17" xfId="40864" xr:uid="{00000000-0005-0000-0000-0000A39D0000}"/>
    <cellStyle name="Normal 2 3 2 4 18" xfId="42547" xr:uid="{00000000-0005-0000-0000-0000A49D0000}"/>
    <cellStyle name="Normal 2 3 2 4 19" xfId="44230" xr:uid="{00000000-0005-0000-0000-0000A59D0000}"/>
    <cellStyle name="Normal 2 3 2 4 2" xfId="2151" xr:uid="{00000000-0005-0000-0000-0000A69D0000}"/>
    <cellStyle name="Normal 2 3 2 4 2 2" xfId="17300" xr:uid="{00000000-0005-0000-0000-0000A79D0000}"/>
    <cellStyle name="Normal 2 3 2 4 20" xfId="45913" xr:uid="{00000000-0005-0000-0000-0000A89D0000}"/>
    <cellStyle name="Normal 2 3 2 4 21" xfId="47596" xr:uid="{00000000-0005-0000-0000-0000A99D0000}"/>
    <cellStyle name="Normal 2 3 2 4 22" xfId="49279" xr:uid="{00000000-0005-0000-0000-0000AA9D0000}"/>
    <cellStyle name="Normal 2 3 2 4 23" xfId="50962" xr:uid="{00000000-0005-0000-0000-0000AB9D0000}"/>
    <cellStyle name="Normal 2 3 2 4 24" xfId="52645" xr:uid="{00000000-0005-0000-0000-0000AC9D0000}"/>
    <cellStyle name="Normal 2 3 2 4 25" xfId="54328" xr:uid="{00000000-0005-0000-0000-0000AD9D0000}"/>
    <cellStyle name="Normal 2 3 2 4 26" xfId="56011" xr:uid="{00000000-0005-0000-0000-0000AE9D0000}"/>
    <cellStyle name="Normal 2 3 2 4 27" xfId="57694" xr:uid="{00000000-0005-0000-0000-0000AF9D0000}"/>
    <cellStyle name="Normal 2 3 2 4 28" xfId="59377" xr:uid="{00000000-0005-0000-0000-0000B09D0000}"/>
    <cellStyle name="Normal 2 3 2 4 29" xfId="61060" xr:uid="{00000000-0005-0000-0000-0000B19D0000}"/>
    <cellStyle name="Normal 2 3 2 4 3" xfId="3835" xr:uid="{00000000-0005-0000-0000-0000B29D0000}"/>
    <cellStyle name="Normal 2 3 2 4 3 2" xfId="18984" xr:uid="{00000000-0005-0000-0000-0000B39D0000}"/>
    <cellStyle name="Normal 2 3 2 4 30" xfId="62743" xr:uid="{00000000-0005-0000-0000-0000B49D0000}"/>
    <cellStyle name="Normal 2 3 2 4 4" xfId="5518" xr:uid="{00000000-0005-0000-0000-0000B59D0000}"/>
    <cellStyle name="Normal 2 3 2 4 4 2" xfId="20667" xr:uid="{00000000-0005-0000-0000-0000B69D0000}"/>
    <cellStyle name="Normal 2 3 2 4 5" xfId="7201" xr:uid="{00000000-0005-0000-0000-0000B79D0000}"/>
    <cellStyle name="Normal 2 3 2 4 5 2" xfId="22350" xr:uid="{00000000-0005-0000-0000-0000B89D0000}"/>
    <cellStyle name="Normal 2 3 2 4 6" xfId="8884" xr:uid="{00000000-0005-0000-0000-0000B99D0000}"/>
    <cellStyle name="Normal 2 3 2 4 6 2" xfId="24033" xr:uid="{00000000-0005-0000-0000-0000BA9D0000}"/>
    <cellStyle name="Normal 2 3 2 4 7" xfId="10567" xr:uid="{00000000-0005-0000-0000-0000BB9D0000}"/>
    <cellStyle name="Normal 2 3 2 4 7 2" xfId="25716" xr:uid="{00000000-0005-0000-0000-0000BC9D0000}"/>
    <cellStyle name="Normal 2 3 2 4 8" xfId="12251" xr:uid="{00000000-0005-0000-0000-0000BD9D0000}"/>
    <cellStyle name="Normal 2 3 2 4 8 2" xfId="27400" xr:uid="{00000000-0005-0000-0000-0000BE9D0000}"/>
    <cellStyle name="Normal 2 3 2 4 9" xfId="13934" xr:uid="{00000000-0005-0000-0000-0000BF9D0000}"/>
    <cellStyle name="Normal 2 3 2 4 9 2" xfId="29083" xr:uid="{00000000-0005-0000-0000-0000C09D0000}"/>
    <cellStyle name="Normal 2 3 2 5" xfId="889" xr:uid="{00000000-0005-0000-0000-0000C19D0000}"/>
    <cellStyle name="Normal 2 3 2 5 10" xfId="16038" xr:uid="{00000000-0005-0000-0000-0000C29D0000}"/>
    <cellStyle name="Normal 2 3 2 5 11" xfId="31187" xr:uid="{00000000-0005-0000-0000-0000C39D0000}"/>
    <cellStyle name="Normal 2 3 2 5 12" xfId="32870" xr:uid="{00000000-0005-0000-0000-0000C49D0000}"/>
    <cellStyle name="Normal 2 3 2 5 13" xfId="34553" xr:uid="{00000000-0005-0000-0000-0000C59D0000}"/>
    <cellStyle name="Normal 2 3 2 5 14" xfId="36236" xr:uid="{00000000-0005-0000-0000-0000C69D0000}"/>
    <cellStyle name="Normal 2 3 2 5 15" xfId="37919" xr:uid="{00000000-0005-0000-0000-0000C79D0000}"/>
    <cellStyle name="Normal 2 3 2 5 16" xfId="39602" xr:uid="{00000000-0005-0000-0000-0000C89D0000}"/>
    <cellStyle name="Normal 2 3 2 5 17" xfId="41285" xr:uid="{00000000-0005-0000-0000-0000C99D0000}"/>
    <cellStyle name="Normal 2 3 2 5 18" xfId="42968" xr:uid="{00000000-0005-0000-0000-0000CA9D0000}"/>
    <cellStyle name="Normal 2 3 2 5 19" xfId="44651" xr:uid="{00000000-0005-0000-0000-0000CB9D0000}"/>
    <cellStyle name="Normal 2 3 2 5 2" xfId="2572" xr:uid="{00000000-0005-0000-0000-0000CC9D0000}"/>
    <cellStyle name="Normal 2 3 2 5 2 2" xfId="17721" xr:uid="{00000000-0005-0000-0000-0000CD9D0000}"/>
    <cellStyle name="Normal 2 3 2 5 20" xfId="46334" xr:uid="{00000000-0005-0000-0000-0000CE9D0000}"/>
    <cellStyle name="Normal 2 3 2 5 21" xfId="48017" xr:uid="{00000000-0005-0000-0000-0000CF9D0000}"/>
    <cellStyle name="Normal 2 3 2 5 22" xfId="49700" xr:uid="{00000000-0005-0000-0000-0000D09D0000}"/>
    <cellStyle name="Normal 2 3 2 5 23" xfId="51383" xr:uid="{00000000-0005-0000-0000-0000D19D0000}"/>
    <cellStyle name="Normal 2 3 2 5 24" xfId="53066" xr:uid="{00000000-0005-0000-0000-0000D29D0000}"/>
    <cellStyle name="Normal 2 3 2 5 25" xfId="54749" xr:uid="{00000000-0005-0000-0000-0000D39D0000}"/>
    <cellStyle name="Normal 2 3 2 5 26" xfId="56432" xr:uid="{00000000-0005-0000-0000-0000D49D0000}"/>
    <cellStyle name="Normal 2 3 2 5 27" xfId="58115" xr:uid="{00000000-0005-0000-0000-0000D59D0000}"/>
    <cellStyle name="Normal 2 3 2 5 28" xfId="59798" xr:uid="{00000000-0005-0000-0000-0000D69D0000}"/>
    <cellStyle name="Normal 2 3 2 5 29" xfId="61481" xr:uid="{00000000-0005-0000-0000-0000D79D0000}"/>
    <cellStyle name="Normal 2 3 2 5 3" xfId="4256" xr:uid="{00000000-0005-0000-0000-0000D89D0000}"/>
    <cellStyle name="Normal 2 3 2 5 3 2" xfId="19405" xr:uid="{00000000-0005-0000-0000-0000D99D0000}"/>
    <cellStyle name="Normal 2 3 2 5 30" xfId="63164" xr:uid="{00000000-0005-0000-0000-0000DA9D0000}"/>
    <cellStyle name="Normal 2 3 2 5 4" xfId="5939" xr:uid="{00000000-0005-0000-0000-0000DB9D0000}"/>
    <cellStyle name="Normal 2 3 2 5 4 2" xfId="21088" xr:uid="{00000000-0005-0000-0000-0000DC9D0000}"/>
    <cellStyle name="Normal 2 3 2 5 5" xfId="7622" xr:uid="{00000000-0005-0000-0000-0000DD9D0000}"/>
    <cellStyle name="Normal 2 3 2 5 5 2" xfId="22771" xr:uid="{00000000-0005-0000-0000-0000DE9D0000}"/>
    <cellStyle name="Normal 2 3 2 5 6" xfId="9305" xr:uid="{00000000-0005-0000-0000-0000DF9D0000}"/>
    <cellStyle name="Normal 2 3 2 5 6 2" xfId="24454" xr:uid="{00000000-0005-0000-0000-0000E09D0000}"/>
    <cellStyle name="Normal 2 3 2 5 7" xfId="10988" xr:uid="{00000000-0005-0000-0000-0000E19D0000}"/>
    <cellStyle name="Normal 2 3 2 5 7 2" xfId="26137" xr:uid="{00000000-0005-0000-0000-0000E29D0000}"/>
    <cellStyle name="Normal 2 3 2 5 8" xfId="12672" xr:uid="{00000000-0005-0000-0000-0000E39D0000}"/>
    <cellStyle name="Normal 2 3 2 5 8 2" xfId="27821" xr:uid="{00000000-0005-0000-0000-0000E49D0000}"/>
    <cellStyle name="Normal 2 3 2 5 9" xfId="14355" xr:uid="{00000000-0005-0000-0000-0000E59D0000}"/>
    <cellStyle name="Normal 2 3 2 5 9 2" xfId="29504" xr:uid="{00000000-0005-0000-0000-0000E69D0000}"/>
    <cellStyle name="Normal 2 3 2 6" xfId="1310" xr:uid="{00000000-0005-0000-0000-0000E79D0000}"/>
    <cellStyle name="Normal 2 3 2 6 10" xfId="16459" xr:uid="{00000000-0005-0000-0000-0000E89D0000}"/>
    <cellStyle name="Normal 2 3 2 6 11" xfId="31608" xr:uid="{00000000-0005-0000-0000-0000E99D0000}"/>
    <cellStyle name="Normal 2 3 2 6 12" xfId="33291" xr:uid="{00000000-0005-0000-0000-0000EA9D0000}"/>
    <cellStyle name="Normal 2 3 2 6 13" xfId="34974" xr:uid="{00000000-0005-0000-0000-0000EB9D0000}"/>
    <cellStyle name="Normal 2 3 2 6 14" xfId="36657" xr:uid="{00000000-0005-0000-0000-0000EC9D0000}"/>
    <cellStyle name="Normal 2 3 2 6 15" xfId="38340" xr:uid="{00000000-0005-0000-0000-0000ED9D0000}"/>
    <cellStyle name="Normal 2 3 2 6 16" xfId="40023" xr:uid="{00000000-0005-0000-0000-0000EE9D0000}"/>
    <cellStyle name="Normal 2 3 2 6 17" xfId="41706" xr:uid="{00000000-0005-0000-0000-0000EF9D0000}"/>
    <cellStyle name="Normal 2 3 2 6 18" xfId="43389" xr:uid="{00000000-0005-0000-0000-0000F09D0000}"/>
    <cellStyle name="Normal 2 3 2 6 19" xfId="45072" xr:uid="{00000000-0005-0000-0000-0000F19D0000}"/>
    <cellStyle name="Normal 2 3 2 6 2" xfId="2993" xr:uid="{00000000-0005-0000-0000-0000F29D0000}"/>
    <cellStyle name="Normal 2 3 2 6 2 2" xfId="18142" xr:uid="{00000000-0005-0000-0000-0000F39D0000}"/>
    <cellStyle name="Normal 2 3 2 6 20" xfId="46755" xr:uid="{00000000-0005-0000-0000-0000F49D0000}"/>
    <cellStyle name="Normal 2 3 2 6 21" xfId="48438" xr:uid="{00000000-0005-0000-0000-0000F59D0000}"/>
    <cellStyle name="Normal 2 3 2 6 22" xfId="50121" xr:uid="{00000000-0005-0000-0000-0000F69D0000}"/>
    <cellStyle name="Normal 2 3 2 6 23" xfId="51804" xr:uid="{00000000-0005-0000-0000-0000F79D0000}"/>
    <cellStyle name="Normal 2 3 2 6 24" xfId="53487" xr:uid="{00000000-0005-0000-0000-0000F89D0000}"/>
    <cellStyle name="Normal 2 3 2 6 25" xfId="55170" xr:uid="{00000000-0005-0000-0000-0000F99D0000}"/>
    <cellStyle name="Normal 2 3 2 6 26" xfId="56853" xr:uid="{00000000-0005-0000-0000-0000FA9D0000}"/>
    <cellStyle name="Normal 2 3 2 6 27" xfId="58536" xr:uid="{00000000-0005-0000-0000-0000FB9D0000}"/>
    <cellStyle name="Normal 2 3 2 6 28" xfId="60219" xr:uid="{00000000-0005-0000-0000-0000FC9D0000}"/>
    <cellStyle name="Normal 2 3 2 6 29" xfId="61902" xr:uid="{00000000-0005-0000-0000-0000FD9D0000}"/>
    <cellStyle name="Normal 2 3 2 6 3" xfId="4677" xr:uid="{00000000-0005-0000-0000-0000FE9D0000}"/>
    <cellStyle name="Normal 2 3 2 6 3 2" xfId="19826" xr:uid="{00000000-0005-0000-0000-0000FF9D0000}"/>
    <cellStyle name="Normal 2 3 2 6 30" xfId="63585" xr:uid="{00000000-0005-0000-0000-0000009E0000}"/>
    <cellStyle name="Normal 2 3 2 6 4" xfId="6360" xr:uid="{00000000-0005-0000-0000-0000019E0000}"/>
    <cellStyle name="Normal 2 3 2 6 4 2" xfId="21509" xr:uid="{00000000-0005-0000-0000-0000029E0000}"/>
    <cellStyle name="Normal 2 3 2 6 5" xfId="8043" xr:uid="{00000000-0005-0000-0000-0000039E0000}"/>
    <cellStyle name="Normal 2 3 2 6 5 2" xfId="23192" xr:uid="{00000000-0005-0000-0000-0000049E0000}"/>
    <cellStyle name="Normal 2 3 2 6 6" xfId="9726" xr:uid="{00000000-0005-0000-0000-0000059E0000}"/>
    <cellStyle name="Normal 2 3 2 6 6 2" xfId="24875" xr:uid="{00000000-0005-0000-0000-0000069E0000}"/>
    <cellStyle name="Normal 2 3 2 6 7" xfId="11409" xr:uid="{00000000-0005-0000-0000-0000079E0000}"/>
    <cellStyle name="Normal 2 3 2 6 7 2" xfId="26558" xr:uid="{00000000-0005-0000-0000-0000089E0000}"/>
    <cellStyle name="Normal 2 3 2 6 8" xfId="13093" xr:uid="{00000000-0005-0000-0000-0000099E0000}"/>
    <cellStyle name="Normal 2 3 2 6 8 2" xfId="28242" xr:uid="{00000000-0005-0000-0000-00000A9E0000}"/>
    <cellStyle name="Normal 2 3 2 6 9" xfId="14776" xr:uid="{00000000-0005-0000-0000-00000B9E0000}"/>
    <cellStyle name="Normal 2 3 2 6 9 2" xfId="29925" xr:uid="{00000000-0005-0000-0000-00000C9E0000}"/>
    <cellStyle name="Normal 2 3 2 7" xfId="1731" xr:uid="{00000000-0005-0000-0000-00000D9E0000}"/>
    <cellStyle name="Normal 2 3 2 7 2" xfId="16880" xr:uid="{00000000-0005-0000-0000-00000E9E0000}"/>
    <cellStyle name="Normal 2 3 2 8" xfId="3415" xr:uid="{00000000-0005-0000-0000-00000F9E0000}"/>
    <cellStyle name="Normal 2 3 2 8 2" xfId="18564" xr:uid="{00000000-0005-0000-0000-0000109E0000}"/>
    <cellStyle name="Normal 2 3 2 9" xfId="5098" xr:uid="{00000000-0005-0000-0000-0000119E0000}"/>
    <cellStyle name="Normal 2 3 2 9 2" xfId="20247" xr:uid="{00000000-0005-0000-0000-0000129E0000}"/>
    <cellStyle name="Normal 2 3 20" xfId="30333" xr:uid="{00000000-0005-0000-0000-0000139E0000}"/>
    <cellStyle name="Normal 2 3 21" xfId="32016" xr:uid="{00000000-0005-0000-0000-0000149E0000}"/>
    <cellStyle name="Normal 2 3 22" xfId="33699" xr:uid="{00000000-0005-0000-0000-0000159E0000}"/>
    <cellStyle name="Normal 2 3 23" xfId="35382" xr:uid="{00000000-0005-0000-0000-0000169E0000}"/>
    <cellStyle name="Normal 2 3 24" xfId="37065" xr:uid="{00000000-0005-0000-0000-0000179E0000}"/>
    <cellStyle name="Normal 2 3 25" xfId="38748" xr:uid="{00000000-0005-0000-0000-0000189E0000}"/>
    <cellStyle name="Normal 2 3 26" xfId="40431" xr:uid="{00000000-0005-0000-0000-0000199E0000}"/>
    <cellStyle name="Normal 2 3 27" xfId="42114" xr:uid="{00000000-0005-0000-0000-00001A9E0000}"/>
    <cellStyle name="Normal 2 3 28" xfId="43797" xr:uid="{00000000-0005-0000-0000-00001B9E0000}"/>
    <cellStyle name="Normal 2 3 29" xfId="45480" xr:uid="{00000000-0005-0000-0000-00001C9E0000}"/>
    <cellStyle name="Normal 2 3 3" xfId="35" xr:uid="{00000000-0005-0000-0000-00001D9E0000}"/>
    <cellStyle name="Normal 2 3 3 10" xfId="6790" xr:uid="{00000000-0005-0000-0000-00001E9E0000}"/>
    <cellStyle name="Normal 2 3 3 10 2" xfId="21939" xr:uid="{00000000-0005-0000-0000-00001F9E0000}"/>
    <cellStyle name="Normal 2 3 3 11" xfId="8473" xr:uid="{00000000-0005-0000-0000-0000209E0000}"/>
    <cellStyle name="Normal 2 3 3 11 2" xfId="23622" xr:uid="{00000000-0005-0000-0000-0000219E0000}"/>
    <cellStyle name="Normal 2 3 3 12" xfId="10156" xr:uid="{00000000-0005-0000-0000-0000229E0000}"/>
    <cellStyle name="Normal 2 3 3 12 2" xfId="25305" xr:uid="{00000000-0005-0000-0000-0000239E0000}"/>
    <cellStyle name="Normal 2 3 3 13" xfId="11840" xr:uid="{00000000-0005-0000-0000-0000249E0000}"/>
    <cellStyle name="Normal 2 3 3 13 2" xfId="26989" xr:uid="{00000000-0005-0000-0000-0000259E0000}"/>
    <cellStyle name="Normal 2 3 3 14" xfId="13523" xr:uid="{00000000-0005-0000-0000-0000269E0000}"/>
    <cellStyle name="Normal 2 3 3 14 2" xfId="28672" xr:uid="{00000000-0005-0000-0000-0000279E0000}"/>
    <cellStyle name="Normal 2 3 3 15" xfId="15206" xr:uid="{00000000-0005-0000-0000-0000289E0000}"/>
    <cellStyle name="Normal 2 3 3 16" xfId="30355" xr:uid="{00000000-0005-0000-0000-0000299E0000}"/>
    <cellStyle name="Normal 2 3 3 17" xfId="32038" xr:uid="{00000000-0005-0000-0000-00002A9E0000}"/>
    <cellStyle name="Normal 2 3 3 18" xfId="33721" xr:uid="{00000000-0005-0000-0000-00002B9E0000}"/>
    <cellStyle name="Normal 2 3 3 19" xfId="35404" xr:uid="{00000000-0005-0000-0000-00002C9E0000}"/>
    <cellStyle name="Normal 2 3 3 2" xfId="162" xr:uid="{00000000-0005-0000-0000-00002D9E0000}"/>
    <cellStyle name="Normal 2 3 3 2 10" xfId="8578" xr:uid="{00000000-0005-0000-0000-00002E9E0000}"/>
    <cellStyle name="Normal 2 3 3 2 10 2" xfId="23727" xr:uid="{00000000-0005-0000-0000-00002F9E0000}"/>
    <cellStyle name="Normal 2 3 3 2 11" xfId="10261" xr:uid="{00000000-0005-0000-0000-0000309E0000}"/>
    <cellStyle name="Normal 2 3 3 2 11 2" xfId="25410" xr:uid="{00000000-0005-0000-0000-0000319E0000}"/>
    <cellStyle name="Normal 2 3 3 2 12" xfId="11945" xr:uid="{00000000-0005-0000-0000-0000329E0000}"/>
    <cellStyle name="Normal 2 3 3 2 12 2" xfId="27094" xr:uid="{00000000-0005-0000-0000-0000339E0000}"/>
    <cellStyle name="Normal 2 3 3 2 13" xfId="13628" xr:uid="{00000000-0005-0000-0000-0000349E0000}"/>
    <cellStyle name="Normal 2 3 3 2 13 2" xfId="28777" xr:uid="{00000000-0005-0000-0000-0000359E0000}"/>
    <cellStyle name="Normal 2 3 3 2 14" xfId="15311" xr:uid="{00000000-0005-0000-0000-0000369E0000}"/>
    <cellStyle name="Normal 2 3 3 2 15" xfId="30460" xr:uid="{00000000-0005-0000-0000-0000379E0000}"/>
    <cellStyle name="Normal 2 3 3 2 16" xfId="32143" xr:uid="{00000000-0005-0000-0000-0000389E0000}"/>
    <cellStyle name="Normal 2 3 3 2 17" xfId="33826" xr:uid="{00000000-0005-0000-0000-0000399E0000}"/>
    <cellStyle name="Normal 2 3 3 2 18" xfId="35509" xr:uid="{00000000-0005-0000-0000-00003A9E0000}"/>
    <cellStyle name="Normal 2 3 3 2 19" xfId="37192" xr:uid="{00000000-0005-0000-0000-00003B9E0000}"/>
    <cellStyle name="Normal 2 3 3 2 2" xfId="372" xr:uid="{00000000-0005-0000-0000-00003C9E0000}"/>
    <cellStyle name="Normal 2 3 3 2 2 10" xfId="10471" xr:uid="{00000000-0005-0000-0000-00003D9E0000}"/>
    <cellStyle name="Normal 2 3 3 2 2 10 2" xfId="25620" xr:uid="{00000000-0005-0000-0000-00003E9E0000}"/>
    <cellStyle name="Normal 2 3 3 2 2 11" xfId="12155" xr:uid="{00000000-0005-0000-0000-00003F9E0000}"/>
    <cellStyle name="Normal 2 3 3 2 2 11 2" xfId="27304" xr:uid="{00000000-0005-0000-0000-0000409E0000}"/>
    <cellStyle name="Normal 2 3 3 2 2 12" xfId="13838" xr:uid="{00000000-0005-0000-0000-0000419E0000}"/>
    <cellStyle name="Normal 2 3 3 2 2 12 2" xfId="28987" xr:uid="{00000000-0005-0000-0000-0000429E0000}"/>
    <cellStyle name="Normal 2 3 3 2 2 13" xfId="15521" xr:uid="{00000000-0005-0000-0000-0000439E0000}"/>
    <cellStyle name="Normal 2 3 3 2 2 14" xfId="30670" xr:uid="{00000000-0005-0000-0000-0000449E0000}"/>
    <cellStyle name="Normal 2 3 3 2 2 15" xfId="32353" xr:uid="{00000000-0005-0000-0000-0000459E0000}"/>
    <cellStyle name="Normal 2 3 3 2 2 16" xfId="34036" xr:uid="{00000000-0005-0000-0000-0000469E0000}"/>
    <cellStyle name="Normal 2 3 3 2 2 17" xfId="35719" xr:uid="{00000000-0005-0000-0000-0000479E0000}"/>
    <cellStyle name="Normal 2 3 3 2 2 18" xfId="37402" xr:uid="{00000000-0005-0000-0000-0000489E0000}"/>
    <cellStyle name="Normal 2 3 3 2 2 19" xfId="39085" xr:uid="{00000000-0005-0000-0000-0000499E0000}"/>
    <cellStyle name="Normal 2 3 3 2 2 2" xfId="792" xr:uid="{00000000-0005-0000-0000-00004A9E0000}"/>
    <cellStyle name="Normal 2 3 3 2 2 2 10" xfId="15941" xr:uid="{00000000-0005-0000-0000-00004B9E0000}"/>
    <cellStyle name="Normal 2 3 3 2 2 2 11" xfId="31090" xr:uid="{00000000-0005-0000-0000-00004C9E0000}"/>
    <cellStyle name="Normal 2 3 3 2 2 2 12" xfId="32773" xr:uid="{00000000-0005-0000-0000-00004D9E0000}"/>
    <cellStyle name="Normal 2 3 3 2 2 2 13" xfId="34456" xr:uid="{00000000-0005-0000-0000-00004E9E0000}"/>
    <cellStyle name="Normal 2 3 3 2 2 2 14" xfId="36139" xr:uid="{00000000-0005-0000-0000-00004F9E0000}"/>
    <cellStyle name="Normal 2 3 3 2 2 2 15" xfId="37822" xr:uid="{00000000-0005-0000-0000-0000509E0000}"/>
    <cellStyle name="Normal 2 3 3 2 2 2 16" xfId="39505" xr:uid="{00000000-0005-0000-0000-0000519E0000}"/>
    <cellStyle name="Normal 2 3 3 2 2 2 17" xfId="41188" xr:uid="{00000000-0005-0000-0000-0000529E0000}"/>
    <cellStyle name="Normal 2 3 3 2 2 2 18" xfId="42871" xr:uid="{00000000-0005-0000-0000-0000539E0000}"/>
    <cellStyle name="Normal 2 3 3 2 2 2 19" xfId="44554" xr:uid="{00000000-0005-0000-0000-0000549E0000}"/>
    <cellStyle name="Normal 2 3 3 2 2 2 2" xfId="2475" xr:uid="{00000000-0005-0000-0000-0000559E0000}"/>
    <cellStyle name="Normal 2 3 3 2 2 2 2 2" xfId="17624" xr:uid="{00000000-0005-0000-0000-0000569E0000}"/>
    <cellStyle name="Normal 2 3 3 2 2 2 20" xfId="46237" xr:uid="{00000000-0005-0000-0000-0000579E0000}"/>
    <cellStyle name="Normal 2 3 3 2 2 2 21" xfId="47920" xr:uid="{00000000-0005-0000-0000-0000589E0000}"/>
    <cellStyle name="Normal 2 3 3 2 2 2 22" xfId="49603" xr:uid="{00000000-0005-0000-0000-0000599E0000}"/>
    <cellStyle name="Normal 2 3 3 2 2 2 23" xfId="51286" xr:uid="{00000000-0005-0000-0000-00005A9E0000}"/>
    <cellStyle name="Normal 2 3 3 2 2 2 24" xfId="52969" xr:uid="{00000000-0005-0000-0000-00005B9E0000}"/>
    <cellStyle name="Normal 2 3 3 2 2 2 25" xfId="54652" xr:uid="{00000000-0005-0000-0000-00005C9E0000}"/>
    <cellStyle name="Normal 2 3 3 2 2 2 26" xfId="56335" xr:uid="{00000000-0005-0000-0000-00005D9E0000}"/>
    <cellStyle name="Normal 2 3 3 2 2 2 27" xfId="58018" xr:uid="{00000000-0005-0000-0000-00005E9E0000}"/>
    <cellStyle name="Normal 2 3 3 2 2 2 28" xfId="59701" xr:uid="{00000000-0005-0000-0000-00005F9E0000}"/>
    <cellStyle name="Normal 2 3 3 2 2 2 29" xfId="61384" xr:uid="{00000000-0005-0000-0000-0000609E0000}"/>
    <cellStyle name="Normal 2 3 3 2 2 2 3" xfId="4159" xr:uid="{00000000-0005-0000-0000-0000619E0000}"/>
    <cellStyle name="Normal 2 3 3 2 2 2 3 2" xfId="19308" xr:uid="{00000000-0005-0000-0000-0000629E0000}"/>
    <cellStyle name="Normal 2 3 3 2 2 2 30" xfId="63067" xr:uid="{00000000-0005-0000-0000-0000639E0000}"/>
    <cellStyle name="Normal 2 3 3 2 2 2 4" xfId="5842" xr:uid="{00000000-0005-0000-0000-0000649E0000}"/>
    <cellStyle name="Normal 2 3 3 2 2 2 4 2" xfId="20991" xr:uid="{00000000-0005-0000-0000-0000659E0000}"/>
    <cellStyle name="Normal 2 3 3 2 2 2 5" xfId="7525" xr:uid="{00000000-0005-0000-0000-0000669E0000}"/>
    <cellStyle name="Normal 2 3 3 2 2 2 5 2" xfId="22674" xr:uid="{00000000-0005-0000-0000-0000679E0000}"/>
    <cellStyle name="Normal 2 3 3 2 2 2 6" xfId="9208" xr:uid="{00000000-0005-0000-0000-0000689E0000}"/>
    <cellStyle name="Normal 2 3 3 2 2 2 6 2" xfId="24357" xr:uid="{00000000-0005-0000-0000-0000699E0000}"/>
    <cellStyle name="Normal 2 3 3 2 2 2 7" xfId="10891" xr:uid="{00000000-0005-0000-0000-00006A9E0000}"/>
    <cellStyle name="Normal 2 3 3 2 2 2 7 2" xfId="26040" xr:uid="{00000000-0005-0000-0000-00006B9E0000}"/>
    <cellStyle name="Normal 2 3 3 2 2 2 8" xfId="12575" xr:uid="{00000000-0005-0000-0000-00006C9E0000}"/>
    <cellStyle name="Normal 2 3 3 2 2 2 8 2" xfId="27724" xr:uid="{00000000-0005-0000-0000-00006D9E0000}"/>
    <cellStyle name="Normal 2 3 3 2 2 2 9" xfId="14258" xr:uid="{00000000-0005-0000-0000-00006E9E0000}"/>
    <cellStyle name="Normal 2 3 3 2 2 2 9 2" xfId="29407" xr:uid="{00000000-0005-0000-0000-00006F9E0000}"/>
    <cellStyle name="Normal 2 3 3 2 2 20" xfId="40768" xr:uid="{00000000-0005-0000-0000-0000709E0000}"/>
    <cellStyle name="Normal 2 3 3 2 2 21" xfId="42451" xr:uid="{00000000-0005-0000-0000-0000719E0000}"/>
    <cellStyle name="Normal 2 3 3 2 2 22" xfId="44134" xr:uid="{00000000-0005-0000-0000-0000729E0000}"/>
    <cellStyle name="Normal 2 3 3 2 2 23" xfId="45817" xr:uid="{00000000-0005-0000-0000-0000739E0000}"/>
    <cellStyle name="Normal 2 3 3 2 2 24" xfId="47500" xr:uid="{00000000-0005-0000-0000-0000749E0000}"/>
    <cellStyle name="Normal 2 3 3 2 2 25" xfId="49183" xr:uid="{00000000-0005-0000-0000-0000759E0000}"/>
    <cellStyle name="Normal 2 3 3 2 2 26" xfId="50866" xr:uid="{00000000-0005-0000-0000-0000769E0000}"/>
    <cellStyle name="Normal 2 3 3 2 2 27" xfId="52549" xr:uid="{00000000-0005-0000-0000-0000779E0000}"/>
    <cellStyle name="Normal 2 3 3 2 2 28" xfId="54232" xr:uid="{00000000-0005-0000-0000-0000789E0000}"/>
    <cellStyle name="Normal 2 3 3 2 2 29" xfId="55915" xr:uid="{00000000-0005-0000-0000-0000799E0000}"/>
    <cellStyle name="Normal 2 3 3 2 2 3" xfId="1213" xr:uid="{00000000-0005-0000-0000-00007A9E0000}"/>
    <cellStyle name="Normal 2 3 3 2 2 3 10" xfId="16362" xr:uid="{00000000-0005-0000-0000-00007B9E0000}"/>
    <cellStyle name="Normal 2 3 3 2 2 3 11" xfId="31511" xr:uid="{00000000-0005-0000-0000-00007C9E0000}"/>
    <cellStyle name="Normal 2 3 3 2 2 3 12" xfId="33194" xr:uid="{00000000-0005-0000-0000-00007D9E0000}"/>
    <cellStyle name="Normal 2 3 3 2 2 3 13" xfId="34877" xr:uid="{00000000-0005-0000-0000-00007E9E0000}"/>
    <cellStyle name="Normal 2 3 3 2 2 3 14" xfId="36560" xr:uid="{00000000-0005-0000-0000-00007F9E0000}"/>
    <cellStyle name="Normal 2 3 3 2 2 3 15" xfId="38243" xr:uid="{00000000-0005-0000-0000-0000809E0000}"/>
    <cellStyle name="Normal 2 3 3 2 2 3 16" xfId="39926" xr:uid="{00000000-0005-0000-0000-0000819E0000}"/>
    <cellStyle name="Normal 2 3 3 2 2 3 17" xfId="41609" xr:uid="{00000000-0005-0000-0000-0000829E0000}"/>
    <cellStyle name="Normal 2 3 3 2 2 3 18" xfId="43292" xr:uid="{00000000-0005-0000-0000-0000839E0000}"/>
    <cellStyle name="Normal 2 3 3 2 2 3 19" xfId="44975" xr:uid="{00000000-0005-0000-0000-0000849E0000}"/>
    <cellStyle name="Normal 2 3 3 2 2 3 2" xfId="2896" xr:uid="{00000000-0005-0000-0000-0000859E0000}"/>
    <cellStyle name="Normal 2 3 3 2 2 3 2 2" xfId="18045" xr:uid="{00000000-0005-0000-0000-0000869E0000}"/>
    <cellStyle name="Normal 2 3 3 2 2 3 20" xfId="46658" xr:uid="{00000000-0005-0000-0000-0000879E0000}"/>
    <cellStyle name="Normal 2 3 3 2 2 3 21" xfId="48341" xr:uid="{00000000-0005-0000-0000-0000889E0000}"/>
    <cellStyle name="Normal 2 3 3 2 2 3 22" xfId="50024" xr:uid="{00000000-0005-0000-0000-0000899E0000}"/>
    <cellStyle name="Normal 2 3 3 2 2 3 23" xfId="51707" xr:uid="{00000000-0005-0000-0000-00008A9E0000}"/>
    <cellStyle name="Normal 2 3 3 2 2 3 24" xfId="53390" xr:uid="{00000000-0005-0000-0000-00008B9E0000}"/>
    <cellStyle name="Normal 2 3 3 2 2 3 25" xfId="55073" xr:uid="{00000000-0005-0000-0000-00008C9E0000}"/>
    <cellStyle name="Normal 2 3 3 2 2 3 26" xfId="56756" xr:uid="{00000000-0005-0000-0000-00008D9E0000}"/>
    <cellStyle name="Normal 2 3 3 2 2 3 27" xfId="58439" xr:uid="{00000000-0005-0000-0000-00008E9E0000}"/>
    <cellStyle name="Normal 2 3 3 2 2 3 28" xfId="60122" xr:uid="{00000000-0005-0000-0000-00008F9E0000}"/>
    <cellStyle name="Normal 2 3 3 2 2 3 29" xfId="61805" xr:uid="{00000000-0005-0000-0000-0000909E0000}"/>
    <cellStyle name="Normal 2 3 3 2 2 3 3" xfId="4580" xr:uid="{00000000-0005-0000-0000-0000919E0000}"/>
    <cellStyle name="Normal 2 3 3 2 2 3 3 2" xfId="19729" xr:uid="{00000000-0005-0000-0000-0000929E0000}"/>
    <cellStyle name="Normal 2 3 3 2 2 3 30" xfId="63488" xr:uid="{00000000-0005-0000-0000-0000939E0000}"/>
    <cellStyle name="Normal 2 3 3 2 2 3 4" xfId="6263" xr:uid="{00000000-0005-0000-0000-0000949E0000}"/>
    <cellStyle name="Normal 2 3 3 2 2 3 4 2" xfId="21412" xr:uid="{00000000-0005-0000-0000-0000959E0000}"/>
    <cellStyle name="Normal 2 3 3 2 2 3 5" xfId="7946" xr:uid="{00000000-0005-0000-0000-0000969E0000}"/>
    <cellStyle name="Normal 2 3 3 2 2 3 5 2" xfId="23095" xr:uid="{00000000-0005-0000-0000-0000979E0000}"/>
    <cellStyle name="Normal 2 3 3 2 2 3 6" xfId="9629" xr:uid="{00000000-0005-0000-0000-0000989E0000}"/>
    <cellStyle name="Normal 2 3 3 2 2 3 6 2" xfId="24778" xr:uid="{00000000-0005-0000-0000-0000999E0000}"/>
    <cellStyle name="Normal 2 3 3 2 2 3 7" xfId="11312" xr:uid="{00000000-0005-0000-0000-00009A9E0000}"/>
    <cellStyle name="Normal 2 3 3 2 2 3 7 2" xfId="26461" xr:uid="{00000000-0005-0000-0000-00009B9E0000}"/>
    <cellStyle name="Normal 2 3 3 2 2 3 8" xfId="12996" xr:uid="{00000000-0005-0000-0000-00009C9E0000}"/>
    <cellStyle name="Normal 2 3 3 2 2 3 8 2" xfId="28145" xr:uid="{00000000-0005-0000-0000-00009D9E0000}"/>
    <cellStyle name="Normal 2 3 3 2 2 3 9" xfId="14679" xr:uid="{00000000-0005-0000-0000-00009E9E0000}"/>
    <cellStyle name="Normal 2 3 3 2 2 3 9 2" xfId="29828" xr:uid="{00000000-0005-0000-0000-00009F9E0000}"/>
    <cellStyle name="Normal 2 3 3 2 2 30" xfId="57598" xr:uid="{00000000-0005-0000-0000-0000A09E0000}"/>
    <cellStyle name="Normal 2 3 3 2 2 31" xfId="59281" xr:uid="{00000000-0005-0000-0000-0000A19E0000}"/>
    <cellStyle name="Normal 2 3 3 2 2 32" xfId="60964" xr:uid="{00000000-0005-0000-0000-0000A29E0000}"/>
    <cellStyle name="Normal 2 3 3 2 2 33" xfId="62647" xr:uid="{00000000-0005-0000-0000-0000A39E0000}"/>
    <cellStyle name="Normal 2 3 3 2 2 4" xfId="1634" xr:uid="{00000000-0005-0000-0000-0000A49E0000}"/>
    <cellStyle name="Normal 2 3 3 2 2 4 10" xfId="16783" xr:uid="{00000000-0005-0000-0000-0000A59E0000}"/>
    <cellStyle name="Normal 2 3 3 2 2 4 11" xfId="31932" xr:uid="{00000000-0005-0000-0000-0000A69E0000}"/>
    <cellStyle name="Normal 2 3 3 2 2 4 12" xfId="33615" xr:uid="{00000000-0005-0000-0000-0000A79E0000}"/>
    <cellStyle name="Normal 2 3 3 2 2 4 13" xfId="35298" xr:uid="{00000000-0005-0000-0000-0000A89E0000}"/>
    <cellStyle name="Normal 2 3 3 2 2 4 14" xfId="36981" xr:uid="{00000000-0005-0000-0000-0000A99E0000}"/>
    <cellStyle name="Normal 2 3 3 2 2 4 15" xfId="38664" xr:uid="{00000000-0005-0000-0000-0000AA9E0000}"/>
    <cellStyle name="Normal 2 3 3 2 2 4 16" xfId="40347" xr:uid="{00000000-0005-0000-0000-0000AB9E0000}"/>
    <cellStyle name="Normal 2 3 3 2 2 4 17" xfId="42030" xr:uid="{00000000-0005-0000-0000-0000AC9E0000}"/>
    <cellStyle name="Normal 2 3 3 2 2 4 18" xfId="43713" xr:uid="{00000000-0005-0000-0000-0000AD9E0000}"/>
    <cellStyle name="Normal 2 3 3 2 2 4 19" xfId="45396" xr:uid="{00000000-0005-0000-0000-0000AE9E0000}"/>
    <cellStyle name="Normal 2 3 3 2 2 4 2" xfId="3317" xr:uid="{00000000-0005-0000-0000-0000AF9E0000}"/>
    <cellStyle name="Normal 2 3 3 2 2 4 2 2" xfId="18466" xr:uid="{00000000-0005-0000-0000-0000B09E0000}"/>
    <cellStyle name="Normal 2 3 3 2 2 4 20" xfId="47079" xr:uid="{00000000-0005-0000-0000-0000B19E0000}"/>
    <cellStyle name="Normal 2 3 3 2 2 4 21" xfId="48762" xr:uid="{00000000-0005-0000-0000-0000B29E0000}"/>
    <cellStyle name="Normal 2 3 3 2 2 4 22" xfId="50445" xr:uid="{00000000-0005-0000-0000-0000B39E0000}"/>
    <cellStyle name="Normal 2 3 3 2 2 4 23" xfId="52128" xr:uid="{00000000-0005-0000-0000-0000B49E0000}"/>
    <cellStyle name="Normal 2 3 3 2 2 4 24" xfId="53811" xr:uid="{00000000-0005-0000-0000-0000B59E0000}"/>
    <cellStyle name="Normal 2 3 3 2 2 4 25" xfId="55494" xr:uid="{00000000-0005-0000-0000-0000B69E0000}"/>
    <cellStyle name="Normal 2 3 3 2 2 4 26" xfId="57177" xr:uid="{00000000-0005-0000-0000-0000B79E0000}"/>
    <cellStyle name="Normal 2 3 3 2 2 4 27" xfId="58860" xr:uid="{00000000-0005-0000-0000-0000B89E0000}"/>
    <cellStyle name="Normal 2 3 3 2 2 4 28" xfId="60543" xr:uid="{00000000-0005-0000-0000-0000B99E0000}"/>
    <cellStyle name="Normal 2 3 3 2 2 4 29" xfId="62226" xr:uid="{00000000-0005-0000-0000-0000BA9E0000}"/>
    <cellStyle name="Normal 2 3 3 2 2 4 3" xfId="5001" xr:uid="{00000000-0005-0000-0000-0000BB9E0000}"/>
    <cellStyle name="Normal 2 3 3 2 2 4 3 2" xfId="20150" xr:uid="{00000000-0005-0000-0000-0000BC9E0000}"/>
    <cellStyle name="Normal 2 3 3 2 2 4 30" xfId="63909" xr:uid="{00000000-0005-0000-0000-0000BD9E0000}"/>
    <cellStyle name="Normal 2 3 3 2 2 4 4" xfId="6684" xr:uid="{00000000-0005-0000-0000-0000BE9E0000}"/>
    <cellStyle name="Normal 2 3 3 2 2 4 4 2" xfId="21833" xr:uid="{00000000-0005-0000-0000-0000BF9E0000}"/>
    <cellStyle name="Normal 2 3 3 2 2 4 5" xfId="8367" xr:uid="{00000000-0005-0000-0000-0000C09E0000}"/>
    <cellStyle name="Normal 2 3 3 2 2 4 5 2" xfId="23516" xr:uid="{00000000-0005-0000-0000-0000C19E0000}"/>
    <cellStyle name="Normal 2 3 3 2 2 4 6" xfId="10050" xr:uid="{00000000-0005-0000-0000-0000C29E0000}"/>
    <cellStyle name="Normal 2 3 3 2 2 4 6 2" xfId="25199" xr:uid="{00000000-0005-0000-0000-0000C39E0000}"/>
    <cellStyle name="Normal 2 3 3 2 2 4 7" xfId="11733" xr:uid="{00000000-0005-0000-0000-0000C49E0000}"/>
    <cellStyle name="Normal 2 3 3 2 2 4 7 2" xfId="26882" xr:uid="{00000000-0005-0000-0000-0000C59E0000}"/>
    <cellStyle name="Normal 2 3 3 2 2 4 8" xfId="13417" xr:uid="{00000000-0005-0000-0000-0000C69E0000}"/>
    <cellStyle name="Normal 2 3 3 2 2 4 8 2" xfId="28566" xr:uid="{00000000-0005-0000-0000-0000C79E0000}"/>
    <cellStyle name="Normal 2 3 3 2 2 4 9" xfId="15100" xr:uid="{00000000-0005-0000-0000-0000C89E0000}"/>
    <cellStyle name="Normal 2 3 3 2 2 4 9 2" xfId="30249" xr:uid="{00000000-0005-0000-0000-0000C99E0000}"/>
    <cellStyle name="Normal 2 3 3 2 2 5" xfId="2055" xr:uid="{00000000-0005-0000-0000-0000CA9E0000}"/>
    <cellStyle name="Normal 2 3 3 2 2 5 2" xfId="17204" xr:uid="{00000000-0005-0000-0000-0000CB9E0000}"/>
    <cellStyle name="Normal 2 3 3 2 2 6" xfId="3739" xr:uid="{00000000-0005-0000-0000-0000CC9E0000}"/>
    <cellStyle name="Normal 2 3 3 2 2 6 2" xfId="18888" xr:uid="{00000000-0005-0000-0000-0000CD9E0000}"/>
    <cellStyle name="Normal 2 3 3 2 2 7" xfId="5422" xr:uid="{00000000-0005-0000-0000-0000CE9E0000}"/>
    <cellStyle name="Normal 2 3 3 2 2 7 2" xfId="20571" xr:uid="{00000000-0005-0000-0000-0000CF9E0000}"/>
    <cellStyle name="Normal 2 3 3 2 2 8" xfId="7105" xr:uid="{00000000-0005-0000-0000-0000D09E0000}"/>
    <cellStyle name="Normal 2 3 3 2 2 8 2" xfId="22254" xr:uid="{00000000-0005-0000-0000-0000D19E0000}"/>
    <cellStyle name="Normal 2 3 3 2 2 9" xfId="8788" xr:uid="{00000000-0005-0000-0000-0000D29E0000}"/>
    <cellStyle name="Normal 2 3 3 2 2 9 2" xfId="23937" xr:uid="{00000000-0005-0000-0000-0000D39E0000}"/>
    <cellStyle name="Normal 2 3 3 2 20" xfId="38875" xr:uid="{00000000-0005-0000-0000-0000D49E0000}"/>
    <cellStyle name="Normal 2 3 3 2 21" xfId="40558" xr:uid="{00000000-0005-0000-0000-0000D59E0000}"/>
    <cellStyle name="Normal 2 3 3 2 22" xfId="42241" xr:uid="{00000000-0005-0000-0000-0000D69E0000}"/>
    <cellStyle name="Normal 2 3 3 2 23" xfId="43924" xr:uid="{00000000-0005-0000-0000-0000D79E0000}"/>
    <cellStyle name="Normal 2 3 3 2 24" xfId="45607" xr:uid="{00000000-0005-0000-0000-0000D89E0000}"/>
    <cellStyle name="Normal 2 3 3 2 25" xfId="47290" xr:uid="{00000000-0005-0000-0000-0000D99E0000}"/>
    <cellStyle name="Normal 2 3 3 2 26" xfId="48973" xr:uid="{00000000-0005-0000-0000-0000DA9E0000}"/>
    <cellStyle name="Normal 2 3 3 2 27" xfId="50656" xr:uid="{00000000-0005-0000-0000-0000DB9E0000}"/>
    <cellStyle name="Normal 2 3 3 2 28" xfId="52339" xr:uid="{00000000-0005-0000-0000-0000DC9E0000}"/>
    <cellStyle name="Normal 2 3 3 2 29" xfId="54022" xr:uid="{00000000-0005-0000-0000-0000DD9E0000}"/>
    <cellStyle name="Normal 2 3 3 2 3" xfId="582" xr:uid="{00000000-0005-0000-0000-0000DE9E0000}"/>
    <cellStyle name="Normal 2 3 3 2 3 10" xfId="15731" xr:uid="{00000000-0005-0000-0000-0000DF9E0000}"/>
    <cellStyle name="Normal 2 3 3 2 3 11" xfId="30880" xr:uid="{00000000-0005-0000-0000-0000E09E0000}"/>
    <cellStyle name="Normal 2 3 3 2 3 12" xfId="32563" xr:uid="{00000000-0005-0000-0000-0000E19E0000}"/>
    <cellStyle name="Normal 2 3 3 2 3 13" xfId="34246" xr:uid="{00000000-0005-0000-0000-0000E29E0000}"/>
    <cellStyle name="Normal 2 3 3 2 3 14" xfId="35929" xr:uid="{00000000-0005-0000-0000-0000E39E0000}"/>
    <cellStyle name="Normal 2 3 3 2 3 15" xfId="37612" xr:uid="{00000000-0005-0000-0000-0000E49E0000}"/>
    <cellStyle name="Normal 2 3 3 2 3 16" xfId="39295" xr:uid="{00000000-0005-0000-0000-0000E59E0000}"/>
    <cellStyle name="Normal 2 3 3 2 3 17" xfId="40978" xr:uid="{00000000-0005-0000-0000-0000E69E0000}"/>
    <cellStyle name="Normal 2 3 3 2 3 18" xfId="42661" xr:uid="{00000000-0005-0000-0000-0000E79E0000}"/>
    <cellStyle name="Normal 2 3 3 2 3 19" xfId="44344" xr:uid="{00000000-0005-0000-0000-0000E89E0000}"/>
    <cellStyle name="Normal 2 3 3 2 3 2" xfId="2265" xr:uid="{00000000-0005-0000-0000-0000E99E0000}"/>
    <cellStyle name="Normal 2 3 3 2 3 2 2" xfId="17414" xr:uid="{00000000-0005-0000-0000-0000EA9E0000}"/>
    <cellStyle name="Normal 2 3 3 2 3 20" xfId="46027" xr:uid="{00000000-0005-0000-0000-0000EB9E0000}"/>
    <cellStyle name="Normal 2 3 3 2 3 21" xfId="47710" xr:uid="{00000000-0005-0000-0000-0000EC9E0000}"/>
    <cellStyle name="Normal 2 3 3 2 3 22" xfId="49393" xr:uid="{00000000-0005-0000-0000-0000ED9E0000}"/>
    <cellStyle name="Normal 2 3 3 2 3 23" xfId="51076" xr:uid="{00000000-0005-0000-0000-0000EE9E0000}"/>
    <cellStyle name="Normal 2 3 3 2 3 24" xfId="52759" xr:uid="{00000000-0005-0000-0000-0000EF9E0000}"/>
    <cellStyle name="Normal 2 3 3 2 3 25" xfId="54442" xr:uid="{00000000-0005-0000-0000-0000F09E0000}"/>
    <cellStyle name="Normal 2 3 3 2 3 26" xfId="56125" xr:uid="{00000000-0005-0000-0000-0000F19E0000}"/>
    <cellStyle name="Normal 2 3 3 2 3 27" xfId="57808" xr:uid="{00000000-0005-0000-0000-0000F29E0000}"/>
    <cellStyle name="Normal 2 3 3 2 3 28" xfId="59491" xr:uid="{00000000-0005-0000-0000-0000F39E0000}"/>
    <cellStyle name="Normal 2 3 3 2 3 29" xfId="61174" xr:uid="{00000000-0005-0000-0000-0000F49E0000}"/>
    <cellStyle name="Normal 2 3 3 2 3 3" xfId="3949" xr:uid="{00000000-0005-0000-0000-0000F59E0000}"/>
    <cellStyle name="Normal 2 3 3 2 3 3 2" xfId="19098" xr:uid="{00000000-0005-0000-0000-0000F69E0000}"/>
    <cellStyle name="Normal 2 3 3 2 3 30" xfId="62857" xr:uid="{00000000-0005-0000-0000-0000F79E0000}"/>
    <cellStyle name="Normal 2 3 3 2 3 4" xfId="5632" xr:uid="{00000000-0005-0000-0000-0000F89E0000}"/>
    <cellStyle name="Normal 2 3 3 2 3 4 2" xfId="20781" xr:uid="{00000000-0005-0000-0000-0000F99E0000}"/>
    <cellStyle name="Normal 2 3 3 2 3 5" xfId="7315" xr:uid="{00000000-0005-0000-0000-0000FA9E0000}"/>
    <cellStyle name="Normal 2 3 3 2 3 5 2" xfId="22464" xr:uid="{00000000-0005-0000-0000-0000FB9E0000}"/>
    <cellStyle name="Normal 2 3 3 2 3 6" xfId="8998" xr:uid="{00000000-0005-0000-0000-0000FC9E0000}"/>
    <cellStyle name="Normal 2 3 3 2 3 6 2" xfId="24147" xr:uid="{00000000-0005-0000-0000-0000FD9E0000}"/>
    <cellStyle name="Normal 2 3 3 2 3 7" xfId="10681" xr:uid="{00000000-0005-0000-0000-0000FE9E0000}"/>
    <cellStyle name="Normal 2 3 3 2 3 7 2" xfId="25830" xr:uid="{00000000-0005-0000-0000-0000FF9E0000}"/>
    <cellStyle name="Normal 2 3 3 2 3 8" xfId="12365" xr:uid="{00000000-0005-0000-0000-0000009F0000}"/>
    <cellStyle name="Normal 2 3 3 2 3 8 2" xfId="27514" xr:uid="{00000000-0005-0000-0000-0000019F0000}"/>
    <cellStyle name="Normal 2 3 3 2 3 9" xfId="14048" xr:uid="{00000000-0005-0000-0000-0000029F0000}"/>
    <cellStyle name="Normal 2 3 3 2 3 9 2" xfId="29197" xr:uid="{00000000-0005-0000-0000-0000039F0000}"/>
    <cellStyle name="Normal 2 3 3 2 30" xfId="55705" xr:uid="{00000000-0005-0000-0000-0000049F0000}"/>
    <cellStyle name="Normal 2 3 3 2 31" xfId="57388" xr:uid="{00000000-0005-0000-0000-0000059F0000}"/>
    <cellStyle name="Normal 2 3 3 2 32" xfId="59071" xr:uid="{00000000-0005-0000-0000-0000069F0000}"/>
    <cellStyle name="Normal 2 3 3 2 33" xfId="60754" xr:uid="{00000000-0005-0000-0000-0000079F0000}"/>
    <cellStyle name="Normal 2 3 3 2 34" xfId="62437" xr:uid="{00000000-0005-0000-0000-0000089F0000}"/>
    <cellStyle name="Normal 2 3 3 2 4" xfId="1003" xr:uid="{00000000-0005-0000-0000-0000099F0000}"/>
    <cellStyle name="Normal 2 3 3 2 4 10" xfId="16152" xr:uid="{00000000-0005-0000-0000-00000A9F0000}"/>
    <cellStyle name="Normal 2 3 3 2 4 11" xfId="31301" xr:uid="{00000000-0005-0000-0000-00000B9F0000}"/>
    <cellStyle name="Normal 2 3 3 2 4 12" xfId="32984" xr:uid="{00000000-0005-0000-0000-00000C9F0000}"/>
    <cellStyle name="Normal 2 3 3 2 4 13" xfId="34667" xr:uid="{00000000-0005-0000-0000-00000D9F0000}"/>
    <cellStyle name="Normal 2 3 3 2 4 14" xfId="36350" xr:uid="{00000000-0005-0000-0000-00000E9F0000}"/>
    <cellStyle name="Normal 2 3 3 2 4 15" xfId="38033" xr:uid="{00000000-0005-0000-0000-00000F9F0000}"/>
    <cellStyle name="Normal 2 3 3 2 4 16" xfId="39716" xr:uid="{00000000-0005-0000-0000-0000109F0000}"/>
    <cellStyle name="Normal 2 3 3 2 4 17" xfId="41399" xr:uid="{00000000-0005-0000-0000-0000119F0000}"/>
    <cellStyle name="Normal 2 3 3 2 4 18" xfId="43082" xr:uid="{00000000-0005-0000-0000-0000129F0000}"/>
    <cellStyle name="Normal 2 3 3 2 4 19" xfId="44765" xr:uid="{00000000-0005-0000-0000-0000139F0000}"/>
    <cellStyle name="Normal 2 3 3 2 4 2" xfId="2686" xr:uid="{00000000-0005-0000-0000-0000149F0000}"/>
    <cellStyle name="Normal 2 3 3 2 4 2 2" xfId="17835" xr:uid="{00000000-0005-0000-0000-0000159F0000}"/>
    <cellStyle name="Normal 2 3 3 2 4 20" xfId="46448" xr:uid="{00000000-0005-0000-0000-0000169F0000}"/>
    <cellStyle name="Normal 2 3 3 2 4 21" xfId="48131" xr:uid="{00000000-0005-0000-0000-0000179F0000}"/>
    <cellStyle name="Normal 2 3 3 2 4 22" xfId="49814" xr:uid="{00000000-0005-0000-0000-0000189F0000}"/>
    <cellStyle name="Normal 2 3 3 2 4 23" xfId="51497" xr:uid="{00000000-0005-0000-0000-0000199F0000}"/>
    <cellStyle name="Normal 2 3 3 2 4 24" xfId="53180" xr:uid="{00000000-0005-0000-0000-00001A9F0000}"/>
    <cellStyle name="Normal 2 3 3 2 4 25" xfId="54863" xr:uid="{00000000-0005-0000-0000-00001B9F0000}"/>
    <cellStyle name="Normal 2 3 3 2 4 26" xfId="56546" xr:uid="{00000000-0005-0000-0000-00001C9F0000}"/>
    <cellStyle name="Normal 2 3 3 2 4 27" xfId="58229" xr:uid="{00000000-0005-0000-0000-00001D9F0000}"/>
    <cellStyle name="Normal 2 3 3 2 4 28" xfId="59912" xr:uid="{00000000-0005-0000-0000-00001E9F0000}"/>
    <cellStyle name="Normal 2 3 3 2 4 29" xfId="61595" xr:uid="{00000000-0005-0000-0000-00001F9F0000}"/>
    <cellStyle name="Normal 2 3 3 2 4 3" xfId="4370" xr:uid="{00000000-0005-0000-0000-0000209F0000}"/>
    <cellStyle name="Normal 2 3 3 2 4 3 2" xfId="19519" xr:uid="{00000000-0005-0000-0000-0000219F0000}"/>
    <cellStyle name="Normal 2 3 3 2 4 30" xfId="63278" xr:uid="{00000000-0005-0000-0000-0000229F0000}"/>
    <cellStyle name="Normal 2 3 3 2 4 4" xfId="6053" xr:uid="{00000000-0005-0000-0000-0000239F0000}"/>
    <cellStyle name="Normal 2 3 3 2 4 4 2" xfId="21202" xr:uid="{00000000-0005-0000-0000-0000249F0000}"/>
    <cellStyle name="Normal 2 3 3 2 4 5" xfId="7736" xr:uid="{00000000-0005-0000-0000-0000259F0000}"/>
    <cellStyle name="Normal 2 3 3 2 4 5 2" xfId="22885" xr:uid="{00000000-0005-0000-0000-0000269F0000}"/>
    <cellStyle name="Normal 2 3 3 2 4 6" xfId="9419" xr:uid="{00000000-0005-0000-0000-0000279F0000}"/>
    <cellStyle name="Normal 2 3 3 2 4 6 2" xfId="24568" xr:uid="{00000000-0005-0000-0000-0000289F0000}"/>
    <cellStyle name="Normal 2 3 3 2 4 7" xfId="11102" xr:uid="{00000000-0005-0000-0000-0000299F0000}"/>
    <cellStyle name="Normal 2 3 3 2 4 7 2" xfId="26251" xr:uid="{00000000-0005-0000-0000-00002A9F0000}"/>
    <cellStyle name="Normal 2 3 3 2 4 8" xfId="12786" xr:uid="{00000000-0005-0000-0000-00002B9F0000}"/>
    <cellStyle name="Normal 2 3 3 2 4 8 2" xfId="27935" xr:uid="{00000000-0005-0000-0000-00002C9F0000}"/>
    <cellStyle name="Normal 2 3 3 2 4 9" xfId="14469" xr:uid="{00000000-0005-0000-0000-00002D9F0000}"/>
    <cellStyle name="Normal 2 3 3 2 4 9 2" xfId="29618" xr:uid="{00000000-0005-0000-0000-00002E9F0000}"/>
    <cellStyle name="Normal 2 3 3 2 5" xfId="1424" xr:uid="{00000000-0005-0000-0000-00002F9F0000}"/>
    <cellStyle name="Normal 2 3 3 2 5 10" xfId="16573" xr:uid="{00000000-0005-0000-0000-0000309F0000}"/>
    <cellStyle name="Normal 2 3 3 2 5 11" xfId="31722" xr:uid="{00000000-0005-0000-0000-0000319F0000}"/>
    <cellStyle name="Normal 2 3 3 2 5 12" xfId="33405" xr:uid="{00000000-0005-0000-0000-0000329F0000}"/>
    <cellStyle name="Normal 2 3 3 2 5 13" xfId="35088" xr:uid="{00000000-0005-0000-0000-0000339F0000}"/>
    <cellStyle name="Normal 2 3 3 2 5 14" xfId="36771" xr:uid="{00000000-0005-0000-0000-0000349F0000}"/>
    <cellStyle name="Normal 2 3 3 2 5 15" xfId="38454" xr:uid="{00000000-0005-0000-0000-0000359F0000}"/>
    <cellStyle name="Normal 2 3 3 2 5 16" xfId="40137" xr:uid="{00000000-0005-0000-0000-0000369F0000}"/>
    <cellStyle name="Normal 2 3 3 2 5 17" xfId="41820" xr:uid="{00000000-0005-0000-0000-0000379F0000}"/>
    <cellStyle name="Normal 2 3 3 2 5 18" xfId="43503" xr:uid="{00000000-0005-0000-0000-0000389F0000}"/>
    <cellStyle name="Normal 2 3 3 2 5 19" xfId="45186" xr:uid="{00000000-0005-0000-0000-0000399F0000}"/>
    <cellStyle name="Normal 2 3 3 2 5 2" xfId="3107" xr:uid="{00000000-0005-0000-0000-00003A9F0000}"/>
    <cellStyle name="Normal 2 3 3 2 5 2 2" xfId="18256" xr:uid="{00000000-0005-0000-0000-00003B9F0000}"/>
    <cellStyle name="Normal 2 3 3 2 5 20" xfId="46869" xr:uid="{00000000-0005-0000-0000-00003C9F0000}"/>
    <cellStyle name="Normal 2 3 3 2 5 21" xfId="48552" xr:uid="{00000000-0005-0000-0000-00003D9F0000}"/>
    <cellStyle name="Normal 2 3 3 2 5 22" xfId="50235" xr:uid="{00000000-0005-0000-0000-00003E9F0000}"/>
    <cellStyle name="Normal 2 3 3 2 5 23" xfId="51918" xr:uid="{00000000-0005-0000-0000-00003F9F0000}"/>
    <cellStyle name="Normal 2 3 3 2 5 24" xfId="53601" xr:uid="{00000000-0005-0000-0000-0000409F0000}"/>
    <cellStyle name="Normal 2 3 3 2 5 25" xfId="55284" xr:uid="{00000000-0005-0000-0000-0000419F0000}"/>
    <cellStyle name="Normal 2 3 3 2 5 26" xfId="56967" xr:uid="{00000000-0005-0000-0000-0000429F0000}"/>
    <cellStyle name="Normal 2 3 3 2 5 27" xfId="58650" xr:uid="{00000000-0005-0000-0000-0000439F0000}"/>
    <cellStyle name="Normal 2 3 3 2 5 28" xfId="60333" xr:uid="{00000000-0005-0000-0000-0000449F0000}"/>
    <cellStyle name="Normal 2 3 3 2 5 29" xfId="62016" xr:uid="{00000000-0005-0000-0000-0000459F0000}"/>
    <cellStyle name="Normal 2 3 3 2 5 3" xfId="4791" xr:uid="{00000000-0005-0000-0000-0000469F0000}"/>
    <cellStyle name="Normal 2 3 3 2 5 3 2" xfId="19940" xr:uid="{00000000-0005-0000-0000-0000479F0000}"/>
    <cellStyle name="Normal 2 3 3 2 5 30" xfId="63699" xr:uid="{00000000-0005-0000-0000-0000489F0000}"/>
    <cellStyle name="Normal 2 3 3 2 5 4" xfId="6474" xr:uid="{00000000-0005-0000-0000-0000499F0000}"/>
    <cellStyle name="Normal 2 3 3 2 5 4 2" xfId="21623" xr:uid="{00000000-0005-0000-0000-00004A9F0000}"/>
    <cellStyle name="Normal 2 3 3 2 5 5" xfId="8157" xr:uid="{00000000-0005-0000-0000-00004B9F0000}"/>
    <cellStyle name="Normal 2 3 3 2 5 5 2" xfId="23306" xr:uid="{00000000-0005-0000-0000-00004C9F0000}"/>
    <cellStyle name="Normal 2 3 3 2 5 6" xfId="9840" xr:uid="{00000000-0005-0000-0000-00004D9F0000}"/>
    <cellStyle name="Normal 2 3 3 2 5 6 2" xfId="24989" xr:uid="{00000000-0005-0000-0000-00004E9F0000}"/>
    <cellStyle name="Normal 2 3 3 2 5 7" xfId="11523" xr:uid="{00000000-0005-0000-0000-00004F9F0000}"/>
    <cellStyle name="Normal 2 3 3 2 5 7 2" xfId="26672" xr:uid="{00000000-0005-0000-0000-0000509F0000}"/>
    <cellStyle name="Normal 2 3 3 2 5 8" xfId="13207" xr:uid="{00000000-0005-0000-0000-0000519F0000}"/>
    <cellStyle name="Normal 2 3 3 2 5 8 2" xfId="28356" xr:uid="{00000000-0005-0000-0000-0000529F0000}"/>
    <cellStyle name="Normal 2 3 3 2 5 9" xfId="14890" xr:uid="{00000000-0005-0000-0000-0000539F0000}"/>
    <cellStyle name="Normal 2 3 3 2 5 9 2" xfId="30039" xr:uid="{00000000-0005-0000-0000-0000549F0000}"/>
    <cellStyle name="Normal 2 3 3 2 6" xfId="1845" xr:uid="{00000000-0005-0000-0000-0000559F0000}"/>
    <cellStyle name="Normal 2 3 3 2 6 2" xfId="16994" xr:uid="{00000000-0005-0000-0000-0000569F0000}"/>
    <cellStyle name="Normal 2 3 3 2 7" xfId="3529" xr:uid="{00000000-0005-0000-0000-0000579F0000}"/>
    <cellStyle name="Normal 2 3 3 2 7 2" xfId="18678" xr:uid="{00000000-0005-0000-0000-0000589F0000}"/>
    <cellStyle name="Normal 2 3 3 2 8" xfId="5212" xr:uid="{00000000-0005-0000-0000-0000599F0000}"/>
    <cellStyle name="Normal 2 3 3 2 8 2" xfId="20361" xr:uid="{00000000-0005-0000-0000-00005A9F0000}"/>
    <cellStyle name="Normal 2 3 3 2 9" xfId="6895" xr:uid="{00000000-0005-0000-0000-00005B9F0000}"/>
    <cellStyle name="Normal 2 3 3 2 9 2" xfId="22044" xr:uid="{00000000-0005-0000-0000-00005C9F0000}"/>
    <cellStyle name="Normal 2 3 3 20" xfId="37087" xr:uid="{00000000-0005-0000-0000-00005D9F0000}"/>
    <cellStyle name="Normal 2 3 3 21" xfId="38770" xr:uid="{00000000-0005-0000-0000-00005E9F0000}"/>
    <cellStyle name="Normal 2 3 3 22" xfId="40453" xr:uid="{00000000-0005-0000-0000-00005F9F0000}"/>
    <cellStyle name="Normal 2 3 3 23" xfId="42136" xr:uid="{00000000-0005-0000-0000-0000609F0000}"/>
    <cellStyle name="Normal 2 3 3 24" xfId="43819" xr:uid="{00000000-0005-0000-0000-0000619F0000}"/>
    <cellStyle name="Normal 2 3 3 25" xfId="45502" xr:uid="{00000000-0005-0000-0000-0000629F0000}"/>
    <cellStyle name="Normal 2 3 3 26" xfId="47185" xr:uid="{00000000-0005-0000-0000-0000639F0000}"/>
    <cellStyle name="Normal 2 3 3 27" xfId="48868" xr:uid="{00000000-0005-0000-0000-0000649F0000}"/>
    <cellStyle name="Normal 2 3 3 28" xfId="50551" xr:uid="{00000000-0005-0000-0000-0000659F0000}"/>
    <cellStyle name="Normal 2 3 3 29" xfId="52234" xr:uid="{00000000-0005-0000-0000-0000669F0000}"/>
    <cellStyle name="Normal 2 3 3 3" xfId="267" xr:uid="{00000000-0005-0000-0000-0000679F0000}"/>
    <cellStyle name="Normal 2 3 3 3 10" xfId="10366" xr:uid="{00000000-0005-0000-0000-0000689F0000}"/>
    <cellStyle name="Normal 2 3 3 3 10 2" xfId="25515" xr:uid="{00000000-0005-0000-0000-0000699F0000}"/>
    <cellStyle name="Normal 2 3 3 3 11" xfId="12050" xr:uid="{00000000-0005-0000-0000-00006A9F0000}"/>
    <cellStyle name="Normal 2 3 3 3 11 2" xfId="27199" xr:uid="{00000000-0005-0000-0000-00006B9F0000}"/>
    <cellStyle name="Normal 2 3 3 3 12" xfId="13733" xr:uid="{00000000-0005-0000-0000-00006C9F0000}"/>
    <cellStyle name="Normal 2 3 3 3 12 2" xfId="28882" xr:uid="{00000000-0005-0000-0000-00006D9F0000}"/>
    <cellStyle name="Normal 2 3 3 3 13" xfId="15416" xr:uid="{00000000-0005-0000-0000-00006E9F0000}"/>
    <cellStyle name="Normal 2 3 3 3 14" xfId="30565" xr:uid="{00000000-0005-0000-0000-00006F9F0000}"/>
    <cellStyle name="Normal 2 3 3 3 15" xfId="32248" xr:uid="{00000000-0005-0000-0000-0000709F0000}"/>
    <cellStyle name="Normal 2 3 3 3 16" xfId="33931" xr:uid="{00000000-0005-0000-0000-0000719F0000}"/>
    <cellStyle name="Normal 2 3 3 3 17" xfId="35614" xr:uid="{00000000-0005-0000-0000-0000729F0000}"/>
    <cellStyle name="Normal 2 3 3 3 18" xfId="37297" xr:uid="{00000000-0005-0000-0000-0000739F0000}"/>
    <cellStyle name="Normal 2 3 3 3 19" xfId="38980" xr:uid="{00000000-0005-0000-0000-0000749F0000}"/>
    <cellStyle name="Normal 2 3 3 3 2" xfId="687" xr:uid="{00000000-0005-0000-0000-0000759F0000}"/>
    <cellStyle name="Normal 2 3 3 3 2 10" xfId="15836" xr:uid="{00000000-0005-0000-0000-0000769F0000}"/>
    <cellStyle name="Normal 2 3 3 3 2 11" xfId="30985" xr:uid="{00000000-0005-0000-0000-0000779F0000}"/>
    <cellStyle name="Normal 2 3 3 3 2 12" xfId="32668" xr:uid="{00000000-0005-0000-0000-0000789F0000}"/>
    <cellStyle name="Normal 2 3 3 3 2 13" xfId="34351" xr:uid="{00000000-0005-0000-0000-0000799F0000}"/>
    <cellStyle name="Normal 2 3 3 3 2 14" xfId="36034" xr:uid="{00000000-0005-0000-0000-00007A9F0000}"/>
    <cellStyle name="Normal 2 3 3 3 2 15" xfId="37717" xr:uid="{00000000-0005-0000-0000-00007B9F0000}"/>
    <cellStyle name="Normal 2 3 3 3 2 16" xfId="39400" xr:uid="{00000000-0005-0000-0000-00007C9F0000}"/>
    <cellStyle name="Normal 2 3 3 3 2 17" xfId="41083" xr:uid="{00000000-0005-0000-0000-00007D9F0000}"/>
    <cellStyle name="Normal 2 3 3 3 2 18" xfId="42766" xr:uid="{00000000-0005-0000-0000-00007E9F0000}"/>
    <cellStyle name="Normal 2 3 3 3 2 19" xfId="44449" xr:uid="{00000000-0005-0000-0000-00007F9F0000}"/>
    <cellStyle name="Normal 2 3 3 3 2 2" xfId="2370" xr:uid="{00000000-0005-0000-0000-0000809F0000}"/>
    <cellStyle name="Normal 2 3 3 3 2 2 2" xfId="17519" xr:uid="{00000000-0005-0000-0000-0000819F0000}"/>
    <cellStyle name="Normal 2 3 3 3 2 20" xfId="46132" xr:uid="{00000000-0005-0000-0000-0000829F0000}"/>
    <cellStyle name="Normal 2 3 3 3 2 21" xfId="47815" xr:uid="{00000000-0005-0000-0000-0000839F0000}"/>
    <cellStyle name="Normal 2 3 3 3 2 22" xfId="49498" xr:uid="{00000000-0005-0000-0000-0000849F0000}"/>
    <cellStyle name="Normal 2 3 3 3 2 23" xfId="51181" xr:uid="{00000000-0005-0000-0000-0000859F0000}"/>
    <cellStyle name="Normal 2 3 3 3 2 24" xfId="52864" xr:uid="{00000000-0005-0000-0000-0000869F0000}"/>
    <cellStyle name="Normal 2 3 3 3 2 25" xfId="54547" xr:uid="{00000000-0005-0000-0000-0000879F0000}"/>
    <cellStyle name="Normal 2 3 3 3 2 26" xfId="56230" xr:uid="{00000000-0005-0000-0000-0000889F0000}"/>
    <cellStyle name="Normal 2 3 3 3 2 27" xfId="57913" xr:uid="{00000000-0005-0000-0000-0000899F0000}"/>
    <cellStyle name="Normal 2 3 3 3 2 28" xfId="59596" xr:uid="{00000000-0005-0000-0000-00008A9F0000}"/>
    <cellStyle name="Normal 2 3 3 3 2 29" xfId="61279" xr:uid="{00000000-0005-0000-0000-00008B9F0000}"/>
    <cellStyle name="Normal 2 3 3 3 2 3" xfId="4054" xr:uid="{00000000-0005-0000-0000-00008C9F0000}"/>
    <cellStyle name="Normal 2 3 3 3 2 3 2" xfId="19203" xr:uid="{00000000-0005-0000-0000-00008D9F0000}"/>
    <cellStyle name="Normal 2 3 3 3 2 30" xfId="62962" xr:uid="{00000000-0005-0000-0000-00008E9F0000}"/>
    <cellStyle name="Normal 2 3 3 3 2 4" xfId="5737" xr:uid="{00000000-0005-0000-0000-00008F9F0000}"/>
    <cellStyle name="Normal 2 3 3 3 2 4 2" xfId="20886" xr:uid="{00000000-0005-0000-0000-0000909F0000}"/>
    <cellStyle name="Normal 2 3 3 3 2 5" xfId="7420" xr:uid="{00000000-0005-0000-0000-0000919F0000}"/>
    <cellStyle name="Normal 2 3 3 3 2 5 2" xfId="22569" xr:uid="{00000000-0005-0000-0000-0000929F0000}"/>
    <cellStyle name="Normal 2 3 3 3 2 6" xfId="9103" xr:uid="{00000000-0005-0000-0000-0000939F0000}"/>
    <cellStyle name="Normal 2 3 3 3 2 6 2" xfId="24252" xr:uid="{00000000-0005-0000-0000-0000949F0000}"/>
    <cellStyle name="Normal 2 3 3 3 2 7" xfId="10786" xr:uid="{00000000-0005-0000-0000-0000959F0000}"/>
    <cellStyle name="Normal 2 3 3 3 2 7 2" xfId="25935" xr:uid="{00000000-0005-0000-0000-0000969F0000}"/>
    <cellStyle name="Normal 2 3 3 3 2 8" xfId="12470" xr:uid="{00000000-0005-0000-0000-0000979F0000}"/>
    <cellStyle name="Normal 2 3 3 3 2 8 2" xfId="27619" xr:uid="{00000000-0005-0000-0000-0000989F0000}"/>
    <cellStyle name="Normal 2 3 3 3 2 9" xfId="14153" xr:uid="{00000000-0005-0000-0000-0000999F0000}"/>
    <cellStyle name="Normal 2 3 3 3 2 9 2" xfId="29302" xr:uid="{00000000-0005-0000-0000-00009A9F0000}"/>
    <cellStyle name="Normal 2 3 3 3 20" xfId="40663" xr:uid="{00000000-0005-0000-0000-00009B9F0000}"/>
    <cellStyle name="Normal 2 3 3 3 21" xfId="42346" xr:uid="{00000000-0005-0000-0000-00009C9F0000}"/>
    <cellStyle name="Normal 2 3 3 3 22" xfId="44029" xr:uid="{00000000-0005-0000-0000-00009D9F0000}"/>
    <cellStyle name="Normal 2 3 3 3 23" xfId="45712" xr:uid="{00000000-0005-0000-0000-00009E9F0000}"/>
    <cellStyle name="Normal 2 3 3 3 24" xfId="47395" xr:uid="{00000000-0005-0000-0000-00009F9F0000}"/>
    <cellStyle name="Normal 2 3 3 3 25" xfId="49078" xr:uid="{00000000-0005-0000-0000-0000A09F0000}"/>
    <cellStyle name="Normal 2 3 3 3 26" xfId="50761" xr:uid="{00000000-0005-0000-0000-0000A19F0000}"/>
    <cellStyle name="Normal 2 3 3 3 27" xfId="52444" xr:uid="{00000000-0005-0000-0000-0000A29F0000}"/>
    <cellStyle name="Normal 2 3 3 3 28" xfId="54127" xr:uid="{00000000-0005-0000-0000-0000A39F0000}"/>
    <cellStyle name="Normal 2 3 3 3 29" xfId="55810" xr:uid="{00000000-0005-0000-0000-0000A49F0000}"/>
    <cellStyle name="Normal 2 3 3 3 3" xfId="1108" xr:uid="{00000000-0005-0000-0000-0000A59F0000}"/>
    <cellStyle name="Normal 2 3 3 3 3 10" xfId="16257" xr:uid="{00000000-0005-0000-0000-0000A69F0000}"/>
    <cellStyle name="Normal 2 3 3 3 3 11" xfId="31406" xr:uid="{00000000-0005-0000-0000-0000A79F0000}"/>
    <cellStyle name="Normal 2 3 3 3 3 12" xfId="33089" xr:uid="{00000000-0005-0000-0000-0000A89F0000}"/>
    <cellStyle name="Normal 2 3 3 3 3 13" xfId="34772" xr:uid="{00000000-0005-0000-0000-0000A99F0000}"/>
    <cellStyle name="Normal 2 3 3 3 3 14" xfId="36455" xr:uid="{00000000-0005-0000-0000-0000AA9F0000}"/>
    <cellStyle name="Normal 2 3 3 3 3 15" xfId="38138" xr:uid="{00000000-0005-0000-0000-0000AB9F0000}"/>
    <cellStyle name="Normal 2 3 3 3 3 16" xfId="39821" xr:uid="{00000000-0005-0000-0000-0000AC9F0000}"/>
    <cellStyle name="Normal 2 3 3 3 3 17" xfId="41504" xr:uid="{00000000-0005-0000-0000-0000AD9F0000}"/>
    <cellStyle name="Normal 2 3 3 3 3 18" xfId="43187" xr:uid="{00000000-0005-0000-0000-0000AE9F0000}"/>
    <cellStyle name="Normal 2 3 3 3 3 19" xfId="44870" xr:uid="{00000000-0005-0000-0000-0000AF9F0000}"/>
    <cellStyle name="Normal 2 3 3 3 3 2" xfId="2791" xr:uid="{00000000-0005-0000-0000-0000B09F0000}"/>
    <cellStyle name="Normal 2 3 3 3 3 2 2" xfId="17940" xr:uid="{00000000-0005-0000-0000-0000B19F0000}"/>
    <cellStyle name="Normal 2 3 3 3 3 20" xfId="46553" xr:uid="{00000000-0005-0000-0000-0000B29F0000}"/>
    <cellStyle name="Normal 2 3 3 3 3 21" xfId="48236" xr:uid="{00000000-0005-0000-0000-0000B39F0000}"/>
    <cellStyle name="Normal 2 3 3 3 3 22" xfId="49919" xr:uid="{00000000-0005-0000-0000-0000B49F0000}"/>
    <cellStyle name="Normal 2 3 3 3 3 23" xfId="51602" xr:uid="{00000000-0005-0000-0000-0000B59F0000}"/>
    <cellStyle name="Normal 2 3 3 3 3 24" xfId="53285" xr:uid="{00000000-0005-0000-0000-0000B69F0000}"/>
    <cellStyle name="Normal 2 3 3 3 3 25" xfId="54968" xr:uid="{00000000-0005-0000-0000-0000B79F0000}"/>
    <cellStyle name="Normal 2 3 3 3 3 26" xfId="56651" xr:uid="{00000000-0005-0000-0000-0000B89F0000}"/>
    <cellStyle name="Normal 2 3 3 3 3 27" xfId="58334" xr:uid="{00000000-0005-0000-0000-0000B99F0000}"/>
    <cellStyle name="Normal 2 3 3 3 3 28" xfId="60017" xr:uid="{00000000-0005-0000-0000-0000BA9F0000}"/>
    <cellStyle name="Normal 2 3 3 3 3 29" xfId="61700" xr:uid="{00000000-0005-0000-0000-0000BB9F0000}"/>
    <cellStyle name="Normal 2 3 3 3 3 3" xfId="4475" xr:uid="{00000000-0005-0000-0000-0000BC9F0000}"/>
    <cellStyle name="Normal 2 3 3 3 3 3 2" xfId="19624" xr:uid="{00000000-0005-0000-0000-0000BD9F0000}"/>
    <cellStyle name="Normal 2 3 3 3 3 30" xfId="63383" xr:uid="{00000000-0005-0000-0000-0000BE9F0000}"/>
    <cellStyle name="Normal 2 3 3 3 3 4" xfId="6158" xr:uid="{00000000-0005-0000-0000-0000BF9F0000}"/>
    <cellStyle name="Normal 2 3 3 3 3 4 2" xfId="21307" xr:uid="{00000000-0005-0000-0000-0000C09F0000}"/>
    <cellStyle name="Normal 2 3 3 3 3 5" xfId="7841" xr:uid="{00000000-0005-0000-0000-0000C19F0000}"/>
    <cellStyle name="Normal 2 3 3 3 3 5 2" xfId="22990" xr:uid="{00000000-0005-0000-0000-0000C29F0000}"/>
    <cellStyle name="Normal 2 3 3 3 3 6" xfId="9524" xr:uid="{00000000-0005-0000-0000-0000C39F0000}"/>
    <cellStyle name="Normal 2 3 3 3 3 6 2" xfId="24673" xr:uid="{00000000-0005-0000-0000-0000C49F0000}"/>
    <cellStyle name="Normal 2 3 3 3 3 7" xfId="11207" xr:uid="{00000000-0005-0000-0000-0000C59F0000}"/>
    <cellStyle name="Normal 2 3 3 3 3 7 2" xfId="26356" xr:uid="{00000000-0005-0000-0000-0000C69F0000}"/>
    <cellStyle name="Normal 2 3 3 3 3 8" xfId="12891" xr:uid="{00000000-0005-0000-0000-0000C79F0000}"/>
    <cellStyle name="Normal 2 3 3 3 3 8 2" xfId="28040" xr:uid="{00000000-0005-0000-0000-0000C89F0000}"/>
    <cellStyle name="Normal 2 3 3 3 3 9" xfId="14574" xr:uid="{00000000-0005-0000-0000-0000C99F0000}"/>
    <cellStyle name="Normal 2 3 3 3 3 9 2" xfId="29723" xr:uid="{00000000-0005-0000-0000-0000CA9F0000}"/>
    <cellStyle name="Normal 2 3 3 3 30" xfId="57493" xr:uid="{00000000-0005-0000-0000-0000CB9F0000}"/>
    <cellStyle name="Normal 2 3 3 3 31" xfId="59176" xr:uid="{00000000-0005-0000-0000-0000CC9F0000}"/>
    <cellStyle name="Normal 2 3 3 3 32" xfId="60859" xr:uid="{00000000-0005-0000-0000-0000CD9F0000}"/>
    <cellStyle name="Normal 2 3 3 3 33" xfId="62542" xr:uid="{00000000-0005-0000-0000-0000CE9F0000}"/>
    <cellStyle name="Normal 2 3 3 3 4" xfId="1529" xr:uid="{00000000-0005-0000-0000-0000CF9F0000}"/>
    <cellStyle name="Normal 2 3 3 3 4 10" xfId="16678" xr:uid="{00000000-0005-0000-0000-0000D09F0000}"/>
    <cellStyle name="Normal 2 3 3 3 4 11" xfId="31827" xr:uid="{00000000-0005-0000-0000-0000D19F0000}"/>
    <cellStyle name="Normal 2 3 3 3 4 12" xfId="33510" xr:uid="{00000000-0005-0000-0000-0000D29F0000}"/>
    <cellStyle name="Normal 2 3 3 3 4 13" xfId="35193" xr:uid="{00000000-0005-0000-0000-0000D39F0000}"/>
    <cellStyle name="Normal 2 3 3 3 4 14" xfId="36876" xr:uid="{00000000-0005-0000-0000-0000D49F0000}"/>
    <cellStyle name="Normal 2 3 3 3 4 15" xfId="38559" xr:uid="{00000000-0005-0000-0000-0000D59F0000}"/>
    <cellStyle name="Normal 2 3 3 3 4 16" xfId="40242" xr:uid="{00000000-0005-0000-0000-0000D69F0000}"/>
    <cellStyle name="Normal 2 3 3 3 4 17" xfId="41925" xr:uid="{00000000-0005-0000-0000-0000D79F0000}"/>
    <cellStyle name="Normal 2 3 3 3 4 18" xfId="43608" xr:uid="{00000000-0005-0000-0000-0000D89F0000}"/>
    <cellStyle name="Normal 2 3 3 3 4 19" xfId="45291" xr:uid="{00000000-0005-0000-0000-0000D99F0000}"/>
    <cellStyle name="Normal 2 3 3 3 4 2" xfId="3212" xr:uid="{00000000-0005-0000-0000-0000DA9F0000}"/>
    <cellStyle name="Normal 2 3 3 3 4 2 2" xfId="18361" xr:uid="{00000000-0005-0000-0000-0000DB9F0000}"/>
    <cellStyle name="Normal 2 3 3 3 4 20" xfId="46974" xr:uid="{00000000-0005-0000-0000-0000DC9F0000}"/>
    <cellStyle name="Normal 2 3 3 3 4 21" xfId="48657" xr:uid="{00000000-0005-0000-0000-0000DD9F0000}"/>
    <cellStyle name="Normal 2 3 3 3 4 22" xfId="50340" xr:uid="{00000000-0005-0000-0000-0000DE9F0000}"/>
    <cellStyle name="Normal 2 3 3 3 4 23" xfId="52023" xr:uid="{00000000-0005-0000-0000-0000DF9F0000}"/>
    <cellStyle name="Normal 2 3 3 3 4 24" xfId="53706" xr:uid="{00000000-0005-0000-0000-0000E09F0000}"/>
    <cellStyle name="Normal 2 3 3 3 4 25" xfId="55389" xr:uid="{00000000-0005-0000-0000-0000E19F0000}"/>
    <cellStyle name="Normal 2 3 3 3 4 26" xfId="57072" xr:uid="{00000000-0005-0000-0000-0000E29F0000}"/>
    <cellStyle name="Normal 2 3 3 3 4 27" xfId="58755" xr:uid="{00000000-0005-0000-0000-0000E39F0000}"/>
    <cellStyle name="Normal 2 3 3 3 4 28" xfId="60438" xr:uid="{00000000-0005-0000-0000-0000E49F0000}"/>
    <cellStyle name="Normal 2 3 3 3 4 29" xfId="62121" xr:uid="{00000000-0005-0000-0000-0000E59F0000}"/>
    <cellStyle name="Normal 2 3 3 3 4 3" xfId="4896" xr:uid="{00000000-0005-0000-0000-0000E69F0000}"/>
    <cellStyle name="Normal 2 3 3 3 4 3 2" xfId="20045" xr:uid="{00000000-0005-0000-0000-0000E79F0000}"/>
    <cellStyle name="Normal 2 3 3 3 4 30" xfId="63804" xr:uid="{00000000-0005-0000-0000-0000E89F0000}"/>
    <cellStyle name="Normal 2 3 3 3 4 4" xfId="6579" xr:uid="{00000000-0005-0000-0000-0000E99F0000}"/>
    <cellStyle name="Normal 2 3 3 3 4 4 2" xfId="21728" xr:uid="{00000000-0005-0000-0000-0000EA9F0000}"/>
    <cellStyle name="Normal 2 3 3 3 4 5" xfId="8262" xr:uid="{00000000-0005-0000-0000-0000EB9F0000}"/>
    <cellStyle name="Normal 2 3 3 3 4 5 2" xfId="23411" xr:uid="{00000000-0005-0000-0000-0000EC9F0000}"/>
    <cellStyle name="Normal 2 3 3 3 4 6" xfId="9945" xr:uid="{00000000-0005-0000-0000-0000ED9F0000}"/>
    <cellStyle name="Normal 2 3 3 3 4 6 2" xfId="25094" xr:uid="{00000000-0005-0000-0000-0000EE9F0000}"/>
    <cellStyle name="Normal 2 3 3 3 4 7" xfId="11628" xr:uid="{00000000-0005-0000-0000-0000EF9F0000}"/>
    <cellStyle name="Normal 2 3 3 3 4 7 2" xfId="26777" xr:uid="{00000000-0005-0000-0000-0000F09F0000}"/>
    <cellStyle name="Normal 2 3 3 3 4 8" xfId="13312" xr:uid="{00000000-0005-0000-0000-0000F19F0000}"/>
    <cellStyle name="Normal 2 3 3 3 4 8 2" xfId="28461" xr:uid="{00000000-0005-0000-0000-0000F29F0000}"/>
    <cellStyle name="Normal 2 3 3 3 4 9" xfId="14995" xr:uid="{00000000-0005-0000-0000-0000F39F0000}"/>
    <cellStyle name="Normal 2 3 3 3 4 9 2" xfId="30144" xr:uid="{00000000-0005-0000-0000-0000F49F0000}"/>
    <cellStyle name="Normal 2 3 3 3 5" xfId="1950" xr:uid="{00000000-0005-0000-0000-0000F59F0000}"/>
    <cellStyle name="Normal 2 3 3 3 5 2" xfId="17099" xr:uid="{00000000-0005-0000-0000-0000F69F0000}"/>
    <cellStyle name="Normal 2 3 3 3 6" xfId="3634" xr:uid="{00000000-0005-0000-0000-0000F79F0000}"/>
    <cellStyle name="Normal 2 3 3 3 6 2" xfId="18783" xr:uid="{00000000-0005-0000-0000-0000F89F0000}"/>
    <cellStyle name="Normal 2 3 3 3 7" xfId="5317" xr:uid="{00000000-0005-0000-0000-0000F99F0000}"/>
    <cellStyle name="Normal 2 3 3 3 7 2" xfId="20466" xr:uid="{00000000-0005-0000-0000-0000FA9F0000}"/>
    <cellStyle name="Normal 2 3 3 3 8" xfId="7000" xr:uid="{00000000-0005-0000-0000-0000FB9F0000}"/>
    <cellStyle name="Normal 2 3 3 3 8 2" xfId="22149" xr:uid="{00000000-0005-0000-0000-0000FC9F0000}"/>
    <cellStyle name="Normal 2 3 3 3 9" xfId="8683" xr:uid="{00000000-0005-0000-0000-0000FD9F0000}"/>
    <cellStyle name="Normal 2 3 3 3 9 2" xfId="23832" xr:uid="{00000000-0005-0000-0000-0000FE9F0000}"/>
    <cellStyle name="Normal 2 3 3 30" xfId="53917" xr:uid="{00000000-0005-0000-0000-0000FF9F0000}"/>
    <cellStyle name="Normal 2 3 3 31" xfId="55600" xr:uid="{00000000-0005-0000-0000-000000A00000}"/>
    <cellStyle name="Normal 2 3 3 32" xfId="57283" xr:uid="{00000000-0005-0000-0000-000001A00000}"/>
    <cellStyle name="Normal 2 3 3 33" xfId="58966" xr:uid="{00000000-0005-0000-0000-000002A00000}"/>
    <cellStyle name="Normal 2 3 3 34" xfId="60649" xr:uid="{00000000-0005-0000-0000-000003A00000}"/>
    <cellStyle name="Normal 2 3 3 35" xfId="62332" xr:uid="{00000000-0005-0000-0000-000004A00000}"/>
    <cellStyle name="Normal 2 3 3 4" xfId="477" xr:uid="{00000000-0005-0000-0000-000005A00000}"/>
    <cellStyle name="Normal 2 3 3 4 10" xfId="15626" xr:uid="{00000000-0005-0000-0000-000006A00000}"/>
    <cellStyle name="Normal 2 3 3 4 11" xfId="30775" xr:uid="{00000000-0005-0000-0000-000007A00000}"/>
    <cellStyle name="Normal 2 3 3 4 12" xfId="32458" xr:uid="{00000000-0005-0000-0000-000008A00000}"/>
    <cellStyle name="Normal 2 3 3 4 13" xfId="34141" xr:uid="{00000000-0005-0000-0000-000009A00000}"/>
    <cellStyle name="Normal 2 3 3 4 14" xfId="35824" xr:uid="{00000000-0005-0000-0000-00000AA00000}"/>
    <cellStyle name="Normal 2 3 3 4 15" xfId="37507" xr:uid="{00000000-0005-0000-0000-00000BA00000}"/>
    <cellStyle name="Normal 2 3 3 4 16" xfId="39190" xr:uid="{00000000-0005-0000-0000-00000CA00000}"/>
    <cellStyle name="Normal 2 3 3 4 17" xfId="40873" xr:uid="{00000000-0005-0000-0000-00000DA00000}"/>
    <cellStyle name="Normal 2 3 3 4 18" xfId="42556" xr:uid="{00000000-0005-0000-0000-00000EA00000}"/>
    <cellStyle name="Normal 2 3 3 4 19" xfId="44239" xr:uid="{00000000-0005-0000-0000-00000FA00000}"/>
    <cellStyle name="Normal 2 3 3 4 2" xfId="2160" xr:uid="{00000000-0005-0000-0000-000010A00000}"/>
    <cellStyle name="Normal 2 3 3 4 2 2" xfId="17309" xr:uid="{00000000-0005-0000-0000-000011A00000}"/>
    <cellStyle name="Normal 2 3 3 4 20" xfId="45922" xr:uid="{00000000-0005-0000-0000-000012A00000}"/>
    <cellStyle name="Normal 2 3 3 4 21" xfId="47605" xr:uid="{00000000-0005-0000-0000-000013A00000}"/>
    <cellStyle name="Normal 2 3 3 4 22" xfId="49288" xr:uid="{00000000-0005-0000-0000-000014A00000}"/>
    <cellStyle name="Normal 2 3 3 4 23" xfId="50971" xr:uid="{00000000-0005-0000-0000-000015A00000}"/>
    <cellStyle name="Normal 2 3 3 4 24" xfId="52654" xr:uid="{00000000-0005-0000-0000-000016A00000}"/>
    <cellStyle name="Normal 2 3 3 4 25" xfId="54337" xr:uid="{00000000-0005-0000-0000-000017A00000}"/>
    <cellStyle name="Normal 2 3 3 4 26" xfId="56020" xr:uid="{00000000-0005-0000-0000-000018A00000}"/>
    <cellStyle name="Normal 2 3 3 4 27" xfId="57703" xr:uid="{00000000-0005-0000-0000-000019A00000}"/>
    <cellStyle name="Normal 2 3 3 4 28" xfId="59386" xr:uid="{00000000-0005-0000-0000-00001AA00000}"/>
    <cellStyle name="Normal 2 3 3 4 29" xfId="61069" xr:uid="{00000000-0005-0000-0000-00001BA00000}"/>
    <cellStyle name="Normal 2 3 3 4 3" xfId="3844" xr:uid="{00000000-0005-0000-0000-00001CA00000}"/>
    <cellStyle name="Normal 2 3 3 4 3 2" xfId="18993" xr:uid="{00000000-0005-0000-0000-00001DA00000}"/>
    <cellStyle name="Normal 2 3 3 4 30" xfId="62752" xr:uid="{00000000-0005-0000-0000-00001EA00000}"/>
    <cellStyle name="Normal 2 3 3 4 4" xfId="5527" xr:uid="{00000000-0005-0000-0000-00001FA00000}"/>
    <cellStyle name="Normal 2 3 3 4 4 2" xfId="20676" xr:uid="{00000000-0005-0000-0000-000020A00000}"/>
    <cellStyle name="Normal 2 3 3 4 5" xfId="7210" xr:uid="{00000000-0005-0000-0000-000021A00000}"/>
    <cellStyle name="Normal 2 3 3 4 5 2" xfId="22359" xr:uid="{00000000-0005-0000-0000-000022A00000}"/>
    <cellStyle name="Normal 2 3 3 4 6" xfId="8893" xr:uid="{00000000-0005-0000-0000-000023A00000}"/>
    <cellStyle name="Normal 2 3 3 4 6 2" xfId="24042" xr:uid="{00000000-0005-0000-0000-000024A00000}"/>
    <cellStyle name="Normal 2 3 3 4 7" xfId="10576" xr:uid="{00000000-0005-0000-0000-000025A00000}"/>
    <cellStyle name="Normal 2 3 3 4 7 2" xfId="25725" xr:uid="{00000000-0005-0000-0000-000026A00000}"/>
    <cellStyle name="Normal 2 3 3 4 8" xfId="12260" xr:uid="{00000000-0005-0000-0000-000027A00000}"/>
    <cellStyle name="Normal 2 3 3 4 8 2" xfId="27409" xr:uid="{00000000-0005-0000-0000-000028A00000}"/>
    <cellStyle name="Normal 2 3 3 4 9" xfId="13943" xr:uid="{00000000-0005-0000-0000-000029A00000}"/>
    <cellStyle name="Normal 2 3 3 4 9 2" xfId="29092" xr:uid="{00000000-0005-0000-0000-00002AA00000}"/>
    <cellStyle name="Normal 2 3 3 5" xfId="898" xr:uid="{00000000-0005-0000-0000-00002BA00000}"/>
    <cellStyle name="Normal 2 3 3 5 10" xfId="16047" xr:uid="{00000000-0005-0000-0000-00002CA00000}"/>
    <cellStyle name="Normal 2 3 3 5 11" xfId="31196" xr:uid="{00000000-0005-0000-0000-00002DA00000}"/>
    <cellStyle name="Normal 2 3 3 5 12" xfId="32879" xr:uid="{00000000-0005-0000-0000-00002EA00000}"/>
    <cellStyle name="Normal 2 3 3 5 13" xfId="34562" xr:uid="{00000000-0005-0000-0000-00002FA00000}"/>
    <cellStyle name="Normal 2 3 3 5 14" xfId="36245" xr:uid="{00000000-0005-0000-0000-000030A00000}"/>
    <cellStyle name="Normal 2 3 3 5 15" xfId="37928" xr:uid="{00000000-0005-0000-0000-000031A00000}"/>
    <cellStyle name="Normal 2 3 3 5 16" xfId="39611" xr:uid="{00000000-0005-0000-0000-000032A00000}"/>
    <cellStyle name="Normal 2 3 3 5 17" xfId="41294" xr:uid="{00000000-0005-0000-0000-000033A00000}"/>
    <cellStyle name="Normal 2 3 3 5 18" xfId="42977" xr:uid="{00000000-0005-0000-0000-000034A00000}"/>
    <cellStyle name="Normal 2 3 3 5 19" xfId="44660" xr:uid="{00000000-0005-0000-0000-000035A00000}"/>
    <cellStyle name="Normal 2 3 3 5 2" xfId="2581" xr:uid="{00000000-0005-0000-0000-000036A00000}"/>
    <cellStyle name="Normal 2 3 3 5 2 2" xfId="17730" xr:uid="{00000000-0005-0000-0000-000037A00000}"/>
    <cellStyle name="Normal 2 3 3 5 20" xfId="46343" xr:uid="{00000000-0005-0000-0000-000038A00000}"/>
    <cellStyle name="Normal 2 3 3 5 21" xfId="48026" xr:uid="{00000000-0005-0000-0000-000039A00000}"/>
    <cellStyle name="Normal 2 3 3 5 22" xfId="49709" xr:uid="{00000000-0005-0000-0000-00003AA00000}"/>
    <cellStyle name="Normal 2 3 3 5 23" xfId="51392" xr:uid="{00000000-0005-0000-0000-00003BA00000}"/>
    <cellStyle name="Normal 2 3 3 5 24" xfId="53075" xr:uid="{00000000-0005-0000-0000-00003CA00000}"/>
    <cellStyle name="Normal 2 3 3 5 25" xfId="54758" xr:uid="{00000000-0005-0000-0000-00003DA00000}"/>
    <cellStyle name="Normal 2 3 3 5 26" xfId="56441" xr:uid="{00000000-0005-0000-0000-00003EA00000}"/>
    <cellStyle name="Normal 2 3 3 5 27" xfId="58124" xr:uid="{00000000-0005-0000-0000-00003FA00000}"/>
    <cellStyle name="Normal 2 3 3 5 28" xfId="59807" xr:uid="{00000000-0005-0000-0000-000040A00000}"/>
    <cellStyle name="Normal 2 3 3 5 29" xfId="61490" xr:uid="{00000000-0005-0000-0000-000041A00000}"/>
    <cellStyle name="Normal 2 3 3 5 3" xfId="4265" xr:uid="{00000000-0005-0000-0000-000042A00000}"/>
    <cellStyle name="Normal 2 3 3 5 3 2" xfId="19414" xr:uid="{00000000-0005-0000-0000-000043A00000}"/>
    <cellStyle name="Normal 2 3 3 5 30" xfId="63173" xr:uid="{00000000-0005-0000-0000-000044A00000}"/>
    <cellStyle name="Normal 2 3 3 5 4" xfId="5948" xr:uid="{00000000-0005-0000-0000-000045A00000}"/>
    <cellStyle name="Normal 2 3 3 5 4 2" xfId="21097" xr:uid="{00000000-0005-0000-0000-000046A00000}"/>
    <cellStyle name="Normal 2 3 3 5 5" xfId="7631" xr:uid="{00000000-0005-0000-0000-000047A00000}"/>
    <cellStyle name="Normal 2 3 3 5 5 2" xfId="22780" xr:uid="{00000000-0005-0000-0000-000048A00000}"/>
    <cellStyle name="Normal 2 3 3 5 6" xfId="9314" xr:uid="{00000000-0005-0000-0000-000049A00000}"/>
    <cellStyle name="Normal 2 3 3 5 6 2" xfId="24463" xr:uid="{00000000-0005-0000-0000-00004AA00000}"/>
    <cellStyle name="Normal 2 3 3 5 7" xfId="10997" xr:uid="{00000000-0005-0000-0000-00004BA00000}"/>
    <cellStyle name="Normal 2 3 3 5 7 2" xfId="26146" xr:uid="{00000000-0005-0000-0000-00004CA00000}"/>
    <cellStyle name="Normal 2 3 3 5 8" xfId="12681" xr:uid="{00000000-0005-0000-0000-00004DA00000}"/>
    <cellStyle name="Normal 2 3 3 5 8 2" xfId="27830" xr:uid="{00000000-0005-0000-0000-00004EA00000}"/>
    <cellStyle name="Normal 2 3 3 5 9" xfId="14364" xr:uid="{00000000-0005-0000-0000-00004FA00000}"/>
    <cellStyle name="Normal 2 3 3 5 9 2" xfId="29513" xr:uid="{00000000-0005-0000-0000-000050A00000}"/>
    <cellStyle name="Normal 2 3 3 6" xfId="1319" xr:uid="{00000000-0005-0000-0000-000051A00000}"/>
    <cellStyle name="Normal 2 3 3 6 10" xfId="16468" xr:uid="{00000000-0005-0000-0000-000052A00000}"/>
    <cellStyle name="Normal 2 3 3 6 11" xfId="31617" xr:uid="{00000000-0005-0000-0000-000053A00000}"/>
    <cellStyle name="Normal 2 3 3 6 12" xfId="33300" xr:uid="{00000000-0005-0000-0000-000054A00000}"/>
    <cellStyle name="Normal 2 3 3 6 13" xfId="34983" xr:uid="{00000000-0005-0000-0000-000055A00000}"/>
    <cellStyle name="Normal 2 3 3 6 14" xfId="36666" xr:uid="{00000000-0005-0000-0000-000056A00000}"/>
    <cellStyle name="Normal 2 3 3 6 15" xfId="38349" xr:uid="{00000000-0005-0000-0000-000057A00000}"/>
    <cellStyle name="Normal 2 3 3 6 16" xfId="40032" xr:uid="{00000000-0005-0000-0000-000058A00000}"/>
    <cellStyle name="Normal 2 3 3 6 17" xfId="41715" xr:uid="{00000000-0005-0000-0000-000059A00000}"/>
    <cellStyle name="Normal 2 3 3 6 18" xfId="43398" xr:uid="{00000000-0005-0000-0000-00005AA00000}"/>
    <cellStyle name="Normal 2 3 3 6 19" xfId="45081" xr:uid="{00000000-0005-0000-0000-00005BA00000}"/>
    <cellStyle name="Normal 2 3 3 6 2" xfId="3002" xr:uid="{00000000-0005-0000-0000-00005CA00000}"/>
    <cellStyle name="Normal 2 3 3 6 2 2" xfId="18151" xr:uid="{00000000-0005-0000-0000-00005DA00000}"/>
    <cellStyle name="Normal 2 3 3 6 20" xfId="46764" xr:uid="{00000000-0005-0000-0000-00005EA00000}"/>
    <cellStyle name="Normal 2 3 3 6 21" xfId="48447" xr:uid="{00000000-0005-0000-0000-00005FA00000}"/>
    <cellStyle name="Normal 2 3 3 6 22" xfId="50130" xr:uid="{00000000-0005-0000-0000-000060A00000}"/>
    <cellStyle name="Normal 2 3 3 6 23" xfId="51813" xr:uid="{00000000-0005-0000-0000-000061A00000}"/>
    <cellStyle name="Normal 2 3 3 6 24" xfId="53496" xr:uid="{00000000-0005-0000-0000-000062A00000}"/>
    <cellStyle name="Normal 2 3 3 6 25" xfId="55179" xr:uid="{00000000-0005-0000-0000-000063A00000}"/>
    <cellStyle name="Normal 2 3 3 6 26" xfId="56862" xr:uid="{00000000-0005-0000-0000-000064A00000}"/>
    <cellStyle name="Normal 2 3 3 6 27" xfId="58545" xr:uid="{00000000-0005-0000-0000-000065A00000}"/>
    <cellStyle name="Normal 2 3 3 6 28" xfId="60228" xr:uid="{00000000-0005-0000-0000-000066A00000}"/>
    <cellStyle name="Normal 2 3 3 6 29" xfId="61911" xr:uid="{00000000-0005-0000-0000-000067A00000}"/>
    <cellStyle name="Normal 2 3 3 6 3" xfId="4686" xr:uid="{00000000-0005-0000-0000-000068A00000}"/>
    <cellStyle name="Normal 2 3 3 6 3 2" xfId="19835" xr:uid="{00000000-0005-0000-0000-000069A00000}"/>
    <cellStyle name="Normal 2 3 3 6 30" xfId="63594" xr:uid="{00000000-0005-0000-0000-00006AA00000}"/>
    <cellStyle name="Normal 2 3 3 6 4" xfId="6369" xr:uid="{00000000-0005-0000-0000-00006BA00000}"/>
    <cellStyle name="Normal 2 3 3 6 4 2" xfId="21518" xr:uid="{00000000-0005-0000-0000-00006CA00000}"/>
    <cellStyle name="Normal 2 3 3 6 5" xfId="8052" xr:uid="{00000000-0005-0000-0000-00006DA00000}"/>
    <cellStyle name="Normal 2 3 3 6 5 2" xfId="23201" xr:uid="{00000000-0005-0000-0000-00006EA00000}"/>
    <cellStyle name="Normal 2 3 3 6 6" xfId="9735" xr:uid="{00000000-0005-0000-0000-00006FA00000}"/>
    <cellStyle name="Normal 2 3 3 6 6 2" xfId="24884" xr:uid="{00000000-0005-0000-0000-000070A00000}"/>
    <cellStyle name="Normal 2 3 3 6 7" xfId="11418" xr:uid="{00000000-0005-0000-0000-000071A00000}"/>
    <cellStyle name="Normal 2 3 3 6 7 2" xfId="26567" xr:uid="{00000000-0005-0000-0000-000072A00000}"/>
    <cellStyle name="Normal 2 3 3 6 8" xfId="13102" xr:uid="{00000000-0005-0000-0000-000073A00000}"/>
    <cellStyle name="Normal 2 3 3 6 8 2" xfId="28251" xr:uid="{00000000-0005-0000-0000-000074A00000}"/>
    <cellStyle name="Normal 2 3 3 6 9" xfId="14785" xr:uid="{00000000-0005-0000-0000-000075A00000}"/>
    <cellStyle name="Normal 2 3 3 6 9 2" xfId="29934" xr:uid="{00000000-0005-0000-0000-000076A00000}"/>
    <cellStyle name="Normal 2 3 3 7" xfId="1740" xr:uid="{00000000-0005-0000-0000-000077A00000}"/>
    <cellStyle name="Normal 2 3 3 7 2" xfId="16889" xr:uid="{00000000-0005-0000-0000-000078A00000}"/>
    <cellStyle name="Normal 2 3 3 8" xfId="3424" xr:uid="{00000000-0005-0000-0000-000079A00000}"/>
    <cellStyle name="Normal 2 3 3 8 2" xfId="18573" xr:uid="{00000000-0005-0000-0000-00007AA00000}"/>
    <cellStyle name="Normal 2 3 3 9" xfId="5107" xr:uid="{00000000-0005-0000-0000-00007BA00000}"/>
    <cellStyle name="Normal 2 3 3 9 2" xfId="20256" xr:uid="{00000000-0005-0000-0000-00007CA00000}"/>
    <cellStyle name="Normal 2 3 30" xfId="47163" xr:uid="{00000000-0005-0000-0000-00007DA00000}"/>
    <cellStyle name="Normal 2 3 31" xfId="48846" xr:uid="{00000000-0005-0000-0000-00007EA00000}"/>
    <cellStyle name="Normal 2 3 32" xfId="50529" xr:uid="{00000000-0005-0000-0000-00007FA00000}"/>
    <cellStyle name="Normal 2 3 33" xfId="52212" xr:uid="{00000000-0005-0000-0000-000080A00000}"/>
    <cellStyle name="Normal 2 3 34" xfId="53895" xr:uid="{00000000-0005-0000-0000-000081A00000}"/>
    <cellStyle name="Normal 2 3 35" xfId="55578" xr:uid="{00000000-0005-0000-0000-000082A00000}"/>
    <cellStyle name="Normal 2 3 36" xfId="57261" xr:uid="{00000000-0005-0000-0000-000083A00000}"/>
    <cellStyle name="Normal 2 3 37" xfId="58944" xr:uid="{00000000-0005-0000-0000-000084A00000}"/>
    <cellStyle name="Normal 2 3 38" xfId="60627" xr:uid="{00000000-0005-0000-0000-000085A00000}"/>
    <cellStyle name="Normal 2 3 39" xfId="62310" xr:uid="{00000000-0005-0000-0000-000086A00000}"/>
    <cellStyle name="Normal 2 3 4" xfId="44" xr:uid="{00000000-0005-0000-0000-000087A00000}"/>
    <cellStyle name="Normal 2 3 4 10" xfId="6799" xr:uid="{00000000-0005-0000-0000-000088A00000}"/>
    <cellStyle name="Normal 2 3 4 10 2" xfId="21948" xr:uid="{00000000-0005-0000-0000-000089A00000}"/>
    <cellStyle name="Normal 2 3 4 11" xfId="8482" xr:uid="{00000000-0005-0000-0000-00008AA00000}"/>
    <cellStyle name="Normal 2 3 4 11 2" xfId="23631" xr:uid="{00000000-0005-0000-0000-00008BA00000}"/>
    <cellStyle name="Normal 2 3 4 12" xfId="10165" xr:uid="{00000000-0005-0000-0000-00008CA00000}"/>
    <cellStyle name="Normal 2 3 4 12 2" xfId="25314" xr:uid="{00000000-0005-0000-0000-00008DA00000}"/>
    <cellStyle name="Normal 2 3 4 13" xfId="11849" xr:uid="{00000000-0005-0000-0000-00008EA00000}"/>
    <cellStyle name="Normal 2 3 4 13 2" xfId="26998" xr:uid="{00000000-0005-0000-0000-00008FA00000}"/>
    <cellStyle name="Normal 2 3 4 14" xfId="13532" xr:uid="{00000000-0005-0000-0000-000090A00000}"/>
    <cellStyle name="Normal 2 3 4 14 2" xfId="28681" xr:uid="{00000000-0005-0000-0000-000091A00000}"/>
    <cellStyle name="Normal 2 3 4 15" xfId="15215" xr:uid="{00000000-0005-0000-0000-000092A00000}"/>
    <cellStyle name="Normal 2 3 4 16" xfId="30364" xr:uid="{00000000-0005-0000-0000-000093A00000}"/>
    <cellStyle name="Normal 2 3 4 17" xfId="32047" xr:uid="{00000000-0005-0000-0000-000094A00000}"/>
    <cellStyle name="Normal 2 3 4 18" xfId="33730" xr:uid="{00000000-0005-0000-0000-000095A00000}"/>
    <cellStyle name="Normal 2 3 4 19" xfId="35413" xr:uid="{00000000-0005-0000-0000-000096A00000}"/>
    <cellStyle name="Normal 2 3 4 2" xfId="171" xr:uid="{00000000-0005-0000-0000-000097A00000}"/>
    <cellStyle name="Normal 2 3 4 2 10" xfId="8587" xr:uid="{00000000-0005-0000-0000-000098A00000}"/>
    <cellStyle name="Normal 2 3 4 2 10 2" xfId="23736" xr:uid="{00000000-0005-0000-0000-000099A00000}"/>
    <cellStyle name="Normal 2 3 4 2 11" xfId="10270" xr:uid="{00000000-0005-0000-0000-00009AA00000}"/>
    <cellStyle name="Normal 2 3 4 2 11 2" xfId="25419" xr:uid="{00000000-0005-0000-0000-00009BA00000}"/>
    <cellStyle name="Normal 2 3 4 2 12" xfId="11954" xr:uid="{00000000-0005-0000-0000-00009CA00000}"/>
    <cellStyle name="Normal 2 3 4 2 12 2" xfId="27103" xr:uid="{00000000-0005-0000-0000-00009DA00000}"/>
    <cellStyle name="Normal 2 3 4 2 13" xfId="13637" xr:uid="{00000000-0005-0000-0000-00009EA00000}"/>
    <cellStyle name="Normal 2 3 4 2 13 2" xfId="28786" xr:uid="{00000000-0005-0000-0000-00009FA00000}"/>
    <cellStyle name="Normal 2 3 4 2 14" xfId="15320" xr:uid="{00000000-0005-0000-0000-0000A0A00000}"/>
    <cellStyle name="Normal 2 3 4 2 15" xfId="30469" xr:uid="{00000000-0005-0000-0000-0000A1A00000}"/>
    <cellStyle name="Normal 2 3 4 2 16" xfId="32152" xr:uid="{00000000-0005-0000-0000-0000A2A00000}"/>
    <cellStyle name="Normal 2 3 4 2 17" xfId="33835" xr:uid="{00000000-0005-0000-0000-0000A3A00000}"/>
    <cellStyle name="Normal 2 3 4 2 18" xfId="35518" xr:uid="{00000000-0005-0000-0000-0000A4A00000}"/>
    <cellStyle name="Normal 2 3 4 2 19" xfId="37201" xr:uid="{00000000-0005-0000-0000-0000A5A00000}"/>
    <cellStyle name="Normal 2 3 4 2 2" xfId="381" xr:uid="{00000000-0005-0000-0000-0000A6A00000}"/>
    <cellStyle name="Normal 2 3 4 2 2 10" xfId="10480" xr:uid="{00000000-0005-0000-0000-0000A7A00000}"/>
    <cellStyle name="Normal 2 3 4 2 2 10 2" xfId="25629" xr:uid="{00000000-0005-0000-0000-0000A8A00000}"/>
    <cellStyle name="Normal 2 3 4 2 2 11" xfId="12164" xr:uid="{00000000-0005-0000-0000-0000A9A00000}"/>
    <cellStyle name="Normal 2 3 4 2 2 11 2" xfId="27313" xr:uid="{00000000-0005-0000-0000-0000AAA00000}"/>
    <cellStyle name="Normal 2 3 4 2 2 12" xfId="13847" xr:uid="{00000000-0005-0000-0000-0000ABA00000}"/>
    <cellStyle name="Normal 2 3 4 2 2 12 2" xfId="28996" xr:uid="{00000000-0005-0000-0000-0000ACA00000}"/>
    <cellStyle name="Normal 2 3 4 2 2 13" xfId="15530" xr:uid="{00000000-0005-0000-0000-0000ADA00000}"/>
    <cellStyle name="Normal 2 3 4 2 2 14" xfId="30679" xr:uid="{00000000-0005-0000-0000-0000AEA00000}"/>
    <cellStyle name="Normal 2 3 4 2 2 15" xfId="32362" xr:uid="{00000000-0005-0000-0000-0000AFA00000}"/>
    <cellStyle name="Normal 2 3 4 2 2 16" xfId="34045" xr:uid="{00000000-0005-0000-0000-0000B0A00000}"/>
    <cellStyle name="Normal 2 3 4 2 2 17" xfId="35728" xr:uid="{00000000-0005-0000-0000-0000B1A00000}"/>
    <cellStyle name="Normal 2 3 4 2 2 18" xfId="37411" xr:uid="{00000000-0005-0000-0000-0000B2A00000}"/>
    <cellStyle name="Normal 2 3 4 2 2 19" xfId="39094" xr:uid="{00000000-0005-0000-0000-0000B3A00000}"/>
    <cellStyle name="Normal 2 3 4 2 2 2" xfId="801" xr:uid="{00000000-0005-0000-0000-0000B4A00000}"/>
    <cellStyle name="Normal 2 3 4 2 2 2 10" xfId="15950" xr:uid="{00000000-0005-0000-0000-0000B5A00000}"/>
    <cellStyle name="Normal 2 3 4 2 2 2 11" xfId="31099" xr:uid="{00000000-0005-0000-0000-0000B6A00000}"/>
    <cellStyle name="Normal 2 3 4 2 2 2 12" xfId="32782" xr:uid="{00000000-0005-0000-0000-0000B7A00000}"/>
    <cellStyle name="Normal 2 3 4 2 2 2 13" xfId="34465" xr:uid="{00000000-0005-0000-0000-0000B8A00000}"/>
    <cellStyle name="Normal 2 3 4 2 2 2 14" xfId="36148" xr:uid="{00000000-0005-0000-0000-0000B9A00000}"/>
    <cellStyle name="Normal 2 3 4 2 2 2 15" xfId="37831" xr:uid="{00000000-0005-0000-0000-0000BAA00000}"/>
    <cellStyle name="Normal 2 3 4 2 2 2 16" xfId="39514" xr:uid="{00000000-0005-0000-0000-0000BBA00000}"/>
    <cellStyle name="Normal 2 3 4 2 2 2 17" xfId="41197" xr:uid="{00000000-0005-0000-0000-0000BCA00000}"/>
    <cellStyle name="Normal 2 3 4 2 2 2 18" xfId="42880" xr:uid="{00000000-0005-0000-0000-0000BDA00000}"/>
    <cellStyle name="Normal 2 3 4 2 2 2 19" xfId="44563" xr:uid="{00000000-0005-0000-0000-0000BEA00000}"/>
    <cellStyle name="Normal 2 3 4 2 2 2 2" xfId="2484" xr:uid="{00000000-0005-0000-0000-0000BFA00000}"/>
    <cellStyle name="Normal 2 3 4 2 2 2 2 2" xfId="17633" xr:uid="{00000000-0005-0000-0000-0000C0A00000}"/>
    <cellStyle name="Normal 2 3 4 2 2 2 20" xfId="46246" xr:uid="{00000000-0005-0000-0000-0000C1A00000}"/>
    <cellStyle name="Normal 2 3 4 2 2 2 21" xfId="47929" xr:uid="{00000000-0005-0000-0000-0000C2A00000}"/>
    <cellStyle name="Normal 2 3 4 2 2 2 22" xfId="49612" xr:uid="{00000000-0005-0000-0000-0000C3A00000}"/>
    <cellStyle name="Normal 2 3 4 2 2 2 23" xfId="51295" xr:uid="{00000000-0005-0000-0000-0000C4A00000}"/>
    <cellStyle name="Normal 2 3 4 2 2 2 24" xfId="52978" xr:uid="{00000000-0005-0000-0000-0000C5A00000}"/>
    <cellStyle name="Normal 2 3 4 2 2 2 25" xfId="54661" xr:uid="{00000000-0005-0000-0000-0000C6A00000}"/>
    <cellStyle name="Normal 2 3 4 2 2 2 26" xfId="56344" xr:uid="{00000000-0005-0000-0000-0000C7A00000}"/>
    <cellStyle name="Normal 2 3 4 2 2 2 27" xfId="58027" xr:uid="{00000000-0005-0000-0000-0000C8A00000}"/>
    <cellStyle name="Normal 2 3 4 2 2 2 28" xfId="59710" xr:uid="{00000000-0005-0000-0000-0000C9A00000}"/>
    <cellStyle name="Normal 2 3 4 2 2 2 29" xfId="61393" xr:uid="{00000000-0005-0000-0000-0000CAA00000}"/>
    <cellStyle name="Normal 2 3 4 2 2 2 3" xfId="4168" xr:uid="{00000000-0005-0000-0000-0000CBA00000}"/>
    <cellStyle name="Normal 2 3 4 2 2 2 3 2" xfId="19317" xr:uid="{00000000-0005-0000-0000-0000CCA00000}"/>
    <cellStyle name="Normal 2 3 4 2 2 2 30" xfId="63076" xr:uid="{00000000-0005-0000-0000-0000CDA00000}"/>
    <cellStyle name="Normal 2 3 4 2 2 2 4" xfId="5851" xr:uid="{00000000-0005-0000-0000-0000CEA00000}"/>
    <cellStyle name="Normal 2 3 4 2 2 2 4 2" xfId="21000" xr:uid="{00000000-0005-0000-0000-0000CFA00000}"/>
    <cellStyle name="Normal 2 3 4 2 2 2 5" xfId="7534" xr:uid="{00000000-0005-0000-0000-0000D0A00000}"/>
    <cellStyle name="Normal 2 3 4 2 2 2 5 2" xfId="22683" xr:uid="{00000000-0005-0000-0000-0000D1A00000}"/>
    <cellStyle name="Normal 2 3 4 2 2 2 6" xfId="9217" xr:uid="{00000000-0005-0000-0000-0000D2A00000}"/>
    <cellStyle name="Normal 2 3 4 2 2 2 6 2" xfId="24366" xr:uid="{00000000-0005-0000-0000-0000D3A00000}"/>
    <cellStyle name="Normal 2 3 4 2 2 2 7" xfId="10900" xr:uid="{00000000-0005-0000-0000-0000D4A00000}"/>
    <cellStyle name="Normal 2 3 4 2 2 2 7 2" xfId="26049" xr:uid="{00000000-0005-0000-0000-0000D5A00000}"/>
    <cellStyle name="Normal 2 3 4 2 2 2 8" xfId="12584" xr:uid="{00000000-0005-0000-0000-0000D6A00000}"/>
    <cellStyle name="Normal 2 3 4 2 2 2 8 2" xfId="27733" xr:uid="{00000000-0005-0000-0000-0000D7A00000}"/>
    <cellStyle name="Normal 2 3 4 2 2 2 9" xfId="14267" xr:uid="{00000000-0005-0000-0000-0000D8A00000}"/>
    <cellStyle name="Normal 2 3 4 2 2 2 9 2" xfId="29416" xr:uid="{00000000-0005-0000-0000-0000D9A00000}"/>
    <cellStyle name="Normal 2 3 4 2 2 20" xfId="40777" xr:uid="{00000000-0005-0000-0000-0000DAA00000}"/>
    <cellStyle name="Normal 2 3 4 2 2 21" xfId="42460" xr:uid="{00000000-0005-0000-0000-0000DBA00000}"/>
    <cellStyle name="Normal 2 3 4 2 2 22" xfId="44143" xr:uid="{00000000-0005-0000-0000-0000DCA00000}"/>
    <cellStyle name="Normal 2 3 4 2 2 23" xfId="45826" xr:uid="{00000000-0005-0000-0000-0000DDA00000}"/>
    <cellStyle name="Normal 2 3 4 2 2 24" xfId="47509" xr:uid="{00000000-0005-0000-0000-0000DEA00000}"/>
    <cellStyle name="Normal 2 3 4 2 2 25" xfId="49192" xr:uid="{00000000-0005-0000-0000-0000DFA00000}"/>
    <cellStyle name="Normal 2 3 4 2 2 26" xfId="50875" xr:uid="{00000000-0005-0000-0000-0000E0A00000}"/>
    <cellStyle name="Normal 2 3 4 2 2 27" xfId="52558" xr:uid="{00000000-0005-0000-0000-0000E1A00000}"/>
    <cellStyle name="Normal 2 3 4 2 2 28" xfId="54241" xr:uid="{00000000-0005-0000-0000-0000E2A00000}"/>
    <cellStyle name="Normal 2 3 4 2 2 29" xfId="55924" xr:uid="{00000000-0005-0000-0000-0000E3A00000}"/>
    <cellStyle name="Normal 2 3 4 2 2 3" xfId="1222" xr:uid="{00000000-0005-0000-0000-0000E4A00000}"/>
    <cellStyle name="Normal 2 3 4 2 2 3 10" xfId="16371" xr:uid="{00000000-0005-0000-0000-0000E5A00000}"/>
    <cellStyle name="Normal 2 3 4 2 2 3 11" xfId="31520" xr:uid="{00000000-0005-0000-0000-0000E6A00000}"/>
    <cellStyle name="Normal 2 3 4 2 2 3 12" xfId="33203" xr:uid="{00000000-0005-0000-0000-0000E7A00000}"/>
    <cellStyle name="Normal 2 3 4 2 2 3 13" xfId="34886" xr:uid="{00000000-0005-0000-0000-0000E8A00000}"/>
    <cellStyle name="Normal 2 3 4 2 2 3 14" xfId="36569" xr:uid="{00000000-0005-0000-0000-0000E9A00000}"/>
    <cellStyle name="Normal 2 3 4 2 2 3 15" xfId="38252" xr:uid="{00000000-0005-0000-0000-0000EAA00000}"/>
    <cellStyle name="Normal 2 3 4 2 2 3 16" xfId="39935" xr:uid="{00000000-0005-0000-0000-0000EBA00000}"/>
    <cellStyle name="Normal 2 3 4 2 2 3 17" xfId="41618" xr:uid="{00000000-0005-0000-0000-0000ECA00000}"/>
    <cellStyle name="Normal 2 3 4 2 2 3 18" xfId="43301" xr:uid="{00000000-0005-0000-0000-0000EDA00000}"/>
    <cellStyle name="Normal 2 3 4 2 2 3 19" xfId="44984" xr:uid="{00000000-0005-0000-0000-0000EEA00000}"/>
    <cellStyle name="Normal 2 3 4 2 2 3 2" xfId="2905" xr:uid="{00000000-0005-0000-0000-0000EFA00000}"/>
    <cellStyle name="Normal 2 3 4 2 2 3 2 2" xfId="18054" xr:uid="{00000000-0005-0000-0000-0000F0A00000}"/>
    <cellStyle name="Normal 2 3 4 2 2 3 20" xfId="46667" xr:uid="{00000000-0005-0000-0000-0000F1A00000}"/>
    <cellStyle name="Normal 2 3 4 2 2 3 21" xfId="48350" xr:uid="{00000000-0005-0000-0000-0000F2A00000}"/>
    <cellStyle name="Normal 2 3 4 2 2 3 22" xfId="50033" xr:uid="{00000000-0005-0000-0000-0000F3A00000}"/>
    <cellStyle name="Normal 2 3 4 2 2 3 23" xfId="51716" xr:uid="{00000000-0005-0000-0000-0000F4A00000}"/>
    <cellStyle name="Normal 2 3 4 2 2 3 24" xfId="53399" xr:uid="{00000000-0005-0000-0000-0000F5A00000}"/>
    <cellStyle name="Normal 2 3 4 2 2 3 25" xfId="55082" xr:uid="{00000000-0005-0000-0000-0000F6A00000}"/>
    <cellStyle name="Normal 2 3 4 2 2 3 26" xfId="56765" xr:uid="{00000000-0005-0000-0000-0000F7A00000}"/>
    <cellStyle name="Normal 2 3 4 2 2 3 27" xfId="58448" xr:uid="{00000000-0005-0000-0000-0000F8A00000}"/>
    <cellStyle name="Normal 2 3 4 2 2 3 28" xfId="60131" xr:uid="{00000000-0005-0000-0000-0000F9A00000}"/>
    <cellStyle name="Normal 2 3 4 2 2 3 29" xfId="61814" xr:uid="{00000000-0005-0000-0000-0000FAA00000}"/>
    <cellStyle name="Normal 2 3 4 2 2 3 3" xfId="4589" xr:uid="{00000000-0005-0000-0000-0000FBA00000}"/>
    <cellStyle name="Normal 2 3 4 2 2 3 3 2" xfId="19738" xr:uid="{00000000-0005-0000-0000-0000FCA00000}"/>
    <cellStyle name="Normal 2 3 4 2 2 3 30" xfId="63497" xr:uid="{00000000-0005-0000-0000-0000FDA00000}"/>
    <cellStyle name="Normal 2 3 4 2 2 3 4" xfId="6272" xr:uid="{00000000-0005-0000-0000-0000FEA00000}"/>
    <cellStyle name="Normal 2 3 4 2 2 3 4 2" xfId="21421" xr:uid="{00000000-0005-0000-0000-0000FFA00000}"/>
    <cellStyle name="Normal 2 3 4 2 2 3 5" xfId="7955" xr:uid="{00000000-0005-0000-0000-000000A10000}"/>
    <cellStyle name="Normal 2 3 4 2 2 3 5 2" xfId="23104" xr:uid="{00000000-0005-0000-0000-000001A10000}"/>
    <cellStyle name="Normal 2 3 4 2 2 3 6" xfId="9638" xr:uid="{00000000-0005-0000-0000-000002A10000}"/>
    <cellStyle name="Normal 2 3 4 2 2 3 6 2" xfId="24787" xr:uid="{00000000-0005-0000-0000-000003A10000}"/>
    <cellStyle name="Normal 2 3 4 2 2 3 7" xfId="11321" xr:uid="{00000000-0005-0000-0000-000004A10000}"/>
    <cellStyle name="Normal 2 3 4 2 2 3 7 2" xfId="26470" xr:uid="{00000000-0005-0000-0000-000005A10000}"/>
    <cellStyle name="Normal 2 3 4 2 2 3 8" xfId="13005" xr:uid="{00000000-0005-0000-0000-000006A10000}"/>
    <cellStyle name="Normal 2 3 4 2 2 3 8 2" xfId="28154" xr:uid="{00000000-0005-0000-0000-000007A10000}"/>
    <cellStyle name="Normal 2 3 4 2 2 3 9" xfId="14688" xr:uid="{00000000-0005-0000-0000-000008A10000}"/>
    <cellStyle name="Normal 2 3 4 2 2 3 9 2" xfId="29837" xr:uid="{00000000-0005-0000-0000-000009A10000}"/>
    <cellStyle name="Normal 2 3 4 2 2 30" xfId="57607" xr:uid="{00000000-0005-0000-0000-00000AA10000}"/>
    <cellStyle name="Normal 2 3 4 2 2 31" xfId="59290" xr:uid="{00000000-0005-0000-0000-00000BA10000}"/>
    <cellStyle name="Normal 2 3 4 2 2 32" xfId="60973" xr:uid="{00000000-0005-0000-0000-00000CA10000}"/>
    <cellStyle name="Normal 2 3 4 2 2 33" xfId="62656" xr:uid="{00000000-0005-0000-0000-00000DA10000}"/>
    <cellStyle name="Normal 2 3 4 2 2 4" xfId="1643" xr:uid="{00000000-0005-0000-0000-00000EA10000}"/>
    <cellStyle name="Normal 2 3 4 2 2 4 10" xfId="16792" xr:uid="{00000000-0005-0000-0000-00000FA10000}"/>
    <cellStyle name="Normal 2 3 4 2 2 4 11" xfId="31941" xr:uid="{00000000-0005-0000-0000-000010A10000}"/>
    <cellStyle name="Normal 2 3 4 2 2 4 12" xfId="33624" xr:uid="{00000000-0005-0000-0000-000011A10000}"/>
    <cellStyle name="Normal 2 3 4 2 2 4 13" xfId="35307" xr:uid="{00000000-0005-0000-0000-000012A10000}"/>
    <cellStyle name="Normal 2 3 4 2 2 4 14" xfId="36990" xr:uid="{00000000-0005-0000-0000-000013A10000}"/>
    <cellStyle name="Normal 2 3 4 2 2 4 15" xfId="38673" xr:uid="{00000000-0005-0000-0000-000014A10000}"/>
    <cellStyle name="Normal 2 3 4 2 2 4 16" xfId="40356" xr:uid="{00000000-0005-0000-0000-000015A10000}"/>
    <cellStyle name="Normal 2 3 4 2 2 4 17" xfId="42039" xr:uid="{00000000-0005-0000-0000-000016A10000}"/>
    <cellStyle name="Normal 2 3 4 2 2 4 18" xfId="43722" xr:uid="{00000000-0005-0000-0000-000017A10000}"/>
    <cellStyle name="Normal 2 3 4 2 2 4 19" xfId="45405" xr:uid="{00000000-0005-0000-0000-000018A10000}"/>
    <cellStyle name="Normal 2 3 4 2 2 4 2" xfId="3326" xr:uid="{00000000-0005-0000-0000-000019A10000}"/>
    <cellStyle name="Normal 2 3 4 2 2 4 2 2" xfId="18475" xr:uid="{00000000-0005-0000-0000-00001AA10000}"/>
    <cellStyle name="Normal 2 3 4 2 2 4 20" xfId="47088" xr:uid="{00000000-0005-0000-0000-00001BA10000}"/>
    <cellStyle name="Normal 2 3 4 2 2 4 21" xfId="48771" xr:uid="{00000000-0005-0000-0000-00001CA10000}"/>
    <cellStyle name="Normal 2 3 4 2 2 4 22" xfId="50454" xr:uid="{00000000-0005-0000-0000-00001DA10000}"/>
    <cellStyle name="Normal 2 3 4 2 2 4 23" xfId="52137" xr:uid="{00000000-0005-0000-0000-00001EA10000}"/>
    <cellStyle name="Normal 2 3 4 2 2 4 24" xfId="53820" xr:uid="{00000000-0005-0000-0000-00001FA10000}"/>
    <cellStyle name="Normal 2 3 4 2 2 4 25" xfId="55503" xr:uid="{00000000-0005-0000-0000-000020A10000}"/>
    <cellStyle name="Normal 2 3 4 2 2 4 26" xfId="57186" xr:uid="{00000000-0005-0000-0000-000021A10000}"/>
    <cellStyle name="Normal 2 3 4 2 2 4 27" xfId="58869" xr:uid="{00000000-0005-0000-0000-000022A10000}"/>
    <cellStyle name="Normal 2 3 4 2 2 4 28" xfId="60552" xr:uid="{00000000-0005-0000-0000-000023A10000}"/>
    <cellStyle name="Normal 2 3 4 2 2 4 29" xfId="62235" xr:uid="{00000000-0005-0000-0000-000024A10000}"/>
    <cellStyle name="Normal 2 3 4 2 2 4 3" xfId="5010" xr:uid="{00000000-0005-0000-0000-000025A10000}"/>
    <cellStyle name="Normal 2 3 4 2 2 4 3 2" xfId="20159" xr:uid="{00000000-0005-0000-0000-000026A10000}"/>
    <cellStyle name="Normal 2 3 4 2 2 4 30" xfId="63918" xr:uid="{00000000-0005-0000-0000-000027A10000}"/>
    <cellStyle name="Normal 2 3 4 2 2 4 4" xfId="6693" xr:uid="{00000000-0005-0000-0000-000028A10000}"/>
    <cellStyle name="Normal 2 3 4 2 2 4 4 2" xfId="21842" xr:uid="{00000000-0005-0000-0000-000029A10000}"/>
    <cellStyle name="Normal 2 3 4 2 2 4 5" xfId="8376" xr:uid="{00000000-0005-0000-0000-00002AA10000}"/>
    <cellStyle name="Normal 2 3 4 2 2 4 5 2" xfId="23525" xr:uid="{00000000-0005-0000-0000-00002BA10000}"/>
    <cellStyle name="Normal 2 3 4 2 2 4 6" xfId="10059" xr:uid="{00000000-0005-0000-0000-00002CA10000}"/>
    <cellStyle name="Normal 2 3 4 2 2 4 6 2" xfId="25208" xr:uid="{00000000-0005-0000-0000-00002DA10000}"/>
    <cellStyle name="Normal 2 3 4 2 2 4 7" xfId="11742" xr:uid="{00000000-0005-0000-0000-00002EA10000}"/>
    <cellStyle name="Normal 2 3 4 2 2 4 7 2" xfId="26891" xr:uid="{00000000-0005-0000-0000-00002FA10000}"/>
    <cellStyle name="Normal 2 3 4 2 2 4 8" xfId="13426" xr:uid="{00000000-0005-0000-0000-000030A10000}"/>
    <cellStyle name="Normal 2 3 4 2 2 4 8 2" xfId="28575" xr:uid="{00000000-0005-0000-0000-000031A10000}"/>
    <cellStyle name="Normal 2 3 4 2 2 4 9" xfId="15109" xr:uid="{00000000-0005-0000-0000-000032A10000}"/>
    <cellStyle name="Normal 2 3 4 2 2 4 9 2" xfId="30258" xr:uid="{00000000-0005-0000-0000-000033A10000}"/>
    <cellStyle name="Normal 2 3 4 2 2 5" xfId="2064" xr:uid="{00000000-0005-0000-0000-000034A10000}"/>
    <cellStyle name="Normal 2 3 4 2 2 5 2" xfId="17213" xr:uid="{00000000-0005-0000-0000-000035A10000}"/>
    <cellStyle name="Normal 2 3 4 2 2 6" xfId="3748" xr:uid="{00000000-0005-0000-0000-000036A10000}"/>
    <cellStyle name="Normal 2 3 4 2 2 6 2" xfId="18897" xr:uid="{00000000-0005-0000-0000-000037A10000}"/>
    <cellStyle name="Normal 2 3 4 2 2 7" xfId="5431" xr:uid="{00000000-0005-0000-0000-000038A10000}"/>
    <cellStyle name="Normal 2 3 4 2 2 7 2" xfId="20580" xr:uid="{00000000-0005-0000-0000-000039A10000}"/>
    <cellStyle name="Normal 2 3 4 2 2 8" xfId="7114" xr:uid="{00000000-0005-0000-0000-00003AA10000}"/>
    <cellStyle name="Normal 2 3 4 2 2 8 2" xfId="22263" xr:uid="{00000000-0005-0000-0000-00003BA10000}"/>
    <cellStyle name="Normal 2 3 4 2 2 9" xfId="8797" xr:uid="{00000000-0005-0000-0000-00003CA10000}"/>
    <cellStyle name="Normal 2 3 4 2 2 9 2" xfId="23946" xr:uid="{00000000-0005-0000-0000-00003DA10000}"/>
    <cellStyle name="Normal 2 3 4 2 20" xfId="38884" xr:uid="{00000000-0005-0000-0000-00003EA10000}"/>
    <cellStyle name="Normal 2 3 4 2 21" xfId="40567" xr:uid="{00000000-0005-0000-0000-00003FA10000}"/>
    <cellStyle name="Normal 2 3 4 2 22" xfId="42250" xr:uid="{00000000-0005-0000-0000-000040A10000}"/>
    <cellStyle name="Normal 2 3 4 2 23" xfId="43933" xr:uid="{00000000-0005-0000-0000-000041A10000}"/>
    <cellStyle name="Normal 2 3 4 2 24" xfId="45616" xr:uid="{00000000-0005-0000-0000-000042A10000}"/>
    <cellStyle name="Normal 2 3 4 2 25" xfId="47299" xr:uid="{00000000-0005-0000-0000-000043A10000}"/>
    <cellStyle name="Normal 2 3 4 2 26" xfId="48982" xr:uid="{00000000-0005-0000-0000-000044A10000}"/>
    <cellStyle name="Normal 2 3 4 2 27" xfId="50665" xr:uid="{00000000-0005-0000-0000-000045A10000}"/>
    <cellStyle name="Normal 2 3 4 2 28" xfId="52348" xr:uid="{00000000-0005-0000-0000-000046A10000}"/>
    <cellStyle name="Normal 2 3 4 2 29" xfId="54031" xr:uid="{00000000-0005-0000-0000-000047A10000}"/>
    <cellStyle name="Normal 2 3 4 2 3" xfId="591" xr:uid="{00000000-0005-0000-0000-000048A10000}"/>
    <cellStyle name="Normal 2 3 4 2 3 10" xfId="15740" xr:uid="{00000000-0005-0000-0000-000049A10000}"/>
    <cellStyle name="Normal 2 3 4 2 3 11" xfId="30889" xr:uid="{00000000-0005-0000-0000-00004AA10000}"/>
    <cellStyle name="Normal 2 3 4 2 3 12" xfId="32572" xr:uid="{00000000-0005-0000-0000-00004BA10000}"/>
    <cellStyle name="Normal 2 3 4 2 3 13" xfId="34255" xr:uid="{00000000-0005-0000-0000-00004CA10000}"/>
    <cellStyle name="Normal 2 3 4 2 3 14" xfId="35938" xr:uid="{00000000-0005-0000-0000-00004DA10000}"/>
    <cellStyle name="Normal 2 3 4 2 3 15" xfId="37621" xr:uid="{00000000-0005-0000-0000-00004EA10000}"/>
    <cellStyle name="Normal 2 3 4 2 3 16" xfId="39304" xr:uid="{00000000-0005-0000-0000-00004FA10000}"/>
    <cellStyle name="Normal 2 3 4 2 3 17" xfId="40987" xr:uid="{00000000-0005-0000-0000-000050A10000}"/>
    <cellStyle name="Normal 2 3 4 2 3 18" xfId="42670" xr:uid="{00000000-0005-0000-0000-000051A10000}"/>
    <cellStyle name="Normal 2 3 4 2 3 19" xfId="44353" xr:uid="{00000000-0005-0000-0000-000052A10000}"/>
    <cellStyle name="Normal 2 3 4 2 3 2" xfId="2274" xr:uid="{00000000-0005-0000-0000-000053A10000}"/>
    <cellStyle name="Normal 2 3 4 2 3 2 2" xfId="17423" xr:uid="{00000000-0005-0000-0000-000054A10000}"/>
    <cellStyle name="Normal 2 3 4 2 3 20" xfId="46036" xr:uid="{00000000-0005-0000-0000-000055A10000}"/>
    <cellStyle name="Normal 2 3 4 2 3 21" xfId="47719" xr:uid="{00000000-0005-0000-0000-000056A10000}"/>
    <cellStyle name="Normal 2 3 4 2 3 22" xfId="49402" xr:uid="{00000000-0005-0000-0000-000057A10000}"/>
    <cellStyle name="Normal 2 3 4 2 3 23" xfId="51085" xr:uid="{00000000-0005-0000-0000-000058A10000}"/>
    <cellStyle name="Normal 2 3 4 2 3 24" xfId="52768" xr:uid="{00000000-0005-0000-0000-000059A10000}"/>
    <cellStyle name="Normal 2 3 4 2 3 25" xfId="54451" xr:uid="{00000000-0005-0000-0000-00005AA10000}"/>
    <cellStyle name="Normal 2 3 4 2 3 26" xfId="56134" xr:uid="{00000000-0005-0000-0000-00005BA10000}"/>
    <cellStyle name="Normal 2 3 4 2 3 27" xfId="57817" xr:uid="{00000000-0005-0000-0000-00005CA10000}"/>
    <cellStyle name="Normal 2 3 4 2 3 28" xfId="59500" xr:uid="{00000000-0005-0000-0000-00005DA10000}"/>
    <cellStyle name="Normal 2 3 4 2 3 29" xfId="61183" xr:uid="{00000000-0005-0000-0000-00005EA10000}"/>
    <cellStyle name="Normal 2 3 4 2 3 3" xfId="3958" xr:uid="{00000000-0005-0000-0000-00005FA10000}"/>
    <cellStyle name="Normal 2 3 4 2 3 3 2" xfId="19107" xr:uid="{00000000-0005-0000-0000-000060A10000}"/>
    <cellStyle name="Normal 2 3 4 2 3 30" xfId="62866" xr:uid="{00000000-0005-0000-0000-000061A10000}"/>
    <cellStyle name="Normal 2 3 4 2 3 4" xfId="5641" xr:uid="{00000000-0005-0000-0000-000062A10000}"/>
    <cellStyle name="Normal 2 3 4 2 3 4 2" xfId="20790" xr:uid="{00000000-0005-0000-0000-000063A10000}"/>
    <cellStyle name="Normal 2 3 4 2 3 5" xfId="7324" xr:uid="{00000000-0005-0000-0000-000064A10000}"/>
    <cellStyle name="Normal 2 3 4 2 3 5 2" xfId="22473" xr:uid="{00000000-0005-0000-0000-000065A10000}"/>
    <cellStyle name="Normal 2 3 4 2 3 6" xfId="9007" xr:uid="{00000000-0005-0000-0000-000066A10000}"/>
    <cellStyle name="Normal 2 3 4 2 3 6 2" xfId="24156" xr:uid="{00000000-0005-0000-0000-000067A10000}"/>
    <cellStyle name="Normal 2 3 4 2 3 7" xfId="10690" xr:uid="{00000000-0005-0000-0000-000068A10000}"/>
    <cellStyle name="Normal 2 3 4 2 3 7 2" xfId="25839" xr:uid="{00000000-0005-0000-0000-000069A10000}"/>
    <cellStyle name="Normal 2 3 4 2 3 8" xfId="12374" xr:uid="{00000000-0005-0000-0000-00006AA10000}"/>
    <cellStyle name="Normal 2 3 4 2 3 8 2" xfId="27523" xr:uid="{00000000-0005-0000-0000-00006BA10000}"/>
    <cellStyle name="Normal 2 3 4 2 3 9" xfId="14057" xr:uid="{00000000-0005-0000-0000-00006CA10000}"/>
    <cellStyle name="Normal 2 3 4 2 3 9 2" xfId="29206" xr:uid="{00000000-0005-0000-0000-00006DA10000}"/>
    <cellStyle name="Normal 2 3 4 2 30" xfId="55714" xr:uid="{00000000-0005-0000-0000-00006EA10000}"/>
    <cellStyle name="Normal 2 3 4 2 31" xfId="57397" xr:uid="{00000000-0005-0000-0000-00006FA10000}"/>
    <cellStyle name="Normal 2 3 4 2 32" xfId="59080" xr:uid="{00000000-0005-0000-0000-000070A10000}"/>
    <cellStyle name="Normal 2 3 4 2 33" xfId="60763" xr:uid="{00000000-0005-0000-0000-000071A10000}"/>
    <cellStyle name="Normal 2 3 4 2 34" xfId="62446" xr:uid="{00000000-0005-0000-0000-000072A10000}"/>
    <cellStyle name="Normal 2 3 4 2 4" xfId="1012" xr:uid="{00000000-0005-0000-0000-000073A10000}"/>
    <cellStyle name="Normal 2 3 4 2 4 10" xfId="16161" xr:uid="{00000000-0005-0000-0000-000074A10000}"/>
    <cellStyle name="Normal 2 3 4 2 4 11" xfId="31310" xr:uid="{00000000-0005-0000-0000-000075A10000}"/>
    <cellStyle name="Normal 2 3 4 2 4 12" xfId="32993" xr:uid="{00000000-0005-0000-0000-000076A10000}"/>
    <cellStyle name="Normal 2 3 4 2 4 13" xfId="34676" xr:uid="{00000000-0005-0000-0000-000077A10000}"/>
    <cellStyle name="Normal 2 3 4 2 4 14" xfId="36359" xr:uid="{00000000-0005-0000-0000-000078A10000}"/>
    <cellStyle name="Normal 2 3 4 2 4 15" xfId="38042" xr:uid="{00000000-0005-0000-0000-000079A10000}"/>
    <cellStyle name="Normal 2 3 4 2 4 16" xfId="39725" xr:uid="{00000000-0005-0000-0000-00007AA10000}"/>
    <cellStyle name="Normal 2 3 4 2 4 17" xfId="41408" xr:uid="{00000000-0005-0000-0000-00007BA10000}"/>
    <cellStyle name="Normal 2 3 4 2 4 18" xfId="43091" xr:uid="{00000000-0005-0000-0000-00007CA10000}"/>
    <cellStyle name="Normal 2 3 4 2 4 19" xfId="44774" xr:uid="{00000000-0005-0000-0000-00007DA10000}"/>
    <cellStyle name="Normal 2 3 4 2 4 2" xfId="2695" xr:uid="{00000000-0005-0000-0000-00007EA10000}"/>
    <cellStyle name="Normal 2 3 4 2 4 2 2" xfId="17844" xr:uid="{00000000-0005-0000-0000-00007FA10000}"/>
    <cellStyle name="Normal 2 3 4 2 4 20" xfId="46457" xr:uid="{00000000-0005-0000-0000-000080A10000}"/>
    <cellStyle name="Normal 2 3 4 2 4 21" xfId="48140" xr:uid="{00000000-0005-0000-0000-000081A10000}"/>
    <cellStyle name="Normal 2 3 4 2 4 22" xfId="49823" xr:uid="{00000000-0005-0000-0000-000082A10000}"/>
    <cellStyle name="Normal 2 3 4 2 4 23" xfId="51506" xr:uid="{00000000-0005-0000-0000-000083A10000}"/>
    <cellStyle name="Normal 2 3 4 2 4 24" xfId="53189" xr:uid="{00000000-0005-0000-0000-000084A10000}"/>
    <cellStyle name="Normal 2 3 4 2 4 25" xfId="54872" xr:uid="{00000000-0005-0000-0000-000085A10000}"/>
    <cellStyle name="Normal 2 3 4 2 4 26" xfId="56555" xr:uid="{00000000-0005-0000-0000-000086A10000}"/>
    <cellStyle name="Normal 2 3 4 2 4 27" xfId="58238" xr:uid="{00000000-0005-0000-0000-000087A10000}"/>
    <cellStyle name="Normal 2 3 4 2 4 28" xfId="59921" xr:uid="{00000000-0005-0000-0000-000088A10000}"/>
    <cellStyle name="Normal 2 3 4 2 4 29" xfId="61604" xr:uid="{00000000-0005-0000-0000-000089A10000}"/>
    <cellStyle name="Normal 2 3 4 2 4 3" xfId="4379" xr:uid="{00000000-0005-0000-0000-00008AA10000}"/>
    <cellStyle name="Normal 2 3 4 2 4 3 2" xfId="19528" xr:uid="{00000000-0005-0000-0000-00008BA10000}"/>
    <cellStyle name="Normal 2 3 4 2 4 30" xfId="63287" xr:uid="{00000000-0005-0000-0000-00008CA10000}"/>
    <cellStyle name="Normal 2 3 4 2 4 4" xfId="6062" xr:uid="{00000000-0005-0000-0000-00008DA10000}"/>
    <cellStyle name="Normal 2 3 4 2 4 4 2" xfId="21211" xr:uid="{00000000-0005-0000-0000-00008EA10000}"/>
    <cellStyle name="Normal 2 3 4 2 4 5" xfId="7745" xr:uid="{00000000-0005-0000-0000-00008FA10000}"/>
    <cellStyle name="Normal 2 3 4 2 4 5 2" xfId="22894" xr:uid="{00000000-0005-0000-0000-000090A10000}"/>
    <cellStyle name="Normal 2 3 4 2 4 6" xfId="9428" xr:uid="{00000000-0005-0000-0000-000091A10000}"/>
    <cellStyle name="Normal 2 3 4 2 4 6 2" xfId="24577" xr:uid="{00000000-0005-0000-0000-000092A10000}"/>
    <cellStyle name="Normal 2 3 4 2 4 7" xfId="11111" xr:uid="{00000000-0005-0000-0000-000093A10000}"/>
    <cellStyle name="Normal 2 3 4 2 4 7 2" xfId="26260" xr:uid="{00000000-0005-0000-0000-000094A10000}"/>
    <cellStyle name="Normal 2 3 4 2 4 8" xfId="12795" xr:uid="{00000000-0005-0000-0000-000095A10000}"/>
    <cellStyle name="Normal 2 3 4 2 4 8 2" xfId="27944" xr:uid="{00000000-0005-0000-0000-000096A10000}"/>
    <cellStyle name="Normal 2 3 4 2 4 9" xfId="14478" xr:uid="{00000000-0005-0000-0000-000097A10000}"/>
    <cellStyle name="Normal 2 3 4 2 4 9 2" xfId="29627" xr:uid="{00000000-0005-0000-0000-000098A10000}"/>
    <cellStyle name="Normal 2 3 4 2 5" xfId="1433" xr:uid="{00000000-0005-0000-0000-000099A10000}"/>
    <cellStyle name="Normal 2 3 4 2 5 10" xfId="16582" xr:uid="{00000000-0005-0000-0000-00009AA10000}"/>
    <cellStyle name="Normal 2 3 4 2 5 11" xfId="31731" xr:uid="{00000000-0005-0000-0000-00009BA10000}"/>
    <cellStyle name="Normal 2 3 4 2 5 12" xfId="33414" xr:uid="{00000000-0005-0000-0000-00009CA10000}"/>
    <cellStyle name="Normal 2 3 4 2 5 13" xfId="35097" xr:uid="{00000000-0005-0000-0000-00009DA10000}"/>
    <cellStyle name="Normal 2 3 4 2 5 14" xfId="36780" xr:uid="{00000000-0005-0000-0000-00009EA10000}"/>
    <cellStyle name="Normal 2 3 4 2 5 15" xfId="38463" xr:uid="{00000000-0005-0000-0000-00009FA10000}"/>
    <cellStyle name="Normal 2 3 4 2 5 16" xfId="40146" xr:uid="{00000000-0005-0000-0000-0000A0A10000}"/>
    <cellStyle name="Normal 2 3 4 2 5 17" xfId="41829" xr:uid="{00000000-0005-0000-0000-0000A1A10000}"/>
    <cellStyle name="Normal 2 3 4 2 5 18" xfId="43512" xr:uid="{00000000-0005-0000-0000-0000A2A10000}"/>
    <cellStyle name="Normal 2 3 4 2 5 19" xfId="45195" xr:uid="{00000000-0005-0000-0000-0000A3A10000}"/>
    <cellStyle name="Normal 2 3 4 2 5 2" xfId="3116" xr:uid="{00000000-0005-0000-0000-0000A4A10000}"/>
    <cellStyle name="Normal 2 3 4 2 5 2 2" xfId="18265" xr:uid="{00000000-0005-0000-0000-0000A5A10000}"/>
    <cellStyle name="Normal 2 3 4 2 5 20" xfId="46878" xr:uid="{00000000-0005-0000-0000-0000A6A10000}"/>
    <cellStyle name="Normal 2 3 4 2 5 21" xfId="48561" xr:uid="{00000000-0005-0000-0000-0000A7A10000}"/>
    <cellStyle name="Normal 2 3 4 2 5 22" xfId="50244" xr:uid="{00000000-0005-0000-0000-0000A8A10000}"/>
    <cellStyle name="Normal 2 3 4 2 5 23" xfId="51927" xr:uid="{00000000-0005-0000-0000-0000A9A10000}"/>
    <cellStyle name="Normal 2 3 4 2 5 24" xfId="53610" xr:uid="{00000000-0005-0000-0000-0000AAA10000}"/>
    <cellStyle name="Normal 2 3 4 2 5 25" xfId="55293" xr:uid="{00000000-0005-0000-0000-0000ABA10000}"/>
    <cellStyle name="Normal 2 3 4 2 5 26" xfId="56976" xr:uid="{00000000-0005-0000-0000-0000ACA10000}"/>
    <cellStyle name="Normal 2 3 4 2 5 27" xfId="58659" xr:uid="{00000000-0005-0000-0000-0000ADA10000}"/>
    <cellStyle name="Normal 2 3 4 2 5 28" xfId="60342" xr:uid="{00000000-0005-0000-0000-0000AEA10000}"/>
    <cellStyle name="Normal 2 3 4 2 5 29" xfId="62025" xr:uid="{00000000-0005-0000-0000-0000AFA10000}"/>
    <cellStyle name="Normal 2 3 4 2 5 3" xfId="4800" xr:uid="{00000000-0005-0000-0000-0000B0A10000}"/>
    <cellStyle name="Normal 2 3 4 2 5 3 2" xfId="19949" xr:uid="{00000000-0005-0000-0000-0000B1A10000}"/>
    <cellStyle name="Normal 2 3 4 2 5 30" xfId="63708" xr:uid="{00000000-0005-0000-0000-0000B2A10000}"/>
    <cellStyle name="Normal 2 3 4 2 5 4" xfId="6483" xr:uid="{00000000-0005-0000-0000-0000B3A10000}"/>
    <cellStyle name="Normal 2 3 4 2 5 4 2" xfId="21632" xr:uid="{00000000-0005-0000-0000-0000B4A10000}"/>
    <cellStyle name="Normal 2 3 4 2 5 5" xfId="8166" xr:uid="{00000000-0005-0000-0000-0000B5A10000}"/>
    <cellStyle name="Normal 2 3 4 2 5 5 2" xfId="23315" xr:uid="{00000000-0005-0000-0000-0000B6A10000}"/>
    <cellStyle name="Normal 2 3 4 2 5 6" xfId="9849" xr:uid="{00000000-0005-0000-0000-0000B7A10000}"/>
    <cellStyle name="Normal 2 3 4 2 5 6 2" xfId="24998" xr:uid="{00000000-0005-0000-0000-0000B8A10000}"/>
    <cellStyle name="Normal 2 3 4 2 5 7" xfId="11532" xr:uid="{00000000-0005-0000-0000-0000B9A10000}"/>
    <cellStyle name="Normal 2 3 4 2 5 7 2" xfId="26681" xr:uid="{00000000-0005-0000-0000-0000BAA10000}"/>
    <cellStyle name="Normal 2 3 4 2 5 8" xfId="13216" xr:uid="{00000000-0005-0000-0000-0000BBA10000}"/>
    <cellStyle name="Normal 2 3 4 2 5 8 2" xfId="28365" xr:uid="{00000000-0005-0000-0000-0000BCA10000}"/>
    <cellStyle name="Normal 2 3 4 2 5 9" xfId="14899" xr:uid="{00000000-0005-0000-0000-0000BDA10000}"/>
    <cellStyle name="Normal 2 3 4 2 5 9 2" xfId="30048" xr:uid="{00000000-0005-0000-0000-0000BEA10000}"/>
    <cellStyle name="Normal 2 3 4 2 6" xfId="1854" xr:uid="{00000000-0005-0000-0000-0000BFA10000}"/>
    <cellStyle name="Normal 2 3 4 2 6 2" xfId="17003" xr:uid="{00000000-0005-0000-0000-0000C0A10000}"/>
    <cellStyle name="Normal 2 3 4 2 7" xfId="3538" xr:uid="{00000000-0005-0000-0000-0000C1A10000}"/>
    <cellStyle name="Normal 2 3 4 2 7 2" xfId="18687" xr:uid="{00000000-0005-0000-0000-0000C2A10000}"/>
    <cellStyle name="Normal 2 3 4 2 8" xfId="5221" xr:uid="{00000000-0005-0000-0000-0000C3A10000}"/>
    <cellStyle name="Normal 2 3 4 2 8 2" xfId="20370" xr:uid="{00000000-0005-0000-0000-0000C4A10000}"/>
    <cellStyle name="Normal 2 3 4 2 9" xfId="6904" xr:uid="{00000000-0005-0000-0000-0000C5A10000}"/>
    <cellStyle name="Normal 2 3 4 2 9 2" xfId="22053" xr:uid="{00000000-0005-0000-0000-0000C6A10000}"/>
    <cellStyle name="Normal 2 3 4 20" xfId="37096" xr:uid="{00000000-0005-0000-0000-0000C7A10000}"/>
    <cellStyle name="Normal 2 3 4 21" xfId="38779" xr:uid="{00000000-0005-0000-0000-0000C8A10000}"/>
    <cellStyle name="Normal 2 3 4 22" xfId="40462" xr:uid="{00000000-0005-0000-0000-0000C9A10000}"/>
    <cellStyle name="Normal 2 3 4 23" xfId="42145" xr:uid="{00000000-0005-0000-0000-0000CAA10000}"/>
    <cellStyle name="Normal 2 3 4 24" xfId="43828" xr:uid="{00000000-0005-0000-0000-0000CBA10000}"/>
    <cellStyle name="Normal 2 3 4 25" xfId="45511" xr:uid="{00000000-0005-0000-0000-0000CCA10000}"/>
    <cellStyle name="Normal 2 3 4 26" xfId="47194" xr:uid="{00000000-0005-0000-0000-0000CDA10000}"/>
    <cellStyle name="Normal 2 3 4 27" xfId="48877" xr:uid="{00000000-0005-0000-0000-0000CEA10000}"/>
    <cellStyle name="Normal 2 3 4 28" xfId="50560" xr:uid="{00000000-0005-0000-0000-0000CFA10000}"/>
    <cellStyle name="Normal 2 3 4 29" xfId="52243" xr:uid="{00000000-0005-0000-0000-0000D0A10000}"/>
    <cellStyle name="Normal 2 3 4 3" xfId="276" xr:uid="{00000000-0005-0000-0000-0000D1A10000}"/>
    <cellStyle name="Normal 2 3 4 3 10" xfId="10375" xr:uid="{00000000-0005-0000-0000-0000D2A10000}"/>
    <cellStyle name="Normal 2 3 4 3 10 2" xfId="25524" xr:uid="{00000000-0005-0000-0000-0000D3A10000}"/>
    <cellStyle name="Normal 2 3 4 3 11" xfId="12059" xr:uid="{00000000-0005-0000-0000-0000D4A10000}"/>
    <cellStyle name="Normal 2 3 4 3 11 2" xfId="27208" xr:uid="{00000000-0005-0000-0000-0000D5A10000}"/>
    <cellStyle name="Normal 2 3 4 3 12" xfId="13742" xr:uid="{00000000-0005-0000-0000-0000D6A10000}"/>
    <cellStyle name="Normal 2 3 4 3 12 2" xfId="28891" xr:uid="{00000000-0005-0000-0000-0000D7A10000}"/>
    <cellStyle name="Normal 2 3 4 3 13" xfId="15425" xr:uid="{00000000-0005-0000-0000-0000D8A10000}"/>
    <cellStyle name="Normal 2 3 4 3 14" xfId="30574" xr:uid="{00000000-0005-0000-0000-0000D9A10000}"/>
    <cellStyle name="Normal 2 3 4 3 15" xfId="32257" xr:uid="{00000000-0005-0000-0000-0000DAA10000}"/>
    <cellStyle name="Normal 2 3 4 3 16" xfId="33940" xr:uid="{00000000-0005-0000-0000-0000DBA10000}"/>
    <cellStyle name="Normal 2 3 4 3 17" xfId="35623" xr:uid="{00000000-0005-0000-0000-0000DCA10000}"/>
    <cellStyle name="Normal 2 3 4 3 18" xfId="37306" xr:uid="{00000000-0005-0000-0000-0000DDA10000}"/>
    <cellStyle name="Normal 2 3 4 3 19" xfId="38989" xr:uid="{00000000-0005-0000-0000-0000DEA10000}"/>
    <cellStyle name="Normal 2 3 4 3 2" xfId="696" xr:uid="{00000000-0005-0000-0000-0000DFA10000}"/>
    <cellStyle name="Normal 2 3 4 3 2 10" xfId="15845" xr:uid="{00000000-0005-0000-0000-0000E0A10000}"/>
    <cellStyle name="Normal 2 3 4 3 2 11" xfId="30994" xr:uid="{00000000-0005-0000-0000-0000E1A10000}"/>
    <cellStyle name="Normal 2 3 4 3 2 12" xfId="32677" xr:uid="{00000000-0005-0000-0000-0000E2A10000}"/>
    <cellStyle name="Normal 2 3 4 3 2 13" xfId="34360" xr:uid="{00000000-0005-0000-0000-0000E3A10000}"/>
    <cellStyle name="Normal 2 3 4 3 2 14" xfId="36043" xr:uid="{00000000-0005-0000-0000-0000E4A10000}"/>
    <cellStyle name="Normal 2 3 4 3 2 15" xfId="37726" xr:uid="{00000000-0005-0000-0000-0000E5A10000}"/>
    <cellStyle name="Normal 2 3 4 3 2 16" xfId="39409" xr:uid="{00000000-0005-0000-0000-0000E6A10000}"/>
    <cellStyle name="Normal 2 3 4 3 2 17" xfId="41092" xr:uid="{00000000-0005-0000-0000-0000E7A10000}"/>
    <cellStyle name="Normal 2 3 4 3 2 18" xfId="42775" xr:uid="{00000000-0005-0000-0000-0000E8A10000}"/>
    <cellStyle name="Normal 2 3 4 3 2 19" xfId="44458" xr:uid="{00000000-0005-0000-0000-0000E9A10000}"/>
    <cellStyle name="Normal 2 3 4 3 2 2" xfId="2379" xr:uid="{00000000-0005-0000-0000-0000EAA10000}"/>
    <cellStyle name="Normal 2 3 4 3 2 2 2" xfId="17528" xr:uid="{00000000-0005-0000-0000-0000EBA10000}"/>
    <cellStyle name="Normal 2 3 4 3 2 20" xfId="46141" xr:uid="{00000000-0005-0000-0000-0000ECA10000}"/>
    <cellStyle name="Normal 2 3 4 3 2 21" xfId="47824" xr:uid="{00000000-0005-0000-0000-0000EDA10000}"/>
    <cellStyle name="Normal 2 3 4 3 2 22" xfId="49507" xr:uid="{00000000-0005-0000-0000-0000EEA10000}"/>
    <cellStyle name="Normal 2 3 4 3 2 23" xfId="51190" xr:uid="{00000000-0005-0000-0000-0000EFA10000}"/>
    <cellStyle name="Normal 2 3 4 3 2 24" xfId="52873" xr:uid="{00000000-0005-0000-0000-0000F0A10000}"/>
    <cellStyle name="Normal 2 3 4 3 2 25" xfId="54556" xr:uid="{00000000-0005-0000-0000-0000F1A10000}"/>
    <cellStyle name="Normal 2 3 4 3 2 26" xfId="56239" xr:uid="{00000000-0005-0000-0000-0000F2A10000}"/>
    <cellStyle name="Normal 2 3 4 3 2 27" xfId="57922" xr:uid="{00000000-0005-0000-0000-0000F3A10000}"/>
    <cellStyle name="Normal 2 3 4 3 2 28" xfId="59605" xr:uid="{00000000-0005-0000-0000-0000F4A10000}"/>
    <cellStyle name="Normal 2 3 4 3 2 29" xfId="61288" xr:uid="{00000000-0005-0000-0000-0000F5A10000}"/>
    <cellStyle name="Normal 2 3 4 3 2 3" xfId="4063" xr:uid="{00000000-0005-0000-0000-0000F6A10000}"/>
    <cellStyle name="Normal 2 3 4 3 2 3 2" xfId="19212" xr:uid="{00000000-0005-0000-0000-0000F7A10000}"/>
    <cellStyle name="Normal 2 3 4 3 2 30" xfId="62971" xr:uid="{00000000-0005-0000-0000-0000F8A10000}"/>
    <cellStyle name="Normal 2 3 4 3 2 4" xfId="5746" xr:uid="{00000000-0005-0000-0000-0000F9A10000}"/>
    <cellStyle name="Normal 2 3 4 3 2 4 2" xfId="20895" xr:uid="{00000000-0005-0000-0000-0000FAA10000}"/>
    <cellStyle name="Normal 2 3 4 3 2 5" xfId="7429" xr:uid="{00000000-0005-0000-0000-0000FBA10000}"/>
    <cellStyle name="Normal 2 3 4 3 2 5 2" xfId="22578" xr:uid="{00000000-0005-0000-0000-0000FCA10000}"/>
    <cellStyle name="Normal 2 3 4 3 2 6" xfId="9112" xr:uid="{00000000-0005-0000-0000-0000FDA10000}"/>
    <cellStyle name="Normal 2 3 4 3 2 6 2" xfId="24261" xr:uid="{00000000-0005-0000-0000-0000FEA10000}"/>
    <cellStyle name="Normal 2 3 4 3 2 7" xfId="10795" xr:uid="{00000000-0005-0000-0000-0000FFA10000}"/>
    <cellStyle name="Normal 2 3 4 3 2 7 2" xfId="25944" xr:uid="{00000000-0005-0000-0000-000000A20000}"/>
    <cellStyle name="Normal 2 3 4 3 2 8" xfId="12479" xr:uid="{00000000-0005-0000-0000-000001A20000}"/>
    <cellStyle name="Normal 2 3 4 3 2 8 2" xfId="27628" xr:uid="{00000000-0005-0000-0000-000002A20000}"/>
    <cellStyle name="Normal 2 3 4 3 2 9" xfId="14162" xr:uid="{00000000-0005-0000-0000-000003A20000}"/>
    <cellStyle name="Normal 2 3 4 3 2 9 2" xfId="29311" xr:uid="{00000000-0005-0000-0000-000004A20000}"/>
    <cellStyle name="Normal 2 3 4 3 20" xfId="40672" xr:uid="{00000000-0005-0000-0000-000005A20000}"/>
    <cellStyle name="Normal 2 3 4 3 21" xfId="42355" xr:uid="{00000000-0005-0000-0000-000006A20000}"/>
    <cellStyle name="Normal 2 3 4 3 22" xfId="44038" xr:uid="{00000000-0005-0000-0000-000007A20000}"/>
    <cellStyle name="Normal 2 3 4 3 23" xfId="45721" xr:uid="{00000000-0005-0000-0000-000008A20000}"/>
    <cellStyle name="Normal 2 3 4 3 24" xfId="47404" xr:uid="{00000000-0005-0000-0000-000009A20000}"/>
    <cellStyle name="Normal 2 3 4 3 25" xfId="49087" xr:uid="{00000000-0005-0000-0000-00000AA20000}"/>
    <cellStyle name="Normal 2 3 4 3 26" xfId="50770" xr:uid="{00000000-0005-0000-0000-00000BA20000}"/>
    <cellStyle name="Normal 2 3 4 3 27" xfId="52453" xr:uid="{00000000-0005-0000-0000-00000CA20000}"/>
    <cellStyle name="Normal 2 3 4 3 28" xfId="54136" xr:uid="{00000000-0005-0000-0000-00000DA20000}"/>
    <cellStyle name="Normal 2 3 4 3 29" xfId="55819" xr:uid="{00000000-0005-0000-0000-00000EA20000}"/>
    <cellStyle name="Normal 2 3 4 3 3" xfId="1117" xr:uid="{00000000-0005-0000-0000-00000FA20000}"/>
    <cellStyle name="Normal 2 3 4 3 3 10" xfId="16266" xr:uid="{00000000-0005-0000-0000-000010A20000}"/>
    <cellStyle name="Normal 2 3 4 3 3 11" xfId="31415" xr:uid="{00000000-0005-0000-0000-000011A20000}"/>
    <cellStyle name="Normal 2 3 4 3 3 12" xfId="33098" xr:uid="{00000000-0005-0000-0000-000012A20000}"/>
    <cellStyle name="Normal 2 3 4 3 3 13" xfId="34781" xr:uid="{00000000-0005-0000-0000-000013A20000}"/>
    <cellStyle name="Normal 2 3 4 3 3 14" xfId="36464" xr:uid="{00000000-0005-0000-0000-000014A20000}"/>
    <cellStyle name="Normal 2 3 4 3 3 15" xfId="38147" xr:uid="{00000000-0005-0000-0000-000015A20000}"/>
    <cellStyle name="Normal 2 3 4 3 3 16" xfId="39830" xr:uid="{00000000-0005-0000-0000-000016A20000}"/>
    <cellStyle name="Normal 2 3 4 3 3 17" xfId="41513" xr:uid="{00000000-0005-0000-0000-000017A20000}"/>
    <cellStyle name="Normal 2 3 4 3 3 18" xfId="43196" xr:uid="{00000000-0005-0000-0000-000018A20000}"/>
    <cellStyle name="Normal 2 3 4 3 3 19" xfId="44879" xr:uid="{00000000-0005-0000-0000-000019A20000}"/>
    <cellStyle name="Normal 2 3 4 3 3 2" xfId="2800" xr:uid="{00000000-0005-0000-0000-00001AA20000}"/>
    <cellStyle name="Normal 2 3 4 3 3 2 2" xfId="17949" xr:uid="{00000000-0005-0000-0000-00001BA20000}"/>
    <cellStyle name="Normal 2 3 4 3 3 20" xfId="46562" xr:uid="{00000000-0005-0000-0000-00001CA20000}"/>
    <cellStyle name="Normal 2 3 4 3 3 21" xfId="48245" xr:uid="{00000000-0005-0000-0000-00001DA20000}"/>
    <cellStyle name="Normal 2 3 4 3 3 22" xfId="49928" xr:uid="{00000000-0005-0000-0000-00001EA20000}"/>
    <cellStyle name="Normal 2 3 4 3 3 23" xfId="51611" xr:uid="{00000000-0005-0000-0000-00001FA20000}"/>
    <cellStyle name="Normal 2 3 4 3 3 24" xfId="53294" xr:uid="{00000000-0005-0000-0000-000020A20000}"/>
    <cellStyle name="Normal 2 3 4 3 3 25" xfId="54977" xr:uid="{00000000-0005-0000-0000-000021A20000}"/>
    <cellStyle name="Normal 2 3 4 3 3 26" xfId="56660" xr:uid="{00000000-0005-0000-0000-000022A20000}"/>
    <cellStyle name="Normal 2 3 4 3 3 27" xfId="58343" xr:uid="{00000000-0005-0000-0000-000023A20000}"/>
    <cellStyle name="Normal 2 3 4 3 3 28" xfId="60026" xr:uid="{00000000-0005-0000-0000-000024A20000}"/>
    <cellStyle name="Normal 2 3 4 3 3 29" xfId="61709" xr:uid="{00000000-0005-0000-0000-000025A20000}"/>
    <cellStyle name="Normal 2 3 4 3 3 3" xfId="4484" xr:uid="{00000000-0005-0000-0000-000026A20000}"/>
    <cellStyle name="Normal 2 3 4 3 3 3 2" xfId="19633" xr:uid="{00000000-0005-0000-0000-000027A20000}"/>
    <cellStyle name="Normal 2 3 4 3 3 30" xfId="63392" xr:uid="{00000000-0005-0000-0000-000028A20000}"/>
    <cellStyle name="Normal 2 3 4 3 3 4" xfId="6167" xr:uid="{00000000-0005-0000-0000-000029A20000}"/>
    <cellStyle name="Normal 2 3 4 3 3 4 2" xfId="21316" xr:uid="{00000000-0005-0000-0000-00002AA20000}"/>
    <cellStyle name="Normal 2 3 4 3 3 5" xfId="7850" xr:uid="{00000000-0005-0000-0000-00002BA20000}"/>
    <cellStyle name="Normal 2 3 4 3 3 5 2" xfId="22999" xr:uid="{00000000-0005-0000-0000-00002CA20000}"/>
    <cellStyle name="Normal 2 3 4 3 3 6" xfId="9533" xr:uid="{00000000-0005-0000-0000-00002DA20000}"/>
    <cellStyle name="Normal 2 3 4 3 3 6 2" xfId="24682" xr:uid="{00000000-0005-0000-0000-00002EA20000}"/>
    <cellStyle name="Normal 2 3 4 3 3 7" xfId="11216" xr:uid="{00000000-0005-0000-0000-00002FA20000}"/>
    <cellStyle name="Normal 2 3 4 3 3 7 2" xfId="26365" xr:uid="{00000000-0005-0000-0000-000030A20000}"/>
    <cellStyle name="Normal 2 3 4 3 3 8" xfId="12900" xr:uid="{00000000-0005-0000-0000-000031A20000}"/>
    <cellStyle name="Normal 2 3 4 3 3 8 2" xfId="28049" xr:uid="{00000000-0005-0000-0000-000032A20000}"/>
    <cellStyle name="Normal 2 3 4 3 3 9" xfId="14583" xr:uid="{00000000-0005-0000-0000-000033A20000}"/>
    <cellStyle name="Normal 2 3 4 3 3 9 2" xfId="29732" xr:uid="{00000000-0005-0000-0000-000034A20000}"/>
    <cellStyle name="Normal 2 3 4 3 30" xfId="57502" xr:uid="{00000000-0005-0000-0000-000035A20000}"/>
    <cellStyle name="Normal 2 3 4 3 31" xfId="59185" xr:uid="{00000000-0005-0000-0000-000036A20000}"/>
    <cellStyle name="Normal 2 3 4 3 32" xfId="60868" xr:uid="{00000000-0005-0000-0000-000037A20000}"/>
    <cellStyle name="Normal 2 3 4 3 33" xfId="62551" xr:uid="{00000000-0005-0000-0000-000038A20000}"/>
    <cellStyle name="Normal 2 3 4 3 4" xfId="1538" xr:uid="{00000000-0005-0000-0000-000039A20000}"/>
    <cellStyle name="Normal 2 3 4 3 4 10" xfId="16687" xr:uid="{00000000-0005-0000-0000-00003AA20000}"/>
    <cellStyle name="Normal 2 3 4 3 4 11" xfId="31836" xr:uid="{00000000-0005-0000-0000-00003BA20000}"/>
    <cellStyle name="Normal 2 3 4 3 4 12" xfId="33519" xr:uid="{00000000-0005-0000-0000-00003CA20000}"/>
    <cellStyle name="Normal 2 3 4 3 4 13" xfId="35202" xr:uid="{00000000-0005-0000-0000-00003DA20000}"/>
    <cellStyle name="Normal 2 3 4 3 4 14" xfId="36885" xr:uid="{00000000-0005-0000-0000-00003EA20000}"/>
    <cellStyle name="Normal 2 3 4 3 4 15" xfId="38568" xr:uid="{00000000-0005-0000-0000-00003FA20000}"/>
    <cellStyle name="Normal 2 3 4 3 4 16" xfId="40251" xr:uid="{00000000-0005-0000-0000-000040A20000}"/>
    <cellStyle name="Normal 2 3 4 3 4 17" xfId="41934" xr:uid="{00000000-0005-0000-0000-000041A20000}"/>
    <cellStyle name="Normal 2 3 4 3 4 18" xfId="43617" xr:uid="{00000000-0005-0000-0000-000042A20000}"/>
    <cellStyle name="Normal 2 3 4 3 4 19" xfId="45300" xr:uid="{00000000-0005-0000-0000-000043A20000}"/>
    <cellStyle name="Normal 2 3 4 3 4 2" xfId="3221" xr:uid="{00000000-0005-0000-0000-000044A20000}"/>
    <cellStyle name="Normal 2 3 4 3 4 2 2" xfId="18370" xr:uid="{00000000-0005-0000-0000-000045A20000}"/>
    <cellStyle name="Normal 2 3 4 3 4 20" xfId="46983" xr:uid="{00000000-0005-0000-0000-000046A20000}"/>
    <cellStyle name="Normal 2 3 4 3 4 21" xfId="48666" xr:uid="{00000000-0005-0000-0000-000047A20000}"/>
    <cellStyle name="Normal 2 3 4 3 4 22" xfId="50349" xr:uid="{00000000-0005-0000-0000-000048A20000}"/>
    <cellStyle name="Normal 2 3 4 3 4 23" xfId="52032" xr:uid="{00000000-0005-0000-0000-000049A20000}"/>
    <cellStyle name="Normal 2 3 4 3 4 24" xfId="53715" xr:uid="{00000000-0005-0000-0000-00004AA20000}"/>
    <cellStyle name="Normal 2 3 4 3 4 25" xfId="55398" xr:uid="{00000000-0005-0000-0000-00004BA20000}"/>
    <cellStyle name="Normal 2 3 4 3 4 26" xfId="57081" xr:uid="{00000000-0005-0000-0000-00004CA20000}"/>
    <cellStyle name="Normal 2 3 4 3 4 27" xfId="58764" xr:uid="{00000000-0005-0000-0000-00004DA20000}"/>
    <cellStyle name="Normal 2 3 4 3 4 28" xfId="60447" xr:uid="{00000000-0005-0000-0000-00004EA20000}"/>
    <cellStyle name="Normal 2 3 4 3 4 29" xfId="62130" xr:uid="{00000000-0005-0000-0000-00004FA20000}"/>
    <cellStyle name="Normal 2 3 4 3 4 3" xfId="4905" xr:uid="{00000000-0005-0000-0000-000050A20000}"/>
    <cellStyle name="Normal 2 3 4 3 4 3 2" xfId="20054" xr:uid="{00000000-0005-0000-0000-000051A20000}"/>
    <cellStyle name="Normal 2 3 4 3 4 30" xfId="63813" xr:uid="{00000000-0005-0000-0000-000052A20000}"/>
    <cellStyle name="Normal 2 3 4 3 4 4" xfId="6588" xr:uid="{00000000-0005-0000-0000-000053A20000}"/>
    <cellStyle name="Normal 2 3 4 3 4 4 2" xfId="21737" xr:uid="{00000000-0005-0000-0000-000054A20000}"/>
    <cellStyle name="Normal 2 3 4 3 4 5" xfId="8271" xr:uid="{00000000-0005-0000-0000-000055A20000}"/>
    <cellStyle name="Normal 2 3 4 3 4 5 2" xfId="23420" xr:uid="{00000000-0005-0000-0000-000056A20000}"/>
    <cellStyle name="Normal 2 3 4 3 4 6" xfId="9954" xr:uid="{00000000-0005-0000-0000-000057A20000}"/>
    <cellStyle name="Normal 2 3 4 3 4 6 2" xfId="25103" xr:uid="{00000000-0005-0000-0000-000058A20000}"/>
    <cellStyle name="Normal 2 3 4 3 4 7" xfId="11637" xr:uid="{00000000-0005-0000-0000-000059A20000}"/>
    <cellStyle name="Normal 2 3 4 3 4 7 2" xfId="26786" xr:uid="{00000000-0005-0000-0000-00005AA20000}"/>
    <cellStyle name="Normal 2 3 4 3 4 8" xfId="13321" xr:uid="{00000000-0005-0000-0000-00005BA20000}"/>
    <cellStyle name="Normal 2 3 4 3 4 8 2" xfId="28470" xr:uid="{00000000-0005-0000-0000-00005CA20000}"/>
    <cellStyle name="Normal 2 3 4 3 4 9" xfId="15004" xr:uid="{00000000-0005-0000-0000-00005DA20000}"/>
    <cellStyle name="Normal 2 3 4 3 4 9 2" xfId="30153" xr:uid="{00000000-0005-0000-0000-00005EA20000}"/>
    <cellStyle name="Normal 2 3 4 3 5" xfId="1959" xr:uid="{00000000-0005-0000-0000-00005FA20000}"/>
    <cellStyle name="Normal 2 3 4 3 5 2" xfId="17108" xr:uid="{00000000-0005-0000-0000-000060A20000}"/>
    <cellStyle name="Normal 2 3 4 3 6" xfId="3643" xr:uid="{00000000-0005-0000-0000-000061A20000}"/>
    <cellStyle name="Normal 2 3 4 3 6 2" xfId="18792" xr:uid="{00000000-0005-0000-0000-000062A20000}"/>
    <cellStyle name="Normal 2 3 4 3 7" xfId="5326" xr:uid="{00000000-0005-0000-0000-000063A20000}"/>
    <cellStyle name="Normal 2 3 4 3 7 2" xfId="20475" xr:uid="{00000000-0005-0000-0000-000064A20000}"/>
    <cellStyle name="Normal 2 3 4 3 8" xfId="7009" xr:uid="{00000000-0005-0000-0000-000065A20000}"/>
    <cellStyle name="Normal 2 3 4 3 8 2" xfId="22158" xr:uid="{00000000-0005-0000-0000-000066A20000}"/>
    <cellStyle name="Normal 2 3 4 3 9" xfId="8692" xr:uid="{00000000-0005-0000-0000-000067A20000}"/>
    <cellStyle name="Normal 2 3 4 3 9 2" xfId="23841" xr:uid="{00000000-0005-0000-0000-000068A20000}"/>
    <cellStyle name="Normal 2 3 4 30" xfId="53926" xr:uid="{00000000-0005-0000-0000-000069A20000}"/>
    <cellStyle name="Normal 2 3 4 31" xfId="55609" xr:uid="{00000000-0005-0000-0000-00006AA20000}"/>
    <cellStyle name="Normal 2 3 4 32" xfId="57292" xr:uid="{00000000-0005-0000-0000-00006BA20000}"/>
    <cellStyle name="Normal 2 3 4 33" xfId="58975" xr:uid="{00000000-0005-0000-0000-00006CA20000}"/>
    <cellStyle name="Normal 2 3 4 34" xfId="60658" xr:uid="{00000000-0005-0000-0000-00006DA20000}"/>
    <cellStyle name="Normal 2 3 4 35" xfId="62341" xr:uid="{00000000-0005-0000-0000-00006EA20000}"/>
    <cellStyle name="Normal 2 3 4 4" xfId="486" xr:uid="{00000000-0005-0000-0000-00006FA20000}"/>
    <cellStyle name="Normal 2 3 4 4 10" xfId="15635" xr:uid="{00000000-0005-0000-0000-000070A20000}"/>
    <cellStyle name="Normal 2 3 4 4 11" xfId="30784" xr:uid="{00000000-0005-0000-0000-000071A20000}"/>
    <cellStyle name="Normal 2 3 4 4 12" xfId="32467" xr:uid="{00000000-0005-0000-0000-000072A20000}"/>
    <cellStyle name="Normal 2 3 4 4 13" xfId="34150" xr:uid="{00000000-0005-0000-0000-000073A20000}"/>
    <cellStyle name="Normal 2 3 4 4 14" xfId="35833" xr:uid="{00000000-0005-0000-0000-000074A20000}"/>
    <cellStyle name="Normal 2 3 4 4 15" xfId="37516" xr:uid="{00000000-0005-0000-0000-000075A20000}"/>
    <cellStyle name="Normal 2 3 4 4 16" xfId="39199" xr:uid="{00000000-0005-0000-0000-000076A20000}"/>
    <cellStyle name="Normal 2 3 4 4 17" xfId="40882" xr:uid="{00000000-0005-0000-0000-000077A20000}"/>
    <cellStyle name="Normal 2 3 4 4 18" xfId="42565" xr:uid="{00000000-0005-0000-0000-000078A20000}"/>
    <cellStyle name="Normal 2 3 4 4 19" xfId="44248" xr:uid="{00000000-0005-0000-0000-000079A20000}"/>
    <cellStyle name="Normal 2 3 4 4 2" xfId="2169" xr:uid="{00000000-0005-0000-0000-00007AA20000}"/>
    <cellStyle name="Normal 2 3 4 4 2 2" xfId="17318" xr:uid="{00000000-0005-0000-0000-00007BA20000}"/>
    <cellStyle name="Normal 2 3 4 4 20" xfId="45931" xr:uid="{00000000-0005-0000-0000-00007CA20000}"/>
    <cellStyle name="Normal 2 3 4 4 21" xfId="47614" xr:uid="{00000000-0005-0000-0000-00007DA20000}"/>
    <cellStyle name="Normal 2 3 4 4 22" xfId="49297" xr:uid="{00000000-0005-0000-0000-00007EA20000}"/>
    <cellStyle name="Normal 2 3 4 4 23" xfId="50980" xr:uid="{00000000-0005-0000-0000-00007FA20000}"/>
    <cellStyle name="Normal 2 3 4 4 24" xfId="52663" xr:uid="{00000000-0005-0000-0000-000080A20000}"/>
    <cellStyle name="Normal 2 3 4 4 25" xfId="54346" xr:uid="{00000000-0005-0000-0000-000081A20000}"/>
    <cellStyle name="Normal 2 3 4 4 26" xfId="56029" xr:uid="{00000000-0005-0000-0000-000082A20000}"/>
    <cellStyle name="Normal 2 3 4 4 27" xfId="57712" xr:uid="{00000000-0005-0000-0000-000083A20000}"/>
    <cellStyle name="Normal 2 3 4 4 28" xfId="59395" xr:uid="{00000000-0005-0000-0000-000084A20000}"/>
    <cellStyle name="Normal 2 3 4 4 29" xfId="61078" xr:uid="{00000000-0005-0000-0000-000085A20000}"/>
    <cellStyle name="Normal 2 3 4 4 3" xfId="3853" xr:uid="{00000000-0005-0000-0000-000086A20000}"/>
    <cellStyle name="Normal 2 3 4 4 3 2" xfId="19002" xr:uid="{00000000-0005-0000-0000-000087A20000}"/>
    <cellStyle name="Normal 2 3 4 4 30" xfId="62761" xr:uid="{00000000-0005-0000-0000-000088A20000}"/>
    <cellStyle name="Normal 2 3 4 4 4" xfId="5536" xr:uid="{00000000-0005-0000-0000-000089A20000}"/>
    <cellStyle name="Normal 2 3 4 4 4 2" xfId="20685" xr:uid="{00000000-0005-0000-0000-00008AA20000}"/>
    <cellStyle name="Normal 2 3 4 4 5" xfId="7219" xr:uid="{00000000-0005-0000-0000-00008BA20000}"/>
    <cellStyle name="Normal 2 3 4 4 5 2" xfId="22368" xr:uid="{00000000-0005-0000-0000-00008CA20000}"/>
    <cellStyle name="Normal 2 3 4 4 6" xfId="8902" xr:uid="{00000000-0005-0000-0000-00008DA20000}"/>
    <cellStyle name="Normal 2 3 4 4 6 2" xfId="24051" xr:uid="{00000000-0005-0000-0000-00008EA20000}"/>
    <cellStyle name="Normal 2 3 4 4 7" xfId="10585" xr:uid="{00000000-0005-0000-0000-00008FA20000}"/>
    <cellStyle name="Normal 2 3 4 4 7 2" xfId="25734" xr:uid="{00000000-0005-0000-0000-000090A20000}"/>
    <cellStyle name="Normal 2 3 4 4 8" xfId="12269" xr:uid="{00000000-0005-0000-0000-000091A20000}"/>
    <cellStyle name="Normal 2 3 4 4 8 2" xfId="27418" xr:uid="{00000000-0005-0000-0000-000092A20000}"/>
    <cellStyle name="Normal 2 3 4 4 9" xfId="13952" xr:uid="{00000000-0005-0000-0000-000093A20000}"/>
    <cellStyle name="Normal 2 3 4 4 9 2" xfId="29101" xr:uid="{00000000-0005-0000-0000-000094A20000}"/>
    <cellStyle name="Normal 2 3 4 5" xfId="907" xr:uid="{00000000-0005-0000-0000-000095A20000}"/>
    <cellStyle name="Normal 2 3 4 5 10" xfId="16056" xr:uid="{00000000-0005-0000-0000-000096A20000}"/>
    <cellStyle name="Normal 2 3 4 5 11" xfId="31205" xr:uid="{00000000-0005-0000-0000-000097A20000}"/>
    <cellStyle name="Normal 2 3 4 5 12" xfId="32888" xr:uid="{00000000-0005-0000-0000-000098A20000}"/>
    <cellStyle name="Normal 2 3 4 5 13" xfId="34571" xr:uid="{00000000-0005-0000-0000-000099A20000}"/>
    <cellStyle name="Normal 2 3 4 5 14" xfId="36254" xr:uid="{00000000-0005-0000-0000-00009AA20000}"/>
    <cellStyle name="Normal 2 3 4 5 15" xfId="37937" xr:uid="{00000000-0005-0000-0000-00009BA20000}"/>
    <cellStyle name="Normal 2 3 4 5 16" xfId="39620" xr:uid="{00000000-0005-0000-0000-00009CA20000}"/>
    <cellStyle name="Normal 2 3 4 5 17" xfId="41303" xr:uid="{00000000-0005-0000-0000-00009DA20000}"/>
    <cellStyle name="Normal 2 3 4 5 18" xfId="42986" xr:uid="{00000000-0005-0000-0000-00009EA20000}"/>
    <cellStyle name="Normal 2 3 4 5 19" xfId="44669" xr:uid="{00000000-0005-0000-0000-00009FA20000}"/>
    <cellStyle name="Normal 2 3 4 5 2" xfId="2590" xr:uid="{00000000-0005-0000-0000-0000A0A20000}"/>
    <cellStyle name="Normal 2 3 4 5 2 2" xfId="17739" xr:uid="{00000000-0005-0000-0000-0000A1A20000}"/>
    <cellStyle name="Normal 2 3 4 5 20" xfId="46352" xr:uid="{00000000-0005-0000-0000-0000A2A20000}"/>
    <cellStyle name="Normal 2 3 4 5 21" xfId="48035" xr:uid="{00000000-0005-0000-0000-0000A3A20000}"/>
    <cellStyle name="Normal 2 3 4 5 22" xfId="49718" xr:uid="{00000000-0005-0000-0000-0000A4A20000}"/>
    <cellStyle name="Normal 2 3 4 5 23" xfId="51401" xr:uid="{00000000-0005-0000-0000-0000A5A20000}"/>
    <cellStyle name="Normal 2 3 4 5 24" xfId="53084" xr:uid="{00000000-0005-0000-0000-0000A6A20000}"/>
    <cellStyle name="Normal 2 3 4 5 25" xfId="54767" xr:uid="{00000000-0005-0000-0000-0000A7A20000}"/>
    <cellStyle name="Normal 2 3 4 5 26" xfId="56450" xr:uid="{00000000-0005-0000-0000-0000A8A20000}"/>
    <cellStyle name="Normal 2 3 4 5 27" xfId="58133" xr:uid="{00000000-0005-0000-0000-0000A9A20000}"/>
    <cellStyle name="Normal 2 3 4 5 28" xfId="59816" xr:uid="{00000000-0005-0000-0000-0000AAA20000}"/>
    <cellStyle name="Normal 2 3 4 5 29" xfId="61499" xr:uid="{00000000-0005-0000-0000-0000ABA20000}"/>
    <cellStyle name="Normal 2 3 4 5 3" xfId="4274" xr:uid="{00000000-0005-0000-0000-0000ACA20000}"/>
    <cellStyle name="Normal 2 3 4 5 3 2" xfId="19423" xr:uid="{00000000-0005-0000-0000-0000ADA20000}"/>
    <cellStyle name="Normal 2 3 4 5 30" xfId="63182" xr:uid="{00000000-0005-0000-0000-0000AEA20000}"/>
    <cellStyle name="Normal 2 3 4 5 4" xfId="5957" xr:uid="{00000000-0005-0000-0000-0000AFA20000}"/>
    <cellStyle name="Normal 2 3 4 5 4 2" xfId="21106" xr:uid="{00000000-0005-0000-0000-0000B0A20000}"/>
    <cellStyle name="Normal 2 3 4 5 5" xfId="7640" xr:uid="{00000000-0005-0000-0000-0000B1A20000}"/>
    <cellStyle name="Normal 2 3 4 5 5 2" xfId="22789" xr:uid="{00000000-0005-0000-0000-0000B2A20000}"/>
    <cellStyle name="Normal 2 3 4 5 6" xfId="9323" xr:uid="{00000000-0005-0000-0000-0000B3A20000}"/>
    <cellStyle name="Normal 2 3 4 5 6 2" xfId="24472" xr:uid="{00000000-0005-0000-0000-0000B4A20000}"/>
    <cellStyle name="Normal 2 3 4 5 7" xfId="11006" xr:uid="{00000000-0005-0000-0000-0000B5A20000}"/>
    <cellStyle name="Normal 2 3 4 5 7 2" xfId="26155" xr:uid="{00000000-0005-0000-0000-0000B6A20000}"/>
    <cellStyle name="Normal 2 3 4 5 8" xfId="12690" xr:uid="{00000000-0005-0000-0000-0000B7A20000}"/>
    <cellStyle name="Normal 2 3 4 5 8 2" xfId="27839" xr:uid="{00000000-0005-0000-0000-0000B8A20000}"/>
    <cellStyle name="Normal 2 3 4 5 9" xfId="14373" xr:uid="{00000000-0005-0000-0000-0000B9A20000}"/>
    <cellStyle name="Normal 2 3 4 5 9 2" xfId="29522" xr:uid="{00000000-0005-0000-0000-0000BAA20000}"/>
    <cellStyle name="Normal 2 3 4 6" xfId="1328" xr:uid="{00000000-0005-0000-0000-0000BBA20000}"/>
    <cellStyle name="Normal 2 3 4 6 10" xfId="16477" xr:uid="{00000000-0005-0000-0000-0000BCA20000}"/>
    <cellStyle name="Normal 2 3 4 6 11" xfId="31626" xr:uid="{00000000-0005-0000-0000-0000BDA20000}"/>
    <cellStyle name="Normal 2 3 4 6 12" xfId="33309" xr:uid="{00000000-0005-0000-0000-0000BEA20000}"/>
    <cellStyle name="Normal 2 3 4 6 13" xfId="34992" xr:uid="{00000000-0005-0000-0000-0000BFA20000}"/>
    <cellStyle name="Normal 2 3 4 6 14" xfId="36675" xr:uid="{00000000-0005-0000-0000-0000C0A20000}"/>
    <cellStyle name="Normal 2 3 4 6 15" xfId="38358" xr:uid="{00000000-0005-0000-0000-0000C1A20000}"/>
    <cellStyle name="Normal 2 3 4 6 16" xfId="40041" xr:uid="{00000000-0005-0000-0000-0000C2A20000}"/>
    <cellStyle name="Normal 2 3 4 6 17" xfId="41724" xr:uid="{00000000-0005-0000-0000-0000C3A20000}"/>
    <cellStyle name="Normal 2 3 4 6 18" xfId="43407" xr:uid="{00000000-0005-0000-0000-0000C4A20000}"/>
    <cellStyle name="Normal 2 3 4 6 19" xfId="45090" xr:uid="{00000000-0005-0000-0000-0000C5A20000}"/>
    <cellStyle name="Normal 2 3 4 6 2" xfId="3011" xr:uid="{00000000-0005-0000-0000-0000C6A20000}"/>
    <cellStyle name="Normal 2 3 4 6 2 2" xfId="18160" xr:uid="{00000000-0005-0000-0000-0000C7A20000}"/>
    <cellStyle name="Normal 2 3 4 6 20" xfId="46773" xr:uid="{00000000-0005-0000-0000-0000C8A20000}"/>
    <cellStyle name="Normal 2 3 4 6 21" xfId="48456" xr:uid="{00000000-0005-0000-0000-0000C9A20000}"/>
    <cellStyle name="Normal 2 3 4 6 22" xfId="50139" xr:uid="{00000000-0005-0000-0000-0000CAA20000}"/>
    <cellStyle name="Normal 2 3 4 6 23" xfId="51822" xr:uid="{00000000-0005-0000-0000-0000CBA20000}"/>
    <cellStyle name="Normal 2 3 4 6 24" xfId="53505" xr:uid="{00000000-0005-0000-0000-0000CCA20000}"/>
    <cellStyle name="Normal 2 3 4 6 25" xfId="55188" xr:uid="{00000000-0005-0000-0000-0000CDA20000}"/>
    <cellStyle name="Normal 2 3 4 6 26" xfId="56871" xr:uid="{00000000-0005-0000-0000-0000CEA20000}"/>
    <cellStyle name="Normal 2 3 4 6 27" xfId="58554" xr:uid="{00000000-0005-0000-0000-0000CFA20000}"/>
    <cellStyle name="Normal 2 3 4 6 28" xfId="60237" xr:uid="{00000000-0005-0000-0000-0000D0A20000}"/>
    <cellStyle name="Normal 2 3 4 6 29" xfId="61920" xr:uid="{00000000-0005-0000-0000-0000D1A20000}"/>
    <cellStyle name="Normal 2 3 4 6 3" xfId="4695" xr:uid="{00000000-0005-0000-0000-0000D2A20000}"/>
    <cellStyle name="Normal 2 3 4 6 3 2" xfId="19844" xr:uid="{00000000-0005-0000-0000-0000D3A20000}"/>
    <cellStyle name="Normal 2 3 4 6 30" xfId="63603" xr:uid="{00000000-0005-0000-0000-0000D4A20000}"/>
    <cellStyle name="Normal 2 3 4 6 4" xfId="6378" xr:uid="{00000000-0005-0000-0000-0000D5A20000}"/>
    <cellStyle name="Normal 2 3 4 6 4 2" xfId="21527" xr:uid="{00000000-0005-0000-0000-0000D6A20000}"/>
    <cellStyle name="Normal 2 3 4 6 5" xfId="8061" xr:uid="{00000000-0005-0000-0000-0000D7A20000}"/>
    <cellStyle name="Normal 2 3 4 6 5 2" xfId="23210" xr:uid="{00000000-0005-0000-0000-0000D8A20000}"/>
    <cellStyle name="Normal 2 3 4 6 6" xfId="9744" xr:uid="{00000000-0005-0000-0000-0000D9A20000}"/>
    <cellStyle name="Normal 2 3 4 6 6 2" xfId="24893" xr:uid="{00000000-0005-0000-0000-0000DAA20000}"/>
    <cellStyle name="Normal 2 3 4 6 7" xfId="11427" xr:uid="{00000000-0005-0000-0000-0000DBA20000}"/>
    <cellStyle name="Normal 2 3 4 6 7 2" xfId="26576" xr:uid="{00000000-0005-0000-0000-0000DCA20000}"/>
    <cellStyle name="Normal 2 3 4 6 8" xfId="13111" xr:uid="{00000000-0005-0000-0000-0000DDA20000}"/>
    <cellStyle name="Normal 2 3 4 6 8 2" xfId="28260" xr:uid="{00000000-0005-0000-0000-0000DEA20000}"/>
    <cellStyle name="Normal 2 3 4 6 9" xfId="14794" xr:uid="{00000000-0005-0000-0000-0000DFA20000}"/>
    <cellStyle name="Normal 2 3 4 6 9 2" xfId="29943" xr:uid="{00000000-0005-0000-0000-0000E0A20000}"/>
    <cellStyle name="Normal 2 3 4 7" xfId="1749" xr:uid="{00000000-0005-0000-0000-0000E1A20000}"/>
    <cellStyle name="Normal 2 3 4 7 2" xfId="16898" xr:uid="{00000000-0005-0000-0000-0000E2A20000}"/>
    <cellStyle name="Normal 2 3 4 8" xfId="3433" xr:uid="{00000000-0005-0000-0000-0000E3A20000}"/>
    <cellStyle name="Normal 2 3 4 8 2" xfId="18582" xr:uid="{00000000-0005-0000-0000-0000E4A20000}"/>
    <cellStyle name="Normal 2 3 4 9" xfId="5116" xr:uid="{00000000-0005-0000-0000-0000E5A20000}"/>
    <cellStyle name="Normal 2 3 4 9 2" xfId="20265" xr:uid="{00000000-0005-0000-0000-0000E6A20000}"/>
    <cellStyle name="Normal 2 3 5" xfId="53" xr:uid="{00000000-0005-0000-0000-0000E7A20000}"/>
    <cellStyle name="Normal 2 3 5 10" xfId="6808" xr:uid="{00000000-0005-0000-0000-0000E8A20000}"/>
    <cellStyle name="Normal 2 3 5 10 2" xfId="21957" xr:uid="{00000000-0005-0000-0000-0000E9A20000}"/>
    <cellStyle name="Normal 2 3 5 11" xfId="8491" xr:uid="{00000000-0005-0000-0000-0000EAA20000}"/>
    <cellStyle name="Normal 2 3 5 11 2" xfId="23640" xr:uid="{00000000-0005-0000-0000-0000EBA20000}"/>
    <cellStyle name="Normal 2 3 5 12" xfId="10174" xr:uid="{00000000-0005-0000-0000-0000ECA20000}"/>
    <cellStyle name="Normal 2 3 5 12 2" xfId="25323" xr:uid="{00000000-0005-0000-0000-0000EDA20000}"/>
    <cellStyle name="Normal 2 3 5 13" xfId="11858" xr:uid="{00000000-0005-0000-0000-0000EEA20000}"/>
    <cellStyle name="Normal 2 3 5 13 2" xfId="27007" xr:uid="{00000000-0005-0000-0000-0000EFA20000}"/>
    <cellStyle name="Normal 2 3 5 14" xfId="13541" xr:uid="{00000000-0005-0000-0000-0000F0A20000}"/>
    <cellStyle name="Normal 2 3 5 14 2" xfId="28690" xr:uid="{00000000-0005-0000-0000-0000F1A20000}"/>
    <cellStyle name="Normal 2 3 5 15" xfId="15224" xr:uid="{00000000-0005-0000-0000-0000F2A20000}"/>
    <cellStyle name="Normal 2 3 5 16" xfId="30373" xr:uid="{00000000-0005-0000-0000-0000F3A20000}"/>
    <cellStyle name="Normal 2 3 5 17" xfId="32056" xr:uid="{00000000-0005-0000-0000-0000F4A20000}"/>
    <cellStyle name="Normal 2 3 5 18" xfId="33739" xr:uid="{00000000-0005-0000-0000-0000F5A20000}"/>
    <cellStyle name="Normal 2 3 5 19" xfId="35422" xr:uid="{00000000-0005-0000-0000-0000F6A20000}"/>
    <cellStyle name="Normal 2 3 5 2" xfId="180" xr:uid="{00000000-0005-0000-0000-0000F7A20000}"/>
    <cellStyle name="Normal 2 3 5 2 10" xfId="8596" xr:uid="{00000000-0005-0000-0000-0000F8A20000}"/>
    <cellStyle name="Normal 2 3 5 2 10 2" xfId="23745" xr:uid="{00000000-0005-0000-0000-0000F9A20000}"/>
    <cellStyle name="Normal 2 3 5 2 11" xfId="10279" xr:uid="{00000000-0005-0000-0000-0000FAA20000}"/>
    <cellStyle name="Normal 2 3 5 2 11 2" xfId="25428" xr:uid="{00000000-0005-0000-0000-0000FBA20000}"/>
    <cellStyle name="Normal 2 3 5 2 12" xfId="11963" xr:uid="{00000000-0005-0000-0000-0000FCA20000}"/>
    <cellStyle name="Normal 2 3 5 2 12 2" xfId="27112" xr:uid="{00000000-0005-0000-0000-0000FDA20000}"/>
    <cellStyle name="Normal 2 3 5 2 13" xfId="13646" xr:uid="{00000000-0005-0000-0000-0000FEA20000}"/>
    <cellStyle name="Normal 2 3 5 2 13 2" xfId="28795" xr:uid="{00000000-0005-0000-0000-0000FFA20000}"/>
    <cellStyle name="Normal 2 3 5 2 14" xfId="15329" xr:uid="{00000000-0005-0000-0000-000000A30000}"/>
    <cellStyle name="Normal 2 3 5 2 15" xfId="30478" xr:uid="{00000000-0005-0000-0000-000001A30000}"/>
    <cellStyle name="Normal 2 3 5 2 16" xfId="32161" xr:uid="{00000000-0005-0000-0000-000002A30000}"/>
    <cellStyle name="Normal 2 3 5 2 17" xfId="33844" xr:uid="{00000000-0005-0000-0000-000003A30000}"/>
    <cellStyle name="Normal 2 3 5 2 18" xfId="35527" xr:uid="{00000000-0005-0000-0000-000004A30000}"/>
    <cellStyle name="Normal 2 3 5 2 19" xfId="37210" xr:uid="{00000000-0005-0000-0000-000005A30000}"/>
    <cellStyle name="Normal 2 3 5 2 2" xfId="390" xr:uid="{00000000-0005-0000-0000-000006A30000}"/>
    <cellStyle name="Normal 2 3 5 2 2 10" xfId="10489" xr:uid="{00000000-0005-0000-0000-000007A30000}"/>
    <cellStyle name="Normal 2 3 5 2 2 10 2" xfId="25638" xr:uid="{00000000-0005-0000-0000-000008A30000}"/>
    <cellStyle name="Normal 2 3 5 2 2 11" xfId="12173" xr:uid="{00000000-0005-0000-0000-000009A30000}"/>
    <cellStyle name="Normal 2 3 5 2 2 11 2" xfId="27322" xr:uid="{00000000-0005-0000-0000-00000AA30000}"/>
    <cellStyle name="Normal 2 3 5 2 2 12" xfId="13856" xr:uid="{00000000-0005-0000-0000-00000BA30000}"/>
    <cellStyle name="Normal 2 3 5 2 2 12 2" xfId="29005" xr:uid="{00000000-0005-0000-0000-00000CA30000}"/>
    <cellStyle name="Normal 2 3 5 2 2 13" xfId="15539" xr:uid="{00000000-0005-0000-0000-00000DA30000}"/>
    <cellStyle name="Normal 2 3 5 2 2 14" xfId="30688" xr:uid="{00000000-0005-0000-0000-00000EA30000}"/>
    <cellStyle name="Normal 2 3 5 2 2 15" xfId="32371" xr:uid="{00000000-0005-0000-0000-00000FA30000}"/>
    <cellStyle name="Normal 2 3 5 2 2 16" xfId="34054" xr:uid="{00000000-0005-0000-0000-000010A30000}"/>
    <cellStyle name="Normal 2 3 5 2 2 17" xfId="35737" xr:uid="{00000000-0005-0000-0000-000011A30000}"/>
    <cellStyle name="Normal 2 3 5 2 2 18" xfId="37420" xr:uid="{00000000-0005-0000-0000-000012A30000}"/>
    <cellStyle name="Normal 2 3 5 2 2 19" xfId="39103" xr:uid="{00000000-0005-0000-0000-000013A30000}"/>
    <cellStyle name="Normal 2 3 5 2 2 2" xfId="810" xr:uid="{00000000-0005-0000-0000-000014A30000}"/>
    <cellStyle name="Normal 2 3 5 2 2 2 10" xfId="15959" xr:uid="{00000000-0005-0000-0000-000015A30000}"/>
    <cellStyle name="Normal 2 3 5 2 2 2 11" xfId="31108" xr:uid="{00000000-0005-0000-0000-000016A30000}"/>
    <cellStyle name="Normal 2 3 5 2 2 2 12" xfId="32791" xr:uid="{00000000-0005-0000-0000-000017A30000}"/>
    <cellStyle name="Normal 2 3 5 2 2 2 13" xfId="34474" xr:uid="{00000000-0005-0000-0000-000018A30000}"/>
    <cellStyle name="Normal 2 3 5 2 2 2 14" xfId="36157" xr:uid="{00000000-0005-0000-0000-000019A30000}"/>
    <cellStyle name="Normal 2 3 5 2 2 2 15" xfId="37840" xr:uid="{00000000-0005-0000-0000-00001AA30000}"/>
    <cellStyle name="Normal 2 3 5 2 2 2 16" xfId="39523" xr:uid="{00000000-0005-0000-0000-00001BA30000}"/>
    <cellStyle name="Normal 2 3 5 2 2 2 17" xfId="41206" xr:uid="{00000000-0005-0000-0000-00001CA30000}"/>
    <cellStyle name="Normal 2 3 5 2 2 2 18" xfId="42889" xr:uid="{00000000-0005-0000-0000-00001DA30000}"/>
    <cellStyle name="Normal 2 3 5 2 2 2 19" xfId="44572" xr:uid="{00000000-0005-0000-0000-00001EA30000}"/>
    <cellStyle name="Normal 2 3 5 2 2 2 2" xfId="2493" xr:uid="{00000000-0005-0000-0000-00001FA30000}"/>
    <cellStyle name="Normal 2 3 5 2 2 2 2 2" xfId="17642" xr:uid="{00000000-0005-0000-0000-000020A30000}"/>
    <cellStyle name="Normal 2 3 5 2 2 2 20" xfId="46255" xr:uid="{00000000-0005-0000-0000-000021A30000}"/>
    <cellStyle name="Normal 2 3 5 2 2 2 21" xfId="47938" xr:uid="{00000000-0005-0000-0000-000022A30000}"/>
    <cellStyle name="Normal 2 3 5 2 2 2 22" xfId="49621" xr:uid="{00000000-0005-0000-0000-000023A30000}"/>
    <cellStyle name="Normal 2 3 5 2 2 2 23" xfId="51304" xr:uid="{00000000-0005-0000-0000-000024A30000}"/>
    <cellStyle name="Normal 2 3 5 2 2 2 24" xfId="52987" xr:uid="{00000000-0005-0000-0000-000025A30000}"/>
    <cellStyle name="Normal 2 3 5 2 2 2 25" xfId="54670" xr:uid="{00000000-0005-0000-0000-000026A30000}"/>
    <cellStyle name="Normal 2 3 5 2 2 2 26" xfId="56353" xr:uid="{00000000-0005-0000-0000-000027A30000}"/>
    <cellStyle name="Normal 2 3 5 2 2 2 27" xfId="58036" xr:uid="{00000000-0005-0000-0000-000028A30000}"/>
    <cellStyle name="Normal 2 3 5 2 2 2 28" xfId="59719" xr:uid="{00000000-0005-0000-0000-000029A30000}"/>
    <cellStyle name="Normal 2 3 5 2 2 2 29" xfId="61402" xr:uid="{00000000-0005-0000-0000-00002AA30000}"/>
    <cellStyle name="Normal 2 3 5 2 2 2 3" xfId="4177" xr:uid="{00000000-0005-0000-0000-00002BA30000}"/>
    <cellStyle name="Normal 2 3 5 2 2 2 3 2" xfId="19326" xr:uid="{00000000-0005-0000-0000-00002CA30000}"/>
    <cellStyle name="Normal 2 3 5 2 2 2 30" xfId="63085" xr:uid="{00000000-0005-0000-0000-00002DA30000}"/>
    <cellStyle name="Normal 2 3 5 2 2 2 4" xfId="5860" xr:uid="{00000000-0005-0000-0000-00002EA30000}"/>
    <cellStyle name="Normal 2 3 5 2 2 2 4 2" xfId="21009" xr:uid="{00000000-0005-0000-0000-00002FA30000}"/>
    <cellStyle name="Normal 2 3 5 2 2 2 5" xfId="7543" xr:uid="{00000000-0005-0000-0000-000030A30000}"/>
    <cellStyle name="Normal 2 3 5 2 2 2 5 2" xfId="22692" xr:uid="{00000000-0005-0000-0000-000031A30000}"/>
    <cellStyle name="Normal 2 3 5 2 2 2 6" xfId="9226" xr:uid="{00000000-0005-0000-0000-000032A30000}"/>
    <cellStyle name="Normal 2 3 5 2 2 2 6 2" xfId="24375" xr:uid="{00000000-0005-0000-0000-000033A30000}"/>
    <cellStyle name="Normal 2 3 5 2 2 2 7" xfId="10909" xr:uid="{00000000-0005-0000-0000-000034A30000}"/>
    <cellStyle name="Normal 2 3 5 2 2 2 7 2" xfId="26058" xr:uid="{00000000-0005-0000-0000-000035A30000}"/>
    <cellStyle name="Normal 2 3 5 2 2 2 8" xfId="12593" xr:uid="{00000000-0005-0000-0000-000036A30000}"/>
    <cellStyle name="Normal 2 3 5 2 2 2 8 2" xfId="27742" xr:uid="{00000000-0005-0000-0000-000037A30000}"/>
    <cellStyle name="Normal 2 3 5 2 2 2 9" xfId="14276" xr:uid="{00000000-0005-0000-0000-000038A30000}"/>
    <cellStyle name="Normal 2 3 5 2 2 2 9 2" xfId="29425" xr:uid="{00000000-0005-0000-0000-000039A30000}"/>
    <cellStyle name="Normal 2 3 5 2 2 20" xfId="40786" xr:uid="{00000000-0005-0000-0000-00003AA30000}"/>
    <cellStyle name="Normal 2 3 5 2 2 21" xfId="42469" xr:uid="{00000000-0005-0000-0000-00003BA30000}"/>
    <cellStyle name="Normal 2 3 5 2 2 22" xfId="44152" xr:uid="{00000000-0005-0000-0000-00003CA30000}"/>
    <cellStyle name="Normal 2 3 5 2 2 23" xfId="45835" xr:uid="{00000000-0005-0000-0000-00003DA30000}"/>
    <cellStyle name="Normal 2 3 5 2 2 24" xfId="47518" xr:uid="{00000000-0005-0000-0000-00003EA30000}"/>
    <cellStyle name="Normal 2 3 5 2 2 25" xfId="49201" xr:uid="{00000000-0005-0000-0000-00003FA30000}"/>
    <cellStyle name="Normal 2 3 5 2 2 26" xfId="50884" xr:uid="{00000000-0005-0000-0000-000040A30000}"/>
    <cellStyle name="Normal 2 3 5 2 2 27" xfId="52567" xr:uid="{00000000-0005-0000-0000-000041A30000}"/>
    <cellStyle name="Normal 2 3 5 2 2 28" xfId="54250" xr:uid="{00000000-0005-0000-0000-000042A30000}"/>
    <cellStyle name="Normal 2 3 5 2 2 29" xfId="55933" xr:uid="{00000000-0005-0000-0000-000043A30000}"/>
    <cellStyle name="Normal 2 3 5 2 2 3" xfId="1231" xr:uid="{00000000-0005-0000-0000-000044A30000}"/>
    <cellStyle name="Normal 2 3 5 2 2 3 10" xfId="16380" xr:uid="{00000000-0005-0000-0000-000045A30000}"/>
    <cellStyle name="Normal 2 3 5 2 2 3 11" xfId="31529" xr:uid="{00000000-0005-0000-0000-000046A30000}"/>
    <cellStyle name="Normal 2 3 5 2 2 3 12" xfId="33212" xr:uid="{00000000-0005-0000-0000-000047A30000}"/>
    <cellStyle name="Normal 2 3 5 2 2 3 13" xfId="34895" xr:uid="{00000000-0005-0000-0000-000048A30000}"/>
    <cellStyle name="Normal 2 3 5 2 2 3 14" xfId="36578" xr:uid="{00000000-0005-0000-0000-000049A30000}"/>
    <cellStyle name="Normal 2 3 5 2 2 3 15" xfId="38261" xr:uid="{00000000-0005-0000-0000-00004AA30000}"/>
    <cellStyle name="Normal 2 3 5 2 2 3 16" xfId="39944" xr:uid="{00000000-0005-0000-0000-00004BA30000}"/>
    <cellStyle name="Normal 2 3 5 2 2 3 17" xfId="41627" xr:uid="{00000000-0005-0000-0000-00004CA30000}"/>
    <cellStyle name="Normal 2 3 5 2 2 3 18" xfId="43310" xr:uid="{00000000-0005-0000-0000-00004DA30000}"/>
    <cellStyle name="Normal 2 3 5 2 2 3 19" xfId="44993" xr:uid="{00000000-0005-0000-0000-00004EA30000}"/>
    <cellStyle name="Normal 2 3 5 2 2 3 2" xfId="2914" xr:uid="{00000000-0005-0000-0000-00004FA30000}"/>
    <cellStyle name="Normal 2 3 5 2 2 3 2 2" xfId="18063" xr:uid="{00000000-0005-0000-0000-000050A30000}"/>
    <cellStyle name="Normal 2 3 5 2 2 3 20" xfId="46676" xr:uid="{00000000-0005-0000-0000-000051A30000}"/>
    <cellStyle name="Normal 2 3 5 2 2 3 21" xfId="48359" xr:uid="{00000000-0005-0000-0000-000052A30000}"/>
    <cellStyle name="Normal 2 3 5 2 2 3 22" xfId="50042" xr:uid="{00000000-0005-0000-0000-000053A30000}"/>
    <cellStyle name="Normal 2 3 5 2 2 3 23" xfId="51725" xr:uid="{00000000-0005-0000-0000-000054A30000}"/>
    <cellStyle name="Normal 2 3 5 2 2 3 24" xfId="53408" xr:uid="{00000000-0005-0000-0000-000055A30000}"/>
    <cellStyle name="Normal 2 3 5 2 2 3 25" xfId="55091" xr:uid="{00000000-0005-0000-0000-000056A30000}"/>
    <cellStyle name="Normal 2 3 5 2 2 3 26" xfId="56774" xr:uid="{00000000-0005-0000-0000-000057A30000}"/>
    <cellStyle name="Normal 2 3 5 2 2 3 27" xfId="58457" xr:uid="{00000000-0005-0000-0000-000058A30000}"/>
    <cellStyle name="Normal 2 3 5 2 2 3 28" xfId="60140" xr:uid="{00000000-0005-0000-0000-000059A30000}"/>
    <cellStyle name="Normal 2 3 5 2 2 3 29" xfId="61823" xr:uid="{00000000-0005-0000-0000-00005AA30000}"/>
    <cellStyle name="Normal 2 3 5 2 2 3 3" xfId="4598" xr:uid="{00000000-0005-0000-0000-00005BA30000}"/>
    <cellStyle name="Normal 2 3 5 2 2 3 3 2" xfId="19747" xr:uid="{00000000-0005-0000-0000-00005CA30000}"/>
    <cellStyle name="Normal 2 3 5 2 2 3 30" xfId="63506" xr:uid="{00000000-0005-0000-0000-00005DA30000}"/>
    <cellStyle name="Normal 2 3 5 2 2 3 4" xfId="6281" xr:uid="{00000000-0005-0000-0000-00005EA30000}"/>
    <cellStyle name="Normal 2 3 5 2 2 3 4 2" xfId="21430" xr:uid="{00000000-0005-0000-0000-00005FA30000}"/>
    <cellStyle name="Normal 2 3 5 2 2 3 5" xfId="7964" xr:uid="{00000000-0005-0000-0000-000060A30000}"/>
    <cellStyle name="Normal 2 3 5 2 2 3 5 2" xfId="23113" xr:uid="{00000000-0005-0000-0000-000061A30000}"/>
    <cellStyle name="Normal 2 3 5 2 2 3 6" xfId="9647" xr:uid="{00000000-0005-0000-0000-000062A30000}"/>
    <cellStyle name="Normal 2 3 5 2 2 3 6 2" xfId="24796" xr:uid="{00000000-0005-0000-0000-000063A30000}"/>
    <cellStyle name="Normal 2 3 5 2 2 3 7" xfId="11330" xr:uid="{00000000-0005-0000-0000-000064A30000}"/>
    <cellStyle name="Normal 2 3 5 2 2 3 7 2" xfId="26479" xr:uid="{00000000-0005-0000-0000-000065A30000}"/>
    <cellStyle name="Normal 2 3 5 2 2 3 8" xfId="13014" xr:uid="{00000000-0005-0000-0000-000066A30000}"/>
    <cellStyle name="Normal 2 3 5 2 2 3 8 2" xfId="28163" xr:uid="{00000000-0005-0000-0000-000067A30000}"/>
    <cellStyle name="Normal 2 3 5 2 2 3 9" xfId="14697" xr:uid="{00000000-0005-0000-0000-000068A30000}"/>
    <cellStyle name="Normal 2 3 5 2 2 3 9 2" xfId="29846" xr:uid="{00000000-0005-0000-0000-000069A30000}"/>
    <cellStyle name="Normal 2 3 5 2 2 30" xfId="57616" xr:uid="{00000000-0005-0000-0000-00006AA30000}"/>
    <cellStyle name="Normal 2 3 5 2 2 31" xfId="59299" xr:uid="{00000000-0005-0000-0000-00006BA30000}"/>
    <cellStyle name="Normal 2 3 5 2 2 32" xfId="60982" xr:uid="{00000000-0005-0000-0000-00006CA30000}"/>
    <cellStyle name="Normal 2 3 5 2 2 33" xfId="62665" xr:uid="{00000000-0005-0000-0000-00006DA30000}"/>
    <cellStyle name="Normal 2 3 5 2 2 4" xfId="1652" xr:uid="{00000000-0005-0000-0000-00006EA30000}"/>
    <cellStyle name="Normal 2 3 5 2 2 4 10" xfId="16801" xr:uid="{00000000-0005-0000-0000-00006FA30000}"/>
    <cellStyle name="Normal 2 3 5 2 2 4 11" xfId="31950" xr:uid="{00000000-0005-0000-0000-000070A30000}"/>
    <cellStyle name="Normal 2 3 5 2 2 4 12" xfId="33633" xr:uid="{00000000-0005-0000-0000-000071A30000}"/>
    <cellStyle name="Normal 2 3 5 2 2 4 13" xfId="35316" xr:uid="{00000000-0005-0000-0000-000072A30000}"/>
    <cellStyle name="Normal 2 3 5 2 2 4 14" xfId="36999" xr:uid="{00000000-0005-0000-0000-000073A30000}"/>
    <cellStyle name="Normal 2 3 5 2 2 4 15" xfId="38682" xr:uid="{00000000-0005-0000-0000-000074A30000}"/>
    <cellStyle name="Normal 2 3 5 2 2 4 16" xfId="40365" xr:uid="{00000000-0005-0000-0000-000075A30000}"/>
    <cellStyle name="Normal 2 3 5 2 2 4 17" xfId="42048" xr:uid="{00000000-0005-0000-0000-000076A30000}"/>
    <cellStyle name="Normal 2 3 5 2 2 4 18" xfId="43731" xr:uid="{00000000-0005-0000-0000-000077A30000}"/>
    <cellStyle name="Normal 2 3 5 2 2 4 19" xfId="45414" xr:uid="{00000000-0005-0000-0000-000078A30000}"/>
    <cellStyle name="Normal 2 3 5 2 2 4 2" xfId="3335" xr:uid="{00000000-0005-0000-0000-000079A30000}"/>
    <cellStyle name="Normal 2 3 5 2 2 4 2 2" xfId="18484" xr:uid="{00000000-0005-0000-0000-00007AA30000}"/>
    <cellStyle name="Normal 2 3 5 2 2 4 20" xfId="47097" xr:uid="{00000000-0005-0000-0000-00007BA30000}"/>
    <cellStyle name="Normal 2 3 5 2 2 4 21" xfId="48780" xr:uid="{00000000-0005-0000-0000-00007CA30000}"/>
    <cellStyle name="Normal 2 3 5 2 2 4 22" xfId="50463" xr:uid="{00000000-0005-0000-0000-00007DA30000}"/>
    <cellStyle name="Normal 2 3 5 2 2 4 23" xfId="52146" xr:uid="{00000000-0005-0000-0000-00007EA30000}"/>
    <cellStyle name="Normal 2 3 5 2 2 4 24" xfId="53829" xr:uid="{00000000-0005-0000-0000-00007FA30000}"/>
    <cellStyle name="Normal 2 3 5 2 2 4 25" xfId="55512" xr:uid="{00000000-0005-0000-0000-000080A30000}"/>
    <cellStyle name="Normal 2 3 5 2 2 4 26" xfId="57195" xr:uid="{00000000-0005-0000-0000-000081A30000}"/>
    <cellStyle name="Normal 2 3 5 2 2 4 27" xfId="58878" xr:uid="{00000000-0005-0000-0000-000082A30000}"/>
    <cellStyle name="Normal 2 3 5 2 2 4 28" xfId="60561" xr:uid="{00000000-0005-0000-0000-000083A30000}"/>
    <cellStyle name="Normal 2 3 5 2 2 4 29" xfId="62244" xr:uid="{00000000-0005-0000-0000-000084A30000}"/>
    <cellStyle name="Normal 2 3 5 2 2 4 3" xfId="5019" xr:uid="{00000000-0005-0000-0000-000085A30000}"/>
    <cellStyle name="Normal 2 3 5 2 2 4 3 2" xfId="20168" xr:uid="{00000000-0005-0000-0000-000086A30000}"/>
    <cellStyle name="Normal 2 3 5 2 2 4 30" xfId="63927" xr:uid="{00000000-0005-0000-0000-000087A30000}"/>
    <cellStyle name="Normal 2 3 5 2 2 4 4" xfId="6702" xr:uid="{00000000-0005-0000-0000-000088A30000}"/>
    <cellStyle name="Normal 2 3 5 2 2 4 4 2" xfId="21851" xr:uid="{00000000-0005-0000-0000-000089A30000}"/>
    <cellStyle name="Normal 2 3 5 2 2 4 5" xfId="8385" xr:uid="{00000000-0005-0000-0000-00008AA30000}"/>
    <cellStyle name="Normal 2 3 5 2 2 4 5 2" xfId="23534" xr:uid="{00000000-0005-0000-0000-00008BA30000}"/>
    <cellStyle name="Normal 2 3 5 2 2 4 6" xfId="10068" xr:uid="{00000000-0005-0000-0000-00008CA30000}"/>
    <cellStyle name="Normal 2 3 5 2 2 4 6 2" xfId="25217" xr:uid="{00000000-0005-0000-0000-00008DA30000}"/>
    <cellStyle name="Normal 2 3 5 2 2 4 7" xfId="11751" xr:uid="{00000000-0005-0000-0000-00008EA30000}"/>
    <cellStyle name="Normal 2 3 5 2 2 4 7 2" xfId="26900" xr:uid="{00000000-0005-0000-0000-00008FA30000}"/>
    <cellStyle name="Normal 2 3 5 2 2 4 8" xfId="13435" xr:uid="{00000000-0005-0000-0000-000090A30000}"/>
    <cellStyle name="Normal 2 3 5 2 2 4 8 2" xfId="28584" xr:uid="{00000000-0005-0000-0000-000091A30000}"/>
    <cellStyle name="Normal 2 3 5 2 2 4 9" xfId="15118" xr:uid="{00000000-0005-0000-0000-000092A30000}"/>
    <cellStyle name="Normal 2 3 5 2 2 4 9 2" xfId="30267" xr:uid="{00000000-0005-0000-0000-000093A30000}"/>
    <cellStyle name="Normal 2 3 5 2 2 5" xfId="2073" xr:uid="{00000000-0005-0000-0000-000094A30000}"/>
    <cellStyle name="Normal 2 3 5 2 2 5 2" xfId="17222" xr:uid="{00000000-0005-0000-0000-000095A30000}"/>
    <cellStyle name="Normal 2 3 5 2 2 6" xfId="3757" xr:uid="{00000000-0005-0000-0000-000096A30000}"/>
    <cellStyle name="Normal 2 3 5 2 2 6 2" xfId="18906" xr:uid="{00000000-0005-0000-0000-000097A30000}"/>
    <cellStyle name="Normal 2 3 5 2 2 7" xfId="5440" xr:uid="{00000000-0005-0000-0000-000098A30000}"/>
    <cellStyle name="Normal 2 3 5 2 2 7 2" xfId="20589" xr:uid="{00000000-0005-0000-0000-000099A30000}"/>
    <cellStyle name="Normal 2 3 5 2 2 8" xfId="7123" xr:uid="{00000000-0005-0000-0000-00009AA30000}"/>
    <cellStyle name="Normal 2 3 5 2 2 8 2" xfId="22272" xr:uid="{00000000-0005-0000-0000-00009BA30000}"/>
    <cellStyle name="Normal 2 3 5 2 2 9" xfId="8806" xr:uid="{00000000-0005-0000-0000-00009CA30000}"/>
    <cellStyle name="Normal 2 3 5 2 2 9 2" xfId="23955" xr:uid="{00000000-0005-0000-0000-00009DA30000}"/>
    <cellStyle name="Normal 2 3 5 2 20" xfId="38893" xr:uid="{00000000-0005-0000-0000-00009EA30000}"/>
    <cellStyle name="Normal 2 3 5 2 21" xfId="40576" xr:uid="{00000000-0005-0000-0000-00009FA30000}"/>
    <cellStyle name="Normal 2 3 5 2 22" xfId="42259" xr:uid="{00000000-0005-0000-0000-0000A0A30000}"/>
    <cellStyle name="Normal 2 3 5 2 23" xfId="43942" xr:uid="{00000000-0005-0000-0000-0000A1A30000}"/>
    <cellStyle name="Normal 2 3 5 2 24" xfId="45625" xr:uid="{00000000-0005-0000-0000-0000A2A30000}"/>
    <cellStyle name="Normal 2 3 5 2 25" xfId="47308" xr:uid="{00000000-0005-0000-0000-0000A3A30000}"/>
    <cellStyle name="Normal 2 3 5 2 26" xfId="48991" xr:uid="{00000000-0005-0000-0000-0000A4A30000}"/>
    <cellStyle name="Normal 2 3 5 2 27" xfId="50674" xr:uid="{00000000-0005-0000-0000-0000A5A30000}"/>
    <cellStyle name="Normal 2 3 5 2 28" xfId="52357" xr:uid="{00000000-0005-0000-0000-0000A6A30000}"/>
    <cellStyle name="Normal 2 3 5 2 29" xfId="54040" xr:uid="{00000000-0005-0000-0000-0000A7A30000}"/>
    <cellStyle name="Normal 2 3 5 2 3" xfId="600" xr:uid="{00000000-0005-0000-0000-0000A8A30000}"/>
    <cellStyle name="Normal 2 3 5 2 3 10" xfId="15749" xr:uid="{00000000-0005-0000-0000-0000A9A30000}"/>
    <cellStyle name="Normal 2 3 5 2 3 11" xfId="30898" xr:uid="{00000000-0005-0000-0000-0000AAA30000}"/>
    <cellStyle name="Normal 2 3 5 2 3 12" xfId="32581" xr:uid="{00000000-0005-0000-0000-0000ABA30000}"/>
    <cellStyle name="Normal 2 3 5 2 3 13" xfId="34264" xr:uid="{00000000-0005-0000-0000-0000ACA30000}"/>
    <cellStyle name="Normal 2 3 5 2 3 14" xfId="35947" xr:uid="{00000000-0005-0000-0000-0000ADA30000}"/>
    <cellStyle name="Normal 2 3 5 2 3 15" xfId="37630" xr:uid="{00000000-0005-0000-0000-0000AEA30000}"/>
    <cellStyle name="Normal 2 3 5 2 3 16" xfId="39313" xr:uid="{00000000-0005-0000-0000-0000AFA30000}"/>
    <cellStyle name="Normal 2 3 5 2 3 17" xfId="40996" xr:uid="{00000000-0005-0000-0000-0000B0A30000}"/>
    <cellStyle name="Normal 2 3 5 2 3 18" xfId="42679" xr:uid="{00000000-0005-0000-0000-0000B1A30000}"/>
    <cellStyle name="Normal 2 3 5 2 3 19" xfId="44362" xr:uid="{00000000-0005-0000-0000-0000B2A30000}"/>
    <cellStyle name="Normal 2 3 5 2 3 2" xfId="2283" xr:uid="{00000000-0005-0000-0000-0000B3A30000}"/>
    <cellStyle name="Normal 2 3 5 2 3 2 2" xfId="17432" xr:uid="{00000000-0005-0000-0000-0000B4A30000}"/>
    <cellStyle name="Normal 2 3 5 2 3 20" xfId="46045" xr:uid="{00000000-0005-0000-0000-0000B5A30000}"/>
    <cellStyle name="Normal 2 3 5 2 3 21" xfId="47728" xr:uid="{00000000-0005-0000-0000-0000B6A30000}"/>
    <cellStyle name="Normal 2 3 5 2 3 22" xfId="49411" xr:uid="{00000000-0005-0000-0000-0000B7A30000}"/>
    <cellStyle name="Normal 2 3 5 2 3 23" xfId="51094" xr:uid="{00000000-0005-0000-0000-0000B8A30000}"/>
    <cellStyle name="Normal 2 3 5 2 3 24" xfId="52777" xr:uid="{00000000-0005-0000-0000-0000B9A30000}"/>
    <cellStyle name="Normal 2 3 5 2 3 25" xfId="54460" xr:uid="{00000000-0005-0000-0000-0000BAA30000}"/>
    <cellStyle name="Normal 2 3 5 2 3 26" xfId="56143" xr:uid="{00000000-0005-0000-0000-0000BBA30000}"/>
    <cellStyle name="Normal 2 3 5 2 3 27" xfId="57826" xr:uid="{00000000-0005-0000-0000-0000BCA30000}"/>
    <cellStyle name="Normal 2 3 5 2 3 28" xfId="59509" xr:uid="{00000000-0005-0000-0000-0000BDA30000}"/>
    <cellStyle name="Normal 2 3 5 2 3 29" xfId="61192" xr:uid="{00000000-0005-0000-0000-0000BEA30000}"/>
    <cellStyle name="Normal 2 3 5 2 3 3" xfId="3967" xr:uid="{00000000-0005-0000-0000-0000BFA30000}"/>
    <cellStyle name="Normal 2 3 5 2 3 3 2" xfId="19116" xr:uid="{00000000-0005-0000-0000-0000C0A30000}"/>
    <cellStyle name="Normal 2 3 5 2 3 30" xfId="62875" xr:uid="{00000000-0005-0000-0000-0000C1A30000}"/>
    <cellStyle name="Normal 2 3 5 2 3 4" xfId="5650" xr:uid="{00000000-0005-0000-0000-0000C2A30000}"/>
    <cellStyle name="Normal 2 3 5 2 3 4 2" xfId="20799" xr:uid="{00000000-0005-0000-0000-0000C3A30000}"/>
    <cellStyle name="Normal 2 3 5 2 3 5" xfId="7333" xr:uid="{00000000-0005-0000-0000-0000C4A30000}"/>
    <cellStyle name="Normal 2 3 5 2 3 5 2" xfId="22482" xr:uid="{00000000-0005-0000-0000-0000C5A30000}"/>
    <cellStyle name="Normal 2 3 5 2 3 6" xfId="9016" xr:uid="{00000000-0005-0000-0000-0000C6A30000}"/>
    <cellStyle name="Normal 2 3 5 2 3 6 2" xfId="24165" xr:uid="{00000000-0005-0000-0000-0000C7A30000}"/>
    <cellStyle name="Normal 2 3 5 2 3 7" xfId="10699" xr:uid="{00000000-0005-0000-0000-0000C8A30000}"/>
    <cellStyle name="Normal 2 3 5 2 3 7 2" xfId="25848" xr:uid="{00000000-0005-0000-0000-0000C9A30000}"/>
    <cellStyle name="Normal 2 3 5 2 3 8" xfId="12383" xr:uid="{00000000-0005-0000-0000-0000CAA30000}"/>
    <cellStyle name="Normal 2 3 5 2 3 8 2" xfId="27532" xr:uid="{00000000-0005-0000-0000-0000CBA30000}"/>
    <cellStyle name="Normal 2 3 5 2 3 9" xfId="14066" xr:uid="{00000000-0005-0000-0000-0000CCA30000}"/>
    <cellStyle name="Normal 2 3 5 2 3 9 2" xfId="29215" xr:uid="{00000000-0005-0000-0000-0000CDA30000}"/>
    <cellStyle name="Normal 2 3 5 2 30" xfId="55723" xr:uid="{00000000-0005-0000-0000-0000CEA30000}"/>
    <cellStyle name="Normal 2 3 5 2 31" xfId="57406" xr:uid="{00000000-0005-0000-0000-0000CFA30000}"/>
    <cellStyle name="Normal 2 3 5 2 32" xfId="59089" xr:uid="{00000000-0005-0000-0000-0000D0A30000}"/>
    <cellStyle name="Normal 2 3 5 2 33" xfId="60772" xr:uid="{00000000-0005-0000-0000-0000D1A30000}"/>
    <cellStyle name="Normal 2 3 5 2 34" xfId="62455" xr:uid="{00000000-0005-0000-0000-0000D2A30000}"/>
    <cellStyle name="Normal 2 3 5 2 4" xfId="1021" xr:uid="{00000000-0005-0000-0000-0000D3A30000}"/>
    <cellStyle name="Normal 2 3 5 2 4 10" xfId="16170" xr:uid="{00000000-0005-0000-0000-0000D4A30000}"/>
    <cellStyle name="Normal 2 3 5 2 4 11" xfId="31319" xr:uid="{00000000-0005-0000-0000-0000D5A30000}"/>
    <cellStyle name="Normal 2 3 5 2 4 12" xfId="33002" xr:uid="{00000000-0005-0000-0000-0000D6A30000}"/>
    <cellStyle name="Normal 2 3 5 2 4 13" xfId="34685" xr:uid="{00000000-0005-0000-0000-0000D7A30000}"/>
    <cellStyle name="Normal 2 3 5 2 4 14" xfId="36368" xr:uid="{00000000-0005-0000-0000-0000D8A30000}"/>
    <cellStyle name="Normal 2 3 5 2 4 15" xfId="38051" xr:uid="{00000000-0005-0000-0000-0000D9A30000}"/>
    <cellStyle name="Normal 2 3 5 2 4 16" xfId="39734" xr:uid="{00000000-0005-0000-0000-0000DAA30000}"/>
    <cellStyle name="Normal 2 3 5 2 4 17" xfId="41417" xr:uid="{00000000-0005-0000-0000-0000DBA30000}"/>
    <cellStyle name="Normal 2 3 5 2 4 18" xfId="43100" xr:uid="{00000000-0005-0000-0000-0000DCA30000}"/>
    <cellStyle name="Normal 2 3 5 2 4 19" xfId="44783" xr:uid="{00000000-0005-0000-0000-0000DDA30000}"/>
    <cellStyle name="Normal 2 3 5 2 4 2" xfId="2704" xr:uid="{00000000-0005-0000-0000-0000DEA30000}"/>
    <cellStyle name="Normal 2 3 5 2 4 2 2" xfId="17853" xr:uid="{00000000-0005-0000-0000-0000DFA30000}"/>
    <cellStyle name="Normal 2 3 5 2 4 20" xfId="46466" xr:uid="{00000000-0005-0000-0000-0000E0A30000}"/>
    <cellStyle name="Normal 2 3 5 2 4 21" xfId="48149" xr:uid="{00000000-0005-0000-0000-0000E1A30000}"/>
    <cellStyle name="Normal 2 3 5 2 4 22" xfId="49832" xr:uid="{00000000-0005-0000-0000-0000E2A30000}"/>
    <cellStyle name="Normal 2 3 5 2 4 23" xfId="51515" xr:uid="{00000000-0005-0000-0000-0000E3A30000}"/>
    <cellStyle name="Normal 2 3 5 2 4 24" xfId="53198" xr:uid="{00000000-0005-0000-0000-0000E4A30000}"/>
    <cellStyle name="Normal 2 3 5 2 4 25" xfId="54881" xr:uid="{00000000-0005-0000-0000-0000E5A30000}"/>
    <cellStyle name="Normal 2 3 5 2 4 26" xfId="56564" xr:uid="{00000000-0005-0000-0000-0000E6A30000}"/>
    <cellStyle name="Normal 2 3 5 2 4 27" xfId="58247" xr:uid="{00000000-0005-0000-0000-0000E7A30000}"/>
    <cellStyle name="Normal 2 3 5 2 4 28" xfId="59930" xr:uid="{00000000-0005-0000-0000-0000E8A30000}"/>
    <cellStyle name="Normal 2 3 5 2 4 29" xfId="61613" xr:uid="{00000000-0005-0000-0000-0000E9A30000}"/>
    <cellStyle name="Normal 2 3 5 2 4 3" xfId="4388" xr:uid="{00000000-0005-0000-0000-0000EAA30000}"/>
    <cellStyle name="Normal 2 3 5 2 4 3 2" xfId="19537" xr:uid="{00000000-0005-0000-0000-0000EBA30000}"/>
    <cellStyle name="Normal 2 3 5 2 4 30" xfId="63296" xr:uid="{00000000-0005-0000-0000-0000ECA30000}"/>
    <cellStyle name="Normal 2 3 5 2 4 4" xfId="6071" xr:uid="{00000000-0005-0000-0000-0000EDA30000}"/>
    <cellStyle name="Normal 2 3 5 2 4 4 2" xfId="21220" xr:uid="{00000000-0005-0000-0000-0000EEA30000}"/>
    <cellStyle name="Normal 2 3 5 2 4 5" xfId="7754" xr:uid="{00000000-0005-0000-0000-0000EFA30000}"/>
    <cellStyle name="Normal 2 3 5 2 4 5 2" xfId="22903" xr:uid="{00000000-0005-0000-0000-0000F0A30000}"/>
    <cellStyle name="Normal 2 3 5 2 4 6" xfId="9437" xr:uid="{00000000-0005-0000-0000-0000F1A30000}"/>
    <cellStyle name="Normal 2 3 5 2 4 6 2" xfId="24586" xr:uid="{00000000-0005-0000-0000-0000F2A30000}"/>
    <cellStyle name="Normal 2 3 5 2 4 7" xfId="11120" xr:uid="{00000000-0005-0000-0000-0000F3A30000}"/>
    <cellStyle name="Normal 2 3 5 2 4 7 2" xfId="26269" xr:uid="{00000000-0005-0000-0000-0000F4A30000}"/>
    <cellStyle name="Normal 2 3 5 2 4 8" xfId="12804" xr:uid="{00000000-0005-0000-0000-0000F5A30000}"/>
    <cellStyle name="Normal 2 3 5 2 4 8 2" xfId="27953" xr:uid="{00000000-0005-0000-0000-0000F6A30000}"/>
    <cellStyle name="Normal 2 3 5 2 4 9" xfId="14487" xr:uid="{00000000-0005-0000-0000-0000F7A30000}"/>
    <cellStyle name="Normal 2 3 5 2 4 9 2" xfId="29636" xr:uid="{00000000-0005-0000-0000-0000F8A30000}"/>
    <cellStyle name="Normal 2 3 5 2 5" xfId="1442" xr:uid="{00000000-0005-0000-0000-0000F9A30000}"/>
    <cellStyle name="Normal 2 3 5 2 5 10" xfId="16591" xr:uid="{00000000-0005-0000-0000-0000FAA30000}"/>
    <cellStyle name="Normal 2 3 5 2 5 11" xfId="31740" xr:uid="{00000000-0005-0000-0000-0000FBA30000}"/>
    <cellStyle name="Normal 2 3 5 2 5 12" xfId="33423" xr:uid="{00000000-0005-0000-0000-0000FCA30000}"/>
    <cellStyle name="Normal 2 3 5 2 5 13" xfId="35106" xr:uid="{00000000-0005-0000-0000-0000FDA30000}"/>
    <cellStyle name="Normal 2 3 5 2 5 14" xfId="36789" xr:uid="{00000000-0005-0000-0000-0000FEA30000}"/>
    <cellStyle name="Normal 2 3 5 2 5 15" xfId="38472" xr:uid="{00000000-0005-0000-0000-0000FFA30000}"/>
    <cellStyle name="Normal 2 3 5 2 5 16" xfId="40155" xr:uid="{00000000-0005-0000-0000-000000A40000}"/>
    <cellStyle name="Normal 2 3 5 2 5 17" xfId="41838" xr:uid="{00000000-0005-0000-0000-000001A40000}"/>
    <cellStyle name="Normal 2 3 5 2 5 18" xfId="43521" xr:uid="{00000000-0005-0000-0000-000002A40000}"/>
    <cellStyle name="Normal 2 3 5 2 5 19" xfId="45204" xr:uid="{00000000-0005-0000-0000-000003A40000}"/>
    <cellStyle name="Normal 2 3 5 2 5 2" xfId="3125" xr:uid="{00000000-0005-0000-0000-000004A40000}"/>
    <cellStyle name="Normal 2 3 5 2 5 2 2" xfId="18274" xr:uid="{00000000-0005-0000-0000-000005A40000}"/>
    <cellStyle name="Normal 2 3 5 2 5 20" xfId="46887" xr:uid="{00000000-0005-0000-0000-000006A40000}"/>
    <cellStyle name="Normal 2 3 5 2 5 21" xfId="48570" xr:uid="{00000000-0005-0000-0000-000007A40000}"/>
    <cellStyle name="Normal 2 3 5 2 5 22" xfId="50253" xr:uid="{00000000-0005-0000-0000-000008A40000}"/>
    <cellStyle name="Normal 2 3 5 2 5 23" xfId="51936" xr:uid="{00000000-0005-0000-0000-000009A40000}"/>
    <cellStyle name="Normal 2 3 5 2 5 24" xfId="53619" xr:uid="{00000000-0005-0000-0000-00000AA40000}"/>
    <cellStyle name="Normal 2 3 5 2 5 25" xfId="55302" xr:uid="{00000000-0005-0000-0000-00000BA40000}"/>
    <cellStyle name="Normal 2 3 5 2 5 26" xfId="56985" xr:uid="{00000000-0005-0000-0000-00000CA40000}"/>
    <cellStyle name="Normal 2 3 5 2 5 27" xfId="58668" xr:uid="{00000000-0005-0000-0000-00000DA40000}"/>
    <cellStyle name="Normal 2 3 5 2 5 28" xfId="60351" xr:uid="{00000000-0005-0000-0000-00000EA40000}"/>
    <cellStyle name="Normal 2 3 5 2 5 29" xfId="62034" xr:uid="{00000000-0005-0000-0000-00000FA40000}"/>
    <cellStyle name="Normal 2 3 5 2 5 3" xfId="4809" xr:uid="{00000000-0005-0000-0000-000010A40000}"/>
    <cellStyle name="Normal 2 3 5 2 5 3 2" xfId="19958" xr:uid="{00000000-0005-0000-0000-000011A40000}"/>
    <cellStyle name="Normal 2 3 5 2 5 30" xfId="63717" xr:uid="{00000000-0005-0000-0000-000012A40000}"/>
    <cellStyle name="Normal 2 3 5 2 5 4" xfId="6492" xr:uid="{00000000-0005-0000-0000-000013A40000}"/>
    <cellStyle name="Normal 2 3 5 2 5 4 2" xfId="21641" xr:uid="{00000000-0005-0000-0000-000014A40000}"/>
    <cellStyle name="Normal 2 3 5 2 5 5" xfId="8175" xr:uid="{00000000-0005-0000-0000-000015A40000}"/>
    <cellStyle name="Normal 2 3 5 2 5 5 2" xfId="23324" xr:uid="{00000000-0005-0000-0000-000016A40000}"/>
    <cellStyle name="Normal 2 3 5 2 5 6" xfId="9858" xr:uid="{00000000-0005-0000-0000-000017A40000}"/>
    <cellStyle name="Normal 2 3 5 2 5 6 2" xfId="25007" xr:uid="{00000000-0005-0000-0000-000018A40000}"/>
    <cellStyle name="Normal 2 3 5 2 5 7" xfId="11541" xr:uid="{00000000-0005-0000-0000-000019A40000}"/>
    <cellStyle name="Normal 2 3 5 2 5 7 2" xfId="26690" xr:uid="{00000000-0005-0000-0000-00001AA40000}"/>
    <cellStyle name="Normal 2 3 5 2 5 8" xfId="13225" xr:uid="{00000000-0005-0000-0000-00001BA40000}"/>
    <cellStyle name="Normal 2 3 5 2 5 8 2" xfId="28374" xr:uid="{00000000-0005-0000-0000-00001CA40000}"/>
    <cellStyle name="Normal 2 3 5 2 5 9" xfId="14908" xr:uid="{00000000-0005-0000-0000-00001DA40000}"/>
    <cellStyle name="Normal 2 3 5 2 5 9 2" xfId="30057" xr:uid="{00000000-0005-0000-0000-00001EA40000}"/>
    <cellStyle name="Normal 2 3 5 2 6" xfId="1863" xr:uid="{00000000-0005-0000-0000-00001FA40000}"/>
    <cellStyle name="Normal 2 3 5 2 6 2" xfId="17012" xr:uid="{00000000-0005-0000-0000-000020A40000}"/>
    <cellStyle name="Normal 2 3 5 2 7" xfId="3547" xr:uid="{00000000-0005-0000-0000-000021A40000}"/>
    <cellStyle name="Normal 2 3 5 2 7 2" xfId="18696" xr:uid="{00000000-0005-0000-0000-000022A40000}"/>
    <cellStyle name="Normal 2 3 5 2 8" xfId="5230" xr:uid="{00000000-0005-0000-0000-000023A40000}"/>
    <cellStyle name="Normal 2 3 5 2 8 2" xfId="20379" xr:uid="{00000000-0005-0000-0000-000024A40000}"/>
    <cellStyle name="Normal 2 3 5 2 9" xfId="6913" xr:uid="{00000000-0005-0000-0000-000025A40000}"/>
    <cellStyle name="Normal 2 3 5 2 9 2" xfId="22062" xr:uid="{00000000-0005-0000-0000-000026A40000}"/>
    <cellStyle name="Normal 2 3 5 20" xfId="37105" xr:uid="{00000000-0005-0000-0000-000027A40000}"/>
    <cellStyle name="Normal 2 3 5 21" xfId="38788" xr:uid="{00000000-0005-0000-0000-000028A40000}"/>
    <cellStyle name="Normal 2 3 5 22" xfId="40471" xr:uid="{00000000-0005-0000-0000-000029A40000}"/>
    <cellStyle name="Normal 2 3 5 23" xfId="42154" xr:uid="{00000000-0005-0000-0000-00002AA40000}"/>
    <cellStyle name="Normal 2 3 5 24" xfId="43837" xr:uid="{00000000-0005-0000-0000-00002BA40000}"/>
    <cellStyle name="Normal 2 3 5 25" xfId="45520" xr:uid="{00000000-0005-0000-0000-00002CA40000}"/>
    <cellStyle name="Normal 2 3 5 26" xfId="47203" xr:uid="{00000000-0005-0000-0000-00002DA40000}"/>
    <cellStyle name="Normal 2 3 5 27" xfId="48886" xr:uid="{00000000-0005-0000-0000-00002EA40000}"/>
    <cellStyle name="Normal 2 3 5 28" xfId="50569" xr:uid="{00000000-0005-0000-0000-00002FA40000}"/>
    <cellStyle name="Normal 2 3 5 29" xfId="52252" xr:uid="{00000000-0005-0000-0000-000030A40000}"/>
    <cellStyle name="Normal 2 3 5 3" xfId="285" xr:uid="{00000000-0005-0000-0000-000031A40000}"/>
    <cellStyle name="Normal 2 3 5 3 10" xfId="10384" xr:uid="{00000000-0005-0000-0000-000032A40000}"/>
    <cellStyle name="Normal 2 3 5 3 10 2" xfId="25533" xr:uid="{00000000-0005-0000-0000-000033A40000}"/>
    <cellStyle name="Normal 2 3 5 3 11" xfId="12068" xr:uid="{00000000-0005-0000-0000-000034A40000}"/>
    <cellStyle name="Normal 2 3 5 3 11 2" xfId="27217" xr:uid="{00000000-0005-0000-0000-000035A40000}"/>
    <cellStyle name="Normal 2 3 5 3 12" xfId="13751" xr:uid="{00000000-0005-0000-0000-000036A40000}"/>
    <cellStyle name="Normal 2 3 5 3 12 2" xfId="28900" xr:uid="{00000000-0005-0000-0000-000037A40000}"/>
    <cellStyle name="Normal 2 3 5 3 13" xfId="15434" xr:uid="{00000000-0005-0000-0000-000038A40000}"/>
    <cellStyle name="Normal 2 3 5 3 14" xfId="30583" xr:uid="{00000000-0005-0000-0000-000039A40000}"/>
    <cellStyle name="Normal 2 3 5 3 15" xfId="32266" xr:uid="{00000000-0005-0000-0000-00003AA40000}"/>
    <cellStyle name="Normal 2 3 5 3 16" xfId="33949" xr:uid="{00000000-0005-0000-0000-00003BA40000}"/>
    <cellStyle name="Normal 2 3 5 3 17" xfId="35632" xr:uid="{00000000-0005-0000-0000-00003CA40000}"/>
    <cellStyle name="Normal 2 3 5 3 18" xfId="37315" xr:uid="{00000000-0005-0000-0000-00003DA40000}"/>
    <cellStyle name="Normal 2 3 5 3 19" xfId="38998" xr:uid="{00000000-0005-0000-0000-00003EA40000}"/>
    <cellStyle name="Normal 2 3 5 3 2" xfId="705" xr:uid="{00000000-0005-0000-0000-00003FA40000}"/>
    <cellStyle name="Normal 2 3 5 3 2 10" xfId="15854" xr:uid="{00000000-0005-0000-0000-000040A40000}"/>
    <cellStyle name="Normal 2 3 5 3 2 11" xfId="31003" xr:uid="{00000000-0005-0000-0000-000041A40000}"/>
    <cellStyle name="Normal 2 3 5 3 2 12" xfId="32686" xr:uid="{00000000-0005-0000-0000-000042A40000}"/>
    <cellStyle name="Normal 2 3 5 3 2 13" xfId="34369" xr:uid="{00000000-0005-0000-0000-000043A40000}"/>
    <cellStyle name="Normal 2 3 5 3 2 14" xfId="36052" xr:uid="{00000000-0005-0000-0000-000044A40000}"/>
    <cellStyle name="Normal 2 3 5 3 2 15" xfId="37735" xr:uid="{00000000-0005-0000-0000-000045A40000}"/>
    <cellStyle name="Normal 2 3 5 3 2 16" xfId="39418" xr:uid="{00000000-0005-0000-0000-000046A40000}"/>
    <cellStyle name="Normal 2 3 5 3 2 17" xfId="41101" xr:uid="{00000000-0005-0000-0000-000047A40000}"/>
    <cellStyle name="Normal 2 3 5 3 2 18" xfId="42784" xr:uid="{00000000-0005-0000-0000-000048A40000}"/>
    <cellStyle name="Normal 2 3 5 3 2 19" xfId="44467" xr:uid="{00000000-0005-0000-0000-000049A40000}"/>
    <cellStyle name="Normal 2 3 5 3 2 2" xfId="2388" xr:uid="{00000000-0005-0000-0000-00004AA40000}"/>
    <cellStyle name="Normal 2 3 5 3 2 2 2" xfId="17537" xr:uid="{00000000-0005-0000-0000-00004BA40000}"/>
    <cellStyle name="Normal 2 3 5 3 2 20" xfId="46150" xr:uid="{00000000-0005-0000-0000-00004CA40000}"/>
    <cellStyle name="Normal 2 3 5 3 2 21" xfId="47833" xr:uid="{00000000-0005-0000-0000-00004DA40000}"/>
    <cellStyle name="Normal 2 3 5 3 2 22" xfId="49516" xr:uid="{00000000-0005-0000-0000-00004EA40000}"/>
    <cellStyle name="Normal 2 3 5 3 2 23" xfId="51199" xr:uid="{00000000-0005-0000-0000-00004FA40000}"/>
    <cellStyle name="Normal 2 3 5 3 2 24" xfId="52882" xr:uid="{00000000-0005-0000-0000-000050A40000}"/>
    <cellStyle name="Normal 2 3 5 3 2 25" xfId="54565" xr:uid="{00000000-0005-0000-0000-000051A40000}"/>
    <cellStyle name="Normal 2 3 5 3 2 26" xfId="56248" xr:uid="{00000000-0005-0000-0000-000052A40000}"/>
    <cellStyle name="Normal 2 3 5 3 2 27" xfId="57931" xr:uid="{00000000-0005-0000-0000-000053A40000}"/>
    <cellStyle name="Normal 2 3 5 3 2 28" xfId="59614" xr:uid="{00000000-0005-0000-0000-000054A40000}"/>
    <cellStyle name="Normal 2 3 5 3 2 29" xfId="61297" xr:uid="{00000000-0005-0000-0000-000055A40000}"/>
    <cellStyle name="Normal 2 3 5 3 2 3" xfId="4072" xr:uid="{00000000-0005-0000-0000-000056A40000}"/>
    <cellStyle name="Normal 2 3 5 3 2 3 2" xfId="19221" xr:uid="{00000000-0005-0000-0000-000057A40000}"/>
    <cellStyle name="Normal 2 3 5 3 2 30" xfId="62980" xr:uid="{00000000-0005-0000-0000-000058A40000}"/>
    <cellStyle name="Normal 2 3 5 3 2 4" xfId="5755" xr:uid="{00000000-0005-0000-0000-000059A40000}"/>
    <cellStyle name="Normal 2 3 5 3 2 4 2" xfId="20904" xr:uid="{00000000-0005-0000-0000-00005AA40000}"/>
    <cellStyle name="Normal 2 3 5 3 2 5" xfId="7438" xr:uid="{00000000-0005-0000-0000-00005BA40000}"/>
    <cellStyle name="Normal 2 3 5 3 2 5 2" xfId="22587" xr:uid="{00000000-0005-0000-0000-00005CA40000}"/>
    <cellStyle name="Normal 2 3 5 3 2 6" xfId="9121" xr:uid="{00000000-0005-0000-0000-00005DA40000}"/>
    <cellStyle name="Normal 2 3 5 3 2 6 2" xfId="24270" xr:uid="{00000000-0005-0000-0000-00005EA40000}"/>
    <cellStyle name="Normal 2 3 5 3 2 7" xfId="10804" xr:uid="{00000000-0005-0000-0000-00005FA40000}"/>
    <cellStyle name="Normal 2 3 5 3 2 7 2" xfId="25953" xr:uid="{00000000-0005-0000-0000-000060A40000}"/>
    <cellStyle name="Normal 2 3 5 3 2 8" xfId="12488" xr:uid="{00000000-0005-0000-0000-000061A40000}"/>
    <cellStyle name="Normal 2 3 5 3 2 8 2" xfId="27637" xr:uid="{00000000-0005-0000-0000-000062A40000}"/>
    <cellStyle name="Normal 2 3 5 3 2 9" xfId="14171" xr:uid="{00000000-0005-0000-0000-000063A40000}"/>
    <cellStyle name="Normal 2 3 5 3 2 9 2" xfId="29320" xr:uid="{00000000-0005-0000-0000-000064A40000}"/>
    <cellStyle name="Normal 2 3 5 3 20" xfId="40681" xr:uid="{00000000-0005-0000-0000-000065A40000}"/>
    <cellStyle name="Normal 2 3 5 3 21" xfId="42364" xr:uid="{00000000-0005-0000-0000-000066A40000}"/>
    <cellStyle name="Normal 2 3 5 3 22" xfId="44047" xr:uid="{00000000-0005-0000-0000-000067A40000}"/>
    <cellStyle name="Normal 2 3 5 3 23" xfId="45730" xr:uid="{00000000-0005-0000-0000-000068A40000}"/>
    <cellStyle name="Normal 2 3 5 3 24" xfId="47413" xr:uid="{00000000-0005-0000-0000-000069A40000}"/>
    <cellStyle name="Normal 2 3 5 3 25" xfId="49096" xr:uid="{00000000-0005-0000-0000-00006AA40000}"/>
    <cellStyle name="Normal 2 3 5 3 26" xfId="50779" xr:uid="{00000000-0005-0000-0000-00006BA40000}"/>
    <cellStyle name="Normal 2 3 5 3 27" xfId="52462" xr:uid="{00000000-0005-0000-0000-00006CA40000}"/>
    <cellStyle name="Normal 2 3 5 3 28" xfId="54145" xr:uid="{00000000-0005-0000-0000-00006DA40000}"/>
    <cellStyle name="Normal 2 3 5 3 29" xfId="55828" xr:uid="{00000000-0005-0000-0000-00006EA40000}"/>
    <cellStyle name="Normal 2 3 5 3 3" xfId="1126" xr:uid="{00000000-0005-0000-0000-00006FA40000}"/>
    <cellStyle name="Normal 2 3 5 3 3 10" xfId="16275" xr:uid="{00000000-0005-0000-0000-000070A40000}"/>
    <cellStyle name="Normal 2 3 5 3 3 11" xfId="31424" xr:uid="{00000000-0005-0000-0000-000071A40000}"/>
    <cellStyle name="Normal 2 3 5 3 3 12" xfId="33107" xr:uid="{00000000-0005-0000-0000-000072A40000}"/>
    <cellStyle name="Normal 2 3 5 3 3 13" xfId="34790" xr:uid="{00000000-0005-0000-0000-000073A40000}"/>
    <cellStyle name="Normal 2 3 5 3 3 14" xfId="36473" xr:uid="{00000000-0005-0000-0000-000074A40000}"/>
    <cellStyle name="Normal 2 3 5 3 3 15" xfId="38156" xr:uid="{00000000-0005-0000-0000-000075A40000}"/>
    <cellStyle name="Normal 2 3 5 3 3 16" xfId="39839" xr:uid="{00000000-0005-0000-0000-000076A40000}"/>
    <cellStyle name="Normal 2 3 5 3 3 17" xfId="41522" xr:uid="{00000000-0005-0000-0000-000077A40000}"/>
    <cellStyle name="Normal 2 3 5 3 3 18" xfId="43205" xr:uid="{00000000-0005-0000-0000-000078A40000}"/>
    <cellStyle name="Normal 2 3 5 3 3 19" xfId="44888" xr:uid="{00000000-0005-0000-0000-000079A40000}"/>
    <cellStyle name="Normal 2 3 5 3 3 2" xfId="2809" xr:uid="{00000000-0005-0000-0000-00007AA40000}"/>
    <cellStyle name="Normal 2 3 5 3 3 2 2" xfId="17958" xr:uid="{00000000-0005-0000-0000-00007BA40000}"/>
    <cellStyle name="Normal 2 3 5 3 3 20" xfId="46571" xr:uid="{00000000-0005-0000-0000-00007CA40000}"/>
    <cellStyle name="Normal 2 3 5 3 3 21" xfId="48254" xr:uid="{00000000-0005-0000-0000-00007DA40000}"/>
    <cellStyle name="Normal 2 3 5 3 3 22" xfId="49937" xr:uid="{00000000-0005-0000-0000-00007EA40000}"/>
    <cellStyle name="Normal 2 3 5 3 3 23" xfId="51620" xr:uid="{00000000-0005-0000-0000-00007FA40000}"/>
    <cellStyle name="Normal 2 3 5 3 3 24" xfId="53303" xr:uid="{00000000-0005-0000-0000-000080A40000}"/>
    <cellStyle name="Normal 2 3 5 3 3 25" xfId="54986" xr:uid="{00000000-0005-0000-0000-000081A40000}"/>
    <cellStyle name="Normal 2 3 5 3 3 26" xfId="56669" xr:uid="{00000000-0005-0000-0000-000082A40000}"/>
    <cellStyle name="Normal 2 3 5 3 3 27" xfId="58352" xr:uid="{00000000-0005-0000-0000-000083A40000}"/>
    <cellStyle name="Normal 2 3 5 3 3 28" xfId="60035" xr:uid="{00000000-0005-0000-0000-000084A40000}"/>
    <cellStyle name="Normal 2 3 5 3 3 29" xfId="61718" xr:uid="{00000000-0005-0000-0000-000085A40000}"/>
    <cellStyle name="Normal 2 3 5 3 3 3" xfId="4493" xr:uid="{00000000-0005-0000-0000-000086A40000}"/>
    <cellStyle name="Normal 2 3 5 3 3 3 2" xfId="19642" xr:uid="{00000000-0005-0000-0000-000087A40000}"/>
    <cellStyle name="Normal 2 3 5 3 3 30" xfId="63401" xr:uid="{00000000-0005-0000-0000-000088A40000}"/>
    <cellStyle name="Normal 2 3 5 3 3 4" xfId="6176" xr:uid="{00000000-0005-0000-0000-000089A40000}"/>
    <cellStyle name="Normal 2 3 5 3 3 4 2" xfId="21325" xr:uid="{00000000-0005-0000-0000-00008AA40000}"/>
    <cellStyle name="Normal 2 3 5 3 3 5" xfId="7859" xr:uid="{00000000-0005-0000-0000-00008BA40000}"/>
    <cellStyle name="Normal 2 3 5 3 3 5 2" xfId="23008" xr:uid="{00000000-0005-0000-0000-00008CA40000}"/>
    <cellStyle name="Normal 2 3 5 3 3 6" xfId="9542" xr:uid="{00000000-0005-0000-0000-00008DA40000}"/>
    <cellStyle name="Normal 2 3 5 3 3 6 2" xfId="24691" xr:uid="{00000000-0005-0000-0000-00008EA40000}"/>
    <cellStyle name="Normal 2 3 5 3 3 7" xfId="11225" xr:uid="{00000000-0005-0000-0000-00008FA40000}"/>
    <cellStyle name="Normal 2 3 5 3 3 7 2" xfId="26374" xr:uid="{00000000-0005-0000-0000-000090A40000}"/>
    <cellStyle name="Normal 2 3 5 3 3 8" xfId="12909" xr:uid="{00000000-0005-0000-0000-000091A40000}"/>
    <cellStyle name="Normal 2 3 5 3 3 8 2" xfId="28058" xr:uid="{00000000-0005-0000-0000-000092A40000}"/>
    <cellStyle name="Normal 2 3 5 3 3 9" xfId="14592" xr:uid="{00000000-0005-0000-0000-000093A40000}"/>
    <cellStyle name="Normal 2 3 5 3 3 9 2" xfId="29741" xr:uid="{00000000-0005-0000-0000-000094A40000}"/>
    <cellStyle name="Normal 2 3 5 3 30" xfId="57511" xr:uid="{00000000-0005-0000-0000-000095A40000}"/>
    <cellStyle name="Normal 2 3 5 3 31" xfId="59194" xr:uid="{00000000-0005-0000-0000-000096A40000}"/>
    <cellStyle name="Normal 2 3 5 3 32" xfId="60877" xr:uid="{00000000-0005-0000-0000-000097A40000}"/>
    <cellStyle name="Normal 2 3 5 3 33" xfId="62560" xr:uid="{00000000-0005-0000-0000-000098A40000}"/>
    <cellStyle name="Normal 2 3 5 3 4" xfId="1547" xr:uid="{00000000-0005-0000-0000-000099A40000}"/>
    <cellStyle name="Normal 2 3 5 3 4 10" xfId="16696" xr:uid="{00000000-0005-0000-0000-00009AA40000}"/>
    <cellStyle name="Normal 2 3 5 3 4 11" xfId="31845" xr:uid="{00000000-0005-0000-0000-00009BA40000}"/>
    <cellStyle name="Normal 2 3 5 3 4 12" xfId="33528" xr:uid="{00000000-0005-0000-0000-00009CA40000}"/>
    <cellStyle name="Normal 2 3 5 3 4 13" xfId="35211" xr:uid="{00000000-0005-0000-0000-00009DA40000}"/>
    <cellStyle name="Normal 2 3 5 3 4 14" xfId="36894" xr:uid="{00000000-0005-0000-0000-00009EA40000}"/>
    <cellStyle name="Normal 2 3 5 3 4 15" xfId="38577" xr:uid="{00000000-0005-0000-0000-00009FA40000}"/>
    <cellStyle name="Normal 2 3 5 3 4 16" xfId="40260" xr:uid="{00000000-0005-0000-0000-0000A0A40000}"/>
    <cellStyle name="Normal 2 3 5 3 4 17" xfId="41943" xr:uid="{00000000-0005-0000-0000-0000A1A40000}"/>
    <cellStyle name="Normal 2 3 5 3 4 18" xfId="43626" xr:uid="{00000000-0005-0000-0000-0000A2A40000}"/>
    <cellStyle name="Normal 2 3 5 3 4 19" xfId="45309" xr:uid="{00000000-0005-0000-0000-0000A3A40000}"/>
    <cellStyle name="Normal 2 3 5 3 4 2" xfId="3230" xr:uid="{00000000-0005-0000-0000-0000A4A40000}"/>
    <cellStyle name="Normal 2 3 5 3 4 2 2" xfId="18379" xr:uid="{00000000-0005-0000-0000-0000A5A40000}"/>
    <cellStyle name="Normal 2 3 5 3 4 20" xfId="46992" xr:uid="{00000000-0005-0000-0000-0000A6A40000}"/>
    <cellStyle name="Normal 2 3 5 3 4 21" xfId="48675" xr:uid="{00000000-0005-0000-0000-0000A7A40000}"/>
    <cellStyle name="Normal 2 3 5 3 4 22" xfId="50358" xr:uid="{00000000-0005-0000-0000-0000A8A40000}"/>
    <cellStyle name="Normal 2 3 5 3 4 23" xfId="52041" xr:uid="{00000000-0005-0000-0000-0000A9A40000}"/>
    <cellStyle name="Normal 2 3 5 3 4 24" xfId="53724" xr:uid="{00000000-0005-0000-0000-0000AAA40000}"/>
    <cellStyle name="Normal 2 3 5 3 4 25" xfId="55407" xr:uid="{00000000-0005-0000-0000-0000ABA40000}"/>
    <cellStyle name="Normal 2 3 5 3 4 26" xfId="57090" xr:uid="{00000000-0005-0000-0000-0000ACA40000}"/>
    <cellStyle name="Normal 2 3 5 3 4 27" xfId="58773" xr:uid="{00000000-0005-0000-0000-0000ADA40000}"/>
    <cellStyle name="Normal 2 3 5 3 4 28" xfId="60456" xr:uid="{00000000-0005-0000-0000-0000AEA40000}"/>
    <cellStyle name="Normal 2 3 5 3 4 29" xfId="62139" xr:uid="{00000000-0005-0000-0000-0000AFA40000}"/>
    <cellStyle name="Normal 2 3 5 3 4 3" xfId="4914" xr:uid="{00000000-0005-0000-0000-0000B0A40000}"/>
    <cellStyle name="Normal 2 3 5 3 4 3 2" xfId="20063" xr:uid="{00000000-0005-0000-0000-0000B1A40000}"/>
    <cellStyle name="Normal 2 3 5 3 4 30" xfId="63822" xr:uid="{00000000-0005-0000-0000-0000B2A40000}"/>
    <cellStyle name="Normal 2 3 5 3 4 4" xfId="6597" xr:uid="{00000000-0005-0000-0000-0000B3A40000}"/>
    <cellStyle name="Normal 2 3 5 3 4 4 2" xfId="21746" xr:uid="{00000000-0005-0000-0000-0000B4A40000}"/>
    <cellStyle name="Normal 2 3 5 3 4 5" xfId="8280" xr:uid="{00000000-0005-0000-0000-0000B5A40000}"/>
    <cellStyle name="Normal 2 3 5 3 4 5 2" xfId="23429" xr:uid="{00000000-0005-0000-0000-0000B6A40000}"/>
    <cellStyle name="Normal 2 3 5 3 4 6" xfId="9963" xr:uid="{00000000-0005-0000-0000-0000B7A40000}"/>
    <cellStyle name="Normal 2 3 5 3 4 6 2" xfId="25112" xr:uid="{00000000-0005-0000-0000-0000B8A40000}"/>
    <cellStyle name="Normal 2 3 5 3 4 7" xfId="11646" xr:uid="{00000000-0005-0000-0000-0000B9A40000}"/>
    <cellStyle name="Normal 2 3 5 3 4 7 2" xfId="26795" xr:uid="{00000000-0005-0000-0000-0000BAA40000}"/>
    <cellStyle name="Normal 2 3 5 3 4 8" xfId="13330" xr:uid="{00000000-0005-0000-0000-0000BBA40000}"/>
    <cellStyle name="Normal 2 3 5 3 4 8 2" xfId="28479" xr:uid="{00000000-0005-0000-0000-0000BCA40000}"/>
    <cellStyle name="Normal 2 3 5 3 4 9" xfId="15013" xr:uid="{00000000-0005-0000-0000-0000BDA40000}"/>
    <cellStyle name="Normal 2 3 5 3 4 9 2" xfId="30162" xr:uid="{00000000-0005-0000-0000-0000BEA40000}"/>
    <cellStyle name="Normal 2 3 5 3 5" xfId="1968" xr:uid="{00000000-0005-0000-0000-0000BFA40000}"/>
    <cellStyle name="Normal 2 3 5 3 5 2" xfId="17117" xr:uid="{00000000-0005-0000-0000-0000C0A40000}"/>
    <cellStyle name="Normal 2 3 5 3 6" xfId="3652" xr:uid="{00000000-0005-0000-0000-0000C1A40000}"/>
    <cellStyle name="Normal 2 3 5 3 6 2" xfId="18801" xr:uid="{00000000-0005-0000-0000-0000C2A40000}"/>
    <cellStyle name="Normal 2 3 5 3 7" xfId="5335" xr:uid="{00000000-0005-0000-0000-0000C3A40000}"/>
    <cellStyle name="Normal 2 3 5 3 7 2" xfId="20484" xr:uid="{00000000-0005-0000-0000-0000C4A40000}"/>
    <cellStyle name="Normal 2 3 5 3 8" xfId="7018" xr:uid="{00000000-0005-0000-0000-0000C5A40000}"/>
    <cellStyle name="Normal 2 3 5 3 8 2" xfId="22167" xr:uid="{00000000-0005-0000-0000-0000C6A40000}"/>
    <cellStyle name="Normal 2 3 5 3 9" xfId="8701" xr:uid="{00000000-0005-0000-0000-0000C7A40000}"/>
    <cellStyle name="Normal 2 3 5 3 9 2" xfId="23850" xr:uid="{00000000-0005-0000-0000-0000C8A40000}"/>
    <cellStyle name="Normal 2 3 5 30" xfId="53935" xr:uid="{00000000-0005-0000-0000-0000C9A40000}"/>
    <cellStyle name="Normal 2 3 5 31" xfId="55618" xr:uid="{00000000-0005-0000-0000-0000CAA40000}"/>
    <cellStyle name="Normal 2 3 5 32" xfId="57301" xr:uid="{00000000-0005-0000-0000-0000CBA40000}"/>
    <cellStyle name="Normal 2 3 5 33" xfId="58984" xr:uid="{00000000-0005-0000-0000-0000CCA40000}"/>
    <cellStyle name="Normal 2 3 5 34" xfId="60667" xr:uid="{00000000-0005-0000-0000-0000CDA40000}"/>
    <cellStyle name="Normal 2 3 5 35" xfId="62350" xr:uid="{00000000-0005-0000-0000-0000CEA40000}"/>
    <cellStyle name="Normal 2 3 5 4" xfId="495" xr:uid="{00000000-0005-0000-0000-0000CFA40000}"/>
    <cellStyle name="Normal 2 3 5 4 10" xfId="15644" xr:uid="{00000000-0005-0000-0000-0000D0A40000}"/>
    <cellStyle name="Normal 2 3 5 4 11" xfId="30793" xr:uid="{00000000-0005-0000-0000-0000D1A40000}"/>
    <cellStyle name="Normal 2 3 5 4 12" xfId="32476" xr:uid="{00000000-0005-0000-0000-0000D2A40000}"/>
    <cellStyle name="Normal 2 3 5 4 13" xfId="34159" xr:uid="{00000000-0005-0000-0000-0000D3A40000}"/>
    <cellStyle name="Normal 2 3 5 4 14" xfId="35842" xr:uid="{00000000-0005-0000-0000-0000D4A40000}"/>
    <cellStyle name="Normal 2 3 5 4 15" xfId="37525" xr:uid="{00000000-0005-0000-0000-0000D5A40000}"/>
    <cellStyle name="Normal 2 3 5 4 16" xfId="39208" xr:uid="{00000000-0005-0000-0000-0000D6A40000}"/>
    <cellStyle name="Normal 2 3 5 4 17" xfId="40891" xr:uid="{00000000-0005-0000-0000-0000D7A40000}"/>
    <cellStyle name="Normal 2 3 5 4 18" xfId="42574" xr:uid="{00000000-0005-0000-0000-0000D8A40000}"/>
    <cellStyle name="Normal 2 3 5 4 19" xfId="44257" xr:uid="{00000000-0005-0000-0000-0000D9A40000}"/>
    <cellStyle name="Normal 2 3 5 4 2" xfId="2178" xr:uid="{00000000-0005-0000-0000-0000DAA40000}"/>
    <cellStyle name="Normal 2 3 5 4 2 2" xfId="17327" xr:uid="{00000000-0005-0000-0000-0000DBA40000}"/>
    <cellStyle name="Normal 2 3 5 4 20" xfId="45940" xr:uid="{00000000-0005-0000-0000-0000DCA40000}"/>
    <cellStyle name="Normal 2 3 5 4 21" xfId="47623" xr:uid="{00000000-0005-0000-0000-0000DDA40000}"/>
    <cellStyle name="Normal 2 3 5 4 22" xfId="49306" xr:uid="{00000000-0005-0000-0000-0000DEA40000}"/>
    <cellStyle name="Normal 2 3 5 4 23" xfId="50989" xr:uid="{00000000-0005-0000-0000-0000DFA40000}"/>
    <cellStyle name="Normal 2 3 5 4 24" xfId="52672" xr:uid="{00000000-0005-0000-0000-0000E0A40000}"/>
    <cellStyle name="Normal 2 3 5 4 25" xfId="54355" xr:uid="{00000000-0005-0000-0000-0000E1A40000}"/>
    <cellStyle name="Normal 2 3 5 4 26" xfId="56038" xr:uid="{00000000-0005-0000-0000-0000E2A40000}"/>
    <cellStyle name="Normal 2 3 5 4 27" xfId="57721" xr:uid="{00000000-0005-0000-0000-0000E3A40000}"/>
    <cellStyle name="Normal 2 3 5 4 28" xfId="59404" xr:uid="{00000000-0005-0000-0000-0000E4A40000}"/>
    <cellStyle name="Normal 2 3 5 4 29" xfId="61087" xr:uid="{00000000-0005-0000-0000-0000E5A40000}"/>
    <cellStyle name="Normal 2 3 5 4 3" xfId="3862" xr:uid="{00000000-0005-0000-0000-0000E6A40000}"/>
    <cellStyle name="Normal 2 3 5 4 3 2" xfId="19011" xr:uid="{00000000-0005-0000-0000-0000E7A40000}"/>
    <cellStyle name="Normal 2 3 5 4 30" xfId="62770" xr:uid="{00000000-0005-0000-0000-0000E8A40000}"/>
    <cellStyle name="Normal 2 3 5 4 4" xfId="5545" xr:uid="{00000000-0005-0000-0000-0000E9A40000}"/>
    <cellStyle name="Normal 2 3 5 4 4 2" xfId="20694" xr:uid="{00000000-0005-0000-0000-0000EAA40000}"/>
    <cellStyle name="Normal 2 3 5 4 5" xfId="7228" xr:uid="{00000000-0005-0000-0000-0000EBA40000}"/>
    <cellStyle name="Normal 2 3 5 4 5 2" xfId="22377" xr:uid="{00000000-0005-0000-0000-0000ECA40000}"/>
    <cellStyle name="Normal 2 3 5 4 6" xfId="8911" xr:uid="{00000000-0005-0000-0000-0000EDA40000}"/>
    <cellStyle name="Normal 2 3 5 4 6 2" xfId="24060" xr:uid="{00000000-0005-0000-0000-0000EEA40000}"/>
    <cellStyle name="Normal 2 3 5 4 7" xfId="10594" xr:uid="{00000000-0005-0000-0000-0000EFA40000}"/>
    <cellStyle name="Normal 2 3 5 4 7 2" xfId="25743" xr:uid="{00000000-0005-0000-0000-0000F0A40000}"/>
    <cellStyle name="Normal 2 3 5 4 8" xfId="12278" xr:uid="{00000000-0005-0000-0000-0000F1A40000}"/>
    <cellStyle name="Normal 2 3 5 4 8 2" xfId="27427" xr:uid="{00000000-0005-0000-0000-0000F2A40000}"/>
    <cellStyle name="Normal 2 3 5 4 9" xfId="13961" xr:uid="{00000000-0005-0000-0000-0000F3A40000}"/>
    <cellStyle name="Normal 2 3 5 4 9 2" xfId="29110" xr:uid="{00000000-0005-0000-0000-0000F4A40000}"/>
    <cellStyle name="Normal 2 3 5 5" xfId="916" xr:uid="{00000000-0005-0000-0000-0000F5A40000}"/>
    <cellStyle name="Normal 2 3 5 5 10" xfId="16065" xr:uid="{00000000-0005-0000-0000-0000F6A40000}"/>
    <cellStyle name="Normal 2 3 5 5 11" xfId="31214" xr:uid="{00000000-0005-0000-0000-0000F7A40000}"/>
    <cellStyle name="Normal 2 3 5 5 12" xfId="32897" xr:uid="{00000000-0005-0000-0000-0000F8A40000}"/>
    <cellStyle name="Normal 2 3 5 5 13" xfId="34580" xr:uid="{00000000-0005-0000-0000-0000F9A40000}"/>
    <cellStyle name="Normal 2 3 5 5 14" xfId="36263" xr:uid="{00000000-0005-0000-0000-0000FAA40000}"/>
    <cellStyle name="Normal 2 3 5 5 15" xfId="37946" xr:uid="{00000000-0005-0000-0000-0000FBA40000}"/>
    <cellStyle name="Normal 2 3 5 5 16" xfId="39629" xr:uid="{00000000-0005-0000-0000-0000FCA40000}"/>
    <cellStyle name="Normal 2 3 5 5 17" xfId="41312" xr:uid="{00000000-0005-0000-0000-0000FDA40000}"/>
    <cellStyle name="Normal 2 3 5 5 18" xfId="42995" xr:uid="{00000000-0005-0000-0000-0000FEA40000}"/>
    <cellStyle name="Normal 2 3 5 5 19" xfId="44678" xr:uid="{00000000-0005-0000-0000-0000FFA40000}"/>
    <cellStyle name="Normal 2 3 5 5 2" xfId="2599" xr:uid="{00000000-0005-0000-0000-000000A50000}"/>
    <cellStyle name="Normal 2 3 5 5 2 2" xfId="17748" xr:uid="{00000000-0005-0000-0000-000001A50000}"/>
    <cellStyle name="Normal 2 3 5 5 20" xfId="46361" xr:uid="{00000000-0005-0000-0000-000002A50000}"/>
    <cellStyle name="Normal 2 3 5 5 21" xfId="48044" xr:uid="{00000000-0005-0000-0000-000003A50000}"/>
    <cellStyle name="Normal 2 3 5 5 22" xfId="49727" xr:uid="{00000000-0005-0000-0000-000004A50000}"/>
    <cellStyle name="Normal 2 3 5 5 23" xfId="51410" xr:uid="{00000000-0005-0000-0000-000005A50000}"/>
    <cellStyle name="Normal 2 3 5 5 24" xfId="53093" xr:uid="{00000000-0005-0000-0000-000006A50000}"/>
    <cellStyle name="Normal 2 3 5 5 25" xfId="54776" xr:uid="{00000000-0005-0000-0000-000007A50000}"/>
    <cellStyle name="Normal 2 3 5 5 26" xfId="56459" xr:uid="{00000000-0005-0000-0000-000008A50000}"/>
    <cellStyle name="Normal 2 3 5 5 27" xfId="58142" xr:uid="{00000000-0005-0000-0000-000009A50000}"/>
    <cellStyle name="Normal 2 3 5 5 28" xfId="59825" xr:uid="{00000000-0005-0000-0000-00000AA50000}"/>
    <cellStyle name="Normal 2 3 5 5 29" xfId="61508" xr:uid="{00000000-0005-0000-0000-00000BA50000}"/>
    <cellStyle name="Normal 2 3 5 5 3" xfId="4283" xr:uid="{00000000-0005-0000-0000-00000CA50000}"/>
    <cellStyle name="Normal 2 3 5 5 3 2" xfId="19432" xr:uid="{00000000-0005-0000-0000-00000DA50000}"/>
    <cellStyle name="Normal 2 3 5 5 30" xfId="63191" xr:uid="{00000000-0005-0000-0000-00000EA50000}"/>
    <cellStyle name="Normal 2 3 5 5 4" xfId="5966" xr:uid="{00000000-0005-0000-0000-00000FA50000}"/>
    <cellStyle name="Normal 2 3 5 5 4 2" xfId="21115" xr:uid="{00000000-0005-0000-0000-000010A50000}"/>
    <cellStyle name="Normal 2 3 5 5 5" xfId="7649" xr:uid="{00000000-0005-0000-0000-000011A50000}"/>
    <cellStyle name="Normal 2 3 5 5 5 2" xfId="22798" xr:uid="{00000000-0005-0000-0000-000012A50000}"/>
    <cellStyle name="Normal 2 3 5 5 6" xfId="9332" xr:uid="{00000000-0005-0000-0000-000013A50000}"/>
    <cellStyle name="Normal 2 3 5 5 6 2" xfId="24481" xr:uid="{00000000-0005-0000-0000-000014A50000}"/>
    <cellStyle name="Normal 2 3 5 5 7" xfId="11015" xr:uid="{00000000-0005-0000-0000-000015A50000}"/>
    <cellStyle name="Normal 2 3 5 5 7 2" xfId="26164" xr:uid="{00000000-0005-0000-0000-000016A50000}"/>
    <cellStyle name="Normal 2 3 5 5 8" xfId="12699" xr:uid="{00000000-0005-0000-0000-000017A50000}"/>
    <cellStyle name="Normal 2 3 5 5 8 2" xfId="27848" xr:uid="{00000000-0005-0000-0000-000018A50000}"/>
    <cellStyle name="Normal 2 3 5 5 9" xfId="14382" xr:uid="{00000000-0005-0000-0000-000019A50000}"/>
    <cellStyle name="Normal 2 3 5 5 9 2" xfId="29531" xr:uid="{00000000-0005-0000-0000-00001AA50000}"/>
    <cellStyle name="Normal 2 3 5 6" xfId="1337" xr:uid="{00000000-0005-0000-0000-00001BA50000}"/>
    <cellStyle name="Normal 2 3 5 6 10" xfId="16486" xr:uid="{00000000-0005-0000-0000-00001CA50000}"/>
    <cellStyle name="Normal 2 3 5 6 11" xfId="31635" xr:uid="{00000000-0005-0000-0000-00001DA50000}"/>
    <cellStyle name="Normal 2 3 5 6 12" xfId="33318" xr:uid="{00000000-0005-0000-0000-00001EA50000}"/>
    <cellStyle name="Normal 2 3 5 6 13" xfId="35001" xr:uid="{00000000-0005-0000-0000-00001FA50000}"/>
    <cellStyle name="Normal 2 3 5 6 14" xfId="36684" xr:uid="{00000000-0005-0000-0000-000020A50000}"/>
    <cellStyle name="Normal 2 3 5 6 15" xfId="38367" xr:uid="{00000000-0005-0000-0000-000021A50000}"/>
    <cellStyle name="Normal 2 3 5 6 16" xfId="40050" xr:uid="{00000000-0005-0000-0000-000022A50000}"/>
    <cellStyle name="Normal 2 3 5 6 17" xfId="41733" xr:uid="{00000000-0005-0000-0000-000023A50000}"/>
    <cellStyle name="Normal 2 3 5 6 18" xfId="43416" xr:uid="{00000000-0005-0000-0000-000024A50000}"/>
    <cellStyle name="Normal 2 3 5 6 19" xfId="45099" xr:uid="{00000000-0005-0000-0000-000025A50000}"/>
    <cellStyle name="Normal 2 3 5 6 2" xfId="3020" xr:uid="{00000000-0005-0000-0000-000026A50000}"/>
    <cellStyle name="Normal 2 3 5 6 2 2" xfId="18169" xr:uid="{00000000-0005-0000-0000-000027A50000}"/>
    <cellStyle name="Normal 2 3 5 6 20" xfId="46782" xr:uid="{00000000-0005-0000-0000-000028A50000}"/>
    <cellStyle name="Normal 2 3 5 6 21" xfId="48465" xr:uid="{00000000-0005-0000-0000-000029A50000}"/>
    <cellStyle name="Normal 2 3 5 6 22" xfId="50148" xr:uid="{00000000-0005-0000-0000-00002AA50000}"/>
    <cellStyle name="Normal 2 3 5 6 23" xfId="51831" xr:uid="{00000000-0005-0000-0000-00002BA50000}"/>
    <cellStyle name="Normal 2 3 5 6 24" xfId="53514" xr:uid="{00000000-0005-0000-0000-00002CA50000}"/>
    <cellStyle name="Normal 2 3 5 6 25" xfId="55197" xr:uid="{00000000-0005-0000-0000-00002DA50000}"/>
    <cellStyle name="Normal 2 3 5 6 26" xfId="56880" xr:uid="{00000000-0005-0000-0000-00002EA50000}"/>
    <cellStyle name="Normal 2 3 5 6 27" xfId="58563" xr:uid="{00000000-0005-0000-0000-00002FA50000}"/>
    <cellStyle name="Normal 2 3 5 6 28" xfId="60246" xr:uid="{00000000-0005-0000-0000-000030A50000}"/>
    <cellStyle name="Normal 2 3 5 6 29" xfId="61929" xr:uid="{00000000-0005-0000-0000-000031A50000}"/>
    <cellStyle name="Normal 2 3 5 6 3" xfId="4704" xr:uid="{00000000-0005-0000-0000-000032A50000}"/>
    <cellStyle name="Normal 2 3 5 6 3 2" xfId="19853" xr:uid="{00000000-0005-0000-0000-000033A50000}"/>
    <cellStyle name="Normal 2 3 5 6 30" xfId="63612" xr:uid="{00000000-0005-0000-0000-000034A50000}"/>
    <cellStyle name="Normal 2 3 5 6 4" xfId="6387" xr:uid="{00000000-0005-0000-0000-000035A50000}"/>
    <cellStyle name="Normal 2 3 5 6 4 2" xfId="21536" xr:uid="{00000000-0005-0000-0000-000036A50000}"/>
    <cellStyle name="Normal 2 3 5 6 5" xfId="8070" xr:uid="{00000000-0005-0000-0000-000037A50000}"/>
    <cellStyle name="Normal 2 3 5 6 5 2" xfId="23219" xr:uid="{00000000-0005-0000-0000-000038A50000}"/>
    <cellStyle name="Normal 2 3 5 6 6" xfId="9753" xr:uid="{00000000-0005-0000-0000-000039A50000}"/>
    <cellStyle name="Normal 2 3 5 6 6 2" xfId="24902" xr:uid="{00000000-0005-0000-0000-00003AA50000}"/>
    <cellStyle name="Normal 2 3 5 6 7" xfId="11436" xr:uid="{00000000-0005-0000-0000-00003BA50000}"/>
    <cellStyle name="Normal 2 3 5 6 7 2" xfId="26585" xr:uid="{00000000-0005-0000-0000-00003CA50000}"/>
    <cellStyle name="Normal 2 3 5 6 8" xfId="13120" xr:uid="{00000000-0005-0000-0000-00003DA50000}"/>
    <cellStyle name="Normal 2 3 5 6 8 2" xfId="28269" xr:uid="{00000000-0005-0000-0000-00003EA50000}"/>
    <cellStyle name="Normal 2 3 5 6 9" xfId="14803" xr:uid="{00000000-0005-0000-0000-00003FA50000}"/>
    <cellStyle name="Normal 2 3 5 6 9 2" xfId="29952" xr:uid="{00000000-0005-0000-0000-000040A50000}"/>
    <cellStyle name="Normal 2 3 5 7" xfId="1758" xr:uid="{00000000-0005-0000-0000-000041A50000}"/>
    <cellStyle name="Normal 2 3 5 7 2" xfId="16907" xr:uid="{00000000-0005-0000-0000-000042A50000}"/>
    <cellStyle name="Normal 2 3 5 8" xfId="3442" xr:uid="{00000000-0005-0000-0000-000043A50000}"/>
    <cellStyle name="Normal 2 3 5 8 2" xfId="18591" xr:uid="{00000000-0005-0000-0000-000044A50000}"/>
    <cellStyle name="Normal 2 3 5 9" xfId="5125" xr:uid="{00000000-0005-0000-0000-000045A50000}"/>
    <cellStyle name="Normal 2 3 5 9 2" xfId="20274" xr:uid="{00000000-0005-0000-0000-000046A50000}"/>
    <cellStyle name="Normal 2 3 6" xfId="140" xr:uid="{00000000-0005-0000-0000-000047A50000}"/>
    <cellStyle name="Normal 2 3 6 10" xfId="8556" xr:uid="{00000000-0005-0000-0000-000048A50000}"/>
    <cellStyle name="Normal 2 3 6 10 2" xfId="23705" xr:uid="{00000000-0005-0000-0000-000049A50000}"/>
    <cellStyle name="Normal 2 3 6 11" xfId="10239" xr:uid="{00000000-0005-0000-0000-00004AA50000}"/>
    <cellStyle name="Normal 2 3 6 11 2" xfId="25388" xr:uid="{00000000-0005-0000-0000-00004BA50000}"/>
    <cellStyle name="Normal 2 3 6 12" xfId="11923" xr:uid="{00000000-0005-0000-0000-00004CA50000}"/>
    <cellStyle name="Normal 2 3 6 12 2" xfId="27072" xr:uid="{00000000-0005-0000-0000-00004DA50000}"/>
    <cellStyle name="Normal 2 3 6 13" xfId="13606" xr:uid="{00000000-0005-0000-0000-00004EA50000}"/>
    <cellStyle name="Normal 2 3 6 13 2" xfId="28755" xr:uid="{00000000-0005-0000-0000-00004FA50000}"/>
    <cellStyle name="Normal 2 3 6 14" xfId="15289" xr:uid="{00000000-0005-0000-0000-000050A50000}"/>
    <cellStyle name="Normal 2 3 6 15" xfId="30438" xr:uid="{00000000-0005-0000-0000-000051A50000}"/>
    <cellStyle name="Normal 2 3 6 16" xfId="32121" xr:uid="{00000000-0005-0000-0000-000052A50000}"/>
    <cellStyle name="Normal 2 3 6 17" xfId="33804" xr:uid="{00000000-0005-0000-0000-000053A50000}"/>
    <cellStyle name="Normal 2 3 6 18" xfId="35487" xr:uid="{00000000-0005-0000-0000-000054A50000}"/>
    <cellStyle name="Normal 2 3 6 19" xfId="37170" xr:uid="{00000000-0005-0000-0000-000055A50000}"/>
    <cellStyle name="Normal 2 3 6 2" xfId="350" xr:uid="{00000000-0005-0000-0000-000056A50000}"/>
    <cellStyle name="Normal 2 3 6 2 10" xfId="10449" xr:uid="{00000000-0005-0000-0000-000057A50000}"/>
    <cellStyle name="Normal 2 3 6 2 10 2" xfId="25598" xr:uid="{00000000-0005-0000-0000-000058A50000}"/>
    <cellStyle name="Normal 2 3 6 2 11" xfId="12133" xr:uid="{00000000-0005-0000-0000-000059A50000}"/>
    <cellStyle name="Normal 2 3 6 2 11 2" xfId="27282" xr:uid="{00000000-0005-0000-0000-00005AA50000}"/>
    <cellStyle name="Normal 2 3 6 2 12" xfId="13816" xr:uid="{00000000-0005-0000-0000-00005BA50000}"/>
    <cellStyle name="Normal 2 3 6 2 12 2" xfId="28965" xr:uid="{00000000-0005-0000-0000-00005CA50000}"/>
    <cellStyle name="Normal 2 3 6 2 13" xfId="15499" xr:uid="{00000000-0005-0000-0000-00005DA50000}"/>
    <cellStyle name="Normal 2 3 6 2 14" xfId="30648" xr:uid="{00000000-0005-0000-0000-00005EA50000}"/>
    <cellStyle name="Normal 2 3 6 2 15" xfId="32331" xr:uid="{00000000-0005-0000-0000-00005FA50000}"/>
    <cellStyle name="Normal 2 3 6 2 16" xfId="34014" xr:uid="{00000000-0005-0000-0000-000060A50000}"/>
    <cellStyle name="Normal 2 3 6 2 17" xfId="35697" xr:uid="{00000000-0005-0000-0000-000061A50000}"/>
    <cellStyle name="Normal 2 3 6 2 18" xfId="37380" xr:uid="{00000000-0005-0000-0000-000062A50000}"/>
    <cellStyle name="Normal 2 3 6 2 19" xfId="39063" xr:uid="{00000000-0005-0000-0000-000063A50000}"/>
    <cellStyle name="Normal 2 3 6 2 2" xfId="770" xr:uid="{00000000-0005-0000-0000-000064A50000}"/>
    <cellStyle name="Normal 2 3 6 2 2 10" xfId="15919" xr:uid="{00000000-0005-0000-0000-000065A50000}"/>
    <cellStyle name="Normal 2 3 6 2 2 11" xfId="31068" xr:uid="{00000000-0005-0000-0000-000066A50000}"/>
    <cellStyle name="Normal 2 3 6 2 2 12" xfId="32751" xr:uid="{00000000-0005-0000-0000-000067A50000}"/>
    <cellStyle name="Normal 2 3 6 2 2 13" xfId="34434" xr:uid="{00000000-0005-0000-0000-000068A50000}"/>
    <cellStyle name="Normal 2 3 6 2 2 14" xfId="36117" xr:uid="{00000000-0005-0000-0000-000069A50000}"/>
    <cellStyle name="Normal 2 3 6 2 2 15" xfId="37800" xr:uid="{00000000-0005-0000-0000-00006AA50000}"/>
    <cellStyle name="Normal 2 3 6 2 2 16" xfId="39483" xr:uid="{00000000-0005-0000-0000-00006BA50000}"/>
    <cellStyle name="Normal 2 3 6 2 2 17" xfId="41166" xr:uid="{00000000-0005-0000-0000-00006CA50000}"/>
    <cellStyle name="Normal 2 3 6 2 2 18" xfId="42849" xr:uid="{00000000-0005-0000-0000-00006DA50000}"/>
    <cellStyle name="Normal 2 3 6 2 2 19" xfId="44532" xr:uid="{00000000-0005-0000-0000-00006EA50000}"/>
    <cellStyle name="Normal 2 3 6 2 2 2" xfId="2453" xr:uid="{00000000-0005-0000-0000-00006FA50000}"/>
    <cellStyle name="Normal 2 3 6 2 2 2 2" xfId="17602" xr:uid="{00000000-0005-0000-0000-000070A50000}"/>
    <cellStyle name="Normal 2 3 6 2 2 20" xfId="46215" xr:uid="{00000000-0005-0000-0000-000071A50000}"/>
    <cellStyle name="Normal 2 3 6 2 2 21" xfId="47898" xr:uid="{00000000-0005-0000-0000-000072A50000}"/>
    <cellStyle name="Normal 2 3 6 2 2 22" xfId="49581" xr:uid="{00000000-0005-0000-0000-000073A50000}"/>
    <cellStyle name="Normal 2 3 6 2 2 23" xfId="51264" xr:uid="{00000000-0005-0000-0000-000074A50000}"/>
    <cellStyle name="Normal 2 3 6 2 2 24" xfId="52947" xr:uid="{00000000-0005-0000-0000-000075A50000}"/>
    <cellStyle name="Normal 2 3 6 2 2 25" xfId="54630" xr:uid="{00000000-0005-0000-0000-000076A50000}"/>
    <cellStyle name="Normal 2 3 6 2 2 26" xfId="56313" xr:uid="{00000000-0005-0000-0000-000077A50000}"/>
    <cellStyle name="Normal 2 3 6 2 2 27" xfId="57996" xr:uid="{00000000-0005-0000-0000-000078A50000}"/>
    <cellStyle name="Normal 2 3 6 2 2 28" xfId="59679" xr:uid="{00000000-0005-0000-0000-000079A50000}"/>
    <cellStyle name="Normal 2 3 6 2 2 29" xfId="61362" xr:uid="{00000000-0005-0000-0000-00007AA50000}"/>
    <cellStyle name="Normal 2 3 6 2 2 3" xfId="4137" xr:uid="{00000000-0005-0000-0000-00007BA50000}"/>
    <cellStyle name="Normal 2 3 6 2 2 3 2" xfId="19286" xr:uid="{00000000-0005-0000-0000-00007CA50000}"/>
    <cellStyle name="Normal 2 3 6 2 2 30" xfId="63045" xr:uid="{00000000-0005-0000-0000-00007DA50000}"/>
    <cellStyle name="Normal 2 3 6 2 2 4" xfId="5820" xr:uid="{00000000-0005-0000-0000-00007EA50000}"/>
    <cellStyle name="Normal 2 3 6 2 2 4 2" xfId="20969" xr:uid="{00000000-0005-0000-0000-00007FA50000}"/>
    <cellStyle name="Normal 2 3 6 2 2 5" xfId="7503" xr:uid="{00000000-0005-0000-0000-000080A50000}"/>
    <cellStyle name="Normal 2 3 6 2 2 5 2" xfId="22652" xr:uid="{00000000-0005-0000-0000-000081A50000}"/>
    <cellStyle name="Normal 2 3 6 2 2 6" xfId="9186" xr:uid="{00000000-0005-0000-0000-000082A50000}"/>
    <cellStyle name="Normal 2 3 6 2 2 6 2" xfId="24335" xr:uid="{00000000-0005-0000-0000-000083A50000}"/>
    <cellStyle name="Normal 2 3 6 2 2 7" xfId="10869" xr:uid="{00000000-0005-0000-0000-000084A50000}"/>
    <cellStyle name="Normal 2 3 6 2 2 7 2" xfId="26018" xr:uid="{00000000-0005-0000-0000-000085A50000}"/>
    <cellStyle name="Normal 2 3 6 2 2 8" xfId="12553" xr:uid="{00000000-0005-0000-0000-000086A50000}"/>
    <cellStyle name="Normal 2 3 6 2 2 8 2" xfId="27702" xr:uid="{00000000-0005-0000-0000-000087A50000}"/>
    <cellStyle name="Normal 2 3 6 2 2 9" xfId="14236" xr:uid="{00000000-0005-0000-0000-000088A50000}"/>
    <cellStyle name="Normal 2 3 6 2 2 9 2" xfId="29385" xr:uid="{00000000-0005-0000-0000-000089A50000}"/>
    <cellStyle name="Normal 2 3 6 2 20" xfId="40746" xr:uid="{00000000-0005-0000-0000-00008AA50000}"/>
    <cellStyle name="Normal 2 3 6 2 21" xfId="42429" xr:uid="{00000000-0005-0000-0000-00008BA50000}"/>
    <cellStyle name="Normal 2 3 6 2 22" xfId="44112" xr:uid="{00000000-0005-0000-0000-00008CA50000}"/>
    <cellStyle name="Normal 2 3 6 2 23" xfId="45795" xr:uid="{00000000-0005-0000-0000-00008DA50000}"/>
    <cellStyle name="Normal 2 3 6 2 24" xfId="47478" xr:uid="{00000000-0005-0000-0000-00008EA50000}"/>
    <cellStyle name="Normal 2 3 6 2 25" xfId="49161" xr:uid="{00000000-0005-0000-0000-00008FA50000}"/>
    <cellStyle name="Normal 2 3 6 2 26" xfId="50844" xr:uid="{00000000-0005-0000-0000-000090A50000}"/>
    <cellStyle name="Normal 2 3 6 2 27" xfId="52527" xr:uid="{00000000-0005-0000-0000-000091A50000}"/>
    <cellStyle name="Normal 2 3 6 2 28" xfId="54210" xr:uid="{00000000-0005-0000-0000-000092A50000}"/>
    <cellStyle name="Normal 2 3 6 2 29" xfId="55893" xr:uid="{00000000-0005-0000-0000-000093A50000}"/>
    <cellStyle name="Normal 2 3 6 2 3" xfId="1191" xr:uid="{00000000-0005-0000-0000-000094A50000}"/>
    <cellStyle name="Normal 2 3 6 2 3 10" xfId="16340" xr:uid="{00000000-0005-0000-0000-000095A50000}"/>
    <cellStyle name="Normal 2 3 6 2 3 11" xfId="31489" xr:uid="{00000000-0005-0000-0000-000096A50000}"/>
    <cellStyle name="Normal 2 3 6 2 3 12" xfId="33172" xr:uid="{00000000-0005-0000-0000-000097A50000}"/>
    <cellStyle name="Normal 2 3 6 2 3 13" xfId="34855" xr:uid="{00000000-0005-0000-0000-000098A50000}"/>
    <cellStyle name="Normal 2 3 6 2 3 14" xfId="36538" xr:uid="{00000000-0005-0000-0000-000099A50000}"/>
    <cellStyle name="Normal 2 3 6 2 3 15" xfId="38221" xr:uid="{00000000-0005-0000-0000-00009AA50000}"/>
    <cellStyle name="Normal 2 3 6 2 3 16" xfId="39904" xr:uid="{00000000-0005-0000-0000-00009BA50000}"/>
    <cellStyle name="Normal 2 3 6 2 3 17" xfId="41587" xr:uid="{00000000-0005-0000-0000-00009CA50000}"/>
    <cellStyle name="Normal 2 3 6 2 3 18" xfId="43270" xr:uid="{00000000-0005-0000-0000-00009DA50000}"/>
    <cellStyle name="Normal 2 3 6 2 3 19" xfId="44953" xr:uid="{00000000-0005-0000-0000-00009EA50000}"/>
    <cellStyle name="Normal 2 3 6 2 3 2" xfId="2874" xr:uid="{00000000-0005-0000-0000-00009FA50000}"/>
    <cellStyle name="Normal 2 3 6 2 3 2 2" xfId="18023" xr:uid="{00000000-0005-0000-0000-0000A0A50000}"/>
    <cellStyle name="Normal 2 3 6 2 3 20" xfId="46636" xr:uid="{00000000-0005-0000-0000-0000A1A50000}"/>
    <cellStyle name="Normal 2 3 6 2 3 21" xfId="48319" xr:uid="{00000000-0005-0000-0000-0000A2A50000}"/>
    <cellStyle name="Normal 2 3 6 2 3 22" xfId="50002" xr:uid="{00000000-0005-0000-0000-0000A3A50000}"/>
    <cellStyle name="Normal 2 3 6 2 3 23" xfId="51685" xr:uid="{00000000-0005-0000-0000-0000A4A50000}"/>
    <cellStyle name="Normal 2 3 6 2 3 24" xfId="53368" xr:uid="{00000000-0005-0000-0000-0000A5A50000}"/>
    <cellStyle name="Normal 2 3 6 2 3 25" xfId="55051" xr:uid="{00000000-0005-0000-0000-0000A6A50000}"/>
    <cellStyle name="Normal 2 3 6 2 3 26" xfId="56734" xr:uid="{00000000-0005-0000-0000-0000A7A50000}"/>
    <cellStyle name="Normal 2 3 6 2 3 27" xfId="58417" xr:uid="{00000000-0005-0000-0000-0000A8A50000}"/>
    <cellStyle name="Normal 2 3 6 2 3 28" xfId="60100" xr:uid="{00000000-0005-0000-0000-0000A9A50000}"/>
    <cellStyle name="Normal 2 3 6 2 3 29" xfId="61783" xr:uid="{00000000-0005-0000-0000-0000AAA50000}"/>
    <cellStyle name="Normal 2 3 6 2 3 3" xfId="4558" xr:uid="{00000000-0005-0000-0000-0000ABA50000}"/>
    <cellStyle name="Normal 2 3 6 2 3 3 2" xfId="19707" xr:uid="{00000000-0005-0000-0000-0000ACA50000}"/>
    <cellStyle name="Normal 2 3 6 2 3 30" xfId="63466" xr:uid="{00000000-0005-0000-0000-0000ADA50000}"/>
    <cellStyle name="Normal 2 3 6 2 3 4" xfId="6241" xr:uid="{00000000-0005-0000-0000-0000AEA50000}"/>
    <cellStyle name="Normal 2 3 6 2 3 4 2" xfId="21390" xr:uid="{00000000-0005-0000-0000-0000AFA50000}"/>
    <cellStyle name="Normal 2 3 6 2 3 5" xfId="7924" xr:uid="{00000000-0005-0000-0000-0000B0A50000}"/>
    <cellStyle name="Normal 2 3 6 2 3 5 2" xfId="23073" xr:uid="{00000000-0005-0000-0000-0000B1A50000}"/>
    <cellStyle name="Normal 2 3 6 2 3 6" xfId="9607" xr:uid="{00000000-0005-0000-0000-0000B2A50000}"/>
    <cellStyle name="Normal 2 3 6 2 3 6 2" xfId="24756" xr:uid="{00000000-0005-0000-0000-0000B3A50000}"/>
    <cellStyle name="Normal 2 3 6 2 3 7" xfId="11290" xr:uid="{00000000-0005-0000-0000-0000B4A50000}"/>
    <cellStyle name="Normal 2 3 6 2 3 7 2" xfId="26439" xr:uid="{00000000-0005-0000-0000-0000B5A50000}"/>
    <cellStyle name="Normal 2 3 6 2 3 8" xfId="12974" xr:uid="{00000000-0005-0000-0000-0000B6A50000}"/>
    <cellStyle name="Normal 2 3 6 2 3 8 2" xfId="28123" xr:uid="{00000000-0005-0000-0000-0000B7A50000}"/>
    <cellStyle name="Normal 2 3 6 2 3 9" xfId="14657" xr:uid="{00000000-0005-0000-0000-0000B8A50000}"/>
    <cellStyle name="Normal 2 3 6 2 3 9 2" xfId="29806" xr:uid="{00000000-0005-0000-0000-0000B9A50000}"/>
    <cellStyle name="Normal 2 3 6 2 30" xfId="57576" xr:uid="{00000000-0005-0000-0000-0000BAA50000}"/>
    <cellStyle name="Normal 2 3 6 2 31" xfId="59259" xr:uid="{00000000-0005-0000-0000-0000BBA50000}"/>
    <cellStyle name="Normal 2 3 6 2 32" xfId="60942" xr:uid="{00000000-0005-0000-0000-0000BCA50000}"/>
    <cellStyle name="Normal 2 3 6 2 33" xfId="62625" xr:uid="{00000000-0005-0000-0000-0000BDA50000}"/>
    <cellStyle name="Normal 2 3 6 2 4" xfId="1612" xr:uid="{00000000-0005-0000-0000-0000BEA50000}"/>
    <cellStyle name="Normal 2 3 6 2 4 10" xfId="16761" xr:uid="{00000000-0005-0000-0000-0000BFA50000}"/>
    <cellStyle name="Normal 2 3 6 2 4 11" xfId="31910" xr:uid="{00000000-0005-0000-0000-0000C0A50000}"/>
    <cellStyle name="Normal 2 3 6 2 4 12" xfId="33593" xr:uid="{00000000-0005-0000-0000-0000C1A50000}"/>
    <cellStyle name="Normal 2 3 6 2 4 13" xfId="35276" xr:uid="{00000000-0005-0000-0000-0000C2A50000}"/>
    <cellStyle name="Normal 2 3 6 2 4 14" xfId="36959" xr:uid="{00000000-0005-0000-0000-0000C3A50000}"/>
    <cellStyle name="Normal 2 3 6 2 4 15" xfId="38642" xr:uid="{00000000-0005-0000-0000-0000C4A50000}"/>
    <cellStyle name="Normal 2 3 6 2 4 16" xfId="40325" xr:uid="{00000000-0005-0000-0000-0000C5A50000}"/>
    <cellStyle name="Normal 2 3 6 2 4 17" xfId="42008" xr:uid="{00000000-0005-0000-0000-0000C6A50000}"/>
    <cellStyle name="Normal 2 3 6 2 4 18" xfId="43691" xr:uid="{00000000-0005-0000-0000-0000C7A50000}"/>
    <cellStyle name="Normal 2 3 6 2 4 19" xfId="45374" xr:uid="{00000000-0005-0000-0000-0000C8A50000}"/>
    <cellStyle name="Normal 2 3 6 2 4 2" xfId="3295" xr:uid="{00000000-0005-0000-0000-0000C9A50000}"/>
    <cellStyle name="Normal 2 3 6 2 4 2 2" xfId="18444" xr:uid="{00000000-0005-0000-0000-0000CAA50000}"/>
    <cellStyle name="Normal 2 3 6 2 4 20" xfId="47057" xr:uid="{00000000-0005-0000-0000-0000CBA50000}"/>
    <cellStyle name="Normal 2 3 6 2 4 21" xfId="48740" xr:uid="{00000000-0005-0000-0000-0000CCA50000}"/>
    <cellStyle name="Normal 2 3 6 2 4 22" xfId="50423" xr:uid="{00000000-0005-0000-0000-0000CDA50000}"/>
    <cellStyle name="Normal 2 3 6 2 4 23" xfId="52106" xr:uid="{00000000-0005-0000-0000-0000CEA50000}"/>
    <cellStyle name="Normal 2 3 6 2 4 24" xfId="53789" xr:uid="{00000000-0005-0000-0000-0000CFA50000}"/>
    <cellStyle name="Normal 2 3 6 2 4 25" xfId="55472" xr:uid="{00000000-0005-0000-0000-0000D0A50000}"/>
    <cellStyle name="Normal 2 3 6 2 4 26" xfId="57155" xr:uid="{00000000-0005-0000-0000-0000D1A50000}"/>
    <cellStyle name="Normal 2 3 6 2 4 27" xfId="58838" xr:uid="{00000000-0005-0000-0000-0000D2A50000}"/>
    <cellStyle name="Normal 2 3 6 2 4 28" xfId="60521" xr:uid="{00000000-0005-0000-0000-0000D3A50000}"/>
    <cellStyle name="Normal 2 3 6 2 4 29" xfId="62204" xr:uid="{00000000-0005-0000-0000-0000D4A50000}"/>
    <cellStyle name="Normal 2 3 6 2 4 3" xfId="4979" xr:uid="{00000000-0005-0000-0000-0000D5A50000}"/>
    <cellStyle name="Normal 2 3 6 2 4 3 2" xfId="20128" xr:uid="{00000000-0005-0000-0000-0000D6A50000}"/>
    <cellStyle name="Normal 2 3 6 2 4 30" xfId="63887" xr:uid="{00000000-0005-0000-0000-0000D7A50000}"/>
    <cellStyle name="Normal 2 3 6 2 4 4" xfId="6662" xr:uid="{00000000-0005-0000-0000-0000D8A50000}"/>
    <cellStyle name="Normal 2 3 6 2 4 4 2" xfId="21811" xr:uid="{00000000-0005-0000-0000-0000D9A50000}"/>
    <cellStyle name="Normal 2 3 6 2 4 5" xfId="8345" xr:uid="{00000000-0005-0000-0000-0000DAA50000}"/>
    <cellStyle name="Normal 2 3 6 2 4 5 2" xfId="23494" xr:uid="{00000000-0005-0000-0000-0000DBA50000}"/>
    <cellStyle name="Normal 2 3 6 2 4 6" xfId="10028" xr:uid="{00000000-0005-0000-0000-0000DCA50000}"/>
    <cellStyle name="Normal 2 3 6 2 4 6 2" xfId="25177" xr:uid="{00000000-0005-0000-0000-0000DDA50000}"/>
    <cellStyle name="Normal 2 3 6 2 4 7" xfId="11711" xr:uid="{00000000-0005-0000-0000-0000DEA50000}"/>
    <cellStyle name="Normal 2 3 6 2 4 7 2" xfId="26860" xr:uid="{00000000-0005-0000-0000-0000DFA50000}"/>
    <cellStyle name="Normal 2 3 6 2 4 8" xfId="13395" xr:uid="{00000000-0005-0000-0000-0000E0A50000}"/>
    <cellStyle name="Normal 2 3 6 2 4 8 2" xfId="28544" xr:uid="{00000000-0005-0000-0000-0000E1A50000}"/>
    <cellStyle name="Normal 2 3 6 2 4 9" xfId="15078" xr:uid="{00000000-0005-0000-0000-0000E2A50000}"/>
    <cellStyle name="Normal 2 3 6 2 4 9 2" xfId="30227" xr:uid="{00000000-0005-0000-0000-0000E3A50000}"/>
    <cellStyle name="Normal 2 3 6 2 5" xfId="2033" xr:uid="{00000000-0005-0000-0000-0000E4A50000}"/>
    <cellStyle name="Normal 2 3 6 2 5 2" xfId="17182" xr:uid="{00000000-0005-0000-0000-0000E5A50000}"/>
    <cellStyle name="Normal 2 3 6 2 6" xfId="3717" xr:uid="{00000000-0005-0000-0000-0000E6A50000}"/>
    <cellStyle name="Normal 2 3 6 2 6 2" xfId="18866" xr:uid="{00000000-0005-0000-0000-0000E7A50000}"/>
    <cellStyle name="Normal 2 3 6 2 7" xfId="5400" xr:uid="{00000000-0005-0000-0000-0000E8A50000}"/>
    <cellStyle name="Normal 2 3 6 2 7 2" xfId="20549" xr:uid="{00000000-0005-0000-0000-0000E9A50000}"/>
    <cellStyle name="Normal 2 3 6 2 8" xfId="7083" xr:uid="{00000000-0005-0000-0000-0000EAA50000}"/>
    <cellStyle name="Normal 2 3 6 2 8 2" xfId="22232" xr:uid="{00000000-0005-0000-0000-0000EBA50000}"/>
    <cellStyle name="Normal 2 3 6 2 9" xfId="8766" xr:uid="{00000000-0005-0000-0000-0000ECA50000}"/>
    <cellStyle name="Normal 2 3 6 2 9 2" xfId="23915" xr:uid="{00000000-0005-0000-0000-0000EDA50000}"/>
    <cellStyle name="Normal 2 3 6 20" xfId="38853" xr:uid="{00000000-0005-0000-0000-0000EEA50000}"/>
    <cellStyle name="Normal 2 3 6 21" xfId="40536" xr:uid="{00000000-0005-0000-0000-0000EFA50000}"/>
    <cellStyle name="Normal 2 3 6 22" xfId="42219" xr:uid="{00000000-0005-0000-0000-0000F0A50000}"/>
    <cellStyle name="Normal 2 3 6 23" xfId="43902" xr:uid="{00000000-0005-0000-0000-0000F1A50000}"/>
    <cellStyle name="Normal 2 3 6 24" xfId="45585" xr:uid="{00000000-0005-0000-0000-0000F2A50000}"/>
    <cellStyle name="Normal 2 3 6 25" xfId="47268" xr:uid="{00000000-0005-0000-0000-0000F3A50000}"/>
    <cellStyle name="Normal 2 3 6 26" xfId="48951" xr:uid="{00000000-0005-0000-0000-0000F4A50000}"/>
    <cellStyle name="Normal 2 3 6 27" xfId="50634" xr:uid="{00000000-0005-0000-0000-0000F5A50000}"/>
    <cellStyle name="Normal 2 3 6 28" xfId="52317" xr:uid="{00000000-0005-0000-0000-0000F6A50000}"/>
    <cellStyle name="Normal 2 3 6 29" xfId="54000" xr:uid="{00000000-0005-0000-0000-0000F7A50000}"/>
    <cellStyle name="Normal 2 3 6 3" xfId="560" xr:uid="{00000000-0005-0000-0000-0000F8A50000}"/>
    <cellStyle name="Normal 2 3 6 3 10" xfId="15709" xr:uid="{00000000-0005-0000-0000-0000F9A50000}"/>
    <cellStyle name="Normal 2 3 6 3 11" xfId="30858" xr:uid="{00000000-0005-0000-0000-0000FAA50000}"/>
    <cellStyle name="Normal 2 3 6 3 12" xfId="32541" xr:uid="{00000000-0005-0000-0000-0000FBA50000}"/>
    <cellStyle name="Normal 2 3 6 3 13" xfId="34224" xr:uid="{00000000-0005-0000-0000-0000FCA50000}"/>
    <cellStyle name="Normal 2 3 6 3 14" xfId="35907" xr:uid="{00000000-0005-0000-0000-0000FDA50000}"/>
    <cellStyle name="Normal 2 3 6 3 15" xfId="37590" xr:uid="{00000000-0005-0000-0000-0000FEA50000}"/>
    <cellStyle name="Normal 2 3 6 3 16" xfId="39273" xr:uid="{00000000-0005-0000-0000-0000FFA50000}"/>
    <cellStyle name="Normal 2 3 6 3 17" xfId="40956" xr:uid="{00000000-0005-0000-0000-000000A60000}"/>
    <cellStyle name="Normal 2 3 6 3 18" xfId="42639" xr:uid="{00000000-0005-0000-0000-000001A60000}"/>
    <cellStyle name="Normal 2 3 6 3 19" xfId="44322" xr:uid="{00000000-0005-0000-0000-000002A60000}"/>
    <cellStyle name="Normal 2 3 6 3 2" xfId="2243" xr:uid="{00000000-0005-0000-0000-000003A60000}"/>
    <cellStyle name="Normal 2 3 6 3 2 2" xfId="17392" xr:uid="{00000000-0005-0000-0000-000004A60000}"/>
    <cellStyle name="Normal 2 3 6 3 20" xfId="46005" xr:uid="{00000000-0005-0000-0000-000005A60000}"/>
    <cellStyle name="Normal 2 3 6 3 21" xfId="47688" xr:uid="{00000000-0005-0000-0000-000006A60000}"/>
    <cellStyle name="Normal 2 3 6 3 22" xfId="49371" xr:uid="{00000000-0005-0000-0000-000007A60000}"/>
    <cellStyle name="Normal 2 3 6 3 23" xfId="51054" xr:uid="{00000000-0005-0000-0000-000008A60000}"/>
    <cellStyle name="Normal 2 3 6 3 24" xfId="52737" xr:uid="{00000000-0005-0000-0000-000009A60000}"/>
    <cellStyle name="Normal 2 3 6 3 25" xfId="54420" xr:uid="{00000000-0005-0000-0000-00000AA60000}"/>
    <cellStyle name="Normal 2 3 6 3 26" xfId="56103" xr:uid="{00000000-0005-0000-0000-00000BA60000}"/>
    <cellStyle name="Normal 2 3 6 3 27" xfId="57786" xr:uid="{00000000-0005-0000-0000-00000CA60000}"/>
    <cellStyle name="Normal 2 3 6 3 28" xfId="59469" xr:uid="{00000000-0005-0000-0000-00000DA60000}"/>
    <cellStyle name="Normal 2 3 6 3 29" xfId="61152" xr:uid="{00000000-0005-0000-0000-00000EA60000}"/>
    <cellStyle name="Normal 2 3 6 3 3" xfId="3927" xr:uid="{00000000-0005-0000-0000-00000FA60000}"/>
    <cellStyle name="Normal 2 3 6 3 3 2" xfId="19076" xr:uid="{00000000-0005-0000-0000-000010A60000}"/>
    <cellStyle name="Normal 2 3 6 3 30" xfId="62835" xr:uid="{00000000-0005-0000-0000-000011A60000}"/>
    <cellStyle name="Normal 2 3 6 3 4" xfId="5610" xr:uid="{00000000-0005-0000-0000-000012A60000}"/>
    <cellStyle name="Normal 2 3 6 3 4 2" xfId="20759" xr:uid="{00000000-0005-0000-0000-000013A60000}"/>
    <cellStyle name="Normal 2 3 6 3 5" xfId="7293" xr:uid="{00000000-0005-0000-0000-000014A60000}"/>
    <cellStyle name="Normal 2 3 6 3 5 2" xfId="22442" xr:uid="{00000000-0005-0000-0000-000015A60000}"/>
    <cellStyle name="Normal 2 3 6 3 6" xfId="8976" xr:uid="{00000000-0005-0000-0000-000016A60000}"/>
    <cellStyle name="Normal 2 3 6 3 6 2" xfId="24125" xr:uid="{00000000-0005-0000-0000-000017A60000}"/>
    <cellStyle name="Normal 2 3 6 3 7" xfId="10659" xr:uid="{00000000-0005-0000-0000-000018A60000}"/>
    <cellStyle name="Normal 2 3 6 3 7 2" xfId="25808" xr:uid="{00000000-0005-0000-0000-000019A60000}"/>
    <cellStyle name="Normal 2 3 6 3 8" xfId="12343" xr:uid="{00000000-0005-0000-0000-00001AA60000}"/>
    <cellStyle name="Normal 2 3 6 3 8 2" xfId="27492" xr:uid="{00000000-0005-0000-0000-00001BA60000}"/>
    <cellStyle name="Normal 2 3 6 3 9" xfId="14026" xr:uid="{00000000-0005-0000-0000-00001CA60000}"/>
    <cellStyle name="Normal 2 3 6 3 9 2" xfId="29175" xr:uid="{00000000-0005-0000-0000-00001DA60000}"/>
    <cellStyle name="Normal 2 3 6 30" xfId="55683" xr:uid="{00000000-0005-0000-0000-00001EA60000}"/>
    <cellStyle name="Normal 2 3 6 31" xfId="57366" xr:uid="{00000000-0005-0000-0000-00001FA60000}"/>
    <cellStyle name="Normal 2 3 6 32" xfId="59049" xr:uid="{00000000-0005-0000-0000-000020A60000}"/>
    <cellStyle name="Normal 2 3 6 33" xfId="60732" xr:uid="{00000000-0005-0000-0000-000021A60000}"/>
    <cellStyle name="Normal 2 3 6 34" xfId="62415" xr:uid="{00000000-0005-0000-0000-000022A60000}"/>
    <cellStyle name="Normal 2 3 6 4" xfId="981" xr:uid="{00000000-0005-0000-0000-000023A60000}"/>
    <cellStyle name="Normal 2 3 6 4 10" xfId="16130" xr:uid="{00000000-0005-0000-0000-000024A60000}"/>
    <cellStyle name="Normal 2 3 6 4 11" xfId="31279" xr:uid="{00000000-0005-0000-0000-000025A60000}"/>
    <cellStyle name="Normal 2 3 6 4 12" xfId="32962" xr:uid="{00000000-0005-0000-0000-000026A60000}"/>
    <cellStyle name="Normal 2 3 6 4 13" xfId="34645" xr:uid="{00000000-0005-0000-0000-000027A60000}"/>
    <cellStyle name="Normal 2 3 6 4 14" xfId="36328" xr:uid="{00000000-0005-0000-0000-000028A60000}"/>
    <cellStyle name="Normal 2 3 6 4 15" xfId="38011" xr:uid="{00000000-0005-0000-0000-000029A60000}"/>
    <cellStyle name="Normal 2 3 6 4 16" xfId="39694" xr:uid="{00000000-0005-0000-0000-00002AA60000}"/>
    <cellStyle name="Normal 2 3 6 4 17" xfId="41377" xr:uid="{00000000-0005-0000-0000-00002BA60000}"/>
    <cellStyle name="Normal 2 3 6 4 18" xfId="43060" xr:uid="{00000000-0005-0000-0000-00002CA60000}"/>
    <cellStyle name="Normal 2 3 6 4 19" xfId="44743" xr:uid="{00000000-0005-0000-0000-00002DA60000}"/>
    <cellStyle name="Normal 2 3 6 4 2" xfId="2664" xr:uid="{00000000-0005-0000-0000-00002EA60000}"/>
    <cellStyle name="Normal 2 3 6 4 2 2" xfId="17813" xr:uid="{00000000-0005-0000-0000-00002FA60000}"/>
    <cellStyle name="Normal 2 3 6 4 20" xfId="46426" xr:uid="{00000000-0005-0000-0000-000030A60000}"/>
    <cellStyle name="Normal 2 3 6 4 21" xfId="48109" xr:uid="{00000000-0005-0000-0000-000031A60000}"/>
    <cellStyle name="Normal 2 3 6 4 22" xfId="49792" xr:uid="{00000000-0005-0000-0000-000032A60000}"/>
    <cellStyle name="Normal 2 3 6 4 23" xfId="51475" xr:uid="{00000000-0005-0000-0000-000033A60000}"/>
    <cellStyle name="Normal 2 3 6 4 24" xfId="53158" xr:uid="{00000000-0005-0000-0000-000034A60000}"/>
    <cellStyle name="Normal 2 3 6 4 25" xfId="54841" xr:uid="{00000000-0005-0000-0000-000035A60000}"/>
    <cellStyle name="Normal 2 3 6 4 26" xfId="56524" xr:uid="{00000000-0005-0000-0000-000036A60000}"/>
    <cellStyle name="Normal 2 3 6 4 27" xfId="58207" xr:uid="{00000000-0005-0000-0000-000037A60000}"/>
    <cellStyle name="Normal 2 3 6 4 28" xfId="59890" xr:uid="{00000000-0005-0000-0000-000038A60000}"/>
    <cellStyle name="Normal 2 3 6 4 29" xfId="61573" xr:uid="{00000000-0005-0000-0000-000039A60000}"/>
    <cellStyle name="Normal 2 3 6 4 3" xfId="4348" xr:uid="{00000000-0005-0000-0000-00003AA60000}"/>
    <cellStyle name="Normal 2 3 6 4 3 2" xfId="19497" xr:uid="{00000000-0005-0000-0000-00003BA60000}"/>
    <cellStyle name="Normal 2 3 6 4 30" xfId="63256" xr:uid="{00000000-0005-0000-0000-00003CA60000}"/>
    <cellStyle name="Normal 2 3 6 4 4" xfId="6031" xr:uid="{00000000-0005-0000-0000-00003DA60000}"/>
    <cellStyle name="Normal 2 3 6 4 4 2" xfId="21180" xr:uid="{00000000-0005-0000-0000-00003EA60000}"/>
    <cellStyle name="Normal 2 3 6 4 5" xfId="7714" xr:uid="{00000000-0005-0000-0000-00003FA60000}"/>
    <cellStyle name="Normal 2 3 6 4 5 2" xfId="22863" xr:uid="{00000000-0005-0000-0000-000040A60000}"/>
    <cellStyle name="Normal 2 3 6 4 6" xfId="9397" xr:uid="{00000000-0005-0000-0000-000041A60000}"/>
    <cellStyle name="Normal 2 3 6 4 6 2" xfId="24546" xr:uid="{00000000-0005-0000-0000-000042A60000}"/>
    <cellStyle name="Normal 2 3 6 4 7" xfId="11080" xr:uid="{00000000-0005-0000-0000-000043A60000}"/>
    <cellStyle name="Normal 2 3 6 4 7 2" xfId="26229" xr:uid="{00000000-0005-0000-0000-000044A60000}"/>
    <cellStyle name="Normal 2 3 6 4 8" xfId="12764" xr:uid="{00000000-0005-0000-0000-000045A60000}"/>
    <cellStyle name="Normal 2 3 6 4 8 2" xfId="27913" xr:uid="{00000000-0005-0000-0000-000046A60000}"/>
    <cellStyle name="Normal 2 3 6 4 9" xfId="14447" xr:uid="{00000000-0005-0000-0000-000047A60000}"/>
    <cellStyle name="Normal 2 3 6 4 9 2" xfId="29596" xr:uid="{00000000-0005-0000-0000-000048A60000}"/>
    <cellStyle name="Normal 2 3 6 5" xfId="1402" xr:uid="{00000000-0005-0000-0000-000049A60000}"/>
    <cellStyle name="Normal 2 3 6 5 10" xfId="16551" xr:uid="{00000000-0005-0000-0000-00004AA60000}"/>
    <cellStyle name="Normal 2 3 6 5 11" xfId="31700" xr:uid="{00000000-0005-0000-0000-00004BA60000}"/>
    <cellStyle name="Normal 2 3 6 5 12" xfId="33383" xr:uid="{00000000-0005-0000-0000-00004CA60000}"/>
    <cellStyle name="Normal 2 3 6 5 13" xfId="35066" xr:uid="{00000000-0005-0000-0000-00004DA60000}"/>
    <cellStyle name="Normal 2 3 6 5 14" xfId="36749" xr:uid="{00000000-0005-0000-0000-00004EA60000}"/>
    <cellStyle name="Normal 2 3 6 5 15" xfId="38432" xr:uid="{00000000-0005-0000-0000-00004FA60000}"/>
    <cellStyle name="Normal 2 3 6 5 16" xfId="40115" xr:uid="{00000000-0005-0000-0000-000050A60000}"/>
    <cellStyle name="Normal 2 3 6 5 17" xfId="41798" xr:uid="{00000000-0005-0000-0000-000051A60000}"/>
    <cellStyle name="Normal 2 3 6 5 18" xfId="43481" xr:uid="{00000000-0005-0000-0000-000052A60000}"/>
    <cellStyle name="Normal 2 3 6 5 19" xfId="45164" xr:uid="{00000000-0005-0000-0000-000053A60000}"/>
    <cellStyle name="Normal 2 3 6 5 2" xfId="3085" xr:uid="{00000000-0005-0000-0000-000054A60000}"/>
    <cellStyle name="Normal 2 3 6 5 2 2" xfId="18234" xr:uid="{00000000-0005-0000-0000-000055A60000}"/>
    <cellStyle name="Normal 2 3 6 5 20" xfId="46847" xr:uid="{00000000-0005-0000-0000-000056A60000}"/>
    <cellStyle name="Normal 2 3 6 5 21" xfId="48530" xr:uid="{00000000-0005-0000-0000-000057A60000}"/>
    <cellStyle name="Normal 2 3 6 5 22" xfId="50213" xr:uid="{00000000-0005-0000-0000-000058A60000}"/>
    <cellStyle name="Normal 2 3 6 5 23" xfId="51896" xr:uid="{00000000-0005-0000-0000-000059A60000}"/>
    <cellStyle name="Normal 2 3 6 5 24" xfId="53579" xr:uid="{00000000-0005-0000-0000-00005AA60000}"/>
    <cellStyle name="Normal 2 3 6 5 25" xfId="55262" xr:uid="{00000000-0005-0000-0000-00005BA60000}"/>
    <cellStyle name="Normal 2 3 6 5 26" xfId="56945" xr:uid="{00000000-0005-0000-0000-00005CA60000}"/>
    <cellStyle name="Normal 2 3 6 5 27" xfId="58628" xr:uid="{00000000-0005-0000-0000-00005DA60000}"/>
    <cellStyle name="Normal 2 3 6 5 28" xfId="60311" xr:uid="{00000000-0005-0000-0000-00005EA60000}"/>
    <cellStyle name="Normal 2 3 6 5 29" xfId="61994" xr:uid="{00000000-0005-0000-0000-00005FA60000}"/>
    <cellStyle name="Normal 2 3 6 5 3" xfId="4769" xr:uid="{00000000-0005-0000-0000-000060A60000}"/>
    <cellStyle name="Normal 2 3 6 5 3 2" xfId="19918" xr:uid="{00000000-0005-0000-0000-000061A60000}"/>
    <cellStyle name="Normal 2 3 6 5 30" xfId="63677" xr:uid="{00000000-0005-0000-0000-000062A60000}"/>
    <cellStyle name="Normal 2 3 6 5 4" xfId="6452" xr:uid="{00000000-0005-0000-0000-000063A60000}"/>
    <cellStyle name="Normal 2 3 6 5 4 2" xfId="21601" xr:uid="{00000000-0005-0000-0000-000064A60000}"/>
    <cellStyle name="Normal 2 3 6 5 5" xfId="8135" xr:uid="{00000000-0005-0000-0000-000065A60000}"/>
    <cellStyle name="Normal 2 3 6 5 5 2" xfId="23284" xr:uid="{00000000-0005-0000-0000-000066A60000}"/>
    <cellStyle name="Normal 2 3 6 5 6" xfId="9818" xr:uid="{00000000-0005-0000-0000-000067A60000}"/>
    <cellStyle name="Normal 2 3 6 5 6 2" xfId="24967" xr:uid="{00000000-0005-0000-0000-000068A60000}"/>
    <cellStyle name="Normal 2 3 6 5 7" xfId="11501" xr:uid="{00000000-0005-0000-0000-000069A60000}"/>
    <cellStyle name="Normal 2 3 6 5 7 2" xfId="26650" xr:uid="{00000000-0005-0000-0000-00006AA60000}"/>
    <cellStyle name="Normal 2 3 6 5 8" xfId="13185" xr:uid="{00000000-0005-0000-0000-00006BA60000}"/>
    <cellStyle name="Normal 2 3 6 5 8 2" xfId="28334" xr:uid="{00000000-0005-0000-0000-00006CA60000}"/>
    <cellStyle name="Normal 2 3 6 5 9" xfId="14868" xr:uid="{00000000-0005-0000-0000-00006DA60000}"/>
    <cellStyle name="Normal 2 3 6 5 9 2" xfId="30017" xr:uid="{00000000-0005-0000-0000-00006EA60000}"/>
    <cellStyle name="Normal 2 3 6 6" xfId="1823" xr:uid="{00000000-0005-0000-0000-00006FA60000}"/>
    <cellStyle name="Normal 2 3 6 6 2" xfId="16972" xr:uid="{00000000-0005-0000-0000-000070A60000}"/>
    <cellStyle name="Normal 2 3 6 7" xfId="3507" xr:uid="{00000000-0005-0000-0000-000071A60000}"/>
    <cellStyle name="Normal 2 3 6 7 2" xfId="18656" xr:uid="{00000000-0005-0000-0000-000072A60000}"/>
    <cellStyle name="Normal 2 3 6 8" xfId="5190" xr:uid="{00000000-0005-0000-0000-000073A60000}"/>
    <cellStyle name="Normal 2 3 6 8 2" xfId="20339" xr:uid="{00000000-0005-0000-0000-000074A60000}"/>
    <cellStyle name="Normal 2 3 6 9" xfId="6873" xr:uid="{00000000-0005-0000-0000-000075A60000}"/>
    <cellStyle name="Normal 2 3 6 9 2" xfId="22022" xr:uid="{00000000-0005-0000-0000-000076A60000}"/>
    <cellStyle name="Normal 2 3 7" xfId="245" xr:uid="{00000000-0005-0000-0000-000077A60000}"/>
    <cellStyle name="Normal 2 3 7 10" xfId="10344" xr:uid="{00000000-0005-0000-0000-000078A60000}"/>
    <cellStyle name="Normal 2 3 7 10 2" xfId="25493" xr:uid="{00000000-0005-0000-0000-000079A60000}"/>
    <cellStyle name="Normal 2 3 7 11" xfId="12028" xr:uid="{00000000-0005-0000-0000-00007AA60000}"/>
    <cellStyle name="Normal 2 3 7 11 2" xfId="27177" xr:uid="{00000000-0005-0000-0000-00007BA60000}"/>
    <cellStyle name="Normal 2 3 7 12" xfId="13711" xr:uid="{00000000-0005-0000-0000-00007CA60000}"/>
    <cellStyle name="Normal 2 3 7 12 2" xfId="28860" xr:uid="{00000000-0005-0000-0000-00007DA60000}"/>
    <cellStyle name="Normal 2 3 7 13" xfId="15394" xr:uid="{00000000-0005-0000-0000-00007EA60000}"/>
    <cellStyle name="Normal 2 3 7 14" xfId="30543" xr:uid="{00000000-0005-0000-0000-00007FA60000}"/>
    <cellStyle name="Normal 2 3 7 15" xfId="32226" xr:uid="{00000000-0005-0000-0000-000080A60000}"/>
    <cellStyle name="Normal 2 3 7 16" xfId="33909" xr:uid="{00000000-0005-0000-0000-000081A60000}"/>
    <cellStyle name="Normal 2 3 7 17" xfId="35592" xr:uid="{00000000-0005-0000-0000-000082A60000}"/>
    <cellStyle name="Normal 2 3 7 18" xfId="37275" xr:uid="{00000000-0005-0000-0000-000083A60000}"/>
    <cellStyle name="Normal 2 3 7 19" xfId="38958" xr:uid="{00000000-0005-0000-0000-000084A60000}"/>
    <cellStyle name="Normal 2 3 7 2" xfId="665" xr:uid="{00000000-0005-0000-0000-000085A60000}"/>
    <cellStyle name="Normal 2 3 7 2 10" xfId="15814" xr:uid="{00000000-0005-0000-0000-000086A60000}"/>
    <cellStyle name="Normal 2 3 7 2 11" xfId="30963" xr:uid="{00000000-0005-0000-0000-000087A60000}"/>
    <cellStyle name="Normal 2 3 7 2 12" xfId="32646" xr:uid="{00000000-0005-0000-0000-000088A60000}"/>
    <cellStyle name="Normal 2 3 7 2 13" xfId="34329" xr:uid="{00000000-0005-0000-0000-000089A60000}"/>
    <cellStyle name="Normal 2 3 7 2 14" xfId="36012" xr:uid="{00000000-0005-0000-0000-00008AA60000}"/>
    <cellStyle name="Normal 2 3 7 2 15" xfId="37695" xr:uid="{00000000-0005-0000-0000-00008BA60000}"/>
    <cellStyle name="Normal 2 3 7 2 16" xfId="39378" xr:uid="{00000000-0005-0000-0000-00008CA60000}"/>
    <cellStyle name="Normal 2 3 7 2 17" xfId="41061" xr:uid="{00000000-0005-0000-0000-00008DA60000}"/>
    <cellStyle name="Normal 2 3 7 2 18" xfId="42744" xr:uid="{00000000-0005-0000-0000-00008EA60000}"/>
    <cellStyle name="Normal 2 3 7 2 19" xfId="44427" xr:uid="{00000000-0005-0000-0000-00008FA60000}"/>
    <cellStyle name="Normal 2 3 7 2 2" xfId="2348" xr:uid="{00000000-0005-0000-0000-000090A60000}"/>
    <cellStyle name="Normal 2 3 7 2 2 2" xfId="17497" xr:uid="{00000000-0005-0000-0000-000091A60000}"/>
    <cellStyle name="Normal 2 3 7 2 20" xfId="46110" xr:uid="{00000000-0005-0000-0000-000092A60000}"/>
    <cellStyle name="Normal 2 3 7 2 21" xfId="47793" xr:uid="{00000000-0005-0000-0000-000093A60000}"/>
    <cellStyle name="Normal 2 3 7 2 22" xfId="49476" xr:uid="{00000000-0005-0000-0000-000094A60000}"/>
    <cellStyle name="Normal 2 3 7 2 23" xfId="51159" xr:uid="{00000000-0005-0000-0000-000095A60000}"/>
    <cellStyle name="Normal 2 3 7 2 24" xfId="52842" xr:uid="{00000000-0005-0000-0000-000096A60000}"/>
    <cellStyle name="Normal 2 3 7 2 25" xfId="54525" xr:uid="{00000000-0005-0000-0000-000097A60000}"/>
    <cellStyle name="Normal 2 3 7 2 26" xfId="56208" xr:uid="{00000000-0005-0000-0000-000098A60000}"/>
    <cellStyle name="Normal 2 3 7 2 27" xfId="57891" xr:uid="{00000000-0005-0000-0000-000099A60000}"/>
    <cellStyle name="Normal 2 3 7 2 28" xfId="59574" xr:uid="{00000000-0005-0000-0000-00009AA60000}"/>
    <cellStyle name="Normal 2 3 7 2 29" xfId="61257" xr:uid="{00000000-0005-0000-0000-00009BA60000}"/>
    <cellStyle name="Normal 2 3 7 2 3" xfId="4032" xr:uid="{00000000-0005-0000-0000-00009CA60000}"/>
    <cellStyle name="Normal 2 3 7 2 3 2" xfId="19181" xr:uid="{00000000-0005-0000-0000-00009DA60000}"/>
    <cellStyle name="Normal 2 3 7 2 30" xfId="62940" xr:uid="{00000000-0005-0000-0000-00009EA60000}"/>
    <cellStyle name="Normal 2 3 7 2 4" xfId="5715" xr:uid="{00000000-0005-0000-0000-00009FA60000}"/>
    <cellStyle name="Normal 2 3 7 2 4 2" xfId="20864" xr:uid="{00000000-0005-0000-0000-0000A0A60000}"/>
    <cellStyle name="Normal 2 3 7 2 5" xfId="7398" xr:uid="{00000000-0005-0000-0000-0000A1A60000}"/>
    <cellStyle name="Normal 2 3 7 2 5 2" xfId="22547" xr:uid="{00000000-0005-0000-0000-0000A2A60000}"/>
    <cellStyle name="Normal 2 3 7 2 6" xfId="9081" xr:uid="{00000000-0005-0000-0000-0000A3A60000}"/>
    <cellStyle name="Normal 2 3 7 2 6 2" xfId="24230" xr:uid="{00000000-0005-0000-0000-0000A4A60000}"/>
    <cellStyle name="Normal 2 3 7 2 7" xfId="10764" xr:uid="{00000000-0005-0000-0000-0000A5A60000}"/>
    <cellStyle name="Normal 2 3 7 2 7 2" xfId="25913" xr:uid="{00000000-0005-0000-0000-0000A6A60000}"/>
    <cellStyle name="Normal 2 3 7 2 8" xfId="12448" xr:uid="{00000000-0005-0000-0000-0000A7A60000}"/>
    <cellStyle name="Normal 2 3 7 2 8 2" xfId="27597" xr:uid="{00000000-0005-0000-0000-0000A8A60000}"/>
    <cellStyle name="Normal 2 3 7 2 9" xfId="14131" xr:uid="{00000000-0005-0000-0000-0000A9A60000}"/>
    <cellStyle name="Normal 2 3 7 2 9 2" xfId="29280" xr:uid="{00000000-0005-0000-0000-0000AAA60000}"/>
    <cellStyle name="Normal 2 3 7 20" xfId="40641" xr:uid="{00000000-0005-0000-0000-0000ABA60000}"/>
    <cellStyle name="Normal 2 3 7 21" xfId="42324" xr:uid="{00000000-0005-0000-0000-0000ACA60000}"/>
    <cellStyle name="Normal 2 3 7 22" xfId="44007" xr:uid="{00000000-0005-0000-0000-0000ADA60000}"/>
    <cellStyle name="Normal 2 3 7 23" xfId="45690" xr:uid="{00000000-0005-0000-0000-0000AEA60000}"/>
    <cellStyle name="Normal 2 3 7 24" xfId="47373" xr:uid="{00000000-0005-0000-0000-0000AFA60000}"/>
    <cellStyle name="Normal 2 3 7 25" xfId="49056" xr:uid="{00000000-0005-0000-0000-0000B0A60000}"/>
    <cellStyle name="Normal 2 3 7 26" xfId="50739" xr:uid="{00000000-0005-0000-0000-0000B1A60000}"/>
    <cellStyle name="Normal 2 3 7 27" xfId="52422" xr:uid="{00000000-0005-0000-0000-0000B2A60000}"/>
    <cellStyle name="Normal 2 3 7 28" xfId="54105" xr:uid="{00000000-0005-0000-0000-0000B3A60000}"/>
    <cellStyle name="Normal 2 3 7 29" xfId="55788" xr:uid="{00000000-0005-0000-0000-0000B4A60000}"/>
    <cellStyle name="Normal 2 3 7 3" xfId="1086" xr:uid="{00000000-0005-0000-0000-0000B5A60000}"/>
    <cellStyle name="Normal 2 3 7 3 10" xfId="16235" xr:uid="{00000000-0005-0000-0000-0000B6A60000}"/>
    <cellStyle name="Normal 2 3 7 3 11" xfId="31384" xr:uid="{00000000-0005-0000-0000-0000B7A60000}"/>
    <cellStyle name="Normal 2 3 7 3 12" xfId="33067" xr:uid="{00000000-0005-0000-0000-0000B8A60000}"/>
    <cellStyle name="Normal 2 3 7 3 13" xfId="34750" xr:uid="{00000000-0005-0000-0000-0000B9A60000}"/>
    <cellStyle name="Normal 2 3 7 3 14" xfId="36433" xr:uid="{00000000-0005-0000-0000-0000BAA60000}"/>
    <cellStyle name="Normal 2 3 7 3 15" xfId="38116" xr:uid="{00000000-0005-0000-0000-0000BBA60000}"/>
    <cellStyle name="Normal 2 3 7 3 16" xfId="39799" xr:uid="{00000000-0005-0000-0000-0000BCA60000}"/>
    <cellStyle name="Normal 2 3 7 3 17" xfId="41482" xr:uid="{00000000-0005-0000-0000-0000BDA60000}"/>
    <cellStyle name="Normal 2 3 7 3 18" xfId="43165" xr:uid="{00000000-0005-0000-0000-0000BEA60000}"/>
    <cellStyle name="Normal 2 3 7 3 19" xfId="44848" xr:uid="{00000000-0005-0000-0000-0000BFA60000}"/>
    <cellStyle name="Normal 2 3 7 3 2" xfId="2769" xr:uid="{00000000-0005-0000-0000-0000C0A60000}"/>
    <cellStyle name="Normal 2 3 7 3 2 2" xfId="17918" xr:uid="{00000000-0005-0000-0000-0000C1A60000}"/>
    <cellStyle name="Normal 2 3 7 3 20" xfId="46531" xr:uid="{00000000-0005-0000-0000-0000C2A60000}"/>
    <cellStyle name="Normal 2 3 7 3 21" xfId="48214" xr:uid="{00000000-0005-0000-0000-0000C3A60000}"/>
    <cellStyle name="Normal 2 3 7 3 22" xfId="49897" xr:uid="{00000000-0005-0000-0000-0000C4A60000}"/>
    <cellStyle name="Normal 2 3 7 3 23" xfId="51580" xr:uid="{00000000-0005-0000-0000-0000C5A60000}"/>
    <cellStyle name="Normal 2 3 7 3 24" xfId="53263" xr:uid="{00000000-0005-0000-0000-0000C6A60000}"/>
    <cellStyle name="Normal 2 3 7 3 25" xfId="54946" xr:uid="{00000000-0005-0000-0000-0000C7A60000}"/>
    <cellStyle name="Normal 2 3 7 3 26" xfId="56629" xr:uid="{00000000-0005-0000-0000-0000C8A60000}"/>
    <cellStyle name="Normal 2 3 7 3 27" xfId="58312" xr:uid="{00000000-0005-0000-0000-0000C9A60000}"/>
    <cellStyle name="Normal 2 3 7 3 28" xfId="59995" xr:uid="{00000000-0005-0000-0000-0000CAA60000}"/>
    <cellStyle name="Normal 2 3 7 3 29" xfId="61678" xr:uid="{00000000-0005-0000-0000-0000CBA60000}"/>
    <cellStyle name="Normal 2 3 7 3 3" xfId="4453" xr:uid="{00000000-0005-0000-0000-0000CCA60000}"/>
    <cellStyle name="Normal 2 3 7 3 3 2" xfId="19602" xr:uid="{00000000-0005-0000-0000-0000CDA60000}"/>
    <cellStyle name="Normal 2 3 7 3 30" xfId="63361" xr:uid="{00000000-0005-0000-0000-0000CEA60000}"/>
    <cellStyle name="Normal 2 3 7 3 4" xfId="6136" xr:uid="{00000000-0005-0000-0000-0000CFA60000}"/>
    <cellStyle name="Normal 2 3 7 3 4 2" xfId="21285" xr:uid="{00000000-0005-0000-0000-0000D0A60000}"/>
    <cellStyle name="Normal 2 3 7 3 5" xfId="7819" xr:uid="{00000000-0005-0000-0000-0000D1A60000}"/>
    <cellStyle name="Normal 2 3 7 3 5 2" xfId="22968" xr:uid="{00000000-0005-0000-0000-0000D2A60000}"/>
    <cellStyle name="Normal 2 3 7 3 6" xfId="9502" xr:uid="{00000000-0005-0000-0000-0000D3A60000}"/>
    <cellStyle name="Normal 2 3 7 3 6 2" xfId="24651" xr:uid="{00000000-0005-0000-0000-0000D4A60000}"/>
    <cellStyle name="Normal 2 3 7 3 7" xfId="11185" xr:uid="{00000000-0005-0000-0000-0000D5A60000}"/>
    <cellStyle name="Normal 2 3 7 3 7 2" xfId="26334" xr:uid="{00000000-0005-0000-0000-0000D6A60000}"/>
    <cellStyle name="Normal 2 3 7 3 8" xfId="12869" xr:uid="{00000000-0005-0000-0000-0000D7A60000}"/>
    <cellStyle name="Normal 2 3 7 3 8 2" xfId="28018" xr:uid="{00000000-0005-0000-0000-0000D8A60000}"/>
    <cellStyle name="Normal 2 3 7 3 9" xfId="14552" xr:uid="{00000000-0005-0000-0000-0000D9A60000}"/>
    <cellStyle name="Normal 2 3 7 3 9 2" xfId="29701" xr:uid="{00000000-0005-0000-0000-0000DAA60000}"/>
    <cellStyle name="Normal 2 3 7 30" xfId="57471" xr:uid="{00000000-0005-0000-0000-0000DBA60000}"/>
    <cellStyle name="Normal 2 3 7 31" xfId="59154" xr:uid="{00000000-0005-0000-0000-0000DCA60000}"/>
    <cellStyle name="Normal 2 3 7 32" xfId="60837" xr:uid="{00000000-0005-0000-0000-0000DDA60000}"/>
    <cellStyle name="Normal 2 3 7 33" xfId="62520" xr:uid="{00000000-0005-0000-0000-0000DEA60000}"/>
    <cellStyle name="Normal 2 3 7 4" xfId="1507" xr:uid="{00000000-0005-0000-0000-0000DFA60000}"/>
    <cellStyle name="Normal 2 3 7 4 10" xfId="16656" xr:uid="{00000000-0005-0000-0000-0000E0A60000}"/>
    <cellStyle name="Normal 2 3 7 4 11" xfId="31805" xr:uid="{00000000-0005-0000-0000-0000E1A60000}"/>
    <cellStyle name="Normal 2 3 7 4 12" xfId="33488" xr:uid="{00000000-0005-0000-0000-0000E2A60000}"/>
    <cellStyle name="Normal 2 3 7 4 13" xfId="35171" xr:uid="{00000000-0005-0000-0000-0000E3A60000}"/>
    <cellStyle name="Normal 2 3 7 4 14" xfId="36854" xr:uid="{00000000-0005-0000-0000-0000E4A60000}"/>
    <cellStyle name="Normal 2 3 7 4 15" xfId="38537" xr:uid="{00000000-0005-0000-0000-0000E5A60000}"/>
    <cellStyle name="Normal 2 3 7 4 16" xfId="40220" xr:uid="{00000000-0005-0000-0000-0000E6A60000}"/>
    <cellStyle name="Normal 2 3 7 4 17" xfId="41903" xr:uid="{00000000-0005-0000-0000-0000E7A60000}"/>
    <cellStyle name="Normal 2 3 7 4 18" xfId="43586" xr:uid="{00000000-0005-0000-0000-0000E8A60000}"/>
    <cellStyle name="Normal 2 3 7 4 19" xfId="45269" xr:uid="{00000000-0005-0000-0000-0000E9A60000}"/>
    <cellStyle name="Normal 2 3 7 4 2" xfId="3190" xr:uid="{00000000-0005-0000-0000-0000EAA60000}"/>
    <cellStyle name="Normal 2 3 7 4 2 2" xfId="18339" xr:uid="{00000000-0005-0000-0000-0000EBA60000}"/>
    <cellStyle name="Normal 2 3 7 4 20" xfId="46952" xr:uid="{00000000-0005-0000-0000-0000ECA60000}"/>
    <cellStyle name="Normal 2 3 7 4 21" xfId="48635" xr:uid="{00000000-0005-0000-0000-0000EDA60000}"/>
    <cellStyle name="Normal 2 3 7 4 22" xfId="50318" xr:uid="{00000000-0005-0000-0000-0000EEA60000}"/>
    <cellStyle name="Normal 2 3 7 4 23" xfId="52001" xr:uid="{00000000-0005-0000-0000-0000EFA60000}"/>
    <cellStyle name="Normal 2 3 7 4 24" xfId="53684" xr:uid="{00000000-0005-0000-0000-0000F0A60000}"/>
    <cellStyle name="Normal 2 3 7 4 25" xfId="55367" xr:uid="{00000000-0005-0000-0000-0000F1A60000}"/>
    <cellStyle name="Normal 2 3 7 4 26" xfId="57050" xr:uid="{00000000-0005-0000-0000-0000F2A60000}"/>
    <cellStyle name="Normal 2 3 7 4 27" xfId="58733" xr:uid="{00000000-0005-0000-0000-0000F3A60000}"/>
    <cellStyle name="Normal 2 3 7 4 28" xfId="60416" xr:uid="{00000000-0005-0000-0000-0000F4A60000}"/>
    <cellStyle name="Normal 2 3 7 4 29" xfId="62099" xr:uid="{00000000-0005-0000-0000-0000F5A60000}"/>
    <cellStyle name="Normal 2 3 7 4 3" xfId="4874" xr:uid="{00000000-0005-0000-0000-0000F6A60000}"/>
    <cellStyle name="Normal 2 3 7 4 3 2" xfId="20023" xr:uid="{00000000-0005-0000-0000-0000F7A60000}"/>
    <cellStyle name="Normal 2 3 7 4 30" xfId="63782" xr:uid="{00000000-0005-0000-0000-0000F8A60000}"/>
    <cellStyle name="Normal 2 3 7 4 4" xfId="6557" xr:uid="{00000000-0005-0000-0000-0000F9A60000}"/>
    <cellStyle name="Normal 2 3 7 4 4 2" xfId="21706" xr:uid="{00000000-0005-0000-0000-0000FAA60000}"/>
    <cellStyle name="Normal 2 3 7 4 5" xfId="8240" xr:uid="{00000000-0005-0000-0000-0000FBA60000}"/>
    <cellStyle name="Normal 2 3 7 4 5 2" xfId="23389" xr:uid="{00000000-0005-0000-0000-0000FCA60000}"/>
    <cellStyle name="Normal 2 3 7 4 6" xfId="9923" xr:uid="{00000000-0005-0000-0000-0000FDA60000}"/>
    <cellStyle name="Normal 2 3 7 4 6 2" xfId="25072" xr:uid="{00000000-0005-0000-0000-0000FEA60000}"/>
    <cellStyle name="Normal 2 3 7 4 7" xfId="11606" xr:uid="{00000000-0005-0000-0000-0000FFA60000}"/>
    <cellStyle name="Normal 2 3 7 4 7 2" xfId="26755" xr:uid="{00000000-0005-0000-0000-000000A70000}"/>
    <cellStyle name="Normal 2 3 7 4 8" xfId="13290" xr:uid="{00000000-0005-0000-0000-000001A70000}"/>
    <cellStyle name="Normal 2 3 7 4 8 2" xfId="28439" xr:uid="{00000000-0005-0000-0000-000002A70000}"/>
    <cellStyle name="Normal 2 3 7 4 9" xfId="14973" xr:uid="{00000000-0005-0000-0000-000003A70000}"/>
    <cellStyle name="Normal 2 3 7 4 9 2" xfId="30122" xr:uid="{00000000-0005-0000-0000-000004A70000}"/>
    <cellStyle name="Normal 2 3 7 5" xfId="1928" xr:uid="{00000000-0005-0000-0000-000005A70000}"/>
    <cellStyle name="Normal 2 3 7 5 2" xfId="17077" xr:uid="{00000000-0005-0000-0000-000006A70000}"/>
    <cellStyle name="Normal 2 3 7 6" xfId="3612" xr:uid="{00000000-0005-0000-0000-000007A70000}"/>
    <cellStyle name="Normal 2 3 7 6 2" xfId="18761" xr:uid="{00000000-0005-0000-0000-000008A70000}"/>
    <cellStyle name="Normal 2 3 7 7" xfId="5295" xr:uid="{00000000-0005-0000-0000-000009A70000}"/>
    <cellStyle name="Normal 2 3 7 7 2" xfId="20444" xr:uid="{00000000-0005-0000-0000-00000AA70000}"/>
    <cellStyle name="Normal 2 3 7 8" xfId="6978" xr:uid="{00000000-0005-0000-0000-00000BA70000}"/>
    <cellStyle name="Normal 2 3 7 8 2" xfId="22127" xr:uid="{00000000-0005-0000-0000-00000CA70000}"/>
    <cellStyle name="Normal 2 3 7 9" xfId="8661" xr:uid="{00000000-0005-0000-0000-00000DA70000}"/>
    <cellStyle name="Normal 2 3 7 9 2" xfId="23810" xr:uid="{00000000-0005-0000-0000-00000EA70000}"/>
    <cellStyle name="Normal 2 3 8" xfId="455" xr:uid="{00000000-0005-0000-0000-00000FA70000}"/>
    <cellStyle name="Normal 2 3 8 10" xfId="15604" xr:uid="{00000000-0005-0000-0000-000010A70000}"/>
    <cellStyle name="Normal 2 3 8 11" xfId="30753" xr:uid="{00000000-0005-0000-0000-000011A70000}"/>
    <cellStyle name="Normal 2 3 8 12" xfId="32436" xr:uid="{00000000-0005-0000-0000-000012A70000}"/>
    <cellStyle name="Normal 2 3 8 13" xfId="34119" xr:uid="{00000000-0005-0000-0000-000013A70000}"/>
    <cellStyle name="Normal 2 3 8 14" xfId="35802" xr:uid="{00000000-0005-0000-0000-000014A70000}"/>
    <cellStyle name="Normal 2 3 8 15" xfId="37485" xr:uid="{00000000-0005-0000-0000-000015A70000}"/>
    <cellStyle name="Normal 2 3 8 16" xfId="39168" xr:uid="{00000000-0005-0000-0000-000016A70000}"/>
    <cellStyle name="Normal 2 3 8 17" xfId="40851" xr:uid="{00000000-0005-0000-0000-000017A70000}"/>
    <cellStyle name="Normal 2 3 8 18" xfId="42534" xr:uid="{00000000-0005-0000-0000-000018A70000}"/>
    <cellStyle name="Normal 2 3 8 19" xfId="44217" xr:uid="{00000000-0005-0000-0000-000019A70000}"/>
    <cellStyle name="Normal 2 3 8 2" xfId="2138" xr:uid="{00000000-0005-0000-0000-00001AA70000}"/>
    <cellStyle name="Normal 2 3 8 2 2" xfId="17287" xr:uid="{00000000-0005-0000-0000-00001BA70000}"/>
    <cellStyle name="Normal 2 3 8 20" xfId="45900" xr:uid="{00000000-0005-0000-0000-00001CA70000}"/>
    <cellStyle name="Normal 2 3 8 21" xfId="47583" xr:uid="{00000000-0005-0000-0000-00001DA70000}"/>
    <cellStyle name="Normal 2 3 8 22" xfId="49266" xr:uid="{00000000-0005-0000-0000-00001EA70000}"/>
    <cellStyle name="Normal 2 3 8 23" xfId="50949" xr:uid="{00000000-0005-0000-0000-00001FA70000}"/>
    <cellStyle name="Normal 2 3 8 24" xfId="52632" xr:uid="{00000000-0005-0000-0000-000020A70000}"/>
    <cellStyle name="Normal 2 3 8 25" xfId="54315" xr:uid="{00000000-0005-0000-0000-000021A70000}"/>
    <cellStyle name="Normal 2 3 8 26" xfId="55998" xr:uid="{00000000-0005-0000-0000-000022A70000}"/>
    <cellStyle name="Normal 2 3 8 27" xfId="57681" xr:uid="{00000000-0005-0000-0000-000023A70000}"/>
    <cellStyle name="Normal 2 3 8 28" xfId="59364" xr:uid="{00000000-0005-0000-0000-000024A70000}"/>
    <cellStyle name="Normal 2 3 8 29" xfId="61047" xr:uid="{00000000-0005-0000-0000-000025A70000}"/>
    <cellStyle name="Normal 2 3 8 3" xfId="3822" xr:uid="{00000000-0005-0000-0000-000026A70000}"/>
    <cellStyle name="Normal 2 3 8 3 2" xfId="18971" xr:uid="{00000000-0005-0000-0000-000027A70000}"/>
    <cellStyle name="Normal 2 3 8 30" xfId="62730" xr:uid="{00000000-0005-0000-0000-000028A70000}"/>
    <cellStyle name="Normal 2 3 8 4" xfId="5505" xr:uid="{00000000-0005-0000-0000-000029A70000}"/>
    <cellStyle name="Normal 2 3 8 4 2" xfId="20654" xr:uid="{00000000-0005-0000-0000-00002AA70000}"/>
    <cellStyle name="Normal 2 3 8 5" xfId="7188" xr:uid="{00000000-0005-0000-0000-00002BA70000}"/>
    <cellStyle name="Normal 2 3 8 5 2" xfId="22337" xr:uid="{00000000-0005-0000-0000-00002CA70000}"/>
    <cellStyle name="Normal 2 3 8 6" xfId="8871" xr:uid="{00000000-0005-0000-0000-00002DA70000}"/>
    <cellStyle name="Normal 2 3 8 6 2" xfId="24020" xr:uid="{00000000-0005-0000-0000-00002EA70000}"/>
    <cellStyle name="Normal 2 3 8 7" xfId="10554" xr:uid="{00000000-0005-0000-0000-00002FA70000}"/>
    <cellStyle name="Normal 2 3 8 7 2" xfId="25703" xr:uid="{00000000-0005-0000-0000-000030A70000}"/>
    <cellStyle name="Normal 2 3 8 8" xfId="12238" xr:uid="{00000000-0005-0000-0000-000031A70000}"/>
    <cellStyle name="Normal 2 3 8 8 2" xfId="27387" xr:uid="{00000000-0005-0000-0000-000032A70000}"/>
    <cellStyle name="Normal 2 3 8 9" xfId="13921" xr:uid="{00000000-0005-0000-0000-000033A70000}"/>
    <cellStyle name="Normal 2 3 8 9 2" xfId="29070" xr:uid="{00000000-0005-0000-0000-000034A70000}"/>
    <cellStyle name="Normal 2 3 9" xfId="876" xr:uid="{00000000-0005-0000-0000-000035A70000}"/>
    <cellStyle name="Normal 2 3 9 10" xfId="16025" xr:uid="{00000000-0005-0000-0000-000036A70000}"/>
    <cellStyle name="Normal 2 3 9 11" xfId="31174" xr:uid="{00000000-0005-0000-0000-000037A70000}"/>
    <cellStyle name="Normal 2 3 9 12" xfId="32857" xr:uid="{00000000-0005-0000-0000-000038A70000}"/>
    <cellStyle name="Normal 2 3 9 13" xfId="34540" xr:uid="{00000000-0005-0000-0000-000039A70000}"/>
    <cellStyle name="Normal 2 3 9 14" xfId="36223" xr:uid="{00000000-0005-0000-0000-00003AA70000}"/>
    <cellStyle name="Normal 2 3 9 15" xfId="37906" xr:uid="{00000000-0005-0000-0000-00003BA70000}"/>
    <cellStyle name="Normal 2 3 9 16" xfId="39589" xr:uid="{00000000-0005-0000-0000-00003CA70000}"/>
    <cellStyle name="Normal 2 3 9 17" xfId="41272" xr:uid="{00000000-0005-0000-0000-00003DA70000}"/>
    <cellStyle name="Normal 2 3 9 18" xfId="42955" xr:uid="{00000000-0005-0000-0000-00003EA70000}"/>
    <cellStyle name="Normal 2 3 9 19" xfId="44638" xr:uid="{00000000-0005-0000-0000-00003FA70000}"/>
    <cellStyle name="Normal 2 3 9 2" xfId="2559" xr:uid="{00000000-0005-0000-0000-000040A70000}"/>
    <cellStyle name="Normal 2 3 9 2 2" xfId="17708" xr:uid="{00000000-0005-0000-0000-000041A70000}"/>
    <cellStyle name="Normal 2 3 9 20" xfId="46321" xr:uid="{00000000-0005-0000-0000-000042A70000}"/>
    <cellStyle name="Normal 2 3 9 21" xfId="48004" xr:uid="{00000000-0005-0000-0000-000043A70000}"/>
    <cellStyle name="Normal 2 3 9 22" xfId="49687" xr:uid="{00000000-0005-0000-0000-000044A70000}"/>
    <cellStyle name="Normal 2 3 9 23" xfId="51370" xr:uid="{00000000-0005-0000-0000-000045A70000}"/>
    <cellStyle name="Normal 2 3 9 24" xfId="53053" xr:uid="{00000000-0005-0000-0000-000046A70000}"/>
    <cellStyle name="Normal 2 3 9 25" xfId="54736" xr:uid="{00000000-0005-0000-0000-000047A70000}"/>
    <cellStyle name="Normal 2 3 9 26" xfId="56419" xr:uid="{00000000-0005-0000-0000-000048A70000}"/>
    <cellStyle name="Normal 2 3 9 27" xfId="58102" xr:uid="{00000000-0005-0000-0000-000049A70000}"/>
    <cellStyle name="Normal 2 3 9 28" xfId="59785" xr:uid="{00000000-0005-0000-0000-00004AA70000}"/>
    <cellStyle name="Normal 2 3 9 29" xfId="61468" xr:uid="{00000000-0005-0000-0000-00004BA70000}"/>
    <cellStyle name="Normal 2 3 9 3" xfId="4243" xr:uid="{00000000-0005-0000-0000-00004CA70000}"/>
    <cellStyle name="Normal 2 3 9 3 2" xfId="19392" xr:uid="{00000000-0005-0000-0000-00004DA70000}"/>
    <cellStyle name="Normal 2 3 9 30" xfId="63151" xr:uid="{00000000-0005-0000-0000-00004EA70000}"/>
    <cellStyle name="Normal 2 3 9 4" xfId="5926" xr:uid="{00000000-0005-0000-0000-00004FA70000}"/>
    <cellStyle name="Normal 2 3 9 4 2" xfId="21075" xr:uid="{00000000-0005-0000-0000-000050A70000}"/>
    <cellStyle name="Normal 2 3 9 5" xfId="7609" xr:uid="{00000000-0005-0000-0000-000051A70000}"/>
    <cellStyle name="Normal 2 3 9 5 2" xfId="22758" xr:uid="{00000000-0005-0000-0000-000052A70000}"/>
    <cellStyle name="Normal 2 3 9 6" xfId="9292" xr:uid="{00000000-0005-0000-0000-000053A70000}"/>
    <cellStyle name="Normal 2 3 9 6 2" xfId="24441" xr:uid="{00000000-0005-0000-0000-000054A70000}"/>
    <cellStyle name="Normal 2 3 9 7" xfId="10975" xr:uid="{00000000-0005-0000-0000-000055A70000}"/>
    <cellStyle name="Normal 2 3 9 7 2" xfId="26124" xr:uid="{00000000-0005-0000-0000-000056A70000}"/>
    <cellStyle name="Normal 2 3 9 8" xfId="12659" xr:uid="{00000000-0005-0000-0000-000057A70000}"/>
    <cellStyle name="Normal 2 3 9 8 2" xfId="27808" xr:uid="{00000000-0005-0000-0000-000058A70000}"/>
    <cellStyle name="Normal 2 3 9 9" xfId="14342" xr:uid="{00000000-0005-0000-0000-000059A70000}"/>
    <cellStyle name="Normal 2 3 9 9 2" xfId="29491" xr:uid="{00000000-0005-0000-0000-00005AA70000}"/>
    <cellStyle name="Normal 2 30" xfId="43796" xr:uid="{00000000-0005-0000-0000-00005BA70000}"/>
    <cellStyle name="Normal 2 31" xfId="45479" xr:uid="{00000000-0005-0000-0000-00005CA70000}"/>
    <cellStyle name="Normal 2 32" xfId="47162" xr:uid="{00000000-0005-0000-0000-00005DA70000}"/>
    <cellStyle name="Normal 2 33" xfId="48845" xr:uid="{00000000-0005-0000-0000-00005EA70000}"/>
    <cellStyle name="Normal 2 34" xfId="50528" xr:uid="{00000000-0005-0000-0000-00005FA70000}"/>
    <cellStyle name="Normal 2 35" xfId="52211" xr:uid="{00000000-0005-0000-0000-000060A70000}"/>
    <cellStyle name="Normal 2 36" xfId="53894" xr:uid="{00000000-0005-0000-0000-000061A70000}"/>
    <cellStyle name="Normal 2 37" xfId="55577" xr:uid="{00000000-0005-0000-0000-000062A70000}"/>
    <cellStyle name="Normal 2 38" xfId="57260" xr:uid="{00000000-0005-0000-0000-000063A70000}"/>
    <cellStyle name="Normal 2 39" xfId="58943" xr:uid="{00000000-0005-0000-0000-000064A70000}"/>
    <cellStyle name="Normal 2 4" xfId="22" xr:uid="{00000000-0005-0000-0000-000065A70000}"/>
    <cellStyle name="Normal 2 4 10" xfId="6777" xr:uid="{00000000-0005-0000-0000-000066A70000}"/>
    <cellStyle name="Normal 2 4 10 2" xfId="21926" xr:uid="{00000000-0005-0000-0000-000067A70000}"/>
    <cellStyle name="Normal 2 4 11" xfId="8460" xr:uid="{00000000-0005-0000-0000-000068A70000}"/>
    <cellStyle name="Normal 2 4 11 2" xfId="23609" xr:uid="{00000000-0005-0000-0000-000069A70000}"/>
    <cellStyle name="Normal 2 4 12" xfId="10143" xr:uid="{00000000-0005-0000-0000-00006AA70000}"/>
    <cellStyle name="Normal 2 4 12 2" xfId="25292" xr:uid="{00000000-0005-0000-0000-00006BA70000}"/>
    <cellStyle name="Normal 2 4 13" xfId="11827" xr:uid="{00000000-0005-0000-0000-00006CA70000}"/>
    <cellStyle name="Normal 2 4 13 2" xfId="26976" xr:uid="{00000000-0005-0000-0000-00006DA70000}"/>
    <cellStyle name="Normal 2 4 14" xfId="13510" xr:uid="{00000000-0005-0000-0000-00006EA70000}"/>
    <cellStyle name="Normal 2 4 14 2" xfId="28659" xr:uid="{00000000-0005-0000-0000-00006FA70000}"/>
    <cellStyle name="Normal 2 4 15" xfId="15193" xr:uid="{00000000-0005-0000-0000-000070A70000}"/>
    <cellStyle name="Normal 2 4 16" xfId="30342" xr:uid="{00000000-0005-0000-0000-000071A70000}"/>
    <cellStyle name="Normal 2 4 17" xfId="32025" xr:uid="{00000000-0005-0000-0000-000072A70000}"/>
    <cellStyle name="Normal 2 4 18" xfId="33708" xr:uid="{00000000-0005-0000-0000-000073A70000}"/>
    <cellStyle name="Normal 2 4 19" xfId="35391" xr:uid="{00000000-0005-0000-0000-000074A70000}"/>
    <cellStyle name="Normal 2 4 2" xfId="149" xr:uid="{00000000-0005-0000-0000-000075A70000}"/>
    <cellStyle name="Normal 2 4 2 10" xfId="8565" xr:uid="{00000000-0005-0000-0000-000076A70000}"/>
    <cellStyle name="Normal 2 4 2 10 2" xfId="23714" xr:uid="{00000000-0005-0000-0000-000077A70000}"/>
    <cellStyle name="Normal 2 4 2 11" xfId="10248" xr:uid="{00000000-0005-0000-0000-000078A70000}"/>
    <cellStyle name="Normal 2 4 2 11 2" xfId="25397" xr:uid="{00000000-0005-0000-0000-000079A70000}"/>
    <cellStyle name="Normal 2 4 2 12" xfId="11932" xr:uid="{00000000-0005-0000-0000-00007AA70000}"/>
    <cellStyle name="Normal 2 4 2 12 2" xfId="27081" xr:uid="{00000000-0005-0000-0000-00007BA70000}"/>
    <cellStyle name="Normal 2 4 2 13" xfId="13615" xr:uid="{00000000-0005-0000-0000-00007CA70000}"/>
    <cellStyle name="Normal 2 4 2 13 2" xfId="28764" xr:uid="{00000000-0005-0000-0000-00007DA70000}"/>
    <cellStyle name="Normal 2 4 2 14" xfId="15298" xr:uid="{00000000-0005-0000-0000-00007EA70000}"/>
    <cellStyle name="Normal 2 4 2 15" xfId="30447" xr:uid="{00000000-0005-0000-0000-00007FA70000}"/>
    <cellStyle name="Normal 2 4 2 16" xfId="32130" xr:uid="{00000000-0005-0000-0000-000080A70000}"/>
    <cellStyle name="Normal 2 4 2 17" xfId="33813" xr:uid="{00000000-0005-0000-0000-000081A70000}"/>
    <cellStyle name="Normal 2 4 2 18" xfId="35496" xr:uid="{00000000-0005-0000-0000-000082A70000}"/>
    <cellStyle name="Normal 2 4 2 19" xfId="37179" xr:uid="{00000000-0005-0000-0000-000083A70000}"/>
    <cellStyle name="Normal 2 4 2 2" xfId="359" xr:uid="{00000000-0005-0000-0000-000084A70000}"/>
    <cellStyle name="Normal 2 4 2 2 10" xfId="10458" xr:uid="{00000000-0005-0000-0000-000085A70000}"/>
    <cellStyle name="Normal 2 4 2 2 10 2" xfId="25607" xr:uid="{00000000-0005-0000-0000-000086A70000}"/>
    <cellStyle name="Normal 2 4 2 2 11" xfId="12142" xr:uid="{00000000-0005-0000-0000-000087A70000}"/>
    <cellStyle name="Normal 2 4 2 2 11 2" xfId="27291" xr:uid="{00000000-0005-0000-0000-000088A70000}"/>
    <cellStyle name="Normal 2 4 2 2 12" xfId="13825" xr:uid="{00000000-0005-0000-0000-000089A70000}"/>
    <cellStyle name="Normal 2 4 2 2 12 2" xfId="28974" xr:uid="{00000000-0005-0000-0000-00008AA70000}"/>
    <cellStyle name="Normal 2 4 2 2 13" xfId="15508" xr:uid="{00000000-0005-0000-0000-00008BA70000}"/>
    <cellStyle name="Normal 2 4 2 2 14" xfId="30657" xr:uid="{00000000-0005-0000-0000-00008CA70000}"/>
    <cellStyle name="Normal 2 4 2 2 15" xfId="32340" xr:uid="{00000000-0005-0000-0000-00008DA70000}"/>
    <cellStyle name="Normal 2 4 2 2 16" xfId="34023" xr:uid="{00000000-0005-0000-0000-00008EA70000}"/>
    <cellStyle name="Normal 2 4 2 2 17" xfId="35706" xr:uid="{00000000-0005-0000-0000-00008FA70000}"/>
    <cellStyle name="Normal 2 4 2 2 18" xfId="37389" xr:uid="{00000000-0005-0000-0000-000090A70000}"/>
    <cellStyle name="Normal 2 4 2 2 19" xfId="39072" xr:uid="{00000000-0005-0000-0000-000091A70000}"/>
    <cellStyle name="Normal 2 4 2 2 2" xfId="779" xr:uid="{00000000-0005-0000-0000-000092A70000}"/>
    <cellStyle name="Normal 2 4 2 2 2 10" xfId="15928" xr:uid="{00000000-0005-0000-0000-000093A70000}"/>
    <cellStyle name="Normal 2 4 2 2 2 11" xfId="31077" xr:uid="{00000000-0005-0000-0000-000094A70000}"/>
    <cellStyle name="Normal 2 4 2 2 2 12" xfId="32760" xr:uid="{00000000-0005-0000-0000-000095A70000}"/>
    <cellStyle name="Normal 2 4 2 2 2 13" xfId="34443" xr:uid="{00000000-0005-0000-0000-000096A70000}"/>
    <cellStyle name="Normal 2 4 2 2 2 14" xfId="36126" xr:uid="{00000000-0005-0000-0000-000097A70000}"/>
    <cellStyle name="Normal 2 4 2 2 2 15" xfId="37809" xr:uid="{00000000-0005-0000-0000-000098A70000}"/>
    <cellStyle name="Normal 2 4 2 2 2 16" xfId="39492" xr:uid="{00000000-0005-0000-0000-000099A70000}"/>
    <cellStyle name="Normal 2 4 2 2 2 17" xfId="41175" xr:uid="{00000000-0005-0000-0000-00009AA70000}"/>
    <cellStyle name="Normal 2 4 2 2 2 18" xfId="42858" xr:uid="{00000000-0005-0000-0000-00009BA70000}"/>
    <cellStyle name="Normal 2 4 2 2 2 19" xfId="44541" xr:uid="{00000000-0005-0000-0000-00009CA70000}"/>
    <cellStyle name="Normal 2 4 2 2 2 2" xfId="2462" xr:uid="{00000000-0005-0000-0000-00009DA70000}"/>
    <cellStyle name="Normal 2 4 2 2 2 2 2" xfId="17611" xr:uid="{00000000-0005-0000-0000-00009EA70000}"/>
    <cellStyle name="Normal 2 4 2 2 2 20" xfId="46224" xr:uid="{00000000-0005-0000-0000-00009FA70000}"/>
    <cellStyle name="Normal 2 4 2 2 2 21" xfId="47907" xr:uid="{00000000-0005-0000-0000-0000A0A70000}"/>
    <cellStyle name="Normal 2 4 2 2 2 22" xfId="49590" xr:uid="{00000000-0005-0000-0000-0000A1A70000}"/>
    <cellStyle name="Normal 2 4 2 2 2 23" xfId="51273" xr:uid="{00000000-0005-0000-0000-0000A2A70000}"/>
    <cellStyle name="Normal 2 4 2 2 2 24" xfId="52956" xr:uid="{00000000-0005-0000-0000-0000A3A70000}"/>
    <cellStyle name="Normal 2 4 2 2 2 25" xfId="54639" xr:uid="{00000000-0005-0000-0000-0000A4A70000}"/>
    <cellStyle name="Normal 2 4 2 2 2 26" xfId="56322" xr:uid="{00000000-0005-0000-0000-0000A5A70000}"/>
    <cellStyle name="Normal 2 4 2 2 2 27" xfId="58005" xr:uid="{00000000-0005-0000-0000-0000A6A70000}"/>
    <cellStyle name="Normal 2 4 2 2 2 28" xfId="59688" xr:uid="{00000000-0005-0000-0000-0000A7A70000}"/>
    <cellStyle name="Normal 2 4 2 2 2 29" xfId="61371" xr:uid="{00000000-0005-0000-0000-0000A8A70000}"/>
    <cellStyle name="Normal 2 4 2 2 2 3" xfId="4146" xr:uid="{00000000-0005-0000-0000-0000A9A70000}"/>
    <cellStyle name="Normal 2 4 2 2 2 3 2" xfId="19295" xr:uid="{00000000-0005-0000-0000-0000AAA70000}"/>
    <cellStyle name="Normal 2 4 2 2 2 30" xfId="63054" xr:uid="{00000000-0005-0000-0000-0000ABA70000}"/>
    <cellStyle name="Normal 2 4 2 2 2 4" xfId="5829" xr:uid="{00000000-0005-0000-0000-0000ACA70000}"/>
    <cellStyle name="Normal 2 4 2 2 2 4 2" xfId="20978" xr:uid="{00000000-0005-0000-0000-0000ADA70000}"/>
    <cellStyle name="Normal 2 4 2 2 2 5" xfId="7512" xr:uid="{00000000-0005-0000-0000-0000AEA70000}"/>
    <cellStyle name="Normal 2 4 2 2 2 5 2" xfId="22661" xr:uid="{00000000-0005-0000-0000-0000AFA70000}"/>
    <cellStyle name="Normal 2 4 2 2 2 6" xfId="9195" xr:uid="{00000000-0005-0000-0000-0000B0A70000}"/>
    <cellStyle name="Normal 2 4 2 2 2 6 2" xfId="24344" xr:uid="{00000000-0005-0000-0000-0000B1A70000}"/>
    <cellStyle name="Normal 2 4 2 2 2 7" xfId="10878" xr:uid="{00000000-0005-0000-0000-0000B2A70000}"/>
    <cellStyle name="Normal 2 4 2 2 2 7 2" xfId="26027" xr:uid="{00000000-0005-0000-0000-0000B3A70000}"/>
    <cellStyle name="Normal 2 4 2 2 2 8" xfId="12562" xr:uid="{00000000-0005-0000-0000-0000B4A70000}"/>
    <cellStyle name="Normal 2 4 2 2 2 8 2" xfId="27711" xr:uid="{00000000-0005-0000-0000-0000B5A70000}"/>
    <cellStyle name="Normal 2 4 2 2 2 9" xfId="14245" xr:uid="{00000000-0005-0000-0000-0000B6A70000}"/>
    <cellStyle name="Normal 2 4 2 2 2 9 2" xfId="29394" xr:uid="{00000000-0005-0000-0000-0000B7A70000}"/>
    <cellStyle name="Normal 2 4 2 2 20" xfId="40755" xr:uid="{00000000-0005-0000-0000-0000B8A70000}"/>
    <cellStyle name="Normal 2 4 2 2 21" xfId="42438" xr:uid="{00000000-0005-0000-0000-0000B9A70000}"/>
    <cellStyle name="Normal 2 4 2 2 22" xfId="44121" xr:uid="{00000000-0005-0000-0000-0000BAA70000}"/>
    <cellStyle name="Normal 2 4 2 2 23" xfId="45804" xr:uid="{00000000-0005-0000-0000-0000BBA70000}"/>
    <cellStyle name="Normal 2 4 2 2 24" xfId="47487" xr:uid="{00000000-0005-0000-0000-0000BCA70000}"/>
    <cellStyle name="Normal 2 4 2 2 25" xfId="49170" xr:uid="{00000000-0005-0000-0000-0000BDA70000}"/>
    <cellStyle name="Normal 2 4 2 2 26" xfId="50853" xr:uid="{00000000-0005-0000-0000-0000BEA70000}"/>
    <cellStyle name="Normal 2 4 2 2 27" xfId="52536" xr:uid="{00000000-0005-0000-0000-0000BFA70000}"/>
    <cellStyle name="Normal 2 4 2 2 28" xfId="54219" xr:uid="{00000000-0005-0000-0000-0000C0A70000}"/>
    <cellStyle name="Normal 2 4 2 2 29" xfId="55902" xr:uid="{00000000-0005-0000-0000-0000C1A70000}"/>
    <cellStyle name="Normal 2 4 2 2 3" xfId="1200" xr:uid="{00000000-0005-0000-0000-0000C2A70000}"/>
    <cellStyle name="Normal 2 4 2 2 3 10" xfId="16349" xr:uid="{00000000-0005-0000-0000-0000C3A70000}"/>
    <cellStyle name="Normal 2 4 2 2 3 11" xfId="31498" xr:uid="{00000000-0005-0000-0000-0000C4A70000}"/>
    <cellStyle name="Normal 2 4 2 2 3 12" xfId="33181" xr:uid="{00000000-0005-0000-0000-0000C5A70000}"/>
    <cellStyle name="Normal 2 4 2 2 3 13" xfId="34864" xr:uid="{00000000-0005-0000-0000-0000C6A70000}"/>
    <cellStyle name="Normal 2 4 2 2 3 14" xfId="36547" xr:uid="{00000000-0005-0000-0000-0000C7A70000}"/>
    <cellStyle name="Normal 2 4 2 2 3 15" xfId="38230" xr:uid="{00000000-0005-0000-0000-0000C8A70000}"/>
    <cellStyle name="Normal 2 4 2 2 3 16" xfId="39913" xr:uid="{00000000-0005-0000-0000-0000C9A70000}"/>
    <cellStyle name="Normal 2 4 2 2 3 17" xfId="41596" xr:uid="{00000000-0005-0000-0000-0000CAA70000}"/>
    <cellStyle name="Normal 2 4 2 2 3 18" xfId="43279" xr:uid="{00000000-0005-0000-0000-0000CBA70000}"/>
    <cellStyle name="Normal 2 4 2 2 3 19" xfId="44962" xr:uid="{00000000-0005-0000-0000-0000CCA70000}"/>
    <cellStyle name="Normal 2 4 2 2 3 2" xfId="2883" xr:uid="{00000000-0005-0000-0000-0000CDA70000}"/>
    <cellStyle name="Normal 2 4 2 2 3 2 2" xfId="18032" xr:uid="{00000000-0005-0000-0000-0000CEA70000}"/>
    <cellStyle name="Normal 2 4 2 2 3 20" xfId="46645" xr:uid="{00000000-0005-0000-0000-0000CFA70000}"/>
    <cellStyle name="Normal 2 4 2 2 3 21" xfId="48328" xr:uid="{00000000-0005-0000-0000-0000D0A70000}"/>
    <cellStyle name="Normal 2 4 2 2 3 22" xfId="50011" xr:uid="{00000000-0005-0000-0000-0000D1A70000}"/>
    <cellStyle name="Normal 2 4 2 2 3 23" xfId="51694" xr:uid="{00000000-0005-0000-0000-0000D2A70000}"/>
    <cellStyle name="Normal 2 4 2 2 3 24" xfId="53377" xr:uid="{00000000-0005-0000-0000-0000D3A70000}"/>
    <cellStyle name="Normal 2 4 2 2 3 25" xfId="55060" xr:uid="{00000000-0005-0000-0000-0000D4A70000}"/>
    <cellStyle name="Normal 2 4 2 2 3 26" xfId="56743" xr:uid="{00000000-0005-0000-0000-0000D5A70000}"/>
    <cellStyle name="Normal 2 4 2 2 3 27" xfId="58426" xr:uid="{00000000-0005-0000-0000-0000D6A70000}"/>
    <cellStyle name="Normal 2 4 2 2 3 28" xfId="60109" xr:uid="{00000000-0005-0000-0000-0000D7A70000}"/>
    <cellStyle name="Normal 2 4 2 2 3 29" xfId="61792" xr:uid="{00000000-0005-0000-0000-0000D8A70000}"/>
    <cellStyle name="Normal 2 4 2 2 3 3" xfId="4567" xr:uid="{00000000-0005-0000-0000-0000D9A70000}"/>
    <cellStyle name="Normal 2 4 2 2 3 3 2" xfId="19716" xr:uid="{00000000-0005-0000-0000-0000DAA70000}"/>
    <cellStyle name="Normal 2 4 2 2 3 30" xfId="63475" xr:uid="{00000000-0005-0000-0000-0000DBA70000}"/>
    <cellStyle name="Normal 2 4 2 2 3 4" xfId="6250" xr:uid="{00000000-0005-0000-0000-0000DCA70000}"/>
    <cellStyle name="Normal 2 4 2 2 3 4 2" xfId="21399" xr:uid="{00000000-0005-0000-0000-0000DDA70000}"/>
    <cellStyle name="Normal 2 4 2 2 3 5" xfId="7933" xr:uid="{00000000-0005-0000-0000-0000DEA70000}"/>
    <cellStyle name="Normal 2 4 2 2 3 5 2" xfId="23082" xr:uid="{00000000-0005-0000-0000-0000DFA70000}"/>
    <cellStyle name="Normal 2 4 2 2 3 6" xfId="9616" xr:uid="{00000000-0005-0000-0000-0000E0A70000}"/>
    <cellStyle name="Normal 2 4 2 2 3 6 2" xfId="24765" xr:uid="{00000000-0005-0000-0000-0000E1A70000}"/>
    <cellStyle name="Normal 2 4 2 2 3 7" xfId="11299" xr:uid="{00000000-0005-0000-0000-0000E2A70000}"/>
    <cellStyle name="Normal 2 4 2 2 3 7 2" xfId="26448" xr:uid="{00000000-0005-0000-0000-0000E3A70000}"/>
    <cellStyle name="Normal 2 4 2 2 3 8" xfId="12983" xr:uid="{00000000-0005-0000-0000-0000E4A70000}"/>
    <cellStyle name="Normal 2 4 2 2 3 8 2" xfId="28132" xr:uid="{00000000-0005-0000-0000-0000E5A70000}"/>
    <cellStyle name="Normal 2 4 2 2 3 9" xfId="14666" xr:uid="{00000000-0005-0000-0000-0000E6A70000}"/>
    <cellStyle name="Normal 2 4 2 2 3 9 2" xfId="29815" xr:uid="{00000000-0005-0000-0000-0000E7A70000}"/>
    <cellStyle name="Normal 2 4 2 2 30" xfId="57585" xr:uid="{00000000-0005-0000-0000-0000E8A70000}"/>
    <cellStyle name="Normal 2 4 2 2 31" xfId="59268" xr:uid="{00000000-0005-0000-0000-0000E9A70000}"/>
    <cellStyle name="Normal 2 4 2 2 32" xfId="60951" xr:uid="{00000000-0005-0000-0000-0000EAA70000}"/>
    <cellStyle name="Normal 2 4 2 2 33" xfId="62634" xr:uid="{00000000-0005-0000-0000-0000EBA70000}"/>
    <cellStyle name="Normal 2 4 2 2 4" xfId="1621" xr:uid="{00000000-0005-0000-0000-0000ECA70000}"/>
    <cellStyle name="Normal 2 4 2 2 4 10" xfId="16770" xr:uid="{00000000-0005-0000-0000-0000EDA70000}"/>
    <cellStyle name="Normal 2 4 2 2 4 11" xfId="31919" xr:uid="{00000000-0005-0000-0000-0000EEA70000}"/>
    <cellStyle name="Normal 2 4 2 2 4 12" xfId="33602" xr:uid="{00000000-0005-0000-0000-0000EFA70000}"/>
    <cellStyle name="Normal 2 4 2 2 4 13" xfId="35285" xr:uid="{00000000-0005-0000-0000-0000F0A70000}"/>
    <cellStyle name="Normal 2 4 2 2 4 14" xfId="36968" xr:uid="{00000000-0005-0000-0000-0000F1A70000}"/>
    <cellStyle name="Normal 2 4 2 2 4 15" xfId="38651" xr:uid="{00000000-0005-0000-0000-0000F2A70000}"/>
    <cellStyle name="Normal 2 4 2 2 4 16" xfId="40334" xr:uid="{00000000-0005-0000-0000-0000F3A70000}"/>
    <cellStyle name="Normal 2 4 2 2 4 17" xfId="42017" xr:uid="{00000000-0005-0000-0000-0000F4A70000}"/>
    <cellStyle name="Normal 2 4 2 2 4 18" xfId="43700" xr:uid="{00000000-0005-0000-0000-0000F5A70000}"/>
    <cellStyle name="Normal 2 4 2 2 4 19" xfId="45383" xr:uid="{00000000-0005-0000-0000-0000F6A70000}"/>
    <cellStyle name="Normal 2 4 2 2 4 2" xfId="3304" xr:uid="{00000000-0005-0000-0000-0000F7A70000}"/>
    <cellStyle name="Normal 2 4 2 2 4 2 2" xfId="18453" xr:uid="{00000000-0005-0000-0000-0000F8A70000}"/>
    <cellStyle name="Normal 2 4 2 2 4 20" xfId="47066" xr:uid="{00000000-0005-0000-0000-0000F9A70000}"/>
    <cellStyle name="Normal 2 4 2 2 4 21" xfId="48749" xr:uid="{00000000-0005-0000-0000-0000FAA70000}"/>
    <cellStyle name="Normal 2 4 2 2 4 22" xfId="50432" xr:uid="{00000000-0005-0000-0000-0000FBA70000}"/>
    <cellStyle name="Normal 2 4 2 2 4 23" xfId="52115" xr:uid="{00000000-0005-0000-0000-0000FCA70000}"/>
    <cellStyle name="Normal 2 4 2 2 4 24" xfId="53798" xr:uid="{00000000-0005-0000-0000-0000FDA70000}"/>
    <cellStyle name="Normal 2 4 2 2 4 25" xfId="55481" xr:uid="{00000000-0005-0000-0000-0000FEA70000}"/>
    <cellStyle name="Normal 2 4 2 2 4 26" xfId="57164" xr:uid="{00000000-0005-0000-0000-0000FFA70000}"/>
    <cellStyle name="Normal 2 4 2 2 4 27" xfId="58847" xr:uid="{00000000-0005-0000-0000-000000A80000}"/>
    <cellStyle name="Normal 2 4 2 2 4 28" xfId="60530" xr:uid="{00000000-0005-0000-0000-000001A80000}"/>
    <cellStyle name="Normal 2 4 2 2 4 29" xfId="62213" xr:uid="{00000000-0005-0000-0000-000002A80000}"/>
    <cellStyle name="Normal 2 4 2 2 4 3" xfId="4988" xr:uid="{00000000-0005-0000-0000-000003A80000}"/>
    <cellStyle name="Normal 2 4 2 2 4 3 2" xfId="20137" xr:uid="{00000000-0005-0000-0000-000004A80000}"/>
    <cellStyle name="Normal 2 4 2 2 4 30" xfId="63896" xr:uid="{00000000-0005-0000-0000-000005A80000}"/>
    <cellStyle name="Normal 2 4 2 2 4 4" xfId="6671" xr:uid="{00000000-0005-0000-0000-000006A80000}"/>
    <cellStyle name="Normal 2 4 2 2 4 4 2" xfId="21820" xr:uid="{00000000-0005-0000-0000-000007A80000}"/>
    <cellStyle name="Normal 2 4 2 2 4 5" xfId="8354" xr:uid="{00000000-0005-0000-0000-000008A80000}"/>
    <cellStyle name="Normal 2 4 2 2 4 5 2" xfId="23503" xr:uid="{00000000-0005-0000-0000-000009A80000}"/>
    <cellStyle name="Normal 2 4 2 2 4 6" xfId="10037" xr:uid="{00000000-0005-0000-0000-00000AA80000}"/>
    <cellStyle name="Normal 2 4 2 2 4 6 2" xfId="25186" xr:uid="{00000000-0005-0000-0000-00000BA80000}"/>
    <cellStyle name="Normal 2 4 2 2 4 7" xfId="11720" xr:uid="{00000000-0005-0000-0000-00000CA80000}"/>
    <cellStyle name="Normal 2 4 2 2 4 7 2" xfId="26869" xr:uid="{00000000-0005-0000-0000-00000DA80000}"/>
    <cellStyle name="Normal 2 4 2 2 4 8" xfId="13404" xr:uid="{00000000-0005-0000-0000-00000EA80000}"/>
    <cellStyle name="Normal 2 4 2 2 4 8 2" xfId="28553" xr:uid="{00000000-0005-0000-0000-00000FA80000}"/>
    <cellStyle name="Normal 2 4 2 2 4 9" xfId="15087" xr:uid="{00000000-0005-0000-0000-000010A80000}"/>
    <cellStyle name="Normal 2 4 2 2 4 9 2" xfId="30236" xr:uid="{00000000-0005-0000-0000-000011A80000}"/>
    <cellStyle name="Normal 2 4 2 2 5" xfId="2042" xr:uid="{00000000-0005-0000-0000-000012A80000}"/>
    <cellStyle name="Normal 2 4 2 2 5 2" xfId="17191" xr:uid="{00000000-0005-0000-0000-000013A80000}"/>
    <cellStyle name="Normal 2 4 2 2 6" xfId="3726" xr:uid="{00000000-0005-0000-0000-000014A80000}"/>
    <cellStyle name="Normal 2 4 2 2 6 2" xfId="18875" xr:uid="{00000000-0005-0000-0000-000015A80000}"/>
    <cellStyle name="Normal 2 4 2 2 7" xfId="5409" xr:uid="{00000000-0005-0000-0000-000016A80000}"/>
    <cellStyle name="Normal 2 4 2 2 7 2" xfId="20558" xr:uid="{00000000-0005-0000-0000-000017A80000}"/>
    <cellStyle name="Normal 2 4 2 2 8" xfId="7092" xr:uid="{00000000-0005-0000-0000-000018A80000}"/>
    <cellStyle name="Normal 2 4 2 2 8 2" xfId="22241" xr:uid="{00000000-0005-0000-0000-000019A80000}"/>
    <cellStyle name="Normal 2 4 2 2 9" xfId="8775" xr:uid="{00000000-0005-0000-0000-00001AA80000}"/>
    <cellStyle name="Normal 2 4 2 2 9 2" xfId="23924" xr:uid="{00000000-0005-0000-0000-00001BA80000}"/>
    <cellStyle name="Normal 2 4 2 20" xfId="38862" xr:uid="{00000000-0005-0000-0000-00001CA80000}"/>
    <cellStyle name="Normal 2 4 2 21" xfId="40545" xr:uid="{00000000-0005-0000-0000-00001DA80000}"/>
    <cellStyle name="Normal 2 4 2 22" xfId="42228" xr:uid="{00000000-0005-0000-0000-00001EA80000}"/>
    <cellStyle name="Normal 2 4 2 23" xfId="43911" xr:uid="{00000000-0005-0000-0000-00001FA80000}"/>
    <cellStyle name="Normal 2 4 2 24" xfId="45594" xr:uid="{00000000-0005-0000-0000-000020A80000}"/>
    <cellStyle name="Normal 2 4 2 25" xfId="47277" xr:uid="{00000000-0005-0000-0000-000021A80000}"/>
    <cellStyle name="Normal 2 4 2 26" xfId="48960" xr:uid="{00000000-0005-0000-0000-000022A80000}"/>
    <cellStyle name="Normal 2 4 2 27" xfId="50643" xr:uid="{00000000-0005-0000-0000-000023A80000}"/>
    <cellStyle name="Normal 2 4 2 28" xfId="52326" xr:uid="{00000000-0005-0000-0000-000024A80000}"/>
    <cellStyle name="Normal 2 4 2 29" xfId="54009" xr:uid="{00000000-0005-0000-0000-000025A80000}"/>
    <cellStyle name="Normal 2 4 2 3" xfId="569" xr:uid="{00000000-0005-0000-0000-000026A80000}"/>
    <cellStyle name="Normal 2 4 2 3 10" xfId="15718" xr:uid="{00000000-0005-0000-0000-000027A80000}"/>
    <cellStyle name="Normal 2 4 2 3 11" xfId="30867" xr:uid="{00000000-0005-0000-0000-000028A80000}"/>
    <cellStyle name="Normal 2 4 2 3 12" xfId="32550" xr:uid="{00000000-0005-0000-0000-000029A80000}"/>
    <cellStyle name="Normal 2 4 2 3 13" xfId="34233" xr:uid="{00000000-0005-0000-0000-00002AA80000}"/>
    <cellStyle name="Normal 2 4 2 3 14" xfId="35916" xr:uid="{00000000-0005-0000-0000-00002BA80000}"/>
    <cellStyle name="Normal 2 4 2 3 15" xfId="37599" xr:uid="{00000000-0005-0000-0000-00002CA80000}"/>
    <cellStyle name="Normal 2 4 2 3 16" xfId="39282" xr:uid="{00000000-0005-0000-0000-00002DA80000}"/>
    <cellStyle name="Normal 2 4 2 3 17" xfId="40965" xr:uid="{00000000-0005-0000-0000-00002EA80000}"/>
    <cellStyle name="Normal 2 4 2 3 18" xfId="42648" xr:uid="{00000000-0005-0000-0000-00002FA80000}"/>
    <cellStyle name="Normal 2 4 2 3 19" xfId="44331" xr:uid="{00000000-0005-0000-0000-000030A80000}"/>
    <cellStyle name="Normal 2 4 2 3 2" xfId="2252" xr:uid="{00000000-0005-0000-0000-000031A80000}"/>
    <cellStyle name="Normal 2 4 2 3 2 2" xfId="17401" xr:uid="{00000000-0005-0000-0000-000032A80000}"/>
    <cellStyle name="Normal 2 4 2 3 20" xfId="46014" xr:uid="{00000000-0005-0000-0000-000033A80000}"/>
    <cellStyle name="Normal 2 4 2 3 21" xfId="47697" xr:uid="{00000000-0005-0000-0000-000034A80000}"/>
    <cellStyle name="Normal 2 4 2 3 22" xfId="49380" xr:uid="{00000000-0005-0000-0000-000035A80000}"/>
    <cellStyle name="Normal 2 4 2 3 23" xfId="51063" xr:uid="{00000000-0005-0000-0000-000036A80000}"/>
    <cellStyle name="Normal 2 4 2 3 24" xfId="52746" xr:uid="{00000000-0005-0000-0000-000037A80000}"/>
    <cellStyle name="Normal 2 4 2 3 25" xfId="54429" xr:uid="{00000000-0005-0000-0000-000038A80000}"/>
    <cellStyle name="Normal 2 4 2 3 26" xfId="56112" xr:uid="{00000000-0005-0000-0000-000039A80000}"/>
    <cellStyle name="Normal 2 4 2 3 27" xfId="57795" xr:uid="{00000000-0005-0000-0000-00003AA80000}"/>
    <cellStyle name="Normal 2 4 2 3 28" xfId="59478" xr:uid="{00000000-0005-0000-0000-00003BA80000}"/>
    <cellStyle name="Normal 2 4 2 3 29" xfId="61161" xr:uid="{00000000-0005-0000-0000-00003CA80000}"/>
    <cellStyle name="Normal 2 4 2 3 3" xfId="3936" xr:uid="{00000000-0005-0000-0000-00003DA80000}"/>
    <cellStyle name="Normal 2 4 2 3 3 2" xfId="19085" xr:uid="{00000000-0005-0000-0000-00003EA80000}"/>
    <cellStyle name="Normal 2 4 2 3 30" xfId="62844" xr:uid="{00000000-0005-0000-0000-00003FA80000}"/>
    <cellStyle name="Normal 2 4 2 3 4" xfId="5619" xr:uid="{00000000-0005-0000-0000-000040A80000}"/>
    <cellStyle name="Normal 2 4 2 3 4 2" xfId="20768" xr:uid="{00000000-0005-0000-0000-000041A80000}"/>
    <cellStyle name="Normal 2 4 2 3 5" xfId="7302" xr:uid="{00000000-0005-0000-0000-000042A80000}"/>
    <cellStyle name="Normal 2 4 2 3 5 2" xfId="22451" xr:uid="{00000000-0005-0000-0000-000043A80000}"/>
    <cellStyle name="Normal 2 4 2 3 6" xfId="8985" xr:uid="{00000000-0005-0000-0000-000044A80000}"/>
    <cellStyle name="Normal 2 4 2 3 6 2" xfId="24134" xr:uid="{00000000-0005-0000-0000-000045A80000}"/>
    <cellStyle name="Normal 2 4 2 3 7" xfId="10668" xr:uid="{00000000-0005-0000-0000-000046A80000}"/>
    <cellStyle name="Normal 2 4 2 3 7 2" xfId="25817" xr:uid="{00000000-0005-0000-0000-000047A80000}"/>
    <cellStyle name="Normal 2 4 2 3 8" xfId="12352" xr:uid="{00000000-0005-0000-0000-000048A80000}"/>
    <cellStyle name="Normal 2 4 2 3 8 2" xfId="27501" xr:uid="{00000000-0005-0000-0000-000049A80000}"/>
    <cellStyle name="Normal 2 4 2 3 9" xfId="14035" xr:uid="{00000000-0005-0000-0000-00004AA80000}"/>
    <cellStyle name="Normal 2 4 2 3 9 2" xfId="29184" xr:uid="{00000000-0005-0000-0000-00004BA80000}"/>
    <cellStyle name="Normal 2 4 2 30" xfId="55692" xr:uid="{00000000-0005-0000-0000-00004CA80000}"/>
    <cellStyle name="Normal 2 4 2 31" xfId="57375" xr:uid="{00000000-0005-0000-0000-00004DA80000}"/>
    <cellStyle name="Normal 2 4 2 32" xfId="59058" xr:uid="{00000000-0005-0000-0000-00004EA80000}"/>
    <cellStyle name="Normal 2 4 2 33" xfId="60741" xr:uid="{00000000-0005-0000-0000-00004FA80000}"/>
    <cellStyle name="Normal 2 4 2 34" xfId="62424" xr:uid="{00000000-0005-0000-0000-000050A80000}"/>
    <cellStyle name="Normal 2 4 2 4" xfId="990" xr:uid="{00000000-0005-0000-0000-000051A80000}"/>
    <cellStyle name="Normal 2 4 2 4 10" xfId="16139" xr:uid="{00000000-0005-0000-0000-000052A80000}"/>
    <cellStyle name="Normal 2 4 2 4 11" xfId="31288" xr:uid="{00000000-0005-0000-0000-000053A80000}"/>
    <cellStyle name="Normal 2 4 2 4 12" xfId="32971" xr:uid="{00000000-0005-0000-0000-000054A80000}"/>
    <cellStyle name="Normal 2 4 2 4 13" xfId="34654" xr:uid="{00000000-0005-0000-0000-000055A80000}"/>
    <cellStyle name="Normal 2 4 2 4 14" xfId="36337" xr:uid="{00000000-0005-0000-0000-000056A80000}"/>
    <cellStyle name="Normal 2 4 2 4 15" xfId="38020" xr:uid="{00000000-0005-0000-0000-000057A80000}"/>
    <cellStyle name="Normal 2 4 2 4 16" xfId="39703" xr:uid="{00000000-0005-0000-0000-000058A80000}"/>
    <cellStyle name="Normal 2 4 2 4 17" xfId="41386" xr:uid="{00000000-0005-0000-0000-000059A80000}"/>
    <cellStyle name="Normal 2 4 2 4 18" xfId="43069" xr:uid="{00000000-0005-0000-0000-00005AA80000}"/>
    <cellStyle name="Normal 2 4 2 4 19" xfId="44752" xr:uid="{00000000-0005-0000-0000-00005BA80000}"/>
    <cellStyle name="Normal 2 4 2 4 2" xfId="2673" xr:uid="{00000000-0005-0000-0000-00005CA80000}"/>
    <cellStyle name="Normal 2 4 2 4 2 2" xfId="17822" xr:uid="{00000000-0005-0000-0000-00005DA80000}"/>
    <cellStyle name="Normal 2 4 2 4 20" xfId="46435" xr:uid="{00000000-0005-0000-0000-00005EA80000}"/>
    <cellStyle name="Normal 2 4 2 4 21" xfId="48118" xr:uid="{00000000-0005-0000-0000-00005FA80000}"/>
    <cellStyle name="Normal 2 4 2 4 22" xfId="49801" xr:uid="{00000000-0005-0000-0000-000060A80000}"/>
    <cellStyle name="Normal 2 4 2 4 23" xfId="51484" xr:uid="{00000000-0005-0000-0000-000061A80000}"/>
    <cellStyle name="Normal 2 4 2 4 24" xfId="53167" xr:uid="{00000000-0005-0000-0000-000062A80000}"/>
    <cellStyle name="Normal 2 4 2 4 25" xfId="54850" xr:uid="{00000000-0005-0000-0000-000063A80000}"/>
    <cellStyle name="Normal 2 4 2 4 26" xfId="56533" xr:uid="{00000000-0005-0000-0000-000064A80000}"/>
    <cellStyle name="Normal 2 4 2 4 27" xfId="58216" xr:uid="{00000000-0005-0000-0000-000065A80000}"/>
    <cellStyle name="Normal 2 4 2 4 28" xfId="59899" xr:uid="{00000000-0005-0000-0000-000066A80000}"/>
    <cellStyle name="Normal 2 4 2 4 29" xfId="61582" xr:uid="{00000000-0005-0000-0000-000067A80000}"/>
    <cellStyle name="Normal 2 4 2 4 3" xfId="4357" xr:uid="{00000000-0005-0000-0000-000068A80000}"/>
    <cellStyle name="Normal 2 4 2 4 3 2" xfId="19506" xr:uid="{00000000-0005-0000-0000-000069A80000}"/>
    <cellStyle name="Normal 2 4 2 4 30" xfId="63265" xr:uid="{00000000-0005-0000-0000-00006AA80000}"/>
    <cellStyle name="Normal 2 4 2 4 4" xfId="6040" xr:uid="{00000000-0005-0000-0000-00006BA80000}"/>
    <cellStyle name="Normal 2 4 2 4 4 2" xfId="21189" xr:uid="{00000000-0005-0000-0000-00006CA80000}"/>
    <cellStyle name="Normal 2 4 2 4 5" xfId="7723" xr:uid="{00000000-0005-0000-0000-00006DA80000}"/>
    <cellStyle name="Normal 2 4 2 4 5 2" xfId="22872" xr:uid="{00000000-0005-0000-0000-00006EA80000}"/>
    <cellStyle name="Normal 2 4 2 4 6" xfId="9406" xr:uid="{00000000-0005-0000-0000-00006FA80000}"/>
    <cellStyle name="Normal 2 4 2 4 6 2" xfId="24555" xr:uid="{00000000-0005-0000-0000-000070A80000}"/>
    <cellStyle name="Normal 2 4 2 4 7" xfId="11089" xr:uid="{00000000-0005-0000-0000-000071A80000}"/>
    <cellStyle name="Normal 2 4 2 4 7 2" xfId="26238" xr:uid="{00000000-0005-0000-0000-000072A80000}"/>
    <cellStyle name="Normal 2 4 2 4 8" xfId="12773" xr:uid="{00000000-0005-0000-0000-000073A80000}"/>
    <cellStyle name="Normal 2 4 2 4 8 2" xfId="27922" xr:uid="{00000000-0005-0000-0000-000074A80000}"/>
    <cellStyle name="Normal 2 4 2 4 9" xfId="14456" xr:uid="{00000000-0005-0000-0000-000075A80000}"/>
    <cellStyle name="Normal 2 4 2 4 9 2" xfId="29605" xr:uid="{00000000-0005-0000-0000-000076A80000}"/>
    <cellStyle name="Normal 2 4 2 5" xfId="1411" xr:uid="{00000000-0005-0000-0000-000077A80000}"/>
    <cellStyle name="Normal 2 4 2 5 10" xfId="16560" xr:uid="{00000000-0005-0000-0000-000078A80000}"/>
    <cellStyle name="Normal 2 4 2 5 11" xfId="31709" xr:uid="{00000000-0005-0000-0000-000079A80000}"/>
    <cellStyle name="Normal 2 4 2 5 12" xfId="33392" xr:uid="{00000000-0005-0000-0000-00007AA80000}"/>
    <cellStyle name="Normal 2 4 2 5 13" xfId="35075" xr:uid="{00000000-0005-0000-0000-00007BA80000}"/>
    <cellStyle name="Normal 2 4 2 5 14" xfId="36758" xr:uid="{00000000-0005-0000-0000-00007CA80000}"/>
    <cellStyle name="Normal 2 4 2 5 15" xfId="38441" xr:uid="{00000000-0005-0000-0000-00007DA80000}"/>
    <cellStyle name="Normal 2 4 2 5 16" xfId="40124" xr:uid="{00000000-0005-0000-0000-00007EA80000}"/>
    <cellStyle name="Normal 2 4 2 5 17" xfId="41807" xr:uid="{00000000-0005-0000-0000-00007FA80000}"/>
    <cellStyle name="Normal 2 4 2 5 18" xfId="43490" xr:uid="{00000000-0005-0000-0000-000080A80000}"/>
    <cellStyle name="Normal 2 4 2 5 19" xfId="45173" xr:uid="{00000000-0005-0000-0000-000081A80000}"/>
    <cellStyle name="Normal 2 4 2 5 2" xfId="3094" xr:uid="{00000000-0005-0000-0000-000082A80000}"/>
    <cellStyle name="Normal 2 4 2 5 2 2" xfId="18243" xr:uid="{00000000-0005-0000-0000-000083A80000}"/>
    <cellStyle name="Normal 2 4 2 5 20" xfId="46856" xr:uid="{00000000-0005-0000-0000-000084A80000}"/>
    <cellStyle name="Normal 2 4 2 5 21" xfId="48539" xr:uid="{00000000-0005-0000-0000-000085A80000}"/>
    <cellStyle name="Normal 2 4 2 5 22" xfId="50222" xr:uid="{00000000-0005-0000-0000-000086A80000}"/>
    <cellStyle name="Normal 2 4 2 5 23" xfId="51905" xr:uid="{00000000-0005-0000-0000-000087A80000}"/>
    <cellStyle name="Normal 2 4 2 5 24" xfId="53588" xr:uid="{00000000-0005-0000-0000-000088A80000}"/>
    <cellStyle name="Normal 2 4 2 5 25" xfId="55271" xr:uid="{00000000-0005-0000-0000-000089A80000}"/>
    <cellStyle name="Normal 2 4 2 5 26" xfId="56954" xr:uid="{00000000-0005-0000-0000-00008AA80000}"/>
    <cellStyle name="Normal 2 4 2 5 27" xfId="58637" xr:uid="{00000000-0005-0000-0000-00008BA80000}"/>
    <cellStyle name="Normal 2 4 2 5 28" xfId="60320" xr:uid="{00000000-0005-0000-0000-00008CA80000}"/>
    <cellStyle name="Normal 2 4 2 5 29" xfId="62003" xr:uid="{00000000-0005-0000-0000-00008DA80000}"/>
    <cellStyle name="Normal 2 4 2 5 3" xfId="4778" xr:uid="{00000000-0005-0000-0000-00008EA80000}"/>
    <cellStyle name="Normal 2 4 2 5 3 2" xfId="19927" xr:uid="{00000000-0005-0000-0000-00008FA80000}"/>
    <cellStyle name="Normal 2 4 2 5 30" xfId="63686" xr:uid="{00000000-0005-0000-0000-000090A80000}"/>
    <cellStyle name="Normal 2 4 2 5 4" xfId="6461" xr:uid="{00000000-0005-0000-0000-000091A80000}"/>
    <cellStyle name="Normal 2 4 2 5 4 2" xfId="21610" xr:uid="{00000000-0005-0000-0000-000092A80000}"/>
    <cellStyle name="Normal 2 4 2 5 5" xfId="8144" xr:uid="{00000000-0005-0000-0000-000093A80000}"/>
    <cellStyle name="Normal 2 4 2 5 5 2" xfId="23293" xr:uid="{00000000-0005-0000-0000-000094A80000}"/>
    <cellStyle name="Normal 2 4 2 5 6" xfId="9827" xr:uid="{00000000-0005-0000-0000-000095A80000}"/>
    <cellStyle name="Normal 2 4 2 5 6 2" xfId="24976" xr:uid="{00000000-0005-0000-0000-000096A80000}"/>
    <cellStyle name="Normal 2 4 2 5 7" xfId="11510" xr:uid="{00000000-0005-0000-0000-000097A80000}"/>
    <cellStyle name="Normal 2 4 2 5 7 2" xfId="26659" xr:uid="{00000000-0005-0000-0000-000098A80000}"/>
    <cellStyle name="Normal 2 4 2 5 8" xfId="13194" xr:uid="{00000000-0005-0000-0000-000099A80000}"/>
    <cellStyle name="Normal 2 4 2 5 8 2" xfId="28343" xr:uid="{00000000-0005-0000-0000-00009AA80000}"/>
    <cellStyle name="Normal 2 4 2 5 9" xfId="14877" xr:uid="{00000000-0005-0000-0000-00009BA80000}"/>
    <cellStyle name="Normal 2 4 2 5 9 2" xfId="30026" xr:uid="{00000000-0005-0000-0000-00009CA80000}"/>
    <cellStyle name="Normal 2 4 2 6" xfId="1832" xr:uid="{00000000-0005-0000-0000-00009DA80000}"/>
    <cellStyle name="Normal 2 4 2 6 2" xfId="16981" xr:uid="{00000000-0005-0000-0000-00009EA80000}"/>
    <cellStyle name="Normal 2 4 2 7" xfId="3516" xr:uid="{00000000-0005-0000-0000-00009FA80000}"/>
    <cellStyle name="Normal 2 4 2 7 2" xfId="18665" xr:uid="{00000000-0005-0000-0000-0000A0A80000}"/>
    <cellStyle name="Normal 2 4 2 8" xfId="5199" xr:uid="{00000000-0005-0000-0000-0000A1A80000}"/>
    <cellStyle name="Normal 2 4 2 8 2" xfId="20348" xr:uid="{00000000-0005-0000-0000-0000A2A80000}"/>
    <cellStyle name="Normal 2 4 2 9" xfId="6882" xr:uid="{00000000-0005-0000-0000-0000A3A80000}"/>
    <cellStyle name="Normal 2 4 2 9 2" xfId="22031" xr:uid="{00000000-0005-0000-0000-0000A4A80000}"/>
    <cellStyle name="Normal 2 4 20" xfId="37074" xr:uid="{00000000-0005-0000-0000-0000A5A80000}"/>
    <cellStyle name="Normal 2 4 21" xfId="38757" xr:uid="{00000000-0005-0000-0000-0000A6A80000}"/>
    <cellStyle name="Normal 2 4 22" xfId="40440" xr:uid="{00000000-0005-0000-0000-0000A7A80000}"/>
    <cellStyle name="Normal 2 4 23" xfId="42123" xr:uid="{00000000-0005-0000-0000-0000A8A80000}"/>
    <cellStyle name="Normal 2 4 24" xfId="43806" xr:uid="{00000000-0005-0000-0000-0000A9A80000}"/>
    <cellStyle name="Normal 2 4 25" xfId="45489" xr:uid="{00000000-0005-0000-0000-0000AAA80000}"/>
    <cellStyle name="Normal 2 4 26" xfId="47172" xr:uid="{00000000-0005-0000-0000-0000ABA80000}"/>
    <cellStyle name="Normal 2 4 27" xfId="48855" xr:uid="{00000000-0005-0000-0000-0000ACA80000}"/>
    <cellStyle name="Normal 2 4 28" xfId="50538" xr:uid="{00000000-0005-0000-0000-0000ADA80000}"/>
    <cellStyle name="Normal 2 4 29" xfId="52221" xr:uid="{00000000-0005-0000-0000-0000AEA80000}"/>
    <cellStyle name="Normal 2 4 3" xfId="254" xr:uid="{00000000-0005-0000-0000-0000AFA80000}"/>
    <cellStyle name="Normal 2 4 3 10" xfId="10353" xr:uid="{00000000-0005-0000-0000-0000B0A80000}"/>
    <cellStyle name="Normal 2 4 3 10 2" xfId="25502" xr:uid="{00000000-0005-0000-0000-0000B1A80000}"/>
    <cellStyle name="Normal 2 4 3 11" xfId="12037" xr:uid="{00000000-0005-0000-0000-0000B2A80000}"/>
    <cellStyle name="Normal 2 4 3 11 2" xfId="27186" xr:uid="{00000000-0005-0000-0000-0000B3A80000}"/>
    <cellStyle name="Normal 2 4 3 12" xfId="13720" xr:uid="{00000000-0005-0000-0000-0000B4A80000}"/>
    <cellStyle name="Normal 2 4 3 12 2" xfId="28869" xr:uid="{00000000-0005-0000-0000-0000B5A80000}"/>
    <cellStyle name="Normal 2 4 3 13" xfId="15403" xr:uid="{00000000-0005-0000-0000-0000B6A80000}"/>
    <cellStyle name="Normal 2 4 3 14" xfId="30552" xr:uid="{00000000-0005-0000-0000-0000B7A80000}"/>
    <cellStyle name="Normal 2 4 3 15" xfId="32235" xr:uid="{00000000-0005-0000-0000-0000B8A80000}"/>
    <cellStyle name="Normal 2 4 3 16" xfId="33918" xr:uid="{00000000-0005-0000-0000-0000B9A80000}"/>
    <cellStyle name="Normal 2 4 3 17" xfId="35601" xr:uid="{00000000-0005-0000-0000-0000BAA80000}"/>
    <cellStyle name="Normal 2 4 3 18" xfId="37284" xr:uid="{00000000-0005-0000-0000-0000BBA80000}"/>
    <cellStyle name="Normal 2 4 3 19" xfId="38967" xr:uid="{00000000-0005-0000-0000-0000BCA80000}"/>
    <cellStyle name="Normal 2 4 3 2" xfId="674" xr:uid="{00000000-0005-0000-0000-0000BDA80000}"/>
    <cellStyle name="Normal 2 4 3 2 10" xfId="15823" xr:uid="{00000000-0005-0000-0000-0000BEA80000}"/>
    <cellStyle name="Normal 2 4 3 2 11" xfId="30972" xr:uid="{00000000-0005-0000-0000-0000BFA80000}"/>
    <cellStyle name="Normal 2 4 3 2 12" xfId="32655" xr:uid="{00000000-0005-0000-0000-0000C0A80000}"/>
    <cellStyle name="Normal 2 4 3 2 13" xfId="34338" xr:uid="{00000000-0005-0000-0000-0000C1A80000}"/>
    <cellStyle name="Normal 2 4 3 2 14" xfId="36021" xr:uid="{00000000-0005-0000-0000-0000C2A80000}"/>
    <cellStyle name="Normal 2 4 3 2 15" xfId="37704" xr:uid="{00000000-0005-0000-0000-0000C3A80000}"/>
    <cellStyle name="Normal 2 4 3 2 16" xfId="39387" xr:uid="{00000000-0005-0000-0000-0000C4A80000}"/>
    <cellStyle name="Normal 2 4 3 2 17" xfId="41070" xr:uid="{00000000-0005-0000-0000-0000C5A80000}"/>
    <cellStyle name="Normal 2 4 3 2 18" xfId="42753" xr:uid="{00000000-0005-0000-0000-0000C6A80000}"/>
    <cellStyle name="Normal 2 4 3 2 19" xfId="44436" xr:uid="{00000000-0005-0000-0000-0000C7A80000}"/>
    <cellStyle name="Normal 2 4 3 2 2" xfId="2357" xr:uid="{00000000-0005-0000-0000-0000C8A80000}"/>
    <cellStyle name="Normal 2 4 3 2 2 2" xfId="17506" xr:uid="{00000000-0005-0000-0000-0000C9A80000}"/>
    <cellStyle name="Normal 2 4 3 2 20" xfId="46119" xr:uid="{00000000-0005-0000-0000-0000CAA80000}"/>
    <cellStyle name="Normal 2 4 3 2 21" xfId="47802" xr:uid="{00000000-0005-0000-0000-0000CBA80000}"/>
    <cellStyle name="Normal 2 4 3 2 22" xfId="49485" xr:uid="{00000000-0005-0000-0000-0000CCA80000}"/>
    <cellStyle name="Normal 2 4 3 2 23" xfId="51168" xr:uid="{00000000-0005-0000-0000-0000CDA80000}"/>
    <cellStyle name="Normal 2 4 3 2 24" xfId="52851" xr:uid="{00000000-0005-0000-0000-0000CEA80000}"/>
    <cellStyle name="Normal 2 4 3 2 25" xfId="54534" xr:uid="{00000000-0005-0000-0000-0000CFA80000}"/>
    <cellStyle name="Normal 2 4 3 2 26" xfId="56217" xr:uid="{00000000-0005-0000-0000-0000D0A80000}"/>
    <cellStyle name="Normal 2 4 3 2 27" xfId="57900" xr:uid="{00000000-0005-0000-0000-0000D1A80000}"/>
    <cellStyle name="Normal 2 4 3 2 28" xfId="59583" xr:uid="{00000000-0005-0000-0000-0000D2A80000}"/>
    <cellStyle name="Normal 2 4 3 2 29" xfId="61266" xr:uid="{00000000-0005-0000-0000-0000D3A80000}"/>
    <cellStyle name="Normal 2 4 3 2 3" xfId="4041" xr:uid="{00000000-0005-0000-0000-0000D4A80000}"/>
    <cellStyle name="Normal 2 4 3 2 3 2" xfId="19190" xr:uid="{00000000-0005-0000-0000-0000D5A80000}"/>
    <cellStyle name="Normal 2 4 3 2 30" xfId="62949" xr:uid="{00000000-0005-0000-0000-0000D6A80000}"/>
    <cellStyle name="Normal 2 4 3 2 4" xfId="5724" xr:uid="{00000000-0005-0000-0000-0000D7A80000}"/>
    <cellStyle name="Normal 2 4 3 2 4 2" xfId="20873" xr:uid="{00000000-0005-0000-0000-0000D8A80000}"/>
    <cellStyle name="Normal 2 4 3 2 5" xfId="7407" xr:uid="{00000000-0005-0000-0000-0000D9A80000}"/>
    <cellStyle name="Normal 2 4 3 2 5 2" xfId="22556" xr:uid="{00000000-0005-0000-0000-0000DAA80000}"/>
    <cellStyle name="Normal 2 4 3 2 6" xfId="9090" xr:uid="{00000000-0005-0000-0000-0000DBA80000}"/>
    <cellStyle name="Normal 2 4 3 2 6 2" xfId="24239" xr:uid="{00000000-0005-0000-0000-0000DCA80000}"/>
    <cellStyle name="Normal 2 4 3 2 7" xfId="10773" xr:uid="{00000000-0005-0000-0000-0000DDA80000}"/>
    <cellStyle name="Normal 2 4 3 2 7 2" xfId="25922" xr:uid="{00000000-0005-0000-0000-0000DEA80000}"/>
    <cellStyle name="Normal 2 4 3 2 8" xfId="12457" xr:uid="{00000000-0005-0000-0000-0000DFA80000}"/>
    <cellStyle name="Normal 2 4 3 2 8 2" xfId="27606" xr:uid="{00000000-0005-0000-0000-0000E0A80000}"/>
    <cellStyle name="Normal 2 4 3 2 9" xfId="14140" xr:uid="{00000000-0005-0000-0000-0000E1A80000}"/>
    <cellStyle name="Normal 2 4 3 2 9 2" xfId="29289" xr:uid="{00000000-0005-0000-0000-0000E2A80000}"/>
    <cellStyle name="Normal 2 4 3 20" xfId="40650" xr:uid="{00000000-0005-0000-0000-0000E3A80000}"/>
    <cellStyle name="Normal 2 4 3 21" xfId="42333" xr:uid="{00000000-0005-0000-0000-0000E4A80000}"/>
    <cellStyle name="Normal 2 4 3 22" xfId="44016" xr:uid="{00000000-0005-0000-0000-0000E5A80000}"/>
    <cellStyle name="Normal 2 4 3 23" xfId="45699" xr:uid="{00000000-0005-0000-0000-0000E6A80000}"/>
    <cellStyle name="Normal 2 4 3 24" xfId="47382" xr:uid="{00000000-0005-0000-0000-0000E7A80000}"/>
    <cellStyle name="Normal 2 4 3 25" xfId="49065" xr:uid="{00000000-0005-0000-0000-0000E8A80000}"/>
    <cellStyle name="Normal 2 4 3 26" xfId="50748" xr:uid="{00000000-0005-0000-0000-0000E9A80000}"/>
    <cellStyle name="Normal 2 4 3 27" xfId="52431" xr:uid="{00000000-0005-0000-0000-0000EAA80000}"/>
    <cellStyle name="Normal 2 4 3 28" xfId="54114" xr:uid="{00000000-0005-0000-0000-0000EBA80000}"/>
    <cellStyle name="Normal 2 4 3 29" xfId="55797" xr:uid="{00000000-0005-0000-0000-0000ECA80000}"/>
    <cellStyle name="Normal 2 4 3 3" xfId="1095" xr:uid="{00000000-0005-0000-0000-0000EDA80000}"/>
    <cellStyle name="Normal 2 4 3 3 10" xfId="16244" xr:uid="{00000000-0005-0000-0000-0000EEA80000}"/>
    <cellStyle name="Normal 2 4 3 3 11" xfId="31393" xr:uid="{00000000-0005-0000-0000-0000EFA80000}"/>
    <cellStyle name="Normal 2 4 3 3 12" xfId="33076" xr:uid="{00000000-0005-0000-0000-0000F0A80000}"/>
    <cellStyle name="Normal 2 4 3 3 13" xfId="34759" xr:uid="{00000000-0005-0000-0000-0000F1A80000}"/>
    <cellStyle name="Normal 2 4 3 3 14" xfId="36442" xr:uid="{00000000-0005-0000-0000-0000F2A80000}"/>
    <cellStyle name="Normal 2 4 3 3 15" xfId="38125" xr:uid="{00000000-0005-0000-0000-0000F3A80000}"/>
    <cellStyle name="Normal 2 4 3 3 16" xfId="39808" xr:uid="{00000000-0005-0000-0000-0000F4A80000}"/>
    <cellStyle name="Normal 2 4 3 3 17" xfId="41491" xr:uid="{00000000-0005-0000-0000-0000F5A80000}"/>
    <cellStyle name="Normal 2 4 3 3 18" xfId="43174" xr:uid="{00000000-0005-0000-0000-0000F6A80000}"/>
    <cellStyle name="Normal 2 4 3 3 19" xfId="44857" xr:uid="{00000000-0005-0000-0000-0000F7A80000}"/>
    <cellStyle name="Normal 2 4 3 3 2" xfId="2778" xr:uid="{00000000-0005-0000-0000-0000F8A80000}"/>
    <cellStyle name="Normal 2 4 3 3 2 2" xfId="17927" xr:uid="{00000000-0005-0000-0000-0000F9A80000}"/>
    <cellStyle name="Normal 2 4 3 3 20" xfId="46540" xr:uid="{00000000-0005-0000-0000-0000FAA80000}"/>
    <cellStyle name="Normal 2 4 3 3 21" xfId="48223" xr:uid="{00000000-0005-0000-0000-0000FBA80000}"/>
    <cellStyle name="Normal 2 4 3 3 22" xfId="49906" xr:uid="{00000000-0005-0000-0000-0000FCA80000}"/>
    <cellStyle name="Normal 2 4 3 3 23" xfId="51589" xr:uid="{00000000-0005-0000-0000-0000FDA80000}"/>
    <cellStyle name="Normal 2 4 3 3 24" xfId="53272" xr:uid="{00000000-0005-0000-0000-0000FEA80000}"/>
    <cellStyle name="Normal 2 4 3 3 25" xfId="54955" xr:uid="{00000000-0005-0000-0000-0000FFA80000}"/>
    <cellStyle name="Normal 2 4 3 3 26" xfId="56638" xr:uid="{00000000-0005-0000-0000-000000A90000}"/>
    <cellStyle name="Normal 2 4 3 3 27" xfId="58321" xr:uid="{00000000-0005-0000-0000-000001A90000}"/>
    <cellStyle name="Normal 2 4 3 3 28" xfId="60004" xr:uid="{00000000-0005-0000-0000-000002A90000}"/>
    <cellStyle name="Normal 2 4 3 3 29" xfId="61687" xr:uid="{00000000-0005-0000-0000-000003A90000}"/>
    <cellStyle name="Normal 2 4 3 3 3" xfId="4462" xr:uid="{00000000-0005-0000-0000-000004A90000}"/>
    <cellStyle name="Normal 2 4 3 3 3 2" xfId="19611" xr:uid="{00000000-0005-0000-0000-000005A90000}"/>
    <cellStyle name="Normal 2 4 3 3 30" xfId="63370" xr:uid="{00000000-0005-0000-0000-000006A90000}"/>
    <cellStyle name="Normal 2 4 3 3 4" xfId="6145" xr:uid="{00000000-0005-0000-0000-000007A90000}"/>
    <cellStyle name="Normal 2 4 3 3 4 2" xfId="21294" xr:uid="{00000000-0005-0000-0000-000008A90000}"/>
    <cellStyle name="Normal 2 4 3 3 5" xfId="7828" xr:uid="{00000000-0005-0000-0000-000009A90000}"/>
    <cellStyle name="Normal 2 4 3 3 5 2" xfId="22977" xr:uid="{00000000-0005-0000-0000-00000AA90000}"/>
    <cellStyle name="Normal 2 4 3 3 6" xfId="9511" xr:uid="{00000000-0005-0000-0000-00000BA90000}"/>
    <cellStyle name="Normal 2 4 3 3 6 2" xfId="24660" xr:uid="{00000000-0005-0000-0000-00000CA90000}"/>
    <cellStyle name="Normal 2 4 3 3 7" xfId="11194" xr:uid="{00000000-0005-0000-0000-00000DA90000}"/>
    <cellStyle name="Normal 2 4 3 3 7 2" xfId="26343" xr:uid="{00000000-0005-0000-0000-00000EA90000}"/>
    <cellStyle name="Normal 2 4 3 3 8" xfId="12878" xr:uid="{00000000-0005-0000-0000-00000FA90000}"/>
    <cellStyle name="Normal 2 4 3 3 8 2" xfId="28027" xr:uid="{00000000-0005-0000-0000-000010A90000}"/>
    <cellStyle name="Normal 2 4 3 3 9" xfId="14561" xr:uid="{00000000-0005-0000-0000-000011A90000}"/>
    <cellStyle name="Normal 2 4 3 3 9 2" xfId="29710" xr:uid="{00000000-0005-0000-0000-000012A90000}"/>
    <cellStyle name="Normal 2 4 3 30" xfId="57480" xr:uid="{00000000-0005-0000-0000-000013A90000}"/>
    <cellStyle name="Normal 2 4 3 31" xfId="59163" xr:uid="{00000000-0005-0000-0000-000014A90000}"/>
    <cellStyle name="Normal 2 4 3 32" xfId="60846" xr:uid="{00000000-0005-0000-0000-000015A90000}"/>
    <cellStyle name="Normal 2 4 3 33" xfId="62529" xr:uid="{00000000-0005-0000-0000-000016A90000}"/>
    <cellStyle name="Normal 2 4 3 4" xfId="1516" xr:uid="{00000000-0005-0000-0000-000017A90000}"/>
    <cellStyle name="Normal 2 4 3 4 10" xfId="16665" xr:uid="{00000000-0005-0000-0000-000018A90000}"/>
    <cellStyle name="Normal 2 4 3 4 11" xfId="31814" xr:uid="{00000000-0005-0000-0000-000019A90000}"/>
    <cellStyle name="Normal 2 4 3 4 12" xfId="33497" xr:uid="{00000000-0005-0000-0000-00001AA90000}"/>
    <cellStyle name="Normal 2 4 3 4 13" xfId="35180" xr:uid="{00000000-0005-0000-0000-00001BA90000}"/>
    <cellStyle name="Normal 2 4 3 4 14" xfId="36863" xr:uid="{00000000-0005-0000-0000-00001CA90000}"/>
    <cellStyle name="Normal 2 4 3 4 15" xfId="38546" xr:uid="{00000000-0005-0000-0000-00001DA90000}"/>
    <cellStyle name="Normal 2 4 3 4 16" xfId="40229" xr:uid="{00000000-0005-0000-0000-00001EA90000}"/>
    <cellStyle name="Normal 2 4 3 4 17" xfId="41912" xr:uid="{00000000-0005-0000-0000-00001FA90000}"/>
    <cellStyle name="Normal 2 4 3 4 18" xfId="43595" xr:uid="{00000000-0005-0000-0000-000020A90000}"/>
    <cellStyle name="Normal 2 4 3 4 19" xfId="45278" xr:uid="{00000000-0005-0000-0000-000021A90000}"/>
    <cellStyle name="Normal 2 4 3 4 2" xfId="3199" xr:uid="{00000000-0005-0000-0000-000022A90000}"/>
    <cellStyle name="Normal 2 4 3 4 2 2" xfId="18348" xr:uid="{00000000-0005-0000-0000-000023A90000}"/>
    <cellStyle name="Normal 2 4 3 4 20" xfId="46961" xr:uid="{00000000-0005-0000-0000-000024A90000}"/>
    <cellStyle name="Normal 2 4 3 4 21" xfId="48644" xr:uid="{00000000-0005-0000-0000-000025A90000}"/>
    <cellStyle name="Normal 2 4 3 4 22" xfId="50327" xr:uid="{00000000-0005-0000-0000-000026A90000}"/>
    <cellStyle name="Normal 2 4 3 4 23" xfId="52010" xr:uid="{00000000-0005-0000-0000-000027A90000}"/>
    <cellStyle name="Normal 2 4 3 4 24" xfId="53693" xr:uid="{00000000-0005-0000-0000-000028A90000}"/>
    <cellStyle name="Normal 2 4 3 4 25" xfId="55376" xr:uid="{00000000-0005-0000-0000-000029A90000}"/>
    <cellStyle name="Normal 2 4 3 4 26" xfId="57059" xr:uid="{00000000-0005-0000-0000-00002AA90000}"/>
    <cellStyle name="Normal 2 4 3 4 27" xfId="58742" xr:uid="{00000000-0005-0000-0000-00002BA90000}"/>
    <cellStyle name="Normal 2 4 3 4 28" xfId="60425" xr:uid="{00000000-0005-0000-0000-00002CA90000}"/>
    <cellStyle name="Normal 2 4 3 4 29" xfId="62108" xr:uid="{00000000-0005-0000-0000-00002DA90000}"/>
    <cellStyle name="Normal 2 4 3 4 3" xfId="4883" xr:uid="{00000000-0005-0000-0000-00002EA90000}"/>
    <cellStyle name="Normal 2 4 3 4 3 2" xfId="20032" xr:uid="{00000000-0005-0000-0000-00002FA90000}"/>
    <cellStyle name="Normal 2 4 3 4 30" xfId="63791" xr:uid="{00000000-0005-0000-0000-000030A90000}"/>
    <cellStyle name="Normal 2 4 3 4 4" xfId="6566" xr:uid="{00000000-0005-0000-0000-000031A90000}"/>
    <cellStyle name="Normal 2 4 3 4 4 2" xfId="21715" xr:uid="{00000000-0005-0000-0000-000032A90000}"/>
    <cellStyle name="Normal 2 4 3 4 5" xfId="8249" xr:uid="{00000000-0005-0000-0000-000033A90000}"/>
    <cellStyle name="Normal 2 4 3 4 5 2" xfId="23398" xr:uid="{00000000-0005-0000-0000-000034A90000}"/>
    <cellStyle name="Normal 2 4 3 4 6" xfId="9932" xr:uid="{00000000-0005-0000-0000-000035A90000}"/>
    <cellStyle name="Normal 2 4 3 4 6 2" xfId="25081" xr:uid="{00000000-0005-0000-0000-000036A90000}"/>
    <cellStyle name="Normal 2 4 3 4 7" xfId="11615" xr:uid="{00000000-0005-0000-0000-000037A90000}"/>
    <cellStyle name="Normal 2 4 3 4 7 2" xfId="26764" xr:uid="{00000000-0005-0000-0000-000038A90000}"/>
    <cellStyle name="Normal 2 4 3 4 8" xfId="13299" xr:uid="{00000000-0005-0000-0000-000039A90000}"/>
    <cellStyle name="Normal 2 4 3 4 8 2" xfId="28448" xr:uid="{00000000-0005-0000-0000-00003AA90000}"/>
    <cellStyle name="Normal 2 4 3 4 9" xfId="14982" xr:uid="{00000000-0005-0000-0000-00003BA90000}"/>
    <cellStyle name="Normal 2 4 3 4 9 2" xfId="30131" xr:uid="{00000000-0005-0000-0000-00003CA90000}"/>
    <cellStyle name="Normal 2 4 3 5" xfId="1937" xr:uid="{00000000-0005-0000-0000-00003DA90000}"/>
    <cellStyle name="Normal 2 4 3 5 2" xfId="17086" xr:uid="{00000000-0005-0000-0000-00003EA90000}"/>
    <cellStyle name="Normal 2 4 3 6" xfId="3621" xr:uid="{00000000-0005-0000-0000-00003FA90000}"/>
    <cellStyle name="Normal 2 4 3 6 2" xfId="18770" xr:uid="{00000000-0005-0000-0000-000040A90000}"/>
    <cellStyle name="Normal 2 4 3 7" xfId="5304" xr:uid="{00000000-0005-0000-0000-000041A90000}"/>
    <cellStyle name="Normal 2 4 3 7 2" xfId="20453" xr:uid="{00000000-0005-0000-0000-000042A90000}"/>
    <cellStyle name="Normal 2 4 3 8" xfId="6987" xr:uid="{00000000-0005-0000-0000-000043A90000}"/>
    <cellStyle name="Normal 2 4 3 8 2" xfId="22136" xr:uid="{00000000-0005-0000-0000-000044A90000}"/>
    <cellStyle name="Normal 2 4 3 9" xfId="8670" xr:uid="{00000000-0005-0000-0000-000045A90000}"/>
    <cellStyle name="Normal 2 4 3 9 2" xfId="23819" xr:uid="{00000000-0005-0000-0000-000046A90000}"/>
    <cellStyle name="Normal 2 4 30" xfId="53904" xr:uid="{00000000-0005-0000-0000-000047A90000}"/>
    <cellStyle name="Normal 2 4 31" xfId="55587" xr:uid="{00000000-0005-0000-0000-000048A90000}"/>
    <cellStyle name="Normal 2 4 32" xfId="57270" xr:uid="{00000000-0005-0000-0000-000049A90000}"/>
    <cellStyle name="Normal 2 4 33" xfId="58953" xr:uid="{00000000-0005-0000-0000-00004AA90000}"/>
    <cellStyle name="Normal 2 4 34" xfId="60636" xr:uid="{00000000-0005-0000-0000-00004BA90000}"/>
    <cellStyle name="Normal 2 4 35" xfId="62319" xr:uid="{00000000-0005-0000-0000-00004CA90000}"/>
    <cellStyle name="Normal 2 4 4" xfId="464" xr:uid="{00000000-0005-0000-0000-00004DA90000}"/>
    <cellStyle name="Normal 2 4 4 10" xfId="15613" xr:uid="{00000000-0005-0000-0000-00004EA90000}"/>
    <cellStyle name="Normal 2 4 4 11" xfId="30762" xr:uid="{00000000-0005-0000-0000-00004FA90000}"/>
    <cellStyle name="Normal 2 4 4 12" xfId="32445" xr:uid="{00000000-0005-0000-0000-000050A90000}"/>
    <cellStyle name="Normal 2 4 4 13" xfId="34128" xr:uid="{00000000-0005-0000-0000-000051A90000}"/>
    <cellStyle name="Normal 2 4 4 14" xfId="35811" xr:uid="{00000000-0005-0000-0000-000052A90000}"/>
    <cellStyle name="Normal 2 4 4 15" xfId="37494" xr:uid="{00000000-0005-0000-0000-000053A90000}"/>
    <cellStyle name="Normal 2 4 4 16" xfId="39177" xr:uid="{00000000-0005-0000-0000-000054A90000}"/>
    <cellStyle name="Normal 2 4 4 17" xfId="40860" xr:uid="{00000000-0005-0000-0000-000055A90000}"/>
    <cellStyle name="Normal 2 4 4 18" xfId="42543" xr:uid="{00000000-0005-0000-0000-000056A90000}"/>
    <cellStyle name="Normal 2 4 4 19" xfId="44226" xr:uid="{00000000-0005-0000-0000-000057A90000}"/>
    <cellStyle name="Normal 2 4 4 2" xfId="2147" xr:uid="{00000000-0005-0000-0000-000058A90000}"/>
    <cellStyle name="Normal 2 4 4 2 2" xfId="17296" xr:uid="{00000000-0005-0000-0000-000059A90000}"/>
    <cellStyle name="Normal 2 4 4 20" xfId="45909" xr:uid="{00000000-0005-0000-0000-00005AA90000}"/>
    <cellStyle name="Normal 2 4 4 21" xfId="47592" xr:uid="{00000000-0005-0000-0000-00005BA90000}"/>
    <cellStyle name="Normal 2 4 4 22" xfId="49275" xr:uid="{00000000-0005-0000-0000-00005CA90000}"/>
    <cellStyle name="Normal 2 4 4 23" xfId="50958" xr:uid="{00000000-0005-0000-0000-00005DA90000}"/>
    <cellStyle name="Normal 2 4 4 24" xfId="52641" xr:uid="{00000000-0005-0000-0000-00005EA90000}"/>
    <cellStyle name="Normal 2 4 4 25" xfId="54324" xr:uid="{00000000-0005-0000-0000-00005FA90000}"/>
    <cellStyle name="Normal 2 4 4 26" xfId="56007" xr:uid="{00000000-0005-0000-0000-000060A90000}"/>
    <cellStyle name="Normal 2 4 4 27" xfId="57690" xr:uid="{00000000-0005-0000-0000-000061A90000}"/>
    <cellStyle name="Normal 2 4 4 28" xfId="59373" xr:uid="{00000000-0005-0000-0000-000062A90000}"/>
    <cellStyle name="Normal 2 4 4 29" xfId="61056" xr:uid="{00000000-0005-0000-0000-000063A90000}"/>
    <cellStyle name="Normal 2 4 4 3" xfId="3831" xr:uid="{00000000-0005-0000-0000-000064A90000}"/>
    <cellStyle name="Normal 2 4 4 3 2" xfId="18980" xr:uid="{00000000-0005-0000-0000-000065A90000}"/>
    <cellStyle name="Normal 2 4 4 30" xfId="62739" xr:uid="{00000000-0005-0000-0000-000066A90000}"/>
    <cellStyle name="Normal 2 4 4 4" xfId="5514" xr:uid="{00000000-0005-0000-0000-000067A90000}"/>
    <cellStyle name="Normal 2 4 4 4 2" xfId="20663" xr:uid="{00000000-0005-0000-0000-000068A90000}"/>
    <cellStyle name="Normal 2 4 4 5" xfId="7197" xr:uid="{00000000-0005-0000-0000-000069A90000}"/>
    <cellStyle name="Normal 2 4 4 5 2" xfId="22346" xr:uid="{00000000-0005-0000-0000-00006AA90000}"/>
    <cellStyle name="Normal 2 4 4 6" xfId="8880" xr:uid="{00000000-0005-0000-0000-00006BA90000}"/>
    <cellStyle name="Normal 2 4 4 6 2" xfId="24029" xr:uid="{00000000-0005-0000-0000-00006CA90000}"/>
    <cellStyle name="Normal 2 4 4 7" xfId="10563" xr:uid="{00000000-0005-0000-0000-00006DA90000}"/>
    <cellStyle name="Normal 2 4 4 7 2" xfId="25712" xr:uid="{00000000-0005-0000-0000-00006EA90000}"/>
    <cellStyle name="Normal 2 4 4 8" xfId="12247" xr:uid="{00000000-0005-0000-0000-00006FA90000}"/>
    <cellStyle name="Normal 2 4 4 8 2" xfId="27396" xr:uid="{00000000-0005-0000-0000-000070A90000}"/>
    <cellStyle name="Normal 2 4 4 9" xfId="13930" xr:uid="{00000000-0005-0000-0000-000071A90000}"/>
    <cellStyle name="Normal 2 4 4 9 2" xfId="29079" xr:uid="{00000000-0005-0000-0000-000072A90000}"/>
    <cellStyle name="Normal 2 4 5" xfId="885" xr:uid="{00000000-0005-0000-0000-000073A90000}"/>
    <cellStyle name="Normal 2 4 5 10" xfId="16034" xr:uid="{00000000-0005-0000-0000-000074A90000}"/>
    <cellStyle name="Normal 2 4 5 11" xfId="31183" xr:uid="{00000000-0005-0000-0000-000075A90000}"/>
    <cellStyle name="Normal 2 4 5 12" xfId="32866" xr:uid="{00000000-0005-0000-0000-000076A90000}"/>
    <cellStyle name="Normal 2 4 5 13" xfId="34549" xr:uid="{00000000-0005-0000-0000-000077A90000}"/>
    <cellStyle name="Normal 2 4 5 14" xfId="36232" xr:uid="{00000000-0005-0000-0000-000078A90000}"/>
    <cellStyle name="Normal 2 4 5 15" xfId="37915" xr:uid="{00000000-0005-0000-0000-000079A90000}"/>
    <cellStyle name="Normal 2 4 5 16" xfId="39598" xr:uid="{00000000-0005-0000-0000-00007AA90000}"/>
    <cellStyle name="Normal 2 4 5 17" xfId="41281" xr:uid="{00000000-0005-0000-0000-00007BA90000}"/>
    <cellStyle name="Normal 2 4 5 18" xfId="42964" xr:uid="{00000000-0005-0000-0000-00007CA90000}"/>
    <cellStyle name="Normal 2 4 5 19" xfId="44647" xr:uid="{00000000-0005-0000-0000-00007DA90000}"/>
    <cellStyle name="Normal 2 4 5 2" xfId="2568" xr:uid="{00000000-0005-0000-0000-00007EA90000}"/>
    <cellStyle name="Normal 2 4 5 2 2" xfId="17717" xr:uid="{00000000-0005-0000-0000-00007FA90000}"/>
    <cellStyle name="Normal 2 4 5 20" xfId="46330" xr:uid="{00000000-0005-0000-0000-000080A90000}"/>
    <cellStyle name="Normal 2 4 5 21" xfId="48013" xr:uid="{00000000-0005-0000-0000-000081A90000}"/>
    <cellStyle name="Normal 2 4 5 22" xfId="49696" xr:uid="{00000000-0005-0000-0000-000082A90000}"/>
    <cellStyle name="Normal 2 4 5 23" xfId="51379" xr:uid="{00000000-0005-0000-0000-000083A90000}"/>
    <cellStyle name="Normal 2 4 5 24" xfId="53062" xr:uid="{00000000-0005-0000-0000-000084A90000}"/>
    <cellStyle name="Normal 2 4 5 25" xfId="54745" xr:uid="{00000000-0005-0000-0000-000085A90000}"/>
    <cellStyle name="Normal 2 4 5 26" xfId="56428" xr:uid="{00000000-0005-0000-0000-000086A90000}"/>
    <cellStyle name="Normal 2 4 5 27" xfId="58111" xr:uid="{00000000-0005-0000-0000-000087A90000}"/>
    <cellStyle name="Normal 2 4 5 28" xfId="59794" xr:uid="{00000000-0005-0000-0000-000088A90000}"/>
    <cellStyle name="Normal 2 4 5 29" xfId="61477" xr:uid="{00000000-0005-0000-0000-000089A90000}"/>
    <cellStyle name="Normal 2 4 5 3" xfId="4252" xr:uid="{00000000-0005-0000-0000-00008AA90000}"/>
    <cellStyle name="Normal 2 4 5 3 2" xfId="19401" xr:uid="{00000000-0005-0000-0000-00008BA90000}"/>
    <cellStyle name="Normal 2 4 5 30" xfId="63160" xr:uid="{00000000-0005-0000-0000-00008CA90000}"/>
    <cellStyle name="Normal 2 4 5 4" xfId="5935" xr:uid="{00000000-0005-0000-0000-00008DA90000}"/>
    <cellStyle name="Normal 2 4 5 4 2" xfId="21084" xr:uid="{00000000-0005-0000-0000-00008EA90000}"/>
    <cellStyle name="Normal 2 4 5 5" xfId="7618" xr:uid="{00000000-0005-0000-0000-00008FA90000}"/>
    <cellStyle name="Normal 2 4 5 5 2" xfId="22767" xr:uid="{00000000-0005-0000-0000-000090A90000}"/>
    <cellStyle name="Normal 2 4 5 6" xfId="9301" xr:uid="{00000000-0005-0000-0000-000091A90000}"/>
    <cellStyle name="Normal 2 4 5 6 2" xfId="24450" xr:uid="{00000000-0005-0000-0000-000092A90000}"/>
    <cellStyle name="Normal 2 4 5 7" xfId="10984" xr:uid="{00000000-0005-0000-0000-000093A90000}"/>
    <cellStyle name="Normal 2 4 5 7 2" xfId="26133" xr:uid="{00000000-0005-0000-0000-000094A90000}"/>
    <cellStyle name="Normal 2 4 5 8" xfId="12668" xr:uid="{00000000-0005-0000-0000-000095A90000}"/>
    <cellStyle name="Normal 2 4 5 8 2" xfId="27817" xr:uid="{00000000-0005-0000-0000-000096A90000}"/>
    <cellStyle name="Normal 2 4 5 9" xfId="14351" xr:uid="{00000000-0005-0000-0000-000097A90000}"/>
    <cellStyle name="Normal 2 4 5 9 2" xfId="29500" xr:uid="{00000000-0005-0000-0000-000098A90000}"/>
    <cellStyle name="Normal 2 4 6" xfId="1306" xr:uid="{00000000-0005-0000-0000-000099A90000}"/>
    <cellStyle name="Normal 2 4 6 10" xfId="16455" xr:uid="{00000000-0005-0000-0000-00009AA90000}"/>
    <cellStyle name="Normal 2 4 6 11" xfId="31604" xr:uid="{00000000-0005-0000-0000-00009BA90000}"/>
    <cellStyle name="Normal 2 4 6 12" xfId="33287" xr:uid="{00000000-0005-0000-0000-00009CA90000}"/>
    <cellStyle name="Normal 2 4 6 13" xfId="34970" xr:uid="{00000000-0005-0000-0000-00009DA90000}"/>
    <cellStyle name="Normal 2 4 6 14" xfId="36653" xr:uid="{00000000-0005-0000-0000-00009EA90000}"/>
    <cellStyle name="Normal 2 4 6 15" xfId="38336" xr:uid="{00000000-0005-0000-0000-00009FA90000}"/>
    <cellStyle name="Normal 2 4 6 16" xfId="40019" xr:uid="{00000000-0005-0000-0000-0000A0A90000}"/>
    <cellStyle name="Normal 2 4 6 17" xfId="41702" xr:uid="{00000000-0005-0000-0000-0000A1A90000}"/>
    <cellStyle name="Normal 2 4 6 18" xfId="43385" xr:uid="{00000000-0005-0000-0000-0000A2A90000}"/>
    <cellStyle name="Normal 2 4 6 19" xfId="45068" xr:uid="{00000000-0005-0000-0000-0000A3A90000}"/>
    <cellStyle name="Normal 2 4 6 2" xfId="2989" xr:uid="{00000000-0005-0000-0000-0000A4A90000}"/>
    <cellStyle name="Normal 2 4 6 2 2" xfId="18138" xr:uid="{00000000-0005-0000-0000-0000A5A90000}"/>
    <cellStyle name="Normal 2 4 6 20" xfId="46751" xr:uid="{00000000-0005-0000-0000-0000A6A90000}"/>
    <cellStyle name="Normal 2 4 6 21" xfId="48434" xr:uid="{00000000-0005-0000-0000-0000A7A90000}"/>
    <cellStyle name="Normal 2 4 6 22" xfId="50117" xr:uid="{00000000-0005-0000-0000-0000A8A90000}"/>
    <cellStyle name="Normal 2 4 6 23" xfId="51800" xr:uid="{00000000-0005-0000-0000-0000A9A90000}"/>
    <cellStyle name="Normal 2 4 6 24" xfId="53483" xr:uid="{00000000-0005-0000-0000-0000AAA90000}"/>
    <cellStyle name="Normal 2 4 6 25" xfId="55166" xr:uid="{00000000-0005-0000-0000-0000ABA90000}"/>
    <cellStyle name="Normal 2 4 6 26" xfId="56849" xr:uid="{00000000-0005-0000-0000-0000ACA90000}"/>
    <cellStyle name="Normal 2 4 6 27" xfId="58532" xr:uid="{00000000-0005-0000-0000-0000ADA90000}"/>
    <cellStyle name="Normal 2 4 6 28" xfId="60215" xr:uid="{00000000-0005-0000-0000-0000AEA90000}"/>
    <cellStyle name="Normal 2 4 6 29" xfId="61898" xr:uid="{00000000-0005-0000-0000-0000AFA90000}"/>
    <cellStyle name="Normal 2 4 6 3" xfId="4673" xr:uid="{00000000-0005-0000-0000-0000B0A90000}"/>
    <cellStyle name="Normal 2 4 6 3 2" xfId="19822" xr:uid="{00000000-0005-0000-0000-0000B1A90000}"/>
    <cellStyle name="Normal 2 4 6 30" xfId="63581" xr:uid="{00000000-0005-0000-0000-0000B2A90000}"/>
    <cellStyle name="Normal 2 4 6 4" xfId="6356" xr:uid="{00000000-0005-0000-0000-0000B3A90000}"/>
    <cellStyle name="Normal 2 4 6 4 2" xfId="21505" xr:uid="{00000000-0005-0000-0000-0000B4A90000}"/>
    <cellStyle name="Normal 2 4 6 5" xfId="8039" xr:uid="{00000000-0005-0000-0000-0000B5A90000}"/>
    <cellStyle name="Normal 2 4 6 5 2" xfId="23188" xr:uid="{00000000-0005-0000-0000-0000B6A90000}"/>
    <cellStyle name="Normal 2 4 6 6" xfId="9722" xr:uid="{00000000-0005-0000-0000-0000B7A90000}"/>
    <cellStyle name="Normal 2 4 6 6 2" xfId="24871" xr:uid="{00000000-0005-0000-0000-0000B8A90000}"/>
    <cellStyle name="Normal 2 4 6 7" xfId="11405" xr:uid="{00000000-0005-0000-0000-0000B9A90000}"/>
    <cellStyle name="Normal 2 4 6 7 2" xfId="26554" xr:uid="{00000000-0005-0000-0000-0000BAA90000}"/>
    <cellStyle name="Normal 2 4 6 8" xfId="13089" xr:uid="{00000000-0005-0000-0000-0000BBA90000}"/>
    <cellStyle name="Normal 2 4 6 8 2" xfId="28238" xr:uid="{00000000-0005-0000-0000-0000BCA90000}"/>
    <cellStyle name="Normal 2 4 6 9" xfId="14772" xr:uid="{00000000-0005-0000-0000-0000BDA90000}"/>
    <cellStyle name="Normal 2 4 6 9 2" xfId="29921" xr:uid="{00000000-0005-0000-0000-0000BEA90000}"/>
    <cellStyle name="Normal 2 4 7" xfId="1727" xr:uid="{00000000-0005-0000-0000-0000BFA90000}"/>
    <cellStyle name="Normal 2 4 7 2" xfId="16876" xr:uid="{00000000-0005-0000-0000-0000C0A90000}"/>
    <cellStyle name="Normal 2 4 8" xfId="3411" xr:uid="{00000000-0005-0000-0000-0000C1A90000}"/>
    <cellStyle name="Normal 2 4 8 2" xfId="18560" xr:uid="{00000000-0005-0000-0000-0000C2A90000}"/>
    <cellStyle name="Normal 2 4 9" xfId="5094" xr:uid="{00000000-0005-0000-0000-0000C3A90000}"/>
    <cellStyle name="Normal 2 4 9 2" xfId="20243" xr:uid="{00000000-0005-0000-0000-0000C4A90000}"/>
    <cellStyle name="Normal 2 40" xfId="60626" xr:uid="{00000000-0005-0000-0000-0000C5A90000}"/>
    <cellStyle name="Normal 2 41" xfId="62309" xr:uid="{00000000-0005-0000-0000-0000C6A90000}"/>
    <cellStyle name="Normal 2 5" xfId="31" xr:uid="{00000000-0005-0000-0000-0000C7A90000}"/>
    <cellStyle name="Normal 2 5 10" xfId="6786" xr:uid="{00000000-0005-0000-0000-0000C8A90000}"/>
    <cellStyle name="Normal 2 5 10 2" xfId="21935" xr:uid="{00000000-0005-0000-0000-0000C9A90000}"/>
    <cellStyle name="Normal 2 5 11" xfId="8469" xr:uid="{00000000-0005-0000-0000-0000CAA90000}"/>
    <cellStyle name="Normal 2 5 11 2" xfId="23618" xr:uid="{00000000-0005-0000-0000-0000CBA90000}"/>
    <cellStyle name="Normal 2 5 12" xfId="10152" xr:uid="{00000000-0005-0000-0000-0000CCA90000}"/>
    <cellStyle name="Normal 2 5 12 2" xfId="25301" xr:uid="{00000000-0005-0000-0000-0000CDA90000}"/>
    <cellStyle name="Normal 2 5 13" xfId="11836" xr:uid="{00000000-0005-0000-0000-0000CEA90000}"/>
    <cellStyle name="Normal 2 5 13 2" xfId="26985" xr:uid="{00000000-0005-0000-0000-0000CFA90000}"/>
    <cellStyle name="Normal 2 5 14" xfId="13519" xr:uid="{00000000-0005-0000-0000-0000D0A90000}"/>
    <cellStyle name="Normal 2 5 14 2" xfId="28668" xr:uid="{00000000-0005-0000-0000-0000D1A90000}"/>
    <cellStyle name="Normal 2 5 15" xfId="15202" xr:uid="{00000000-0005-0000-0000-0000D2A90000}"/>
    <cellStyle name="Normal 2 5 16" xfId="30351" xr:uid="{00000000-0005-0000-0000-0000D3A90000}"/>
    <cellStyle name="Normal 2 5 17" xfId="32034" xr:uid="{00000000-0005-0000-0000-0000D4A90000}"/>
    <cellStyle name="Normal 2 5 18" xfId="33717" xr:uid="{00000000-0005-0000-0000-0000D5A90000}"/>
    <cellStyle name="Normal 2 5 19" xfId="35400" xr:uid="{00000000-0005-0000-0000-0000D6A90000}"/>
    <cellStyle name="Normal 2 5 2" xfId="158" xr:uid="{00000000-0005-0000-0000-0000D7A90000}"/>
    <cellStyle name="Normal 2 5 2 10" xfId="8574" xr:uid="{00000000-0005-0000-0000-0000D8A90000}"/>
    <cellStyle name="Normal 2 5 2 10 2" xfId="23723" xr:uid="{00000000-0005-0000-0000-0000D9A90000}"/>
    <cellStyle name="Normal 2 5 2 11" xfId="10257" xr:uid="{00000000-0005-0000-0000-0000DAA90000}"/>
    <cellStyle name="Normal 2 5 2 11 2" xfId="25406" xr:uid="{00000000-0005-0000-0000-0000DBA90000}"/>
    <cellStyle name="Normal 2 5 2 12" xfId="11941" xr:uid="{00000000-0005-0000-0000-0000DCA90000}"/>
    <cellStyle name="Normal 2 5 2 12 2" xfId="27090" xr:uid="{00000000-0005-0000-0000-0000DDA90000}"/>
    <cellStyle name="Normal 2 5 2 13" xfId="13624" xr:uid="{00000000-0005-0000-0000-0000DEA90000}"/>
    <cellStyle name="Normal 2 5 2 13 2" xfId="28773" xr:uid="{00000000-0005-0000-0000-0000DFA90000}"/>
    <cellStyle name="Normal 2 5 2 14" xfId="15307" xr:uid="{00000000-0005-0000-0000-0000E0A90000}"/>
    <cellStyle name="Normal 2 5 2 15" xfId="30456" xr:uid="{00000000-0005-0000-0000-0000E1A90000}"/>
    <cellStyle name="Normal 2 5 2 16" xfId="32139" xr:uid="{00000000-0005-0000-0000-0000E2A90000}"/>
    <cellStyle name="Normal 2 5 2 17" xfId="33822" xr:uid="{00000000-0005-0000-0000-0000E3A90000}"/>
    <cellStyle name="Normal 2 5 2 18" xfId="35505" xr:uid="{00000000-0005-0000-0000-0000E4A90000}"/>
    <cellStyle name="Normal 2 5 2 19" xfId="37188" xr:uid="{00000000-0005-0000-0000-0000E5A90000}"/>
    <cellStyle name="Normal 2 5 2 2" xfId="368" xr:uid="{00000000-0005-0000-0000-0000E6A90000}"/>
    <cellStyle name="Normal 2 5 2 2 10" xfId="10467" xr:uid="{00000000-0005-0000-0000-0000E7A90000}"/>
    <cellStyle name="Normal 2 5 2 2 10 2" xfId="25616" xr:uid="{00000000-0005-0000-0000-0000E8A90000}"/>
    <cellStyle name="Normal 2 5 2 2 11" xfId="12151" xr:uid="{00000000-0005-0000-0000-0000E9A90000}"/>
    <cellStyle name="Normal 2 5 2 2 11 2" xfId="27300" xr:uid="{00000000-0005-0000-0000-0000EAA90000}"/>
    <cellStyle name="Normal 2 5 2 2 12" xfId="13834" xr:uid="{00000000-0005-0000-0000-0000EBA90000}"/>
    <cellStyle name="Normal 2 5 2 2 12 2" xfId="28983" xr:uid="{00000000-0005-0000-0000-0000ECA90000}"/>
    <cellStyle name="Normal 2 5 2 2 13" xfId="15517" xr:uid="{00000000-0005-0000-0000-0000EDA90000}"/>
    <cellStyle name="Normal 2 5 2 2 14" xfId="30666" xr:uid="{00000000-0005-0000-0000-0000EEA90000}"/>
    <cellStyle name="Normal 2 5 2 2 15" xfId="32349" xr:uid="{00000000-0005-0000-0000-0000EFA90000}"/>
    <cellStyle name="Normal 2 5 2 2 16" xfId="34032" xr:uid="{00000000-0005-0000-0000-0000F0A90000}"/>
    <cellStyle name="Normal 2 5 2 2 17" xfId="35715" xr:uid="{00000000-0005-0000-0000-0000F1A90000}"/>
    <cellStyle name="Normal 2 5 2 2 18" xfId="37398" xr:uid="{00000000-0005-0000-0000-0000F2A90000}"/>
    <cellStyle name="Normal 2 5 2 2 19" xfId="39081" xr:uid="{00000000-0005-0000-0000-0000F3A90000}"/>
    <cellStyle name="Normal 2 5 2 2 2" xfId="788" xr:uid="{00000000-0005-0000-0000-0000F4A90000}"/>
    <cellStyle name="Normal 2 5 2 2 2 10" xfId="15937" xr:uid="{00000000-0005-0000-0000-0000F5A90000}"/>
    <cellStyle name="Normal 2 5 2 2 2 11" xfId="31086" xr:uid="{00000000-0005-0000-0000-0000F6A90000}"/>
    <cellStyle name="Normal 2 5 2 2 2 12" xfId="32769" xr:uid="{00000000-0005-0000-0000-0000F7A90000}"/>
    <cellStyle name="Normal 2 5 2 2 2 13" xfId="34452" xr:uid="{00000000-0005-0000-0000-0000F8A90000}"/>
    <cellStyle name="Normal 2 5 2 2 2 14" xfId="36135" xr:uid="{00000000-0005-0000-0000-0000F9A90000}"/>
    <cellStyle name="Normal 2 5 2 2 2 15" xfId="37818" xr:uid="{00000000-0005-0000-0000-0000FAA90000}"/>
    <cellStyle name="Normal 2 5 2 2 2 16" xfId="39501" xr:uid="{00000000-0005-0000-0000-0000FBA90000}"/>
    <cellStyle name="Normal 2 5 2 2 2 17" xfId="41184" xr:uid="{00000000-0005-0000-0000-0000FCA90000}"/>
    <cellStyle name="Normal 2 5 2 2 2 18" xfId="42867" xr:uid="{00000000-0005-0000-0000-0000FDA90000}"/>
    <cellStyle name="Normal 2 5 2 2 2 19" xfId="44550" xr:uid="{00000000-0005-0000-0000-0000FEA90000}"/>
    <cellStyle name="Normal 2 5 2 2 2 2" xfId="2471" xr:uid="{00000000-0005-0000-0000-0000FFA90000}"/>
    <cellStyle name="Normal 2 5 2 2 2 2 2" xfId="17620" xr:uid="{00000000-0005-0000-0000-000000AA0000}"/>
    <cellStyle name="Normal 2 5 2 2 2 20" xfId="46233" xr:uid="{00000000-0005-0000-0000-000001AA0000}"/>
    <cellStyle name="Normal 2 5 2 2 2 21" xfId="47916" xr:uid="{00000000-0005-0000-0000-000002AA0000}"/>
    <cellStyle name="Normal 2 5 2 2 2 22" xfId="49599" xr:uid="{00000000-0005-0000-0000-000003AA0000}"/>
    <cellStyle name="Normal 2 5 2 2 2 23" xfId="51282" xr:uid="{00000000-0005-0000-0000-000004AA0000}"/>
    <cellStyle name="Normal 2 5 2 2 2 24" xfId="52965" xr:uid="{00000000-0005-0000-0000-000005AA0000}"/>
    <cellStyle name="Normal 2 5 2 2 2 25" xfId="54648" xr:uid="{00000000-0005-0000-0000-000006AA0000}"/>
    <cellStyle name="Normal 2 5 2 2 2 26" xfId="56331" xr:uid="{00000000-0005-0000-0000-000007AA0000}"/>
    <cellStyle name="Normal 2 5 2 2 2 27" xfId="58014" xr:uid="{00000000-0005-0000-0000-000008AA0000}"/>
    <cellStyle name="Normal 2 5 2 2 2 28" xfId="59697" xr:uid="{00000000-0005-0000-0000-000009AA0000}"/>
    <cellStyle name="Normal 2 5 2 2 2 29" xfId="61380" xr:uid="{00000000-0005-0000-0000-00000AAA0000}"/>
    <cellStyle name="Normal 2 5 2 2 2 3" xfId="4155" xr:uid="{00000000-0005-0000-0000-00000BAA0000}"/>
    <cellStyle name="Normal 2 5 2 2 2 3 2" xfId="19304" xr:uid="{00000000-0005-0000-0000-00000CAA0000}"/>
    <cellStyle name="Normal 2 5 2 2 2 30" xfId="63063" xr:uid="{00000000-0005-0000-0000-00000DAA0000}"/>
    <cellStyle name="Normal 2 5 2 2 2 4" xfId="5838" xr:uid="{00000000-0005-0000-0000-00000EAA0000}"/>
    <cellStyle name="Normal 2 5 2 2 2 4 2" xfId="20987" xr:uid="{00000000-0005-0000-0000-00000FAA0000}"/>
    <cellStyle name="Normal 2 5 2 2 2 5" xfId="7521" xr:uid="{00000000-0005-0000-0000-000010AA0000}"/>
    <cellStyle name="Normal 2 5 2 2 2 5 2" xfId="22670" xr:uid="{00000000-0005-0000-0000-000011AA0000}"/>
    <cellStyle name="Normal 2 5 2 2 2 6" xfId="9204" xr:uid="{00000000-0005-0000-0000-000012AA0000}"/>
    <cellStyle name="Normal 2 5 2 2 2 6 2" xfId="24353" xr:uid="{00000000-0005-0000-0000-000013AA0000}"/>
    <cellStyle name="Normal 2 5 2 2 2 7" xfId="10887" xr:uid="{00000000-0005-0000-0000-000014AA0000}"/>
    <cellStyle name="Normal 2 5 2 2 2 7 2" xfId="26036" xr:uid="{00000000-0005-0000-0000-000015AA0000}"/>
    <cellStyle name="Normal 2 5 2 2 2 8" xfId="12571" xr:uid="{00000000-0005-0000-0000-000016AA0000}"/>
    <cellStyle name="Normal 2 5 2 2 2 8 2" xfId="27720" xr:uid="{00000000-0005-0000-0000-000017AA0000}"/>
    <cellStyle name="Normal 2 5 2 2 2 9" xfId="14254" xr:uid="{00000000-0005-0000-0000-000018AA0000}"/>
    <cellStyle name="Normal 2 5 2 2 2 9 2" xfId="29403" xr:uid="{00000000-0005-0000-0000-000019AA0000}"/>
    <cellStyle name="Normal 2 5 2 2 20" xfId="40764" xr:uid="{00000000-0005-0000-0000-00001AAA0000}"/>
    <cellStyle name="Normal 2 5 2 2 21" xfId="42447" xr:uid="{00000000-0005-0000-0000-00001BAA0000}"/>
    <cellStyle name="Normal 2 5 2 2 22" xfId="44130" xr:uid="{00000000-0005-0000-0000-00001CAA0000}"/>
    <cellStyle name="Normal 2 5 2 2 23" xfId="45813" xr:uid="{00000000-0005-0000-0000-00001DAA0000}"/>
    <cellStyle name="Normal 2 5 2 2 24" xfId="47496" xr:uid="{00000000-0005-0000-0000-00001EAA0000}"/>
    <cellStyle name="Normal 2 5 2 2 25" xfId="49179" xr:uid="{00000000-0005-0000-0000-00001FAA0000}"/>
    <cellStyle name="Normal 2 5 2 2 26" xfId="50862" xr:uid="{00000000-0005-0000-0000-000020AA0000}"/>
    <cellStyle name="Normal 2 5 2 2 27" xfId="52545" xr:uid="{00000000-0005-0000-0000-000021AA0000}"/>
    <cellStyle name="Normal 2 5 2 2 28" xfId="54228" xr:uid="{00000000-0005-0000-0000-000022AA0000}"/>
    <cellStyle name="Normal 2 5 2 2 29" xfId="55911" xr:uid="{00000000-0005-0000-0000-000023AA0000}"/>
    <cellStyle name="Normal 2 5 2 2 3" xfId="1209" xr:uid="{00000000-0005-0000-0000-000024AA0000}"/>
    <cellStyle name="Normal 2 5 2 2 3 10" xfId="16358" xr:uid="{00000000-0005-0000-0000-000025AA0000}"/>
    <cellStyle name="Normal 2 5 2 2 3 11" xfId="31507" xr:uid="{00000000-0005-0000-0000-000026AA0000}"/>
    <cellStyle name="Normal 2 5 2 2 3 12" xfId="33190" xr:uid="{00000000-0005-0000-0000-000027AA0000}"/>
    <cellStyle name="Normal 2 5 2 2 3 13" xfId="34873" xr:uid="{00000000-0005-0000-0000-000028AA0000}"/>
    <cellStyle name="Normal 2 5 2 2 3 14" xfId="36556" xr:uid="{00000000-0005-0000-0000-000029AA0000}"/>
    <cellStyle name="Normal 2 5 2 2 3 15" xfId="38239" xr:uid="{00000000-0005-0000-0000-00002AAA0000}"/>
    <cellStyle name="Normal 2 5 2 2 3 16" xfId="39922" xr:uid="{00000000-0005-0000-0000-00002BAA0000}"/>
    <cellStyle name="Normal 2 5 2 2 3 17" xfId="41605" xr:uid="{00000000-0005-0000-0000-00002CAA0000}"/>
    <cellStyle name="Normal 2 5 2 2 3 18" xfId="43288" xr:uid="{00000000-0005-0000-0000-00002DAA0000}"/>
    <cellStyle name="Normal 2 5 2 2 3 19" xfId="44971" xr:uid="{00000000-0005-0000-0000-00002EAA0000}"/>
    <cellStyle name="Normal 2 5 2 2 3 2" xfId="2892" xr:uid="{00000000-0005-0000-0000-00002FAA0000}"/>
    <cellStyle name="Normal 2 5 2 2 3 2 2" xfId="18041" xr:uid="{00000000-0005-0000-0000-000030AA0000}"/>
    <cellStyle name="Normal 2 5 2 2 3 20" xfId="46654" xr:uid="{00000000-0005-0000-0000-000031AA0000}"/>
    <cellStyle name="Normal 2 5 2 2 3 21" xfId="48337" xr:uid="{00000000-0005-0000-0000-000032AA0000}"/>
    <cellStyle name="Normal 2 5 2 2 3 22" xfId="50020" xr:uid="{00000000-0005-0000-0000-000033AA0000}"/>
    <cellStyle name="Normal 2 5 2 2 3 23" xfId="51703" xr:uid="{00000000-0005-0000-0000-000034AA0000}"/>
    <cellStyle name="Normal 2 5 2 2 3 24" xfId="53386" xr:uid="{00000000-0005-0000-0000-000035AA0000}"/>
    <cellStyle name="Normal 2 5 2 2 3 25" xfId="55069" xr:uid="{00000000-0005-0000-0000-000036AA0000}"/>
    <cellStyle name="Normal 2 5 2 2 3 26" xfId="56752" xr:uid="{00000000-0005-0000-0000-000037AA0000}"/>
    <cellStyle name="Normal 2 5 2 2 3 27" xfId="58435" xr:uid="{00000000-0005-0000-0000-000038AA0000}"/>
    <cellStyle name="Normal 2 5 2 2 3 28" xfId="60118" xr:uid="{00000000-0005-0000-0000-000039AA0000}"/>
    <cellStyle name="Normal 2 5 2 2 3 29" xfId="61801" xr:uid="{00000000-0005-0000-0000-00003AAA0000}"/>
    <cellStyle name="Normal 2 5 2 2 3 3" xfId="4576" xr:uid="{00000000-0005-0000-0000-00003BAA0000}"/>
    <cellStyle name="Normal 2 5 2 2 3 3 2" xfId="19725" xr:uid="{00000000-0005-0000-0000-00003CAA0000}"/>
    <cellStyle name="Normal 2 5 2 2 3 30" xfId="63484" xr:uid="{00000000-0005-0000-0000-00003DAA0000}"/>
    <cellStyle name="Normal 2 5 2 2 3 4" xfId="6259" xr:uid="{00000000-0005-0000-0000-00003EAA0000}"/>
    <cellStyle name="Normal 2 5 2 2 3 4 2" xfId="21408" xr:uid="{00000000-0005-0000-0000-00003FAA0000}"/>
    <cellStyle name="Normal 2 5 2 2 3 5" xfId="7942" xr:uid="{00000000-0005-0000-0000-000040AA0000}"/>
    <cellStyle name="Normal 2 5 2 2 3 5 2" xfId="23091" xr:uid="{00000000-0005-0000-0000-000041AA0000}"/>
    <cellStyle name="Normal 2 5 2 2 3 6" xfId="9625" xr:uid="{00000000-0005-0000-0000-000042AA0000}"/>
    <cellStyle name="Normal 2 5 2 2 3 6 2" xfId="24774" xr:uid="{00000000-0005-0000-0000-000043AA0000}"/>
    <cellStyle name="Normal 2 5 2 2 3 7" xfId="11308" xr:uid="{00000000-0005-0000-0000-000044AA0000}"/>
    <cellStyle name="Normal 2 5 2 2 3 7 2" xfId="26457" xr:uid="{00000000-0005-0000-0000-000045AA0000}"/>
    <cellStyle name="Normal 2 5 2 2 3 8" xfId="12992" xr:uid="{00000000-0005-0000-0000-000046AA0000}"/>
    <cellStyle name="Normal 2 5 2 2 3 8 2" xfId="28141" xr:uid="{00000000-0005-0000-0000-000047AA0000}"/>
    <cellStyle name="Normal 2 5 2 2 3 9" xfId="14675" xr:uid="{00000000-0005-0000-0000-000048AA0000}"/>
    <cellStyle name="Normal 2 5 2 2 3 9 2" xfId="29824" xr:uid="{00000000-0005-0000-0000-000049AA0000}"/>
    <cellStyle name="Normal 2 5 2 2 30" xfId="57594" xr:uid="{00000000-0005-0000-0000-00004AAA0000}"/>
    <cellStyle name="Normal 2 5 2 2 31" xfId="59277" xr:uid="{00000000-0005-0000-0000-00004BAA0000}"/>
    <cellStyle name="Normal 2 5 2 2 32" xfId="60960" xr:uid="{00000000-0005-0000-0000-00004CAA0000}"/>
    <cellStyle name="Normal 2 5 2 2 33" xfId="62643" xr:uid="{00000000-0005-0000-0000-00004DAA0000}"/>
    <cellStyle name="Normal 2 5 2 2 4" xfId="1630" xr:uid="{00000000-0005-0000-0000-00004EAA0000}"/>
    <cellStyle name="Normal 2 5 2 2 4 10" xfId="16779" xr:uid="{00000000-0005-0000-0000-00004FAA0000}"/>
    <cellStyle name="Normal 2 5 2 2 4 11" xfId="31928" xr:uid="{00000000-0005-0000-0000-000050AA0000}"/>
    <cellStyle name="Normal 2 5 2 2 4 12" xfId="33611" xr:uid="{00000000-0005-0000-0000-000051AA0000}"/>
    <cellStyle name="Normal 2 5 2 2 4 13" xfId="35294" xr:uid="{00000000-0005-0000-0000-000052AA0000}"/>
    <cellStyle name="Normal 2 5 2 2 4 14" xfId="36977" xr:uid="{00000000-0005-0000-0000-000053AA0000}"/>
    <cellStyle name="Normal 2 5 2 2 4 15" xfId="38660" xr:uid="{00000000-0005-0000-0000-000054AA0000}"/>
    <cellStyle name="Normal 2 5 2 2 4 16" xfId="40343" xr:uid="{00000000-0005-0000-0000-000055AA0000}"/>
    <cellStyle name="Normal 2 5 2 2 4 17" xfId="42026" xr:uid="{00000000-0005-0000-0000-000056AA0000}"/>
    <cellStyle name="Normal 2 5 2 2 4 18" xfId="43709" xr:uid="{00000000-0005-0000-0000-000057AA0000}"/>
    <cellStyle name="Normal 2 5 2 2 4 19" xfId="45392" xr:uid="{00000000-0005-0000-0000-000058AA0000}"/>
    <cellStyle name="Normal 2 5 2 2 4 2" xfId="3313" xr:uid="{00000000-0005-0000-0000-000059AA0000}"/>
    <cellStyle name="Normal 2 5 2 2 4 2 2" xfId="18462" xr:uid="{00000000-0005-0000-0000-00005AAA0000}"/>
    <cellStyle name="Normal 2 5 2 2 4 20" xfId="47075" xr:uid="{00000000-0005-0000-0000-00005BAA0000}"/>
    <cellStyle name="Normal 2 5 2 2 4 21" xfId="48758" xr:uid="{00000000-0005-0000-0000-00005CAA0000}"/>
    <cellStyle name="Normal 2 5 2 2 4 22" xfId="50441" xr:uid="{00000000-0005-0000-0000-00005DAA0000}"/>
    <cellStyle name="Normal 2 5 2 2 4 23" xfId="52124" xr:uid="{00000000-0005-0000-0000-00005EAA0000}"/>
    <cellStyle name="Normal 2 5 2 2 4 24" xfId="53807" xr:uid="{00000000-0005-0000-0000-00005FAA0000}"/>
    <cellStyle name="Normal 2 5 2 2 4 25" xfId="55490" xr:uid="{00000000-0005-0000-0000-000060AA0000}"/>
    <cellStyle name="Normal 2 5 2 2 4 26" xfId="57173" xr:uid="{00000000-0005-0000-0000-000061AA0000}"/>
    <cellStyle name="Normal 2 5 2 2 4 27" xfId="58856" xr:uid="{00000000-0005-0000-0000-000062AA0000}"/>
    <cellStyle name="Normal 2 5 2 2 4 28" xfId="60539" xr:uid="{00000000-0005-0000-0000-000063AA0000}"/>
    <cellStyle name="Normal 2 5 2 2 4 29" xfId="62222" xr:uid="{00000000-0005-0000-0000-000064AA0000}"/>
    <cellStyle name="Normal 2 5 2 2 4 3" xfId="4997" xr:uid="{00000000-0005-0000-0000-000065AA0000}"/>
    <cellStyle name="Normal 2 5 2 2 4 3 2" xfId="20146" xr:uid="{00000000-0005-0000-0000-000066AA0000}"/>
    <cellStyle name="Normal 2 5 2 2 4 30" xfId="63905" xr:uid="{00000000-0005-0000-0000-000067AA0000}"/>
    <cellStyle name="Normal 2 5 2 2 4 4" xfId="6680" xr:uid="{00000000-0005-0000-0000-000068AA0000}"/>
    <cellStyle name="Normal 2 5 2 2 4 4 2" xfId="21829" xr:uid="{00000000-0005-0000-0000-000069AA0000}"/>
    <cellStyle name="Normal 2 5 2 2 4 5" xfId="8363" xr:uid="{00000000-0005-0000-0000-00006AAA0000}"/>
    <cellStyle name="Normal 2 5 2 2 4 5 2" xfId="23512" xr:uid="{00000000-0005-0000-0000-00006BAA0000}"/>
    <cellStyle name="Normal 2 5 2 2 4 6" xfId="10046" xr:uid="{00000000-0005-0000-0000-00006CAA0000}"/>
    <cellStyle name="Normal 2 5 2 2 4 6 2" xfId="25195" xr:uid="{00000000-0005-0000-0000-00006DAA0000}"/>
    <cellStyle name="Normal 2 5 2 2 4 7" xfId="11729" xr:uid="{00000000-0005-0000-0000-00006EAA0000}"/>
    <cellStyle name="Normal 2 5 2 2 4 7 2" xfId="26878" xr:uid="{00000000-0005-0000-0000-00006FAA0000}"/>
    <cellStyle name="Normal 2 5 2 2 4 8" xfId="13413" xr:uid="{00000000-0005-0000-0000-000070AA0000}"/>
    <cellStyle name="Normal 2 5 2 2 4 8 2" xfId="28562" xr:uid="{00000000-0005-0000-0000-000071AA0000}"/>
    <cellStyle name="Normal 2 5 2 2 4 9" xfId="15096" xr:uid="{00000000-0005-0000-0000-000072AA0000}"/>
    <cellStyle name="Normal 2 5 2 2 4 9 2" xfId="30245" xr:uid="{00000000-0005-0000-0000-000073AA0000}"/>
    <cellStyle name="Normal 2 5 2 2 5" xfId="2051" xr:uid="{00000000-0005-0000-0000-000074AA0000}"/>
    <cellStyle name="Normal 2 5 2 2 5 2" xfId="17200" xr:uid="{00000000-0005-0000-0000-000075AA0000}"/>
    <cellStyle name="Normal 2 5 2 2 6" xfId="3735" xr:uid="{00000000-0005-0000-0000-000076AA0000}"/>
    <cellStyle name="Normal 2 5 2 2 6 2" xfId="18884" xr:uid="{00000000-0005-0000-0000-000077AA0000}"/>
    <cellStyle name="Normal 2 5 2 2 7" xfId="5418" xr:uid="{00000000-0005-0000-0000-000078AA0000}"/>
    <cellStyle name="Normal 2 5 2 2 7 2" xfId="20567" xr:uid="{00000000-0005-0000-0000-000079AA0000}"/>
    <cellStyle name="Normal 2 5 2 2 8" xfId="7101" xr:uid="{00000000-0005-0000-0000-00007AAA0000}"/>
    <cellStyle name="Normal 2 5 2 2 8 2" xfId="22250" xr:uid="{00000000-0005-0000-0000-00007BAA0000}"/>
    <cellStyle name="Normal 2 5 2 2 9" xfId="8784" xr:uid="{00000000-0005-0000-0000-00007CAA0000}"/>
    <cellStyle name="Normal 2 5 2 2 9 2" xfId="23933" xr:uid="{00000000-0005-0000-0000-00007DAA0000}"/>
    <cellStyle name="Normal 2 5 2 20" xfId="38871" xr:uid="{00000000-0005-0000-0000-00007EAA0000}"/>
    <cellStyle name="Normal 2 5 2 21" xfId="40554" xr:uid="{00000000-0005-0000-0000-00007FAA0000}"/>
    <cellStyle name="Normal 2 5 2 22" xfId="42237" xr:uid="{00000000-0005-0000-0000-000080AA0000}"/>
    <cellStyle name="Normal 2 5 2 23" xfId="43920" xr:uid="{00000000-0005-0000-0000-000081AA0000}"/>
    <cellStyle name="Normal 2 5 2 24" xfId="45603" xr:uid="{00000000-0005-0000-0000-000082AA0000}"/>
    <cellStyle name="Normal 2 5 2 25" xfId="47286" xr:uid="{00000000-0005-0000-0000-000083AA0000}"/>
    <cellStyle name="Normal 2 5 2 26" xfId="48969" xr:uid="{00000000-0005-0000-0000-000084AA0000}"/>
    <cellStyle name="Normal 2 5 2 27" xfId="50652" xr:uid="{00000000-0005-0000-0000-000085AA0000}"/>
    <cellStyle name="Normal 2 5 2 28" xfId="52335" xr:uid="{00000000-0005-0000-0000-000086AA0000}"/>
    <cellStyle name="Normal 2 5 2 29" xfId="54018" xr:uid="{00000000-0005-0000-0000-000087AA0000}"/>
    <cellStyle name="Normal 2 5 2 3" xfId="578" xr:uid="{00000000-0005-0000-0000-000088AA0000}"/>
    <cellStyle name="Normal 2 5 2 3 10" xfId="15727" xr:uid="{00000000-0005-0000-0000-000089AA0000}"/>
    <cellStyle name="Normal 2 5 2 3 11" xfId="30876" xr:uid="{00000000-0005-0000-0000-00008AAA0000}"/>
    <cellStyle name="Normal 2 5 2 3 12" xfId="32559" xr:uid="{00000000-0005-0000-0000-00008BAA0000}"/>
    <cellStyle name="Normal 2 5 2 3 13" xfId="34242" xr:uid="{00000000-0005-0000-0000-00008CAA0000}"/>
    <cellStyle name="Normal 2 5 2 3 14" xfId="35925" xr:uid="{00000000-0005-0000-0000-00008DAA0000}"/>
    <cellStyle name="Normal 2 5 2 3 15" xfId="37608" xr:uid="{00000000-0005-0000-0000-00008EAA0000}"/>
    <cellStyle name="Normal 2 5 2 3 16" xfId="39291" xr:uid="{00000000-0005-0000-0000-00008FAA0000}"/>
    <cellStyle name="Normal 2 5 2 3 17" xfId="40974" xr:uid="{00000000-0005-0000-0000-000090AA0000}"/>
    <cellStyle name="Normal 2 5 2 3 18" xfId="42657" xr:uid="{00000000-0005-0000-0000-000091AA0000}"/>
    <cellStyle name="Normal 2 5 2 3 19" xfId="44340" xr:uid="{00000000-0005-0000-0000-000092AA0000}"/>
    <cellStyle name="Normal 2 5 2 3 2" xfId="2261" xr:uid="{00000000-0005-0000-0000-000093AA0000}"/>
    <cellStyle name="Normal 2 5 2 3 2 2" xfId="17410" xr:uid="{00000000-0005-0000-0000-000094AA0000}"/>
    <cellStyle name="Normal 2 5 2 3 20" xfId="46023" xr:uid="{00000000-0005-0000-0000-000095AA0000}"/>
    <cellStyle name="Normal 2 5 2 3 21" xfId="47706" xr:uid="{00000000-0005-0000-0000-000096AA0000}"/>
    <cellStyle name="Normal 2 5 2 3 22" xfId="49389" xr:uid="{00000000-0005-0000-0000-000097AA0000}"/>
    <cellStyle name="Normal 2 5 2 3 23" xfId="51072" xr:uid="{00000000-0005-0000-0000-000098AA0000}"/>
    <cellStyle name="Normal 2 5 2 3 24" xfId="52755" xr:uid="{00000000-0005-0000-0000-000099AA0000}"/>
    <cellStyle name="Normal 2 5 2 3 25" xfId="54438" xr:uid="{00000000-0005-0000-0000-00009AAA0000}"/>
    <cellStyle name="Normal 2 5 2 3 26" xfId="56121" xr:uid="{00000000-0005-0000-0000-00009BAA0000}"/>
    <cellStyle name="Normal 2 5 2 3 27" xfId="57804" xr:uid="{00000000-0005-0000-0000-00009CAA0000}"/>
    <cellStyle name="Normal 2 5 2 3 28" xfId="59487" xr:uid="{00000000-0005-0000-0000-00009DAA0000}"/>
    <cellStyle name="Normal 2 5 2 3 29" xfId="61170" xr:uid="{00000000-0005-0000-0000-00009EAA0000}"/>
    <cellStyle name="Normal 2 5 2 3 3" xfId="3945" xr:uid="{00000000-0005-0000-0000-00009FAA0000}"/>
    <cellStyle name="Normal 2 5 2 3 3 2" xfId="19094" xr:uid="{00000000-0005-0000-0000-0000A0AA0000}"/>
    <cellStyle name="Normal 2 5 2 3 30" xfId="62853" xr:uid="{00000000-0005-0000-0000-0000A1AA0000}"/>
    <cellStyle name="Normal 2 5 2 3 4" xfId="5628" xr:uid="{00000000-0005-0000-0000-0000A2AA0000}"/>
    <cellStyle name="Normal 2 5 2 3 4 2" xfId="20777" xr:uid="{00000000-0005-0000-0000-0000A3AA0000}"/>
    <cellStyle name="Normal 2 5 2 3 5" xfId="7311" xr:uid="{00000000-0005-0000-0000-0000A4AA0000}"/>
    <cellStyle name="Normal 2 5 2 3 5 2" xfId="22460" xr:uid="{00000000-0005-0000-0000-0000A5AA0000}"/>
    <cellStyle name="Normal 2 5 2 3 6" xfId="8994" xr:uid="{00000000-0005-0000-0000-0000A6AA0000}"/>
    <cellStyle name="Normal 2 5 2 3 6 2" xfId="24143" xr:uid="{00000000-0005-0000-0000-0000A7AA0000}"/>
    <cellStyle name="Normal 2 5 2 3 7" xfId="10677" xr:uid="{00000000-0005-0000-0000-0000A8AA0000}"/>
    <cellStyle name="Normal 2 5 2 3 7 2" xfId="25826" xr:uid="{00000000-0005-0000-0000-0000A9AA0000}"/>
    <cellStyle name="Normal 2 5 2 3 8" xfId="12361" xr:uid="{00000000-0005-0000-0000-0000AAAA0000}"/>
    <cellStyle name="Normal 2 5 2 3 8 2" xfId="27510" xr:uid="{00000000-0005-0000-0000-0000ABAA0000}"/>
    <cellStyle name="Normal 2 5 2 3 9" xfId="14044" xr:uid="{00000000-0005-0000-0000-0000ACAA0000}"/>
    <cellStyle name="Normal 2 5 2 3 9 2" xfId="29193" xr:uid="{00000000-0005-0000-0000-0000ADAA0000}"/>
    <cellStyle name="Normal 2 5 2 30" xfId="55701" xr:uid="{00000000-0005-0000-0000-0000AEAA0000}"/>
    <cellStyle name="Normal 2 5 2 31" xfId="57384" xr:uid="{00000000-0005-0000-0000-0000AFAA0000}"/>
    <cellStyle name="Normal 2 5 2 32" xfId="59067" xr:uid="{00000000-0005-0000-0000-0000B0AA0000}"/>
    <cellStyle name="Normal 2 5 2 33" xfId="60750" xr:uid="{00000000-0005-0000-0000-0000B1AA0000}"/>
    <cellStyle name="Normal 2 5 2 34" xfId="62433" xr:uid="{00000000-0005-0000-0000-0000B2AA0000}"/>
    <cellStyle name="Normal 2 5 2 4" xfId="999" xr:uid="{00000000-0005-0000-0000-0000B3AA0000}"/>
    <cellStyle name="Normal 2 5 2 4 10" xfId="16148" xr:uid="{00000000-0005-0000-0000-0000B4AA0000}"/>
    <cellStyle name="Normal 2 5 2 4 11" xfId="31297" xr:uid="{00000000-0005-0000-0000-0000B5AA0000}"/>
    <cellStyle name="Normal 2 5 2 4 12" xfId="32980" xr:uid="{00000000-0005-0000-0000-0000B6AA0000}"/>
    <cellStyle name="Normal 2 5 2 4 13" xfId="34663" xr:uid="{00000000-0005-0000-0000-0000B7AA0000}"/>
    <cellStyle name="Normal 2 5 2 4 14" xfId="36346" xr:uid="{00000000-0005-0000-0000-0000B8AA0000}"/>
    <cellStyle name="Normal 2 5 2 4 15" xfId="38029" xr:uid="{00000000-0005-0000-0000-0000B9AA0000}"/>
    <cellStyle name="Normal 2 5 2 4 16" xfId="39712" xr:uid="{00000000-0005-0000-0000-0000BAAA0000}"/>
    <cellStyle name="Normal 2 5 2 4 17" xfId="41395" xr:uid="{00000000-0005-0000-0000-0000BBAA0000}"/>
    <cellStyle name="Normal 2 5 2 4 18" xfId="43078" xr:uid="{00000000-0005-0000-0000-0000BCAA0000}"/>
    <cellStyle name="Normal 2 5 2 4 19" xfId="44761" xr:uid="{00000000-0005-0000-0000-0000BDAA0000}"/>
    <cellStyle name="Normal 2 5 2 4 2" xfId="2682" xr:uid="{00000000-0005-0000-0000-0000BEAA0000}"/>
    <cellStyle name="Normal 2 5 2 4 2 2" xfId="17831" xr:uid="{00000000-0005-0000-0000-0000BFAA0000}"/>
    <cellStyle name="Normal 2 5 2 4 20" xfId="46444" xr:uid="{00000000-0005-0000-0000-0000C0AA0000}"/>
    <cellStyle name="Normal 2 5 2 4 21" xfId="48127" xr:uid="{00000000-0005-0000-0000-0000C1AA0000}"/>
    <cellStyle name="Normal 2 5 2 4 22" xfId="49810" xr:uid="{00000000-0005-0000-0000-0000C2AA0000}"/>
    <cellStyle name="Normal 2 5 2 4 23" xfId="51493" xr:uid="{00000000-0005-0000-0000-0000C3AA0000}"/>
    <cellStyle name="Normal 2 5 2 4 24" xfId="53176" xr:uid="{00000000-0005-0000-0000-0000C4AA0000}"/>
    <cellStyle name="Normal 2 5 2 4 25" xfId="54859" xr:uid="{00000000-0005-0000-0000-0000C5AA0000}"/>
    <cellStyle name="Normal 2 5 2 4 26" xfId="56542" xr:uid="{00000000-0005-0000-0000-0000C6AA0000}"/>
    <cellStyle name="Normal 2 5 2 4 27" xfId="58225" xr:uid="{00000000-0005-0000-0000-0000C7AA0000}"/>
    <cellStyle name="Normal 2 5 2 4 28" xfId="59908" xr:uid="{00000000-0005-0000-0000-0000C8AA0000}"/>
    <cellStyle name="Normal 2 5 2 4 29" xfId="61591" xr:uid="{00000000-0005-0000-0000-0000C9AA0000}"/>
    <cellStyle name="Normal 2 5 2 4 3" xfId="4366" xr:uid="{00000000-0005-0000-0000-0000CAAA0000}"/>
    <cellStyle name="Normal 2 5 2 4 3 2" xfId="19515" xr:uid="{00000000-0005-0000-0000-0000CBAA0000}"/>
    <cellStyle name="Normal 2 5 2 4 30" xfId="63274" xr:uid="{00000000-0005-0000-0000-0000CCAA0000}"/>
    <cellStyle name="Normal 2 5 2 4 4" xfId="6049" xr:uid="{00000000-0005-0000-0000-0000CDAA0000}"/>
    <cellStyle name="Normal 2 5 2 4 4 2" xfId="21198" xr:uid="{00000000-0005-0000-0000-0000CEAA0000}"/>
    <cellStyle name="Normal 2 5 2 4 5" xfId="7732" xr:uid="{00000000-0005-0000-0000-0000CFAA0000}"/>
    <cellStyle name="Normal 2 5 2 4 5 2" xfId="22881" xr:uid="{00000000-0005-0000-0000-0000D0AA0000}"/>
    <cellStyle name="Normal 2 5 2 4 6" xfId="9415" xr:uid="{00000000-0005-0000-0000-0000D1AA0000}"/>
    <cellStyle name="Normal 2 5 2 4 6 2" xfId="24564" xr:uid="{00000000-0005-0000-0000-0000D2AA0000}"/>
    <cellStyle name="Normal 2 5 2 4 7" xfId="11098" xr:uid="{00000000-0005-0000-0000-0000D3AA0000}"/>
    <cellStyle name="Normal 2 5 2 4 7 2" xfId="26247" xr:uid="{00000000-0005-0000-0000-0000D4AA0000}"/>
    <cellStyle name="Normal 2 5 2 4 8" xfId="12782" xr:uid="{00000000-0005-0000-0000-0000D5AA0000}"/>
    <cellStyle name="Normal 2 5 2 4 8 2" xfId="27931" xr:uid="{00000000-0005-0000-0000-0000D6AA0000}"/>
    <cellStyle name="Normal 2 5 2 4 9" xfId="14465" xr:uid="{00000000-0005-0000-0000-0000D7AA0000}"/>
    <cellStyle name="Normal 2 5 2 4 9 2" xfId="29614" xr:uid="{00000000-0005-0000-0000-0000D8AA0000}"/>
    <cellStyle name="Normal 2 5 2 5" xfId="1420" xr:uid="{00000000-0005-0000-0000-0000D9AA0000}"/>
    <cellStyle name="Normal 2 5 2 5 10" xfId="16569" xr:uid="{00000000-0005-0000-0000-0000DAAA0000}"/>
    <cellStyle name="Normal 2 5 2 5 11" xfId="31718" xr:uid="{00000000-0005-0000-0000-0000DBAA0000}"/>
    <cellStyle name="Normal 2 5 2 5 12" xfId="33401" xr:uid="{00000000-0005-0000-0000-0000DCAA0000}"/>
    <cellStyle name="Normal 2 5 2 5 13" xfId="35084" xr:uid="{00000000-0005-0000-0000-0000DDAA0000}"/>
    <cellStyle name="Normal 2 5 2 5 14" xfId="36767" xr:uid="{00000000-0005-0000-0000-0000DEAA0000}"/>
    <cellStyle name="Normal 2 5 2 5 15" xfId="38450" xr:uid="{00000000-0005-0000-0000-0000DFAA0000}"/>
    <cellStyle name="Normal 2 5 2 5 16" xfId="40133" xr:uid="{00000000-0005-0000-0000-0000E0AA0000}"/>
    <cellStyle name="Normal 2 5 2 5 17" xfId="41816" xr:uid="{00000000-0005-0000-0000-0000E1AA0000}"/>
    <cellStyle name="Normal 2 5 2 5 18" xfId="43499" xr:uid="{00000000-0005-0000-0000-0000E2AA0000}"/>
    <cellStyle name="Normal 2 5 2 5 19" xfId="45182" xr:uid="{00000000-0005-0000-0000-0000E3AA0000}"/>
    <cellStyle name="Normal 2 5 2 5 2" xfId="3103" xr:uid="{00000000-0005-0000-0000-0000E4AA0000}"/>
    <cellStyle name="Normal 2 5 2 5 2 2" xfId="18252" xr:uid="{00000000-0005-0000-0000-0000E5AA0000}"/>
    <cellStyle name="Normal 2 5 2 5 20" xfId="46865" xr:uid="{00000000-0005-0000-0000-0000E6AA0000}"/>
    <cellStyle name="Normal 2 5 2 5 21" xfId="48548" xr:uid="{00000000-0005-0000-0000-0000E7AA0000}"/>
    <cellStyle name="Normal 2 5 2 5 22" xfId="50231" xr:uid="{00000000-0005-0000-0000-0000E8AA0000}"/>
    <cellStyle name="Normal 2 5 2 5 23" xfId="51914" xr:uid="{00000000-0005-0000-0000-0000E9AA0000}"/>
    <cellStyle name="Normal 2 5 2 5 24" xfId="53597" xr:uid="{00000000-0005-0000-0000-0000EAAA0000}"/>
    <cellStyle name="Normal 2 5 2 5 25" xfId="55280" xr:uid="{00000000-0005-0000-0000-0000EBAA0000}"/>
    <cellStyle name="Normal 2 5 2 5 26" xfId="56963" xr:uid="{00000000-0005-0000-0000-0000ECAA0000}"/>
    <cellStyle name="Normal 2 5 2 5 27" xfId="58646" xr:uid="{00000000-0005-0000-0000-0000EDAA0000}"/>
    <cellStyle name="Normal 2 5 2 5 28" xfId="60329" xr:uid="{00000000-0005-0000-0000-0000EEAA0000}"/>
    <cellStyle name="Normal 2 5 2 5 29" xfId="62012" xr:uid="{00000000-0005-0000-0000-0000EFAA0000}"/>
    <cellStyle name="Normal 2 5 2 5 3" xfId="4787" xr:uid="{00000000-0005-0000-0000-0000F0AA0000}"/>
    <cellStyle name="Normal 2 5 2 5 3 2" xfId="19936" xr:uid="{00000000-0005-0000-0000-0000F1AA0000}"/>
    <cellStyle name="Normal 2 5 2 5 30" xfId="63695" xr:uid="{00000000-0005-0000-0000-0000F2AA0000}"/>
    <cellStyle name="Normal 2 5 2 5 4" xfId="6470" xr:uid="{00000000-0005-0000-0000-0000F3AA0000}"/>
    <cellStyle name="Normal 2 5 2 5 4 2" xfId="21619" xr:uid="{00000000-0005-0000-0000-0000F4AA0000}"/>
    <cellStyle name="Normal 2 5 2 5 5" xfId="8153" xr:uid="{00000000-0005-0000-0000-0000F5AA0000}"/>
    <cellStyle name="Normal 2 5 2 5 5 2" xfId="23302" xr:uid="{00000000-0005-0000-0000-0000F6AA0000}"/>
    <cellStyle name="Normal 2 5 2 5 6" xfId="9836" xr:uid="{00000000-0005-0000-0000-0000F7AA0000}"/>
    <cellStyle name="Normal 2 5 2 5 6 2" xfId="24985" xr:uid="{00000000-0005-0000-0000-0000F8AA0000}"/>
    <cellStyle name="Normal 2 5 2 5 7" xfId="11519" xr:uid="{00000000-0005-0000-0000-0000F9AA0000}"/>
    <cellStyle name="Normal 2 5 2 5 7 2" xfId="26668" xr:uid="{00000000-0005-0000-0000-0000FAAA0000}"/>
    <cellStyle name="Normal 2 5 2 5 8" xfId="13203" xr:uid="{00000000-0005-0000-0000-0000FBAA0000}"/>
    <cellStyle name="Normal 2 5 2 5 8 2" xfId="28352" xr:uid="{00000000-0005-0000-0000-0000FCAA0000}"/>
    <cellStyle name="Normal 2 5 2 5 9" xfId="14886" xr:uid="{00000000-0005-0000-0000-0000FDAA0000}"/>
    <cellStyle name="Normal 2 5 2 5 9 2" xfId="30035" xr:uid="{00000000-0005-0000-0000-0000FEAA0000}"/>
    <cellStyle name="Normal 2 5 2 6" xfId="1841" xr:uid="{00000000-0005-0000-0000-0000FFAA0000}"/>
    <cellStyle name="Normal 2 5 2 6 2" xfId="16990" xr:uid="{00000000-0005-0000-0000-000000AB0000}"/>
    <cellStyle name="Normal 2 5 2 7" xfId="3525" xr:uid="{00000000-0005-0000-0000-000001AB0000}"/>
    <cellStyle name="Normal 2 5 2 7 2" xfId="18674" xr:uid="{00000000-0005-0000-0000-000002AB0000}"/>
    <cellStyle name="Normal 2 5 2 8" xfId="5208" xr:uid="{00000000-0005-0000-0000-000003AB0000}"/>
    <cellStyle name="Normal 2 5 2 8 2" xfId="20357" xr:uid="{00000000-0005-0000-0000-000004AB0000}"/>
    <cellStyle name="Normal 2 5 2 9" xfId="6891" xr:uid="{00000000-0005-0000-0000-000005AB0000}"/>
    <cellStyle name="Normal 2 5 2 9 2" xfId="22040" xr:uid="{00000000-0005-0000-0000-000006AB0000}"/>
    <cellStyle name="Normal 2 5 20" xfId="37083" xr:uid="{00000000-0005-0000-0000-000007AB0000}"/>
    <cellStyle name="Normal 2 5 21" xfId="38766" xr:uid="{00000000-0005-0000-0000-000008AB0000}"/>
    <cellStyle name="Normal 2 5 22" xfId="40449" xr:uid="{00000000-0005-0000-0000-000009AB0000}"/>
    <cellStyle name="Normal 2 5 23" xfId="42132" xr:uid="{00000000-0005-0000-0000-00000AAB0000}"/>
    <cellStyle name="Normal 2 5 24" xfId="43815" xr:uid="{00000000-0005-0000-0000-00000BAB0000}"/>
    <cellStyle name="Normal 2 5 25" xfId="45498" xr:uid="{00000000-0005-0000-0000-00000CAB0000}"/>
    <cellStyle name="Normal 2 5 26" xfId="47181" xr:uid="{00000000-0005-0000-0000-00000DAB0000}"/>
    <cellStyle name="Normal 2 5 27" xfId="48864" xr:uid="{00000000-0005-0000-0000-00000EAB0000}"/>
    <cellStyle name="Normal 2 5 28" xfId="50547" xr:uid="{00000000-0005-0000-0000-00000FAB0000}"/>
    <cellStyle name="Normal 2 5 29" xfId="52230" xr:uid="{00000000-0005-0000-0000-000010AB0000}"/>
    <cellStyle name="Normal 2 5 3" xfId="263" xr:uid="{00000000-0005-0000-0000-000011AB0000}"/>
    <cellStyle name="Normal 2 5 3 10" xfId="10362" xr:uid="{00000000-0005-0000-0000-000012AB0000}"/>
    <cellStyle name="Normal 2 5 3 10 2" xfId="25511" xr:uid="{00000000-0005-0000-0000-000013AB0000}"/>
    <cellStyle name="Normal 2 5 3 11" xfId="12046" xr:uid="{00000000-0005-0000-0000-000014AB0000}"/>
    <cellStyle name="Normal 2 5 3 11 2" xfId="27195" xr:uid="{00000000-0005-0000-0000-000015AB0000}"/>
    <cellStyle name="Normal 2 5 3 12" xfId="13729" xr:uid="{00000000-0005-0000-0000-000016AB0000}"/>
    <cellStyle name="Normal 2 5 3 12 2" xfId="28878" xr:uid="{00000000-0005-0000-0000-000017AB0000}"/>
    <cellStyle name="Normal 2 5 3 13" xfId="15412" xr:uid="{00000000-0005-0000-0000-000018AB0000}"/>
    <cellStyle name="Normal 2 5 3 14" xfId="30561" xr:uid="{00000000-0005-0000-0000-000019AB0000}"/>
    <cellStyle name="Normal 2 5 3 15" xfId="32244" xr:uid="{00000000-0005-0000-0000-00001AAB0000}"/>
    <cellStyle name="Normal 2 5 3 16" xfId="33927" xr:uid="{00000000-0005-0000-0000-00001BAB0000}"/>
    <cellStyle name="Normal 2 5 3 17" xfId="35610" xr:uid="{00000000-0005-0000-0000-00001CAB0000}"/>
    <cellStyle name="Normal 2 5 3 18" xfId="37293" xr:uid="{00000000-0005-0000-0000-00001DAB0000}"/>
    <cellStyle name="Normal 2 5 3 19" xfId="38976" xr:uid="{00000000-0005-0000-0000-00001EAB0000}"/>
    <cellStyle name="Normal 2 5 3 2" xfId="683" xr:uid="{00000000-0005-0000-0000-00001FAB0000}"/>
    <cellStyle name="Normal 2 5 3 2 10" xfId="15832" xr:uid="{00000000-0005-0000-0000-000020AB0000}"/>
    <cellStyle name="Normal 2 5 3 2 11" xfId="30981" xr:uid="{00000000-0005-0000-0000-000021AB0000}"/>
    <cellStyle name="Normal 2 5 3 2 12" xfId="32664" xr:uid="{00000000-0005-0000-0000-000022AB0000}"/>
    <cellStyle name="Normal 2 5 3 2 13" xfId="34347" xr:uid="{00000000-0005-0000-0000-000023AB0000}"/>
    <cellStyle name="Normal 2 5 3 2 14" xfId="36030" xr:uid="{00000000-0005-0000-0000-000024AB0000}"/>
    <cellStyle name="Normal 2 5 3 2 15" xfId="37713" xr:uid="{00000000-0005-0000-0000-000025AB0000}"/>
    <cellStyle name="Normal 2 5 3 2 16" xfId="39396" xr:uid="{00000000-0005-0000-0000-000026AB0000}"/>
    <cellStyle name="Normal 2 5 3 2 17" xfId="41079" xr:uid="{00000000-0005-0000-0000-000027AB0000}"/>
    <cellStyle name="Normal 2 5 3 2 18" xfId="42762" xr:uid="{00000000-0005-0000-0000-000028AB0000}"/>
    <cellStyle name="Normal 2 5 3 2 19" xfId="44445" xr:uid="{00000000-0005-0000-0000-000029AB0000}"/>
    <cellStyle name="Normal 2 5 3 2 2" xfId="2366" xr:uid="{00000000-0005-0000-0000-00002AAB0000}"/>
    <cellStyle name="Normal 2 5 3 2 2 2" xfId="17515" xr:uid="{00000000-0005-0000-0000-00002BAB0000}"/>
    <cellStyle name="Normal 2 5 3 2 20" xfId="46128" xr:uid="{00000000-0005-0000-0000-00002CAB0000}"/>
    <cellStyle name="Normal 2 5 3 2 21" xfId="47811" xr:uid="{00000000-0005-0000-0000-00002DAB0000}"/>
    <cellStyle name="Normal 2 5 3 2 22" xfId="49494" xr:uid="{00000000-0005-0000-0000-00002EAB0000}"/>
    <cellStyle name="Normal 2 5 3 2 23" xfId="51177" xr:uid="{00000000-0005-0000-0000-00002FAB0000}"/>
    <cellStyle name="Normal 2 5 3 2 24" xfId="52860" xr:uid="{00000000-0005-0000-0000-000030AB0000}"/>
    <cellStyle name="Normal 2 5 3 2 25" xfId="54543" xr:uid="{00000000-0005-0000-0000-000031AB0000}"/>
    <cellStyle name="Normal 2 5 3 2 26" xfId="56226" xr:uid="{00000000-0005-0000-0000-000032AB0000}"/>
    <cellStyle name="Normal 2 5 3 2 27" xfId="57909" xr:uid="{00000000-0005-0000-0000-000033AB0000}"/>
    <cellStyle name="Normal 2 5 3 2 28" xfId="59592" xr:uid="{00000000-0005-0000-0000-000034AB0000}"/>
    <cellStyle name="Normal 2 5 3 2 29" xfId="61275" xr:uid="{00000000-0005-0000-0000-000035AB0000}"/>
    <cellStyle name="Normal 2 5 3 2 3" xfId="4050" xr:uid="{00000000-0005-0000-0000-000036AB0000}"/>
    <cellStyle name="Normal 2 5 3 2 3 2" xfId="19199" xr:uid="{00000000-0005-0000-0000-000037AB0000}"/>
    <cellStyle name="Normal 2 5 3 2 30" xfId="62958" xr:uid="{00000000-0005-0000-0000-000038AB0000}"/>
    <cellStyle name="Normal 2 5 3 2 4" xfId="5733" xr:uid="{00000000-0005-0000-0000-000039AB0000}"/>
    <cellStyle name="Normal 2 5 3 2 4 2" xfId="20882" xr:uid="{00000000-0005-0000-0000-00003AAB0000}"/>
    <cellStyle name="Normal 2 5 3 2 5" xfId="7416" xr:uid="{00000000-0005-0000-0000-00003BAB0000}"/>
    <cellStyle name="Normal 2 5 3 2 5 2" xfId="22565" xr:uid="{00000000-0005-0000-0000-00003CAB0000}"/>
    <cellStyle name="Normal 2 5 3 2 6" xfId="9099" xr:uid="{00000000-0005-0000-0000-00003DAB0000}"/>
    <cellStyle name="Normal 2 5 3 2 6 2" xfId="24248" xr:uid="{00000000-0005-0000-0000-00003EAB0000}"/>
    <cellStyle name="Normal 2 5 3 2 7" xfId="10782" xr:uid="{00000000-0005-0000-0000-00003FAB0000}"/>
    <cellStyle name="Normal 2 5 3 2 7 2" xfId="25931" xr:uid="{00000000-0005-0000-0000-000040AB0000}"/>
    <cellStyle name="Normal 2 5 3 2 8" xfId="12466" xr:uid="{00000000-0005-0000-0000-000041AB0000}"/>
    <cellStyle name="Normal 2 5 3 2 8 2" xfId="27615" xr:uid="{00000000-0005-0000-0000-000042AB0000}"/>
    <cellStyle name="Normal 2 5 3 2 9" xfId="14149" xr:uid="{00000000-0005-0000-0000-000043AB0000}"/>
    <cellStyle name="Normal 2 5 3 2 9 2" xfId="29298" xr:uid="{00000000-0005-0000-0000-000044AB0000}"/>
    <cellStyle name="Normal 2 5 3 20" xfId="40659" xr:uid="{00000000-0005-0000-0000-000045AB0000}"/>
    <cellStyle name="Normal 2 5 3 21" xfId="42342" xr:uid="{00000000-0005-0000-0000-000046AB0000}"/>
    <cellStyle name="Normal 2 5 3 22" xfId="44025" xr:uid="{00000000-0005-0000-0000-000047AB0000}"/>
    <cellStyle name="Normal 2 5 3 23" xfId="45708" xr:uid="{00000000-0005-0000-0000-000048AB0000}"/>
    <cellStyle name="Normal 2 5 3 24" xfId="47391" xr:uid="{00000000-0005-0000-0000-000049AB0000}"/>
    <cellStyle name="Normal 2 5 3 25" xfId="49074" xr:uid="{00000000-0005-0000-0000-00004AAB0000}"/>
    <cellStyle name="Normal 2 5 3 26" xfId="50757" xr:uid="{00000000-0005-0000-0000-00004BAB0000}"/>
    <cellStyle name="Normal 2 5 3 27" xfId="52440" xr:uid="{00000000-0005-0000-0000-00004CAB0000}"/>
    <cellStyle name="Normal 2 5 3 28" xfId="54123" xr:uid="{00000000-0005-0000-0000-00004DAB0000}"/>
    <cellStyle name="Normal 2 5 3 29" xfId="55806" xr:uid="{00000000-0005-0000-0000-00004EAB0000}"/>
    <cellStyle name="Normal 2 5 3 3" xfId="1104" xr:uid="{00000000-0005-0000-0000-00004FAB0000}"/>
    <cellStyle name="Normal 2 5 3 3 10" xfId="16253" xr:uid="{00000000-0005-0000-0000-000050AB0000}"/>
    <cellStyle name="Normal 2 5 3 3 11" xfId="31402" xr:uid="{00000000-0005-0000-0000-000051AB0000}"/>
    <cellStyle name="Normal 2 5 3 3 12" xfId="33085" xr:uid="{00000000-0005-0000-0000-000052AB0000}"/>
    <cellStyle name="Normal 2 5 3 3 13" xfId="34768" xr:uid="{00000000-0005-0000-0000-000053AB0000}"/>
    <cellStyle name="Normal 2 5 3 3 14" xfId="36451" xr:uid="{00000000-0005-0000-0000-000054AB0000}"/>
    <cellStyle name="Normal 2 5 3 3 15" xfId="38134" xr:uid="{00000000-0005-0000-0000-000055AB0000}"/>
    <cellStyle name="Normal 2 5 3 3 16" xfId="39817" xr:uid="{00000000-0005-0000-0000-000056AB0000}"/>
    <cellStyle name="Normal 2 5 3 3 17" xfId="41500" xr:uid="{00000000-0005-0000-0000-000057AB0000}"/>
    <cellStyle name="Normal 2 5 3 3 18" xfId="43183" xr:uid="{00000000-0005-0000-0000-000058AB0000}"/>
    <cellStyle name="Normal 2 5 3 3 19" xfId="44866" xr:uid="{00000000-0005-0000-0000-000059AB0000}"/>
    <cellStyle name="Normal 2 5 3 3 2" xfId="2787" xr:uid="{00000000-0005-0000-0000-00005AAB0000}"/>
    <cellStyle name="Normal 2 5 3 3 2 2" xfId="17936" xr:uid="{00000000-0005-0000-0000-00005BAB0000}"/>
    <cellStyle name="Normal 2 5 3 3 20" xfId="46549" xr:uid="{00000000-0005-0000-0000-00005CAB0000}"/>
    <cellStyle name="Normal 2 5 3 3 21" xfId="48232" xr:uid="{00000000-0005-0000-0000-00005DAB0000}"/>
    <cellStyle name="Normal 2 5 3 3 22" xfId="49915" xr:uid="{00000000-0005-0000-0000-00005EAB0000}"/>
    <cellStyle name="Normal 2 5 3 3 23" xfId="51598" xr:uid="{00000000-0005-0000-0000-00005FAB0000}"/>
    <cellStyle name="Normal 2 5 3 3 24" xfId="53281" xr:uid="{00000000-0005-0000-0000-000060AB0000}"/>
    <cellStyle name="Normal 2 5 3 3 25" xfId="54964" xr:uid="{00000000-0005-0000-0000-000061AB0000}"/>
    <cellStyle name="Normal 2 5 3 3 26" xfId="56647" xr:uid="{00000000-0005-0000-0000-000062AB0000}"/>
    <cellStyle name="Normal 2 5 3 3 27" xfId="58330" xr:uid="{00000000-0005-0000-0000-000063AB0000}"/>
    <cellStyle name="Normal 2 5 3 3 28" xfId="60013" xr:uid="{00000000-0005-0000-0000-000064AB0000}"/>
    <cellStyle name="Normal 2 5 3 3 29" xfId="61696" xr:uid="{00000000-0005-0000-0000-000065AB0000}"/>
    <cellStyle name="Normal 2 5 3 3 3" xfId="4471" xr:uid="{00000000-0005-0000-0000-000066AB0000}"/>
    <cellStyle name="Normal 2 5 3 3 3 2" xfId="19620" xr:uid="{00000000-0005-0000-0000-000067AB0000}"/>
    <cellStyle name="Normal 2 5 3 3 30" xfId="63379" xr:uid="{00000000-0005-0000-0000-000068AB0000}"/>
    <cellStyle name="Normal 2 5 3 3 4" xfId="6154" xr:uid="{00000000-0005-0000-0000-000069AB0000}"/>
    <cellStyle name="Normal 2 5 3 3 4 2" xfId="21303" xr:uid="{00000000-0005-0000-0000-00006AAB0000}"/>
    <cellStyle name="Normal 2 5 3 3 5" xfId="7837" xr:uid="{00000000-0005-0000-0000-00006BAB0000}"/>
    <cellStyle name="Normal 2 5 3 3 5 2" xfId="22986" xr:uid="{00000000-0005-0000-0000-00006CAB0000}"/>
    <cellStyle name="Normal 2 5 3 3 6" xfId="9520" xr:uid="{00000000-0005-0000-0000-00006DAB0000}"/>
    <cellStyle name="Normal 2 5 3 3 6 2" xfId="24669" xr:uid="{00000000-0005-0000-0000-00006EAB0000}"/>
    <cellStyle name="Normal 2 5 3 3 7" xfId="11203" xr:uid="{00000000-0005-0000-0000-00006FAB0000}"/>
    <cellStyle name="Normal 2 5 3 3 7 2" xfId="26352" xr:uid="{00000000-0005-0000-0000-000070AB0000}"/>
    <cellStyle name="Normal 2 5 3 3 8" xfId="12887" xr:uid="{00000000-0005-0000-0000-000071AB0000}"/>
    <cellStyle name="Normal 2 5 3 3 8 2" xfId="28036" xr:uid="{00000000-0005-0000-0000-000072AB0000}"/>
    <cellStyle name="Normal 2 5 3 3 9" xfId="14570" xr:uid="{00000000-0005-0000-0000-000073AB0000}"/>
    <cellStyle name="Normal 2 5 3 3 9 2" xfId="29719" xr:uid="{00000000-0005-0000-0000-000074AB0000}"/>
    <cellStyle name="Normal 2 5 3 30" xfId="57489" xr:uid="{00000000-0005-0000-0000-000075AB0000}"/>
    <cellStyle name="Normal 2 5 3 31" xfId="59172" xr:uid="{00000000-0005-0000-0000-000076AB0000}"/>
    <cellStyle name="Normal 2 5 3 32" xfId="60855" xr:uid="{00000000-0005-0000-0000-000077AB0000}"/>
    <cellStyle name="Normal 2 5 3 33" xfId="62538" xr:uid="{00000000-0005-0000-0000-000078AB0000}"/>
    <cellStyle name="Normal 2 5 3 4" xfId="1525" xr:uid="{00000000-0005-0000-0000-000079AB0000}"/>
    <cellStyle name="Normal 2 5 3 4 10" xfId="16674" xr:uid="{00000000-0005-0000-0000-00007AAB0000}"/>
    <cellStyle name="Normal 2 5 3 4 11" xfId="31823" xr:uid="{00000000-0005-0000-0000-00007BAB0000}"/>
    <cellStyle name="Normal 2 5 3 4 12" xfId="33506" xr:uid="{00000000-0005-0000-0000-00007CAB0000}"/>
    <cellStyle name="Normal 2 5 3 4 13" xfId="35189" xr:uid="{00000000-0005-0000-0000-00007DAB0000}"/>
    <cellStyle name="Normal 2 5 3 4 14" xfId="36872" xr:uid="{00000000-0005-0000-0000-00007EAB0000}"/>
    <cellStyle name="Normal 2 5 3 4 15" xfId="38555" xr:uid="{00000000-0005-0000-0000-00007FAB0000}"/>
    <cellStyle name="Normal 2 5 3 4 16" xfId="40238" xr:uid="{00000000-0005-0000-0000-000080AB0000}"/>
    <cellStyle name="Normal 2 5 3 4 17" xfId="41921" xr:uid="{00000000-0005-0000-0000-000081AB0000}"/>
    <cellStyle name="Normal 2 5 3 4 18" xfId="43604" xr:uid="{00000000-0005-0000-0000-000082AB0000}"/>
    <cellStyle name="Normal 2 5 3 4 19" xfId="45287" xr:uid="{00000000-0005-0000-0000-000083AB0000}"/>
    <cellStyle name="Normal 2 5 3 4 2" xfId="3208" xr:uid="{00000000-0005-0000-0000-000084AB0000}"/>
    <cellStyle name="Normal 2 5 3 4 2 2" xfId="18357" xr:uid="{00000000-0005-0000-0000-000085AB0000}"/>
    <cellStyle name="Normal 2 5 3 4 20" xfId="46970" xr:uid="{00000000-0005-0000-0000-000086AB0000}"/>
    <cellStyle name="Normal 2 5 3 4 21" xfId="48653" xr:uid="{00000000-0005-0000-0000-000087AB0000}"/>
    <cellStyle name="Normal 2 5 3 4 22" xfId="50336" xr:uid="{00000000-0005-0000-0000-000088AB0000}"/>
    <cellStyle name="Normal 2 5 3 4 23" xfId="52019" xr:uid="{00000000-0005-0000-0000-000089AB0000}"/>
    <cellStyle name="Normal 2 5 3 4 24" xfId="53702" xr:uid="{00000000-0005-0000-0000-00008AAB0000}"/>
    <cellStyle name="Normal 2 5 3 4 25" xfId="55385" xr:uid="{00000000-0005-0000-0000-00008BAB0000}"/>
    <cellStyle name="Normal 2 5 3 4 26" xfId="57068" xr:uid="{00000000-0005-0000-0000-00008CAB0000}"/>
    <cellStyle name="Normal 2 5 3 4 27" xfId="58751" xr:uid="{00000000-0005-0000-0000-00008DAB0000}"/>
    <cellStyle name="Normal 2 5 3 4 28" xfId="60434" xr:uid="{00000000-0005-0000-0000-00008EAB0000}"/>
    <cellStyle name="Normal 2 5 3 4 29" xfId="62117" xr:uid="{00000000-0005-0000-0000-00008FAB0000}"/>
    <cellStyle name="Normal 2 5 3 4 3" xfId="4892" xr:uid="{00000000-0005-0000-0000-000090AB0000}"/>
    <cellStyle name="Normal 2 5 3 4 3 2" xfId="20041" xr:uid="{00000000-0005-0000-0000-000091AB0000}"/>
    <cellStyle name="Normal 2 5 3 4 30" xfId="63800" xr:uid="{00000000-0005-0000-0000-000092AB0000}"/>
    <cellStyle name="Normal 2 5 3 4 4" xfId="6575" xr:uid="{00000000-0005-0000-0000-000093AB0000}"/>
    <cellStyle name="Normal 2 5 3 4 4 2" xfId="21724" xr:uid="{00000000-0005-0000-0000-000094AB0000}"/>
    <cellStyle name="Normal 2 5 3 4 5" xfId="8258" xr:uid="{00000000-0005-0000-0000-000095AB0000}"/>
    <cellStyle name="Normal 2 5 3 4 5 2" xfId="23407" xr:uid="{00000000-0005-0000-0000-000096AB0000}"/>
    <cellStyle name="Normal 2 5 3 4 6" xfId="9941" xr:uid="{00000000-0005-0000-0000-000097AB0000}"/>
    <cellStyle name="Normal 2 5 3 4 6 2" xfId="25090" xr:uid="{00000000-0005-0000-0000-000098AB0000}"/>
    <cellStyle name="Normal 2 5 3 4 7" xfId="11624" xr:uid="{00000000-0005-0000-0000-000099AB0000}"/>
    <cellStyle name="Normal 2 5 3 4 7 2" xfId="26773" xr:uid="{00000000-0005-0000-0000-00009AAB0000}"/>
    <cellStyle name="Normal 2 5 3 4 8" xfId="13308" xr:uid="{00000000-0005-0000-0000-00009BAB0000}"/>
    <cellStyle name="Normal 2 5 3 4 8 2" xfId="28457" xr:uid="{00000000-0005-0000-0000-00009CAB0000}"/>
    <cellStyle name="Normal 2 5 3 4 9" xfId="14991" xr:uid="{00000000-0005-0000-0000-00009DAB0000}"/>
    <cellStyle name="Normal 2 5 3 4 9 2" xfId="30140" xr:uid="{00000000-0005-0000-0000-00009EAB0000}"/>
    <cellStyle name="Normal 2 5 3 5" xfId="1946" xr:uid="{00000000-0005-0000-0000-00009FAB0000}"/>
    <cellStyle name="Normal 2 5 3 5 2" xfId="17095" xr:uid="{00000000-0005-0000-0000-0000A0AB0000}"/>
    <cellStyle name="Normal 2 5 3 6" xfId="3630" xr:uid="{00000000-0005-0000-0000-0000A1AB0000}"/>
    <cellStyle name="Normal 2 5 3 6 2" xfId="18779" xr:uid="{00000000-0005-0000-0000-0000A2AB0000}"/>
    <cellStyle name="Normal 2 5 3 7" xfId="5313" xr:uid="{00000000-0005-0000-0000-0000A3AB0000}"/>
    <cellStyle name="Normal 2 5 3 7 2" xfId="20462" xr:uid="{00000000-0005-0000-0000-0000A4AB0000}"/>
    <cellStyle name="Normal 2 5 3 8" xfId="6996" xr:uid="{00000000-0005-0000-0000-0000A5AB0000}"/>
    <cellStyle name="Normal 2 5 3 8 2" xfId="22145" xr:uid="{00000000-0005-0000-0000-0000A6AB0000}"/>
    <cellStyle name="Normal 2 5 3 9" xfId="8679" xr:uid="{00000000-0005-0000-0000-0000A7AB0000}"/>
    <cellStyle name="Normal 2 5 3 9 2" xfId="23828" xr:uid="{00000000-0005-0000-0000-0000A8AB0000}"/>
    <cellStyle name="Normal 2 5 30" xfId="53913" xr:uid="{00000000-0005-0000-0000-0000A9AB0000}"/>
    <cellStyle name="Normal 2 5 31" xfId="55596" xr:uid="{00000000-0005-0000-0000-0000AAAB0000}"/>
    <cellStyle name="Normal 2 5 32" xfId="57279" xr:uid="{00000000-0005-0000-0000-0000ABAB0000}"/>
    <cellStyle name="Normal 2 5 33" xfId="58962" xr:uid="{00000000-0005-0000-0000-0000ACAB0000}"/>
    <cellStyle name="Normal 2 5 34" xfId="60645" xr:uid="{00000000-0005-0000-0000-0000ADAB0000}"/>
    <cellStyle name="Normal 2 5 35" xfId="62328" xr:uid="{00000000-0005-0000-0000-0000AEAB0000}"/>
    <cellStyle name="Normal 2 5 4" xfId="473" xr:uid="{00000000-0005-0000-0000-0000AFAB0000}"/>
    <cellStyle name="Normal 2 5 4 10" xfId="15622" xr:uid="{00000000-0005-0000-0000-0000B0AB0000}"/>
    <cellStyle name="Normal 2 5 4 11" xfId="30771" xr:uid="{00000000-0005-0000-0000-0000B1AB0000}"/>
    <cellStyle name="Normal 2 5 4 12" xfId="32454" xr:uid="{00000000-0005-0000-0000-0000B2AB0000}"/>
    <cellStyle name="Normal 2 5 4 13" xfId="34137" xr:uid="{00000000-0005-0000-0000-0000B3AB0000}"/>
    <cellStyle name="Normal 2 5 4 14" xfId="35820" xr:uid="{00000000-0005-0000-0000-0000B4AB0000}"/>
    <cellStyle name="Normal 2 5 4 15" xfId="37503" xr:uid="{00000000-0005-0000-0000-0000B5AB0000}"/>
    <cellStyle name="Normal 2 5 4 16" xfId="39186" xr:uid="{00000000-0005-0000-0000-0000B6AB0000}"/>
    <cellStyle name="Normal 2 5 4 17" xfId="40869" xr:uid="{00000000-0005-0000-0000-0000B7AB0000}"/>
    <cellStyle name="Normal 2 5 4 18" xfId="42552" xr:uid="{00000000-0005-0000-0000-0000B8AB0000}"/>
    <cellStyle name="Normal 2 5 4 19" xfId="44235" xr:uid="{00000000-0005-0000-0000-0000B9AB0000}"/>
    <cellStyle name="Normal 2 5 4 2" xfId="2156" xr:uid="{00000000-0005-0000-0000-0000BAAB0000}"/>
    <cellStyle name="Normal 2 5 4 2 2" xfId="17305" xr:uid="{00000000-0005-0000-0000-0000BBAB0000}"/>
    <cellStyle name="Normal 2 5 4 20" xfId="45918" xr:uid="{00000000-0005-0000-0000-0000BCAB0000}"/>
    <cellStyle name="Normal 2 5 4 21" xfId="47601" xr:uid="{00000000-0005-0000-0000-0000BDAB0000}"/>
    <cellStyle name="Normal 2 5 4 22" xfId="49284" xr:uid="{00000000-0005-0000-0000-0000BEAB0000}"/>
    <cellStyle name="Normal 2 5 4 23" xfId="50967" xr:uid="{00000000-0005-0000-0000-0000BFAB0000}"/>
    <cellStyle name="Normal 2 5 4 24" xfId="52650" xr:uid="{00000000-0005-0000-0000-0000C0AB0000}"/>
    <cellStyle name="Normal 2 5 4 25" xfId="54333" xr:uid="{00000000-0005-0000-0000-0000C1AB0000}"/>
    <cellStyle name="Normal 2 5 4 26" xfId="56016" xr:uid="{00000000-0005-0000-0000-0000C2AB0000}"/>
    <cellStyle name="Normal 2 5 4 27" xfId="57699" xr:uid="{00000000-0005-0000-0000-0000C3AB0000}"/>
    <cellStyle name="Normal 2 5 4 28" xfId="59382" xr:uid="{00000000-0005-0000-0000-0000C4AB0000}"/>
    <cellStyle name="Normal 2 5 4 29" xfId="61065" xr:uid="{00000000-0005-0000-0000-0000C5AB0000}"/>
    <cellStyle name="Normal 2 5 4 3" xfId="3840" xr:uid="{00000000-0005-0000-0000-0000C6AB0000}"/>
    <cellStyle name="Normal 2 5 4 3 2" xfId="18989" xr:uid="{00000000-0005-0000-0000-0000C7AB0000}"/>
    <cellStyle name="Normal 2 5 4 30" xfId="62748" xr:uid="{00000000-0005-0000-0000-0000C8AB0000}"/>
    <cellStyle name="Normal 2 5 4 4" xfId="5523" xr:uid="{00000000-0005-0000-0000-0000C9AB0000}"/>
    <cellStyle name="Normal 2 5 4 4 2" xfId="20672" xr:uid="{00000000-0005-0000-0000-0000CAAB0000}"/>
    <cellStyle name="Normal 2 5 4 5" xfId="7206" xr:uid="{00000000-0005-0000-0000-0000CBAB0000}"/>
    <cellStyle name="Normal 2 5 4 5 2" xfId="22355" xr:uid="{00000000-0005-0000-0000-0000CCAB0000}"/>
    <cellStyle name="Normal 2 5 4 6" xfId="8889" xr:uid="{00000000-0005-0000-0000-0000CDAB0000}"/>
    <cellStyle name="Normal 2 5 4 6 2" xfId="24038" xr:uid="{00000000-0005-0000-0000-0000CEAB0000}"/>
    <cellStyle name="Normal 2 5 4 7" xfId="10572" xr:uid="{00000000-0005-0000-0000-0000CFAB0000}"/>
    <cellStyle name="Normal 2 5 4 7 2" xfId="25721" xr:uid="{00000000-0005-0000-0000-0000D0AB0000}"/>
    <cellStyle name="Normal 2 5 4 8" xfId="12256" xr:uid="{00000000-0005-0000-0000-0000D1AB0000}"/>
    <cellStyle name="Normal 2 5 4 8 2" xfId="27405" xr:uid="{00000000-0005-0000-0000-0000D2AB0000}"/>
    <cellStyle name="Normal 2 5 4 9" xfId="13939" xr:uid="{00000000-0005-0000-0000-0000D3AB0000}"/>
    <cellStyle name="Normal 2 5 4 9 2" xfId="29088" xr:uid="{00000000-0005-0000-0000-0000D4AB0000}"/>
    <cellStyle name="Normal 2 5 5" xfId="894" xr:uid="{00000000-0005-0000-0000-0000D5AB0000}"/>
    <cellStyle name="Normal 2 5 5 10" xfId="16043" xr:uid="{00000000-0005-0000-0000-0000D6AB0000}"/>
    <cellStyle name="Normal 2 5 5 11" xfId="31192" xr:uid="{00000000-0005-0000-0000-0000D7AB0000}"/>
    <cellStyle name="Normal 2 5 5 12" xfId="32875" xr:uid="{00000000-0005-0000-0000-0000D8AB0000}"/>
    <cellStyle name="Normal 2 5 5 13" xfId="34558" xr:uid="{00000000-0005-0000-0000-0000D9AB0000}"/>
    <cellStyle name="Normal 2 5 5 14" xfId="36241" xr:uid="{00000000-0005-0000-0000-0000DAAB0000}"/>
    <cellStyle name="Normal 2 5 5 15" xfId="37924" xr:uid="{00000000-0005-0000-0000-0000DBAB0000}"/>
    <cellStyle name="Normal 2 5 5 16" xfId="39607" xr:uid="{00000000-0005-0000-0000-0000DCAB0000}"/>
    <cellStyle name="Normal 2 5 5 17" xfId="41290" xr:uid="{00000000-0005-0000-0000-0000DDAB0000}"/>
    <cellStyle name="Normal 2 5 5 18" xfId="42973" xr:uid="{00000000-0005-0000-0000-0000DEAB0000}"/>
    <cellStyle name="Normal 2 5 5 19" xfId="44656" xr:uid="{00000000-0005-0000-0000-0000DFAB0000}"/>
    <cellStyle name="Normal 2 5 5 2" xfId="2577" xr:uid="{00000000-0005-0000-0000-0000E0AB0000}"/>
    <cellStyle name="Normal 2 5 5 2 2" xfId="17726" xr:uid="{00000000-0005-0000-0000-0000E1AB0000}"/>
    <cellStyle name="Normal 2 5 5 20" xfId="46339" xr:uid="{00000000-0005-0000-0000-0000E2AB0000}"/>
    <cellStyle name="Normal 2 5 5 21" xfId="48022" xr:uid="{00000000-0005-0000-0000-0000E3AB0000}"/>
    <cellStyle name="Normal 2 5 5 22" xfId="49705" xr:uid="{00000000-0005-0000-0000-0000E4AB0000}"/>
    <cellStyle name="Normal 2 5 5 23" xfId="51388" xr:uid="{00000000-0005-0000-0000-0000E5AB0000}"/>
    <cellStyle name="Normal 2 5 5 24" xfId="53071" xr:uid="{00000000-0005-0000-0000-0000E6AB0000}"/>
    <cellStyle name="Normal 2 5 5 25" xfId="54754" xr:uid="{00000000-0005-0000-0000-0000E7AB0000}"/>
    <cellStyle name="Normal 2 5 5 26" xfId="56437" xr:uid="{00000000-0005-0000-0000-0000E8AB0000}"/>
    <cellStyle name="Normal 2 5 5 27" xfId="58120" xr:uid="{00000000-0005-0000-0000-0000E9AB0000}"/>
    <cellStyle name="Normal 2 5 5 28" xfId="59803" xr:uid="{00000000-0005-0000-0000-0000EAAB0000}"/>
    <cellStyle name="Normal 2 5 5 29" xfId="61486" xr:uid="{00000000-0005-0000-0000-0000EBAB0000}"/>
    <cellStyle name="Normal 2 5 5 3" xfId="4261" xr:uid="{00000000-0005-0000-0000-0000ECAB0000}"/>
    <cellStyle name="Normal 2 5 5 3 2" xfId="19410" xr:uid="{00000000-0005-0000-0000-0000EDAB0000}"/>
    <cellStyle name="Normal 2 5 5 30" xfId="63169" xr:uid="{00000000-0005-0000-0000-0000EEAB0000}"/>
    <cellStyle name="Normal 2 5 5 4" xfId="5944" xr:uid="{00000000-0005-0000-0000-0000EFAB0000}"/>
    <cellStyle name="Normal 2 5 5 4 2" xfId="21093" xr:uid="{00000000-0005-0000-0000-0000F0AB0000}"/>
    <cellStyle name="Normal 2 5 5 5" xfId="7627" xr:uid="{00000000-0005-0000-0000-0000F1AB0000}"/>
    <cellStyle name="Normal 2 5 5 5 2" xfId="22776" xr:uid="{00000000-0005-0000-0000-0000F2AB0000}"/>
    <cellStyle name="Normal 2 5 5 6" xfId="9310" xr:uid="{00000000-0005-0000-0000-0000F3AB0000}"/>
    <cellStyle name="Normal 2 5 5 6 2" xfId="24459" xr:uid="{00000000-0005-0000-0000-0000F4AB0000}"/>
    <cellStyle name="Normal 2 5 5 7" xfId="10993" xr:uid="{00000000-0005-0000-0000-0000F5AB0000}"/>
    <cellStyle name="Normal 2 5 5 7 2" xfId="26142" xr:uid="{00000000-0005-0000-0000-0000F6AB0000}"/>
    <cellStyle name="Normal 2 5 5 8" xfId="12677" xr:uid="{00000000-0005-0000-0000-0000F7AB0000}"/>
    <cellStyle name="Normal 2 5 5 8 2" xfId="27826" xr:uid="{00000000-0005-0000-0000-0000F8AB0000}"/>
    <cellStyle name="Normal 2 5 5 9" xfId="14360" xr:uid="{00000000-0005-0000-0000-0000F9AB0000}"/>
    <cellStyle name="Normal 2 5 5 9 2" xfId="29509" xr:uid="{00000000-0005-0000-0000-0000FAAB0000}"/>
    <cellStyle name="Normal 2 5 6" xfId="1315" xr:uid="{00000000-0005-0000-0000-0000FBAB0000}"/>
    <cellStyle name="Normal 2 5 6 10" xfId="16464" xr:uid="{00000000-0005-0000-0000-0000FCAB0000}"/>
    <cellStyle name="Normal 2 5 6 11" xfId="31613" xr:uid="{00000000-0005-0000-0000-0000FDAB0000}"/>
    <cellStyle name="Normal 2 5 6 12" xfId="33296" xr:uid="{00000000-0005-0000-0000-0000FEAB0000}"/>
    <cellStyle name="Normal 2 5 6 13" xfId="34979" xr:uid="{00000000-0005-0000-0000-0000FFAB0000}"/>
    <cellStyle name="Normal 2 5 6 14" xfId="36662" xr:uid="{00000000-0005-0000-0000-000000AC0000}"/>
    <cellStyle name="Normal 2 5 6 15" xfId="38345" xr:uid="{00000000-0005-0000-0000-000001AC0000}"/>
    <cellStyle name="Normal 2 5 6 16" xfId="40028" xr:uid="{00000000-0005-0000-0000-000002AC0000}"/>
    <cellStyle name="Normal 2 5 6 17" xfId="41711" xr:uid="{00000000-0005-0000-0000-000003AC0000}"/>
    <cellStyle name="Normal 2 5 6 18" xfId="43394" xr:uid="{00000000-0005-0000-0000-000004AC0000}"/>
    <cellStyle name="Normal 2 5 6 19" xfId="45077" xr:uid="{00000000-0005-0000-0000-000005AC0000}"/>
    <cellStyle name="Normal 2 5 6 2" xfId="2998" xr:uid="{00000000-0005-0000-0000-000006AC0000}"/>
    <cellStyle name="Normal 2 5 6 2 2" xfId="18147" xr:uid="{00000000-0005-0000-0000-000007AC0000}"/>
    <cellStyle name="Normal 2 5 6 20" xfId="46760" xr:uid="{00000000-0005-0000-0000-000008AC0000}"/>
    <cellStyle name="Normal 2 5 6 21" xfId="48443" xr:uid="{00000000-0005-0000-0000-000009AC0000}"/>
    <cellStyle name="Normal 2 5 6 22" xfId="50126" xr:uid="{00000000-0005-0000-0000-00000AAC0000}"/>
    <cellStyle name="Normal 2 5 6 23" xfId="51809" xr:uid="{00000000-0005-0000-0000-00000BAC0000}"/>
    <cellStyle name="Normal 2 5 6 24" xfId="53492" xr:uid="{00000000-0005-0000-0000-00000CAC0000}"/>
    <cellStyle name="Normal 2 5 6 25" xfId="55175" xr:uid="{00000000-0005-0000-0000-00000DAC0000}"/>
    <cellStyle name="Normal 2 5 6 26" xfId="56858" xr:uid="{00000000-0005-0000-0000-00000EAC0000}"/>
    <cellStyle name="Normal 2 5 6 27" xfId="58541" xr:uid="{00000000-0005-0000-0000-00000FAC0000}"/>
    <cellStyle name="Normal 2 5 6 28" xfId="60224" xr:uid="{00000000-0005-0000-0000-000010AC0000}"/>
    <cellStyle name="Normal 2 5 6 29" xfId="61907" xr:uid="{00000000-0005-0000-0000-000011AC0000}"/>
    <cellStyle name="Normal 2 5 6 3" xfId="4682" xr:uid="{00000000-0005-0000-0000-000012AC0000}"/>
    <cellStyle name="Normal 2 5 6 3 2" xfId="19831" xr:uid="{00000000-0005-0000-0000-000013AC0000}"/>
    <cellStyle name="Normal 2 5 6 30" xfId="63590" xr:uid="{00000000-0005-0000-0000-000014AC0000}"/>
    <cellStyle name="Normal 2 5 6 4" xfId="6365" xr:uid="{00000000-0005-0000-0000-000015AC0000}"/>
    <cellStyle name="Normal 2 5 6 4 2" xfId="21514" xr:uid="{00000000-0005-0000-0000-000016AC0000}"/>
    <cellStyle name="Normal 2 5 6 5" xfId="8048" xr:uid="{00000000-0005-0000-0000-000017AC0000}"/>
    <cellStyle name="Normal 2 5 6 5 2" xfId="23197" xr:uid="{00000000-0005-0000-0000-000018AC0000}"/>
    <cellStyle name="Normal 2 5 6 6" xfId="9731" xr:uid="{00000000-0005-0000-0000-000019AC0000}"/>
    <cellStyle name="Normal 2 5 6 6 2" xfId="24880" xr:uid="{00000000-0005-0000-0000-00001AAC0000}"/>
    <cellStyle name="Normal 2 5 6 7" xfId="11414" xr:uid="{00000000-0005-0000-0000-00001BAC0000}"/>
    <cellStyle name="Normal 2 5 6 7 2" xfId="26563" xr:uid="{00000000-0005-0000-0000-00001CAC0000}"/>
    <cellStyle name="Normal 2 5 6 8" xfId="13098" xr:uid="{00000000-0005-0000-0000-00001DAC0000}"/>
    <cellStyle name="Normal 2 5 6 8 2" xfId="28247" xr:uid="{00000000-0005-0000-0000-00001EAC0000}"/>
    <cellStyle name="Normal 2 5 6 9" xfId="14781" xr:uid="{00000000-0005-0000-0000-00001FAC0000}"/>
    <cellStyle name="Normal 2 5 6 9 2" xfId="29930" xr:uid="{00000000-0005-0000-0000-000020AC0000}"/>
    <cellStyle name="Normal 2 5 7" xfId="1736" xr:uid="{00000000-0005-0000-0000-000021AC0000}"/>
    <cellStyle name="Normal 2 5 7 2" xfId="16885" xr:uid="{00000000-0005-0000-0000-000022AC0000}"/>
    <cellStyle name="Normal 2 5 8" xfId="3420" xr:uid="{00000000-0005-0000-0000-000023AC0000}"/>
    <cellStyle name="Normal 2 5 8 2" xfId="18569" xr:uid="{00000000-0005-0000-0000-000024AC0000}"/>
    <cellStyle name="Normal 2 5 9" xfId="5103" xr:uid="{00000000-0005-0000-0000-000025AC0000}"/>
    <cellStyle name="Normal 2 5 9 2" xfId="20252" xr:uid="{00000000-0005-0000-0000-000026AC0000}"/>
    <cellStyle name="Normal 2 6" xfId="40" xr:uid="{00000000-0005-0000-0000-000027AC0000}"/>
    <cellStyle name="Normal 2 6 10" xfId="6795" xr:uid="{00000000-0005-0000-0000-000028AC0000}"/>
    <cellStyle name="Normal 2 6 10 2" xfId="21944" xr:uid="{00000000-0005-0000-0000-000029AC0000}"/>
    <cellStyle name="Normal 2 6 11" xfId="8478" xr:uid="{00000000-0005-0000-0000-00002AAC0000}"/>
    <cellStyle name="Normal 2 6 11 2" xfId="23627" xr:uid="{00000000-0005-0000-0000-00002BAC0000}"/>
    <cellStyle name="Normal 2 6 12" xfId="10161" xr:uid="{00000000-0005-0000-0000-00002CAC0000}"/>
    <cellStyle name="Normal 2 6 12 2" xfId="25310" xr:uid="{00000000-0005-0000-0000-00002DAC0000}"/>
    <cellStyle name="Normal 2 6 13" xfId="11845" xr:uid="{00000000-0005-0000-0000-00002EAC0000}"/>
    <cellStyle name="Normal 2 6 13 2" xfId="26994" xr:uid="{00000000-0005-0000-0000-00002FAC0000}"/>
    <cellStyle name="Normal 2 6 14" xfId="13528" xr:uid="{00000000-0005-0000-0000-000030AC0000}"/>
    <cellStyle name="Normal 2 6 14 2" xfId="28677" xr:uid="{00000000-0005-0000-0000-000031AC0000}"/>
    <cellStyle name="Normal 2 6 15" xfId="15211" xr:uid="{00000000-0005-0000-0000-000032AC0000}"/>
    <cellStyle name="Normal 2 6 16" xfId="30360" xr:uid="{00000000-0005-0000-0000-000033AC0000}"/>
    <cellStyle name="Normal 2 6 17" xfId="32043" xr:uid="{00000000-0005-0000-0000-000034AC0000}"/>
    <cellStyle name="Normal 2 6 18" xfId="33726" xr:uid="{00000000-0005-0000-0000-000035AC0000}"/>
    <cellStyle name="Normal 2 6 19" xfId="35409" xr:uid="{00000000-0005-0000-0000-000036AC0000}"/>
    <cellStyle name="Normal 2 6 2" xfId="167" xr:uid="{00000000-0005-0000-0000-000037AC0000}"/>
    <cellStyle name="Normal 2 6 2 10" xfId="8583" xr:uid="{00000000-0005-0000-0000-000038AC0000}"/>
    <cellStyle name="Normal 2 6 2 10 2" xfId="23732" xr:uid="{00000000-0005-0000-0000-000039AC0000}"/>
    <cellStyle name="Normal 2 6 2 11" xfId="10266" xr:uid="{00000000-0005-0000-0000-00003AAC0000}"/>
    <cellStyle name="Normal 2 6 2 11 2" xfId="25415" xr:uid="{00000000-0005-0000-0000-00003BAC0000}"/>
    <cellStyle name="Normal 2 6 2 12" xfId="11950" xr:uid="{00000000-0005-0000-0000-00003CAC0000}"/>
    <cellStyle name="Normal 2 6 2 12 2" xfId="27099" xr:uid="{00000000-0005-0000-0000-00003DAC0000}"/>
    <cellStyle name="Normal 2 6 2 13" xfId="13633" xr:uid="{00000000-0005-0000-0000-00003EAC0000}"/>
    <cellStyle name="Normal 2 6 2 13 2" xfId="28782" xr:uid="{00000000-0005-0000-0000-00003FAC0000}"/>
    <cellStyle name="Normal 2 6 2 14" xfId="15316" xr:uid="{00000000-0005-0000-0000-000040AC0000}"/>
    <cellStyle name="Normal 2 6 2 15" xfId="30465" xr:uid="{00000000-0005-0000-0000-000041AC0000}"/>
    <cellStyle name="Normal 2 6 2 16" xfId="32148" xr:uid="{00000000-0005-0000-0000-000042AC0000}"/>
    <cellStyle name="Normal 2 6 2 17" xfId="33831" xr:uid="{00000000-0005-0000-0000-000043AC0000}"/>
    <cellStyle name="Normal 2 6 2 18" xfId="35514" xr:uid="{00000000-0005-0000-0000-000044AC0000}"/>
    <cellStyle name="Normal 2 6 2 19" xfId="37197" xr:uid="{00000000-0005-0000-0000-000045AC0000}"/>
    <cellStyle name="Normal 2 6 2 2" xfId="377" xr:uid="{00000000-0005-0000-0000-000046AC0000}"/>
    <cellStyle name="Normal 2 6 2 2 10" xfId="10476" xr:uid="{00000000-0005-0000-0000-000047AC0000}"/>
    <cellStyle name="Normal 2 6 2 2 10 2" xfId="25625" xr:uid="{00000000-0005-0000-0000-000048AC0000}"/>
    <cellStyle name="Normal 2 6 2 2 11" xfId="12160" xr:uid="{00000000-0005-0000-0000-000049AC0000}"/>
    <cellStyle name="Normal 2 6 2 2 11 2" xfId="27309" xr:uid="{00000000-0005-0000-0000-00004AAC0000}"/>
    <cellStyle name="Normal 2 6 2 2 12" xfId="13843" xr:uid="{00000000-0005-0000-0000-00004BAC0000}"/>
    <cellStyle name="Normal 2 6 2 2 12 2" xfId="28992" xr:uid="{00000000-0005-0000-0000-00004CAC0000}"/>
    <cellStyle name="Normal 2 6 2 2 13" xfId="15526" xr:uid="{00000000-0005-0000-0000-00004DAC0000}"/>
    <cellStyle name="Normal 2 6 2 2 14" xfId="30675" xr:uid="{00000000-0005-0000-0000-00004EAC0000}"/>
    <cellStyle name="Normal 2 6 2 2 15" xfId="32358" xr:uid="{00000000-0005-0000-0000-00004FAC0000}"/>
    <cellStyle name="Normal 2 6 2 2 16" xfId="34041" xr:uid="{00000000-0005-0000-0000-000050AC0000}"/>
    <cellStyle name="Normal 2 6 2 2 17" xfId="35724" xr:uid="{00000000-0005-0000-0000-000051AC0000}"/>
    <cellStyle name="Normal 2 6 2 2 18" xfId="37407" xr:uid="{00000000-0005-0000-0000-000052AC0000}"/>
    <cellStyle name="Normal 2 6 2 2 19" xfId="39090" xr:uid="{00000000-0005-0000-0000-000053AC0000}"/>
    <cellStyle name="Normal 2 6 2 2 2" xfId="797" xr:uid="{00000000-0005-0000-0000-000054AC0000}"/>
    <cellStyle name="Normal 2 6 2 2 2 10" xfId="15946" xr:uid="{00000000-0005-0000-0000-000055AC0000}"/>
    <cellStyle name="Normal 2 6 2 2 2 11" xfId="31095" xr:uid="{00000000-0005-0000-0000-000056AC0000}"/>
    <cellStyle name="Normal 2 6 2 2 2 12" xfId="32778" xr:uid="{00000000-0005-0000-0000-000057AC0000}"/>
    <cellStyle name="Normal 2 6 2 2 2 13" xfId="34461" xr:uid="{00000000-0005-0000-0000-000058AC0000}"/>
    <cellStyle name="Normal 2 6 2 2 2 14" xfId="36144" xr:uid="{00000000-0005-0000-0000-000059AC0000}"/>
    <cellStyle name="Normal 2 6 2 2 2 15" xfId="37827" xr:uid="{00000000-0005-0000-0000-00005AAC0000}"/>
    <cellStyle name="Normal 2 6 2 2 2 16" xfId="39510" xr:uid="{00000000-0005-0000-0000-00005BAC0000}"/>
    <cellStyle name="Normal 2 6 2 2 2 17" xfId="41193" xr:uid="{00000000-0005-0000-0000-00005CAC0000}"/>
    <cellStyle name="Normal 2 6 2 2 2 18" xfId="42876" xr:uid="{00000000-0005-0000-0000-00005DAC0000}"/>
    <cellStyle name="Normal 2 6 2 2 2 19" xfId="44559" xr:uid="{00000000-0005-0000-0000-00005EAC0000}"/>
    <cellStyle name="Normal 2 6 2 2 2 2" xfId="2480" xr:uid="{00000000-0005-0000-0000-00005FAC0000}"/>
    <cellStyle name="Normal 2 6 2 2 2 2 2" xfId="17629" xr:uid="{00000000-0005-0000-0000-000060AC0000}"/>
    <cellStyle name="Normal 2 6 2 2 2 20" xfId="46242" xr:uid="{00000000-0005-0000-0000-000061AC0000}"/>
    <cellStyle name="Normal 2 6 2 2 2 21" xfId="47925" xr:uid="{00000000-0005-0000-0000-000062AC0000}"/>
    <cellStyle name="Normal 2 6 2 2 2 22" xfId="49608" xr:uid="{00000000-0005-0000-0000-000063AC0000}"/>
    <cellStyle name="Normal 2 6 2 2 2 23" xfId="51291" xr:uid="{00000000-0005-0000-0000-000064AC0000}"/>
    <cellStyle name="Normal 2 6 2 2 2 24" xfId="52974" xr:uid="{00000000-0005-0000-0000-000065AC0000}"/>
    <cellStyle name="Normal 2 6 2 2 2 25" xfId="54657" xr:uid="{00000000-0005-0000-0000-000066AC0000}"/>
    <cellStyle name="Normal 2 6 2 2 2 26" xfId="56340" xr:uid="{00000000-0005-0000-0000-000067AC0000}"/>
    <cellStyle name="Normal 2 6 2 2 2 27" xfId="58023" xr:uid="{00000000-0005-0000-0000-000068AC0000}"/>
    <cellStyle name="Normal 2 6 2 2 2 28" xfId="59706" xr:uid="{00000000-0005-0000-0000-000069AC0000}"/>
    <cellStyle name="Normal 2 6 2 2 2 29" xfId="61389" xr:uid="{00000000-0005-0000-0000-00006AAC0000}"/>
    <cellStyle name="Normal 2 6 2 2 2 3" xfId="4164" xr:uid="{00000000-0005-0000-0000-00006BAC0000}"/>
    <cellStyle name="Normal 2 6 2 2 2 3 2" xfId="19313" xr:uid="{00000000-0005-0000-0000-00006CAC0000}"/>
    <cellStyle name="Normal 2 6 2 2 2 30" xfId="63072" xr:uid="{00000000-0005-0000-0000-00006DAC0000}"/>
    <cellStyle name="Normal 2 6 2 2 2 4" xfId="5847" xr:uid="{00000000-0005-0000-0000-00006EAC0000}"/>
    <cellStyle name="Normal 2 6 2 2 2 4 2" xfId="20996" xr:uid="{00000000-0005-0000-0000-00006FAC0000}"/>
    <cellStyle name="Normal 2 6 2 2 2 5" xfId="7530" xr:uid="{00000000-0005-0000-0000-000070AC0000}"/>
    <cellStyle name="Normal 2 6 2 2 2 5 2" xfId="22679" xr:uid="{00000000-0005-0000-0000-000071AC0000}"/>
    <cellStyle name="Normal 2 6 2 2 2 6" xfId="9213" xr:uid="{00000000-0005-0000-0000-000072AC0000}"/>
    <cellStyle name="Normal 2 6 2 2 2 6 2" xfId="24362" xr:uid="{00000000-0005-0000-0000-000073AC0000}"/>
    <cellStyle name="Normal 2 6 2 2 2 7" xfId="10896" xr:uid="{00000000-0005-0000-0000-000074AC0000}"/>
    <cellStyle name="Normal 2 6 2 2 2 7 2" xfId="26045" xr:uid="{00000000-0005-0000-0000-000075AC0000}"/>
    <cellStyle name="Normal 2 6 2 2 2 8" xfId="12580" xr:uid="{00000000-0005-0000-0000-000076AC0000}"/>
    <cellStyle name="Normal 2 6 2 2 2 8 2" xfId="27729" xr:uid="{00000000-0005-0000-0000-000077AC0000}"/>
    <cellStyle name="Normal 2 6 2 2 2 9" xfId="14263" xr:uid="{00000000-0005-0000-0000-000078AC0000}"/>
    <cellStyle name="Normal 2 6 2 2 2 9 2" xfId="29412" xr:uid="{00000000-0005-0000-0000-000079AC0000}"/>
    <cellStyle name="Normal 2 6 2 2 20" xfId="40773" xr:uid="{00000000-0005-0000-0000-00007AAC0000}"/>
    <cellStyle name="Normal 2 6 2 2 21" xfId="42456" xr:uid="{00000000-0005-0000-0000-00007BAC0000}"/>
    <cellStyle name="Normal 2 6 2 2 22" xfId="44139" xr:uid="{00000000-0005-0000-0000-00007CAC0000}"/>
    <cellStyle name="Normal 2 6 2 2 23" xfId="45822" xr:uid="{00000000-0005-0000-0000-00007DAC0000}"/>
    <cellStyle name="Normal 2 6 2 2 24" xfId="47505" xr:uid="{00000000-0005-0000-0000-00007EAC0000}"/>
    <cellStyle name="Normal 2 6 2 2 25" xfId="49188" xr:uid="{00000000-0005-0000-0000-00007FAC0000}"/>
    <cellStyle name="Normal 2 6 2 2 26" xfId="50871" xr:uid="{00000000-0005-0000-0000-000080AC0000}"/>
    <cellStyle name="Normal 2 6 2 2 27" xfId="52554" xr:uid="{00000000-0005-0000-0000-000081AC0000}"/>
    <cellStyle name="Normal 2 6 2 2 28" xfId="54237" xr:uid="{00000000-0005-0000-0000-000082AC0000}"/>
    <cellStyle name="Normal 2 6 2 2 29" xfId="55920" xr:uid="{00000000-0005-0000-0000-000083AC0000}"/>
    <cellStyle name="Normal 2 6 2 2 3" xfId="1218" xr:uid="{00000000-0005-0000-0000-000084AC0000}"/>
    <cellStyle name="Normal 2 6 2 2 3 10" xfId="16367" xr:uid="{00000000-0005-0000-0000-000085AC0000}"/>
    <cellStyle name="Normal 2 6 2 2 3 11" xfId="31516" xr:uid="{00000000-0005-0000-0000-000086AC0000}"/>
    <cellStyle name="Normal 2 6 2 2 3 12" xfId="33199" xr:uid="{00000000-0005-0000-0000-000087AC0000}"/>
    <cellStyle name="Normal 2 6 2 2 3 13" xfId="34882" xr:uid="{00000000-0005-0000-0000-000088AC0000}"/>
    <cellStyle name="Normal 2 6 2 2 3 14" xfId="36565" xr:uid="{00000000-0005-0000-0000-000089AC0000}"/>
    <cellStyle name="Normal 2 6 2 2 3 15" xfId="38248" xr:uid="{00000000-0005-0000-0000-00008AAC0000}"/>
    <cellStyle name="Normal 2 6 2 2 3 16" xfId="39931" xr:uid="{00000000-0005-0000-0000-00008BAC0000}"/>
    <cellStyle name="Normal 2 6 2 2 3 17" xfId="41614" xr:uid="{00000000-0005-0000-0000-00008CAC0000}"/>
    <cellStyle name="Normal 2 6 2 2 3 18" xfId="43297" xr:uid="{00000000-0005-0000-0000-00008DAC0000}"/>
    <cellStyle name="Normal 2 6 2 2 3 19" xfId="44980" xr:uid="{00000000-0005-0000-0000-00008EAC0000}"/>
    <cellStyle name="Normal 2 6 2 2 3 2" xfId="2901" xr:uid="{00000000-0005-0000-0000-00008FAC0000}"/>
    <cellStyle name="Normal 2 6 2 2 3 2 2" xfId="18050" xr:uid="{00000000-0005-0000-0000-000090AC0000}"/>
    <cellStyle name="Normal 2 6 2 2 3 20" xfId="46663" xr:uid="{00000000-0005-0000-0000-000091AC0000}"/>
    <cellStyle name="Normal 2 6 2 2 3 21" xfId="48346" xr:uid="{00000000-0005-0000-0000-000092AC0000}"/>
    <cellStyle name="Normal 2 6 2 2 3 22" xfId="50029" xr:uid="{00000000-0005-0000-0000-000093AC0000}"/>
    <cellStyle name="Normal 2 6 2 2 3 23" xfId="51712" xr:uid="{00000000-0005-0000-0000-000094AC0000}"/>
    <cellStyle name="Normal 2 6 2 2 3 24" xfId="53395" xr:uid="{00000000-0005-0000-0000-000095AC0000}"/>
    <cellStyle name="Normal 2 6 2 2 3 25" xfId="55078" xr:uid="{00000000-0005-0000-0000-000096AC0000}"/>
    <cellStyle name="Normal 2 6 2 2 3 26" xfId="56761" xr:uid="{00000000-0005-0000-0000-000097AC0000}"/>
    <cellStyle name="Normal 2 6 2 2 3 27" xfId="58444" xr:uid="{00000000-0005-0000-0000-000098AC0000}"/>
    <cellStyle name="Normal 2 6 2 2 3 28" xfId="60127" xr:uid="{00000000-0005-0000-0000-000099AC0000}"/>
    <cellStyle name="Normal 2 6 2 2 3 29" xfId="61810" xr:uid="{00000000-0005-0000-0000-00009AAC0000}"/>
    <cellStyle name="Normal 2 6 2 2 3 3" xfId="4585" xr:uid="{00000000-0005-0000-0000-00009BAC0000}"/>
    <cellStyle name="Normal 2 6 2 2 3 3 2" xfId="19734" xr:uid="{00000000-0005-0000-0000-00009CAC0000}"/>
    <cellStyle name="Normal 2 6 2 2 3 30" xfId="63493" xr:uid="{00000000-0005-0000-0000-00009DAC0000}"/>
    <cellStyle name="Normal 2 6 2 2 3 4" xfId="6268" xr:uid="{00000000-0005-0000-0000-00009EAC0000}"/>
    <cellStyle name="Normal 2 6 2 2 3 4 2" xfId="21417" xr:uid="{00000000-0005-0000-0000-00009FAC0000}"/>
    <cellStyle name="Normal 2 6 2 2 3 5" xfId="7951" xr:uid="{00000000-0005-0000-0000-0000A0AC0000}"/>
    <cellStyle name="Normal 2 6 2 2 3 5 2" xfId="23100" xr:uid="{00000000-0005-0000-0000-0000A1AC0000}"/>
    <cellStyle name="Normal 2 6 2 2 3 6" xfId="9634" xr:uid="{00000000-0005-0000-0000-0000A2AC0000}"/>
    <cellStyle name="Normal 2 6 2 2 3 6 2" xfId="24783" xr:uid="{00000000-0005-0000-0000-0000A3AC0000}"/>
    <cellStyle name="Normal 2 6 2 2 3 7" xfId="11317" xr:uid="{00000000-0005-0000-0000-0000A4AC0000}"/>
    <cellStyle name="Normal 2 6 2 2 3 7 2" xfId="26466" xr:uid="{00000000-0005-0000-0000-0000A5AC0000}"/>
    <cellStyle name="Normal 2 6 2 2 3 8" xfId="13001" xr:uid="{00000000-0005-0000-0000-0000A6AC0000}"/>
    <cellStyle name="Normal 2 6 2 2 3 8 2" xfId="28150" xr:uid="{00000000-0005-0000-0000-0000A7AC0000}"/>
    <cellStyle name="Normal 2 6 2 2 3 9" xfId="14684" xr:uid="{00000000-0005-0000-0000-0000A8AC0000}"/>
    <cellStyle name="Normal 2 6 2 2 3 9 2" xfId="29833" xr:uid="{00000000-0005-0000-0000-0000A9AC0000}"/>
    <cellStyle name="Normal 2 6 2 2 30" xfId="57603" xr:uid="{00000000-0005-0000-0000-0000AAAC0000}"/>
    <cellStyle name="Normal 2 6 2 2 31" xfId="59286" xr:uid="{00000000-0005-0000-0000-0000ABAC0000}"/>
    <cellStyle name="Normal 2 6 2 2 32" xfId="60969" xr:uid="{00000000-0005-0000-0000-0000ACAC0000}"/>
    <cellStyle name="Normal 2 6 2 2 33" xfId="62652" xr:uid="{00000000-0005-0000-0000-0000ADAC0000}"/>
    <cellStyle name="Normal 2 6 2 2 4" xfId="1639" xr:uid="{00000000-0005-0000-0000-0000AEAC0000}"/>
    <cellStyle name="Normal 2 6 2 2 4 10" xfId="16788" xr:uid="{00000000-0005-0000-0000-0000AFAC0000}"/>
    <cellStyle name="Normal 2 6 2 2 4 11" xfId="31937" xr:uid="{00000000-0005-0000-0000-0000B0AC0000}"/>
    <cellStyle name="Normal 2 6 2 2 4 12" xfId="33620" xr:uid="{00000000-0005-0000-0000-0000B1AC0000}"/>
    <cellStyle name="Normal 2 6 2 2 4 13" xfId="35303" xr:uid="{00000000-0005-0000-0000-0000B2AC0000}"/>
    <cellStyle name="Normal 2 6 2 2 4 14" xfId="36986" xr:uid="{00000000-0005-0000-0000-0000B3AC0000}"/>
    <cellStyle name="Normal 2 6 2 2 4 15" xfId="38669" xr:uid="{00000000-0005-0000-0000-0000B4AC0000}"/>
    <cellStyle name="Normal 2 6 2 2 4 16" xfId="40352" xr:uid="{00000000-0005-0000-0000-0000B5AC0000}"/>
    <cellStyle name="Normal 2 6 2 2 4 17" xfId="42035" xr:uid="{00000000-0005-0000-0000-0000B6AC0000}"/>
    <cellStyle name="Normal 2 6 2 2 4 18" xfId="43718" xr:uid="{00000000-0005-0000-0000-0000B7AC0000}"/>
    <cellStyle name="Normal 2 6 2 2 4 19" xfId="45401" xr:uid="{00000000-0005-0000-0000-0000B8AC0000}"/>
    <cellStyle name="Normal 2 6 2 2 4 2" xfId="3322" xr:uid="{00000000-0005-0000-0000-0000B9AC0000}"/>
    <cellStyle name="Normal 2 6 2 2 4 2 2" xfId="18471" xr:uid="{00000000-0005-0000-0000-0000BAAC0000}"/>
    <cellStyle name="Normal 2 6 2 2 4 20" xfId="47084" xr:uid="{00000000-0005-0000-0000-0000BBAC0000}"/>
    <cellStyle name="Normal 2 6 2 2 4 21" xfId="48767" xr:uid="{00000000-0005-0000-0000-0000BCAC0000}"/>
    <cellStyle name="Normal 2 6 2 2 4 22" xfId="50450" xr:uid="{00000000-0005-0000-0000-0000BDAC0000}"/>
    <cellStyle name="Normal 2 6 2 2 4 23" xfId="52133" xr:uid="{00000000-0005-0000-0000-0000BEAC0000}"/>
    <cellStyle name="Normal 2 6 2 2 4 24" xfId="53816" xr:uid="{00000000-0005-0000-0000-0000BFAC0000}"/>
    <cellStyle name="Normal 2 6 2 2 4 25" xfId="55499" xr:uid="{00000000-0005-0000-0000-0000C0AC0000}"/>
    <cellStyle name="Normal 2 6 2 2 4 26" xfId="57182" xr:uid="{00000000-0005-0000-0000-0000C1AC0000}"/>
    <cellStyle name="Normal 2 6 2 2 4 27" xfId="58865" xr:uid="{00000000-0005-0000-0000-0000C2AC0000}"/>
    <cellStyle name="Normal 2 6 2 2 4 28" xfId="60548" xr:uid="{00000000-0005-0000-0000-0000C3AC0000}"/>
    <cellStyle name="Normal 2 6 2 2 4 29" xfId="62231" xr:uid="{00000000-0005-0000-0000-0000C4AC0000}"/>
    <cellStyle name="Normal 2 6 2 2 4 3" xfId="5006" xr:uid="{00000000-0005-0000-0000-0000C5AC0000}"/>
    <cellStyle name="Normal 2 6 2 2 4 3 2" xfId="20155" xr:uid="{00000000-0005-0000-0000-0000C6AC0000}"/>
    <cellStyle name="Normal 2 6 2 2 4 30" xfId="63914" xr:uid="{00000000-0005-0000-0000-0000C7AC0000}"/>
    <cellStyle name="Normal 2 6 2 2 4 4" xfId="6689" xr:uid="{00000000-0005-0000-0000-0000C8AC0000}"/>
    <cellStyle name="Normal 2 6 2 2 4 4 2" xfId="21838" xr:uid="{00000000-0005-0000-0000-0000C9AC0000}"/>
    <cellStyle name="Normal 2 6 2 2 4 5" xfId="8372" xr:uid="{00000000-0005-0000-0000-0000CAAC0000}"/>
    <cellStyle name="Normal 2 6 2 2 4 5 2" xfId="23521" xr:uid="{00000000-0005-0000-0000-0000CBAC0000}"/>
    <cellStyle name="Normal 2 6 2 2 4 6" xfId="10055" xr:uid="{00000000-0005-0000-0000-0000CCAC0000}"/>
    <cellStyle name="Normal 2 6 2 2 4 6 2" xfId="25204" xr:uid="{00000000-0005-0000-0000-0000CDAC0000}"/>
    <cellStyle name="Normal 2 6 2 2 4 7" xfId="11738" xr:uid="{00000000-0005-0000-0000-0000CEAC0000}"/>
    <cellStyle name="Normal 2 6 2 2 4 7 2" xfId="26887" xr:uid="{00000000-0005-0000-0000-0000CFAC0000}"/>
    <cellStyle name="Normal 2 6 2 2 4 8" xfId="13422" xr:uid="{00000000-0005-0000-0000-0000D0AC0000}"/>
    <cellStyle name="Normal 2 6 2 2 4 8 2" xfId="28571" xr:uid="{00000000-0005-0000-0000-0000D1AC0000}"/>
    <cellStyle name="Normal 2 6 2 2 4 9" xfId="15105" xr:uid="{00000000-0005-0000-0000-0000D2AC0000}"/>
    <cellStyle name="Normal 2 6 2 2 4 9 2" xfId="30254" xr:uid="{00000000-0005-0000-0000-0000D3AC0000}"/>
    <cellStyle name="Normal 2 6 2 2 5" xfId="2060" xr:uid="{00000000-0005-0000-0000-0000D4AC0000}"/>
    <cellStyle name="Normal 2 6 2 2 5 2" xfId="17209" xr:uid="{00000000-0005-0000-0000-0000D5AC0000}"/>
    <cellStyle name="Normal 2 6 2 2 6" xfId="3744" xr:uid="{00000000-0005-0000-0000-0000D6AC0000}"/>
    <cellStyle name="Normal 2 6 2 2 6 2" xfId="18893" xr:uid="{00000000-0005-0000-0000-0000D7AC0000}"/>
    <cellStyle name="Normal 2 6 2 2 7" xfId="5427" xr:uid="{00000000-0005-0000-0000-0000D8AC0000}"/>
    <cellStyle name="Normal 2 6 2 2 7 2" xfId="20576" xr:uid="{00000000-0005-0000-0000-0000D9AC0000}"/>
    <cellStyle name="Normal 2 6 2 2 8" xfId="7110" xr:uid="{00000000-0005-0000-0000-0000DAAC0000}"/>
    <cellStyle name="Normal 2 6 2 2 8 2" xfId="22259" xr:uid="{00000000-0005-0000-0000-0000DBAC0000}"/>
    <cellStyle name="Normal 2 6 2 2 9" xfId="8793" xr:uid="{00000000-0005-0000-0000-0000DCAC0000}"/>
    <cellStyle name="Normal 2 6 2 2 9 2" xfId="23942" xr:uid="{00000000-0005-0000-0000-0000DDAC0000}"/>
    <cellStyle name="Normal 2 6 2 20" xfId="38880" xr:uid="{00000000-0005-0000-0000-0000DEAC0000}"/>
    <cellStyle name="Normal 2 6 2 21" xfId="40563" xr:uid="{00000000-0005-0000-0000-0000DFAC0000}"/>
    <cellStyle name="Normal 2 6 2 22" xfId="42246" xr:uid="{00000000-0005-0000-0000-0000E0AC0000}"/>
    <cellStyle name="Normal 2 6 2 23" xfId="43929" xr:uid="{00000000-0005-0000-0000-0000E1AC0000}"/>
    <cellStyle name="Normal 2 6 2 24" xfId="45612" xr:uid="{00000000-0005-0000-0000-0000E2AC0000}"/>
    <cellStyle name="Normal 2 6 2 25" xfId="47295" xr:uid="{00000000-0005-0000-0000-0000E3AC0000}"/>
    <cellStyle name="Normal 2 6 2 26" xfId="48978" xr:uid="{00000000-0005-0000-0000-0000E4AC0000}"/>
    <cellStyle name="Normal 2 6 2 27" xfId="50661" xr:uid="{00000000-0005-0000-0000-0000E5AC0000}"/>
    <cellStyle name="Normal 2 6 2 28" xfId="52344" xr:uid="{00000000-0005-0000-0000-0000E6AC0000}"/>
    <cellStyle name="Normal 2 6 2 29" xfId="54027" xr:uid="{00000000-0005-0000-0000-0000E7AC0000}"/>
    <cellStyle name="Normal 2 6 2 3" xfId="587" xr:uid="{00000000-0005-0000-0000-0000E8AC0000}"/>
    <cellStyle name="Normal 2 6 2 3 10" xfId="15736" xr:uid="{00000000-0005-0000-0000-0000E9AC0000}"/>
    <cellStyle name="Normal 2 6 2 3 11" xfId="30885" xr:uid="{00000000-0005-0000-0000-0000EAAC0000}"/>
    <cellStyle name="Normal 2 6 2 3 12" xfId="32568" xr:uid="{00000000-0005-0000-0000-0000EBAC0000}"/>
    <cellStyle name="Normal 2 6 2 3 13" xfId="34251" xr:uid="{00000000-0005-0000-0000-0000ECAC0000}"/>
    <cellStyle name="Normal 2 6 2 3 14" xfId="35934" xr:uid="{00000000-0005-0000-0000-0000EDAC0000}"/>
    <cellStyle name="Normal 2 6 2 3 15" xfId="37617" xr:uid="{00000000-0005-0000-0000-0000EEAC0000}"/>
    <cellStyle name="Normal 2 6 2 3 16" xfId="39300" xr:uid="{00000000-0005-0000-0000-0000EFAC0000}"/>
    <cellStyle name="Normal 2 6 2 3 17" xfId="40983" xr:uid="{00000000-0005-0000-0000-0000F0AC0000}"/>
    <cellStyle name="Normal 2 6 2 3 18" xfId="42666" xr:uid="{00000000-0005-0000-0000-0000F1AC0000}"/>
    <cellStyle name="Normal 2 6 2 3 19" xfId="44349" xr:uid="{00000000-0005-0000-0000-0000F2AC0000}"/>
    <cellStyle name="Normal 2 6 2 3 2" xfId="2270" xr:uid="{00000000-0005-0000-0000-0000F3AC0000}"/>
    <cellStyle name="Normal 2 6 2 3 2 2" xfId="17419" xr:uid="{00000000-0005-0000-0000-0000F4AC0000}"/>
    <cellStyle name="Normal 2 6 2 3 20" xfId="46032" xr:uid="{00000000-0005-0000-0000-0000F5AC0000}"/>
    <cellStyle name="Normal 2 6 2 3 21" xfId="47715" xr:uid="{00000000-0005-0000-0000-0000F6AC0000}"/>
    <cellStyle name="Normal 2 6 2 3 22" xfId="49398" xr:uid="{00000000-0005-0000-0000-0000F7AC0000}"/>
    <cellStyle name="Normal 2 6 2 3 23" xfId="51081" xr:uid="{00000000-0005-0000-0000-0000F8AC0000}"/>
    <cellStyle name="Normal 2 6 2 3 24" xfId="52764" xr:uid="{00000000-0005-0000-0000-0000F9AC0000}"/>
    <cellStyle name="Normal 2 6 2 3 25" xfId="54447" xr:uid="{00000000-0005-0000-0000-0000FAAC0000}"/>
    <cellStyle name="Normal 2 6 2 3 26" xfId="56130" xr:uid="{00000000-0005-0000-0000-0000FBAC0000}"/>
    <cellStyle name="Normal 2 6 2 3 27" xfId="57813" xr:uid="{00000000-0005-0000-0000-0000FCAC0000}"/>
    <cellStyle name="Normal 2 6 2 3 28" xfId="59496" xr:uid="{00000000-0005-0000-0000-0000FDAC0000}"/>
    <cellStyle name="Normal 2 6 2 3 29" xfId="61179" xr:uid="{00000000-0005-0000-0000-0000FEAC0000}"/>
    <cellStyle name="Normal 2 6 2 3 3" xfId="3954" xr:uid="{00000000-0005-0000-0000-0000FFAC0000}"/>
    <cellStyle name="Normal 2 6 2 3 3 2" xfId="19103" xr:uid="{00000000-0005-0000-0000-000000AD0000}"/>
    <cellStyle name="Normal 2 6 2 3 30" xfId="62862" xr:uid="{00000000-0005-0000-0000-000001AD0000}"/>
    <cellStyle name="Normal 2 6 2 3 4" xfId="5637" xr:uid="{00000000-0005-0000-0000-000002AD0000}"/>
    <cellStyle name="Normal 2 6 2 3 4 2" xfId="20786" xr:uid="{00000000-0005-0000-0000-000003AD0000}"/>
    <cellStyle name="Normal 2 6 2 3 5" xfId="7320" xr:uid="{00000000-0005-0000-0000-000004AD0000}"/>
    <cellStyle name="Normal 2 6 2 3 5 2" xfId="22469" xr:uid="{00000000-0005-0000-0000-000005AD0000}"/>
    <cellStyle name="Normal 2 6 2 3 6" xfId="9003" xr:uid="{00000000-0005-0000-0000-000006AD0000}"/>
    <cellStyle name="Normal 2 6 2 3 6 2" xfId="24152" xr:uid="{00000000-0005-0000-0000-000007AD0000}"/>
    <cellStyle name="Normal 2 6 2 3 7" xfId="10686" xr:uid="{00000000-0005-0000-0000-000008AD0000}"/>
    <cellStyle name="Normal 2 6 2 3 7 2" xfId="25835" xr:uid="{00000000-0005-0000-0000-000009AD0000}"/>
    <cellStyle name="Normal 2 6 2 3 8" xfId="12370" xr:uid="{00000000-0005-0000-0000-00000AAD0000}"/>
    <cellStyle name="Normal 2 6 2 3 8 2" xfId="27519" xr:uid="{00000000-0005-0000-0000-00000BAD0000}"/>
    <cellStyle name="Normal 2 6 2 3 9" xfId="14053" xr:uid="{00000000-0005-0000-0000-00000CAD0000}"/>
    <cellStyle name="Normal 2 6 2 3 9 2" xfId="29202" xr:uid="{00000000-0005-0000-0000-00000DAD0000}"/>
    <cellStyle name="Normal 2 6 2 30" xfId="55710" xr:uid="{00000000-0005-0000-0000-00000EAD0000}"/>
    <cellStyle name="Normal 2 6 2 31" xfId="57393" xr:uid="{00000000-0005-0000-0000-00000FAD0000}"/>
    <cellStyle name="Normal 2 6 2 32" xfId="59076" xr:uid="{00000000-0005-0000-0000-000010AD0000}"/>
    <cellStyle name="Normal 2 6 2 33" xfId="60759" xr:uid="{00000000-0005-0000-0000-000011AD0000}"/>
    <cellStyle name="Normal 2 6 2 34" xfId="62442" xr:uid="{00000000-0005-0000-0000-000012AD0000}"/>
    <cellStyle name="Normal 2 6 2 4" xfId="1008" xr:uid="{00000000-0005-0000-0000-000013AD0000}"/>
    <cellStyle name="Normal 2 6 2 4 10" xfId="16157" xr:uid="{00000000-0005-0000-0000-000014AD0000}"/>
    <cellStyle name="Normal 2 6 2 4 11" xfId="31306" xr:uid="{00000000-0005-0000-0000-000015AD0000}"/>
    <cellStyle name="Normal 2 6 2 4 12" xfId="32989" xr:uid="{00000000-0005-0000-0000-000016AD0000}"/>
    <cellStyle name="Normal 2 6 2 4 13" xfId="34672" xr:uid="{00000000-0005-0000-0000-000017AD0000}"/>
    <cellStyle name="Normal 2 6 2 4 14" xfId="36355" xr:uid="{00000000-0005-0000-0000-000018AD0000}"/>
    <cellStyle name="Normal 2 6 2 4 15" xfId="38038" xr:uid="{00000000-0005-0000-0000-000019AD0000}"/>
    <cellStyle name="Normal 2 6 2 4 16" xfId="39721" xr:uid="{00000000-0005-0000-0000-00001AAD0000}"/>
    <cellStyle name="Normal 2 6 2 4 17" xfId="41404" xr:uid="{00000000-0005-0000-0000-00001BAD0000}"/>
    <cellStyle name="Normal 2 6 2 4 18" xfId="43087" xr:uid="{00000000-0005-0000-0000-00001CAD0000}"/>
    <cellStyle name="Normal 2 6 2 4 19" xfId="44770" xr:uid="{00000000-0005-0000-0000-00001DAD0000}"/>
    <cellStyle name="Normal 2 6 2 4 2" xfId="2691" xr:uid="{00000000-0005-0000-0000-00001EAD0000}"/>
    <cellStyle name="Normal 2 6 2 4 2 2" xfId="17840" xr:uid="{00000000-0005-0000-0000-00001FAD0000}"/>
    <cellStyle name="Normal 2 6 2 4 20" xfId="46453" xr:uid="{00000000-0005-0000-0000-000020AD0000}"/>
    <cellStyle name="Normal 2 6 2 4 21" xfId="48136" xr:uid="{00000000-0005-0000-0000-000021AD0000}"/>
    <cellStyle name="Normal 2 6 2 4 22" xfId="49819" xr:uid="{00000000-0005-0000-0000-000022AD0000}"/>
    <cellStyle name="Normal 2 6 2 4 23" xfId="51502" xr:uid="{00000000-0005-0000-0000-000023AD0000}"/>
    <cellStyle name="Normal 2 6 2 4 24" xfId="53185" xr:uid="{00000000-0005-0000-0000-000024AD0000}"/>
    <cellStyle name="Normal 2 6 2 4 25" xfId="54868" xr:uid="{00000000-0005-0000-0000-000025AD0000}"/>
    <cellStyle name="Normal 2 6 2 4 26" xfId="56551" xr:uid="{00000000-0005-0000-0000-000026AD0000}"/>
    <cellStyle name="Normal 2 6 2 4 27" xfId="58234" xr:uid="{00000000-0005-0000-0000-000027AD0000}"/>
    <cellStyle name="Normal 2 6 2 4 28" xfId="59917" xr:uid="{00000000-0005-0000-0000-000028AD0000}"/>
    <cellStyle name="Normal 2 6 2 4 29" xfId="61600" xr:uid="{00000000-0005-0000-0000-000029AD0000}"/>
    <cellStyle name="Normal 2 6 2 4 3" xfId="4375" xr:uid="{00000000-0005-0000-0000-00002AAD0000}"/>
    <cellStyle name="Normal 2 6 2 4 3 2" xfId="19524" xr:uid="{00000000-0005-0000-0000-00002BAD0000}"/>
    <cellStyle name="Normal 2 6 2 4 30" xfId="63283" xr:uid="{00000000-0005-0000-0000-00002CAD0000}"/>
    <cellStyle name="Normal 2 6 2 4 4" xfId="6058" xr:uid="{00000000-0005-0000-0000-00002DAD0000}"/>
    <cellStyle name="Normal 2 6 2 4 4 2" xfId="21207" xr:uid="{00000000-0005-0000-0000-00002EAD0000}"/>
    <cellStyle name="Normal 2 6 2 4 5" xfId="7741" xr:uid="{00000000-0005-0000-0000-00002FAD0000}"/>
    <cellStyle name="Normal 2 6 2 4 5 2" xfId="22890" xr:uid="{00000000-0005-0000-0000-000030AD0000}"/>
    <cellStyle name="Normal 2 6 2 4 6" xfId="9424" xr:uid="{00000000-0005-0000-0000-000031AD0000}"/>
    <cellStyle name="Normal 2 6 2 4 6 2" xfId="24573" xr:uid="{00000000-0005-0000-0000-000032AD0000}"/>
    <cellStyle name="Normal 2 6 2 4 7" xfId="11107" xr:uid="{00000000-0005-0000-0000-000033AD0000}"/>
    <cellStyle name="Normal 2 6 2 4 7 2" xfId="26256" xr:uid="{00000000-0005-0000-0000-000034AD0000}"/>
    <cellStyle name="Normal 2 6 2 4 8" xfId="12791" xr:uid="{00000000-0005-0000-0000-000035AD0000}"/>
    <cellStyle name="Normal 2 6 2 4 8 2" xfId="27940" xr:uid="{00000000-0005-0000-0000-000036AD0000}"/>
    <cellStyle name="Normal 2 6 2 4 9" xfId="14474" xr:uid="{00000000-0005-0000-0000-000037AD0000}"/>
    <cellStyle name="Normal 2 6 2 4 9 2" xfId="29623" xr:uid="{00000000-0005-0000-0000-000038AD0000}"/>
    <cellStyle name="Normal 2 6 2 5" xfId="1429" xr:uid="{00000000-0005-0000-0000-000039AD0000}"/>
    <cellStyle name="Normal 2 6 2 5 10" xfId="16578" xr:uid="{00000000-0005-0000-0000-00003AAD0000}"/>
    <cellStyle name="Normal 2 6 2 5 11" xfId="31727" xr:uid="{00000000-0005-0000-0000-00003BAD0000}"/>
    <cellStyle name="Normal 2 6 2 5 12" xfId="33410" xr:uid="{00000000-0005-0000-0000-00003CAD0000}"/>
    <cellStyle name="Normal 2 6 2 5 13" xfId="35093" xr:uid="{00000000-0005-0000-0000-00003DAD0000}"/>
    <cellStyle name="Normal 2 6 2 5 14" xfId="36776" xr:uid="{00000000-0005-0000-0000-00003EAD0000}"/>
    <cellStyle name="Normal 2 6 2 5 15" xfId="38459" xr:uid="{00000000-0005-0000-0000-00003FAD0000}"/>
    <cellStyle name="Normal 2 6 2 5 16" xfId="40142" xr:uid="{00000000-0005-0000-0000-000040AD0000}"/>
    <cellStyle name="Normal 2 6 2 5 17" xfId="41825" xr:uid="{00000000-0005-0000-0000-000041AD0000}"/>
    <cellStyle name="Normal 2 6 2 5 18" xfId="43508" xr:uid="{00000000-0005-0000-0000-000042AD0000}"/>
    <cellStyle name="Normal 2 6 2 5 19" xfId="45191" xr:uid="{00000000-0005-0000-0000-000043AD0000}"/>
    <cellStyle name="Normal 2 6 2 5 2" xfId="3112" xr:uid="{00000000-0005-0000-0000-000044AD0000}"/>
    <cellStyle name="Normal 2 6 2 5 2 2" xfId="18261" xr:uid="{00000000-0005-0000-0000-000045AD0000}"/>
    <cellStyle name="Normal 2 6 2 5 20" xfId="46874" xr:uid="{00000000-0005-0000-0000-000046AD0000}"/>
    <cellStyle name="Normal 2 6 2 5 21" xfId="48557" xr:uid="{00000000-0005-0000-0000-000047AD0000}"/>
    <cellStyle name="Normal 2 6 2 5 22" xfId="50240" xr:uid="{00000000-0005-0000-0000-000048AD0000}"/>
    <cellStyle name="Normal 2 6 2 5 23" xfId="51923" xr:uid="{00000000-0005-0000-0000-000049AD0000}"/>
    <cellStyle name="Normal 2 6 2 5 24" xfId="53606" xr:uid="{00000000-0005-0000-0000-00004AAD0000}"/>
    <cellStyle name="Normal 2 6 2 5 25" xfId="55289" xr:uid="{00000000-0005-0000-0000-00004BAD0000}"/>
    <cellStyle name="Normal 2 6 2 5 26" xfId="56972" xr:uid="{00000000-0005-0000-0000-00004CAD0000}"/>
    <cellStyle name="Normal 2 6 2 5 27" xfId="58655" xr:uid="{00000000-0005-0000-0000-00004DAD0000}"/>
    <cellStyle name="Normal 2 6 2 5 28" xfId="60338" xr:uid="{00000000-0005-0000-0000-00004EAD0000}"/>
    <cellStyle name="Normal 2 6 2 5 29" xfId="62021" xr:uid="{00000000-0005-0000-0000-00004FAD0000}"/>
    <cellStyle name="Normal 2 6 2 5 3" xfId="4796" xr:uid="{00000000-0005-0000-0000-000050AD0000}"/>
    <cellStyle name="Normal 2 6 2 5 3 2" xfId="19945" xr:uid="{00000000-0005-0000-0000-000051AD0000}"/>
    <cellStyle name="Normal 2 6 2 5 30" xfId="63704" xr:uid="{00000000-0005-0000-0000-000052AD0000}"/>
    <cellStyle name="Normal 2 6 2 5 4" xfId="6479" xr:uid="{00000000-0005-0000-0000-000053AD0000}"/>
    <cellStyle name="Normal 2 6 2 5 4 2" xfId="21628" xr:uid="{00000000-0005-0000-0000-000054AD0000}"/>
    <cellStyle name="Normal 2 6 2 5 5" xfId="8162" xr:uid="{00000000-0005-0000-0000-000055AD0000}"/>
    <cellStyle name="Normal 2 6 2 5 5 2" xfId="23311" xr:uid="{00000000-0005-0000-0000-000056AD0000}"/>
    <cellStyle name="Normal 2 6 2 5 6" xfId="9845" xr:uid="{00000000-0005-0000-0000-000057AD0000}"/>
    <cellStyle name="Normal 2 6 2 5 6 2" xfId="24994" xr:uid="{00000000-0005-0000-0000-000058AD0000}"/>
    <cellStyle name="Normal 2 6 2 5 7" xfId="11528" xr:uid="{00000000-0005-0000-0000-000059AD0000}"/>
    <cellStyle name="Normal 2 6 2 5 7 2" xfId="26677" xr:uid="{00000000-0005-0000-0000-00005AAD0000}"/>
    <cellStyle name="Normal 2 6 2 5 8" xfId="13212" xr:uid="{00000000-0005-0000-0000-00005BAD0000}"/>
    <cellStyle name="Normal 2 6 2 5 8 2" xfId="28361" xr:uid="{00000000-0005-0000-0000-00005CAD0000}"/>
    <cellStyle name="Normal 2 6 2 5 9" xfId="14895" xr:uid="{00000000-0005-0000-0000-00005DAD0000}"/>
    <cellStyle name="Normal 2 6 2 5 9 2" xfId="30044" xr:uid="{00000000-0005-0000-0000-00005EAD0000}"/>
    <cellStyle name="Normal 2 6 2 6" xfId="1850" xr:uid="{00000000-0005-0000-0000-00005FAD0000}"/>
    <cellStyle name="Normal 2 6 2 6 2" xfId="16999" xr:uid="{00000000-0005-0000-0000-000060AD0000}"/>
    <cellStyle name="Normal 2 6 2 7" xfId="3534" xr:uid="{00000000-0005-0000-0000-000061AD0000}"/>
    <cellStyle name="Normal 2 6 2 7 2" xfId="18683" xr:uid="{00000000-0005-0000-0000-000062AD0000}"/>
    <cellStyle name="Normal 2 6 2 8" xfId="5217" xr:uid="{00000000-0005-0000-0000-000063AD0000}"/>
    <cellStyle name="Normal 2 6 2 8 2" xfId="20366" xr:uid="{00000000-0005-0000-0000-000064AD0000}"/>
    <cellStyle name="Normal 2 6 2 9" xfId="6900" xr:uid="{00000000-0005-0000-0000-000065AD0000}"/>
    <cellStyle name="Normal 2 6 2 9 2" xfId="22049" xr:uid="{00000000-0005-0000-0000-000066AD0000}"/>
    <cellStyle name="Normal 2 6 20" xfId="37092" xr:uid="{00000000-0005-0000-0000-000067AD0000}"/>
    <cellStyle name="Normal 2 6 21" xfId="38775" xr:uid="{00000000-0005-0000-0000-000068AD0000}"/>
    <cellStyle name="Normal 2 6 22" xfId="40458" xr:uid="{00000000-0005-0000-0000-000069AD0000}"/>
    <cellStyle name="Normal 2 6 23" xfId="42141" xr:uid="{00000000-0005-0000-0000-00006AAD0000}"/>
    <cellStyle name="Normal 2 6 24" xfId="43824" xr:uid="{00000000-0005-0000-0000-00006BAD0000}"/>
    <cellStyle name="Normal 2 6 25" xfId="45507" xr:uid="{00000000-0005-0000-0000-00006CAD0000}"/>
    <cellStyle name="Normal 2 6 26" xfId="47190" xr:uid="{00000000-0005-0000-0000-00006DAD0000}"/>
    <cellStyle name="Normal 2 6 27" xfId="48873" xr:uid="{00000000-0005-0000-0000-00006EAD0000}"/>
    <cellStyle name="Normal 2 6 28" xfId="50556" xr:uid="{00000000-0005-0000-0000-00006FAD0000}"/>
    <cellStyle name="Normal 2 6 29" xfId="52239" xr:uid="{00000000-0005-0000-0000-000070AD0000}"/>
    <cellStyle name="Normal 2 6 3" xfId="272" xr:uid="{00000000-0005-0000-0000-000071AD0000}"/>
    <cellStyle name="Normal 2 6 3 10" xfId="10371" xr:uid="{00000000-0005-0000-0000-000072AD0000}"/>
    <cellStyle name="Normal 2 6 3 10 2" xfId="25520" xr:uid="{00000000-0005-0000-0000-000073AD0000}"/>
    <cellStyle name="Normal 2 6 3 11" xfId="12055" xr:uid="{00000000-0005-0000-0000-000074AD0000}"/>
    <cellStyle name="Normal 2 6 3 11 2" xfId="27204" xr:uid="{00000000-0005-0000-0000-000075AD0000}"/>
    <cellStyle name="Normal 2 6 3 12" xfId="13738" xr:uid="{00000000-0005-0000-0000-000076AD0000}"/>
    <cellStyle name="Normal 2 6 3 12 2" xfId="28887" xr:uid="{00000000-0005-0000-0000-000077AD0000}"/>
    <cellStyle name="Normal 2 6 3 13" xfId="15421" xr:uid="{00000000-0005-0000-0000-000078AD0000}"/>
    <cellStyle name="Normal 2 6 3 14" xfId="30570" xr:uid="{00000000-0005-0000-0000-000079AD0000}"/>
    <cellStyle name="Normal 2 6 3 15" xfId="32253" xr:uid="{00000000-0005-0000-0000-00007AAD0000}"/>
    <cellStyle name="Normal 2 6 3 16" xfId="33936" xr:uid="{00000000-0005-0000-0000-00007BAD0000}"/>
    <cellStyle name="Normal 2 6 3 17" xfId="35619" xr:uid="{00000000-0005-0000-0000-00007CAD0000}"/>
    <cellStyle name="Normal 2 6 3 18" xfId="37302" xr:uid="{00000000-0005-0000-0000-00007DAD0000}"/>
    <cellStyle name="Normal 2 6 3 19" xfId="38985" xr:uid="{00000000-0005-0000-0000-00007EAD0000}"/>
    <cellStyle name="Normal 2 6 3 2" xfId="692" xr:uid="{00000000-0005-0000-0000-00007FAD0000}"/>
    <cellStyle name="Normal 2 6 3 2 10" xfId="15841" xr:uid="{00000000-0005-0000-0000-000080AD0000}"/>
    <cellStyle name="Normal 2 6 3 2 11" xfId="30990" xr:uid="{00000000-0005-0000-0000-000081AD0000}"/>
    <cellStyle name="Normal 2 6 3 2 12" xfId="32673" xr:uid="{00000000-0005-0000-0000-000082AD0000}"/>
    <cellStyle name="Normal 2 6 3 2 13" xfId="34356" xr:uid="{00000000-0005-0000-0000-000083AD0000}"/>
    <cellStyle name="Normal 2 6 3 2 14" xfId="36039" xr:uid="{00000000-0005-0000-0000-000084AD0000}"/>
    <cellStyle name="Normal 2 6 3 2 15" xfId="37722" xr:uid="{00000000-0005-0000-0000-000085AD0000}"/>
    <cellStyle name="Normal 2 6 3 2 16" xfId="39405" xr:uid="{00000000-0005-0000-0000-000086AD0000}"/>
    <cellStyle name="Normal 2 6 3 2 17" xfId="41088" xr:uid="{00000000-0005-0000-0000-000087AD0000}"/>
    <cellStyle name="Normal 2 6 3 2 18" xfId="42771" xr:uid="{00000000-0005-0000-0000-000088AD0000}"/>
    <cellStyle name="Normal 2 6 3 2 19" xfId="44454" xr:uid="{00000000-0005-0000-0000-000089AD0000}"/>
    <cellStyle name="Normal 2 6 3 2 2" xfId="2375" xr:uid="{00000000-0005-0000-0000-00008AAD0000}"/>
    <cellStyle name="Normal 2 6 3 2 2 2" xfId="17524" xr:uid="{00000000-0005-0000-0000-00008BAD0000}"/>
    <cellStyle name="Normal 2 6 3 2 20" xfId="46137" xr:uid="{00000000-0005-0000-0000-00008CAD0000}"/>
    <cellStyle name="Normal 2 6 3 2 21" xfId="47820" xr:uid="{00000000-0005-0000-0000-00008DAD0000}"/>
    <cellStyle name="Normal 2 6 3 2 22" xfId="49503" xr:uid="{00000000-0005-0000-0000-00008EAD0000}"/>
    <cellStyle name="Normal 2 6 3 2 23" xfId="51186" xr:uid="{00000000-0005-0000-0000-00008FAD0000}"/>
    <cellStyle name="Normal 2 6 3 2 24" xfId="52869" xr:uid="{00000000-0005-0000-0000-000090AD0000}"/>
    <cellStyle name="Normal 2 6 3 2 25" xfId="54552" xr:uid="{00000000-0005-0000-0000-000091AD0000}"/>
    <cellStyle name="Normal 2 6 3 2 26" xfId="56235" xr:uid="{00000000-0005-0000-0000-000092AD0000}"/>
    <cellStyle name="Normal 2 6 3 2 27" xfId="57918" xr:uid="{00000000-0005-0000-0000-000093AD0000}"/>
    <cellStyle name="Normal 2 6 3 2 28" xfId="59601" xr:uid="{00000000-0005-0000-0000-000094AD0000}"/>
    <cellStyle name="Normal 2 6 3 2 29" xfId="61284" xr:uid="{00000000-0005-0000-0000-000095AD0000}"/>
    <cellStyle name="Normal 2 6 3 2 3" xfId="4059" xr:uid="{00000000-0005-0000-0000-000096AD0000}"/>
    <cellStyle name="Normal 2 6 3 2 3 2" xfId="19208" xr:uid="{00000000-0005-0000-0000-000097AD0000}"/>
    <cellStyle name="Normal 2 6 3 2 30" xfId="62967" xr:uid="{00000000-0005-0000-0000-000098AD0000}"/>
    <cellStyle name="Normal 2 6 3 2 4" xfId="5742" xr:uid="{00000000-0005-0000-0000-000099AD0000}"/>
    <cellStyle name="Normal 2 6 3 2 4 2" xfId="20891" xr:uid="{00000000-0005-0000-0000-00009AAD0000}"/>
    <cellStyle name="Normal 2 6 3 2 5" xfId="7425" xr:uid="{00000000-0005-0000-0000-00009BAD0000}"/>
    <cellStyle name="Normal 2 6 3 2 5 2" xfId="22574" xr:uid="{00000000-0005-0000-0000-00009CAD0000}"/>
    <cellStyle name="Normal 2 6 3 2 6" xfId="9108" xr:uid="{00000000-0005-0000-0000-00009DAD0000}"/>
    <cellStyle name="Normal 2 6 3 2 6 2" xfId="24257" xr:uid="{00000000-0005-0000-0000-00009EAD0000}"/>
    <cellStyle name="Normal 2 6 3 2 7" xfId="10791" xr:uid="{00000000-0005-0000-0000-00009FAD0000}"/>
    <cellStyle name="Normal 2 6 3 2 7 2" xfId="25940" xr:uid="{00000000-0005-0000-0000-0000A0AD0000}"/>
    <cellStyle name="Normal 2 6 3 2 8" xfId="12475" xr:uid="{00000000-0005-0000-0000-0000A1AD0000}"/>
    <cellStyle name="Normal 2 6 3 2 8 2" xfId="27624" xr:uid="{00000000-0005-0000-0000-0000A2AD0000}"/>
    <cellStyle name="Normal 2 6 3 2 9" xfId="14158" xr:uid="{00000000-0005-0000-0000-0000A3AD0000}"/>
    <cellStyle name="Normal 2 6 3 2 9 2" xfId="29307" xr:uid="{00000000-0005-0000-0000-0000A4AD0000}"/>
    <cellStyle name="Normal 2 6 3 20" xfId="40668" xr:uid="{00000000-0005-0000-0000-0000A5AD0000}"/>
    <cellStyle name="Normal 2 6 3 21" xfId="42351" xr:uid="{00000000-0005-0000-0000-0000A6AD0000}"/>
    <cellStyle name="Normal 2 6 3 22" xfId="44034" xr:uid="{00000000-0005-0000-0000-0000A7AD0000}"/>
    <cellStyle name="Normal 2 6 3 23" xfId="45717" xr:uid="{00000000-0005-0000-0000-0000A8AD0000}"/>
    <cellStyle name="Normal 2 6 3 24" xfId="47400" xr:uid="{00000000-0005-0000-0000-0000A9AD0000}"/>
    <cellStyle name="Normal 2 6 3 25" xfId="49083" xr:uid="{00000000-0005-0000-0000-0000AAAD0000}"/>
    <cellStyle name="Normal 2 6 3 26" xfId="50766" xr:uid="{00000000-0005-0000-0000-0000ABAD0000}"/>
    <cellStyle name="Normal 2 6 3 27" xfId="52449" xr:uid="{00000000-0005-0000-0000-0000ACAD0000}"/>
    <cellStyle name="Normal 2 6 3 28" xfId="54132" xr:uid="{00000000-0005-0000-0000-0000ADAD0000}"/>
    <cellStyle name="Normal 2 6 3 29" xfId="55815" xr:uid="{00000000-0005-0000-0000-0000AEAD0000}"/>
    <cellStyle name="Normal 2 6 3 3" xfId="1113" xr:uid="{00000000-0005-0000-0000-0000AFAD0000}"/>
    <cellStyle name="Normal 2 6 3 3 10" xfId="16262" xr:uid="{00000000-0005-0000-0000-0000B0AD0000}"/>
    <cellStyle name="Normal 2 6 3 3 11" xfId="31411" xr:uid="{00000000-0005-0000-0000-0000B1AD0000}"/>
    <cellStyle name="Normal 2 6 3 3 12" xfId="33094" xr:uid="{00000000-0005-0000-0000-0000B2AD0000}"/>
    <cellStyle name="Normal 2 6 3 3 13" xfId="34777" xr:uid="{00000000-0005-0000-0000-0000B3AD0000}"/>
    <cellStyle name="Normal 2 6 3 3 14" xfId="36460" xr:uid="{00000000-0005-0000-0000-0000B4AD0000}"/>
    <cellStyle name="Normal 2 6 3 3 15" xfId="38143" xr:uid="{00000000-0005-0000-0000-0000B5AD0000}"/>
    <cellStyle name="Normal 2 6 3 3 16" xfId="39826" xr:uid="{00000000-0005-0000-0000-0000B6AD0000}"/>
    <cellStyle name="Normal 2 6 3 3 17" xfId="41509" xr:uid="{00000000-0005-0000-0000-0000B7AD0000}"/>
    <cellStyle name="Normal 2 6 3 3 18" xfId="43192" xr:uid="{00000000-0005-0000-0000-0000B8AD0000}"/>
    <cellStyle name="Normal 2 6 3 3 19" xfId="44875" xr:uid="{00000000-0005-0000-0000-0000B9AD0000}"/>
    <cellStyle name="Normal 2 6 3 3 2" xfId="2796" xr:uid="{00000000-0005-0000-0000-0000BAAD0000}"/>
    <cellStyle name="Normal 2 6 3 3 2 2" xfId="17945" xr:uid="{00000000-0005-0000-0000-0000BBAD0000}"/>
    <cellStyle name="Normal 2 6 3 3 20" xfId="46558" xr:uid="{00000000-0005-0000-0000-0000BCAD0000}"/>
    <cellStyle name="Normal 2 6 3 3 21" xfId="48241" xr:uid="{00000000-0005-0000-0000-0000BDAD0000}"/>
    <cellStyle name="Normal 2 6 3 3 22" xfId="49924" xr:uid="{00000000-0005-0000-0000-0000BEAD0000}"/>
    <cellStyle name="Normal 2 6 3 3 23" xfId="51607" xr:uid="{00000000-0005-0000-0000-0000BFAD0000}"/>
    <cellStyle name="Normal 2 6 3 3 24" xfId="53290" xr:uid="{00000000-0005-0000-0000-0000C0AD0000}"/>
    <cellStyle name="Normal 2 6 3 3 25" xfId="54973" xr:uid="{00000000-0005-0000-0000-0000C1AD0000}"/>
    <cellStyle name="Normal 2 6 3 3 26" xfId="56656" xr:uid="{00000000-0005-0000-0000-0000C2AD0000}"/>
    <cellStyle name="Normal 2 6 3 3 27" xfId="58339" xr:uid="{00000000-0005-0000-0000-0000C3AD0000}"/>
    <cellStyle name="Normal 2 6 3 3 28" xfId="60022" xr:uid="{00000000-0005-0000-0000-0000C4AD0000}"/>
    <cellStyle name="Normal 2 6 3 3 29" xfId="61705" xr:uid="{00000000-0005-0000-0000-0000C5AD0000}"/>
    <cellStyle name="Normal 2 6 3 3 3" xfId="4480" xr:uid="{00000000-0005-0000-0000-0000C6AD0000}"/>
    <cellStyle name="Normal 2 6 3 3 3 2" xfId="19629" xr:uid="{00000000-0005-0000-0000-0000C7AD0000}"/>
    <cellStyle name="Normal 2 6 3 3 30" xfId="63388" xr:uid="{00000000-0005-0000-0000-0000C8AD0000}"/>
    <cellStyle name="Normal 2 6 3 3 4" xfId="6163" xr:uid="{00000000-0005-0000-0000-0000C9AD0000}"/>
    <cellStyle name="Normal 2 6 3 3 4 2" xfId="21312" xr:uid="{00000000-0005-0000-0000-0000CAAD0000}"/>
    <cellStyle name="Normal 2 6 3 3 5" xfId="7846" xr:uid="{00000000-0005-0000-0000-0000CBAD0000}"/>
    <cellStyle name="Normal 2 6 3 3 5 2" xfId="22995" xr:uid="{00000000-0005-0000-0000-0000CCAD0000}"/>
    <cellStyle name="Normal 2 6 3 3 6" xfId="9529" xr:uid="{00000000-0005-0000-0000-0000CDAD0000}"/>
    <cellStyle name="Normal 2 6 3 3 6 2" xfId="24678" xr:uid="{00000000-0005-0000-0000-0000CEAD0000}"/>
    <cellStyle name="Normal 2 6 3 3 7" xfId="11212" xr:uid="{00000000-0005-0000-0000-0000CFAD0000}"/>
    <cellStyle name="Normal 2 6 3 3 7 2" xfId="26361" xr:uid="{00000000-0005-0000-0000-0000D0AD0000}"/>
    <cellStyle name="Normal 2 6 3 3 8" xfId="12896" xr:uid="{00000000-0005-0000-0000-0000D1AD0000}"/>
    <cellStyle name="Normal 2 6 3 3 8 2" xfId="28045" xr:uid="{00000000-0005-0000-0000-0000D2AD0000}"/>
    <cellStyle name="Normal 2 6 3 3 9" xfId="14579" xr:uid="{00000000-0005-0000-0000-0000D3AD0000}"/>
    <cellStyle name="Normal 2 6 3 3 9 2" xfId="29728" xr:uid="{00000000-0005-0000-0000-0000D4AD0000}"/>
    <cellStyle name="Normal 2 6 3 30" xfId="57498" xr:uid="{00000000-0005-0000-0000-0000D5AD0000}"/>
    <cellStyle name="Normal 2 6 3 31" xfId="59181" xr:uid="{00000000-0005-0000-0000-0000D6AD0000}"/>
    <cellStyle name="Normal 2 6 3 32" xfId="60864" xr:uid="{00000000-0005-0000-0000-0000D7AD0000}"/>
    <cellStyle name="Normal 2 6 3 33" xfId="62547" xr:uid="{00000000-0005-0000-0000-0000D8AD0000}"/>
    <cellStyle name="Normal 2 6 3 4" xfId="1534" xr:uid="{00000000-0005-0000-0000-0000D9AD0000}"/>
    <cellStyle name="Normal 2 6 3 4 10" xfId="16683" xr:uid="{00000000-0005-0000-0000-0000DAAD0000}"/>
    <cellStyle name="Normal 2 6 3 4 11" xfId="31832" xr:uid="{00000000-0005-0000-0000-0000DBAD0000}"/>
    <cellStyle name="Normal 2 6 3 4 12" xfId="33515" xr:uid="{00000000-0005-0000-0000-0000DCAD0000}"/>
    <cellStyle name="Normal 2 6 3 4 13" xfId="35198" xr:uid="{00000000-0005-0000-0000-0000DDAD0000}"/>
    <cellStyle name="Normal 2 6 3 4 14" xfId="36881" xr:uid="{00000000-0005-0000-0000-0000DEAD0000}"/>
    <cellStyle name="Normal 2 6 3 4 15" xfId="38564" xr:uid="{00000000-0005-0000-0000-0000DFAD0000}"/>
    <cellStyle name="Normal 2 6 3 4 16" xfId="40247" xr:uid="{00000000-0005-0000-0000-0000E0AD0000}"/>
    <cellStyle name="Normal 2 6 3 4 17" xfId="41930" xr:uid="{00000000-0005-0000-0000-0000E1AD0000}"/>
    <cellStyle name="Normal 2 6 3 4 18" xfId="43613" xr:uid="{00000000-0005-0000-0000-0000E2AD0000}"/>
    <cellStyle name="Normal 2 6 3 4 19" xfId="45296" xr:uid="{00000000-0005-0000-0000-0000E3AD0000}"/>
    <cellStyle name="Normal 2 6 3 4 2" xfId="3217" xr:uid="{00000000-0005-0000-0000-0000E4AD0000}"/>
    <cellStyle name="Normal 2 6 3 4 2 2" xfId="18366" xr:uid="{00000000-0005-0000-0000-0000E5AD0000}"/>
    <cellStyle name="Normal 2 6 3 4 20" xfId="46979" xr:uid="{00000000-0005-0000-0000-0000E6AD0000}"/>
    <cellStyle name="Normal 2 6 3 4 21" xfId="48662" xr:uid="{00000000-0005-0000-0000-0000E7AD0000}"/>
    <cellStyle name="Normal 2 6 3 4 22" xfId="50345" xr:uid="{00000000-0005-0000-0000-0000E8AD0000}"/>
    <cellStyle name="Normal 2 6 3 4 23" xfId="52028" xr:uid="{00000000-0005-0000-0000-0000E9AD0000}"/>
    <cellStyle name="Normal 2 6 3 4 24" xfId="53711" xr:uid="{00000000-0005-0000-0000-0000EAAD0000}"/>
    <cellStyle name="Normal 2 6 3 4 25" xfId="55394" xr:uid="{00000000-0005-0000-0000-0000EBAD0000}"/>
    <cellStyle name="Normal 2 6 3 4 26" xfId="57077" xr:uid="{00000000-0005-0000-0000-0000ECAD0000}"/>
    <cellStyle name="Normal 2 6 3 4 27" xfId="58760" xr:uid="{00000000-0005-0000-0000-0000EDAD0000}"/>
    <cellStyle name="Normal 2 6 3 4 28" xfId="60443" xr:uid="{00000000-0005-0000-0000-0000EEAD0000}"/>
    <cellStyle name="Normal 2 6 3 4 29" xfId="62126" xr:uid="{00000000-0005-0000-0000-0000EFAD0000}"/>
    <cellStyle name="Normal 2 6 3 4 3" xfId="4901" xr:uid="{00000000-0005-0000-0000-0000F0AD0000}"/>
    <cellStyle name="Normal 2 6 3 4 3 2" xfId="20050" xr:uid="{00000000-0005-0000-0000-0000F1AD0000}"/>
    <cellStyle name="Normal 2 6 3 4 30" xfId="63809" xr:uid="{00000000-0005-0000-0000-0000F2AD0000}"/>
    <cellStyle name="Normal 2 6 3 4 4" xfId="6584" xr:uid="{00000000-0005-0000-0000-0000F3AD0000}"/>
    <cellStyle name="Normal 2 6 3 4 4 2" xfId="21733" xr:uid="{00000000-0005-0000-0000-0000F4AD0000}"/>
    <cellStyle name="Normal 2 6 3 4 5" xfId="8267" xr:uid="{00000000-0005-0000-0000-0000F5AD0000}"/>
    <cellStyle name="Normal 2 6 3 4 5 2" xfId="23416" xr:uid="{00000000-0005-0000-0000-0000F6AD0000}"/>
    <cellStyle name="Normal 2 6 3 4 6" xfId="9950" xr:uid="{00000000-0005-0000-0000-0000F7AD0000}"/>
    <cellStyle name="Normal 2 6 3 4 6 2" xfId="25099" xr:uid="{00000000-0005-0000-0000-0000F8AD0000}"/>
    <cellStyle name="Normal 2 6 3 4 7" xfId="11633" xr:uid="{00000000-0005-0000-0000-0000F9AD0000}"/>
    <cellStyle name="Normal 2 6 3 4 7 2" xfId="26782" xr:uid="{00000000-0005-0000-0000-0000FAAD0000}"/>
    <cellStyle name="Normal 2 6 3 4 8" xfId="13317" xr:uid="{00000000-0005-0000-0000-0000FBAD0000}"/>
    <cellStyle name="Normal 2 6 3 4 8 2" xfId="28466" xr:uid="{00000000-0005-0000-0000-0000FCAD0000}"/>
    <cellStyle name="Normal 2 6 3 4 9" xfId="15000" xr:uid="{00000000-0005-0000-0000-0000FDAD0000}"/>
    <cellStyle name="Normal 2 6 3 4 9 2" xfId="30149" xr:uid="{00000000-0005-0000-0000-0000FEAD0000}"/>
    <cellStyle name="Normal 2 6 3 5" xfId="1955" xr:uid="{00000000-0005-0000-0000-0000FFAD0000}"/>
    <cellStyle name="Normal 2 6 3 5 2" xfId="17104" xr:uid="{00000000-0005-0000-0000-000000AE0000}"/>
    <cellStyle name="Normal 2 6 3 6" xfId="3639" xr:uid="{00000000-0005-0000-0000-000001AE0000}"/>
    <cellStyle name="Normal 2 6 3 6 2" xfId="18788" xr:uid="{00000000-0005-0000-0000-000002AE0000}"/>
    <cellStyle name="Normal 2 6 3 7" xfId="5322" xr:uid="{00000000-0005-0000-0000-000003AE0000}"/>
    <cellStyle name="Normal 2 6 3 7 2" xfId="20471" xr:uid="{00000000-0005-0000-0000-000004AE0000}"/>
    <cellStyle name="Normal 2 6 3 8" xfId="7005" xr:uid="{00000000-0005-0000-0000-000005AE0000}"/>
    <cellStyle name="Normal 2 6 3 8 2" xfId="22154" xr:uid="{00000000-0005-0000-0000-000006AE0000}"/>
    <cellStyle name="Normal 2 6 3 9" xfId="8688" xr:uid="{00000000-0005-0000-0000-000007AE0000}"/>
    <cellStyle name="Normal 2 6 3 9 2" xfId="23837" xr:uid="{00000000-0005-0000-0000-000008AE0000}"/>
    <cellStyle name="Normal 2 6 30" xfId="53922" xr:uid="{00000000-0005-0000-0000-000009AE0000}"/>
    <cellStyle name="Normal 2 6 31" xfId="55605" xr:uid="{00000000-0005-0000-0000-00000AAE0000}"/>
    <cellStyle name="Normal 2 6 32" xfId="57288" xr:uid="{00000000-0005-0000-0000-00000BAE0000}"/>
    <cellStyle name="Normal 2 6 33" xfId="58971" xr:uid="{00000000-0005-0000-0000-00000CAE0000}"/>
    <cellStyle name="Normal 2 6 34" xfId="60654" xr:uid="{00000000-0005-0000-0000-00000DAE0000}"/>
    <cellStyle name="Normal 2 6 35" xfId="62337" xr:uid="{00000000-0005-0000-0000-00000EAE0000}"/>
    <cellStyle name="Normal 2 6 4" xfId="482" xr:uid="{00000000-0005-0000-0000-00000FAE0000}"/>
    <cellStyle name="Normal 2 6 4 10" xfId="15631" xr:uid="{00000000-0005-0000-0000-000010AE0000}"/>
    <cellStyle name="Normal 2 6 4 11" xfId="30780" xr:uid="{00000000-0005-0000-0000-000011AE0000}"/>
    <cellStyle name="Normal 2 6 4 12" xfId="32463" xr:uid="{00000000-0005-0000-0000-000012AE0000}"/>
    <cellStyle name="Normal 2 6 4 13" xfId="34146" xr:uid="{00000000-0005-0000-0000-000013AE0000}"/>
    <cellStyle name="Normal 2 6 4 14" xfId="35829" xr:uid="{00000000-0005-0000-0000-000014AE0000}"/>
    <cellStyle name="Normal 2 6 4 15" xfId="37512" xr:uid="{00000000-0005-0000-0000-000015AE0000}"/>
    <cellStyle name="Normal 2 6 4 16" xfId="39195" xr:uid="{00000000-0005-0000-0000-000016AE0000}"/>
    <cellStyle name="Normal 2 6 4 17" xfId="40878" xr:uid="{00000000-0005-0000-0000-000017AE0000}"/>
    <cellStyle name="Normal 2 6 4 18" xfId="42561" xr:uid="{00000000-0005-0000-0000-000018AE0000}"/>
    <cellStyle name="Normal 2 6 4 19" xfId="44244" xr:uid="{00000000-0005-0000-0000-000019AE0000}"/>
    <cellStyle name="Normal 2 6 4 2" xfId="2165" xr:uid="{00000000-0005-0000-0000-00001AAE0000}"/>
    <cellStyle name="Normal 2 6 4 2 2" xfId="17314" xr:uid="{00000000-0005-0000-0000-00001BAE0000}"/>
    <cellStyle name="Normal 2 6 4 20" xfId="45927" xr:uid="{00000000-0005-0000-0000-00001CAE0000}"/>
    <cellStyle name="Normal 2 6 4 21" xfId="47610" xr:uid="{00000000-0005-0000-0000-00001DAE0000}"/>
    <cellStyle name="Normal 2 6 4 22" xfId="49293" xr:uid="{00000000-0005-0000-0000-00001EAE0000}"/>
    <cellStyle name="Normal 2 6 4 23" xfId="50976" xr:uid="{00000000-0005-0000-0000-00001FAE0000}"/>
    <cellStyle name="Normal 2 6 4 24" xfId="52659" xr:uid="{00000000-0005-0000-0000-000020AE0000}"/>
    <cellStyle name="Normal 2 6 4 25" xfId="54342" xr:uid="{00000000-0005-0000-0000-000021AE0000}"/>
    <cellStyle name="Normal 2 6 4 26" xfId="56025" xr:uid="{00000000-0005-0000-0000-000022AE0000}"/>
    <cellStyle name="Normal 2 6 4 27" xfId="57708" xr:uid="{00000000-0005-0000-0000-000023AE0000}"/>
    <cellStyle name="Normal 2 6 4 28" xfId="59391" xr:uid="{00000000-0005-0000-0000-000024AE0000}"/>
    <cellStyle name="Normal 2 6 4 29" xfId="61074" xr:uid="{00000000-0005-0000-0000-000025AE0000}"/>
    <cellStyle name="Normal 2 6 4 3" xfId="3849" xr:uid="{00000000-0005-0000-0000-000026AE0000}"/>
    <cellStyle name="Normal 2 6 4 3 2" xfId="18998" xr:uid="{00000000-0005-0000-0000-000027AE0000}"/>
    <cellStyle name="Normal 2 6 4 30" xfId="62757" xr:uid="{00000000-0005-0000-0000-000028AE0000}"/>
    <cellStyle name="Normal 2 6 4 4" xfId="5532" xr:uid="{00000000-0005-0000-0000-000029AE0000}"/>
    <cellStyle name="Normal 2 6 4 4 2" xfId="20681" xr:uid="{00000000-0005-0000-0000-00002AAE0000}"/>
    <cellStyle name="Normal 2 6 4 5" xfId="7215" xr:uid="{00000000-0005-0000-0000-00002BAE0000}"/>
    <cellStyle name="Normal 2 6 4 5 2" xfId="22364" xr:uid="{00000000-0005-0000-0000-00002CAE0000}"/>
    <cellStyle name="Normal 2 6 4 6" xfId="8898" xr:uid="{00000000-0005-0000-0000-00002DAE0000}"/>
    <cellStyle name="Normal 2 6 4 6 2" xfId="24047" xr:uid="{00000000-0005-0000-0000-00002EAE0000}"/>
    <cellStyle name="Normal 2 6 4 7" xfId="10581" xr:uid="{00000000-0005-0000-0000-00002FAE0000}"/>
    <cellStyle name="Normal 2 6 4 7 2" xfId="25730" xr:uid="{00000000-0005-0000-0000-000030AE0000}"/>
    <cellStyle name="Normal 2 6 4 8" xfId="12265" xr:uid="{00000000-0005-0000-0000-000031AE0000}"/>
    <cellStyle name="Normal 2 6 4 8 2" xfId="27414" xr:uid="{00000000-0005-0000-0000-000032AE0000}"/>
    <cellStyle name="Normal 2 6 4 9" xfId="13948" xr:uid="{00000000-0005-0000-0000-000033AE0000}"/>
    <cellStyle name="Normal 2 6 4 9 2" xfId="29097" xr:uid="{00000000-0005-0000-0000-000034AE0000}"/>
    <cellStyle name="Normal 2 6 5" xfId="903" xr:uid="{00000000-0005-0000-0000-000035AE0000}"/>
    <cellStyle name="Normal 2 6 5 10" xfId="16052" xr:uid="{00000000-0005-0000-0000-000036AE0000}"/>
    <cellStyle name="Normal 2 6 5 11" xfId="31201" xr:uid="{00000000-0005-0000-0000-000037AE0000}"/>
    <cellStyle name="Normal 2 6 5 12" xfId="32884" xr:uid="{00000000-0005-0000-0000-000038AE0000}"/>
    <cellStyle name="Normal 2 6 5 13" xfId="34567" xr:uid="{00000000-0005-0000-0000-000039AE0000}"/>
    <cellStyle name="Normal 2 6 5 14" xfId="36250" xr:uid="{00000000-0005-0000-0000-00003AAE0000}"/>
    <cellStyle name="Normal 2 6 5 15" xfId="37933" xr:uid="{00000000-0005-0000-0000-00003BAE0000}"/>
    <cellStyle name="Normal 2 6 5 16" xfId="39616" xr:uid="{00000000-0005-0000-0000-00003CAE0000}"/>
    <cellStyle name="Normal 2 6 5 17" xfId="41299" xr:uid="{00000000-0005-0000-0000-00003DAE0000}"/>
    <cellStyle name="Normal 2 6 5 18" xfId="42982" xr:uid="{00000000-0005-0000-0000-00003EAE0000}"/>
    <cellStyle name="Normal 2 6 5 19" xfId="44665" xr:uid="{00000000-0005-0000-0000-00003FAE0000}"/>
    <cellStyle name="Normal 2 6 5 2" xfId="2586" xr:uid="{00000000-0005-0000-0000-000040AE0000}"/>
    <cellStyle name="Normal 2 6 5 2 2" xfId="17735" xr:uid="{00000000-0005-0000-0000-000041AE0000}"/>
    <cellStyle name="Normal 2 6 5 20" xfId="46348" xr:uid="{00000000-0005-0000-0000-000042AE0000}"/>
    <cellStyle name="Normal 2 6 5 21" xfId="48031" xr:uid="{00000000-0005-0000-0000-000043AE0000}"/>
    <cellStyle name="Normal 2 6 5 22" xfId="49714" xr:uid="{00000000-0005-0000-0000-000044AE0000}"/>
    <cellStyle name="Normal 2 6 5 23" xfId="51397" xr:uid="{00000000-0005-0000-0000-000045AE0000}"/>
    <cellStyle name="Normal 2 6 5 24" xfId="53080" xr:uid="{00000000-0005-0000-0000-000046AE0000}"/>
    <cellStyle name="Normal 2 6 5 25" xfId="54763" xr:uid="{00000000-0005-0000-0000-000047AE0000}"/>
    <cellStyle name="Normal 2 6 5 26" xfId="56446" xr:uid="{00000000-0005-0000-0000-000048AE0000}"/>
    <cellStyle name="Normal 2 6 5 27" xfId="58129" xr:uid="{00000000-0005-0000-0000-000049AE0000}"/>
    <cellStyle name="Normal 2 6 5 28" xfId="59812" xr:uid="{00000000-0005-0000-0000-00004AAE0000}"/>
    <cellStyle name="Normal 2 6 5 29" xfId="61495" xr:uid="{00000000-0005-0000-0000-00004BAE0000}"/>
    <cellStyle name="Normal 2 6 5 3" xfId="4270" xr:uid="{00000000-0005-0000-0000-00004CAE0000}"/>
    <cellStyle name="Normal 2 6 5 3 2" xfId="19419" xr:uid="{00000000-0005-0000-0000-00004DAE0000}"/>
    <cellStyle name="Normal 2 6 5 30" xfId="63178" xr:uid="{00000000-0005-0000-0000-00004EAE0000}"/>
    <cellStyle name="Normal 2 6 5 4" xfId="5953" xr:uid="{00000000-0005-0000-0000-00004FAE0000}"/>
    <cellStyle name="Normal 2 6 5 4 2" xfId="21102" xr:uid="{00000000-0005-0000-0000-000050AE0000}"/>
    <cellStyle name="Normal 2 6 5 5" xfId="7636" xr:uid="{00000000-0005-0000-0000-000051AE0000}"/>
    <cellStyle name="Normal 2 6 5 5 2" xfId="22785" xr:uid="{00000000-0005-0000-0000-000052AE0000}"/>
    <cellStyle name="Normal 2 6 5 6" xfId="9319" xr:uid="{00000000-0005-0000-0000-000053AE0000}"/>
    <cellStyle name="Normal 2 6 5 6 2" xfId="24468" xr:uid="{00000000-0005-0000-0000-000054AE0000}"/>
    <cellStyle name="Normal 2 6 5 7" xfId="11002" xr:uid="{00000000-0005-0000-0000-000055AE0000}"/>
    <cellStyle name="Normal 2 6 5 7 2" xfId="26151" xr:uid="{00000000-0005-0000-0000-000056AE0000}"/>
    <cellStyle name="Normal 2 6 5 8" xfId="12686" xr:uid="{00000000-0005-0000-0000-000057AE0000}"/>
    <cellStyle name="Normal 2 6 5 8 2" xfId="27835" xr:uid="{00000000-0005-0000-0000-000058AE0000}"/>
    <cellStyle name="Normal 2 6 5 9" xfId="14369" xr:uid="{00000000-0005-0000-0000-000059AE0000}"/>
    <cellStyle name="Normal 2 6 5 9 2" xfId="29518" xr:uid="{00000000-0005-0000-0000-00005AAE0000}"/>
    <cellStyle name="Normal 2 6 6" xfId="1324" xr:uid="{00000000-0005-0000-0000-00005BAE0000}"/>
    <cellStyle name="Normal 2 6 6 10" xfId="16473" xr:uid="{00000000-0005-0000-0000-00005CAE0000}"/>
    <cellStyle name="Normal 2 6 6 11" xfId="31622" xr:uid="{00000000-0005-0000-0000-00005DAE0000}"/>
    <cellStyle name="Normal 2 6 6 12" xfId="33305" xr:uid="{00000000-0005-0000-0000-00005EAE0000}"/>
    <cellStyle name="Normal 2 6 6 13" xfId="34988" xr:uid="{00000000-0005-0000-0000-00005FAE0000}"/>
    <cellStyle name="Normal 2 6 6 14" xfId="36671" xr:uid="{00000000-0005-0000-0000-000060AE0000}"/>
    <cellStyle name="Normal 2 6 6 15" xfId="38354" xr:uid="{00000000-0005-0000-0000-000061AE0000}"/>
    <cellStyle name="Normal 2 6 6 16" xfId="40037" xr:uid="{00000000-0005-0000-0000-000062AE0000}"/>
    <cellStyle name="Normal 2 6 6 17" xfId="41720" xr:uid="{00000000-0005-0000-0000-000063AE0000}"/>
    <cellStyle name="Normal 2 6 6 18" xfId="43403" xr:uid="{00000000-0005-0000-0000-000064AE0000}"/>
    <cellStyle name="Normal 2 6 6 19" xfId="45086" xr:uid="{00000000-0005-0000-0000-000065AE0000}"/>
    <cellStyle name="Normal 2 6 6 2" xfId="3007" xr:uid="{00000000-0005-0000-0000-000066AE0000}"/>
    <cellStyle name="Normal 2 6 6 2 2" xfId="18156" xr:uid="{00000000-0005-0000-0000-000067AE0000}"/>
    <cellStyle name="Normal 2 6 6 20" xfId="46769" xr:uid="{00000000-0005-0000-0000-000068AE0000}"/>
    <cellStyle name="Normal 2 6 6 21" xfId="48452" xr:uid="{00000000-0005-0000-0000-000069AE0000}"/>
    <cellStyle name="Normal 2 6 6 22" xfId="50135" xr:uid="{00000000-0005-0000-0000-00006AAE0000}"/>
    <cellStyle name="Normal 2 6 6 23" xfId="51818" xr:uid="{00000000-0005-0000-0000-00006BAE0000}"/>
    <cellStyle name="Normal 2 6 6 24" xfId="53501" xr:uid="{00000000-0005-0000-0000-00006CAE0000}"/>
    <cellStyle name="Normal 2 6 6 25" xfId="55184" xr:uid="{00000000-0005-0000-0000-00006DAE0000}"/>
    <cellStyle name="Normal 2 6 6 26" xfId="56867" xr:uid="{00000000-0005-0000-0000-00006EAE0000}"/>
    <cellStyle name="Normal 2 6 6 27" xfId="58550" xr:uid="{00000000-0005-0000-0000-00006FAE0000}"/>
    <cellStyle name="Normal 2 6 6 28" xfId="60233" xr:uid="{00000000-0005-0000-0000-000070AE0000}"/>
    <cellStyle name="Normal 2 6 6 29" xfId="61916" xr:uid="{00000000-0005-0000-0000-000071AE0000}"/>
    <cellStyle name="Normal 2 6 6 3" xfId="4691" xr:uid="{00000000-0005-0000-0000-000072AE0000}"/>
    <cellStyle name="Normal 2 6 6 3 2" xfId="19840" xr:uid="{00000000-0005-0000-0000-000073AE0000}"/>
    <cellStyle name="Normal 2 6 6 30" xfId="63599" xr:uid="{00000000-0005-0000-0000-000074AE0000}"/>
    <cellStyle name="Normal 2 6 6 4" xfId="6374" xr:uid="{00000000-0005-0000-0000-000075AE0000}"/>
    <cellStyle name="Normal 2 6 6 4 2" xfId="21523" xr:uid="{00000000-0005-0000-0000-000076AE0000}"/>
    <cellStyle name="Normal 2 6 6 5" xfId="8057" xr:uid="{00000000-0005-0000-0000-000077AE0000}"/>
    <cellStyle name="Normal 2 6 6 5 2" xfId="23206" xr:uid="{00000000-0005-0000-0000-000078AE0000}"/>
    <cellStyle name="Normal 2 6 6 6" xfId="9740" xr:uid="{00000000-0005-0000-0000-000079AE0000}"/>
    <cellStyle name="Normal 2 6 6 6 2" xfId="24889" xr:uid="{00000000-0005-0000-0000-00007AAE0000}"/>
    <cellStyle name="Normal 2 6 6 7" xfId="11423" xr:uid="{00000000-0005-0000-0000-00007BAE0000}"/>
    <cellStyle name="Normal 2 6 6 7 2" xfId="26572" xr:uid="{00000000-0005-0000-0000-00007CAE0000}"/>
    <cellStyle name="Normal 2 6 6 8" xfId="13107" xr:uid="{00000000-0005-0000-0000-00007DAE0000}"/>
    <cellStyle name="Normal 2 6 6 8 2" xfId="28256" xr:uid="{00000000-0005-0000-0000-00007EAE0000}"/>
    <cellStyle name="Normal 2 6 6 9" xfId="14790" xr:uid="{00000000-0005-0000-0000-00007FAE0000}"/>
    <cellStyle name="Normal 2 6 6 9 2" xfId="29939" xr:uid="{00000000-0005-0000-0000-000080AE0000}"/>
    <cellStyle name="Normal 2 6 7" xfId="1745" xr:uid="{00000000-0005-0000-0000-000081AE0000}"/>
    <cellStyle name="Normal 2 6 7 2" xfId="16894" xr:uid="{00000000-0005-0000-0000-000082AE0000}"/>
    <cellStyle name="Normal 2 6 8" xfId="3429" xr:uid="{00000000-0005-0000-0000-000083AE0000}"/>
    <cellStyle name="Normal 2 6 8 2" xfId="18578" xr:uid="{00000000-0005-0000-0000-000084AE0000}"/>
    <cellStyle name="Normal 2 6 9" xfId="5112" xr:uid="{00000000-0005-0000-0000-000085AE0000}"/>
    <cellStyle name="Normal 2 6 9 2" xfId="20261" xr:uid="{00000000-0005-0000-0000-000086AE0000}"/>
    <cellStyle name="Normal 2 7" xfId="49" xr:uid="{00000000-0005-0000-0000-000087AE0000}"/>
    <cellStyle name="Normal 2 7 10" xfId="6804" xr:uid="{00000000-0005-0000-0000-000088AE0000}"/>
    <cellStyle name="Normal 2 7 10 2" xfId="21953" xr:uid="{00000000-0005-0000-0000-000089AE0000}"/>
    <cellStyle name="Normal 2 7 11" xfId="8487" xr:uid="{00000000-0005-0000-0000-00008AAE0000}"/>
    <cellStyle name="Normal 2 7 11 2" xfId="23636" xr:uid="{00000000-0005-0000-0000-00008BAE0000}"/>
    <cellStyle name="Normal 2 7 12" xfId="10170" xr:uid="{00000000-0005-0000-0000-00008CAE0000}"/>
    <cellStyle name="Normal 2 7 12 2" xfId="25319" xr:uid="{00000000-0005-0000-0000-00008DAE0000}"/>
    <cellStyle name="Normal 2 7 13" xfId="11854" xr:uid="{00000000-0005-0000-0000-00008EAE0000}"/>
    <cellStyle name="Normal 2 7 13 2" xfId="27003" xr:uid="{00000000-0005-0000-0000-00008FAE0000}"/>
    <cellStyle name="Normal 2 7 14" xfId="13537" xr:uid="{00000000-0005-0000-0000-000090AE0000}"/>
    <cellStyle name="Normal 2 7 14 2" xfId="28686" xr:uid="{00000000-0005-0000-0000-000091AE0000}"/>
    <cellStyle name="Normal 2 7 15" xfId="15220" xr:uid="{00000000-0005-0000-0000-000092AE0000}"/>
    <cellStyle name="Normal 2 7 16" xfId="30369" xr:uid="{00000000-0005-0000-0000-000093AE0000}"/>
    <cellStyle name="Normal 2 7 17" xfId="32052" xr:uid="{00000000-0005-0000-0000-000094AE0000}"/>
    <cellStyle name="Normal 2 7 18" xfId="33735" xr:uid="{00000000-0005-0000-0000-000095AE0000}"/>
    <cellStyle name="Normal 2 7 19" xfId="35418" xr:uid="{00000000-0005-0000-0000-000096AE0000}"/>
    <cellStyle name="Normal 2 7 2" xfId="176" xr:uid="{00000000-0005-0000-0000-000097AE0000}"/>
    <cellStyle name="Normal 2 7 2 10" xfId="8592" xr:uid="{00000000-0005-0000-0000-000098AE0000}"/>
    <cellStyle name="Normal 2 7 2 10 2" xfId="23741" xr:uid="{00000000-0005-0000-0000-000099AE0000}"/>
    <cellStyle name="Normal 2 7 2 11" xfId="10275" xr:uid="{00000000-0005-0000-0000-00009AAE0000}"/>
    <cellStyle name="Normal 2 7 2 11 2" xfId="25424" xr:uid="{00000000-0005-0000-0000-00009BAE0000}"/>
    <cellStyle name="Normal 2 7 2 12" xfId="11959" xr:uid="{00000000-0005-0000-0000-00009CAE0000}"/>
    <cellStyle name="Normal 2 7 2 12 2" xfId="27108" xr:uid="{00000000-0005-0000-0000-00009DAE0000}"/>
    <cellStyle name="Normal 2 7 2 13" xfId="13642" xr:uid="{00000000-0005-0000-0000-00009EAE0000}"/>
    <cellStyle name="Normal 2 7 2 13 2" xfId="28791" xr:uid="{00000000-0005-0000-0000-00009FAE0000}"/>
    <cellStyle name="Normal 2 7 2 14" xfId="15325" xr:uid="{00000000-0005-0000-0000-0000A0AE0000}"/>
    <cellStyle name="Normal 2 7 2 15" xfId="30474" xr:uid="{00000000-0005-0000-0000-0000A1AE0000}"/>
    <cellStyle name="Normal 2 7 2 16" xfId="32157" xr:uid="{00000000-0005-0000-0000-0000A2AE0000}"/>
    <cellStyle name="Normal 2 7 2 17" xfId="33840" xr:uid="{00000000-0005-0000-0000-0000A3AE0000}"/>
    <cellStyle name="Normal 2 7 2 18" xfId="35523" xr:uid="{00000000-0005-0000-0000-0000A4AE0000}"/>
    <cellStyle name="Normal 2 7 2 19" xfId="37206" xr:uid="{00000000-0005-0000-0000-0000A5AE0000}"/>
    <cellStyle name="Normal 2 7 2 2" xfId="386" xr:uid="{00000000-0005-0000-0000-0000A6AE0000}"/>
    <cellStyle name="Normal 2 7 2 2 10" xfId="10485" xr:uid="{00000000-0005-0000-0000-0000A7AE0000}"/>
    <cellStyle name="Normal 2 7 2 2 10 2" xfId="25634" xr:uid="{00000000-0005-0000-0000-0000A8AE0000}"/>
    <cellStyle name="Normal 2 7 2 2 11" xfId="12169" xr:uid="{00000000-0005-0000-0000-0000A9AE0000}"/>
    <cellStyle name="Normal 2 7 2 2 11 2" xfId="27318" xr:uid="{00000000-0005-0000-0000-0000AAAE0000}"/>
    <cellStyle name="Normal 2 7 2 2 12" xfId="13852" xr:uid="{00000000-0005-0000-0000-0000ABAE0000}"/>
    <cellStyle name="Normal 2 7 2 2 12 2" xfId="29001" xr:uid="{00000000-0005-0000-0000-0000ACAE0000}"/>
    <cellStyle name="Normal 2 7 2 2 13" xfId="15535" xr:uid="{00000000-0005-0000-0000-0000ADAE0000}"/>
    <cellStyle name="Normal 2 7 2 2 14" xfId="30684" xr:uid="{00000000-0005-0000-0000-0000AEAE0000}"/>
    <cellStyle name="Normal 2 7 2 2 15" xfId="32367" xr:uid="{00000000-0005-0000-0000-0000AFAE0000}"/>
    <cellStyle name="Normal 2 7 2 2 16" xfId="34050" xr:uid="{00000000-0005-0000-0000-0000B0AE0000}"/>
    <cellStyle name="Normal 2 7 2 2 17" xfId="35733" xr:uid="{00000000-0005-0000-0000-0000B1AE0000}"/>
    <cellStyle name="Normal 2 7 2 2 18" xfId="37416" xr:uid="{00000000-0005-0000-0000-0000B2AE0000}"/>
    <cellStyle name="Normal 2 7 2 2 19" xfId="39099" xr:uid="{00000000-0005-0000-0000-0000B3AE0000}"/>
    <cellStyle name="Normal 2 7 2 2 2" xfId="806" xr:uid="{00000000-0005-0000-0000-0000B4AE0000}"/>
    <cellStyle name="Normal 2 7 2 2 2 10" xfId="15955" xr:uid="{00000000-0005-0000-0000-0000B5AE0000}"/>
    <cellStyle name="Normal 2 7 2 2 2 11" xfId="31104" xr:uid="{00000000-0005-0000-0000-0000B6AE0000}"/>
    <cellStyle name="Normal 2 7 2 2 2 12" xfId="32787" xr:uid="{00000000-0005-0000-0000-0000B7AE0000}"/>
    <cellStyle name="Normal 2 7 2 2 2 13" xfId="34470" xr:uid="{00000000-0005-0000-0000-0000B8AE0000}"/>
    <cellStyle name="Normal 2 7 2 2 2 14" xfId="36153" xr:uid="{00000000-0005-0000-0000-0000B9AE0000}"/>
    <cellStyle name="Normal 2 7 2 2 2 15" xfId="37836" xr:uid="{00000000-0005-0000-0000-0000BAAE0000}"/>
    <cellStyle name="Normal 2 7 2 2 2 16" xfId="39519" xr:uid="{00000000-0005-0000-0000-0000BBAE0000}"/>
    <cellStyle name="Normal 2 7 2 2 2 17" xfId="41202" xr:uid="{00000000-0005-0000-0000-0000BCAE0000}"/>
    <cellStyle name="Normal 2 7 2 2 2 18" xfId="42885" xr:uid="{00000000-0005-0000-0000-0000BDAE0000}"/>
    <cellStyle name="Normal 2 7 2 2 2 19" xfId="44568" xr:uid="{00000000-0005-0000-0000-0000BEAE0000}"/>
    <cellStyle name="Normal 2 7 2 2 2 2" xfId="2489" xr:uid="{00000000-0005-0000-0000-0000BFAE0000}"/>
    <cellStyle name="Normal 2 7 2 2 2 2 2" xfId="17638" xr:uid="{00000000-0005-0000-0000-0000C0AE0000}"/>
    <cellStyle name="Normal 2 7 2 2 2 20" xfId="46251" xr:uid="{00000000-0005-0000-0000-0000C1AE0000}"/>
    <cellStyle name="Normal 2 7 2 2 2 21" xfId="47934" xr:uid="{00000000-0005-0000-0000-0000C2AE0000}"/>
    <cellStyle name="Normal 2 7 2 2 2 22" xfId="49617" xr:uid="{00000000-0005-0000-0000-0000C3AE0000}"/>
    <cellStyle name="Normal 2 7 2 2 2 23" xfId="51300" xr:uid="{00000000-0005-0000-0000-0000C4AE0000}"/>
    <cellStyle name="Normal 2 7 2 2 2 24" xfId="52983" xr:uid="{00000000-0005-0000-0000-0000C5AE0000}"/>
    <cellStyle name="Normal 2 7 2 2 2 25" xfId="54666" xr:uid="{00000000-0005-0000-0000-0000C6AE0000}"/>
    <cellStyle name="Normal 2 7 2 2 2 26" xfId="56349" xr:uid="{00000000-0005-0000-0000-0000C7AE0000}"/>
    <cellStyle name="Normal 2 7 2 2 2 27" xfId="58032" xr:uid="{00000000-0005-0000-0000-0000C8AE0000}"/>
    <cellStyle name="Normal 2 7 2 2 2 28" xfId="59715" xr:uid="{00000000-0005-0000-0000-0000C9AE0000}"/>
    <cellStyle name="Normal 2 7 2 2 2 29" xfId="61398" xr:uid="{00000000-0005-0000-0000-0000CAAE0000}"/>
    <cellStyle name="Normal 2 7 2 2 2 3" xfId="4173" xr:uid="{00000000-0005-0000-0000-0000CBAE0000}"/>
    <cellStyle name="Normal 2 7 2 2 2 3 2" xfId="19322" xr:uid="{00000000-0005-0000-0000-0000CCAE0000}"/>
    <cellStyle name="Normal 2 7 2 2 2 30" xfId="63081" xr:uid="{00000000-0005-0000-0000-0000CDAE0000}"/>
    <cellStyle name="Normal 2 7 2 2 2 4" xfId="5856" xr:uid="{00000000-0005-0000-0000-0000CEAE0000}"/>
    <cellStyle name="Normal 2 7 2 2 2 4 2" xfId="21005" xr:uid="{00000000-0005-0000-0000-0000CFAE0000}"/>
    <cellStyle name="Normal 2 7 2 2 2 5" xfId="7539" xr:uid="{00000000-0005-0000-0000-0000D0AE0000}"/>
    <cellStyle name="Normal 2 7 2 2 2 5 2" xfId="22688" xr:uid="{00000000-0005-0000-0000-0000D1AE0000}"/>
    <cellStyle name="Normal 2 7 2 2 2 6" xfId="9222" xr:uid="{00000000-0005-0000-0000-0000D2AE0000}"/>
    <cellStyle name="Normal 2 7 2 2 2 6 2" xfId="24371" xr:uid="{00000000-0005-0000-0000-0000D3AE0000}"/>
    <cellStyle name="Normal 2 7 2 2 2 7" xfId="10905" xr:uid="{00000000-0005-0000-0000-0000D4AE0000}"/>
    <cellStyle name="Normal 2 7 2 2 2 7 2" xfId="26054" xr:uid="{00000000-0005-0000-0000-0000D5AE0000}"/>
    <cellStyle name="Normal 2 7 2 2 2 8" xfId="12589" xr:uid="{00000000-0005-0000-0000-0000D6AE0000}"/>
    <cellStyle name="Normal 2 7 2 2 2 8 2" xfId="27738" xr:uid="{00000000-0005-0000-0000-0000D7AE0000}"/>
    <cellStyle name="Normal 2 7 2 2 2 9" xfId="14272" xr:uid="{00000000-0005-0000-0000-0000D8AE0000}"/>
    <cellStyle name="Normal 2 7 2 2 2 9 2" xfId="29421" xr:uid="{00000000-0005-0000-0000-0000D9AE0000}"/>
    <cellStyle name="Normal 2 7 2 2 20" xfId="40782" xr:uid="{00000000-0005-0000-0000-0000DAAE0000}"/>
    <cellStyle name="Normal 2 7 2 2 21" xfId="42465" xr:uid="{00000000-0005-0000-0000-0000DBAE0000}"/>
    <cellStyle name="Normal 2 7 2 2 22" xfId="44148" xr:uid="{00000000-0005-0000-0000-0000DCAE0000}"/>
    <cellStyle name="Normal 2 7 2 2 23" xfId="45831" xr:uid="{00000000-0005-0000-0000-0000DDAE0000}"/>
    <cellStyle name="Normal 2 7 2 2 24" xfId="47514" xr:uid="{00000000-0005-0000-0000-0000DEAE0000}"/>
    <cellStyle name="Normal 2 7 2 2 25" xfId="49197" xr:uid="{00000000-0005-0000-0000-0000DFAE0000}"/>
    <cellStyle name="Normal 2 7 2 2 26" xfId="50880" xr:uid="{00000000-0005-0000-0000-0000E0AE0000}"/>
    <cellStyle name="Normal 2 7 2 2 27" xfId="52563" xr:uid="{00000000-0005-0000-0000-0000E1AE0000}"/>
    <cellStyle name="Normal 2 7 2 2 28" xfId="54246" xr:uid="{00000000-0005-0000-0000-0000E2AE0000}"/>
    <cellStyle name="Normal 2 7 2 2 29" xfId="55929" xr:uid="{00000000-0005-0000-0000-0000E3AE0000}"/>
    <cellStyle name="Normal 2 7 2 2 3" xfId="1227" xr:uid="{00000000-0005-0000-0000-0000E4AE0000}"/>
    <cellStyle name="Normal 2 7 2 2 3 10" xfId="16376" xr:uid="{00000000-0005-0000-0000-0000E5AE0000}"/>
    <cellStyle name="Normal 2 7 2 2 3 11" xfId="31525" xr:uid="{00000000-0005-0000-0000-0000E6AE0000}"/>
    <cellStyle name="Normal 2 7 2 2 3 12" xfId="33208" xr:uid="{00000000-0005-0000-0000-0000E7AE0000}"/>
    <cellStyle name="Normal 2 7 2 2 3 13" xfId="34891" xr:uid="{00000000-0005-0000-0000-0000E8AE0000}"/>
    <cellStyle name="Normal 2 7 2 2 3 14" xfId="36574" xr:uid="{00000000-0005-0000-0000-0000E9AE0000}"/>
    <cellStyle name="Normal 2 7 2 2 3 15" xfId="38257" xr:uid="{00000000-0005-0000-0000-0000EAAE0000}"/>
    <cellStyle name="Normal 2 7 2 2 3 16" xfId="39940" xr:uid="{00000000-0005-0000-0000-0000EBAE0000}"/>
    <cellStyle name="Normal 2 7 2 2 3 17" xfId="41623" xr:uid="{00000000-0005-0000-0000-0000ECAE0000}"/>
    <cellStyle name="Normal 2 7 2 2 3 18" xfId="43306" xr:uid="{00000000-0005-0000-0000-0000EDAE0000}"/>
    <cellStyle name="Normal 2 7 2 2 3 19" xfId="44989" xr:uid="{00000000-0005-0000-0000-0000EEAE0000}"/>
    <cellStyle name="Normal 2 7 2 2 3 2" xfId="2910" xr:uid="{00000000-0005-0000-0000-0000EFAE0000}"/>
    <cellStyle name="Normal 2 7 2 2 3 2 2" xfId="18059" xr:uid="{00000000-0005-0000-0000-0000F0AE0000}"/>
    <cellStyle name="Normal 2 7 2 2 3 20" xfId="46672" xr:uid="{00000000-0005-0000-0000-0000F1AE0000}"/>
    <cellStyle name="Normal 2 7 2 2 3 21" xfId="48355" xr:uid="{00000000-0005-0000-0000-0000F2AE0000}"/>
    <cellStyle name="Normal 2 7 2 2 3 22" xfId="50038" xr:uid="{00000000-0005-0000-0000-0000F3AE0000}"/>
    <cellStyle name="Normal 2 7 2 2 3 23" xfId="51721" xr:uid="{00000000-0005-0000-0000-0000F4AE0000}"/>
    <cellStyle name="Normal 2 7 2 2 3 24" xfId="53404" xr:uid="{00000000-0005-0000-0000-0000F5AE0000}"/>
    <cellStyle name="Normal 2 7 2 2 3 25" xfId="55087" xr:uid="{00000000-0005-0000-0000-0000F6AE0000}"/>
    <cellStyle name="Normal 2 7 2 2 3 26" xfId="56770" xr:uid="{00000000-0005-0000-0000-0000F7AE0000}"/>
    <cellStyle name="Normal 2 7 2 2 3 27" xfId="58453" xr:uid="{00000000-0005-0000-0000-0000F8AE0000}"/>
    <cellStyle name="Normal 2 7 2 2 3 28" xfId="60136" xr:uid="{00000000-0005-0000-0000-0000F9AE0000}"/>
    <cellStyle name="Normal 2 7 2 2 3 29" xfId="61819" xr:uid="{00000000-0005-0000-0000-0000FAAE0000}"/>
    <cellStyle name="Normal 2 7 2 2 3 3" xfId="4594" xr:uid="{00000000-0005-0000-0000-0000FBAE0000}"/>
    <cellStyle name="Normal 2 7 2 2 3 3 2" xfId="19743" xr:uid="{00000000-0005-0000-0000-0000FCAE0000}"/>
    <cellStyle name="Normal 2 7 2 2 3 30" xfId="63502" xr:uid="{00000000-0005-0000-0000-0000FDAE0000}"/>
    <cellStyle name="Normal 2 7 2 2 3 4" xfId="6277" xr:uid="{00000000-0005-0000-0000-0000FEAE0000}"/>
    <cellStyle name="Normal 2 7 2 2 3 4 2" xfId="21426" xr:uid="{00000000-0005-0000-0000-0000FFAE0000}"/>
    <cellStyle name="Normal 2 7 2 2 3 5" xfId="7960" xr:uid="{00000000-0005-0000-0000-000000AF0000}"/>
    <cellStyle name="Normal 2 7 2 2 3 5 2" xfId="23109" xr:uid="{00000000-0005-0000-0000-000001AF0000}"/>
    <cellStyle name="Normal 2 7 2 2 3 6" xfId="9643" xr:uid="{00000000-0005-0000-0000-000002AF0000}"/>
    <cellStyle name="Normal 2 7 2 2 3 6 2" xfId="24792" xr:uid="{00000000-0005-0000-0000-000003AF0000}"/>
    <cellStyle name="Normal 2 7 2 2 3 7" xfId="11326" xr:uid="{00000000-0005-0000-0000-000004AF0000}"/>
    <cellStyle name="Normal 2 7 2 2 3 7 2" xfId="26475" xr:uid="{00000000-0005-0000-0000-000005AF0000}"/>
    <cellStyle name="Normal 2 7 2 2 3 8" xfId="13010" xr:uid="{00000000-0005-0000-0000-000006AF0000}"/>
    <cellStyle name="Normal 2 7 2 2 3 8 2" xfId="28159" xr:uid="{00000000-0005-0000-0000-000007AF0000}"/>
    <cellStyle name="Normal 2 7 2 2 3 9" xfId="14693" xr:uid="{00000000-0005-0000-0000-000008AF0000}"/>
    <cellStyle name="Normal 2 7 2 2 3 9 2" xfId="29842" xr:uid="{00000000-0005-0000-0000-000009AF0000}"/>
    <cellStyle name="Normal 2 7 2 2 30" xfId="57612" xr:uid="{00000000-0005-0000-0000-00000AAF0000}"/>
    <cellStyle name="Normal 2 7 2 2 31" xfId="59295" xr:uid="{00000000-0005-0000-0000-00000BAF0000}"/>
    <cellStyle name="Normal 2 7 2 2 32" xfId="60978" xr:uid="{00000000-0005-0000-0000-00000CAF0000}"/>
    <cellStyle name="Normal 2 7 2 2 33" xfId="62661" xr:uid="{00000000-0005-0000-0000-00000DAF0000}"/>
    <cellStyle name="Normal 2 7 2 2 4" xfId="1648" xr:uid="{00000000-0005-0000-0000-00000EAF0000}"/>
    <cellStyle name="Normal 2 7 2 2 4 10" xfId="16797" xr:uid="{00000000-0005-0000-0000-00000FAF0000}"/>
    <cellStyle name="Normal 2 7 2 2 4 11" xfId="31946" xr:uid="{00000000-0005-0000-0000-000010AF0000}"/>
    <cellStyle name="Normal 2 7 2 2 4 12" xfId="33629" xr:uid="{00000000-0005-0000-0000-000011AF0000}"/>
    <cellStyle name="Normal 2 7 2 2 4 13" xfId="35312" xr:uid="{00000000-0005-0000-0000-000012AF0000}"/>
    <cellStyle name="Normal 2 7 2 2 4 14" xfId="36995" xr:uid="{00000000-0005-0000-0000-000013AF0000}"/>
    <cellStyle name="Normal 2 7 2 2 4 15" xfId="38678" xr:uid="{00000000-0005-0000-0000-000014AF0000}"/>
    <cellStyle name="Normal 2 7 2 2 4 16" xfId="40361" xr:uid="{00000000-0005-0000-0000-000015AF0000}"/>
    <cellStyle name="Normal 2 7 2 2 4 17" xfId="42044" xr:uid="{00000000-0005-0000-0000-000016AF0000}"/>
    <cellStyle name="Normal 2 7 2 2 4 18" xfId="43727" xr:uid="{00000000-0005-0000-0000-000017AF0000}"/>
    <cellStyle name="Normal 2 7 2 2 4 19" xfId="45410" xr:uid="{00000000-0005-0000-0000-000018AF0000}"/>
    <cellStyle name="Normal 2 7 2 2 4 2" xfId="3331" xr:uid="{00000000-0005-0000-0000-000019AF0000}"/>
    <cellStyle name="Normal 2 7 2 2 4 2 2" xfId="18480" xr:uid="{00000000-0005-0000-0000-00001AAF0000}"/>
    <cellStyle name="Normal 2 7 2 2 4 20" xfId="47093" xr:uid="{00000000-0005-0000-0000-00001BAF0000}"/>
    <cellStyle name="Normal 2 7 2 2 4 21" xfId="48776" xr:uid="{00000000-0005-0000-0000-00001CAF0000}"/>
    <cellStyle name="Normal 2 7 2 2 4 22" xfId="50459" xr:uid="{00000000-0005-0000-0000-00001DAF0000}"/>
    <cellStyle name="Normal 2 7 2 2 4 23" xfId="52142" xr:uid="{00000000-0005-0000-0000-00001EAF0000}"/>
    <cellStyle name="Normal 2 7 2 2 4 24" xfId="53825" xr:uid="{00000000-0005-0000-0000-00001FAF0000}"/>
    <cellStyle name="Normal 2 7 2 2 4 25" xfId="55508" xr:uid="{00000000-0005-0000-0000-000020AF0000}"/>
    <cellStyle name="Normal 2 7 2 2 4 26" xfId="57191" xr:uid="{00000000-0005-0000-0000-000021AF0000}"/>
    <cellStyle name="Normal 2 7 2 2 4 27" xfId="58874" xr:uid="{00000000-0005-0000-0000-000022AF0000}"/>
    <cellStyle name="Normal 2 7 2 2 4 28" xfId="60557" xr:uid="{00000000-0005-0000-0000-000023AF0000}"/>
    <cellStyle name="Normal 2 7 2 2 4 29" xfId="62240" xr:uid="{00000000-0005-0000-0000-000024AF0000}"/>
    <cellStyle name="Normal 2 7 2 2 4 3" xfId="5015" xr:uid="{00000000-0005-0000-0000-000025AF0000}"/>
    <cellStyle name="Normal 2 7 2 2 4 3 2" xfId="20164" xr:uid="{00000000-0005-0000-0000-000026AF0000}"/>
    <cellStyle name="Normal 2 7 2 2 4 30" xfId="63923" xr:uid="{00000000-0005-0000-0000-000027AF0000}"/>
    <cellStyle name="Normal 2 7 2 2 4 4" xfId="6698" xr:uid="{00000000-0005-0000-0000-000028AF0000}"/>
    <cellStyle name="Normal 2 7 2 2 4 4 2" xfId="21847" xr:uid="{00000000-0005-0000-0000-000029AF0000}"/>
    <cellStyle name="Normal 2 7 2 2 4 5" xfId="8381" xr:uid="{00000000-0005-0000-0000-00002AAF0000}"/>
    <cellStyle name="Normal 2 7 2 2 4 5 2" xfId="23530" xr:uid="{00000000-0005-0000-0000-00002BAF0000}"/>
    <cellStyle name="Normal 2 7 2 2 4 6" xfId="10064" xr:uid="{00000000-0005-0000-0000-00002CAF0000}"/>
    <cellStyle name="Normal 2 7 2 2 4 6 2" xfId="25213" xr:uid="{00000000-0005-0000-0000-00002DAF0000}"/>
    <cellStyle name="Normal 2 7 2 2 4 7" xfId="11747" xr:uid="{00000000-0005-0000-0000-00002EAF0000}"/>
    <cellStyle name="Normal 2 7 2 2 4 7 2" xfId="26896" xr:uid="{00000000-0005-0000-0000-00002FAF0000}"/>
    <cellStyle name="Normal 2 7 2 2 4 8" xfId="13431" xr:uid="{00000000-0005-0000-0000-000030AF0000}"/>
    <cellStyle name="Normal 2 7 2 2 4 8 2" xfId="28580" xr:uid="{00000000-0005-0000-0000-000031AF0000}"/>
    <cellStyle name="Normal 2 7 2 2 4 9" xfId="15114" xr:uid="{00000000-0005-0000-0000-000032AF0000}"/>
    <cellStyle name="Normal 2 7 2 2 4 9 2" xfId="30263" xr:uid="{00000000-0005-0000-0000-000033AF0000}"/>
    <cellStyle name="Normal 2 7 2 2 5" xfId="2069" xr:uid="{00000000-0005-0000-0000-000034AF0000}"/>
    <cellStyle name="Normal 2 7 2 2 5 2" xfId="17218" xr:uid="{00000000-0005-0000-0000-000035AF0000}"/>
    <cellStyle name="Normal 2 7 2 2 6" xfId="3753" xr:uid="{00000000-0005-0000-0000-000036AF0000}"/>
    <cellStyle name="Normal 2 7 2 2 6 2" xfId="18902" xr:uid="{00000000-0005-0000-0000-000037AF0000}"/>
    <cellStyle name="Normal 2 7 2 2 7" xfId="5436" xr:uid="{00000000-0005-0000-0000-000038AF0000}"/>
    <cellStyle name="Normal 2 7 2 2 7 2" xfId="20585" xr:uid="{00000000-0005-0000-0000-000039AF0000}"/>
    <cellStyle name="Normal 2 7 2 2 8" xfId="7119" xr:uid="{00000000-0005-0000-0000-00003AAF0000}"/>
    <cellStyle name="Normal 2 7 2 2 8 2" xfId="22268" xr:uid="{00000000-0005-0000-0000-00003BAF0000}"/>
    <cellStyle name="Normal 2 7 2 2 9" xfId="8802" xr:uid="{00000000-0005-0000-0000-00003CAF0000}"/>
    <cellStyle name="Normal 2 7 2 2 9 2" xfId="23951" xr:uid="{00000000-0005-0000-0000-00003DAF0000}"/>
    <cellStyle name="Normal 2 7 2 20" xfId="38889" xr:uid="{00000000-0005-0000-0000-00003EAF0000}"/>
    <cellStyle name="Normal 2 7 2 21" xfId="40572" xr:uid="{00000000-0005-0000-0000-00003FAF0000}"/>
    <cellStyle name="Normal 2 7 2 22" xfId="42255" xr:uid="{00000000-0005-0000-0000-000040AF0000}"/>
    <cellStyle name="Normal 2 7 2 23" xfId="43938" xr:uid="{00000000-0005-0000-0000-000041AF0000}"/>
    <cellStyle name="Normal 2 7 2 24" xfId="45621" xr:uid="{00000000-0005-0000-0000-000042AF0000}"/>
    <cellStyle name="Normal 2 7 2 25" xfId="47304" xr:uid="{00000000-0005-0000-0000-000043AF0000}"/>
    <cellStyle name="Normal 2 7 2 26" xfId="48987" xr:uid="{00000000-0005-0000-0000-000044AF0000}"/>
    <cellStyle name="Normal 2 7 2 27" xfId="50670" xr:uid="{00000000-0005-0000-0000-000045AF0000}"/>
    <cellStyle name="Normal 2 7 2 28" xfId="52353" xr:uid="{00000000-0005-0000-0000-000046AF0000}"/>
    <cellStyle name="Normal 2 7 2 29" xfId="54036" xr:uid="{00000000-0005-0000-0000-000047AF0000}"/>
    <cellStyle name="Normal 2 7 2 3" xfId="596" xr:uid="{00000000-0005-0000-0000-000048AF0000}"/>
    <cellStyle name="Normal 2 7 2 3 10" xfId="15745" xr:uid="{00000000-0005-0000-0000-000049AF0000}"/>
    <cellStyle name="Normal 2 7 2 3 11" xfId="30894" xr:uid="{00000000-0005-0000-0000-00004AAF0000}"/>
    <cellStyle name="Normal 2 7 2 3 12" xfId="32577" xr:uid="{00000000-0005-0000-0000-00004BAF0000}"/>
    <cellStyle name="Normal 2 7 2 3 13" xfId="34260" xr:uid="{00000000-0005-0000-0000-00004CAF0000}"/>
    <cellStyle name="Normal 2 7 2 3 14" xfId="35943" xr:uid="{00000000-0005-0000-0000-00004DAF0000}"/>
    <cellStyle name="Normal 2 7 2 3 15" xfId="37626" xr:uid="{00000000-0005-0000-0000-00004EAF0000}"/>
    <cellStyle name="Normal 2 7 2 3 16" xfId="39309" xr:uid="{00000000-0005-0000-0000-00004FAF0000}"/>
    <cellStyle name="Normal 2 7 2 3 17" xfId="40992" xr:uid="{00000000-0005-0000-0000-000050AF0000}"/>
    <cellStyle name="Normal 2 7 2 3 18" xfId="42675" xr:uid="{00000000-0005-0000-0000-000051AF0000}"/>
    <cellStyle name="Normal 2 7 2 3 19" xfId="44358" xr:uid="{00000000-0005-0000-0000-000052AF0000}"/>
    <cellStyle name="Normal 2 7 2 3 2" xfId="2279" xr:uid="{00000000-0005-0000-0000-000053AF0000}"/>
    <cellStyle name="Normal 2 7 2 3 2 2" xfId="17428" xr:uid="{00000000-0005-0000-0000-000054AF0000}"/>
    <cellStyle name="Normal 2 7 2 3 20" xfId="46041" xr:uid="{00000000-0005-0000-0000-000055AF0000}"/>
    <cellStyle name="Normal 2 7 2 3 21" xfId="47724" xr:uid="{00000000-0005-0000-0000-000056AF0000}"/>
    <cellStyle name="Normal 2 7 2 3 22" xfId="49407" xr:uid="{00000000-0005-0000-0000-000057AF0000}"/>
    <cellStyle name="Normal 2 7 2 3 23" xfId="51090" xr:uid="{00000000-0005-0000-0000-000058AF0000}"/>
    <cellStyle name="Normal 2 7 2 3 24" xfId="52773" xr:uid="{00000000-0005-0000-0000-000059AF0000}"/>
    <cellStyle name="Normal 2 7 2 3 25" xfId="54456" xr:uid="{00000000-0005-0000-0000-00005AAF0000}"/>
    <cellStyle name="Normal 2 7 2 3 26" xfId="56139" xr:uid="{00000000-0005-0000-0000-00005BAF0000}"/>
    <cellStyle name="Normal 2 7 2 3 27" xfId="57822" xr:uid="{00000000-0005-0000-0000-00005CAF0000}"/>
    <cellStyle name="Normal 2 7 2 3 28" xfId="59505" xr:uid="{00000000-0005-0000-0000-00005DAF0000}"/>
    <cellStyle name="Normal 2 7 2 3 29" xfId="61188" xr:uid="{00000000-0005-0000-0000-00005EAF0000}"/>
    <cellStyle name="Normal 2 7 2 3 3" xfId="3963" xr:uid="{00000000-0005-0000-0000-00005FAF0000}"/>
    <cellStyle name="Normal 2 7 2 3 3 2" xfId="19112" xr:uid="{00000000-0005-0000-0000-000060AF0000}"/>
    <cellStyle name="Normal 2 7 2 3 30" xfId="62871" xr:uid="{00000000-0005-0000-0000-000061AF0000}"/>
    <cellStyle name="Normal 2 7 2 3 4" xfId="5646" xr:uid="{00000000-0005-0000-0000-000062AF0000}"/>
    <cellStyle name="Normal 2 7 2 3 4 2" xfId="20795" xr:uid="{00000000-0005-0000-0000-000063AF0000}"/>
    <cellStyle name="Normal 2 7 2 3 5" xfId="7329" xr:uid="{00000000-0005-0000-0000-000064AF0000}"/>
    <cellStyle name="Normal 2 7 2 3 5 2" xfId="22478" xr:uid="{00000000-0005-0000-0000-000065AF0000}"/>
    <cellStyle name="Normal 2 7 2 3 6" xfId="9012" xr:uid="{00000000-0005-0000-0000-000066AF0000}"/>
    <cellStyle name="Normal 2 7 2 3 6 2" xfId="24161" xr:uid="{00000000-0005-0000-0000-000067AF0000}"/>
    <cellStyle name="Normal 2 7 2 3 7" xfId="10695" xr:uid="{00000000-0005-0000-0000-000068AF0000}"/>
    <cellStyle name="Normal 2 7 2 3 7 2" xfId="25844" xr:uid="{00000000-0005-0000-0000-000069AF0000}"/>
    <cellStyle name="Normal 2 7 2 3 8" xfId="12379" xr:uid="{00000000-0005-0000-0000-00006AAF0000}"/>
    <cellStyle name="Normal 2 7 2 3 8 2" xfId="27528" xr:uid="{00000000-0005-0000-0000-00006BAF0000}"/>
    <cellStyle name="Normal 2 7 2 3 9" xfId="14062" xr:uid="{00000000-0005-0000-0000-00006CAF0000}"/>
    <cellStyle name="Normal 2 7 2 3 9 2" xfId="29211" xr:uid="{00000000-0005-0000-0000-00006DAF0000}"/>
    <cellStyle name="Normal 2 7 2 30" xfId="55719" xr:uid="{00000000-0005-0000-0000-00006EAF0000}"/>
    <cellStyle name="Normal 2 7 2 31" xfId="57402" xr:uid="{00000000-0005-0000-0000-00006FAF0000}"/>
    <cellStyle name="Normal 2 7 2 32" xfId="59085" xr:uid="{00000000-0005-0000-0000-000070AF0000}"/>
    <cellStyle name="Normal 2 7 2 33" xfId="60768" xr:uid="{00000000-0005-0000-0000-000071AF0000}"/>
    <cellStyle name="Normal 2 7 2 34" xfId="62451" xr:uid="{00000000-0005-0000-0000-000072AF0000}"/>
    <cellStyle name="Normal 2 7 2 4" xfId="1017" xr:uid="{00000000-0005-0000-0000-000073AF0000}"/>
    <cellStyle name="Normal 2 7 2 4 10" xfId="16166" xr:uid="{00000000-0005-0000-0000-000074AF0000}"/>
    <cellStyle name="Normal 2 7 2 4 11" xfId="31315" xr:uid="{00000000-0005-0000-0000-000075AF0000}"/>
    <cellStyle name="Normal 2 7 2 4 12" xfId="32998" xr:uid="{00000000-0005-0000-0000-000076AF0000}"/>
    <cellStyle name="Normal 2 7 2 4 13" xfId="34681" xr:uid="{00000000-0005-0000-0000-000077AF0000}"/>
    <cellStyle name="Normal 2 7 2 4 14" xfId="36364" xr:uid="{00000000-0005-0000-0000-000078AF0000}"/>
    <cellStyle name="Normal 2 7 2 4 15" xfId="38047" xr:uid="{00000000-0005-0000-0000-000079AF0000}"/>
    <cellStyle name="Normal 2 7 2 4 16" xfId="39730" xr:uid="{00000000-0005-0000-0000-00007AAF0000}"/>
    <cellStyle name="Normal 2 7 2 4 17" xfId="41413" xr:uid="{00000000-0005-0000-0000-00007BAF0000}"/>
    <cellStyle name="Normal 2 7 2 4 18" xfId="43096" xr:uid="{00000000-0005-0000-0000-00007CAF0000}"/>
    <cellStyle name="Normal 2 7 2 4 19" xfId="44779" xr:uid="{00000000-0005-0000-0000-00007DAF0000}"/>
    <cellStyle name="Normal 2 7 2 4 2" xfId="2700" xr:uid="{00000000-0005-0000-0000-00007EAF0000}"/>
    <cellStyle name="Normal 2 7 2 4 2 2" xfId="17849" xr:uid="{00000000-0005-0000-0000-00007FAF0000}"/>
    <cellStyle name="Normal 2 7 2 4 20" xfId="46462" xr:uid="{00000000-0005-0000-0000-000080AF0000}"/>
    <cellStyle name="Normal 2 7 2 4 21" xfId="48145" xr:uid="{00000000-0005-0000-0000-000081AF0000}"/>
    <cellStyle name="Normal 2 7 2 4 22" xfId="49828" xr:uid="{00000000-0005-0000-0000-000082AF0000}"/>
    <cellStyle name="Normal 2 7 2 4 23" xfId="51511" xr:uid="{00000000-0005-0000-0000-000083AF0000}"/>
    <cellStyle name="Normal 2 7 2 4 24" xfId="53194" xr:uid="{00000000-0005-0000-0000-000084AF0000}"/>
    <cellStyle name="Normal 2 7 2 4 25" xfId="54877" xr:uid="{00000000-0005-0000-0000-000085AF0000}"/>
    <cellStyle name="Normal 2 7 2 4 26" xfId="56560" xr:uid="{00000000-0005-0000-0000-000086AF0000}"/>
    <cellStyle name="Normal 2 7 2 4 27" xfId="58243" xr:uid="{00000000-0005-0000-0000-000087AF0000}"/>
    <cellStyle name="Normal 2 7 2 4 28" xfId="59926" xr:uid="{00000000-0005-0000-0000-000088AF0000}"/>
    <cellStyle name="Normal 2 7 2 4 29" xfId="61609" xr:uid="{00000000-0005-0000-0000-000089AF0000}"/>
    <cellStyle name="Normal 2 7 2 4 3" xfId="4384" xr:uid="{00000000-0005-0000-0000-00008AAF0000}"/>
    <cellStyle name="Normal 2 7 2 4 3 2" xfId="19533" xr:uid="{00000000-0005-0000-0000-00008BAF0000}"/>
    <cellStyle name="Normal 2 7 2 4 30" xfId="63292" xr:uid="{00000000-0005-0000-0000-00008CAF0000}"/>
    <cellStyle name="Normal 2 7 2 4 4" xfId="6067" xr:uid="{00000000-0005-0000-0000-00008DAF0000}"/>
    <cellStyle name="Normal 2 7 2 4 4 2" xfId="21216" xr:uid="{00000000-0005-0000-0000-00008EAF0000}"/>
    <cellStyle name="Normal 2 7 2 4 5" xfId="7750" xr:uid="{00000000-0005-0000-0000-00008FAF0000}"/>
    <cellStyle name="Normal 2 7 2 4 5 2" xfId="22899" xr:uid="{00000000-0005-0000-0000-000090AF0000}"/>
    <cellStyle name="Normal 2 7 2 4 6" xfId="9433" xr:uid="{00000000-0005-0000-0000-000091AF0000}"/>
    <cellStyle name="Normal 2 7 2 4 6 2" xfId="24582" xr:uid="{00000000-0005-0000-0000-000092AF0000}"/>
    <cellStyle name="Normal 2 7 2 4 7" xfId="11116" xr:uid="{00000000-0005-0000-0000-000093AF0000}"/>
    <cellStyle name="Normal 2 7 2 4 7 2" xfId="26265" xr:uid="{00000000-0005-0000-0000-000094AF0000}"/>
    <cellStyle name="Normal 2 7 2 4 8" xfId="12800" xr:uid="{00000000-0005-0000-0000-000095AF0000}"/>
    <cellStyle name="Normal 2 7 2 4 8 2" xfId="27949" xr:uid="{00000000-0005-0000-0000-000096AF0000}"/>
    <cellStyle name="Normal 2 7 2 4 9" xfId="14483" xr:uid="{00000000-0005-0000-0000-000097AF0000}"/>
    <cellStyle name="Normal 2 7 2 4 9 2" xfId="29632" xr:uid="{00000000-0005-0000-0000-000098AF0000}"/>
    <cellStyle name="Normal 2 7 2 5" xfId="1438" xr:uid="{00000000-0005-0000-0000-000099AF0000}"/>
    <cellStyle name="Normal 2 7 2 5 10" xfId="16587" xr:uid="{00000000-0005-0000-0000-00009AAF0000}"/>
    <cellStyle name="Normal 2 7 2 5 11" xfId="31736" xr:uid="{00000000-0005-0000-0000-00009BAF0000}"/>
    <cellStyle name="Normal 2 7 2 5 12" xfId="33419" xr:uid="{00000000-0005-0000-0000-00009CAF0000}"/>
    <cellStyle name="Normal 2 7 2 5 13" xfId="35102" xr:uid="{00000000-0005-0000-0000-00009DAF0000}"/>
    <cellStyle name="Normal 2 7 2 5 14" xfId="36785" xr:uid="{00000000-0005-0000-0000-00009EAF0000}"/>
    <cellStyle name="Normal 2 7 2 5 15" xfId="38468" xr:uid="{00000000-0005-0000-0000-00009FAF0000}"/>
    <cellStyle name="Normal 2 7 2 5 16" xfId="40151" xr:uid="{00000000-0005-0000-0000-0000A0AF0000}"/>
    <cellStyle name="Normal 2 7 2 5 17" xfId="41834" xr:uid="{00000000-0005-0000-0000-0000A1AF0000}"/>
    <cellStyle name="Normal 2 7 2 5 18" xfId="43517" xr:uid="{00000000-0005-0000-0000-0000A2AF0000}"/>
    <cellStyle name="Normal 2 7 2 5 19" xfId="45200" xr:uid="{00000000-0005-0000-0000-0000A3AF0000}"/>
    <cellStyle name="Normal 2 7 2 5 2" xfId="3121" xr:uid="{00000000-0005-0000-0000-0000A4AF0000}"/>
    <cellStyle name="Normal 2 7 2 5 2 2" xfId="18270" xr:uid="{00000000-0005-0000-0000-0000A5AF0000}"/>
    <cellStyle name="Normal 2 7 2 5 20" xfId="46883" xr:uid="{00000000-0005-0000-0000-0000A6AF0000}"/>
    <cellStyle name="Normal 2 7 2 5 21" xfId="48566" xr:uid="{00000000-0005-0000-0000-0000A7AF0000}"/>
    <cellStyle name="Normal 2 7 2 5 22" xfId="50249" xr:uid="{00000000-0005-0000-0000-0000A8AF0000}"/>
    <cellStyle name="Normal 2 7 2 5 23" xfId="51932" xr:uid="{00000000-0005-0000-0000-0000A9AF0000}"/>
    <cellStyle name="Normal 2 7 2 5 24" xfId="53615" xr:uid="{00000000-0005-0000-0000-0000AAAF0000}"/>
    <cellStyle name="Normal 2 7 2 5 25" xfId="55298" xr:uid="{00000000-0005-0000-0000-0000ABAF0000}"/>
    <cellStyle name="Normal 2 7 2 5 26" xfId="56981" xr:uid="{00000000-0005-0000-0000-0000ACAF0000}"/>
    <cellStyle name="Normal 2 7 2 5 27" xfId="58664" xr:uid="{00000000-0005-0000-0000-0000ADAF0000}"/>
    <cellStyle name="Normal 2 7 2 5 28" xfId="60347" xr:uid="{00000000-0005-0000-0000-0000AEAF0000}"/>
    <cellStyle name="Normal 2 7 2 5 29" xfId="62030" xr:uid="{00000000-0005-0000-0000-0000AFAF0000}"/>
    <cellStyle name="Normal 2 7 2 5 3" xfId="4805" xr:uid="{00000000-0005-0000-0000-0000B0AF0000}"/>
    <cellStyle name="Normal 2 7 2 5 3 2" xfId="19954" xr:uid="{00000000-0005-0000-0000-0000B1AF0000}"/>
    <cellStyle name="Normal 2 7 2 5 30" xfId="63713" xr:uid="{00000000-0005-0000-0000-0000B2AF0000}"/>
    <cellStyle name="Normal 2 7 2 5 4" xfId="6488" xr:uid="{00000000-0005-0000-0000-0000B3AF0000}"/>
    <cellStyle name="Normal 2 7 2 5 4 2" xfId="21637" xr:uid="{00000000-0005-0000-0000-0000B4AF0000}"/>
    <cellStyle name="Normal 2 7 2 5 5" xfId="8171" xr:uid="{00000000-0005-0000-0000-0000B5AF0000}"/>
    <cellStyle name="Normal 2 7 2 5 5 2" xfId="23320" xr:uid="{00000000-0005-0000-0000-0000B6AF0000}"/>
    <cellStyle name="Normal 2 7 2 5 6" xfId="9854" xr:uid="{00000000-0005-0000-0000-0000B7AF0000}"/>
    <cellStyle name="Normal 2 7 2 5 6 2" xfId="25003" xr:uid="{00000000-0005-0000-0000-0000B8AF0000}"/>
    <cellStyle name="Normal 2 7 2 5 7" xfId="11537" xr:uid="{00000000-0005-0000-0000-0000B9AF0000}"/>
    <cellStyle name="Normal 2 7 2 5 7 2" xfId="26686" xr:uid="{00000000-0005-0000-0000-0000BAAF0000}"/>
    <cellStyle name="Normal 2 7 2 5 8" xfId="13221" xr:uid="{00000000-0005-0000-0000-0000BBAF0000}"/>
    <cellStyle name="Normal 2 7 2 5 8 2" xfId="28370" xr:uid="{00000000-0005-0000-0000-0000BCAF0000}"/>
    <cellStyle name="Normal 2 7 2 5 9" xfId="14904" xr:uid="{00000000-0005-0000-0000-0000BDAF0000}"/>
    <cellStyle name="Normal 2 7 2 5 9 2" xfId="30053" xr:uid="{00000000-0005-0000-0000-0000BEAF0000}"/>
    <cellStyle name="Normal 2 7 2 6" xfId="1859" xr:uid="{00000000-0005-0000-0000-0000BFAF0000}"/>
    <cellStyle name="Normal 2 7 2 6 2" xfId="17008" xr:uid="{00000000-0005-0000-0000-0000C0AF0000}"/>
    <cellStyle name="Normal 2 7 2 7" xfId="3543" xr:uid="{00000000-0005-0000-0000-0000C1AF0000}"/>
    <cellStyle name="Normal 2 7 2 7 2" xfId="18692" xr:uid="{00000000-0005-0000-0000-0000C2AF0000}"/>
    <cellStyle name="Normal 2 7 2 8" xfId="5226" xr:uid="{00000000-0005-0000-0000-0000C3AF0000}"/>
    <cellStyle name="Normal 2 7 2 8 2" xfId="20375" xr:uid="{00000000-0005-0000-0000-0000C4AF0000}"/>
    <cellStyle name="Normal 2 7 2 9" xfId="6909" xr:uid="{00000000-0005-0000-0000-0000C5AF0000}"/>
    <cellStyle name="Normal 2 7 2 9 2" xfId="22058" xr:uid="{00000000-0005-0000-0000-0000C6AF0000}"/>
    <cellStyle name="Normal 2 7 20" xfId="37101" xr:uid="{00000000-0005-0000-0000-0000C7AF0000}"/>
    <cellStyle name="Normal 2 7 21" xfId="38784" xr:uid="{00000000-0005-0000-0000-0000C8AF0000}"/>
    <cellStyle name="Normal 2 7 22" xfId="40467" xr:uid="{00000000-0005-0000-0000-0000C9AF0000}"/>
    <cellStyle name="Normal 2 7 23" xfId="42150" xr:uid="{00000000-0005-0000-0000-0000CAAF0000}"/>
    <cellStyle name="Normal 2 7 24" xfId="43833" xr:uid="{00000000-0005-0000-0000-0000CBAF0000}"/>
    <cellStyle name="Normal 2 7 25" xfId="45516" xr:uid="{00000000-0005-0000-0000-0000CCAF0000}"/>
    <cellStyle name="Normal 2 7 26" xfId="47199" xr:uid="{00000000-0005-0000-0000-0000CDAF0000}"/>
    <cellStyle name="Normal 2 7 27" xfId="48882" xr:uid="{00000000-0005-0000-0000-0000CEAF0000}"/>
    <cellStyle name="Normal 2 7 28" xfId="50565" xr:uid="{00000000-0005-0000-0000-0000CFAF0000}"/>
    <cellStyle name="Normal 2 7 29" xfId="52248" xr:uid="{00000000-0005-0000-0000-0000D0AF0000}"/>
    <cellStyle name="Normal 2 7 3" xfId="281" xr:uid="{00000000-0005-0000-0000-0000D1AF0000}"/>
    <cellStyle name="Normal 2 7 3 10" xfId="10380" xr:uid="{00000000-0005-0000-0000-0000D2AF0000}"/>
    <cellStyle name="Normal 2 7 3 10 2" xfId="25529" xr:uid="{00000000-0005-0000-0000-0000D3AF0000}"/>
    <cellStyle name="Normal 2 7 3 11" xfId="12064" xr:uid="{00000000-0005-0000-0000-0000D4AF0000}"/>
    <cellStyle name="Normal 2 7 3 11 2" xfId="27213" xr:uid="{00000000-0005-0000-0000-0000D5AF0000}"/>
    <cellStyle name="Normal 2 7 3 12" xfId="13747" xr:uid="{00000000-0005-0000-0000-0000D6AF0000}"/>
    <cellStyle name="Normal 2 7 3 12 2" xfId="28896" xr:uid="{00000000-0005-0000-0000-0000D7AF0000}"/>
    <cellStyle name="Normal 2 7 3 13" xfId="15430" xr:uid="{00000000-0005-0000-0000-0000D8AF0000}"/>
    <cellStyle name="Normal 2 7 3 14" xfId="30579" xr:uid="{00000000-0005-0000-0000-0000D9AF0000}"/>
    <cellStyle name="Normal 2 7 3 15" xfId="32262" xr:uid="{00000000-0005-0000-0000-0000DAAF0000}"/>
    <cellStyle name="Normal 2 7 3 16" xfId="33945" xr:uid="{00000000-0005-0000-0000-0000DBAF0000}"/>
    <cellStyle name="Normal 2 7 3 17" xfId="35628" xr:uid="{00000000-0005-0000-0000-0000DCAF0000}"/>
    <cellStyle name="Normal 2 7 3 18" xfId="37311" xr:uid="{00000000-0005-0000-0000-0000DDAF0000}"/>
    <cellStyle name="Normal 2 7 3 19" xfId="38994" xr:uid="{00000000-0005-0000-0000-0000DEAF0000}"/>
    <cellStyle name="Normal 2 7 3 2" xfId="701" xr:uid="{00000000-0005-0000-0000-0000DFAF0000}"/>
    <cellStyle name="Normal 2 7 3 2 10" xfId="15850" xr:uid="{00000000-0005-0000-0000-0000E0AF0000}"/>
    <cellStyle name="Normal 2 7 3 2 11" xfId="30999" xr:uid="{00000000-0005-0000-0000-0000E1AF0000}"/>
    <cellStyle name="Normal 2 7 3 2 12" xfId="32682" xr:uid="{00000000-0005-0000-0000-0000E2AF0000}"/>
    <cellStyle name="Normal 2 7 3 2 13" xfId="34365" xr:uid="{00000000-0005-0000-0000-0000E3AF0000}"/>
    <cellStyle name="Normal 2 7 3 2 14" xfId="36048" xr:uid="{00000000-0005-0000-0000-0000E4AF0000}"/>
    <cellStyle name="Normal 2 7 3 2 15" xfId="37731" xr:uid="{00000000-0005-0000-0000-0000E5AF0000}"/>
    <cellStyle name="Normal 2 7 3 2 16" xfId="39414" xr:uid="{00000000-0005-0000-0000-0000E6AF0000}"/>
    <cellStyle name="Normal 2 7 3 2 17" xfId="41097" xr:uid="{00000000-0005-0000-0000-0000E7AF0000}"/>
    <cellStyle name="Normal 2 7 3 2 18" xfId="42780" xr:uid="{00000000-0005-0000-0000-0000E8AF0000}"/>
    <cellStyle name="Normal 2 7 3 2 19" xfId="44463" xr:uid="{00000000-0005-0000-0000-0000E9AF0000}"/>
    <cellStyle name="Normal 2 7 3 2 2" xfId="2384" xr:uid="{00000000-0005-0000-0000-0000EAAF0000}"/>
    <cellStyle name="Normal 2 7 3 2 2 2" xfId="17533" xr:uid="{00000000-0005-0000-0000-0000EBAF0000}"/>
    <cellStyle name="Normal 2 7 3 2 20" xfId="46146" xr:uid="{00000000-0005-0000-0000-0000ECAF0000}"/>
    <cellStyle name="Normal 2 7 3 2 21" xfId="47829" xr:uid="{00000000-0005-0000-0000-0000EDAF0000}"/>
    <cellStyle name="Normal 2 7 3 2 22" xfId="49512" xr:uid="{00000000-0005-0000-0000-0000EEAF0000}"/>
    <cellStyle name="Normal 2 7 3 2 23" xfId="51195" xr:uid="{00000000-0005-0000-0000-0000EFAF0000}"/>
    <cellStyle name="Normal 2 7 3 2 24" xfId="52878" xr:uid="{00000000-0005-0000-0000-0000F0AF0000}"/>
    <cellStyle name="Normal 2 7 3 2 25" xfId="54561" xr:uid="{00000000-0005-0000-0000-0000F1AF0000}"/>
    <cellStyle name="Normal 2 7 3 2 26" xfId="56244" xr:uid="{00000000-0005-0000-0000-0000F2AF0000}"/>
    <cellStyle name="Normal 2 7 3 2 27" xfId="57927" xr:uid="{00000000-0005-0000-0000-0000F3AF0000}"/>
    <cellStyle name="Normal 2 7 3 2 28" xfId="59610" xr:uid="{00000000-0005-0000-0000-0000F4AF0000}"/>
    <cellStyle name="Normal 2 7 3 2 29" xfId="61293" xr:uid="{00000000-0005-0000-0000-0000F5AF0000}"/>
    <cellStyle name="Normal 2 7 3 2 3" xfId="4068" xr:uid="{00000000-0005-0000-0000-0000F6AF0000}"/>
    <cellStyle name="Normal 2 7 3 2 3 2" xfId="19217" xr:uid="{00000000-0005-0000-0000-0000F7AF0000}"/>
    <cellStyle name="Normal 2 7 3 2 30" xfId="62976" xr:uid="{00000000-0005-0000-0000-0000F8AF0000}"/>
    <cellStyle name="Normal 2 7 3 2 4" xfId="5751" xr:uid="{00000000-0005-0000-0000-0000F9AF0000}"/>
    <cellStyle name="Normal 2 7 3 2 4 2" xfId="20900" xr:uid="{00000000-0005-0000-0000-0000FAAF0000}"/>
    <cellStyle name="Normal 2 7 3 2 5" xfId="7434" xr:uid="{00000000-0005-0000-0000-0000FBAF0000}"/>
    <cellStyle name="Normal 2 7 3 2 5 2" xfId="22583" xr:uid="{00000000-0005-0000-0000-0000FCAF0000}"/>
    <cellStyle name="Normal 2 7 3 2 6" xfId="9117" xr:uid="{00000000-0005-0000-0000-0000FDAF0000}"/>
    <cellStyle name="Normal 2 7 3 2 6 2" xfId="24266" xr:uid="{00000000-0005-0000-0000-0000FEAF0000}"/>
    <cellStyle name="Normal 2 7 3 2 7" xfId="10800" xr:uid="{00000000-0005-0000-0000-0000FFAF0000}"/>
    <cellStyle name="Normal 2 7 3 2 7 2" xfId="25949" xr:uid="{00000000-0005-0000-0000-000000B00000}"/>
    <cellStyle name="Normal 2 7 3 2 8" xfId="12484" xr:uid="{00000000-0005-0000-0000-000001B00000}"/>
    <cellStyle name="Normal 2 7 3 2 8 2" xfId="27633" xr:uid="{00000000-0005-0000-0000-000002B00000}"/>
    <cellStyle name="Normal 2 7 3 2 9" xfId="14167" xr:uid="{00000000-0005-0000-0000-000003B00000}"/>
    <cellStyle name="Normal 2 7 3 2 9 2" xfId="29316" xr:uid="{00000000-0005-0000-0000-000004B00000}"/>
    <cellStyle name="Normal 2 7 3 20" xfId="40677" xr:uid="{00000000-0005-0000-0000-000005B00000}"/>
    <cellStyle name="Normal 2 7 3 21" xfId="42360" xr:uid="{00000000-0005-0000-0000-000006B00000}"/>
    <cellStyle name="Normal 2 7 3 22" xfId="44043" xr:uid="{00000000-0005-0000-0000-000007B00000}"/>
    <cellStyle name="Normal 2 7 3 23" xfId="45726" xr:uid="{00000000-0005-0000-0000-000008B00000}"/>
    <cellStyle name="Normal 2 7 3 24" xfId="47409" xr:uid="{00000000-0005-0000-0000-000009B00000}"/>
    <cellStyle name="Normal 2 7 3 25" xfId="49092" xr:uid="{00000000-0005-0000-0000-00000AB00000}"/>
    <cellStyle name="Normal 2 7 3 26" xfId="50775" xr:uid="{00000000-0005-0000-0000-00000BB00000}"/>
    <cellStyle name="Normal 2 7 3 27" xfId="52458" xr:uid="{00000000-0005-0000-0000-00000CB00000}"/>
    <cellStyle name="Normal 2 7 3 28" xfId="54141" xr:uid="{00000000-0005-0000-0000-00000DB00000}"/>
    <cellStyle name="Normal 2 7 3 29" xfId="55824" xr:uid="{00000000-0005-0000-0000-00000EB00000}"/>
    <cellStyle name="Normal 2 7 3 3" xfId="1122" xr:uid="{00000000-0005-0000-0000-00000FB00000}"/>
    <cellStyle name="Normal 2 7 3 3 10" xfId="16271" xr:uid="{00000000-0005-0000-0000-000010B00000}"/>
    <cellStyle name="Normal 2 7 3 3 11" xfId="31420" xr:uid="{00000000-0005-0000-0000-000011B00000}"/>
    <cellStyle name="Normal 2 7 3 3 12" xfId="33103" xr:uid="{00000000-0005-0000-0000-000012B00000}"/>
    <cellStyle name="Normal 2 7 3 3 13" xfId="34786" xr:uid="{00000000-0005-0000-0000-000013B00000}"/>
    <cellStyle name="Normal 2 7 3 3 14" xfId="36469" xr:uid="{00000000-0005-0000-0000-000014B00000}"/>
    <cellStyle name="Normal 2 7 3 3 15" xfId="38152" xr:uid="{00000000-0005-0000-0000-000015B00000}"/>
    <cellStyle name="Normal 2 7 3 3 16" xfId="39835" xr:uid="{00000000-0005-0000-0000-000016B00000}"/>
    <cellStyle name="Normal 2 7 3 3 17" xfId="41518" xr:uid="{00000000-0005-0000-0000-000017B00000}"/>
    <cellStyle name="Normal 2 7 3 3 18" xfId="43201" xr:uid="{00000000-0005-0000-0000-000018B00000}"/>
    <cellStyle name="Normal 2 7 3 3 19" xfId="44884" xr:uid="{00000000-0005-0000-0000-000019B00000}"/>
    <cellStyle name="Normal 2 7 3 3 2" xfId="2805" xr:uid="{00000000-0005-0000-0000-00001AB00000}"/>
    <cellStyle name="Normal 2 7 3 3 2 2" xfId="17954" xr:uid="{00000000-0005-0000-0000-00001BB00000}"/>
    <cellStyle name="Normal 2 7 3 3 20" xfId="46567" xr:uid="{00000000-0005-0000-0000-00001CB00000}"/>
    <cellStyle name="Normal 2 7 3 3 21" xfId="48250" xr:uid="{00000000-0005-0000-0000-00001DB00000}"/>
    <cellStyle name="Normal 2 7 3 3 22" xfId="49933" xr:uid="{00000000-0005-0000-0000-00001EB00000}"/>
    <cellStyle name="Normal 2 7 3 3 23" xfId="51616" xr:uid="{00000000-0005-0000-0000-00001FB00000}"/>
    <cellStyle name="Normal 2 7 3 3 24" xfId="53299" xr:uid="{00000000-0005-0000-0000-000020B00000}"/>
    <cellStyle name="Normal 2 7 3 3 25" xfId="54982" xr:uid="{00000000-0005-0000-0000-000021B00000}"/>
    <cellStyle name="Normal 2 7 3 3 26" xfId="56665" xr:uid="{00000000-0005-0000-0000-000022B00000}"/>
    <cellStyle name="Normal 2 7 3 3 27" xfId="58348" xr:uid="{00000000-0005-0000-0000-000023B00000}"/>
    <cellStyle name="Normal 2 7 3 3 28" xfId="60031" xr:uid="{00000000-0005-0000-0000-000024B00000}"/>
    <cellStyle name="Normal 2 7 3 3 29" xfId="61714" xr:uid="{00000000-0005-0000-0000-000025B00000}"/>
    <cellStyle name="Normal 2 7 3 3 3" xfId="4489" xr:uid="{00000000-0005-0000-0000-000026B00000}"/>
    <cellStyle name="Normal 2 7 3 3 3 2" xfId="19638" xr:uid="{00000000-0005-0000-0000-000027B00000}"/>
    <cellStyle name="Normal 2 7 3 3 30" xfId="63397" xr:uid="{00000000-0005-0000-0000-000028B00000}"/>
    <cellStyle name="Normal 2 7 3 3 4" xfId="6172" xr:uid="{00000000-0005-0000-0000-000029B00000}"/>
    <cellStyle name="Normal 2 7 3 3 4 2" xfId="21321" xr:uid="{00000000-0005-0000-0000-00002AB00000}"/>
    <cellStyle name="Normal 2 7 3 3 5" xfId="7855" xr:uid="{00000000-0005-0000-0000-00002BB00000}"/>
    <cellStyle name="Normal 2 7 3 3 5 2" xfId="23004" xr:uid="{00000000-0005-0000-0000-00002CB00000}"/>
    <cellStyle name="Normal 2 7 3 3 6" xfId="9538" xr:uid="{00000000-0005-0000-0000-00002DB00000}"/>
    <cellStyle name="Normal 2 7 3 3 6 2" xfId="24687" xr:uid="{00000000-0005-0000-0000-00002EB00000}"/>
    <cellStyle name="Normal 2 7 3 3 7" xfId="11221" xr:uid="{00000000-0005-0000-0000-00002FB00000}"/>
    <cellStyle name="Normal 2 7 3 3 7 2" xfId="26370" xr:uid="{00000000-0005-0000-0000-000030B00000}"/>
    <cellStyle name="Normal 2 7 3 3 8" xfId="12905" xr:uid="{00000000-0005-0000-0000-000031B00000}"/>
    <cellStyle name="Normal 2 7 3 3 8 2" xfId="28054" xr:uid="{00000000-0005-0000-0000-000032B00000}"/>
    <cellStyle name="Normal 2 7 3 3 9" xfId="14588" xr:uid="{00000000-0005-0000-0000-000033B00000}"/>
    <cellStyle name="Normal 2 7 3 3 9 2" xfId="29737" xr:uid="{00000000-0005-0000-0000-000034B00000}"/>
    <cellStyle name="Normal 2 7 3 30" xfId="57507" xr:uid="{00000000-0005-0000-0000-000035B00000}"/>
    <cellStyle name="Normal 2 7 3 31" xfId="59190" xr:uid="{00000000-0005-0000-0000-000036B00000}"/>
    <cellStyle name="Normal 2 7 3 32" xfId="60873" xr:uid="{00000000-0005-0000-0000-000037B00000}"/>
    <cellStyle name="Normal 2 7 3 33" xfId="62556" xr:uid="{00000000-0005-0000-0000-000038B00000}"/>
    <cellStyle name="Normal 2 7 3 4" xfId="1543" xr:uid="{00000000-0005-0000-0000-000039B00000}"/>
    <cellStyle name="Normal 2 7 3 4 10" xfId="16692" xr:uid="{00000000-0005-0000-0000-00003AB00000}"/>
    <cellStyle name="Normal 2 7 3 4 11" xfId="31841" xr:uid="{00000000-0005-0000-0000-00003BB00000}"/>
    <cellStyle name="Normal 2 7 3 4 12" xfId="33524" xr:uid="{00000000-0005-0000-0000-00003CB00000}"/>
    <cellStyle name="Normal 2 7 3 4 13" xfId="35207" xr:uid="{00000000-0005-0000-0000-00003DB00000}"/>
    <cellStyle name="Normal 2 7 3 4 14" xfId="36890" xr:uid="{00000000-0005-0000-0000-00003EB00000}"/>
    <cellStyle name="Normal 2 7 3 4 15" xfId="38573" xr:uid="{00000000-0005-0000-0000-00003FB00000}"/>
    <cellStyle name="Normal 2 7 3 4 16" xfId="40256" xr:uid="{00000000-0005-0000-0000-000040B00000}"/>
    <cellStyle name="Normal 2 7 3 4 17" xfId="41939" xr:uid="{00000000-0005-0000-0000-000041B00000}"/>
    <cellStyle name="Normal 2 7 3 4 18" xfId="43622" xr:uid="{00000000-0005-0000-0000-000042B00000}"/>
    <cellStyle name="Normal 2 7 3 4 19" xfId="45305" xr:uid="{00000000-0005-0000-0000-000043B00000}"/>
    <cellStyle name="Normal 2 7 3 4 2" xfId="3226" xr:uid="{00000000-0005-0000-0000-000044B00000}"/>
    <cellStyle name="Normal 2 7 3 4 2 2" xfId="18375" xr:uid="{00000000-0005-0000-0000-000045B00000}"/>
    <cellStyle name="Normal 2 7 3 4 20" xfId="46988" xr:uid="{00000000-0005-0000-0000-000046B00000}"/>
    <cellStyle name="Normal 2 7 3 4 21" xfId="48671" xr:uid="{00000000-0005-0000-0000-000047B00000}"/>
    <cellStyle name="Normal 2 7 3 4 22" xfId="50354" xr:uid="{00000000-0005-0000-0000-000048B00000}"/>
    <cellStyle name="Normal 2 7 3 4 23" xfId="52037" xr:uid="{00000000-0005-0000-0000-000049B00000}"/>
    <cellStyle name="Normal 2 7 3 4 24" xfId="53720" xr:uid="{00000000-0005-0000-0000-00004AB00000}"/>
    <cellStyle name="Normal 2 7 3 4 25" xfId="55403" xr:uid="{00000000-0005-0000-0000-00004BB00000}"/>
    <cellStyle name="Normal 2 7 3 4 26" xfId="57086" xr:uid="{00000000-0005-0000-0000-00004CB00000}"/>
    <cellStyle name="Normal 2 7 3 4 27" xfId="58769" xr:uid="{00000000-0005-0000-0000-00004DB00000}"/>
    <cellStyle name="Normal 2 7 3 4 28" xfId="60452" xr:uid="{00000000-0005-0000-0000-00004EB00000}"/>
    <cellStyle name="Normal 2 7 3 4 29" xfId="62135" xr:uid="{00000000-0005-0000-0000-00004FB00000}"/>
    <cellStyle name="Normal 2 7 3 4 3" xfId="4910" xr:uid="{00000000-0005-0000-0000-000050B00000}"/>
    <cellStyle name="Normal 2 7 3 4 3 2" xfId="20059" xr:uid="{00000000-0005-0000-0000-000051B00000}"/>
    <cellStyle name="Normal 2 7 3 4 30" xfId="63818" xr:uid="{00000000-0005-0000-0000-000052B00000}"/>
    <cellStyle name="Normal 2 7 3 4 4" xfId="6593" xr:uid="{00000000-0005-0000-0000-000053B00000}"/>
    <cellStyle name="Normal 2 7 3 4 4 2" xfId="21742" xr:uid="{00000000-0005-0000-0000-000054B00000}"/>
    <cellStyle name="Normal 2 7 3 4 5" xfId="8276" xr:uid="{00000000-0005-0000-0000-000055B00000}"/>
    <cellStyle name="Normal 2 7 3 4 5 2" xfId="23425" xr:uid="{00000000-0005-0000-0000-000056B00000}"/>
    <cellStyle name="Normal 2 7 3 4 6" xfId="9959" xr:uid="{00000000-0005-0000-0000-000057B00000}"/>
    <cellStyle name="Normal 2 7 3 4 6 2" xfId="25108" xr:uid="{00000000-0005-0000-0000-000058B00000}"/>
    <cellStyle name="Normal 2 7 3 4 7" xfId="11642" xr:uid="{00000000-0005-0000-0000-000059B00000}"/>
    <cellStyle name="Normal 2 7 3 4 7 2" xfId="26791" xr:uid="{00000000-0005-0000-0000-00005AB00000}"/>
    <cellStyle name="Normal 2 7 3 4 8" xfId="13326" xr:uid="{00000000-0005-0000-0000-00005BB00000}"/>
    <cellStyle name="Normal 2 7 3 4 8 2" xfId="28475" xr:uid="{00000000-0005-0000-0000-00005CB00000}"/>
    <cellStyle name="Normal 2 7 3 4 9" xfId="15009" xr:uid="{00000000-0005-0000-0000-00005DB00000}"/>
    <cellStyle name="Normal 2 7 3 4 9 2" xfId="30158" xr:uid="{00000000-0005-0000-0000-00005EB00000}"/>
    <cellStyle name="Normal 2 7 3 5" xfId="1964" xr:uid="{00000000-0005-0000-0000-00005FB00000}"/>
    <cellStyle name="Normal 2 7 3 5 2" xfId="17113" xr:uid="{00000000-0005-0000-0000-000060B00000}"/>
    <cellStyle name="Normal 2 7 3 6" xfId="3648" xr:uid="{00000000-0005-0000-0000-000061B00000}"/>
    <cellStyle name="Normal 2 7 3 6 2" xfId="18797" xr:uid="{00000000-0005-0000-0000-000062B00000}"/>
    <cellStyle name="Normal 2 7 3 7" xfId="5331" xr:uid="{00000000-0005-0000-0000-000063B00000}"/>
    <cellStyle name="Normal 2 7 3 7 2" xfId="20480" xr:uid="{00000000-0005-0000-0000-000064B00000}"/>
    <cellStyle name="Normal 2 7 3 8" xfId="7014" xr:uid="{00000000-0005-0000-0000-000065B00000}"/>
    <cellStyle name="Normal 2 7 3 8 2" xfId="22163" xr:uid="{00000000-0005-0000-0000-000066B00000}"/>
    <cellStyle name="Normal 2 7 3 9" xfId="8697" xr:uid="{00000000-0005-0000-0000-000067B00000}"/>
    <cellStyle name="Normal 2 7 3 9 2" xfId="23846" xr:uid="{00000000-0005-0000-0000-000068B00000}"/>
    <cellStyle name="Normal 2 7 30" xfId="53931" xr:uid="{00000000-0005-0000-0000-000069B00000}"/>
    <cellStyle name="Normal 2 7 31" xfId="55614" xr:uid="{00000000-0005-0000-0000-00006AB00000}"/>
    <cellStyle name="Normal 2 7 32" xfId="57297" xr:uid="{00000000-0005-0000-0000-00006BB00000}"/>
    <cellStyle name="Normal 2 7 33" xfId="58980" xr:uid="{00000000-0005-0000-0000-00006CB00000}"/>
    <cellStyle name="Normal 2 7 34" xfId="60663" xr:uid="{00000000-0005-0000-0000-00006DB00000}"/>
    <cellStyle name="Normal 2 7 35" xfId="62346" xr:uid="{00000000-0005-0000-0000-00006EB00000}"/>
    <cellStyle name="Normal 2 7 4" xfId="491" xr:uid="{00000000-0005-0000-0000-00006FB00000}"/>
    <cellStyle name="Normal 2 7 4 10" xfId="15640" xr:uid="{00000000-0005-0000-0000-000070B00000}"/>
    <cellStyle name="Normal 2 7 4 11" xfId="30789" xr:uid="{00000000-0005-0000-0000-000071B00000}"/>
    <cellStyle name="Normal 2 7 4 12" xfId="32472" xr:uid="{00000000-0005-0000-0000-000072B00000}"/>
    <cellStyle name="Normal 2 7 4 13" xfId="34155" xr:uid="{00000000-0005-0000-0000-000073B00000}"/>
    <cellStyle name="Normal 2 7 4 14" xfId="35838" xr:uid="{00000000-0005-0000-0000-000074B00000}"/>
    <cellStyle name="Normal 2 7 4 15" xfId="37521" xr:uid="{00000000-0005-0000-0000-000075B00000}"/>
    <cellStyle name="Normal 2 7 4 16" xfId="39204" xr:uid="{00000000-0005-0000-0000-000076B00000}"/>
    <cellStyle name="Normal 2 7 4 17" xfId="40887" xr:uid="{00000000-0005-0000-0000-000077B00000}"/>
    <cellStyle name="Normal 2 7 4 18" xfId="42570" xr:uid="{00000000-0005-0000-0000-000078B00000}"/>
    <cellStyle name="Normal 2 7 4 19" xfId="44253" xr:uid="{00000000-0005-0000-0000-000079B00000}"/>
    <cellStyle name="Normal 2 7 4 2" xfId="2174" xr:uid="{00000000-0005-0000-0000-00007AB00000}"/>
    <cellStyle name="Normal 2 7 4 2 2" xfId="17323" xr:uid="{00000000-0005-0000-0000-00007BB00000}"/>
    <cellStyle name="Normal 2 7 4 20" xfId="45936" xr:uid="{00000000-0005-0000-0000-00007CB00000}"/>
    <cellStyle name="Normal 2 7 4 21" xfId="47619" xr:uid="{00000000-0005-0000-0000-00007DB00000}"/>
    <cellStyle name="Normal 2 7 4 22" xfId="49302" xr:uid="{00000000-0005-0000-0000-00007EB00000}"/>
    <cellStyle name="Normal 2 7 4 23" xfId="50985" xr:uid="{00000000-0005-0000-0000-00007FB00000}"/>
    <cellStyle name="Normal 2 7 4 24" xfId="52668" xr:uid="{00000000-0005-0000-0000-000080B00000}"/>
    <cellStyle name="Normal 2 7 4 25" xfId="54351" xr:uid="{00000000-0005-0000-0000-000081B00000}"/>
    <cellStyle name="Normal 2 7 4 26" xfId="56034" xr:uid="{00000000-0005-0000-0000-000082B00000}"/>
    <cellStyle name="Normal 2 7 4 27" xfId="57717" xr:uid="{00000000-0005-0000-0000-000083B00000}"/>
    <cellStyle name="Normal 2 7 4 28" xfId="59400" xr:uid="{00000000-0005-0000-0000-000084B00000}"/>
    <cellStyle name="Normal 2 7 4 29" xfId="61083" xr:uid="{00000000-0005-0000-0000-000085B00000}"/>
    <cellStyle name="Normal 2 7 4 3" xfId="3858" xr:uid="{00000000-0005-0000-0000-000086B00000}"/>
    <cellStyle name="Normal 2 7 4 3 2" xfId="19007" xr:uid="{00000000-0005-0000-0000-000087B00000}"/>
    <cellStyle name="Normal 2 7 4 30" xfId="62766" xr:uid="{00000000-0005-0000-0000-000088B00000}"/>
    <cellStyle name="Normal 2 7 4 4" xfId="5541" xr:uid="{00000000-0005-0000-0000-000089B00000}"/>
    <cellStyle name="Normal 2 7 4 4 2" xfId="20690" xr:uid="{00000000-0005-0000-0000-00008AB00000}"/>
    <cellStyle name="Normal 2 7 4 5" xfId="7224" xr:uid="{00000000-0005-0000-0000-00008BB00000}"/>
    <cellStyle name="Normal 2 7 4 5 2" xfId="22373" xr:uid="{00000000-0005-0000-0000-00008CB00000}"/>
    <cellStyle name="Normal 2 7 4 6" xfId="8907" xr:uid="{00000000-0005-0000-0000-00008DB00000}"/>
    <cellStyle name="Normal 2 7 4 6 2" xfId="24056" xr:uid="{00000000-0005-0000-0000-00008EB00000}"/>
    <cellStyle name="Normal 2 7 4 7" xfId="10590" xr:uid="{00000000-0005-0000-0000-00008FB00000}"/>
    <cellStyle name="Normal 2 7 4 7 2" xfId="25739" xr:uid="{00000000-0005-0000-0000-000090B00000}"/>
    <cellStyle name="Normal 2 7 4 8" xfId="12274" xr:uid="{00000000-0005-0000-0000-000091B00000}"/>
    <cellStyle name="Normal 2 7 4 8 2" xfId="27423" xr:uid="{00000000-0005-0000-0000-000092B00000}"/>
    <cellStyle name="Normal 2 7 4 9" xfId="13957" xr:uid="{00000000-0005-0000-0000-000093B00000}"/>
    <cellStyle name="Normal 2 7 4 9 2" xfId="29106" xr:uid="{00000000-0005-0000-0000-000094B00000}"/>
    <cellStyle name="Normal 2 7 5" xfId="912" xr:uid="{00000000-0005-0000-0000-000095B00000}"/>
    <cellStyle name="Normal 2 7 5 10" xfId="16061" xr:uid="{00000000-0005-0000-0000-000096B00000}"/>
    <cellStyle name="Normal 2 7 5 11" xfId="31210" xr:uid="{00000000-0005-0000-0000-000097B00000}"/>
    <cellStyle name="Normal 2 7 5 12" xfId="32893" xr:uid="{00000000-0005-0000-0000-000098B00000}"/>
    <cellStyle name="Normal 2 7 5 13" xfId="34576" xr:uid="{00000000-0005-0000-0000-000099B00000}"/>
    <cellStyle name="Normal 2 7 5 14" xfId="36259" xr:uid="{00000000-0005-0000-0000-00009AB00000}"/>
    <cellStyle name="Normal 2 7 5 15" xfId="37942" xr:uid="{00000000-0005-0000-0000-00009BB00000}"/>
    <cellStyle name="Normal 2 7 5 16" xfId="39625" xr:uid="{00000000-0005-0000-0000-00009CB00000}"/>
    <cellStyle name="Normal 2 7 5 17" xfId="41308" xr:uid="{00000000-0005-0000-0000-00009DB00000}"/>
    <cellStyle name="Normal 2 7 5 18" xfId="42991" xr:uid="{00000000-0005-0000-0000-00009EB00000}"/>
    <cellStyle name="Normal 2 7 5 19" xfId="44674" xr:uid="{00000000-0005-0000-0000-00009FB00000}"/>
    <cellStyle name="Normal 2 7 5 2" xfId="2595" xr:uid="{00000000-0005-0000-0000-0000A0B00000}"/>
    <cellStyle name="Normal 2 7 5 2 2" xfId="17744" xr:uid="{00000000-0005-0000-0000-0000A1B00000}"/>
    <cellStyle name="Normal 2 7 5 20" xfId="46357" xr:uid="{00000000-0005-0000-0000-0000A2B00000}"/>
    <cellStyle name="Normal 2 7 5 21" xfId="48040" xr:uid="{00000000-0005-0000-0000-0000A3B00000}"/>
    <cellStyle name="Normal 2 7 5 22" xfId="49723" xr:uid="{00000000-0005-0000-0000-0000A4B00000}"/>
    <cellStyle name="Normal 2 7 5 23" xfId="51406" xr:uid="{00000000-0005-0000-0000-0000A5B00000}"/>
    <cellStyle name="Normal 2 7 5 24" xfId="53089" xr:uid="{00000000-0005-0000-0000-0000A6B00000}"/>
    <cellStyle name="Normal 2 7 5 25" xfId="54772" xr:uid="{00000000-0005-0000-0000-0000A7B00000}"/>
    <cellStyle name="Normal 2 7 5 26" xfId="56455" xr:uid="{00000000-0005-0000-0000-0000A8B00000}"/>
    <cellStyle name="Normal 2 7 5 27" xfId="58138" xr:uid="{00000000-0005-0000-0000-0000A9B00000}"/>
    <cellStyle name="Normal 2 7 5 28" xfId="59821" xr:uid="{00000000-0005-0000-0000-0000AAB00000}"/>
    <cellStyle name="Normal 2 7 5 29" xfId="61504" xr:uid="{00000000-0005-0000-0000-0000ABB00000}"/>
    <cellStyle name="Normal 2 7 5 3" xfId="4279" xr:uid="{00000000-0005-0000-0000-0000ACB00000}"/>
    <cellStyle name="Normal 2 7 5 3 2" xfId="19428" xr:uid="{00000000-0005-0000-0000-0000ADB00000}"/>
    <cellStyle name="Normal 2 7 5 30" xfId="63187" xr:uid="{00000000-0005-0000-0000-0000AEB00000}"/>
    <cellStyle name="Normal 2 7 5 4" xfId="5962" xr:uid="{00000000-0005-0000-0000-0000AFB00000}"/>
    <cellStyle name="Normal 2 7 5 4 2" xfId="21111" xr:uid="{00000000-0005-0000-0000-0000B0B00000}"/>
    <cellStyle name="Normal 2 7 5 5" xfId="7645" xr:uid="{00000000-0005-0000-0000-0000B1B00000}"/>
    <cellStyle name="Normal 2 7 5 5 2" xfId="22794" xr:uid="{00000000-0005-0000-0000-0000B2B00000}"/>
    <cellStyle name="Normal 2 7 5 6" xfId="9328" xr:uid="{00000000-0005-0000-0000-0000B3B00000}"/>
    <cellStyle name="Normal 2 7 5 6 2" xfId="24477" xr:uid="{00000000-0005-0000-0000-0000B4B00000}"/>
    <cellStyle name="Normal 2 7 5 7" xfId="11011" xr:uid="{00000000-0005-0000-0000-0000B5B00000}"/>
    <cellStyle name="Normal 2 7 5 7 2" xfId="26160" xr:uid="{00000000-0005-0000-0000-0000B6B00000}"/>
    <cellStyle name="Normal 2 7 5 8" xfId="12695" xr:uid="{00000000-0005-0000-0000-0000B7B00000}"/>
    <cellStyle name="Normal 2 7 5 8 2" xfId="27844" xr:uid="{00000000-0005-0000-0000-0000B8B00000}"/>
    <cellStyle name="Normal 2 7 5 9" xfId="14378" xr:uid="{00000000-0005-0000-0000-0000B9B00000}"/>
    <cellStyle name="Normal 2 7 5 9 2" xfId="29527" xr:uid="{00000000-0005-0000-0000-0000BAB00000}"/>
    <cellStyle name="Normal 2 7 6" xfId="1333" xr:uid="{00000000-0005-0000-0000-0000BBB00000}"/>
    <cellStyle name="Normal 2 7 6 10" xfId="16482" xr:uid="{00000000-0005-0000-0000-0000BCB00000}"/>
    <cellStyle name="Normal 2 7 6 11" xfId="31631" xr:uid="{00000000-0005-0000-0000-0000BDB00000}"/>
    <cellStyle name="Normal 2 7 6 12" xfId="33314" xr:uid="{00000000-0005-0000-0000-0000BEB00000}"/>
    <cellStyle name="Normal 2 7 6 13" xfId="34997" xr:uid="{00000000-0005-0000-0000-0000BFB00000}"/>
    <cellStyle name="Normal 2 7 6 14" xfId="36680" xr:uid="{00000000-0005-0000-0000-0000C0B00000}"/>
    <cellStyle name="Normal 2 7 6 15" xfId="38363" xr:uid="{00000000-0005-0000-0000-0000C1B00000}"/>
    <cellStyle name="Normal 2 7 6 16" xfId="40046" xr:uid="{00000000-0005-0000-0000-0000C2B00000}"/>
    <cellStyle name="Normal 2 7 6 17" xfId="41729" xr:uid="{00000000-0005-0000-0000-0000C3B00000}"/>
    <cellStyle name="Normal 2 7 6 18" xfId="43412" xr:uid="{00000000-0005-0000-0000-0000C4B00000}"/>
    <cellStyle name="Normal 2 7 6 19" xfId="45095" xr:uid="{00000000-0005-0000-0000-0000C5B00000}"/>
    <cellStyle name="Normal 2 7 6 2" xfId="3016" xr:uid="{00000000-0005-0000-0000-0000C6B00000}"/>
    <cellStyle name="Normal 2 7 6 2 2" xfId="18165" xr:uid="{00000000-0005-0000-0000-0000C7B00000}"/>
    <cellStyle name="Normal 2 7 6 20" xfId="46778" xr:uid="{00000000-0005-0000-0000-0000C8B00000}"/>
    <cellStyle name="Normal 2 7 6 21" xfId="48461" xr:uid="{00000000-0005-0000-0000-0000C9B00000}"/>
    <cellStyle name="Normal 2 7 6 22" xfId="50144" xr:uid="{00000000-0005-0000-0000-0000CAB00000}"/>
    <cellStyle name="Normal 2 7 6 23" xfId="51827" xr:uid="{00000000-0005-0000-0000-0000CBB00000}"/>
    <cellStyle name="Normal 2 7 6 24" xfId="53510" xr:uid="{00000000-0005-0000-0000-0000CCB00000}"/>
    <cellStyle name="Normal 2 7 6 25" xfId="55193" xr:uid="{00000000-0005-0000-0000-0000CDB00000}"/>
    <cellStyle name="Normal 2 7 6 26" xfId="56876" xr:uid="{00000000-0005-0000-0000-0000CEB00000}"/>
    <cellStyle name="Normal 2 7 6 27" xfId="58559" xr:uid="{00000000-0005-0000-0000-0000CFB00000}"/>
    <cellStyle name="Normal 2 7 6 28" xfId="60242" xr:uid="{00000000-0005-0000-0000-0000D0B00000}"/>
    <cellStyle name="Normal 2 7 6 29" xfId="61925" xr:uid="{00000000-0005-0000-0000-0000D1B00000}"/>
    <cellStyle name="Normal 2 7 6 3" xfId="4700" xr:uid="{00000000-0005-0000-0000-0000D2B00000}"/>
    <cellStyle name="Normal 2 7 6 3 2" xfId="19849" xr:uid="{00000000-0005-0000-0000-0000D3B00000}"/>
    <cellStyle name="Normal 2 7 6 30" xfId="63608" xr:uid="{00000000-0005-0000-0000-0000D4B00000}"/>
    <cellStyle name="Normal 2 7 6 4" xfId="6383" xr:uid="{00000000-0005-0000-0000-0000D5B00000}"/>
    <cellStyle name="Normal 2 7 6 4 2" xfId="21532" xr:uid="{00000000-0005-0000-0000-0000D6B00000}"/>
    <cellStyle name="Normal 2 7 6 5" xfId="8066" xr:uid="{00000000-0005-0000-0000-0000D7B00000}"/>
    <cellStyle name="Normal 2 7 6 5 2" xfId="23215" xr:uid="{00000000-0005-0000-0000-0000D8B00000}"/>
    <cellStyle name="Normal 2 7 6 6" xfId="9749" xr:uid="{00000000-0005-0000-0000-0000D9B00000}"/>
    <cellStyle name="Normal 2 7 6 6 2" xfId="24898" xr:uid="{00000000-0005-0000-0000-0000DAB00000}"/>
    <cellStyle name="Normal 2 7 6 7" xfId="11432" xr:uid="{00000000-0005-0000-0000-0000DBB00000}"/>
    <cellStyle name="Normal 2 7 6 7 2" xfId="26581" xr:uid="{00000000-0005-0000-0000-0000DCB00000}"/>
    <cellStyle name="Normal 2 7 6 8" xfId="13116" xr:uid="{00000000-0005-0000-0000-0000DDB00000}"/>
    <cellStyle name="Normal 2 7 6 8 2" xfId="28265" xr:uid="{00000000-0005-0000-0000-0000DEB00000}"/>
    <cellStyle name="Normal 2 7 6 9" xfId="14799" xr:uid="{00000000-0005-0000-0000-0000DFB00000}"/>
    <cellStyle name="Normal 2 7 6 9 2" xfId="29948" xr:uid="{00000000-0005-0000-0000-0000E0B00000}"/>
    <cellStyle name="Normal 2 7 7" xfId="1754" xr:uid="{00000000-0005-0000-0000-0000E1B00000}"/>
    <cellStyle name="Normal 2 7 7 2" xfId="16903" xr:uid="{00000000-0005-0000-0000-0000E2B00000}"/>
    <cellStyle name="Normal 2 7 8" xfId="3438" xr:uid="{00000000-0005-0000-0000-0000E3B00000}"/>
    <cellStyle name="Normal 2 7 8 2" xfId="18587" xr:uid="{00000000-0005-0000-0000-0000E4B00000}"/>
    <cellStyle name="Normal 2 7 9" xfId="5121" xr:uid="{00000000-0005-0000-0000-0000E5B00000}"/>
    <cellStyle name="Normal 2 7 9 2" xfId="20270" xr:uid="{00000000-0005-0000-0000-0000E6B00000}"/>
    <cellStyle name="Normal 2 8" xfId="139" xr:uid="{00000000-0005-0000-0000-0000E7B00000}"/>
    <cellStyle name="Normal 2 8 10" xfId="8555" xr:uid="{00000000-0005-0000-0000-0000E8B00000}"/>
    <cellStyle name="Normal 2 8 10 2" xfId="23704" xr:uid="{00000000-0005-0000-0000-0000E9B00000}"/>
    <cellStyle name="Normal 2 8 11" xfId="10238" xr:uid="{00000000-0005-0000-0000-0000EAB00000}"/>
    <cellStyle name="Normal 2 8 11 2" xfId="25387" xr:uid="{00000000-0005-0000-0000-0000EBB00000}"/>
    <cellStyle name="Normal 2 8 12" xfId="11922" xr:uid="{00000000-0005-0000-0000-0000ECB00000}"/>
    <cellStyle name="Normal 2 8 12 2" xfId="27071" xr:uid="{00000000-0005-0000-0000-0000EDB00000}"/>
    <cellStyle name="Normal 2 8 13" xfId="13605" xr:uid="{00000000-0005-0000-0000-0000EEB00000}"/>
    <cellStyle name="Normal 2 8 13 2" xfId="28754" xr:uid="{00000000-0005-0000-0000-0000EFB00000}"/>
    <cellStyle name="Normal 2 8 14" xfId="15288" xr:uid="{00000000-0005-0000-0000-0000F0B00000}"/>
    <cellStyle name="Normal 2 8 15" xfId="30437" xr:uid="{00000000-0005-0000-0000-0000F1B00000}"/>
    <cellStyle name="Normal 2 8 16" xfId="32120" xr:uid="{00000000-0005-0000-0000-0000F2B00000}"/>
    <cellStyle name="Normal 2 8 17" xfId="33803" xr:uid="{00000000-0005-0000-0000-0000F3B00000}"/>
    <cellStyle name="Normal 2 8 18" xfId="35486" xr:uid="{00000000-0005-0000-0000-0000F4B00000}"/>
    <cellStyle name="Normal 2 8 19" xfId="37169" xr:uid="{00000000-0005-0000-0000-0000F5B00000}"/>
    <cellStyle name="Normal 2 8 2" xfId="349" xr:uid="{00000000-0005-0000-0000-0000F6B00000}"/>
    <cellStyle name="Normal 2 8 2 10" xfId="10448" xr:uid="{00000000-0005-0000-0000-0000F7B00000}"/>
    <cellStyle name="Normal 2 8 2 10 2" xfId="25597" xr:uid="{00000000-0005-0000-0000-0000F8B00000}"/>
    <cellStyle name="Normal 2 8 2 11" xfId="12132" xr:uid="{00000000-0005-0000-0000-0000F9B00000}"/>
    <cellStyle name="Normal 2 8 2 11 2" xfId="27281" xr:uid="{00000000-0005-0000-0000-0000FAB00000}"/>
    <cellStyle name="Normal 2 8 2 12" xfId="13815" xr:uid="{00000000-0005-0000-0000-0000FBB00000}"/>
    <cellStyle name="Normal 2 8 2 12 2" xfId="28964" xr:uid="{00000000-0005-0000-0000-0000FCB00000}"/>
    <cellStyle name="Normal 2 8 2 13" xfId="15498" xr:uid="{00000000-0005-0000-0000-0000FDB00000}"/>
    <cellStyle name="Normal 2 8 2 14" xfId="30647" xr:uid="{00000000-0005-0000-0000-0000FEB00000}"/>
    <cellStyle name="Normal 2 8 2 15" xfId="32330" xr:uid="{00000000-0005-0000-0000-0000FFB00000}"/>
    <cellStyle name="Normal 2 8 2 16" xfId="34013" xr:uid="{00000000-0005-0000-0000-000000B10000}"/>
    <cellStyle name="Normal 2 8 2 17" xfId="35696" xr:uid="{00000000-0005-0000-0000-000001B10000}"/>
    <cellStyle name="Normal 2 8 2 18" xfId="37379" xr:uid="{00000000-0005-0000-0000-000002B10000}"/>
    <cellStyle name="Normal 2 8 2 19" xfId="39062" xr:uid="{00000000-0005-0000-0000-000003B10000}"/>
    <cellStyle name="Normal 2 8 2 2" xfId="769" xr:uid="{00000000-0005-0000-0000-000004B10000}"/>
    <cellStyle name="Normal 2 8 2 2 10" xfId="15918" xr:uid="{00000000-0005-0000-0000-000005B10000}"/>
    <cellStyle name="Normal 2 8 2 2 11" xfId="31067" xr:uid="{00000000-0005-0000-0000-000006B10000}"/>
    <cellStyle name="Normal 2 8 2 2 12" xfId="32750" xr:uid="{00000000-0005-0000-0000-000007B10000}"/>
    <cellStyle name="Normal 2 8 2 2 13" xfId="34433" xr:uid="{00000000-0005-0000-0000-000008B10000}"/>
    <cellStyle name="Normal 2 8 2 2 14" xfId="36116" xr:uid="{00000000-0005-0000-0000-000009B10000}"/>
    <cellStyle name="Normal 2 8 2 2 15" xfId="37799" xr:uid="{00000000-0005-0000-0000-00000AB10000}"/>
    <cellStyle name="Normal 2 8 2 2 16" xfId="39482" xr:uid="{00000000-0005-0000-0000-00000BB10000}"/>
    <cellStyle name="Normal 2 8 2 2 17" xfId="41165" xr:uid="{00000000-0005-0000-0000-00000CB10000}"/>
    <cellStyle name="Normal 2 8 2 2 18" xfId="42848" xr:uid="{00000000-0005-0000-0000-00000DB10000}"/>
    <cellStyle name="Normal 2 8 2 2 19" xfId="44531" xr:uid="{00000000-0005-0000-0000-00000EB10000}"/>
    <cellStyle name="Normal 2 8 2 2 2" xfId="2452" xr:uid="{00000000-0005-0000-0000-00000FB10000}"/>
    <cellStyle name="Normal 2 8 2 2 2 2" xfId="17601" xr:uid="{00000000-0005-0000-0000-000010B10000}"/>
    <cellStyle name="Normal 2 8 2 2 20" xfId="46214" xr:uid="{00000000-0005-0000-0000-000011B10000}"/>
    <cellStyle name="Normal 2 8 2 2 21" xfId="47897" xr:uid="{00000000-0005-0000-0000-000012B10000}"/>
    <cellStyle name="Normal 2 8 2 2 22" xfId="49580" xr:uid="{00000000-0005-0000-0000-000013B10000}"/>
    <cellStyle name="Normal 2 8 2 2 23" xfId="51263" xr:uid="{00000000-0005-0000-0000-000014B10000}"/>
    <cellStyle name="Normal 2 8 2 2 24" xfId="52946" xr:uid="{00000000-0005-0000-0000-000015B10000}"/>
    <cellStyle name="Normal 2 8 2 2 25" xfId="54629" xr:uid="{00000000-0005-0000-0000-000016B10000}"/>
    <cellStyle name="Normal 2 8 2 2 26" xfId="56312" xr:uid="{00000000-0005-0000-0000-000017B10000}"/>
    <cellStyle name="Normal 2 8 2 2 27" xfId="57995" xr:uid="{00000000-0005-0000-0000-000018B10000}"/>
    <cellStyle name="Normal 2 8 2 2 28" xfId="59678" xr:uid="{00000000-0005-0000-0000-000019B10000}"/>
    <cellStyle name="Normal 2 8 2 2 29" xfId="61361" xr:uid="{00000000-0005-0000-0000-00001AB10000}"/>
    <cellStyle name="Normal 2 8 2 2 3" xfId="4136" xr:uid="{00000000-0005-0000-0000-00001BB10000}"/>
    <cellStyle name="Normal 2 8 2 2 3 2" xfId="19285" xr:uid="{00000000-0005-0000-0000-00001CB10000}"/>
    <cellStyle name="Normal 2 8 2 2 30" xfId="63044" xr:uid="{00000000-0005-0000-0000-00001DB10000}"/>
    <cellStyle name="Normal 2 8 2 2 4" xfId="5819" xr:uid="{00000000-0005-0000-0000-00001EB10000}"/>
    <cellStyle name="Normal 2 8 2 2 4 2" xfId="20968" xr:uid="{00000000-0005-0000-0000-00001FB10000}"/>
    <cellStyle name="Normal 2 8 2 2 5" xfId="7502" xr:uid="{00000000-0005-0000-0000-000020B10000}"/>
    <cellStyle name="Normal 2 8 2 2 5 2" xfId="22651" xr:uid="{00000000-0005-0000-0000-000021B10000}"/>
    <cellStyle name="Normal 2 8 2 2 6" xfId="9185" xr:uid="{00000000-0005-0000-0000-000022B10000}"/>
    <cellStyle name="Normal 2 8 2 2 6 2" xfId="24334" xr:uid="{00000000-0005-0000-0000-000023B10000}"/>
    <cellStyle name="Normal 2 8 2 2 7" xfId="10868" xr:uid="{00000000-0005-0000-0000-000024B10000}"/>
    <cellStyle name="Normal 2 8 2 2 7 2" xfId="26017" xr:uid="{00000000-0005-0000-0000-000025B10000}"/>
    <cellStyle name="Normal 2 8 2 2 8" xfId="12552" xr:uid="{00000000-0005-0000-0000-000026B10000}"/>
    <cellStyle name="Normal 2 8 2 2 8 2" xfId="27701" xr:uid="{00000000-0005-0000-0000-000027B10000}"/>
    <cellStyle name="Normal 2 8 2 2 9" xfId="14235" xr:uid="{00000000-0005-0000-0000-000028B10000}"/>
    <cellStyle name="Normal 2 8 2 2 9 2" xfId="29384" xr:uid="{00000000-0005-0000-0000-000029B10000}"/>
    <cellStyle name="Normal 2 8 2 20" xfId="40745" xr:uid="{00000000-0005-0000-0000-00002AB10000}"/>
    <cellStyle name="Normal 2 8 2 21" xfId="42428" xr:uid="{00000000-0005-0000-0000-00002BB10000}"/>
    <cellStyle name="Normal 2 8 2 22" xfId="44111" xr:uid="{00000000-0005-0000-0000-00002CB10000}"/>
    <cellStyle name="Normal 2 8 2 23" xfId="45794" xr:uid="{00000000-0005-0000-0000-00002DB10000}"/>
    <cellStyle name="Normal 2 8 2 24" xfId="47477" xr:uid="{00000000-0005-0000-0000-00002EB10000}"/>
    <cellStyle name="Normal 2 8 2 25" xfId="49160" xr:uid="{00000000-0005-0000-0000-00002FB10000}"/>
    <cellStyle name="Normal 2 8 2 26" xfId="50843" xr:uid="{00000000-0005-0000-0000-000030B10000}"/>
    <cellStyle name="Normal 2 8 2 27" xfId="52526" xr:uid="{00000000-0005-0000-0000-000031B10000}"/>
    <cellStyle name="Normal 2 8 2 28" xfId="54209" xr:uid="{00000000-0005-0000-0000-000032B10000}"/>
    <cellStyle name="Normal 2 8 2 29" xfId="55892" xr:uid="{00000000-0005-0000-0000-000033B10000}"/>
    <cellStyle name="Normal 2 8 2 3" xfId="1190" xr:uid="{00000000-0005-0000-0000-000034B10000}"/>
    <cellStyle name="Normal 2 8 2 3 10" xfId="16339" xr:uid="{00000000-0005-0000-0000-000035B10000}"/>
    <cellStyle name="Normal 2 8 2 3 11" xfId="31488" xr:uid="{00000000-0005-0000-0000-000036B10000}"/>
    <cellStyle name="Normal 2 8 2 3 12" xfId="33171" xr:uid="{00000000-0005-0000-0000-000037B10000}"/>
    <cellStyle name="Normal 2 8 2 3 13" xfId="34854" xr:uid="{00000000-0005-0000-0000-000038B10000}"/>
    <cellStyle name="Normal 2 8 2 3 14" xfId="36537" xr:uid="{00000000-0005-0000-0000-000039B10000}"/>
    <cellStyle name="Normal 2 8 2 3 15" xfId="38220" xr:uid="{00000000-0005-0000-0000-00003AB10000}"/>
    <cellStyle name="Normal 2 8 2 3 16" xfId="39903" xr:uid="{00000000-0005-0000-0000-00003BB10000}"/>
    <cellStyle name="Normal 2 8 2 3 17" xfId="41586" xr:uid="{00000000-0005-0000-0000-00003CB10000}"/>
    <cellStyle name="Normal 2 8 2 3 18" xfId="43269" xr:uid="{00000000-0005-0000-0000-00003DB10000}"/>
    <cellStyle name="Normal 2 8 2 3 19" xfId="44952" xr:uid="{00000000-0005-0000-0000-00003EB10000}"/>
    <cellStyle name="Normal 2 8 2 3 2" xfId="2873" xr:uid="{00000000-0005-0000-0000-00003FB10000}"/>
    <cellStyle name="Normal 2 8 2 3 2 2" xfId="18022" xr:uid="{00000000-0005-0000-0000-000040B10000}"/>
    <cellStyle name="Normal 2 8 2 3 20" xfId="46635" xr:uid="{00000000-0005-0000-0000-000041B10000}"/>
    <cellStyle name="Normal 2 8 2 3 21" xfId="48318" xr:uid="{00000000-0005-0000-0000-000042B10000}"/>
    <cellStyle name="Normal 2 8 2 3 22" xfId="50001" xr:uid="{00000000-0005-0000-0000-000043B10000}"/>
    <cellStyle name="Normal 2 8 2 3 23" xfId="51684" xr:uid="{00000000-0005-0000-0000-000044B10000}"/>
    <cellStyle name="Normal 2 8 2 3 24" xfId="53367" xr:uid="{00000000-0005-0000-0000-000045B10000}"/>
    <cellStyle name="Normal 2 8 2 3 25" xfId="55050" xr:uid="{00000000-0005-0000-0000-000046B10000}"/>
    <cellStyle name="Normal 2 8 2 3 26" xfId="56733" xr:uid="{00000000-0005-0000-0000-000047B10000}"/>
    <cellStyle name="Normal 2 8 2 3 27" xfId="58416" xr:uid="{00000000-0005-0000-0000-000048B10000}"/>
    <cellStyle name="Normal 2 8 2 3 28" xfId="60099" xr:uid="{00000000-0005-0000-0000-000049B10000}"/>
    <cellStyle name="Normal 2 8 2 3 29" xfId="61782" xr:uid="{00000000-0005-0000-0000-00004AB10000}"/>
    <cellStyle name="Normal 2 8 2 3 3" xfId="4557" xr:uid="{00000000-0005-0000-0000-00004BB10000}"/>
    <cellStyle name="Normal 2 8 2 3 3 2" xfId="19706" xr:uid="{00000000-0005-0000-0000-00004CB10000}"/>
    <cellStyle name="Normal 2 8 2 3 30" xfId="63465" xr:uid="{00000000-0005-0000-0000-00004DB10000}"/>
    <cellStyle name="Normal 2 8 2 3 4" xfId="6240" xr:uid="{00000000-0005-0000-0000-00004EB10000}"/>
    <cellStyle name="Normal 2 8 2 3 4 2" xfId="21389" xr:uid="{00000000-0005-0000-0000-00004FB10000}"/>
    <cellStyle name="Normal 2 8 2 3 5" xfId="7923" xr:uid="{00000000-0005-0000-0000-000050B10000}"/>
    <cellStyle name="Normal 2 8 2 3 5 2" xfId="23072" xr:uid="{00000000-0005-0000-0000-000051B10000}"/>
    <cellStyle name="Normal 2 8 2 3 6" xfId="9606" xr:uid="{00000000-0005-0000-0000-000052B10000}"/>
    <cellStyle name="Normal 2 8 2 3 6 2" xfId="24755" xr:uid="{00000000-0005-0000-0000-000053B10000}"/>
    <cellStyle name="Normal 2 8 2 3 7" xfId="11289" xr:uid="{00000000-0005-0000-0000-000054B10000}"/>
    <cellStyle name="Normal 2 8 2 3 7 2" xfId="26438" xr:uid="{00000000-0005-0000-0000-000055B10000}"/>
    <cellStyle name="Normal 2 8 2 3 8" xfId="12973" xr:uid="{00000000-0005-0000-0000-000056B10000}"/>
    <cellStyle name="Normal 2 8 2 3 8 2" xfId="28122" xr:uid="{00000000-0005-0000-0000-000057B10000}"/>
    <cellStyle name="Normal 2 8 2 3 9" xfId="14656" xr:uid="{00000000-0005-0000-0000-000058B10000}"/>
    <cellStyle name="Normal 2 8 2 3 9 2" xfId="29805" xr:uid="{00000000-0005-0000-0000-000059B10000}"/>
    <cellStyle name="Normal 2 8 2 30" xfId="57575" xr:uid="{00000000-0005-0000-0000-00005AB10000}"/>
    <cellStyle name="Normal 2 8 2 31" xfId="59258" xr:uid="{00000000-0005-0000-0000-00005BB10000}"/>
    <cellStyle name="Normal 2 8 2 32" xfId="60941" xr:uid="{00000000-0005-0000-0000-00005CB10000}"/>
    <cellStyle name="Normal 2 8 2 33" xfId="62624" xr:uid="{00000000-0005-0000-0000-00005DB10000}"/>
    <cellStyle name="Normal 2 8 2 4" xfId="1611" xr:uid="{00000000-0005-0000-0000-00005EB10000}"/>
    <cellStyle name="Normal 2 8 2 4 10" xfId="16760" xr:uid="{00000000-0005-0000-0000-00005FB10000}"/>
    <cellStyle name="Normal 2 8 2 4 11" xfId="31909" xr:uid="{00000000-0005-0000-0000-000060B10000}"/>
    <cellStyle name="Normal 2 8 2 4 12" xfId="33592" xr:uid="{00000000-0005-0000-0000-000061B10000}"/>
    <cellStyle name="Normal 2 8 2 4 13" xfId="35275" xr:uid="{00000000-0005-0000-0000-000062B10000}"/>
    <cellStyle name="Normal 2 8 2 4 14" xfId="36958" xr:uid="{00000000-0005-0000-0000-000063B10000}"/>
    <cellStyle name="Normal 2 8 2 4 15" xfId="38641" xr:uid="{00000000-0005-0000-0000-000064B10000}"/>
    <cellStyle name="Normal 2 8 2 4 16" xfId="40324" xr:uid="{00000000-0005-0000-0000-000065B10000}"/>
    <cellStyle name="Normal 2 8 2 4 17" xfId="42007" xr:uid="{00000000-0005-0000-0000-000066B10000}"/>
    <cellStyle name="Normal 2 8 2 4 18" xfId="43690" xr:uid="{00000000-0005-0000-0000-000067B10000}"/>
    <cellStyle name="Normal 2 8 2 4 19" xfId="45373" xr:uid="{00000000-0005-0000-0000-000068B10000}"/>
    <cellStyle name="Normal 2 8 2 4 2" xfId="3294" xr:uid="{00000000-0005-0000-0000-000069B10000}"/>
    <cellStyle name="Normal 2 8 2 4 2 2" xfId="18443" xr:uid="{00000000-0005-0000-0000-00006AB10000}"/>
    <cellStyle name="Normal 2 8 2 4 20" xfId="47056" xr:uid="{00000000-0005-0000-0000-00006BB10000}"/>
    <cellStyle name="Normal 2 8 2 4 21" xfId="48739" xr:uid="{00000000-0005-0000-0000-00006CB10000}"/>
    <cellStyle name="Normal 2 8 2 4 22" xfId="50422" xr:uid="{00000000-0005-0000-0000-00006DB10000}"/>
    <cellStyle name="Normal 2 8 2 4 23" xfId="52105" xr:uid="{00000000-0005-0000-0000-00006EB10000}"/>
    <cellStyle name="Normal 2 8 2 4 24" xfId="53788" xr:uid="{00000000-0005-0000-0000-00006FB10000}"/>
    <cellStyle name="Normal 2 8 2 4 25" xfId="55471" xr:uid="{00000000-0005-0000-0000-000070B10000}"/>
    <cellStyle name="Normal 2 8 2 4 26" xfId="57154" xr:uid="{00000000-0005-0000-0000-000071B10000}"/>
    <cellStyle name="Normal 2 8 2 4 27" xfId="58837" xr:uid="{00000000-0005-0000-0000-000072B10000}"/>
    <cellStyle name="Normal 2 8 2 4 28" xfId="60520" xr:uid="{00000000-0005-0000-0000-000073B10000}"/>
    <cellStyle name="Normal 2 8 2 4 29" xfId="62203" xr:uid="{00000000-0005-0000-0000-000074B10000}"/>
    <cellStyle name="Normal 2 8 2 4 3" xfId="4978" xr:uid="{00000000-0005-0000-0000-000075B10000}"/>
    <cellStyle name="Normal 2 8 2 4 3 2" xfId="20127" xr:uid="{00000000-0005-0000-0000-000076B10000}"/>
    <cellStyle name="Normal 2 8 2 4 30" xfId="63886" xr:uid="{00000000-0005-0000-0000-000077B10000}"/>
    <cellStyle name="Normal 2 8 2 4 4" xfId="6661" xr:uid="{00000000-0005-0000-0000-000078B10000}"/>
    <cellStyle name="Normal 2 8 2 4 4 2" xfId="21810" xr:uid="{00000000-0005-0000-0000-000079B10000}"/>
    <cellStyle name="Normal 2 8 2 4 5" xfId="8344" xr:uid="{00000000-0005-0000-0000-00007AB10000}"/>
    <cellStyle name="Normal 2 8 2 4 5 2" xfId="23493" xr:uid="{00000000-0005-0000-0000-00007BB10000}"/>
    <cellStyle name="Normal 2 8 2 4 6" xfId="10027" xr:uid="{00000000-0005-0000-0000-00007CB10000}"/>
    <cellStyle name="Normal 2 8 2 4 6 2" xfId="25176" xr:uid="{00000000-0005-0000-0000-00007DB10000}"/>
    <cellStyle name="Normal 2 8 2 4 7" xfId="11710" xr:uid="{00000000-0005-0000-0000-00007EB10000}"/>
    <cellStyle name="Normal 2 8 2 4 7 2" xfId="26859" xr:uid="{00000000-0005-0000-0000-00007FB10000}"/>
    <cellStyle name="Normal 2 8 2 4 8" xfId="13394" xr:uid="{00000000-0005-0000-0000-000080B10000}"/>
    <cellStyle name="Normal 2 8 2 4 8 2" xfId="28543" xr:uid="{00000000-0005-0000-0000-000081B10000}"/>
    <cellStyle name="Normal 2 8 2 4 9" xfId="15077" xr:uid="{00000000-0005-0000-0000-000082B10000}"/>
    <cellStyle name="Normal 2 8 2 4 9 2" xfId="30226" xr:uid="{00000000-0005-0000-0000-000083B10000}"/>
    <cellStyle name="Normal 2 8 2 5" xfId="2032" xr:uid="{00000000-0005-0000-0000-000084B10000}"/>
    <cellStyle name="Normal 2 8 2 5 2" xfId="17181" xr:uid="{00000000-0005-0000-0000-000085B10000}"/>
    <cellStyle name="Normal 2 8 2 6" xfId="3716" xr:uid="{00000000-0005-0000-0000-000086B10000}"/>
    <cellStyle name="Normal 2 8 2 6 2" xfId="18865" xr:uid="{00000000-0005-0000-0000-000087B10000}"/>
    <cellStyle name="Normal 2 8 2 7" xfId="5399" xr:uid="{00000000-0005-0000-0000-000088B10000}"/>
    <cellStyle name="Normal 2 8 2 7 2" xfId="20548" xr:uid="{00000000-0005-0000-0000-000089B10000}"/>
    <cellStyle name="Normal 2 8 2 8" xfId="7082" xr:uid="{00000000-0005-0000-0000-00008AB10000}"/>
    <cellStyle name="Normal 2 8 2 8 2" xfId="22231" xr:uid="{00000000-0005-0000-0000-00008BB10000}"/>
    <cellStyle name="Normal 2 8 2 9" xfId="8765" xr:uid="{00000000-0005-0000-0000-00008CB10000}"/>
    <cellStyle name="Normal 2 8 2 9 2" xfId="23914" xr:uid="{00000000-0005-0000-0000-00008DB10000}"/>
    <cellStyle name="Normal 2 8 20" xfId="38852" xr:uid="{00000000-0005-0000-0000-00008EB10000}"/>
    <cellStyle name="Normal 2 8 21" xfId="40535" xr:uid="{00000000-0005-0000-0000-00008FB10000}"/>
    <cellStyle name="Normal 2 8 22" xfId="42218" xr:uid="{00000000-0005-0000-0000-000090B10000}"/>
    <cellStyle name="Normal 2 8 23" xfId="43901" xr:uid="{00000000-0005-0000-0000-000091B10000}"/>
    <cellStyle name="Normal 2 8 24" xfId="45584" xr:uid="{00000000-0005-0000-0000-000092B10000}"/>
    <cellStyle name="Normal 2 8 25" xfId="47267" xr:uid="{00000000-0005-0000-0000-000093B10000}"/>
    <cellStyle name="Normal 2 8 26" xfId="48950" xr:uid="{00000000-0005-0000-0000-000094B10000}"/>
    <cellStyle name="Normal 2 8 27" xfId="50633" xr:uid="{00000000-0005-0000-0000-000095B10000}"/>
    <cellStyle name="Normal 2 8 28" xfId="52316" xr:uid="{00000000-0005-0000-0000-000096B10000}"/>
    <cellStyle name="Normal 2 8 29" xfId="53999" xr:uid="{00000000-0005-0000-0000-000097B10000}"/>
    <cellStyle name="Normal 2 8 3" xfId="559" xr:uid="{00000000-0005-0000-0000-000098B10000}"/>
    <cellStyle name="Normal 2 8 3 10" xfId="15708" xr:uid="{00000000-0005-0000-0000-000099B10000}"/>
    <cellStyle name="Normal 2 8 3 11" xfId="30857" xr:uid="{00000000-0005-0000-0000-00009AB10000}"/>
    <cellStyle name="Normal 2 8 3 12" xfId="32540" xr:uid="{00000000-0005-0000-0000-00009BB10000}"/>
    <cellStyle name="Normal 2 8 3 13" xfId="34223" xr:uid="{00000000-0005-0000-0000-00009CB10000}"/>
    <cellStyle name="Normal 2 8 3 14" xfId="35906" xr:uid="{00000000-0005-0000-0000-00009DB10000}"/>
    <cellStyle name="Normal 2 8 3 15" xfId="37589" xr:uid="{00000000-0005-0000-0000-00009EB10000}"/>
    <cellStyle name="Normal 2 8 3 16" xfId="39272" xr:uid="{00000000-0005-0000-0000-00009FB10000}"/>
    <cellStyle name="Normal 2 8 3 17" xfId="40955" xr:uid="{00000000-0005-0000-0000-0000A0B10000}"/>
    <cellStyle name="Normal 2 8 3 18" xfId="42638" xr:uid="{00000000-0005-0000-0000-0000A1B10000}"/>
    <cellStyle name="Normal 2 8 3 19" xfId="44321" xr:uid="{00000000-0005-0000-0000-0000A2B10000}"/>
    <cellStyle name="Normal 2 8 3 2" xfId="2242" xr:uid="{00000000-0005-0000-0000-0000A3B10000}"/>
    <cellStyle name="Normal 2 8 3 2 2" xfId="17391" xr:uid="{00000000-0005-0000-0000-0000A4B10000}"/>
    <cellStyle name="Normal 2 8 3 20" xfId="46004" xr:uid="{00000000-0005-0000-0000-0000A5B10000}"/>
    <cellStyle name="Normal 2 8 3 21" xfId="47687" xr:uid="{00000000-0005-0000-0000-0000A6B10000}"/>
    <cellStyle name="Normal 2 8 3 22" xfId="49370" xr:uid="{00000000-0005-0000-0000-0000A7B10000}"/>
    <cellStyle name="Normal 2 8 3 23" xfId="51053" xr:uid="{00000000-0005-0000-0000-0000A8B10000}"/>
    <cellStyle name="Normal 2 8 3 24" xfId="52736" xr:uid="{00000000-0005-0000-0000-0000A9B10000}"/>
    <cellStyle name="Normal 2 8 3 25" xfId="54419" xr:uid="{00000000-0005-0000-0000-0000AAB10000}"/>
    <cellStyle name="Normal 2 8 3 26" xfId="56102" xr:uid="{00000000-0005-0000-0000-0000ABB10000}"/>
    <cellStyle name="Normal 2 8 3 27" xfId="57785" xr:uid="{00000000-0005-0000-0000-0000ACB10000}"/>
    <cellStyle name="Normal 2 8 3 28" xfId="59468" xr:uid="{00000000-0005-0000-0000-0000ADB10000}"/>
    <cellStyle name="Normal 2 8 3 29" xfId="61151" xr:uid="{00000000-0005-0000-0000-0000AEB10000}"/>
    <cellStyle name="Normal 2 8 3 3" xfId="3926" xr:uid="{00000000-0005-0000-0000-0000AFB10000}"/>
    <cellStyle name="Normal 2 8 3 3 2" xfId="19075" xr:uid="{00000000-0005-0000-0000-0000B0B10000}"/>
    <cellStyle name="Normal 2 8 3 30" xfId="62834" xr:uid="{00000000-0005-0000-0000-0000B1B10000}"/>
    <cellStyle name="Normal 2 8 3 4" xfId="5609" xr:uid="{00000000-0005-0000-0000-0000B2B10000}"/>
    <cellStyle name="Normal 2 8 3 4 2" xfId="20758" xr:uid="{00000000-0005-0000-0000-0000B3B10000}"/>
    <cellStyle name="Normal 2 8 3 5" xfId="7292" xr:uid="{00000000-0005-0000-0000-0000B4B10000}"/>
    <cellStyle name="Normal 2 8 3 5 2" xfId="22441" xr:uid="{00000000-0005-0000-0000-0000B5B10000}"/>
    <cellStyle name="Normal 2 8 3 6" xfId="8975" xr:uid="{00000000-0005-0000-0000-0000B6B10000}"/>
    <cellStyle name="Normal 2 8 3 6 2" xfId="24124" xr:uid="{00000000-0005-0000-0000-0000B7B10000}"/>
    <cellStyle name="Normal 2 8 3 7" xfId="10658" xr:uid="{00000000-0005-0000-0000-0000B8B10000}"/>
    <cellStyle name="Normal 2 8 3 7 2" xfId="25807" xr:uid="{00000000-0005-0000-0000-0000B9B10000}"/>
    <cellStyle name="Normal 2 8 3 8" xfId="12342" xr:uid="{00000000-0005-0000-0000-0000BAB10000}"/>
    <cellStyle name="Normal 2 8 3 8 2" xfId="27491" xr:uid="{00000000-0005-0000-0000-0000BBB10000}"/>
    <cellStyle name="Normal 2 8 3 9" xfId="14025" xr:uid="{00000000-0005-0000-0000-0000BCB10000}"/>
    <cellStyle name="Normal 2 8 3 9 2" xfId="29174" xr:uid="{00000000-0005-0000-0000-0000BDB10000}"/>
    <cellStyle name="Normal 2 8 30" xfId="55682" xr:uid="{00000000-0005-0000-0000-0000BEB10000}"/>
    <cellStyle name="Normal 2 8 31" xfId="57365" xr:uid="{00000000-0005-0000-0000-0000BFB10000}"/>
    <cellStyle name="Normal 2 8 32" xfId="59048" xr:uid="{00000000-0005-0000-0000-0000C0B10000}"/>
    <cellStyle name="Normal 2 8 33" xfId="60731" xr:uid="{00000000-0005-0000-0000-0000C1B10000}"/>
    <cellStyle name="Normal 2 8 34" xfId="62414" xr:uid="{00000000-0005-0000-0000-0000C2B10000}"/>
    <cellStyle name="Normal 2 8 4" xfId="980" xr:uid="{00000000-0005-0000-0000-0000C3B10000}"/>
    <cellStyle name="Normal 2 8 4 10" xfId="16129" xr:uid="{00000000-0005-0000-0000-0000C4B10000}"/>
    <cellStyle name="Normal 2 8 4 11" xfId="31278" xr:uid="{00000000-0005-0000-0000-0000C5B10000}"/>
    <cellStyle name="Normal 2 8 4 12" xfId="32961" xr:uid="{00000000-0005-0000-0000-0000C6B10000}"/>
    <cellStyle name="Normal 2 8 4 13" xfId="34644" xr:uid="{00000000-0005-0000-0000-0000C7B10000}"/>
    <cellStyle name="Normal 2 8 4 14" xfId="36327" xr:uid="{00000000-0005-0000-0000-0000C8B10000}"/>
    <cellStyle name="Normal 2 8 4 15" xfId="38010" xr:uid="{00000000-0005-0000-0000-0000C9B10000}"/>
    <cellStyle name="Normal 2 8 4 16" xfId="39693" xr:uid="{00000000-0005-0000-0000-0000CAB10000}"/>
    <cellStyle name="Normal 2 8 4 17" xfId="41376" xr:uid="{00000000-0005-0000-0000-0000CBB10000}"/>
    <cellStyle name="Normal 2 8 4 18" xfId="43059" xr:uid="{00000000-0005-0000-0000-0000CCB10000}"/>
    <cellStyle name="Normal 2 8 4 19" xfId="44742" xr:uid="{00000000-0005-0000-0000-0000CDB10000}"/>
    <cellStyle name="Normal 2 8 4 2" xfId="2663" xr:uid="{00000000-0005-0000-0000-0000CEB10000}"/>
    <cellStyle name="Normal 2 8 4 2 2" xfId="17812" xr:uid="{00000000-0005-0000-0000-0000CFB10000}"/>
    <cellStyle name="Normal 2 8 4 20" xfId="46425" xr:uid="{00000000-0005-0000-0000-0000D0B10000}"/>
    <cellStyle name="Normal 2 8 4 21" xfId="48108" xr:uid="{00000000-0005-0000-0000-0000D1B10000}"/>
    <cellStyle name="Normal 2 8 4 22" xfId="49791" xr:uid="{00000000-0005-0000-0000-0000D2B10000}"/>
    <cellStyle name="Normal 2 8 4 23" xfId="51474" xr:uid="{00000000-0005-0000-0000-0000D3B10000}"/>
    <cellStyle name="Normal 2 8 4 24" xfId="53157" xr:uid="{00000000-0005-0000-0000-0000D4B10000}"/>
    <cellStyle name="Normal 2 8 4 25" xfId="54840" xr:uid="{00000000-0005-0000-0000-0000D5B10000}"/>
    <cellStyle name="Normal 2 8 4 26" xfId="56523" xr:uid="{00000000-0005-0000-0000-0000D6B10000}"/>
    <cellStyle name="Normal 2 8 4 27" xfId="58206" xr:uid="{00000000-0005-0000-0000-0000D7B10000}"/>
    <cellStyle name="Normal 2 8 4 28" xfId="59889" xr:uid="{00000000-0005-0000-0000-0000D8B10000}"/>
    <cellStyle name="Normal 2 8 4 29" xfId="61572" xr:uid="{00000000-0005-0000-0000-0000D9B10000}"/>
    <cellStyle name="Normal 2 8 4 3" xfId="4347" xr:uid="{00000000-0005-0000-0000-0000DAB10000}"/>
    <cellStyle name="Normal 2 8 4 3 2" xfId="19496" xr:uid="{00000000-0005-0000-0000-0000DBB10000}"/>
    <cellStyle name="Normal 2 8 4 30" xfId="63255" xr:uid="{00000000-0005-0000-0000-0000DCB10000}"/>
    <cellStyle name="Normal 2 8 4 4" xfId="6030" xr:uid="{00000000-0005-0000-0000-0000DDB10000}"/>
    <cellStyle name="Normal 2 8 4 4 2" xfId="21179" xr:uid="{00000000-0005-0000-0000-0000DEB10000}"/>
    <cellStyle name="Normal 2 8 4 5" xfId="7713" xr:uid="{00000000-0005-0000-0000-0000DFB10000}"/>
    <cellStyle name="Normal 2 8 4 5 2" xfId="22862" xr:uid="{00000000-0005-0000-0000-0000E0B10000}"/>
    <cellStyle name="Normal 2 8 4 6" xfId="9396" xr:uid="{00000000-0005-0000-0000-0000E1B10000}"/>
    <cellStyle name="Normal 2 8 4 6 2" xfId="24545" xr:uid="{00000000-0005-0000-0000-0000E2B10000}"/>
    <cellStyle name="Normal 2 8 4 7" xfId="11079" xr:uid="{00000000-0005-0000-0000-0000E3B10000}"/>
    <cellStyle name="Normal 2 8 4 7 2" xfId="26228" xr:uid="{00000000-0005-0000-0000-0000E4B10000}"/>
    <cellStyle name="Normal 2 8 4 8" xfId="12763" xr:uid="{00000000-0005-0000-0000-0000E5B10000}"/>
    <cellStyle name="Normal 2 8 4 8 2" xfId="27912" xr:uid="{00000000-0005-0000-0000-0000E6B10000}"/>
    <cellStyle name="Normal 2 8 4 9" xfId="14446" xr:uid="{00000000-0005-0000-0000-0000E7B10000}"/>
    <cellStyle name="Normal 2 8 4 9 2" xfId="29595" xr:uid="{00000000-0005-0000-0000-0000E8B10000}"/>
    <cellStyle name="Normal 2 8 5" xfId="1401" xr:uid="{00000000-0005-0000-0000-0000E9B10000}"/>
    <cellStyle name="Normal 2 8 5 10" xfId="16550" xr:uid="{00000000-0005-0000-0000-0000EAB10000}"/>
    <cellStyle name="Normal 2 8 5 11" xfId="31699" xr:uid="{00000000-0005-0000-0000-0000EBB10000}"/>
    <cellStyle name="Normal 2 8 5 12" xfId="33382" xr:uid="{00000000-0005-0000-0000-0000ECB10000}"/>
    <cellStyle name="Normal 2 8 5 13" xfId="35065" xr:uid="{00000000-0005-0000-0000-0000EDB10000}"/>
    <cellStyle name="Normal 2 8 5 14" xfId="36748" xr:uid="{00000000-0005-0000-0000-0000EEB10000}"/>
    <cellStyle name="Normal 2 8 5 15" xfId="38431" xr:uid="{00000000-0005-0000-0000-0000EFB10000}"/>
    <cellStyle name="Normal 2 8 5 16" xfId="40114" xr:uid="{00000000-0005-0000-0000-0000F0B10000}"/>
    <cellStyle name="Normal 2 8 5 17" xfId="41797" xr:uid="{00000000-0005-0000-0000-0000F1B10000}"/>
    <cellStyle name="Normal 2 8 5 18" xfId="43480" xr:uid="{00000000-0005-0000-0000-0000F2B10000}"/>
    <cellStyle name="Normal 2 8 5 19" xfId="45163" xr:uid="{00000000-0005-0000-0000-0000F3B10000}"/>
    <cellStyle name="Normal 2 8 5 2" xfId="3084" xr:uid="{00000000-0005-0000-0000-0000F4B10000}"/>
    <cellStyle name="Normal 2 8 5 2 2" xfId="18233" xr:uid="{00000000-0005-0000-0000-0000F5B10000}"/>
    <cellStyle name="Normal 2 8 5 20" xfId="46846" xr:uid="{00000000-0005-0000-0000-0000F6B10000}"/>
    <cellStyle name="Normal 2 8 5 21" xfId="48529" xr:uid="{00000000-0005-0000-0000-0000F7B10000}"/>
    <cellStyle name="Normal 2 8 5 22" xfId="50212" xr:uid="{00000000-0005-0000-0000-0000F8B10000}"/>
    <cellStyle name="Normal 2 8 5 23" xfId="51895" xr:uid="{00000000-0005-0000-0000-0000F9B10000}"/>
    <cellStyle name="Normal 2 8 5 24" xfId="53578" xr:uid="{00000000-0005-0000-0000-0000FAB10000}"/>
    <cellStyle name="Normal 2 8 5 25" xfId="55261" xr:uid="{00000000-0005-0000-0000-0000FBB10000}"/>
    <cellStyle name="Normal 2 8 5 26" xfId="56944" xr:uid="{00000000-0005-0000-0000-0000FCB10000}"/>
    <cellStyle name="Normal 2 8 5 27" xfId="58627" xr:uid="{00000000-0005-0000-0000-0000FDB10000}"/>
    <cellStyle name="Normal 2 8 5 28" xfId="60310" xr:uid="{00000000-0005-0000-0000-0000FEB10000}"/>
    <cellStyle name="Normal 2 8 5 29" xfId="61993" xr:uid="{00000000-0005-0000-0000-0000FFB10000}"/>
    <cellStyle name="Normal 2 8 5 3" xfId="4768" xr:uid="{00000000-0005-0000-0000-000000B20000}"/>
    <cellStyle name="Normal 2 8 5 3 2" xfId="19917" xr:uid="{00000000-0005-0000-0000-000001B20000}"/>
    <cellStyle name="Normal 2 8 5 30" xfId="63676" xr:uid="{00000000-0005-0000-0000-000002B20000}"/>
    <cellStyle name="Normal 2 8 5 4" xfId="6451" xr:uid="{00000000-0005-0000-0000-000003B20000}"/>
    <cellStyle name="Normal 2 8 5 4 2" xfId="21600" xr:uid="{00000000-0005-0000-0000-000004B20000}"/>
    <cellStyle name="Normal 2 8 5 5" xfId="8134" xr:uid="{00000000-0005-0000-0000-000005B20000}"/>
    <cellStyle name="Normal 2 8 5 5 2" xfId="23283" xr:uid="{00000000-0005-0000-0000-000006B20000}"/>
    <cellStyle name="Normal 2 8 5 6" xfId="9817" xr:uid="{00000000-0005-0000-0000-000007B20000}"/>
    <cellStyle name="Normal 2 8 5 6 2" xfId="24966" xr:uid="{00000000-0005-0000-0000-000008B20000}"/>
    <cellStyle name="Normal 2 8 5 7" xfId="11500" xr:uid="{00000000-0005-0000-0000-000009B20000}"/>
    <cellStyle name="Normal 2 8 5 7 2" xfId="26649" xr:uid="{00000000-0005-0000-0000-00000AB20000}"/>
    <cellStyle name="Normal 2 8 5 8" xfId="13184" xr:uid="{00000000-0005-0000-0000-00000BB20000}"/>
    <cellStyle name="Normal 2 8 5 8 2" xfId="28333" xr:uid="{00000000-0005-0000-0000-00000CB20000}"/>
    <cellStyle name="Normal 2 8 5 9" xfId="14867" xr:uid="{00000000-0005-0000-0000-00000DB20000}"/>
    <cellStyle name="Normal 2 8 5 9 2" xfId="30016" xr:uid="{00000000-0005-0000-0000-00000EB20000}"/>
    <cellStyle name="Normal 2 8 6" xfId="1822" xr:uid="{00000000-0005-0000-0000-00000FB20000}"/>
    <cellStyle name="Normal 2 8 6 2" xfId="16971" xr:uid="{00000000-0005-0000-0000-000010B20000}"/>
    <cellStyle name="Normal 2 8 7" xfId="3506" xr:uid="{00000000-0005-0000-0000-000011B20000}"/>
    <cellStyle name="Normal 2 8 7 2" xfId="18655" xr:uid="{00000000-0005-0000-0000-000012B20000}"/>
    <cellStyle name="Normal 2 8 8" xfId="5189" xr:uid="{00000000-0005-0000-0000-000013B20000}"/>
    <cellStyle name="Normal 2 8 8 2" xfId="20338" xr:uid="{00000000-0005-0000-0000-000014B20000}"/>
    <cellStyle name="Normal 2 8 9" xfId="6872" xr:uid="{00000000-0005-0000-0000-000015B20000}"/>
    <cellStyle name="Normal 2 8 9 2" xfId="22021" xr:uid="{00000000-0005-0000-0000-000016B20000}"/>
    <cellStyle name="Normal 2 9" xfId="244" xr:uid="{00000000-0005-0000-0000-000017B20000}"/>
    <cellStyle name="Normal 2 9 10" xfId="10343" xr:uid="{00000000-0005-0000-0000-000018B20000}"/>
    <cellStyle name="Normal 2 9 10 2" xfId="25492" xr:uid="{00000000-0005-0000-0000-000019B20000}"/>
    <cellStyle name="Normal 2 9 11" xfId="12027" xr:uid="{00000000-0005-0000-0000-00001AB20000}"/>
    <cellStyle name="Normal 2 9 11 2" xfId="27176" xr:uid="{00000000-0005-0000-0000-00001BB20000}"/>
    <cellStyle name="Normal 2 9 12" xfId="13710" xr:uid="{00000000-0005-0000-0000-00001CB20000}"/>
    <cellStyle name="Normal 2 9 12 2" xfId="28859" xr:uid="{00000000-0005-0000-0000-00001DB20000}"/>
    <cellStyle name="Normal 2 9 13" xfId="15393" xr:uid="{00000000-0005-0000-0000-00001EB20000}"/>
    <cellStyle name="Normal 2 9 14" xfId="30542" xr:uid="{00000000-0005-0000-0000-00001FB20000}"/>
    <cellStyle name="Normal 2 9 15" xfId="32225" xr:uid="{00000000-0005-0000-0000-000020B20000}"/>
    <cellStyle name="Normal 2 9 16" xfId="33908" xr:uid="{00000000-0005-0000-0000-000021B20000}"/>
    <cellStyle name="Normal 2 9 17" xfId="35591" xr:uid="{00000000-0005-0000-0000-000022B20000}"/>
    <cellStyle name="Normal 2 9 18" xfId="37274" xr:uid="{00000000-0005-0000-0000-000023B20000}"/>
    <cellStyle name="Normal 2 9 19" xfId="38957" xr:uid="{00000000-0005-0000-0000-000024B20000}"/>
    <cellStyle name="Normal 2 9 2" xfId="664" xr:uid="{00000000-0005-0000-0000-000025B20000}"/>
    <cellStyle name="Normal 2 9 2 10" xfId="15813" xr:uid="{00000000-0005-0000-0000-000026B20000}"/>
    <cellStyle name="Normal 2 9 2 11" xfId="30962" xr:uid="{00000000-0005-0000-0000-000027B20000}"/>
    <cellStyle name="Normal 2 9 2 12" xfId="32645" xr:uid="{00000000-0005-0000-0000-000028B20000}"/>
    <cellStyle name="Normal 2 9 2 13" xfId="34328" xr:uid="{00000000-0005-0000-0000-000029B20000}"/>
    <cellStyle name="Normal 2 9 2 14" xfId="36011" xr:uid="{00000000-0005-0000-0000-00002AB20000}"/>
    <cellStyle name="Normal 2 9 2 15" xfId="37694" xr:uid="{00000000-0005-0000-0000-00002BB20000}"/>
    <cellStyle name="Normal 2 9 2 16" xfId="39377" xr:uid="{00000000-0005-0000-0000-00002CB20000}"/>
    <cellStyle name="Normal 2 9 2 17" xfId="41060" xr:uid="{00000000-0005-0000-0000-00002DB20000}"/>
    <cellStyle name="Normal 2 9 2 18" xfId="42743" xr:uid="{00000000-0005-0000-0000-00002EB20000}"/>
    <cellStyle name="Normal 2 9 2 19" xfId="44426" xr:uid="{00000000-0005-0000-0000-00002FB20000}"/>
    <cellStyle name="Normal 2 9 2 2" xfId="2347" xr:uid="{00000000-0005-0000-0000-000030B20000}"/>
    <cellStyle name="Normal 2 9 2 2 2" xfId="17496" xr:uid="{00000000-0005-0000-0000-000031B20000}"/>
    <cellStyle name="Normal 2 9 2 20" xfId="46109" xr:uid="{00000000-0005-0000-0000-000032B20000}"/>
    <cellStyle name="Normal 2 9 2 21" xfId="47792" xr:uid="{00000000-0005-0000-0000-000033B20000}"/>
    <cellStyle name="Normal 2 9 2 22" xfId="49475" xr:uid="{00000000-0005-0000-0000-000034B20000}"/>
    <cellStyle name="Normal 2 9 2 23" xfId="51158" xr:uid="{00000000-0005-0000-0000-000035B20000}"/>
    <cellStyle name="Normal 2 9 2 24" xfId="52841" xr:uid="{00000000-0005-0000-0000-000036B20000}"/>
    <cellStyle name="Normal 2 9 2 25" xfId="54524" xr:uid="{00000000-0005-0000-0000-000037B20000}"/>
    <cellStyle name="Normal 2 9 2 26" xfId="56207" xr:uid="{00000000-0005-0000-0000-000038B20000}"/>
    <cellStyle name="Normal 2 9 2 27" xfId="57890" xr:uid="{00000000-0005-0000-0000-000039B20000}"/>
    <cellStyle name="Normal 2 9 2 28" xfId="59573" xr:uid="{00000000-0005-0000-0000-00003AB20000}"/>
    <cellStyle name="Normal 2 9 2 29" xfId="61256" xr:uid="{00000000-0005-0000-0000-00003BB20000}"/>
    <cellStyle name="Normal 2 9 2 3" xfId="4031" xr:uid="{00000000-0005-0000-0000-00003CB20000}"/>
    <cellStyle name="Normal 2 9 2 3 2" xfId="19180" xr:uid="{00000000-0005-0000-0000-00003DB20000}"/>
    <cellStyle name="Normal 2 9 2 30" xfId="62939" xr:uid="{00000000-0005-0000-0000-00003EB20000}"/>
    <cellStyle name="Normal 2 9 2 4" xfId="5714" xr:uid="{00000000-0005-0000-0000-00003FB20000}"/>
    <cellStyle name="Normal 2 9 2 4 2" xfId="20863" xr:uid="{00000000-0005-0000-0000-000040B20000}"/>
    <cellStyle name="Normal 2 9 2 5" xfId="7397" xr:uid="{00000000-0005-0000-0000-000041B20000}"/>
    <cellStyle name="Normal 2 9 2 5 2" xfId="22546" xr:uid="{00000000-0005-0000-0000-000042B20000}"/>
    <cellStyle name="Normal 2 9 2 6" xfId="9080" xr:uid="{00000000-0005-0000-0000-000043B20000}"/>
    <cellStyle name="Normal 2 9 2 6 2" xfId="24229" xr:uid="{00000000-0005-0000-0000-000044B20000}"/>
    <cellStyle name="Normal 2 9 2 7" xfId="10763" xr:uid="{00000000-0005-0000-0000-000045B20000}"/>
    <cellStyle name="Normal 2 9 2 7 2" xfId="25912" xr:uid="{00000000-0005-0000-0000-000046B20000}"/>
    <cellStyle name="Normal 2 9 2 8" xfId="12447" xr:uid="{00000000-0005-0000-0000-000047B20000}"/>
    <cellStyle name="Normal 2 9 2 8 2" xfId="27596" xr:uid="{00000000-0005-0000-0000-000048B20000}"/>
    <cellStyle name="Normal 2 9 2 9" xfId="14130" xr:uid="{00000000-0005-0000-0000-000049B20000}"/>
    <cellStyle name="Normal 2 9 2 9 2" xfId="29279" xr:uid="{00000000-0005-0000-0000-00004AB20000}"/>
    <cellStyle name="Normal 2 9 20" xfId="40640" xr:uid="{00000000-0005-0000-0000-00004BB20000}"/>
    <cellStyle name="Normal 2 9 21" xfId="42323" xr:uid="{00000000-0005-0000-0000-00004CB20000}"/>
    <cellStyle name="Normal 2 9 22" xfId="44006" xr:uid="{00000000-0005-0000-0000-00004DB20000}"/>
    <cellStyle name="Normal 2 9 23" xfId="45689" xr:uid="{00000000-0005-0000-0000-00004EB20000}"/>
    <cellStyle name="Normal 2 9 24" xfId="47372" xr:uid="{00000000-0005-0000-0000-00004FB20000}"/>
    <cellStyle name="Normal 2 9 25" xfId="49055" xr:uid="{00000000-0005-0000-0000-000050B20000}"/>
    <cellStyle name="Normal 2 9 26" xfId="50738" xr:uid="{00000000-0005-0000-0000-000051B20000}"/>
    <cellStyle name="Normal 2 9 27" xfId="52421" xr:uid="{00000000-0005-0000-0000-000052B20000}"/>
    <cellStyle name="Normal 2 9 28" xfId="54104" xr:uid="{00000000-0005-0000-0000-000053B20000}"/>
    <cellStyle name="Normal 2 9 29" xfId="55787" xr:uid="{00000000-0005-0000-0000-000054B20000}"/>
    <cellStyle name="Normal 2 9 3" xfId="1085" xr:uid="{00000000-0005-0000-0000-000055B20000}"/>
    <cellStyle name="Normal 2 9 3 10" xfId="16234" xr:uid="{00000000-0005-0000-0000-000056B20000}"/>
    <cellStyle name="Normal 2 9 3 11" xfId="31383" xr:uid="{00000000-0005-0000-0000-000057B20000}"/>
    <cellStyle name="Normal 2 9 3 12" xfId="33066" xr:uid="{00000000-0005-0000-0000-000058B20000}"/>
    <cellStyle name="Normal 2 9 3 13" xfId="34749" xr:uid="{00000000-0005-0000-0000-000059B20000}"/>
    <cellStyle name="Normal 2 9 3 14" xfId="36432" xr:uid="{00000000-0005-0000-0000-00005AB20000}"/>
    <cellStyle name="Normal 2 9 3 15" xfId="38115" xr:uid="{00000000-0005-0000-0000-00005BB20000}"/>
    <cellStyle name="Normal 2 9 3 16" xfId="39798" xr:uid="{00000000-0005-0000-0000-00005CB20000}"/>
    <cellStyle name="Normal 2 9 3 17" xfId="41481" xr:uid="{00000000-0005-0000-0000-00005DB20000}"/>
    <cellStyle name="Normal 2 9 3 18" xfId="43164" xr:uid="{00000000-0005-0000-0000-00005EB20000}"/>
    <cellStyle name="Normal 2 9 3 19" xfId="44847" xr:uid="{00000000-0005-0000-0000-00005FB20000}"/>
    <cellStyle name="Normal 2 9 3 2" xfId="2768" xr:uid="{00000000-0005-0000-0000-000060B20000}"/>
    <cellStyle name="Normal 2 9 3 2 2" xfId="17917" xr:uid="{00000000-0005-0000-0000-000061B20000}"/>
    <cellStyle name="Normal 2 9 3 20" xfId="46530" xr:uid="{00000000-0005-0000-0000-000062B20000}"/>
    <cellStyle name="Normal 2 9 3 21" xfId="48213" xr:uid="{00000000-0005-0000-0000-000063B20000}"/>
    <cellStyle name="Normal 2 9 3 22" xfId="49896" xr:uid="{00000000-0005-0000-0000-000064B20000}"/>
    <cellStyle name="Normal 2 9 3 23" xfId="51579" xr:uid="{00000000-0005-0000-0000-000065B20000}"/>
    <cellStyle name="Normal 2 9 3 24" xfId="53262" xr:uid="{00000000-0005-0000-0000-000066B20000}"/>
    <cellStyle name="Normal 2 9 3 25" xfId="54945" xr:uid="{00000000-0005-0000-0000-000067B20000}"/>
    <cellStyle name="Normal 2 9 3 26" xfId="56628" xr:uid="{00000000-0005-0000-0000-000068B20000}"/>
    <cellStyle name="Normal 2 9 3 27" xfId="58311" xr:uid="{00000000-0005-0000-0000-000069B20000}"/>
    <cellStyle name="Normal 2 9 3 28" xfId="59994" xr:uid="{00000000-0005-0000-0000-00006AB20000}"/>
    <cellStyle name="Normal 2 9 3 29" xfId="61677" xr:uid="{00000000-0005-0000-0000-00006BB20000}"/>
    <cellStyle name="Normal 2 9 3 3" xfId="4452" xr:uid="{00000000-0005-0000-0000-00006CB20000}"/>
    <cellStyle name="Normal 2 9 3 3 2" xfId="19601" xr:uid="{00000000-0005-0000-0000-00006DB20000}"/>
    <cellStyle name="Normal 2 9 3 30" xfId="63360" xr:uid="{00000000-0005-0000-0000-00006EB20000}"/>
    <cellStyle name="Normal 2 9 3 4" xfId="6135" xr:uid="{00000000-0005-0000-0000-00006FB20000}"/>
    <cellStyle name="Normal 2 9 3 4 2" xfId="21284" xr:uid="{00000000-0005-0000-0000-000070B20000}"/>
    <cellStyle name="Normal 2 9 3 5" xfId="7818" xr:uid="{00000000-0005-0000-0000-000071B20000}"/>
    <cellStyle name="Normal 2 9 3 5 2" xfId="22967" xr:uid="{00000000-0005-0000-0000-000072B20000}"/>
    <cellStyle name="Normal 2 9 3 6" xfId="9501" xr:uid="{00000000-0005-0000-0000-000073B20000}"/>
    <cellStyle name="Normal 2 9 3 6 2" xfId="24650" xr:uid="{00000000-0005-0000-0000-000074B20000}"/>
    <cellStyle name="Normal 2 9 3 7" xfId="11184" xr:uid="{00000000-0005-0000-0000-000075B20000}"/>
    <cellStyle name="Normal 2 9 3 7 2" xfId="26333" xr:uid="{00000000-0005-0000-0000-000076B20000}"/>
    <cellStyle name="Normal 2 9 3 8" xfId="12868" xr:uid="{00000000-0005-0000-0000-000077B20000}"/>
    <cellStyle name="Normal 2 9 3 8 2" xfId="28017" xr:uid="{00000000-0005-0000-0000-000078B20000}"/>
    <cellStyle name="Normal 2 9 3 9" xfId="14551" xr:uid="{00000000-0005-0000-0000-000079B20000}"/>
    <cellStyle name="Normal 2 9 3 9 2" xfId="29700" xr:uid="{00000000-0005-0000-0000-00007AB20000}"/>
    <cellStyle name="Normal 2 9 30" xfId="57470" xr:uid="{00000000-0005-0000-0000-00007BB20000}"/>
    <cellStyle name="Normal 2 9 31" xfId="59153" xr:uid="{00000000-0005-0000-0000-00007CB20000}"/>
    <cellStyle name="Normal 2 9 32" xfId="60836" xr:uid="{00000000-0005-0000-0000-00007DB20000}"/>
    <cellStyle name="Normal 2 9 33" xfId="62519" xr:uid="{00000000-0005-0000-0000-00007EB20000}"/>
    <cellStyle name="Normal 2 9 4" xfId="1506" xr:uid="{00000000-0005-0000-0000-00007FB20000}"/>
    <cellStyle name="Normal 2 9 4 10" xfId="16655" xr:uid="{00000000-0005-0000-0000-000080B20000}"/>
    <cellStyle name="Normal 2 9 4 11" xfId="31804" xr:uid="{00000000-0005-0000-0000-000081B20000}"/>
    <cellStyle name="Normal 2 9 4 12" xfId="33487" xr:uid="{00000000-0005-0000-0000-000082B20000}"/>
    <cellStyle name="Normal 2 9 4 13" xfId="35170" xr:uid="{00000000-0005-0000-0000-000083B20000}"/>
    <cellStyle name="Normal 2 9 4 14" xfId="36853" xr:uid="{00000000-0005-0000-0000-000084B20000}"/>
    <cellStyle name="Normal 2 9 4 15" xfId="38536" xr:uid="{00000000-0005-0000-0000-000085B20000}"/>
    <cellStyle name="Normal 2 9 4 16" xfId="40219" xr:uid="{00000000-0005-0000-0000-000086B20000}"/>
    <cellStyle name="Normal 2 9 4 17" xfId="41902" xr:uid="{00000000-0005-0000-0000-000087B20000}"/>
    <cellStyle name="Normal 2 9 4 18" xfId="43585" xr:uid="{00000000-0005-0000-0000-000088B20000}"/>
    <cellStyle name="Normal 2 9 4 19" xfId="45268" xr:uid="{00000000-0005-0000-0000-000089B20000}"/>
    <cellStyle name="Normal 2 9 4 2" xfId="3189" xr:uid="{00000000-0005-0000-0000-00008AB20000}"/>
    <cellStyle name="Normal 2 9 4 2 2" xfId="18338" xr:uid="{00000000-0005-0000-0000-00008BB20000}"/>
    <cellStyle name="Normal 2 9 4 20" xfId="46951" xr:uid="{00000000-0005-0000-0000-00008CB20000}"/>
    <cellStyle name="Normal 2 9 4 21" xfId="48634" xr:uid="{00000000-0005-0000-0000-00008DB20000}"/>
    <cellStyle name="Normal 2 9 4 22" xfId="50317" xr:uid="{00000000-0005-0000-0000-00008EB20000}"/>
    <cellStyle name="Normal 2 9 4 23" xfId="52000" xr:uid="{00000000-0005-0000-0000-00008FB20000}"/>
    <cellStyle name="Normal 2 9 4 24" xfId="53683" xr:uid="{00000000-0005-0000-0000-000090B20000}"/>
    <cellStyle name="Normal 2 9 4 25" xfId="55366" xr:uid="{00000000-0005-0000-0000-000091B20000}"/>
    <cellStyle name="Normal 2 9 4 26" xfId="57049" xr:uid="{00000000-0005-0000-0000-000092B20000}"/>
    <cellStyle name="Normal 2 9 4 27" xfId="58732" xr:uid="{00000000-0005-0000-0000-000093B20000}"/>
    <cellStyle name="Normal 2 9 4 28" xfId="60415" xr:uid="{00000000-0005-0000-0000-000094B20000}"/>
    <cellStyle name="Normal 2 9 4 29" xfId="62098" xr:uid="{00000000-0005-0000-0000-000095B20000}"/>
    <cellStyle name="Normal 2 9 4 3" xfId="4873" xr:uid="{00000000-0005-0000-0000-000096B20000}"/>
    <cellStyle name="Normal 2 9 4 3 2" xfId="20022" xr:uid="{00000000-0005-0000-0000-000097B20000}"/>
    <cellStyle name="Normal 2 9 4 30" xfId="63781" xr:uid="{00000000-0005-0000-0000-000098B20000}"/>
    <cellStyle name="Normal 2 9 4 4" xfId="6556" xr:uid="{00000000-0005-0000-0000-000099B20000}"/>
    <cellStyle name="Normal 2 9 4 4 2" xfId="21705" xr:uid="{00000000-0005-0000-0000-00009AB20000}"/>
    <cellStyle name="Normal 2 9 4 5" xfId="8239" xr:uid="{00000000-0005-0000-0000-00009BB20000}"/>
    <cellStyle name="Normal 2 9 4 5 2" xfId="23388" xr:uid="{00000000-0005-0000-0000-00009CB20000}"/>
    <cellStyle name="Normal 2 9 4 6" xfId="9922" xr:uid="{00000000-0005-0000-0000-00009DB20000}"/>
    <cellStyle name="Normal 2 9 4 6 2" xfId="25071" xr:uid="{00000000-0005-0000-0000-00009EB20000}"/>
    <cellStyle name="Normal 2 9 4 7" xfId="11605" xr:uid="{00000000-0005-0000-0000-00009FB20000}"/>
    <cellStyle name="Normal 2 9 4 7 2" xfId="26754" xr:uid="{00000000-0005-0000-0000-0000A0B20000}"/>
    <cellStyle name="Normal 2 9 4 8" xfId="13289" xr:uid="{00000000-0005-0000-0000-0000A1B20000}"/>
    <cellStyle name="Normal 2 9 4 8 2" xfId="28438" xr:uid="{00000000-0005-0000-0000-0000A2B20000}"/>
    <cellStyle name="Normal 2 9 4 9" xfId="14972" xr:uid="{00000000-0005-0000-0000-0000A3B20000}"/>
    <cellStyle name="Normal 2 9 4 9 2" xfId="30121" xr:uid="{00000000-0005-0000-0000-0000A4B20000}"/>
    <cellStyle name="Normal 2 9 5" xfId="1927" xr:uid="{00000000-0005-0000-0000-0000A5B20000}"/>
    <cellStyle name="Normal 2 9 5 2" xfId="17076" xr:uid="{00000000-0005-0000-0000-0000A6B20000}"/>
    <cellStyle name="Normal 2 9 6" xfId="3611" xr:uid="{00000000-0005-0000-0000-0000A7B20000}"/>
    <cellStyle name="Normal 2 9 6 2" xfId="18760" xr:uid="{00000000-0005-0000-0000-0000A8B20000}"/>
    <cellStyle name="Normal 2 9 7" xfId="5294" xr:uid="{00000000-0005-0000-0000-0000A9B20000}"/>
    <cellStyle name="Normal 2 9 7 2" xfId="20443" xr:uid="{00000000-0005-0000-0000-0000AAB20000}"/>
    <cellStyle name="Normal 2 9 8" xfId="6977" xr:uid="{00000000-0005-0000-0000-0000ABB20000}"/>
    <cellStyle name="Normal 2 9 8 2" xfId="22126" xr:uid="{00000000-0005-0000-0000-0000ACB20000}"/>
    <cellStyle name="Normal 2 9 9" xfId="8660" xr:uid="{00000000-0005-0000-0000-0000ADB20000}"/>
    <cellStyle name="Normal 2 9 9 2" xfId="23809" xr:uid="{00000000-0005-0000-0000-0000AEB20000}"/>
    <cellStyle name="Normal 26" xfId="8" xr:uid="{00000000-0005-0000-0000-0000AFB20000}"/>
    <cellStyle name="Normal 26 10" xfId="877" xr:uid="{00000000-0005-0000-0000-0000B0B20000}"/>
    <cellStyle name="Normal 26 10 10" xfId="16026" xr:uid="{00000000-0005-0000-0000-0000B1B20000}"/>
    <cellStyle name="Normal 26 10 11" xfId="31175" xr:uid="{00000000-0005-0000-0000-0000B2B20000}"/>
    <cellStyle name="Normal 26 10 12" xfId="32858" xr:uid="{00000000-0005-0000-0000-0000B3B20000}"/>
    <cellStyle name="Normal 26 10 13" xfId="34541" xr:uid="{00000000-0005-0000-0000-0000B4B20000}"/>
    <cellStyle name="Normal 26 10 14" xfId="36224" xr:uid="{00000000-0005-0000-0000-0000B5B20000}"/>
    <cellStyle name="Normal 26 10 15" xfId="37907" xr:uid="{00000000-0005-0000-0000-0000B6B20000}"/>
    <cellStyle name="Normal 26 10 16" xfId="39590" xr:uid="{00000000-0005-0000-0000-0000B7B20000}"/>
    <cellStyle name="Normal 26 10 17" xfId="41273" xr:uid="{00000000-0005-0000-0000-0000B8B20000}"/>
    <cellStyle name="Normal 26 10 18" xfId="42956" xr:uid="{00000000-0005-0000-0000-0000B9B20000}"/>
    <cellStyle name="Normal 26 10 19" xfId="44639" xr:uid="{00000000-0005-0000-0000-0000BAB20000}"/>
    <cellStyle name="Normal 26 10 2" xfId="2560" xr:uid="{00000000-0005-0000-0000-0000BBB20000}"/>
    <cellStyle name="Normal 26 10 2 2" xfId="17709" xr:uid="{00000000-0005-0000-0000-0000BCB20000}"/>
    <cellStyle name="Normal 26 10 20" xfId="46322" xr:uid="{00000000-0005-0000-0000-0000BDB20000}"/>
    <cellStyle name="Normal 26 10 21" xfId="48005" xr:uid="{00000000-0005-0000-0000-0000BEB20000}"/>
    <cellStyle name="Normal 26 10 22" xfId="49688" xr:uid="{00000000-0005-0000-0000-0000BFB20000}"/>
    <cellStyle name="Normal 26 10 23" xfId="51371" xr:uid="{00000000-0005-0000-0000-0000C0B20000}"/>
    <cellStyle name="Normal 26 10 24" xfId="53054" xr:uid="{00000000-0005-0000-0000-0000C1B20000}"/>
    <cellStyle name="Normal 26 10 25" xfId="54737" xr:uid="{00000000-0005-0000-0000-0000C2B20000}"/>
    <cellStyle name="Normal 26 10 26" xfId="56420" xr:uid="{00000000-0005-0000-0000-0000C3B20000}"/>
    <cellStyle name="Normal 26 10 27" xfId="58103" xr:uid="{00000000-0005-0000-0000-0000C4B20000}"/>
    <cellStyle name="Normal 26 10 28" xfId="59786" xr:uid="{00000000-0005-0000-0000-0000C5B20000}"/>
    <cellStyle name="Normal 26 10 29" xfId="61469" xr:uid="{00000000-0005-0000-0000-0000C6B20000}"/>
    <cellStyle name="Normal 26 10 3" xfId="4244" xr:uid="{00000000-0005-0000-0000-0000C7B20000}"/>
    <cellStyle name="Normal 26 10 3 2" xfId="19393" xr:uid="{00000000-0005-0000-0000-0000C8B20000}"/>
    <cellStyle name="Normal 26 10 30" xfId="63152" xr:uid="{00000000-0005-0000-0000-0000C9B20000}"/>
    <cellStyle name="Normal 26 10 4" xfId="5927" xr:uid="{00000000-0005-0000-0000-0000CAB20000}"/>
    <cellStyle name="Normal 26 10 4 2" xfId="21076" xr:uid="{00000000-0005-0000-0000-0000CBB20000}"/>
    <cellStyle name="Normal 26 10 5" xfId="7610" xr:uid="{00000000-0005-0000-0000-0000CCB20000}"/>
    <cellStyle name="Normal 26 10 5 2" xfId="22759" xr:uid="{00000000-0005-0000-0000-0000CDB20000}"/>
    <cellStyle name="Normal 26 10 6" xfId="9293" xr:uid="{00000000-0005-0000-0000-0000CEB20000}"/>
    <cellStyle name="Normal 26 10 6 2" xfId="24442" xr:uid="{00000000-0005-0000-0000-0000CFB20000}"/>
    <cellStyle name="Normal 26 10 7" xfId="10976" xr:uid="{00000000-0005-0000-0000-0000D0B20000}"/>
    <cellStyle name="Normal 26 10 7 2" xfId="26125" xr:uid="{00000000-0005-0000-0000-0000D1B20000}"/>
    <cellStyle name="Normal 26 10 8" xfId="12660" xr:uid="{00000000-0005-0000-0000-0000D2B20000}"/>
    <cellStyle name="Normal 26 10 8 2" xfId="27809" xr:uid="{00000000-0005-0000-0000-0000D3B20000}"/>
    <cellStyle name="Normal 26 10 9" xfId="14343" xr:uid="{00000000-0005-0000-0000-0000D4B20000}"/>
    <cellStyle name="Normal 26 10 9 2" xfId="29492" xr:uid="{00000000-0005-0000-0000-0000D5B20000}"/>
    <cellStyle name="Normal 26 11" xfId="1298" xr:uid="{00000000-0005-0000-0000-0000D6B20000}"/>
    <cellStyle name="Normal 26 11 10" xfId="16447" xr:uid="{00000000-0005-0000-0000-0000D7B20000}"/>
    <cellStyle name="Normal 26 11 11" xfId="31596" xr:uid="{00000000-0005-0000-0000-0000D8B20000}"/>
    <cellStyle name="Normal 26 11 12" xfId="33279" xr:uid="{00000000-0005-0000-0000-0000D9B20000}"/>
    <cellStyle name="Normal 26 11 13" xfId="34962" xr:uid="{00000000-0005-0000-0000-0000DAB20000}"/>
    <cellStyle name="Normal 26 11 14" xfId="36645" xr:uid="{00000000-0005-0000-0000-0000DBB20000}"/>
    <cellStyle name="Normal 26 11 15" xfId="38328" xr:uid="{00000000-0005-0000-0000-0000DCB20000}"/>
    <cellStyle name="Normal 26 11 16" xfId="40011" xr:uid="{00000000-0005-0000-0000-0000DDB20000}"/>
    <cellStyle name="Normal 26 11 17" xfId="41694" xr:uid="{00000000-0005-0000-0000-0000DEB20000}"/>
    <cellStyle name="Normal 26 11 18" xfId="43377" xr:uid="{00000000-0005-0000-0000-0000DFB20000}"/>
    <cellStyle name="Normal 26 11 19" xfId="45060" xr:uid="{00000000-0005-0000-0000-0000E0B20000}"/>
    <cellStyle name="Normal 26 11 2" xfId="2981" xr:uid="{00000000-0005-0000-0000-0000E1B20000}"/>
    <cellStyle name="Normal 26 11 2 2" xfId="18130" xr:uid="{00000000-0005-0000-0000-0000E2B20000}"/>
    <cellStyle name="Normal 26 11 20" xfId="46743" xr:uid="{00000000-0005-0000-0000-0000E3B20000}"/>
    <cellStyle name="Normal 26 11 21" xfId="48426" xr:uid="{00000000-0005-0000-0000-0000E4B20000}"/>
    <cellStyle name="Normal 26 11 22" xfId="50109" xr:uid="{00000000-0005-0000-0000-0000E5B20000}"/>
    <cellStyle name="Normal 26 11 23" xfId="51792" xr:uid="{00000000-0005-0000-0000-0000E6B20000}"/>
    <cellStyle name="Normal 26 11 24" xfId="53475" xr:uid="{00000000-0005-0000-0000-0000E7B20000}"/>
    <cellStyle name="Normal 26 11 25" xfId="55158" xr:uid="{00000000-0005-0000-0000-0000E8B20000}"/>
    <cellStyle name="Normal 26 11 26" xfId="56841" xr:uid="{00000000-0005-0000-0000-0000E9B20000}"/>
    <cellStyle name="Normal 26 11 27" xfId="58524" xr:uid="{00000000-0005-0000-0000-0000EAB20000}"/>
    <cellStyle name="Normal 26 11 28" xfId="60207" xr:uid="{00000000-0005-0000-0000-0000EBB20000}"/>
    <cellStyle name="Normal 26 11 29" xfId="61890" xr:uid="{00000000-0005-0000-0000-0000ECB20000}"/>
    <cellStyle name="Normal 26 11 3" xfId="4665" xr:uid="{00000000-0005-0000-0000-0000EDB20000}"/>
    <cellStyle name="Normal 26 11 3 2" xfId="19814" xr:uid="{00000000-0005-0000-0000-0000EEB20000}"/>
    <cellStyle name="Normal 26 11 30" xfId="63573" xr:uid="{00000000-0005-0000-0000-0000EFB20000}"/>
    <cellStyle name="Normal 26 11 4" xfId="6348" xr:uid="{00000000-0005-0000-0000-0000F0B20000}"/>
    <cellStyle name="Normal 26 11 4 2" xfId="21497" xr:uid="{00000000-0005-0000-0000-0000F1B20000}"/>
    <cellStyle name="Normal 26 11 5" xfId="8031" xr:uid="{00000000-0005-0000-0000-0000F2B20000}"/>
    <cellStyle name="Normal 26 11 5 2" xfId="23180" xr:uid="{00000000-0005-0000-0000-0000F3B20000}"/>
    <cellStyle name="Normal 26 11 6" xfId="9714" xr:uid="{00000000-0005-0000-0000-0000F4B20000}"/>
    <cellStyle name="Normal 26 11 6 2" xfId="24863" xr:uid="{00000000-0005-0000-0000-0000F5B20000}"/>
    <cellStyle name="Normal 26 11 7" xfId="11397" xr:uid="{00000000-0005-0000-0000-0000F6B20000}"/>
    <cellStyle name="Normal 26 11 7 2" xfId="26546" xr:uid="{00000000-0005-0000-0000-0000F7B20000}"/>
    <cellStyle name="Normal 26 11 8" xfId="13081" xr:uid="{00000000-0005-0000-0000-0000F8B20000}"/>
    <cellStyle name="Normal 26 11 8 2" xfId="28230" xr:uid="{00000000-0005-0000-0000-0000F9B20000}"/>
    <cellStyle name="Normal 26 11 9" xfId="14764" xr:uid="{00000000-0005-0000-0000-0000FAB20000}"/>
    <cellStyle name="Normal 26 11 9 2" xfId="29913" xr:uid="{00000000-0005-0000-0000-0000FBB20000}"/>
    <cellStyle name="Normal 26 12" xfId="1719" xr:uid="{00000000-0005-0000-0000-0000FCB20000}"/>
    <cellStyle name="Normal 26 12 2" xfId="16868" xr:uid="{00000000-0005-0000-0000-0000FDB20000}"/>
    <cellStyle name="Normal 26 13" xfId="3403" xr:uid="{00000000-0005-0000-0000-0000FEB20000}"/>
    <cellStyle name="Normal 26 13 2" xfId="18552" xr:uid="{00000000-0005-0000-0000-0000FFB20000}"/>
    <cellStyle name="Normal 26 14" xfId="5086" xr:uid="{00000000-0005-0000-0000-000000B30000}"/>
    <cellStyle name="Normal 26 14 2" xfId="20235" xr:uid="{00000000-0005-0000-0000-000001B30000}"/>
    <cellStyle name="Normal 26 15" xfId="6769" xr:uid="{00000000-0005-0000-0000-000002B30000}"/>
    <cellStyle name="Normal 26 15 2" xfId="21918" xr:uid="{00000000-0005-0000-0000-000003B30000}"/>
    <cellStyle name="Normal 26 16" xfId="8452" xr:uid="{00000000-0005-0000-0000-000004B30000}"/>
    <cellStyle name="Normal 26 16 2" xfId="23601" xr:uid="{00000000-0005-0000-0000-000005B30000}"/>
    <cellStyle name="Normal 26 17" xfId="10135" xr:uid="{00000000-0005-0000-0000-000006B30000}"/>
    <cellStyle name="Normal 26 17 2" xfId="25284" xr:uid="{00000000-0005-0000-0000-000007B30000}"/>
    <cellStyle name="Normal 26 18" xfId="11819" xr:uid="{00000000-0005-0000-0000-000008B30000}"/>
    <cellStyle name="Normal 26 18 2" xfId="26968" xr:uid="{00000000-0005-0000-0000-000009B30000}"/>
    <cellStyle name="Normal 26 19" xfId="13502" xr:uid="{00000000-0005-0000-0000-00000AB30000}"/>
    <cellStyle name="Normal 26 19 2" xfId="28651" xr:uid="{00000000-0005-0000-0000-00000BB30000}"/>
    <cellStyle name="Normal 26 2" xfId="9" xr:uid="{00000000-0005-0000-0000-00000CB30000}"/>
    <cellStyle name="Normal 26 2 10" xfId="1299" xr:uid="{00000000-0005-0000-0000-00000DB30000}"/>
    <cellStyle name="Normal 26 2 10 10" xfId="16448" xr:uid="{00000000-0005-0000-0000-00000EB30000}"/>
    <cellStyle name="Normal 26 2 10 11" xfId="31597" xr:uid="{00000000-0005-0000-0000-00000FB30000}"/>
    <cellStyle name="Normal 26 2 10 12" xfId="33280" xr:uid="{00000000-0005-0000-0000-000010B30000}"/>
    <cellStyle name="Normal 26 2 10 13" xfId="34963" xr:uid="{00000000-0005-0000-0000-000011B30000}"/>
    <cellStyle name="Normal 26 2 10 14" xfId="36646" xr:uid="{00000000-0005-0000-0000-000012B30000}"/>
    <cellStyle name="Normal 26 2 10 15" xfId="38329" xr:uid="{00000000-0005-0000-0000-000013B30000}"/>
    <cellStyle name="Normal 26 2 10 16" xfId="40012" xr:uid="{00000000-0005-0000-0000-000014B30000}"/>
    <cellStyle name="Normal 26 2 10 17" xfId="41695" xr:uid="{00000000-0005-0000-0000-000015B30000}"/>
    <cellStyle name="Normal 26 2 10 18" xfId="43378" xr:uid="{00000000-0005-0000-0000-000016B30000}"/>
    <cellStyle name="Normal 26 2 10 19" xfId="45061" xr:uid="{00000000-0005-0000-0000-000017B30000}"/>
    <cellStyle name="Normal 26 2 10 2" xfId="2982" xr:uid="{00000000-0005-0000-0000-000018B30000}"/>
    <cellStyle name="Normal 26 2 10 2 2" xfId="18131" xr:uid="{00000000-0005-0000-0000-000019B30000}"/>
    <cellStyle name="Normal 26 2 10 20" xfId="46744" xr:uid="{00000000-0005-0000-0000-00001AB30000}"/>
    <cellStyle name="Normal 26 2 10 21" xfId="48427" xr:uid="{00000000-0005-0000-0000-00001BB30000}"/>
    <cellStyle name="Normal 26 2 10 22" xfId="50110" xr:uid="{00000000-0005-0000-0000-00001CB30000}"/>
    <cellStyle name="Normal 26 2 10 23" xfId="51793" xr:uid="{00000000-0005-0000-0000-00001DB30000}"/>
    <cellStyle name="Normal 26 2 10 24" xfId="53476" xr:uid="{00000000-0005-0000-0000-00001EB30000}"/>
    <cellStyle name="Normal 26 2 10 25" xfId="55159" xr:uid="{00000000-0005-0000-0000-00001FB30000}"/>
    <cellStyle name="Normal 26 2 10 26" xfId="56842" xr:uid="{00000000-0005-0000-0000-000020B30000}"/>
    <cellStyle name="Normal 26 2 10 27" xfId="58525" xr:uid="{00000000-0005-0000-0000-000021B30000}"/>
    <cellStyle name="Normal 26 2 10 28" xfId="60208" xr:uid="{00000000-0005-0000-0000-000022B30000}"/>
    <cellStyle name="Normal 26 2 10 29" xfId="61891" xr:uid="{00000000-0005-0000-0000-000023B30000}"/>
    <cellStyle name="Normal 26 2 10 3" xfId="4666" xr:uid="{00000000-0005-0000-0000-000024B30000}"/>
    <cellStyle name="Normal 26 2 10 3 2" xfId="19815" xr:uid="{00000000-0005-0000-0000-000025B30000}"/>
    <cellStyle name="Normal 26 2 10 30" xfId="63574" xr:uid="{00000000-0005-0000-0000-000026B30000}"/>
    <cellStyle name="Normal 26 2 10 4" xfId="6349" xr:uid="{00000000-0005-0000-0000-000027B30000}"/>
    <cellStyle name="Normal 26 2 10 4 2" xfId="21498" xr:uid="{00000000-0005-0000-0000-000028B30000}"/>
    <cellStyle name="Normal 26 2 10 5" xfId="8032" xr:uid="{00000000-0005-0000-0000-000029B30000}"/>
    <cellStyle name="Normal 26 2 10 5 2" xfId="23181" xr:uid="{00000000-0005-0000-0000-00002AB30000}"/>
    <cellStyle name="Normal 26 2 10 6" xfId="9715" xr:uid="{00000000-0005-0000-0000-00002BB30000}"/>
    <cellStyle name="Normal 26 2 10 6 2" xfId="24864" xr:uid="{00000000-0005-0000-0000-00002CB30000}"/>
    <cellStyle name="Normal 26 2 10 7" xfId="11398" xr:uid="{00000000-0005-0000-0000-00002DB30000}"/>
    <cellStyle name="Normal 26 2 10 7 2" xfId="26547" xr:uid="{00000000-0005-0000-0000-00002EB30000}"/>
    <cellStyle name="Normal 26 2 10 8" xfId="13082" xr:uid="{00000000-0005-0000-0000-00002FB30000}"/>
    <cellStyle name="Normal 26 2 10 8 2" xfId="28231" xr:uid="{00000000-0005-0000-0000-000030B30000}"/>
    <cellStyle name="Normal 26 2 10 9" xfId="14765" xr:uid="{00000000-0005-0000-0000-000031B30000}"/>
    <cellStyle name="Normal 26 2 10 9 2" xfId="29914" xr:uid="{00000000-0005-0000-0000-000032B30000}"/>
    <cellStyle name="Normal 26 2 11" xfId="1720" xr:uid="{00000000-0005-0000-0000-000033B30000}"/>
    <cellStyle name="Normal 26 2 11 2" xfId="16869" xr:uid="{00000000-0005-0000-0000-000034B30000}"/>
    <cellStyle name="Normal 26 2 12" xfId="3404" xr:uid="{00000000-0005-0000-0000-000035B30000}"/>
    <cellStyle name="Normal 26 2 12 2" xfId="18553" xr:uid="{00000000-0005-0000-0000-000036B30000}"/>
    <cellStyle name="Normal 26 2 13" xfId="5087" xr:uid="{00000000-0005-0000-0000-000037B30000}"/>
    <cellStyle name="Normal 26 2 13 2" xfId="20236" xr:uid="{00000000-0005-0000-0000-000038B30000}"/>
    <cellStyle name="Normal 26 2 14" xfId="6770" xr:uid="{00000000-0005-0000-0000-000039B30000}"/>
    <cellStyle name="Normal 26 2 14 2" xfId="21919" xr:uid="{00000000-0005-0000-0000-00003AB30000}"/>
    <cellStyle name="Normal 26 2 15" xfId="8453" xr:uid="{00000000-0005-0000-0000-00003BB30000}"/>
    <cellStyle name="Normal 26 2 15 2" xfId="23602" xr:uid="{00000000-0005-0000-0000-00003CB30000}"/>
    <cellStyle name="Normal 26 2 16" xfId="10136" xr:uid="{00000000-0005-0000-0000-00003DB30000}"/>
    <cellStyle name="Normal 26 2 16 2" xfId="25285" xr:uid="{00000000-0005-0000-0000-00003EB30000}"/>
    <cellStyle name="Normal 26 2 17" xfId="11820" xr:uid="{00000000-0005-0000-0000-00003FB30000}"/>
    <cellStyle name="Normal 26 2 17 2" xfId="26969" xr:uid="{00000000-0005-0000-0000-000040B30000}"/>
    <cellStyle name="Normal 26 2 18" xfId="13503" xr:uid="{00000000-0005-0000-0000-000041B30000}"/>
    <cellStyle name="Normal 26 2 18 2" xfId="28652" xr:uid="{00000000-0005-0000-0000-000042B30000}"/>
    <cellStyle name="Normal 26 2 19" xfId="15186" xr:uid="{00000000-0005-0000-0000-000043B30000}"/>
    <cellStyle name="Normal 26 2 2" xfId="23" xr:uid="{00000000-0005-0000-0000-000044B30000}"/>
    <cellStyle name="Normal 26 2 2 10" xfId="6778" xr:uid="{00000000-0005-0000-0000-000045B30000}"/>
    <cellStyle name="Normal 26 2 2 10 2" xfId="21927" xr:uid="{00000000-0005-0000-0000-000046B30000}"/>
    <cellStyle name="Normal 26 2 2 11" xfId="8461" xr:uid="{00000000-0005-0000-0000-000047B30000}"/>
    <cellStyle name="Normal 26 2 2 11 2" xfId="23610" xr:uid="{00000000-0005-0000-0000-000048B30000}"/>
    <cellStyle name="Normal 26 2 2 12" xfId="10144" xr:uid="{00000000-0005-0000-0000-000049B30000}"/>
    <cellStyle name="Normal 26 2 2 12 2" xfId="25293" xr:uid="{00000000-0005-0000-0000-00004AB30000}"/>
    <cellStyle name="Normal 26 2 2 13" xfId="11828" xr:uid="{00000000-0005-0000-0000-00004BB30000}"/>
    <cellStyle name="Normal 26 2 2 13 2" xfId="26977" xr:uid="{00000000-0005-0000-0000-00004CB30000}"/>
    <cellStyle name="Normal 26 2 2 14" xfId="13511" xr:uid="{00000000-0005-0000-0000-00004DB30000}"/>
    <cellStyle name="Normal 26 2 2 14 2" xfId="28660" xr:uid="{00000000-0005-0000-0000-00004EB30000}"/>
    <cellStyle name="Normal 26 2 2 15" xfId="15194" xr:uid="{00000000-0005-0000-0000-00004FB30000}"/>
    <cellStyle name="Normal 26 2 2 16" xfId="30343" xr:uid="{00000000-0005-0000-0000-000050B30000}"/>
    <cellStyle name="Normal 26 2 2 17" xfId="32026" xr:uid="{00000000-0005-0000-0000-000051B30000}"/>
    <cellStyle name="Normal 26 2 2 18" xfId="33709" xr:uid="{00000000-0005-0000-0000-000052B30000}"/>
    <cellStyle name="Normal 26 2 2 19" xfId="35392" xr:uid="{00000000-0005-0000-0000-000053B30000}"/>
    <cellStyle name="Normal 26 2 2 2" xfId="150" xr:uid="{00000000-0005-0000-0000-000054B30000}"/>
    <cellStyle name="Normal 26 2 2 2 10" xfId="8566" xr:uid="{00000000-0005-0000-0000-000055B30000}"/>
    <cellStyle name="Normal 26 2 2 2 10 2" xfId="23715" xr:uid="{00000000-0005-0000-0000-000056B30000}"/>
    <cellStyle name="Normal 26 2 2 2 11" xfId="10249" xr:uid="{00000000-0005-0000-0000-000057B30000}"/>
    <cellStyle name="Normal 26 2 2 2 11 2" xfId="25398" xr:uid="{00000000-0005-0000-0000-000058B30000}"/>
    <cellStyle name="Normal 26 2 2 2 12" xfId="11933" xr:uid="{00000000-0005-0000-0000-000059B30000}"/>
    <cellStyle name="Normal 26 2 2 2 12 2" xfId="27082" xr:uid="{00000000-0005-0000-0000-00005AB30000}"/>
    <cellStyle name="Normal 26 2 2 2 13" xfId="13616" xr:uid="{00000000-0005-0000-0000-00005BB30000}"/>
    <cellStyle name="Normal 26 2 2 2 13 2" xfId="28765" xr:uid="{00000000-0005-0000-0000-00005CB30000}"/>
    <cellStyle name="Normal 26 2 2 2 14" xfId="15299" xr:uid="{00000000-0005-0000-0000-00005DB30000}"/>
    <cellStyle name="Normal 26 2 2 2 15" xfId="30448" xr:uid="{00000000-0005-0000-0000-00005EB30000}"/>
    <cellStyle name="Normal 26 2 2 2 16" xfId="32131" xr:uid="{00000000-0005-0000-0000-00005FB30000}"/>
    <cellStyle name="Normal 26 2 2 2 17" xfId="33814" xr:uid="{00000000-0005-0000-0000-000060B30000}"/>
    <cellStyle name="Normal 26 2 2 2 18" xfId="35497" xr:uid="{00000000-0005-0000-0000-000061B30000}"/>
    <cellStyle name="Normal 26 2 2 2 19" xfId="37180" xr:uid="{00000000-0005-0000-0000-000062B30000}"/>
    <cellStyle name="Normal 26 2 2 2 2" xfId="360" xr:uid="{00000000-0005-0000-0000-000063B30000}"/>
    <cellStyle name="Normal 26 2 2 2 2 10" xfId="10459" xr:uid="{00000000-0005-0000-0000-000064B30000}"/>
    <cellStyle name="Normal 26 2 2 2 2 10 2" xfId="25608" xr:uid="{00000000-0005-0000-0000-000065B30000}"/>
    <cellStyle name="Normal 26 2 2 2 2 11" xfId="12143" xr:uid="{00000000-0005-0000-0000-000066B30000}"/>
    <cellStyle name="Normal 26 2 2 2 2 11 2" xfId="27292" xr:uid="{00000000-0005-0000-0000-000067B30000}"/>
    <cellStyle name="Normal 26 2 2 2 2 12" xfId="13826" xr:uid="{00000000-0005-0000-0000-000068B30000}"/>
    <cellStyle name="Normal 26 2 2 2 2 12 2" xfId="28975" xr:uid="{00000000-0005-0000-0000-000069B30000}"/>
    <cellStyle name="Normal 26 2 2 2 2 13" xfId="15509" xr:uid="{00000000-0005-0000-0000-00006AB30000}"/>
    <cellStyle name="Normal 26 2 2 2 2 14" xfId="30658" xr:uid="{00000000-0005-0000-0000-00006BB30000}"/>
    <cellStyle name="Normal 26 2 2 2 2 15" xfId="32341" xr:uid="{00000000-0005-0000-0000-00006CB30000}"/>
    <cellStyle name="Normal 26 2 2 2 2 16" xfId="34024" xr:uid="{00000000-0005-0000-0000-00006DB30000}"/>
    <cellStyle name="Normal 26 2 2 2 2 17" xfId="35707" xr:uid="{00000000-0005-0000-0000-00006EB30000}"/>
    <cellStyle name="Normal 26 2 2 2 2 18" xfId="37390" xr:uid="{00000000-0005-0000-0000-00006FB30000}"/>
    <cellStyle name="Normal 26 2 2 2 2 19" xfId="39073" xr:uid="{00000000-0005-0000-0000-000070B30000}"/>
    <cellStyle name="Normal 26 2 2 2 2 2" xfId="780" xr:uid="{00000000-0005-0000-0000-000071B30000}"/>
    <cellStyle name="Normal 26 2 2 2 2 2 10" xfId="15929" xr:uid="{00000000-0005-0000-0000-000072B30000}"/>
    <cellStyle name="Normal 26 2 2 2 2 2 11" xfId="31078" xr:uid="{00000000-0005-0000-0000-000073B30000}"/>
    <cellStyle name="Normal 26 2 2 2 2 2 12" xfId="32761" xr:uid="{00000000-0005-0000-0000-000074B30000}"/>
    <cellStyle name="Normal 26 2 2 2 2 2 13" xfId="34444" xr:uid="{00000000-0005-0000-0000-000075B30000}"/>
    <cellStyle name="Normal 26 2 2 2 2 2 14" xfId="36127" xr:uid="{00000000-0005-0000-0000-000076B30000}"/>
    <cellStyle name="Normal 26 2 2 2 2 2 15" xfId="37810" xr:uid="{00000000-0005-0000-0000-000077B30000}"/>
    <cellStyle name="Normal 26 2 2 2 2 2 16" xfId="39493" xr:uid="{00000000-0005-0000-0000-000078B30000}"/>
    <cellStyle name="Normal 26 2 2 2 2 2 17" xfId="41176" xr:uid="{00000000-0005-0000-0000-000079B30000}"/>
    <cellStyle name="Normal 26 2 2 2 2 2 18" xfId="42859" xr:uid="{00000000-0005-0000-0000-00007AB30000}"/>
    <cellStyle name="Normal 26 2 2 2 2 2 19" xfId="44542" xr:uid="{00000000-0005-0000-0000-00007BB30000}"/>
    <cellStyle name="Normal 26 2 2 2 2 2 2" xfId="2463" xr:uid="{00000000-0005-0000-0000-00007CB30000}"/>
    <cellStyle name="Normal 26 2 2 2 2 2 2 2" xfId="17612" xr:uid="{00000000-0005-0000-0000-00007DB30000}"/>
    <cellStyle name="Normal 26 2 2 2 2 2 20" xfId="46225" xr:uid="{00000000-0005-0000-0000-00007EB30000}"/>
    <cellStyle name="Normal 26 2 2 2 2 2 21" xfId="47908" xr:uid="{00000000-0005-0000-0000-00007FB30000}"/>
    <cellStyle name="Normal 26 2 2 2 2 2 22" xfId="49591" xr:uid="{00000000-0005-0000-0000-000080B30000}"/>
    <cellStyle name="Normal 26 2 2 2 2 2 23" xfId="51274" xr:uid="{00000000-0005-0000-0000-000081B30000}"/>
    <cellStyle name="Normal 26 2 2 2 2 2 24" xfId="52957" xr:uid="{00000000-0005-0000-0000-000082B30000}"/>
    <cellStyle name="Normal 26 2 2 2 2 2 25" xfId="54640" xr:uid="{00000000-0005-0000-0000-000083B30000}"/>
    <cellStyle name="Normal 26 2 2 2 2 2 26" xfId="56323" xr:uid="{00000000-0005-0000-0000-000084B30000}"/>
    <cellStyle name="Normal 26 2 2 2 2 2 27" xfId="58006" xr:uid="{00000000-0005-0000-0000-000085B30000}"/>
    <cellStyle name="Normal 26 2 2 2 2 2 28" xfId="59689" xr:uid="{00000000-0005-0000-0000-000086B30000}"/>
    <cellStyle name="Normal 26 2 2 2 2 2 29" xfId="61372" xr:uid="{00000000-0005-0000-0000-000087B30000}"/>
    <cellStyle name="Normal 26 2 2 2 2 2 3" xfId="4147" xr:uid="{00000000-0005-0000-0000-000088B30000}"/>
    <cellStyle name="Normal 26 2 2 2 2 2 3 2" xfId="19296" xr:uid="{00000000-0005-0000-0000-000089B30000}"/>
    <cellStyle name="Normal 26 2 2 2 2 2 30" xfId="63055" xr:uid="{00000000-0005-0000-0000-00008AB30000}"/>
    <cellStyle name="Normal 26 2 2 2 2 2 4" xfId="5830" xr:uid="{00000000-0005-0000-0000-00008BB30000}"/>
    <cellStyle name="Normal 26 2 2 2 2 2 4 2" xfId="20979" xr:uid="{00000000-0005-0000-0000-00008CB30000}"/>
    <cellStyle name="Normal 26 2 2 2 2 2 5" xfId="7513" xr:uid="{00000000-0005-0000-0000-00008DB30000}"/>
    <cellStyle name="Normal 26 2 2 2 2 2 5 2" xfId="22662" xr:uid="{00000000-0005-0000-0000-00008EB30000}"/>
    <cellStyle name="Normal 26 2 2 2 2 2 6" xfId="9196" xr:uid="{00000000-0005-0000-0000-00008FB30000}"/>
    <cellStyle name="Normal 26 2 2 2 2 2 6 2" xfId="24345" xr:uid="{00000000-0005-0000-0000-000090B30000}"/>
    <cellStyle name="Normal 26 2 2 2 2 2 7" xfId="10879" xr:uid="{00000000-0005-0000-0000-000091B30000}"/>
    <cellStyle name="Normal 26 2 2 2 2 2 7 2" xfId="26028" xr:uid="{00000000-0005-0000-0000-000092B30000}"/>
    <cellStyle name="Normal 26 2 2 2 2 2 8" xfId="12563" xr:uid="{00000000-0005-0000-0000-000093B30000}"/>
    <cellStyle name="Normal 26 2 2 2 2 2 8 2" xfId="27712" xr:uid="{00000000-0005-0000-0000-000094B30000}"/>
    <cellStyle name="Normal 26 2 2 2 2 2 9" xfId="14246" xr:uid="{00000000-0005-0000-0000-000095B30000}"/>
    <cellStyle name="Normal 26 2 2 2 2 2 9 2" xfId="29395" xr:uid="{00000000-0005-0000-0000-000096B30000}"/>
    <cellStyle name="Normal 26 2 2 2 2 20" xfId="40756" xr:uid="{00000000-0005-0000-0000-000097B30000}"/>
    <cellStyle name="Normal 26 2 2 2 2 21" xfId="42439" xr:uid="{00000000-0005-0000-0000-000098B30000}"/>
    <cellStyle name="Normal 26 2 2 2 2 22" xfId="44122" xr:uid="{00000000-0005-0000-0000-000099B30000}"/>
    <cellStyle name="Normal 26 2 2 2 2 23" xfId="45805" xr:uid="{00000000-0005-0000-0000-00009AB30000}"/>
    <cellStyle name="Normal 26 2 2 2 2 24" xfId="47488" xr:uid="{00000000-0005-0000-0000-00009BB30000}"/>
    <cellStyle name="Normal 26 2 2 2 2 25" xfId="49171" xr:uid="{00000000-0005-0000-0000-00009CB30000}"/>
    <cellStyle name="Normal 26 2 2 2 2 26" xfId="50854" xr:uid="{00000000-0005-0000-0000-00009DB30000}"/>
    <cellStyle name="Normal 26 2 2 2 2 27" xfId="52537" xr:uid="{00000000-0005-0000-0000-00009EB30000}"/>
    <cellStyle name="Normal 26 2 2 2 2 28" xfId="54220" xr:uid="{00000000-0005-0000-0000-00009FB30000}"/>
    <cellStyle name="Normal 26 2 2 2 2 29" xfId="55903" xr:uid="{00000000-0005-0000-0000-0000A0B30000}"/>
    <cellStyle name="Normal 26 2 2 2 2 3" xfId="1201" xr:uid="{00000000-0005-0000-0000-0000A1B30000}"/>
    <cellStyle name="Normal 26 2 2 2 2 3 10" xfId="16350" xr:uid="{00000000-0005-0000-0000-0000A2B30000}"/>
    <cellStyle name="Normal 26 2 2 2 2 3 11" xfId="31499" xr:uid="{00000000-0005-0000-0000-0000A3B30000}"/>
    <cellStyle name="Normal 26 2 2 2 2 3 12" xfId="33182" xr:uid="{00000000-0005-0000-0000-0000A4B30000}"/>
    <cellStyle name="Normal 26 2 2 2 2 3 13" xfId="34865" xr:uid="{00000000-0005-0000-0000-0000A5B30000}"/>
    <cellStyle name="Normal 26 2 2 2 2 3 14" xfId="36548" xr:uid="{00000000-0005-0000-0000-0000A6B30000}"/>
    <cellStyle name="Normal 26 2 2 2 2 3 15" xfId="38231" xr:uid="{00000000-0005-0000-0000-0000A7B30000}"/>
    <cellStyle name="Normal 26 2 2 2 2 3 16" xfId="39914" xr:uid="{00000000-0005-0000-0000-0000A8B30000}"/>
    <cellStyle name="Normal 26 2 2 2 2 3 17" xfId="41597" xr:uid="{00000000-0005-0000-0000-0000A9B30000}"/>
    <cellStyle name="Normal 26 2 2 2 2 3 18" xfId="43280" xr:uid="{00000000-0005-0000-0000-0000AAB30000}"/>
    <cellStyle name="Normal 26 2 2 2 2 3 19" xfId="44963" xr:uid="{00000000-0005-0000-0000-0000ABB30000}"/>
    <cellStyle name="Normal 26 2 2 2 2 3 2" xfId="2884" xr:uid="{00000000-0005-0000-0000-0000ACB30000}"/>
    <cellStyle name="Normal 26 2 2 2 2 3 2 2" xfId="18033" xr:uid="{00000000-0005-0000-0000-0000ADB30000}"/>
    <cellStyle name="Normal 26 2 2 2 2 3 20" xfId="46646" xr:uid="{00000000-0005-0000-0000-0000AEB30000}"/>
    <cellStyle name="Normal 26 2 2 2 2 3 21" xfId="48329" xr:uid="{00000000-0005-0000-0000-0000AFB30000}"/>
    <cellStyle name="Normal 26 2 2 2 2 3 22" xfId="50012" xr:uid="{00000000-0005-0000-0000-0000B0B30000}"/>
    <cellStyle name="Normal 26 2 2 2 2 3 23" xfId="51695" xr:uid="{00000000-0005-0000-0000-0000B1B30000}"/>
    <cellStyle name="Normal 26 2 2 2 2 3 24" xfId="53378" xr:uid="{00000000-0005-0000-0000-0000B2B30000}"/>
    <cellStyle name="Normal 26 2 2 2 2 3 25" xfId="55061" xr:uid="{00000000-0005-0000-0000-0000B3B30000}"/>
    <cellStyle name="Normal 26 2 2 2 2 3 26" xfId="56744" xr:uid="{00000000-0005-0000-0000-0000B4B30000}"/>
    <cellStyle name="Normal 26 2 2 2 2 3 27" xfId="58427" xr:uid="{00000000-0005-0000-0000-0000B5B30000}"/>
    <cellStyle name="Normal 26 2 2 2 2 3 28" xfId="60110" xr:uid="{00000000-0005-0000-0000-0000B6B30000}"/>
    <cellStyle name="Normal 26 2 2 2 2 3 29" xfId="61793" xr:uid="{00000000-0005-0000-0000-0000B7B30000}"/>
    <cellStyle name="Normal 26 2 2 2 2 3 3" xfId="4568" xr:uid="{00000000-0005-0000-0000-0000B8B30000}"/>
    <cellStyle name="Normal 26 2 2 2 2 3 3 2" xfId="19717" xr:uid="{00000000-0005-0000-0000-0000B9B30000}"/>
    <cellStyle name="Normal 26 2 2 2 2 3 30" xfId="63476" xr:uid="{00000000-0005-0000-0000-0000BAB30000}"/>
    <cellStyle name="Normal 26 2 2 2 2 3 4" xfId="6251" xr:uid="{00000000-0005-0000-0000-0000BBB30000}"/>
    <cellStyle name="Normal 26 2 2 2 2 3 4 2" xfId="21400" xr:uid="{00000000-0005-0000-0000-0000BCB30000}"/>
    <cellStyle name="Normal 26 2 2 2 2 3 5" xfId="7934" xr:uid="{00000000-0005-0000-0000-0000BDB30000}"/>
    <cellStyle name="Normal 26 2 2 2 2 3 5 2" xfId="23083" xr:uid="{00000000-0005-0000-0000-0000BEB30000}"/>
    <cellStyle name="Normal 26 2 2 2 2 3 6" xfId="9617" xr:uid="{00000000-0005-0000-0000-0000BFB30000}"/>
    <cellStyle name="Normal 26 2 2 2 2 3 6 2" xfId="24766" xr:uid="{00000000-0005-0000-0000-0000C0B30000}"/>
    <cellStyle name="Normal 26 2 2 2 2 3 7" xfId="11300" xr:uid="{00000000-0005-0000-0000-0000C1B30000}"/>
    <cellStyle name="Normal 26 2 2 2 2 3 7 2" xfId="26449" xr:uid="{00000000-0005-0000-0000-0000C2B30000}"/>
    <cellStyle name="Normal 26 2 2 2 2 3 8" xfId="12984" xr:uid="{00000000-0005-0000-0000-0000C3B30000}"/>
    <cellStyle name="Normal 26 2 2 2 2 3 8 2" xfId="28133" xr:uid="{00000000-0005-0000-0000-0000C4B30000}"/>
    <cellStyle name="Normal 26 2 2 2 2 3 9" xfId="14667" xr:uid="{00000000-0005-0000-0000-0000C5B30000}"/>
    <cellStyle name="Normal 26 2 2 2 2 3 9 2" xfId="29816" xr:uid="{00000000-0005-0000-0000-0000C6B30000}"/>
    <cellStyle name="Normal 26 2 2 2 2 30" xfId="57586" xr:uid="{00000000-0005-0000-0000-0000C7B30000}"/>
    <cellStyle name="Normal 26 2 2 2 2 31" xfId="59269" xr:uid="{00000000-0005-0000-0000-0000C8B30000}"/>
    <cellStyle name="Normal 26 2 2 2 2 32" xfId="60952" xr:uid="{00000000-0005-0000-0000-0000C9B30000}"/>
    <cellStyle name="Normal 26 2 2 2 2 33" xfId="62635" xr:uid="{00000000-0005-0000-0000-0000CAB30000}"/>
    <cellStyle name="Normal 26 2 2 2 2 4" xfId="1622" xr:uid="{00000000-0005-0000-0000-0000CBB30000}"/>
    <cellStyle name="Normal 26 2 2 2 2 4 10" xfId="16771" xr:uid="{00000000-0005-0000-0000-0000CCB30000}"/>
    <cellStyle name="Normal 26 2 2 2 2 4 11" xfId="31920" xr:uid="{00000000-0005-0000-0000-0000CDB30000}"/>
    <cellStyle name="Normal 26 2 2 2 2 4 12" xfId="33603" xr:uid="{00000000-0005-0000-0000-0000CEB30000}"/>
    <cellStyle name="Normal 26 2 2 2 2 4 13" xfId="35286" xr:uid="{00000000-0005-0000-0000-0000CFB30000}"/>
    <cellStyle name="Normal 26 2 2 2 2 4 14" xfId="36969" xr:uid="{00000000-0005-0000-0000-0000D0B30000}"/>
    <cellStyle name="Normal 26 2 2 2 2 4 15" xfId="38652" xr:uid="{00000000-0005-0000-0000-0000D1B30000}"/>
    <cellStyle name="Normal 26 2 2 2 2 4 16" xfId="40335" xr:uid="{00000000-0005-0000-0000-0000D2B30000}"/>
    <cellStyle name="Normal 26 2 2 2 2 4 17" xfId="42018" xr:uid="{00000000-0005-0000-0000-0000D3B30000}"/>
    <cellStyle name="Normal 26 2 2 2 2 4 18" xfId="43701" xr:uid="{00000000-0005-0000-0000-0000D4B30000}"/>
    <cellStyle name="Normal 26 2 2 2 2 4 19" xfId="45384" xr:uid="{00000000-0005-0000-0000-0000D5B30000}"/>
    <cellStyle name="Normal 26 2 2 2 2 4 2" xfId="3305" xr:uid="{00000000-0005-0000-0000-0000D6B30000}"/>
    <cellStyle name="Normal 26 2 2 2 2 4 2 2" xfId="18454" xr:uid="{00000000-0005-0000-0000-0000D7B30000}"/>
    <cellStyle name="Normal 26 2 2 2 2 4 20" xfId="47067" xr:uid="{00000000-0005-0000-0000-0000D8B30000}"/>
    <cellStyle name="Normal 26 2 2 2 2 4 21" xfId="48750" xr:uid="{00000000-0005-0000-0000-0000D9B30000}"/>
    <cellStyle name="Normal 26 2 2 2 2 4 22" xfId="50433" xr:uid="{00000000-0005-0000-0000-0000DAB30000}"/>
    <cellStyle name="Normal 26 2 2 2 2 4 23" xfId="52116" xr:uid="{00000000-0005-0000-0000-0000DBB30000}"/>
    <cellStyle name="Normal 26 2 2 2 2 4 24" xfId="53799" xr:uid="{00000000-0005-0000-0000-0000DCB30000}"/>
    <cellStyle name="Normal 26 2 2 2 2 4 25" xfId="55482" xr:uid="{00000000-0005-0000-0000-0000DDB30000}"/>
    <cellStyle name="Normal 26 2 2 2 2 4 26" xfId="57165" xr:uid="{00000000-0005-0000-0000-0000DEB30000}"/>
    <cellStyle name="Normal 26 2 2 2 2 4 27" xfId="58848" xr:uid="{00000000-0005-0000-0000-0000DFB30000}"/>
    <cellStyle name="Normal 26 2 2 2 2 4 28" xfId="60531" xr:uid="{00000000-0005-0000-0000-0000E0B30000}"/>
    <cellStyle name="Normal 26 2 2 2 2 4 29" xfId="62214" xr:uid="{00000000-0005-0000-0000-0000E1B30000}"/>
    <cellStyle name="Normal 26 2 2 2 2 4 3" xfId="4989" xr:uid="{00000000-0005-0000-0000-0000E2B30000}"/>
    <cellStyle name="Normal 26 2 2 2 2 4 3 2" xfId="20138" xr:uid="{00000000-0005-0000-0000-0000E3B30000}"/>
    <cellStyle name="Normal 26 2 2 2 2 4 30" xfId="63897" xr:uid="{00000000-0005-0000-0000-0000E4B30000}"/>
    <cellStyle name="Normal 26 2 2 2 2 4 4" xfId="6672" xr:uid="{00000000-0005-0000-0000-0000E5B30000}"/>
    <cellStyle name="Normal 26 2 2 2 2 4 4 2" xfId="21821" xr:uid="{00000000-0005-0000-0000-0000E6B30000}"/>
    <cellStyle name="Normal 26 2 2 2 2 4 5" xfId="8355" xr:uid="{00000000-0005-0000-0000-0000E7B30000}"/>
    <cellStyle name="Normal 26 2 2 2 2 4 5 2" xfId="23504" xr:uid="{00000000-0005-0000-0000-0000E8B30000}"/>
    <cellStyle name="Normal 26 2 2 2 2 4 6" xfId="10038" xr:uid="{00000000-0005-0000-0000-0000E9B30000}"/>
    <cellStyle name="Normal 26 2 2 2 2 4 6 2" xfId="25187" xr:uid="{00000000-0005-0000-0000-0000EAB30000}"/>
    <cellStyle name="Normal 26 2 2 2 2 4 7" xfId="11721" xr:uid="{00000000-0005-0000-0000-0000EBB30000}"/>
    <cellStyle name="Normal 26 2 2 2 2 4 7 2" xfId="26870" xr:uid="{00000000-0005-0000-0000-0000ECB30000}"/>
    <cellStyle name="Normal 26 2 2 2 2 4 8" xfId="13405" xr:uid="{00000000-0005-0000-0000-0000EDB30000}"/>
    <cellStyle name="Normal 26 2 2 2 2 4 8 2" xfId="28554" xr:uid="{00000000-0005-0000-0000-0000EEB30000}"/>
    <cellStyle name="Normal 26 2 2 2 2 4 9" xfId="15088" xr:uid="{00000000-0005-0000-0000-0000EFB30000}"/>
    <cellStyle name="Normal 26 2 2 2 2 4 9 2" xfId="30237" xr:uid="{00000000-0005-0000-0000-0000F0B30000}"/>
    <cellStyle name="Normal 26 2 2 2 2 5" xfId="2043" xr:uid="{00000000-0005-0000-0000-0000F1B30000}"/>
    <cellStyle name="Normal 26 2 2 2 2 5 2" xfId="17192" xr:uid="{00000000-0005-0000-0000-0000F2B30000}"/>
    <cellStyle name="Normal 26 2 2 2 2 6" xfId="3727" xr:uid="{00000000-0005-0000-0000-0000F3B30000}"/>
    <cellStyle name="Normal 26 2 2 2 2 6 2" xfId="18876" xr:uid="{00000000-0005-0000-0000-0000F4B30000}"/>
    <cellStyle name="Normal 26 2 2 2 2 7" xfId="5410" xr:uid="{00000000-0005-0000-0000-0000F5B30000}"/>
    <cellStyle name="Normal 26 2 2 2 2 7 2" xfId="20559" xr:uid="{00000000-0005-0000-0000-0000F6B30000}"/>
    <cellStyle name="Normal 26 2 2 2 2 8" xfId="7093" xr:uid="{00000000-0005-0000-0000-0000F7B30000}"/>
    <cellStyle name="Normal 26 2 2 2 2 8 2" xfId="22242" xr:uid="{00000000-0005-0000-0000-0000F8B30000}"/>
    <cellStyle name="Normal 26 2 2 2 2 9" xfId="8776" xr:uid="{00000000-0005-0000-0000-0000F9B30000}"/>
    <cellStyle name="Normal 26 2 2 2 2 9 2" xfId="23925" xr:uid="{00000000-0005-0000-0000-0000FAB30000}"/>
    <cellStyle name="Normal 26 2 2 2 20" xfId="38863" xr:uid="{00000000-0005-0000-0000-0000FBB30000}"/>
    <cellStyle name="Normal 26 2 2 2 21" xfId="40546" xr:uid="{00000000-0005-0000-0000-0000FCB30000}"/>
    <cellStyle name="Normal 26 2 2 2 22" xfId="42229" xr:uid="{00000000-0005-0000-0000-0000FDB30000}"/>
    <cellStyle name="Normal 26 2 2 2 23" xfId="43912" xr:uid="{00000000-0005-0000-0000-0000FEB30000}"/>
    <cellStyle name="Normal 26 2 2 2 24" xfId="45595" xr:uid="{00000000-0005-0000-0000-0000FFB30000}"/>
    <cellStyle name="Normal 26 2 2 2 25" xfId="47278" xr:uid="{00000000-0005-0000-0000-000000B40000}"/>
    <cellStyle name="Normal 26 2 2 2 26" xfId="48961" xr:uid="{00000000-0005-0000-0000-000001B40000}"/>
    <cellStyle name="Normal 26 2 2 2 27" xfId="50644" xr:uid="{00000000-0005-0000-0000-000002B40000}"/>
    <cellStyle name="Normal 26 2 2 2 28" xfId="52327" xr:uid="{00000000-0005-0000-0000-000003B40000}"/>
    <cellStyle name="Normal 26 2 2 2 29" xfId="54010" xr:uid="{00000000-0005-0000-0000-000004B40000}"/>
    <cellStyle name="Normal 26 2 2 2 3" xfId="570" xr:uid="{00000000-0005-0000-0000-000005B40000}"/>
    <cellStyle name="Normal 26 2 2 2 3 10" xfId="15719" xr:uid="{00000000-0005-0000-0000-000006B40000}"/>
    <cellStyle name="Normal 26 2 2 2 3 11" xfId="30868" xr:uid="{00000000-0005-0000-0000-000007B40000}"/>
    <cellStyle name="Normal 26 2 2 2 3 12" xfId="32551" xr:uid="{00000000-0005-0000-0000-000008B40000}"/>
    <cellStyle name="Normal 26 2 2 2 3 13" xfId="34234" xr:uid="{00000000-0005-0000-0000-000009B40000}"/>
    <cellStyle name="Normal 26 2 2 2 3 14" xfId="35917" xr:uid="{00000000-0005-0000-0000-00000AB40000}"/>
    <cellStyle name="Normal 26 2 2 2 3 15" xfId="37600" xr:uid="{00000000-0005-0000-0000-00000BB40000}"/>
    <cellStyle name="Normal 26 2 2 2 3 16" xfId="39283" xr:uid="{00000000-0005-0000-0000-00000CB40000}"/>
    <cellStyle name="Normal 26 2 2 2 3 17" xfId="40966" xr:uid="{00000000-0005-0000-0000-00000DB40000}"/>
    <cellStyle name="Normal 26 2 2 2 3 18" xfId="42649" xr:uid="{00000000-0005-0000-0000-00000EB40000}"/>
    <cellStyle name="Normal 26 2 2 2 3 19" xfId="44332" xr:uid="{00000000-0005-0000-0000-00000FB40000}"/>
    <cellStyle name="Normal 26 2 2 2 3 2" xfId="2253" xr:uid="{00000000-0005-0000-0000-000010B40000}"/>
    <cellStyle name="Normal 26 2 2 2 3 2 2" xfId="17402" xr:uid="{00000000-0005-0000-0000-000011B40000}"/>
    <cellStyle name="Normal 26 2 2 2 3 20" xfId="46015" xr:uid="{00000000-0005-0000-0000-000012B40000}"/>
    <cellStyle name="Normal 26 2 2 2 3 21" xfId="47698" xr:uid="{00000000-0005-0000-0000-000013B40000}"/>
    <cellStyle name="Normal 26 2 2 2 3 22" xfId="49381" xr:uid="{00000000-0005-0000-0000-000014B40000}"/>
    <cellStyle name="Normal 26 2 2 2 3 23" xfId="51064" xr:uid="{00000000-0005-0000-0000-000015B40000}"/>
    <cellStyle name="Normal 26 2 2 2 3 24" xfId="52747" xr:uid="{00000000-0005-0000-0000-000016B40000}"/>
    <cellStyle name="Normal 26 2 2 2 3 25" xfId="54430" xr:uid="{00000000-0005-0000-0000-000017B40000}"/>
    <cellStyle name="Normal 26 2 2 2 3 26" xfId="56113" xr:uid="{00000000-0005-0000-0000-000018B40000}"/>
    <cellStyle name="Normal 26 2 2 2 3 27" xfId="57796" xr:uid="{00000000-0005-0000-0000-000019B40000}"/>
    <cellStyle name="Normal 26 2 2 2 3 28" xfId="59479" xr:uid="{00000000-0005-0000-0000-00001AB40000}"/>
    <cellStyle name="Normal 26 2 2 2 3 29" xfId="61162" xr:uid="{00000000-0005-0000-0000-00001BB40000}"/>
    <cellStyle name="Normal 26 2 2 2 3 3" xfId="3937" xr:uid="{00000000-0005-0000-0000-00001CB40000}"/>
    <cellStyle name="Normal 26 2 2 2 3 3 2" xfId="19086" xr:uid="{00000000-0005-0000-0000-00001DB40000}"/>
    <cellStyle name="Normal 26 2 2 2 3 30" xfId="62845" xr:uid="{00000000-0005-0000-0000-00001EB40000}"/>
    <cellStyle name="Normal 26 2 2 2 3 4" xfId="5620" xr:uid="{00000000-0005-0000-0000-00001FB40000}"/>
    <cellStyle name="Normal 26 2 2 2 3 4 2" xfId="20769" xr:uid="{00000000-0005-0000-0000-000020B40000}"/>
    <cellStyle name="Normal 26 2 2 2 3 5" xfId="7303" xr:uid="{00000000-0005-0000-0000-000021B40000}"/>
    <cellStyle name="Normal 26 2 2 2 3 5 2" xfId="22452" xr:uid="{00000000-0005-0000-0000-000022B40000}"/>
    <cellStyle name="Normal 26 2 2 2 3 6" xfId="8986" xr:uid="{00000000-0005-0000-0000-000023B40000}"/>
    <cellStyle name="Normal 26 2 2 2 3 6 2" xfId="24135" xr:uid="{00000000-0005-0000-0000-000024B40000}"/>
    <cellStyle name="Normal 26 2 2 2 3 7" xfId="10669" xr:uid="{00000000-0005-0000-0000-000025B40000}"/>
    <cellStyle name="Normal 26 2 2 2 3 7 2" xfId="25818" xr:uid="{00000000-0005-0000-0000-000026B40000}"/>
    <cellStyle name="Normal 26 2 2 2 3 8" xfId="12353" xr:uid="{00000000-0005-0000-0000-000027B40000}"/>
    <cellStyle name="Normal 26 2 2 2 3 8 2" xfId="27502" xr:uid="{00000000-0005-0000-0000-000028B40000}"/>
    <cellStyle name="Normal 26 2 2 2 3 9" xfId="14036" xr:uid="{00000000-0005-0000-0000-000029B40000}"/>
    <cellStyle name="Normal 26 2 2 2 3 9 2" xfId="29185" xr:uid="{00000000-0005-0000-0000-00002AB40000}"/>
    <cellStyle name="Normal 26 2 2 2 30" xfId="55693" xr:uid="{00000000-0005-0000-0000-00002BB40000}"/>
    <cellStyle name="Normal 26 2 2 2 31" xfId="57376" xr:uid="{00000000-0005-0000-0000-00002CB40000}"/>
    <cellStyle name="Normal 26 2 2 2 32" xfId="59059" xr:uid="{00000000-0005-0000-0000-00002DB40000}"/>
    <cellStyle name="Normal 26 2 2 2 33" xfId="60742" xr:uid="{00000000-0005-0000-0000-00002EB40000}"/>
    <cellStyle name="Normal 26 2 2 2 34" xfId="62425" xr:uid="{00000000-0005-0000-0000-00002FB40000}"/>
    <cellStyle name="Normal 26 2 2 2 4" xfId="991" xr:uid="{00000000-0005-0000-0000-000030B40000}"/>
    <cellStyle name="Normal 26 2 2 2 4 10" xfId="16140" xr:uid="{00000000-0005-0000-0000-000031B40000}"/>
    <cellStyle name="Normal 26 2 2 2 4 11" xfId="31289" xr:uid="{00000000-0005-0000-0000-000032B40000}"/>
    <cellStyle name="Normal 26 2 2 2 4 12" xfId="32972" xr:uid="{00000000-0005-0000-0000-000033B40000}"/>
    <cellStyle name="Normal 26 2 2 2 4 13" xfId="34655" xr:uid="{00000000-0005-0000-0000-000034B40000}"/>
    <cellStyle name="Normal 26 2 2 2 4 14" xfId="36338" xr:uid="{00000000-0005-0000-0000-000035B40000}"/>
    <cellStyle name="Normal 26 2 2 2 4 15" xfId="38021" xr:uid="{00000000-0005-0000-0000-000036B40000}"/>
    <cellStyle name="Normal 26 2 2 2 4 16" xfId="39704" xr:uid="{00000000-0005-0000-0000-000037B40000}"/>
    <cellStyle name="Normal 26 2 2 2 4 17" xfId="41387" xr:uid="{00000000-0005-0000-0000-000038B40000}"/>
    <cellStyle name="Normal 26 2 2 2 4 18" xfId="43070" xr:uid="{00000000-0005-0000-0000-000039B40000}"/>
    <cellStyle name="Normal 26 2 2 2 4 19" xfId="44753" xr:uid="{00000000-0005-0000-0000-00003AB40000}"/>
    <cellStyle name="Normal 26 2 2 2 4 2" xfId="2674" xr:uid="{00000000-0005-0000-0000-00003BB40000}"/>
    <cellStyle name="Normal 26 2 2 2 4 2 2" xfId="17823" xr:uid="{00000000-0005-0000-0000-00003CB40000}"/>
    <cellStyle name="Normal 26 2 2 2 4 20" xfId="46436" xr:uid="{00000000-0005-0000-0000-00003DB40000}"/>
    <cellStyle name="Normal 26 2 2 2 4 21" xfId="48119" xr:uid="{00000000-0005-0000-0000-00003EB40000}"/>
    <cellStyle name="Normal 26 2 2 2 4 22" xfId="49802" xr:uid="{00000000-0005-0000-0000-00003FB40000}"/>
    <cellStyle name="Normal 26 2 2 2 4 23" xfId="51485" xr:uid="{00000000-0005-0000-0000-000040B40000}"/>
    <cellStyle name="Normal 26 2 2 2 4 24" xfId="53168" xr:uid="{00000000-0005-0000-0000-000041B40000}"/>
    <cellStyle name="Normal 26 2 2 2 4 25" xfId="54851" xr:uid="{00000000-0005-0000-0000-000042B40000}"/>
    <cellStyle name="Normal 26 2 2 2 4 26" xfId="56534" xr:uid="{00000000-0005-0000-0000-000043B40000}"/>
    <cellStyle name="Normal 26 2 2 2 4 27" xfId="58217" xr:uid="{00000000-0005-0000-0000-000044B40000}"/>
    <cellStyle name="Normal 26 2 2 2 4 28" xfId="59900" xr:uid="{00000000-0005-0000-0000-000045B40000}"/>
    <cellStyle name="Normal 26 2 2 2 4 29" xfId="61583" xr:uid="{00000000-0005-0000-0000-000046B40000}"/>
    <cellStyle name="Normal 26 2 2 2 4 3" xfId="4358" xr:uid="{00000000-0005-0000-0000-000047B40000}"/>
    <cellStyle name="Normal 26 2 2 2 4 3 2" xfId="19507" xr:uid="{00000000-0005-0000-0000-000048B40000}"/>
    <cellStyle name="Normal 26 2 2 2 4 30" xfId="63266" xr:uid="{00000000-0005-0000-0000-000049B40000}"/>
    <cellStyle name="Normal 26 2 2 2 4 4" xfId="6041" xr:uid="{00000000-0005-0000-0000-00004AB40000}"/>
    <cellStyle name="Normal 26 2 2 2 4 4 2" xfId="21190" xr:uid="{00000000-0005-0000-0000-00004BB40000}"/>
    <cellStyle name="Normal 26 2 2 2 4 5" xfId="7724" xr:uid="{00000000-0005-0000-0000-00004CB40000}"/>
    <cellStyle name="Normal 26 2 2 2 4 5 2" xfId="22873" xr:uid="{00000000-0005-0000-0000-00004DB40000}"/>
    <cellStyle name="Normal 26 2 2 2 4 6" xfId="9407" xr:uid="{00000000-0005-0000-0000-00004EB40000}"/>
    <cellStyle name="Normal 26 2 2 2 4 6 2" xfId="24556" xr:uid="{00000000-0005-0000-0000-00004FB40000}"/>
    <cellStyle name="Normal 26 2 2 2 4 7" xfId="11090" xr:uid="{00000000-0005-0000-0000-000050B40000}"/>
    <cellStyle name="Normal 26 2 2 2 4 7 2" xfId="26239" xr:uid="{00000000-0005-0000-0000-000051B40000}"/>
    <cellStyle name="Normal 26 2 2 2 4 8" xfId="12774" xr:uid="{00000000-0005-0000-0000-000052B40000}"/>
    <cellStyle name="Normal 26 2 2 2 4 8 2" xfId="27923" xr:uid="{00000000-0005-0000-0000-000053B40000}"/>
    <cellStyle name="Normal 26 2 2 2 4 9" xfId="14457" xr:uid="{00000000-0005-0000-0000-000054B40000}"/>
    <cellStyle name="Normal 26 2 2 2 4 9 2" xfId="29606" xr:uid="{00000000-0005-0000-0000-000055B40000}"/>
    <cellStyle name="Normal 26 2 2 2 5" xfId="1412" xr:uid="{00000000-0005-0000-0000-000056B40000}"/>
    <cellStyle name="Normal 26 2 2 2 5 10" xfId="16561" xr:uid="{00000000-0005-0000-0000-000057B40000}"/>
    <cellStyle name="Normal 26 2 2 2 5 11" xfId="31710" xr:uid="{00000000-0005-0000-0000-000058B40000}"/>
    <cellStyle name="Normal 26 2 2 2 5 12" xfId="33393" xr:uid="{00000000-0005-0000-0000-000059B40000}"/>
    <cellStyle name="Normal 26 2 2 2 5 13" xfId="35076" xr:uid="{00000000-0005-0000-0000-00005AB40000}"/>
    <cellStyle name="Normal 26 2 2 2 5 14" xfId="36759" xr:uid="{00000000-0005-0000-0000-00005BB40000}"/>
    <cellStyle name="Normal 26 2 2 2 5 15" xfId="38442" xr:uid="{00000000-0005-0000-0000-00005CB40000}"/>
    <cellStyle name="Normal 26 2 2 2 5 16" xfId="40125" xr:uid="{00000000-0005-0000-0000-00005DB40000}"/>
    <cellStyle name="Normal 26 2 2 2 5 17" xfId="41808" xr:uid="{00000000-0005-0000-0000-00005EB40000}"/>
    <cellStyle name="Normal 26 2 2 2 5 18" xfId="43491" xr:uid="{00000000-0005-0000-0000-00005FB40000}"/>
    <cellStyle name="Normal 26 2 2 2 5 19" xfId="45174" xr:uid="{00000000-0005-0000-0000-000060B40000}"/>
    <cellStyle name="Normal 26 2 2 2 5 2" xfId="3095" xr:uid="{00000000-0005-0000-0000-000061B40000}"/>
    <cellStyle name="Normal 26 2 2 2 5 2 2" xfId="18244" xr:uid="{00000000-0005-0000-0000-000062B40000}"/>
    <cellStyle name="Normal 26 2 2 2 5 20" xfId="46857" xr:uid="{00000000-0005-0000-0000-000063B40000}"/>
    <cellStyle name="Normal 26 2 2 2 5 21" xfId="48540" xr:uid="{00000000-0005-0000-0000-000064B40000}"/>
    <cellStyle name="Normal 26 2 2 2 5 22" xfId="50223" xr:uid="{00000000-0005-0000-0000-000065B40000}"/>
    <cellStyle name="Normal 26 2 2 2 5 23" xfId="51906" xr:uid="{00000000-0005-0000-0000-000066B40000}"/>
    <cellStyle name="Normal 26 2 2 2 5 24" xfId="53589" xr:uid="{00000000-0005-0000-0000-000067B40000}"/>
    <cellStyle name="Normal 26 2 2 2 5 25" xfId="55272" xr:uid="{00000000-0005-0000-0000-000068B40000}"/>
    <cellStyle name="Normal 26 2 2 2 5 26" xfId="56955" xr:uid="{00000000-0005-0000-0000-000069B40000}"/>
    <cellStyle name="Normal 26 2 2 2 5 27" xfId="58638" xr:uid="{00000000-0005-0000-0000-00006AB40000}"/>
    <cellStyle name="Normal 26 2 2 2 5 28" xfId="60321" xr:uid="{00000000-0005-0000-0000-00006BB40000}"/>
    <cellStyle name="Normal 26 2 2 2 5 29" xfId="62004" xr:uid="{00000000-0005-0000-0000-00006CB40000}"/>
    <cellStyle name="Normal 26 2 2 2 5 3" xfId="4779" xr:uid="{00000000-0005-0000-0000-00006DB40000}"/>
    <cellStyle name="Normal 26 2 2 2 5 3 2" xfId="19928" xr:uid="{00000000-0005-0000-0000-00006EB40000}"/>
    <cellStyle name="Normal 26 2 2 2 5 30" xfId="63687" xr:uid="{00000000-0005-0000-0000-00006FB40000}"/>
    <cellStyle name="Normal 26 2 2 2 5 4" xfId="6462" xr:uid="{00000000-0005-0000-0000-000070B40000}"/>
    <cellStyle name="Normal 26 2 2 2 5 4 2" xfId="21611" xr:uid="{00000000-0005-0000-0000-000071B40000}"/>
    <cellStyle name="Normal 26 2 2 2 5 5" xfId="8145" xr:uid="{00000000-0005-0000-0000-000072B40000}"/>
    <cellStyle name="Normal 26 2 2 2 5 5 2" xfId="23294" xr:uid="{00000000-0005-0000-0000-000073B40000}"/>
    <cellStyle name="Normal 26 2 2 2 5 6" xfId="9828" xr:uid="{00000000-0005-0000-0000-000074B40000}"/>
    <cellStyle name="Normal 26 2 2 2 5 6 2" xfId="24977" xr:uid="{00000000-0005-0000-0000-000075B40000}"/>
    <cellStyle name="Normal 26 2 2 2 5 7" xfId="11511" xr:uid="{00000000-0005-0000-0000-000076B40000}"/>
    <cellStyle name="Normal 26 2 2 2 5 7 2" xfId="26660" xr:uid="{00000000-0005-0000-0000-000077B40000}"/>
    <cellStyle name="Normal 26 2 2 2 5 8" xfId="13195" xr:uid="{00000000-0005-0000-0000-000078B40000}"/>
    <cellStyle name="Normal 26 2 2 2 5 8 2" xfId="28344" xr:uid="{00000000-0005-0000-0000-000079B40000}"/>
    <cellStyle name="Normal 26 2 2 2 5 9" xfId="14878" xr:uid="{00000000-0005-0000-0000-00007AB40000}"/>
    <cellStyle name="Normal 26 2 2 2 5 9 2" xfId="30027" xr:uid="{00000000-0005-0000-0000-00007BB40000}"/>
    <cellStyle name="Normal 26 2 2 2 6" xfId="1833" xr:uid="{00000000-0005-0000-0000-00007CB40000}"/>
    <cellStyle name="Normal 26 2 2 2 6 2" xfId="16982" xr:uid="{00000000-0005-0000-0000-00007DB40000}"/>
    <cellStyle name="Normal 26 2 2 2 7" xfId="3517" xr:uid="{00000000-0005-0000-0000-00007EB40000}"/>
    <cellStyle name="Normal 26 2 2 2 7 2" xfId="18666" xr:uid="{00000000-0005-0000-0000-00007FB40000}"/>
    <cellStyle name="Normal 26 2 2 2 8" xfId="5200" xr:uid="{00000000-0005-0000-0000-000080B40000}"/>
    <cellStyle name="Normal 26 2 2 2 8 2" xfId="20349" xr:uid="{00000000-0005-0000-0000-000081B40000}"/>
    <cellStyle name="Normal 26 2 2 2 9" xfId="6883" xr:uid="{00000000-0005-0000-0000-000082B40000}"/>
    <cellStyle name="Normal 26 2 2 2 9 2" xfId="22032" xr:uid="{00000000-0005-0000-0000-000083B40000}"/>
    <cellStyle name="Normal 26 2 2 20" xfId="37075" xr:uid="{00000000-0005-0000-0000-000084B40000}"/>
    <cellStyle name="Normal 26 2 2 21" xfId="38758" xr:uid="{00000000-0005-0000-0000-000085B40000}"/>
    <cellStyle name="Normal 26 2 2 22" xfId="40441" xr:uid="{00000000-0005-0000-0000-000086B40000}"/>
    <cellStyle name="Normal 26 2 2 23" xfId="42124" xr:uid="{00000000-0005-0000-0000-000087B40000}"/>
    <cellStyle name="Normal 26 2 2 24" xfId="43807" xr:uid="{00000000-0005-0000-0000-000088B40000}"/>
    <cellStyle name="Normal 26 2 2 25" xfId="45490" xr:uid="{00000000-0005-0000-0000-000089B40000}"/>
    <cellStyle name="Normal 26 2 2 26" xfId="47173" xr:uid="{00000000-0005-0000-0000-00008AB40000}"/>
    <cellStyle name="Normal 26 2 2 27" xfId="48856" xr:uid="{00000000-0005-0000-0000-00008BB40000}"/>
    <cellStyle name="Normal 26 2 2 28" xfId="50539" xr:uid="{00000000-0005-0000-0000-00008CB40000}"/>
    <cellStyle name="Normal 26 2 2 29" xfId="52222" xr:uid="{00000000-0005-0000-0000-00008DB40000}"/>
    <cellStyle name="Normal 26 2 2 3" xfId="255" xr:uid="{00000000-0005-0000-0000-00008EB40000}"/>
    <cellStyle name="Normal 26 2 2 3 10" xfId="10354" xr:uid="{00000000-0005-0000-0000-00008FB40000}"/>
    <cellStyle name="Normal 26 2 2 3 10 2" xfId="25503" xr:uid="{00000000-0005-0000-0000-000090B40000}"/>
    <cellStyle name="Normal 26 2 2 3 11" xfId="12038" xr:uid="{00000000-0005-0000-0000-000091B40000}"/>
    <cellStyle name="Normal 26 2 2 3 11 2" xfId="27187" xr:uid="{00000000-0005-0000-0000-000092B40000}"/>
    <cellStyle name="Normal 26 2 2 3 12" xfId="13721" xr:uid="{00000000-0005-0000-0000-000093B40000}"/>
    <cellStyle name="Normal 26 2 2 3 12 2" xfId="28870" xr:uid="{00000000-0005-0000-0000-000094B40000}"/>
    <cellStyle name="Normal 26 2 2 3 13" xfId="15404" xr:uid="{00000000-0005-0000-0000-000095B40000}"/>
    <cellStyle name="Normal 26 2 2 3 14" xfId="30553" xr:uid="{00000000-0005-0000-0000-000096B40000}"/>
    <cellStyle name="Normal 26 2 2 3 15" xfId="32236" xr:uid="{00000000-0005-0000-0000-000097B40000}"/>
    <cellStyle name="Normal 26 2 2 3 16" xfId="33919" xr:uid="{00000000-0005-0000-0000-000098B40000}"/>
    <cellStyle name="Normal 26 2 2 3 17" xfId="35602" xr:uid="{00000000-0005-0000-0000-000099B40000}"/>
    <cellStyle name="Normal 26 2 2 3 18" xfId="37285" xr:uid="{00000000-0005-0000-0000-00009AB40000}"/>
    <cellStyle name="Normal 26 2 2 3 19" xfId="38968" xr:uid="{00000000-0005-0000-0000-00009BB40000}"/>
    <cellStyle name="Normal 26 2 2 3 2" xfId="675" xr:uid="{00000000-0005-0000-0000-00009CB40000}"/>
    <cellStyle name="Normal 26 2 2 3 2 10" xfId="15824" xr:uid="{00000000-0005-0000-0000-00009DB40000}"/>
    <cellStyle name="Normal 26 2 2 3 2 11" xfId="30973" xr:uid="{00000000-0005-0000-0000-00009EB40000}"/>
    <cellStyle name="Normal 26 2 2 3 2 12" xfId="32656" xr:uid="{00000000-0005-0000-0000-00009FB40000}"/>
    <cellStyle name="Normal 26 2 2 3 2 13" xfId="34339" xr:uid="{00000000-0005-0000-0000-0000A0B40000}"/>
    <cellStyle name="Normal 26 2 2 3 2 14" xfId="36022" xr:uid="{00000000-0005-0000-0000-0000A1B40000}"/>
    <cellStyle name="Normal 26 2 2 3 2 15" xfId="37705" xr:uid="{00000000-0005-0000-0000-0000A2B40000}"/>
    <cellStyle name="Normal 26 2 2 3 2 16" xfId="39388" xr:uid="{00000000-0005-0000-0000-0000A3B40000}"/>
    <cellStyle name="Normal 26 2 2 3 2 17" xfId="41071" xr:uid="{00000000-0005-0000-0000-0000A4B40000}"/>
    <cellStyle name="Normal 26 2 2 3 2 18" xfId="42754" xr:uid="{00000000-0005-0000-0000-0000A5B40000}"/>
    <cellStyle name="Normal 26 2 2 3 2 19" xfId="44437" xr:uid="{00000000-0005-0000-0000-0000A6B40000}"/>
    <cellStyle name="Normal 26 2 2 3 2 2" xfId="2358" xr:uid="{00000000-0005-0000-0000-0000A7B40000}"/>
    <cellStyle name="Normal 26 2 2 3 2 2 2" xfId="17507" xr:uid="{00000000-0005-0000-0000-0000A8B40000}"/>
    <cellStyle name="Normal 26 2 2 3 2 20" xfId="46120" xr:uid="{00000000-0005-0000-0000-0000A9B40000}"/>
    <cellStyle name="Normal 26 2 2 3 2 21" xfId="47803" xr:uid="{00000000-0005-0000-0000-0000AAB40000}"/>
    <cellStyle name="Normal 26 2 2 3 2 22" xfId="49486" xr:uid="{00000000-0005-0000-0000-0000ABB40000}"/>
    <cellStyle name="Normal 26 2 2 3 2 23" xfId="51169" xr:uid="{00000000-0005-0000-0000-0000ACB40000}"/>
    <cellStyle name="Normal 26 2 2 3 2 24" xfId="52852" xr:uid="{00000000-0005-0000-0000-0000ADB40000}"/>
    <cellStyle name="Normal 26 2 2 3 2 25" xfId="54535" xr:uid="{00000000-0005-0000-0000-0000AEB40000}"/>
    <cellStyle name="Normal 26 2 2 3 2 26" xfId="56218" xr:uid="{00000000-0005-0000-0000-0000AFB40000}"/>
    <cellStyle name="Normal 26 2 2 3 2 27" xfId="57901" xr:uid="{00000000-0005-0000-0000-0000B0B40000}"/>
    <cellStyle name="Normal 26 2 2 3 2 28" xfId="59584" xr:uid="{00000000-0005-0000-0000-0000B1B40000}"/>
    <cellStyle name="Normal 26 2 2 3 2 29" xfId="61267" xr:uid="{00000000-0005-0000-0000-0000B2B40000}"/>
    <cellStyle name="Normal 26 2 2 3 2 3" xfId="4042" xr:uid="{00000000-0005-0000-0000-0000B3B40000}"/>
    <cellStyle name="Normal 26 2 2 3 2 3 2" xfId="19191" xr:uid="{00000000-0005-0000-0000-0000B4B40000}"/>
    <cellStyle name="Normal 26 2 2 3 2 30" xfId="62950" xr:uid="{00000000-0005-0000-0000-0000B5B40000}"/>
    <cellStyle name="Normal 26 2 2 3 2 4" xfId="5725" xr:uid="{00000000-0005-0000-0000-0000B6B40000}"/>
    <cellStyle name="Normal 26 2 2 3 2 4 2" xfId="20874" xr:uid="{00000000-0005-0000-0000-0000B7B40000}"/>
    <cellStyle name="Normal 26 2 2 3 2 5" xfId="7408" xr:uid="{00000000-0005-0000-0000-0000B8B40000}"/>
    <cellStyle name="Normal 26 2 2 3 2 5 2" xfId="22557" xr:uid="{00000000-0005-0000-0000-0000B9B40000}"/>
    <cellStyle name="Normal 26 2 2 3 2 6" xfId="9091" xr:uid="{00000000-0005-0000-0000-0000BAB40000}"/>
    <cellStyle name="Normal 26 2 2 3 2 6 2" xfId="24240" xr:uid="{00000000-0005-0000-0000-0000BBB40000}"/>
    <cellStyle name="Normal 26 2 2 3 2 7" xfId="10774" xr:uid="{00000000-0005-0000-0000-0000BCB40000}"/>
    <cellStyle name="Normal 26 2 2 3 2 7 2" xfId="25923" xr:uid="{00000000-0005-0000-0000-0000BDB40000}"/>
    <cellStyle name="Normal 26 2 2 3 2 8" xfId="12458" xr:uid="{00000000-0005-0000-0000-0000BEB40000}"/>
    <cellStyle name="Normal 26 2 2 3 2 8 2" xfId="27607" xr:uid="{00000000-0005-0000-0000-0000BFB40000}"/>
    <cellStyle name="Normal 26 2 2 3 2 9" xfId="14141" xr:uid="{00000000-0005-0000-0000-0000C0B40000}"/>
    <cellStyle name="Normal 26 2 2 3 2 9 2" xfId="29290" xr:uid="{00000000-0005-0000-0000-0000C1B40000}"/>
    <cellStyle name="Normal 26 2 2 3 20" xfId="40651" xr:uid="{00000000-0005-0000-0000-0000C2B40000}"/>
    <cellStyle name="Normal 26 2 2 3 21" xfId="42334" xr:uid="{00000000-0005-0000-0000-0000C3B40000}"/>
    <cellStyle name="Normal 26 2 2 3 22" xfId="44017" xr:uid="{00000000-0005-0000-0000-0000C4B40000}"/>
    <cellStyle name="Normal 26 2 2 3 23" xfId="45700" xr:uid="{00000000-0005-0000-0000-0000C5B40000}"/>
    <cellStyle name="Normal 26 2 2 3 24" xfId="47383" xr:uid="{00000000-0005-0000-0000-0000C6B40000}"/>
    <cellStyle name="Normal 26 2 2 3 25" xfId="49066" xr:uid="{00000000-0005-0000-0000-0000C7B40000}"/>
    <cellStyle name="Normal 26 2 2 3 26" xfId="50749" xr:uid="{00000000-0005-0000-0000-0000C8B40000}"/>
    <cellStyle name="Normal 26 2 2 3 27" xfId="52432" xr:uid="{00000000-0005-0000-0000-0000C9B40000}"/>
    <cellStyle name="Normal 26 2 2 3 28" xfId="54115" xr:uid="{00000000-0005-0000-0000-0000CAB40000}"/>
    <cellStyle name="Normal 26 2 2 3 29" xfId="55798" xr:uid="{00000000-0005-0000-0000-0000CBB40000}"/>
    <cellStyle name="Normal 26 2 2 3 3" xfId="1096" xr:uid="{00000000-0005-0000-0000-0000CCB40000}"/>
    <cellStyle name="Normal 26 2 2 3 3 10" xfId="16245" xr:uid="{00000000-0005-0000-0000-0000CDB40000}"/>
    <cellStyle name="Normal 26 2 2 3 3 11" xfId="31394" xr:uid="{00000000-0005-0000-0000-0000CEB40000}"/>
    <cellStyle name="Normal 26 2 2 3 3 12" xfId="33077" xr:uid="{00000000-0005-0000-0000-0000CFB40000}"/>
    <cellStyle name="Normal 26 2 2 3 3 13" xfId="34760" xr:uid="{00000000-0005-0000-0000-0000D0B40000}"/>
    <cellStyle name="Normal 26 2 2 3 3 14" xfId="36443" xr:uid="{00000000-0005-0000-0000-0000D1B40000}"/>
    <cellStyle name="Normal 26 2 2 3 3 15" xfId="38126" xr:uid="{00000000-0005-0000-0000-0000D2B40000}"/>
    <cellStyle name="Normal 26 2 2 3 3 16" xfId="39809" xr:uid="{00000000-0005-0000-0000-0000D3B40000}"/>
    <cellStyle name="Normal 26 2 2 3 3 17" xfId="41492" xr:uid="{00000000-0005-0000-0000-0000D4B40000}"/>
    <cellStyle name="Normal 26 2 2 3 3 18" xfId="43175" xr:uid="{00000000-0005-0000-0000-0000D5B40000}"/>
    <cellStyle name="Normal 26 2 2 3 3 19" xfId="44858" xr:uid="{00000000-0005-0000-0000-0000D6B40000}"/>
    <cellStyle name="Normal 26 2 2 3 3 2" xfId="2779" xr:uid="{00000000-0005-0000-0000-0000D7B40000}"/>
    <cellStyle name="Normal 26 2 2 3 3 2 2" xfId="17928" xr:uid="{00000000-0005-0000-0000-0000D8B40000}"/>
    <cellStyle name="Normal 26 2 2 3 3 20" xfId="46541" xr:uid="{00000000-0005-0000-0000-0000D9B40000}"/>
    <cellStyle name="Normal 26 2 2 3 3 21" xfId="48224" xr:uid="{00000000-0005-0000-0000-0000DAB40000}"/>
    <cellStyle name="Normal 26 2 2 3 3 22" xfId="49907" xr:uid="{00000000-0005-0000-0000-0000DBB40000}"/>
    <cellStyle name="Normal 26 2 2 3 3 23" xfId="51590" xr:uid="{00000000-0005-0000-0000-0000DCB40000}"/>
    <cellStyle name="Normal 26 2 2 3 3 24" xfId="53273" xr:uid="{00000000-0005-0000-0000-0000DDB40000}"/>
    <cellStyle name="Normal 26 2 2 3 3 25" xfId="54956" xr:uid="{00000000-0005-0000-0000-0000DEB40000}"/>
    <cellStyle name="Normal 26 2 2 3 3 26" xfId="56639" xr:uid="{00000000-0005-0000-0000-0000DFB40000}"/>
    <cellStyle name="Normal 26 2 2 3 3 27" xfId="58322" xr:uid="{00000000-0005-0000-0000-0000E0B40000}"/>
    <cellStyle name="Normal 26 2 2 3 3 28" xfId="60005" xr:uid="{00000000-0005-0000-0000-0000E1B40000}"/>
    <cellStyle name="Normal 26 2 2 3 3 29" xfId="61688" xr:uid="{00000000-0005-0000-0000-0000E2B40000}"/>
    <cellStyle name="Normal 26 2 2 3 3 3" xfId="4463" xr:uid="{00000000-0005-0000-0000-0000E3B40000}"/>
    <cellStyle name="Normal 26 2 2 3 3 3 2" xfId="19612" xr:uid="{00000000-0005-0000-0000-0000E4B40000}"/>
    <cellStyle name="Normal 26 2 2 3 3 30" xfId="63371" xr:uid="{00000000-0005-0000-0000-0000E5B40000}"/>
    <cellStyle name="Normal 26 2 2 3 3 4" xfId="6146" xr:uid="{00000000-0005-0000-0000-0000E6B40000}"/>
    <cellStyle name="Normal 26 2 2 3 3 4 2" xfId="21295" xr:uid="{00000000-0005-0000-0000-0000E7B40000}"/>
    <cellStyle name="Normal 26 2 2 3 3 5" xfId="7829" xr:uid="{00000000-0005-0000-0000-0000E8B40000}"/>
    <cellStyle name="Normal 26 2 2 3 3 5 2" xfId="22978" xr:uid="{00000000-0005-0000-0000-0000E9B40000}"/>
    <cellStyle name="Normal 26 2 2 3 3 6" xfId="9512" xr:uid="{00000000-0005-0000-0000-0000EAB40000}"/>
    <cellStyle name="Normal 26 2 2 3 3 6 2" xfId="24661" xr:uid="{00000000-0005-0000-0000-0000EBB40000}"/>
    <cellStyle name="Normal 26 2 2 3 3 7" xfId="11195" xr:uid="{00000000-0005-0000-0000-0000ECB40000}"/>
    <cellStyle name="Normal 26 2 2 3 3 7 2" xfId="26344" xr:uid="{00000000-0005-0000-0000-0000EDB40000}"/>
    <cellStyle name="Normal 26 2 2 3 3 8" xfId="12879" xr:uid="{00000000-0005-0000-0000-0000EEB40000}"/>
    <cellStyle name="Normal 26 2 2 3 3 8 2" xfId="28028" xr:uid="{00000000-0005-0000-0000-0000EFB40000}"/>
    <cellStyle name="Normal 26 2 2 3 3 9" xfId="14562" xr:uid="{00000000-0005-0000-0000-0000F0B40000}"/>
    <cellStyle name="Normal 26 2 2 3 3 9 2" xfId="29711" xr:uid="{00000000-0005-0000-0000-0000F1B40000}"/>
    <cellStyle name="Normal 26 2 2 3 30" xfId="57481" xr:uid="{00000000-0005-0000-0000-0000F2B40000}"/>
    <cellStyle name="Normal 26 2 2 3 31" xfId="59164" xr:uid="{00000000-0005-0000-0000-0000F3B40000}"/>
    <cellStyle name="Normal 26 2 2 3 32" xfId="60847" xr:uid="{00000000-0005-0000-0000-0000F4B40000}"/>
    <cellStyle name="Normal 26 2 2 3 33" xfId="62530" xr:uid="{00000000-0005-0000-0000-0000F5B40000}"/>
    <cellStyle name="Normal 26 2 2 3 4" xfId="1517" xr:uid="{00000000-0005-0000-0000-0000F6B40000}"/>
    <cellStyle name="Normal 26 2 2 3 4 10" xfId="16666" xr:uid="{00000000-0005-0000-0000-0000F7B40000}"/>
    <cellStyle name="Normal 26 2 2 3 4 11" xfId="31815" xr:uid="{00000000-0005-0000-0000-0000F8B40000}"/>
    <cellStyle name="Normal 26 2 2 3 4 12" xfId="33498" xr:uid="{00000000-0005-0000-0000-0000F9B40000}"/>
    <cellStyle name="Normal 26 2 2 3 4 13" xfId="35181" xr:uid="{00000000-0005-0000-0000-0000FAB40000}"/>
    <cellStyle name="Normal 26 2 2 3 4 14" xfId="36864" xr:uid="{00000000-0005-0000-0000-0000FBB40000}"/>
    <cellStyle name="Normal 26 2 2 3 4 15" xfId="38547" xr:uid="{00000000-0005-0000-0000-0000FCB40000}"/>
    <cellStyle name="Normal 26 2 2 3 4 16" xfId="40230" xr:uid="{00000000-0005-0000-0000-0000FDB40000}"/>
    <cellStyle name="Normal 26 2 2 3 4 17" xfId="41913" xr:uid="{00000000-0005-0000-0000-0000FEB40000}"/>
    <cellStyle name="Normal 26 2 2 3 4 18" xfId="43596" xr:uid="{00000000-0005-0000-0000-0000FFB40000}"/>
    <cellStyle name="Normal 26 2 2 3 4 19" xfId="45279" xr:uid="{00000000-0005-0000-0000-000000B50000}"/>
    <cellStyle name="Normal 26 2 2 3 4 2" xfId="3200" xr:uid="{00000000-0005-0000-0000-000001B50000}"/>
    <cellStyle name="Normal 26 2 2 3 4 2 2" xfId="18349" xr:uid="{00000000-0005-0000-0000-000002B50000}"/>
    <cellStyle name="Normal 26 2 2 3 4 20" xfId="46962" xr:uid="{00000000-0005-0000-0000-000003B50000}"/>
    <cellStyle name="Normal 26 2 2 3 4 21" xfId="48645" xr:uid="{00000000-0005-0000-0000-000004B50000}"/>
    <cellStyle name="Normal 26 2 2 3 4 22" xfId="50328" xr:uid="{00000000-0005-0000-0000-000005B50000}"/>
    <cellStyle name="Normal 26 2 2 3 4 23" xfId="52011" xr:uid="{00000000-0005-0000-0000-000006B50000}"/>
    <cellStyle name="Normal 26 2 2 3 4 24" xfId="53694" xr:uid="{00000000-0005-0000-0000-000007B50000}"/>
    <cellStyle name="Normal 26 2 2 3 4 25" xfId="55377" xr:uid="{00000000-0005-0000-0000-000008B50000}"/>
    <cellStyle name="Normal 26 2 2 3 4 26" xfId="57060" xr:uid="{00000000-0005-0000-0000-000009B50000}"/>
    <cellStyle name="Normal 26 2 2 3 4 27" xfId="58743" xr:uid="{00000000-0005-0000-0000-00000AB50000}"/>
    <cellStyle name="Normal 26 2 2 3 4 28" xfId="60426" xr:uid="{00000000-0005-0000-0000-00000BB50000}"/>
    <cellStyle name="Normal 26 2 2 3 4 29" xfId="62109" xr:uid="{00000000-0005-0000-0000-00000CB50000}"/>
    <cellStyle name="Normal 26 2 2 3 4 3" xfId="4884" xr:uid="{00000000-0005-0000-0000-00000DB50000}"/>
    <cellStyle name="Normal 26 2 2 3 4 3 2" xfId="20033" xr:uid="{00000000-0005-0000-0000-00000EB50000}"/>
    <cellStyle name="Normal 26 2 2 3 4 30" xfId="63792" xr:uid="{00000000-0005-0000-0000-00000FB50000}"/>
    <cellStyle name="Normal 26 2 2 3 4 4" xfId="6567" xr:uid="{00000000-0005-0000-0000-000010B50000}"/>
    <cellStyle name="Normal 26 2 2 3 4 4 2" xfId="21716" xr:uid="{00000000-0005-0000-0000-000011B50000}"/>
    <cellStyle name="Normal 26 2 2 3 4 5" xfId="8250" xr:uid="{00000000-0005-0000-0000-000012B50000}"/>
    <cellStyle name="Normal 26 2 2 3 4 5 2" xfId="23399" xr:uid="{00000000-0005-0000-0000-000013B50000}"/>
    <cellStyle name="Normal 26 2 2 3 4 6" xfId="9933" xr:uid="{00000000-0005-0000-0000-000014B50000}"/>
    <cellStyle name="Normal 26 2 2 3 4 6 2" xfId="25082" xr:uid="{00000000-0005-0000-0000-000015B50000}"/>
    <cellStyle name="Normal 26 2 2 3 4 7" xfId="11616" xr:uid="{00000000-0005-0000-0000-000016B50000}"/>
    <cellStyle name="Normal 26 2 2 3 4 7 2" xfId="26765" xr:uid="{00000000-0005-0000-0000-000017B50000}"/>
    <cellStyle name="Normal 26 2 2 3 4 8" xfId="13300" xr:uid="{00000000-0005-0000-0000-000018B50000}"/>
    <cellStyle name="Normal 26 2 2 3 4 8 2" xfId="28449" xr:uid="{00000000-0005-0000-0000-000019B50000}"/>
    <cellStyle name="Normal 26 2 2 3 4 9" xfId="14983" xr:uid="{00000000-0005-0000-0000-00001AB50000}"/>
    <cellStyle name="Normal 26 2 2 3 4 9 2" xfId="30132" xr:uid="{00000000-0005-0000-0000-00001BB50000}"/>
    <cellStyle name="Normal 26 2 2 3 5" xfId="1938" xr:uid="{00000000-0005-0000-0000-00001CB50000}"/>
    <cellStyle name="Normal 26 2 2 3 5 2" xfId="17087" xr:uid="{00000000-0005-0000-0000-00001DB50000}"/>
    <cellStyle name="Normal 26 2 2 3 6" xfId="3622" xr:uid="{00000000-0005-0000-0000-00001EB50000}"/>
    <cellStyle name="Normal 26 2 2 3 6 2" xfId="18771" xr:uid="{00000000-0005-0000-0000-00001FB50000}"/>
    <cellStyle name="Normal 26 2 2 3 7" xfId="5305" xr:uid="{00000000-0005-0000-0000-000020B50000}"/>
    <cellStyle name="Normal 26 2 2 3 7 2" xfId="20454" xr:uid="{00000000-0005-0000-0000-000021B50000}"/>
    <cellStyle name="Normal 26 2 2 3 8" xfId="6988" xr:uid="{00000000-0005-0000-0000-000022B50000}"/>
    <cellStyle name="Normal 26 2 2 3 8 2" xfId="22137" xr:uid="{00000000-0005-0000-0000-000023B50000}"/>
    <cellStyle name="Normal 26 2 2 3 9" xfId="8671" xr:uid="{00000000-0005-0000-0000-000024B50000}"/>
    <cellStyle name="Normal 26 2 2 3 9 2" xfId="23820" xr:uid="{00000000-0005-0000-0000-000025B50000}"/>
    <cellStyle name="Normal 26 2 2 30" xfId="53905" xr:uid="{00000000-0005-0000-0000-000026B50000}"/>
    <cellStyle name="Normal 26 2 2 31" xfId="55588" xr:uid="{00000000-0005-0000-0000-000027B50000}"/>
    <cellStyle name="Normal 26 2 2 32" xfId="57271" xr:uid="{00000000-0005-0000-0000-000028B50000}"/>
    <cellStyle name="Normal 26 2 2 33" xfId="58954" xr:uid="{00000000-0005-0000-0000-000029B50000}"/>
    <cellStyle name="Normal 26 2 2 34" xfId="60637" xr:uid="{00000000-0005-0000-0000-00002AB50000}"/>
    <cellStyle name="Normal 26 2 2 35" xfId="62320" xr:uid="{00000000-0005-0000-0000-00002BB50000}"/>
    <cellStyle name="Normal 26 2 2 4" xfId="465" xr:uid="{00000000-0005-0000-0000-00002CB50000}"/>
    <cellStyle name="Normal 26 2 2 4 10" xfId="15614" xr:uid="{00000000-0005-0000-0000-00002DB50000}"/>
    <cellStyle name="Normal 26 2 2 4 11" xfId="30763" xr:uid="{00000000-0005-0000-0000-00002EB50000}"/>
    <cellStyle name="Normal 26 2 2 4 12" xfId="32446" xr:uid="{00000000-0005-0000-0000-00002FB50000}"/>
    <cellStyle name="Normal 26 2 2 4 13" xfId="34129" xr:uid="{00000000-0005-0000-0000-000030B50000}"/>
    <cellStyle name="Normal 26 2 2 4 14" xfId="35812" xr:uid="{00000000-0005-0000-0000-000031B50000}"/>
    <cellStyle name="Normal 26 2 2 4 15" xfId="37495" xr:uid="{00000000-0005-0000-0000-000032B50000}"/>
    <cellStyle name="Normal 26 2 2 4 16" xfId="39178" xr:uid="{00000000-0005-0000-0000-000033B50000}"/>
    <cellStyle name="Normal 26 2 2 4 17" xfId="40861" xr:uid="{00000000-0005-0000-0000-000034B50000}"/>
    <cellStyle name="Normal 26 2 2 4 18" xfId="42544" xr:uid="{00000000-0005-0000-0000-000035B50000}"/>
    <cellStyle name="Normal 26 2 2 4 19" xfId="44227" xr:uid="{00000000-0005-0000-0000-000036B50000}"/>
    <cellStyle name="Normal 26 2 2 4 2" xfId="2148" xr:uid="{00000000-0005-0000-0000-000037B50000}"/>
    <cellStyle name="Normal 26 2 2 4 2 2" xfId="17297" xr:uid="{00000000-0005-0000-0000-000038B50000}"/>
    <cellStyle name="Normal 26 2 2 4 20" xfId="45910" xr:uid="{00000000-0005-0000-0000-000039B50000}"/>
    <cellStyle name="Normal 26 2 2 4 21" xfId="47593" xr:uid="{00000000-0005-0000-0000-00003AB50000}"/>
    <cellStyle name="Normal 26 2 2 4 22" xfId="49276" xr:uid="{00000000-0005-0000-0000-00003BB50000}"/>
    <cellStyle name="Normal 26 2 2 4 23" xfId="50959" xr:uid="{00000000-0005-0000-0000-00003CB50000}"/>
    <cellStyle name="Normal 26 2 2 4 24" xfId="52642" xr:uid="{00000000-0005-0000-0000-00003DB50000}"/>
    <cellStyle name="Normal 26 2 2 4 25" xfId="54325" xr:uid="{00000000-0005-0000-0000-00003EB50000}"/>
    <cellStyle name="Normal 26 2 2 4 26" xfId="56008" xr:uid="{00000000-0005-0000-0000-00003FB50000}"/>
    <cellStyle name="Normal 26 2 2 4 27" xfId="57691" xr:uid="{00000000-0005-0000-0000-000040B50000}"/>
    <cellStyle name="Normal 26 2 2 4 28" xfId="59374" xr:uid="{00000000-0005-0000-0000-000041B50000}"/>
    <cellStyle name="Normal 26 2 2 4 29" xfId="61057" xr:uid="{00000000-0005-0000-0000-000042B50000}"/>
    <cellStyle name="Normal 26 2 2 4 3" xfId="3832" xr:uid="{00000000-0005-0000-0000-000043B50000}"/>
    <cellStyle name="Normal 26 2 2 4 3 2" xfId="18981" xr:uid="{00000000-0005-0000-0000-000044B50000}"/>
    <cellStyle name="Normal 26 2 2 4 30" xfId="62740" xr:uid="{00000000-0005-0000-0000-000045B50000}"/>
    <cellStyle name="Normal 26 2 2 4 4" xfId="5515" xr:uid="{00000000-0005-0000-0000-000046B50000}"/>
    <cellStyle name="Normal 26 2 2 4 4 2" xfId="20664" xr:uid="{00000000-0005-0000-0000-000047B50000}"/>
    <cellStyle name="Normal 26 2 2 4 5" xfId="7198" xr:uid="{00000000-0005-0000-0000-000048B50000}"/>
    <cellStyle name="Normal 26 2 2 4 5 2" xfId="22347" xr:uid="{00000000-0005-0000-0000-000049B50000}"/>
    <cellStyle name="Normal 26 2 2 4 6" xfId="8881" xr:uid="{00000000-0005-0000-0000-00004AB50000}"/>
    <cellStyle name="Normal 26 2 2 4 6 2" xfId="24030" xr:uid="{00000000-0005-0000-0000-00004BB50000}"/>
    <cellStyle name="Normal 26 2 2 4 7" xfId="10564" xr:uid="{00000000-0005-0000-0000-00004CB50000}"/>
    <cellStyle name="Normal 26 2 2 4 7 2" xfId="25713" xr:uid="{00000000-0005-0000-0000-00004DB50000}"/>
    <cellStyle name="Normal 26 2 2 4 8" xfId="12248" xr:uid="{00000000-0005-0000-0000-00004EB50000}"/>
    <cellStyle name="Normal 26 2 2 4 8 2" xfId="27397" xr:uid="{00000000-0005-0000-0000-00004FB50000}"/>
    <cellStyle name="Normal 26 2 2 4 9" xfId="13931" xr:uid="{00000000-0005-0000-0000-000050B50000}"/>
    <cellStyle name="Normal 26 2 2 4 9 2" xfId="29080" xr:uid="{00000000-0005-0000-0000-000051B50000}"/>
    <cellStyle name="Normal 26 2 2 5" xfId="886" xr:uid="{00000000-0005-0000-0000-000052B50000}"/>
    <cellStyle name="Normal 26 2 2 5 10" xfId="16035" xr:uid="{00000000-0005-0000-0000-000053B50000}"/>
    <cellStyle name="Normal 26 2 2 5 11" xfId="31184" xr:uid="{00000000-0005-0000-0000-000054B50000}"/>
    <cellStyle name="Normal 26 2 2 5 12" xfId="32867" xr:uid="{00000000-0005-0000-0000-000055B50000}"/>
    <cellStyle name="Normal 26 2 2 5 13" xfId="34550" xr:uid="{00000000-0005-0000-0000-000056B50000}"/>
    <cellStyle name="Normal 26 2 2 5 14" xfId="36233" xr:uid="{00000000-0005-0000-0000-000057B50000}"/>
    <cellStyle name="Normal 26 2 2 5 15" xfId="37916" xr:uid="{00000000-0005-0000-0000-000058B50000}"/>
    <cellStyle name="Normal 26 2 2 5 16" xfId="39599" xr:uid="{00000000-0005-0000-0000-000059B50000}"/>
    <cellStyle name="Normal 26 2 2 5 17" xfId="41282" xr:uid="{00000000-0005-0000-0000-00005AB50000}"/>
    <cellStyle name="Normal 26 2 2 5 18" xfId="42965" xr:uid="{00000000-0005-0000-0000-00005BB50000}"/>
    <cellStyle name="Normal 26 2 2 5 19" xfId="44648" xr:uid="{00000000-0005-0000-0000-00005CB50000}"/>
    <cellStyle name="Normal 26 2 2 5 2" xfId="2569" xr:uid="{00000000-0005-0000-0000-00005DB50000}"/>
    <cellStyle name="Normal 26 2 2 5 2 2" xfId="17718" xr:uid="{00000000-0005-0000-0000-00005EB50000}"/>
    <cellStyle name="Normal 26 2 2 5 20" xfId="46331" xr:uid="{00000000-0005-0000-0000-00005FB50000}"/>
    <cellStyle name="Normal 26 2 2 5 21" xfId="48014" xr:uid="{00000000-0005-0000-0000-000060B50000}"/>
    <cellStyle name="Normal 26 2 2 5 22" xfId="49697" xr:uid="{00000000-0005-0000-0000-000061B50000}"/>
    <cellStyle name="Normal 26 2 2 5 23" xfId="51380" xr:uid="{00000000-0005-0000-0000-000062B50000}"/>
    <cellStyle name="Normal 26 2 2 5 24" xfId="53063" xr:uid="{00000000-0005-0000-0000-000063B50000}"/>
    <cellStyle name="Normal 26 2 2 5 25" xfId="54746" xr:uid="{00000000-0005-0000-0000-000064B50000}"/>
    <cellStyle name="Normal 26 2 2 5 26" xfId="56429" xr:uid="{00000000-0005-0000-0000-000065B50000}"/>
    <cellStyle name="Normal 26 2 2 5 27" xfId="58112" xr:uid="{00000000-0005-0000-0000-000066B50000}"/>
    <cellStyle name="Normal 26 2 2 5 28" xfId="59795" xr:uid="{00000000-0005-0000-0000-000067B50000}"/>
    <cellStyle name="Normal 26 2 2 5 29" xfId="61478" xr:uid="{00000000-0005-0000-0000-000068B50000}"/>
    <cellStyle name="Normal 26 2 2 5 3" xfId="4253" xr:uid="{00000000-0005-0000-0000-000069B50000}"/>
    <cellStyle name="Normal 26 2 2 5 3 2" xfId="19402" xr:uid="{00000000-0005-0000-0000-00006AB50000}"/>
    <cellStyle name="Normal 26 2 2 5 30" xfId="63161" xr:uid="{00000000-0005-0000-0000-00006BB50000}"/>
    <cellStyle name="Normal 26 2 2 5 4" xfId="5936" xr:uid="{00000000-0005-0000-0000-00006CB50000}"/>
    <cellStyle name="Normal 26 2 2 5 4 2" xfId="21085" xr:uid="{00000000-0005-0000-0000-00006DB50000}"/>
    <cellStyle name="Normal 26 2 2 5 5" xfId="7619" xr:uid="{00000000-0005-0000-0000-00006EB50000}"/>
    <cellStyle name="Normal 26 2 2 5 5 2" xfId="22768" xr:uid="{00000000-0005-0000-0000-00006FB50000}"/>
    <cellStyle name="Normal 26 2 2 5 6" xfId="9302" xr:uid="{00000000-0005-0000-0000-000070B50000}"/>
    <cellStyle name="Normal 26 2 2 5 6 2" xfId="24451" xr:uid="{00000000-0005-0000-0000-000071B50000}"/>
    <cellStyle name="Normal 26 2 2 5 7" xfId="10985" xr:uid="{00000000-0005-0000-0000-000072B50000}"/>
    <cellStyle name="Normal 26 2 2 5 7 2" xfId="26134" xr:uid="{00000000-0005-0000-0000-000073B50000}"/>
    <cellStyle name="Normal 26 2 2 5 8" xfId="12669" xr:uid="{00000000-0005-0000-0000-000074B50000}"/>
    <cellStyle name="Normal 26 2 2 5 8 2" xfId="27818" xr:uid="{00000000-0005-0000-0000-000075B50000}"/>
    <cellStyle name="Normal 26 2 2 5 9" xfId="14352" xr:uid="{00000000-0005-0000-0000-000076B50000}"/>
    <cellStyle name="Normal 26 2 2 5 9 2" xfId="29501" xr:uid="{00000000-0005-0000-0000-000077B50000}"/>
    <cellStyle name="Normal 26 2 2 6" xfId="1307" xr:uid="{00000000-0005-0000-0000-000078B50000}"/>
    <cellStyle name="Normal 26 2 2 6 10" xfId="16456" xr:uid="{00000000-0005-0000-0000-000079B50000}"/>
    <cellStyle name="Normal 26 2 2 6 11" xfId="31605" xr:uid="{00000000-0005-0000-0000-00007AB50000}"/>
    <cellStyle name="Normal 26 2 2 6 12" xfId="33288" xr:uid="{00000000-0005-0000-0000-00007BB50000}"/>
    <cellStyle name="Normal 26 2 2 6 13" xfId="34971" xr:uid="{00000000-0005-0000-0000-00007CB50000}"/>
    <cellStyle name="Normal 26 2 2 6 14" xfId="36654" xr:uid="{00000000-0005-0000-0000-00007DB50000}"/>
    <cellStyle name="Normal 26 2 2 6 15" xfId="38337" xr:uid="{00000000-0005-0000-0000-00007EB50000}"/>
    <cellStyle name="Normal 26 2 2 6 16" xfId="40020" xr:uid="{00000000-0005-0000-0000-00007FB50000}"/>
    <cellStyle name="Normal 26 2 2 6 17" xfId="41703" xr:uid="{00000000-0005-0000-0000-000080B50000}"/>
    <cellStyle name="Normal 26 2 2 6 18" xfId="43386" xr:uid="{00000000-0005-0000-0000-000081B50000}"/>
    <cellStyle name="Normal 26 2 2 6 19" xfId="45069" xr:uid="{00000000-0005-0000-0000-000082B50000}"/>
    <cellStyle name="Normal 26 2 2 6 2" xfId="2990" xr:uid="{00000000-0005-0000-0000-000083B50000}"/>
    <cellStyle name="Normal 26 2 2 6 2 2" xfId="18139" xr:uid="{00000000-0005-0000-0000-000084B50000}"/>
    <cellStyle name="Normal 26 2 2 6 20" xfId="46752" xr:uid="{00000000-0005-0000-0000-000085B50000}"/>
    <cellStyle name="Normal 26 2 2 6 21" xfId="48435" xr:uid="{00000000-0005-0000-0000-000086B50000}"/>
    <cellStyle name="Normal 26 2 2 6 22" xfId="50118" xr:uid="{00000000-0005-0000-0000-000087B50000}"/>
    <cellStyle name="Normal 26 2 2 6 23" xfId="51801" xr:uid="{00000000-0005-0000-0000-000088B50000}"/>
    <cellStyle name="Normal 26 2 2 6 24" xfId="53484" xr:uid="{00000000-0005-0000-0000-000089B50000}"/>
    <cellStyle name="Normal 26 2 2 6 25" xfId="55167" xr:uid="{00000000-0005-0000-0000-00008AB50000}"/>
    <cellStyle name="Normal 26 2 2 6 26" xfId="56850" xr:uid="{00000000-0005-0000-0000-00008BB50000}"/>
    <cellStyle name="Normal 26 2 2 6 27" xfId="58533" xr:uid="{00000000-0005-0000-0000-00008CB50000}"/>
    <cellStyle name="Normal 26 2 2 6 28" xfId="60216" xr:uid="{00000000-0005-0000-0000-00008DB50000}"/>
    <cellStyle name="Normal 26 2 2 6 29" xfId="61899" xr:uid="{00000000-0005-0000-0000-00008EB50000}"/>
    <cellStyle name="Normal 26 2 2 6 3" xfId="4674" xr:uid="{00000000-0005-0000-0000-00008FB50000}"/>
    <cellStyle name="Normal 26 2 2 6 3 2" xfId="19823" xr:uid="{00000000-0005-0000-0000-000090B50000}"/>
    <cellStyle name="Normal 26 2 2 6 30" xfId="63582" xr:uid="{00000000-0005-0000-0000-000091B50000}"/>
    <cellStyle name="Normal 26 2 2 6 4" xfId="6357" xr:uid="{00000000-0005-0000-0000-000092B50000}"/>
    <cellStyle name="Normal 26 2 2 6 4 2" xfId="21506" xr:uid="{00000000-0005-0000-0000-000093B50000}"/>
    <cellStyle name="Normal 26 2 2 6 5" xfId="8040" xr:uid="{00000000-0005-0000-0000-000094B50000}"/>
    <cellStyle name="Normal 26 2 2 6 5 2" xfId="23189" xr:uid="{00000000-0005-0000-0000-000095B50000}"/>
    <cellStyle name="Normal 26 2 2 6 6" xfId="9723" xr:uid="{00000000-0005-0000-0000-000096B50000}"/>
    <cellStyle name="Normal 26 2 2 6 6 2" xfId="24872" xr:uid="{00000000-0005-0000-0000-000097B50000}"/>
    <cellStyle name="Normal 26 2 2 6 7" xfId="11406" xr:uid="{00000000-0005-0000-0000-000098B50000}"/>
    <cellStyle name="Normal 26 2 2 6 7 2" xfId="26555" xr:uid="{00000000-0005-0000-0000-000099B50000}"/>
    <cellStyle name="Normal 26 2 2 6 8" xfId="13090" xr:uid="{00000000-0005-0000-0000-00009AB50000}"/>
    <cellStyle name="Normal 26 2 2 6 8 2" xfId="28239" xr:uid="{00000000-0005-0000-0000-00009BB50000}"/>
    <cellStyle name="Normal 26 2 2 6 9" xfId="14773" xr:uid="{00000000-0005-0000-0000-00009CB50000}"/>
    <cellStyle name="Normal 26 2 2 6 9 2" xfId="29922" xr:uid="{00000000-0005-0000-0000-00009DB50000}"/>
    <cellStyle name="Normal 26 2 2 7" xfId="1728" xr:uid="{00000000-0005-0000-0000-00009EB50000}"/>
    <cellStyle name="Normal 26 2 2 7 2" xfId="16877" xr:uid="{00000000-0005-0000-0000-00009FB50000}"/>
    <cellStyle name="Normal 26 2 2 8" xfId="3412" xr:uid="{00000000-0005-0000-0000-0000A0B50000}"/>
    <cellStyle name="Normal 26 2 2 8 2" xfId="18561" xr:uid="{00000000-0005-0000-0000-0000A1B50000}"/>
    <cellStyle name="Normal 26 2 2 9" xfId="5095" xr:uid="{00000000-0005-0000-0000-0000A2B50000}"/>
    <cellStyle name="Normal 26 2 2 9 2" xfId="20244" xr:uid="{00000000-0005-0000-0000-0000A3B50000}"/>
    <cellStyle name="Normal 26 2 20" xfId="30335" xr:uid="{00000000-0005-0000-0000-0000A4B50000}"/>
    <cellStyle name="Normal 26 2 21" xfId="32018" xr:uid="{00000000-0005-0000-0000-0000A5B50000}"/>
    <cellStyle name="Normal 26 2 22" xfId="33701" xr:uid="{00000000-0005-0000-0000-0000A6B50000}"/>
    <cellStyle name="Normal 26 2 23" xfId="35384" xr:uid="{00000000-0005-0000-0000-0000A7B50000}"/>
    <cellStyle name="Normal 26 2 24" xfId="37067" xr:uid="{00000000-0005-0000-0000-0000A8B50000}"/>
    <cellStyle name="Normal 26 2 25" xfId="38750" xr:uid="{00000000-0005-0000-0000-0000A9B50000}"/>
    <cellStyle name="Normal 26 2 26" xfId="40433" xr:uid="{00000000-0005-0000-0000-0000AAB50000}"/>
    <cellStyle name="Normal 26 2 27" xfId="42116" xr:uid="{00000000-0005-0000-0000-0000ABB50000}"/>
    <cellStyle name="Normal 26 2 28" xfId="43799" xr:uid="{00000000-0005-0000-0000-0000ACB50000}"/>
    <cellStyle name="Normal 26 2 29" xfId="45482" xr:uid="{00000000-0005-0000-0000-0000ADB50000}"/>
    <cellStyle name="Normal 26 2 3" xfId="32" xr:uid="{00000000-0005-0000-0000-0000AEB50000}"/>
    <cellStyle name="Normal 26 2 3 10" xfId="6787" xr:uid="{00000000-0005-0000-0000-0000AFB50000}"/>
    <cellStyle name="Normal 26 2 3 10 2" xfId="21936" xr:uid="{00000000-0005-0000-0000-0000B0B50000}"/>
    <cellStyle name="Normal 26 2 3 11" xfId="8470" xr:uid="{00000000-0005-0000-0000-0000B1B50000}"/>
    <cellStyle name="Normal 26 2 3 11 2" xfId="23619" xr:uid="{00000000-0005-0000-0000-0000B2B50000}"/>
    <cellStyle name="Normal 26 2 3 12" xfId="10153" xr:uid="{00000000-0005-0000-0000-0000B3B50000}"/>
    <cellStyle name="Normal 26 2 3 12 2" xfId="25302" xr:uid="{00000000-0005-0000-0000-0000B4B50000}"/>
    <cellStyle name="Normal 26 2 3 13" xfId="11837" xr:uid="{00000000-0005-0000-0000-0000B5B50000}"/>
    <cellStyle name="Normal 26 2 3 13 2" xfId="26986" xr:uid="{00000000-0005-0000-0000-0000B6B50000}"/>
    <cellStyle name="Normal 26 2 3 14" xfId="13520" xr:uid="{00000000-0005-0000-0000-0000B7B50000}"/>
    <cellStyle name="Normal 26 2 3 14 2" xfId="28669" xr:uid="{00000000-0005-0000-0000-0000B8B50000}"/>
    <cellStyle name="Normal 26 2 3 15" xfId="15203" xr:uid="{00000000-0005-0000-0000-0000B9B50000}"/>
    <cellStyle name="Normal 26 2 3 16" xfId="30352" xr:uid="{00000000-0005-0000-0000-0000BAB50000}"/>
    <cellStyle name="Normal 26 2 3 17" xfId="32035" xr:uid="{00000000-0005-0000-0000-0000BBB50000}"/>
    <cellStyle name="Normal 26 2 3 18" xfId="33718" xr:uid="{00000000-0005-0000-0000-0000BCB50000}"/>
    <cellStyle name="Normal 26 2 3 19" xfId="35401" xr:uid="{00000000-0005-0000-0000-0000BDB50000}"/>
    <cellStyle name="Normal 26 2 3 2" xfId="159" xr:uid="{00000000-0005-0000-0000-0000BEB50000}"/>
    <cellStyle name="Normal 26 2 3 2 10" xfId="8575" xr:uid="{00000000-0005-0000-0000-0000BFB50000}"/>
    <cellStyle name="Normal 26 2 3 2 10 2" xfId="23724" xr:uid="{00000000-0005-0000-0000-0000C0B50000}"/>
    <cellStyle name="Normal 26 2 3 2 11" xfId="10258" xr:uid="{00000000-0005-0000-0000-0000C1B50000}"/>
    <cellStyle name="Normal 26 2 3 2 11 2" xfId="25407" xr:uid="{00000000-0005-0000-0000-0000C2B50000}"/>
    <cellStyle name="Normal 26 2 3 2 12" xfId="11942" xr:uid="{00000000-0005-0000-0000-0000C3B50000}"/>
    <cellStyle name="Normal 26 2 3 2 12 2" xfId="27091" xr:uid="{00000000-0005-0000-0000-0000C4B50000}"/>
    <cellStyle name="Normal 26 2 3 2 13" xfId="13625" xr:uid="{00000000-0005-0000-0000-0000C5B50000}"/>
    <cellStyle name="Normal 26 2 3 2 13 2" xfId="28774" xr:uid="{00000000-0005-0000-0000-0000C6B50000}"/>
    <cellStyle name="Normal 26 2 3 2 14" xfId="15308" xr:uid="{00000000-0005-0000-0000-0000C7B50000}"/>
    <cellStyle name="Normal 26 2 3 2 15" xfId="30457" xr:uid="{00000000-0005-0000-0000-0000C8B50000}"/>
    <cellStyle name="Normal 26 2 3 2 16" xfId="32140" xr:uid="{00000000-0005-0000-0000-0000C9B50000}"/>
    <cellStyle name="Normal 26 2 3 2 17" xfId="33823" xr:uid="{00000000-0005-0000-0000-0000CAB50000}"/>
    <cellStyle name="Normal 26 2 3 2 18" xfId="35506" xr:uid="{00000000-0005-0000-0000-0000CBB50000}"/>
    <cellStyle name="Normal 26 2 3 2 19" xfId="37189" xr:uid="{00000000-0005-0000-0000-0000CCB50000}"/>
    <cellStyle name="Normal 26 2 3 2 2" xfId="369" xr:uid="{00000000-0005-0000-0000-0000CDB50000}"/>
    <cellStyle name="Normal 26 2 3 2 2 10" xfId="10468" xr:uid="{00000000-0005-0000-0000-0000CEB50000}"/>
    <cellStyle name="Normal 26 2 3 2 2 10 2" xfId="25617" xr:uid="{00000000-0005-0000-0000-0000CFB50000}"/>
    <cellStyle name="Normal 26 2 3 2 2 11" xfId="12152" xr:uid="{00000000-0005-0000-0000-0000D0B50000}"/>
    <cellStyle name="Normal 26 2 3 2 2 11 2" xfId="27301" xr:uid="{00000000-0005-0000-0000-0000D1B50000}"/>
    <cellStyle name="Normal 26 2 3 2 2 12" xfId="13835" xr:uid="{00000000-0005-0000-0000-0000D2B50000}"/>
    <cellStyle name="Normal 26 2 3 2 2 12 2" xfId="28984" xr:uid="{00000000-0005-0000-0000-0000D3B50000}"/>
    <cellStyle name="Normal 26 2 3 2 2 13" xfId="15518" xr:uid="{00000000-0005-0000-0000-0000D4B50000}"/>
    <cellStyle name="Normal 26 2 3 2 2 14" xfId="30667" xr:uid="{00000000-0005-0000-0000-0000D5B50000}"/>
    <cellStyle name="Normal 26 2 3 2 2 15" xfId="32350" xr:uid="{00000000-0005-0000-0000-0000D6B50000}"/>
    <cellStyle name="Normal 26 2 3 2 2 16" xfId="34033" xr:uid="{00000000-0005-0000-0000-0000D7B50000}"/>
    <cellStyle name="Normal 26 2 3 2 2 17" xfId="35716" xr:uid="{00000000-0005-0000-0000-0000D8B50000}"/>
    <cellStyle name="Normal 26 2 3 2 2 18" xfId="37399" xr:uid="{00000000-0005-0000-0000-0000D9B50000}"/>
    <cellStyle name="Normal 26 2 3 2 2 19" xfId="39082" xr:uid="{00000000-0005-0000-0000-0000DAB50000}"/>
    <cellStyle name="Normal 26 2 3 2 2 2" xfId="789" xr:uid="{00000000-0005-0000-0000-0000DBB50000}"/>
    <cellStyle name="Normal 26 2 3 2 2 2 10" xfId="15938" xr:uid="{00000000-0005-0000-0000-0000DCB50000}"/>
    <cellStyle name="Normal 26 2 3 2 2 2 11" xfId="31087" xr:uid="{00000000-0005-0000-0000-0000DDB50000}"/>
    <cellStyle name="Normal 26 2 3 2 2 2 12" xfId="32770" xr:uid="{00000000-0005-0000-0000-0000DEB50000}"/>
    <cellStyle name="Normal 26 2 3 2 2 2 13" xfId="34453" xr:uid="{00000000-0005-0000-0000-0000DFB50000}"/>
    <cellStyle name="Normal 26 2 3 2 2 2 14" xfId="36136" xr:uid="{00000000-0005-0000-0000-0000E0B50000}"/>
    <cellStyle name="Normal 26 2 3 2 2 2 15" xfId="37819" xr:uid="{00000000-0005-0000-0000-0000E1B50000}"/>
    <cellStyle name="Normal 26 2 3 2 2 2 16" xfId="39502" xr:uid="{00000000-0005-0000-0000-0000E2B50000}"/>
    <cellStyle name="Normal 26 2 3 2 2 2 17" xfId="41185" xr:uid="{00000000-0005-0000-0000-0000E3B50000}"/>
    <cellStyle name="Normal 26 2 3 2 2 2 18" xfId="42868" xr:uid="{00000000-0005-0000-0000-0000E4B50000}"/>
    <cellStyle name="Normal 26 2 3 2 2 2 19" xfId="44551" xr:uid="{00000000-0005-0000-0000-0000E5B50000}"/>
    <cellStyle name="Normal 26 2 3 2 2 2 2" xfId="2472" xr:uid="{00000000-0005-0000-0000-0000E6B50000}"/>
    <cellStyle name="Normal 26 2 3 2 2 2 2 2" xfId="17621" xr:uid="{00000000-0005-0000-0000-0000E7B50000}"/>
    <cellStyle name="Normal 26 2 3 2 2 2 20" xfId="46234" xr:uid="{00000000-0005-0000-0000-0000E8B50000}"/>
    <cellStyle name="Normal 26 2 3 2 2 2 21" xfId="47917" xr:uid="{00000000-0005-0000-0000-0000E9B50000}"/>
    <cellStyle name="Normal 26 2 3 2 2 2 22" xfId="49600" xr:uid="{00000000-0005-0000-0000-0000EAB50000}"/>
    <cellStyle name="Normal 26 2 3 2 2 2 23" xfId="51283" xr:uid="{00000000-0005-0000-0000-0000EBB50000}"/>
    <cellStyle name="Normal 26 2 3 2 2 2 24" xfId="52966" xr:uid="{00000000-0005-0000-0000-0000ECB50000}"/>
    <cellStyle name="Normal 26 2 3 2 2 2 25" xfId="54649" xr:uid="{00000000-0005-0000-0000-0000EDB50000}"/>
    <cellStyle name="Normal 26 2 3 2 2 2 26" xfId="56332" xr:uid="{00000000-0005-0000-0000-0000EEB50000}"/>
    <cellStyle name="Normal 26 2 3 2 2 2 27" xfId="58015" xr:uid="{00000000-0005-0000-0000-0000EFB50000}"/>
    <cellStyle name="Normal 26 2 3 2 2 2 28" xfId="59698" xr:uid="{00000000-0005-0000-0000-0000F0B50000}"/>
    <cellStyle name="Normal 26 2 3 2 2 2 29" xfId="61381" xr:uid="{00000000-0005-0000-0000-0000F1B50000}"/>
    <cellStyle name="Normal 26 2 3 2 2 2 3" xfId="4156" xr:uid="{00000000-0005-0000-0000-0000F2B50000}"/>
    <cellStyle name="Normal 26 2 3 2 2 2 3 2" xfId="19305" xr:uid="{00000000-0005-0000-0000-0000F3B50000}"/>
    <cellStyle name="Normal 26 2 3 2 2 2 30" xfId="63064" xr:uid="{00000000-0005-0000-0000-0000F4B50000}"/>
    <cellStyle name="Normal 26 2 3 2 2 2 4" xfId="5839" xr:uid="{00000000-0005-0000-0000-0000F5B50000}"/>
    <cellStyle name="Normal 26 2 3 2 2 2 4 2" xfId="20988" xr:uid="{00000000-0005-0000-0000-0000F6B50000}"/>
    <cellStyle name="Normal 26 2 3 2 2 2 5" xfId="7522" xr:uid="{00000000-0005-0000-0000-0000F7B50000}"/>
    <cellStyle name="Normal 26 2 3 2 2 2 5 2" xfId="22671" xr:uid="{00000000-0005-0000-0000-0000F8B50000}"/>
    <cellStyle name="Normal 26 2 3 2 2 2 6" xfId="9205" xr:uid="{00000000-0005-0000-0000-0000F9B50000}"/>
    <cellStyle name="Normal 26 2 3 2 2 2 6 2" xfId="24354" xr:uid="{00000000-0005-0000-0000-0000FAB50000}"/>
    <cellStyle name="Normal 26 2 3 2 2 2 7" xfId="10888" xr:uid="{00000000-0005-0000-0000-0000FBB50000}"/>
    <cellStyle name="Normal 26 2 3 2 2 2 7 2" xfId="26037" xr:uid="{00000000-0005-0000-0000-0000FCB50000}"/>
    <cellStyle name="Normal 26 2 3 2 2 2 8" xfId="12572" xr:uid="{00000000-0005-0000-0000-0000FDB50000}"/>
    <cellStyle name="Normal 26 2 3 2 2 2 8 2" xfId="27721" xr:uid="{00000000-0005-0000-0000-0000FEB50000}"/>
    <cellStyle name="Normal 26 2 3 2 2 2 9" xfId="14255" xr:uid="{00000000-0005-0000-0000-0000FFB50000}"/>
    <cellStyle name="Normal 26 2 3 2 2 2 9 2" xfId="29404" xr:uid="{00000000-0005-0000-0000-000000B60000}"/>
    <cellStyle name="Normal 26 2 3 2 2 20" xfId="40765" xr:uid="{00000000-0005-0000-0000-000001B60000}"/>
    <cellStyle name="Normal 26 2 3 2 2 21" xfId="42448" xr:uid="{00000000-0005-0000-0000-000002B60000}"/>
    <cellStyle name="Normal 26 2 3 2 2 22" xfId="44131" xr:uid="{00000000-0005-0000-0000-000003B60000}"/>
    <cellStyle name="Normal 26 2 3 2 2 23" xfId="45814" xr:uid="{00000000-0005-0000-0000-000004B60000}"/>
    <cellStyle name="Normal 26 2 3 2 2 24" xfId="47497" xr:uid="{00000000-0005-0000-0000-000005B60000}"/>
    <cellStyle name="Normal 26 2 3 2 2 25" xfId="49180" xr:uid="{00000000-0005-0000-0000-000006B60000}"/>
    <cellStyle name="Normal 26 2 3 2 2 26" xfId="50863" xr:uid="{00000000-0005-0000-0000-000007B60000}"/>
    <cellStyle name="Normal 26 2 3 2 2 27" xfId="52546" xr:uid="{00000000-0005-0000-0000-000008B60000}"/>
    <cellStyle name="Normal 26 2 3 2 2 28" xfId="54229" xr:uid="{00000000-0005-0000-0000-000009B60000}"/>
    <cellStyle name="Normal 26 2 3 2 2 29" xfId="55912" xr:uid="{00000000-0005-0000-0000-00000AB60000}"/>
    <cellStyle name="Normal 26 2 3 2 2 3" xfId="1210" xr:uid="{00000000-0005-0000-0000-00000BB60000}"/>
    <cellStyle name="Normal 26 2 3 2 2 3 10" xfId="16359" xr:uid="{00000000-0005-0000-0000-00000CB60000}"/>
    <cellStyle name="Normal 26 2 3 2 2 3 11" xfId="31508" xr:uid="{00000000-0005-0000-0000-00000DB60000}"/>
    <cellStyle name="Normal 26 2 3 2 2 3 12" xfId="33191" xr:uid="{00000000-0005-0000-0000-00000EB60000}"/>
    <cellStyle name="Normal 26 2 3 2 2 3 13" xfId="34874" xr:uid="{00000000-0005-0000-0000-00000FB60000}"/>
    <cellStyle name="Normal 26 2 3 2 2 3 14" xfId="36557" xr:uid="{00000000-0005-0000-0000-000010B60000}"/>
    <cellStyle name="Normal 26 2 3 2 2 3 15" xfId="38240" xr:uid="{00000000-0005-0000-0000-000011B60000}"/>
    <cellStyle name="Normal 26 2 3 2 2 3 16" xfId="39923" xr:uid="{00000000-0005-0000-0000-000012B60000}"/>
    <cellStyle name="Normal 26 2 3 2 2 3 17" xfId="41606" xr:uid="{00000000-0005-0000-0000-000013B60000}"/>
    <cellStyle name="Normal 26 2 3 2 2 3 18" xfId="43289" xr:uid="{00000000-0005-0000-0000-000014B60000}"/>
    <cellStyle name="Normal 26 2 3 2 2 3 19" xfId="44972" xr:uid="{00000000-0005-0000-0000-000015B60000}"/>
    <cellStyle name="Normal 26 2 3 2 2 3 2" xfId="2893" xr:uid="{00000000-0005-0000-0000-000016B60000}"/>
    <cellStyle name="Normal 26 2 3 2 2 3 2 2" xfId="18042" xr:uid="{00000000-0005-0000-0000-000017B60000}"/>
    <cellStyle name="Normal 26 2 3 2 2 3 20" xfId="46655" xr:uid="{00000000-0005-0000-0000-000018B60000}"/>
    <cellStyle name="Normal 26 2 3 2 2 3 21" xfId="48338" xr:uid="{00000000-0005-0000-0000-000019B60000}"/>
    <cellStyle name="Normal 26 2 3 2 2 3 22" xfId="50021" xr:uid="{00000000-0005-0000-0000-00001AB60000}"/>
    <cellStyle name="Normal 26 2 3 2 2 3 23" xfId="51704" xr:uid="{00000000-0005-0000-0000-00001BB60000}"/>
    <cellStyle name="Normal 26 2 3 2 2 3 24" xfId="53387" xr:uid="{00000000-0005-0000-0000-00001CB60000}"/>
    <cellStyle name="Normal 26 2 3 2 2 3 25" xfId="55070" xr:uid="{00000000-0005-0000-0000-00001DB60000}"/>
    <cellStyle name="Normal 26 2 3 2 2 3 26" xfId="56753" xr:uid="{00000000-0005-0000-0000-00001EB60000}"/>
    <cellStyle name="Normal 26 2 3 2 2 3 27" xfId="58436" xr:uid="{00000000-0005-0000-0000-00001FB60000}"/>
    <cellStyle name="Normal 26 2 3 2 2 3 28" xfId="60119" xr:uid="{00000000-0005-0000-0000-000020B60000}"/>
    <cellStyle name="Normal 26 2 3 2 2 3 29" xfId="61802" xr:uid="{00000000-0005-0000-0000-000021B60000}"/>
    <cellStyle name="Normal 26 2 3 2 2 3 3" xfId="4577" xr:uid="{00000000-0005-0000-0000-000022B60000}"/>
    <cellStyle name="Normal 26 2 3 2 2 3 3 2" xfId="19726" xr:uid="{00000000-0005-0000-0000-000023B60000}"/>
    <cellStyle name="Normal 26 2 3 2 2 3 30" xfId="63485" xr:uid="{00000000-0005-0000-0000-000024B60000}"/>
    <cellStyle name="Normal 26 2 3 2 2 3 4" xfId="6260" xr:uid="{00000000-0005-0000-0000-000025B60000}"/>
    <cellStyle name="Normal 26 2 3 2 2 3 4 2" xfId="21409" xr:uid="{00000000-0005-0000-0000-000026B60000}"/>
    <cellStyle name="Normal 26 2 3 2 2 3 5" xfId="7943" xr:uid="{00000000-0005-0000-0000-000027B60000}"/>
    <cellStyle name="Normal 26 2 3 2 2 3 5 2" xfId="23092" xr:uid="{00000000-0005-0000-0000-000028B60000}"/>
    <cellStyle name="Normal 26 2 3 2 2 3 6" xfId="9626" xr:uid="{00000000-0005-0000-0000-000029B60000}"/>
    <cellStyle name="Normal 26 2 3 2 2 3 6 2" xfId="24775" xr:uid="{00000000-0005-0000-0000-00002AB60000}"/>
    <cellStyle name="Normal 26 2 3 2 2 3 7" xfId="11309" xr:uid="{00000000-0005-0000-0000-00002BB60000}"/>
    <cellStyle name="Normal 26 2 3 2 2 3 7 2" xfId="26458" xr:uid="{00000000-0005-0000-0000-00002CB60000}"/>
    <cellStyle name="Normal 26 2 3 2 2 3 8" xfId="12993" xr:uid="{00000000-0005-0000-0000-00002DB60000}"/>
    <cellStyle name="Normal 26 2 3 2 2 3 8 2" xfId="28142" xr:uid="{00000000-0005-0000-0000-00002EB60000}"/>
    <cellStyle name="Normal 26 2 3 2 2 3 9" xfId="14676" xr:uid="{00000000-0005-0000-0000-00002FB60000}"/>
    <cellStyle name="Normal 26 2 3 2 2 3 9 2" xfId="29825" xr:uid="{00000000-0005-0000-0000-000030B60000}"/>
    <cellStyle name="Normal 26 2 3 2 2 30" xfId="57595" xr:uid="{00000000-0005-0000-0000-000031B60000}"/>
    <cellStyle name="Normal 26 2 3 2 2 31" xfId="59278" xr:uid="{00000000-0005-0000-0000-000032B60000}"/>
    <cellStyle name="Normal 26 2 3 2 2 32" xfId="60961" xr:uid="{00000000-0005-0000-0000-000033B60000}"/>
    <cellStyle name="Normal 26 2 3 2 2 33" xfId="62644" xr:uid="{00000000-0005-0000-0000-000034B60000}"/>
    <cellStyle name="Normal 26 2 3 2 2 4" xfId="1631" xr:uid="{00000000-0005-0000-0000-000035B60000}"/>
    <cellStyle name="Normal 26 2 3 2 2 4 10" xfId="16780" xr:uid="{00000000-0005-0000-0000-000036B60000}"/>
    <cellStyle name="Normal 26 2 3 2 2 4 11" xfId="31929" xr:uid="{00000000-0005-0000-0000-000037B60000}"/>
    <cellStyle name="Normal 26 2 3 2 2 4 12" xfId="33612" xr:uid="{00000000-0005-0000-0000-000038B60000}"/>
    <cellStyle name="Normal 26 2 3 2 2 4 13" xfId="35295" xr:uid="{00000000-0005-0000-0000-000039B60000}"/>
    <cellStyle name="Normal 26 2 3 2 2 4 14" xfId="36978" xr:uid="{00000000-0005-0000-0000-00003AB60000}"/>
    <cellStyle name="Normal 26 2 3 2 2 4 15" xfId="38661" xr:uid="{00000000-0005-0000-0000-00003BB60000}"/>
    <cellStyle name="Normal 26 2 3 2 2 4 16" xfId="40344" xr:uid="{00000000-0005-0000-0000-00003CB60000}"/>
    <cellStyle name="Normal 26 2 3 2 2 4 17" xfId="42027" xr:uid="{00000000-0005-0000-0000-00003DB60000}"/>
    <cellStyle name="Normal 26 2 3 2 2 4 18" xfId="43710" xr:uid="{00000000-0005-0000-0000-00003EB60000}"/>
    <cellStyle name="Normal 26 2 3 2 2 4 19" xfId="45393" xr:uid="{00000000-0005-0000-0000-00003FB60000}"/>
    <cellStyle name="Normal 26 2 3 2 2 4 2" xfId="3314" xr:uid="{00000000-0005-0000-0000-000040B60000}"/>
    <cellStyle name="Normal 26 2 3 2 2 4 2 2" xfId="18463" xr:uid="{00000000-0005-0000-0000-000041B60000}"/>
    <cellStyle name="Normal 26 2 3 2 2 4 20" xfId="47076" xr:uid="{00000000-0005-0000-0000-000042B60000}"/>
    <cellStyle name="Normal 26 2 3 2 2 4 21" xfId="48759" xr:uid="{00000000-0005-0000-0000-000043B60000}"/>
    <cellStyle name="Normal 26 2 3 2 2 4 22" xfId="50442" xr:uid="{00000000-0005-0000-0000-000044B60000}"/>
    <cellStyle name="Normal 26 2 3 2 2 4 23" xfId="52125" xr:uid="{00000000-0005-0000-0000-000045B60000}"/>
    <cellStyle name="Normal 26 2 3 2 2 4 24" xfId="53808" xr:uid="{00000000-0005-0000-0000-000046B60000}"/>
    <cellStyle name="Normal 26 2 3 2 2 4 25" xfId="55491" xr:uid="{00000000-0005-0000-0000-000047B60000}"/>
    <cellStyle name="Normal 26 2 3 2 2 4 26" xfId="57174" xr:uid="{00000000-0005-0000-0000-000048B60000}"/>
    <cellStyle name="Normal 26 2 3 2 2 4 27" xfId="58857" xr:uid="{00000000-0005-0000-0000-000049B60000}"/>
    <cellStyle name="Normal 26 2 3 2 2 4 28" xfId="60540" xr:uid="{00000000-0005-0000-0000-00004AB60000}"/>
    <cellStyle name="Normal 26 2 3 2 2 4 29" xfId="62223" xr:uid="{00000000-0005-0000-0000-00004BB60000}"/>
    <cellStyle name="Normal 26 2 3 2 2 4 3" xfId="4998" xr:uid="{00000000-0005-0000-0000-00004CB60000}"/>
    <cellStyle name="Normal 26 2 3 2 2 4 3 2" xfId="20147" xr:uid="{00000000-0005-0000-0000-00004DB60000}"/>
    <cellStyle name="Normal 26 2 3 2 2 4 30" xfId="63906" xr:uid="{00000000-0005-0000-0000-00004EB60000}"/>
    <cellStyle name="Normal 26 2 3 2 2 4 4" xfId="6681" xr:uid="{00000000-0005-0000-0000-00004FB60000}"/>
    <cellStyle name="Normal 26 2 3 2 2 4 4 2" xfId="21830" xr:uid="{00000000-0005-0000-0000-000050B60000}"/>
    <cellStyle name="Normal 26 2 3 2 2 4 5" xfId="8364" xr:uid="{00000000-0005-0000-0000-000051B60000}"/>
    <cellStyle name="Normal 26 2 3 2 2 4 5 2" xfId="23513" xr:uid="{00000000-0005-0000-0000-000052B60000}"/>
    <cellStyle name="Normal 26 2 3 2 2 4 6" xfId="10047" xr:uid="{00000000-0005-0000-0000-000053B60000}"/>
    <cellStyle name="Normal 26 2 3 2 2 4 6 2" xfId="25196" xr:uid="{00000000-0005-0000-0000-000054B60000}"/>
    <cellStyle name="Normal 26 2 3 2 2 4 7" xfId="11730" xr:uid="{00000000-0005-0000-0000-000055B60000}"/>
    <cellStyle name="Normal 26 2 3 2 2 4 7 2" xfId="26879" xr:uid="{00000000-0005-0000-0000-000056B60000}"/>
    <cellStyle name="Normal 26 2 3 2 2 4 8" xfId="13414" xr:uid="{00000000-0005-0000-0000-000057B60000}"/>
    <cellStyle name="Normal 26 2 3 2 2 4 8 2" xfId="28563" xr:uid="{00000000-0005-0000-0000-000058B60000}"/>
    <cellStyle name="Normal 26 2 3 2 2 4 9" xfId="15097" xr:uid="{00000000-0005-0000-0000-000059B60000}"/>
    <cellStyle name="Normal 26 2 3 2 2 4 9 2" xfId="30246" xr:uid="{00000000-0005-0000-0000-00005AB60000}"/>
    <cellStyle name="Normal 26 2 3 2 2 5" xfId="2052" xr:uid="{00000000-0005-0000-0000-00005BB60000}"/>
    <cellStyle name="Normal 26 2 3 2 2 5 2" xfId="17201" xr:uid="{00000000-0005-0000-0000-00005CB60000}"/>
    <cellStyle name="Normal 26 2 3 2 2 6" xfId="3736" xr:uid="{00000000-0005-0000-0000-00005DB60000}"/>
    <cellStyle name="Normal 26 2 3 2 2 6 2" xfId="18885" xr:uid="{00000000-0005-0000-0000-00005EB60000}"/>
    <cellStyle name="Normal 26 2 3 2 2 7" xfId="5419" xr:uid="{00000000-0005-0000-0000-00005FB60000}"/>
    <cellStyle name="Normal 26 2 3 2 2 7 2" xfId="20568" xr:uid="{00000000-0005-0000-0000-000060B60000}"/>
    <cellStyle name="Normal 26 2 3 2 2 8" xfId="7102" xr:uid="{00000000-0005-0000-0000-000061B60000}"/>
    <cellStyle name="Normal 26 2 3 2 2 8 2" xfId="22251" xr:uid="{00000000-0005-0000-0000-000062B60000}"/>
    <cellStyle name="Normal 26 2 3 2 2 9" xfId="8785" xr:uid="{00000000-0005-0000-0000-000063B60000}"/>
    <cellStyle name="Normal 26 2 3 2 2 9 2" xfId="23934" xr:uid="{00000000-0005-0000-0000-000064B60000}"/>
    <cellStyle name="Normal 26 2 3 2 20" xfId="38872" xr:uid="{00000000-0005-0000-0000-000065B60000}"/>
    <cellStyle name="Normal 26 2 3 2 21" xfId="40555" xr:uid="{00000000-0005-0000-0000-000066B60000}"/>
    <cellStyle name="Normal 26 2 3 2 22" xfId="42238" xr:uid="{00000000-0005-0000-0000-000067B60000}"/>
    <cellStyle name="Normal 26 2 3 2 23" xfId="43921" xr:uid="{00000000-0005-0000-0000-000068B60000}"/>
    <cellStyle name="Normal 26 2 3 2 24" xfId="45604" xr:uid="{00000000-0005-0000-0000-000069B60000}"/>
    <cellStyle name="Normal 26 2 3 2 25" xfId="47287" xr:uid="{00000000-0005-0000-0000-00006AB60000}"/>
    <cellStyle name="Normal 26 2 3 2 26" xfId="48970" xr:uid="{00000000-0005-0000-0000-00006BB60000}"/>
    <cellStyle name="Normal 26 2 3 2 27" xfId="50653" xr:uid="{00000000-0005-0000-0000-00006CB60000}"/>
    <cellStyle name="Normal 26 2 3 2 28" xfId="52336" xr:uid="{00000000-0005-0000-0000-00006DB60000}"/>
    <cellStyle name="Normal 26 2 3 2 29" xfId="54019" xr:uid="{00000000-0005-0000-0000-00006EB60000}"/>
    <cellStyle name="Normal 26 2 3 2 3" xfId="579" xr:uid="{00000000-0005-0000-0000-00006FB60000}"/>
    <cellStyle name="Normal 26 2 3 2 3 10" xfId="15728" xr:uid="{00000000-0005-0000-0000-000070B60000}"/>
    <cellStyle name="Normal 26 2 3 2 3 11" xfId="30877" xr:uid="{00000000-0005-0000-0000-000071B60000}"/>
    <cellStyle name="Normal 26 2 3 2 3 12" xfId="32560" xr:uid="{00000000-0005-0000-0000-000072B60000}"/>
    <cellStyle name="Normal 26 2 3 2 3 13" xfId="34243" xr:uid="{00000000-0005-0000-0000-000073B60000}"/>
    <cellStyle name="Normal 26 2 3 2 3 14" xfId="35926" xr:uid="{00000000-0005-0000-0000-000074B60000}"/>
    <cellStyle name="Normal 26 2 3 2 3 15" xfId="37609" xr:uid="{00000000-0005-0000-0000-000075B60000}"/>
    <cellStyle name="Normal 26 2 3 2 3 16" xfId="39292" xr:uid="{00000000-0005-0000-0000-000076B60000}"/>
    <cellStyle name="Normal 26 2 3 2 3 17" xfId="40975" xr:uid="{00000000-0005-0000-0000-000077B60000}"/>
    <cellStyle name="Normal 26 2 3 2 3 18" xfId="42658" xr:uid="{00000000-0005-0000-0000-000078B60000}"/>
    <cellStyle name="Normal 26 2 3 2 3 19" xfId="44341" xr:uid="{00000000-0005-0000-0000-000079B60000}"/>
    <cellStyle name="Normal 26 2 3 2 3 2" xfId="2262" xr:uid="{00000000-0005-0000-0000-00007AB60000}"/>
    <cellStyle name="Normal 26 2 3 2 3 2 2" xfId="17411" xr:uid="{00000000-0005-0000-0000-00007BB60000}"/>
    <cellStyle name="Normal 26 2 3 2 3 20" xfId="46024" xr:uid="{00000000-0005-0000-0000-00007CB60000}"/>
    <cellStyle name="Normal 26 2 3 2 3 21" xfId="47707" xr:uid="{00000000-0005-0000-0000-00007DB60000}"/>
    <cellStyle name="Normal 26 2 3 2 3 22" xfId="49390" xr:uid="{00000000-0005-0000-0000-00007EB60000}"/>
    <cellStyle name="Normal 26 2 3 2 3 23" xfId="51073" xr:uid="{00000000-0005-0000-0000-00007FB60000}"/>
    <cellStyle name="Normal 26 2 3 2 3 24" xfId="52756" xr:uid="{00000000-0005-0000-0000-000080B60000}"/>
    <cellStyle name="Normal 26 2 3 2 3 25" xfId="54439" xr:uid="{00000000-0005-0000-0000-000081B60000}"/>
    <cellStyle name="Normal 26 2 3 2 3 26" xfId="56122" xr:uid="{00000000-0005-0000-0000-000082B60000}"/>
    <cellStyle name="Normal 26 2 3 2 3 27" xfId="57805" xr:uid="{00000000-0005-0000-0000-000083B60000}"/>
    <cellStyle name="Normal 26 2 3 2 3 28" xfId="59488" xr:uid="{00000000-0005-0000-0000-000084B60000}"/>
    <cellStyle name="Normal 26 2 3 2 3 29" xfId="61171" xr:uid="{00000000-0005-0000-0000-000085B60000}"/>
    <cellStyle name="Normal 26 2 3 2 3 3" xfId="3946" xr:uid="{00000000-0005-0000-0000-000086B60000}"/>
    <cellStyle name="Normal 26 2 3 2 3 3 2" xfId="19095" xr:uid="{00000000-0005-0000-0000-000087B60000}"/>
    <cellStyle name="Normal 26 2 3 2 3 30" xfId="62854" xr:uid="{00000000-0005-0000-0000-000088B60000}"/>
    <cellStyle name="Normal 26 2 3 2 3 4" xfId="5629" xr:uid="{00000000-0005-0000-0000-000089B60000}"/>
    <cellStyle name="Normal 26 2 3 2 3 4 2" xfId="20778" xr:uid="{00000000-0005-0000-0000-00008AB60000}"/>
    <cellStyle name="Normal 26 2 3 2 3 5" xfId="7312" xr:uid="{00000000-0005-0000-0000-00008BB60000}"/>
    <cellStyle name="Normal 26 2 3 2 3 5 2" xfId="22461" xr:uid="{00000000-0005-0000-0000-00008CB60000}"/>
    <cellStyle name="Normal 26 2 3 2 3 6" xfId="8995" xr:uid="{00000000-0005-0000-0000-00008DB60000}"/>
    <cellStyle name="Normal 26 2 3 2 3 6 2" xfId="24144" xr:uid="{00000000-0005-0000-0000-00008EB60000}"/>
    <cellStyle name="Normal 26 2 3 2 3 7" xfId="10678" xr:uid="{00000000-0005-0000-0000-00008FB60000}"/>
    <cellStyle name="Normal 26 2 3 2 3 7 2" xfId="25827" xr:uid="{00000000-0005-0000-0000-000090B60000}"/>
    <cellStyle name="Normal 26 2 3 2 3 8" xfId="12362" xr:uid="{00000000-0005-0000-0000-000091B60000}"/>
    <cellStyle name="Normal 26 2 3 2 3 8 2" xfId="27511" xr:uid="{00000000-0005-0000-0000-000092B60000}"/>
    <cellStyle name="Normal 26 2 3 2 3 9" xfId="14045" xr:uid="{00000000-0005-0000-0000-000093B60000}"/>
    <cellStyle name="Normal 26 2 3 2 3 9 2" xfId="29194" xr:uid="{00000000-0005-0000-0000-000094B60000}"/>
    <cellStyle name="Normal 26 2 3 2 30" xfId="55702" xr:uid="{00000000-0005-0000-0000-000095B60000}"/>
    <cellStyle name="Normal 26 2 3 2 31" xfId="57385" xr:uid="{00000000-0005-0000-0000-000096B60000}"/>
    <cellStyle name="Normal 26 2 3 2 32" xfId="59068" xr:uid="{00000000-0005-0000-0000-000097B60000}"/>
    <cellStyle name="Normal 26 2 3 2 33" xfId="60751" xr:uid="{00000000-0005-0000-0000-000098B60000}"/>
    <cellStyle name="Normal 26 2 3 2 34" xfId="62434" xr:uid="{00000000-0005-0000-0000-000099B60000}"/>
    <cellStyle name="Normal 26 2 3 2 4" xfId="1000" xr:uid="{00000000-0005-0000-0000-00009AB60000}"/>
    <cellStyle name="Normal 26 2 3 2 4 10" xfId="16149" xr:uid="{00000000-0005-0000-0000-00009BB60000}"/>
    <cellStyle name="Normal 26 2 3 2 4 11" xfId="31298" xr:uid="{00000000-0005-0000-0000-00009CB60000}"/>
    <cellStyle name="Normal 26 2 3 2 4 12" xfId="32981" xr:uid="{00000000-0005-0000-0000-00009DB60000}"/>
    <cellStyle name="Normal 26 2 3 2 4 13" xfId="34664" xr:uid="{00000000-0005-0000-0000-00009EB60000}"/>
    <cellStyle name="Normal 26 2 3 2 4 14" xfId="36347" xr:uid="{00000000-0005-0000-0000-00009FB60000}"/>
    <cellStyle name="Normal 26 2 3 2 4 15" xfId="38030" xr:uid="{00000000-0005-0000-0000-0000A0B60000}"/>
    <cellStyle name="Normal 26 2 3 2 4 16" xfId="39713" xr:uid="{00000000-0005-0000-0000-0000A1B60000}"/>
    <cellStyle name="Normal 26 2 3 2 4 17" xfId="41396" xr:uid="{00000000-0005-0000-0000-0000A2B60000}"/>
    <cellStyle name="Normal 26 2 3 2 4 18" xfId="43079" xr:uid="{00000000-0005-0000-0000-0000A3B60000}"/>
    <cellStyle name="Normal 26 2 3 2 4 19" xfId="44762" xr:uid="{00000000-0005-0000-0000-0000A4B60000}"/>
    <cellStyle name="Normal 26 2 3 2 4 2" xfId="2683" xr:uid="{00000000-0005-0000-0000-0000A5B60000}"/>
    <cellStyle name="Normal 26 2 3 2 4 2 2" xfId="17832" xr:uid="{00000000-0005-0000-0000-0000A6B60000}"/>
    <cellStyle name="Normal 26 2 3 2 4 20" xfId="46445" xr:uid="{00000000-0005-0000-0000-0000A7B60000}"/>
    <cellStyle name="Normal 26 2 3 2 4 21" xfId="48128" xr:uid="{00000000-0005-0000-0000-0000A8B60000}"/>
    <cellStyle name="Normal 26 2 3 2 4 22" xfId="49811" xr:uid="{00000000-0005-0000-0000-0000A9B60000}"/>
    <cellStyle name="Normal 26 2 3 2 4 23" xfId="51494" xr:uid="{00000000-0005-0000-0000-0000AAB60000}"/>
    <cellStyle name="Normal 26 2 3 2 4 24" xfId="53177" xr:uid="{00000000-0005-0000-0000-0000ABB60000}"/>
    <cellStyle name="Normal 26 2 3 2 4 25" xfId="54860" xr:uid="{00000000-0005-0000-0000-0000ACB60000}"/>
    <cellStyle name="Normal 26 2 3 2 4 26" xfId="56543" xr:uid="{00000000-0005-0000-0000-0000ADB60000}"/>
    <cellStyle name="Normal 26 2 3 2 4 27" xfId="58226" xr:uid="{00000000-0005-0000-0000-0000AEB60000}"/>
    <cellStyle name="Normal 26 2 3 2 4 28" xfId="59909" xr:uid="{00000000-0005-0000-0000-0000AFB60000}"/>
    <cellStyle name="Normal 26 2 3 2 4 29" xfId="61592" xr:uid="{00000000-0005-0000-0000-0000B0B60000}"/>
    <cellStyle name="Normal 26 2 3 2 4 3" xfId="4367" xr:uid="{00000000-0005-0000-0000-0000B1B60000}"/>
    <cellStyle name="Normal 26 2 3 2 4 3 2" xfId="19516" xr:uid="{00000000-0005-0000-0000-0000B2B60000}"/>
    <cellStyle name="Normal 26 2 3 2 4 30" xfId="63275" xr:uid="{00000000-0005-0000-0000-0000B3B60000}"/>
    <cellStyle name="Normal 26 2 3 2 4 4" xfId="6050" xr:uid="{00000000-0005-0000-0000-0000B4B60000}"/>
    <cellStyle name="Normal 26 2 3 2 4 4 2" xfId="21199" xr:uid="{00000000-0005-0000-0000-0000B5B60000}"/>
    <cellStyle name="Normal 26 2 3 2 4 5" xfId="7733" xr:uid="{00000000-0005-0000-0000-0000B6B60000}"/>
    <cellStyle name="Normal 26 2 3 2 4 5 2" xfId="22882" xr:uid="{00000000-0005-0000-0000-0000B7B60000}"/>
    <cellStyle name="Normal 26 2 3 2 4 6" xfId="9416" xr:uid="{00000000-0005-0000-0000-0000B8B60000}"/>
    <cellStyle name="Normal 26 2 3 2 4 6 2" xfId="24565" xr:uid="{00000000-0005-0000-0000-0000B9B60000}"/>
    <cellStyle name="Normal 26 2 3 2 4 7" xfId="11099" xr:uid="{00000000-0005-0000-0000-0000BAB60000}"/>
    <cellStyle name="Normal 26 2 3 2 4 7 2" xfId="26248" xr:uid="{00000000-0005-0000-0000-0000BBB60000}"/>
    <cellStyle name="Normal 26 2 3 2 4 8" xfId="12783" xr:uid="{00000000-0005-0000-0000-0000BCB60000}"/>
    <cellStyle name="Normal 26 2 3 2 4 8 2" xfId="27932" xr:uid="{00000000-0005-0000-0000-0000BDB60000}"/>
    <cellStyle name="Normal 26 2 3 2 4 9" xfId="14466" xr:uid="{00000000-0005-0000-0000-0000BEB60000}"/>
    <cellStyle name="Normal 26 2 3 2 4 9 2" xfId="29615" xr:uid="{00000000-0005-0000-0000-0000BFB60000}"/>
    <cellStyle name="Normal 26 2 3 2 5" xfId="1421" xr:uid="{00000000-0005-0000-0000-0000C0B60000}"/>
    <cellStyle name="Normal 26 2 3 2 5 10" xfId="16570" xr:uid="{00000000-0005-0000-0000-0000C1B60000}"/>
    <cellStyle name="Normal 26 2 3 2 5 11" xfId="31719" xr:uid="{00000000-0005-0000-0000-0000C2B60000}"/>
    <cellStyle name="Normal 26 2 3 2 5 12" xfId="33402" xr:uid="{00000000-0005-0000-0000-0000C3B60000}"/>
    <cellStyle name="Normal 26 2 3 2 5 13" xfId="35085" xr:uid="{00000000-0005-0000-0000-0000C4B60000}"/>
    <cellStyle name="Normal 26 2 3 2 5 14" xfId="36768" xr:uid="{00000000-0005-0000-0000-0000C5B60000}"/>
    <cellStyle name="Normal 26 2 3 2 5 15" xfId="38451" xr:uid="{00000000-0005-0000-0000-0000C6B60000}"/>
    <cellStyle name="Normal 26 2 3 2 5 16" xfId="40134" xr:uid="{00000000-0005-0000-0000-0000C7B60000}"/>
    <cellStyle name="Normal 26 2 3 2 5 17" xfId="41817" xr:uid="{00000000-0005-0000-0000-0000C8B60000}"/>
    <cellStyle name="Normal 26 2 3 2 5 18" xfId="43500" xr:uid="{00000000-0005-0000-0000-0000C9B60000}"/>
    <cellStyle name="Normal 26 2 3 2 5 19" xfId="45183" xr:uid="{00000000-0005-0000-0000-0000CAB60000}"/>
    <cellStyle name="Normal 26 2 3 2 5 2" xfId="3104" xr:uid="{00000000-0005-0000-0000-0000CBB60000}"/>
    <cellStyle name="Normal 26 2 3 2 5 2 2" xfId="18253" xr:uid="{00000000-0005-0000-0000-0000CCB60000}"/>
    <cellStyle name="Normal 26 2 3 2 5 20" xfId="46866" xr:uid="{00000000-0005-0000-0000-0000CDB60000}"/>
    <cellStyle name="Normal 26 2 3 2 5 21" xfId="48549" xr:uid="{00000000-0005-0000-0000-0000CEB60000}"/>
    <cellStyle name="Normal 26 2 3 2 5 22" xfId="50232" xr:uid="{00000000-0005-0000-0000-0000CFB60000}"/>
    <cellStyle name="Normal 26 2 3 2 5 23" xfId="51915" xr:uid="{00000000-0005-0000-0000-0000D0B60000}"/>
    <cellStyle name="Normal 26 2 3 2 5 24" xfId="53598" xr:uid="{00000000-0005-0000-0000-0000D1B60000}"/>
    <cellStyle name="Normal 26 2 3 2 5 25" xfId="55281" xr:uid="{00000000-0005-0000-0000-0000D2B60000}"/>
    <cellStyle name="Normal 26 2 3 2 5 26" xfId="56964" xr:uid="{00000000-0005-0000-0000-0000D3B60000}"/>
    <cellStyle name="Normal 26 2 3 2 5 27" xfId="58647" xr:uid="{00000000-0005-0000-0000-0000D4B60000}"/>
    <cellStyle name="Normal 26 2 3 2 5 28" xfId="60330" xr:uid="{00000000-0005-0000-0000-0000D5B60000}"/>
    <cellStyle name="Normal 26 2 3 2 5 29" xfId="62013" xr:uid="{00000000-0005-0000-0000-0000D6B60000}"/>
    <cellStyle name="Normal 26 2 3 2 5 3" xfId="4788" xr:uid="{00000000-0005-0000-0000-0000D7B60000}"/>
    <cellStyle name="Normal 26 2 3 2 5 3 2" xfId="19937" xr:uid="{00000000-0005-0000-0000-0000D8B60000}"/>
    <cellStyle name="Normal 26 2 3 2 5 30" xfId="63696" xr:uid="{00000000-0005-0000-0000-0000D9B60000}"/>
    <cellStyle name="Normal 26 2 3 2 5 4" xfId="6471" xr:uid="{00000000-0005-0000-0000-0000DAB60000}"/>
    <cellStyle name="Normal 26 2 3 2 5 4 2" xfId="21620" xr:uid="{00000000-0005-0000-0000-0000DBB60000}"/>
    <cellStyle name="Normal 26 2 3 2 5 5" xfId="8154" xr:uid="{00000000-0005-0000-0000-0000DCB60000}"/>
    <cellStyle name="Normal 26 2 3 2 5 5 2" xfId="23303" xr:uid="{00000000-0005-0000-0000-0000DDB60000}"/>
    <cellStyle name="Normal 26 2 3 2 5 6" xfId="9837" xr:uid="{00000000-0005-0000-0000-0000DEB60000}"/>
    <cellStyle name="Normal 26 2 3 2 5 6 2" xfId="24986" xr:uid="{00000000-0005-0000-0000-0000DFB60000}"/>
    <cellStyle name="Normal 26 2 3 2 5 7" xfId="11520" xr:uid="{00000000-0005-0000-0000-0000E0B60000}"/>
    <cellStyle name="Normal 26 2 3 2 5 7 2" xfId="26669" xr:uid="{00000000-0005-0000-0000-0000E1B60000}"/>
    <cellStyle name="Normal 26 2 3 2 5 8" xfId="13204" xr:uid="{00000000-0005-0000-0000-0000E2B60000}"/>
    <cellStyle name="Normal 26 2 3 2 5 8 2" xfId="28353" xr:uid="{00000000-0005-0000-0000-0000E3B60000}"/>
    <cellStyle name="Normal 26 2 3 2 5 9" xfId="14887" xr:uid="{00000000-0005-0000-0000-0000E4B60000}"/>
    <cellStyle name="Normal 26 2 3 2 5 9 2" xfId="30036" xr:uid="{00000000-0005-0000-0000-0000E5B60000}"/>
    <cellStyle name="Normal 26 2 3 2 6" xfId="1842" xr:uid="{00000000-0005-0000-0000-0000E6B60000}"/>
    <cellStyle name="Normal 26 2 3 2 6 2" xfId="16991" xr:uid="{00000000-0005-0000-0000-0000E7B60000}"/>
    <cellStyle name="Normal 26 2 3 2 7" xfId="3526" xr:uid="{00000000-0005-0000-0000-0000E8B60000}"/>
    <cellStyle name="Normal 26 2 3 2 7 2" xfId="18675" xr:uid="{00000000-0005-0000-0000-0000E9B60000}"/>
    <cellStyle name="Normal 26 2 3 2 8" xfId="5209" xr:uid="{00000000-0005-0000-0000-0000EAB60000}"/>
    <cellStyle name="Normal 26 2 3 2 8 2" xfId="20358" xr:uid="{00000000-0005-0000-0000-0000EBB60000}"/>
    <cellStyle name="Normal 26 2 3 2 9" xfId="6892" xr:uid="{00000000-0005-0000-0000-0000ECB60000}"/>
    <cellStyle name="Normal 26 2 3 2 9 2" xfId="22041" xr:uid="{00000000-0005-0000-0000-0000EDB60000}"/>
    <cellStyle name="Normal 26 2 3 20" xfId="37084" xr:uid="{00000000-0005-0000-0000-0000EEB60000}"/>
    <cellStyle name="Normal 26 2 3 21" xfId="38767" xr:uid="{00000000-0005-0000-0000-0000EFB60000}"/>
    <cellStyle name="Normal 26 2 3 22" xfId="40450" xr:uid="{00000000-0005-0000-0000-0000F0B60000}"/>
    <cellStyle name="Normal 26 2 3 23" xfId="42133" xr:uid="{00000000-0005-0000-0000-0000F1B60000}"/>
    <cellStyle name="Normal 26 2 3 24" xfId="43816" xr:uid="{00000000-0005-0000-0000-0000F2B60000}"/>
    <cellStyle name="Normal 26 2 3 25" xfId="45499" xr:uid="{00000000-0005-0000-0000-0000F3B60000}"/>
    <cellStyle name="Normal 26 2 3 26" xfId="47182" xr:uid="{00000000-0005-0000-0000-0000F4B60000}"/>
    <cellStyle name="Normal 26 2 3 27" xfId="48865" xr:uid="{00000000-0005-0000-0000-0000F5B60000}"/>
    <cellStyle name="Normal 26 2 3 28" xfId="50548" xr:uid="{00000000-0005-0000-0000-0000F6B60000}"/>
    <cellStyle name="Normal 26 2 3 29" xfId="52231" xr:uid="{00000000-0005-0000-0000-0000F7B60000}"/>
    <cellStyle name="Normal 26 2 3 3" xfId="264" xr:uid="{00000000-0005-0000-0000-0000F8B60000}"/>
    <cellStyle name="Normal 26 2 3 3 10" xfId="10363" xr:uid="{00000000-0005-0000-0000-0000F9B60000}"/>
    <cellStyle name="Normal 26 2 3 3 10 2" xfId="25512" xr:uid="{00000000-0005-0000-0000-0000FAB60000}"/>
    <cellStyle name="Normal 26 2 3 3 11" xfId="12047" xr:uid="{00000000-0005-0000-0000-0000FBB60000}"/>
    <cellStyle name="Normal 26 2 3 3 11 2" xfId="27196" xr:uid="{00000000-0005-0000-0000-0000FCB60000}"/>
    <cellStyle name="Normal 26 2 3 3 12" xfId="13730" xr:uid="{00000000-0005-0000-0000-0000FDB60000}"/>
    <cellStyle name="Normal 26 2 3 3 12 2" xfId="28879" xr:uid="{00000000-0005-0000-0000-0000FEB60000}"/>
    <cellStyle name="Normal 26 2 3 3 13" xfId="15413" xr:uid="{00000000-0005-0000-0000-0000FFB60000}"/>
    <cellStyle name="Normal 26 2 3 3 14" xfId="30562" xr:uid="{00000000-0005-0000-0000-000000B70000}"/>
    <cellStyle name="Normal 26 2 3 3 15" xfId="32245" xr:uid="{00000000-0005-0000-0000-000001B70000}"/>
    <cellStyle name="Normal 26 2 3 3 16" xfId="33928" xr:uid="{00000000-0005-0000-0000-000002B70000}"/>
    <cellStyle name="Normal 26 2 3 3 17" xfId="35611" xr:uid="{00000000-0005-0000-0000-000003B70000}"/>
    <cellStyle name="Normal 26 2 3 3 18" xfId="37294" xr:uid="{00000000-0005-0000-0000-000004B70000}"/>
    <cellStyle name="Normal 26 2 3 3 19" xfId="38977" xr:uid="{00000000-0005-0000-0000-000005B70000}"/>
    <cellStyle name="Normal 26 2 3 3 2" xfId="684" xr:uid="{00000000-0005-0000-0000-000006B70000}"/>
    <cellStyle name="Normal 26 2 3 3 2 10" xfId="15833" xr:uid="{00000000-0005-0000-0000-000007B70000}"/>
    <cellStyle name="Normal 26 2 3 3 2 11" xfId="30982" xr:uid="{00000000-0005-0000-0000-000008B70000}"/>
    <cellStyle name="Normal 26 2 3 3 2 12" xfId="32665" xr:uid="{00000000-0005-0000-0000-000009B70000}"/>
    <cellStyle name="Normal 26 2 3 3 2 13" xfId="34348" xr:uid="{00000000-0005-0000-0000-00000AB70000}"/>
    <cellStyle name="Normal 26 2 3 3 2 14" xfId="36031" xr:uid="{00000000-0005-0000-0000-00000BB70000}"/>
    <cellStyle name="Normal 26 2 3 3 2 15" xfId="37714" xr:uid="{00000000-0005-0000-0000-00000CB70000}"/>
    <cellStyle name="Normal 26 2 3 3 2 16" xfId="39397" xr:uid="{00000000-0005-0000-0000-00000DB70000}"/>
    <cellStyle name="Normal 26 2 3 3 2 17" xfId="41080" xr:uid="{00000000-0005-0000-0000-00000EB70000}"/>
    <cellStyle name="Normal 26 2 3 3 2 18" xfId="42763" xr:uid="{00000000-0005-0000-0000-00000FB70000}"/>
    <cellStyle name="Normal 26 2 3 3 2 19" xfId="44446" xr:uid="{00000000-0005-0000-0000-000010B70000}"/>
    <cellStyle name="Normal 26 2 3 3 2 2" xfId="2367" xr:uid="{00000000-0005-0000-0000-000011B70000}"/>
    <cellStyle name="Normal 26 2 3 3 2 2 2" xfId="17516" xr:uid="{00000000-0005-0000-0000-000012B70000}"/>
    <cellStyle name="Normal 26 2 3 3 2 20" xfId="46129" xr:uid="{00000000-0005-0000-0000-000013B70000}"/>
    <cellStyle name="Normal 26 2 3 3 2 21" xfId="47812" xr:uid="{00000000-0005-0000-0000-000014B70000}"/>
    <cellStyle name="Normal 26 2 3 3 2 22" xfId="49495" xr:uid="{00000000-0005-0000-0000-000015B70000}"/>
    <cellStyle name="Normal 26 2 3 3 2 23" xfId="51178" xr:uid="{00000000-0005-0000-0000-000016B70000}"/>
    <cellStyle name="Normal 26 2 3 3 2 24" xfId="52861" xr:uid="{00000000-0005-0000-0000-000017B70000}"/>
    <cellStyle name="Normal 26 2 3 3 2 25" xfId="54544" xr:uid="{00000000-0005-0000-0000-000018B70000}"/>
    <cellStyle name="Normal 26 2 3 3 2 26" xfId="56227" xr:uid="{00000000-0005-0000-0000-000019B70000}"/>
    <cellStyle name="Normal 26 2 3 3 2 27" xfId="57910" xr:uid="{00000000-0005-0000-0000-00001AB70000}"/>
    <cellStyle name="Normal 26 2 3 3 2 28" xfId="59593" xr:uid="{00000000-0005-0000-0000-00001BB70000}"/>
    <cellStyle name="Normal 26 2 3 3 2 29" xfId="61276" xr:uid="{00000000-0005-0000-0000-00001CB70000}"/>
    <cellStyle name="Normal 26 2 3 3 2 3" xfId="4051" xr:uid="{00000000-0005-0000-0000-00001DB70000}"/>
    <cellStyle name="Normal 26 2 3 3 2 3 2" xfId="19200" xr:uid="{00000000-0005-0000-0000-00001EB70000}"/>
    <cellStyle name="Normal 26 2 3 3 2 30" xfId="62959" xr:uid="{00000000-0005-0000-0000-00001FB70000}"/>
    <cellStyle name="Normal 26 2 3 3 2 4" xfId="5734" xr:uid="{00000000-0005-0000-0000-000020B70000}"/>
    <cellStyle name="Normal 26 2 3 3 2 4 2" xfId="20883" xr:uid="{00000000-0005-0000-0000-000021B70000}"/>
    <cellStyle name="Normal 26 2 3 3 2 5" xfId="7417" xr:uid="{00000000-0005-0000-0000-000022B70000}"/>
    <cellStyle name="Normal 26 2 3 3 2 5 2" xfId="22566" xr:uid="{00000000-0005-0000-0000-000023B70000}"/>
    <cellStyle name="Normal 26 2 3 3 2 6" xfId="9100" xr:uid="{00000000-0005-0000-0000-000024B70000}"/>
    <cellStyle name="Normal 26 2 3 3 2 6 2" xfId="24249" xr:uid="{00000000-0005-0000-0000-000025B70000}"/>
    <cellStyle name="Normal 26 2 3 3 2 7" xfId="10783" xr:uid="{00000000-0005-0000-0000-000026B70000}"/>
    <cellStyle name="Normal 26 2 3 3 2 7 2" xfId="25932" xr:uid="{00000000-0005-0000-0000-000027B70000}"/>
    <cellStyle name="Normal 26 2 3 3 2 8" xfId="12467" xr:uid="{00000000-0005-0000-0000-000028B70000}"/>
    <cellStyle name="Normal 26 2 3 3 2 8 2" xfId="27616" xr:uid="{00000000-0005-0000-0000-000029B70000}"/>
    <cellStyle name="Normal 26 2 3 3 2 9" xfId="14150" xr:uid="{00000000-0005-0000-0000-00002AB70000}"/>
    <cellStyle name="Normal 26 2 3 3 2 9 2" xfId="29299" xr:uid="{00000000-0005-0000-0000-00002BB70000}"/>
    <cellStyle name="Normal 26 2 3 3 20" xfId="40660" xr:uid="{00000000-0005-0000-0000-00002CB70000}"/>
    <cellStyle name="Normal 26 2 3 3 21" xfId="42343" xr:uid="{00000000-0005-0000-0000-00002DB70000}"/>
    <cellStyle name="Normal 26 2 3 3 22" xfId="44026" xr:uid="{00000000-0005-0000-0000-00002EB70000}"/>
    <cellStyle name="Normal 26 2 3 3 23" xfId="45709" xr:uid="{00000000-0005-0000-0000-00002FB70000}"/>
    <cellStyle name="Normal 26 2 3 3 24" xfId="47392" xr:uid="{00000000-0005-0000-0000-000030B70000}"/>
    <cellStyle name="Normal 26 2 3 3 25" xfId="49075" xr:uid="{00000000-0005-0000-0000-000031B70000}"/>
    <cellStyle name="Normal 26 2 3 3 26" xfId="50758" xr:uid="{00000000-0005-0000-0000-000032B70000}"/>
    <cellStyle name="Normal 26 2 3 3 27" xfId="52441" xr:uid="{00000000-0005-0000-0000-000033B70000}"/>
    <cellStyle name="Normal 26 2 3 3 28" xfId="54124" xr:uid="{00000000-0005-0000-0000-000034B70000}"/>
    <cellStyle name="Normal 26 2 3 3 29" xfId="55807" xr:uid="{00000000-0005-0000-0000-000035B70000}"/>
    <cellStyle name="Normal 26 2 3 3 3" xfId="1105" xr:uid="{00000000-0005-0000-0000-000036B70000}"/>
    <cellStyle name="Normal 26 2 3 3 3 10" xfId="16254" xr:uid="{00000000-0005-0000-0000-000037B70000}"/>
    <cellStyle name="Normal 26 2 3 3 3 11" xfId="31403" xr:uid="{00000000-0005-0000-0000-000038B70000}"/>
    <cellStyle name="Normal 26 2 3 3 3 12" xfId="33086" xr:uid="{00000000-0005-0000-0000-000039B70000}"/>
    <cellStyle name="Normal 26 2 3 3 3 13" xfId="34769" xr:uid="{00000000-0005-0000-0000-00003AB70000}"/>
    <cellStyle name="Normal 26 2 3 3 3 14" xfId="36452" xr:uid="{00000000-0005-0000-0000-00003BB70000}"/>
    <cellStyle name="Normal 26 2 3 3 3 15" xfId="38135" xr:uid="{00000000-0005-0000-0000-00003CB70000}"/>
    <cellStyle name="Normal 26 2 3 3 3 16" xfId="39818" xr:uid="{00000000-0005-0000-0000-00003DB70000}"/>
    <cellStyle name="Normal 26 2 3 3 3 17" xfId="41501" xr:uid="{00000000-0005-0000-0000-00003EB70000}"/>
    <cellStyle name="Normal 26 2 3 3 3 18" xfId="43184" xr:uid="{00000000-0005-0000-0000-00003FB70000}"/>
    <cellStyle name="Normal 26 2 3 3 3 19" xfId="44867" xr:uid="{00000000-0005-0000-0000-000040B70000}"/>
    <cellStyle name="Normal 26 2 3 3 3 2" xfId="2788" xr:uid="{00000000-0005-0000-0000-000041B70000}"/>
    <cellStyle name="Normal 26 2 3 3 3 2 2" xfId="17937" xr:uid="{00000000-0005-0000-0000-000042B70000}"/>
    <cellStyle name="Normal 26 2 3 3 3 20" xfId="46550" xr:uid="{00000000-0005-0000-0000-000043B70000}"/>
    <cellStyle name="Normal 26 2 3 3 3 21" xfId="48233" xr:uid="{00000000-0005-0000-0000-000044B70000}"/>
    <cellStyle name="Normal 26 2 3 3 3 22" xfId="49916" xr:uid="{00000000-0005-0000-0000-000045B70000}"/>
    <cellStyle name="Normal 26 2 3 3 3 23" xfId="51599" xr:uid="{00000000-0005-0000-0000-000046B70000}"/>
    <cellStyle name="Normal 26 2 3 3 3 24" xfId="53282" xr:uid="{00000000-0005-0000-0000-000047B70000}"/>
    <cellStyle name="Normal 26 2 3 3 3 25" xfId="54965" xr:uid="{00000000-0005-0000-0000-000048B70000}"/>
    <cellStyle name="Normal 26 2 3 3 3 26" xfId="56648" xr:uid="{00000000-0005-0000-0000-000049B70000}"/>
    <cellStyle name="Normal 26 2 3 3 3 27" xfId="58331" xr:uid="{00000000-0005-0000-0000-00004AB70000}"/>
    <cellStyle name="Normal 26 2 3 3 3 28" xfId="60014" xr:uid="{00000000-0005-0000-0000-00004BB70000}"/>
    <cellStyle name="Normal 26 2 3 3 3 29" xfId="61697" xr:uid="{00000000-0005-0000-0000-00004CB70000}"/>
    <cellStyle name="Normal 26 2 3 3 3 3" xfId="4472" xr:uid="{00000000-0005-0000-0000-00004DB70000}"/>
    <cellStyle name="Normal 26 2 3 3 3 3 2" xfId="19621" xr:uid="{00000000-0005-0000-0000-00004EB70000}"/>
    <cellStyle name="Normal 26 2 3 3 3 30" xfId="63380" xr:uid="{00000000-0005-0000-0000-00004FB70000}"/>
    <cellStyle name="Normal 26 2 3 3 3 4" xfId="6155" xr:uid="{00000000-0005-0000-0000-000050B70000}"/>
    <cellStyle name="Normal 26 2 3 3 3 4 2" xfId="21304" xr:uid="{00000000-0005-0000-0000-000051B70000}"/>
    <cellStyle name="Normal 26 2 3 3 3 5" xfId="7838" xr:uid="{00000000-0005-0000-0000-000052B70000}"/>
    <cellStyle name="Normal 26 2 3 3 3 5 2" xfId="22987" xr:uid="{00000000-0005-0000-0000-000053B70000}"/>
    <cellStyle name="Normal 26 2 3 3 3 6" xfId="9521" xr:uid="{00000000-0005-0000-0000-000054B70000}"/>
    <cellStyle name="Normal 26 2 3 3 3 6 2" xfId="24670" xr:uid="{00000000-0005-0000-0000-000055B70000}"/>
    <cellStyle name="Normal 26 2 3 3 3 7" xfId="11204" xr:uid="{00000000-0005-0000-0000-000056B70000}"/>
    <cellStyle name="Normal 26 2 3 3 3 7 2" xfId="26353" xr:uid="{00000000-0005-0000-0000-000057B70000}"/>
    <cellStyle name="Normal 26 2 3 3 3 8" xfId="12888" xr:uid="{00000000-0005-0000-0000-000058B70000}"/>
    <cellStyle name="Normal 26 2 3 3 3 8 2" xfId="28037" xr:uid="{00000000-0005-0000-0000-000059B70000}"/>
    <cellStyle name="Normal 26 2 3 3 3 9" xfId="14571" xr:uid="{00000000-0005-0000-0000-00005AB70000}"/>
    <cellStyle name="Normal 26 2 3 3 3 9 2" xfId="29720" xr:uid="{00000000-0005-0000-0000-00005BB70000}"/>
    <cellStyle name="Normal 26 2 3 3 30" xfId="57490" xr:uid="{00000000-0005-0000-0000-00005CB70000}"/>
    <cellStyle name="Normal 26 2 3 3 31" xfId="59173" xr:uid="{00000000-0005-0000-0000-00005DB70000}"/>
    <cellStyle name="Normal 26 2 3 3 32" xfId="60856" xr:uid="{00000000-0005-0000-0000-00005EB70000}"/>
    <cellStyle name="Normal 26 2 3 3 33" xfId="62539" xr:uid="{00000000-0005-0000-0000-00005FB70000}"/>
    <cellStyle name="Normal 26 2 3 3 4" xfId="1526" xr:uid="{00000000-0005-0000-0000-000060B70000}"/>
    <cellStyle name="Normal 26 2 3 3 4 10" xfId="16675" xr:uid="{00000000-0005-0000-0000-000061B70000}"/>
    <cellStyle name="Normal 26 2 3 3 4 11" xfId="31824" xr:uid="{00000000-0005-0000-0000-000062B70000}"/>
    <cellStyle name="Normal 26 2 3 3 4 12" xfId="33507" xr:uid="{00000000-0005-0000-0000-000063B70000}"/>
    <cellStyle name="Normal 26 2 3 3 4 13" xfId="35190" xr:uid="{00000000-0005-0000-0000-000064B70000}"/>
    <cellStyle name="Normal 26 2 3 3 4 14" xfId="36873" xr:uid="{00000000-0005-0000-0000-000065B70000}"/>
    <cellStyle name="Normal 26 2 3 3 4 15" xfId="38556" xr:uid="{00000000-0005-0000-0000-000066B70000}"/>
    <cellStyle name="Normal 26 2 3 3 4 16" xfId="40239" xr:uid="{00000000-0005-0000-0000-000067B70000}"/>
    <cellStyle name="Normal 26 2 3 3 4 17" xfId="41922" xr:uid="{00000000-0005-0000-0000-000068B70000}"/>
    <cellStyle name="Normal 26 2 3 3 4 18" xfId="43605" xr:uid="{00000000-0005-0000-0000-000069B70000}"/>
    <cellStyle name="Normal 26 2 3 3 4 19" xfId="45288" xr:uid="{00000000-0005-0000-0000-00006AB70000}"/>
    <cellStyle name="Normal 26 2 3 3 4 2" xfId="3209" xr:uid="{00000000-0005-0000-0000-00006BB70000}"/>
    <cellStyle name="Normal 26 2 3 3 4 2 2" xfId="18358" xr:uid="{00000000-0005-0000-0000-00006CB70000}"/>
    <cellStyle name="Normal 26 2 3 3 4 20" xfId="46971" xr:uid="{00000000-0005-0000-0000-00006DB70000}"/>
    <cellStyle name="Normal 26 2 3 3 4 21" xfId="48654" xr:uid="{00000000-0005-0000-0000-00006EB70000}"/>
    <cellStyle name="Normal 26 2 3 3 4 22" xfId="50337" xr:uid="{00000000-0005-0000-0000-00006FB70000}"/>
    <cellStyle name="Normal 26 2 3 3 4 23" xfId="52020" xr:uid="{00000000-0005-0000-0000-000070B70000}"/>
    <cellStyle name="Normal 26 2 3 3 4 24" xfId="53703" xr:uid="{00000000-0005-0000-0000-000071B70000}"/>
    <cellStyle name="Normal 26 2 3 3 4 25" xfId="55386" xr:uid="{00000000-0005-0000-0000-000072B70000}"/>
    <cellStyle name="Normal 26 2 3 3 4 26" xfId="57069" xr:uid="{00000000-0005-0000-0000-000073B70000}"/>
    <cellStyle name="Normal 26 2 3 3 4 27" xfId="58752" xr:uid="{00000000-0005-0000-0000-000074B70000}"/>
    <cellStyle name="Normal 26 2 3 3 4 28" xfId="60435" xr:uid="{00000000-0005-0000-0000-000075B70000}"/>
    <cellStyle name="Normal 26 2 3 3 4 29" xfId="62118" xr:uid="{00000000-0005-0000-0000-000076B70000}"/>
    <cellStyle name="Normal 26 2 3 3 4 3" xfId="4893" xr:uid="{00000000-0005-0000-0000-000077B70000}"/>
    <cellStyle name="Normal 26 2 3 3 4 3 2" xfId="20042" xr:uid="{00000000-0005-0000-0000-000078B70000}"/>
    <cellStyle name="Normal 26 2 3 3 4 30" xfId="63801" xr:uid="{00000000-0005-0000-0000-000079B70000}"/>
    <cellStyle name="Normal 26 2 3 3 4 4" xfId="6576" xr:uid="{00000000-0005-0000-0000-00007AB70000}"/>
    <cellStyle name="Normal 26 2 3 3 4 4 2" xfId="21725" xr:uid="{00000000-0005-0000-0000-00007BB70000}"/>
    <cellStyle name="Normal 26 2 3 3 4 5" xfId="8259" xr:uid="{00000000-0005-0000-0000-00007CB70000}"/>
    <cellStyle name="Normal 26 2 3 3 4 5 2" xfId="23408" xr:uid="{00000000-0005-0000-0000-00007DB70000}"/>
    <cellStyle name="Normal 26 2 3 3 4 6" xfId="9942" xr:uid="{00000000-0005-0000-0000-00007EB70000}"/>
    <cellStyle name="Normal 26 2 3 3 4 6 2" xfId="25091" xr:uid="{00000000-0005-0000-0000-00007FB70000}"/>
    <cellStyle name="Normal 26 2 3 3 4 7" xfId="11625" xr:uid="{00000000-0005-0000-0000-000080B70000}"/>
    <cellStyle name="Normal 26 2 3 3 4 7 2" xfId="26774" xr:uid="{00000000-0005-0000-0000-000081B70000}"/>
    <cellStyle name="Normal 26 2 3 3 4 8" xfId="13309" xr:uid="{00000000-0005-0000-0000-000082B70000}"/>
    <cellStyle name="Normal 26 2 3 3 4 8 2" xfId="28458" xr:uid="{00000000-0005-0000-0000-000083B70000}"/>
    <cellStyle name="Normal 26 2 3 3 4 9" xfId="14992" xr:uid="{00000000-0005-0000-0000-000084B70000}"/>
    <cellStyle name="Normal 26 2 3 3 4 9 2" xfId="30141" xr:uid="{00000000-0005-0000-0000-000085B70000}"/>
    <cellStyle name="Normal 26 2 3 3 5" xfId="1947" xr:uid="{00000000-0005-0000-0000-000086B70000}"/>
    <cellStyle name="Normal 26 2 3 3 5 2" xfId="17096" xr:uid="{00000000-0005-0000-0000-000087B70000}"/>
    <cellStyle name="Normal 26 2 3 3 6" xfId="3631" xr:uid="{00000000-0005-0000-0000-000088B70000}"/>
    <cellStyle name="Normal 26 2 3 3 6 2" xfId="18780" xr:uid="{00000000-0005-0000-0000-000089B70000}"/>
    <cellStyle name="Normal 26 2 3 3 7" xfId="5314" xr:uid="{00000000-0005-0000-0000-00008AB70000}"/>
    <cellStyle name="Normal 26 2 3 3 7 2" xfId="20463" xr:uid="{00000000-0005-0000-0000-00008BB70000}"/>
    <cellStyle name="Normal 26 2 3 3 8" xfId="6997" xr:uid="{00000000-0005-0000-0000-00008CB70000}"/>
    <cellStyle name="Normal 26 2 3 3 8 2" xfId="22146" xr:uid="{00000000-0005-0000-0000-00008DB70000}"/>
    <cellStyle name="Normal 26 2 3 3 9" xfId="8680" xr:uid="{00000000-0005-0000-0000-00008EB70000}"/>
    <cellStyle name="Normal 26 2 3 3 9 2" xfId="23829" xr:uid="{00000000-0005-0000-0000-00008FB70000}"/>
    <cellStyle name="Normal 26 2 3 30" xfId="53914" xr:uid="{00000000-0005-0000-0000-000090B70000}"/>
    <cellStyle name="Normal 26 2 3 31" xfId="55597" xr:uid="{00000000-0005-0000-0000-000091B70000}"/>
    <cellStyle name="Normal 26 2 3 32" xfId="57280" xr:uid="{00000000-0005-0000-0000-000092B70000}"/>
    <cellStyle name="Normal 26 2 3 33" xfId="58963" xr:uid="{00000000-0005-0000-0000-000093B70000}"/>
    <cellStyle name="Normal 26 2 3 34" xfId="60646" xr:uid="{00000000-0005-0000-0000-000094B70000}"/>
    <cellStyle name="Normal 26 2 3 35" xfId="62329" xr:uid="{00000000-0005-0000-0000-000095B70000}"/>
    <cellStyle name="Normal 26 2 3 4" xfId="474" xr:uid="{00000000-0005-0000-0000-000096B70000}"/>
    <cellStyle name="Normal 26 2 3 4 10" xfId="15623" xr:uid="{00000000-0005-0000-0000-000097B70000}"/>
    <cellStyle name="Normal 26 2 3 4 11" xfId="30772" xr:uid="{00000000-0005-0000-0000-000098B70000}"/>
    <cellStyle name="Normal 26 2 3 4 12" xfId="32455" xr:uid="{00000000-0005-0000-0000-000099B70000}"/>
    <cellStyle name="Normal 26 2 3 4 13" xfId="34138" xr:uid="{00000000-0005-0000-0000-00009AB70000}"/>
    <cellStyle name="Normal 26 2 3 4 14" xfId="35821" xr:uid="{00000000-0005-0000-0000-00009BB70000}"/>
    <cellStyle name="Normal 26 2 3 4 15" xfId="37504" xr:uid="{00000000-0005-0000-0000-00009CB70000}"/>
    <cellStyle name="Normal 26 2 3 4 16" xfId="39187" xr:uid="{00000000-0005-0000-0000-00009DB70000}"/>
    <cellStyle name="Normal 26 2 3 4 17" xfId="40870" xr:uid="{00000000-0005-0000-0000-00009EB70000}"/>
    <cellStyle name="Normal 26 2 3 4 18" xfId="42553" xr:uid="{00000000-0005-0000-0000-00009FB70000}"/>
    <cellStyle name="Normal 26 2 3 4 19" xfId="44236" xr:uid="{00000000-0005-0000-0000-0000A0B70000}"/>
    <cellStyle name="Normal 26 2 3 4 2" xfId="2157" xr:uid="{00000000-0005-0000-0000-0000A1B70000}"/>
    <cellStyle name="Normal 26 2 3 4 2 2" xfId="17306" xr:uid="{00000000-0005-0000-0000-0000A2B70000}"/>
    <cellStyle name="Normal 26 2 3 4 20" xfId="45919" xr:uid="{00000000-0005-0000-0000-0000A3B70000}"/>
    <cellStyle name="Normal 26 2 3 4 21" xfId="47602" xr:uid="{00000000-0005-0000-0000-0000A4B70000}"/>
    <cellStyle name="Normal 26 2 3 4 22" xfId="49285" xr:uid="{00000000-0005-0000-0000-0000A5B70000}"/>
    <cellStyle name="Normal 26 2 3 4 23" xfId="50968" xr:uid="{00000000-0005-0000-0000-0000A6B70000}"/>
    <cellStyle name="Normal 26 2 3 4 24" xfId="52651" xr:uid="{00000000-0005-0000-0000-0000A7B70000}"/>
    <cellStyle name="Normal 26 2 3 4 25" xfId="54334" xr:uid="{00000000-0005-0000-0000-0000A8B70000}"/>
    <cellStyle name="Normal 26 2 3 4 26" xfId="56017" xr:uid="{00000000-0005-0000-0000-0000A9B70000}"/>
    <cellStyle name="Normal 26 2 3 4 27" xfId="57700" xr:uid="{00000000-0005-0000-0000-0000AAB70000}"/>
    <cellStyle name="Normal 26 2 3 4 28" xfId="59383" xr:uid="{00000000-0005-0000-0000-0000ABB70000}"/>
    <cellStyle name="Normal 26 2 3 4 29" xfId="61066" xr:uid="{00000000-0005-0000-0000-0000ACB70000}"/>
    <cellStyle name="Normal 26 2 3 4 3" xfId="3841" xr:uid="{00000000-0005-0000-0000-0000ADB70000}"/>
    <cellStyle name="Normal 26 2 3 4 3 2" xfId="18990" xr:uid="{00000000-0005-0000-0000-0000AEB70000}"/>
    <cellStyle name="Normal 26 2 3 4 30" xfId="62749" xr:uid="{00000000-0005-0000-0000-0000AFB70000}"/>
    <cellStyle name="Normal 26 2 3 4 4" xfId="5524" xr:uid="{00000000-0005-0000-0000-0000B0B70000}"/>
    <cellStyle name="Normal 26 2 3 4 4 2" xfId="20673" xr:uid="{00000000-0005-0000-0000-0000B1B70000}"/>
    <cellStyle name="Normal 26 2 3 4 5" xfId="7207" xr:uid="{00000000-0005-0000-0000-0000B2B70000}"/>
    <cellStyle name="Normal 26 2 3 4 5 2" xfId="22356" xr:uid="{00000000-0005-0000-0000-0000B3B70000}"/>
    <cellStyle name="Normal 26 2 3 4 6" xfId="8890" xr:uid="{00000000-0005-0000-0000-0000B4B70000}"/>
    <cellStyle name="Normal 26 2 3 4 6 2" xfId="24039" xr:uid="{00000000-0005-0000-0000-0000B5B70000}"/>
    <cellStyle name="Normal 26 2 3 4 7" xfId="10573" xr:uid="{00000000-0005-0000-0000-0000B6B70000}"/>
    <cellStyle name="Normal 26 2 3 4 7 2" xfId="25722" xr:uid="{00000000-0005-0000-0000-0000B7B70000}"/>
    <cellStyle name="Normal 26 2 3 4 8" xfId="12257" xr:uid="{00000000-0005-0000-0000-0000B8B70000}"/>
    <cellStyle name="Normal 26 2 3 4 8 2" xfId="27406" xr:uid="{00000000-0005-0000-0000-0000B9B70000}"/>
    <cellStyle name="Normal 26 2 3 4 9" xfId="13940" xr:uid="{00000000-0005-0000-0000-0000BAB70000}"/>
    <cellStyle name="Normal 26 2 3 4 9 2" xfId="29089" xr:uid="{00000000-0005-0000-0000-0000BBB70000}"/>
    <cellStyle name="Normal 26 2 3 5" xfId="895" xr:uid="{00000000-0005-0000-0000-0000BCB70000}"/>
    <cellStyle name="Normal 26 2 3 5 10" xfId="16044" xr:uid="{00000000-0005-0000-0000-0000BDB70000}"/>
    <cellStyle name="Normal 26 2 3 5 11" xfId="31193" xr:uid="{00000000-0005-0000-0000-0000BEB70000}"/>
    <cellStyle name="Normal 26 2 3 5 12" xfId="32876" xr:uid="{00000000-0005-0000-0000-0000BFB70000}"/>
    <cellStyle name="Normal 26 2 3 5 13" xfId="34559" xr:uid="{00000000-0005-0000-0000-0000C0B70000}"/>
    <cellStyle name="Normal 26 2 3 5 14" xfId="36242" xr:uid="{00000000-0005-0000-0000-0000C1B70000}"/>
    <cellStyle name="Normal 26 2 3 5 15" xfId="37925" xr:uid="{00000000-0005-0000-0000-0000C2B70000}"/>
    <cellStyle name="Normal 26 2 3 5 16" xfId="39608" xr:uid="{00000000-0005-0000-0000-0000C3B70000}"/>
    <cellStyle name="Normal 26 2 3 5 17" xfId="41291" xr:uid="{00000000-0005-0000-0000-0000C4B70000}"/>
    <cellStyle name="Normal 26 2 3 5 18" xfId="42974" xr:uid="{00000000-0005-0000-0000-0000C5B70000}"/>
    <cellStyle name="Normal 26 2 3 5 19" xfId="44657" xr:uid="{00000000-0005-0000-0000-0000C6B70000}"/>
    <cellStyle name="Normal 26 2 3 5 2" xfId="2578" xr:uid="{00000000-0005-0000-0000-0000C7B70000}"/>
    <cellStyle name="Normal 26 2 3 5 2 2" xfId="17727" xr:uid="{00000000-0005-0000-0000-0000C8B70000}"/>
    <cellStyle name="Normal 26 2 3 5 20" xfId="46340" xr:uid="{00000000-0005-0000-0000-0000C9B70000}"/>
    <cellStyle name="Normal 26 2 3 5 21" xfId="48023" xr:uid="{00000000-0005-0000-0000-0000CAB70000}"/>
    <cellStyle name="Normal 26 2 3 5 22" xfId="49706" xr:uid="{00000000-0005-0000-0000-0000CBB70000}"/>
    <cellStyle name="Normal 26 2 3 5 23" xfId="51389" xr:uid="{00000000-0005-0000-0000-0000CCB70000}"/>
    <cellStyle name="Normal 26 2 3 5 24" xfId="53072" xr:uid="{00000000-0005-0000-0000-0000CDB70000}"/>
    <cellStyle name="Normal 26 2 3 5 25" xfId="54755" xr:uid="{00000000-0005-0000-0000-0000CEB70000}"/>
    <cellStyle name="Normal 26 2 3 5 26" xfId="56438" xr:uid="{00000000-0005-0000-0000-0000CFB70000}"/>
    <cellStyle name="Normal 26 2 3 5 27" xfId="58121" xr:uid="{00000000-0005-0000-0000-0000D0B70000}"/>
    <cellStyle name="Normal 26 2 3 5 28" xfId="59804" xr:uid="{00000000-0005-0000-0000-0000D1B70000}"/>
    <cellStyle name="Normal 26 2 3 5 29" xfId="61487" xr:uid="{00000000-0005-0000-0000-0000D2B70000}"/>
    <cellStyle name="Normal 26 2 3 5 3" xfId="4262" xr:uid="{00000000-0005-0000-0000-0000D3B70000}"/>
    <cellStyle name="Normal 26 2 3 5 3 2" xfId="19411" xr:uid="{00000000-0005-0000-0000-0000D4B70000}"/>
    <cellStyle name="Normal 26 2 3 5 30" xfId="63170" xr:uid="{00000000-0005-0000-0000-0000D5B70000}"/>
    <cellStyle name="Normal 26 2 3 5 4" xfId="5945" xr:uid="{00000000-0005-0000-0000-0000D6B70000}"/>
    <cellStyle name="Normal 26 2 3 5 4 2" xfId="21094" xr:uid="{00000000-0005-0000-0000-0000D7B70000}"/>
    <cellStyle name="Normal 26 2 3 5 5" xfId="7628" xr:uid="{00000000-0005-0000-0000-0000D8B70000}"/>
    <cellStyle name="Normal 26 2 3 5 5 2" xfId="22777" xr:uid="{00000000-0005-0000-0000-0000D9B70000}"/>
    <cellStyle name="Normal 26 2 3 5 6" xfId="9311" xr:uid="{00000000-0005-0000-0000-0000DAB70000}"/>
    <cellStyle name="Normal 26 2 3 5 6 2" xfId="24460" xr:uid="{00000000-0005-0000-0000-0000DBB70000}"/>
    <cellStyle name="Normal 26 2 3 5 7" xfId="10994" xr:uid="{00000000-0005-0000-0000-0000DCB70000}"/>
    <cellStyle name="Normal 26 2 3 5 7 2" xfId="26143" xr:uid="{00000000-0005-0000-0000-0000DDB70000}"/>
    <cellStyle name="Normal 26 2 3 5 8" xfId="12678" xr:uid="{00000000-0005-0000-0000-0000DEB70000}"/>
    <cellStyle name="Normal 26 2 3 5 8 2" xfId="27827" xr:uid="{00000000-0005-0000-0000-0000DFB70000}"/>
    <cellStyle name="Normal 26 2 3 5 9" xfId="14361" xr:uid="{00000000-0005-0000-0000-0000E0B70000}"/>
    <cellStyle name="Normal 26 2 3 5 9 2" xfId="29510" xr:uid="{00000000-0005-0000-0000-0000E1B70000}"/>
    <cellStyle name="Normal 26 2 3 6" xfId="1316" xr:uid="{00000000-0005-0000-0000-0000E2B70000}"/>
    <cellStyle name="Normal 26 2 3 6 10" xfId="16465" xr:uid="{00000000-0005-0000-0000-0000E3B70000}"/>
    <cellStyle name="Normal 26 2 3 6 11" xfId="31614" xr:uid="{00000000-0005-0000-0000-0000E4B70000}"/>
    <cellStyle name="Normal 26 2 3 6 12" xfId="33297" xr:uid="{00000000-0005-0000-0000-0000E5B70000}"/>
    <cellStyle name="Normal 26 2 3 6 13" xfId="34980" xr:uid="{00000000-0005-0000-0000-0000E6B70000}"/>
    <cellStyle name="Normal 26 2 3 6 14" xfId="36663" xr:uid="{00000000-0005-0000-0000-0000E7B70000}"/>
    <cellStyle name="Normal 26 2 3 6 15" xfId="38346" xr:uid="{00000000-0005-0000-0000-0000E8B70000}"/>
    <cellStyle name="Normal 26 2 3 6 16" xfId="40029" xr:uid="{00000000-0005-0000-0000-0000E9B70000}"/>
    <cellStyle name="Normal 26 2 3 6 17" xfId="41712" xr:uid="{00000000-0005-0000-0000-0000EAB70000}"/>
    <cellStyle name="Normal 26 2 3 6 18" xfId="43395" xr:uid="{00000000-0005-0000-0000-0000EBB70000}"/>
    <cellStyle name="Normal 26 2 3 6 19" xfId="45078" xr:uid="{00000000-0005-0000-0000-0000ECB70000}"/>
    <cellStyle name="Normal 26 2 3 6 2" xfId="2999" xr:uid="{00000000-0005-0000-0000-0000EDB70000}"/>
    <cellStyle name="Normal 26 2 3 6 2 2" xfId="18148" xr:uid="{00000000-0005-0000-0000-0000EEB70000}"/>
    <cellStyle name="Normal 26 2 3 6 20" xfId="46761" xr:uid="{00000000-0005-0000-0000-0000EFB70000}"/>
    <cellStyle name="Normal 26 2 3 6 21" xfId="48444" xr:uid="{00000000-0005-0000-0000-0000F0B70000}"/>
    <cellStyle name="Normal 26 2 3 6 22" xfId="50127" xr:uid="{00000000-0005-0000-0000-0000F1B70000}"/>
    <cellStyle name="Normal 26 2 3 6 23" xfId="51810" xr:uid="{00000000-0005-0000-0000-0000F2B70000}"/>
    <cellStyle name="Normal 26 2 3 6 24" xfId="53493" xr:uid="{00000000-0005-0000-0000-0000F3B70000}"/>
    <cellStyle name="Normal 26 2 3 6 25" xfId="55176" xr:uid="{00000000-0005-0000-0000-0000F4B70000}"/>
    <cellStyle name="Normal 26 2 3 6 26" xfId="56859" xr:uid="{00000000-0005-0000-0000-0000F5B70000}"/>
    <cellStyle name="Normal 26 2 3 6 27" xfId="58542" xr:uid="{00000000-0005-0000-0000-0000F6B70000}"/>
    <cellStyle name="Normal 26 2 3 6 28" xfId="60225" xr:uid="{00000000-0005-0000-0000-0000F7B70000}"/>
    <cellStyle name="Normal 26 2 3 6 29" xfId="61908" xr:uid="{00000000-0005-0000-0000-0000F8B70000}"/>
    <cellStyle name="Normal 26 2 3 6 3" xfId="4683" xr:uid="{00000000-0005-0000-0000-0000F9B70000}"/>
    <cellStyle name="Normal 26 2 3 6 3 2" xfId="19832" xr:uid="{00000000-0005-0000-0000-0000FAB70000}"/>
    <cellStyle name="Normal 26 2 3 6 30" xfId="63591" xr:uid="{00000000-0005-0000-0000-0000FBB70000}"/>
    <cellStyle name="Normal 26 2 3 6 4" xfId="6366" xr:uid="{00000000-0005-0000-0000-0000FCB70000}"/>
    <cellStyle name="Normal 26 2 3 6 4 2" xfId="21515" xr:uid="{00000000-0005-0000-0000-0000FDB70000}"/>
    <cellStyle name="Normal 26 2 3 6 5" xfId="8049" xr:uid="{00000000-0005-0000-0000-0000FEB70000}"/>
    <cellStyle name="Normal 26 2 3 6 5 2" xfId="23198" xr:uid="{00000000-0005-0000-0000-0000FFB70000}"/>
    <cellStyle name="Normal 26 2 3 6 6" xfId="9732" xr:uid="{00000000-0005-0000-0000-000000B80000}"/>
    <cellStyle name="Normal 26 2 3 6 6 2" xfId="24881" xr:uid="{00000000-0005-0000-0000-000001B80000}"/>
    <cellStyle name="Normal 26 2 3 6 7" xfId="11415" xr:uid="{00000000-0005-0000-0000-000002B80000}"/>
    <cellStyle name="Normal 26 2 3 6 7 2" xfId="26564" xr:uid="{00000000-0005-0000-0000-000003B80000}"/>
    <cellStyle name="Normal 26 2 3 6 8" xfId="13099" xr:uid="{00000000-0005-0000-0000-000004B80000}"/>
    <cellStyle name="Normal 26 2 3 6 8 2" xfId="28248" xr:uid="{00000000-0005-0000-0000-000005B80000}"/>
    <cellStyle name="Normal 26 2 3 6 9" xfId="14782" xr:uid="{00000000-0005-0000-0000-000006B80000}"/>
    <cellStyle name="Normal 26 2 3 6 9 2" xfId="29931" xr:uid="{00000000-0005-0000-0000-000007B80000}"/>
    <cellStyle name="Normal 26 2 3 7" xfId="1737" xr:uid="{00000000-0005-0000-0000-000008B80000}"/>
    <cellStyle name="Normal 26 2 3 7 2" xfId="16886" xr:uid="{00000000-0005-0000-0000-000009B80000}"/>
    <cellStyle name="Normal 26 2 3 8" xfId="3421" xr:uid="{00000000-0005-0000-0000-00000AB80000}"/>
    <cellStyle name="Normal 26 2 3 8 2" xfId="18570" xr:uid="{00000000-0005-0000-0000-00000BB80000}"/>
    <cellStyle name="Normal 26 2 3 9" xfId="5104" xr:uid="{00000000-0005-0000-0000-00000CB80000}"/>
    <cellStyle name="Normal 26 2 3 9 2" xfId="20253" xr:uid="{00000000-0005-0000-0000-00000DB80000}"/>
    <cellStyle name="Normal 26 2 30" xfId="47165" xr:uid="{00000000-0005-0000-0000-00000EB80000}"/>
    <cellStyle name="Normal 26 2 31" xfId="48848" xr:uid="{00000000-0005-0000-0000-00000FB80000}"/>
    <cellStyle name="Normal 26 2 32" xfId="50531" xr:uid="{00000000-0005-0000-0000-000010B80000}"/>
    <cellStyle name="Normal 26 2 33" xfId="52214" xr:uid="{00000000-0005-0000-0000-000011B80000}"/>
    <cellStyle name="Normal 26 2 34" xfId="53897" xr:uid="{00000000-0005-0000-0000-000012B80000}"/>
    <cellStyle name="Normal 26 2 35" xfId="55580" xr:uid="{00000000-0005-0000-0000-000013B80000}"/>
    <cellStyle name="Normal 26 2 36" xfId="57263" xr:uid="{00000000-0005-0000-0000-000014B80000}"/>
    <cellStyle name="Normal 26 2 37" xfId="58946" xr:uid="{00000000-0005-0000-0000-000015B80000}"/>
    <cellStyle name="Normal 26 2 38" xfId="60629" xr:uid="{00000000-0005-0000-0000-000016B80000}"/>
    <cellStyle name="Normal 26 2 39" xfId="62312" xr:uid="{00000000-0005-0000-0000-000017B80000}"/>
    <cellStyle name="Normal 26 2 4" xfId="41" xr:uid="{00000000-0005-0000-0000-000018B80000}"/>
    <cellStyle name="Normal 26 2 4 10" xfId="6796" xr:uid="{00000000-0005-0000-0000-000019B80000}"/>
    <cellStyle name="Normal 26 2 4 10 2" xfId="21945" xr:uid="{00000000-0005-0000-0000-00001AB80000}"/>
    <cellStyle name="Normal 26 2 4 11" xfId="8479" xr:uid="{00000000-0005-0000-0000-00001BB80000}"/>
    <cellStyle name="Normal 26 2 4 11 2" xfId="23628" xr:uid="{00000000-0005-0000-0000-00001CB80000}"/>
    <cellStyle name="Normal 26 2 4 12" xfId="10162" xr:uid="{00000000-0005-0000-0000-00001DB80000}"/>
    <cellStyle name="Normal 26 2 4 12 2" xfId="25311" xr:uid="{00000000-0005-0000-0000-00001EB80000}"/>
    <cellStyle name="Normal 26 2 4 13" xfId="11846" xr:uid="{00000000-0005-0000-0000-00001FB80000}"/>
    <cellStyle name="Normal 26 2 4 13 2" xfId="26995" xr:uid="{00000000-0005-0000-0000-000020B80000}"/>
    <cellStyle name="Normal 26 2 4 14" xfId="13529" xr:uid="{00000000-0005-0000-0000-000021B80000}"/>
    <cellStyle name="Normal 26 2 4 14 2" xfId="28678" xr:uid="{00000000-0005-0000-0000-000022B80000}"/>
    <cellStyle name="Normal 26 2 4 15" xfId="15212" xr:uid="{00000000-0005-0000-0000-000023B80000}"/>
    <cellStyle name="Normal 26 2 4 16" xfId="30361" xr:uid="{00000000-0005-0000-0000-000024B80000}"/>
    <cellStyle name="Normal 26 2 4 17" xfId="32044" xr:uid="{00000000-0005-0000-0000-000025B80000}"/>
    <cellStyle name="Normal 26 2 4 18" xfId="33727" xr:uid="{00000000-0005-0000-0000-000026B80000}"/>
    <cellStyle name="Normal 26 2 4 19" xfId="35410" xr:uid="{00000000-0005-0000-0000-000027B80000}"/>
    <cellStyle name="Normal 26 2 4 2" xfId="168" xr:uid="{00000000-0005-0000-0000-000028B80000}"/>
    <cellStyle name="Normal 26 2 4 2 10" xfId="8584" xr:uid="{00000000-0005-0000-0000-000029B80000}"/>
    <cellStyle name="Normal 26 2 4 2 10 2" xfId="23733" xr:uid="{00000000-0005-0000-0000-00002AB80000}"/>
    <cellStyle name="Normal 26 2 4 2 11" xfId="10267" xr:uid="{00000000-0005-0000-0000-00002BB80000}"/>
    <cellStyle name="Normal 26 2 4 2 11 2" xfId="25416" xr:uid="{00000000-0005-0000-0000-00002CB80000}"/>
    <cellStyle name="Normal 26 2 4 2 12" xfId="11951" xr:uid="{00000000-0005-0000-0000-00002DB80000}"/>
    <cellStyle name="Normal 26 2 4 2 12 2" xfId="27100" xr:uid="{00000000-0005-0000-0000-00002EB80000}"/>
    <cellStyle name="Normal 26 2 4 2 13" xfId="13634" xr:uid="{00000000-0005-0000-0000-00002FB80000}"/>
    <cellStyle name="Normal 26 2 4 2 13 2" xfId="28783" xr:uid="{00000000-0005-0000-0000-000030B80000}"/>
    <cellStyle name="Normal 26 2 4 2 14" xfId="15317" xr:uid="{00000000-0005-0000-0000-000031B80000}"/>
    <cellStyle name="Normal 26 2 4 2 15" xfId="30466" xr:uid="{00000000-0005-0000-0000-000032B80000}"/>
    <cellStyle name="Normal 26 2 4 2 16" xfId="32149" xr:uid="{00000000-0005-0000-0000-000033B80000}"/>
    <cellStyle name="Normal 26 2 4 2 17" xfId="33832" xr:uid="{00000000-0005-0000-0000-000034B80000}"/>
    <cellStyle name="Normal 26 2 4 2 18" xfId="35515" xr:uid="{00000000-0005-0000-0000-000035B80000}"/>
    <cellStyle name="Normal 26 2 4 2 19" xfId="37198" xr:uid="{00000000-0005-0000-0000-000036B80000}"/>
    <cellStyle name="Normal 26 2 4 2 2" xfId="378" xr:uid="{00000000-0005-0000-0000-000037B80000}"/>
    <cellStyle name="Normal 26 2 4 2 2 10" xfId="10477" xr:uid="{00000000-0005-0000-0000-000038B80000}"/>
    <cellStyle name="Normal 26 2 4 2 2 10 2" xfId="25626" xr:uid="{00000000-0005-0000-0000-000039B80000}"/>
    <cellStyle name="Normal 26 2 4 2 2 11" xfId="12161" xr:uid="{00000000-0005-0000-0000-00003AB80000}"/>
    <cellStyle name="Normal 26 2 4 2 2 11 2" xfId="27310" xr:uid="{00000000-0005-0000-0000-00003BB80000}"/>
    <cellStyle name="Normal 26 2 4 2 2 12" xfId="13844" xr:uid="{00000000-0005-0000-0000-00003CB80000}"/>
    <cellStyle name="Normal 26 2 4 2 2 12 2" xfId="28993" xr:uid="{00000000-0005-0000-0000-00003DB80000}"/>
    <cellStyle name="Normal 26 2 4 2 2 13" xfId="15527" xr:uid="{00000000-0005-0000-0000-00003EB80000}"/>
    <cellStyle name="Normal 26 2 4 2 2 14" xfId="30676" xr:uid="{00000000-0005-0000-0000-00003FB80000}"/>
    <cellStyle name="Normal 26 2 4 2 2 15" xfId="32359" xr:uid="{00000000-0005-0000-0000-000040B80000}"/>
    <cellStyle name="Normal 26 2 4 2 2 16" xfId="34042" xr:uid="{00000000-0005-0000-0000-000041B80000}"/>
    <cellStyle name="Normal 26 2 4 2 2 17" xfId="35725" xr:uid="{00000000-0005-0000-0000-000042B80000}"/>
    <cellStyle name="Normal 26 2 4 2 2 18" xfId="37408" xr:uid="{00000000-0005-0000-0000-000043B80000}"/>
    <cellStyle name="Normal 26 2 4 2 2 19" xfId="39091" xr:uid="{00000000-0005-0000-0000-000044B80000}"/>
    <cellStyle name="Normal 26 2 4 2 2 2" xfId="798" xr:uid="{00000000-0005-0000-0000-000045B80000}"/>
    <cellStyle name="Normal 26 2 4 2 2 2 10" xfId="15947" xr:uid="{00000000-0005-0000-0000-000046B80000}"/>
    <cellStyle name="Normal 26 2 4 2 2 2 11" xfId="31096" xr:uid="{00000000-0005-0000-0000-000047B80000}"/>
    <cellStyle name="Normal 26 2 4 2 2 2 12" xfId="32779" xr:uid="{00000000-0005-0000-0000-000048B80000}"/>
    <cellStyle name="Normal 26 2 4 2 2 2 13" xfId="34462" xr:uid="{00000000-0005-0000-0000-000049B80000}"/>
    <cellStyle name="Normal 26 2 4 2 2 2 14" xfId="36145" xr:uid="{00000000-0005-0000-0000-00004AB80000}"/>
    <cellStyle name="Normal 26 2 4 2 2 2 15" xfId="37828" xr:uid="{00000000-0005-0000-0000-00004BB80000}"/>
    <cellStyle name="Normal 26 2 4 2 2 2 16" xfId="39511" xr:uid="{00000000-0005-0000-0000-00004CB80000}"/>
    <cellStyle name="Normal 26 2 4 2 2 2 17" xfId="41194" xr:uid="{00000000-0005-0000-0000-00004DB80000}"/>
    <cellStyle name="Normal 26 2 4 2 2 2 18" xfId="42877" xr:uid="{00000000-0005-0000-0000-00004EB80000}"/>
    <cellStyle name="Normal 26 2 4 2 2 2 19" xfId="44560" xr:uid="{00000000-0005-0000-0000-00004FB80000}"/>
    <cellStyle name="Normal 26 2 4 2 2 2 2" xfId="2481" xr:uid="{00000000-0005-0000-0000-000050B80000}"/>
    <cellStyle name="Normal 26 2 4 2 2 2 2 2" xfId="17630" xr:uid="{00000000-0005-0000-0000-000051B80000}"/>
    <cellStyle name="Normal 26 2 4 2 2 2 20" xfId="46243" xr:uid="{00000000-0005-0000-0000-000052B80000}"/>
    <cellStyle name="Normal 26 2 4 2 2 2 21" xfId="47926" xr:uid="{00000000-0005-0000-0000-000053B80000}"/>
    <cellStyle name="Normal 26 2 4 2 2 2 22" xfId="49609" xr:uid="{00000000-0005-0000-0000-000054B80000}"/>
    <cellStyle name="Normal 26 2 4 2 2 2 23" xfId="51292" xr:uid="{00000000-0005-0000-0000-000055B80000}"/>
    <cellStyle name="Normal 26 2 4 2 2 2 24" xfId="52975" xr:uid="{00000000-0005-0000-0000-000056B80000}"/>
    <cellStyle name="Normal 26 2 4 2 2 2 25" xfId="54658" xr:uid="{00000000-0005-0000-0000-000057B80000}"/>
    <cellStyle name="Normal 26 2 4 2 2 2 26" xfId="56341" xr:uid="{00000000-0005-0000-0000-000058B80000}"/>
    <cellStyle name="Normal 26 2 4 2 2 2 27" xfId="58024" xr:uid="{00000000-0005-0000-0000-000059B80000}"/>
    <cellStyle name="Normal 26 2 4 2 2 2 28" xfId="59707" xr:uid="{00000000-0005-0000-0000-00005AB80000}"/>
    <cellStyle name="Normal 26 2 4 2 2 2 29" xfId="61390" xr:uid="{00000000-0005-0000-0000-00005BB80000}"/>
    <cellStyle name="Normal 26 2 4 2 2 2 3" xfId="4165" xr:uid="{00000000-0005-0000-0000-00005CB80000}"/>
    <cellStyle name="Normal 26 2 4 2 2 2 3 2" xfId="19314" xr:uid="{00000000-0005-0000-0000-00005DB80000}"/>
    <cellStyle name="Normal 26 2 4 2 2 2 30" xfId="63073" xr:uid="{00000000-0005-0000-0000-00005EB80000}"/>
    <cellStyle name="Normal 26 2 4 2 2 2 4" xfId="5848" xr:uid="{00000000-0005-0000-0000-00005FB80000}"/>
    <cellStyle name="Normal 26 2 4 2 2 2 4 2" xfId="20997" xr:uid="{00000000-0005-0000-0000-000060B80000}"/>
    <cellStyle name="Normal 26 2 4 2 2 2 5" xfId="7531" xr:uid="{00000000-0005-0000-0000-000061B80000}"/>
    <cellStyle name="Normal 26 2 4 2 2 2 5 2" xfId="22680" xr:uid="{00000000-0005-0000-0000-000062B80000}"/>
    <cellStyle name="Normal 26 2 4 2 2 2 6" xfId="9214" xr:uid="{00000000-0005-0000-0000-000063B80000}"/>
    <cellStyle name="Normal 26 2 4 2 2 2 6 2" xfId="24363" xr:uid="{00000000-0005-0000-0000-000064B80000}"/>
    <cellStyle name="Normal 26 2 4 2 2 2 7" xfId="10897" xr:uid="{00000000-0005-0000-0000-000065B80000}"/>
    <cellStyle name="Normal 26 2 4 2 2 2 7 2" xfId="26046" xr:uid="{00000000-0005-0000-0000-000066B80000}"/>
    <cellStyle name="Normal 26 2 4 2 2 2 8" xfId="12581" xr:uid="{00000000-0005-0000-0000-000067B80000}"/>
    <cellStyle name="Normal 26 2 4 2 2 2 8 2" xfId="27730" xr:uid="{00000000-0005-0000-0000-000068B80000}"/>
    <cellStyle name="Normal 26 2 4 2 2 2 9" xfId="14264" xr:uid="{00000000-0005-0000-0000-000069B80000}"/>
    <cellStyle name="Normal 26 2 4 2 2 2 9 2" xfId="29413" xr:uid="{00000000-0005-0000-0000-00006AB80000}"/>
    <cellStyle name="Normal 26 2 4 2 2 20" xfId="40774" xr:uid="{00000000-0005-0000-0000-00006BB80000}"/>
    <cellStyle name="Normal 26 2 4 2 2 21" xfId="42457" xr:uid="{00000000-0005-0000-0000-00006CB80000}"/>
    <cellStyle name="Normal 26 2 4 2 2 22" xfId="44140" xr:uid="{00000000-0005-0000-0000-00006DB80000}"/>
    <cellStyle name="Normal 26 2 4 2 2 23" xfId="45823" xr:uid="{00000000-0005-0000-0000-00006EB80000}"/>
    <cellStyle name="Normal 26 2 4 2 2 24" xfId="47506" xr:uid="{00000000-0005-0000-0000-00006FB80000}"/>
    <cellStyle name="Normal 26 2 4 2 2 25" xfId="49189" xr:uid="{00000000-0005-0000-0000-000070B80000}"/>
    <cellStyle name="Normal 26 2 4 2 2 26" xfId="50872" xr:uid="{00000000-0005-0000-0000-000071B80000}"/>
    <cellStyle name="Normal 26 2 4 2 2 27" xfId="52555" xr:uid="{00000000-0005-0000-0000-000072B80000}"/>
    <cellStyle name="Normal 26 2 4 2 2 28" xfId="54238" xr:uid="{00000000-0005-0000-0000-000073B80000}"/>
    <cellStyle name="Normal 26 2 4 2 2 29" xfId="55921" xr:uid="{00000000-0005-0000-0000-000074B80000}"/>
    <cellStyle name="Normal 26 2 4 2 2 3" xfId="1219" xr:uid="{00000000-0005-0000-0000-000075B80000}"/>
    <cellStyle name="Normal 26 2 4 2 2 3 10" xfId="16368" xr:uid="{00000000-0005-0000-0000-000076B80000}"/>
    <cellStyle name="Normal 26 2 4 2 2 3 11" xfId="31517" xr:uid="{00000000-0005-0000-0000-000077B80000}"/>
    <cellStyle name="Normal 26 2 4 2 2 3 12" xfId="33200" xr:uid="{00000000-0005-0000-0000-000078B80000}"/>
    <cellStyle name="Normal 26 2 4 2 2 3 13" xfId="34883" xr:uid="{00000000-0005-0000-0000-000079B80000}"/>
    <cellStyle name="Normal 26 2 4 2 2 3 14" xfId="36566" xr:uid="{00000000-0005-0000-0000-00007AB80000}"/>
    <cellStyle name="Normal 26 2 4 2 2 3 15" xfId="38249" xr:uid="{00000000-0005-0000-0000-00007BB80000}"/>
    <cellStyle name="Normal 26 2 4 2 2 3 16" xfId="39932" xr:uid="{00000000-0005-0000-0000-00007CB80000}"/>
    <cellStyle name="Normal 26 2 4 2 2 3 17" xfId="41615" xr:uid="{00000000-0005-0000-0000-00007DB80000}"/>
    <cellStyle name="Normal 26 2 4 2 2 3 18" xfId="43298" xr:uid="{00000000-0005-0000-0000-00007EB80000}"/>
    <cellStyle name="Normal 26 2 4 2 2 3 19" xfId="44981" xr:uid="{00000000-0005-0000-0000-00007FB80000}"/>
    <cellStyle name="Normal 26 2 4 2 2 3 2" xfId="2902" xr:uid="{00000000-0005-0000-0000-000080B80000}"/>
    <cellStyle name="Normal 26 2 4 2 2 3 2 2" xfId="18051" xr:uid="{00000000-0005-0000-0000-000081B80000}"/>
    <cellStyle name="Normal 26 2 4 2 2 3 20" xfId="46664" xr:uid="{00000000-0005-0000-0000-000082B80000}"/>
    <cellStyle name="Normal 26 2 4 2 2 3 21" xfId="48347" xr:uid="{00000000-0005-0000-0000-000083B80000}"/>
    <cellStyle name="Normal 26 2 4 2 2 3 22" xfId="50030" xr:uid="{00000000-0005-0000-0000-000084B80000}"/>
    <cellStyle name="Normal 26 2 4 2 2 3 23" xfId="51713" xr:uid="{00000000-0005-0000-0000-000085B80000}"/>
    <cellStyle name="Normal 26 2 4 2 2 3 24" xfId="53396" xr:uid="{00000000-0005-0000-0000-000086B80000}"/>
    <cellStyle name="Normal 26 2 4 2 2 3 25" xfId="55079" xr:uid="{00000000-0005-0000-0000-000087B80000}"/>
    <cellStyle name="Normal 26 2 4 2 2 3 26" xfId="56762" xr:uid="{00000000-0005-0000-0000-000088B80000}"/>
    <cellStyle name="Normal 26 2 4 2 2 3 27" xfId="58445" xr:uid="{00000000-0005-0000-0000-000089B80000}"/>
    <cellStyle name="Normal 26 2 4 2 2 3 28" xfId="60128" xr:uid="{00000000-0005-0000-0000-00008AB80000}"/>
    <cellStyle name="Normal 26 2 4 2 2 3 29" xfId="61811" xr:uid="{00000000-0005-0000-0000-00008BB80000}"/>
    <cellStyle name="Normal 26 2 4 2 2 3 3" xfId="4586" xr:uid="{00000000-0005-0000-0000-00008CB80000}"/>
    <cellStyle name="Normal 26 2 4 2 2 3 3 2" xfId="19735" xr:uid="{00000000-0005-0000-0000-00008DB80000}"/>
    <cellStyle name="Normal 26 2 4 2 2 3 30" xfId="63494" xr:uid="{00000000-0005-0000-0000-00008EB80000}"/>
    <cellStyle name="Normal 26 2 4 2 2 3 4" xfId="6269" xr:uid="{00000000-0005-0000-0000-00008FB80000}"/>
    <cellStyle name="Normal 26 2 4 2 2 3 4 2" xfId="21418" xr:uid="{00000000-0005-0000-0000-000090B80000}"/>
    <cellStyle name="Normal 26 2 4 2 2 3 5" xfId="7952" xr:uid="{00000000-0005-0000-0000-000091B80000}"/>
    <cellStyle name="Normal 26 2 4 2 2 3 5 2" xfId="23101" xr:uid="{00000000-0005-0000-0000-000092B80000}"/>
    <cellStyle name="Normal 26 2 4 2 2 3 6" xfId="9635" xr:uid="{00000000-0005-0000-0000-000093B80000}"/>
    <cellStyle name="Normal 26 2 4 2 2 3 6 2" xfId="24784" xr:uid="{00000000-0005-0000-0000-000094B80000}"/>
    <cellStyle name="Normal 26 2 4 2 2 3 7" xfId="11318" xr:uid="{00000000-0005-0000-0000-000095B80000}"/>
    <cellStyle name="Normal 26 2 4 2 2 3 7 2" xfId="26467" xr:uid="{00000000-0005-0000-0000-000096B80000}"/>
    <cellStyle name="Normal 26 2 4 2 2 3 8" xfId="13002" xr:uid="{00000000-0005-0000-0000-000097B80000}"/>
    <cellStyle name="Normal 26 2 4 2 2 3 8 2" xfId="28151" xr:uid="{00000000-0005-0000-0000-000098B80000}"/>
    <cellStyle name="Normal 26 2 4 2 2 3 9" xfId="14685" xr:uid="{00000000-0005-0000-0000-000099B80000}"/>
    <cellStyle name="Normal 26 2 4 2 2 3 9 2" xfId="29834" xr:uid="{00000000-0005-0000-0000-00009AB80000}"/>
    <cellStyle name="Normal 26 2 4 2 2 30" xfId="57604" xr:uid="{00000000-0005-0000-0000-00009BB80000}"/>
    <cellStyle name="Normal 26 2 4 2 2 31" xfId="59287" xr:uid="{00000000-0005-0000-0000-00009CB80000}"/>
    <cellStyle name="Normal 26 2 4 2 2 32" xfId="60970" xr:uid="{00000000-0005-0000-0000-00009DB80000}"/>
    <cellStyle name="Normal 26 2 4 2 2 33" xfId="62653" xr:uid="{00000000-0005-0000-0000-00009EB80000}"/>
    <cellStyle name="Normal 26 2 4 2 2 4" xfId="1640" xr:uid="{00000000-0005-0000-0000-00009FB80000}"/>
    <cellStyle name="Normal 26 2 4 2 2 4 10" xfId="16789" xr:uid="{00000000-0005-0000-0000-0000A0B80000}"/>
    <cellStyle name="Normal 26 2 4 2 2 4 11" xfId="31938" xr:uid="{00000000-0005-0000-0000-0000A1B80000}"/>
    <cellStyle name="Normal 26 2 4 2 2 4 12" xfId="33621" xr:uid="{00000000-0005-0000-0000-0000A2B80000}"/>
    <cellStyle name="Normal 26 2 4 2 2 4 13" xfId="35304" xr:uid="{00000000-0005-0000-0000-0000A3B80000}"/>
    <cellStyle name="Normal 26 2 4 2 2 4 14" xfId="36987" xr:uid="{00000000-0005-0000-0000-0000A4B80000}"/>
    <cellStyle name="Normal 26 2 4 2 2 4 15" xfId="38670" xr:uid="{00000000-0005-0000-0000-0000A5B80000}"/>
    <cellStyle name="Normal 26 2 4 2 2 4 16" xfId="40353" xr:uid="{00000000-0005-0000-0000-0000A6B80000}"/>
    <cellStyle name="Normal 26 2 4 2 2 4 17" xfId="42036" xr:uid="{00000000-0005-0000-0000-0000A7B80000}"/>
    <cellStyle name="Normal 26 2 4 2 2 4 18" xfId="43719" xr:uid="{00000000-0005-0000-0000-0000A8B80000}"/>
    <cellStyle name="Normal 26 2 4 2 2 4 19" xfId="45402" xr:uid="{00000000-0005-0000-0000-0000A9B80000}"/>
    <cellStyle name="Normal 26 2 4 2 2 4 2" xfId="3323" xr:uid="{00000000-0005-0000-0000-0000AAB80000}"/>
    <cellStyle name="Normal 26 2 4 2 2 4 2 2" xfId="18472" xr:uid="{00000000-0005-0000-0000-0000ABB80000}"/>
    <cellStyle name="Normal 26 2 4 2 2 4 20" xfId="47085" xr:uid="{00000000-0005-0000-0000-0000ACB80000}"/>
    <cellStyle name="Normal 26 2 4 2 2 4 21" xfId="48768" xr:uid="{00000000-0005-0000-0000-0000ADB80000}"/>
    <cellStyle name="Normal 26 2 4 2 2 4 22" xfId="50451" xr:uid="{00000000-0005-0000-0000-0000AEB80000}"/>
    <cellStyle name="Normal 26 2 4 2 2 4 23" xfId="52134" xr:uid="{00000000-0005-0000-0000-0000AFB80000}"/>
    <cellStyle name="Normal 26 2 4 2 2 4 24" xfId="53817" xr:uid="{00000000-0005-0000-0000-0000B0B80000}"/>
    <cellStyle name="Normal 26 2 4 2 2 4 25" xfId="55500" xr:uid="{00000000-0005-0000-0000-0000B1B80000}"/>
    <cellStyle name="Normal 26 2 4 2 2 4 26" xfId="57183" xr:uid="{00000000-0005-0000-0000-0000B2B80000}"/>
    <cellStyle name="Normal 26 2 4 2 2 4 27" xfId="58866" xr:uid="{00000000-0005-0000-0000-0000B3B80000}"/>
    <cellStyle name="Normal 26 2 4 2 2 4 28" xfId="60549" xr:uid="{00000000-0005-0000-0000-0000B4B80000}"/>
    <cellStyle name="Normal 26 2 4 2 2 4 29" xfId="62232" xr:uid="{00000000-0005-0000-0000-0000B5B80000}"/>
    <cellStyle name="Normal 26 2 4 2 2 4 3" xfId="5007" xr:uid="{00000000-0005-0000-0000-0000B6B80000}"/>
    <cellStyle name="Normal 26 2 4 2 2 4 3 2" xfId="20156" xr:uid="{00000000-0005-0000-0000-0000B7B80000}"/>
    <cellStyle name="Normal 26 2 4 2 2 4 30" xfId="63915" xr:uid="{00000000-0005-0000-0000-0000B8B80000}"/>
    <cellStyle name="Normal 26 2 4 2 2 4 4" xfId="6690" xr:uid="{00000000-0005-0000-0000-0000B9B80000}"/>
    <cellStyle name="Normal 26 2 4 2 2 4 4 2" xfId="21839" xr:uid="{00000000-0005-0000-0000-0000BAB80000}"/>
    <cellStyle name="Normal 26 2 4 2 2 4 5" xfId="8373" xr:uid="{00000000-0005-0000-0000-0000BBB80000}"/>
    <cellStyle name="Normal 26 2 4 2 2 4 5 2" xfId="23522" xr:uid="{00000000-0005-0000-0000-0000BCB80000}"/>
    <cellStyle name="Normal 26 2 4 2 2 4 6" xfId="10056" xr:uid="{00000000-0005-0000-0000-0000BDB80000}"/>
    <cellStyle name="Normal 26 2 4 2 2 4 6 2" xfId="25205" xr:uid="{00000000-0005-0000-0000-0000BEB80000}"/>
    <cellStyle name="Normal 26 2 4 2 2 4 7" xfId="11739" xr:uid="{00000000-0005-0000-0000-0000BFB80000}"/>
    <cellStyle name="Normal 26 2 4 2 2 4 7 2" xfId="26888" xr:uid="{00000000-0005-0000-0000-0000C0B80000}"/>
    <cellStyle name="Normal 26 2 4 2 2 4 8" xfId="13423" xr:uid="{00000000-0005-0000-0000-0000C1B80000}"/>
    <cellStyle name="Normal 26 2 4 2 2 4 8 2" xfId="28572" xr:uid="{00000000-0005-0000-0000-0000C2B80000}"/>
    <cellStyle name="Normal 26 2 4 2 2 4 9" xfId="15106" xr:uid="{00000000-0005-0000-0000-0000C3B80000}"/>
    <cellStyle name="Normal 26 2 4 2 2 4 9 2" xfId="30255" xr:uid="{00000000-0005-0000-0000-0000C4B80000}"/>
    <cellStyle name="Normal 26 2 4 2 2 5" xfId="2061" xr:uid="{00000000-0005-0000-0000-0000C5B80000}"/>
    <cellStyle name="Normal 26 2 4 2 2 5 2" xfId="17210" xr:uid="{00000000-0005-0000-0000-0000C6B80000}"/>
    <cellStyle name="Normal 26 2 4 2 2 6" xfId="3745" xr:uid="{00000000-0005-0000-0000-0000C7B80000}"/>
    <cellStyle name="Normal 26 2 4 2 2 6 2" xfId="18894" xr:uid="{00000000-0005-0000-0000-0000C8B80000}"/>
    <cellStyle name="Normal 26 2 4 2 2 7" xfId="5428" xr:uid="{00000000-0005-0000-0000-0000C9B80000}"/>
    <cellStyle name="Normal 26 2 4 2 2 7 2" xfId="20577" xr:uid="{00000000-0005-0000-0000-0000CAB80000}"/>
    <cellStyle name="Normal 26 2 4 2 2 8" xfId="7111" xr:uid="{00000000-0005-0000-0000-0000CBB80000}"/>
    <cellStyle name="Normal 26 2 4 2 2 8 2" xfId="22260" xr:uid="{00000000-0005-0000-0000-0000CCB80000}"/>
    <cellStyle name="Normal 26 2 4 2 2 9" xfId="8794" xr:uid="{00000000-0005-0000-0000-0000CDB80000}"/>
    <cellStyle name="Normal 26 2 4 2 2 9 2" xfId="23943" xr:uid="{00000000-0005-0000-0000-0000CEB80000}"/>
    <cellStyle name="Normal 26 2 4 2 20" xfId="38881" xr:uid="{00000000-0005-0000-0000-0000CFB80000}"/>
    <cellStyle name="Normal 26 2 4 2 21" xfId="40564" xr:uid="{00000000-0005-0000-0000-0000D0B80000}"/>
    <cellStyle name="Normal 26 2 4 2 22" xfId="42247" xr:uid="{00000000-0005-0000-0000-0000D1B80000}"/>
    <cellStyle name="Normal 26 2 4 2 23" xfId="43930" xr:uid="{00000000-0005-0000-0000-0000D2B80000}"/>
    <cellStyle name="Normal 26 2 4 2 24" xfId="45613" xr:uid="{00000000-0005-0000-0000-0000D3B80000}"/>
    <cellStyle name="Normal 26 2 4 2 25" xfId="47296" xr:uid="{00000000-0005-0000-0000-0000D4B80000}"/>
    <cellStyle name="Normal 26 2 4 2 26" xfId="48979" xr:uid="{00000000-0005-0000-0000-0000D5B80000}"/>
    <cellStyle name="Normal 26 2 4 2 27" xfId="50662" xr:uid="{00000000-0005-0000-0000-0000D6B80000}"/>
    <cellStyle name="Normal 26 2 4 2 28" xfId="52345" xr:uid="{00000000-0005-0000-0000-0000D7B80000}"/>
    <cellStyle name="Normal 26 2 4 2 29" xfId="54028" xr:uid="{00000000-0005-0000-0000-0000D8B80000}"/>
    <cellStyle name="Normal 26 2 4 2 3" xfId="588" xr:uid="{00000000-0005-0000-0000-0000D9B80000}"/>
    <cellStyle name="Normal 26 2 4 2 3 10" xfId="15737" xr:uid="{00000000-0005-0000-0000-0000DAB80000}"/>
    <cellStyle name="Normal 26 2 4 2 3 11" xfId="30886" xr:uid="{00000000-0005-0000-0000-0000DBB80000}"/>
    <cellStyle name="Normal 26 2 4 2 3 12" xfId="32569" xr:uid="{00000000-0005-0000-0000-0000DCB80000}"/>
    <cellStyle name="Normal 26 2 4 2 3 13" xfId="34252" xr:uid="{00000000-0005-0000-0000-0000DDB80000}"/>
    <cellStyle name="Normal 26 2 4 2 3 14" xfId="35935" xr:uid="{00000000-0005-0000-0000-0000DEB80000}"/>
    <cellStyle name="Normal 26 2 4 2 3 15" xfId="37618" xr:uid="{00000000-0005-0000-0000-0000DFB80000}"/>
    <cellStyle name="Normal 26 2 4 2 3 16" xfId="39301" xr:uid="{00000000-0005-0000-0000-0000E0B80000}"/>
    <cellStyle name="Normal 26 2 4 2 3 17" xfId="40984" xr:uid="{00000000-0005-0000-0000-0000E1B80000}"/>
    <cellStyle name="Normal 26 2 4 2 3 18" xfId="42667" xr:uid="{00000000-0005-0000-0000-0000E2B80000}"/>
    <cellStyle name="Normal 26 2 4 2 3 19" xfId="44350" xr:uid="{00000000-0005-0000-0000-0000E3B80000}"/>
    <cellStyle name="Normal 26 2 4 2 3 2" xfId="2271" xr:uid="{00000000-0005-0000-0000-0000E4B80000}"/>
    <cellStyle name="Normal 26 2 4 2 3 2 2" xfId="17420" xr:uid="{00000000-0005-0000-0000-0000E5B80000}"/>
    <cellStyle name="Normal 26 2 4 2 3 20" xfId="46033" xr:uid="{00000000-0005-0000-0000-0000E6B80000}"/>
    <cellStyle name="Normal 26 2 4 2 3 21" xfId="47716" xr:uid="{00000000-0005-0000-0000-0000E7B80000}"/>
    <cellStyle name="Normal 26 2 4 2 3 22" xfId="49399" xr:uid="{00000000-0005-0000-0000-0000E8B80000}"/>
    <cellStyle name="Normal 26 2 4 2 3 23" xfId="51082" xr:uid="{00000000-0005-0000-0000-0000E9B80000}"/>
    <cellStyle name="Normal 26 2 4 2 3 24" xfId="52765" xr:uid="{00000000-0005-0000-0000-0000EAB80000}"/>
    <cellStyle name="Normal 26 2 4 2 3 25" xfId="54448" xr:uid="{00000000-0005-0000-0000-0000EBB80000}"/>
    <cellStyle name="Normal 26 2 4 2 3 26" xfId="56131" xr:uid="{00000000-0005-0000-0000-0000ECB80000}"/>
    <cellStyle name="Normal 26 2 4 2 3 27" xfId="57814" xr:uid="{00000000-0005-0000-0000-0000EDB80000}"/>
    <cellStyle name="Normal 26 2 4 2 3 28" xfId="59497" xr:uid="{00000000-0005-0000-0000-0000EEB80000}"/>
    <cellStyle name="Normal 26 2 4 2 3 29" xfId="61180" xr:uid="{00000000-0005-0000-0000-0000EFB80000}"/>
    <cellStyle name="Normal 26 2 4 2 3 3" xfId="3955" xr:uid="{00000000-0005-0000-0000-0000F0B80000}"/>
    <cellStyle name="Normal 26 2 4 2 3 3 2" xfId="19104" xr:uid="{00000000-0005-0000-0000-0000F1B80000}"/>
    <cellStyle name="Normal 26 2 4 2 3 30" xfId="62863" xr:uid="{00000000-0005-0000-0000-0000F2B80000}"/>
    <cellStyle name="Normal 26 2 4 2 3 4" xfId="5638" xr:uid="{00000000-0005-0000-0000-0000F3B80000}"/>
    <cellStyle name="Normal 26 2 4 2 3 4 2" xfId="20787" xr:uid="{00000000-0005-0000-0000-0000F4B80000}"/>
    <cellStyle name="Normal 26 2 4 2 3 5" xfId="7321" xr:uid="{00000000-0005-0000-0000-0000F5B80000}"/>
    <cellStyle name="Normal 26 2 4 2 3 5 2" xfId="22470" xr:uid="{00000000-0005-0000-0000-0000F6B80000}"/>
    <cellStyle name="Normal 26 2 4 2 3 6" xfId="9004" xr:uid="{00000000-0005-0000-0000-0000F7B80000}"/>
    <cellStyle name="Normal 26 2 4 2 3 6 2" xfId="24153" xr:uid="{00000000-0005-0000-0000-0000F8B80000}"/>
    <cellStyle name="Normal 26 2 4 2 3 7" xfId="10687" xr:uid="{00000000-0005-0000-0000-0000F9B80000}"/>
    <cellStyle name="Normal 26 2 4 2 3 7 2" xfId="25836" xr:uid="{00000000-0005-0000-0000-0000FAB80000}"/>
    <cellStyle name="Normal 26 2 4 2 3 8" xfId="12371" xr:uid="{00000000-0005-0000-0000-0000FBB80000}"/>
    <cellStyle name="Normal 26 2 4 2 3 8 2" xfId="27520" xr:uid="{00000000-0005-0000-0000-0000FCB80000}"/>
    <cellStyle name="Normal 26 2 4 2 3 9" xfId="14054" xr:uid="{00000000-0005-0000-0000-0000FDB80000}"/>
    <cellStyle name="Normal 26 2 4 2 3 9 2" xfId="29203" xr:uid="{00000000-0005-0000-0000-0000FEB80000}"/>
    <cellStyle name="Normal 26 2 4 2 30" xfId="55711" xr:uid="{00000000-0005-0000-0000-0000FFB80000}"/>
    <cellStyle name="Normal 26 2 4 2 31" xfId="57394" xr:uid="{00000000-0005-0000-0000-000000B90000}"/>
    <cellStyle name="Normal 26 2 4 2 32" xfId="59077" xr:uid="{00000000-0005-0000-0000-000001B90000}"/>
    <cellStyle name="Normal 26 2 4 2 33" xfId="60760" xr:uid="{00000000-0005-0000-0000-000002B90000}"/>
    <cellStyle name="Normal 26 2 4 2 34" xfId="62443" xr:uid="{00000000-0005-0000-0000-000003B90000}"/>
    <cellStyle name="Normal 26 2 4 2 4" xfId="1009" xr:uid="{00000000-0005-0000-0000-000004B90000}"/>
    <cellStyle name="Normal 26 2 4 2 4 10" xfId="16158" xr:uid="{00000000-0005-0000-0000-000005B90000}"/>
    <cellStyle name="Normal 26 2 4 2 4 11" xfId="31307" xr:uid="{00000000-0005-0000-0000-000006B90000}"/>
    <cellStyle name="Normal 26 2 4 2 4 12" xfId="32990" xr:uid="{00000000-0005-0000-0000-000007B90000}"/>
    <cellStyle name="Normal 26 2 4 2 4 13" xfId="34673" xr:uid="{00000000-0005-0000-0000-000008B90000}"/>
    <cellStyle name="Normal 26 2 4 2 4 14" xfId="36356" xr:uid="{00000000-0005-0000-0000-000009B90000}"/>
    <cellStyle name="Normal 26 2 4 2 4 15" xfId="38039" xr:uid="{00000000-0005-0000-0000-00000AB90000}"/>
    <cellStyle name="Normal 26 2 4 2 4 16" xfId="39722" xr:uid="{00000000-0005-0000-0000-00000BB90000}"/>
    <cellStyle name="Normal 26 2 4 2 4 17" xfId="41405" xr:uid="{00000000-0005-0000-0000-00000CB90000}"/>
    <cellStyle name="Normal 26 2 4 2 4 18" xfId="43088" xr:uid="{00000000-0005-0000-0000-00000DB90000}"/>
    <cellStyle name="Normal 26 2 4 2 4 19" xfId="44771" xr:uid="{00000000-0005-0000-0000-00000EB90000}"/>
    <cellStyle name="Normal 26 2 4 2 4 2" xfId="2692" xr:uid="{00000000-0005-0000-0000-00000FB90000}"/>
    <cellStyle name="Normal 26 2 4 2 4 2 2" xfId="17841" xr:uid="{00000000-0005-0000-0000-000010B90000}"/>
    <cellStyle name="Normal 26 2 4 2 4 20" xfId="46454" xr:uid="{00000000-0005-0000-0000-000011B90000}"/>
    <cellStyle name="Normal 26 2 4 2 4 21" xfId="48137" xr:uid="{00000000-0005-0000-0000-000012B90000}"/>
    <cellStyle name="Normal 26 2 4 2 4 22" xfId="49820" xr:uid="{00000000-0005-0000-0000-000013B90000}"/>
    <cellStyle name="Normal 26 2 4 2 4 23" xfId="51503" xr:uid="{00000000-0005-0000-0000-000014B90000}"/>
    <cellStyle name="Normal 26 2 4 2 4 24" xfId="53186" xr:uid="{00000000-0005-0000-0000-000015B90000}"/>
    <cellStyle name="Normal 26 2 4 2 4 25" xfId="54869" xr:uid="{00000000-0005-0000-0000-000016B90000}"/>
    <cellStyle name="Normal 26 2 4 2 4 26" xfId="56552" xr:uid="{00000000-0005-0000-0000-000017B90000}"/>
    <cellStyle name="Normal 26 2 4 2 4 27" xfId="58235" xr:uid="{00000000-0005-0000-0000-000018B90000}"/>
    <cellStyle name="Normal 26 2 4 2 4 28" xfId="59918" xr:uid="{00000000-0005-0000-0000-000019B90000}"/>
    <cellStyle name="Normal 26 2 4 2 4 29" xfId="61601" xr:uid="{00000000-0005-0000-0000-00001AB90000}"/>
    <cellStyle name="Normal 26 2 4 2 4 3" xfId="4376" xr:uid="{00000000-0005-0000-0000-00001BB90000}"/>
    <cellStyle name="Normal 26 2 4 2 4 3 2" xfId="19525" xr:uid="{00000000-0005-0000-0000-00001CB90000}"/>
    <cellStyle name="Normal 26 2 4 2 4 30" xfId="63284" xr:uid="{00000000-0005-0000-0000-00001DB90000}"/>
    <cellStyle name="Normal 26 2 4 2 4 4" xfId="6059" xr:uid="{00000000-0005-0000-0000-00001EB90000}"/>
    <cellStyle name="Normal 26 2 4 2 4 4 2" xfId="21208" xr:uid="{00000000-0005-0000-0000-00001FB90000}"/>
    <cellStyle name="Normal 26 2 4 2 4 5" xfId="7742" xr:uid="{00000000-0005-0000-0000-000020B90000}"/>
    <cellStyle name="Normal 26 2 4 2 4 5 2" xfId="22891" xr:uid="{00000000-0005-0000-0000-000021B90000}"/>
    <cellStyle name="Normal 26 2 4 2 4 6" xfId="9425" xr:uid="{00000000-0005-0000-0000-000022B90000}"/>
    <cellStyle name="Normal 26 2 4 2 4 6 2" xfId="24574" xr:uid="{00000000-0005-0000-0000-000023B90000}"/>
    <cellStyle name="Normal 26 2 4 2 4 7" xfId="11108" xr:uid="{00000000-0005-0000-0000-000024B90000}"/>
    <cellStyle name="Normal 26 2 4 2 4 7 2" xfId="26257" xr:uid="{00000000-0005-0000-0000-000025B90000}"/>
    <cellStyle name="Normal 26 2 4 2 4 8" xfId="12792" xr:uid="{00000000-0005-0000-0000-000026B90000}"/>
    <cellStyle name="Normal 26 2 4 2 4 8 2" xfId="27941" xr:uid="{00000000-0005-0000-0000-000027B90000}"/>
    <cellStyle name="Normal 26 2 4 2 4 9" xfId="14475" xr:uid="{00000000-0005-0000-0000-000028B90000}"/>
    <cellStyle name="Normal 26 2 4 2 4 9 2" xfId="29624" xr:uid="{00000000-0005-0000-0000-000029B90000}"/>
    <cellStyle name="Normal 26 2 4 2 5" xfId="1430" xr:uid="{00000000-0005-0000-0000-00002AB90000}"/>
    <cellStyle name="Normal 26 2 4 2 5 10" xfId="16579" xr:uid="{00000000-0005-0000-0000-00002BB90000}"/>
    <cellStyle name="Normal 26 2 4 2 5 11" xfId="31728" xr:uid="{00000000-0005-0000-0000-00002CB90000}"/>
    <cellStyle name="Normal 26 2 4 2 5 12" xfId="33411" xr:uid="{00000000-0005-0000-0000-00002DB90000}"/>
    <cellStyle name="Normal 26 2 4 2 5 13" xfId="35094" xr:uid="{00000000-0005-0000-0000-00002EB90000}"/>
    <cellStyle name="Normal 26 2 4 2 5 14" xfId="36777" xr:uid="{00000000-0005-0000-0000-00002FB90000}"/>
    <cellStyle name="Normal 26 2 4 2 5 15" xfId="38460" xr:uid="{00000000-0005-0000-0000-000030B90000}"/>
    <cellStyle name="Normal 26 2 4 2 5 16" xfId="40143" xr:uid="{00000000-0005-0000-0000-000031B90000}"/>
    <cellStyle name="Normal 26 2 4 2 5 17" xfId="41826" xr:uid="{00000000-0005-0000-0000-000032B90000}"/>
    <cellStyle name="Normal 26 2 4 2 5 18" xfId="43509" xr:uid="{00000000-0005-0000-0000-000033B90000}"/>
    <cellStyle name="Normal 26 2 4 2 5 19" xfId="45192" xr:uid="{00000000-0005-0000-0000-000034B90000}"/>
    <cellStyle name="Normal 26 2 4 2 5 2" xfId="3113" xr:uid="{00000000-0005-0000-0000-000035B90000}"/>
    <cellStyle name="Normal 26 2 4 2 5 2 2" xfId="18262" xr:uid="{00000000-0005-0000-0000-000036B90000}"/>
    <cellStyle name="Normal 26 2 4 2 5 20" xfId="46875" xr:uid="{00000000-0005-0000-0000-000037B90000}"/>
    <cellStyle name="Normal 26 2 4 2 5 21" xfId="48558" xr:uid="{00000000-0005-0000-0000-000038B90000}"/>
    <cellStyle name="Normal 26 2 4 2 5 22" xfId="50241" xr:uid="{00000000-0005-0000-0000-000039B90000}"/>
    <cellStyle name="Normal 26 2 4 2 5 23" xfId="51924" xr:uid="{00000000-0005-0000-0000-00003AB90000}"/>
    <cellStyle name="Normal 26 2 4 2 5 24" xfId="53607" xr:uid="{00000000-0005-0000-0000-00003BB90000}"/>
    <cellStyle name="Normal 26 2 4 2 5 25" xfId="55290" xr:uid="{00000000-0005-0000-0000-00003CB90000}"/>
    <cellStyle name="Normal 26 2 4 2 5 26" xfId="56973" xr:uid="{00000000-0005-0000-0000-00003DB90000}"/>
    <cellStyle name="Normal 26 2 4 2 5 27" xfId="58656" xr:uid="{00000000-0005-0000-0000-00003EB90000}"/>
    <cellStyle name="Normal 26 2 4 2 5 28" xfId="60339" xr:uid="{00000000-0005-0000-0000-00003FB90000}"/>
    <cellStyle name="Normal 26 2 4 2 5 29" xfId="62022" xr:uid="{00000000-0005-0000-0000-000040B90000}"/>
    <cellStyle name="Normal 26 2 4 2 5 3" xfId="4797" xr:uid="{00000000-0005-0000-0000-000041B90000}"/>
    <cellStyle name="Normal 26 2 4 2 5 3 2" xfId="19946" xr:uid="{00000000-0005-0000-0000-000042B90000}"/>
    <cellStyle name="Normal 26 2 4 2 5 30" xfId="63705" xr:uid="{00000000-0005-0000-0000-000043B90000}"/>
    <cellStyle name="Normal 26 2 4 2 5 4" xfId="6480" xr:uid="{00000000-0005-0000-0000-000044B90000}"/>
    <cellStyle name="Normal 26 2 4 2 5 4 2" xfId="21629" xr:uid="{00000000-0005-0000-0000-000045B90000}"/>
    <cellStyle name="Normal 26 2 4 2 5 5" xfId="8163" xr:uid="{00000000-0005-0000-0000-000046B90000}"/>
    <cellStyle name="Normal 26 2 4 2 5 5 2" xfId="23312" xr:uid="{00000000-0005-0000-0000-000047B90000}"/>
    <cellStyle name="Normal 26 2 4 2 5 6" xfId="9846" xr:uid="{00000000-0005-0000-0000-000048B90000}"/>
    <cellStyle name="Normal 26 2 4 2 5 6 2" xfId="24995" xr:uid="{00000000-0005-0000-0000-000049B90000}"/>
    <cellStyle name="Normal 26 2 4 2 5 7" xfId="11529" xr:uid="{00000000-0005-0000-0000-00004AB90000}"/>
    <cellStyle name="Normal 26 2 4 2 5 7 2" xfId="26678" xr:uid="{00000000-0005-0000-0000-00004BB90000}"/>
    <cellStyle name="Normal 26 2 4 2 5 8" xfId="13213" xr:uid="{00000000-0005-0000-0000-00004CB90000}"/>
    <cellStyle name="Normal 26 2 4 2 5 8 2" xfId="28362" xr:uid="{00000000-0005-0000-0000-00004DB90000}"/>
    <cellStyle name="Normal 26 2 4 2 5 9" xfId="14896" xr:uid="{00000000-0005-0000-0000-00004EB90000}"/>
    <cellStyle name="Normal 26 2 4 2 5 9 2" xfId="30045" xr:uid="{00000000-0005-0000-0000-00004FB90000}"/>
    <cellStyle name="Normal 26 2 4 2 6" xfId="1851" xr:uid="{00000000-0005-0000-0000-000050B90000}"/>
    <cellStyle name="Normal 26 2 4 2 6 2" xfId="17000" xr:uid="{00000000-0005-0000-0000-000051B90000}"/>
    <cellStyle name="Normal 26 2 4 2 7" xfId="3535" xr:uid="{00000000-0005-0000-0000-000052B90000}"/>
    <cellStyle name="Normal 26 2 4 2 7 2" xfId="18684" xr:uid="{00000000-0005-0000-0000-000053B90000}"/>
    <cellStyle name="Normal 26 2 4 2 8" xfId="5218" xr:uid="{00000000-0005-0000-0000-000054B90000}"/>
    <cellStyle name="Normal 26 2 4 2 8 2" xfId="20367" xr:uid="{00000000-0005-0000-0000-000055B90000}"/>
    <cellStyle name="Normal 26 2 4 2 9" xfId="6901" xr:uid="{00000000-0005-0000-0000-000056B90000}"/>
    <cellStyle name="Normal 26 2 4 2 9 2" xfId="22050" xr:uid="{00000000-0005-0000-0000-000057B90000}"/>
    <cellStyle name="Normal 26 2 4 20" xfId="37093" xr:uid="{00000000-0005-0000-0000-000058B90000}"/>
    <cellStyle name="Normal 26 2 4 21" xfId="38776" xr:uid="{00000000-0005-0000-0000-000059B90000}"/>
    <cellStyle name="Normal 26 2 4 22" xfId="40459" xr:uid="{00000000-0005-0000-0000-00005AB90000}"/>
    <cellStyle name="Normal 26 2 4 23" xfId="42142" xr:uid="{00000000-0005-0000-0000-00005BB90000}"/>
    <cellStyle name="Normal 26 2 4 24" xfId="43825" xr:uid="{00000000-0005-0000-0000-00005CB90000}"/>
    <cellStyle name="Normal 26 2 4 25" xfId="45508" xr:uid="{00000000-0005-0000-0000-00005DB90000}"/>
    <cellStyle name="Normal 26 2 4 26" xfId="47191" xr:uid="{00000000-0005-0000-0000-00005EB90000}"/>
    <cellStyle name="Normal 26 2 4 27" xfId="48874" xr:uid="{00000000-0005-0000-0000-00005FB90000}"/>
    <cellStyle name="Normal 26 2 4 28" xfId="50557" xr:uid="{00000000-0005-0000-0000-000060B90000}"/>
    <cellStyle name="Normal 26 2 4 29" xfId="52240" xr:uid="{00000000-0005-0000-0000-000061B90000}"/>
    <cellStyle name="Normal 26 2 4 3" xfId="273" xr:uid="{00000000-0005-0000-0000-000062B90000}"/>
    <cellStyle name="Normal 26 2 4 3 10" xfId="10372" xr:uid="{00000000-0005-0000-0000-000063B90000}"/>
    <cellStyle name="Normal 26 2 4 3 10 2" xfId="25521" xr:uid="{00000000-0005-0000-0000-000064B90000}"/>
    <cellStyle name="Normal 26 2 4 3 11" xfId="12056" xr:uid="{00000000-0005-0000-0000-000065B90000}"/>
    <cellStyle name="Normal 26 2 4 3 11 2" xfId="27205" xr:uid="{00000000-0005-0000-0000-000066B90000}"/>
    <cellStyle name="Normal 26 2 4 3 12" xfId="13739" xr:uid="{00000000-0005-0000-0000-000067B90000}"/>
    <cellStyle name="Normal 26 2 4 3 12 2" xfId="28888" xr:uid="{00000000-0005-0000-0000-000068B90000}"/>
    <cellStyle name="Normal 26 2 4 3 13" xfId="15422" xr:uid="{00000000-0005-0000-0000-000069B90000}"/>
    <cellStyle name="Normal 26 2 4 3 14" xfId="30571" xr:uid="{00000000-0005-0000-0000-00006AB90000}"/>
    <cellStyle name="Normal 26 2 4 3 15" xfId="32254" xr:uid="{00000000-0005-0000-0000-00006BB90000}"/>
    <cellStyle name="Normal 26 2 4 3 16" xfId="33937" xr:uid="{00000000-0005-0000-0000-00006CB90000}"/>
    <cellStyle name="Normal 26 2 4 3 17" xfId="35620" xr:uid="{00000000-0005-0000-0000-00006DB90000}"/>
    <cellStyle name="Normal 26 2 4 3 18" xfId="37303" xr:uid="{00000000-0005-0000-0000-00006EB90000}"/>
    <cellStyle name="Normal 26 2 4 3 19" xfId="38986" xr:uid="{00000000-0005-0000-0000-00006FB90000}"/>
    <cellStyle name="Normal 26 2 4 3 2" xfId="693" xr:uid="{00000000-0005-0000-0000-000070B90000}"/>
    <cellStyle name="Normal 26 2 4 3 2 10" xfId="15842" xr:uid="{00000000-0005-0000-0000-000071B90000}"/>
    <cellStyle name="Normal 26 2 4 3 2 11" xfId="30991" xr:uid="{00000000-0005-0000-0000-000072B90000}"/>
    <cellStyle name="Normal 26 2 4 3 2 12" xfId="32674" xr:uid="{00000000-0005-0000-0000-000073B90000}"/>
    <cellStyle name="Normal 26 2 4 3 2 13" xfId="34357" xr:uid="{00000000-0005-0000-0000-000074B90000}"/>
    <cellStyle name="Normal 26 2 4 3 2 14" xfId="36040" xr:uid="{00000000-0005-0000-0000-000075B90000}"/>
    <cellStyle name="Normal 26 2 4 3 2 15" xfId="37723" xr:uid="{00000000-0005-0000-0000-000076B90000}"/>
    <cellStyle name="Normal 26 2 4 3 2 16" xfId="39406" xr:uid="{00000000-0005-0000-0000-000077B90000}"/>
    <cellStyle name="Normal 26 2 4 3 2 17" xfId="41089" xr:uid="{00000000-0005-0000-0000-000078B90000}"/>
    <cellStyle name="Normal 26 2 4 3 2 18" xfId="42772" xr:uid="{00000000-0005-0000-0000-000079B90000}"/>
    <cellStyle name="Normal 26 2 4 3 2 19" xfId="44455" xr:uid="{00000000-0005-0000-0000-00007AB90000}"/>
    <cellStyle name="Normal 26 2 4 3 2 2" xfId="2376" xr:uid="{00000000-0005-0000-0000-00007BB90000}"/>
    <cellStyle name="Normal 26 2 4 3 2 2 2" xfId="17525" xr:uid="{00000000-0005-0000-0000-00007CB90000}"/>
    <cellStyle name="Normal 26 2 4 3 2 20" xfId="46138" xr:uid="{00000000-0005-0000-0000-00007DB90000}"/>
    <cellStyle name="Normal 26 2 4 3 2 21" xfId="47821" xr:uid="{00000000-0005-0000-0000-00007EB90000}"/>
    <cellStyle name="Normal 26 2 4 3 2 22" xfId="49504" xr:uid="{00000000-0005-0000-0000-00007FB90000}"/>
    <cellStyle name="Normal 26 2 4 3 2 23" xfId="51187" xr:uid="{00000000-0005-0000-0000-000080B90000}"/>
    <cellStyle name="Normal 26 2 4 3 2 24" xfId="52870" xr:uid="{00000000-0005-0000-0000-000081B90000}"/>
    <cellStyle name="Normal 26 2 4 3 2 25" xfId="54553" xr:uid="{00000000-0005-0000-0000-000082B90000}"/>
    <cellStyle name="Normal 26 2 4 3 2 26" xfId="56236" xr:uid="{00000000-0005-0000-0000-000083B90000}"/>
    <cellStyle name="Normal 26 2 4 3 2 27" xfId="57919" xr:uid="{00000000-0005-0000-0000-000084B90000}"/>
    <cellStyle name="Normal 26 2 4 3 2 28" xfId="59602" xr:uid="{00000000-0005-0000-0000-000085B90000}"/>
    <cellStyle name="Normal 26 2 4 3 2 29" xfId="61285" xr:uid="{00000000-0005-0000-0000-000086B90000}"/>
    <cellStyle name="Normal 26 2 4 3 2 3" xfId="4060" xr:uid="{00000000-0005-0000-0000-000087B90000}"/>
    <cellStyle name="Normal 26 2 4 3 2 3 2" xfId="19209" xr:uid="{00000000-0005-0000-0000-000088B90000}"/>
    <cellStyle name="Normal 26 2 4 3 2 30" xfId="62968" xr:uid="{00000000-0005-0000-0000-000089B90000}"/>
    <cellStyle name="Normal 26 2 4 3 2 4" xfId="5743" xr:uid="{00000000-0005-0000-0000-00008AB90000}"/>
    <cellStyle name="Normal 26 2 4 3 2 4 2" xfId="20892" xr:uid="{00000000-0005-0000-0000-00008BB90000}"/>
    <cellStyle name="Normal 26 2 4 3 2 5" xfId="7426" xr:uid="{00000000-0005-0000-0000-00008CB90000}"/>
    <cellStyle name="Normal 26 2 4 3 2 5 2" xfId="22575" xr:uid="{00000000-0005-0000-0000-00008DB90000}"/>
    <cellStyle name="Normal 26 2 4 3 2 6" xfId="9109" xr:uid="{00000000-0005-0000-0000-00008EB90000}"/>
    <cellStyle name="Normal 26 2 4 3 2 6 2" xfId="24258" xr:uid="{00000000-0005-0000-0000-00008FB90000}"/>
    <cellStyle name="Normal 26 2 4 3 2 7" xfId="10792" xr:uid="{00000000-0005-0000-0000-000090B90000}"/>
    <cellStyle name="Normal 26 2 4 3 2 7 2" xfId="25941" xr:uid="{00000000-0005-0000-0000-000091B90000}"/>
    <cellStyle name="Normal 26 2 4 3 2 8" xfId="12476" xr:uid="{00000000-0005-0000-0000-000092B90000}"/>
    <cellStyle name="Normal 26 2 4 3 2 8 2" xfId="27625" xr:uid="{00000000-0005-0000-0000-000093B90000}"/>
    <cellStyle name="Normal 26 2 4 3 2 9" xfId="14159" xr:uid="{00000000-0005-0000-0000-000094B90000}"/>
    <cellStyle name="Normal 26 2 4 3 2 9 2" xfId="29308" xr:uid="{00000000-0005-0000-0000-000095B90000}"/>
    <cellStyle name="Normal 26 2 4 3 20" xfId="40669" xr:uid="{00000000-0005-0000-0000-000096B90000}"/>
    <cellStyle name="Normal 26 2 4 3 21" xfId="42352" xr:uid="{00000000-0005-0000-0000-000097B90000}"/>
    <cellStyle name="Normal 26 2 4 3 22" xfId="44035" xr:uid="{00000000-0005-0000-0000-000098B90000}"/>
    <cellStyle name="Normal 26 2 4 3 23" xfId="45718" xr:uid="{00000000-0005-0000-0000-000099B90000}"/>
    <cellStyle name="Normal 26 2 4 3 24" xfId="47401" xr:uid="{00000000-0005-0000-0000-00009AB90000}"/>
    <cellStyle name="Normal 26 2 4 3 25" xfId="49084" xr:uid="{00000000-0005-0000-0000-00009BB90000}"/>
    <cellStyle name="Normal 26 2 4 3 26" xfId="50767" xr:uid="{00000000-0005-0000-0000-00009CB90000}"/>
    <cellStyle name="Normal 26 2 4 3 27" xfId="52450" xr:uid="{00000000-0005-0000-0000-00009DB90000}"/>
    <cellStyle name="Normal 26 2 4 3 28" xfId="54133" xr:uid="{00000000-0005-0000-0000-00009EB90000}"/>
    <cellStyle name="Normal 26 2 4 3 29" xfId="55816" xr:uid="{00000000-0005-0000-0000-00009FB90000}"/>
    <cellStyle name="Normal 26 2 4 3 3" xfId="1114" xr:uid="{00000000-0005-0000-0000-0000A0B90000}"/>
    <cellStyle name="Normal 26 2 4 3 3 10" xfId="16263" xr:uid="{00000000-0005-0000-0000-0000A1B90000}"/>
    <cellStyle name="Normal 26 2 4 3 3 11" xfId="31412" xr:uid="{00000000-0005-0000-0000-0000A2B90000}"/>
    <cellStyle name="Normal 26 2 4 3 3 12" xfId="33095" xr:uid="{00000000-0005-0000-0000-0000A3B90000}"/>
    <cellStyle name="Normal 26 2 4 3 3 13" xfId="34778" xr:uid="{00000000-0005-0000-0000-0000A4B90000}"/>
    <cellStyle name="Normal 26 2 4 3 3 14" xfId="36461" xr:uid="{00000000-0005-0000-0000-0000A5B90000}"/>
    <cellStyle name="Normal 26 2 4 3 3 15" xfId="38144" xr:uid="{00000000-0005-0000-0000-0000A6B90000}"/>
    <cellStyle name="Normal 26 2 4 3 3 16" xfId="39827" xr:uid="{00000000-0005-0000-0000-0000A7B90000}"/>
    <cellStyle name="Normal 26 2 4 3 3 17" xfId="41510" xr:uid="{00000000-0005-0000-0000-0000A8B90000}"/>
    <cellStyle name="Normal 26 2 4 3 3 18" xfId="43193" xr:uid="{00000000-0005-0000-0000-0000A9B90000}"/>
    <cellStyle name="Normal 26 2 4 3 3 19" xfId="44876" xr:uid="{00000000-0005-0000-0000-0000AAB90000}"/>
    <cellStyle name="Normal 26 2 4 3 3 2" xfId="2797" xr:uid="{00000000-0005-0000-0000-0000ABB90000}"/>
    <cellStyle name="Normal 26 2 4 3 3 2 2" xfId="17946" xr:uid="{00000000-0005-0000-0000-0000ACB90000}"/>
    <cellStyle name="Normal 26 2 4 3 3 20" xfId="46559" xr:uid="{00000000-0005-0000-0000-0000ADB90000}"/>
    <cellStyle name="Normal 26 2 4 3 3 21" xfId="48242" xr:uid="{00000000-0005-0000-0000-0000AEB90000}"/>
    <cellStyle name="Normal 26 2 4 3 3 22" xfId="49925" xr:uid="{00000000-0005-0000-0000-0000AFB90000}"/>
    <cellStyle name="Normal 26 2 4 3 3 23" xfId="51608" xr:uid="{00000000-0005-0000-0000-0000B0B90000}"/>
    <cellStyle name="Normal 26 2 4 3 3 24" xfId="53291" xr:uid="{00000000-0005-0000-0000-0000B1B90000}"/>
    <cellStyle name="Normal 26 2 4 3 3 25" xfId="54974" xr:uid="{00000000-0005-0000-0000-0000B2B90000}"/>
    <cellStyle name="Normal 26 2 4 3 3 26" xfId="56657" xr:uid="{00000000-0005-0000-0000-0000B3B90000}"/>
    <cellStyle name="Normal 26 2 4 3 3 27" xfId="58340" xr:uid="{00000000-0005-0000-0000-0000B4B90000}"/>
    <cellStyle name="Normal 26 2 4 3 3 28" xfId="60023" xr:uid="{00000000-0005-0000-0000-0000B5B90000}"/>
    <cellStyle name="Normal 26 2 4 3 3 29" xfId="61706" xr:uid="{00000000-0005-0000-0000-0000B6B90000}"/>
    <cellStyle name="Normal 26 2 4 3 3 3" xfId="4481" xr:uid="{00000000-0005-0000-0000-0000B7B90000}"/>
    <cellStyle name="Normal 26 2 4 3 3 3 2" xfId="19630" xr:uid="{00000000-0005-0000-0000-0000B8B90000}"/>
    <cellStyle name="Normal 26 2 4 3 3 30" xfId="63389" xr:uid="{00000000-0005-0000-0000-0000B9B90000}"/>
    <cellStyle name="Normal 26 2 4 3 3 4" xfId="6164" xr:uid="{00000000-0005-0000-0000-0000BAB90000}"/>
    <cellStyle name="Normal 26 2 4 3 3 4 2" xfId="21313" xr:uid="{00000000-0005-0000-0000-0000BBB90000}"/>
    <cellStyle name="Normal 26 2 4 3 3 5" xfId="7847" xr:uid="{00000000-0005-0000-0000-0000BCB90000}"/>
    <cellStyle name="Normal 26 2 4 3 3 5 2" xfId="22996" xr:uid="{00000000-0005-0000-0000-0000BDB90000}"/>
    <cellStyle name="Normal 26 2 4 3 3 6" xfId="9530" xr:uid="{00000000-0005-0000-0000-0000BEB90000}"/>
    <cellStyle name="Normal 26 2 4 3 3 6 2" xfId="24679" xr:uid="{00000000-0005-0000-0000-0000BFB90000}"/>
    <cellStyle name="Normal 26 2 4 3 3 7" xfId="11213" xr:uid="{00000000-0005-0000-0000-0000C0B90000}"/>
    <cellStyle name="Normal 26 2 4 3 3 7 2" xfId="26362" xr:uid="{00000000-0005-0000-0000-0000C1B90000}"/>
    <cellStyle name="Normal 26 2 4 3 3 8" xfId="12897" xr:uid="{00000000-0005-0000-0000-0000C2B90000}"/>
    <cellStyle name="Normal 26 2 4 3 3 8 2" xfId="28046" xr:uid="{00000000-0005-0000-0000-0000C3B90000}"/>
    <cellStyle name="Normal 26 2 4 3 3 9" xfId="14580" xr:uid="{00000000-0005-0000-0000-0000C4B90000}"/>
    <cellStyle name="Normal 26 2 4 3 3 9 2" xfId="29729" xr:uid="{00000000-0005-0000-0000-0000C5B90000}"/>
    <cellStyle name="Normal 26 2 4 3 30" xfId="57499" xr:uid="{00000000-0005-0000-0000-0000C6B90000}"/>
    <cellStyle name="Normal 26 2 4 3 31" xfId="59182" xr:uid="{00000000-0005-0000-0000-0000C7B90000}"/>
    <cellStyle name="Normal 26 2 4 3 32" xfId="60865" xr:uid="{00000000-0005-0000-0000-0000C8B90000}"/>
    <cellStyle name="Normal 26 2 4 3 33" xfId="62548" xr:uid="{00000000-0005-0000-0000-0000C9B90000}"/>
    <cellStyle name="Normal 26 2 4 3 4" xfId="1535" xr:uid="{00000000-0005-0000-0000-0000CAB90000}"/>
    <cellStyle name="Normal 26 2 4 3 4 10" xfId="16684" xr:uid="{00000000-0005-0000-0000-0000CBB90000}"/>
    <cellStyle name="Normal 26 2 4 3 4 11" xfId="31833" xr:uid="{00000000-0005-0000-0000-0000CCB90000}"/>
    <cellStyle name="Normal 26 2 4 3 4 12" xfId="33516" xr:uid="{00000000-0005-0000-0000-0000CDB90000}"/>
    <cellStyle name="Normal 26 2 4 3 4 13" xfId="35199" xr:uid="{00000000-0005-0000-0000-0000CEB90000}"/>
    <cellStyle name="Normal 26 2 4 3 4 14" xfId="36882" xr:uid="{00000000-0005-0000-0000-0000CFB90000}"/>
    <cellStyle name="Normal 26 2 4 3 4 15" xfId="38565" xr:uid="{00000000-0005-0000-0000-0000D0B90000}"/>
    <cellStyle name="Normal 26 2 4 3 4 16" xfId="40248" xr:uid="{00000000-0005-0000-0000-0000D1B90000}"/>
    <cellStyle name="Normal 26 2 4 3 4 17" xfId="41931" xr:uid="{00000000-0005-0000-0000-0000D2B90000}"/>
    <cellStyle name="Normal 26 2 4 3 4 18" xfId="43614" xr:uid="{00000000-0005-0000-0000-0000D3B90000}"/>
    <cellStyle name="Normal 26 2 4 3 4 19" xfId="45297" xr:uid="{00000000-0005-0000-0000-0000D4B90000}"/>
    <cellStyle name="Normal 26 2 4 3 4 2" xfId="3218" xr:uid="{00000000-0005-0000-0000-0000D5B90000}"/>
    <cellStyle name="Normal 26 2 4 3 4 2 2" xfId="18367" xr:uid="{00000000-0005-0000-0000-0000D6B90000}"/>
    <cellStyle name="Normal 26 2 4 3 4 20" xfId="46980" xr:uid="{00000000-0005-0000-0000-0000D7B90000}"/>
    <cellStyle name="Normal 26 2 4 3 4 21" xfId="48663" xr:uid="{00000000-0005-0000-0000-0000D8B90000}"/>
    <cellStyle name="Normal 26 2 4 3 4 22" xfId="50346" xr:uid="{00000000-0005-0000-0000-0000D9B90000}"/>
    <cellStyle name="Normal 26 2 4 3 4 23" xfId="52029" xr:uid="{00000000-0005-0000-0000-0000DAB90000}"/>
    <cellStyle name="Normal 26 2 4 3 4 24" xfId="53712" xr:uid="{00000000-0005-0000-0000-0000DBB90000}"/>
    <cellStyle name="Normal 26 2 4 3 4 25" xfId="55395" xr:uid="{00000000-0005-0000-0000-0000DCB90000}"/>
    <cellStyle name="Normal 26 2 4 3 4 26" xfId="57078" xr:uid="{00000000-0005-0000-0000-0000DDB90000}"/>
    <cellStyle name="Normal 26 2 4 3 4 27" xfId="58761" xr:uid="{00000000-0005-0000-0000-0000DEB90000}"/>
    <cellStyle name="Normal 26 2 4 3 4 28" xfId="60444" xr:uid="{00000000-0005-0000-0000-0000DFB90000}"/>
    <cellStyle name="Normal 26 2 4 3 4 29" xfId="62127" xr:uid="{00000000-0005-0000-0000-0000E0B90000}"/>
    <cellStyle name="Normal 26 2 4 3 4 3" xfId="4902" xr:uid="{00000000-0005-0000-0000-0000E1B90000}"/>
    <cellStyle name="Normal 26 2 4 3 4 3 2" xfId="20051" xr:uid="{00000000-0005-0000-0000-0000E2B90000}"/>
    <cellStyle name="Normal 26 2 4 3 4 30" xfId="63810" xr:uid="{00000000-0005-0000-0000-0000E3B90000}"/>
    <cellStyle name="Normal 26 2 4 3 4 4" xfId="6585" xr:uid="{00000000-0005-0000-0000-0000E4B90000}"/>
    <cellStyle name="Normal 26 2 4 3 4 4 2" xfId="21734" xr:uid="{00000000-0005-0000-0000-0000E5B90000}"/>
    <cellStyle name="Normal 26 2 4 3 4 5" xfId="8268" xr:uid="{00000000-0005-0000-0000-0000E6B90000}"/>
    <cellStyle name="Normal 26 2 4 3 4 5 2" xfId="23417" xr:uid="{00000000-0005-0000-0000-0000E7B90000}"/>
    <cellStyle name="Normal 26 2 4 3 4 6" xfId="9951" xr:uid="{00000000-0005-0000-0000-0000E8B90000}"/>
    <cellStyle name="Normal 26 2 4 3 4 6 2" xfId="25100" xr:uid="{00000000-0005-0000-0000-0000E9B90000}"/>
    <cellStyle name="Normal 26 2 4 3 4 7" xfId="11634" xr:uid="{00000000-0005-0000-0000-0000EAB90000}"/>
    <cellStyle name="Normal 26 2 4 3 4 7 2" xfId="26783" xr:uid="{00000000-0005-0000-0000-0000EBB90000}"/>
    <cellStyle name="Normal 26 2 4 3 4 8" xfId="13318" xr:uid="{00000000-0005-0000-0000-0000ECB90000}"/>
    <cellStyle name="Normal 26 2 4 3 4 8 2" xfId="28467" xr:uid="{00000000-0005-0000-0000-0000EDB90000}"/>
    <cellStyle name="Normal 26 2 4 3 4 9" xfId="15001" xr:uid="{00000000-0005-0000-0000-0000EEB90000}"/>
    <cellStyle name="Normal 26 2 4 3 4 9 2" xfId="30150" xr:uid="{00000000-0005-0000-0000-0000EFB90000}"/>
    <cellStyle name="Normal 26 2 4 3 5" xfId="1956" xr:uid="{00000000-0005-0000-0000-0000F0B90000}"/>
    <cellStyle name="Normal 26 2 4 3 5 2" xfId="17105" xr:uid="{00000000-0005-0000-0000-0000F1B90000}"/>
    <cellStyle name="Normal 26 2 4 3 6" xfId="3640" xr:uid="{00000000-0005-0000-0000-0000F2B90000}"/>
    <cellStyle name="Normal 26 2 4 3 6 2" xfId="18789" xr:uid="{00000000-0005-0000-0000-0000F3B90000}"/>
    <cellStyle name="Normal 26 2 4 3 7" xfId="5323" xr:uid="{00000000-0005-0000-0000-0000F4B90000}"/>
    <cellStyle name="Normal 26 2 4 3 7 2" xfId="20472" xr:uid="{00000000-0005-0000-0000-0000F5B90000}"/>
    <cellStyle name="Normal 26 2 4 3 8" xfId="7006" xr:uid="{00000000-0005-0000-0000-0000F6B90000}"/>
    <cellStyle name="Normal 26 2 4 3 8 2" xfId="22155" xr:uid="{00000000-0005-0000-0000-0000F7B90000}"/>
    <cellStyle name="Normal 26 2 4 3 9" xfId="8689" xr:uid="{00000000-0005-0000-0000-0000F8B90000}"/>
    <cellStyle name="Normal 26 2 4 3 9 2" xfId="23838" xr:uid="{00000000-0005-0000-0000-0000F9B90000}"/>
    <cellStyle name="Normal 26 2 4 30" xfId="53923" xr:uid="{00000000-0005-0000-0000-0000FAB90000}"/>
    <cellStyle name="Normal 26 2 4 31" xfId="55606" xr:uid="{00000000-0005-0000-0000-0000FBB90000}"/>
    <cellStyle name="Normal 26 2 4 32" xfId="57289" xr:uid="{00000000-0005-0000-0000-0000FCB90000}"/>
    <cellStyle name="Normal 26 2 4 33" xfId="58972" xr:uid="{00000000-0005-0000-0000-0000FDB90000}"/>
    <cellStyle name="Normal 26 2 4 34" xfId="60655" xr:uid="{00000000-0005-0000-0000-0000FEB90000}"/>
    <cellStyle name="Normal 26 2 4 35" xfId="62338" xr:uid="{00000000-0005-0000-0000-0000FFB90000}"/>
    <cellStyle name="Normal 26 2 4 4" xfId="483" xr:uid="{00000000-0005-0000-0000-000000BA0000}"/>
    <cellStyle name="Normal 26 2 4 4 10" xfId="15632" xr:uid="{00000000-0005-0000-0000-000001BA0000}"/>
    <cellStyle name="Normal 26 2 4 4 11" xfId="30781" xr:uid="{00000000-0005-0000-0000-000002BA0000}"/>
    <cellStyle name="Normal 26 2 4 4 12" xfId="32464" xr:uid="{00000000-0005-0000-0000-000003BA0000}"/>
    <cellStyle name="Normal 26 2 4 4 13" xfId="34147" xr:uid="{00000000-0005-0000-0000-000004BA0000}"/>
    <cellStyle name="Normal 26 2 4 4 14" xfId="35830" xr:uid="{00000000-0005-0000-0000-000005BA0000}"/>
    <cellStyle name="Normal 26 2 4 4 15" xfId="37513" xr:uid="{00000000-0005-0000-0000-000006BA0000}"/>
    <cellStyle name="Normal 26 2 4 4 16" xfId="39196" xr:uid="{00000000-0005-0000-0000-000007BA0000}"/>
    <cellStyle name="Normal 26 2 4 4 17" xfId="40879" xr:uid="{00000000-0005-0000-0000-000008BA0000}"/>
    <cellStyle name="Normal 26 2 4 4 18" xfId="42562" xr:uid="{00000000-0005-0000-0000-000009BA0000}"/>
    <cellStyle name="Normal 26 2 4 4 19" xfId="44245" xr:uid="{00000000-0005-0000-0000-00000ABA0000}"/>
    <cellStyle name="Normal 26 2 4 4 2" xfId="2166" xr:uid="{00000000-0005-0000-0000-00000BBA0000}"/>
    <cellStyle name="Normal 26 2 4 4 2 2" xfId="17315" xr:uid="{00000000-0005-0000-0000-00000CBA0000}"/>
    <cellStyle name="Normal 26 2 4 4 20" xfId="45928" xr:uid="{00000000-0005-0000-0000-00000DBA0000}"/>
    <cellStyle name="Normal 26 2 4 4 21" xfId="47611" xr:uid="{00000000-0005-0000-0000-00000EBA0000}"/>
    <cellStyle name="Normal 26 2 4 4 22" xfId="49294" xr:uid="{00000000-0005-0000-0000-00000FBA0000}"/>
    <cellStyle name="Normal 26 2 4 4 23" xfId="50977" xr:uid="{00000000-0005-0000-0000-000010BA0000}"/>
    <cellStyle name="Normal 26 2 4 4 24" xfId="52660" xr:uid="{00000000-0005-0000-0000-000011BA0000}"/>
    <cellStyle name="Normal 26 2 4 4 25" xfId="54343" xr:uid="{00000000-0005-0000-0000-000012BA0000}"/>
    <cellStyle name="Normal 26 2 4 4 26" xfId="56026" xr:uid="{00000000-0005-0000-0000-000013BA0000}"/>
    <cellStyle name="Normal 26 2 4 4 27" xfId="57709" xr:uid="{00000000-0005-0000-0000-000014BA0000}"/>
    <cellStyle name="Normal 26 2 4 4 28" xfId="59392" xr:uid="{00000000-0005-0000-0000-000015BA0000}"/>
    <cellStyle name="Normal 26 2 4 4 29" xfId="61075" xr:uid="{00000000-0005-0000-0000-000016BA0000}"/>
    <cellStyle name="Normal 26 2 4 4 3" xfId="3850" xr:uid="{00000000-0005-0000-0000-000017BA0000}"/>
    <cellStyle name="Normal 26 2 4 4 3 2" xfId="18999" xr:uid="{00000000-0005-0000-0000-000018BA0000}"/>
    <cellStyle name="Normal 26 2 4 4 30" xfId="62758" xr:uid="{00000000-0005-0000-0000-000019BA0000}"/>
    <cellStyle name="Normal 26 2 4 4 4" xfId="5533" xr:uid="{00000000-0005-0000-0000-00001ABA0000}"/>
    <cellStyle name="Normal 26 2 4 4 4 2" xfId="20682" xr:uid="{00000000-0005-0000-0000-00001BBA0000}"/>
    <cellStyle name="Normal 26 2 4 4 5" xfId="7216" xr:uid="{00000000-0005-0000-0000-00001CBA0000}"/>
    <cellStyle name="Normal 26 2 4 4 5 2" xfId="22365" xr:uid="{00000000-0005-0000-0000-00001DBA0000}"/>
    <cellStyle name="Normal 26 2 4 4 6" xfId="8899" xr:uid="{00000000-0005-0000-0000-00001EBA0000}"/>
    <cellStyle name="Normal 26 2 4 4 6 2" xfId="24048" xr:uid="{00000000-0005-0000-0000-00001FBA0000}"/>
    <cellStyle name="Normal 26 2 4 4 7" xfId="10582" xr:uid="{00000000-0005-0000-0000-000020BA0000}"/>
    <cellStyle name="Normal 26 2 4 4 7 2" xfId="25731" xr:uid="{00000000-0005-0000-0000-000021BA0000}"/>
    <cellStyle name="Normal 26 2 4 4 8" xfId="12266" xr:uid="{00000000-0005-0000-0000-000022BA0000}"/>
    <cellStyle name="Normal 26 2 4 4 8 2" xfId="27415" xr:uid="{00000000-0005-0000-0000-000023BA0000}"/>
    <cellStyle name="Normal 26 2 4 4 9" xfId="13949" xr:uid="{00000000-0005-0000-0000-000024BA0000}"/>
    <cellStyle name="Normal 26 2 4 4 9 2" xfId="29098" xr:uid="{00000000-0005-0000-0000-000025BA0000}"/>
    <cellStyle name="Normal 26 2 4 5" xfId="904" xr:uid="{00000000-0005-0000-0000-000026BA0000}"/>
    <cellStyle name="Normal 26 2 4 5 10" xfId="16053" xr:uid="{00000000-0005-0000-0000-000027BA0000}"/>
    <cellStyle name="Normal 26 2 4 5 11" xfId="31202" xr:uid="{00000000-0005-0000-0000-000028BA0000}"/>
    <cellStyle name="Normal 26 2 4 5 12" xfId="32885" xr:uid="{00000000-0005-0000-0000-000029BA0000}"/>
    <cellStyle name="Normal 26 2 4 5 13" xfId="34568" xr:uid="{00000000-0005-0000-0000-00002ABA0000}"/>
    <cellStyle name="Normal 26 2 4 5 14" xfId="36251" xr:uid="{00000000-0005-0000-0000-00002BBA0000}"/>
    <cellStyle name="Normal 26 2 4 5 15" xfId="37934" xr:uid="{00000000-0005-0000-0000-00002CBA0000}"/>
    <cellStyle name="Normal 26 2 4 5 16" xfId="39617" xr:uid="{00000000-0005-0000-0000-00002DBA0000}"/>
    <cellStyle name="Normal 26 2 4 5 17" xfId="41300" xr:uid="{00000000-0005-0000-0000-00002EBA0000}"/>
    <cellStyle name="Normal 26 2 4 5 18" xfId="42983" xr:uid="{00000000-0005-0000-0000-00002FBA0000}"/>
    <cellStyle name="Normal 26 2 4 5 19" xfId="44666" xr:uid="{00000000-0005-0000-0000-000030BA0000}"/>
    <cellStyle name="Normal 26 2 4 5 2" xfId="2587" xr:uid="{00000000-0005-0000-0000-000031BA0000}"/>
    <cellStyle name="Normal 26 2 4 5 2 2" xfId="17736" xr:uid="{00000000-0005-0000-0000-000032BA0000}"/>
    <cellStyle name="Normal 26 2 4 5 20" xfId="46349" xr:uid="{00000000-0005-0000-0000-000033BA0000}"/>
    <cellStyle name="Normal 26 2 4 5 21" xfId="48032" xr:uid="{00000000-0005-0000-0000-000034BA0000}"/>
    <cellStyle name="Normal 26 2 4 5 22" xfId="49715" xr:uid="{00000000-0005-0000-0000-000035BA0000}"/>
    <cellStyle name="Normal 26 2 4 5 23" xfId="51398" xr:uid="{00000000-0005-0000-0000-000036BA0000}"/>
    <cellStyle name="Normal 26 2 4 5 24" xfId="53081" xr:uid="{00000000-0005-0000-0000-000037BA0000}"/>
    <cellStyle name="Normal 26 2 4 5 25" xfId="54764" xr:uid="{00000000-0005-0000-0000-000038BA0000}"/>
    <cellStyle name="Normal 26 2 4 5 26" xfId="56447" xr:uid="{00000000-0005-0000-0000-000039BA0000}"/>
    <cellStyle name="Normal 26 2 4 5 27" xfId="58130" xr:uid="{00000000-0005-0000-0000-00003ABA0000}"/>
    <cellStyle name="Normal 26 2 4 5 28" xfId="59813" xr:uid="{00000000-0005-0000-0000-00003BBA0000}"/>
    <cellStyle name="Normal 26 2 4 5 29" xfId="61496" xr:uid="{00000000-0005-0000-0000-00003CBA0000}"/>
    <cellStyle name="Normal 26 2 4 5 3" xfId="4271" xr:uid="{00000000-0005-0000-0000-00003DBA0000}"/>
    <cellStyle name="Normal 26 2 4 5 3 2" xfId="19420" xr:uid="{00000000-0005-0000-0000-00003EBA0000}"/>
    <cellStyle name="Normal 26 2 4 5 30" xfId="63179" xr:uid="{00000000-0005-0000-0000-00003FBA0000}"/>
    <cellStyle name="Normal 26 2 4 5 4" xfId="5954" xr:uid="{00000000-0005-0000-0000-000040BA0000}"/>
    <cellStyle name="Normal 26 2 4 5 4 2" xfId="21103" xr:uid="{00000000-0005-0000-0000-000041BA0000}"/>
    <cellStyle name="Normal 26 2 4 5 5" xfId="7637" xr:uid="{00000000-0005-0000-0000-000042BA0000}"/>
    <cellStyle name="Normal 26 2 4 5 5 2" xfId="22786" xr:uid="{00000000-0005-0000-0000-000043BA0000}"/>
    <cellStyle name="Normal 26 2 4 5 6" xfId="9320" xr:uid="{00000000-0005-0000-0000-000044BA0000}"/>
    <cellStyle name="Normal 26 2 4 5 6 2" xfId="24469" xr:uid="{00000000-0005-0000-0000-000045BA0000}"/>
    <cellStyle name="Normal 26 2 4 5 7" xfId="11003" xr:uid="{00000000-0005-0000-0000-000046BA0000}"/>
    <cellStyle name="Normal 26 2 4 5 7 2" xfId="26152" xr:uid="{00000000-0005-0000-0000-000047BA0000}"/>
    <cellStyle name="Normal 26 2 4 5 8" xfId="12687" xr:uid="{00000000-0005-0000-0000-000048BA0000}"/>
    <cellStyle name="Normal 26 2 4 5 8 2" xfId="27836" xr:uid="{00000000-0005-0000-0000-000049BA0000}"/>
    <cellStyle name="Normal 26 2 4 5 9" xfId="14370" xr:uid="{00000000-0005-0000-0000-00004ABA0000}"/>
    <cellStyle name="Normal 26 2 4 5 9 2" xfId="29519" xr:uid="{00000000-0005-0000-0000-00004BBA0000}"/>
    <cellStyle name="Normal 26 2 4 6" xfId="1325" xr:uid="{00000000-0005-0000-0000-00004CBA0000}"/>
    <cellStyle name="Normal 26 2 4 6 10" xfId="16474" xr:uid="{00000000-0005-0000-0000-00004DBA0000}"/>
    <cellStyle name="Normal 26 2 4 6 11" xfId="31623" xr:uid="{00000000-0005-0000-0000-00004EBA0000}"/>
    <cellStyle name="Normal 26 2 4 6 12" xfId="33306" xr:uid="{00000000-0005-0000-0000-00004FBA0000}"/>
    <cellStyle name="Normal 26 2 4 6 13" xfId="34989" xr:uid="{00000000-0005-0000-0000-000050BA0000}"/>
    <cellStyle name="Normal 26 2 4 6 14" xfId="36672" xr:uid="{00000000-0005-0000-0000-000051BA0000}"/>
    <cellStyle name="Normal 26 2 4 6 15" xfId="38355" xr:uid="{00000000-0005-0000-0000-000052BA0000}"/>
    <cellStyle name="Normal 26 2 4 6 16" xfId="40038" xr:uid="{00000000-0005-0000-0000-000053BA0000}"/>
    <cellStyle name="Normal 26 2 4 6 17" xfId="41721" xr:uid="{00000000-0005-0000-0000-000054BA0000}"/>
    <cellStyle name="Normal 26 2 4 6 18" xfId="43404" xr:uid="{00000000-0005-0000-0000-000055BA0000}"/>
    <cellStyle name="Normal 26 2 4 6 19" xfId="45087" xr:uid="{00000000-0005-0000-0000-000056BA0000}"/>
    <cellStyle name="Normal 26 2 4 6 2" xfId="3008" xr:uid="{00000000-0005-0000-0000-000057BA0000}"/>
    <cellStyle name="Normal 26 2 4 6 2 2" xfId="18157" xr:uid="{00000000-0005-0000-0000-000058BA0000}"/>
    <cellStyle name="Normal 26 2 4 6 20" xfId="46770" xr:uid="{00000000-0005-0000-0000-000059BA0000}"/>
    <cellStyle name="Normal 26 2 4 6 21" xfId="48453" xr:uid="{00000000-0005-0000-0000-00005ABA0000}"/>
    <cellStyle name="Normal 26 2 4 6 22" xfId="50136" xr:uid="{00000000-0005-0000-0000-00005BBA0000}"/>
    <cellStyle name="Normal 26 2 4 6 23" xfId="51819" xr:uid="{00000000-0005-0000-0000-00005CBA0000}"/>
    <cellStyle name="Normal 26 2 4 6 24" xfId="53502" xr:uid="{00000000-0005-0000-0000-00005DBA0000}"/>
    <cellStyle name="Normal 26 2 4 6 25" xfId="55185" xr:uid="{00000000-0005-0000-0000-00005EBA0000}"/>
    <cellStyle name="Normal 26 2 4 6 26" xfId="56868" xr:uid="{00000000-0005-0000-0000-00005FBA0000}"/>
    <cellStyle name="Normal 26 2 4 6 27" xfId="58551" xr:uid="{00000000-0005-0000-0000-000060BA0000}"/>
    <cellStyle name="Normal 26 2 4 6 28" xfId="60234" xr:uid="{00000000-0005-0000-0000-000061BA0000}"/>
    <cellStyle name="Normal 26 2 4 6 29" xfId="61917" xr:uid="{00000000-0005-0000-0000-000062BA0000}"/>
    <cellStyle name="Normal 26 2 4 6 3" xfId="4692" xr:uid="{00000000-0005-0000-0000-000063BA0000}"/>
    <cellStyle name="Normal 26 2 4 6 3 2" xfId="19841" xr:uid="{00000000-0005-0000-0000-000064BA0000}"/>
    <cellStyle name="Normal 26 2 4 6 30" xfId="63600" xr:uid="{00000000-0005-0000-0000-000065BA0000}"/>
    <cellStyle name="Normal 26 2 4 6 4" xfId="6375" xr:uid="{00000000-0005-0000-0000-000066BA0000}"/>
    <cellStyle name="Normal 26 2 4 6 4 2" xfId="21524" xr:uid="{00000000-0005-0000-0000-000067BA0000}"/>
    <cellStyle name="Normal 26 2 4 6 5" xfId="8058" xr:uid="{00000000-0005-0000-0000-000068BA0000}"/>
    <cellStyle name="Normal 26 2 4 6 5 2" xfId="23207" xr:uid="{00000000-0005-0000-0000-000069BA0000}"/>
    <cellStyle name="Normal 26 2 4 6 6" xfId="9741" xr:uid="{00000000-0005-0000-0000-00006ABA0000}"/>
    <cellStyle name="Normal 26 2 4 6 6 2" xfId="24890" xr:uid="{00000000-0005-0000-0000-00006BBA0000}"/>
    <cellStyle name="Normal 26 2 4 6 7" xfId="11424" xr:uid="{00000000-0005-0000-0000-00006CBA0000}"/>
    <cellStyle name="Normal 26 2 4 6 7 2" xfId="26573" xr:uid="{00000000-0005-0000-0000-00006DBA0000}"/>
    <cellStyle name="Normal 26 2 4 6 8" xfId="13108" xr:uid="{00000000-0005-0000-0000-00006EBA0000}"/>
    <cellStyle name="Normal 26 2 4 6 8 2" xfId="28257" xr:uid="{00000000-0005-0000-0000-00006FBA0000}"/>
    <cellStyle name="Normal 26 2 4 6 9" xfId="14791" xr:uid="{00000000-0005-0000-0000-000070BA0000}"/>
    <cellStyle name="Normal 26 2 4 6 9 2" xfId="29940" xr:uid="{00000000-0005-0000-0000-000071BA0000}"/>
    <cellStyle name="Normal 26 2 4 7" xfId="1746" xr:uid="{00000000-0005-0000-0000-000072BA0000}"/>
    <cellStyle name="Normal 26 2 4 7 2" xfId="16895" xr:uid="{00000000-0005-0000-0000-000073BA0000}"/>
    <cellStyle name="Normal 26 2 4 8" xfId="3430" xr:uid="{00000000-0005-0000-0000-000074BA0000}"/>
    <cellStyle name="Normal 26 2 4 8 2" xfId="18579" xr:uid="{00000000-0005-0000-0000-000075BA0000}"/>
    <cellStyle name="Normal 26 2 4 9" xfId="5113" xr:uid="{00000000-0005-0000-0000-000076BA0000}"/>
    <cellStyle name="Normal 26 2 4 9 2" xfId="20262" xr:uid="{00000000-0005-0000-0000-000077BA0000}"/>
    <cellStyle name="Normal 26 2 5" xfId="50" xr:uid="{00000000-0005-0000-0000-000078BA0000}"/>
    <cellStyle name="Normal 26 2 5 10" xfId="6805" xr:uid="{00000000-0005-0000-0000-000079BA0000}"/>
    <cellStyle name="Normal 26 2 5 10 2" xfId="21954" xr:uid="{00000000-0005-0000-0000-00007ABA0000}"/>
    <cellStyle name="Normal 26 2 5 11" xfId="8488" xr:uid="{00000000-0005-0000-0000-00007BBA0000}"/>
    <cellStyle name="Normal 26 2 5 11 2" xfId="23637" xr:uid="{00000000-0005-0000-0000-00007CBA0000}"/>
    <cellStyle name="Normal 26 2 5 12" xfId="10171" xr:uid="{00000000-0005-0000-0000-00007DBA0000}"/>
    <cellStyle name="Normal 26 2 5 12 2" xfId="25320" xr:uid="{00000000-0005-0000-0000-00007EBA0000}"/>
    <cellStyle name="Normal 26 2 5 13" xfId="11855" xr:uid="{00000000-0005-0000-0000-00007FBA0000}"/>
    <cellStyle name="Normal 26 2 5 13 2" xfId="27004" xr:uid="{00000000-0005-0000-0000-000080BA0000}"/>
    <cellStyle name="Normal 26 2 5 14" xfId="13538" xr:uid="{00000000-0005-0000-0000-000081BA0000}"/>
    <cellStyle name="Normal 26 2 5 14 2" xfId="28687" xr:uid="{00000000-0005-0000-0000-000082BA0000}"/>
    <cellStyle name="Normal 26 2 5 15" xfId="15221" xr:uid="{00000000-0005-0000-0000-000083BA0000}"/>
    <cellStyle name="Normal 26 2 5 16" xfId="30370" xr:uid="{00000000-0005-0000-0000-000084BA0000}"/>
    <cellStyle name="Normal 26 2 5 17" xfId="32053" xr:uid="{00000000-0005-0000-0000-000085BA0000}"/>
    <cellStyle name="Normal 26 2 5 18" xfId="33736" xr:uid="{00000000-0005-0000-0000-000086BA0000}"/>
    <cellStyle name="Normal 26 2 5 19" xfId="35419" xr:uid="{00000000-0005-0000-0000-000087BA0000}"/>
    <cellStyle name="Normal 26 2 5 2" xfId="177" xr:uid="{00000000-0005-0000-0000-000088BA0000}"/>
    <cellStyle name="Normal 26 2 5 2 10" xfId="8593" xr:uid="{00000000-0005-0000-0000-000089BA0000}"/>
    <cellStyle name="Normal 26 2 5 2 10 2" xfId="23742" xr:uid="{00000000-0005-0000-0000-00008ABA0000}"/>
    <cellStyle name="Normal 26 2 5 2 11" xfId="10276" xr:uid="{00000000-0005-0000-0000-00008BBA0000}"/>
    <cellStyle name="Normal 26 2 5 2 11 2" xfId="25425" xr:uid="{00000000-0005-0000-0000-00008CBA0000}"/>
    <cellStyle name="Normal 26 2 5 2 12" xfId="11960" xr:uid="{00000000-0005-0000-0000-00008DBA0000}"/>
    <cellStyle name="Normal 26 2 5 2 12 2" xfId="27109" xr:uid="{00000000-0005-0000-0000-00008EBA0000}"/>
    <cellStyle name="Normal 26 2 5 2 13" xfId="13643" xr:uid="{00000000-0005-0000-0000-00008FBA0000}"/>
    <cellStyle name="Normal 26 2 5 2 13 2" xfId="28792" xr:uid="{00000000-0005-0000-0000-000090BA0000}"/>
    <cellStyle name="Normal 26 2 5 2 14" xfId="15326" xr:uid="{00000000-0005-0000-0000-000091BA0000}"/>
    <cellStyle name="Normal 26 2 5 2 15" xfId="30475" xr:uid="{00000000-0005-0000-0000-000092BA0000}"/>
    <cellStyle name="Normal 26 2 5 2 16" xfId="32158" xr:uid="{00000000-0005-0000-0000-000093BA0000}"/>
    <cellStyle name="Normal 26 2 5 2 17" xfId="33841" xr:uid="{00000000-0005-0000-0000-000094BA0000}"/>
    <cellStyle name="Normal 26 2 5 2 18" xfId="35524" xr:uid="{00000000-0005-0000-0000-000095BA0000}"/>
    <cellStyle name="Normal 26 2 5 2 19" xfId="37207" xr:uid="{00000000-0005-0000-0000-000096BA0000}"/>
    <cellStyle name="Normal 26 2 5 2 2" xfId="387" xr:uid="{00000000-0005-0000-0000-000097BA0000}"/>
    <cellStyle name="Normal 26 2 5 2 2 10" xfId="10486" xr:uid="{00000000-0005-0000-0000-000098BA0000}"/>
    <cellStyle name="Normal 26 2 5 2 2 10 2" xfId="25635" xr:uid="{00000000-0005-0000-0000-000099BA0000}"/>
    <cellStyle name="Normal 26 2 5 2 2 11" xfId="12170" xr:uid="{00000000-0005-0000-0000-00009ABA0000}"/>
    <cellStyle name="Normal 26 2 5 2 2 11 2" xfId="27319" xr:uid="{00000000-0005-0000-0000-00009BBA0000}"/>
    <cellStyle name="Normal 26 2 5 2 2 12" xfId="13853" xr:uid="{00000000-0005-0000-0000-00009CBA0000}"/>
    <cellStyle name="Normal 26 2 5 2 2 12 2" xfId="29002" xr:uid="{00000000-0005-0000-0000-00009DBA0000}"/>
    <cellStyle name="Normal 26 2 5 2 2 13" xfId="15536" xr:uid="{00000000-0005-0000-0000-00009EBA0000}"/>
    <cellStyle name="Normal 26 2 5 2 2 14" xfId="30685" xr:uid="{00000000-0005-0000-0000-00009FBA0000}"/>
    <cellStyle name="Normal 26 2 5 2 2 15" xfId="32368" xr:uid="{00000000-0005-0000-0000-0000A0BA0000}"/>
    <cellStyle name="Normal 26 2 5 2 2 16" xfId="34051" xr:uid="{00000000-0005-0000-0000-0000A1BA0000}"/>
    <cellStyle name="Normal 26 2 5 2 2 17" xfId="35734" xr:uid="{00000000-0005-0000-0000-0000A2BA0000}"/>
    <cellStyle name="Normal 26 2 5 2 2 18" xfId="37417" xr:uid="{00000000-0005-0000-0000-0000A3BA0000}"/>
    <cellStyle name="Normal 26 2 5 2 2 19" xfId="39100" xr:uid="{00000000-0005-0000-0000-0000A4BA0000}"/>
    <cellStyle name="Normal 26 2 5 2 2 2" xfId="807" xr:uid="{00000000-0005-0000-0000-0000A5BA0000}"/>
    <cellStyle name="Normal 26 2 5 2 2 2 10" xfId="15956" xr:uid="{00000000-0005-0000-0000-0000A6BA0000}"/>
    <cellStyle name="Normal 26 2 5 2 2 2 11" xfId="31105" xr:uid="{00000000-0005-0000-0000-0000A7BA0000}"/>
    <cellStyle name="Normal 26 2 5 2 2 2 12" xfId="32788" xr:uid="{00000000-0005-0000-0000-0000A8BA0000}"/>
    <cellStyle name="Normal 26 2 5 2 2 2 13" xfId="34471" xr:uid="{00000000-0005-0000-0000-0000A9BA0000}"/>
    <cellStyle name="Normal 26 2 5 2 2 2 14" xfId="36154" xr:uid="{00000000-0005-0000-0000-0000AABA0000}"/>
    <cellStyle name="Normal 26 2 5 2 2 2 15" xfId="37837" xr:uid="{00000000-0005-0000-0000-0000ABBA0000}"/>
    <cellStyle name="Normal 26 2 5 2 2 2 16" xfId="39520" xr:uid="{00000000-0005-0000-0000-0000ACBA0000}"/>
    <cellStyle name="Normal 26 2 5 2 2 2 17" xfId="41203" xr:uid="{00000000-0005-0000-0000-0000ADBA0000}"/>
    <cellStyle name="Normal 26 2 5 2 2 2 18" xfId="42886" xr:uid="{00000000-0005-0000-0000-0000AEBA0000}"/>
    <cellStyle name="Normal 26 2 5 2 2 2 19" xfId="44569" xr:uid="{00000000-0005-0000-0000-0000AFBA0000}"/>
    <cellStyle name="Normal 26 2 5 2 2 2 2" xfId="2490" xr:uid="{00000000-0005-0000-0000-0000B0BA0000}"/>
    <cellStyle name="Normal 26 2 5 2 2 2 2 2" xfId="17639" xr:uid="{00000000-0005-0000-0000-0000B1BA0000}"/>
    <cellStyle name="Normal 26 2 5 2 2 2 20" xfId="46252" xr:uid="{00000000-0005-0000-0000-0000B2BA0000}"/>
    <cellStyle name="Normal 26 2 5 2 2 2 21" xfId="47935" xr:uid="{00000000-0005-0000-0000-0000B3BA0000}"/>
    <cellStyle name="Normal 26 2 5 2 2 2 22" xfId="49618" xr:uid="{00000000-0005-0000-0000-0000B4BA0000}"/>
    <cellStyle name="Normal 26 2 5 2 2 2 23" xfId="51301" xr:uid="{00000000-0005-0000-0000-0000B5BA0000}"/>
    <cellStyle name="Normal 26 2 5 2 2 2 24" xfId="52984" xr:uid="{00000000-0005-0000-0000-0000B6BA0000}"/>
    <cellStyle name="Normal 26 2 5 2 2 2 25" xfId="54667" xr:uid="{00000000-0005-0000-0000-0000B7BA0000}"/>
    <cellStyle name="Normal 26 2 5 2 2 2 26" xfId="56350" xr:uid="{00000000-0005-0000-0000-0000B8BA0000}"/>
    <cellStyle name="Normal 26 2 5 2 2 2 27" xfId="58033" xr:uid="{00000000-0005-0000-0000-0000B9BA0000}"/>
    <cellStyle name="Normal 26 2 5 2 2 2 28" xfId="59716" xr:uid="{00000000-0005-0000-0000-0000BABA0000}"/>
    <cellStyle name="Normal 26 2 5 2 2 2 29" xfId="61399" xr:uid="{00000000-0005-0000-0000-0000BBBA0000}"/>
    <cellStyle name="Normal 26 2 5 2 2 2 3" xfId="4174" xr:uid="{00000000-0005-0000-0000-0000BCBA0000}"/>
    <cellStyle name="Normal 26 2 5 2 2 2 3 2" xfId="19323" xr:uid="{00000000-0005-0000-0000-0000BDBA0000}"/>
    <cellStyle name="Normal 26 2 5 2 2 2 30" xfId="63082" xr:uid="{00000000-0005-0000-0000-0000BEBA0000}"/>
    <cellStyle name="Normal 26 2 5 2 2 2 4" xfId="5857" xr:uid="{00000000-0005-0000-0000-0000BFBA0000}"/>
    <cellStyle name="Normal 26 2 5 2 2 2 4 2" xfId="21006" xr:uid="{00000000-0005-0000-0000-0000C0BA0000}"/>
    <cellStyle name="Normal 26 2 5 2 2 2 5" xfId="7540" xr:uid="{00000000-0005-0000-0000-0000C1BA0000}"/>
    <cellStyle name="Normal 26 2 5 2 2 2 5 2" xfId="22689" xr:uid="{00000000-0005-0000-0000-0000C2BA0000}"/>
    <cellStyle name="Normal 26 2 5 2 2 2 6" xfId="9223" xr:uid="{00000000-0005-0000-0000-0000C3BA0000}"/>
    <cellStyle name="Normal 26 2 5 2 2 2 6 2" xfId="24372" xr:uid="{00000000-0005-0000-0000-0000C4BA0000}"/>
    <cellStyle name="Normal 26 2 5 2 2 2 7" xfId="10906" xr:uid="{00000000-0005-0000-0000-0000C5BA0000}"/>
    <cellStyle name="Normal 26 2 5 2 2 2 7 2" xfId="26055" xr:uid="{00000000-0005-0000-0000-0000C6BA0000}"/>
    <cellStyle name="Normal 26 2 5 2 2 2 8" xfId="12590" xr:uid="{00000000-0005-0000-0000-0000C7BA0000}"/>
    <cellStyle name="Normal 26 2 5 2 2 2 8 2" xfId="27739" xr:uid="{00000000-0005-0000-0000-0000C8BA0000}"/>
    <cellStyle name="Normal 26 2 5 2 2 2 9" xfId="14273" xr:uid="{00000000-0005-0000-0000-0000C9BA0000}"/>
    <cellStyle name="Normal 26 2 5 2 2 2 9 2" xfId="29422" xr:uid="{00000000-0005-0000-0000-0000CABA0000}"/>
    <cellStyle name="Normal 26 2 5 2 2 20" xfId="40783" xr:uid="{00000000-0005-0000-0000-0000CBBA0000}"/>
    <cellStyle name="Normal 26 2 5 2 2 21" xfId="42466" xr:uid="{00000000-0005-0000-0000-0000CCBA0000}"/>
    <cellStyle name="Normal 26 2 5 2 2 22" xfId="44149" xr:uid="{00000000-0005-0000-0000-0000CDBA0000}"/>
    <cellStyle name="Normal 26 2 5 2 2 23" xfId="45832" xr:uid="{00000000-0005-0000-0000-0000CEBA0000}"/>
    <cellStyle name="Normal 26 2 5 2 2 24" xfId="47515" xr:uid="{00000000-0005-0000-0000-0000CFBA0000}"/>
    <cellStyle name="Normal 26 2 5 2 2 25" xfId="49198" xr:uid="{00000000-0005-0000-0000-0000D0BA0000}"/>
    <cellStyle name="Normal 26 2 5 2 2 26" xfId="50881" xr:uid="{00000000-0005-0000-0000-0000D1BA0000}"/>
    <cellStyle name="Normal 26 2 5 2 2 27" xfId="52564" xr:uid="{00000000-0005-0000-0000-0000D2BA0000}"/>
    <cellStyle name="Normal 26 2 5 2 2 28" xfId="54247" xr:uid="{00000000-0005-0000-0000-0000D3BA0000}"/>
    <cellStyle name="Normal 26 2 5 2 2 29" xfId="55930" xr:uid="{00000000-0005-0000-0000-0000D4BA0000}"/>
    <cellStyle name="Normal 26 2 5 2 2 3" xfId="1228" xr:uid="{00000000-0005-0000-0000-0000D5BA0000}"/>
    <cellStyle name="Normal 26 2 5 2 2 3 10" xfId="16377" xr:uid="{00000000-0005-0000-0000-0000D6BA0000}"/>
    <cellStyle name="Normal 26 2 5 2 2 3 11" xfId="31526" xr:uid="{00000000-0005-0000-0000-0000D7BA0000}"/>
    <cellStyle name="Normal 26 2 5 2 2 3 12" xfId="33209" xr:uid="{00000000-0005-0000-0000-0000D8BA0000}"/>
    <cellStyle name="Normal 26 2 5 2 2 3 13" xfId="34892" xr:uid="{00000000-0005-0000-0000-0000D9BA0000}"/>
    <cellStyle name="Normal 26 2 5 2 2 3 14" xfId="36575" xr:uid="{00000000-0005-0000-0000-0000DABA0000}"/>
    <cellStyle name="Normal 26 2 5 2 2 3 15" xfId="38258" xr:uid="{00000000-0005-0000-0000-0000DBBA0000}"/>
    <cellStyle name="Normal 26 2 5 2 2 3 16" xfId="39941" xr:uid="{00000000-0005-0000-0000-0000DCBA0000}"/>
    <cellStyle name="Normal 26 2 5 2 2 3 17" xfId="41624" xr:uid="{00000000-0005-0000-0000-0000DDBA0000}"/>
    <cellStyle name="Normal 26 2 5 2 2 3 18" xfId="43307" xr:uid="{00000000-0005-0000-0000-0000DEBA0000}"/>
    <cellStyle name="Normal 26 2 5 2 2 3 19" xfId="44990" xr:uid="{00000000-0005-0000-0000-0000DFBA0000}"/>
    <cellStyle name="Normal 26 2 5 2 2 3 2" xfId="2911" xr:uid="{00000000-0005-0000-0000-0000E0BA0000}"/>
    <cellStyle name="Normal 26 2 5 2 2 3 2 2" xfId="18060" xr:uid="{00000000-0005-0000-0000-0000E1BA0000}"/>
    <cellStyle name="Normal 26 2 5 2 2 3 20" xfId="46673" xr:uid="{00000000-0005-0000-0000-0000E2BA0000}"/>
    <cellStyle name="Normal 26 2 5 2 2 3 21" xfId="48356" xr:uid="{00000000-0005-0000-0000-0000E3BA0000}"/>
    <cellStyle name="Normal 26 2 5 2 2 3 22" xfId="50039" xr:uid="{00000000-0005-0000-0000-0000E4BA0000}"/>
    <cellStyle name="Normal 26 2 5 2 2 3 23" xfId="51722" xr:uid="{00000000-0005-0000-0000-0000E5BA0000}"/>
    <cellStyle name="Normal 26 2 5 2 2 3 24" xfId="53405" xr:uid="{00000000-0005-0000-0000-0000E6BA0000}"/>
    <cellStyle name="Normal 26 2 5 2 2 3 25" xfId="55088" xr:uid="{00000000-0005-0000-0000-0000E7BA0000}"/>
    <cellStyle name="Normal 26 2 5 2 2 3 26" xfId="56771" xr:uid="{00000000-0005-0000-0000-0000E8BA0000}"/>
    <cellStyle name="Normal 26 2 5 2 2 3 27" xfId="58454" xr:uid="{00000000-0005-0000-0000-0000E9BA0000}"/>
    <cellStyle name="Normal 26 2 5 2 2 3 28" xfId="60137" xr:uid="{00000000-0005-0000-0000-0000EABA0000}"/>
    <cellStyle name="Normal 26 2 5 2 2 3 29" xfId="61820" xr:uid="{00000000-0005-0000-0000-0000EBBA0000}"/>
    <cellStyle name="Normal 26 2 5 2 2 3 3" xfId="4595" xr:uid="{00000000-0005-0000-0000-0000ECBA0000}"/>
    <cellStyle name="Normal 26 2 5 2 2 3 3 2" xfId="19744" xr:uid="{00000000-0005-0000-0000-0000EDBA0000}"/>
    <cellStyle name="Normal 26 2 5 2 2 3 30" xfId="63503" xr:uid="{00000000-0005-0000-0000-0000EEBA0000}"/>
    <cellStyle name="Normal 26 2 5 2 2 3 4" xfId="6278" xr:uid="{00000000-0005-0000-0000-0000EFBA0000}"/>
    <cellStyle name="Normal 26 2 5 2 2 3 4 2" xfId="21427" xr:uid="{00000000-0005-0000-0000-0000F0BA0000}"/>
    <cellStyle name="Normal 26 2 5 2 2 3 5" xfId="7961" xr:uid="{00000000-0005-0000-0000-0000F1BA0000}"/>
    <cellStyle name="Normal 26 2 5 2 2 3 5 2" xfId="23110" xr:uid="{00000000-0005-0000-0000-0000F2BA0000}"/>
    <cellStyle name="Normal 26 2 5 2 2 3 6" xfId="9644" xr:uid="{00000000-0005-0000-0000-0000F3BA0000}"/>
    <cellStyle name="Normal 26 2 5 2 2 3 6 2" xfId="24793" xr:uid="{00000000-0005-0000-0000-0000F4BA0000}"/>
    <cellStyle name="Normal 26 2 5 2 2 3 7" xfId="11327" xr:uid="{00000000-0005-0000-0000-0000F5BA0000}"/>
    <cellStyle name="Normal 26 2 5 2 2 3 7 2" xfId="26476" xr:uid="{00000000-0005-0000-0000-0000F6BA0000}"/>
    <cellStyle name="Normal 26 2 5 2 2 3 8" xfId="13011" xr:uid="{00000000-0005-0000-0000-0000F7BA0000}"/>
    <cellStyle name="Normal 26 2 5 2 2 3 8 2" xfId="28160" xr:uid="{00000000-0005-0000-0000-0000F8BA0000}"/>
    <cellStyle name="Normal 26 2 5 2 2 3 9" xfId="14694" xr:uid="{00000000-0005-0000-0000-0000F9BA0000}"/>
    <cellStyle name="Normal 26 2 5 2 2 3 9 2" xfId="29843" xr:uid="{00000000-0005-0000-0000-0000FABA0000}"/>
    <cellStyle name="Normal 26 2 5 2 2 30" xfId="57613" xr:uid="{00000000-0005-0000-0000-0000FBBA0000}"/>
    <cellStyle name="Normal 26 2 5 2 2 31" xfId="59296" xr:uid="{00000000-0005-0000-0000-0000FCBA0000}"/>
    <cellStyle name="Normal 26 2 5 2 2 32" xfId="60979" xr:uid="{00000000-0005-0000-0000-0000FDBA0000}"/>
    <cellStyle name="Normal 26 2 5 2 2 33" xfId="62662" xr:uid="{00000000-0005-0000-0000-0000FEBA0000}"/>
    <cellStyle name="Normal 26 2 5 2 2 4" xfId="1649" xr:uid="{00000000-0005-0000-0000-0000FFBA0000}"/>
    <cellStyle name="Normal 26 2 5 2 2 4 10" xfId="16798" xr:uid="{00000000-0005-0000-0000-000000BB0000}"/>
    <cellStyle name="Normal 26 2 5 2 2 4 11" xfId="31947" xr:uid="{00000000-0005-0000-0000-000001BB0000}"/>
    <cellStyle name="Normal 26 2 5 2 2 4 12" xfId="33630" xr:uid="{00000000-0005-0000-0000-000002BB0000}"/>
    <cellStyle name="Normal 26 2 5 2 2 4 13" xfId="35313" xr:uid="{00000000-0005-0000-0000-000003BB0000}"/>
    <cellStyle name="Normal 26 2 5 2 2 4 14" xfId="36996" xr:uid="{00000000-0005-0000-0000-000004BB0000}"/>
    <cellStyle name="Normal 26 2 5 2 2 4 15" xfId="38679" xr:uid="{00000000-0005-0000-0000-000005BB0000}"/>
    <cellStyle name="Normal 26 2 5 2 2 4 16" xfId="40362" xr:uid="{00000000-0005-0000-0000-000006BB0000}"/>
    <cellStyle name="Normal 26 2 5 2 2 4 17" xfId="42045" xr:uid="{00000000-0005-0000-0000-000007BB0000}"/>
    <cellStyle name="Normal 26 2 5 2 2 4 18" xfId="43728" xr:uid="{00000000-0005-0000-0000-000008BB0000}"/>
    <cellStyle name="Normal 26 2 5 2 2 4 19" xfId="45411" xr:uid="{00000000-0005-0000-0000-000009BB0000}"/>
    <cellStyle name="Normal 26 2 5 2 2 4 2" xfId="3332" xr:uid="{00000000-0005-0000-0000-00000ABB0000}"/>
    <cellStyle name="Normal 26 2 5 2 2 4 2 2" xfId="18481" xr:uid="{00000000-0005-0000-0000-00000BBB0000}"/>
    <cellStyle name="Normal 26 2 5 2 2 4 20" xfId="47094" xr:uid="{00000000-0005-0000-0000-00000CBB0000}"/>
    <cellStyle name="Normal 26 2 5 2 2 4 21" xfId="48777" xr:uid="{00000000-0005-0000-0000-00000DBB0000}"/>
    <cellStyle name="Normal 26 2 5 2 2 4 22" xfId="50460" xr:uid="{00000000-0005-0000-0000-00000EBB0000}"/>
    <cellStyle name="Normal 26 2 5 2 2 4 23" xfId="52143" xr:uid="{00000000-0005-0000-0000-00000FBB0000}"/>
    <cellStyle name="Normal 26 2 5 2 2 4 24" xfId="53826" xr:uid="{00000000-0005-0000-0000-000010BB0000}"/>
    <cellStyle name="Normal 26 2 5 2 2 4 25" xfId="55509" xr:uid="{00000000-0005-0000-0000-000011BB0000}"/>
    <cellStyle name="Normal 26 2 5 2 2 4 26" xfId="57192" xr:uid="{00000000-0005-0000-0000-000012BB0000}"/>
    <cellStyle name="Normal 26 2 5 2 2 4 27" xfId="58875" xr:uid="{00000000-0005-0000-0000-000013BB0000}"/>
    <cellStyle name="Normal 26 2 5 2 2 4 28" xfId="60558" xr:uid="{00000000-0005-0000-0000-000014BB0000}"/>
    <cellStyle name="Normal 26 2 5 2 2 4 29" xfId="62241" xr:uid="{00000000-0005-0000-0000-000015BB0000}"/>
    <cellStyle name="Normal 26 2 5 2 2 4 3" xfId="5016" xr:uid="{00000000-0005-0000-0000-000016BB0000}"/>
    <cellStyle name="Normal 26 2 5 2 2 4 3 2" xfId="20165" xr:uid="{00000000-0005-0000-0000-000017BB0000}"/>
    <cellStyle name="Normal 26 2 5 2 2 4 30" xfId="63924" xr:uid="{00000000-0005-0000-0000-000018BB0000}"/>
    <cellStyle name="Normal 26 2 5 2 2 4 4" xfId="6699" xr:uid="{00000000-0005-0000-0000-000019BB0000}"/>
    <cellStyle name="Normal 26 2 5 2 2 4 4 2" xfId="21848" xr:uid="{00000000-0005-0000-0000-00001ABB0000}"/>
    <cellStyle name="Normal 26 2 5 2 2 4 5" xfId="8382" xr:uid="{00000000-0005-0000-0000-00001BBB0000}"/>
    <cellStyle name="Normal 26 2 5 2 2 4 5 2" xfId="23531" xr:uid="{00000000-0005-0000-0000-00001CBB0000}"/>
    <cellStyle name="Normal 26 2 5 2 2 4 6" xfId="10065" xr:uid="{00000000-0005-0000-0000-00001DBB0000}"/>
    <cellStyle name="Normal 26 2 5 2 2 4 6 2" xfId="25214" xr:uid="{00000000-0005-0000-0000-00001EBB0000}"/>
    <cellStyle name="Normal 26 2 5 2 2 4 7" xfId="11748" xr:uid="{00000000-0005-0000-0000-00001FBB0000}"/>
    <cellStyle name="Normal 26 2 5 2 2 4 7 2" xfId="26897" xr:uid="{00000000-0005-0000-0000-000020BB0000}"/>
    <cellStyle name="Normal 26 2 5 2 2 4 8" xfId="13432" xr:uid="{00000000-0005-0000-0000-000021BB0000}"/>
    <cellStyle name="Normal 26 2 5 2 2 4 8 2" xfId="28581" xr:uid="{00000000-0005-0000-0000-000022BB0000}"/>
    <cellStyle name="Normal 26 2 5 2 2 4 9" xfId="15115" xr:uid="{00000000-0005-0000-0000-000023BB0000}"/>
    <cellStyle name="Normal 26 2 5 2 2 4 9 2" xfId="30264" xr:uid="{00000000-0005-0000-0000-000024BB0000}"/>
    <cellStyle name="Normal 26 2 5 2 2 5" xfId="2070" xr:uid="{00000000-0005-0000-0000-000025BB0000}"/>
    <cellStyle name="Normal 26 2 5 2 2 5 2" xfId="17219" xr:uid="{00000000-0005-0000-0000-000026BB0000}"/>
    <cellStyle name="Normal 26 2 5 2 2 6" xfId="3754" xr:uid="{00000000-0005-0000-0000-000027BB0000}"/>
    <cellStyle name="Normal 26 2 5 2 2 6 2" xfId="18903" xr:uid="{00000000-0005-0000-0000-000028BB0000}"/>
    <cellStyle name="Normal 26 2 5 2 2 7" xfId="5437" xr:uid="{00000000-0005-0000-0000-000029BB0000}"/>
    <cellStyle name="Normal 26 2 5 2 2 7 2" xfId="20586" xr:uid="{00000000-0005-0000-0000-00002ABB0000}"/>
    <cellStyle name="Normal 26 2 5 2 2 8" xfId="7120" xr:uid="{00000000-0005-0000-0000-00002BBB0000}"/>
    <cellStyle name="Normal 26 2 5 2 2 8 2" xfId="22269" xr:uid="{00000000-0005-0000-0000-00002CBB0000}"/>
    <cellStyle name="Normal 26 2 5 2 2 9" xfId="8803" xr:uid="{00000000-0005-0000-0000-00002DBB0000}"/>
    <cellStyle name="Normal 26 2 5 2 2 9 2" xfId="23952" xr:uid="{00000000-0005-0000-0000-00002EBB0000}"/>
    <cellStyle name="Normal 26 2 5 2 20" xfId="38890" xr:uid="{00000000-0005-0000-0000-00002FBB0000}"/>
    <cellStyle name="Normal 26 2 5 2 21" xfId="40573" xr:uid="{00000000-0005-0000-0000-000030BB0000}"/>
    <cellStyle name="Normal 26 2 5 2 22" xfId="42256" xr:uid="{00000000-0005-0000-0000-000031BB0000}"/>
    <cellStyle name="Normal 26 2 5 2 23" xfId="43939" xr:uid="{00000000-0005-0000-0000-000032BB0000}"/>
    <cellStyle name="Normal 26 2 5 2 24" xfId="45622" xr:uid="{00000000-0005-0000-0000-000033BB0000}"/>
    <cellStyle name="Normal 26 2 5 2 25" xfId="47305" xr:uid="{00000000-0005-0000-0000-000034BB0000}"/>
    <cellStyle name="Normal 26 2 5 2 26" xfId="48988" xr:uid="{00000000-0005-0000-0000-000035BB0000}"/>
    <cellStyle name="Normal 26 2 5 2 27" xfId="50671" xr:uid="{00000000-0005-0000-0000-000036BB0000}"/>
    <cellStyle name="Normal 26 2 5 2 28" xfId="52354" xr:uid="{00000000-0005-0000-0000-000037BB0000}"/>
    <cellStyle name="Normal 26 2 5 2 29" xfId="54037" xr:uid="{00000000-0005-0000-0000-000038BB0000}"/>
    <cellStyle name="Normal 26 2 5 2 3" xfId="597" xr:uid="{00000000-0005-0000-0000-000039BB0000}"/>
    <cellStyle name="Normal 26 2 5 2 3 10" xfId="15746" xr:uid="{00000000-0005-0000-0000-00003ABB0000}"/>
    <cellStyle name="Normal 26 2 5 2 3 11" xfId="30895" xr:uid="{00000000-0005-0000-0000-00003BBB0000}"/>
    <cellStyle name="Normal 26 2 5 2 3 12" xfId="32578" xr:uid="{00000000-0005-0000-0000-00003CBB0000}"/>
    <cellStyle name="Normal 26 2 5 2 3 13" xfId="34261" xr:uid="{00000000-0005-0000-0000-00003DBB0000}"/>
    <cellStyle name="Normal 26 2 5 2 3 14" xfId="35944" xr:uid="{00000000-0005-0000-0000-00003EBB0000}"/>
    <cellStyle name="Normal 26 2 5 2 3 15" xfId="37627" xr:uid="{00000000-0005-0000-0000-00003FBB0000}"/>
    <cellStyle name="Normal 26 2 5 2 3 16" xfId="39310" xr:uid="{00000000-0005-0000-0000-000040BB0000}"/>
    <cellStyle name="Normal 26 2 5 2 3 17" xfId="40993" xr:uid="{00000000-0005-0000-0000-000041BB0000}"/>
    <cellStyle name="Normal 26 2 5 2 3 18" xfId="42676" xr:uid="{00000000-0005-0000-0000-000042BB0000}"/>
    <cellStyle name="Normal 26 2 5 2 3 19" xfId="44359" xr:uid="{00000000-0005-0000-0000-000043BB0000}"/>
    <cellStyle name="Normal 26 2 5 2 3 2" xfId="2280" xr:uid="{00000000-0005-0000-0000-000044BB0000}"/>
    <cellStyle name="Normal 26 2 5 2 3 2 2" xfId="17429" xr:uid="{00000000-0005-0000-0000-000045BB0000}"/>
    <cellStyle name="Normal 26 2 5 2 3 20" xfId="46042" xr:uid="{00000000-0005-0000-0000-000046BB0000}"/>
    <cellStyle name="Normal 26 2 5 2 3 21" xfId="47725" xr:uid="{00000000-0005-0000-0000-000047BB0000}"/>
    <cellStyle name="Normal 26 2 5 2 3 22" xfId="49408" xr:uid="{00000000-0005-0000-0000-000048BB0000}"/>
    <cellStyle name="Normal 26 2 5 2 3 23" xfId="51091" xr:uid="{00000000-0005-0000-0000-000049BB0000}"/>
    <cellStyle name="Normal 26 2 5 2 3 24" xfId="52774" xr:uid="{00000000-0005-0000-0000-00004ABB0000}"/>
    <cellStyle name="Normal 26 2 5 2 3 25" xfId="54457" xr:uid="{00000000-0005-0000-0000-00004BBB0000}"/>
    <cellStyle name="Normal 26 2 5 2 3 26" xfId="56140" xr:uid="{00000000-0005-0000-0000-00004CBB0000}"/>
    <cellStyle name="Normal 26 2 5 2 3 27" xfId="57823" xr:uid="{00000000-0005-0000-0000-00004DBB0000}"/>
    <cellStyle name="Normal 26 2 5 2 3 28" xfId="59506" xr:uid="{00000000-0005-0000-0000-00004EBB0000}"/>
    <cellStyle name="Normal 26 2 5 2 3 29" xfId="61189" xr:uid="{00000000-0005-0000-0000-00004FBB0000}"/>
    <cellStyle name="Normal 26 2 5 2 3 3" xfId="3964" xr:uid="{00000000-0005-0000-0000-000050BB0000}"/>
    <cellStyle name="Normal 26 2 5 2 3 3 2" xfId="19113" xr:uid="{00000000-0005-0000-0000-000051BB0000}"/>
    <cellStyle name="Normal 26 2 5 2 3 30" xfId="62872" xr:uid="{00000000-0005-0000-0000-000052BB0000}"/>
    <cellStyle name="Normal 26 2 5 2 3 4" xfId="5647" xr:uid="{00000000-0005-0000-0000-000053BB0000}"/>
    <cellStyle name="Normal 26 2 5 2 3 4 2" xfId="20796" xr:uid="{00000000-0005-0000-0000-000054BB0000}"/>
    <cellStyle name="Normal 26 2 5 2 3 5" xfId="7330" xr:uid="{00000000-0005-0000-0000-000055BB0000}"/>
    <cellStyle name="Normal 26 2 5 2 3 5 2" xfId="22479" xr:uid="{00000000-0005-0000-0000-000056BB0000}"/>
    <cellStyle name="Normal 26 2 5 2 3 6" xfId="9013" xr:uid="{00000000-0005-0000-0000-000057BB0000}"/>
    <cellStyle name="Normal 26 2 5 2 3 6 2" xfId="24162" xr:uid="{00000000-0005-0000-0000-000058BB0000}"/>
    <cellStyle name="Normal 26 2 5 2 3 7" xfId="10696" xr:uid="{00000000-0005-0000-0000-000059BB0000}"/>
    <cellStyle name="Normal 26 2 5 2 3 7 2" xfId="25845" xr:uid="{00000000-0005-0000-0000-00005ABB0000}"/>
    <cellStyle name="Normal 26 2 5 2 3 8" xfId="12380" xr:uid="{00000000-0005-0000-0000-00005BBB0000}"/>
    <cellStyle name="Normal 26 2 5 2 3 8 2" xfId="27529" xr:uid="{00000000-0005-0000-0000-00005CBB0000}"/>
    <cellStyle name="Normal 26 2 5 2 3 9" xfId="14063" xr:uid="{00000000-0005-0000-0000-00005DBB0000}"/>
    <cellStyle name="Normal 26 2 5 2 3 9 2" xfId="29212" xr:uid="{00000000-0005-0000-0000-00005EBB0000}"/>
    <cellStyle name="Normal 26 2 5 2 30" xfId="55720" xr:uid="{00000000-0005-0000-0000-00005FBB0000}"/>
    <cellStyle name="Normal 26 2 5 2 31" xfId="57403" xr:uid="{00000000-0005-0000-0000-000060BB0000}"/>
    <cellStyle name="Normal 26 2 5 2 32" xfId="59086" xr:uid="{00000000-0005-0000-0000-000061BB0000}"/>
    <cellStyle name="Normal 26 2 5 2 33" xfId="60769" xr:uid="{00000000-0005-0000-0000-000062BB0000}"/>
    <cellStyle name="Normal 26 2 5 2 34" xfId="62452" xr:uid="{00000000-0005-0000-0000-000063BB0000}"/>
    <cellStyle name="Normal 26 2 5 2 4" xfId="1018" xr:uid="{00000000-0005-0000-0000-000064BB0000}"/>
    <cellStyle name="Normal 26 2 5 2 4 10" xfId="16167" xr:uid="{00000000-0005-0000-0000-000065BB0000}"/>
    <cellStyle name="Normal 26 2 5 2 4 11" xfId="31316" xr:uid="{00000000-0005-0000-0000-000066BB0000}"/>
    <cellStyle name="Normal 26 2 5 2 4 12" xfId="32999" xr:uid="{00000000-0005-0000-0000-000067BB0000}"/>
    <cellStyle name="Normal 26 2 5 2 4 13" xfId="34682" xr:uid="{00000000-0005-0000-0000-000068BB0000}"/>
    <cellStyle name="Normal 26 2 5 2 4 14" xfId="36365" xr:uid="{00000000-0005-0000-0000-000069BB0000}"/>
    <cellStyle name="Normal 26 2 5 2 4 15" xfId="38048" xr:uid="{00000000-0005-0000-0000-00006ABB0000}"/>
    <cellStyle name="Normal 26 2 5 2 4 16" xfId="39731" xr:uid="{00000000-0005-0000-0000-00006BBB0000}"/>
    <cellStyle name="Normal 26 2 5 2 4 17" xfId="41414" xr:uid="{00000000-0005-0000-0000-00006CBB0000}"/>
    <cellStyle name="Normal 26 2 5 2 4 18" xfId="43097" xr:uid="{00000000-0005-0000-0000-00006DBB0000}"/>
    <cellStyle name="Normal 26 2 5 2 4 19" xfId="44780" xr:uid="{00000000-0005-0000-0000-00006EBB0000}"/>
    <cellStyle name="Normal 26 2 5 2 4 2" xfId="2701" xr:uid="{00000000-0005-0000-0000-00006FBB0000}"/>
    <cellStyle name="Normal 26 2 5 2 4 2 2" xfId="17850" xr:uid="{00000000-0005-0000-0000-000070BB0000}"/>
    <cellStyle name="Normal 26 2 5 2 4 20" xfId="46463" xr:uid="{00000000-0005-0000-0000-000071BB0000}"/>
    <cellStyle name="Normal 26 2 5 2 4 21" xfId="48146" xr:uid="{00000000-0005-0000-0000-000072BB0000}"/>
    <cellStyle name="Normal 26 2 5 2 4 22" xfId="49829" xr:uid="{00000000-0005-0000-0000-000073BB0000}"/>
    <cellStyle name="Normal 26 2 5 2 4 23" xfId="51512" xr:uid="{00000000-0005-0000-0000-000074BB0000}"/>
    <cellStyle name="Normal 26 2 5 2 4 24" xfId="53195" xr:uid="{00000000-0005-0000-0000-000075BB0000}"/>
    <cellStyle name="Normal 26 2 5 2 4 25" xfId="54878" xr:uid="{00000000-0005-0000-0000-000076BB0000}"/>
    <cellStyle name="Normal 26 2 5 2 4 26" xfId="56561" xr:uid="{00000000-0005-0000-0000-000077BB0000}"/>
    <cellStyle name="Normal 26 2 5 2 4 27" xfId="58244" xr:uid="{00000000-0005-0000-0000-000078BB0000}"/>
    <cellStyle name="Normal 26 2 5 2 4 28" xfId="59927" xr:uid="{00000000-0005-0000-0000-000079BB0000}"/>
    <cellStyle name="Normal 26 2 5 2 4 29" xfId="61610" xr:uid="{00000000-0005-0000-0000-00007ABB0000}"/>
    <cellStyle name="Normal 26 2 5 2 4 3" xfId="4385" xr:uid="{00000000-0005-0000-0000-00007BBB0000}"/>
    <cellStyle name="Normal 26 2 5 2 4 3 2" xfId="19534" xr:uid="{00000000-0005-0000-0000-00007CBB0000}"/>
    <cellStyle name="Normal 26 2 5 2 4 30" xfId="63293" xr:uid="{00000000-0005-0000-0000-00007DBB0000}"/>
    <cellStyle name="Normal 26 2 5 2 4 4" xfId="6068" xr:uid="{00000000-0005-0000-0000-00007EBB0000}"/>
    <cellStyle name="Normal 26 2 5 2 4 4 2" xfId="21217" xr:uid="{00000000-0005-0000-0000-00007FBB0000}"/>
    <cellStyle name="Normal 26 2 5 2 4 5" xfId="7751" xr:uid="{00000000-0005-0000-0000-000080BB0000}"/>
    <cellStyle name="Normal 26 2 5 2 4 5 2" xfId="22900" xr:uid="{00000000-0005-0000-0000-000081BB0000}"/>
    <cellStyle name="Normal 26 2 5 2 4 6" xfId="9434" xr:uid="{00000000-0005-0000-0000-000082BB0000}"/>
    <cellStyle name="Normal 26 2 5 2 4 6 2" xfId="24583" xr:uid="{00000000-0005-0000-0000-000083BB0000}"/>
    <cellStyle name="Normal 26 2 5 2 4 7" xfId="11117" xr:uid="{00000000-0005-0000-0000-000084BB0000}"/>
    <cellStyle name="Normal 26 2 5 2 4 7 2" xfId="26266" xr:uid="{00000000-0005-0000-0000-000085BB0000}"/>
    <cellStyle name="Normal 26 2 5 2 4 8" xfId="12801" xr:uid="{00000000-0005-0000-0000-000086BB0000}"/>
    <cellStyle name="Normal 26 2 5 2 4 8 2" xfId="27950" xr:uid="{00000000-0005-0000-0000-000087BB0000}"/>
    <cellStyle name="Normal 26 2 5 2 4 9" xfId="14484" xr:uid="{00000000-0005-0000-0000-000088BB0000}"/>
    <cellStyle name="Normal 26 2 5 2 4 9 2" xfId="29633" xr:uid="{00000000-0005-0000-0000-000089BB0000}"/>
    <cellStyle name="Normal 26 2 5 2 5" xfId="1439" xr:uid="{00000000-0005-0000-0000-00008ABB0000}"/>
    <cellStyle name="Normal 26 2 5 2 5 10" xfId="16588" xr:uid="{00000000-0005-0000-0000-00008BBB0000}"/>
    <cellStyle name="Normal 26 2 5 2 5 11" xfId="31737" xr:uid="{00000000-0005-0000-0000-00008CBB0000}"/>
    <cellStyle name="Normal 26 2 5 2 5 12" xfId="33420" xr:uid="{00000000-0005-0000-0000-00008DBB0000}"/>
    <cellStyle name="Normal 26 2 5 2 5 13" xfId="35103" xr:uid="{00000000-0005-0000-0000-00008EBB0000}"/>
    <cellStyle name="Normal 26 2 5 2 5 14" xfId="36786" xr:uid="{00000000-0005-0000-0000-00008FBB0000}"/>
    <cellStyle name="Normal 26 2 5 2 5 15" xfId="38469" xr:uid="{00000000-0005-0000-0000-000090BB0000}"/>
    <cellStyle name="Normal 26 2 5 2 5 16" xfId="40152" xr:uid="{00000000-0005-0000-0000-000091BB0000}"/>
    <cellStyle name="Normal 26 2 5 2 5 17" xfId="41835" xr:uid="{00000000-0005-0000-0000-000092BB0000}"/>
    <cellStyle name="Normal 26 2 5 2 5 18" xfId="43518" xr:uid="{00000000-0005-0000-0000-000093BB0000}"/>
    <cellStyle name="Normal 26 2 5 2 5 19" xfId="45201" xr:uid="{00000000-0005-0000-0000-000094BB0000}"/>
    <cellStyle name="Normal 26 2 5 2 5 2" xfId="3122" xr:uid="{00000000-0005-0000-0000-000095BB0000}"/>
    <cellStyle name="Normal 26 2 5 2 5 2 2" xfId="18271" xr:uid="{00000000-0005-0000-0000-000096BB0000}"/>
    <cellStyle name="Normal 26 2 5 2 5 20" xfId="46884" xr:uid="{00000000-0005-0000-0000-000097BB0000}"/>
    <cellStyle name="Normal 26 2 5 2 5 21" xfId="48567" xr:uid="{00000000-0005-0000-0000-000098BB0000}"/>
    <cellStyle name="Normal 26 2 5 2 5 22" xfId="50250" xr:uid="{00000000-0005-0000-0000-000099BB0000}"/>
    <cellStyle name="Normal 26 2 5 2 5 23" xfId="51933" xr:uid="{00000000-0005-0000-0000-00009ABB0000}"/>
    <cellStyle name="Normal 26 2 5 2 5 24" xfId="53616" xr:uid="{00000000-0005-0000-0000-00009BBB0000}"/>
    <cellStyle name="Normal 26 2 5 2 5 25" xfId="55299" xr:uid="{00000000-0005-0000-0000-00009CBB0000}"/>
    <cellStyle name="Normal 26 2 5 2 5 26" xfId="56982" xr:uid="{00000000-0005-0000-0000-00009DBB0000}"/>
    <cellStyle name="Normal 26 2 5 2 5 27" xfId="58665" xr:uid="{00000000-0005-0000-0000-00009EBB0000}"/>
    <cellStyle name="Normal 26 2 5 2 5 28" xfId="60348" xr:uid="{00000000-0005-0000-0000-00009FBB0000}"/>
    <cellStyle name="Normal 26 2 5 2 5 29" xfId="62031" xr:uid="{00000000-0005-0000-0000-0000A0BB0000}"/>
    <cellStyle name="Normal 26 2 5 2 5 3" xfId="4806" xr:uid="{00000000-0005-0000-0000-0000A1BB0000}"/>
    <cellStyle name="Normal 26 2 5 2 5 3 2" xfId="19955" xr:uid="{00000000-0005-0000-0000-0000A2BB0000}"/>
    <cellStyle name="Normal 26 2 5 2 5 30" xfId="63714" xr:uid="{00000000-0005-0000-0000-0000A3BB0000}"/>
    <cellStyle name="Normal 26 2 5 2 5 4" xfId="6489" xr:uid="{00000000-0005-0000-0000-0000A4BB0000}"/>
    <cellStyle name="Normal 26 2 5 2 5 4 2" xfId="21638" xr:uid="{00000000-0005-0000-0000-0000A5BB0000}"/>
    <cellStyle name="Normal 26 2 5 2 5 5" xfId="8172" xr:uid="{00000000-0005-0000-0000-0000A6BB0000}"/>
    <cellStyle name="Normal 26 2 5 2 5 5 2" xfId="23321" xr:uid="{00000000-0005-0000-0000-0000A7BB0000}"/>
    <cellStyle name="Normal 26 2 5 2 5 6" xfId="9855" xr:uid="{00000000-0005-0000-0000-0000A8BB0000}"/>
    <cellStyle name="Normal 26 2 5 2 5 6 2" xfId="25004" xr:uid="{00000000-0005-0000-0000-0000A9BB0000}"/>
    <cellStyle name="Normal 26 2 5 2 5 7" xfId="11538" xr:uid="{00000000-0005-0000-0000-0000AABB0000}"/>
    <cellStyle name="Normal 26 2 5 2 5 7 2" xfId="26687" xr:uid="{00000000-0005-0000-0000-0000ABBB0000}"/>
    <cellStyle name="Normal 26 2 5 2 5 8" xfId="13222" xr:uid="{00000000-0005-0000-0000-0000ACBB0000}"/>
    <cellStyle name="Normal 26 2 5 2 5 8 2" xfId="28371" xr:uid="{00000000-0005-0000-0000-0000ADBB0000}"/>
    <cellStyle name="Normal 26 2 5 2 5 9" xfId="14905" xr:uid="{00000000-0005-0000-0000-0000AEBB0000}"/>
    <cellStyle name="Normal 26 2 5 2 5 9 2" xfId="30054" xr:uid="{00000000-0005-0000-0000-0000AFBB0000}"/>
    <cellStyle name="Normal 26 2 5 2 6" xfId="1860" xr:uid="{00000000-0005-0000-0000-0000B0BB0000}"/>
    <cellStyle name="Normal 26 2 5 2 6 2" xfId="17009" xr:uid="{00000000-0005-0000-0000-0000B1BB0000}"/>
    <cellStyle name="Normal 26 2 5 2 7" xfId="3544" xr:uid="{00000000-0005-0000-0000-0000B2BB0000}"/>
    <cellStyle name="Normal 26 2 5 2 7 2" xfId="18693" xr:uid="{00000000-0005-0000-0000-0000B3BB0000}"/>
    <cellStyle name="Normal 26 2 5 2 8" xfId="5227" xr:uid="{00000000-0005-0000-0000-0000B4BB0000}"/>
    <cellStyle name="Normal 26 2 5 2 8 2" xfId="20376" xr:uid="{00000000-0005-0000-0000-0000B5BB0000}"/>
    <cellStyle name="Normal 26 2 5 2 9" xfId="6910" xr:uid="{00000000-0005-0000-0000-0000B6BB0000}"/>
    <cellStyle name="Normal 26 2 5 2 9 2" xfId="22059" xr:uid="{00000000-0005-0000-0000-0000B7BB0000}"/>
    <cellStyle name="Normal 26 2 5 20" xfId="37102" xr:uid="{00000000-0005-0000-0000-0000B8BB0000}"/>
    <cellStyle name="Normal 26 2 5 21" xfId="38785" xr:uid="{00000000-0005-0000-0000-0000B9BB0000}"/>
    <cellStyle name="Normal 26 2 5 22" xfId="40468" xr:uid="{00000000-0005-0000-0000-0000BABB0000}"/>
    <cellStyle name="Normal 26 2 5 23" xfId="42151" xr:uid="{00000000-0005-0000-0000-0000BBBB0000}"/>
    <cellStyle name="Normal 26 2 5 24" xfId="43834" xr:uid="{00000000-0005-0000-0000-0000BCBB0000}"/>
    <cellStyle name="Normal 26 2 5 25" xfId="45517" xr:uid="{00000000-0005-0000-0000-0000BDBB0000}"/>
    <cellStyle name="Normal 26 2 5 26" xfId="47200" xr:uid="{00000000-0005-0000-0000-0000BEBB0000}"/>
    <cellStyle name="Normal 26 2 5 27" xfId="48883" xr:uid="{00000000-0005-0000-0000-0000BFBB0000}"/>
    <cellStyle name="Normal 26 2 5 28" xfId="50566" xr:uid="{00000000-0005-0000-0000-0000C0BB0000}"/>
    <cellStyle name="Normal 26 2 5 29" xfId="52249" xr:uid="{00000000-0005-0000-0000-0000C1BB0000}"/>
    <cellStyle name="Normal 26 2 5 3" xfId="282" xr:uid="{00000000-0005-0000-0000-0000C2BB0000}"/>
    <cellStyle name="Normal 26 2 5 3 10" xfId="10381" xr:uid="{00000000-0005-0000-0000-0000C3BB0000}"/>
    <cellStyle name="Normal 26 2 5 3 10 2" xfId="25530" xr:uid="{00000000-0005-0000-0000-0000C4BB0000}"/>
    <cellStyle name="Normal 26 2 5 3 11" xfId="12065" xr:uid="{00000000-0005-0000-0000-0000C5BB0000}"/>
    <cellStyle name="Normal 26 2 5 3 11 2" xfId="27214" xr:uid="{00000000-0005-0000-0000-0000C6BB0000}"/>
    <cellStyle name="Normal 26 2 5 3 12" xfId="13748" xr:uid="{00000000-0005-0000-0000-0000C7BB0000}"/>
    <cellStyle name="Normal 26 2 5 3 12 2" xfId="28897" xr:uid="{00000000-0005-0000-0000-0000C8BB0000}"/>
    <cellStyle name="Normal 26 2 5 3 13" xfId="15431" xr:uid="{00000000-0005-0000-0000-0000C9BB0000}"/>
    <cellStyle name="Normal 26 2 5 3 14" xfId="30580" xr:uid="{00000000-0005-0000-0000-0000CABB0000}"/>
    <cellStyle name="Normal 26 2 5 3 15" xfId="32263" xr:uid="{00000000-0005-0000-0000-0000CBBB0000}"/>
    <cellStyle name="Normal 26 2 5 3 16" xfId="33946" xr:uid="{00000000-0005-0000-0000-0000CCBB0000}"/>
    <cellStyle name="Normal 26 2 5 3 17" xfId="35629" xr:uid="{00000000-0005-0000-0000-0000CDBB0000}"/>
    <cellStyle name="Normal 26 2 5 3 18" xfId="37312" xr:uid="{00000000-0005-0000-0000-0000CEBB0000}"/>
    <cellStyle name="Normal 26 2 5 3 19" xfId="38995" xr:uid="{00000000-0005-0000-0000-0000CFBB0000}"/>
    <cellStyle name="Normal 26 2 5 3 2" xfId="702" xr:uid="{00000000-0005-0000-0000-0000D0BB0000}"/>
    <cellStyle name="Normal 26 2 5 3 2 10" xfId="15851" xr:uid="{00000000-0005-0000-0000-0000D1BB0000}"/>
    <cellStyle name="Normal 26 2 5 3 2 11" xfId="31000" xr:uid="{00000000-0005-0000-0000-0000D2BB0000}"/>
    <cellStyle name="Normal 26 2 5 3 2 12" xfId="32683" xr:uid="{00000000-0005-0000-0000-0000D3BB0000}"/>
    <cellStyle name="Normal 26 2 5 3 2 13" xfId="34366" xr:uid="{00000000-0005-0000-0000-0000D4BB0000}"/>
    <cellStyle name="Normal 26 2 5 3 2 14" xfId="36049" xr:uid="{00000000-0005-0000-0000-0000D5BB0000}"/>
    <cellStyle name="Normal 26 2 5 3 2 15" xfId="37732" xr:uid="{00000000-0005-0000-0000-0000D6BB0000}"/>
    <cellStyle name="Normal 26 2 5 3 2 16" xfId="39415" xr:uid="{00000000-0005-0000-0000-0000D7BB0000}"/>
    <cellStyle name="Normal 26 2 5 3 2 17" xfId="41098" xr:uid="{00000000-0005-0000-0000-0000D8BB0000}"/>
    <cellStyle name="Normal 26 2 5 3 2 18" xfId="42781" xr:uid="{00000000-0005-0000-0000-0000D9BB0000}"/>
    <cellStyle name="Normal 26 2 5 3 2 19" xfId="44464" xr:uid="{00000000-0005-0000-0000-0000DABB0000}"/>
    <cellStyle name="Normal 26 2 5 3 2 2" xfId="2385" xr:uid="{00000000-0005-0000-0000-0000DBBB0000}"/>
    <cellStyle name="Normal 26 2 5 3 2 2 2" xfId="17534" xr:uid="{00000000-0005-0000-0000-0000DCBB0000}"/>
    <cellStyle name="Normal 26 2 5 3 2 20" xfId="46147" xr:uid="{00000000-0005-0000-0000-0000DDBB0000}"/>
    <cellStyle name="Normal 26 2 5 3 2 21" xfId="47830" xr:uid="{00000000-0005-0000-0000-0000DEBB0000}"/>
    <cellStyle name="Normal 26 2 5 3 2 22" xfId="49513" xr:uid="{00000000-0005-0000-0000-0000DFBB0000}"/>
    <cellStyle name="Normal 26 2 5 3 2 23" xfId="51196" xr:uid="{00000000-0005-0000-0000-0000E0BB0000}"/>
    <cellStyle name="Normal 26 2 5 3 2 24" xfId="52879" xr:uid="{00000000-0005-0000-0000-0000E1BB0000}"/>
    <cellStyle name="Normal 26 2 5 3 2 25" xfId="54562" xr:uid="{00000000-0005-0000-0000-0000E2BB0000}"/>
    <cellStyle name="Normal 26 2 5 3 2 26" xfId="56245" xr:uid="{00000000-0005-0000-0000-0000E3BB0000}"/>
    <cellStyle name="Normal 26 2 5 3 2 27" xfId="57928" xr:uid="{00000000-0005-0000-0000-0000E4BB0000}"/>
    <cellStyle name="Normal 26 2 5 3 2 28" xfId="59611" xr:uid="{00000000-0005-0000-0000-0000E5BB0000}"/>
    <cellStyle name="Normal 26 2 5 3 2 29" xfId="61294" xr:uid="{00000000-0005-0000-0000-0000E6BB0000}"/>
    <cellStyle name="Normal 26 2 5 3 2 3" xfId="4069" xr:uid="{00000000-0005-0000-0000-0000E7BB0000}"/>
    <cellStyle name="Normal 26 2 5 3 2 3 2" xfId="19218" xr:uid="{00000000-0005-0000-0000-0000E8BB0000}"/>
    <cellStyle name="Normal 26 2 5 3 2 30" xfId="62977" xr:uid="{00000000-0005-0000-0000-0000E9BB0000}"/>
    <cellStyle name="Normal 26 2 5 3 2 4" xfId="5752" xr:uid="{00000000-0005-0000-0000-0000EABB0000}"/>
    <cellStyle name="Normal 26 2 5 3 2 4 2" xfId="20901" xr:uid="{00000000-0005-0000-0000-0000EBBB0000}"/>
    <cellStyle name="Normal 26 2 5 3 2 5" xfId="7435" xr:uid="{00000000-0005-0000-0000-0000ECBB0000}"/>
    <cellStyle name="Normal 26 2 5 3 2 5 2" xfId="22584" xr:uid="{00000000-0005-0000-0000-0000EDBB0000}"/>
    <cellStyle name="Normal 26 2 5 3 2 6" xfId="9118" xr:uid="{00000000-0005-0000-0000-0000EEBB0000}"/>
    <cellStyle name="Normal 26 2 5 3 2 6 2" xfId="24267" xr:uid="{00000000-0005-0000-0000-0000EFBB0000}"/>
    <cellStyle name="Normal 26 2 5 3 2 7" xfId="10801" xr:uid="{00000000-0005-0000-0000-0000F0BB0000}"/>
    <cellStyle name="Normal 26 2 5 3 2 7 2" xfId="25950" xr:uid="{00000000-0005-0000-0000-0000F1BB0000}"/>
    <cellStyle name="Normal 26 2 5 3 2 8" xfId="12485" xr:uid="{00000000-0005-0000-0000-0000F2BB0000}"/>
    <cellStyle name="Normal 26 2 5 3 2 8 2" xfId="27634" xr:uid="{00000000-0005-0000-0000-0000F3BB0000}"/>
    <cellStyle name="Normal 26 2 5 3 2 9" xfId="14168" xr:uid="{00000000-0005-0000-0000-0000F4BB0000}"/>
    <cellStyle name="Normal 26 2 5 3 2 9 2" xfId="29317" xr:uid="{00000000-0005-0000-0000-0000F5BB0000}"/>
    <cellStyle name="Normal 26 2 5 3 20" xfId="40678" xr:uid="{00000000-0005-0000-0000-0000F6BB0000}"/>
    <cellStyle name="Normal 26 2 5 3 21" xfId="42361" xr:uid="{00000000-0005-0000-0000-0000F7BB0000}"/>
    <cellStyle name="Normal 26 2 5 3 22" xfId="44044" xr:uid="{00000000-0005-0000-0000-0000F8BB0000}"/>
    <cellStyle name="Normal 26 2 5 3 23" xfId="45727" xr:uid="{00000000-0005-0000-0000-0000F9BB0000}"/>
    <cellStyle name="Normal 26 2 5 3 24" xfId="47410" xr:uid="{00000000-0005-0000-0000-0000FABB0000}"/>
    <cellStyle name="Normal 26 2 5 3 25" xfId="49093" xr:uid="{00000000-0005-0000-0000-0000FBBB0000}"/>
    <cellStyle name="Normal 26 2 5 3 26" xfId="50776" xr:uid="{00000000-0005-0000-0000-0000FCBB0000}"/>
    <cellStyle name="Normal 26 2 5 3 27" xfId="52459" xr:uid="{00000000-0005-0000-0000-0000FDBB0000}"/>
    <cellStyle name="Normal 26 2 5 3 28" xfId="54142" xr:uid="{00000000-0005-0000-0000-0000FEBB0000}"/>
    <cellStyle name="Normal 26 2 5 3 29" xfId="55825" xr:uid="{00000000-0005-0000-0000-0000FFBB0000}"/>
    <cellStyle name="Normal 26 2 5 3 3" xfId="1123" xr:uid="{00000000-0005-0000-0000-000000BC0000}"/>
    <cellStyle name="Normal 26 2 5 3 3 10" xfId="16272" xr:uid="{00000000-0005-0000-0000-000001BC0000}"/>
    <cellStyle name="Normal 26 2 5 3 3 11" xfId="31421" xr:uid="{00000000-0005-0000-0000-000002BC0000}"/>
    <cellStyle name="Normal 26 2 5 3 3 12" xfId="33104" xr:uid="{00000000-0005-0000-0000-000003BC0000}"/>
    <cellStyle name="Normal 26 2 5 3 3 13" xfId="34787" xr:uid="{00000000-0005-0000-0000-000004BC0000}"/>
    <cellStyle name="Normal 26 2 5 3 3 14" xfId="36470" xr:uid="{00000000-0005-0000-0000-000005BC0000}"/>
    <cellStyle name="Normal 26 2 5 3 3 15" xfId="38153" xr:uid="{00000000-0005-0000-0000-000006BC0000}"/>
    <cellStyle name="Normal 26 2 5 3 3 16" xfId="39836" xr:uid="{00000000-0005-0000-0000-000007BC0000}"/>
    <cellStyle name="Normal 26 2 5 3 3 17" xfId="41519" xr:uid="{00000000-0005-0000-0000-000008BC0000}"/>
    <cellStyle name="Normal 26 2 5 3 3 18" xfId="43202" xr:uid="{00000000-0005-0000-0000-000009BC0000}"/>
    <cellStyle name="Normal 26 2 5 3 3 19" xfId="44885" xr:uid="{00000000-0005-0000-0000-00000ABC0000}"/>
    <cellStyle name="Normal 26 2 5 3 3 2" xfId="2806" xr:uid="{00000000-0005-0000-0000-00000BBC0000}"/>
    <cellStyle name="Normal 26 2 5 3 3 2 2" xfId="17955" xr:uid="{00000000-0005-0000-0000-00000CBC0000}"/>
    <cellStyle name="Normal 26 2 5 3 3 20" xfId="46568" xr:uid="{00000000-0005-0000-0000-00000DBC0000}"/>
    <cellStyle name="Normal 26 2 5 3 3 21" xfId="48251" xr:uid="{00000000-0005-0000-0000-00000EBC0000}"/>
    <cellStyle name="Normal 26 2 5 3 3 22" xfId="49934" xr:uid="{00000000-0005-0000-0000-00000FBC0000}"/>
    <cellStyle name="Normal 26 2 5 3 3 23" xfId="51617" xr:uid="{00000000-0005-0000-0000-000010BC0000}"/>
    <cellStyle name="Normal 26 2 5 3 3 24" xfId="53300" xr:uid="{00000000-0005-0000-0000-000011BC0000}"/>
    <cellStyle name="Normal 26 2 5 3 3 25" xfId="54983" xr:uid="{00000000-0005-0000-0000-000012BC0000}"/>
    <cellStyle name="Normal 26 2 5 3 3 26" xfId="56666" xr:uid="{00000000-0005-0000-0000-000013BC0000}"/>
    <cellStyle name="Normal 26 2 5 3 3 27" xfId="58349" xr:uid="{00000000-0005-0000-0000-000014BC0000}"/>
    <cellStyle name="Normal 26 2 5 3 3 28" xfId="60032" xr:uid="{00000000-0005-0000-0000-000015BC0000}"/>
    <cellStyle name="Normal 26 2 5 3 3 29" xfId="61715" xr:uid="{00000000-0005-0000-0000-000016BC0000}"/>
    <cellStyle name="Normal 26 2 5 3 3 3" xfId="4490" xr:uid="{00000000-0005-0000-0000-000017BC0000}"/>
    <cellStyle name="Normal 26 2 5 3 3 3 2" xfId="19639" xr:uid="{00000000-0005-0000-0000-000018BC0000}"/>
    <cellStyle name="Normal 26 2 5 3 3 30" xfId="63398" xr:uid="{00000000-0005-0000-0000-000019BC0000}"/>
    <cellStyle name="Normal 26 2 5 3 3 4" xfId="6173" xr:uid="{00000000-0005-0000-0000-00001ABC0000}"/>
    <cellStyle name="Normal 26 2 5 3 3 4 2" xfId="21322" xr:uid="{00000000-0005-0000-0000-00001BBC0000}"/>
    <cellStyle name="Normal 26 2 5 3 3 5" xfId="7856" xr:uid="{00000000-0005-0000-0000-00001CBC0000}"/>
    <cellStyle name="Normal 26 2 5 3 3 5 2" xfId="23005" xr:uid="{00000000-0005-0000-0000-00001DBC0000}"/>
    <cellStyle name="Normal 26 2 5 3 3 6" xfId="9539" xr:uid="{00000000-0005-0000-0000-00001EBC0000}"/>
    <cellStyle name="Normal 26 2 5 3 3 6 2" xfId="24688" xr:uid="{00000000-0005-0000-0000-00001FBC0000}"/>
    <cellStyle name="Normal 26 2 5 3 3 7" xfId="11222" xr:uid="{00000000-0005-0000-0000-000020BC0000}"/>
    <cellStyle name="Normal 26 2 5 3 3 7 2" xfId="26371" xr:uid="{00000000-0005-0000-0000-000021BC0000}"/>
    <cellStyle name="Normal 26 2 5 3 3 8" xfId="12906" xr:uid="{00000000-0005-0000-0000-000022BC0000}"/>
    <cellStyle name="Normal 26 2 5 3 3 8 2" xfId="28055" xr:uid="{00000000-0005-0000-0000-000023BC0000}"/>
    <cellStyle name="Normal 26 2 5 3 3 9" xfId="14589" xr:uid="{00000000-0005-0000-0000-000024BC0000}"/>
    <cellStyle name="Normal 26 2 5 3 3 9 2" xfId="29738" xr:uid="{00000000-0005-0000-0000-000025BC0000}"/>
    <cellStyle name="Normal 26 2 5 3 30" xfId="57508" xr:uid="{00000000-0005-0000-0000-000026BC0000}"/>
    <cellStyle name="Normal 26 2 5 3 31" xfId="59191" xr:uid="{00000000-0005-0000-0000-000027BC0000}"/>
    <cellStyle name="Normal 26 2 5 3 32" xfId="60874" xr:uid="{00000000-0005-0000-0000-000028BC0000}"/>
    <cellStyle name="Normal 26 2 5 3 33" xfId="62557" xr:uid="{00000000-0005-0000-0000-000029BC0000}"/>
    <cellStyle name="Normal 26 2 5 3 4" xfId="1544" xr:uid="{00000000-0005-0000-0000-00002ABC0000}"/>
    <cellStyle name="Normal 26 2 5 3 4 10" xfId="16693" xr:uid="{00000000-0005-0000-0000-00002BBC0000}"/>
    <cellStyle name="Normal 26 2 5 3 4 11" xfId="31842" xr:uid="{00000000-0005-0000-0000-00002CBC0000}"/>
    <cellStyle name="Normal 26 2 5 3 4 12" xfId="33525" xr:uid="{00000000-0005-0000-0000-00002DBC0000}"/>
    <cellStyle name="Normal 26 2 5 3 4 13" xfId="35208" xr:uid="{00000000-0005-0000-0000-00002EBC0000}"/>
    <cellStyle name="Normal 26 2 5 3 4 14" xfId="36891" xr:uid="{00000000-0005-0000-0000-00002FBC0000}"/>
    <cellStyle name="Normal 26 2 5 3 4 15" xfId="38574" xr:uid="{00000000-0005-0000-0000-000030BC0000}"/>
    <cellStyle name="Normal 26 2 5 3 4 16" xfId="40257" xr:uid="{00000000-0005-0000-0000-000031BC0000}"/>
    <cellStyle name="Normal 26 2 5 3 4 17" xfId="41940" xr:uid="{00000000-0005-0000-0000-000032BC0000}"/>
    <cellStyle name="Normal 26 2 5 3 4 18" xfId="43623" xr:uid="{00000000-0005-0000-0000-000033BC0000}"/>
    <cellStyle name="Normal 26 2 5 3 4 19" xfId="45306" xr:uid="{00000000-0005-0000-0000-000034BC0000}"/>
    <cellStyle name="Normal 26 2 5 3 4 2" xfId="3227" xr:uid="{00000000-0005-0000-0000-000035BC0000}"/>
    <cellStyle name="Normal 26 2 5 3 4 2 2" xfId="18376" xr:uid="{00000000-0005-0000-0000-000036BC0000}"/>
    <cellStyle name="Normal 26 2 5 3 4 20" xfId="46989" xr:uid="{00000000-0005-0000-0000-000037BC0000}"/>
    <cellStyle name="Normal 26 2 5 3 4 21" xfId="48672" xr:uid="{00000000-0005-0000-0000-000038BC0000}"/>
    <cellStyle name="Normal 26 2 5 3 4 22" xfId="50355" xr:uid="{00000000-0005-0000-0000-000039BC0000}"/>
    <cellStyle name="Normal 26 2 5 3 4 23" xfId="52038" xr:uid="{00000000-0005-0000-0000-00003ABC0000}"/>
    <cellStyle name="Normal 26 2 5 3 4 24" xfId="53721" xr:uid="{00000000-0005-0000-0000-00003BBC0000}"/>
    <cellStyle name="Normal 26 2 5 3 4 25" xfId="55404" xr:uid="{00000000-0005-0000-0000-00003CBC0000}"/>
    <cellStyle name="Normal 26 2 5 3 4 26" xfId="57087" xr:uid="{00000000-0005-0000-0000-00003DBC0000}"/>
    <cellStyle name="Normal 26 2 5 3 4 27" xfId="58770" xr:uid="{00000000-0005-0000-0000-00003EBC0000}"/>
    <cellStyle name="Normal 26 2 5 3 4 28" xfId="60453" xr:uid="{00000000-0005-0000-0000-00003FBC0000}"/>
    <cellStyle name="Normal 26 2 5 3 4 29" xfId="62136" xr:uid="{00000000-0005-0000-0000-000040BC0000}"/>
    <cellStyle name="Normal 26 2 5 3 4 3" xfId="4911" xr:uid="{00000000-0005-0000-0000-000041BC0000}"/>
    <cellStyle name="Normal 26 2 5 3 4 3 2" xfId="20060" xr:uid="{00000000-0005-0000-0000-000042BC0000}"/>
    <cellStyle name="Normal 26 2 5 3 4 30" xfId="63819" xr:uid="{00000000-0005-0000-0000-000043BC0000}"/>
    <cellStyle name="Normal 26 2 5 3 4 4" xfId="6594" xr:uid="{00000000-0005-0000-0000-000044BC0000}"/>
    <cellStyle name="Normal 26 2 5 3 4 4 2" xfId="21743" xr:uid="{00000000-0005-0000-0000-000045BC0000}"/>
    <cellStyle name="Normal 26 2 5 3 4 5" xfId="8277" xr:uid="{00000000-0005-0000-0000-000046BC0000}"/>
    <cellStyle name="Normal 26 2 5 3 4 5 2" xfId="23426" xr:uid="{00000000-0005-0000-0000-000047BC0000}"/>
    <cellStyle name="Normal 26 2 5 3 4 6" xfId="9960" xr:uid="{00000000-0005-0000-0000-000048BC0000}"/>
    <cellStyle name="Normal 26 2 5 3 4 6 2" xfId="25109" xr:uid="{00000000-0005-0000-0000-000049BC0000}"/>
    <cellStyle name="Normal 26 2 5 3 4 7" xfId="11643" xr:uid="{00000000-0005-0000-0000-00004ABC0000}"/>
    <cellStyle name="Normal 26 2 5 3 4 7 2" xfId="26792" xr:uid="{00000000-0005-0000-0000-00004BBC0000}"/>
    <cellStyle name="Normal 26 2 5 3 4 8" xfId="13327" xr:uid="{00000000-0005-0000-0000-00004CBC0000}"/>
    <cellStyle name="Normal 26 2 5 3 4 8 2" xfId="28476" xr:uid="{00000000-0005-0000-0000-00004DBC0000}"/>
    <cellStyle name="Normal 26 2 5 3 4 9" xfId="15010" xr:uid="{00000000-0005-0000-0000-00004EBC0000}"/>
    <cellStyle name="Normal 26 2 5 3 4 9 2" xfId="30159" xr:uid="{00000000-0005-0000-0000-00004FBC0000}"/>
    <cellStyle name="Normal 26 2 5 3 5" xfId="1965" xr:uid="{00000000-0005-0000-0000-000050BC0000}"/>
    <cellStyle name="Normal 26 2 5 3 5 2" xfId="17114" xr:uid="{00000000-0005-0000-0000-000051BC0000}"/>
    <cellStyle name="Normal 26 2 5 3 6" xfId="3649" xr:uid="{00000000-0005-0000-0000-000052BC0000}"/>
    <cellStyle name="Normal 26 2 5 3 6 2" xfId="18798" xr:uid="{00000000-0005-0000-0000-000053BC0000}"/>
    <cellStyle name="Normal 26 2 5 3 7" xfId="5332" xr:uid="{00000000-0005-0000-0000-000054BC0000}"/>
    <cellStyle name="Normal 26 2 5 3 7 2" xfId="20481" xr:uid="{00000000-0005-0000-0000-000055BC0000}"/>
    <cellStyle name="Normal 26 2 5 3 8" xfId="7015" xr:uid="{00000000-0005-0000-0000-000056BC0000}"/>
    <cellStyle name="Normal 26 2 5 3 8 2" xfId="22164" xr:uid="{00000000-0005-0000-0000-000057BC0000}"/>
    <cellStyle name="Normal 26 2 5 3 9" xfId="8698" xr:uid="{00000000-0005-0000-0000-000058BC0000}"/>
    <cellStyle name="Normal 26 2 5 3 9 2" xfId="23847" xr:uid="{00000000-0005-0000-0000-000059BC0000}"/>
    <cellStyle name="Normal 26 2 5 30" xfId="53932" xr:uid="{00000000-0005-0000-0000-00005ABC0000}"/>
    <cellStyle name="Normal 26 2 5 31" xfId="55615" xr:uid="{00000000-0005-0000-0000-00005BBC0000}"/>
    <cellStyle name="Normal 26 2 5 32" xfId="57298" xr:uid="{00000000-0005-0000-0000-00005CBC0000}"/>
    <cellStyle name="Normal 26 2 5 33" xfId="58981" xr:uid="{00000000-0005-0000-0000-00005DBC0000}"/>
    <cellStyle name="Normal 26 2 5 34" xfId="60664" xr:uid="{00000000-0005-0000-0000-00005EBC0000}"/>
    <cellStyle name="Normal 26 2 5 35" xfId="62347" xr:uid="{00000000-0005-0000-0000-00005FBC0000}"/>
    <cellStyle name="Normal 26 2 5 4" xfId="492" xr:uid="{00000000-0005-0000-0000-000060BC0000}"/>
    <cellStyle name="Normal 26 2 5 4 10" xfId="15641" xr:uid="{00000000-0005-0000-0000-000061BC0000}"/>
    <cellStyle name="Normal 26 2 5 4 11" xfId="30790" xr:uid="{00000000-0005-0000-0000-000062BC0000}"/>
    <cellStyle name="Normal 26 2 5 4 12" xfId="32473" xr:uid="{00000000-0005-0000-0000-000063BC0000}"/>
    <cellStyle name="Normal 26 2 5 4 13" xfId="34156" xr:uid="{00000000-0005-0000-0000-000064BC0000}"/>
    <cellStyle name="Normal 26 2 5 4 14" xfId="35839" xr:uid="{00000000-0005-0000-0000-000065BC0000}"/>
    <cellStyle name="Normal 26 2 5 4 15" xfId="37522" xr:uid="{00000000-0005-0000-0000-000066BC0000}"/>
    <cellStyle name="Normal 26 2 5 4 16" xfId="39205" xr:uid="{00000000-0005-0000-0000-000067BC0000}"/>
    <cellStyle name="Normal 26 2 5 4 17" xfId="40888" xr:uid="{00000000-0005-0000-0000-000068BC0000}"/>
    <cellStyle name="Normal 26 2 5 4 18" xfId="42571" xr:uid="{00000000-0005-0000-0000-000069BC0000}"/>
    <cellStyle name="Normal 26 2 5 4 19" xfId="44254" xr:uid="{00000000-0005-0000-0000-00006ABC0000}"/>
    <cellStyle name="Normal 26 2 5 4 2" xfId="2175" xr:uid="{00000000-0005-0000-0000-00006BBC0000}"/>
    <cellStyle name="Normal 26 2 5 4 2 2" xfId="17324" xr:uid="{00000000-0005-0000-0000-00006CBC0000}"/>
    <cellStyle name="Normal 26 2 5 4 20" xfId="45937" xr:uid="{00000000-0005-0000-0000-00006DBC0000}"/>
    <cellStyle name="Normal 26 2 5 4 21" xfId="47620" xr:uid="{00000000-0005-0000-0000-00006EBC0000}"/>
    <cellStyle name="Normal 26 2 5 4 22" xfId="49303" xr:uid="{00000000-0005-0000-0000-00006FBC0000}"/>
    <cellStyle name="Normal 26 2 5 4 23" xfId="50986" xr:uid="{00000000-0005-0000-0000-000070BC0000}"/>
    <cellStyle name="Normal 26 2 5 4 24" xfId="52669" xr:uid="{00000000-0005-0000-0000-000071BC0000}"/>
    <cellStyle name="Normal 26 2 5 4 25" xfId="54352" xr:uid="{00000000-0005-0000-0000-000072BC0000}"/>
    <cellStyle name="Normal 26 2 5 4 26" xfId="56035" xr:uid="{00000000-0005-0000-0000-000073BC0000}"/>
    <cellStyle name="Normal 26 2 5 4 27" xfId="57718" xr:uid="{00000000-0005-0000-0000-000074BC0000}"/>
    <cellStyle name="Normal 26 2 5 4 28" xfId="59401" xr:uid="{00000000-0005-0000-0000-000075BC0000}"/>
    <cellStyle name="Normal 26 2 5 4 29" xfId="61084" xr:uid="{00000000-0005-0000-0000-000076BC0000}"/>
    <cellStyle name="Normal 26 2 5 4 3" xfId="3859" xr:uid="{00000000-0005-0000-0000-000077BC0000}"/>
    <cellStyle name="Normal 26 2 5 4 3 2" xfId="19008" xr:uid="{00000000-0005-0000-0000-000078BC0000}"/>
    <cellStyle name="Normal 26 2 5 4 30" xfId="62767" xr:uid="{00000000-0005-0000-0000-000079BC0000}"/>
    <cellStyle name="Normal 26 2 5 4 4" xfId="5542" xr:uid="{00000000-0005-0000-0000-00007ABC0000}"/>
    <cellStyle name="Normal 26 2 5 4 4 2" xfId="20691" xr:uid="{00000000-0005-0000-0000-00007BBC0000}"/>
    <cellStyle name="Normal 26 2 5 4 5" xfId="7225" xr:uid="{00000000-0005-0000-0000-00007CBC0000}"/>
    <cellStyle name="Normal 26 2 5 4 5 2" xfId="22374" xr:uid="{00000000-0005-0000-0000-00007DBC0000}"/>
    <cellStyle name="Normal 26 2 5 4 6" xfId="8908" xr:uid="{00000000-0005-0000-0000-00007EBC0000}"/>
    <cellStyle name="Normal 26 2 5 4 6 2" xfId="24057" xr:uid="{00000000-0005-0000-0000-00007FBC0000}"/>
    <cellStyle name="Normal 26 2 5 4 7" xfId="10591" xr:uid="{00000000-0005-0000-0000-000080BC0000}"/>
    <cellStyle name="Normal 26 2 5 4 7 2" xfId="25740" xr:uid="{00000000-0005-0000-0000-000081BC0000}"/>
    <cellStyle name="Normal 26 2 5 4 8" xfId="12275" xr:uid="{00000000-0005-0000-0000-000082BC0000}"/>
    <cellStyle name="Normal 26 2 5 4 8 2" xfId="27424" xr:uid="{00000000-0005-0000-0000-000083BC0000}"/>
    <cellStyle name="Normal 26 2 5 4 9" xfId="13958" xr:uid="{00000000-0005-0000-0000-000084BC0000}"/>
    <cellStyle name="Normal 26 2 5 4 9 2" xfId="29107" xr:uid="{00000000-0005-0000-0000-000085BC0000}"/>
    <cellStyle name="Normal 26 2 5 5" xfId="913" xr:uid="{00000000-0005-0000-0000-000086BC0000}"/>
    <cellStyle name="Normal 26 2 5 5 10" xfId="16062" xr:uid="{00000000-0005-0000-0000-000087BC0000}"/>
    <cellStyle name="Normal 26 2 5 5 11" xfId="31211" xr:uid="{00000000-0005-0000-0000-000088BC0000}"/>
    <cellStyle name="Normal 26 2 5 5 12" xfId="32894" xr:uid="{00000000-0005-0000-0000-000089BC0000}"/>
    <cellStyle name="Normal 26 2 5 5 13" xfId="34577" xr:uid="{00000000-0005-0000-0000-00008ABC0000}"/>
    <cellStyle name="Normal 26 2 5 5 14" xfId="36260" xr:uid="{00000000-0005-0000-0000-00008BBC0000}"/>
    <cellStyle name="Normal 26 2 5 5 15" xfId="37943" xr:uid="{00000000-0005-0000-0000-00008CBC0000}"/>
    <cellStyle name="Normal 26 2 5 5 16" xfId="39626" xr:uid="{00000000-0005-0000-0000-00008DBC0000}"/>
    <cellStyle name="Normal 26 2 5 5 17" xfId="41309" xr:uid="{00000000-0005-0000-0000-00008EBC0000}"/>
    <cellStyle name="Normal 26 2 5 5 18" xfId="42992" xr:uid="{00000000-0005-0000-0000-00008FBC0000}"/>
    <cellStyle name="Normal 26 2 5 5 19" xfId="44675" xr:uid="{00000000-0005-0000-0000-000090BC0000}"/>
    <cellStyle name="Normal 26 2 5 5 2" xfId="2596" xr:uid="{00000000-0005-0000-0000-000091BC0000}"/>
    <cellStyle name="Normal 26 2 5 5 2 2" xfId="17745" xr:uid="{00000000-0005-0000-0000-000092BC0000}"/>
    <cellStyle name="Normal 26 2 5 5 20" xfId="46358" xr:uid="{00000000-0005-0000-0000-000093BC0000}"/>
    <cellStyle name="Normal 26 2 5 5 21" xfId="48041" xr:uid="{00000000-0005-0000-0000-000094BC0000}"/>
    <cellStyle name="Normal 26 2 5 5 22" xfId="49724" xr:uid="{00000000-0005-0000-0000-000095BC0000}"/>
    <cellStyle name="Normal 26 2 5 5 23" xfId="51407" xr:uid="{00000000-0005-0000-0000-000096BC0000}"/>
    <cellStyle name="Normal 26 2 5 5 24" xfId="53090" xr:uid="{00000000-0005-0000-0000-000097BC0000}"/>
    <cellStyle name="Normal 26 2 5 5 25" xfId="54773" xr:uid="{00000000-0005-0000-0000-000098BC0000}"/>
    <cellStyle name="Normal 26 2 5 5 26" xfId="56456" xr:uid="{00000000-0005-0000-0000-000099BC0000}"/>
    <cellStyle name="Normal 26 2 5 5 27" xfId="58139" xr:uid="{00000000-0005-0000-0000-00009ABC0000}"/>
    <cellStyle name="Normal 26 2 5 5 28" xfId="59822" xr:uid="{00000000-0005-0000-0000-00009BBC0000}"/>
    <cellStyle name="Normal 26 2 5 5 29" xfId="61505" xr:uid="{00000000-0005-0000-0000-00009CBC0000}"/>
    <cellStyle name="Normal 26 2 5 5 3" xfId="4280" xr:uid="{00000000-0005-0000-0000-00009DBC0000}"/>
    <cellStyle name="Normal 26 2 5 5 3 2" xfId="19429" xr:uid="{00000000-0005-0000-0000-00009EBC0000}"/>
    <cellStyle name="Normal 26 2 5 5 30" xfId="63188" xr:uid="{00000000-0005-0000-0000-00009FBC0000}"/>
    <cellStyle name="Normal 26 2 5 5 4" xfId="5963" xr:uid="{00000000-0005-0000-0000-0000A0BC0000}"/>
    <cellStyle name="Normal 26 2 5 5 4 2" xfId="21112" xr:uid="{00000000-0005-0000-0000-0000A1BC0000}"/>
    <cellStyle name="Normal 26 2 5 5 5" xfId="7646" xr:uid="{00000000-0005-0000-0000-0000A2BC0000}"/>
    <cellStyle name="Normal 26 2 5 5 5 2" xfId="22795" xr:uid="{00000000-0005-0000-0000-0000A3BC0000}"/>
    <cellStyle name="Normal 26 2 5 5 6" xfId="9329" xr:uid="{00000000-0005-0000-0000-0000A4BC0000}"/>
    <cellStyle name="Normal 26 2 5 5 6 2" xfId="24478" xr:uid="{00000000-0005-0000-0000-0000A5BC0000}"/>
    <cellStyle name="Normal 26 2 5 5 7" xfId="11012" xr:uid="{00000000-0005-0000-0000-0000A6BC0000}"/>
    <cellStyle name="Normal 26 2 5 5 7 2" xfId="26161" xr:uid="{00000000-0005-0000-0000-0000A7BC0000}"/>
    <cellStyle name="Normal 26 2 5 5 8" xfId="12696" xr:uid="{00000000-0005-0000-0000-0000A8BC0000}"/>
    <cellStyle name="Normal 26 2 5 5 8 2" xfId="27845" xr:uid="{00000000-0005-0000-0000-0000A9BC0000}"/>
    <cellStyle name="Normal 26 2 5 5 9" xfId="14379" xr:uid="{00000000-0005-0000-0000-0000AABC0000}"/>
    <cellStyle name="Normal 26 2 5 5 9 2" xfId="29528" xr:uid="{00000000-0005-0000-0000-0000ABBC0000}"/>
    <cellStyle name="Normal 26 2 5 6" xfId="1334" xr:uid="{00000000-0005-0000-0000-0000ACBC0000}"/>
    <cellStyle name="Normal 26 2 5 6 10" xfId="16483" xr:uid="{00000000-0005-0000-0000-0000ADBC0000}"/>
    <cellStyle name="Normal 26 2 5 6 11" xfId="31632" xr:uid="{00000000-0005-0000-0000-0000AEBC0000}"/>
    <cellStyle name="Normal 26 2 5 6 12" xfId="33315" xr:uid="{00000000-0005-0000-0000-0000AFBC0000}"/>
    <cellStyle name="Normal 26 2 5 6 13" xfId="34998" xr:uid="{00000000-0005-0000-0000-0000B0BC0000}"/>
    <cellStyle name="Normal 26 2 5 6 14" xfId="36681" xr:uid="{00000000-0005-0000-0000-0000B1BC0000}"/>
    <cellStyle name="Normal 26 2 5 6 15" xfId="38364" xr:uid="{00000000-0005-0000-0000-0000B2BC0000}"/>
    <cellStyle name="Normal 26 2 5 6 16" xfId="40047" xr:uid="{00000000-0005-0000-0000-0000B3BC0000}"/>
    <cellStyle name="Normal 26 2 5 6 17" xfId="41730" xr:uid="{00000000-0005-0000-0000-0000B4BC0000}"/>
    <cellStyle name="Normal 26 2 5 6 18" xfId="43413" xr:uid="{00000000-0005-0000-0000-0000B5BC0000}"/>
    <cellStyle name="Normal 26 2 5 6 19" xfId="45096" xr:uid="{00000000-0005-0000-0000-0000B6BC0000}"/>
    <cellStyle name="Normal 26 2 5 6 2" xfId="3017" xr:uid="{00000000-0005-0000-0000-0000B7BC0000}"/>
    <cellStyle name="Normal 26 2 5 6 2 2" xfId="18166" xr:uid="{00000000-0005-0000-0000-0000B8BC0000}"/>
    <cellStyle name="Normal 26 2 5 6 20" xfId="46779" xr:uid="{00000000-0005-0000-0000-0000B9BC0000}"/>
    <cellStyle name="Normal 26 2 5 6 21" xfId="48462" xr:uid="{00000000-0005-0000-0000-0000BABC0000}"/>
    <cellStyle name="Normal 26 2 5 6 22" xfId="50145" xr:uid="{00000000-0005-0000-0000-0000BBBC0000}"/>
    <cellStyle name="Normal 26 2 5 6 23" xfId="51828" xr:uid="{00000000-0005-0000-0000-0000BCBC0000}"/>
    <cellStyle name="Normal 26 2 5 6 24" xfId="53511" xr:uid="{00000000-0005-0000-0000-0000BDBC0000}"/>
    <cellStyle name="Normal 26 2 5 6 25" xfId="55194" xr:uid="{00000000-0005-0000-0000-0000BEBC0000}"/>
    <cellStyle name="Normal 26 2 5 6 26" xfId="56877" xr:uid="{00000000-0005-0000-0000-0000BFBC0000}"/>
    <cellStyle name="Normal 26 2 5 6 27" xfId="58560" xr:uid="{00000000-0005-0000-0000-0000C0BC0000}"/>
    <cellStyle name="Normal 26 2 5 6 28" xfId="60243" xr:uid="{00000000-0005-0000-0000-0000C1BC0000}"/>
    <cellStyle name="Normal 26 2 5 6 29" xfId="61926" xr:uid="{00000000-0005-0000-0000-0000C2BC0000}"/>
    <cellStyle name="Normal 26 2 5 6 3" xfId="4701" xr:uid="{00000000-0005-0000-0000-0000C3BC0000}"/>
    <cellStyle name="Normal 26 2 5 6 3 2" xfId="19850" xr:uid="{00000000-0005-0000-0000-0000C4BC0000}"/>
    <cellStyle name="Normal 26 2 5 6 30" xfId="63609" xr:uid="{00000000-0005-0000-0000-0000C5BC0000}"/>
    <cellStyle name="Normal 26 2 5 6 4" xfId="6384" xr:uid="{00000000-0005-0000-0000-0000C6BC0000}"/>
    <cellStyle name="Normal 26 2 5 6 4 2" xfId="21533" xr:uid="{00000000-0005-0000-0000-0000C7BC0000}"/>
    <cellStyle name="Normal 26 2 5 6 5" xfId="8067" xr:uid="{00000000-0005-0000-0000-0000C8BC0000}"/>
    <cellStyle name="Normal 26 2 5 6 5 2" xfId="23216" xr:uid="{00000000-0005-0000-0000-0000C9BC0000}"/>
    <cellStyle name="Normal 26 2 5 6 6" xfId="9750" xr:uid="{00000000-0005-0000-0000-0000CABC0000}"/>
    <cellStyle name="Normal 26 2 5 6 6 2" xfId="24899" xr:uid="{00000000-0005-0000-0000-0000CBBC0000}"/>
    <cellStyle name="Normal 26 2 5 6 7" xfId="11433" xr:uid="{00000000-0005-0000-0000-0000CCBC0000}"/>
    <cellStyle name="Normal 26 2 5 6 7 2" xfId="26582" xr:uid="{00000000-0005-0000-0000-0000CDBC0000}"/>
    <cellStyle name="Normal 26 2 5 6 8" xfId="13117" xr:uid="{00000000-0005-0000-0000-0000CEBC0000}"/>
    <cellStyle name="Normal 26 2 5 6 8 2" xfId="28266" xr:uid="{00000000-0005-0000-0000-0000CFBC0000}"/>
    <cellStyle name="Normal 26 2 5 6 9" xfId="14800" xr:uid="{00000000-0005-0000-0000-0000D0BC0000}"/>
    <cellStyle name="Normal 26 2 5 6 9 2" xfId="29949" xr:uid="{00000000-0005-0000-0000-0000D1BC0000}"/>
    <cellStyle name="Normal 26 2 5 7" xfId="1755" xr:uid="{00000000-0005-0000-0000-0000D2BC0000}"/>
    <cellStyle name="Normal 26 2 5 7 2" xfId="16904" xr:uid="{00000000-0005-0000-0000-0000D3BC0000}"/>
    <cellStyle name="Normal 26 2 5 8" xfId="3439" xr:uid="{00000000-0005-0000-0000-0000D4BC0000}"/>
    <cellStyle name="Normal 26 2 5 8 2" xfId="18588" xr:uid="{00000000-0005-0000-0000-0000D5BC0000}"/>
    <cellStyle name="Normal 26 2 5 9" xfId="5122" xr:uid="{00000000-0005-0000-0000-0000D6BC0000}"/>
    <cellStyle name="Normal 26 2 5 9 2" xfId="20271" xr:uid="{00000000-0005-0000-0000-0000D7BC0000}"/>
    <cellStyle name="Normal 26 2 6" xfId="142" xr:uid="{00000000-0005-0000-0000-0000D8BC0000}"/>
    <cellStyle name="Normal 26 2 6 10" xfId="8558" xr:uid="{00000000-0005-0000-0000-0000D9BC0000}"/>
    <cellStyle name="Normal 26 2 6 10 2" xfId="23707" xr:uid="{00000000-0005-0000-0000-0000DABC0000}"/>
    <cellStyle name="Normal 26 2 6 11" xfId="10241" xr:uid="{00000000-0005-0000-0000-0000DBBC0000}"/>
    <cellStyle name="Normal 26 2 6 11 2" xfId="25390" xr:uid="{00000000-0005-0000-0000-0000DCBC0000}"/>
    <cellStyle name="Normal 26 2 6 12" xfId="11925" xr:uid="{00000000-0005-0000-0000-0000DDBC0000}"/>
    <cellStyle name="Normal 26 2 6 12 2" xfId="27074" xr:uid="{00000000-0005-0000-0000-0000DEBC0000}"/>
    <cellStyle name="Normal 26 2 6 13" xfId="13608" xr:uid="{00000000-0005-0000-0000-0000DFBC0000}"/>
    <cellStyle name="Normal 26 2 6 13 2" xfId="28757" xr:uid="{00000000-0005-0000-0000-0000E0BC0000}"/>
    <cellStyle name="Normal 26 2 6 14" xfId="15291" xr:uid="{00000000-0005-0000-0000-0000E1BC0000}"/>
    <cellStyle name="Normal 26 2 6 15" xfId="30440" xr:uid="{00000000-0005-0000-0000-0000E2BC0000}"/>
    <cellStyle name="Normal 26 2 6 16" xfId="32123" xr:uid="{00000000-0005-0000-0000-0000E3BC0000}"/>
    <cellStyle name="Normal 26 2 6 17" xfId="33806" xr:uid="{00000000-0005-0000-0000-0000E4BC0000}"/>
    <cellStyle name="Normal 26 2 6 18" xfId="35489" xr:uid="{00000000-0005-0000-0000-0000E5BC0000}"/>
    <cellStyle name="Normal 26 2 6 19" xfId="37172" xr:uid="{00000000-0005-0000-0000-0000E6BC0000}"/>
    <cellStyle name="Normal 26 2 6 2" xfId="352" xr:uid="{00000000-0005-0000-0000-0000E7BC0000}"/>
    <cellStyle name="Normal 26 2 6 2 10" xfId="10451" xr:uid="{00000000-0005-0000-0000-0000E8BC0000}"/>
    <cellStyle name="Normal 26 2 6 2 10 2" xfId="25600" xr:uid="{00000000-0005-0000-0000-0000E9BC0000}"/>
    <cellStyle name="Normal 26 2 6 2 11" xfId="12135" xr:uid="{00000000-0005-0000-0000-0000EABC0000}"/>
    <cellStyle name="Normal 26 2 6 2 11 2" xfId="27284" xr:uid="{00000000-0005-0000-0000-0000EBBC0000}"/>
    <cellStyle name="Normal 26 2 6 2 12" xfId="13818" xr:uid="{00000000-0005-0000-0000-0000ECBC0000}"/>
    <cellStyle name="Normal 26 2 6 2 12 2" xfId="28967" xr:uid="{00000000-0005-0000-0000-0000EDBC0000}"/>
    <cellStyle name="Normal 26 2 6 2 13" xfId="15501" xr:uid="{00000000-0005-0000-0000-0000EEBC0000}"/>
    <cellStyle name="Normal 26 2 6 2 14" xfId="30650" xr:uid="{00000000-0005-0000-0000-0000EFBC0000}"/>
    <cellStyle name="Normal 26 2 6 2 15" xfId="32333" xr:uid="{00000000-0005-0000-0000-0000F0BC0000}"/>
    <cellStyle name="Normal 26 2 6 2 16" xfId="34016" xr:uid="{00000000-0005-0000-0000-0000F1BC0000}"/>
    <cellStyle name="Normal 26 2 6 2 17" xfId="35699" xr:uid="{00000000-0005-0000-0000-0000F2BC0000}"/>
    <cellStyle name="Normal 26 2 6 2 18" xfId="37382" xr:uid="{00000000-0005-0000-0000-0000F3BC0000}"/>
    <cellStyle name="Normal 26 2 6 2 19" xfId="39065" xr:uid="{00000000-0005-0000-0000-0000F4BC0000}"/>
    <cellStyle name="Normal 26 2 6 2 2" xfId="772" xr:uid="{00000000-0005-0000-0000-0000F5BC0000}"/>
    <cellStyle name="Normal 26 2 6 2 2 10" xfId="15921" xr:uid="{00000000-0005-0000-0000-0000F6BC0000}"/>
    <cellStyle name="Normal 26 2 6 2 2 11" xfId="31070" xr:uid="{00000000-0005-0000-0000-0000F7BC0000}"/>
    <cellStyle name="Normal 26 2 6 2 2 12" xfId="32753" xr:uid="{00000000-0005-0000-0000-0000F8BC0000}"/>
    <cellStyle name="Normal 26 2 6 2 2 13" xfId="34436" xr:uid="{00000000-0005-0000-0000-0000F9BC0000}"/>
    <cellStyle name="Normal 26 2 6 2 2 14" xfId="36119" xr:uid="{00000000-0005-0000-0000-0000FABC0000}"/>
    <cellStyle name="Normal 26 2 6 2 2 15" xfId="37802" xr:uid="{00000000-0005-0000-0000-0000FBBC0000}"/>
    <cellStyle name="Normal 26 2 6 2 2 16" xfId="39485" xr:uid="{00000000-0005-0000-0000-0000FCBC0000}"/>
    <cellStyle name="Normal 26 2 6 2 2 17" xfId="41168" xr:uid="{00000000-0005-0000-0000-0000FDBC0000}"/>
    <cellStyle name="Normal 26 2 6 2 2 18" xfId="42851" xr:uid="{00000000-0005-0000-0000-0000FEBC0000}"/>
    <cellStyle name="Normal 26 2 6 2 2 19" xfId="44534" xr:uid="{00000000-0005-0000-0000-0000FFBC0000}"/>
    <cellStyle name="Normal 26 2 6 2 2 2" xfId="2455" xr:uid="{00000000-0005-0000-0000-000000BD0000}"/>
    <cellStyle name="Normal 26 2 6 2 2 2 2" xfId="17604" xr:uid="{00000000-0005-0000-0000-000001BD0000}"/>
    <cellStyle name="Normal 26 2 6 2 2 20" xfId="46217" xr:uid="{00000000-0005-0000-0000-000002BD0000}"/>
    <cellStyle name="Normal 26 2 6 2 2 21" xfId="47900" xr:uid="{00000000-0005-0000-0000-000003BD0000}"/>
    <cellStyle name="Normal 26 2 6 2 2 22" xfId="49583" xr:uid="{00000000-0005-0000-0000-000004BD0000}"/>
    <cellStyle name="Normal 26 2 6 2 2 23" xfId="51266" xr:uid="{00000000-0005-0000-0000-000005BD0000}"/>
    <cellStyle name="Normal 26 2 6 2 2 24" xfId="52949" xr:uid="{00000000-0005-0000-0000-000006BD0000}"/>
    <cellStyle name="Normal 26 2 6 2 2 25" xfId="54632" xr:uid="{00000000-0005-0000-0000-000007BD0000}"/>
    <cellStyle name="Normal 26 2 6 2 2 26" xfId="56315" xr:uid="{00000000-0005-0000-0000-000008BD0000}"/>
    <cellStyle name="Normal 26 2 6 2 2 27" xfId="57998" xr:uid="{00000000-0005-0000-0000-000009BD0000}"/>
    <cellStyle name="Normal 26 2 6 2 2 28" xfId="59681" xr:uid="{00000000-0005-0000-0000-00000ABD0000}"/>
    <cellStyle name="Normal 26 2 6 2 2 29" xfId="61364" xr:uid="{00000000-0005-0000-0000-00000BBD0000}"/>
    <cellStyle name="Normal 26 2 6 2 2 3" xfId="4139" xr:uid="{00000000-0005-0000-0000-00000CBD0000}"/>
    <cellStyle name="Normal 26 2 6 2 2 3 2" xfId="19288" xr:uid="{00000000-0005-0000-0000-00000DBD0000}"/>
    <cellStyle name="Normal 26 2 6 2 2 30" xfId="63047" xr:uid="{00000000-0005-0000-0000-00000EBD0000}"/>
    <cellStyle name="Normal 26 2 6 2 2 4" xfId="5822" xr:uid="{00000000-0005-0000-0000-00000FBD0000}"/>
    <cellStyle name="Normal 26 2 6 2 2 4 2" xfId="20971" xr:uid="{00000000-0005-0000-0000-000010BD0000}"/>
    <cellStyle name="Normal 26 2 6 2 2 5" xfId="7505" xr:uid="{00000000-0005-0000-0000-000011BD0000}"/>
    <cellStyle name="Normal 26 2 6 2 2 5 2" xfId="22654" xr:uid="{00000000-0005-0000-0000-000012BD0000}"/>
    <cellStyle name="Normal 26 2 6 2 2 6" xfId="9188" xr:uid="{00000000-0005-0000-0000-000013BD0000}"/>
    <cellStyle name="Normal 26 2 6 2 2 6 2" xfId="24337" xr:uid="{00000000-0005-0000-0000-000014BD0000}"/>
    <cellStyle name="Normal 26 2 6 2 2 7" xfId="10871" xr:uid="{00000000-0005-0000-0000-000015BD0000}"/>
    <cellStyle name="Normal 26 2 6 2 2 7 2" xfId="26020" xr:uid="{00000000-0005-0000-0000-000016BD0000}"/>
    <cellStyle name="Normal 26 2 6 2 2 8" xfId="12555" xr:uid="{00000000-0005-0000-0000-000017BD0000}"/>
    <cellStyle name="Normal 26 2 6 2 2 8 2" xfId="27704" xr:uid="{00000000-0005-0000-0000-000018BD0000}"/>
    <cellStyle name="Normal 26 2 6 2 2 9" xfId="14238" xr:uid="{00000000-0005-0000-0000-000019BD0000}"/>
    <cellStyle name="Normal 26 2 6 2 2 9 2" xfId="29387" xr:uid="{00000000-0005-0000-0000-00001ABD0000}"/>
    <cellStyle name="Normal 26 2 6 2 20" xfId="40748" xr:uid="{00000000-0005-0000-0000-00001BBD0000}"/>
    <cellStyle name="Normal 26 2 6 2 21" xfId="42431" xr:uid="{00000000-0005-0000-0000-00001CBD0000}"/>
    <cellStyle name="Normal 26 2 6 2 22" xfId="44114" xr:uid="{00000000-0005-0000-0000-00001DBD0000}"/>
    <cellStyle name="Normal 26 2 6 2 23" xfId="45797" xr:uid="{00000000-0005-0000-0000-00001EBD0000}"/>
    <cellStyle name="Normal 26 2 6 2 24" xfId="47480" xr:uid="{00000000-0005-0000-0000-00001FBD0000}"/>
    <cellStyle name="Normal 26 2 6 2 25" xfId="49163" xr:uid="{00000000-0005-0000-0000-000020BD0000}"/>
    <cellStyle name="Normal 26 2 6 2 26" xfId="50846" xr:uid="{00000000-0005-0000-0000-000021BD0000}"/>
    <cellStyle name="Normal 26 2 6 2 27" xfId="52529" xr:uid="{00000000-0005-0000-0000-000022BD0000}"/>
    <cellStyle name="Normal 26 2 6 2 28" xfId="54212" xr:uid="{00000000-0005-0000-0000-000023BD0000}"/>
    <cellStyle name="Normal 26 2 6 2 29" xfId="55895" xr:uid="{00000000-0005-0000-0000-000024BD0000}"/>
    <cellStyle name="Normal 26 2 6 2 3" xfId="1193" xr:uid="{00000000-0005-0000-0000-000025BD0000}"/>
    <cellStyle name="Normal 26 2 6 2 3 10" xfId="16342" xr:uid="{00000000-0005-0000-0000-000026BD0000}"/>
    <cellStyle name="Normal 26 2 6 2 3 11" xfId="31491" xr:uid="{00000000-0005-0000-0000-000027BD0000}"/>
    <cellStyle name="Normal 26 2 6 2 3 12" xfId="33174" xr:uid="{00000000-0005-0000-0000-000028BD0000}"/>
    <cellStyle name="Normal 26 2 6 2 3 13" xfId="34857" xr:uid="{00000000-0005-0000-0000-000029BD0000}"/>
    <cellStyle name="Normal 26 2 6 2 3 14" xfId="36540" xr:uid="{00000000-0005-0000-0000-00002ABD0000}"/>
    <cellStyle name="Normal 26 2 6 2 3 15" xfId="38223" xr:uid="{00000000-0005-0000-0000-00002BBD0000}"/>
    <cellStyle name="Normal 26 2 6 2 3 16" xfId="39906" xr:uid="{00000000-0005-0000-0000-00002CBD0000}"/>
    <cellStyle name="Normal 26 2 6 2 3 17" xfId="41589" xr:uid="{00000000-0005-0000-0000-00002DBD0000}"/>
    <cellStyle name="Normal 26 2 6 2 3 18" xfId="43272" xr:uid="{00000000-0005-0000-0000-00002EBD0000}"/>
    <cellStyle name="Normal 26 2 6 2 3 19" xfId="44955" xr:uid="{00000000-0005-0000-0000-00002FBD0000}"/>
    <cellStyle name="Normal 26 2 6 2 3 2" xfId="2876" xr:uid="{00000000-0005-0000-0000-000030BD0000}"/>
    <cellStyle name="Normal 26 2 6 2 3 2 2" xfId="18025" xr:uid="{00000000-0005-0000-0000-000031BD0000}"/>
    <cellStyle name="Normal 26 2 6 2 3 20" xfId="46638" xr:uid="{00000000-0005-0000-0000-000032BD0000}"/>
    <cellStyle name="Normal 26 2 6 2 3 21" xfId="48321" xr:uid="{00000000-0005-0000-0000-000033BD0000}"/>
    <cellStyle name="Normal 26 2 6 2 3 22" xfId="50004" xr:uid="{00000000-0005-0000-0000-000034BD0000}"/>
    <cellStyle name="Normal 26 2 6 2 3 23" xfId="51687" xr:uid="{00000000-0005-0000-0000-000035BD0000}"/>
    <cellStyle name="Normal 26 2 6 2 3 24" xfId="53370" xr:uid="{00000000-0005-0000-0000-000036BD0000}"/>
    <cellStyle name="Normal 26 2 6 2 3 25" xfId="55053" xr:uid="{00000000-0005-0000-0000-000037BD0000}"/>
    <cellStyle name="Normal 26 2 6 2 3 26" xfId="56736" xr:uid="{00000000-0005-0000-0000-000038BD0000}"/>
    <cellStyle name="Normal 26 2 6 2 3 27" xfId="58419" xr:uid="{00000000-0005-0000-0000-000039BD0000}"/>
    <cellStyle name="Normal 26 2 6 2 3 28" xfId="60102" xr:uid="{00000000-0005-0000-0000-00003ABD0000}"/>
    <cellStyle name="Normal 26 2 6 2 3 29" xfId="61785" xr:uid="{00000000-0005-0000-0000-00003BBD0000}"/>
    <cellStyle name="Normal 26 2 6 2 3 3" xfId="4560" xr:uid="{00000000-0005-0000-0000-00003CBD0000}"/>
    <cellStyle name="Normal 26 2 6 2 3 3 2" xfId="19709" xr:uid="{00000000-0005-0000-0000-00003DBD0000}"/>
    <cellStyle name="Normal 26 2 6 2 3 30" xfId="63468" xr:uid="{00000000-0005-0000-0000-00003EBD0000}"/>
    <cellStyle name="Normal 26 2 6 2 3 4" xfId="6243" xr:uid="{00000000-0005-0000-0000-00003FBD0000}"/>
    <cellStyle name="Normal 26 2 6 2 3 4 2" xfId="21392" xr:uid="{00000000-0005-0000-0000-000040BD0000}"/>
    <cellStyle name="Normal 26 2 6 2 3 5" xfId="7926" xr:uid="{00000000-0005-0000-0000-000041BD0000}"/>
    <cellStyle name="Normal 26 2 6 2 3 5 2" xfId="23075" xr:uid="{00000000-0005-0000-0000-000042BD0000}"/>
    <cellStyle name="Normal 26 2 6 2 3 6" xfId="9609" xr:uid="{00000000-0005-0000-0000-000043BD0000}"/>
    <cellStyle name="Normal 26 2 6 2 3 6 2" xfId="24758" xr:uid="{00000000-0005-0000-0000-000044BD0000}"/>
    <cellStyle name="Normal 26 2 6 2 3 7" xfId="11292" xr:uid="{00000000-0005-0000-0000-000045BD0000}"/>
    <cellStyle name="Normal 26 2 6 2 3 7 2" xfId="26441" xr:uid="{00000000-0005-0000-0000-000046BD0000}"/>
    <cellStyle name="Normal 26 2 6 2 3 8" xfId="12976" xr:uid="{00000000-0005-0000-0000-000047BD0000}"/>
    <cellStyle name="Normal 26 2 6 2 3 8 2" xfId="28125" xr:uid="{00000000-0005-0000-0000-000048BD0000}"/>
    <cellStyle name="Normal 26 2 6 2 3 9" xfId="14659" xr:uid="{00000000-0005-0000-0000-000049BD0000}"/>
    <cellStyle name="Normal 26 2 6 2 3 9 2" xfId="29808" xr:uid="{00000000-0005-0000-0000-00004ABD0000}"/>
    <cellStyle name="Normal 26 2 6 2 30" xfId="57578" xr:uid="{00000000-0005-0000-0000-00004BBD0000}"/>
    <cellStyle name="Normal 26 2 6 2 31" xfId="59261" xr:uid="{00000000-0005-0000-0000-00004CBD0000}"/>
    <cellStyle name="Normal 26 2 6 2 32" xfId="60944" xr:uid="{00000000-0005-0000-0000-00004DBD0000}"/>
    <cellStyle name="Normal 26 2 6 2 33" xfId="62627" xr:uid="{00000000-0005-0000-0000-00004EBD0000}"/>
    <cellStyle name="Normal 26 2 6 2 4" xfId="1614" xr:uid="{00000000-0005-0000-0000-00004FBD0000}"/>
    <cellStyle name="Normal 26 2 6 2 4 10" xfId="16763" xr:uid="{00000000-0005-0000-0000-000050BD0000}"/>
    <cellStyle name="Normal 26 2 6 2 4 11" xfId="31912" xr:uid="{00000000-0005-0000-0000-000051BD0000}"/>
    <cellStyle name="Normal 26 2 6 2 4 12" xfId="33595" xr:uid="{00000000-0005-0000-0000-000052BD0000}"/>
    <cellStyle name="Normal 26 2 6 2 4 13" xfId="35278" xr:uid="{00000000-0005-0000-0000-000053BD0000}"/>
    <cellStyle name="Normal 26 2 6 2 4 14" xfId="36961" xr:uid="{00000000-0005-0000-0000-000054BD0000}"/>
    <cellStyle name="Normal 26 2 6 2 4 15" xfId="38644" xr:uid="{00000000-0005-0000-0000-000055BD0000}"/>
    <cellStyle name="Normal 26 2 6 2 4 16" xfId="40327" xr:uid="{00000000-0005-0000-0000-000056BD0000}"/>
    <cellStyle name="Normal 26 2 6 2 4 17" xfId="42010" xr:uid="{00000000-0005-0000-0000-000057BD0000}"/>
    <cellStyle name="Normal 26 2 6 2 4 18" xfId="43693" xr:uid="{00000000-0005-0000-0000-000058BD0000}"/>
    <cellStyle name="Normal 26 2 6 2 4 19" xfId="45376" xr:uid="{00000000-0005-0000-0000-000059BD0000}"/>
    <cellStyle name="Normal 26 2 6 2 4 2" xfId="3297" xr:uid="{00000000-0005-0000-0000-00005ABD0000}"/>
    <cellStyle name="Normal 26 2 6 2 4 2 2" xfId="18446" xr:uid="{00000000-0005-0000-0000-00005BBD0000}"/>
    <cellStyle name="Normal 26 2 6 2 4 20" xfId="47059" xr:uid="{00000000-0005-0000-0000-00005CBD0000}"/>
    <cellStyle name="Normal 26 2 6 2 4 21" xfId="48742" xr:uid="{00000000-0005-0000-0000-00005DBD0000}"/>
    <cellStyle name="Normal 26 2 6 2 4 22" xfId="50425" xr:uid="{00000000-0005-0000-0000-00005EBD0000}"/>
    <cellStyle name="Normal 26 2 6 2 4 23" xfId="52108" xr:uid="{00000000-0005-0000-0000-00005FBD0000}"/>
    <cellStyle name="Normal 26 2 6 2 4 24" xfId="53791" xr:uid="{00000000-0005-0000-0000-000060BD0000}"/>
    <cellStyle name="Normal 26 2 6 2 4 25" xfId="55474" xr:uid="{00000000-0005-0000-0000-000061BD0000}"/>
    <cellStyle name="Normal 26 2 6 2 4 26" xfId="57157" xr:uid="{00000000-0005-0000-0000-000062BD0000}"/>
    <cellStyle name="Normal 26 2 6 2 4 27" xfId="58840" xr:uid="{00000000-0005-0000-0000-000063BD0000}"/>
    <cellStyle name="Normal 26 2 6 2 4 28" xfId="60523" xr:uid="{00000000-0005-0000-0000-000064BD0000}"/>
    <cellStyle name="Normal 26 2 6 2 4 29" xfId="62206" xr:uid="{00000000-0005-0000-0000-000065BD0000}"/>
    <cellStyle name="Normal 26 2 6 2 4 3" xfId="4981" xr:uid="{00000000-0005-0000-0000-000066BD0000}"/>
    <cellStyle name="Normal 26 2 6 2 4 3 2" xfId="20130" xr:uid="{00000000-0005-0000-0000-000067BD0000}"/>
    <cellStyle name="Normal 26 2 6 2 4 30" xfId="63889" xr:uid="{00000000-0005-0000-0000-000068BD0000}"/>
    <cellStyle name="Normal 26 2 6 2 4 4" xfId="6664" xr:uid="{00000000-0005-0000-0000-000069BD0000}"/>
    <cellStyle name="Normal 26 2 6 2 4 4 2" xfId="21813" xr:uid="{00000000-0005-0000-0000-00006ABD0000}"/>
    <cellStyle name="Normal 26 2 6 2 4 5" xfId="8347" xr:uid="{00000000-0005-0000-0000-00006BBD0000}"/>
    <cellStyle name="Normal 26 2 6 2 4 5 2" xfId="23496" xr:uid="{00000000-0005-0000-0000-00006CBD0000}"/>
    <cellStyle name="Normal 26 2 6 2 4 6" xfId="10030" xr:uid="{00000000-0005-0000-0000-00006DBD0000}"/>
    <cellStyle name="Normal 26 2 6 2 4 6 2" xfId="25179" xr:uid="{00000000-0005-0000-0000-00006EBD0000}"/>
    <cellStyle name="Normal 26 2 6 2 4 7" xfId="11713" xr:uid="{00000000-0005-0000-0000-00006FBD0000}"/>
    <cellStyle name="Normal 26 2 6 2 4 7 2" xfId="26862" xr:uid="{00000000-0005-0000-0000-000070BD0000}"/>
    <cellStyle name="Normal 26 2 6 2 4 8" xfId="13397" xr:uid="{00000000-0005-0000-0000-000071BD0000}"/>
    <cellStyle name="Normal 26 2 6 2 4 8 2" xfId="28546" xr:uid="{00000000-0005-0000-0000-000072BD0000}"/>
    <cellStyle name="Normal 26 2 6 2 4 9" xfId="15080" xr:uid="{00000000-0005-0000-0000-000073BD0000}"/>
    <cellStyle name="Normal 26 2 6 2 4 9 2" xfId="30229" xr:uid="{00000000-0005-0000-0000-000074BD0000}"/>
    <cellStyle name="Normal 26 2 6 2 5" xfId="2035" xr:uid="{00000000-0005-0000-0000-000075BD0000}"/>
    <cellStyle name="Normal 26 2 6 2 5 2" xfId="17184" xr:uid="{00000000-0005-0000-0000-000076BD0000}"/>
    <cellStyle name="Normal 26 2 6 2 6" xfId="3719" xr:uid="{00000000-0005-0000-0000-000077BD0000}"/>
    <cellStyle name="Normal 26 2 6 2 6 2" xfId="18868" xr:uid="{00000000-0005-0000-0000-000078BD0000}"/>
    <cellStyle name="Normal 26 2 6 2 7" xfId="5402" xr:uid="{00000000-0005-0000-0000-000079BD0000}"/>
    <cellStyle name="Normal 26 2 6 2 7 2" xfId="20551" xr:uid="{00000000-0005-0000-0000-00007ABD0000}"/>
    <cellStyle name="Normal 26 2 6 2 8" xfId="7085" xr:uid="{00000000-0005-0000-0000-00007BBD0000}"/>
    <cellStyle name="Normal 26 2 6 2 8 2" xfId="22234" xr:uid="{00000000-0005-0000-0000-00007CBD0000}"/>
    <cellStyle name="Normal 26 2 6 2 9" xfId="8768" xr:uid="{00000000-0005-0000-0000-00007DBD0000}"/>
    <cellStyle name="Normal 26 2 6 2 9 2" xfId="23917" xr:uid="{00000000-0005-0000-0000-00007EBD0000}"/>
    <cellStyle name="Normal 26 2 6 20" xfId="38855" xr:uid="{00000000-0005-0000-0000-00007FBD0000}"/>
    <cellStyle name="Normal 26 2 6 21" xfId="40538" xr:uid="{00000000-0005-0000-0000-000080BD0000}"/>
    <cellStyle name="Normal 26 2 6 22" xfId="42221" xr:uid="{00000000-0005-0000-0000-000081BD0000}"/>
    <cellStyle name="Normal 26 2 6 23" xfId="43904" xr:uid="{00000000-0005-0000-0000-000082BD0000}"/>
    <cellStyle name="Normal 26 2 6 24" xfId="45587" xr:uid="{00000000-0005-0000-0000-000083BD0000}"/>
    <cellStyle name="Normal 26 2 6 25" xfId="47270" xr:uid="{00000000-0005-0000-0000-000084BD0000}"/>
    <cellStyle name="Normal 26 2 6 26" xfId="48953" xr:uid="{00000000-0005-0000-0000-000085BD0000}"/>
    <cellStyle name="Normal 26 2 6 27" xfId="50636" xr:uid="{00000000-0005-0000-0000-000086BD0000}"/>
    <cellStyle name="Normal 26 2 6 28" xfId="52319" xr:uid="{00000000-0005-0000-0000-000087BD0000}"/>
    <cellStyle name="Normal 26 2 6 29" xfId="54002" xr:uid="{00000000-0005-0000-0000-000088BD0000}"/>
    <cellStyle name="Normal 26 2 6 3" xfId="562" xr:uid="{00000000-0005-0000-0000-000089BD0000}"/>
    <cellStyle name="Normal 26 2 6 3 10" xfId="15711" xr:uid="{00000000-0005-0000-0000-00008ABD0000}"/>
    <cellStyle name="Normal 26 2 6 3 11" xfId="30860" xr:uid="{00000000-0005-0000-0000-00008BBD0000}"/>
    <cellStyle name="Normal 26 2 6 3 12" xfId="32543" xr:uid="{00000000-0005-0000-0000-00008CBD0000}"/>
    <cellStyle name="Normal 26 2 6 3 13" xfId="34226" xr:uid="{00000000-0005-0000-0000-00008DBD0000}"/>
    <cellStyle name="Normal 26 2 6 3 14" xfId="35909" xr:uid="{00000000-0005-0000-0000-00008EBD0000}"/>
    <cellStyle name="Normal 26 2 6 3 15" xfId="37592" xr:uid="{00000000-0005-0000-0000-00008FBD0000}"/>
    <cellStyle name="Normal 26 2 6 3 16" xfId="39275" xr:uid="{00000000-0005-0000-0000-000090BD0000}"/>
    <cellStyle name="Normal 26 2 6 3 17" xfId="40958" xr:uid="{00000000-0005-0000-0000-000091BD0000}"/>
    <cellStyle name="Normal 26 2 6 3 18" xfId="42641" xr:uid="{00000000-0005-0000-0000-000092BD0000}"/>
    <cellStyle name="Normal 26 2 6 3 19" xfId="44324" xr:uid="{00000000-0005-0000-0000-000093BD0000}"/>
    <cellStyle name="Normal 26 2 6 3 2" xfId="2245" xr:uid="{00000000-0005-0000-0000-000094BD0000}"/>
    <cellStyle name="Normal 26 2 6 3 2 2" xfId="17394" xr:uid="{00000000-0005-0000-0000-000095BD0000}"/>
    <cellStyle name="Normal 26 2 6 3 20" xfId="46007" xr:uid="{00000000-0005-0000-0000-000096BD0000}"/>
    <cellStyle name="Normal 26 2 6 3 21" xfId="47690" xr:uid="{00000000-0005-0000-0000-000097BD0000}"/>
    <cellStyle name="Normal 26 2 6 3 22" xfId="49373" xr:uid="{00000000-0005-0000-0000-000098BD0000}"/>
    <cellStyle name="Normal 26 2 6 3 23" xfId="51056" xr:uid="{00000000-0005-0000-0000-000099BD0000}"/>
    <cellStyle name="Normal 26 2 6 3 24" xfId="52739" xr:uid="{00000000-0005-0000-0000-00009ABD0000}"/>
    <cellStyle name="Normal 26 2 6 3 25" xfId="54422" xr:uid="{00000000-0005-0000-0000-00009BBD0000}"/>
    <cellStyle name="Normal 26 2 6 3 26" xfId="56105" xr:uid="{00000000-0005-0000-0000-00009CBD0000}"/>
    <cellStyle name="Normal 26 2 6 3 27" xfId="57788" xr:uid="{00000000-0005-0000-0000-00009DBD0000}"/>
    <cellStyle name="Normal 26 2 6 3 28" xfId="59471" xr:uid="{00000000-0005-0000-0000-00009EBD0000}"/>
    <cellStyle name="Normal 26 2 6 3 29" xfId="61154" xr:uid="{00000000-0005-0000-0000-00009FBD0000}"/>
    <cellStyle name="Normal 26 2 6 3 3" xfId="3929" xr:uid="{00000000-0005-0000-0000-0000A0BD0000}"/>
    <cellStyle name="Normal 26 2 6 3 3 2" xfId="19078" xr:uid="{00000000-0005-0000-0000-0000A1BD0000}"/>
    <cellStyle name="Normal 26 2 6 3 30" xfId="62837" xr:uid="{00000000-0005-0000-0000-0000A2BD0000}"/>
    <cellStyle name="Normal 26 2 6 3 4" xfId="5612" xr:uid="{00000000-0005-0000-0000-0000A3BD0000}"/>
    <cellStyle name="Normal 26 2 6 3 4 2" xfId="20761" xr:uid="{00000000-0005-0000-0000-0000A4BD0000}"/>
    <cellStyle name="Normal 26 2 6 3 5" xfId="7295" xr:uid="{00000000-0005-0000-0000-0000A5BD0000}"/>
    <cellStyle name="Normal 26 2 6 3 5 2" xfId="22444" xr:uid="{00000000-0005-0000-0000-0000A6BD0000}"/>
    <cellStyle name="Normal 26 2 6 3 6" xfId="8978" xr:uid="{00000000-0005-0000-0000-0000A7BD0000}"/>
    <cellStyle name="Normal 26 2 6 3 6 2" xfId="24127" xr:uid="{00000000-0005-0000-0000-0000A8BD0000}"/>
    <cellStyle name="Normal 26 2 6 3 7" xfId="10661" xr:uid="{00000000-0005-0000-0000-0000A9BD0000}"/>
    <cellStyle name="Normal 26 2 6 3 7 2" xfId="25810" xr:uid="{00000000-0005-0000-0000-0000AABD0000}"/>
    <cellStyle name="Normal 26 2 6 3 8" xfId="12345" xr:uid="{00000000-0005-0000-0000-0000ABBD0000}"/>
    <cellStyle name="Normal 26 2 6 3 8 2" xfId="27494" xr:uid="{00000000-0005-0000-0000-0000ACBD0000}"/>
    <cellStyle name="Normal 26 2 6 3 9" xfId="14028" xr:uid="{00000000-0005-0000-0000-0000ADBD0000}"/>
    <cellStyle name="Normal 26 2 6 3 9 2" xfId="29177" xr:uid="{00000000-0005-0000-0000-0000AEBD0000}"/>
    <cellStyle name="Normal 26 2 6 30" xfId="55685" xr:uid="{00000000-0005-0000-0000-0000AFBD0000}"/>
    <cellStyle name="Normal 26 2 6 31" xfId="57368" xr:uid="{00000000-0005-0000-0000-0000B0BD0000}"/>
    <cellStyle name="Normal 26 2 6 32" xfId="59051" xr:uid="{00000000-0005-0000-0000-0000B1BD0000}"/>
    <cellStyle name="Normal 26 2 6 33" xfId="60734" xr:uid="{00000000-0005-0000-0000-0000B2BD0000}"/>
    <cellStyle name="Normal 26 2 6 34" xfId="62417" xr:uid="{00000000-0005-0000-0000-0000B3BD0000}"/>
    <cellStyle name="Normal 26 2 6 4" xfId="983" xr:uid="{00000000-0005-0000-0000-0000B4BD0000}"/>
    <cellStyle name="Normal 26 2 6 4 10" xfId="16132" xr:uid="{00000000-0005-0000-0000-0000B5BD0000}"/>
    <cellStyle name="Normal 26 2 6 4 11" xfId="31281" xr:uid="{00000000-0005-0000-0000-0000B6BD0000}"/>
    <cellStyle name="Normal 26 2 6 4 12" xfId="32964" xr:uid="{00000000-0005-0000-0000-0000B7BD0000}"/>
    <cellStyle name="Normal 26 2 6 4 13" xfId="34647" xr:uid="{00000000-0005-0000-0000-0000B8BD0000}"/>
    <cellStyle name="Normal 26 2 6 4 14" xfId="36330" xr:uid="{00000000-0005-0000-0000-0000B9BD0000}"/>
    <cellStyle name="Normal 26 2 6 4 15" xfId="38013" xr:uid="{00000000-0005-0000-0000-0000BABD0000}"/>
    <cellStyle name="Normal 26 2 6 4 16" xfId="39696" xr:uid="{00000000-0005-0000-0000-0000BBBD0000}"/>
    <cellStyle name="Normal 26 2 6 4 17" xfId="41379" xr:uid="{00000000-0005-0000-0000-0000BCBD0000}"/>
    <cellStyle name="Normal 26 2 6 4 18" xfId="43062" xr:uid="{00000000-0005-0000-0000-0000BDBD0000}"/>
    <cellStyle name="Normal 26 2 6 4 19" xfId="44745" xr:uid="{00000000-0005-0000-0000-0000BEBD0000}"/>
    <cellStyle name="Normal 26 2 6 4 2" xfId="2666" xr:uid="{00000000-0005-0000-0000-0000BFBD0000}"/>
    <cellStyle name="Normal 26 2 6 4 2 2" xfId="17815" xr:uid="{00000000-0005-0000-0000-0000C0BD0000}"/>
    <cellStyle name="Normal 26 2 6 4 20" xfId="46428" xr:uid="{00000000-0005-0000-0000-0000C1BD0000}"/>
    <cellStyle name="Normal 26 2 6 4 21" xfId="48111" xr:uid="{00000000-0005-0000-0000-0000C2BD0000}"/>
    <cellStyle name="Normal 26 2 6 4 22" xfId="49794" xr:uid="{00000000-0005-0000-0000-0000C3BD0000}"/>
    <cellStyle name="Normal 26 2 6 4 23" xfId="51477" xr:uid="{00000000-0005-0000-0000-0000C4BD0000}"/>
    <cellStyle name="Normal 26 2 6 4 24" xfId="53160" xr:uid="{00000000-0005-0000-0000-0000C5BD0000}"/>
    <cellStyle name="Normal 26 2 6 4 25" xfId="54843" xr:uid="{00000000-0005-0000-0000-0000C6BD0000}"/>
    <cellStyle name="Normal 26 2 6 4 26" xfId="56526" xr:uid="{00000000-0005-0000-0000-0000C7BD0000}"/>
    <cellStyle name="Normal 26 2 6 4 27" xfId="58209" xr:uid="{00000000-0005-0000-0000-0000C8BD0000}"/>
    <cellStyle name="Normal 26 2 6 4 28" xfId="59892" xr:uid="{00000000-0005-0000-0000-0000C9BD0000}"/>
    <cellStyle name="Normal 26 2 6 4 29" xfId="61575" xr:uid="{00000000-0005-0000-0000-0000CABD0000}"/>
    <cellStyle name="Normal 26 2 6 4 3" xfId="4350" xr:uid="{00000000-0005-0000-0000-0000CBBD0000}"/>
    <cellStyle name="Normal 26 2 6 4 3 2" xfId="19499" xr:uid="{00000000-0005-0000-0000-0000CCBD0000}"/>
    <cellStyle name="Normal 26 2 6 4 30" xfId="63258" xr:uid="{00000000-0005-0000-0000-0000CDBD0000}"/>
    <cellStyle name="Normal 26 2 6 4 4" xfId="6033" xr:uid="{00000000-0005-0000-0000-0000CEBD0000}"/>
    <cellStyle name="Normal 26 2 6 4 4 2" xfId="21182" xr:uid="{00000000-0005-0000-0000-0000CFBD0000}"/>
    <cellStyle name="Normal 26 2 6 4 5" xfId="7716" xr:uid="{00000000-0005-0000-0000-0000D0BD0000}"/>
    <cellStyle name="Normal 26 2 6 4 5 2" xfId="22865" xr:uid="{00000000-0005-0000-0000-0000D1BD0000}"/>
    <cellStyle name="Normal 26 2 6 4 6" xfId="9399" xr:uid="{00000000-0005-0000-0000-0000D2BD0000}"/>
    <cellStyle name="Normal 26 2 6 4 6 2" xfId="24548" xr:uid="{00000000-0005-0000-0000-0000D3BD0000}"/>
    <cellStyle name="Normal 26 2 6 4 7" xfId="11082" xr:uid="{00000000-0005-0000-0000-0000D4BD0000}"/>
    <cellStyle name="Normal 26 2 6 4 7 2" xfId="26231" xr:uid="{00000000-0005-0000-0000-0000D5BD0000}"/>
    <cellStyle name="Normal 26 2 6 4 8" xfId="12766" xr:uid="{00000000-0005-0000-0000-0000D6BD0000}"/>
    <cellStyle name="Normal 26 2 6 4 8 2" xfId="27915" xr:uid="{00000000-0005-0000-0000-0000D7BD0000}"/>
    <cellStyle name="Normal 26 2 6 4 9" xfId="14449" xr:uid="{00000000-0005-0000-0000-0000D8BD0000}"/>
    <cellStyle name="Normal 26 2 6 4 9 2" xfId="29598" xr:uid="{00000000-0005-0000-0000-0000D9BD0000}"/>
    <cellStyle name="Normal 26 2 6 5" xfId="1404" xr:uid="{00000000-0005-0000-0000-0000DABD0000}"/>
    <cellStyle name="Normal 26 2 6 5 10" xfId="16553" xr:uid="{00000000-0005-0000-0000-0000DBBD0000}"/>
    <cellStyle name="Normal 26 2 6 5 11" xfId="31702" xr:uid="{00000000-0005-0000-0000-0000DCBD0000}"/>
    <cellStyle name="Normal 26 2 6 5 12" xfId="33385" xr:uid="{00000000-0005-0000-0000-0000DDBD0000}"/>
    <cellStyle name="Normal 26 2 6 5 13" xfId="35068" xr:uid="{00000000-0005-0000-0000-0000DEBD0000}"/>
    <cellStyle name="Normal 26 2 6 5 14" xfId="36751" xr:uid="{00000000-0005-0000-0000-0000DFBD0000}"/>
    <cellStyle name="Normal 26 2 6 5 15" xfId="38434" xr:uid="{00000000-0005-0000-0000-0000E0BD0000}"/>
    <cellStyle name="Normal 26 2 6 5 16" xfId="40117" xr:uid="{00000000-0005-0000-0000-0000E1BD0000}"/>
    <cellStyle name="Normal 26 2 6 5 17" xfId="41800" xr:uid="{00000000-0005-0000-0000-0000E2BD0000}"/>
    <cellStyle name="Normal 26 2 6 5 18" xfId="43483" xr:uid="{00000000-0005-0000-0000-0000E3BD0000}"/>
    <cellStyle name="Normal 26 2 6 5 19" xfId="45166" xr:uid="{00000000-0005-0000-0000-0000E4BD0000}"/>
    <cellStyle name="Normal 26 2 6 5 2" xfId="3087" xr:uid="{00000000-0005-0000-0000-0000E5BD0000}"/>
    <cellStyle name="Normal 26 2 6 5 2 2" xfId="18236" xr:uid="{00000000-0005-0000-0000-0000E6BD0000}"/>
    <cellStyle name="Normal 26 2 6 5 20" xfId="46849" xr:uid="{00000000-0005-0000-0000-0000E7BD0000}"/>
    <cellStyle name="Normal 26 2 6 5 21" xfId="48532" xr:uid="{00000000-0005-0000-0000-0000E8BD0000}"/>
    <cellStyle name="Normal 26 2 6 5 22" xfId="50215" xr:uid="{00000000-0005-0000-0000-0000E9BD0000}"/>
    <cellStyle name="Normal 26 2 6 5 23" xfId="51898" xr:uid="{00000000-0005-0000-0000-0000EABD0000}"/>
    <cellStyle name="Normal 26 2 6 5 24" xfId="53581" xr:uid="{00000000-0005-0000-0000-0000EBBD0000}"/>
    <cellStyle name="Normal 26 2 6 5 25" xfId="55264" xr:uid="{00000000-0005-0000-0000-0000ECBD0000}"/>
    <cellStyle name="Normal 26 2 6 5 26" xfId="56947" xr:uid="{00000000-0005-0000-0000-0000EDBD0000}"/>
    <cellStyle name="Normal 26 2 6 5 27" xfId="58630" xr:uid="{00000000-0005-0000-0000-0000EEBD0000}"/>
    <cellStyle name="Normal 26 2 6 5 28" xfId="60313" xr:uid="{00000000-0005-0000-0000-0000EFBD0000}"/>
    <cellStyle name="Normal 26 2 6 5 29" xfId="61996" xr:uid="{00000000-0005-0000-0000-0000F0BD0000}"/>
    <cellStyle name="Normal 26 2 6 5 3" xfId="4771" xr:uid="{00000000-0005-0000-0000-0000F1BD0000}"/>
    <cellStyle name="Normal 26 2 6 5 3 2" xfId="19920" xr:uid="{00000000-0005-0000-0000-0000F2BD0000}"/>
    <cellStyle name="Normal 26 2 6 5 30" xfId="63679" xr:uid="{00000000-0005-0000-0000-0000F3BD0000}"/>
    <cellStyle name="Normal 26 2 6 5 4" xfId="6454" xr:uid="{00000000-0005-0000-0000-0000F4BD0000}"/>
    <cellStyle name="Normal 26 2 6 5 4 2" xfId="21603" xr:uid="{00000000-0005-0000-0000-0000F5BD0000}"/>
    <cellStyle name="Normal 26 2 6 5 5" xfId="8137" xr:uid="{00000000-0005-0000-0000-0000F6BD0000}"/>
    <cellStyle name="Normal 26 2 6 5 5 2" xfId="23286" xr:uid="{00000000-0005-0000-0000-0000F7BD0000}"/>
    <cellStyle name="Normal 26 2 6 5 6" xfId="9820" xr:uid="{00000000-0005-0000-0000-0000F8BD0000}"/>
    <cellStyle name="Normal 26 2 6 5 6 2" xfId="24969" xr:uid="{00000000-0005-0000-0000-0000F9BD0000}"/>
    <cellStyle name="Normal 26 2 6 5 7" xfId="11503" xr:uid="{00000000-0005-0000-0000-0000FABD0000}"/>
    <cellStyle name="Normal 26 2 6 5 7 2" xfId="26652" xr:uid="{00000000-0005-0000-0000-0000FBBD0000}"/>
    <cellStyle name="Normal 26 2 6 5 8" xfId="13187" xr:uid="{00000000-0005-0000-0000-0000FCBD0000}"/>
    <cellStyle name="Normal 26 2 6 5 8 2" xfId="28336" xr:uid="{00000000-0005-0000-0000-0000FDBD0000}"/>
    <cellStyle name="Normal 26 2 6 5 9" xfId="14870" xr:uid="{00000000-0005-0000-0000-0000FEBD0000}"/>
    <cellStyle name="Normal 26 2 6 5 9 2" xfId="30019" xr:uid="{00000000-0005-0000-0000-0000FFBD0000}"/>
    <cellStyle name="Normal 26 2 6 6" xfId="1825" xr:uid="{00000000-0005-0000-0000-000000BE0000}"/>
    <cellStyle name="Normal 26 2 6 6 2" xfId="16974" xr:uid="{00000000-0005-0000-0000-000001BE0000}"/>
    <cellStyle name="Normal 26 2 6 7" xfId="3509" xr:uid="{00000000-0005-0000-0000-000002BE0000}"/>
    <cellStyle name="Normal 26 2 6 7 2" xfId="18658" xr:uid="{00000000-0005-0000-0000-000003BE0000}"/>
    <cellStyle name="Normal 26 2 6 8" xfId="5192" xr:uid="{00000000-0005-0000-0000-000004BE0000}"/>
    <cellStyle name="Normal 26 2 6 8 2" xfId="20341" xr:uid="{00000000-0005-0000-0000-000005BE0000}"/>
    <cellStyle name="Normal 26 2 6 9" xfId="6875" xr:uid="{00000000-0005-0000-0000-000006BE0000}"/>
    <cellStyle name="Normal 26 2 6 9 2" xfId="22024" xr:uid="{00000000-0005-0000-0000-000007BE0000}"/>
    <cellStyle name="Normal 26 2 7" xfId="247" xr:uid="{00000000-0005-0000-0000-000008BE0000}"/>
    <cellStyle name="Normal 26 2 7 10" xfId="10346" xr:uid="{00000000-0005-0000-0000-000009BE0000}"/>
    <cellStyle name="Normal 26 2 7 10 2" xfId="25495" xr:uid="{00000000-0005-0000-0000-00000ABE0000}"/>
    <cellStyle name="Normal 26 2 7 11" xfId="12030" xr:uid="{00000000-0005-0000-0000-00000BBE0000}"/>
    <cellStyle name="Normal 26 2 7 11 2" xfId="27179" xr:uid="{00000000-0005-0000-0000-00000CBE0000}"/>
    <cellStyle name="Normal 26 2 7 12" xfId="13713" xr:uid="{00000000-0005-0000-0000-00000DBE0000}"/>
    <cellStyle name="Normal 26 2 7 12 2" xfId="28862" xr:uid="{00000000-0005-0000-0000-00000EBE0000}"/>
    <cellStyle name="Normal 26 2 7 13" xfId="15396" xr:uid="{00000000-0005-0000-0000-00000FBE0000}"/>
    <cellStyle name="Normal 26 2 7 14" xfId="30545" xr:uid="{00000000-0005-0000-0000-000010BE0000}"/>
    <cellStyle name="Normal 26 2 7 15" xfId="32228" xr:uid="{00000000-0005-0000-0000-000011BE0000}"/>
    <cellStyle name="Normal 26 2 7 16" xfId="33911" xr:uid="{00000000-0005-0000-0000-000012BE0000}"/>
    <cellStyle name="Normal 26 2 7 17" xfId="35594" xr:uid="{00000000-0005-0000-0000-000013BE0000}"/>
    <cellStyle name="Normal 26 2 7 18" xfId="37277" xr:uid="{00000000-0005-0000-0000-000014BE0000}"/>
    <cellStyle name="Normal 26 2 7 19" xfId="38960" xr:uid="{00000000-0005-0000-0000-000015BE0000}"/>
    <cellStyle name="Normal 26 2 7 2" xfId="667" xr:uid="{00000000-0005-0000-0000-000016BE0000}"/>
    <cellStyle name="Normal 26 2 7 2 10" xfId="15816" xr:uid="{00000000-0005-0000-0000-000017BE0000}"/>
    <cellStyle name="Normal 26 2 7 2 11" xfId="30965" xr:uid="{00000000-0005-0000-0000-000018BE0000}"/>
    <cellStyle name="Normal 26 2 7 2 12" xfId="32648" xr:uid="{00000000-0005-0000-0000-000019BE0000}"/>
    <cellStyle name="Normal 26 2 7 2 13" xfId="34331" xr:uid="{00000000-0005-0000-0000-00001ABE0000}"/>
    <cellStyle name="Normal 26 2 7 2 14" xfId="36014" xr:uid="{00000000-0005-0000-0000-00001BBE0000}"/>
    <cellStyle name="Normal 26 2 7 2 15" xfId="37697" xr:uid="{00000000-0005-0000-0000-00001CBE0000}"/>
    <cellStyle name="Normal 26 2 7 2 16" xfId="39380" xr:uid="{00000000-0005-0000-0000-00001DBE0000}"/>
    <cellStyle name="Normal 26 2 7 2 17" xfId="41063" xr:uid="{00000000-0005-0000-0000-00001EBE0000}"/>
    <cellStyle name="Normal 26 2 7 2 18" xfId="42746" xr:uid="{00000000-0005-0000-0000-00001FBE0000}"/>
    <cellStyle name="Normal 26 2 7 2 19" xfId="44429" xr:uid="{00000000-0005-0000-0000-000020BE0000}"/>
    <cellStyle name="Normal 26 2 7 2 2" xfId="2350" xr:uid="{00000000-0005-0000-0000-000021BE0000}"/>
    <cellStyle name="Normal 26 2 7 2 2 2" xfId="17499" xr:uid="{00000000-0005-0000-0000-000022BE0000}"/>
    <cellStyle name="Normal 26 2 7 2 20" xfId="46112" xr:uid="{00000000-0005-0000-0000-000023BE0000}"/>
    <cellStyle name="Normal 26 2 7 2 21" xfId="47795" xr:uid="{00000000-0005-0000-0000-000024BE0000}"/>
    <cellStyle name="Normal 26 2 7 2 22" xfId="49478" xr:uid="{00000000-0005-0000-0000-000025BE0000}"/>
    <cellStyle name="Normal 26 2 7 2 23" xfId="51161" xr:uid="{00000000-0005-0000-0000-000026BE0000}"/>
    <cellStyle name="Normal 26 2 7 2 24" xfId="52844" xr:uid="{00000000-0005-0000-0000-000027BE0000}"/>
    <cellStyle name="Normal 26 2 7 2 25" xfId="54527" xr:uid="{00000000-0005-0000-0000-000028BE0000}"/>
    <cellStyle name="Normal 26 2 7 2 26" xfId="56210" xr:uid="{00000000-0005-0000-0000-000029BE0000}"/>
    <cellStyle name="Normal 26 2 7 2 27" xfId="57893" xr:uid="{00000000-0005-0000-0000-00002ABE0000}"/>
    <cellStyle name="Normal 26 2 7 2 28" xfId="59576" xr:uid="{00000000-0005-0000-0000-00002BBE0000}"/>
    <cellStyle name="Normal 26 2 7 2 29" xfId="61259" xr:uid="{00000000-0005-0000-0000-00002CBE0000}"/>
    <cellStyle name="Normal 26 2 7 2 3" xfId="4034" xr:uid="{00000000-0005-0000-0000-00002DBE0000}"/>
    <cellStyle name="Normal 26 2 7 2 3 2" xfId="19183" xr:uid="{00000000-0005-0000-0000-00002EBE0000}"/>
    <cellStyle name="Normal 26 2 7 2 30" xfId="62942" xr:uid="{00000000-0005-0000-0000-00002FBE0000}"/>
    <cellStyle name="Normal 26 2 7 2 4" xfId="5717" xr:uid="{00000000-0005-0000-0000-000030BE0000}"/>
    <cellStyle name="Normal 26 2 7 2 4 2" xfId="20866" xr:uid="{00000000-0005-0000-0000-000031BE0000}"/>
    <cellStyle name="Normal 26 2 7 2 5" xfId="7400" xr:uid="{00000000-0005-0000-0000-000032BE0000}"/>
    <cellStyle name="Normal 26 2 7 2 5 2" xfId="22549" xr:uid="{00000000-0005-0000-0000-000033BE0000}"/>
    <cellStyle name="Normal 26 2 7 2 6" xfId="9083" xr:uid="{00000000-0005-0000-0000-000034BE0000}"/>
    <cellStyle name="Normal 26 2 7 2 6 2" xfId="24232" xr:uid="{00000000-0005-0000-0000-000035BE0000}"/>
    <cellStyle name="Normal 26 2 7 2 7" xfId="10766" xr:uid="{00000000-0005-0000-0000-000036BE0000}"/>
    <cellStyle name="Normal 26 2 7 2 7 2" xfId="25915" xr:uid="{00000000-0005-0000-0000-000037BE0000}"/>
    <cellStyle name="Normal 26 2 7 2 8" xfId="12450" xr:uid="{00000000-0005-0000-0000-000038BE0000}"/>
    <cellStyle name="Normal 26 2 7 2 8 2" xfId="27599" xr:uid="{00000000-0005-0000-0000-000039BE0000}"/>
    <cellStyle name="Normal 26 2 7 2 9" xfId="14133" xr:uid="{00000000-0005-0000-0000-00003ABE0000}"/>
    <cellStyle name="Normal 26 2 7 2 9 2" xfId="29282" xr:uid="{00000000-0005-0000-0000-00003BBE0000}"/>
    <cellStyle name="Normal 26 2 7 20" xfId="40643" xr:uid="{00000000-0005-0000-0000-00003CBE0000}"/>
    <cellStyle name="Normal 26 2 7 21" xfId="42326" xr:uid="{00000000-0005-0000-0000-00003DBE0000}"/>
    <cellStyle name="Normal 26 2 7 22" xfId="44009" xr:uid="{00000000-0005-0000-0000-00003EBE0000}"/>
    <cellStyle name="Normal 26 2 7 23" xfId="45692" xr:uid="{00000000-0005-0000-0000-00003FBE0000}"/>
    <cellStyle name="Normal 26 2 7 24" xfId="47375" xr:uid="{00000000-0005-0000-0000-000040BE0000}"/>
    <cellStyle name="Normal 26 2 7 25" xfId="49058" xr:uid="{00000000-0005-0000-0000-000041BE0000}"/>
    <cellStyle name="Normal 26 2 7 26" xfId="50741" xr:uid="{00000000-0005-0000-0000-000042BE0000}"/>
    <cellStyle name="Normal 26 2 7 27" xfId="52424" xr:uid="{00000000-0005-0000-0000-000043BE0000}"/>
    <cellStyle name="Normal 26 2 7 28" xfId="54107" xr:uid="{00000000-0005-0000-0000-000044BE0000}"/>
    <cellStyle name="Normal 26 2 7 29" xfId="55790" xr:uid="{00000000-0005-0000-0000-000045BE0000}"/>
    <cellStyle name="Normal 26 2 7 3" xfId="1088" xr:uid="{00000000-0005-0000-0000-000046BE0000}"/>
    <cellStyle name="Normal 26 2 7 3 10" xfId="16237" xr:uid="{00000000-0005-0000-0000-000047BE0000}"/>
    <cellStyle name="Normal 26 2 7 3 11" xfId="31386" xr:uid="{00000000-0005-0000-0000-000048BE0000}"/>
    <cellStyle name="Normal 26 2 7 3 12" xfId="33069" xr:uid="{00000000-0005-0000-0000-000049BE0000}"/>
    <cellStyle name="Normal 26 2 7 3 13" xfId="34752" xr:uid="{00000000-0005-0000-0000-00004ABE0000}"/>
    <cellStyle name="Normal 26 2 7 3 14" xfId="36435" xr:uid="{00000000-0005-0000-0000-00004BBE0000}"/>
    <cellStyle name="Normal 26 2 7 3 15" xfId="38118" xr:uid="{00000000-0005-0000-0000-00004CBE0000}"/>
    <cellStyle name="Normal 26 2 7 3 16" xfId="39801" xr:uid="{00000000-0005-0000-0000-00004DBE0000}"/>
    <cellStyle name="Normal 26 2 7 3 17" xfId="41484" xr:uid="{00000000-0005-0000-0000-00004EBE0000}"/>
    <cellStyle name="Normal 26 2 7 3 18" xfId="43167" xr:uid="{00000000-0005-0000-0000-00004FBE0000}"/>
    <cellStyle name="Normal 26 2 7 3 19" xfId="44850" xr:uid="{00000000-0005-0000-0000-000050BE0000}"/>
    <cellStyle name="Normal 26 2 7 3 2" xfId="2771" xr:uid="{00000000-0005-0000-0000-000051BE0000}"/>
    <cellStyle name="Normal 26 2 7 3 2 2" xfId="17920" xr:uid="{00000000-0005-0000-0000-000052BE0000}"/>
    <cellStyle name="Normal 26 2 7 3 20" xfId="46533" xr:uid="{00000000-0005-0000-0000-000053BE0000}"/>
    <cellStyle name="Normal 26 2 7 3 21" xfId="48216" xr:uid="{00000000-0005-0000-0000-000054BE0000}"/>
    <cellStyle name="Normal 26 2 7 3 22" xfId="49899" xr:uid="{00000000-0005-0000-0000-000055BE0000}"/>
    <cellStyle name="Normal 26 2 7 3 23" xfId="51582" xr:uid="{00000000-0005-0000-0000-000056BE0000}"/>
    <cellStyle name="Normal 26 2 7 3 24" xfId="53265" xr:uid="{00000000-0005-0000-0000-000057BE0000}"/>
    <cellStyle name="Normal 26 2 7 3 25" xfId="54948" xr:uid="{00000000-0005-0000-0000-000058BE0000}"/>
    <cellStyle name="Normal 26 2 7 3 26" xfId="56631" xr:uid="{00000000-0005-0000-0000-000059BE0000}"/>
    <cellStyle name="Normal 26 2 7 3 27" xfId="58314" xr:uid="{00000000-0005-0000-0000-00005ABE0000}"/>
    <cellStyle name="Normal 26 2 7 3 28" xfId="59997" xr:uid="{00000000-0005-0000-0000-00005BBE0000}"/>
    <cellStyle name="Normal 26 2 7 3 29" xfId="61680" xr:uid="{00000000-0005-0000-0000-00005CBE0000}"/>
    <cellStyle name="Normal 26 2 7 3 3" xfId="4455" xr:uid="{00000000-0005-0000-0000-00005DBE0000}"/>
    <cellStyle name="Normal 26 2 7 3 3 2" xfId="19604" xr:uid="{00000000-0005-0000-0000-00005EBE0000}"/>
    <cellStyle name="Normal 26 2 7 3 30" xfId="63363" xr:uid="{00000000-0005-0000-0000-00005FBE0000}"/>
    <cellStyle name="Normal 26 2 7 3 4" xfId="6138" xr:uid="{00000000-0005-0000-0000-000060BE0000}"/>
    <cellStyle name="Normal 26 2 7 3 4 2" xfId="21287" xr:uid="{00000000-0005-0000-0000-000061BE0000}"/>
    <cellStyle name="Normal 26 2 7 3 5" xfId="7821" xr:uid="{00000000-0005-0000-0000-000062BE0000}"/>
    <cellStyle name="Normal 26 2 7 3 5 2" xfId="22970" xr:uid="{00000000-0005-0000-0000-000063BE0000}"/>
    <cellStyle name="Normal 26 2 7 3 6" xfId="9504" xr:uid="{00000000-0005-0000-0000-000064BE0000}"/>
    <cellStyle name="Normal 26 2 7 3 6 2" xfId="24653" xr:uid="{00000000-0005-0000-0000-000065BE0000}"/>
    <cellStyle name="Normal 26 2 7 3 7" xfId="11187" xr:uid="{00000000-0005-0000-0000-000066BE0000}"/>
    <cellStyle name="Normal 26 2 7 3 7 2" xfId="26336" xr:uid="{00000000-0005-0000-0000-000067BE0000}"/>
    <cellStyle name="Normal 26 2 7 3 8" xfId="12871" xr:uid="{00000000-0005-0000-0000-000068BE0000}"/>
    <cellStyle name="Normal 26 2 7 3 8 2" xfId="28020" xr:uid="{00000000-0005-0000-0000-000069BE0000}"/>
    <cellStyle name="Normal 26 2 7 3 9" xfId="14554" xr:uid="{00000000-0005-0000-0000-00006ABE0000}"/>
    <cellStyle name="Normal 26 2 7 3 9 2" xfId="29703" xr:uid="{00000000-0005-0000-0000-00006BBE0000}"/>
    <cellStyle name="Normal 26 2 7 30" xfId="57473" xr:uid="{00000000-0005-0000-0000-00006CBE0000}"/>
    <cellStyle name="Normal 26 2 7 31" xfId="59156" xr:uid="{00000000-0005-0000-0000-00006DBE0000}"/>
    <cellStyle name="Normal 26 2 7 32" xfId="60839" xr:uid="{00000000-0005-0000-0000-00006EBE0000}"/>
    <cellStyle name="Normal 26 2 7 33" xfId="62522" xr:uid="{00000000-0005-0000-0000-00006FBE0000}"/>
    <cellStyle name="Normal 26 2 7 4" xfId="1509" xr:uid="{00000000-0005-0000-0000-000070BE0000}"/>
    <cellStyle name="Normal 26 2 7 4 10" xfId="16658" xr:uid="{00000000-0005-0000-0000-000071BE0000}"/>
    <cellStyle name="Normal 26 2 7 4 11" xfId="31807" xr:uid="{00000000-0005-0000-0000-000072BE0000}"/>
    <cellStyle name="Normal 26 2 7 4 12" xfId="33490" xr:uid="{00000000-0005-0000-0000-000073BE0000}"/>
    <cellStyle name="Normal 26 2 7 4 13" xfId="35173" xr:uid="{00000000-0005-0000-0000-000074BE0000}"/>
    <cellStyle name="Normal 26 2 7 4 14" xfId="36856" xr:uid="{00000000-0005-0000-0000-000075BE0000}"/>
    <cellStyle name="Normal 26 2 7 4 15" xfId="38539" xr:uid="{00000000-0005-0000-0000-000076BE0000}"/>
    <cellStyle name="Normal 26 2 7 4 16" xfId="40222" xr:uid="{00000000-0005-0000-0000-000077BE0000}"/>
    <cellStyle name="Normal 26 2 7 4 17" xfId="41905" xr:uid="{00000000-0005-0000-0000-000078BE0000}"/>
    <cellStyle name="Normal 26 2 7 4 18" xfId="43588" xr:uid="{00000000-0005-0000-0000-000079BE0000}"/>
    <cellStyle name="Normal 26 2 7 4 19" xfId="45271" xr:uid="{00000000-0005-0000-0000-00007ABE0000}"/>
    <cellStyle name="Normal 26 2 7 4 2" xfId="3192" xr:uid="{00000000-0005-0000-0000-00007BBE0000}"/>
    <cellStyle name="Normal 26 2 7 4 2 2" xfId="18341" xr:uid="{00000000-0005-0000-0000-00007CBE0000}"/>
    <cellStyle name="Normal 26 2 7 4 20" xfId="46954" xr:uid="{00000000-0005-0000-0000-00007DBE0000}"/>
    <cellStyle name="Normal 26 2 7 4 21" xfId="48637" xr:uid="{00000000-0005-0000-0000-00007EBE0000}"/>
    <cellStyle name="Normal 26 2 7 4 22" xfId="50320" xr:uid="{00000000-0005-0000-0000-00007FBE0000}"/>
    <cellStyle name="Normal 26 2 7 4 23" xfId="52003" xr:uid="{00000000-0005-0000-0000-000080BE0000}"/>
    <cellStyle name="Normal 26 2 7 4 24" xfId="53686" xr:uid="{00000000-0005-0000-0000-000081BE0000}"/>
    <cellStyle name="Normal 26 2 7 4 25" xfId="55369" xr:uid="{00000000-0005-0000-0000-000082BE0000}"/>
    <cellStyle name="Normal 26 2 7 4 26" xfId="57052" xr:uid="{00000000-0005-0000-0000-000083BE0000}"/>
    <cellStyle name="Normal 26 2 7 4 27" xfId="58735" xr:uid="{00000000-0005-0000-0000-000084BE0000}"/>
    <cellStyle name="Normal 26 2 7 4 28" xfId="60418" xr:uid="{00000000-0005-0000-0000-000085BE0000}"/>
    <cellStyle name="Normal 26 2 7 4 29" xfId="62101" xr:uid="{00000000-0005-0000-0000-000086BE0000}"/>
    <cellStyle name="Normal 26 2 7 4 3" xfId="4876" xr:uid="{00000000-0005-0000-0000-000087BE0000}"/>
    <cellStyle name="Normal 26 2 7 4 3 2" xfId="20025" xr:uid="{00000000-0005-0000-0000-000088BE0000}"/>
    <cellStyle name="Normal 26 2 7 4 30" xfId="63784" xr:uid="{00000000-0005-0000-0000-000089BE0000}"/>
    <cellStyle name="Normal 26 2 7 4 4" xfId="6559" xr:uid="{00000000-0005-0000-0000-00008ABE0000}"/>
    <cellStyle name="Normal 26 2 7 4 4 2" xfId="21708" xr:uid="{00000000-0005-0000-0000-00008BBE0000}"/>
    <cellStyle name="Normal 26 2 7 4 5" xfId="8242" xr:uid="{00000000-0005-0000-0000-00008CBE0000}"/>
    <cellStyle name="Normal 26 2 7 4 5 2" xfId="23391" xr:uid="{00000000-0005-0000-0000-00008DBE0000}"/>
    <cellStyle name="Normal 26 2 7 4 6" xfId="9925" xr:uid="{00000000-0005-0000-0000-00008EBE0000}"/>
    <cellStyle name="Normal 26 2 7 4 6 2" xfId="25074" xr:uid="{00000000-0005-0000-0000-00008FBE0000}"/>
    <cellStyle name="Normal 26 2 7 4 7" xfId="11608" xr:uid="{00000000-0005-0000-0000-000090BE0000}"/>
    <cellStyle name="Normal 26 2 7 4 7 2" xfId="26757" xr:uid="{00000000-0005-0000-0000-000091BE0000}"/>
    <cellStyle name="Normal 26 2 7 4 8" xfId="13292" xr:uid="{00000000-0005-0000-0000-000092BE0000}"/>
    <cellStyle name="Normal 26 2 7 4 8 2" xfId="28441" xr:uid="{00000000-0005-0000-0000-000093BE0000}"/>
    <cellStyle name="Normal 26 2 7 4 9" xfId="14975" xr:uid="{00000000-0005-0000-0000-000094BE0000}"/>
    <cellStyle name="Normal 26 2 7 4 9 2" xfId="30124" xr:uid="{00000000-0005-0000-0000-000095BE0000}"/>
    <cellStyle name="Normal 26 2 7 5" xfId="1930" xr:uid="{00000000-0005-0000-0000-000096BE0000}"/>
    <cellStyle name="Normal 26 2 7 5 2" xfId="17079" xr:uid="{00000000-0005-0000-0000-000097BE0000}"/>
    <cellStyle name="Normal 26 2 7 6" xfId="3614" xr:uid="{00000000-0005-0000-0000-000098BE0000}"/>
    <cellStyle name="Normal 26 2 7 6 2" xfId="18763" xr:uid="{00000000-0005-0000-0000-000099BE0000}"/>
    <cellStyle name="Normal 26 2 7 7" xfId="5297" xr:uid="{00000000-0005-0000-0000-00009ABE0000}"/>
    <cellStyle name="Normal 26 2 7 7 2" xfId="20446" xr:uid="{00000000-0005-0000-0000-00009BBE0000}"/>
    <cellStyle name="Normal 26 2 7 8" xfId="6980" xr:uid="{00000000-0005-0000-0000-00009CBE0000}"/>
    <cellStyle name="Normal 26 2 7 8 2" xfId="22129" xr:uid="{00000000-0005-0000-0000-00009DBE0000}"/>
    <cellStyle name="Normal 26 2 7 9" xfId="8663" xr:uid="{00000000-0005-0000-0000-00009EBE0000}"/>
    <cellStyle name="Normal 26 2 7 9 2" xfId="23812" xr:uid="{00000000-0005-0000-0000-00009FBE0000}"/>
    <cellStyle name="Normal 26 2 8" xfId="457" xr:uid="{00000000-0005-0000-0000-0000A0BE0000}"/>
    <cellStyle name="Normal 26 2 8 10" xfId="15606" xr:uid="{00000000-0005-0000-0000-0000A1BE0000}"/>
    <cellStyle name="Normal 26 2 8 11" xfId="30755" xr:uid="{00000000-0005-0000-0000-0000A2BE0000}"/>
    <cellStyle name="Normal 26 2 8 12" xfId="32438" xr:uid="{00000000-0005-0000-0000-0000A3BE0000}"/>
    <cellStyle name="Normal 26 2 8 13" xfId="34121" xr:uid="{00000000-0005-0000-0000-0000A4BE0000}"/>
    <cellStyle name="Normal 26 2 8 14" xfId="35804" xr:uid="{00000000-0005-0000-0000-0000A5BE0000}"/>
    <cellStyle name="Normal 26 2 8 15" xfId="37487" xr:uid="{00000000-0005-0000-0000-0000A6BE0000}"/>
    <cellStyle name="Normal 26 2 8 16" xfId="39170" xr:uid="{00000000-0005-0000-0000-0000A7BE0000}"/>
    <cellStyle name="Normal 26 2 8 17" xfId="40853" xr:uid="{00000000-0005-0000-0000-0000A8BE0000}"/>
    <cellStyle name="Normal 26 2 8 18" xfId="42536" xr:uid="{00000000-0005-0000-0000-0000A9BE0000}"/>
    <cellStyle name="Normal 26 2 8 19" xfId="44219" xr:uid="{00000000-0005-0000-0000-0000AABE0000}"/>
    <cellStyle name="Normal 26 2 8 2" xfId="2140" xr:uid="{00000000-0005-0000-0000-0000ABBE0000}"/>
    <cellStyle name="Normal 26 2 8 2 2" xfId="17289" xr:uid="{00000000-0005-0000-0000-0000ACBE0000}"/>
    <cellStyle name="Normal 26 2 8 20" xfId="45902" xr:uid="{00000000-0005-0000-0000-0000ADBE0000}"/>
    <cellStyle name="Normal 26 2 8 21" xfId="47585" xr:uid="{00000000-0005-0000-0000-0000AEBE0000}"/>
    <cellStyle name="Normal 26 2 8 22" xfId="49268" xr:uid="{00000000-0005-0000-0000-0000AFBE0000}"/>
    <cellStyle name="Normal 26 2 8 23" xfId="50951" xr:uid="{00000000-0005-0000-0000-0000B0BE0000}"/>
    <cellStyle name="Normal 26 2 8 24" xfId="52634" xr:uid="{00000000-0005-0000-0000-0000B1BE0000}"/>
    <cellStyle name="Normal 26 2 8 25" xfId="54317" xr:uid="{00000000-0005-0000-0000-0000B2BE0000}"/>
    <cellStyle name="Normal 26 2 8 26" xfId="56000" xr:uid="{00000000-0005-0000-0000-0000B3BE0000}"/>
    <cellStyle name="Normal 26 2 8 27" xfId="57683" xr:uid="{00000000-0005-0000-0000-0000B4BE0000}"/>
    <cellStyle name="Normal 26 2 8 28" xfId="59366" xr:uid="{00000000-0005-0000-0000-0000B5BE0000}"/>
    <cellStyle name="Normal 26 2 8 29" xfId="61049" xr:uid="{00000000-0005-0000-0000-0000B6BE0000}"/>
    <cellStyle name="Normal 26 2 8 3" xfId="3824" xr:uid="{00000000-0005-0000-0000-0000B7BE0000}"/>
    <cellStyle name="Normal 26 2 8 3 2" xfId="18973" xr:uid="{00000000-0005-0000-0000-0000B8BE0000}"/>
    <cellStyle name="Normal 26 2 8 30" xfId="62732" xr:uid="{00000000-0005-0000-0000-0000B9BE0000}"/>
    <cellStyle name="Normal 26 2 8 4" xfId="5507" xr:uid="{00000000-0005-0000-0000-0000BABE0000}"/>
    <cellStyle name="Normal 26 2 8 4 2" xfId="20656" xr:uid="{00000000-0005-0000-0000-0000BBBE0000}"/>
    <cellStyle name="Normal 26 2 8 5" xfId="7190" xr:uid="{00000000-0005-0000-0000-0000BCBE0000}"/>
    <cellStyle name="Normal 26 2 8 5 2" xfId="22339" xr:uid="{00000000-0005-0000-0000-0000BDBE0000}"/>
    <cellStyle name="Normal 26 2 8 6" xfId="8873" xr:uid="{00000000-0005-0000-0000-0000BEBE0000}"/>
    <cellStyle name="Normal 26 2 8 6 2" xfId="24022" xr:uid="{00000000-0005-0000-0000-0000BFBE0000}"/>
    <cellStyle name="Normal 26 2 8 7" xfId="10556" xr:uid="{00000000-0005-0000-0000-0000C0BE0000}"/>
    <cellStyle name="Normal 26 2 8 7 2" xfId="25705" xr:uid="{00000000-0005-0000-0000-0000C1BE0000}"/>
    <cellStyle name="Normal 26 2 8 8" xfId="12240" xr:uid="{00000000-0005-0000-0000-0000C2BE0000}"/>
    <cellStyle name="Normal 26 2 8 8 2" xfId="27389" xr:uid="{00000000-0005-0000-0000-0000C3BE0000}"/>
    <cellStyle name="Normal 26 2 8 9" xfId="13923" xr:uid="{00000000-0005-0000-0000-0000C4BE0000}"/>
    <cellStyle name="Normal 26 2 8 9 2" xfId="29072" xr:uid="{00000000-0005-0000-0000-0000C5BE0000}"/>
    <cellStyle name="Normal 26 2 9" xfId="878" xr:uid="{00000000-0005-0000-0000-0000C6BE0000}"/>
    <cellStyle name="Normal 26 2 9 10" xfId="16027" xr:uid="{00000000-0005-0000-0000-0000C7BE0000}"/>
    <cellStyle name="Normal 26 2 9 11" xfId="31176" xr:uid="{00000000-0005-0000-0000-0000C8BE0000}"/>
    <cellStyle name="Normal 26 2 9 12" xfId="32859" xr:uid="{00000000-0005-0000-0000-0000C9BE0000}"/>
    <cellStyle name="Normal 26 2 9 13" xfId="34542" xr:uid="{00000000-0005-0000-0000-0000CABE0000}"/>
    <cellStyle name="Normal 26 2 9 14" xfId="36225" xr:uid="{00000000-0005-0000-0000-0000CBBE0000}"/>
    <cellStyle name="Normal 26 2 9 15" xfId="37908" xr:uid="{00000000-0005-0000-0000-0000CCBE0000}"/>
    <cellStyle name="Normal 26 2 9 16" xfId="39591" xr:uid="{00000000-0005-0000-0000-0000CDBE0000}"/>
    <cellStyle name="Normal 26 2 9 17" xfId="41274" xr:uid="{00000000-0005-0000-0000-0000CEBE0000}"/>
    <cellStyle name="Normal 26 2 9 18" xfId="42957" xr:uid="{00000000-0005-0000-0000-0000CFBE0000}"/>
    <cellStyle name="Normal 26 2 9 19" xfId="44640" xr:uid="{00000000-0005-0000-0000-0000D0BE0000}"/>
    <cellStyle name="Normal 26 2 9 2" xfId="2561" xr:uid="{00000000-0005-0000-0000-0000D1BE0000}"/>
    <cellStyle name="Normal 26 2 9 2 2" xfId="17710" xr:uid="{00000000-0005-0000-0000-0000D2BE0000}"/>
    <cellStyle name="Normal 26 2 9 20" xfId="46323" xr:uid="{00000000-0005-0000-0000-0000D3BE0000}"/>
    <cellStyle name="Normal 26 2 9 21" xfId="48006" xr:uid="{00000000-0005-0000-0000-0000D4BE0000}"/>
    <cellStyle name="Normal 26 2 9 22" xfId="49689" xr:uid="{00000000-0005-0000-0000-0000D5BE0000}"/>
    <cellStyle name="Normal 26 2 9 23" xfId="51372" xr:uid="{00000000-0005-0000-0000-0000D6BE0000}"/>
    <cellStyle name="Normal 26 2 9 24" xfId="53055" xr:uid="{00000000-0005-0000-0000-0000D7BE0000}"/>
    <cellStyle name="Normal 26 2 9 25" xfId="54738" xr:uid="{00000000-0005-0000-0000-0000D8BE0000}"/>
    <cellStyle name="Normal 26 2 9 26" xfId="56421" xr:uid="{00000000-0005-0000-0000-0000D9BE0000}"/>
    <cellStyle name="Normal 26 2 9 27" xfId="58104" xr:uid="{00000000-0005-0000-0000-0000DABE0000}"/>
    <cellStyle name="Normal 26 2 9 28" xfId="59787" xr:uid="{00000000-0005-0000-0000-0000DBBE0000}"/>
    <cellStyle name="Normal 26 2 9 29" xfId="61470" xr:uid="{00000000-0005-0000-0000-0000DCBE0000}"/>
    <cellStyle name="Normal 26 2 9 3" xfId="4245" xr:uid="{00000000-0005-0000-0000-0000DDBE0000}"/>
    <cellStyle name="Normal 26 2 9 3 2" xfId="19394" xr:uid="{00000000-0005-0000-0000-0000DEBE0000}"/>
    <cellStyle name="Normal 26 2 9 30" xfId="63153" xr:uid="{00000000-0005-0000-0000-0000DFBE0000}"/>
    <cellStyle name="Normal 26 2 9 4" xfId="5928" xr:uid="{00000000-0005-0000-0000-0000E0BE0000}"/>
    <cellStyle name="Normal 26 2 9 4 2" xfId="21077" xr:uid="{00000000-0005-0000-0000-0000E1BE0000}"/>
    <cellStyle name="Normal 26 2 9 5" xfId="7611" xr:uid="{00000000-0005-0000-0000-0000E2BE0000}"/>
    <cellStyle name="Normal 26 2 9 5 2" xfId="22760" xr:uid="{00000000-0005-0000-0000-0000E3BE0000}"/>
    <cellStyle name="Normal 26 2 9 6" xfId="9294" xr:uid="{00000000-0005-0000-0000-0000E4BE0000}"/>
    <cellStyle name="Normal 26 2 9 6 2" xfId="24443" xr:uid="{00000000-0005-0000-0000-0000E5BE0000}"/>
    <cellStyle name="Normal 26 2 9 7" xfId="10977" xr:uid="{00000000-0005-0000-0000-0000E6BE0000}"/>
    <cellStyle name="Normal 26 2 9 7 2" xfId="26126" xr:uid="{00000000-0005-0000-0000-0000E7BE0000}"/>
    <cellStyle name="Normal 26 2 9 8" xfId="12661" xr:uid="{00000000-0005-0000-0000-0000E8BE0000}"/>
    <cellStyle name="Normal 26 2 9 8 2" xfId="27810" xr:uid="{00000000-0005-0000-0000-0000E9BE0000}"/>
    <cellStyle name="Normal 26 2 9 9" xfId="14344" xr:uid="{00000000-0005-0000-0000-0000EABE0000}"/>
    <cellStyle name="Normal 26 2 9 9 2" xfId="29493" xr:uid="{00000000-0005-0000-0000-0000EBBE0000}"/>
    <cellStyle name="Normal 26 20" xfId="15185" xr:uid="{00000000-0005-0000-0000-0000ECBE0000}"/>
    <cellStyle name="Normal 26 21" xfId="30334" xr:uid="{00000000-0005-0000-0000-0000EDBE0000}"/>
    <cellStyle name="Normal 26 22" xfId="32017" xr:uid="{00000000-0005-0000-0000-0000EEBE0000}"/>
    <cellStyle name="Normal 26 23" xfId="33700" xr:uid="{00000000-0005-0000-0000-0000EFBE0000}"/>
    <cellStyle name="Normal 26 24" xfId="35383" xr:uid="{00000000-0005-0000-0000-0000F0BE0000}"/>
    <cellStyle name="Normal 26 25" xfId="37066" xr:uid="{00000000-0005-0000-0000-0000F1BE0000}"/>
    <cellStyle name="Normal 26 26" xfId="38749" xr:uid="{00000000-0005-0000-0000-0000F2BE0000}"/>
    <cellStyle name="Normal 26 27" xfId="40432" xr:uid="{00000000-0005-0000-0000-0000F3BE0000}"/>
    <cellStyle name="Normal 26 28" xfId="42115" xr:uid="{00000000-0005-0000-0000-0000F4BE0000}"/>
    <cellStyle name="Normal 26 29" xfId="43798" xr:uid="{00000000-0005-0000-0000-0000F5BE0000}"/>
    <cellStyle name="Normal 26 3" xfId="19" xr:uid="{00000000-0005-0000-0000-0000F6BE0000}"/>
    <cellStyle name="Normal 26 3 10" xfId="6774" xr:uid="{00000000-0005-0000-0000-0000F7BE0000}"/>
    <cellStyle name="Normal 26 3 10 2" xfId="21923" xr:uid="{00000000-0005-0000-0000-0000F8BE0000}"/>
    <cellStyle name="Normal 26 3 11" xfId="8457" xr:uid="{00000000-0005-0000-0000-0000F9BE0000}"/>
    <cellStyle name="Normal 26 3 11 2" xfId="23606" xr:uid="{00000000-0005-0000-0000-0000FABE0000}"/>
    <cellStyle name="Normal 26 3 12" xfId="10140" xr:uid="{00000000-0005-0000-0000-0000FBBE0000}"/>
    <cellStyle name="Normal 26 3 12 2" xfId="25289" xr:uid="{00000000-0005-0000-0000-0000FCBE0000}"/>
    <cellStyle name="Normal 26 3 13" xfId="11824" xr:uid="{00000000-0005-0000-0000-0000FDBE0000}"/>
    <cellStyle name="Normal 26 3 13 2" xfId="26973" xr:uid="{00000000-0005-0000-0000-0000FEBE0000}"/>
    <cellStyle name="Normal 26 3 14" xfId="13507" xr:uid="{00000000-0005-0000-0000-0000FFBE0000}"/>
    <cellStyle name="Normal 26 3 14 2" xfId="28656" xr:uid="{00000000-0005-0000-0000-000000BF0000}"/>
    <cellStyle name="Normal 26 3 15" xfId="15190" xr:uid="{00000000-0005-0000-0000-000001BF0000}"/>
    <cellStyle name="Normal 26 3 16" xfId="30339" xr:uid="{00000000-0005-0000-0000-000002BF0000}"/>
    <cellStyle name="Normal 26 3 17" xfId="32022" xr:uid="{00000000-0005-0000-0000-000003BF0000}"/>
    <cellStyle name="Normal 26 3 18" xfId="33705" xr:uid="{00000000-0005-0000-0000-000004BF0000}"/>
    <cellStyle name="Normal 26 3 19" xfId="35388" xr:uid="{00000000-0005-0000-0000-000005BF0000}"/>
    <cellStyle name="Normal 26 3 2" xfId="146" xr:uid="{00000000-0005-0000-0000-000006BF0000}"/>
    <cellStyle name="Normal 26 3 2 10" xfId="8562" xr:uid="{00000000-0005-0000-0000-000007BF0000}"/>
    <cellStyle name="Normal 26 3 2 10 2" xfId="23711" xr:uid="{00000000-0005-0000-0000-000008BF0000}"/>
    <cellStyle name="Normal 26 3 2 11" xfId="10245" xr:uid="{00000000-0005-0000-0000-000009BF0000}"/>
    <cellStyle name="Normal 26 3 2 11 2" xfId="25394" xr:uid="{00000000-0005-0000-0000-00000ABF0000}"/>
    <cellStyle name="Normal 26 3 2 12" xfId="11929" xr:uid="{00000000-0005-0000-0000-00000BBF0000}"/>
    <cellStyle name="Normal 26 3 2 12 2" xfId="27078" xr:uid="{00000000-0005-0000-0000-00000CBF0000}"/>
    <cellStyle name="Normal 26 3 2 13" xfId="13612" xr:uid="{00000000-0005-0000-0000-00000DBF0000}"/>
    <cellStyle name="Normal 26 3 2 13 2" xfId="28761" xr:uid="{00000000-0005-0000-0000-00000EBF0000}"/>
    <cellStyle name="Normal 26 3 2 14" xfId="15295" xr:uid="{00000000-0005-0000-0000-00000FBF0000}"/>
    <cellStyle name="Normal 26 3 2 15" xfId="30444" xr:uid="{00000000-0005-0000-0000-000010BF0000}"/>
    <cellStyle name="Normal 26 3 2 16" xfId="32127" xr:uid="{00000000-0005-0000-0000-000011BF0000}"/>
    <cellStyle name="Normal 26 3 2 17" xfId="33810" xr:uid="{00000000-0005-0000-0000-000012BF0000}"/>
    <cellStyle name="Normal 26 3 2 18" xfId="35493" xr:uid="{00000000-0005-0000-0000-000013BF0000}"/>
    <cellStyle name="Normal 26 3 2 19" xfId="37176" xr:uid="{00000000-0005-0000-0000-000014BF0000}"/>
    <cellStyle name="Normal 26 3 2 2" xfId="356" xr:uid="{00000000-0005-0000-0000-000015BF0000}"/>
    <cellStyle name="Normal 26 3 2 2 10" xfId="10455" xr:uid="{00000000-0005-0000-0000-000016BF0000}"/>
    <cellStyle name="Normal 26 3 2 2 10 2" xfId="25604" xr:uid="{00000000-0005-0000-0000-000017BF0000}"/>
    <cellStyle name="Normal 26 3 2 2 11" xfId="12139" xr:uid="{00000000-0005-0000-0000-000018BF0000}"/>
    <cellStyle name="Normal 26 3 2 2 11 2" xfId="27288" xr:uid="{00000000-0005-0000-0000-000019BF0000}"/>
    <cellStyle name="Normal 26 3 2 2 12" xfId="13822" xr:uid="{00000000-0005-0000-0000-00001ABF0000}"/>
    <cellStyle name="Normal 26 3 2 2 12 2" xfId="28971" xr:uid="{00000000-0005-0000-0000-00001BBF0000}"/>
    <cellStyle name="Normal 26 3 2 2 13" xfId="15505" xr:uid="{00000000-0005-0000-0000-00001CBF0000}"/>
    <cellStyle name="Normal 26 3 2 2 14" xfId="30654" xr:uid="{00000000-0005-0000-0000-00001DBF0000}"/>
    <cellStyle name="Normal 26 3 2 2 15" xfId="32337" xr:uid="{00000000-0005-0000-0000-00001EBF0000}"/>
    <cellStyle name="Normal 26 3 2 2 16" xfId="34020" xr:uid="{00000000-0005-0000-0000-00001FBF0000}"/>
    <cellStyle name="Normal 26 3 2 2 17" xfId="35703" xr:uid="{00000000-0005-0000-0000-000020BF0000}"/>
    <cellStyle name="Normal 26 3 2 2 18" xfId="37386" xr:uid="{00000000-0005-0000-0000-000021BF0000}"/>
    <cellStyle name="Normal 26 3 2 2 19" xfId="39069" xr:uid="{00000000-0005-0000-0000-000022BF0000}"/>
    <cellStyle name="Normal 26 3 2 2 2" xfId="776" xr:uid="{00000000-0005-0000-0000-000023BF0000}"/>
    <cellStyle name="Normal 26 3 2 2 2 10" xfId="15925" xr:uid="{00000000-0005-0000-0000-000024BF0000}"/>
    <cellStyle name="Normal 26 3 2 2 2 11" xfId="31074" xr:uid="{00000000-0005-0000-0000-000025BF0000}"/>
    <cellStyle name="Normal 26 3 2 2 2 12" xfId="32757" xr:uid="{00000000-0005-0000-0000-000026BF0000}"/>
    <cellStyle name="Normal 26 3 2 2 2 13" xfId="34440" xr:uid="{00000000-0005-0000-0000-000027BF0000}"/>
    <cellStyle name="Normal 26 3 2 2 2 14" xfId="36123" xr:uid="{00000000-0005-0000-0000-000028BF0000}"/>
    <cellStyle name="Normal 26 3 2 2 2 15" xfId="37806" xr:uid="{00000000-0005-0000-0000-000029BF0000}"/>
    <cellStyle name="Normal 26 3 2 2 2 16" xfId="39489" xr:uid="{00000000-0005-0000-0000-00002ABF0000}"/>
    <cellStyle name="Normal 26 3 2 2 2 17" xfId="41172" xr:uid="{00000000-0005-0000-0000-00002BBF0000}"/>
    <cellStyle name="Normal 26 3 2 2 2 18" xfId="42855" xr:uid="{00000000-0005-0000-0000-00002CBF0000}"/>
    <cellStyle name="Normal 26 3 2 2 2 19" xfId="44538" xr:uid="{00000000-0005-0000-0000-00002DBF0000}"/>
    <cellStyle name="Normal 26 3 2 2 2 2" xfId="2459" xr:uid="{00000000-0005-0000-0000-00002EBF0000}"/>
    <cellStyle name="Normal 26 3 2 2 2 2 2" xfId="17608" xr:uid="{00000000-0005-0000-0000-00002FBF0000}"/>
    <cellStyle name="Normal 26 3 2 2 2 20" xfId="46221" xr:uid="{00000000-0005-0000-0000-000030BF0000}"/>
    <cellStyle name="Normal 26 3 2 2 2 21" xfId="47904" xr:uid="{00000000-0005-0000-0000-000031BF0000}"/>
    <cellStyle name="Normal 26 3 2 2 2 22" xfId="49587" xr:uid="{00000000-0005-0000-0000-000032BF0000}"/>
    <cellStyle name="Normal 26 3 2 2 2 23" xfId="51270" xr:uid="{00000000-0005-0000-0000-000033BF0000}"/>
    <cellStyle name="Normal 26 3 2 2 2 24" xfId="52953" xr:uid="{00000000-0005-0000-0000-000034BF0000}"/>
    <cellStyle name="Normal 26 3 2 2 2 25" xfId="54636" xr:uid="{00000000-0005-0000-0000-000035BF0000}"/>
    <cellStyle name="Normal 26 3 2 2 2 26" xfId="56319" xr:uid="{00000000-0005-0000-0000-000036BF0000}"/>
    <cellStyle name="Normal 26 3 2 2 2 27" xfId="58002" xr:uid="{00000000-0005-0000-0000-000037BF0000}"/>
    <cellStyle name="Normal 26 3 2 2 2 28" xfId="59685" xr:uid="{00000000-0005-0000-0000-000038BF0000}"/>
    <cellStyle name="Normal 26 3 2 2 2 29" xfId="61368" xr:uid="{00000000-0005-0000-0000-000039BF0000}"/>
    <cellStyle name="Normal 26 3 2 2 2 3" xfId="4143" xr:uid="{00000000-0005-0000-0000-00003ABF0000}"/>
    <cellStyle name="Normal 26 3 2 2 2 3 2" xfId="19292" xr:uid="{00000000-0005-0000-0000-00003BBF0000}"/>
    <cellStyle name="Normal 26 3 2 2 2 30" xfId="63051" xr:uid="{00000000-0005-0000-0000-00003CBF0000}"/>
    <cellStyle name="Normal 26 3 2 2 2 4" xfId="5826" xr:uid="{00000000-0005-0000-0000-00003DBF0000}"/>
    <cellStyle name="Normal 26 3 2 2 2 4 2" xfId="20975" xr:uid="{00000000-0005-0000-0000-00003EBF0000}"/>
    <cellStyle name="Normal 26 3 2 2 2 5" xfId="7509" xr:uid="{00000000-0005-0000-0000-00003FBF0000}"/>
    <cellStyle name="Normal 26 3 2 2 2 5 2" xfId="22658" xr:uid="{00000000-0005-0000-0000-000040BF0000}"/>
    <cellStyle name="Normal 26 3 2 2 2 6" xfId="9192" xr:uid="{00000000-0005-0000-0000-000041BF0000}"/>
    <cellStyle name="Normal 26 3 2 2 2 6 2" xfId="24341" xr:uid="{00000000-0005-0000-0000-000042BF0000}"/>
    <cellStyle name="Normal 26 3 2 2 2 7" xfId="10875" xr:uid="{00000000-0005-0000-0000-000043BF0000}"/>
    <cellStyle name="Normal 26 3 2 2 2 7 2" xfId="26024" xr:uid="{00000000-0005-0000-0000-000044BF0000}"/>
    <cellStyle name="Normal 26 3 2 2 2 8" xfId="12559" xr:uid="{00000000-0005-0000-0000-000045BF0000}"/>
    <cellStyle name="Normal 26 3 2 2 2 8 2" xfId="27708" xr:uid="{00000000-0005-0000-0000-000046BF0000}"/>
    <cellStyle name="Normal 26 3 2 2 2 9" xfId="14242" xr:uid="{00000000-0005-0000-0000-000047BF0000}"/>
    <cellStyle name="Normal 26 3 2 2 2 9 2" xfId="29391" xr:uid="{00000000-0005-0000-0000-000048BF0000}"/>
    <cellStyle name="Normal 26 3 2 2 20" xfId="40752" xr:uid="{00000000-0005-0000-0000-000049BF0000}"/>
    <cellStyle name="Normal 26 3 2 2 21" xfId="42435" xr:uid="{00000000-0005-0000-0000-00004ABF0000}"/>
    <cellStyle name="Normal 26 3 2 2 22" xfId="44118" xr:uid="{00000000-0005-0000-0000-00004BBF0000}"/>
    <cellStyle name="Normal 26 3 2 2 23" xfId="45801" xr:uid="{00000000-0005-0000-0000-00004CBF0000}"/>
    <cellStyle name="Normal 26 3 2 2 24" xfId="47484" xr:uid="{00000000-0005-0000-0000-00004DBF0000}"/>
    <cellStyle name="Normal 26 3 2 2 25" xfId="49167" xr:uid="{00000000-0005-0000-0000-00004EBF0000}"/>
    <cellStyle name="Normal 26 3 2 2 26" xfId="50850" xr:uid="{00000000-0005-0000-0000-00004FBF0000}"/>
    <cellStyle name="Normal 26 3 2 2 27" xfId="52533" xr:uid="{00000000-0005-0000-0000-000050BF0000}"/>
    <cellStyle name="Normal 26 3 2 2 28" xfId="54216" xr:uid="{00000000-0005-0000-0000-000051BF0000}"/>
    <cellStyle name="Normal 26 3 2 2 29" xfId="55899" xr:uid="{00000000-0005-0000-0000-000052BF0000}"/>
    <cellStyle name="Normal 26 3 2 2 3" xfId="1197" xr:uid="{00000000-0005-0000-0000-000053BF0000}"/>
    <cellStyle name="Normal 26 3 2 2 3 10" xfId="16346" xr:uid="{00000000-0005-0000-0000-000054BF0000}"/>
    <cellStyle name="Normal 26 3 2 2 3 11" xfId="31495" xr:uid="{00000000-0005-0000-0000-000055BF0000}"/>
    <cellStyle name="Normal 26 3 2 2 3 12" xfId="33178" xr:uid="{00000000-0005-0000-0000-000056BF0000}"/>
    <cellStyle name="Normal 26 3 2 2 3 13" xfId="34861" xr:uid="{00000000-0005-0000-0000-000057BF0000}"/>
    <cellStyle name="Normal 26 3 2 2 3 14" xfId="36544" xr:uid="{00000000-0005-0000-0000-000058BF0000}"/>
    <cellStyle name="Normal 26 3 2 2 3 15" xfId="38227" xr:uid="{00000000-0005-0000-0000-000059BF0000}"/>
    <cellStyle name="Normal 26 3 2 2 3 16" xfId="39910" xr:uid="{00000000-0005-0000-0000-00005ABF0000}"/>
    <cellStyle name="Normal 26 3 2 2 3 17" xfId="41593" xr:uid="{00000000-0005-0000-0000-00005BBF0000}"/>
    <cellStyle name="Normal 26 3 2 2 3 18" xfId="43276" xr:uid="{00000000-0005-0000-0000-00005CBF0000}"/>
    <cellStyle name="Normal 26 3 2 2 3 19" xfId="44959" xr:uid="{00000000-0005-0000-0000-00005DBF0000}"/>
    <cellStyle name="Normal 26 3 2 2 3 2" xfId="2880" xr:uid="{00000000-0005-0000-0000-00005EBF0000}"/>
    <cellStyle name="Normal 26 3 2 2 3 2 2" xfId="18029" xr:uid="{00000000-0005-0000-0000-00005FBF0000}"/>
    <cellStyle name="Normal 26 3 2 2 3 20" xfId="46642" xr:uid="{00000000-0005-0000-0000-000060BF0000}"/>
    <cellStyle name="Normal 26 3 2 2 3 21" xfId="48325" xr:uid="{00000000-0005-0000-0000-000061BF0000}"/>
    <cellStyle name="Normal 26 3 2 2 3 22" xfId="50008" xr:uid="{00000000-0005-0000-0000-000062BF0000}"/>
    <cellStyle name="Normal 26 3 2 2 3 23" xfId="51691" xr:uid="{00000000-0005-0000-0000-000063BF0000}"/>
    <cellStyle name="Normal 26 3 2 2 3 24" xfId="53374" xr:uid="{00000000-0005-0000-0000-000064BF0000}"/>
    <cellStyle name="Normal 26 3 2 2 3 25" xfId="55057" xr:uid="{00000000-0005-0000-0000-000065BF0000}"/>
    <cellStyle name="Normal 26 3 2 2 3 26" xfId="56740" xr:uid="{00000000-0005-0000-0000-000066BF0000}"/>
    <cellStyle name="Normal 26 3 2 2 3 27" xfId="58423" xr:uid="{00000000-0005-0000-0000-000067BF0000}"/>
    <cellStyle name="Normal 26 3 2 2 3 28" xfId="60106" xr:uid="{00000000-0005-0000-0000-000068BF0000}"/>
    <cellStyle name="Normal 26 3 2 2 3 29" xfId="61789" xr:uid="{00000000-0005-0000-0000-000069BF0000}"/>
    <cellStyle name="Normal 26 3 2 2 3 3" xfId="4564" xr:uid="{00000000-0005-0000-0000-00006ABF0000}"/>
    <cellStyle name="Normal 26 3 2 2 3 3 2" xfId="19713" xr:uid="{00000000-0005-0000-0000-00006BBF0000}"/>
    <cellStyle name="Normal 26 3 2 2 3 30" xfId="63472" xr:uid="{00000000-0005-0000-0000-00006CBF0000}"/>
    <cellStyle name="Normal 26 3 2 2 3 4" xfId="6247" xr:uid="{00000000-0005-0000-0000-00006DBF0000}"/>
    <cellStyle name="Normal 26 3 2 2 3 4 2" xfId="21396" xr:uid="{00000000-0005-0000-0000-00006EBF0000}"/>
    <cellStyle name="Normal 26 3 2 2 3 5" xfId="7930" xr:uid="{00000000-0005-0000-0000-00006FBF0000}"/>
    <cellStyle name="Normal 26 3 2 2 3 5 2" xfId="23079" xr:uid="{00000000-0005-0000-0000-000070BF0000}"/>
    <cellStyle name="Normal 26 3 2 2 3 6" xfId="9613" xr:uid="{00000000-0005-0000-0000-000071BF0000}"/>
    <cellStyle name="Normal 26 3 2 2 3 6 2" xfId="24762" xr:uid="{00000000-0005-0000-0000-000072BF0000}"/>
    <cellStyle name="Normal 26 3 2 2 3 7" xfId="11296" xr:uid="{00000000-0005-0000-0000-000073BF0000}"/>
    <cellStyle name="Normal 26 3 2 2 3 7 2" xfId="26445" xr:uid="{00000000-0005-0000-0000-000074BF0000}"/>
    <cellStyle name="Normal 26 3 2 2 3 8" xfId="12980" xr:uid="{00000000-0005-0000-0000-000075BF0000}"/>
    <cellStyle name="Normal 26 3 2 2 3 8 2" xfId="28129" xr:uid="{00000000-0005-0000-0000-000076BF0000}"/>
    <cellStyle name="Normal 26 3 2 2 3 9" xfId="14663" xr:uid="{00000000-0005-0000-0000-000077BF0000}"/>
    <cellStyle name="Normal 26 3 2 2 3 9 2" xfId="29812" xr:uid="{00000000-0005-0000-0000-000078BF0000}"/>
    <cellStyle name="Normal 26 3 2 2 30" xfId="57582" xr:uid="{00000000-0005-0000-0000-000079BF0000}"/>
    <cellStyle name="Normal 26 3 2 2 31" xfId="59265" xr:uid="{00000000-0005-0000-0000-00007ABF0000}"/>
    <cellStyle name="Normal 26 3 2 2 32" xfId="60948" xr:uid="{00000000-0005-0000-0000-00007BBF0000}"/>
    <cellStyle name="Normal 26 3 2 2 33" xfId="62631" xr:uid="{00000000-0005-0000-0000-00007CBF0000}"/>
    <cellStyle name="Normal 26 3 2 2 4" xfId="1618" xr:uid="{00000000-0005-0000-0000-00007DBF0000}"/>
    <cellStyle name="Normal 26 3 2 2 4 10" xfId="16767" xr:uid="{00000000-0005-0000-0000-00007EBF0000}"/>
    <cellStyle name="Normal 26 3 2 2 4 11" xfId="31916" xr:uid="{00000000-0005-0000-0000-00007FBF0000}"/>
    <cellStyle name="Normal 26 3 2 2 4 12" xfId="33599" xr:uid="{00000000-0005-0000-0000-000080BF0000}"/>
    <cellStyle name="Normal 26 3 2 2 4 13" xfId="35282" xr:uid="{00000000-0005-0000-0000-000081BF0000}"/>
    <cellStyle name="Normal 26 3 2 2 4 14" xfId="36965" xr:uid="{00000000-0005-0000-0000-000082BF0000}"/>
    <cellStyle name="Normal 26 3 2 2 4 15" xfId="38648" xr:uid="{00000000-0005-0000-0000-000083BF0000}"/>
    <cellStyle name="Normal 26 3 2 2 4 16" xfId="40331" xr:uid="{00000000-0005-0000-0000-000084BF0000}"/>
    <cellStyle name="Normal 26 3 2 2 4 17" xfId="42014" xr:uid="{00000000-0005-0000-0000-000085BF0000}"/>
    <cellStyle name="Normal 26 3 2 2 4 18" xfId="43697" xr:uid="{00000000-0005-0000-0000-000086BF0000}"/>
    <cellStyle name="Normal 26 3 2 2 4 19" xfId="45380" xr:uid="{00000000-0005-0000-0000-000087BF0000}"/>
    <cellStyle name="Normal 26 3 2 2 4 2" xfId="3301" xr:uid="{00000000-0005-0000-0000-000088BF0000}"/>
    <cellStyle name="Normal 26 3 2 2 4 2 2" xfId="18450" xr:uid="{00000000-0005-0000-0000-000089BF0000}"/>
    <cellStyle name="Normal 26 3 2 2 4 20" xfId="47063" xr:uid="{00000000-0005-0000-0000-00008ABF0000}"/>
    <cellStyle name="Normal 26 3 2 2 4 21" xfId="48746" xr:uid="{00000000-0005-0000-0000-00008BBF0000}"/>
    <cellStyle name="Normal 26 3 2 2 4 22" xfId="50429" xr:uid="{00000000-0005-0000-0000-00008CBF0000}"/>
    <cellStyle name="Normal 26 3 2 2 4 23" xfId="52112" xr:uid="{00000000-0005-0000-0000-00008DBF0000}"/>
    <cellStyle name="Normal 26 3 2 2 4 24" xfId="53795" xr:uid="{00000000-0005-0000-0000-00008EBF0000}"/>
    <cellStyle name="Normal 26 3 2 2 4 25" xfId="55478" xr:uid="{00000000-0005-0000-0000-00008FBF0000}"/>
    <cellStyle name="Normal 26 3 2 2 4 26" xfId="57161" xr:uid="{00000000-0005-0000-0000-000090BF0000}"/>
    <cellStyle name="Normal 26 3 2 2 4 27" xfId="58844" xr:uid="{00000000-0005-0000-0000-000091BF0000}"/>
    <cellStyle name="Normal 26 3 2 2 4 28" xfId="60527" xr:uid="{00000000-0005-0000-0000-000092BF0000}"/>
    <cellStyle name="Normal 26 3 2 2 4 29" xfId="62210" xr:uid="{00000000-0005-0000-0000-000093BF0000}"/>
    <cellStyle name="Normal 26 3 2 2 4 3" xfId="4985" xr:uid="{00000000-0005-0000-0000-000094BF0000}"/>
    <cellStyle name="Normal 26 3 2 2 4 3 2" xfId="20134" xr:uid="{00000000-0005-0000-0000-000095BF0000}"/>
    <cellStyle name="Normal 26 3 2 2 4 30" xfId="63893" xr:uid="{00000000-0005-0000-0000-000096BF0000}"/>
    <cellStyle name="Normal 26 3 2 2 4 4" xfId="6668" xr:uid="{00000000-0005-0000-0000-000097BF0000}"/>
    <cellStyle name="Normal 26 3 2 2 4 4 2" xfId="21817" xr:uid="{00000000-0005-0000-0000-000098BF0000}"/>
    <cellStyle name="Normal 26 3 2 2 4 5" xfId="8351" xr:uid="{00000000-0005-0000-0000-000099BF0000}"/>
    <cellStyle name="Normal 26 3 2 2 4 5 2" xfId="23500" xr:uid="{00000000-0005-0000-0000-00009ABF0000}"/>
    <cellStyle name="Normal 26 3 2 2 4 6" xfId="10034" xr:uid="{00000000-0005-0000-0000-00009BBF0000}"/>
    <cellStyle name="Normal 26 3 2 2 4 6 2" xfId="25183" xr:uid="{00000000-0005-0000-0000-00009CBF0000}"/>
    <cellStyle name="Normal 26 3 2 2 4 7" xfId="11717" xr:uid="{00000000-0005-0000-0000-00009DBF0000}"/>
    <cellStyle name="Normal 26 3 2 2 4 7 2" xfId="26866" xr:uid="{00000000-0005-0000-0000-00009EBF0000}"/>
    <cellStyle name="Normal 26 3 2 2 4 8" xfId="13401" xr:uid="{00000000-0005-0000-0000-00009FBF0000}"/>
    <cellStyle name="Normal 26 3 2 2 4 8 2" xfId="28550" xr:uid="{00000000-0005-0000-0000-0000A0BF0000}"/>
    <cellStyle name="Normal 26 3 2 2 4 9" xfId="15084" xr:uid="{00000000-0005-0000-0000-0000A1BF0000}"/>
    <cellStyle name="Normal 26 3 2 2 4 9 2" xfId="30233" xr:uid="{00000000-0005-0000-0000-0000A2BF0000}"/>
    <cellStyle name="Normal 26 3 2 2 5" xfId="2039" xr:uid="{00000000-0005-0000-0000-0000A3BF0000}"/>
    <cellStyle name="Normal 26 3 2 2 5 2" xfId="17188" xr:uid="{00000000-0005-0000-0000-0000A4BF0000}"/>
    <cellStyle name="Normal 26 3 2 2 6" xfId="3723" xr:uid="{00000000-0005-0000-0000-0000A5BF0000}"/>
    <cellStyle name="Normal 26 3 2 2 6 2" xfId="18872" xr:uid="{00000000-0005-0000-0000-0000A6BF0000}"/>
    <cellStyle name="Normal 26 3 2 2 7" xfId="5406" xr:uid="{00000000-0005-0000-0000-0000A7BF0000}"/>
    <cellStyle name="Normal 26 3 2 2 7 2" xfId="20555" xr:uid="{00000000-0005-0000-0000-0000A8BF0000}"/>
    <cellStyle name="Normal 26 3 2 2 8" xfId="7089" xr:uid="{00000000-0005-0000-0000-0000A9BF0000}"/>
    <cellStyle name="Normal 26 3 2 2 8 2" xfId="22238" xr:uid="{00000000-0005-0000-0000-0000AABF0000}"/>
    <cellStyle name="Normal 26 3 2 2 9" xfId="8772" xr:uid="{00000000-0005-0000-0000-0000ABBF0000}"/>
    <cellStyle name="Normal 26 3 2 2 9 2" xfId="23921" xr:uid="{00000000-0005-0000-0000-0000ACBF0000}"/>
    <cellStyle name="Normal 26 3 2 20" xfId="38859" xr:uid="{00000000-0005-0000-0000-0000ADBF0000}"/>
    <cellStyle name="Normal 26 3 2 21" xfId="40542" xr:uid="{00000000-0005-0000-0000-0000AEBF0000}"/>
    <cellStyle name="Normal 26 3 2 22" xfId="42225" xr:uid="{00000000-0005-0000-0000-0000AFBF0000}"/>
    <cellStyle name="Normal 26 3 2 23" xfId="43908" xr:uid="{00000000-0005-0000-0000-0000B0BF0000}"/>
    <cellStyle name="Normal 26 3 2 24" xfId="45591" xr:uid="{00000000-0005-0000-0000-0000B1BF0000}"/>
    <cellStyle name="Normal 26 3 2 25" xfId="47274" xr:uid="{00000000-0005-0000-0000-0000B2BF0000}"/>
    <cellStyle name="Normal 26 3 2 26" xfId="48957" xr:uid="{00000000-0005-0000-0000-0000B3BF0000}"/>
    <cellStyle name="Normal 26 3 2 27" xfId="50640" xr:uid="{00000000-0005-0000-0000-0000B4BF0000}"/>
    <cellStyle name="Normal 26 3 2 28" xfId="52323" xr:uid="{00000000-0005-0000-0000-0000B5BF0000}"/>
    <cellStyle name="Normal 26 3 2 29" xfId="54006" xr:uid="{00000000-0005-0000-0000-0000B6BF0000}"/>
    <cellStyle name="Normal 26 3 2 3" xfId="566" xr:uid="{00000000-0005-0000-0000-0000B7BF0000}"/>
    <cellStyle name="Normal 26 3 2 3 10" xfId="15715" xr:uid="{00000000-0005-0000-0000-0000B8BF0000}"/>
    <cellStyle name="Normal 26 3 2 3 11" xfId="30864" xr:uid="{00000000-0005-0000-0000-0000B9BF0000}"/>
    <cellStyle name="Normal 26 3 2 3 12" xfId="32547" xr:uid="{00000000-0005-0000-0000-0000BABF0000}"/>
    <cellStyle name="Normal 26 3 2 3 13" xfId="34230" xr:uid="{00000000-0005-0000-0000-0000BBBF0000}"/>
    <cellStyle name="Normal 26 3 2 3 14" xfId="35913" xr:uid="{00000000-0005-0000-0000-0000BCBF0000}"/>
    <cellStyle name="Normal 26 3 2 3 15" xfId="37596" xr:uid="{00000000-0005-0000-0000-0000BDBF0000}"/>
    <cellStyle name="Normal 26 3 2 3 16" xfId="39279" xr:uid="{00000000-0005-0000-0000-0000BEBF0000}"/>
    <cellStyle name="Normal 26 3 2 3 17" xfId="40962" xr:uid="{00000000-0005-0000-0000-0000BFBF0000}"/>
    <cellStyle name="Normal 26 3 2 3 18" xfId="42645" xr:uid="{00000000-0005-0000-0000-0000C0BF0000}"/>
    <cellStyle name="Normal 26 3 2 3 19" xfId="44328" xr:uid="{00000000-0005-0000-0000-0000C1BF0000}"/>
    <cellStyle name="Normal 26 3 2 3 2" xfId="2249" xr:uid="{00000000-0005-0000-0000-0000C2BF0000}"/>
    <cellStyle name="Normal 26 3 2 3 2 2" xfId="17398" xr:uid="{00000000-0005-0000-0000-0000C3BF0000}"/>
    <cellStyle name="Normal 26 3 2 3 20" xfId="46011" xr:uid="{00000000-0005-0000-0000-0000C4BF0000}"/>
    <cellStyle name="Normal 26 3 2 3 21" xfId="47694" xr:uid="{00000000-0005-0000-0000-0000C5BF0000}"/>
    <cellStyle name="Normal 26 3 2 3 22" xfId="49377" xr:uid="{00000000-0005-0000-0000-0000C6BF0000}"/>
    <cellStyle name="Normal 26 3 2 3 23" xfId="51060" xr:uid="{00000000-0005-0000-0000-0000C7BF0000}"/>
    <cellStyle name="Normal 26 3 2 3 24" xfId="52743" xr:uid="{00000000-0005-0000-0000-0000C8BF0000}"/>
    <cellStyle name="Normal 26 3 2 3 25" xfId="54426" xr:uid="{00000000-0005-0000-0000-0000C9BF0000}"/>
    <cellStyle name="Normal 26 3 2 3 26" xfId="56109" xr:uid="{00000000-0005-0000-0000-0000CABF0000}"/>
    <cellStyle name="Normal 26 3 2 3 27" xfId="57792" xr:uid="{00000000-0005-0000-0000-0000CBBF0000}"/>
    <cellStyle name="Normal 26 3 2 3 28" xfId="59475" xr:uid="{00000000-0005-0000-0000-0000CCBF0000}"/>
    <cellStyle name="Normal 26 3 2 3 29" xfId="61158" xr:uid="{00000000-0005-0000-0000-0000CDBF0000}"/>
    <cellStyle name="Normal 26 3 2 3 3" xfId="3933" xr:uid="{00000000-0005-0000-0000-0000CEBF0000}"/>
    <cellStyle name="Normal 26 3 2 3 3 2" xfId="19082" xr:uid="{00000000-0005-0000-0000-0000CFBF0000}"/>
    <cellStyle name="Normal 26 3 2 3 30" xfId="62841" xr:uid="{00000000-0005-0000-0000-0000D0BF0000}"/>
    <cellStyle name="Normal 26 3 2 3 4" xfId="5616" xr:uid="{00000000-0005-0000-0000-0000D1BF0000}"/>
    <cellStyle name="Normal 26 3 2 3 4 2" xfId="20765" xr:uid="{00000000-0005-0000-0000-0000D2BF0000}"/>
    <cellStyle name="Normal 26 3 2 3 5" xfId="7299" xr:uid="{00000000-0005-0000-0000-0000D3BF0000}"/>
    <cellStyle name="Normal 26 3 2 3 5 2" xfId="22448" xr:uid="{00000000-0005-0000-0000-0000D4BF0000}"/>
    <cellStyle name="Normal 26 3 2 3 6" xfId="8982" xr:uid="{00000000-0005-0000-0000-0000D5BF0000}"/>
    <cellStyle name="Normal 26 3 2 3 6 2" xfId="24131" xr:uid="{00000000-0005-0000-0000-0000D6BF0000}"/>
    <cellStyle name="Normal 26 3 2 3 7" xfId="10665" xr:uid="{00000000-0005-0000-0000-0000D7BF0000}"/>
    <cellStyle name="Normal 26 3 2 3 7 2" xfId="25814" xr:uid="{00000000-0005-0000-0000-0000D8BF0000}"/>
    <cellStyle name="Normal 26 3 2 3 8" xfId="12349" xr:uid="{00000000-0005-0000-0000-0000D9BF0000}"/>
    <cellStyle name="Normal 26 3 2 3 8 2" xfId="27498" xr:uid="{00000000-0005-0000-0000-0000DABF0000}"/>
    <cellStyle name="Normal 26 3 2 3 9" xfId="14032" xr:uid="{00000000-0005-0000-0000-0000DBBF0000}"/>
    <cellStyle name="Normal 26 3 2 3 9 2" xfId="29181" xr:uid="{00000000-0005-0000-0000-0000DCBF0000}"/>
    <cellStyle name="Normal 26 3 2 30" xfId="55689" xr:uid="{00000000-0005-0000-0000-0000DDBF0000}"/>
    <cellStyle name="Normal 26 3 2 31" xfId="57372" xr:uid="{00000000-0005-0000-0000-0000DEBF0000}"/>
    <cellStyle name="Normal 26 3 2 32" xfId="59055" xr:uid="{00000000-0005-0000-0000-0000DFBF0000}"/>
    <cellStyle name="Normal 26 3 2 33" xfId="60738" xr:uid="{00000000-0005-0000-0000-0000E0BF0000}"/>
    <cellStyle name="Normal 26 3 2 34" xfId="62421" xr:uid="{00000000-0005-0000-0000-0000E1BF0000}"/>
    <cellStyle name="Normal 26 3 2 4" xfId="987" xr:uid="{00000000-0005-0000-0000-0000E2BF0000}"/>
    <cellStyle name="Normal 26 3 2 4 10" xfId="16136" xr:uid="{00000000-0005-0000-0000-0000E3BF0000}"/>
    <cellStyle name="Normal 26 3 2 4 11" xfId="31285" xr:uid="{00000000-0005-0000-0000-0000E4BF0000}"/>
    <cellStyle name="Normal 26 3 2 4 12" xfId="32968" xr:uid="{00000000-0005-0000-0000-0000E5BF0000}"/>
    <cellStyle name="Normal 26 3 2 4 13" xfId="34651" xr:uid="{00000000-0005-0000-0000-0000E6BF0000}"/>
    <cellStyle name="Normal 26 3 2 4 14" xfId="36334" xr:uid="{00000000-0005-0000-0000-0000E7BF0000}"/>
    <cellStyle name="Normal 26 3 2 4 15" xfId="38017" xr:uid="{00000000-0005-0000-0000-0000E8BF0000}"/>
    <cellStyle name="Normal 26 3 2 4 16" xfId="39700" xr:uid="{00000000-0005-0000-0000-0000E9BF0000}"/>
    <cellStyle name="Normal 26 3 2 4 17" xfId="41383" xr:uid="{00000000-0005-0000-0000-0000EABF0000}"/>
    <cellStyle name="Normal 26 3 2 4 18" xfId="43066" xr:uid="{00000000-0005-0000-0000-0000EBBF0000}"/>
    <cellStyle name="Normal 26 3 2 4 19" xfId="44749" xr:uid="{00000000-0005-0000-0000-0000ECBF0000}"/>
    <cellStyle name="Normal 26 3 2 4 2" xfId="2670" xr:uid="{00000000-0005-0000-0000-0000EDBF0000}"/>
    <cellStyle name="Normal 26 3 2 4 2 2" xfId="17819" xr:uid="{00000000-0005-0000-0000-0000EEBF0000}"/>
    <cellStyle name="Normal 26 3 2 4 20" xfId="46432" xr:uid="{00000000-0005-0000-0000-0000EFBF0000}"/>
    <cellStyle name="Normal 26 3 2 4 21" xfId="48115" xr:uid="{00000000-0005-0000-0000-0000F0BF0000}"/>
    <cellStyle name="Normal 26 3 2 4 22" xfId="49798" xr:uid="{00000000-0005-0000-0000-0000F1BF0000}"/>
    <cellStyle name="Normal 26 3 2 4 23" xfId="51481" xr:uid="{00000000-0005-0000-0000-0000F2BF0000}"/>
    <cellStyle name="Normal 26 3 2 4 24" xfId="53164" xr:uid="{00000000-0005-0000-0000-0000F3BF0000}"/>
    <cellStyle name="Normal 26 3 2 4 25" xfId="54847" xr:uid="{00000000-0005-0000-0000-0000F4BF0000}"/>
    <cellStyle name="Normal 26 3 2 4 26" xfId="56530" xr:uid="{00000000-0005-0000-0000-0000F5BF0000}"/>
    <cellStyle name="Normal 26 3 2 4 27" xfId="58213" xr:uid="{00000000-0005-0000-0000-0000F6BF0000}"/>
    <cellStyle name="Normal 26 3 2 4 28" xfId="59896" xr:uid="{00000000-0005-0000-0000-0000F7BF0000}"/>
    <cellStyle name="Normal 26 3 2 4 29" xfId="61579" xr:uid="{00000000-0005-0000-0000-0000F8BF0000}"/>
    <cellStyle name="Normal 26 3 2 4 3" xfId="4354" xr:uid="{00000000-0005-0000-0000-0000F9BF0000}"/>
    <cellStyle name="Normal 26 3 2 4 3 2" xfId="19503" xr:uid="{00000000-0005-0000-0000-0000FABF0000}"/>
    <cellStyle name="Normal 26 3 2 4 30" xfId="63262" xr:uid="{00000000-0005-0000-0000-0000FBBF0000}"/>
    <cellStyle name="Normal 26 3 2 4 4" xfId="6037" xr:uid="{00000000-0005-0000-0000-0000FCBF0000}"/>
    <cellStyle name="Normal 26 3 2 4 4 2" xfId="21186" xr:uid="{00000000-0005-0000-0000-0000FDBF0000}"/>
    <cellStyle name="Normal 26 3 2 4 5" xfId="7720" xr:uid="{00000000-0005-0000-0000-0000FEBF0000}"/>
    <cellStyle name="Normal 26 3 2 4 5 2" xfId="22869" xr:uid="{00000000-0005-0000-0000-0000FFBF0000}"/>
    <cellStyle name="Normal 26 3 2 4 6" xfId="9403" xr:uid="{00000000-0005-0000-0000-000000C00000}"/>
    <cellStyle name="Normal 26 3 2 4 6 2" xfId="24552" xr:uid="{00000000-0005-0000-0000-000001C00000}"/>
    <cellStyle name="Normal 26 3 2 4 7" xfId="11086" xr:uid="{00000000-0005-0000-0000-000002C00000}"/>
    <cellStyle name="Normal 26 3 2 4 7 2" xfId="26235" xr:uid="{00000000-0005-0000-0000-000003C00000}"/>
    <cellStyle name="Normal 26 3 2 4 8" xfId="12770" xr:uid="{00000000-0005-0000-0000-000004C00000}"/>
    <cellStyle name="Normal 26 3 2 4 8 2" xfId="27919" xr:uid="{00000000-0005-0000-0000-000005C00000}"/>
    <cellStyle name="Normal 26 3 2 4 9" xfId="14453" xr:uid="{00000000-0005-0000-0000-000006C00000}"/>
    <cellStyle name="Normal 26 3 2 4 9 2" xfId="29602" xr:uid="{00000000-0005-0000-0000-000007C00000}"/>
    <cellStyle name="Normal 26 3 2 5" xfId="1408" xr:uid="{00000000-0005-0000-0000-000008C00000}"/>
    <cellStyle name="Normal 26 3 2 5 10" xfId="16557" xr:uid="{00000000-0005-0000-0000-000009C00000}"/>
    <cellStyle name="Normal 26 3 2 5 11" xfId="31706" xr:uid="{00000000-0005-0000-0000-00000AC00000}"/>
    <cellStyle name="Normal 26 3 2 5 12" xfId="33389" xr:uid="{00000000-0005-0000-0000-00000BC00000}"/>
    <cellStyle name="Normal 26 3 2 5 13" xfId="35072" xr:uid="{00000000-0005-0000-0000-00000CC00000}"/>
    <cellStyle name="Normal 26 3 2 5 14" xfId="36755" xr:uid="{00000000-0005-0000-0000-00000DC00000}"/>
    <cellStyle name="Normal 26 3 2 5 15" xfId="38438" xr:uid="{00000000-0005-0000-0000-00000EC00000}"/>
    <cellStyle name="Normal 26 3 2 5 16" xfId="40121" xr:uid="{00000000-0005-0000-0000-00000FC00000}"/>
    <cellStyle name="Normal 26 3 2 5 17" xfId="41804" xr:uid="{00000000-0005-0000-0000-000010C00000}"/>
    <cellStyle name="Normal 26 3 2 5 18" xfId="43487" xr:uid="{00000000-0005-0000-0000-000011C00000}"/>
    <cellStyle name="Normal 26 3 2 5 19" xfId="45170" xr:uid="{00000000-0005-0000-0000-000012C00000}"/>
    <cellStyle name="Normal 26 3 2 5 2" xfId="3091" xr:uid="{00000000-0005-0000-0000-000013C00000}"/>
    <cellStyle name="Normal 26 3 2 5 2 2" xfId="18240" xr:uid="{00000000-0005-0000-0000-000014C00000}"/>
    <cellStyle name="Normal 26 3 2 5 20" xfId="46853" xr:uid="{00000000-0005-0000-0000-000015C00000}"/>
    <cellStyle name="Normal 26 3 2 5 21" xfId="48536" xr:uid="{00000000-0005-0000-0000-000016C00000}"/>
    <cellStyle name="Normal 26 3 2 5 22" xfId="50219" xr:uid="{00000000-0005-0000-0000-000017C00000}"/>
    <cellStyle name="Normal 26 3 2 5 23" xfId="51902" xr:uid="{00000000-0005-0000-0000-000018C00000}"/>
    <cellStyle name="Normal 26 3 2 5 24" xfId="53585" xr:uid="{00000000-0005-0000-0000-000019C00000}"/>
    <cellStyle name="Normal 26 3 2 5 25" xfId="55268" xr:uid="{00000000-0005-0000-0000-00001AC00000}"/>
    <cellStyle name="Normal 26 3 2 5 26" xfId="56951" xr:uid="{00000000-0005-0000-0000-00001BC00000}"/>
    <cellStyle name="Normal 26 3 2 5 27" xfId="58634" xr:uid="{00000000-0005-0000-0000-00001CC00000}"/>
    <cellStyle name="Normal 26 3 2 5 28" xfId="60317" xr:uid="{00000000-0005-0000-0000-00001DC00000}"/>
    <cellStyle name="Normal 26 3 2 5 29" xfId="62000" xr:uid="{00000000-0005-0000-0000-00001EC00000}"/>
    <cellStyle name="Normal 26 3 2 5 3" xfId="4775" xr:uid="{00000000-0005-0000-0000-00001FC00000}"/>
    <cellStyle name="Normal 26 3 2 5 3 2" xfId="19924" xr:uid="{00000000-0005-0000-0000-000020C00000}"/>
    <cellStyle name="Normal 26 3 2 5 30" xfId="63683" xr:uid="{00000000-0005-0000-0000-000021C00000}"/>
    <cellStyle name="Normal 26 3 2 5 4" xfId="6458" xr:uid="{00000000-0005-0000-0000-000022C00000}"/>
    <cellStyle name="Normal 26 3 2 5 4 2" xfId="21607" xr:uid="{00000000-0005-0000-0000-000023C00000}"/>
    <cellStyle name="Normal 26 3 2 5 5" xfId="8141" xr:uid="{00000000-0005-0000-0000-000024C00000}"/>
    <cellStyle name="Normal 26 3 2 5 5 2" xfId="23290" xr:uid="{00000000-0005-0000-0000-000025C00000}"/>
    <cellStyle name="Normal 26 3 2 5 6" xfId="9824" xr:uid="{00000000-0005-0000-0000-000026C00000}"/>
    <cellStyle name="Normal 26 3 2 5 6 2" xfId="24973" xr:uid="{00000000-0005-0000-0000-000027C00000}"/>
    <cellStyle name="Normal 26 3 2 5 7" xfId="11507" xr:uid="{00000000-0005-0000-0000-000028C00000}"/>
    <cellStyle name="Normal 26 3 2 5 7 2" xfId="26656" xr:uid="{00000000-0005-0000-0000-000029C00000}"/>
    <cellStyle name="Normal 26 3 2 5 8" xfId="13191" xr:uid="{00000000-0005-0000-0000-00002AC00000}"/>
    <cellStyle name="Normal 26 3 2 5 8 2" xfId="28340" xr:uid="{00000000-0005-0000-0000-00002BC00000}"/>
    <cellStyle name="Normal 26 3 2 5 9" xfId="14874" xr:uid="{00000000-0005-0000-0000-00002CC00000}"/>
    <cellStyle name="Normal 26 3 2 5 9 2" xfId="30023" xr:uid="{00000000-0005-0000-0000-00002DC00000}"/>
    <cellStyle name="Normal 26 3 2 6" xfId="1829" xr:uid="{00000000-0005-0000-0000-00002EC00000}"/>
    <cellStyle name="Normal 26 3 2 6 2" xfId="16978" xr:uid="{00000000-0005-0000-0000-00002FC00000}"/>
    <cellStyle name="Normal 26 3 2 7" xfId="3513" xr:uid="{00000000-0005-0000-0000-000030C00000}"/>
    <cellStyle name="Normal 26 3 2 7 2" xfId="18662" xr:uid="{00000000-0005-0000-0000-000031C00000}"/>
    <cellStyle name="Normal 26 3 2 8" xfId="5196" xr:uid="{00000000-0005-0000-0000-000032C00000}"/>
    <cellStyle name="Normal 26 3 2 8 2" xfId="20345" xr:uid="{00000000-0005-0000-0000-000033C00000}"/>
    <cellStyle name="Normal 26 3 2 9" xfId="6879" xr:uid="{00000000-0005-0000-0000-000034C00000}"/>
    <cellStyle name="Normal 26 3 2 9 2" xfId="22028" xr:uid="{00000000-0005-0000-0000-000035C00000}"/>
    <cellStyle name="Normal 26 3 20" xfId="37071" xr:uid="{00000000-0005-0000-0000-000036C00000}"/>
    <cellStyle name="Normal 26 3 21" xfId="38754" xr:uid="{00000000-0005-0000-0000-000037C00000}"/>
    <cellStyle name="Normal 26 3 22" xfId="40437" xr:uid="{00000000-0005-0000-0000-000038C00000}"/>
    <cellStyle name="Normal 26 3 23" xfId="42120" xr:uid="{00000000-0005-0000-0000-000039C00000}"/>
    <cellStyle name="Normal 26 3 24" xfId="43803" xr:uid="{00000000-0005-0000-0000-00003AC00000}"/>
    <cellStyle name="Normal 26 3 25" xfId="45486" xr:uid="{00000000-0005-0000-0000-00003BC00000}"/>
    <cellStyle name="Normal 26 3 26" xfId="47169" xr:uid="{00000000-0005-0000-0000-00003CC00000}"/>
    <cellStyle name="Normal 26 3 27" xfId="48852" xr:uid="{00000000-0005-0000-0000-00003DC00000}"/>
    <cellStyle name="Normal 26 3 28" xfId="50535" xr:uid="{00000000-0005-0000-0000-00003EC00000}"/>
    <cellStyle name="Normal 26 3 29" xfId="52218" xr:uid="{00000000-0005-0000-0000-00003FC00000}"/>
    <cellStyle name="Normal 26 3 3" xfId="251" xr:uid="{00000000-0005-0000-0000-000040C00000}"/>
    <cellStyle name="Normal 26 3 3 10" xfId="10350" xr:uid="{00000000-0005-0000-0000-000041C00000}"/>
    <cellStyle name="Normal 26 3 3 10 2" xfId="25499" xr:uid="{00000000-0005-0000-0000-000042C00000}"/>
    <cellStyle name="Normal 26 3 3 11" xfId="12034" xr:uid="{00000000-0005-0000-0000-000043C00000}"/>
    <cellStyle name="Normal 26 3 3 11 2" xfId="27183" xr:uid="{00000000-0005-0000-0000-000044C00000}"/>
    <cellStyle name="Normal 26 3 3 12" xfId="13717" xr:uid="{00000000-0005-0000-0000-000045C00000}"/>
    <cellStyle name="Normal 26 3 3 12 2" xfId="28866" xr:uid="{00000000-0005-0000-0000-000046C00000}"/>
    <cellStyle name="Normal 26 3 3 13" xfId="15400" xr:uid="{00000000-0005-0000-0000-000047C00000}"/>
    <cellStyle name="Normal 26 3 3 14" xfId="30549" xr:uid="{00000000-0005-0000-0000-000048C00000}"/>
    <cellStyle name="Normal 26 3 3 15" xfId="32232" xr:uid="{00000000-0005-0000-0000-000049C00000}"/>
    <cellStyle name="Normal 26 3 3 16" xfId="33915" xr:uid="{00000000-0005-0000-0000-00004AC00000}"/>
    <cellStyle name="Normal 26 3 3 17" xfId="35598" xr:uid="{00000000-0005-0000-0000-00004BC00000}"/>
    <cellStyle name="Normal 26 3 3 18" xfId="37281" xr:uid="{00000000-0005-0000-0000-00004CC00000}"/>
    <cellStyle name="Normal 26 3 3 19" xfId="38964" xr:uid="{00000000-0005-0000-0000-00004DC00000}"/>
    <cellStyle name="Normal 26 3 3 2" xfId="671" xr:uid="{00000000-0005-0000-0000-00004EC00000}"/>
    <cellStyle name="Normal 26 3 3 2 10" xfId="15820" xr:uid="{00000000-0005-0000-0000-00004FC00000}"/>
    <cellStyle name="Normal 26 3 3 2 11" xfId="30969" xr:uid="{00000000-0005-0000-0000-000050C00000}"/>
    <cellStyle name="Normal 26 3 3 2 12" xfId="32652" xr:uid="{00000000-0005-0000-0000-000051C00000}"/>
    <cellStyle name="Normal 26 3 3 2 13" xfId="34335" xr:uid="{00000000-0005-0000-0000-000052C00000}"/>
    <cellStyle name="Normal 26 3 3 2 14" xfId="36018" xr:uid="{00000000-0005-0000-0000-000053C00000}"/>
    <cellStyle name="Normal 26 3 3 2 15" xfId="37701" xr:uid="{00000000-0005-0000-0000-000054C00000}"/>
    <cellStyle name="Normal 26 3 3 2 16" xfId="39384" xr:uid="{00000000-0005-0000-0000-000055C00000}"/>
    <cellStyle name="Normal 26 3 3 2 17" xfId="41067" xr:uid="{00000000-0005-0000-0000-000056C00000}"/>
    <cellStyle name="Normal 26 3 3 2 18" xfId="42750" xr:uid="{00000000-0005-0000-0000-000057C00000}"/>
    <cellStyle name="Normal 26 3 3 2 19" xfId="44433" xr:uid="{00000000-0005-0000-0000-000058C00000}"/>
    <cellStyle name="Normal 26 3 3 2 2" xfId="2354" xr:uid="{00000000-0005-0000-0000-000059C00000}"/>
    <cellStyle name="Normal 26 3 3 2 2 2" xfId="17503" xr:uid="{00000000-0005-0000-0000-00005AC00000}"/>
    <cellStyle name="Normal 26 3 3 2 20" xfId="46116" xr:uid="{00000000-0005-0000-0000-00005BC00000}"/>
    <cellStyle name="Normal 26 3 3 2 21" xfId="47799" xr:uid="{00000000-0005-0000-0000-00005CC00000}"/>
    <cellStyle name="Normal 26 3 3 2 22" xfId="49482" xr:uid="{00000000-0005-0000-0000-00005DC00000}"/>
    <cellStyle name="Normal 26 3 3 2 23" xfId="51165" xr:uid="{00000000-0005-0000-0000-00005EC00000}"/>
    <cellStyle name="Normal 26 3 3 2 24" xfId="52848" xr:uid="{00000000-0005-0000-0000-00005FC00000}"/>
    <cellStyle name="Normal 26 3 3 2 25" xfId="54531" xr:uid="{00000000-0005-0000-0000-000060C00000}"/>
    <cellStyle name="Normal 26 3 3 2 26" xfId="56214" xr:uid="{00000000-0005-0000-0000-000061C00000}"/>
    <cellStyle name="Normal 26 3 3 2 27" xfId="57897" xr:uid="{00000000-0005-0000-0000-000062C00000}"/>
    <cellStyle name="Normal 26 3 3 2 28" xfId="59580" xr:uid="{00000000-0005-0000-0000-000063C00000}"/>
    <cellStyle name="Normal 26 3 3 2 29" xfId="61263" xr:uid="{00000000-0005-0000-0000-000064C00000}"/>
    <cellStyle name="Normal 26 3 3 2 3" xfId="4038" xr:uid="{00000000-0005-0000-0000-000065C00000}"/>
    <cellStyle name="Normal 26 3 3 2 3 2" xfId="19187" xr:uid="{00000000-0005-0000-0000-000066C00000}"/>
    <cellStyle name="Normal 26 3 3 2 30" xfId="62946" xr:uid="{00000000-0005-0000-0000-000067C00000}"/>
    <cellStyle name="Normal 26 3 3 2 4" xfId="5721" xr:uid="{00000000-0005-0000-0000-000068C00000}"/>
    <cellStyle name="Normal 26 3 3 2 4 2" xfId="20870" xr:uid="{00000000-0005-0000-0000-000069C00000}"/>
    <cellStyle name="Normal 26 3 3 2 5" xfId="7404" xr:uid="{00000000-0005-0000-0000-00006AC00000}"/>
    <cellStyle name="Normal 26 3 3 2 5 2" xfId="22553" xr:uid="{00000000-0005-0000-0000-00006BC00000}"/>
    <cellStyle name="Normal 26 3 3 2 6" xfId="9087" xr:uid="{00000000-0005-0000-0000-00006CC00000}"/>
    <cellStyle name="Normal 26 3 3 2 6 2" xfId="24236" xr:uid="{00000000-0005-0000-0000-00006DC00000}"/>
    <cellStyle name="Normal 26 3 3 2 7" xfId="10770" xr:uid="{00000000-0005-0000-0000-00006EC00000}"/>
    <cellStyle name="Normal 26 3 3 2 7 2" xfId="25919" xr:uid="{00000000-0005-0000-0000-00006FC00000}"/>
    <cellStyle name="Normal 26 3 3 2 8" xfId="12454" xr:uid="{00000000-0005-0000-0000-000070C00000}"/>
    <cellStyle name="Normal 26 3 3 2 8 2" xfId="27603" xr:uid="{00000000-0005-0000-0000-000071C00000}"/>
    <cellStyle name="Normal 26 3 3 2 9" xfId="14137" xr:uid="{00000000-0005-0000-0000-000072C00000}"/>
    <cellStyle name="Normal 26 3 3 2 9 2" xfId="29286" xr:uid="{00000000-0005-0000-0000-000073C00000}"/>
    <cellStyle name="Normal 26 3 3 20" xfId="40647" xr:uid="{00000000-0005-0000-0000-000074C00000}"/>
    <cellStyle name="Normal 26 3 3 21" xfId="42330" xr:uid="{00000000-0005-0000-0000-000075C00000}"/>
    <cellStyle name="Normal 26 3 3 22" xfId="44013" xr:uid="{00000000-0005-0000-0000-000076C00000}"/>
    <cellStyle name="Normal 26 3 3 23" xfId="45696" xr:uid="{00000000-0005-0000-0000-000077C00000}"/>
    <cellStyle name="Normal 26 3 3 24" xfId="47379" xr:uid="{00000000-0005-0000-0000-000078C00000}"/>
    <cellStyle name="Normal 26 3 3 25" xfId="49062" xr:uid="{00000000-0005-0000-0000-000079C00000}"/>
    <cellStyle name="Normal 26 3 3 26" xfId="50745" xr:uid="{00000000-0005-0000-0000-00007AC00000}"/>
    <cellStyle name="Normal 26 3 3 27" xfId="52428" xr:uid="{00000000-0005-0000-0000-00007BC00000}"/>
    <cellStyle name="Normal 26 3 3 28" xfId="54111" xr:uid="{00000000-0005-0000-0000-00007CC00000}"/>
    <cellStyle name="Normal 26 3 3 29" xfId="55794" xr:uid="{00000000-0005-0000-0000-00007DC00000}"/>
    <cellStyle name="Normal 26 3 3 3" xfId="1092" xr:uid="{00000000-0005-0000-0000-00007EC00000}"/>
    <cellStyle name="Normal 26 3 3 3 10" xfId="16241" xr:uid="{00000000-0005-0000-0000-00007FC00000}"/>
    <cellStyle name="Normal 26 3 3 3 11" xfId="31390" xr:uid="{00000000-0005-0000-0000-000080C00000}"/>
    <cellStyle name="Normal 26 3 3 3 12" xfId="33073" xr:uid="{00000000-0005-0000-0000-000081C00000}"/>
    <cellStyle name="Normal 26 3 3 3 13" xfId="34756" xr:uid="{00000000-0005-0000-0000-000082C00000}"/>
    <cellStyle name="Normal 26 3 3 3 14" xfId="36439" xr:uid="{00000000-0005-0000-0000-000083C00000}"/>
    <cellStyle name="Normal 26 3 3 3 15" xfId="38122" xr:uid="{00000000-0005-0000-0000-000084C00000}"/>
    <cellStyle name="Normal 26 3 3 3 16" xfId="39805" xr:uid="{00000000-0005-0000-0000-000085C00000}"/>
    <cellStyle name="Normal 26 3 3 3 17" xfId="41488" xr:uid="{00000000-0005-0000-0000-000086C00000}"/>
    <cellStyle name="Normal 26 3 3 3 18" xfId="43171" xr:uid="{00000000-0005-0000-0000-000087C00000}"/>
    <cellStyle name="Normal 26 3 3 3 19" xfId="44854" xr:uid="{00000000-0005-0000-0000-000088C00000}"/>
    <cellStyle name="Normal 26 3 3 3 2" xfId="2775" xr:uid="{00000000-0005-0000-0000-000089C00000}"/>
    <cellStyle name="Normal 26 3 3 3 2 2" xfId="17924" xr:uid="{00000000-0005-0000-0000-00008AC00000}"/>
    <cellStyle name="Normal 26 3 3 3 20" xfId="46537" xr:uid="{00000000-0005-0000-0000-00008BC00000}"/>
    <cellStyle name="Normal 26 3 3 3 21" xfId="48220" xr:uid="{00000000-0005-0000-0000-00008CC00000}"/>
    <cellStyle name="Normal 26 3 3 3 22" xfId="49903" xr:uid="{00000000-0005-0000-0000-00008DC00000}"/>
    <cellStyle name="Normal 26 3 3 3 23" xfId="51586" xr:uid="{00000000-0005-0000-0000-00008EC00000}"/>
    <cellStyle name="Normal 26 3 3 3 24" xfId="53269" xr:uid="{00000000-0005-0000-0000-00008FC00000}"/>
    <cellStyle name="Normal 26 3 3 3 25" xfId="54952" xr:uid="{00000000-0005-0000-0000-000090C00000}"/>
    <cellStyle name="Normal 26 3 3 3 26" xfId="56635" xr:uid="{00000000-0005-0000-0000-000091C00000}"/>
    <cellStyle name="Normal 26 3 3 3 27" xfId="58318" xr:uid="{00000000-0005-0000-0000-000092C00000}"/>
    <cellStyle name="Normal 26 3 3 3 28" xfId="60001" xr:uid="{00000000-0005-0000-0000-000093C00000}"/>
    <cellStyle name="Normal 26 3 3 3 29" xfId="61684" xr:uid="{00000000-0005-0000-0000-000094C00000}"/>
    <cellStyle name="Normal 26 3 3 3 3" xfId="4459" xr:uid="{00000000-0005-0000-0000-000095C00000}"/>
    <cellStyle name="Normal 26 3 3 3 3 2" xfId="19608" xr:uid="{00000000-0005-0000-0000-000096C00000}"/>
    <cellStyle name="Normal 26 3 3 3 30" xfId="63367" xr:uid="{00000000-0005-0000-0000-000097C00000}"/>
    <cellStyle name="Normal 26 3 3 3 4" xfId="6142" xr:uid="{00000000-0005-0000-0000-000098C00000}"/>
    <cellStyle name="Normal 26 3 3 3 4 2" xfId="21291" xr:uid="{00000000-0005-0000-0000-000099C00000}"/>
    <cellStyle name="Normal 26 3 3 3 5" xfId="7825" xr:uid="{00000000-0005-0000-0000-00009AC00000}"/>
    <cellStyle name="Normal 26 3 3 3 5 2" xfId="22974" xr:uid="{00000000-0005-0000-0000-00009BC00000}"/>
    <cellStyle name="Normal 26 3 3 3 6" xfId="9508" xr:uid="{00000000-0005-0000-0000-00009CC00000}"/>
    <cellStyle name="Normal 26 3 3 3 6 2" xfId="24657" xr:uid="{00000000-0005-0000-0000-00009DC00000}"/>
    <cellStyle name="Normal 26 3 3 3 7" xfId="11191" xr:uid="{00000000-0005-0000-0000-00009EC00000}"/>
    <cellStyle name="Normal 26 3 3 3 7 2" xfId="26340" xr:uid="{00000000-0005-0000-0000-00009FC00000}"/>
    <cellStyle name="Normal 26 3 3 3 8" xfId="12875" xr:uid="{00000000-0005-0000-0000-0000A0C00000}"/>
    <cellStyle name="Normal 26 3 3 3 8 2" xfId="28024" xr:uid="{00000000-0005-0000-0000-0000A1C00000}"/>
    <cellStyle name="Normal 26 3 3 3 9" xfId="14558" xr:uid="{00000000-0005-0000-0000-0000A2C00000}"/>
    <cellStyle name="Normal 26 3 3 3 9 2" xfId="29707" xr:uid="{00000000-0005-0000-0000-0000A3C00000}"/>
    <cellStyle name="Normal 26 3 3 30" xfId="57477" xr:uid="{00000000-0005-0000-0000-0000A4C00000}"/>
    <cellStyle name="Normal 26 3 3 31" xfId="59160" xr:uid="{00000000-0005-0000-0000-0000A5C00000}"/>
    <cellStyle name="Normal 26 3 3 32" xfId="60843" xr:uid="{00000000-0005-0000-0000-0000A6C00000}"/>
    <cellStyle name="Normal 26 3 3 33" xfId="62526" xr:uid="{00000000-0005-0000-0000-0000A7C00000}"/>
    <cellStyle name="Normal 26 3 3 4" xfId="1513" xr:uid="{00000000-0005-0000-0000-0000A8C00000}"/>
    <cellStyle name="Normal 26 3 3 4 10" xfId="16662" xr:uid="{00000000-0005-0000-0000-0000A9C00000}"/>
    <cellStyle name="Normal 26 3 3 4 11" xfId="31811" xr:uid="{00000000-0005-0000-0000-0000AAC00000}"/>
    <cellStyle name="Normal 26 3 3 4 12" xfId="33494" xr:uid="{00000000-0005-0000-0000-0000ABC00000}"/>
    <cellStyle name="Normal 26 3 3 4 13" xfId="35177" xr:uid="{00000000-0005-0000-0000-0000ACC00000}"/>
    <cellStyle name="Normal 26 3 3 4 14" xfId="36860" xr:uid="{00000000-0005-0000-0000-0000ADC00000}"/>
    <cellStyle name="Normal 26 3 3 4 15" xfId="38543" xr:uid="{00000000-0005-0000-0000-0000AEC00000}"/>
    <cellStyle name="Normal 26 3 3 4 16" xfId="40226" xr:uid="{00000000-0005-0000-0000-0000AFC00000}"/>
    <cellStyle name="Normal 26 3 3 4 17" xfId="41909" xr:uid="{00000000-0005-0000-0000-0000B0C00000}"/>
    <cellStyle name="Normal 26 3 3 4 18" xfId="43592" xr:uid="{00000000-0005-0000-0000-0000B1C00000}"/>
    <cellStyle name="Normal 26 3 3 4 19" xfId="45275" xr:uid="{00000000-0005-0000-0000-0000B2C00000}"/>
    <cellStyle name="Normal 26 3 3 4 2" xfId="3196" xr:uid="{00000000-0005-0000-0000-0000B3C00000}"/>
    <cellStyle name="Normal 26 3 3 4 2 2" xfId="18345" xr:uid="{00000000-0005-0000-0000-0000B4C00000}"/>
    <cellStyle name="Normal 26 3 3 4 20" xfId="46958" xr:uid="{00000000-0005-0000-0000-0000B5C00000}"/>
    <cellStyle name="Normal 26 3 3 4 21" xfId="48641" xr:uid="{00000000-0005-0000-0000-0000B6C00000}"/>
    <cellStyle name="Normal 26 3 3 4 22" xfId="50324" xr:uid="{00000000-0005-0000-0000-0000B7C00000}"/>
    <cellStyle name="Normal 26 3 3 4 23" xfId="52007" xr:uid="{00000000-0005-0000-0000-0000B8C00000}"/>
    <cellStyle name="Normal 26 3 3 4 24" xfId="53690" xr:uid="{00000000-0005-0000-0000-0000B9C00000}"/>
    <cellStyle name="Normal 26 3 3 4 25" xfId="55373" xr:uid="{00000000-0005-0000-0000-0000BAC00000}"/>
    <cellStyle name="Normal 26 3 3 4 26" xfId="57056" xr:uid="{00000000-0005-0000-0000-0000BBC00000}"/>
    <cellStyle name="Normal 26 3 3 4 27" xfId="58739" xr:uid="{00000000-0005-0000-0000-0000BCC00000}"/>
    <cellStyle name="Normal 26 3 3 4 28" xfId="60422" xr:uid="{00000000-0005-0000-0000-0000BDC00000}"/>
    <cellStyle name="Normal 26 3 3 4 29" xfId="62105" xr:uid="{00000000-0005-0000-0000-0000BEC00000}"/>
    <cellStyle name="Normal 26 3 3 4 3" xfId="4880" xr:uid="{00000000-0005-0000-0000-0000BFC00000}"/>
    <cellStyle name="Normal 26 3 3 4 3 2" xfId="20029" xr:uid="{00000000-0005-0000-0000-0000C0C00000}"/>
    <cellStyle name="Normal 26 3 3 4 30" xfId="63788" xr:uid="{00000000-0005-0000-0000-0000C1C00000}"/>
    <cellStyle name="Normal 26 3 3 4 4" xfId="6563" xr:uid="{00000000-0005-0000-0000-0000C2C00000}"/>
    <cellStyle name="Normal 26 3 3 4 4 2" xfId="21712" xr:uid="{00000000-0005-0000-0000-0000C3C00000}"/>
    <cellStyle name="Normal 26 3 3 4 5" xfId="8246" xr:uid="{00000000-0005-0000-0000-0000C4C00000}"/>
    <cellStyle name="Normal 26 3 3 4 5 2" xfId="23395" xr:uid="{00000000-0005-0000-0000-0000C5C00000}"/>
    <cellStyle name="Normal 26 3 3 4 6" xfId="9929" xr:uid="{00000000-0005-0000-0000-0000C6C00000}"/>
    <cellStyle name="Normal 26 3 3 4 6 2" xfId="25078" xr:uid="{00000000-0005-0000-0000-0000C7C00000}"/>
    <cellStyle name="Normal 26 3 3 4 7" xfId="11612" xr:uid="{00000000-0005-0000-0000-0000C8C00000}"/>
    <cellStyle name="Normal 26 3 3 4 7 2" xfId="26761" xr:uid="{00000000-0005-0000-0000-0000C9C00000}"/>
    <cellStyle name="Normal 26 3 3 4 8" xfId="13296" xr:uid="{00000000-0005-0000-0000-0000CAC00000}"/>
    <cellStyle name="Normal 26 3 3 4 8 2" xfId="28445" xr:uid="{00000000-0005-0000-0000-0000CBC00000}"/>
    <cellStyle name="Normal 26 3 3 4 9" xfId="14979" xr:uid="{00000000-0005-0000-0000-0000CCC00000}"/>
    <cellStyle name="Normal 26 3 3 4 9 2" xfId="30128" xr:uid="{00000000-0005-0000-0000-0000CDC00000}"/>
    <cellStyle name="Normal 26 3 3 5" xfId="1934" xr:uid="{00000000-0005-0000-0000-0000CEC00000}"/>
    <cellStyle name="Normal 26 3 3 5 2" xfId="17083" xr:uid="{00000000-0005-0000-0000-0000CFC00000}"/>
    <cellStyle name="Normal 26 3 3 6" xfId="3618" xr:uid="{00000000-0005-0000-0000-0000D0C00000}"/>
    <cellStyle name="Normal 26 3 3 6 2" xfId="18767" xr:uid="{00000000-0005-0000-0000-0000D1C00000}"/>
    <cellStyle name="Normal 26 3 3 7" xfId="5301" xr:uid="{00000000-0005-0000-0000-0000D2C00000}"/>
    <cellStyle name="Normal 26 3 3 7 2" xfId="20450" xr:uid="{00000000-0005-0000-0000-0000D3C00000}"/>
    <cellStyle name="Normal 26 3 3 8" xfId="6984" xr:uid="{00000000-0005-0000-0000-0000D4C00000}"/>
    <cellStyle name="Normal 26 3 3 8 2" xfId="22133" xr:uid="{00000000-0005-0000-0000-0000D5C00000}"/>
    <cellStyle name="Normal 26 3 3 9" xfId="8667" xr:uid="{00000000-0005-0000-0000-0000D6C00000}"/>
    <cellStyle name="Normal 26 3 3 9 2" xfId="23816" xr:uid="{00000000-0005-0000-0000-0000D7C00000}"/>
    <cellStyle name="Normal 26 3 30" xfId="53901" xr:uid="{00000000-0005-0000-0000-0000D8C00000}"/>
    <cellStyle name="Normal 26 3 31" xfId="55584" xr:uid="{00000000-0005-0000-0000-0000D9C00000}"/>
    <cellStyle name="Normal 26 3 32" xfId="57267" xr:uid="{00000000-0005-0000-0000-0000DAC00000}"/>
    <cellStyle name="Normal 26 3 33" xfId="58950" xr:uid="{00000000-0005-0000-0000-0000DBC00000}"/>
    <cellStyle name="Normal 26 3 34" xfId="60633" xr:uid="{00000000-0005-0000-0000-0000DCC00000}"/>
    <cellStyle name="Normal 26 3 35" xfId="62316" xr:uid="{00000000-0005-0000-0000-0000DDC00000}"/>
    <cellStyle name="Normal 26 3 4" xfId="461" xr:uid="{00000000-0005-0000-0000-0000DEC00000}"/>
    <cellStyle name="Normal 26 3 4 10" xfId="15610" xr:uid="{00000000-0005-0000-0000-0000DFC00000}"/>
    <cellStyle name="Normal 26 3 4 11" xfId="30759" xr:uid="{00000000-0005-0000-0000-0000E0C00000}"/>
    <cellStyle name="Normal 26 3 4 12" xfId="32442" xr:uid="{00000000-0005-0000-0000-0000E1C00000}"/>
    <cellStyle name="Normal 26 3 4 13" xfId="34125" xr:uid="{00000000-0005-0000-0000-0000E2C00000}"/>
    <cellStyle name="Normal 26 3 4 14" xfId="35808" xr:uid="{00000000-0005-0000-0000-0000E3C00000}"/>
    <cellStyle name="Normal 26 3 4 15" xfId="37491" xr:uid="{00000000-0005-0000-0000-0000E4C00000}"/>
    <cellStyle name="Normal 26 3 4 16" xfId="39174" xr:uid="{00000000-0005-0000-0000-0000E5C00000}"/>
    <cellStyle name="Normal 26 3 4 17" xfId="40857" xr:uid="{00000000-0005-0000-0000-0000E6C00000}"/>
    <cellStyle name="Normal 26 3 4 18" xfId="42540" xr:uid="{00000000-0005-0000-0000-0000E7C00000}"/>
    <cellStyle name="Normal 26 3 4 19" xfId="44223" xr:uid="{00000000-0005-0000-0000-0000E8C00000}"/>
    <cellStyle name="Normal 26 3 4 2" xfId="2144" xr:uid="{00000000-0005-0000-0000-0000E9C00000}"/>
    <cellStyle name="Normal 26 3 4 2 2" xfId="17293" xr:uid="{00000000-0005-0000-0000-0000EAC00000}"/>
    <cellStyle name="Normal 26 3 4 20" xfId="45906" xr:uid="{00000000-0005-0000-0000-0000EBC00000}"/>
    <cellStyle name="Normal 26 3 4 21" xfId="47589" xr:uid="{00000000-0005-0000-0000-0000ECC00000}"/>
    <cellStyle name="Normal 26 3 4 22" xfId="49272" xr:uid="{00000000-0005-0000-0000-0000EDC00000}"/>
    <cellStyle name="Normal 26 3 4 23" xfId="50955" xr:uid="{00000000-0005-0000-0000-0000EEC00000}"/>
    <cellStyle name="Normal 26 3 4 24" xfId="52638" xr:uid="{00000000-0005-0000-0000-0000EFC00000}"/>
    <cellStyle name="Normal 26 3 4 25" xfId="54321" xr:uid="{00000000-0005-0000-0000-0000F0C00000}"/>
    <cellStyle name="Normal 26 3 4 26" xfId="56004" xr:uid="{00000000-0005-0000-0000-0000F1C00000}"/>
    <cellStyle name="Normal 26 3 4 27" xfId="57687" xr:uid="{00000000-0005-0000-0000-0000F2C00000}"/>
    <cellStyle name="Normal 26 3 4 28" xfId="59370" xr:uid="{00000000-0005-0000-0000-0000F3C00000}"/>
    <cellStyle name="Normal 26 3 4 29" xfId="61053" xr:uid="{00000000-0005-0000-0000-0000F4C00000}"/>
    <cellStyle name="Normal 26 3 4 3" xfId="3828" xr:uid="{00000000-0005-0000-0000-0000F5C00000}"/>
    <cellStyle name="Normal 26 3 4 3 2" xfId="18977" xr:uid="{00000000-0005-0000-0000-0000F6C00000}"/>
    <cellStyle name="Normal 26 3 4 30" xfId="62736" xr:uid="{00000000-0005-0000-0000-0000F7C00000}"/>
    <cellStyle name="Normal 26 3 4 4" xfId="5511" xr:uid="{00000000-0005-0000-0000-0000F8C00000}"/>
    <cellStyle name="Normal 26 3 4 4 2" xfId="20660" xr:uid="{00000000-0005-0000-0000-0000F9C00000}"/>
    <cellStyle name="Normal 26 3 4 5" xfId="7194" xr:uid="{00000000-0005-0000-0000-0000FAC00000}"/>
    <cellStyle name="Normal 26 3 4 5 2" xfId="22343" xr:uid="{00000000-0005-0000-0000-0000FBC00000}"/>
    <cellStyle name="Normal 26 3 4 6" xfId="8877" xr:uid="{00000000-0005-0000-0000-0000FCC00000}"/>
    <cellStyle name="Normal 26 3 4 6 2" xfId="24026" xr:uid="{00000000-0005-0000-0000-0000FDC00000}"/>
    <cellStyle name="Normal 26 3 4 7" xfId="10560" xr:uid="{00000000-0005-0000-0000-0000FEC00000}"/>
    <cellStyle name="Normal 26 3 4 7 2" xfId="25709" xr:uid="{00000000-0005-0000-0000-0000FFC00000}"/>
    <cellStyle name="Normal 26 3 4 8" xfId="12244" xr:uid="{00000000-0005-0000-0000-000000C10000}"/>
    <cellStyle name="Normal 26 3 4 8 2" xfId="27393" xr:uid="{00000000-0005-0000-0000-000001C10000}"/>
    <cellStyle name="Normal 26 3 4 9" xfId="13927" xr:uid="{00000000-0005-0000-0000-000002C10000}"/>
    <cellStyle name="Normal 26 3 4 9 2" xfId="29076" xr:uid="{00000000-0005-0000-0000-000003C10000}"/>
    <cellStyle name="Normal 26 3 5" xfId="882" xr:uid="{00000000-0005-0000-0000-000004C10000}"/>
    <cellStyle name="Normal 26 3 5 10" xfId="16031" xr:uid="{00000000-0005-0000-0000-000005C10000}"/>
    <cellStyle name="Normal 26 3 5 11" xfId="31180" xr:uid="{00000000-0005-0000-0000-000006C10000}"/>
    <cellStyle name="Normal 26 3 5 12" xfId="32863" xr:uid="{00000000-0005-0000-0000-000007C10000}"/>
    <cellStyle name="Normal 26 3 5 13" xfId="34546" xr:uid="{00000000-0005-0000-0000-000008C10000}"/>
    <cellStyle name="Normal 26 3 5 14" xfId="36229" xr:uid="{00000000-0005-0000-0000-000009C10000}"/>
    <cellStyle name="Normal 26 3 5 15" xfId="37912" xr:uid="{00000000-0005-0000-0000-00000AC10000}"/>
    <cellStyle name="Normal 26 3 5 16" xfId="39595" xr:uid="{00000000-0005-0000-0000-00000BC10000}"/>
    <cellStyle name="Normal 26 3 5 17" xfId="41278" xr:uid="{00000000-0005-0000-0000-00000CC10000}"/>
    <cellStyle name="Normal 26 3 5 18" xfId="42961" xr:uid="{00000000-0005-0000-0000-00000DC10000}"/>
    <cellStyle name="Normal 26 3 5 19" xfId="44644" xr:uid="{00000000-0005-0000-0000-00000EC10000}"/>
    <cellStyle name="Normal 26 3 5 2" xfId="2565" xr:uid="{00000000-0005-0000-0000-00000FC10000}"/>
    <cellStyle name="Normal 26 3 5 2 2" xfId="17714" xr:uid="{00000000-0005-0000-0000-000010C10000}"/>
    <cellStyle name="Normal 26 3 5 20" xfId="46327" xr:uid="{00000000-0005-0000-0000-000011C10000}"/>
    <cellStyle name="Normal 26 3 5 21" xfId="48010" xr:uid="{00000000-0005-0000-0000-000012C10000}"/>
    <cellStyle name="Normal 26 3 5 22" xfId="49693" xr:uid="{00000000-0005-0000-0000-000013C10000}"/>
    <cellStyle name="Normal 26 3 5 23" xfId="51376" xr:uid="{00000000-0005-0000-0000-000014C10000}"/>
    <cellStyle name="Normal 26 3 5 24" xfId="53059" xr:uid="{00000000-0005-0000-0000-000015C10000}"/>
    <cellStyle name="Normal 26 3 5 25" xfId="54742" xr:uid="{00000000-0005-0000-0000-000016C10000}"/>
    <cellStyle name="Normal 26 3 5 26" xfId="56425" xr:uid="{00000000-0005-0000-0000-000017C10000}"/>
    <cellStyle name="Normal 26 3 5 27" xfId="58108" xr:uid="{00000000-0005-0000-0000-000018C10000}"/>
    <cellStyle name="Normal 26 3 5 28" xfId="59791" xr:uid="{00000000-0005-0000-0000-000019C10000}"/>
    <cellStyle name="Normal 26 3 5 29" xfId="61474" xr:uid="{00000000-0005-0000-0000-00001AC10000}"/>
    <cellStyle name="Normal 26 3 5 3" xfId="4249" xr:uid="{00000000-0005-0000-0000-00001BC10000}"/>
    <cellStyle name="Normal 26 3 5 3 2" xfId="19398" xr:uid="{00000000-0005-0000-0000-00001CC10000}"/>
    <cellStyle name="Normal 26 3 5 30" xfId="63157" xr:uid="{00000000-0005-0000-0000-00001DC10000}"/>
    <cellStyle name="Normal 26 3 5 4" xfId="5932" xr:uid="{00000000-0005-0000-0000-00001EC10000}"/>
    <cellStyle name="Normal 26 3 5 4 2" xfId="21081" xr:uid="{00000000-0005-0000-0000-00001FC10000}"/>
    <cellStyle name="Normal 26 3 5 5" xfId="7615" xr:uid="{00000000-0005-0000-0000-000020C10000}"/>
    <cellStyle name="Normal 26 3 5 5 2" xfId="22764" xr:uid="{00000000-0005-0000-0000-000021C10000}"/>
    <cellStyle name="Normal 26 3 5 6" xfId="9298" xr:uid="{00000000-0005-0000-0000-000022C10000}"/>
    <cellStyle name="Normal 26 3 5 6 2" xfId="24447" xr:uid="{00000000-0005-0000-0000-000023C10000}"/>
    <cellStyle name="Normal 26 3 5 7" xfId="10981" xr:uid="{00000000-0005-0000-0000-000024C10000}"/>
    <cellStyle name="Normal 26 3 5 7 2" xfId="26130" xr:uid="{00000000-0005-0000-0000-000025C10000}"/>
    <cellStyle name="Normal 26 3 5 8" xfId="12665" xr:uid="{00000000-0005-0000-0000-000026C10000}"/>
    <cellStyle name="Normal 26 3 5 8 2" xfId="27814" xr:uid="{00000000-0005-0000-0000-000027C10000}"/>
    <cellStyle name="Normal 26 3 5 9" xfId="14348" xr:uid="{00000000-0005-0000-0000-000028C10000}"/>
    <cellStyle name="Normal 26 3 5 9 2" xfId="29497" xr:uid="{00000000-0005-0000-0000-000029C10000}"/>
    <cellStyle name="Normal 26 3 6" xfId="1303" xr:uid="{00000000-0005-0000-0000-00002AC10000}"/>
    <cellStyle name="Normal 26 3 6 10" xfId="16452" xr:uid="{00000000-0005-0000-0000-00002BC10000}"/>
    <cellStyle name="Normal 26 3 6 11" xfId="31601" xr:uid="{00000000-0005-0000-0000-00002CC10000}"/>
    <cellStyle name="Normal 26 3 6 12" xfId="33284" xr:uid="{00000000-0005-0000-0000-00002DC10000}"/>
    <cellStyle name="Normal 26 3 6 13" xfId="34967" xr:uid="{00000000-0005-0000-0000-00002EC10000}"/>
    <cellStyle name="Normal 26 3 6 14" xfId="36650" xr:uid="{00000000-0005-0000-0000-00002FC10000}"/>
    <cellStyle name="Normal 26 3 6 15" xfId="38333" xr:uid="{00000000-0005-0000-0000-000030C10000}"/>
    <cellStyle name="Normal 26 3 6 16" xfId="40016" xr:uid="{00000000-0005-0000-0000-000031C10000}"/>
    <cellStyle name="Normal 26 3 6 17" xfId="41699" xr:uid="{00000000-0005-0000-0000-000032C10000}"/>
    <cellStyle name="Normal 26 3 6 18" xfId="43382" xr:uid="{00000000-0005-0000-0000-000033C10000}"/>
    <cellStyle name="Normal 26 3 6 19" xfId="45065" xr:uid="{00000000-0005-0000-0000-000034C10000}"/>
    <cellStyle name="Normal 26 3 6 2" xfId="2986" xr:uid="{00000000-0005-0000-0000-000035C10000}"/>
    <cellStyle name="Normal 26 3 6 2 2" xfId="18135" xr:uid="{00000000-0005-0000-0000-000036C10000}"/>
    <cellStyle name="Normal 26 3 6 20" xfId="46748" xr:uid="{00000000-0005-0000-0000-000037C10000}"/>
    <cellStyle name="Normal 26 3 6 21" xfId="48431" xr:uid="{00000000-0005-0000-0000-000038C10000}"/>
    <cellStyle name="Normal 26 3 6 22" xfId="50114" xr:uid="{00000000-0005-0000-0000-000039C10000}"/>
    <cellStyle name="Normal 26 3 6 23" xfId="51797" xr:uid="{00000000-0005-0000-0000-00003AC10000}"/>
    <cellStyle name="Normal 26 3 6 24" xfId="53480" xr:uid="{00000000-0005-0000-0000-00003BC10000}"/>
    <cellStyle name="Normal 26 3 6 25" xfId="55163" xr:uid="{00000000-0005-0000-0000-00003CC10000}"/>
    <cellStyle name="Normal 26 3 6 26" xfId="56846" xr:uid="{00000000-0005-0000-0000-00003DC10000}"/>
    <cellStyle name="Normal 26 3 6 27" xfId="58529" xr:uid="{00000000-0005-0000-0000-00003EC10000}"/>
    <cellStyle name="Normal 26 3 6 28" xfId="60212" xr:uid="{00000000-0005-0000-0000-00003FC10000}"/>
    <cellStyle name="Normal 26 3 6 29" xfId="61895" xr:uid="{00000000-0005-0000-0000-000040C10000}"/>
    <cellStyle name="Normal 26 3 6 3" xfId="4670" xr:uid="{00000000-0005-0000-0000-000041C10000}"/>
    <cellStyle name="Normal 26 3 6 3 2" xfId="19819" xr:uid="{00000000-0005-0000-0000-000042C10000}"/>
    <cellStyle name="Normal 26 3 6 30" xfId="63578" xr:uid="{00000000-0005-0000-0000-000043C10000}"/>
    <cellStyle name="Normal 26 3 6 4" xfId="6353" xr:uid="{00000000-0005-0000-0000-000044C10000}"/>
    <cellStyle name="Normal 26 3 6 4 2" xfId="21502" xr:uid="{00000000-0005-0000-0000-000045C10000}"/>
    <cellStyle name="Normal 26 3 6 5" xfId="8036" xr:uid="{00000000-0005-0000-0000-000046C10000}"/>
    <cellStyle name="Normal 26 3 6 5 2" xfId="23185" xr:uid="{00000000-0005-0000-0000-000047C10000}"/>
    <cellStyle name="Normal 26 3 6 6" xfId="9719" xr:uid="{00000000-0005-0000-0000-000048C10000}"/>
    <cellStyle name="Normal 26 3 6 6 2" xfId="24868" xr:uid="{00000000-0005-0000-0000-000049C10000}"/>
    <cellStyle name="Normal 26 3 6 7" xfId="11402" xr:uid="{00000000-0005-0000-0000-00004AC10000}"/>
    <cellStyle name="Normal 26 3 6 7 2" xfId="26551" xr:uid="{00000000-0005-0000-0000-00004BC10000}"/>
    <cellStyle name="Normal 26 3 6 8" xfId="13086" xr:uid="{00000000-0005-0000-0000-00004CC10000}"/>
    <cellStyle name="Normal 26 3 6 8 2" xfId="28235" xr:uid="{00000000-0005-0000-0000-00004DC10000}"/>
    <cellStyle name="Normal 26 3 6 9" xfId="14769" xr:uid="{00000000-0005-0000-0000-00004EC10000}"/>
    <cellStyle name="Normal 26 3 6 9 2" xfId="29918" xr:uid="{00000000-0005-0000-0000-00004FC10000}"/>
    <cellStyle name="Normal 26 3 7" xfId="1724" xr:uid="{00000000-0005-0000-0000-000050C10000}"/>
    <cellStyle name="Normal 26 3 7 2" xfId="16873" xr:uid="{00000000-0005-0000-0000-000051C10000}"/>
    <cellStyle name="Normal 26 3 8" xfId="3408" xr:uid="{00000000-0005-0000-0000-000052C10000}"/>
    <cellStyle name="Normal 26 3 8 2" xfId="18557" xr:uid="{00000000-0005-0000-0000-000053C10000}"/>
    <cellStyle name="Normal 26 3 9" xfId="5091" xr:uid="{00000000-0005-0000-0000-000054C10000}"/>
    <cellStyle name="Normal 26 3 9 2" xfId="20240" xr:uid="{00000000-0005-0000-0000-000055C10000}"/>
    <cellStyle name="Normal 26 30" xfId="45481" xr:uid="{00000000-0005-0000-0000-000056C10000}"/>
    <cellStyle name="Normal 26 31" xfId="47164" xr:uid="{00000000-0005-0000-0000-000057C10000}"/>
    <cellStyle name="Normal 26 32" xfId="48847" xr:uid="{00000000-0005-0000-0000-000058C10000}"/>
    <cellStyle name="Normal 26 33" xfId="50530" xr:uid="{00000000-0005-0000-0000-000059C10000}"/>
    <cellStyle name="Normal 26 34" xfId="52213" xr:uid="{00000000-0005-0000-0000-00005AC10000}"/>
    <cellStyle name="Normal 26 35" xfId="53896" xr:uid="{00000000-0005-0000-0000-00005BC10000}"/>
    <cellStyle name="Normal 26 36" xfId="55579" xr:uid="{00000000-0005-0000-0000-00005CC10000}"/>
    <cellStyle name="Normal 26 37" xfId="57262" xr:uid="{00000000-0005-0000-0000-00005DC10000}"/>
    <cellStyle name="Normal 26 38" xfId="58945" xr:uid="{00000000-0005-0000-0000-00005EC10000}"/>
    <cellStyle name="Normal 26 39" xfId="60628" xr:uid="{00000000-0005-0000-0000-00005FC10000}"/>
    <cellStyle name="Normal 26 4" xfId="28" xr:uid="{00000000-0005-0000-0000-000060C10000}"/>
    <cellStyle name="Normal 26 4 10" xfId="6783" xr:uid="{00000000-0005-0000-0000-000061C10000}"/>
    <cellStyle name="Normal 26 4 10 2" xfId="21932" xr:uid="{00000000-0005-0000-0000-000062C10000}"/>
    <cellStyle name="Normal 26 4 11" xfId="8466" xr:uid="{00000000-0005-0000-0000-000063C10000}"/>
    <cellStyle name="Normal 26 4 11 2" xfId="23615" xr:uid="{00000000-0005-0000-0000-000064C10000}"/>
    <cellStyle name="Normal 26 4 12" xfId="10149" xr:uid="{00000000-0005-0000-0000-000065C10000}"/>
    <cellStyle name="Normal 26 4 12 2" xfId="25298" xr:uid="{00000000-0005-0000-0000-000066C10000}"/>
    <cellStyle name="Normal 26 4 13" xfId="11833" xr:uid="{00000000-0005-0000-0000-000067C10000}"/>
    <cellStyle name="Normal 26 4 13 2" xfId="26982" xr:uid="{00000000-0005-0000-0000-000068C10000}"/>
    <cellStyle name="Normal 26 4 14" xfId="13516" xr:uid="{00000000-0005-0000-0000-000069C10000}"/>
    <cellStyle name="Normal 26 4 14 2" xfId="28665" xr:uid="{00000000-0005-0000-0000-00006AC10000}"/>
    <cellStyle name="Normal 26 4 15" xfId="15199" xr:uid="{00000000-0005-0000-0000-00006BC10000}"/>
    <cellStyle name="Normal 26 4 16" xfId="30348" xr:uid="{00000000-0005-0000-0000-00006CC10000}"/>
    <cellStyle name="Normal 26 4 17" xfId="32031" xr:uid="{00000000-0005-0000-0000-00006DC10000}"/>
    <cellStyle name="Normal 26 4 18" xfId="33714" xr:uid="{00000000-0005-0000-0000-00006EC10000}"/>
    <cellStyle name="Normal 26 4 19" xfId="35397" xr:uid="{00000000-0005-0000-0000-00006FC10000}"/>
    <cellStyle name="Normal 26 4 2" xfId="155" xr:uid="{00000000-0005-0000-0000-000070C10000}"/>
    <cellStyle name="Normal 26 4 2 10" xfId="8571" xr:uid="{00000000-0005-0000-0000-000071C10000}"/>
    <cellStyle name="Normal 26 4 2 10 2" xfId="23720" xr:uid="{00000000-0005-0000-0000-000072C10000}"/>
    <cellStyle name="Normal 26 4 2 11" xfId="10254" xr:uid="{00000000-0005-0000-0000-000073C10000}"/>
    <cellStyle name="Normal 26 4 2 11 2" xfId="25403" xr:uid="{00000000-0005-0000-0000-000074C10000}"/>
    <cellStyle name="Normal 26 4 2 12" xfId="11938" xr:uid="{00000000-0005-0000-0000-000075C10000}"/>
    <cellStyle name="Normal 26 4 2 12 2" xfId="27087" xr:uid="{00000000-0005-0000-0000-000076C10000}"/>
    <cellStyle name="Normal 26 4 2 13" xfId="13621" xr:uid="{00000000-0005-0000-0000-000077C10000}"/>
    <cellStyle name="Normal 26 4 2 13 2" xfId="28770" xr:uid="{00000000-0005-0000-0000-000078C10000}"/>
    <cellStyle name="Normal 26 4 2 14" xfId="15304" xr:uid="{00000000-0005-0000-0000-000079C10000}"/>
    <cellStyle name="Normal 26 4 2 15" xfId="30453" xr:uid="{00000000-0005-0000-0000-00007AC10000}"/>
    <cellStyle name="Normal 26 4 2 16" xfId="32136" xr:uid="{00000000-0005-0000-0000-00007BC10000}"/>
    <cellStyle name="Normal 26 4 2 17" xfId="33819" xr:uid="{00000000-0005-0000-0000-00007CC10000}"/>
    <cellStyle name="Normal 26 4 2 18" xfId="35502" xr:uid="{00000000-0005-0000-0000-00007DC10000}"/>
    <cellStyle name="Normal 26 4 2 19" xfId="37185" xr:uid="{00000000-0005-0000-0000-00007EC10000}"/>
    <cellStyle name="Normal 26 4 2 2" xfId="365" xr:uid="{00000000-0005-0000-0000-00007FC10000}"/>
    <cellStyle name="Normal 26 4 2 2 10" xfId="10464" xr:uid="{00000000-0005-0000-0000-000080C10000}"/>
    <cellStyle name="Normal 26 4 2 2 10 2" xfId="25613" xr:uid="{00000000-0005-0000-0000-000081C10000}"/>
    <cellStyle name="Normal 26 4 2 2 11" xfId="12148" xr:uid="{00000000-0005-0000-0000-000082C10000}"/>
    <cellStyle name="Normal 26 4 2 2 11 2" xfId="27297" xr:uid="{00000000-0005-0000-0000-000083C10000}"/>
    <cellStyle name="Normal 26 4 2 2 12" xfId="13831" xr:uid="{00000000-0005-0000-0000-000084C10000}"/>
    <cellStyle name="Normal 26 4 2 2 12 2" xfId="28980" xr:uid="{00000000-0005-0000-0000-000085C10000}"/>
    <cellStyle name="Normal 26 4 2 2 13" xfId="15514" xr:uid="{00000000-0005-0000-0000-000086C10000}"/>
    <cellStyle name="Normal 26 4 2 2 14" xfId="30663" xr:uid="{00000000-0005-0000-0000-000087C10000}"/>
    <cellStyle name="Normal 26 4 2 2 15" xfId="32346" xr:uid="{00000000-0005-0000-0000-000088C10000}"/>
    <cellStyle name="Normal 26 4 2 2 16" xfId="34029" xr:uid="{00000000-0005-0000-0000-000089C10000}"/>
    <cellStyle name="Normal 26 4 2 2 17" xfId="35712" xr:uid="{00000000-0005-0000-0000-00008AC10000}"/>
    <cellStyle name="Normal 26 4 2 2 18" xfId="37395" xr:uid="{00000000-0005-0000-0000-00008BC10000}"/>
    <cellStyle name="Normal 26 4 2 2 19" xfId="39078" xr:uid="{00000000-0005-0000-0000-00008CC10000}"/>
    <cellStyle name="Normal 26 4 2 2 2" xfId="785" xr:uid="{00000000-0005-0000-0000-00008DC10000}"/>
    <cellStyle name="Normal 26 4 2 2 2 10" xfId="15934" xr:uid="{00000000-0005-0000-0000-00008EC10000}"/>
    <cellStyle name="Normal 26 4 2 2 2 11" xfId="31083" xr:uid="{00000000-0005-0000-0000-00008FC10000}"/>
    <cellStyle name="Normal 26 4 2 2 2 12" xfId="32766" xr:uid="{00000000-0005-0000-0000-000090C10000}"/>
    <cellStyle name="Normal 26 4 2 2 2 13" xfId="34449" xr:uid="{00000000-0005-0000-0000-000091C10000}"/>
    <cellStyle name="Normal 26 4 2 2 2 14" xfId="36132" xr:uid="{00000000-0005-0000-0000-000092C10000}"/>
    <cellStyle name="Normal 26 4 2 2 2 15" xfId="37815" xr:uid="{00000000-0005-0000-0000-000093C10000}"/>
    <cellStyle name="Normal 26 4 2 2 2 16" xfId="39498" xr:uid="{00000000-0005-0000-0000-000094C10000}"/>
    <cellStyle name="Normal 26 4 2 2 2 17" xfId="41181" xr:uid="{00000000-0005-0000-0000-000095C10000}"/>
    <cellStyle name="Normal 26 4 2 2 2 18" xfId="42864" xr:uid="{00000000-0005-0000-0000-000096C10000}"/>
    <cellStyle name="Normal 26 4 2 2 2 19" xfId="44547" xr:uid="{00000000-0005-0000-0000-000097C10000}"/>
    <cellStyle name="Normal 26 4 2 2 2 2" xfId="2468" xr:uid="{00000000-0005-0000-0000-000098C10000}"/>
    <cellStyle name="Normal 26 4 2 2 2 2 2" xfId="17617" xr:uid="{00000000-0005-0000-0000-000099C10000}"/>
    <cellStyle name="Normal 26 4 2 2 2 20" xfId="46230" xr:uid="{00000000-0005-0000-0000-00009AC10000}"/>
    <cellStyle name="Normal 26 4 2 2 2 21" xfId="47913" xr:uid="{00000000-0005-0000-0000-00009BC10000}"/>
    <cellStyle name="Normal 26 4 2 2 2 22" xfId="49596" xr:uid="{00000000-0005-0000-0000-00009CC10000}"/>
    <cellStyle name="Normal 26 4 2 2 2 23" xfId="51279" xr:uid="{00000000-0005-0000-0000-00009DC10000}"/>
    <cellStyle name="Normal 26 4 2 2 2 24" xfId="52962" xr:uid="{00000000-0005-0000-0000-00009EC10000}"/>
    <cellStyle name="Normal 26 4 2 2 2 25" xfId="54645" xr:uid="{00000000-0005-0000-0000-00009FC10000}"/>
    <cellStyle name="Normal 26 4 2 2 2 26" xfId="56328" xr:uid="{00000000-0005-0000-0000-0000A0C10000}"/>
    <cellStyle name="Normal 26 4 2 2 2 27" xfId="58011" xr:uid="{00000000-0005-0000-0000-0000A1C10000}"/>
    <cellStyle name="Normal 26 4 2 2 2 28" xfId="59694" xr:uid="{00000000-0005-0000-0000-0000A2C10000}"/>
    <cellStyle name="Normal 26 4 2 2 2 29" xfId="61377" xr:uid="{00000000-0005-0000-0000-0000A3C10000}"/>
    <cellStyle name="Normal 26 4 2 2 2 3" xfId="4152" xr:uid="{00000000-0005-0000-0000-0000A4C10000}"/>
    <cellStyle name="Normal 26 4 2 2 2 3 2" xfId="19301" xr:uid="{00000000-0005-0000-0000-0000A5C10000}"/>
    <cellStyle name="Normal 26 4 2 2 2 30" xfId="63060" xr:uid="{00000000-0005-0000-0000-0000A6C10000}"/>
    <cellStyle name="Normal 26 4 2 2 2 4" xfId="5835" xr:uid="{00000000-0005-0000-0000-0000A7C10000}"/>
    <cellStyle name="Normal 26 4 2 2 2 4 2" xfId="20984" xr:uid="{00000000-0005-0000-0000-0000A8C10000}"/>
    <cellStyle name="Normal 26 4 2 2 2 5" xfId="7518" xr:uid="{00000000-0005-0000-0000-0000A9C10000}"/>
    <cellStyle name="Normal 26 4 2 2 2 5 2" xfId="22667" xr:uid="{00000000-0005-0000-0000-0000AAC10000}"/>
    <cellStyle name="Normal 26 4 2 2 2 6" xfId="9201" xr:uid="{00000000-0005-0000-0000-0000ABC10000}"/>
    <cellStyle name="Normal 26 4 2 2 2 6 2" xfId="24350" xr:uid="{00000000-0005-0000-0000-0000ACC10000}"/>
    <cellStyle name="Normal 26 4 2 2 2 7" xfId="10884" xr:uid="{00000000-0005-0000-0000-0000ADC10000}"/>
    <cellStyle name="Normal 26 4 2 2 2 7 2" xfId="26033" xr:uid="{00000000-0005-0000-0000-0000AEC10000}"/>
    <cellStyle name="Normal 26 4 2 2 2 8" xfId="12568" xr:uid="{00000000-0005-0000-0000-0000AFC10000}"/>
    <cellStyle name="Normal 26 4 2 2 2 8 2" xfId="27717" xr:uid="{00000000-0005-0000-0000-0000B0C10000}"/>
    <cellStyle name="Normal 26 4 2 2 2 9" xfId="14251" xr:uid="{00000000-0005-0000-0000-0000B1C10000}"/>
    <cellStyle name="Normal 26 4 2 2 2 9 2" xfId="29400" xr:uid="{00000000-0005-0000-0000-0000B2C10000}"/>
    <cellStyle name="Normal 26 4 2 2 20" xfId="40761" xr:uid="{00000000-0005-0000-0000-0000B3C10000}"/>
    <cellStyle name="Normal 26 4 2 2 21" xfId="42444" xr:uid="{00000000-0005-0000-0000-0000B4C10000}"/>
    <cellStyle name="Normal 26 4 2 2 22" xfId="44127" xr:uid="{00000000-0005-0000-0000-0000B5C10000}"/>
    <cellStyle name="Normal 26 4 2 2 23" xfId="45810" xr:uid="{00000000-0005-0000-0000-0000B6C10000}"/>
    <cellStyle name="Normal 26 4 2 2 24" xfId="47493" xr:uid="{00000000-0005-0000-0000-0000B7C10000}"/>
    <cellStyle name="Normal 26 4 2 2 25" xfId="49176" xr:uid="{00000000-0005-0000-0000-0000B8C10000}"/>
    <cellStyle name="Normal 26 4 2 2 26" xfId="50859" xr:uid="{00000000-0005-0000-0000-0000B9C10000}"/>
    <cellStyle name="Normal 26 4 2 2 27" xfId="52542" xr:uid="{00000000-0005-0000-0000-0000BAC10000}"/>
    <cellStyle name="Normal 26 4 2 2 28" xfId="54225" xr:uid="{00000000-0005-0000-0000-0000BBC10000}"/>
    <cellStyle name="Normal 26 4 2 2 29" xfId="55908" xr:uid="{00000000-0005-0000-0000-0000BCC10000}"/>
    <cellStyle name="Normal 26 4 2 2 3" xfId="1206" xr:uid="{00000000-0005-0000-0000-0000BDC10000}"/>
    <cellStyle name="Normal 26 4 2 2 3 10" xfId="16355" xr:uid="{00000000-0005-0000-0000-0000BEC10000}"/>
    <cellStyle name="Normal 26 4 2 2 3 11" xfId="31504" xr:uid="{00000000-0005-0000-0000-0000BFC10000}"/>
    <cellStyle name="Normal 26 4 2 2 3 12" xfId="33187" xr:uid="{00000000-0005-0000-0000-0000C0C10000}"/>
    <cellStyle name="Normal 26 4 2 2 3 13" xfId="34870" xr:uid="{00000000-0005-0000-0000-0000C1C10000}"/>
    <cellStyle name="Normal 26 4 2 2 3 14" xfId="36553" xr:uid="{00000000-0005-0000-0000-0000C2C10000}"/>
    <cellStyle name="Normal 26 4 2 2 3 15" xfId="38236" xr:uid="{00000000-0005-0000-0000-0000C3C10000}"/>
    <cellStyle name="Normal 26 4 2 2 3 16" xfId="39919" xr:uid="{00000000-0005-0000-0000-0000C4C10000}"/>
    <cellStyle name="Normal 26 4 2 2 3 17" xfId="41602" xr:uid="{00000000-0005-0000-0000-0000C5C10000}"/>
    <cellStyle name="Normal 26 4 2 2 3 18" xfId="43285" xr:uid="{00000000-0005-0000-0000-0000C6C10000}"/>
    <cellStyle name="Normal 26 4 2 2 3 19" xfId="44968" xr:uid="{00000000-0005-0000-0000-0000C7C10000}"/>
    <cellStyle name="Normal 26 4 2 2 3 2" xfId="2889" xr:uid="{00000000-0005-0000-0000-0000C8C10000}"/>
    <cellStyle name="Normal 26 4 2 2 3 2 2" xfId="18038" xr:uid="{00000000-0005-0000-0000-0000C9C10000}"/>
    <cellStyle name="Normal 26 4 2 2 3 20" xfId="46651" xr:uid="{00000000-0005-0000-0000-0000CAC10000}"/>
    <cellStyle name="Normal 26 4 2 2 3 21" xfId="48334" xr:uid="{00000000-0005-0000-0000-0000CBC10000}"/>
    <cellStyle name="Normal 26 4 2 2 3 22" xfId="50017" xr:uid="{00000000-0005-0000-0000-0000CCC10000}"/>
    <cellStyle name="Normal 26 4 2 2 3 23" xfId="51700" xr:uid="{00000000-0005-0000-0000-0000CDC10000}"/>
    <cellStyle name="Normal 26 4 2 2 3 24" xfId="53383" xr:uid="{00000000-0005-0000-0000-0000CEC10000}"/>
    <cellStyle name="Normal 26 4 2 2 3 25" xfId="55066" xr:uid="{00000000-0005-0000-0000-0000CFC10000}"/>
    <cellStyle name="Normal 26 4 2 2 3 26" xfId="56749" xr:uid="{00000000-0005-0000-0000-0000D0C10000}"/>
    <cellStyle name="Normal 26 4 2 2 3 27" xfId="58432" xr:uid="{00000000-0005-0000-0000-0000D1C10000}"/>
    <cellStyle name="Normal 26 4 2 2 3 28" xfId="60115" xr:uid="{00000000-0005-0000-0000-0000D2C10000}"/>
    <cellStyle name="Normal 26 4 2 2 3 29" xfId="61798" xr:uid="{00000000-0005-0000-0000-0000D3C10000}"/>
    <cellStyle name="Normal 26 4 2 2 3 3" xfId="4573" xr:uid="{00000000-0005-0000-0000-0000D4C10000}"/>
    <cellStyle name="Normal 26 4 2 2 3 3 2" xfId="19722" xr:uid="{00000000-0005-0000-0000-0000D5C10000}"/>
    <cellStyle name="Normal 26 4 2 2 3 30" xfId="63481" xr:uid="{00000000-0005-0000-0000-0000D6C10000}"/>
    <cellStyle name="Normal 26 4 2 2 3 4" xfId="6256" xr:uid="{00000000-0005-0000-0000-0000D7C10000}"/>
    <cellStyle name="Normal 26 4 2 2 3 4 2" xfId="21405" xr:uid="{00000000-0005-0000-0000-0000D8C10000}"/>
    <cellStyle name="Normal 26 4 2 2 3 5" xfId="7939" xr:uid="{00000000-0005-0000-0000-0000D9C10000}"/>
    <cellStyle name="Normal 26 4 2 2 3 5 2" xfId="23088" xr:uid="{00000000-0005-0000-0000-0000DAC10000}"/>
    <cellStyle name="Normal 26 4 2 2 3 6" xfId="9622" xr:uid="{00000000-0005-0000-0000-0000DBC10000}"/>
    <cellStyle name="Normal 26 4 2 2 3 6 2" xfId="24771" xr:uid="{00000000-0005-0000-0000-0000DCC10000}"/>
    <cellStyle name="Normal 26 4 2 2 3 7" xfId="11305" xr:uid="{00000000-0005-0000-0000-0000DDC10000}"/>
    <cellStyle name="Normal 26 4 2 2 3 7 2" xfId="26454" xr:uid="{00000000-0005-0000-0000-0000DEC10000}"/>
    <cellStyle name="Normal 26 4 2 2 3 8" xfId="12989" xr:uid="{00000000-0005-0000-0000-0000DFC10000}"/>
    <cellStyle name="Normal 26 4 2 2 3 8 2" xfId="28138" xr:uid="{00000000-0005-0000-0000-0000E0C10000}"/>
    <cellStyle name="Normal 26 4 2 2 3 9" xfId="14672" xr:uid="{00000000-0005-0000-0000-0000E1C10000}"/>
    <cellStyle name="Normal 26 4 2 2 3 9 2" xfId="29821" xr:uid="{00000000-0005-0000-0000-0000E2C10000}"/>
    <cellStyle name="Normal 26 4 2 2 30" xfId="57591" xr:uid="{00000000-0005-0000-0000-0000E3C10000}"/>
    <cellStyle name="Normal 26 4 2 2 31" xfId="59274" xr:uid="{00000000-0005-0000-0000-0000E4C10000}"/>
    <cellStyle name="Normal 26 4 2 2 32" xfId="60957" xr:uid="{00000000-0005-0000-0000-0000E5C10000}"/>
    <cellStyle name="Normal 26 4 2 2 33" xfId="62640" xr:uid="{00000000-0005-0000-0000-0000E6C10000}"/>
    <cellStyle name="Normal 26 4 2 2 4" xfId="1627" xr:uid="{00000000-0005-0000-0000-0000E7C10000}"/>
    <cellStyle name="Normal 26 4 2 2 4 10" xfId="16776" xr:uid="{00000000-0005-0000-0000-0000E8C10000}"/>
    <cellStyle name="Normal 26 4 2 2 4 11" xfId="31925" xr:uid="{00000000-0005-0000-0000-0000E9C10000}"/>
    <cellStyle name="Normal 26 4 2 2 4 12" xfId="33608" xr:uid="{00000000-0005-0000-0000-0000EAC10000}"/>
    <cellStyle name="Normal 26 4 2 2 4 13" xfId="35291" xr:uid="{00000000-0005-0000-0000-0000EBC10000}"/>
    <cellStyle name="Normal 26 4 2 2 4 14" xfId="36974" xr:uid="{00000000-0005-0000-0000-0000ECC10000}"/>
    <cellStyle name="Normal 26 4 2 2 4 15" xfId="38657" xr:uid="{00000000-0005-0000-0000-0000EDC10000}"/>
    <cellStyle name="Normal 26 4 2 2 4 16" xfId="40340" xr:uid="{00000000-0005-0000-0000-0000EEC10000}"/>
    <cellStyle name="Normal 26 4 2 2 4 17" xfId="42023" xr:uid="{00000000-0005-0000-0000-0000EFC10000}"/>
    <cellStyle name="Normal 26 4 2 2 4 18" xfId="43706" xr:uid="{00000000-0005-0000-0000-0000F0C10000}"/>
    <cellStyle name="Normal 26 4 2 2 4 19" xfId="45389" xr:uid="{00000000-0005-0000-0000-0000F1C10000}"/>
    <cellStyle name="Normal 26 4 2 2 4 2" xfId="3310" xr:uid="{00000000-0005-0000-0000-0000F2C10000}"/>
    <cellStyle name="Normal 26 4 2 2 4 2 2" xfId="18459" xr:uid="{00000000-0005-0000-0000-0000F3C10000}"/>
    <cellStyle name="Normal 26 4 2 2 4 20" xfId="47072" xr:uid="{00000000-0005-0000-0000-0000F4C10000}"/>
    <cellStyle name="Normal 26 4 2 2 4 21" xfId="48755" xr:uid="{00000000-0005-0000-0000-0000F5C10000}"/>
    <cellStyle name="Normal 26 4 2 2 4 22" xfId="50438" xr:uid="{00000000-0005-0000-0000-0000F6C10000}"/>
    <cellStyle name="Normal 26 4 2 2 4 23" xfId="52121" xr:uid="{00000000-0005-0000-0000-0000F7C10000}"/>
    <cellStyle name="Normal 26 4 2 2 4 24" xfId="53804" xr:uid="{00000000-0005-0000-0000-0000F8C10000}"/>
    <cellStyle name="Normal 26 4 2 2 4 25" xfId="55487" xr:uid="{00000000-0005-0000-0000-0000F9C10000}"/>
    <cellStyle name="Normal 26 4 2 2 4 26" xfId="57170" xr:uid="{00000000-0005-0000-0000-0000FAC10000}"/>
    <cellStyle name="Normal 26 4 2 2 4 27" xfId="58853" xr:uid="{00000000-0005-0000-0000-0000FBC10000}"/>
    <cellStyle name="Normal 26 4 2 2 4 28" xfId="60536" xr:uid="{00000000-0005-0000-0000-0000FCC10000}"/>
    <cellStyle name="Normal 26 4 2 2 4 29" xfId="62219" xr:uid="{00000000-0005-0000-0000-0000FDC10000}"/>
    <cellStyle name="Normal 26 4 2 2 4 3" xfId="4994" xr:uid="{00000000-0005-0000-0000-0000FEC10000}"/>
    <cellStyle name="Normal 26 4 2 2 4 3 2" xfId="20143" xr:uid="{00000000-0005-0000-0000-0000FFC10000}"/>
    <cellStyle name="Normal 26 4 2 2 4 30" xfId="63902" xr:uid="{00000000-0005-0000-0000-000000C20000}"/>
    <cellStyle name="Normal 26 4 2 2 4 4" xfId="6677" xr:uid="{00000000-0005-0000-0000-000001C20000}"/>
    <cellStyle name="Normal 26 4 2 2 4 4 2" xfId="21826" xr:uid="{00000000-0005-0000-0000-000002C20000}"/>
    <cellStyle name="Normal 26 4 2 2 4 5" xfId="8360" xr:uid="{00000000-0005-0000-0000-000003C20000}"/>
    <cellStyle name="Normal 26 4 2 2 4 5 2" xfId="23509" xr:uid="{00000000-0005-0000-0000-000004C20000}"/>
    <cellStyle name="Normal 26 4 2 2 4 6" xfId="10043" xr:uid="{00000000-0005-0000-0000-000005C20000}"/>
    <cellStyle name="Normal 26 4 2 2 4 6 2" xfId="25192" xr:uid="{00000000-0005-0000-0000-000006C20000}"/>
    <cellStyle name="Normal 26 4 2 2 4 7" xfId="11726" xr:uid="{00000000-0005-0000-0000-000007C20000}"/>
    <cellStyle name="Normal 26 4 2 2 4 7 2" xfId="26875" xr:uid="{00000000-0005-0000-0000-000008C20000}"/>
    <cellStyle name="Normal 26 4 2 2 4 8" xfId="13410" xr:uid="{00000000-0005-0000-0000-000009C20000}"/>
    <cellStyle name="Normal 26 4 2 2 4 8 2" xfId="28559" xr:uid="{00000000-0005-0000-0000-00000AC20000}"/>
    <cellStyle name="Normal 26 4 2 2 4 9" xfId="15093" xr:uid="{00000000-0005-0000-0000-00000BC20000}"/>
    <cellStyle name="Normal 26 4 2 2 4 9 2" xfId="30242" xr:uid="{00000000-0005-0000-0000-00000CC20000}"/>
    <cellStyle name="Normal 26 4 2 2 5" xfId="2048" xr:uid="{00000000-0005-0000-0000-00000DC20000}"/>
    <cellStyle name="Normal 26 4 2 2 5 2" xfId="17197" xr:uid="{00000000-0005-0000-0000-00000EC20000}"/>
    <cellStyle name="Normal 26 4 2 2 6" xfId="3732" xr:uid="{00000000-0005-0000-0000-00000FC20000}"/>
    <cellStyle name="Normal 26 4 2 2 6 2" xfId="18881" xr:uid="{00000000-0005-0000-0000-000010C20000}"/>
    <cellStyle name="Normal 26 4 2 2 7" xfId="5415" xr:uid="{00000000-0005-0000-0000-000011C20000}"/>
    <cellStyle name="Normal 26 4 2 2 7 2" xfId="20564" xr:uid="{00000000-0005-0000-0000-000012C20000}"/>
    <cellStyle name="Normal 26 4 2 2 8" xfId="7098" xr:uid="{00000000-0005-0000-0000-000013C20000}"/>
    <cellStyle name="Normal 26 4 2 2 8 2" xfId="22247" xr:uid="{00000000-0005-0000-0000-000014C20000}"/>
    <cellStyle name="Normal 26 4 2 2 9" xfId="8781" xr:uid="{00000000-0005-0000-0000-000015C20000}"/>
    <cellStyle name="Normal 26 4 2 2 9 2" xfId="23930" xr:uid="{00000000-0005-0000-0000-000016C20000}"/>
    <cellStyle name="Normal 26 4 2 20" xfId="38868" xr:uid="{00000000-0005-0000-0000-000017C20000}"/>
    <cellStyle name="Normal 26 4 2 21" xfId="40551" xr:uid="{00000000-0005-0000-0000-000018C20000}"/>
    <cellStyle name="Normal 26 4 2 22" xfId="42234" xr:uid="{00000000-0005-0000-0000-000019C20000}"/>
    <cellStyle name="Normal 26 4 2 23" xfId="43917" xr:uid="{00000000-0005-0000-0000-00001AC20000}"/>
    <cellStyle name="Normal 26 4 2 24" xfId="45600" xr:uid="{00000000-0005-0000-0000-00001BC20000}"/>
    <cellStyle name="Normal 26 4 2 25" xfId="47283" xr:uid="{00000000-0005-0000-0000-00001CC20000}"/>
    <cellStyle name="Normal 26 4 2 26" xfId="48966" xr:uid="{00000000-0005-0000-0000-00001DC20000}"/>
    <cellStyle name="Normal 26 4 2 27" xfId="50649" xr:uid="{00000000-0005-0000-0000-00001EC20000}"/>
    <cellStyle name="Normal 26 4 2 28" xfId="52332" xr:uid="{00000000-0005-0000-0000-00001FC20000}"/>
    <cellStyle name="Normal 26 4 2 29" xfId="54015" xr:uid="{00000000-0005-0000-0000-000020C20000}"/>
    <cellStyle name="Normal 26 4 2 3" xfId="575" xr:uid="{00000000-0005-0000-0000-000021C20000}"/>
    <cellStyle name="Normal 26 4 2 3 10" xfId="15724" xr:uid="{00000000-0005-0000-0000-000022C20000}"/>
    <cellStyle name="Normal 26 4 2 3 11" xfId="30873" xr:uid="{00000000-0005-0000-0000-000023C20000}"/>
    <cellStyle name="Normal 26 4 2 3 12" xfId="32556" xr:uid="{00000000-0005-0000-0000-000024C20000}"/>
    <cellStyle name="Normal 26 4 2 3 13" xfId="34239" xr:uid="{00000000-0005-0000-0000-000025C20000}"/>
    <cellStyle name="Normal 26 4 2 3 14" xfId="35922" xr:uid="{00000000-0005-0000-0000-000026C20000}"/>
    <cellStyle name="Normal 26 4 2 3 15" xfId="37605" xr:uid="{00000000-0005-0000-0000-000027C20000}"/>
    <cellStyle name="Normal 26 4 2 3 16" xfId="39288" xr:uid="{00000000-0005-0000-0000-000028C20000}"/>
    <cellStyle name="Normal 26 4 2 3 17" xfId="40971" xr:uid="{00000000-0005-0000-0000-000029C20000}"/>
    <cellStyle name="Normal 26 4 2 3 18" xfId="42654" xr:uid="{00000000-0005-0000-0000-00002AC20000}"/>
    <cellStyle name="Normal 26 4 2 3 19" xfId="44337" xr:uid="{00000000-0005-0000-0000-00002BC20000}"/>
    <cellStyle name="Normal 26 4 2 3 2" xfId="2258" xr:uid="{00000000-0005-0000-0000-00002CC20000}"/>
    <cellStyle name="Normal 26 4 2 3 2 2" xfId="17407" xr:uid="{00000000-0005-0000-0000-00002DC20000}"/>
    <cellStyle name="Normal 26 4 2 3 20" xfId="46020" xr:uid="{00000000-0005-0000-0000-00002EC20000}"/>
    <cellStyle name="Normal 26 4 2 3 21" xfId="47703" xr:uid="{00000000-0005-0000-0000-00002FC20000}"/>
    <cellStyle name="Normal 26 4 2 3 22" xfId="49386" xr:uid="{00000000-0005-0000-0000-000030C20000}"/>
    <cellStyle name="Normal 26 4 2 3 23" xfId="51069" xr:uid="{00000000-0005-0000-0000-000031C20000}"/>
    <cellStyle name="Normal 26 4 2 3 24" xfId="52752" xr:uid="{00000000-0005-0000-0000-000032C20000}"/>
    <cellStyle name="Normal 26 4 2 3 25" xfId="54435" xr:uid="{00000000-0005-0000-0000-000033C20000}"/>
    <cellStyle name="Normal 26 4 2 3 26" xfId="56118" xr:uid="{00000000-0005-0000-0000-000034C20000}"/>
    <cellStyle name="Normal 26 4 2 3 27" xfId="57801" xr:uid="{00000000-0005-0000-0000-000035C20000}"/>
    <cellStyle name="Normal 26 4 2 3 28" xfId="59484" xr:uid="{00000000-0005-0000-0000-000036C20000}"/>
    <cellStyle name="Normal 26 4 2 3 29" xfId="61167" xr:uid="{00000000-0005-0000-0000-000037C20000}"/>
    <cellStyle name="Normal 26 4 2 3 3" xfId="3942" xr:uid="{00000000-0005-0000-0000-000038C20000}"/>
    <cellStyle name="Normal 26 4 2 3 3 2" xfId="19091" xr:uid="{00000000-0005-0000-0000-000039C20000}"/>
    <cellStyle name="Normal 26 4 2 3 30" xfId="62850" xr:uid="{00000000-0005-0000-0000-00003AC20000}"/>
    <cellStyle name="Normal 26 4 2 3 4" xfId="5625" xr:uid="{00000000-0005-0000-0000-00003BC20000}"/>
    <cellStyle name="Normal 26 4 2 3 4 2" xfId="20774" xr:uid="{00000000-0005-0000-0000-00003CC20000}"/>
    <cellStyle name="Normal 26 4 2 3 5" xfId="7308" xr:uid="{00000000-0005-0000-0000-00003DC20000}"/>
    <cellStyle name="Normal 26 4 2 3 5 2" xfId="22457" xr:uid="{00000000-0005-0000-0000-00003EC20000}"/>
    <cellStyle name="Normal 26 4 2 3 6" xfId="8991" xr:uid="{00000000-0005-0000-0000-00003FC20000}"/>
    <cellStyle name="Normal 26 4 2 3 6 2" xfId="24140" xr:uid="{00000000-0005-0000-0000-000040C20000}"/>
    <cellStyle name="Normal 26 4 2 3 7" xfId="10674" xr:uid="{00000000-0005-0000-0000-000041C20000}"/>
    <cellStyle name="Normal 26 4 2 3 7 2" xfId="25823" xr:uid="{00000000-0005-0000-0000-000042C20000}"/>
    <cellStyle name="Normal 26 4 2 3 8" xfId="12358" xr:uid="{00000000-0005-0000-0000-000043C20000}"/>
    <cellStyle name="Normal 26 4 2 3 8 2" xfId="27507" xr:uid="{00000000-0005-0000-0000-000044C20000}"/>
    <cellStyle name="Normal 26 4 2 3 9" xfId="14041" xr:uid="{00000000-0005-0000-0000-000045C20000}"/>
    <cellStyle name="Normal 26 4 2 3 9 2" xfId="29190" xr:uid="{00000000-0005-0000-0000-000046C20000}"/>
    <cellStyle name="Normal 26 4 2 30" xfId="55698" xr:uid="{00000000-0005-0000-0000-000047C20000}"/>
    <cellStyle name="Normal 26 4 2 31" xfId="57381" xr:uid="{00000000-0005-0000-0000-000048C20000}"/>
    <cellStyle name="Normal 26 4 2 32" xfId="59064" xr:uid="{00000000-0005-0000-0000-000049C20000}"/>
    <cellStyle name="Normal 26 4 2 33" xfId="60747" xr:uid="{00000000-0005-0000-0000-00004AC20000}"/>
    <cellStyle name="Normal 26 4 2 34" xfId="62430" xr:uid="{00000000-0005-0000-0000-00004BC20000}"/>
    <cellStyle name="Normal 26 4 2 4" xfId="996" xr:uid="{00000000-0005-0000-0000-00004CC20000}"/>
    <cellStyle name="Normal 26 4 2 4 10" xfId="16145" xr:uid="{00000000-0005-0000-0000-00004DC20000}"/>
    <cellStyle name="Normal 26 4 2 4 11" xfId="31294" xr:uid="{00000000-0005-0000-0000-00004EC20000}"/>
    <cellStyle name="Normal 26 4 2 4 12" xfId="32977" xr:uid="{00000000-0005-0000-0000-00004FC20000}"/>
    <cellStyle name="Normal 26 4 2 4 13" xfId="34660" xr:uid="{00000000-0005-0000-0000-000050C20000}"/>
    <cellStyle name="Normal 26 4 2 4 14" xfId="36343" xr:uid="{00000000-0005-0000-0000-000051C20000}"/>
    <cellStyle name="Normal 26 4 2 4 15" xfId="38026" xr:uid="{00000000-0005-0000-0000-000052C20000}"/>
    <cellStyle name="Normal 26 4 2 4 16" xfId="39709" xr:uid="{00000000-0005-0000-0000-000053C20000}"/>
    <cellStyle name="Normal 26 4 2 4 17" xfId="41392" xr:uid="{00000000-0005-0000-0000-000054C20000}"/>
    <cellStyle name="Normal 26 4 2 4 18" xfId="43075" xr:uid="{00000000-0005-0000-0000-000055C20000}"/>
    <cellStyle name="Normal 26 4 2 4 19" xfId="44758" xr:uid="{00000000-0005-0000-0000-000056C20000}"/>
    <cellStyle name="Normal 26 4 2 4 2" xfId="2679" xr:uid="{00000000-0005-0000-0000-000057C20000}"/>
    <cellStyle name="Normal 26 4 2 4 2 2" xfId="17828" xr:uid="{00000000-0005-0000-0000-000058C20000}"/>
    <cellStyle name="Normal 26 4 2 4 20" xfId="46441" xr:uid="{00000000-0005-0000-0000-000059C20000}"/>
    <cellStyle name="Normal 26 4 2 4 21" xfId="48124" xr:uid="{00000000-0005-0000-0000-00005AC20000}"/>
    <cellStyle name="Normal 26 4 2 4 22" xfId="49807" xr:uid="{00000000-0005-0000-0000-00005BC20000}"/>
    <cellStyle name="Normal 26 4 2 4 23" xfId="51490" xr:uid="{00000000-0005-0000-0000-00005CC20000}"/>
    <cellStyle name="Normal 26 4 2 4 24" xfId="53173" xr:uid="{00000000-0005-0000-0000-00005DC20000}"/>
    <cellStyle name="Normal 26 4 2 4 25" xfId="54856" xr:uid="{00000000-0005-0000-0000-00005EC20000}"/>
    <cellStyle name="Normal 26 4 2 4 26" xfId="56539" xr:uid="{00000000-0005-0000-0000-00005FC20000}"/>
    <cellStyle name="Normal 26 4 2 4 27" xfId="58222" xr:uid="{00000000-0005-0000-0000-000060C20000}"/>
    <cellStyle name="Normal 26 4 2 4 28" xfId="59905" xr:uid="{00000000-0005-0000-0000-000061C20000}"/>
    <cellStyle name="Normal 26 4 2 4 29" xfId="61588" xr:uid="{00000000-0005-0000-0000-000062C20000}"/>
    <cellStyle name="Normal 26 4 2 4 3" xfId="4363" xr:uid="{00000000-0005-0000-0000-000063C20000}"/>
    <cellStyle name="Normal 26 4 2 4 3 2" xfId="19512" xr:uid="{00000000-0005-0000-0000-000064C20000}"/>
    <cellStyle name="Normal 26 4 2 4 30" xfId="63271" xr:uid="{00000000-0005-0000-0000-000065C20000}"/>
    <cellStyle name="Normal 26 4 2 4 4" xfId="6046" xr:uid="{00000000-0005-0000-0000-000066C20000}"/>
    <cellStyle name="Normal 26 4 2 4 4 2" xfId="21195" xr:uid="{00000000-0005-0000-0000-000067C20000}"/>
    <cellStyle name="Normal 26 4 2 4 5" xfId="7729" xr:uid="{00000000-0005-0000-0000-000068C20000}"/>
    <cellStyle name="Normal 26 4 2 4 5 2" xfId="22878" xr:uid="{00000000-0005-0000-0000-000069C20000}"/>
    <cellStyle name="Normal 26 4 2 4 6" xfId="9412" xr:uid="{00000000-0005-0000-0000-00006AC20000}"/>
    <cellStyle name="Normal 26 4 2 4 6 2" xfId="24561" xr:uid="{00000000-0005-0000-0000-00006BC20000}"/>
    <cellStyle name="Normal 26 4 2 4 7" xfId="11095" xr:uid="{00000000-0005-0000-0000-00006CC20000}"/>
    <cellStyle name="Normal 26 4 2 4 7 2" xfId="26244" xr:uid="{00000000-0005-0000-0000-00006DC20000}"/>
    <cellStyle name="Normal 26 4 2 4 8" xfId="12779" xr:uid="{00000000-0005-0000-0000-00006EC20000}"/>
    <cellStyle name="Normal 26 4 2 4 8 2" xfId="27928" xr:uid="{00000000-0005-0000-0000-00006FC20000}"/>
    <cellStyle name="Normal 26 4 2 4 9" xfId="14462" xr:uid="{00000000-0005-0000-0000-000070C20000}"/>
    <cellStyle name="Normal 26 4 2 4 9 2" xfId="29611" xr:uid="{00000000-0005-0000-0000-000071C20000}"/>
    <cellStyle name="Normal 26 4 2 5" xfId="1417" xr:uid="{00000000-0005-0000-0000-000072C20000}"/>
    <cellStyle name="Normal 26 4 2 5 10" xfId="16566" xr:uid="{00000000-0005-0000-0000-000073C20000}"/>
    <cellStyle name="Normal 26 4 2 5 11" xfId="31715" xr:uid="{00000000-0005-0000-0000-000074C20000}"/>
    <cellStyle name="Normal 26 4 2 5 12" xfId="33398" xr:uid="{00000000-0005-0000-0000-000075C20000}"/>
    <cellStyle name="Normal 26 4 2 5 13" xfId="35081" xr:uid="{00000000-0005-0000-0000-000076C20000}"/>
    <cellStyle name="Normal 26 4 2 5 14" xfId="36764" xr:uid="{00000000-0005-0000-0000-000077C20000}"/>
    <cellStyle name="Normal 26 4 2 5 15" xfId="38447" xr:uid="{00000000-0005-0000-0000-000078C20000}"/>
    <cellStyle name="Normal 26 4 2 5 16" xfId="40130" xr:uid="{00000000-0005-0000-0000-000079C20000}"/>
    <cellStyle name="Normal 26 4 2 5 17" xfId="41813" xr:uid="{00000000-0005-0000-0000-00007AC20000}"/>
    <cellStyle name="Normal 26 4 2 5 18" xfId="43496" xr:uid="{00000000-0005-0000-0000-00007BC20000}"/>
    <cellStyle name="Normal 26 4 2 5 19" xfId="45179" xr:uid="{00000000-0005-0000-0000-00007CC20000}"/>
    <cellStyle name="Normal 26 4 2 5 2" xfId="3100" xr:uid="{00000000-0005-0000-0000-00007DC20000}"/>
    <cellStyle name="Normal 26 4 2 5 2 2" xfId="18249" xr:uid="{00000000-0005-0000-0000-00007EC20000}"/>
    <cellStyle name="Normal 26 4 2 5 20" xfId="46862" xr:uid="{00000000-0005-0000-0000-00007FC20000}"/>
    <cellStyle name="Normal 26 4 2 5 21" xfId="48545" xr:uid="{00000000-0005-0000-0000-000080C20000}"/>
    <cellStyle name="Normal 26 4 2 5 22" xfId="50228" xr:uid="{00000000-0005-0000-0000-000081C20000}"/>
    <cellStyle name="Normal 26 4 2 5 23" xfId="51911" xr:uid="{00000000-0005-0000-0000-000082C20000}"/>
    <cellStyle name="Normal 26 4 2 5 24" xfId="53594" xr:uid="{00000000-0005-0000-0000-000083C20000}"/>
    <cellStyle name="Normal 26 4 2 5 25" xfId="55277" xr:uid="{00000000-0005-0000-0000-000084C20000}"/>
    <cellStyle name="Normal 26 4 2 5 26" xfId="56960" xr:uid="{00000000-0005-0000-0000-000085C20000}"/>
    <cellStyle name="Normal 26 4 2 5 27" xfId="58643" xr:uid="{00000000-0005-0000-0000-000086C20000}"/>
    <cellStyle name="Normal 26 4 2 5 28" xfId="60326" xr:uid="{00000000-0005-0000-0000-000087C20000}"/>
    <cellStyle name="Normal 26 4 2 5 29" xfId="62009" xr:uid="{00000000-0005-0000-0000-000088C20000}"/>
    <cellStyle name="Normal 26 4 2 5 3" xfId="4784" xr:uid="{00000000-0005-0000-0000-000089C20000}"/>
    <cellStyle name="Normal 26 4 2 5 3 2" xfId="19933" xr:uid="{00000000-0005-0000-0000-00008AC20000}"/>
    <cellStyle name="Normal 26 4 2 5 30" xfId="63692" xr:uid="{00000000-0005-0000-0000-00008BC20000}"/>
    <cellStyle name="Normal 26 4 2 5 4" xfId="6467" xr:uid="{00000000-0005-0000-0000-00008CC20000}"/>
    <cellStyle name="Normal 26 4 2 5 4 2" xfId="21616" xr:uid="{00000000-0005-0000-0000-00008DC20000}"/>
    <cellStyle name="Normal 26 4 2 5 5" xfId="8150" xr:uid="{00000000-0005-0000-0000-00008EC20000}"/>
    <cellStyle name="Normal 26 4 2 5 5 2" xfId="23299" xr:uid="{00000000-0005-0000-0000-00008FC20000}"/>
    <cellStyle name="Normal 26 4 2 5 6" xfId="9833" xr:uid="{00000000-0005-0000-0000-000090C20000}"/>
    <cellStyle name="Normal 26 4 2 5 6 2" xfId="24982" xr:uid="{00000000-0005-0000-0000-000091C20000}"/>
    <cellStyle name="Normal 26 4 2 5 7" xfId="11516" xr:uid="{00000000-0005-0000-0000-000092C20000}"/>
    <cellStyle name="Normal 26 4 2 5 7 2" xfId="26665" xr:uid="{00000000-0005-0000-0000-000093C20000}"/>
    <cellStyle name="Normal 26 4 2 5 8" xfId="13200" xr:uid="{00000000-0005-0000-0000-000094C20000}"/>
    <cellStyle name="Normal 26 4 2 5 8 2" xfId="28349" xr:uid="{00000000-0005-0000-0000-000095C20000}"/>
    <cellStyle name="Normal 26 4 2 5 9" xfId="14883" xr:uid="{00000000-0005-0000-0000-000096C20000}"/>
    <cellStyle name="Normal 26 4 2 5 9 2" xfId="30032" xr:uid="{00000000-0005-0000-0000-000097C20000}"/>
    <cellStyle name="Normal 26 4 2 6" xfId="1838" xr:uid="{00000000-0005-0000-0000-000098C20000}"/>
    <cellStyle name="Normal 26 4 2 6 2" xfId="16987" xr:uid="{00000000-0005-0000-0000-000099C20000}"/>
    <cellStyle name="Normal 26 4 2 7" xfId="3522" xr:uid="{00000000-0005-0000-0000-00009AC20000}"/>
    <cellStyle name="Normal 26 4 2 7 2" xfId="18671" xr:uid="{00000000-0005-0000-0000-00009BC20000}"/>
    <cellStyle name="Normal 26 4 2 8" xfId="5205" xr:uid="{00000000-0005-0000-0000-00009CC20000}"/>
    <cellStyle name="Normal 26 4 2 8 2" xfId="20354" xr:uid="{00000000-0005-0000-0000-00009DC20000}"/>
    <cellStyle name="Normal 26 4 2 9" xfId="6888" xr:uid="{00000000-0005-0000-0000-00009EC20000}"/>
    <cellStyle name="Normal 26 4 2 9 2" xfId="22037" xr:uid="{00000000-0005-0000-0000-00009FC20000}"/>
    <cellStyle name="Normal 26 4 20" xfId="37080" xr:uid="{00000000-0005-0000-0000-0000A0C20000}"/>
    <cellStyle name="Normal 26 4 21" xfId="38763" xr:uid="{00000000-0005-0000-0000-0000A1C20000}"/>
    <cellStyle name="Normal 26 4 22" xfId="40446" xr:uid="{00000000-0005-0000-0000-0000A2C20000}"/>
    <cellStyle name="Normal 26 4 23" xfId="42129" xr:uid="{00000000-0005-0000-0000-0000A3C20000}"/>
    <cellStyle name="Normal 26 4 24" xfId="43812" xr:uid="{00000000-0005-0000-0000-0000A4C20000}"/>
    <cellStyle name="Normal 26 4 25" xfId="45495" xr:uid="{00000000-0005-0000-0000-0000A5C20000}"/>
    <cellStyle name="Normal 26 4 26" xfId="47178" xr:uid="{00000000-0005-0000-0000-0000A6C20000}"/>
    <cellStyle name="Normal 26 4 27" xfId="48861" xr:uid="{00000000-0005-0000-0000-0000A7C20000}"/>
    <cellStyle name="Normal 26 4 28" xfId="50544" xr:uid="{00000000-0005-0000-0000-0000A8C20000}"/>
    <cellStyle name="Normal 26 4 29" xfId="52227" xr:uid="{00000000-0005-0000-0000-0000A9C20000}"/>
    <cellStyle name="Normal 26 4 3" xfId="260" xr:uid="{00000000-0005-0000-0000-0000AAC20000}"/>
    <cellStyle name="Normal 26 4 3 10" xfId="10359" xr:uid="{00000000-0005-0000-0000-0000ABC20000}"/>
    <cellStyle name="Normal 26 4 3 10 2" xfId="25508" xr:uid="{00000000-0005-0000-0000-0000ACC20000}"/>
    <cellStyle name="Normal 26 4 3 11" xfId="12043" xr:uid="{00000000-0005-0000-0000-0000ADC20000}"/>
    <cellStyle name="Normal 26 4 3 11 2" xfId="27192" xr:uid="{00000000-0005-0000-0000-0000AEC20000}"/>
    <cellStyle name="Normal 26 4 3 12" xfId="13726" xr:uid="{00000000-0005-0000-0000-0000AFC20000}"/>
    <cellStyle name="Normal 26 4 3 12 2" xfId="28875" xr:uid="{00000000-0005-0000-0000-0000B0C20000}"/>
    <cellStyle name="Normal 26 4 3 13" xfId="15409" xr:uid="{00000000-0005-0000-0000-0000B1C20000}"/>
    <cellStyle name="Normal 26 4 3 14" xfId="30558" xr:uid="{00000000-0005-0000-0000-0000B2C20000}"/>
    <cellStyle name="Normal 26 4 3 15" xfId="32241" xr:uid="{00000000-0005-0000-0000-0000B3C20000}"/>
    <cellStyle name="Normal 26 4 3 16" xfId="33924" xr:uid="{00000000-0005-0000-0000-0000B4C20000}"/>
    <cellStyle name="Normal 26 4 3 17" xfId="35607" xr:uid="{00000000-0005-0000-0000-0000B5C20000}"/>
    <cellStyle name="Normal 26 4 3 18" xfId="37290" xr:uid="{00000000-0005-0000-0000-0000B6C20000}"/>
    <cellStyle name="Normal 26 4 3 19" xfId="38973" xr:uid="{00000000-0005-0000-0000-0000B7C20000}"/>
    <cellStyle name="Normal 26 4 3 2" xfId="680" xr:uid="{00000000-0005-0000-0000-0000B8C20000}"/>
    <cellStyle name="Normal 26 4 3 2 10" xfId="15829" xr:uid="{00000000-0005-0000-0000-0000B9C20000}"/>
    <cellStyle name="Normal 26 4 3 2 11" xfId="30978" xr:uid="{00000000-0005-0000-0000-0000BAC20000}"/>
    <cellStyle name="Normal 26 4 3 2 12" xfId="32661" xr:uid="{00000000-0005-0000-0000-0000BBC20000}"/>
    <cellStyle name="Normal 26 4 3 2 13" xfId="34344" xr:uid="{00000000-0005-0000-0000-0000BCC20000}"/>
    <cellStyle name="Normal 26 4 3 2 14" xfId="36027" xr:uid="{00000000-0005-0000-0000-0000BDC20000}"/>
    <cellStyle name="Normal 26 4 3 2 15" xfId="37710" xr:uid="{00000000-0005-0000-0000-0000BEC20000}"/>
    <cellStyle name="Normal 26 4 3 2 16" xfId="39393" xr:uid="{00000000-0005-0000-0000-0000BFC20000}"/>
    <cellStyle name="Normal 26 4 3 2 17" xfId="41076" xr:uid="{00000000-0005-0000-0000-0000C0C20000}"/>
    <cellStyle name="Normal 26 4 3 2 18" xfId="42759" xr:uid="{00000000-0005-0000-0000-0000C1C20000}"/>
    <cellStyle name="Normal 26 4 3 2 19" xfId="44442" xr:uid="{00000000-0005-0000-0000-0000C2C20000}"/>
    <cellStyle name="Normal 26 4 3 2 2" xfId="2363" xr:uid="{00000000-0005-0000-0000-0000C3C20000}"/>
    <cellStyle name="Normal 26 4 3 2 2 2" xfId="17512" xr:uid="{00000000-0005-0000-0000-0000C4C20000}"/>
    <cellStyle name="Normal 26 4 3 2 20" xfId="46125" xr:uid="{00000000-0005-0000-0000-0000C5C20000}"/>
    <cellStyle name="Normal 26 4 3 2 21" xfId="47808" xr:uid="{00000000-0005-0000-0000-0000C6C20000}"/>
    <cellStyle name="Normal 26 4 3 2 22" xfId="49491" xr:uid="{00000000-0005-0000-0000-0000C7C20000}"/>
    <cellStyle name="Normal 26 4 3 2 23" xfId="51174" xr:uid="{00000000-0005-0000-0000-0000C8C20000}"/>
    <cellStyle name="Normal 26 4 3 2 24" xfId="52857" xr:uid="{00000000-0005-0000-0000-0000C9C20000}"/>
    <cellStyle name="Normal 26 4 3 2 25" xfId="54540" xr:uid="{00000000-0005-0000-0000-0000CAC20000}"/>
    <cellStyle name="Normal 26 4 3 2 26" xfId="56223" xr:uid="{00000000-0005-0000-0000-0000CBC20000}"/>
    <cellStyle name="Normal 26 4 3 2 27" xfId="57906" xr:uid="{00000000-0005-0000-0000-0000CCC20000}"/>
    <cellStyle name="Normal 26 4 3 2 28" xfId="59589" xr:uid="{00000000-0005-0000-0000-0000CDC20000}"/>
    <cellStyle name="Normal 26 4 3 2 29" xfId="61272" xr:uid="{00000000-0005-0000-0000-0000CEC20000}"/>
    <cellStyle name="Normal 26 4 3 2 3" xfId="4047" xr:uid="{00000000-0005-0000-0000-0000CFC20000}"/>
    <cellStyle name="Normal 26 4 3 2 3 2" xfId="19196" xr:uid="{00000000-0005-0000-0000-0000D0C20000}"/>
    <cellStyle name="Normal 26 4 3 2 30" xfId="62955" xr:uid="{00000000-0005-0000-0000-0000D1C20000}"/>
    <cellStyle name="Normal 26 4 3 2 4" xfId="5730" xr:uid="{00000000-0005-0000-0000-0000D2C20000}"/>
    <cellStyle name="Normal 26 4 3 2 4 2" xfId="20879" xr:uid="{00000000-0005-0000-0000-0000D3C20000}"/>
    <cellStyle name="Normal 26 4 3 2 5" xfId="7413" xr:uid="{00000000-0005-0000-0000-0000D4C20000}"/>
    <cellStyle name="Normal 26 4 3 2 5 2" xfId="22562" xr:uid="{00000000-0005-0000-0000-0000D5C20000}"/>
    <cellStyle name="Normal 26 4 3 2 6" xfId="9096" xr:uid="{00000000-0005-0000-0000-0000D6C20000}"/>
    <cellStyle name="Normal 26 4 3 2 6 2" xfId="24245" xr:uid="{00000000-0005-0000-0000-0000D7C20000}"/>
    <cellStyle name="Normal 26 4 3 2 7" xfId="10779" xr:uid="{00000000-0005-0000-0000-0000D8C20000}"/>
    <cellStyle name="Normal 26 4 3 2 7 2" xfId="25928" xr:uid="{00000000-0005-0000-0000-0000D9C20000}"/>
    <cellStyle name="Normal 26 4 3 2 8" xfId="12463" xr:uid="{00000000-0005-0000-0000-0000DAC20000}"/>
    <cellStyle name="Normal 26 4 3 2 8 2" xfId="27612" xr:uid="{00000000-0005-0000-0000-0000DBC20000}"/>
    <cellStyle name="Normal 26 4 3 2 9" xfId="14146" xr:uid="{00000000-0005-0000-0000-0000DCC20000}"/>
    <cellStyle name="Normal 26 4 3 2 9 2" xfId="29295" xr:uid="{00000000-0005-0000-0000-0000DDC20000}"/>
    <cellStyle name="Normal 26 4 3 20" xfId="40656" xr:uid="{00000000-0005-0000-0000-0000DEC20000}"/>
    <cellStyle name="Normal 26 4 3 21" xfId="42339" xr:uid="{00000000-0005-0000-0000-0000DFC20000}"/>
    <cellStyle name="Normal 26 4 3 22" xfId="44022" xr:uid="{00000000-0005-0000-0000-0000E0C20000}"/>
    <cellStyle name="Normal 26 4 3 23" xfId="45705" xr:uid="{00000000-0005-0000-0000-0000E1C20000}"/>
    <cellStyle name="Normal 26 4 3 24" xfId="47388" xr:uid="{00000000-0005-0000-0000-0000E2C20000}"/>
    <cellStyle name="Normal 26 4 3 25" xfId="49071" xr:uid="{00000000-0005-0000-0000-0000E3C20000}"/>
    <cellStyle name="Normal 26 4 3 26" xfId="50754" xr:uid="{00000000-0005-0000-0000-0000E4C20000}"/>
    <cellStyle name="Normal 26 4 3 27" xfId="52437" xr:uid="{00000000-0005-0000-0000-0000E5C20000}"/>
    <cellStyle name="Normal 26 4 3 28" xfId="54120" xr:uid="{00000000-0005-0000-0000-0000E6C20000}"/>
    <cellStyle name="Normal 26 4 3 29" xfId="55803" xr:uid="{00000000-0005-0000-0000-0000E7C20000}"/>
    <cellStyle name="Normal 26 4 3 3" xfId="1101" xr:uid="{00000000-0005-0000-0000-0000E8C20000}"/>
    <cellStyle name="Normal 26 4 3 3 10" xfId="16250" xr:uid="{00000000-0005-0000-0000-0000E9C20000}"/>
    <cellStyle name="Normal 26 4 3 3 11" xfId="31399" xr:uid="{00000000-0005-0000-0000-0000EAC20000}"/>
    <cellStyle name="Normal 26 4 3 3 12" xfId="33082" xr:uid="{00000000-0005-0000-0000-0000EBC20000}"/>
    <cellStyle name="Normal 26 4 3 3 13" xfId="34765" xr:uid="{00000000-0005-0000-0000-0000ECC20000}"/>
    <cellStyle name="Normal 26 4 3 3 14" xfId="36448" xr:uid="{00000000-0005-0000-0000-0000EDC20000}"/>
    <cellStyle name="Normal 26 4 3 3 15" xfId="38131" xr:uid="{00000000-0005-0000-0000-0000EEC20000}"/>
    <cellStyle name="Normal 26 4 3 3 16" xfId="39814" xr:uid="{00000000-0005-0000-0000-0000EFC20000}"/>
    <cellStyle name="Normal 26 4 3 3 17" xfId="41497" xr:uid="{00000000-0005-0000-0000-0000F0C20000}"/>
    <cellStyle name="Normal 26 4 3 3 18" xfId="43180" xr:uid="{00000000-0005-0000-0000-0000F1C20000}"/>
    <cellStyle name="Normal 26 4 3 3 19" xfId="44863" xr:uid="{00000000-0005-0000-0000-0000F2C20000}"/>
    <cellStyle name="Normal 26 4 3 3 2" xfId="2784" xr:uid="{00000000-0005-0000-0000-0000F3C20000}"/>
    <cellStyle name="Normal 26 4 3 3 2 2" xfId="17933" xr:uid="{00000000-0005-0000-0000-0000F4C20000}"/>
    <cellStyle name="Normal 26 4 3 3 20" xfId="46546" xr:uid="{00000000-0005-0000-0000-0000F5C20000}"/>
    <cellStyle name="Normal 26 4 3 3 21" xfId="48229" xr:uid="{00000000-0005-0000-0000-0000F6C20000}"/>
    <cellStyle name="Normal 26 4 3 3 22" xfId="49912" xr:uid="{00000000-0005-0000-0000-0000F7C20000}"/>
    <cellStyle name="Normal 26 4 3 3 23" xfId="51595" xr:uid="{00000000-0005-0000-0000-0000F8C20000}"/>
    <cellStyle name="Normal 26 4 3 3 24" xfId="53278" xr:uid="{00000000-0005-0000-0000-0000F9C20000}"/>
    <cellStyle name="Normal 26 4 3 3 25" xfId="54961" xr:uid="{00000000-0005-0000-0000-0000FAC20000}"/>
    <cellStyle name="Normal 26 4 3 3 26" xfId="56644" xr:uid="{00000000-0005-0000-0000-0000FBC20000}"/>
    <cellStyle name="Normal 26 4 3 3 27" xfId="58327" xr:uid="{00000000-0005-0000-0000-0000FCC20000}"/>
    <cellStyle name="Normal 26 4 3 3 28" xfId="60010" xr:uid="{00000000-0005-0000-0000-0000FDC20000}"/>
    <cellStyle name="Normal 26 4 3 3 29" xfId="61693" xr:uid="{00000000-0005-0000-0000-0000FEC20000}"/>
    <cellStyle name="Normal 26 4 3 3 3" xfId="4468" xr:uid="{00000000-0005-0000-0000-0000FFC20000}"/>
    <cellStyle name="Normal 26 4 3 3 3 2" xfId="19617" xr:uid="{00000000-0005-0000-0000-000000C30000}"/>
    <cellStyle name="Normal 26 4 3 3 30" xfId="63376" xr:uid="{00000000-0005-0000-0000-000001C30000}"/>
    <cellStyle name="Normal 26 4 3 3 4" xfId="6151" xr:uid="{00000000-0005-0000-0000-000002C30000}"/>
    <cellStyle name="Normal 26 4 3 3 4 2" xfId="21300" xr:uid="{00000000-0005-0000-0000-000003C30000}"/>
    <cellStyle name="Normal 26 4 3 3 5" xfId="7834" xr:uid="{00000000-0005-0000-0000-000004C30000}"/>
    <cellStyle name="Normal 26 4 3 3 5 2" xfId="22983" xr:uid="{00000000-0005-0000-0000-000005C30000}"/>
    <cellStyle name="Normal 26 4 3 3 6" xfId="9517" xr:uid="{00000000-0005-0000-0000-000006C30000}"/>
    <cellStyle name="Normal 26 4 3 3 6 2" xfId="24666" xr:uid="{00000000-0005-0000-0000-000007C30000}"/>
    <cellStyle name="Normal 26 4 3 3 7" xfId="11200" xr:uid="{00000000-0005-0000-0000-000008C30000}"/>
    <cellStyle name="Normal 26 4 3 3 7 2" xfId="26349" xr:uid="{00000000-0005-0000-0000-000009C30000}"/>
    <cellStyle name="Normal 26 4 3 3 8" xfId="12884" xr:uid="{00000000-0005-0000-0000-00000AC30000}"/>
    <cellStyle name="Normal 26 4 3 3 8 2" xfId="28033" xr:uid="{00000000-0005-0000-0000-00000BC30000}"/>
    <cellStyle name="Normal 26 4 3 3 9" xfId="14567" xr:uid="{00000000-0005-0000-0000-00000CC30000}"/>
    <cellStyle name="Normal 26 4 3 3 9 2" xfId="29716" xr:uid="{00000000-0005-0000-0000-00000DC30000}"/>
    <cellStyle name="Normal 26 4 3 30" xfId="57486" xr:uid="{00000000-0005-0000-0000-00000EC30000}"/>
    <cellStyle name="Normal 26 4 3 31" xfId="59169" xr:uid="{00000000-0005-0000-0000-00000FC30000}"/>
    <cellStyle name="Normal 26 4 3 32" xfId="60852" xr:uid="{00000000-0005-0000-0000-000010C30000}"/>
    <cellStyle name="Normal 26 4 3 33" xfId="62535" xr:uid="{00000000-0005-0000-0000-000011C30000}"/>
    <cellStyle name="Normal 26 4 3 4" xfId="1522" xr:uid="{00000000-0005-0000-0000-000012C30000}"/>
    <cellStyle name="Normal 26 4 3 4 10" xfId="16671" xr:uid="{00000000-0005-0000-0000-000013C30000}"/>
    <cellStyle name="Normal 26 4 3 4 11" xfId="31820" xr:uid="{00000000-0005-0000-0000-000014C30000}"/>
    <cellStyle name="Normal 26 4 3 4 12" xfId="33503" xr:uid="{00000000-0005-0000-0000-000015C30000}"/>
    <cellStyle name="Normal 26 4 3 4 13" xfId="35186" xr:uid="{00000000-0005-0000-0000-000016C30000}"/>
    <cellStyle name="Normal 26 4 3 4 14" xfId="36869" xr:uid="{00000000-0005-0000-0000-000017C30000}"/>
    <cellStyle name="Normal 26 4 3 4 15" xfId="38552" xr:uid="{00000000-0005-0000-0000-000018C30000}"/>
    <cellStyle name="Normal 26 4 3 4 16" xfId="40235" xr:uid="{00000000-0005-0000-0000-000019C30000}"/>
    <cellStyle name="Normal 26 4 3 4 17" xfId="41918" xr:uid="{00000000-0005-0000-0000-00001AC30000}"/>
    <cellStyle name="Normal 26 4 3 4 18" xfId="43601" xr:uid="{00000000-0005-0000-0000-00001BC30000}"/>
    <cellStyle name="Normal 26 4 3 4 19" xfId="45284" xr:uid="{00000000-0005-0000-0000-00001CC30000}"/>
    <cellStyle name="Normal 26 4 3 4 2" xfId="3205" xr:uid="{00000000-0005-0000-0000-00001DC30000}"/>
    <cellStyle name="Normal 26 4 3 4 2 2" xfId="18354" xr:uid="{00000000-0005-0000-0000-00001EC30000}"/>
    <cellStyle name="Normal 26 4 3 4 20" xfId="46967" xr:uid="{00000000-0005-0000-0000-00001FC30000}"/>
    <cellStyle name="Normal 26 4 3 4 21" xfId="48650" xr:uid="{00000000-0005-0000-0000-000020C30000}"/>
    <cellStyle name="Normal 26 4 3 4 22" xfId="50333" xr:uid="{00000000-0005-0000-0000-000021C30000}"/>
    <cellStyle name="Normal 26 4 3 4 23" xfId="52016" xr:uid="{00000000-0005-0000-0000-000022C30000}"/>
    <cellStyle name="Normal 26 4 3 4 24" xfId="53699" xr:uid="{00000000-0005-0000-0000-000023C30000}"/>
    <cellStyle name="Normal 26 4 3 4 25" xfId="55382" xr:uid="{00000000-0005-0000-0000-000024C30000}"/>
    <cellStyle name="Normal 26 4 3 4 26" xfId="57065" xr:uid="{00000000-0005-0000-0000-000025C30000}"/>
    <cellStyle name="Normal 26 4 3 4 27" xfId="58748" xr:uid="{00000000-0005-0000-0000-000026C30000}"/>
    <cellStyle name="Normal 26 4 3 4 28" xfId="60431" xr:uid="{00000000-0005-0000-0000-000027C30000}"/>
    <cellStyle name="Normal 26 4 3 4 29" xfId="62114" xr:uid="{00000000-0005-0000-0000-000028C30000}"/>
    <cellStyle name="Normal 26 4 3 4 3" xfId="4889" xr:uid="{00000000-0005-0000-0000-000029C30000}"/>
    <cellStyle name="Normal 26 4 3 4 3 2" xfId="20038" xr:uid="{00000000-0005-0000-0000-00002AC30000}"/>
    <cellStyle name="Normal 26 4 3 4 30" xfId="63797" xr:uid="{00000000-0005-0000-0000-00002BC30000}"/>
    <cellStyle name="Normal 26 4 3 4 4" xfId="6572" xr:uid="{00000000-0005-0000-0000-00002CC30000}"/>
    <cellStyle name="Normal 26 4 3 4 4 2" xfId="21721" xr:uid="{00000000-0005-0000-0000-00002DC30000}"/>
    <cellStyle name="Normal 26 4 3 4 5" xfId="8255" xr:uid="{00000000-0005-0000-0000-00002EC30000}"/>
    <cellStyle name="Normal 26 4 3 4 5 2" xfId="23404" xr:uid="{00000000-0005-0000-0000-00002FC30000}"/>
    <cellStyle name="Normal 26 4 3 4 6" xfId="9938" xr:uid="{00000000-0005-0000-0000-000030C30000}"/>
    <cellStyle name="Normal 26 4 3 4 6 2" xfId="25087" xr:uid="{00000000-0005-0000-0000-000031C30000}"/>
    <cellStyle name="Normal 26 4 3 4 7" xfId="11621" xr:uid="{00000000-0005-0000-0000-000032C30000}"/>
    <cellStyle name="Normal 26 4 3 4 7 2" xfId="26770" xr:uid="{00000000-0005-0000-0000-000033C30000}"/>
    <cellStyle name="Normal 26 4 3 4 8" xfId="13305" xr:uid="{00000000-0005-0000-0000-000034C30000}"/>
    <cellStyle name="Normal 26 4 3 4 8 2" xfId="28454" xr:uid="{00000000-0005-0000-0000-000035C30000}"/>
    <cellStyle name="Normal 26 4 3 4 9" xfId="14988" xr:uid="{00000000-0005-0000-0000-000036C30000}"/>
    <cellStyle name="Normal 26 4 3 4 9 2" xfId="30137" xr:uid="{00000000-0005-0000-0000-000037C30000}"/>
    <cellStyle name="Normal 26 4 3 5" xfId="1943" xr:uid="{00000000-0005-0000-0000-000038C30000}"/>
    <cellStyle name="Normal 26 4 3 5 2" xfId="17092" xr:uid="{00000000-0005-0000-0000-000039C30000}"/>
    <cellStyle name="Normal 26 4 3 6" xfId="3627" xr:uid="{00000000-0005-0000-0000-00003AC30000}"/>
    <cellStyle name="Normal 26 4 3 6 2" xfId="18776" xr:uid="{00000000-0005-0000-0000-00003BC30000}"/>
    <cellStyle name="Normal 26 4 3 7" xfId="5310" xr:uid="{00000000-0005-0000-0000-00003CC30000}"/>
    <cellStyle name="Normal 26 4 3 7 2" xfId="20459" xr:uid="{00000000-0005-0000-0000-00003DC30000}"/>
    <cellStyle name="Normal 26 4 3 8" xfId="6993" xr:uid="{00000000-0005-0000-0000-00003EC30000}"/>
    <cellStyle name="Normal 26 4 3 8 2" xfId="22142" xr:uid="{00000000-0005-0000-0000-00003FC30000}"/>
    <cellStyle name="Normal 26 4 3 9" xfId="8676" xr:uid="{00000000-0005-0000-0000-000040C30000}"/>
    <cellStyle name="Normal 26 4 3 9 2" xfId="23825" xr:uid="{00000000-0005-0000-0000-000041C30000}"/>
    <cellStyle name="Normal 26 4 30" xfId="53910" xr:uid="{00000000-0005-0000-0000-000042C30000}"/>
    <cellStyle name="Normal 26 4 31" xfId="55593" xr:uid="{00000000-0005-0000-0000-000043C30000}"/>
    <cellStyle name="Normal 26 4 32" xfId="57276" xr:uid="{00000000-0005-0000-0000-000044C30000}"/>
    <cellStyle name="Normal 26 4 33" xfId="58959" xr:uid="{00000000-0005-0000-0000-000045C30000}"/>
    <cellStyle name="Normal 26 4 34" xfId="60642" xr:uid="{00000000-0005-0000-0000-000046C30000}"/>
    <cellStyle name="Normal 26 4 35" xfId="62325" xr:uid="{00000000-0005-0000-0000-000047C30000}"/>
    <cellStyle name="Normal 26 4 4" xfId="470" xr:uid="{00000000-0005-0000-0000-000048C30000}"/>
    <cellStyle name="Normal 26 4 4 10" xfId="15619" xr:uid="{00000000-0005-0000-0000-000049C30000}"/>
    <cellStyle name="Normal 26 4 4 11" xfId="30768" xr:uid="{00000000-0005-0000-0000-00004AC30000}"/>
    <cellStyle name="Normal 26 4 4 12" xfId="32451" xr:uid="{00000000-0005-0000-0000-00004BC30000}"/>
    <cellStyle name="Normal 26 4 4 13" xfId="34134" xr:uid="{00000000-0005-0000-0000-00004CC30000}"/>
    <cellStyle name="Normal 26 4 4 14" xfId="35817" xr:uid="{00000000-0005-0000-0000-00004DC30000}"/>
    <cellStyle name="Normal 26 4 4 15" xfId="37500" xr:uid="{00000000-0005-0000-0000-00004EC30000}"/>
    <cellStyle name="Normal 26 4 4 16" xfId="39183" xr:uid="{00000000-0005-0000-0000-00004FC30000}"/>
    <cellStyle name="Normal 26 4 4 17" xfId="40866" xr:uid="{00000000-0005-0000-0000-000050C30000}"/>
    <cellStyle name="Normal 26 4 4 18" xfId="42549" xr:uid="{00000000-0005-0000-0000-000051C30000}"/>
    <cellStyle name="Normal 26 4 4 19" xfId="44232" xr:uid="{00000000-0005-0000-0000-000052C30000}"/>
    <cellStyle name="Normal 26 4 4 2" xfId="2153" xr:uid="{00000000-0005-0000-0000-000053C30000}"/>
    <cellStyle name="Normal 26 4 4 2 2" xfId="17302" xr:uid="{00000000-0005-0000-0000-000054C30000}"/>
    <cellStyle name="Normal 26 4 4 20" xfId="45915" xr:uid="{00000000-0005-0000-0000-000055C30000}"/>
    <cellStyle name="Normal 26 4 4 21" xfId="47598" xr:uid="{00000000-0005-0000-0000-000056C30000}"/>
    <cellStyle name="Normal 26 4 4 22" xfId="49281" xr:uid="{00000000-0005-0000-0000-000057C30000}"/>
    <cellStyle name="Normal 26 4 4 23" xfId="50964" xr:uid="{00000000-0005-0000-0000-000058C30000}"/>
    <cellStyle name="Normal 26 4 4 24" xfId="52647" xr:uid="{00000000-0005-0000-0000-000059C30000}"/>
    <cellStyle name="Normal 26 4 4 25" xfId="54330" xr:uid="{00000000-0005-0000-0000-00005AC30000}"/>
    <cellStyle name="Normal 26 4 4 26" xfId="56013" xr:uid="{00000000-0005-0000-0000-00005BC30000}"/>
    <cellStyle name="Normal 26 4 4 27" xfId="57696" xr:uid="{00000000-0005-0000-0000-00005CC30000}"/>
    <cellStyle name="Normal 26 4 4 28" xfId="59379" xr:uid="{00000000-0005-0000-0000-00005DC30000}"/>
    <cellStyle name="Normal 26 4 4 29" xfId="61062" xr:uid="{00000000-0005-0000-0000-00005EC30000}"/>
    <cellStyle name="Normal 26 4 4 3" xfId="3837" xr:uid="{00000000-0005-0000-0000-00005FC30000}"/>
    <cellStyle name="Normal 26 4 4 3 2" xfId="18986" xr:uid="{00000000-0005-0000-0000-000060C30000}"/>
    <cellStyle name="Normal 26 4 4 30" xfId="62745" xr:uid="{00000000-0005-0000-0000-000061C30000}"/>
    <cellStyle name="Normal 26 4 4 4" xfId="5520" xr:uid="{00000000-0005-0000-0000-000062C30000}"/>
    <cellStyle name="Normal 26 4 4 4 2" xfId="20669" xr:uid="{00000000-0005-0000-0000-000063C30000}"/>
    <cellStyle name="Normal 26 4 4 5" xfId="7203" xr:uid="{00000000-0005-0000-0000-000064C30000}"/>
    <cellStyle name="Normal 26 4 4 5 2" xfId="22352" xr:uid="{00000000-0005-0000-0000-000065C30000}"/>
    <cellStyle name="Normal 26 4 4 6" xfId="8886" xr:uid="{00000000-0005-0000-0000-000066C30000}"/>
    <cellStyle name="Normal 26 4 4 6 2" xfId="24035" xr:uid="{00000000-0005-0000-0000-000067C30000}"/>
    <cellStyle name="Normal 26 4 4 7" xfId="10569" xr:uid="{00000000-0005-0000-0000-000068C30000}"/>
    <cellStyle name="Normal 26 4 4 7 2" xfId="25718" xr:uid="{00000000-0005-0000-0000-000069C30000}"/>
    <cellStyle name="Normal 26 4 4 8" xfId="12253" xr:uid="{00000000-0005-0000-0000-00006AC30000}"/>
    <cellStyle name="Normal 26 4 4 8 2" xfId="27402" xr:uid="{00000000-0005-0000-0000-00006BC30000}"/>
    <cellStyle name="Normal 26 4 4 9" xfId="13936" xr:uid="{00000000-0005-0000-0000-00006CC30000}"/>
    <cellStyle name="Normal 26 4 4 9 2" xfId="29085" xr:uid="{00000000-0005-0000-0000-00006DC30000}"/>
    <cellStyle name="Normal 26 4 5" xfId="891" xr:uid="{00000000-0005-0000-0000-00006EC30000}"/>
    <cellStyle name="Normal 26 4 5 10" xfId="16040" xr:uid="{00000000-0005-0000-0000-00006FC30000}"/>
    <cellStyle name="Normal 26 4 5 11" xfId="31189" xr:uid="{00000000-0005-0000-0000-000070C30000}"/>
    <cellStyle name="Normal 26 4 5 12" xfId="32872" xr:uid="{00000000-0005-0000-0000-000071C30000}"/>
    <cellStyle name="Normal 26 4 5 13" xfId="34555" xr:uid="{00000000-0005-0000-0000-000072C30000}"/>
    <cellStyle name="Normal 26 4 5 14" xfId="36238" xr:uid="{00000000-0005-0000-0000-000073C30000}"/>
    <cellStyle name="Normal 26 4 5 15" xfId="37921" xr:uid="{00000000-0005-0000-0000-000074C30000}"/>
    <cellStyle name="Normal 26 4 5 16" xfId="39604" xr:uid="{00000000-0005-0000-0000-000075C30000}"/>
    <cellStyle name="Normal 26 4 5 17" xfId="41287" xr:uid="{00000000-0005-0000-0000-000076C30000}"/>
    <cellStyle name="Normal 26 4 5 18" xfId="42970" xr:uid="{00000000-0005-0000-0000-000077C30000}"/>
    <cellStyle name="Normal 26 4 5 19" xfId="44653" xr:uid="{00000000-0005-0000-0000-000078C30000}"/>
    <cellStyle name="Normal 26 4 5 2" xfId="2574" xr:uid="{00000000-0005-0000-0000-000079C30000}"/>
    <cellStyle name="Normal 26 4 5 2 2" xfId="17723" xr:uid="{00000000-0005-0000-0000-00007AC30000}"/>
    <cellStyle name="Normal 26 4 5 20" xfId="46336" xr:uid="{00000000-0005-0000-0000-00007BC30000}"/>
    <cellStyle name="Normal 26 4 5 21" xfId="48019" xr:uid="{00000000-0005-0000-0000-00007CC30000}"/>
    <cellStyle name="Normal 26 4 5 22" xfId="49702" xr:uid="{00000000-0005-0000-0000-00007DC30000}"/>
    <cellStyle name="Normal 26 4 5 23" xfId="51385" xr:uid="{00000000-0005-0000-0000-00007EC30000}"/>
    <cellStyle name="Normal 26 4 5 24" xfId="53068" xr:uid="{00000000-0005-0000-0000-00007FC30000}"/>
    <cellStyle name="Normal 26 4 5 25" xfId="54751" xr:uid="{00000000-0005-0000-0000-000080C30000}"/>
    <cellStyle name="Normal 26 4 5 26" xfId="56434" xr:uid="{00000000-0005-0000-0000-000081C30000}"/>
    <cellStyle name="Normal 26 4 5 27" xfId="58117" xr:uid="{00000000-0005-0000-0000-000082C30000}"/>
    <cellStyle name="Normal 26 4 5 28" xfId="59800" xr:uid="{00000000-0005-0000-0000-000083C30000}"/>
    <cellStyle name="Normal 26 4 5 29" xfId="61483" xr:uid="{00000000-0005-0000-0000-000084C30000}"/>
    <cellStyle name="Normal 26 4 5 3" xfId="4258" xr:uid="{00000000-0005-0000-0000-000085C30000}"/>
    <cellStyle name="Normal 26 4 5 3 2" xfId="19407" xr:uid="{00000000-0005-0000-0000-000086C30000}"/>
    <cellStyle name="Normal 26 4 5 30" xfId="63166" xr:uid="{00000000-0005-0000-0000-000087C30000}"/>
    <cellStyle name="Normal 26 4 5 4" xfId="5941" xr:uid="{00000000-0005-0000-0000-000088C30000}"/>
    <cellStyle name="Normal 26 4 5 4 2" xfId="21090" xr:uid="{00000000-0005-0000-0000-000089C30000}"/>
    <cellStyle name="Normal 26 4 5 5" xfId="7624" xr:uid="{00000000-0005-0000-0000-00008AC30000}"/>
    <cellStyle name="Normal 26 4 5 5 2" xfId="22773" xr:uid="{00000000-0005-0000-0000-00008BC30000}"/>
    <cellStyle name="Normal 26 4 5 6" xfId="9307" xr:uid="{00000000-0005-0000-0000-00008CC30000}"/>
    <cellStyle name="Normal 26 4 5 6 2" xfId="24456" xr:uid="{00000000-0005-0000-0000-00008DC30000}"/>
    <cellStyle name="Normal 26 4 5 7" xfId="10990" xr:uid="{00000000-0005-0000-0000-00008EC30000}"/>
    <cellStyle name="Normal 26 4 5 7 2" xfId="26139" xr:uid="{00000000-0005-0000-0000-00008FC30000}"/>
    <cellStyle name="Normal 26 4 5 8" xfId="12674" xr:uid="{00000000-0005-0000-0000-000090C30000}"/>
    <cellStyle name="Normal 26 4 5 8 2" xfId="27823" xr:uid="{00000000-0005-0000-0000-000091C30000}"/>
    <cellStyle name="Normal 26 4 5 9" xfId="14357" xr:uid="{00000000-0005-0000-0000-000092C30000}"/>
    <cellStyle name="Normal 26 4 5 9 2" xfId="29506" xr:uid="{00000000-0005-0000-0000-000093C30000}"/>
    <cellStyle name="Normal 26 4 6" xfId="1312" xr:uid="{00000000-0005-0000-0000-000094C30000}"/>
    <cellStyle name="Normal 26 4 6 10" xfId="16461" xr:uid="{00000000-0005-0000-0000-000095C30000}"/>
    <cellStyle name="Normal 26 4 6 11" xfId="31610" xr:uid="{00000000-0005-0000-0000-000096C30000}"/>
    <cellStyle name="Normal 26 4 6 12" xfId="33293" xr:uid="{00000000-0005-0000-0000-000097C30000}"/>
    <cellStyle name="Normal 26 4 6 13" xfId="34976" xr:uid="{00000000-0005-0000-0000-000098C30000}"/>
    <cellStyle name="Normal 26 4 6 14" xfId="36659" xr:uid="{00000000-0005-0000-0000-000099C30000}"/>
    <cellStyle name="Normal 26 4 6 15" xfId="38342" xr:uid="{00000000-0005-0000-0000-00009AC30000}"/>
    <cellStyle name="Normal 26 4 6 16" xfId="40025" xr:uid="{00000000-0005-0000-0000-00009BC30000}"/>
    <cellStyle name="Normal 26 4 6 17" xfId="41708" xr:uid="{00000000-0005-0000-0000-00009CC30000}"/>
    <cellStyle name="Normal 26 4 6 18" xfId="43391" xr:uid="{00000000-0005-0000-0000-00009DC30000}"/>
    <cellStyle name="Normal 26 4 6 19" xfId="45074" xr:uid="{00000000-0005-0000-0000-00009EC30000}"/>
    <cellStyle name="Normal 26 4 6 2" xfId="2995" xr:uid="{00000000-0005-0000-0000-00009FC30000}"/>
    <cellStyle name="Normal 26 4 6 2 2" xfId="18144" xr:uid="{00000000-0005-0000-0000-0000A0C30000}"/>
    <cellStyle name="Normal 26 4 6 20" xfId="46757" xr:uid="{00000000-0005-0000-0000-0000A1C30000}"/>
    <cellStyle name="Normal 26 4 6 21" xfId="48440" xr:uid="{00000000-0005-0000-0000-0000A2C30000}"/>
    <cellStyle name="Normal 26 4 6 22" xfId="50123" xr:uid="{00000000-0005-0000-0000-0000A3C30000}"/>
    <cellStyle name="Normal 26 4 6 23" xfId="51806" xr:uid="{00000000-0005-0000-0000-0000A4C30000}"/>
    <cellStyle name="Normal 26 4 6 24" xfId="53489" xr:uid="{00000000-0005-0000-0000-0000A5C30000}"/>
    <cellStyle name="Normal 26 4 6 25" xfId="55172" xr:uid="{00000000-0005-0000-0000-0000A6C30000}"/>
    <cellStyle name="Normal 26 4 6 26" xfId="56855" xr:uid="{00000000-0005-0000-0000-0000A7C30000}"/>
    <cellStyle name="Normal 26 4 6 27" xfId="58538" xr:uid="{00000000-0005-0000-0000-0000A8C30000}"/>
    <cellStyle name="Normal 26 4 6 28" xfId="60221" xr:uid="{00000000-0005-0000-0000-0000A9C30000}"/>
    <cellStyle name="Normal 26 4 6 29" xfId="61904" xr:uid="{00000000-0005-0000-0000-0000AAC30000}"/>
    <cellStyle name="Normal 26 4 6 3" xfId="4679" xr:uid="{00000000-0005-0000-0000-0000ABC30000}"/>
    <cellStyle name="Normal 26 4 6 3 2" xfId="19828" xr:uid="{00000000-0005-0000-0000-0000ACC30000}"/>
    <cellStyle name="Normal 26 4 6 30" xfId="63587" xr:uid="{00000000-0005-0000-0000-0000ADC30000}"/>
    <cellStyle name="Normal 26 4 6 4" xfId="6362" xr:uid="{00000000-0005-0000-0000-0000AEC30000}"/>
    <cellStyle name="Normal 26 4 6 4 2" xfId="21511" xr:uid="{00000000-0005-0000-0000-0000AFC30000}"/>
    <cellStyle name="Normal 26 4 6 5" xfId="8045" xr:uid="{00000000-0005-0000-0000-0000B0C30000}"/>
    <cellStyle name="Normal 26 4 6 5 2" xfId="23194" xr:uid="{00000000-0005-0000-0000-0000B1C30000}"/>
    <cellStyle name="Normal 26 4 6 6" xfId="9728" xr:uid="{00000000-0005-0000-0000-0000B2C30000}"/>
    <cellStyle name="Normal 26 4 6 6 2" xfId="24877" xr:uid="{00000000-0005-0000-0000-0000B3C30000}"/>
    <cellStyle name="Normal 26 4 6 7" xfId="11411" xr:uid="{00000000-0005-0000-0000-0000B4C30000}"/>
    <cellStyle name="Normal 26 4 6 7 2" xfId="26560" xr:uid="{00000000-0005-0000-0000-0000B5C30000}"/>
    <cellStyle name="Normal 26 4 6 8" xfId="13095" xr:uid="{00000000-0005-0000-0000-0000B6C30000}"/>
    <cellStyle name="Normal 26 4 6 8 2" xfId="28244" xr:uid="{00000000-0005-0000-0000-0000B7C30000}"/>
    <cellStyle name="Normal 26 4 6 9" xfId="14778" xr:uid="{00000000-0005-0000-0000-0000B8C30000}"/>
    <cellStyle name="Normal 26 4 6 9 2" xfId="29927" xr:uid="{00000000-0005-0000-0000-0000B9C30000}"/>
    <cellStyle name="Normal 26 4 7" xfId="1733" xr:uid="{00000000-0005-0000-0000-0000BAC30000}"/>
    <cellStyle name="Normal 26 4 7 2" xfId="16882" xr:uid="{00000000-0005-0000-0000-0000BBC30000}"/>
    <cellStyle name="Normal 26 4 8" xfId="3417" xr:uid="{00000000-0005-0000-0000-0000BCC30000}"/>
    <cellStyle name="Normal 26 4 8 2" xfId="18566" xr:uid="{00000000-0005-0000-0000-0000BDC30000}"/>
    <cellStyle name="Normal 26 4 9" xfId="5100" xr:uid="{00000000-0005-0000-0000-0000BEC30000}"/>
    <cellStyle name="Normal 26 4 9 2" xfId="20249" xr:uid="{00000000-0005-0000-0000-0000BFC30000}"/>
    <cellStyle name="Normal 26 40" xfId="62311" xr:uid="{00000000-0005-0000-0000-0000C0C30000}"/>
    <cellStyle name="Normal 26 41" xfId="63994" xr:uid="{00000000-0005-0000-0000-0000C1C30000}"/>
    <cellStyle name="Normal 26 5" xfId="37" xr:uid="{00000000-0005-0000-0000-0000C2C30000}"/>
    <cellStyle name="Normal 26 5 10" xfId="6792" xr:uid="{00000000-0005-0000-0000-0000C3C30000}"/>
    <cellStyle name="Normal 26 5 10 2" xfId="21941" xr:uid="{00000000-0005-0000-0000-0000C4C30000}"/>
    <cellStyle name="Normal 26 5 11" xfId="8475" xr:uid="{00000000-0005-0000-0000-0000C5C30000}"/>
    <cellStyle name="Normal 26 5 11 2" xfId="23624" xr:uid="{00000000-0005-0000-0000-0000C6C30000}"/>
    <cellStyle name="Normal 26 5 12" xfId="10158" xr:uid="{00000000-0005-0000-0000-0000C7C30000}"/>
    <cellStyle name="Normal 26 5 12 2" xfId="25307" xr:uid="{00000000-0005-0000-0000-0000C8C30000}"/>
    <cellStyle name="Normal 26 5 13" xfId="11842" xr:uid="{00000000-0005-0000-0000-0000C9C30000}"/>
    <cellStyle name="Normal 26 5 13 2" xfId="26991" xr:uid="{00000000-0005-0000-0000-0000CAC30000}"/>
    <cellStyle name="Normal 26 5 14" xfId="13525" xr:uid="{00000000-0005-0000-0000-0000CBC30000}"/>
    <cellStyle name="Normal 26 5 14 2" xfId="28674" xr:uid="{00000000-0005-0000-0000-0000CCC30000}"/>
    <cellStyle name="Normal 26 5 15" xfId="15208" xr:uid="{00000000-0005-0000-0000-0000CDC30000}"/>
    <cellStyle name="Normal 26 5 16" xfId="30357" xr:uid="{00000000-0005-0000-0000-0000CEC30000}"/>
    <cellStyle name="Normal 26 5 17" xfId="32040" xr:uid="{00000000-0005-0000-0000-0000CFC30000}"/>
    <cellStyle name="Normal 26 5 18" xfId="33723" xr:uid="{00000000-0005-0000-0000-0000D0C30000}"/>
    <cellStyle name="Normal 26 5 19" xfId="35406" xr:uid="{00000000-0005-0000-0000-0000D1C30000}"/>
    <cellStyle name="Normal 26 5 2" xfId="164" xr:uid="{00000000-0005-0000-0000-0000D2C30000}"/>
    <cellStyle name="Normal 26 5 2 10" xfId="8580" xr:uid="{00000000-0005-0000-0000-0000D3C30000}"/>
    <cellStyle name="Normal 26 5 2 10 2" xfId="23729" xr:uid="{00000000-0005-0000-0000-0000D4C30000}"/>
    <cellStyle name="Normal 26 5 2 11" xfId="10263" xr:uid="{00000000-0005-0000-0000-0000D5C30000}"/>
    <cellStyle name="Normal 26 5 2 11 2" xfId="25412" xr:uid="{00000000-0005-0000-0000-0000D6C30000}"/>
    <cellStyle name="Normal 26 5 2 12" xfId="11947" xr:uid="{00000000-0005-0000-0000-0000D7C30000}"/>
    <cellStyle name="Normal 26 5 2 12 2" xfId="27096" xr:uid="{00000000-0005-0000-0000-0000D8C30000}"/>
    <cellStyle name="Normal 26 5 2 13" xfId="13630" xr:uid="{00000000-0005-0000-0000-0000D9C30000}"/>
    <cellStyle name="Normal 26 5 2 13 2" xfId="28779" xr:uid="{00000000-0005-0000-0000-0000DAC30000}"/>
    <cellStyle name="Normal 26 5 2 14" xfId="15313" xr:uid="{00000000-0005-0000-0000-0000DBC30000}"/>
    <cellStyle name="Normal 26 5 2 15" xfId="30462" xr:uid="{00000000-0005-0000-0000-0000DCC30000}"/>
    <cellStyle name="Normal 26 5 2 16" xfId="32145" xr:uid="{00000000-0005-0000-0000-0000DDC30000}"/>
    <cellStyle name="Normal 26 5 2 17" xfId="33828" xr:uid="{00000000-0005-0000-0000-0000DEC30000}"/>
    <cellStyle name="Normal 26 5 2 18" xfId="35511" xr:uid="{00000000-0005-0000-0000-0000DFC30000}"/>
    <cellStyle name="Normal 26 5 2 19" xfId="37194" xr:uid="{00000000-0005-0000-0000-0000E0C30000}"/>
    <cellStyle name="Normal 26 5 2 2" xfId="374" xr:uid="{00000000-0005-0000-0000-0000E1C30000}"/>
    <cellStyle name="Normal 26 5 2 2 10" xfId="10473" xr:uid="{00000000-0005-0000-0000-0000E2C30000}"/>
    <cellStyle name="Normal 26 5 2 2 10 2" xfId="25622" xr:uid="{00000000-0005-0000-0000-0000E3C30000}"/>
    <cellStyle name="Normal 26 5 2 2 11" xfId="12157" xr:uid="{00000000-0005-0000-0000-0000E4C30000}"/>
    <cellStyle name="Normal 26 5 2 2 11 2" xfId="27306" xr:uid="{00000000-0005-0000-0000-0000E5C30000}"/>
    <cellStyle name="Normal 26 5 2 2 12" xfId="13840" xr:uid="{00000000-0005-0000-0000-0000E6C30000}"/>
    <cellStyle name="Normal 26 5 2 2 12 2" xfId="28989" xr:uid="{00000000-0005-0000-0000-0000E7C30000}"/>
    <cellStyle name="Normal 26 5 2 2 13" xfId="15523" xr:uid="{00000000-0005-0000-0000-0000E8C30000}"/>
    <cellStyle name="Normal 26 5 2 2 14" xfId="30672" xr:uid="{00000000-0005-0000-0000-0000E9C30000}"/>
    <cellStyle name="Normal 26 5 2 2 15" xfId="32355" xr:uid="{00000000-0005-0000-0000-0000EAC30000}"/>
    <cellStyle name="Normal 26 5 2 2 16" xfId="34038" xr:uid="{00000000-0005-0000-0000-0000EBC30000}"/>
    <cellStyle name="Normal 26 5 2 2 17" xfId="35721" xr:uid="{00000000-0005-0000-0000-0000ECC30000}"/>
    <cellStyle name="Normal 26 5 2 2 18" xfId="37404" xr:uid="{00000000-0005-0000-0000-0000EDC30000}"/>
    <cellStyle name="Normal 26 5 2 2 19" xfId="39087" xr:uid="{00000000-0005-0000-0000-0000EEC30000}"/>
    <cellStyle name="Normal 26 5 2 2 2" xfId="794" xr:uid="{00000000-0005-0000-0000-0000EFC30000}"/>
    <cellStyle name="Normal 26 5 2 2 2 10" xfId="15943" xr:uid="{00000000-0005-0000-0000-0000F0C30000}"/>
    <cellStyle name="Normal 26 5 2 2 2 11" xfId="31092" xr:uid="{00000000-0005-0000-0000-0000F1C30000}"/>
    <cellStyle name="Normal 26 5 2 2 2 12" xfId="32775" xr:uid="{00000000-0005-0000-0000-0000F2C30000}"/>
    <cellStyle name="Normal 26 5 2 2 2 13" xfId="34458" xr:uid="{00000000-0005-0000-0000-0000F3C30000}"/>
    <cellStyle name="Normal 26 5 2 2 2 14" xfId="36141" xr:uid="{00000000-0005-0000-0000-0000F4C30000}"/>
    <cellStyle name="Normal 26 5 2 2 2 15" xfId="37824" xr:uid="{00000000-0005-0000-0000-0000F5C30000}"/>
    <cellStyle name="Normal 26 5 2 2 2 16" xfId="39507" xr:uid="{00000000-0005-0000-0000-0000F6C30000}"/>
    <cellStyle name="Normal 26 5 2 2 2 17" xfId="41190" xr:uid="{00000000-0005-0000-0000-0000F7C30000}"/>
    <cellStyle name="Normal 26 5 2 2 2 18" xfId="42873" xr:uid="{00000000-0005-0000-0000-0000F8C30000}"/>
    <cellStyle name="Normal 26 5 2 2 2 19" xfId="44556" xr:uid="{00000000-0005-0000-0000-0000F9C30000}"/>
    <cellStyle name="Normal 26 5 2 2 2 2" xfId="2477" xr:uid="{00000000-0005-0000-0000-0000FAC30000}"/>
    <cellStyle name="Normal 26 5 2 2 2 2 2" xfId="17626" xr:uid="{00000000-0005-0000-0000-0000FBC30000}"/>
    <cellStyle name="Normal 26 5 2 2 2 20" xfId="46239" xr:uid="{00000000-0005-0000-0000-0000FCC30000}"/>
    <cellStyle name="Normal 26 5 2 2 2 21" xfId="47922" xr:uid="{00000000-0005-0000-0000-0000FDC30000}"/>
    <cellStyle name="Normal 26 5 2 2 2 22" xfId="49605" xr:uid="{00000000-0005-0000-0000-0000FEC30000}"/>
    <cellStyle name="Normal 26 5 2 2 2 23" xfId="51288" xr:uid="{00000000-0005-0000-0000-0000FFC30000}"/>
    <cellStyle name="Normal 26 5 2 2 2 24" xfId="52971" xr:uid="{00000000-0005-0000-0000-000000C40000}"/>
    <cellStyle name="Normal 26 5 2 2 2 25" xfId="54654" xr:uid="{00000000-0005-0000-0000-000001C40000}"/>
    <cellStyle name="Normal 26 5 2 2 2 26" xfId="56337" xr:uid="{00000000-0005-0000-0000-000002C40000}"/>
    <cellStyle name="Normal 26 5 2 2 2 27" xfId="58020" xr:uid="{00000000-0005-0000-0000-000003C40000}"/>
    <cellStyle name="Normal 26 5 2 2 2 28" xfId="59703" xr:uid="{00000000-0005-0000-0000-000004C40000}"/>
    <cellStyle name="Normal 26 5 2 2 2 29" xfId="61386" xr:uid="{00000000-0005-0000-0000-000005C40000}"/>
    <cellStyle name="Normal 26 5 2 2 2 3" xfId="4161" xr:uid="{00000000-0005-0000-0000-000006C40000}"/>
    <cellStyle name="Normal 26 5 2 2 2 3 2" xfId="19310" xr:uid="{00000000-0005-0000-0000-000007C40000}"/>
    <cellStyle name="Normal 26 5 2 2 2 30" xfId="63069" xr:uid="{00000000-0005-0000-0000-000008C40000}"/>
    <cellStyle name="Normal 26 5 2 2 2 4" xfId="5844" xr:uid="{00000000-0005-0000-0000-000009C40000}"/>
    <cellStyle name="Normal 26 5 2 2 2 4 2" xfId="20993" xr:uid="{00000000-0005-0000-0000-00000AC40000}"/>
    <cellStyle name="Normal 26 5 2 2 2 5" xfId="7527" xr:uid="{00000000-0005-0000-0000-00000BC40000}"/>
    <cellStyle name="Normal 26 5 2 2 2 5 2" xfId="22676" xr:uid="{00000000-0005-0000-0000-00000CC40000}"/>
    <cellStyle name="Normal 26 5 2 2 2 6" xfId="9210" xr:uid="{00000000-0005-0000-0000-00000DC40000}"/>
    <cellStyle name="Normal 26 5 2 2 2 6 2" xfId="24359" xr:uid="{00000000-0005-0000-0000-00000EC40000}"/>
    <cellStyle name="Normal 26 5 2 2 2 7" xfId="10893" xr:uid="{00000000-0005-0000-0000-00000FC40000}"/>
    <cellStyle name="Normal 26 5 2 2 2 7 2" xfId="26042" xr:uid="{00000000-0005-0000-0000-000010C40000}"/>
    <cellStyle name="Normal 26 5 2 2 2 8" xfId="12577" xr:uid="{00000000-0005-0000-0000-000011C40000}"/>
    <cellStyle name="Normal 26 5 2 2 2 8 2" xfId="27726" xr:uid="{00000000-0005-0000-0000-000012C40000}"/>
    <cellStyle name="Normal 26 5 2 2 2 9" xfId="14260" xr:uid="{00000000-0005-0000-0000-000013C40000}"/>
    <cellStyle name="Normal 26 5 2 2 2 9 2" xfId="29409" xr:uid="{00000000-0005-0000-0000-000014C40000}"/>
    <cellStyle name="Normal 26 5 2 2 20" xfId="40770" xr:uid="{00000000-0005-0000-0000-000015C40000}"/>
    <cellStyle name="Normal 26 5 2 2 21" xfId="42453" xr:uid="{00000000-0005-0000-0000-000016C40000}"/>
    <cellStyle name="Normal 26 5 2 2 22" xfId="44136" xr:uid="{00000000-0005-0000-0000-000017C40000}"/>
    <cellStyle name="Normal 26 5 2 2 23" xfId="45819" xr:uid="{00000000-0005-0000-0000-000018C40000}"/>
    <cellStyle name="Normal 26 5 2 2 24" xfId="47502" xr:uid="{00000000-0005-0000-0000-000019C40000}"/>
    <cellStyle name="Normal 26 5 2 2 25" xfId="49185" xr:uid="{00000000-0005-0000-0000-00001AC40000}"/>
    <cellStyle name="Normal 26 5 2 2 26" xfId="50868" xr:uid="{00000000-0005-0000-0000-00001BC40000}"/>
    <cellStyle name="Normal 26 5 2 2 27" xfId="52551" xr:uid="{00000000-0005-0000-0000-00001CC40000}"/>
    <cellStyle name="Normal 26 5 2 2 28" xfId="54234" xr:uid="{00000000-0005-0000-0000-00001DC40000}"/>
    <cellStyle name="Normal 26 5 2 2 29" xfId="55917" xr:uid="{00000000-0005-0000-0000-00001EC40000}"/>
    <cellStyle name="Normal 26 5 2 2 3" xfId="1215" xr:uid="{00000000-0005-0000-0000-00001FC40000}"/>
    <cellStyle name="Normal 26 5 2 2 3 10" xfId="16364" xr:uid="{00000000-0005-0000-0000-000020C40000}"/>
    <cellStyle name="Normal 26 5 2 2 3 11" xfId="31513" xr:uid="{00000000-0005-0000-0000-000021C40000}"/>
    <cellStyle name="Normal 26 5 2 2 3 12" xfId="33196" xr:uid="{00000000-0005-0000-0000-000022C40000}"/>
    <cellStyle name="Normal 26 5 2 2 3 13" xfId="34879" xr:uid="{00000000-0005-0000-0000-000023C40000}"/>
    <cellStyle name="Normal 26 5 2 2 3 14" xfId="36562" xr:uid="{00000000-0005-0000-0000-000024C40000}"/>
    <cellStyle name="Normal 26 5 2 2 3 15" xfId="38245" xr:uid="{00000000-0005-0000-0000-000025C40000}"/>
    <cellStyle name="Normal 26 5 2 2 3 16" xfId="39928" xr:uid="{00000000-0005-0000-0000-000026C40000}"/>
    <cellStyle name="Normal 26 5 2 2 3 17" xfId="41611" xr:uid="{00000000-0005-0000-0000-000027C40000}"/>
    <cellStyle name="Normal 26 5 2 2 3 18" xfId="43294" xr:uid="{00000000-0005-0000-0000-000028C40000}"/>
    <cellStyle name="Normal 26 5 2 2 3 19" xfId="44977" xr:uid="{00000000-0005-0000-0000-000029C40000}"/>
    <cellStyle name="Normal 26 5 2 2 3 2" xfId="2898" xr:uid="{00000000-0005-0000-0000-00002AC40000}"/>
    <cellStyle name="Normal 26 5 2 2 3 2 2" xfId="18047" xr:uid="{00000000-0005-0000-0000-00002BC40000}"/>
    <cellStyle name="Normal 26 5 2 2 3 20" xfId="46660" xr:uid="{00000000-0005-0000-0000-00002CC40000}"/>
    <cellStyle name="Normal 26 5 2 2 3 21" xfId="48343" xr:uid="{00000000-0005-0000-0000-00002DC40000}"/>
    <cellStyle name="Normal 26 5 2 2 3 22" xfId="50026" xr:uid="{00000000-0005-0000-0000-00002EC40000}"/>
    <cellStyle name="Normal 26 5 2 2 3 23" xfId="51709" xr:uid="{00000000-0005-0000-0000-00002FC40000}"/>
    <cellStyle name="Normal 26 5 2 2 3 24" xfId="53392" xr:uid="{00000000-0005-0000-0000-000030C40000}"/>
    <cellStyle name="Normal 26 5 2 2 3 25" xfId="55075" xr:uid="{00000000-0005-0000-0000-000031C40000}"/>
    <cellStyle name="Normal 26 5 2 2 3 26" xfId="56758" xr:uid="{00000000-0005-0000-0000-000032C40000}"/>
    <cellStyle name="Normal 26 5 2 2 3 27" xfId="58441" xr:uid="{00000000-0005-0000-0000-000033C40000}"/>
    <cellStyle name="Normal 26 5 2 2 3 28" xfId="60124" xr:uid="{00000000-0005-0000-0000-000034C40000}"/>
    <cellStyle name="Normal 26 5 2 2 3 29" xfId="61807" xr:uid="{00000000-0005-0000-0000-000035C40000}"/>
    <cellStyle name="Normal 26 5 2 2 3 3" xfId="4582" xr:uid="{00000000-0005-0000-0000-000036C40000}"/>
    <cellStyle name="Normal 26 5 2 2 3 3 2" xfId="19731" xr:uid="{00000000-0005-0000-0000-000037C40000}"/>
    <cellStyle name="Normal 26 5 2 2 3 30" xfId="63490" xr:uid="{00000000-0005-0000-0000-000038C40000}"/>
    <cellStyle name="Normal 26 5 2 2 3 4" xfId="6265" xr:uid="{00000000-0005-0000-0000-000039C40000}"/>
    <cellStyle name="Normal 26 5 2 2 3 4 2" xfId="21414" xr:uid="{00000000-0005-0000-0000-00003AC40000}"/>
    <cellStyle name="Normal 26 5 2 2 3 5" xfId="7948" xr:uid="{00000000-0005-0000-0000-00003BC40000}"/>
    <cellStyle name="Normal 26 5 2 2 3 5 2" xfId="23097" xr:uid="{00000000-0005-0000-0000-00003CC40000}"/>
    <cellStyle name="Normal 26 5 2 2 3 6" xfId="9631" xr:uid="{00000000-0005-0000-0000-00003DC40000}"/>
    <cellStyle name="Normal 26 5 2 2 3 6 2" xfId="24780" xr:uid="{00000000-0005-0000-0000-00003EC40000}"/>
    <cellStyle name="Normal 26 5 2 2 3 7" xfId="11314" xr:uid="{00000000-0005-0000-0000-00003FC40000}"/>
    <cellStyle name="Normal 26 5 2 2 3 7 2" xfId="26463" xr:uid="{00000000-0005-0000-0000-000040C40000}"/>
    <cellStyle name="Normal 26 5 2 2 3 8" xfId="12998" xr:uid="{00000000-0005-0000-0000-000041C40000}"/>
    <cellStyle name="Normal 26 5 2 2 3 8 2" xfId="28147" xr:uid="{00000000-0005-0000-0000-000042C40000}"/>
    <cellStyle name="Normal 26 5 2 2 3 9" xfId="14681" xr:uid="{00000000-0005-0000-0000-000043C40000}"/>
    <cellStyle name="Normal 26 5 2 2 3 9 2" xfId="29830" xr:uid="{00000000-0005-0000-0000-000044C40000}"/>
    <cellStyle name="Normal 26 5 2 2 30" xfId="57600" xr:uid="{00000000-0005-0000-0000-000045C40000}"/>
    <cellStyle name="Normal 26 5 2 2 31" xfId="59283" xr:uid="{00000000-0005-0000-0000-000046C40000}"/>
    <cellStyle name="Normal 26 5 2 2 32" xfId="60966" xr:uid="{00000000-0005-0000-0000-000047C40000}"/>
    <cellStyle name="Normal 26 5 2 2 33" xfId="62649" xr:uid="{00000000-0005-0000-0000-000048C40000}"/>
    <cellStyle name="Normal 26 5 2 2 4" xfId="1636" xr:uid="{00000000-0005-0000-0000-000049C40000}"/>
    <cellStyle name="Normal 26 5 2 2 4 10" xfId="16785" xr:uid="{00000000-0005-0000-0000-00004AC40000}"/>
    <cellStyle name="Normal 26 5 2 2 4 11" xfId="31934" xr:uid="{00000000-0005-0000-0000-00004BC40000}"/>
    <cellStyle name="Normal 26 5 2 2 4 12" xfId="33617" xr:uid="{00000000-0005-0000-0000-00004CC40000}"/>
    <cellStyle name="Normal 26 5 2 2 4 13" xfId="35300" xr:uid="{00000000-0005-0000-0000-00004DC40000}"/>
    <cellStyle name="Normal 26 5 2 2 4 14" xfId="36983" xr:uid="{00000000-0005-0000-0000-00004EC40000}"/>
    <cellStyle name="Normal 26 5 2 2 4 15" xfId="38666" xr:uid="{00000000-0005-0000-0000-00004FC40000}"/>
    <cellStyle name="Normal 26 5 2 2 4 16" xfId="40349" xr:uid="{00000000-0005-0000-0000-000050C40000}"/>
    <cellStyle name="Normal 26 5 2 2 4 17" xfId="42032" xr:uid="{00000000-0005-0000-0000-000051C40000}"/>
    <cellStyle name="Normal 26 5 2 2 4 18" xfId="43715" xr:uid="{00000000-0005-0000-0000-000052C40000}"/>
    <cellStyle name="Normal 26 5 2 2 4 19" xfId="45398" xr:uid="{00000000-0005-0000-0000-000053C40000}"/>
    <cellStyle name="Normal 26 5 2 2 4 2" xfId="3319" xr:uid="{00000000-0005-0000-0000-000054C40000}"/>
    <cellStyle name="Normal 26 5 2 2 4 2 2" xfId="18468" xr:uid="{00000000-0005-0000-0000-000055C40000}"/>
    <cellStyle name="Normal 26 5 2 2 4 20" xfId="47081" xr:uid="{00000000-0005-0000-0000-000056C40000}"/>
    <cellStyle name="Normal 26 5 2 2 4 21" xfId="48764" xr:uid="{00000000-0005-0000-0000-000057C40000}"/>
    <cellStyle name="Normal 26 5 2 2 4 22" xfId="50447" xr:uid="{00000000-0005-0000-0000-000058C40000}"/>
    <cellStyle name="Normal 26 5 2 2 4 23" xfId="52130" xr:uid="{00000000-0005-0000-0000-000059C40000}"/>
    <cellStyle name="Normal 26 5 2 2 4 24" xfId="53813" xr:uid="{00000000-0005-0000-0000-00005AC40000}"/>
    <cellStyle name="Normal 26 5 2 2 4 25" xfId="55496" xr:uid="{00000000-0005-0000-0000-00005BC40000}"/>
    <cellStyle name="Normal 26 5 2 2 4 26" xfId="57179" xr:uid="{00000000-0005-0000-0000-00005CC40000}"/>
    <cellStyle name="Normal 26 5 2 2 4 27" xfId="58862" xr:uid="{00000000-0005-0000-0000-00005DC40000}"/>
    <cellStyle name="Normal 26 5 2 2 4 28" xfId="60545" xr:uid="{00000000-0005-0000-0000-00005EC40000}"/>
    <cellStyle name="Normal 26 5 2 2 4 29" xfId="62228" xr:uid="{00000000-0005-0000-0000-00005FC40000}"/>
    <cellStyle name="Normal 26 5 2 2 4 3" xfId="5003" xr:uid="{00000000-0005-0000-0000-000060C40000}"/>
    <cellStyle name="Normal 26 5 2 2 4 3 2" xfId="20152" xr:uid="{00000000-0005-0000-0000-000061C40000}"/>
    <cellStyle name="Normal 26 5 2 2 4 30" xfId="63911" xr:uid="{00000000-0005-0000-0000-000062C40000}"/>
    <cellStyle name="Normal 26 5 2 2 4 4" xfId="6686" xr:uid="{00000000-0005-0000-0000-000063C40000}"/>
    <cellStyle name="Normal 26 5 2 2 4 4 2" xfId="21835" xr:uid="{00000000-0005-0000-0000-000064C40000}"/>
    <cellStyle name="Normal 26 5 2 2 4 5" xfId="8369" xr:uid="{00000000-0005-0000-0000-000065C40000}"/>
    <cellStyle name="Normal 26 5 2 2 4 5 2" xfId="23518" xr:uid="{00000000-0005-0000-0000-000066C40000}"/>
    <cellStyle name="Normal 26 5 2 2 4 6" xfId="10052" xr:uid="{00000000-0005-0000-0000-000067C40000}"/>
    <cellStyle name="Normal 26 5 2 2 4 6 2" xfId="25201" xr:uid="{00000000-0005-0000-0000-000068C40000}"/>
    <cellStyle name="Normal 26 5 2 2 4 7" xfId="11735" xr:uid="{00000000-0005-0000-0000-000069C40000}"/>
    <cellStyle name="Normal 26 5 2 2 4 7 2" xfId="26884" xr:uid="{00000000-0005-0000-0000-00006AC40000}"/>
    <cellStyle name="Normal 26 5 2 2 4 8" xfId="13419" xr:uid="{00000000-0005-0000-0000-00006BC40000}"/>
    <cellStyle name="Normal 26 5 2 2 4 8 2" xfId="28568" xr:uid="{00000000-0005-0000-0000-00006CC40000}"/>
    <cellStyle name="Normal 26 5 2 2 4 9" xfId="15102" xr:uid="{00000000-0005-0000-0000-00006DC40000}"/>
    <cellStyle name="Normal 26 5 2 2 4 9 2" xfId="30251" xr:uid="{00000000-0005-0000-0000-00006EC40000}"/>
    <cellStyle name="Normal 26 5 2 2 5" xfId="2057" xr:uid="{00000000-0005-0000-0000-00006FC40000}"/>
    <cellStyle name="Normal 26 5 2 2 5 2" xfId="17206" xr:uid="{00000000-0005-0000-0000-000070C40000}"/>
    <cellStyle name="Normal 26 5 2 2 6" xfId="3741" xr:uid="{00000000-0005-0000-0000-000071C40000}"/>
    <cellStyle name="Normal 26 5 2 2 6 2" xfId="18890" xr:uid="{00000000-0005-0000-0000-000072C40000}"/>
    <cellStyle name="Normal 26 5 2 2 7" xfId="5424" xr:uid="{00000000-0005-0000-0000-000073C40000}"/>
    <cellStyle name="Normal 26 5 2 2 7 2" xfId="20573" xr:uid="{00000000-0005-0000-0000-000074C40000}"/>
    <cellStyle name="Normal 26 5 2 2 8" xfId="7107" xr:uid="{00000000-0005-0000-0000-000075C40000}"/>
    <cellStyle name="Normal 26 5 2 2 8 2" xfId="22256" xr:uid="{00000000-0005-0000-0000-000076C40000}"/>
    <cellStyle name="Normal 26 5 2 2 9" xfId="8790" xr:uid="{00000000-0005-0000-0000-000077C40000}"/>
    <cellStyle name="Normal 26 5 2 2 9 2" xfId="23939" xr:uid="{00000000-0005-0000-0000-000078C40000}"/>
    <cellStyle name="Normal 26 5 2 20" xfId="38877" xr:uid="{00000000-0005-0000-0000-000079C40000}"/>
    <cellStyle name="Normal 26 5 2 21" xfId="40560" xr:uid="{00000000-0005-0000-0000-00007AC40000}"/>
    <cellStyle name="Normal 26 5 2 22" xfId="42243" xr:uid="{00000000-0005-0000-0000-00007BC40000}"/>
    <cellStyle name="Normal 26 5 2 23" xfId="43926" xr:uid="{00000000-0005-0000-0000-00007CC40000}"/>
    <cellStyle name="Normal 26 5 2 24" xfId="45609" xr:uid="{00000000-0005-0000-0000-00007DC40000}"/>
    <cellStyle name="Normal 26 5 2 25" xfId="47292" xr:uid="{00000000-0005-0000-0000-00007EC40000}"/>
    <cellStyle name="Normal 26 5 2 26" xfId="48975" xr:uid="{00000000-0005-0000-0000-00007FC40000}"/>
    <cellStyle name="Normal 26 5 2 27" xfId="50658" xr:uid="{00000000-0005-0000-0000-000080C40000}"/>
    <cellStyle name="Normal 26 5 2 28" xfId="52341" xr:uid="{00000000-0005-0000-0000-000081C40000}"/>
    <cellStyle name="Normal 26 5 2 29" xfId="54024" xr:uid="{00000000-0005-0000-0000-000082C40000}"/>
    <cellStyle name="Normal 26 5 2 3" xfId="584" xr:uid="{00000000-0005-0000-0000-000083C40000}"/>
    <cellStyle name="Normal 26 5 2 3 10" xfId="15733" xr:uid="{00000000-0005-0000-0000-000084C40000}"/>
    <cellStyle name="Normal 26 5 2 3 11" xfId="30882" xr:uid="{00000000-0005-0000-0000-000085C40000}"/>
    <cellStyle name="Normal 26 5 2 3 12" xfId="32565" xr:uid="{00000000-0005-0000-0000-000086C40000}"/>
    <cellStyle name="Normal 26 5 2 3 13" xfId="34248" xr:uid="{00000000-0005-0000-0000-000087C40000}"/>
    <cellStyle name="Normal 26 5 2 3 14" xfId="35931" xr:uid="{00000000-0005-0000-0000-000088C40000}"/>
    <cellStyle name="Normal 26 5 2 3 15" xfId="37614" xr:uid="{00000000-0005-0000-0000-000089C40000}"/>
    <cellStyle name="Normal 26 5 2 3 16" xfId="39297" xr:uid="{00000000-0005-0000-0000-00008AC40000}"/>
    <cellStyle name="Normal 26 5 2 3 17" xfId="40980" xr:uid="{00000000-0005-0000-0000-00008BC40000}"/>
    <cellStyle name="Normal 26 5 2 3 18" xfId="42663" xr:uid="{00000000-0005-0000-0000-00008CC40000}"/>
    <cellStyle name="Normal 26 5 2 3 19" xfId="44346" xr:uid="{00000000-0005-0000-0000-00008DC40000}"/>
    <cellStyle name="Normal 26 5 2 3 2" xfId="2267" xr:uid="{00000000-0005-0000-0000-00008EC40000}"/>
    <cellStyle name="Normal 26 5 2 3 2 2" xfId="17416" xr:uid="{00000000-0005-0000-0000-00008FC40000}"/>
    <cellStyle name="Normal 26 5 2 3 20" xfId="46029" xr:uid="{00000000-0005-0000-0000-000090C40000}"/>
    <cellStyle name="Normal 26 5 2 3 21" xfId="47712" xr:uid="{00000000-0005-0000-0000-000091C40000}"/>
    <cellStyle name="Normal 26 5 2 3 22" xfId="49395" xr:uid="{00000000-0005-0000-0000-000092C40000}"/>
    <cellStyle name="Normal 26 5 2 3 23" xfId="51078" xr:uid="{00000000-0005-0000-0000-000093C40000}"/>
    <cellStyle name="Normal 26 5 2 3 24" xfId="52761" xr:uid="{00000000-0005-0000-0000-000094C40000}"/>
    <cellStyle name="Normal 26 5 2 3 25" xfId="54444" xr:uid="{00000000-0005-0000-0000-000095C40000}"/>
    <cellStyle name="Normal 26 5 2 3 26" xfId="56127" xr:uid="{00000000-0005-0000-0000-000096C40000}"/>
    <cellStyle name="Normal 26 5 2 3 27" xfId="57810" xr:uid="{00000000-0005-0000-0000-000097C40000}"/>
    <cellStyle name="Normal 26 5 2 3 28" xfId="59493" xr:uid="{00000000-0005-0000-0000-000098C40000}"/>
    <cellStyle name="Normal 26 5 2 3 29" xfId="61176" xr:uid="{00000000-0005-0000-0000-000099C40000}"/>
    <cellStyle name="Normal 26 5 2 3 3" xfId="3951" xr:uid="{00000000-0005-0000-0000-00009AC40000}"/>
    <cellStyle name="Normal 26 5 2 3 3 2" xfId="19100" xr:uid="{00000000-0005-0000-0000-00009BC40000}"/>
    <cellStyle name="Normal 26 5 2 3 30" xfId="62859" xr:uid="{00000000-0005-0000-0000-00009CC40000}"/>
    <cellStyle name="Normal 26 5 2 3 4" xfId="5634" xr:uid="{00000000-0005-0000-0000-00009DC40000}"/>
    <cellStyle name="Normal 26 5 2 3 4 2" xfId="20783" xr:uid="{00000000-0005-0000-0000-00009EC40000}"/>
    <cellStyle name="Normal 26 5 2 3 5" xfId="7317" xr:uid="{00000000-0005-0000-0000-00009FC40000}"/>
    <cellStyle name="Normal 26 5 2 3 5 2" xfId="22466" xr:uid="{00000000-0005-0000-0000-0000A0C40000}"/>
    <cellStyle name="Normal 26 5 2 3 6" xfId="9000" xr:uid="{00000000-0005-0000-0000-0000A1C40000}"/>
    <cellStyle name="Normal 26 5 2 3 6 2" xfId="24149" xr:uid="{00000000-0005-0000-0000-0000A2C40000}"/>
    <cellStyle name="Normal 26 5 2 3 7" xfId="10683" xr:uid="{00000000-0005-0000-0000-0000A3C40000}"/>
    <cellStyle name="Normal 26 5 2 3 7 2" xfId="25832" xr:uid="{00000000-0005-0000-0000-0000A4C40000}"/>
    <cellStyle name="Normal 26 5 2 3 8" xfId="12367" xr:uid="{00000000-0005-0000-0000-0000A5C40000}"/>
    <cellStyle name="Normal 26 5 2 3 8 2" xfId="27516" xr:uid="{00000000-0005-0000-0000-0000A6C40000}"/>
    <cellStyle name="Normal 26 5 2 3 9" xfId="14050" xr:uid="{00000000-0005-0000-0000-0000A7C40000}"/>
    <cellStyle name="Normal 26 5 2 3 9 2" xfId="29199" xr:uid="{00000000-0005-0000-0000-0000A8C40000}"/>
    <cellStyle name="Normal 26 5 2 30" xfId="55707" xr:uid="{00000000-0005-0000-0000-0000A9C40000}"/>
    <cellStyle name="Normal 26 5 2 31" xfId="57390" xr:uid="{00000000-0005-0000-0000-0000AAC40000}"/>
    <cellStyle name="Normal 26 5 2 32" xfId="59073" xr:uid="{00000000-0005-0000-0000-0000ABC40000}"/>
    <cellStyle name="Normal 26 5 2 33" xfId="60756" xr:uid="{00000000-0005-0000-0000-0000ACC40000}"/>
    <cellStyle name="Normal 26 5 2 34" xfId="62439" xr:uid="{00000000-0005-0000-0000-0000ADC40000}"/>
    <cellStyle name="Normal 26 5 2 4" xfId="1005" xr:uid="{00000000-0005-0000-0000-0000AEC40000}"/>
    <cellStyle name="Normal 26 5 2 4 10" xfId="16154" xr:uid="{00000000-0005-0000-0000-0000AFC40000}"/>
    <cellStyle name="Normal 26 5 2 4 11" xfId="31303" xr:uid="{00000000-0005-0000-0000-0000B0C40000}"/>
    <cellStyle name="Normal 26 5 2 4 12" xfId="32986" xr:uid="{00000000-0005-0000-0000-0000B1C40000}"/>
    <cellStyle name="Normal 26 5 2 4 13" xfId="34669" xr:uid="{00000000-0005-0000-0000-0000B2C40000}"/>
    <cellStyle name="Normal 26 5 2 4 14" xfId="36352" xr:uid="{00000000-0005-0000-0000-0000B3C40000}"/>
    <cellStyle name="Normal 26 5 2 4 15" xfId="38035" xr:uid="{00000000-0005-0000-0000-0000B4C40000}"/>
    <cellStyle name="Normal 26 5 2 4 16" xfId="39718" xr:uid="{00000000-0005-0000-0000-0000B5C40000}"/>
    <cellStyle name="Normal 26 5 2 4 17" xfId="41401" xr:uid="{00000000-0005-0000-0000-0000B6C40000}"/>
    <cellStyle name="Normal 26 5 2 4 18" xfId="43084" xr:uid="{00000000-0005-0000-0000-0000B7C40000}"/>
    <cellStyle name="Normal 26 5 2 4 19" xfId="44767" xr:uid="{00000000-0005-0000-0000-0000B8C40000}"/>
    <cellStyle name="Normal 26 5 2 4 2" xfId="2688" xr:uid="{00000000-0005-0000-0000-0000B9C40000}"/>
    <cellStyle name="Normal 26 5 2 4 2 2" xfId="17837" xr:uid="{00000000-0005-0000-0000-0000BAC40000}"/>
    <cellStyle name="Normal 26 5 2 4 20" xfId="46450" xr:uid="{00000000-0005-0000-0000-0000BBC40000}"/>
    <cellStyle name="Normal 26 5 2 4 21" xfId="48133" xr:uid="{00000000-0005-0000-0000-0000BCC40000}"/>
    <cellStyle name="Normal 26 5 2 4 22" xfId="49816" xr:uid="{00000000-0005-0000-0000-0000BDC40000}"/>
    <cellStyle name="Normal 26 5 2 4 23" xfId="51499" xr:uid="{00000000-0005-0000-0000-0000BEC40000}"/>
    <cellStyle name="Normal 26 5 2 4 24" xfId="53182" xr:uid="{00000000-0005-0000-0000-0000BFC40000}"/>
    <cellStyle name="Normal 26 5 2 4 25" xfId="54865" xr:uid="{00000000-0005-0000-0000-0000C0C40000}"/>
    <cellStyle name="Normal 26 5 2 4 26" xfId="56548" xr:uid="{00000000-0005-0000-0000-0000C1C40000}"/>
    <cellStyle name="Normal 26 5 2 4 27" xfId="58231" xr:uid="{00000000-0005-0000-0000-0000C2C40000}"/>
    <cellStyle name="Normal 26 5 2 4 28" xfId="59914" xr:uid="{00000000-0005-0000-0000-0000C3C40000}"/>
    <cellStyle name="Normal 26 5 2 4 29" xfId="61597" xr:uid="{00000000-0005-0000-0000-0000C4C40000}"/>
    <cellStyle name="Normal 26 5 2 4 3" xfId="4372" xr:uid="{00000000-0005-0000-0000-0000C5C40000}"/>
    <cellStyle name="Normal 26 5 2 4 3 2" xfId="19521" xr:uid="{00000000-0005-0000-0000-0000C6C40000}"/>
    <cellStyle name="Normal 26 5 2 4 30" xfId="63280" xr:uid="{00000000-0005-0000-0000-0000C7C40000}"/>
    <cellStyle name="Normal 26 5 2 4 4" xfId="6055" xr:uid="{00000000-0005-0000-0000-0000C8C40000}"/>
    <cellStyle name="Normal 26 5 2 4 4 2" xfId="21204" xr:uid="{00000000-0005-0000-0000-0000C9C40000}"/>
    <cellStyle name="Normal 26 5 2 4 5" xfId="7738" xr:uid="{00000000-0005-0000-0000-0000CAC40000}"/>
    <cellStyle name="Normal 26 5 2 4 5 2" xfId="22887" xr:uid="{00000000-0005-0000-0000-0000CBC40000}"/>
    <cellStyle name="Normal 26 5 2 4 6" xfId="9421" xr:uid="{00000000-0005-0000-0000-0000CCC40000}"/>
    <cellStyle name="Normal 26 5 2 4 6 2" xfId="24570" xr:uid="{00000000-0005-0000-0000-0000CDC40000}"/>
    <cellStyle name="Normal 26 5 2 4 7" xfId="11104" xr:uid="{00000000-0005-0000-0000-0000CEC40000}"/>
    <cellStyle name="Normal 26 5 2 4 7 2" xfId="26253" xr:uid="{00000000-0005-0000-0000-0000CFC40000}"/>
    <cellStyle name="Normal 26 5 2 4 8" xfId="12788" xr:uid="{00000000-0005-0000-0000-0000D0C40000}"/>
    <cellStyle name="Normal 26 5 2 4 8 2" xfId="27937" xr:uid="{00000000-0005-0000-0000-0000D1C40000}"/>
    <cellStyle name="Normal 26 5 2 4 9" xfId="14471" xr:uid="{00000000-0005-0000-0000-0000D2C40000}"/>
    <cellStyle name="Normal 26 5 2 4 9 2" xfId="29620" xr:uid="{00000000-0005-0000-0000-0000D3C40000}"/>
    <cellStyle name="Normal 26 5 2 5" xfId="1426" xr:uid="{00000000-0005-0000-0000-0000D4C40000}"/>
    <cellStyle name="Normal 26 5 2 5 10" xfId="16575" xr:uid="{00000000-0005-0000-0000-0000D5C40000}"/>
    <cellStyle name="Normal 26 5 2 5 11" xfId="31724" xr:uid="{00000000-0005-0000-0000-0000D6C40000}"/>
    <cellStyle name="Normal 26 5 2 5 12" xfId="33407" xr:uid="{00000000-0005-0000-0000-0000D7C40000}"/>
    <cellStyle name="Normal 26 5 2 5 13" xfId="35090" xr:uid="{00000000-0005-0000-0000-0000D8C40000}"/>
    <cellStyle name="Normal 26 5 2 5 14" xfId="36773" xr:uid="{00000000-0005-0000-0000-0000D9C40000}"/>
    <cellStyle name="Normal 26 5 2 5 15" xfId="38456" xr:uid="{00000000-0005-0000-0000-0000DAC40000}"/>
    <cellStyle name="Normal 26 5 2 5 16" xfId="40139" xr:uid="{00000000-0005-0000-0000-0000DBC40000}"/>
    <cellStyle name="Normal 26 5 2 5 17" xfId="41822" xr:uid="{00000000-0005-0000-0000-0000DCC40000}"/>
    <cellStyle name="Normal 26 5 2 5 18" xfId="43505" xr:uid="{00000000-0005-0000-0000-0000DDC40000}"/>
    <cellStyle name="Normal 26 5 2 5 19" xfId="45188" xr:uid="{00000000-0005-0000-0000-0000DEC40000}"/>
    <cellStyle name="Normal 26 5 2 5 2" xfId="3109" xr:uid="{00000000-0005-0000-0000-0000DFC40000}"/>
    <cellStyle name="Normal 26 5 2 5 2 2" xfId="18258" xr:uid="{00000000-0005-0000-0000-0000E0C40000}"/>
    <cellStyle name="Normal 26 5 2 5 20" xfId="46871" xr:uid="{00000000-0005-0000-0000-0000E1C40000}"/>
    <cellStyle name="Normal 26 5 2 5 21" xfId="48554" xr:uid="{00000000-0005-0000-0000-0000E2C40000}"/>
    <cellStyle name="Normal 26 5 2 5 22" xfId="50237" xr:uid="{00000000-0005-0000-0000-0000E3C40000}"/>
    <cellStyle name="Normal 26 5 2 5 23" xfId="51920" xr:uid="{00000000-0005-0000-0000-0000E4C40000}"/>
    <cellStyle name="Normal 26 5 2 5 24" xfId="53603" xr:uid="{00000000-0005-0000-0000-0000E5C40000}"/>
    <cellStyle name="Normal 26 5 2 5 25" xfId="55286" xr:uid="{00000000-0005-0000-0000-0000E6C40000}"/>
    <cellStyle name="Normal 26 5 2 5 26" xfId="56969" xr:uid="{00000000-0005-0000-0000-0000E7C40000}"/>
    <cellStyle name="Normal 26 5 2 5 27" xfId="58652" xr:uid="{00000000-0005-0000-0000-0000E8C40000}"/>
    <cellStyle name="Normal 26 5 2 5 28" xfId="60335" xr:uid="{00000000-0005-0000-0000-0000E9C40000}"/>
    <cellStyle name="Normal 26 5 2 5 29" xfId="62018" xr:uid="{00000000-0005-0000-0000-0000EAC40000}"/>
    <cellStyle name="Normal 26 5 2 5 3" xfId="4793" xr:uid="{00000000-0005-0000-0000-0000EBC40000}"/>
    <cellStyle name="Normal 26 5 2 5 3 2" xfId="19942" xr:uid="{00000000-0005-0000-0000-0000ECC40000}"/>
    <cellStyle name="Normal 26 5 2 5 30" xfId="63701" xr:uid="{00000000-0005-0000-0000-0000EDC40000}"/>
    <cellStyle name="Normal 26 5 2 5 4" xfId="6476" xr:uid="{00000000-0005-0000-0000-0000EEC40000}"/>
    <cellStyle name="Normal 26 5 2 5 4 2" xfId="21625" xr:uid="{00000000-0005-0000-0000-0000EFC40000}"/>
    <cellStyle name="Normal 26 5 2 5 5" xfId="8159" xr:uid="{00000000-0005-0000-0000-0000F0C40000}"/>
    <cellStyle name="Normal 26 5 2 5 5 2" xfId="23308" xr:uid="{00000000-0005-0000-0000-0000F1C40000}"/>
    <cellStyle name="Normal 26 5 2 5 6" xfId="9842" xr:uid="{00000000-0005-0000-0000-0000F2C40000}"/>
    <cellStyle name="Normal 26 5 2 5 6 2" xfId="24991" xr:uid="{00000000-0005-0000-0000-0000F3C40000}"/>
    <cellStyle name="Normal 26 5 2 5 7" xfId="11525" xr:uid="{00000000-0005-0000-0000-0000F4C40000}"/>
    <cellStyle name="Normal 26 5 2 5 7 2" xfId="26674" xr:uid="{00000000-0005-0000-0000-0000F5C40000}"/>
    <cellStyle name="Normal 26 5 2 5 8" xfId="13209" xr:uid="{00000000-0005-0000-0000-0000F6C40000}"/>
    <cellStyle name="Normal 26 5 2 5 8 2" xfId="28358" xr:uid="{00000000-0005-0000-0000-0000F7C40000}"/>
    <cellStyle name="Normal 26 5 2 5 9" xfId="14892" xr:uid="{00000000-0005-0000-0000-0000F8C40000}"/>
    <cellStyle name="Normal 26 5 2 5 9 2" xfId="30041" xr:uid="{00000000-0005-0000-0000-0000F9C40000}"/>
    <cellStyle name="Normal 26 5 2 6" xfId="1847" xr:uid="{00000000-0005-0000-0000-0000FAC40000}"/>
    <cellStyle name="Normal 26 5 2 6 2" xfId="16996" xr:uid="{00000000-0005-0000-0000-0000FBC40000}"/>
    <cellStyle name="Normal 26 5 2 7" xfId="3531" xr:uid="{00000000-0005-0000-0000-0000FCC40000}"/>
    <cellStyle name="Normal 26 5 2 7 2" xfId="18680" xr:uid="{00000000-0005-0000-0000-0000FDC40000}"/>
    <cellStyle name="Normal 26 5 2 8" xfId="5214" xr:uid="{00000000-0005-0000-0000-0000FEC40000}"/>
    <cellStyle name="Normal 26 5 2 8 2" xfId="20363" xr:uid="{00000000-0005-0000-0000-0000FFC40000}"/>
    <cellStyle name="Normal 26 5 2 9" xfId="6897" xr:uid="{00000000-0005-0000-0000-000000C50000}"/>
    <cellStyle name="Normal 26 5 2 9 2" xfId="22046" xr:uid="{00000000-0005-0000-0000-000001C50000}"/>
    <cellStyle name="Normal 26 5 20" xfId="37089" xr:uid="{00000000-0005-0000-0000-000002C50000}"/>
    <cellStyle name="Normal 26 5 21" xfId="38772" xr:uid="{00000000-0005-0000-0000-000003C50000}"/>
    <cellStyle name="Normal 26 5 22" xfId="40455" xr:uid="{00000000-0005-0000-0000-000004C50000}"/>
    <cellStyle name="Normal 26 5 23" xfId="42138" xr:uid="{00000000-0005-0000-0000-000005C50000}"/>
    <cellStyle name="Normal 26 5 24" xfId="43821" xr:uid="{00000000-0005-0000-0000-000006C50000}"/>
    <cellStyle name="Normal 26 5 25" xfId="45504" xr:uid="{00000000-0005-0000-0000-000007C50000}"/>
    <cellStyle name="Normal 26 5 26" xfId="47187" xr:uid="{00000000-0005-0000-0000-000008C50000}"/>
    <cellStyle name="Normal 26 5 27" xfId="48870" xr:uid="{00000000-0005-0000-0000-000009C50000}"/>
    <cellStyle name="Normal 26 5 28" xfId="50553" xr:uid="{00000000-0005-0000-0000-00000AC50000}"/>
    <cellStyle name="Normal 26 5 29" xfId="52236" xr:uid="{00000000-0005-0000-0000-00000BC50000}"/>
    <cellStyle name="Normal 26 5 3" xfId="269" xr:uid="{00000000-0005-0000-0000-00000CC50000}"/>
    <cellStyle name="Normal 26 5 3 10" xfId="10368" xr:uid="{00000000-0005-0000-0000-00000DC50000}"/>
    <cellStyle name="Normal 26 5 3 10 2" xfId="25517" xr:uid="{00000000-0005-0000-0000-00000EC50000}"/>
    <cellStyle name="Normal 26 5 3 11" xfId="12052" xr:uid="{00000000-0005-0000-0000-00000FC50000}"/>
    <cellStyle name="Normal 26 5 3 11 2" xfId="27201" xr:uid="{00000000-0005-0000-0000-000010C50000}"/>
    <cellStyle name="Normal 26 5 3 12" xfId="13735" xr:uid="{00000000-0005-0000-0000-000011C50000}"/>
    <cellStyle name="Normal 26 5 3 12 2" xfId="28884" xr:uid="{00000000-0005-0000-0000-000012C50000}"/>
    <cellStyle name="Normal 26 5 3 13" xfId="15418" xr:uid="{00000000-0005-0000-0000-000013C50000}"/>
    <cellStyle name="Normal 26 5 3 14" xfId="30567" xr:uid="{00000000-0005-0000-0000-000014C50000}"/>
    <cellStyle name="Normal 26 5 3 15" xfId="32250" xr:uid="{00000000-0005-0000-0000-000015C50000}"/>
    <cellStyle name="Normal 26 5 3 16" xfId="33933" xr:uid="{00000000-0005-0000-0000-000016C50000}"/>
    <cellStyle name="Normal 26 5 3 17" xfId="35616" xr:uid="{00000000-0005-0000-0000-000017C50000}"/>
    <cellStyle name="Normal 26 5 3 18" xfId="37299" xr:uid="{00000000-0005-0000-0000-000018C50000}"/>
    <cellStyle name="Normal 26 5 3 19" xfId="38982" xr:uid="{00000000-0005-0000-0000-000019C50000}"/>
    <cellStyle name="Normal 26 5 3 2" xfId="689" xr:uid="{00000000-0005-0000-0000-00001AC50000}"/>
    <cellStyle name="Normal 26 5 3 2 10" xfId="15838" xr:uid="{00000000-0005-0000-0000-00001BC50000}"/>
    <cellStyle name="Normal 26 5 3 2 11" xfId="30987" xr:uid="{00000000-0005-0000-0000-00001CC50000}"/>
    <cellStyle name="Normal 26 5 3 2 12" xfId="32670" xr:uid="{00000000-0005-0000-0000-00001DC50000}"/>
    <cellStyle name="Normal 26 5 3 2 13" xfId="34353" xr:uid="{00000000-0005-0000-0000-00001EC50000}"/>
    <cellStyle name="Normal 26 5 3 2 14" xfId="36036" xr:uid="{00000000-0005-0000-0000-00001FC50000}"/>
    <cellStyle name="Normal 26 5 3 2 15" xfId="37719" xr:uid="{00000000-0005-0000-0000-000020C50000}"/>
    <cellStyle name="Normal 26 5 3 2 16" xfId="39402" xr:uid="{00000000-0005-0000-0000-000021C50000}"/>
    <cellStyle name="Normal 26 5 3 2 17" xfId="41085" xr:uid="{00000000-0005-0000-0000-000022C50000}"/>
    <cellStyle name="Normal 26 5 3 2 18" xfId="42768" xr:uid="{00000000-0005-0000-0000-000023C50000}"/>
    <cellStyle name="Normal 26 5 3 2 19" xfId="44451" xr:uid="{00000000-0005-0000-0000-000024C50000}"/>
    <cellStyle name="Normal 26 5 3 2 2" xfId="2372" xr:uid="{00000000-0005-0000-0000-000025C50000}"/>
    <cellStyle name="Normal 26 5 3 2 2 2" xfId="17521" xr:uid="{00000000-0005-0000-0000-000026C50000}"/>
    <cellStyle name="Normal 26 5 3 2 20" xfId="46134" xr:uid="{00000000-0005-0000-0000-000027C50000}"/>
    <cellStyle name="Normal 26 5 3 2 21" xfId="47817" xr:uid="{00000000-0005-0000-0000-000028C50000}"/>
    <cellStyle name="Normal 26 5 3 2 22" xfId="49500" xr:uid="{00000000-0005-0000-0000-000029C50000}"/>
    <cellStyle name="Normal 26 5 3 2 23" xfId="51183" xr:uid="{00000000-0005-0000-0000-00002AC50000}"/>
    <cellStyle name="Normal 26 5 3 2 24" xfId="52866" xr:uid="{00000000-0005-0000-0000-00002BC50000}"/>
    <cellStyle name="Normal 26 5 3 2 25" xfId="54549" xr:uid="{00000000-0005-0000-0000-00002CC50000}"/>
    <cellStyle name="Normal 26 5 3 2 26" xfId="56232" xr:uid="{00000000-0005-0000-0000-00002DC50000}"/>
    <cellStyle name="Normal 26 5 3 2 27" xfId="57915" xr:uid="{00000000-0005-0000-0000-00002EC50000}"/>
    <cellStyle name="Normal 26 5 3 2 28" xfId="59598" xr:uid="{00000000-0005-0000-0000-00002FC50000}"/>
    <cellStyle name="Normal 26 5 3 2 29" xfId="61281" xr:uid="{00000000-0005-0000-0000-000030C50000}"/>
    <cellStyle name="Normal 26 5 3 2 3" xfId="4056" xr:uid="{00000000-0005-0000-0000-000031C50000}"/>
    <cellStyle name="Normal 26 5 3 2 3 2" xfId="19205" xr:uid="{00000000-0005-0000-0000-000032C50000}"/>
    <cellStyle name="Normal 26 5 3 2 30" xfId="62964" xr:uid="{00000000-0005-0000-0000-000033C50000}"/>
    <cellStyle name="Normal 26 5 3 2 4" xfId="5739" xr:uid="{00000000-0005-0000-0000-000034C50000}"/>
    <cellStyle name="Normal 26 5 3 2 4 2" xfId="20888" xr:uid="{00000000-0005-0000-0000-000035C50000}"/>
    <cellStyle name="Normal 26 5 3 2 5" xfId="7422" xr:uid="{00000000-0005-0000-0000-000036C50000}"/>
    <cellStyle name="Normal 26 5 3 2 5 2" xfId="22571" xr:uid="{00000000-0005-0000-0000-000037C50000}"/>
    <cellStyle name="Normal 26 5 3 2 6" xfId="9105" xr:uid="{00000000-0005-0000-0000-000038C50000}"/>
    <cellStyle name="Normal 26 5 3 2 6 2" xfId="24254" xr:uid="{00000000-0005-0000-0000-000039C50000}"/>
    <cellStyle name="Normal 26 5 3 2 7" xfId="10788" xr:uid="{00000000-0005-0000-0000-00003AC50000}"/>
    <cellStyle name="Normal 26 5 3 2 7 2" xfId="25937" xr:uid="{00000000-0005-0000-0000-00003BC50000}"/>
    <cellStyle name="Normal 26 5 3 2 8" xfId="12472" xr:uid="{00000000-0005-0000-0000-00003CC50000}"/>
    <cellStyle name="Normal 26 5 3 2 8 2" xfId="27621" xr:uid="{00000000-0005-0000-0000-00003DC50000}"/>
    <cellStyle name="Normal 26 5 3 2 9" xfId="14155" xr:uid="{00000000-0005-0000-0000-00003EC50000}"/>
    <cellStyle name="Normal 26 5 3 2 9 2" xfId="29304" xr:uid="{00000000-0005-0000-0000-00003FC50000}"/>
    <cellStyle name="Normal 26 5 3 20" xfId="40665" xr:uid="{00000000-0005-0000-0000-000040C50000}"/>
    <cellStyle name="Normal 26 5 3 21" xfId="42348" xr:uid="{00000000-0005-0000-0000-000041C50000}"/>
    <cellStyle name="Normal 26 5 3 22" xfId="44031" xr:uid="{00000000-0005-0000-0000-000042C50000}"/>
    <cellStyle name="Normal 26 5 3 23" xfId="45714" xr:uid="{00000000-0005-0000-0000-000043C50000}"/>
    <cellStyle name="Normal 26 5 3 24" xfId="47397" xr:uid="{00000000-0005-0000-0000-000044C50000}"/>
    <cellStyle name="Normal 26 5 3 25" xfId="49080" xr:uid="{00000000-0005-0000-0000-000045C50000}"/>
    <cellStyle name="Normal 26 5 3 26" xfId="50763" xr:uid="{00000000-0005-0000-0000-000046C50000}"/>
    <cellStyle name="Normal 26 5 3 27" xfId="52446" xr:uid="{00000000-0005-0000-0000-000047C50000}"/>
    <cellStyle name="Normal 26 5 3 28" xfId="54129" xr:uid="{00000000-0005-0000-0000-000048C50000}"/>
    <cellStyle name="Normal 26 5 3 29" xfId="55812" xr:uid="{00000000-0005-0000-0000-000049C50000}"/>
    <cellStyle name="Normal 26 5 3 3" xfId="1110" xr:uid="{00000000-0005-0000-0000-00004AC50000}"/>
    <cellStyle name="Normal 26 5 3 3 10" xfId="16259" xr:uid="{00000000-0005-0000-0000-00004BC50000}"/>
    <cellStyle name="Normal 26 5 3 3 11" xfId="31408" xr:uid="{00000000-0005-0000-0000-00004CC50000}"/>
    <cellStyle name="Normal 26 5 3 3 12" xfId="33091" xr:uid="{00000000-0005-0000-0000-00004DC50000}"/>
    <cellStyle name="Normal 26 5 3 3 13" xfId="34774" xr:uid="{00000000-0005-0000-0000-00004EC50000}"/>
    <cellStyle name="Normal 26 5 3 3 14" xfId="36457" xr:uid="{00000000-0005-0000-0000-00004FC50000}"/>
    <cellStyle name="Normal 26 5 3 3 15" xfId="38140" xr:uid="{00000000-0005-0000-0000-000050C50000}"/>
    <cellStyle name="Normal 26 5 3 3 16" xfId="39823" xr:uid="{00000000-0005-0000-0000-000051C50000}"/>
    <cellStyle name="Normal 26 5 3 3 17" xfId="41506" xr:uid="{00000000-0005-0000-0000-000052C50000}"/>
    <cellStyle name="Normal 26 5 3 3 18" xfId="43189" xr:uid="{00000000-0005-0000-0000-000053C50000}"/>
    <cellStyle name="Normal 26 5 3 3 19" xfId="44872" xr:uid="{00000000-0005-0000-0000-000054C50000}"/>
    <cellStyle name="Normal 26 5 3 3 2" xfId="2793" xr:uid="{00000000-0005-0000-0000-000055C50000}"/>
    <cellStyle name="Normal 26 5 3 3 2 2" xfId="17942" xr:uid="{00000000-0005-0000-0000-000056C50000}"/>
    <cellStyle name="Normal 26 5 3 3 20" xfId="46555" xr:uid="{00000000-0005-0000-0000-000057C50000}"/>
    <cellStyle name="Normal 26 5 3 3 21" xfId="48238" xr:uid="{00000000-0005-0000-0000-000058C50000}"/>
    <cellStyle name="Normal 26 5 3 3 22" xfId="49921" xr:uid="{00000000-0005-0000-0000-000059C50000}"/>
    <cellStyle name="Normal 26 5 3 3 23" xfId="51604" xr:uid="{00000000-0005-0000-0000-00005AC50000}"/>
    <cellStyle name="Normal 26 5 3 3 24" xfId="53287" xr:uid="{00000000-0005-0000-0000-00005BC50000}"/>
    <cellStyle name="Normal 26 5 3 3 25" xfId="54970" xr:uid="{00000000-0005-0000-0000-00005CC50000}"/>
    <cellStyle name="Normal 26 5 3 3 26" xfId="56653" xr:uid="{00000000-0005-0000-0000-00005DC50000}"/>
    <cellStyle name="Normal 26 5 3 3 27" xfId="58336" xr:uid="{00000000-0005-0000-0000-00005EC50000}"/>
    <cellStyle name="Normal 26 5 3 3 28" xfId="60019" xr:uid="{00000000-0005-0000-0000-00005FC50000}"/>
    <cellStyle name="Normal 26 5 3 3 29" xfId="61702" xr:uid="{00000000-0005-0000-0000-000060C50000}"/>
    <cellStyle name="Normal 26 5 3 3 3" xfId="4477" xr:uid="{00000000-0005-0000-0000-000061C50000}"/>
    <cellStyle name="Normal 26 5 3 3 3 2" xfId="19626" xr:uid="{00000000-0005-0000-0000-000062C50000}"/>
    <cellStyle name="Normal 26 5 3 3 30" xfId="63385" xr:uid="{00000000-0005-0000-0000-000063C50000}"/>
    <cellStyle name="Normal 26 5 3 3 4" xfId="6160" xr:uid="{00000000-0005-0000-0000-000064C50000}"/>
    <cellStyle name="Normal 26 5 3 3 4 2" xfId="21309" xr:uid="{00000000-0005-0000-0000-000065C50000}"/>
    <cellStyle name="Normal 26 5 3 3 5" xfId="7843" xr:uid="{00000000-0005-0000-0000-000066C50000}"/>
    <cellStyle name="Normal 26 5 3 3 5 2" xfId="22992" xr:uid="{00000000-0005-0000-0000-000067C50000}"/>
    <cellStyle name="Normal 26 5 3 3 6" xfId="9526" xr:uid="{00000000-0005-0000-0000-000068C50000}"/>
    <cellStyle name="Normal 26 5 3 3 6 2" xfId="24675" xr:uid="{00000000-0005-0000-0000-000069C50000}"/>
    <cellStyle name="Normal 26 5 3 3 7" xfId="11209" xr:uid="{00000000-0005-0000-0000-00006AC50000}"/>
    <cellStyle name="Normal 26 5 3 3 7 2" xfId="26358" xr:uid="{00000000-0005-0000-0000-00006BC50000}"/>
    <cellStyle name="Normal 26 5 3 3 8" xfId="12893" xr:uid="{00000000-0005-0000-0000-00006CC50000}"/>
    <cellStyle name="Normal 26 5 3 3 8 2" xfId="28042" xr:uid="{00000000-0005-0000-0000-00006DC50000}"/>
    <cellStyle name="Normal 26 5 3 3 9" xfId="14576" xr:uid="{00000000-0005-0000-0000-00006EC50000}"/>
    <cellStyle name="Normal 26 5 3 3 9 2" xfId="29725" xr:uid="{00000000-0005-0000-0000-00006FC50000}"/>
    <cellStyle name="Normal 26 5 3 30" xfId="57495" xr:uid="{00000000-0005-0000-0000-000070C50000}"/>
    <cellStyle name="Normal 26 5 3 31" xfId="59178" xr:uid="{00000000-0005-0000-0000-000071C50000}"/>
    <cellStyle name="Normal 26 5 3 32" xfId="60861" xr:uid="{00000000-0005-0000-0000-000072C50000}"/>
    <cellStyle name="Normal 26 5 3 33" xfId="62544" xr:uid="{00000000-0005-0000-0000-000073C50000}"/>
    <cellStyle name="Normal 26 5 3 4" xfId="1531" xr:uid="{00000000-0005-0000-0000-000074C50000}"/>
    <cellStyle name="Normal 26 5 3 4 10" xfId="16680" xr:uid="{00000000-0005-0000-0000-000075C50000}"/>
    <cellStyle name="Normal 26 5 3 4 11" xfId="31829" xr:uid="{00000000-0005-0000-0000-000076C50000}"/>
    <cellStyle name="Normal 26 5 3 4 12" xfId="33512" xr:uid="{00000000-0005-0000-0000-000077C50000}"/>
    <cellStyle name="Normal 26 5 3 4 13" xfId="35195" xr:uid="{00000000-0005-0000-0000-000078C50000}"/>
    <cellStyle name="Normal 26 5 3 4 14" xfId="36878" xr:uid="{00000000-0005-0000-0000-000079C50000}"/>
    <cellStyle name="Normal 26 5 3 4 15" xfId="38561" xr:uid="{00000000-0005-0000-0000-00007AC50000}"/>
    <cellStyle name="Normal 26 5 3 4 16" xfId="40244" xr:uid="{00000000-0005-0000-0000-00007BC50000}"/>
    <cellStyle name="Normal 26 5 3 4 17" xfId="41927" xr:uid="{00000000-0005-0000-0000-00007CC50000}"/>
    <cellStyle name="Normal 26 5 3 4 18" xfId="43610" xr:uid="{00000000-0005-0000-0000-00007DC50000}"/>
    <cellStyle name="Normal 26 5 3 4 19" xfId="45293" xr:uid="{00000000-0005-0000-0000-00007EC50000}"/>
    <cellStyle name="Normal 26 5 3 4 2" xfId="3214" xr:uid="{00000000-0005-0000-0000-00007FC50000}"/>
    <cellStyle name="Normal 26 5 3 4 2 2" xfId="18363" xr:uid="{00000000-0005-0000-0000-000080C50000}"/>
    <cellStyle name="Normal 26 5 3 4 20" xfId="46976" xr:uid="{00000000-0005-0000-0000-000081C50000}"/>
    <cellStyle name="Normal 26 5 3 4 21" xfId="48659" xr:uid="{00000000-0005-0000-0000-000082C50000}"/>
    <cellStyle name="Normal 26 5 3 4 22" xfId="50342" xr:uid="{00000000-0005-0000-0000-000083C50000}"/>
    <cellStyle name="Normal 26 5 3 4 23" xfId="52025" xr:uid="{00000000-0005-0000-0000-000084C50000}"/>
    <cellStyle name="Normal 26 5 3 4 24" xfId="53708" xr:uid="{00000000-0005-0000-0000-000085C50000}"/>
    <cellStyle name="Normal 26 5 3 4 25" xfId="55391" xr:uid="{00000000-0005-0000-0000-000086C50000}"/>
    <cellStyle name="Normal 26 5 3 4 26" xfId="57074" xr:uid="{00000000-0005-0000-0000-000087C50000}"/>
    <cellStyle name="Normal 26 5 3 4 27" xfId="58757" xr:uid="{00000000-0005-0000-0000-000088C50000}"/>
    <cellStyle name="Normal 26 5 3 4 28" xfId="60440" xr:uid="{00000000-0005-0000-0000-000089C50000}"/>
    <cellStyle name="Normal 26 5 3 4 29" xfId="62123" xr:uid="{00000000-0005-0000-0000-00008AC50000}"/>
    <cellStyle name="Normal 26 5 3 4 3" xfId="4898" xr:uid="{00000000-0005-0000-0000-00008BC50000}"/>
    <cellStyle name="Normal 26 5 3 4 3 2" xfId="20047" xr:uid="{00000000-0005-0000-0000-00008CC50000}"/>
    <cellStyle name="Normal 26 5 3 4 30" xfId="63806" xr:uid="{00000000-0005-0000-0000-00008DC50000}"/>
    <cellStyle name="Normal 26 5 3 4 4" xfId="6581" xr:uid="{00000000-0005-0000-0000-00008EC50000}"/>
    <cellStyle name="Normal 26 5 3 4 4 2" xfId="21730" xr:uid="{00000000-0005-0000-0000-00008FC50000}"/>
    <cellStyle name="Normal 26 5 3 4 5" xfId="8264" xr:uid="{00000000-0005-0000-0000-000090C50000}"/>
    <cellStyle name="Normal 26 5 3 4 5 2" xfId="23413" xr:uid="{00000000-0005-0000-0000-000091C50000}"/>
    <cellStyle name="Normal 26 5 3 4 6" xfId="9947" xr:uid="{00000000-0005-0000-0000-000092C50000}"/>
    <cellStyle name="Normal 26 5 3 4 6 2" xfId="25096" xr:uid="{00000000-0005-0000-0000-000093C50000}"/>
    <cellStyle name="Normal 26 5 3 4 7" xfId="11630" xr:uid="{00000000-0005-0000-0000-000094C50000}"/>
    <cellStyle name="Normal 26 5 3 4 7 2" xfId="26779" xr:uid="{00000000-0005-0000-0000-000095C50000}"/>
    <cellStyle name="Normal 26 5 3 4 8" xfId="13314" xr:uid="{00000000-0005-0000-0000-000096C50000}"/>
    <cellStyle name="Normal 26 5 3 4 8 2" xfId="28463" xr:uid="{00000000-0005-0000-0000-000097C50000}"/>
    <cellStyle name="Normal 26 5 3 4 9" xfId="14997" xr:uid="{00000000-0005-0000-0000-000098C50000}"/>
    <cellStyle name="Normal 26 5 3 4 9 2" xfId="30146" xr:uid="{00000000-0005-0000-0000-000099C50000}"/>
    <cellStyle name="Normal 26 5 3 5" xfId="1952" xr:uid="{00000000-0005-0000-0000-00009AC50000}"/>
    <cellStyle name="Normal 26 5 3 5 2" xfId="17101" xr:uid="{00000000-0005-0000-0000-00009BC50000}"/>
    <cellStyle name="Normal 26 5 3 6" xfId="3636" xr:uid="{00000000-0005-0000-0000-00009CC50000}"/>
    <cellStyle name="Normal 26 5 3 6 2" xfId="18785" xr:uid="{00000000-0005-0000-0000-00009DC50000}"/>
    <cellStyle name="Normal 26 5 3 7" xfId="5319" xr:uid="{00000000-0005-0000-0000-00009EC50000}"/>
    <cellStyle name="Normal 26 5 3 7 2" xfId="20468" xr:uid="{00000000-0005-0000-0000-00009FC50000}"/>
    <cellStyle name="Normal 26 5 3 8" xfId="7002" xr:uid="{00000000-0005-0000-0000-0000A0C50000}"/>
    <cellStyle name="Normal 26 5 3 8 2" xfId="22151" xr:uid="{00000000-0005-0000-0000-0000A1C50000}"/>
    <cellStyle name="Normal 26 5 3 9" xfId="8685" xr:uid="{00000000-0005-0000-0000-0000A2C50000}"/>
    <cellStyle name="Normal 26 5 3 9 2" xfId="23834" xr:uid="{00000000-0005-0000-0000-0000A3C50000}"/>
    <cellStyle name="Normal 26 5 30" xfId="53919" xr:uid="{00000000-0005-0000-0000-0000A4C50000}"/>
    <cellStyle name="Normal 26 5 31" xfId="55602" xr:uid="{00000000-0005-0000-0000-0000A5C50000}"/>
    <cellStyle name="Normal 26 5 32" xfId="57285" xr:uid="{00000000-0005-0000-0000-0000A6C50000}"/>
    <cellStyle name="Normal 26 5 33" xfId="58968" xr:uid="{00000000-0005-0000-0000-0000A7C50000}"/>
    <cellStyle name="Normal 26 5 34" xfId="60651" xr:uid="{00000000-0005-0000-0000-0000A8C50000}"/>
    <cellStyle name="Normal 26 5 35" xfId="62334" xr:uid="{00000000-0005-0000-0000-0000A9C50000}"/>
    <cellStyle name="Normal 26 5 4" xfId="479" xr:uid="{00000000-0005-0000-0000-0000AAC50000}"/>
    <cellStyle name="Normal 26 5 4 10" xfId="15628" xr:uid="{00000000-0005-0000-0000-0000ABC50000}"/>
    <cellStyle name="Normal 26 5 4 11" xfId="30777" xr:uid="{00000000-0005-0000-0000-0000ACC50000}"/>
    <cellStyle name="Normal 26 5 4 12" xfId="32460" xr:uid="{00000000-0005-0000-0000-0000ADC50000}"/>
    <cellStyle name="Normal 26 5 4 13" xfId="34143" xr:uid="{00000000-0005-0000-0000-0000AEC50000}"/>
    <cellStyle name="Normal 26 5 4 14" xfId="35826" xr:uid="{00000000-0005-0000-0000-0000AFC50000}"/>
    <cellStyle name="Normal 26 5 4 15" xfId="37509" xr:uid="{00000000-0005-0000-0000-0000B0C50000}"/>
    <cellStyle name="Normal 26 5 4 16" xfId="39192" xr:uid="{00000000-0005-0000-0000-0000B1C50000}"/>
    <cellStyle name="Normal 26 5 4 17" xfId="40875" xr:uid="{00000000-0005-0000-0000-0000B2C50000}"/>
    <cellStyle name="Normal 26 5 4 18" xfId="42558" xr:uid="{00000000-0005-0000-0000-0000B3C50000}"/>
    <cellStyle name="Normal 26 5 4 19" xfId="44241" xr:uid="{00000000-0005-0000-0000-0000B4C50000}"/>
    <cellStyle name="Normal 26 5 4 2" xfId="2162" xr:uid="{00000000-0005-0000-0000-0000B5C50000}"/>
    <cellStyle name="Normal 26 5 4 2 2" xfId="17311" xr:uid="{00000000-0005-0000-0000-0000B6C50000}"/>
    <cellStyle name="Normal 26 5 4 20" xfId="45924" xr:uid="{00000000-0005-0000-0000-0000B7C50000}"/>
    <cellStyle name="Normal 26 5 4 21" xfId="47607" xr:uid="{00000000-0005-0000-0000-0000B8C50000}"/>
    <cellStyle name="Normal 26 5 4 22" xfId="49290" xr:uid="{00000000-0005-0000-0000-0000B9C50000}"/>
    <cellStyle name="Normal 26 5 4 23" xfId="50973" xr:uid="{00000000-0005-0000-0000-0000BAC50000}"/>
    <cellStyle name="Normal 26 5 4 24" xfId="52656" xr:uid="{00000000-0005-0000-0000-0000BBC50000}"/>
    <cellStyle name="Normal 26 5 4 25" xfId="54339" xr:uid="{00000000-0005-0000-0000-0000BCC50000}"/>
    <cellStyle name="Normal 26 5 4 26" xfId="56022" xr:uid="{00000000-0005-0000-0000-0000BDC50000}"/>
    <cellStyle name="Normal 26 5 4 27" xfId="57705" xr:uid="{00000000-0005-0000-0000-0000BEC50000}"/>
    <cellStyle name="Normal 26 5 4 28" xfId="59388" xr:uid="{00000000-0005-0000-0000-0000BFC50000}"/>
    <cellStyle name="Normal 26 5 4 29" xfId="61071" xr:uid="{00000000-0005-0000-0000-0000C0C50000}"/>
    <cellStyle name="Normal 26 5 4 3" xfId="3846" xr:uid="{00000000-0005-0000-0000-0000C1C50000}"/>
    <cellStyle name="Normal 26 5 4 3 2" xfId="18995" xr:uid="{00000000-0005-0000-0000-0000C2C50000}"/>
    <cellStyle name="Normal 26 5 4 30" xfId="62754" xr:uid="{00000000-0005-0000-0000-0000C3C50000}"/>
    <cellStyle name="Normal 26 5 4 4" xfId="5529" xr:uid="{00000000-0005-0000-0000-0000C4C50000}"/>
    <cellStyle name="Normal 26 5 4 4 2" xfId="20678" xr:uid="{00000000-0005-0000-0000-0000C5C50000}"/>
    <cellStyle name="Normal 26 5 4 5" xfId="7212" xr:uid="{00000000-0005-0000-0000-0000C6C50000}"/>
    <cellStyle name="Normal 26 5 4 5 2" xfId="22361" xr:uid="{00000000-0005-0000-0000-0000C7C50000}"/>
    <cellStyle name="Normal 26 5 4 6" xfId="8895" xr:uid="{00000000-0005-0000-0000-0000C8C50000}"/>
    <cellStyle name="Normal 26 5 4 6 2" xfId="24044" xr:uid="{00000000-0005-0000-0000-0000C9C50000}"/>
    <cellStyle name="Normal 26 5 4 7" xfId="10578" xr:uid="{00000000-0005-0000-0000-0000CAC50000}"/>
    <cellStyle name="Normal 26 5 4 7 2" xfId="25727" xr:uid="{00000000-0005-0000-0000-0000CBC50000}"/>
    <cellStyle name="Normal 26 5 4 8" xfId="12262" xr:uid="{00000000-0005-0000-0000-0000CCC50000}"/>
    <cellStyle name="Normal 26 5 4 8 2" xfId="27411" xr:uid="{00000000-0005-0000-0000-0000CDC50000}"/>
    <cellStyle name="Normal 26 5 4 9" xfId="13945" xr:uid="{00000000-0005-0000-0000-0000CEC50000}"/>
    <cellStyle name="Normal 26 5 4 9 2" xfId="29094" xr:uid="{00000000-0005-0000-0000-0000CFC50000}"/>
    <cellStyle name="Normal 26 5 5" xfId="900" xr:uid="{00000000-0005-0000-0000-0000D0C50000}"/>
    <cellStyle name="Normal 26 5 5 10" xfId="16049" xr:uid="{00000000-0005-0000-0000-0000D1C50000}"/>
    <cellStyle name="Normal 26 5 5 11" xfId="31198" xr:uid="{00000000-0005-0000-0000-0000D2C50000}"/>
    <cellStyle name="Normal 26 5 5 12" xfId="32881" xr:uid="{00000000-0005-0000-0000-0000D3C50000}"/>
    <cellStyle name="Normal 26 5 5 13" xfId="34564" xr:uid="{00000000-0005-0000-0000-0000D4C50000}"/>
    <cellStyle name="Normal 26 5 5 14" xfId="36247" xr:uid="{00000000-0005-0000-0000-0000D5C50000}"/>
    <cellStyle name="Normal 26 5 5 15" xfId="37930" xr:uid="{00000000-0005-0000-0000-0000D6C50000}"/>
    <cellStyle name="Normal 26 5 5 16" xfId="39613" xr:uid="{00000000-0005-0000-0000-0000D7C50000}"/>
    <cellStyle name="Normal 26 5 5 17" xfId="41296" xr:uid="{00000000-0005-0000-0000-0000D8C50000}"/>
    <cellStyle name="Normal 26 5 5 18" xfId="42979" xr:uid="{00000000-0005-0000-0000-0000D9C50000}"/>
    <cellStyle name="Normal 26 5 5 19" xfId="44662" xr:uid="{00000000-0005-0000-0000-0000DAC50000}"/>
    <cellStyle name="Normal 26 5 5 2" xfId="2583" xr:uid="{00000000-0005-0000-0000-0000DBC50000}"/>
    <cellStyle name="Normal 26 5 5 2 2" xfId="17732" xr:uid="{00000000-0005-0000-0000-0000DCC50000}"/>
    <cellStyle name="Normal 26 5 5 20" xfId="46345" xr:uid="{00000000-0005-0000-0000-0000DDC50000}"/>
    <cellStyle name="Normal 26 5 5 21" xfId="48028" xr:uid="{00000000-0005-0000-0000-0000DEC50000}"/>
    <cellStyle name="Normal 26 5 5 22" xfId="49711" xr:uid="{00000000-0005-0000-0000-0000DFC50000}"/>
    <cellStyle name="Normal 26 5 5 23" xfId="51394" xr:uid="{00000000-0005-0000-0000-0000E0C50000}"/>
    <cellStyle name="Normal 26 5 5 24" xfId="53077" xr:uid="{00000000-0005-0000-0000-0000E1C50000}"/>
    <cellStyle name="Normal 26 5 5 25" xfId="54760" xr:uid="{00000000-0005-0000-0000-0000E2C50000}"/>
    <cellStyle name="Normal 26 5 5 26" xfId="56443" xr:uid="{00000000-0005-0000-0000-0000E3C50000}"/>
    <cellStyle name="Normal 26 5 5 27" xfId="58126" xr:uid="{00000000-0005-0000-0000-0000E4C50000}"/>
    <cellStyle name="Normal 26 5 5 28" xfId="59809" xr:uid="{00000000-0005-0000-0000-0000E5C50000}"/>
    <cellStyle name="Normal 26 5 5 29" xfId="61492" xr:uid="{00000000-0005-0000-0000-0000E6C50000}"/>
    <cellStyle name="Normal 26 5 5 3" xfId="4267" xr:uid="{00000000-0005-0000-0000-0000E7C50000}"/>
    <cellStyle name="Normal 26 5 5 3 2" xfId="19416" xr:uid="{00000000-0005-0000-0000-0000E8C50000}"/>
    <cellStyle name="Normal 26 5 5 30" xfId="63175" xr:uid="{00000000-0005-0000-0000-0000E9C50000}"/>
    <cellStyle name="Normal 26 5 5 4" xfId="5950" xr:uid="{00000000-0005-0000-0000-0000EAC50000}"/>
    <cellStyle name="Normal 26 5 5 4 2" xfId="21099" xr:uid="{00000000-0005-0000-0000-0000EBC50000}"/>
    <cellStyle name="Normal 26 5 5 5" xfId="7633" xr:uid="{00000000-0005-0000-0000-0000ECC50000}"/>
    <cellStyle name="Normal 26 5 5 5 2" xfId="22782" xr:uid="{00000000-0005-0000-0000-0000EDC50000}"/>
    <cellStyle name="Normal 26 5 5 6" xfId="9316" xr:uid="{00000000-0005-0000-0000-0000EEC50000}"/>
    <cellStyle name="Normal 26 5 5 6 2" xfId="24465" xr:uid="{00000000-0005-0000-0000-0000EFC50000}"/>
    <cellStyle name="Normal 26 5 5 7" xfId="10999" xr:uid="{00000000-0005-0000-0000-0000F0C50000}"/>
    <cellStyle name="Normal 26 5 5 7 2" xfId="26148" xr:uid="{00000000-0005-0000-0000-0000F1C50000}"/>
    <cellStyle name="Normal 26 5 5 8" xfId="12683" xr:uid="{00000000-0005-0000-0000-0000F2C50000}"/>
    <cellStyle name="Normal 26 5 5 8 2" xfId="27832" xr:uid="{00000000-0005-0000-0000-0000F3C50000}"/>
    <cellStyle name="Normal 26 5 5 9" xfId="14366" xr:uid="{00000000-0005-0000-0000-0000F4C50000}"/>
    <cellStyle name="Normal 26 5 5 9 2" xfId="29515" xr:uid="{00000000-0005-0000-0000-0000F5C50000}"/>
    <cellStyle name="Normal 26 5 6" xfId="1321" xr:uid="{00000000-0005-0000-0000-0000F6C50000}"/>
    <cellStyle name="Normal 26 5 6 10" xfId="16470" xr:uid="{00000000-0005-0000-0000-0000F7C50000}"/>
    <cellStyle name="Normal 26 5 6 11" xfId="31619" xr:uid="{00000000-0005-0000-0000-0000F8C50000}"/>
    <cellStyle name="Normal 26 5 6 12" xfId="33302" xr:uid="{00000000-0005-0000-0000-0000F9C50000}"/>
    <cellStyle name="Normal 26 5 6 13" xfId="34985" xr:uid="{00000000-0005-0000-0000-0000FAC50000}"/>
    <cellStyle name="Normal 26 5 6 14" xfId="36668" xr:uid="{00000000-0005-0000-0000-0000FBC50000}"/>
    <cellStyle name="Normal 26 5 6 15" xfId="38351" xr:uid="{00000000-0005-0000-0000-0000FCC50000}"/>
    <cellStyle name="Normal 26 5 6 16" xfId="40034" xr:uid="{00000000-0005-0000-0000-0000FDC50000}"/>
    <cellStyle name="Normal 26 5 6 17" xfId="41717" xr:uid="{00000000-0005-0000-0000-0000FEC50000}"/>
    <cellStyle name="Normal 26 5 6 18" xfId="43400" xr:uid="{00000000-0005-0000-0000-0000FFC50000}"/>
    <cellStyle name="Normal 26 5 6 19" xfId="45083" xr:uid="{00000000-0005-0000-0000-000000C60000}"/>
    <cellStyle name="Normal 26 5 6 2" xfId="3004" xr:uid="{00000000-0005-0000-0000-000001C60000}"/>
    <cellStyle name="Normal 26 5 6 2 2" xfId="18153" xr:uid="{00000000-0005-0000-0000-000002C60000}"/>
    <cellStyle name="Normal 26 5 6 20" xfId="46766" xr:uid="{00000000-0005-0000-0000-000003C60000}"/>
    <cellStyle name="Normal 26 5 6 21" xfId="48449" xr:uid="{00000000-0005-0000-0000-000004C60000}"/>
    <cellStyle name="Normal 26 5 6 22" xfId="50132" xr:uid="{00000000-0005-0000-0000-000005C60000}"/>
    <cellStyle name="Normal 26 5 6 23" xfId="51815" xr:uid="{00000000-0005-0000-0000-000006C60000}"/>
    <cellStyle name="Normal 26 5 6 24" xfId="53498" xr:uid="{00000000-0005-0000-0000-000007C60000}"/>
    <cellStyle name="Normal 26 5 6 25" xfId="55181" xr:uid="{00000000-0005-0000-0000-000008C60000}"/>
    <cellStyle name="Normal 26 5 6 26" xfId="56864" xr:uid="{00000000-0005-0000-0000-000009C60000}"/>
    <cellStyle name="Normal 26 5 6 27" xfId="58547" xr:uid="{00000000-0005-0000-0000-00000AC60000}"/>
    <cellStyle name="Normal 26 5 6 28" xfId="60230" xr:uid="{00000000-0005-0000-0000-00000BC60000}"/>
    <cellStyle name="Normal 26 5 6 29" xfId="61913" xr:uid="{00000000-0005-0000-0000-00000CC60000}"/>
    <cellStyle name="Normal 26 5 6 3" xfId="4688" xr:uid="{00000000-0005-0000-0000-00000DC60000}"/>
    <cellStyle name="Normal 26 5 6 3 2" xfId="19837" xr:uid="{00000000-0005-0000-0000-00000EC60000}"/>
    <cellStyle name="Normal 26 5 6 30" xfId="63596" xr:uid="{00000000-0005-0000-0000-00000FC60000}"/>
    <cellStyle name="Normal 26 5 6 4" xfId="6371" xr:uid="{00000000-0005-0000-0000-000010C60000}"/>
    <cellStyle name="Normal 26 5 6 4 2" xfId="21520" xr:uid="{00000000-0005-0000-0000-000011C60000}"/>
    <cellStyle name="Normal 26 5 6 5" xfId="8054" xr:uid="{00000000-0005-0000-0000-000012C60000}"/>
    <cellStyle name="Normal 26 5 6 5 2" xfId="23203" xr:uid="{00000000-0005-0000-0000-000013C60000}"/>
    <cellStyle name="Normal 26 5 6 6" xfId="9737" xr:uid="{00000000-0005-0000-0000-000014C60000}"/>
    <cellStyle name="Normal 26 5 6 6 2" xfId="24886" xr:uid="{00000000-0005-0000-0000-000015C60000}"/>
    <cellStyle name="Normal 26 5 6 7" xfId="11420" xr:uid="{00000000-0005-0000-0000-000016C60000}"/>
    <cellStyle name="Normal 26 5 6 7 2" xfId="26569" xr:uid="{00000000-0005-0000-0000-000017C60000}"/>
    <cellStyle name="Normal 26 5 6 8" xfId="13104" xr:uid="{00000000-0005-0000-0000-000018C60000}"/>
    <cellStyle name="Normal 26 5 6 8 2" xfId="28253" xr:uid="{00000000-0005-0000-0000-000019C60000}"/>
    <cellStyle name="Normal 26 5 6 9" xfId="14787" xr:uid="{00000000-0005-0000-0000-00001AC60000}"/>
    <cellStyle name="Normal 26 5 6 9 2" xfId="29936" xr:uid="{00000000-0005-0000-0000-00001BC60000}"/>
    <cellStyle name="Normal 26 5 7" xfId="1742" xr:uid="{00000000-0005-0000-0000-00001CC60000}"/>
    <cellStyle name="Normal 26 5 7 2" xfId="16891" xr:uid="{00000000-0005-0000-0000-00001DC60000}"/>
    <cellStyle name="Normal 26 5 8" xfId="3426" xr:uid="{00000000-0005-0000-0000-00001EC60000}"/>
    <cellStyle name="Normal 26 5 8 2" xfId="18575" xr:uid="{00000000-0005-0000-0000-00001FC60000}"/>
    <cellStyle name="Normal 26 5 9" xfId="5109" xr:uid="{00000000-0005-0000-0000-000020C60000}"/>
    <cellStyle name="Normal 26 5 9 2" xfId="20258" xr:uid="{00000000-0005-0000-0000-000021C60000}"/>
    <cellStyle name="Normal 26 6" xfId="46" xr:uid="{00000000-0005-0000-0000-000022C60000}"/>
    <cellStyle name="Normal 26 6 10" xfId="6801" xr:uid="{00000000-0005-0000-0000-000023C60000}"/>
    <cellStyle name="Normal 26 6 10 2" xfId="21950" xr:uid="{00000000-0005-0000-0000-000024C60000}"/>
    <cellStyle name="Normal 26 6 11" xfId="8484" xr:uid="{00000000-0005-0000-0000-000025C60000}"/>
    <cellStyle name="Normal 26 6 11 2" xfId="23633" xr:uid="{00000000-0005-0000-0000-000026C60000}"/>
    <cellStyle name="Normal 26 6 12" xfId="10167" xr:uid="{00000000-0005-0000-0000-000027C60000}"/>
    <cellStyle name="Normal 26 6 12 2" xfId="25316" xr:uid="{00000000-0005-0000-0000-000028C60000}"/>
    <cellStyle name="Normal 26 6 13" xfId="11851" xr:uid="{00000000-0005-0000-0000-000029C60000}"/>
    <cellStyle name="Normal 26 6 13 2" xfId="27000" xr:uid="{00000000-0005-0000-0000-00002AC60000}"/>
    <cellStyle name="Normal 26 6 14" xfId="13534" xr:uid="{00000000-0005-0000-0000-00002BC60000}"/>
    <cellStyle name="Normal 26 6 14 2" xfId="28683" xr:uid="{00000000-0005-0000-0000-00002CC60000}"/>
    <cellStyle name="Normal 26 6 15" xfId="15217" xr:uid="{00000000-0005-0000-0000-00002DC60000}"/>
    <cellStyle name="Normal 26 6 16" xfId="30366" xr:uid="{00000000-0005-0000-0000-00002EC60000}"/>
    <cellStyle name="Normal 26 6 17" xfId="32049" xr:uid="{00000000-0005-0000-0000-00002FC60000}"/>
    <cellStyle name="Normal 26 6 18" xfId="33732" xr:uid="{00000000-0005-0000-0000-000030C60000}"/>
    <cellStyle name="Normal 26 6 19" xfId="35415" xr:uid="{00000000-0005-0000-0000-000031C60000}"/>
    <cellStyle name="Normal 26 6 2" xfId="173" xr:uid="{00000000-0005-0000-0000-000032C60000}"/>
    <cellStyle name="Normal 26 6 2 10" xfId="8589" xr:uid="{00000000-0005-0000-0000-000033C60000}"/>
    <cellStyle name="Normal 26 6 2 10 2" xfId="23738" xr:uid="{00000000-0005-0000-0000-000034C60000}"/>
    <cellStyle name="Normal 26 6 2 11" xfId="10272" xr:uid="{00000000-0005-0000-0000-000035C60000}"/>
    <cellStyle name="Normal 26 6 2 11 2" xfId="25421" xr:uid="{00000000-0005-0000-0000-000036C60000}"/>
    <cellStyle name="Normal 26 6 2 12" xfId="11956" xr:uid="{00000000-0005-0000-0000-000037C60000}"/>
    <cellStyle name="Normal 26 6 2 12 2" xfId="27105" xr:uid="{00000000-0005-0000-0000-000038C60000}"/>
    <cellStyle name="Normal 26 6 2 13" xfId="13639" xr:uid="{00000000-0005-0000-0000-000039C60000}"/>
    <cellStyle name="Normal 26 6 2 13 2" xfId="28788" xr:uid="{00000000-0005-0000-0000-00003AC60000}"/>
    <cellStyle name="Normal 26 6 2 14" xfId="15322" xr:uid="{00000000-0005-0000-0000-00003BC60000}"/>
    <cellStyle name="Normal 26 6 2 15" xfId="30471" xr:uid="{00000000-0005-0000-0000-00003CC60000}"/>
    <cellStyle name="Normal 26 6 2 16" xfId="32154" xr:uid="{00000000-0005-0000-0000-00003DC60000}"/>
    <cellStyle name="Normal 26 6 2 17" xfId="33837" xr:uid="{00000000-0005-0000-0000-00003EC60000}"/>
    <cellStyle name="Normal 26 6 2 18" xfId="35520" xr:uid="{00000000-0005-0000-0000-00003FC60000}"/>
    <cellStyle name="Normal 26 6 2 19" xfId="37203" xr:uid="{00000000-0005-0000-0000-000040C60000}"/>
    <cellStyle name="Normal 26 6 2 2" xfId="383" xr:uid="{00000000-0005-0000-0000-000041C60000}"/>
    <cellStyle name="Normal 26 6 2 2 10" xfId="10482" xr:uid="{00000000-0005-0000-0000-000042C60000}"/>
    <cellStyle name="Normal 26 6 2 2 10 2" xfId="25631" xr:uid="{00000000-0005-0000-0000-000043C60000}"/>
    <cellStyle name="Normal 26 6 2 2 11" xfId="12166" xr:uid="{00000000-0005-0000-0000-000044C60000}"/>
    <cellStyle name="Normal 26 6 2 2 11 2" xfId="27315" xr:uid="{00000000-0005-0000-0000-000045C60000}"/>
    <cellStyle name="Normal 26 6 2 2 12" xfId="13849" xr:uid="{00000000-0005-0000-0000-000046C60000}"/>
    <cellStyle name="Normal 26 6 2 2 12 2" xfId="28998" xr:uid="{00000000-0005-0000-0000-000047C60000}"/>
    <cellStyle name="Normal 26 6 2 2 13" xfId="15532" xr:uid="{00000000-0005-0000-0000-000048C60000}"/>
    <cellStyle name="Normal 26 6 2 2 14" xfId="30681" xr:uid="{00000000-0005-0000-0000-000049C60000}"/>
    <cellStyle name="Normal 26 6 2 2 15" xfId="32364" xr:uid="{00000000-0005-0000-0000-00004AC60000}"/>
    <cellStyle name="Normal 26 6 2 2 16" xfId="34047" xr:uid="{00000000-0005-0000-0000-00004BC60000}"/>
    <cellStyle name="Normal 26 6 2 2 17" xfId="35730" xr:uid="{00000000-0005-0000-0000-00004CC60000}"/>
    <cellStyle name="Normal 26 6 2 2 18" xfId="37413" xr:uid="{00000000-0005-0000-0000-00004DC60000}"/>
    <cellStyle name="Normal 26 6 2 2 19" xfId="39096" xr:uid="{00000000-0005-0000-0000-00004EC60000}"/>
    <cellStyle name="Normal 26 6 2 2 2" xfId="803" xr:uid="{00000000-0005-0000-0000-00004FC60000}"/>
    <cellStyle name="Normal 26 6 2 2 2 10" xfId="15952" xr:uid="{00000000-0005-0000-0000-000050C60000}"/>
    <cellStyle name="Normal 26 6 2 2 2 11" xfId="31101" xr:uid="{00000000-0005-0000-0000-000051C60000}"/>
    <cellStyle name="Normal 26 6 2 2 2 12" xfId="32784" xr:uid="{00000000-0005-0000-0000-000052C60000}"/>
    <cellStyle name="Normal 26 6 2 2 2 13" xfId="34467" xr:uid="{00000000-0005-0000-0000-000053C60000}"/>
    <cellStyle name="Normal 26 6 2 2 2 14" xfId="36150" xr:uid="{00000000-0005-0000-0000-000054C60000}"/>
    <cellStyle name="Normal 26 6 2 2 2 15" xfId="37833" xr:uid="{00000000-0005-0000-0000-000055C60000}"/>
    <cellStyle name="Normal 26 6 2 2 2 16" xfId="39516" xr:uid="{00000000-0005-0000-0000-000056C60000}"/>
    <cellStyle name="Normal 26 6 2 2 2 17" xfId="41199" xr:uid="{00000000-0005-0000-0000-000057C60000}"/>
    <cellStyle name="Normal 26 6 2 2 2 18" xfId="42882" xr:uid="{00000000-0005-0000-0000-000058C60000}"/>
    <cellStyle name="Normal 26 6 2 2 2 19" xfId="44565" xr:uid="{00000000-0005-0000-0000-000059C60000}"/>
    <cellStyle name="Normal 26 6 2 2 2 2" xfId="2486" xr:uid="{00000000-0005-0000-0000-00005AC60000}"/>
    <cellStyle name="Normal 26 6 2 2 2 2 2" xfId="17635" xr:uid="{00000000-0005-0000-0000-00005BC60000}"/>
    <cellStyle name="Normal 26 6 2 2 2 20" xfId="46248" xr:uid="{00000000-0005-0000-0000-00005CC60000}"/>
    <cellStyle name="Normal 26 6 2 2 2 21" xfId="47931" xr:uid="{00000000-0005-0000-0000-00005DC60000}"/>
    <cellStyle name="Normal 26 6 2 2 2 22" xfId="49614" xr:uid="{00000000-0005-0000-0000-00005EC60000}"/>
    <cellStyle name="Normal 26 6 2 2 2 23" xfId="51297" xr:uid="{00000000-0005-0000-0000-00005FC60000}"/>
    <cellStyle name="Normal 26 6 2 2 2 24" xfId="52980" xr:uid="{00000000-0005-0000-0000-000060C60000}"/>
    <cellStyle name="Normal 26 6 2 2 2 25" xfId="54663" xr:uid="{00000000-0005-0000-0000-000061C60000}"/>
    <cellStyle name="Normal 26 6 2 2 2 26" xfId="56346" xr:uid="{00000000-0005-0000-0000-000062C60000}"/>
    <cellStyle name="Normal 26 6 2 2 2 27" xfId="58029" xr:uid="{00000000-0005-0000-0000-000063C60000}"/>
    <cellStyle name="Normal 26 6 2 2 2 28" xfId="59712" xr:uid="{00000000-0005-0000-0000-000064C60000}"/>
    <cellStyle name="Normal 26 6 2 2 2 29" xfId="61395" xr:uid="{00000000-0005-0000-0000-000065C60000}"/>
    <cellStyle name="Normal 26 6 2 2 2 3" xfId="4170" xr:uid="{00000000-0005-0000-0000-000066C60000}"/>
    <cellStyle name="Normal 26 6 2 2 2 3 2" xfId="19319" xr:uid="{00000000-0005-0000-0000-000067C60000}"/>
    <cellStyle name="Normal 26 6 2 2 2 30" xfId="63078" xr:uid="{00000000-0005-0000-0000-000068C60000}"/>
    <cellStyle name="Normal 26 6 2 2 2 4" xfId="5853" xr:uid="{00000000-0005-0000-0000-000069C60000}"/>
    <cellStyle name="Normal 26 6 2 2 2 4 2" xfId="21002" xr:uid="{00000000-0005-0000-0000-00006AC60000}"/>
    <cellStyle name="Normal 26 6 2 2 2 5" xfId="7536" xr:uid="{00000000-0005-0000-0000-00006BC60000}"/>
    <cellStyle name="Normal 26 6 2 2 2 5 2" xfId="22685" xr:uid="{00000000-0005-0000-0000-00006CC60000}"/>
    <cellStyle name="Normal 26 6 2 2 2 6" xfId="9219" xr:uid="{00000000-0005-0000-0000-00006DC60000}"/>
    <cellStyle name="Normal 26 6 2 2 2 6 2" xfId="24368" xr:uid="{00000000-0005-0000-0000-00006EC60000}"/>
    <cellStyle name="Normal 26 6 2 2 2 7" xfId="10902" xr:uid="{00000000-0005-0000-0000-00006FC60000}"/>
    <cellStyle name="Normal 26 6 2 2 2 7 2" xfId="26051" xr:uid="{00000000-0005-0000-0000-000070C60000}"/>
    <cellStyle name="Normal 26 6 2 2 2 8" xfId="12586" xr:uid="{00000000-0005-0000-0000-000071C60000}"/>
    <cellStyle name="Normal 26 6 2 2 2 8 2" xfId="27735" xr:uid="{00000000-0005-0000-0000-000072C60000}"/>
    <cellStyle name="Normal 26 6 2 2 2 9" xfId="14269" xr:uid="{00000000-0005-0000-0000-000073C60000}"/>
    <cellStyle name="Normal 26 6 2 2 2 9 2" xfId="29418" xr:uid="{00000000-0005-0000-0000-000074C60000}"/>
    <cellStyle name="Normal 26 6 2 2 20" xfId="40779" xr:uid="{00000000-0005-0000-0000-000075C60000}"/>
    <cellStyle name="Normal 26 6 2 2 21" xfId="42462" xr:uid="{00000000-0005-0000-0000-000076C60000}"/>
    <cellStyle name="Normal 26 6 2 2 22" xfId="44145" xr:uid="{00000000-0005-0000-0000-000077C60000}"/>
    <cellStyle name="Normal 26 6 2 2 23" xfId="45828" xr:uid="{00000000-0005-0000-0000-000078C60000}"/>
    <cellStyle name="Normal 26 6 2 2 24" xfId="47511" xr:uid="{00000000-0005-0000-0000-000079C60000}"/>
    <cellStyle name="Normal 26 6 2 2 25" xfId="49194" xr:uid="{00000000-0005-0000-0000-00007AC60000}"/>
    <cellStyle name="Normal 26 6 2 2 26" xfId="50877" xr:uid="{00000000-0005-0000-0000-00007BC60000}"/>
    <cellStyle name="Normal 26 6 2 2 27" xfId="52560" xr:uid="{00000000-0005-0000-0000-00007CC60000}"/>
    <cellStyle name="Normal 26 6 2 2 28" xfId="54243" xr:uid="{00000000-0005-0000-0000-00007DC60000}"/>
    <cellStyle name="Normal 26 6 2 2 29" xfId="55926" xr:uid="{00000000-0005-0000-0000-00007EC60000}"/>
    <cellStyle name="Normal 26 6 2 2 3" xfId="1224" xr:uid="{00000000-0005-0000-0000-00007FC60000}"/>
    <cellStyle name="Normal 26 6 2 2 3 10" xfId="16373" xr:uid="{00000000-0005-0000-0000-000080C60000}"/>
    <cellStyle name="Normal 26 6 2 2 3 11" xfId="31522" xr:uid="{00000000-0005-0000-0000-000081C60000}"/>
    <cellStyle name="Normal 26 6 2 2 3 12" xfId="33205" xr:uid="{00000000-0005-0000-0000-000082C60000}"/>
    <cellStyle name="Normal 26 6 2 2 3 13" xfId="34888" xr:uid="{00000000-0005-0000-0000-000083C60000}"/>
    <cellStyle name="Normal 26 6 2 2 3 14" xfId="36571" xr:uid="{00000000-0005-0000-0000-000084C60000}"/>
    <cellStyle name="Normal 26 6 2 2 3 15" xfId="38254" xr:uid="{00000000-0005-0000-0000-000085C60000}"/>
    <cellStyle name="Normal 26 6 2 2 3 16" xfId="39937" xr:uid="{00000000-0005-0000-0000-000086C60000}"/>
    <cellStyle name="Normal 26 6 2 2 3 17" xfId="41620" xr:uid="{00000000-0005-0000-0000-000087C60000}"/>
    <cellStyle name="Normal 26 6 2 2 3 18" xfId="43303" xr:uid="{00000000-0005-0000-0000-000088C60000}"/>
    <cellStyle name="Normal 26 6 2 2 3 19" xfId="44986" xr:uid="{00000000-0005-0000-0000-000089C60000}"/>
    <cellStyle name="Normal 26 6 2 2 3 2" xfId="2907" xr:uid="{00000000-0005-0000-0000-00008AC60000}"/>
    <cellStyle name="Normal 26 6 2 2 3 2 2" xfId="18056" xr:uid="{00000000-0005-0000-0000-00008BC60000}"/>
    <cellStyle name="Normal 26 6 2 2 3 20" xfId="46669" xr:uid="{00000000-0005-0000-0000-00008CC60000}"/>
    <cellStyle name="Normal 26 6 2 2 3 21" xfId="48352" xr:uid="{00000000-0005-0000-0000-00008DC60000}"/>
    <cellStyle name="Normal 26 6 2 2 3 22" xfId="50035" xr:uid="{00000000-0005-0000-0000-00008EC60000}"/>
    <cellStyle name="Normal 26 6 2 2 3 23" xfId="51718" xr:uid="{00000000-0005-0000-0000-00008FC60000}"/>
    <cellStyle name="Normal 26 6 2 2 3 24" xfId="53401" xr:uid="{00000000-0005-0000-0000-000090C60000}"/>
    <cellStyle name="Normal 26 6 2 2 3 25" xfId="55084" xr:uid="{00000000-0005-0000-0000-000091C60000}"/>
    <cellStyle name="Normal 26 6 2 2 3 26" xfId="56767" xr:uid="{00000000-0005-0000-0000-000092C60000}"/>
    <cellStyle name="Normal 26 6 2 2 3 27" xfId="58450" xr:uid="{00000000-0005-0000-0000-000093C60000}"/>
    <cellStyle name="Normal 26 6 2 2 3 28" xfId="60133" xr:uid="{00000000-0005-0000-0000-000094C60000}"/>
    <cellStyle name="Normal 26 6 2 2 3 29" xfId="61816" xr:uid="{00000000-0005-0000-0000-000095C60000}"/>
    <cellStyle name="Normal 26 6 2 2 3 3" xfId="4591" xr:uid="{00000000-0005-0000-0000-000096C60000}"/>
    <cellStyle name="Normal 26 6 2 2 3 3 2" xfId="19740" xr:uid="{00000000-0005-0000-0000-000097C60000}"/>
    <cellStyle name="Normal 26 6 2 2 3 30" xfId="63499" xr:uid="{00000000-0005-0000-0000-000098C60000}"/>
    <cellStyle name="Normal 26 6 2 2 3 4" xfId="6274" xr:uid="{00000000-0005-0000-0000-000099C60000}"/>
    <cellStyle name="Normal 26 6 2 2 3 4 2" xfId="21423" xr:uid="{00000000-0005-0000-0000-00009AC60000}"/>
    <cellStyle name="Normal 26 6 2 2 3 5" xfId="7957" xr:uid="{00000000-0005-0000-0000-00009BC60000}"/>
    <cellStyle name="Normal 26 6 2 2 3 5 2" xfId="23106" xr:uid="{00000000-0005-0000-0000-00009CC60000}"/>
    <cellStyle name="Normal 26 6 2 2 3 6" xfId="9640" xr:uid="{00000000-0005-0000-0000-00009DC60000}"/>
    <cellStyle name="Normal 26 6 2 2 3 6 2" xfId="24789" xr:uid="{00000000-0005-0000-0000-00009EC60000}"/>
    <cellStyle name="Normal 26 6 2 2 3 7" xfId="11323" xr:uid="{00000000-0005-0000-0000-00009FC60000}"/>
    <cellStyle name="Normal 26 6 2 2 3 7 2" xfId="26472" xr:uid="{00000000-0005-0000-0000-0000A0C60000}"/>
    <cellStyle name="Normal 26 6 2 2 3 8" xfId="13007" xr:uid="{00000000-0005-0000-0000-0000A1C60000}"/>
    <cellStyle name="Normal 26 6 2 2 3 8 2" xfId="28156" xr:uid="{00000000-0005-0000-0000-0000A2C60000}"/>
    <cellStyle name="Normal 26 6 2 2 3 9" xfId="14690" xr:uid="{00000000-0005-0000-0000-0000A3C60000}"/>
    <cellStyle name="Normal 26 6 2 2 3 9 2" xfId="29839" xr:uid="{00000000-0005-0000-0000-0000A4C60000}"/>
    <cellStyle name="Normal 26 6 2 2 30" xfId="57609" xr:uid="{00000000-0005-0000-0000-0000A5C60000}"/>
    <cellStyle name="Normal 26 6 2 2 31" xfId="59292" xr:uid="{00000000-0005-0000-0000-0000A6C60000}"/>
    <cellStyle name="Normal 26 6 2 2 32" xfId="60975" xr:uid="{00000000-0005-0000-0000-0000A7C60000}"/>
    <cellStyle name="Normal 26 6 2 2 33" xfId="62658" xr:uid="{00000000-0005-0000-0000-0000A8C60000}"/>
    <cellStyle name="Normal 26 6 2 2 4" xfId="1645" xr:uid="{00000000-0005-0000-0000-0000A9C60000}"/>
    <cellStyle name="Normal 26 6 2 2 4 10" xfId="16794" xr:uid="{00000000-0005-0000-0000-0000AAC60000}"/>
    <cellStyle name="Normal 26 6 2 2 4 11" xfId="31943" xr:uid="{00000000-0005-0000-0000-0000ABC60000}"/>
    <cellStyle name="Normal 26 6 2 2 4 12" xfId="33626" xr:uid="{00000000-0005-0000-0000-0000ACC60000}"/>
    <cellStyle name="Normal 26 6 2 2 4 13" xfId="35309" xr:uid="{00000000-0005-0000-0000-0000ADC60000}"/>
    <cellStyle name="Normal 26 6 2 2 4 14" xfId="36992" xr:uid="{00000000-0005-0000-0000-0000AEC60000}"/>
    <cellStyle name="Normal 26 6 2 2 4 15" xfId="38675" xr:uid="{00000000-0005-0000-0000-0000AFC60000}"/>
    <cellStyle name="Normal 26 6 2 2 4 16" xfId="40358" xr:uid="{00000000-0005-0000-0000-0000B0C60000}"/>
    <cellStyle name="Normal 26 6 2 2 4 17" xfId="42041" xr:uid="{00000000-0005-0000-0000-0000B1C60000}"/>
    <cellStyle name="Normal 26 6 2 2 4 18" xfId="43724" xr:uid="{00000000-0005-0000-0000-0000B2C60000}"/>
    <cellStyle name="Normal 26 6 2 2 4 19" xfId="45407" xr:uid="{00000000-0005-0000-0000-0000B3C60000}"/>
    <cellStyle name="Normal 26 6 2 2 4 2" xfId="3328" xr:uid="{00000000-0005-0000-0000-0000B4C60000}"/>
    <cellStyle name="Normal 26 6 2 2 4 2 2" xfId="18477" xr:uid="{00000000-0005-0000-0000-0000B5C60000}"/>
    <cellStyle name="Normal 26 6 2 2 4 20" xfId="47090" xr:uid="{00000000-0005-0000-0000-0000B6C60000}"/>
    <cellStyle name="Normal 26 6 2 2 4 21" xfId="48773" xr:uid="{00000000-0005-0000-0000-0000B7C60000}"/>
    <cellStyle name="Normal 26 6 2 2 4 22" xfId="50456" xr:uid="{00000000-0005-0000-0000-0000B8C60000}"/>
    <cellStyle name="Normal 26 6 2 2 4 23" xfId="52139" xr:uid="{00000000-0005-0000-0000-0000B9C60000}"/>
    <cellStyle name="Normal 26 6 2 2 4 24" xfId="53822" xr:uid="{00000000-0005-0000-0000-0000BAC60000}"/>
    <cellStyle name="Normal 26 6 2 2 4 25" xfId="55505" xr:uid="{00000000-0005-0000-0000-0000BBC60000}"/>
    <cellStyle name="Normal 26 6 2 2 4 26" xfId="57188" xr:uid="{00000000-0005-0000-0000-0000BCC60000}"/>
    <cellStyle name="Normal 26 6 2 2 4 27" xfId="58871" xr:uid="{00000000-0005-0000-0000-0000BDC60000}"/>
    <cellStyle name="Normal 26 6 2 2 4 28" xfId="60554" xr:uid="{00000000-0005-0000-0000-0000BEC60000}"/>
    <cellStyle name="Normal 26 6 2 2 4 29" xfId="62237" xr:uid="{00000000-0005-0000-0000-0000BFC60000}"/>
    <cellStyle name="Normal 26 6 2 2 4 3" xfId="5012" xr:uid="{00000000-0005-0000-0000-0000C0C60000}"/>
    <cellStyle name="Normal 26 6 2 2 4 3 2" xfId="20161" xr:uid="{00000000-0005-0000-0000-0000C1C60000}"/>
    <cellStyle name="Normal 26 6 2 2 4 30" xfId="63920" xr:uid="{00000000-0005-0000-0000-0000C2C60000}"/>
    <cellStyle name="Normal 26 6 2 2 4 4" xfId="6695" xr:uid="{00000000-0005-0000-0000-0000C3C60000}"/>
    <cellStyle name="Normal 26 6 2 2 4 4 2" xfId="21844" xr:uid="{00000000-0005-0000-0000-0000C4C60000}"/>
    <cellStyle name="Normal 26 6 2 2 4 5" xfId="8378" xr:uid="{00000000-0005-0000-0000-0000C5C60000}"/>
    <cellStyle name="Normal 26 6 2 2 4 5 2" xfId="23527" xr:uid="{00000000-0005-0000-0000-0000C6C60000}"/>
    <cellStyle name="Normal 26 6 2 2 4 6" xfId="10061" xr:uid="{00000000-0005-0000-0000-0000C7C60000}"/>
    <cellStyle name="Normal 26 6 2 2 4 6 2" xfId="25210" xr:uid="{00000000-0005-0000-0000-0000C8C60000}"/>
    <cellStyle name="Normal 26 6 2 2 4 7" xfId="11744" xr:uid="{00000000-0005-0000-0000-0000C9C60000}"/>
    <cellStyle name="Normal 26 6 2 2 4 7 2" xfId="26893" xr:uid="{00000000-0005-0000-0000-0000CAC60000}"/>
    <cellStyle name="Normal 26 6 2 2 4 8" xfId="13428" xr:uid="{00000000-0005-0000-0000-0000CBC60000}"/>
    <cellStyle name="Normal 26 6 2 2 4 8 2" xfId="28577" xr:uid="{00000000-0005-0000-0000-0000CCC60000}"/>
    <cellStyle name="Normal 26 6 2 2 4 9" xfId="15111" xr:uid="{00000000-0005-0000-0000-0000CDC60000}"/>
    <cellStyle name="Normal 26 6 2 2 4 9 2" xfId="30260" xr:uid="{00000000-0005-0000-0000-0000CEC60000}"/>
    <cellStyle name="Normal 26 6 2 2 5" xfId="2066" xr:uid="{00000000-0005-0000-0000-0000CFC60000}"/>
    <cellStyle name="Normal 26 6 2 2 5 2" xfId="17215" xr:uid="{00000000-0005-0000-0000-0000D0C60000}"/>
    <cellStyle name="Normal 26 6 2 2 6" xfId="3750" xr:uid="{00000000-0005-0000-0000-0000D1C60000}"/>
    <cellStyle name="Normal 26 6 2 2 6 2" xfId="18899" xr:uid="{00000000-0005-0000-0000-0000D2C60000}"/>
    <cellStyle name="Normal 26 6 2 2 7" xfId="5433" xr:uid="{00000000-0005-0000-0000-0000D3C60000}"/>
    <cellStyle name="Normal 26 6 2 2 7 2" xfId="20582" xr:uid="{00000000-0005-0000-0000-0000D4C60000}"/>
    <cellStyle name="Normal 26 6 2 2 8" xfId="7116" xr:uid="{00000000-0005-0000-0000-0000D5C60000}"/>
    <cellStyle name="Normal 26 6 2 2 8 2" xfId="22265" xr:uid="{00000000-0005-0000-0000-0000D6C60000}"/>
    <cellStyle name="Normal 26 6 2 2 9" xfId="8799" xr:uid="{00000000-0005-0000-0000-0000D7C60000}"/>
    <cellStyle name="Normal 26 6 2 2 9 2" xfId="23948" xr:uid="{00000000-0005-0000-0000-0000D8C60000}"/>
    <cellStyle name="Normal 26 6 2 20" xfId="38886" xr:uid="{00000000-0005-0000-0000-0000D9C60000}"/>
    <cellStyle name="Normal 26 6 2 21" xfId="40569" xr:uid="{00000000-0005-0000-0000-0000DAC60000}"/>
    <cellStyle name="Normal 26 6 2 22" xfId="42252" xr:uid="{00000000-0005-0000-0000-0000DBC60000}"/>
    <cellStyle name="Normal 26 6 2 23" xfId="43935" xr:uid="{00000000-0005-0000-0000-0000DCC60000}"/>
    <cellStyle name="Normal 26 6 2 24" xfId="45618" xr:uid="{00000000-0005-0000-0000-0000DDC60000}"/>
    <cellStyle name="Normal 26 6 2 25" xfId="47301" xr:uid="{00000000-0005-0000-0000-0000DEC60000}"/>
    <cellStyle name="Normal 26 6 2 26" xfId="48984" xr:uid="{00000000-0005-0000-0000-0000DFC60000}"/>
    <cellStyle name="Normal 26 6 2 27" xfId="50667" xr:uid="{00000000-0005-0000-0000-0000E0C60000}"/>
    <cellStyle name="Normal 26 6 2 28" xfId="52350" xr:uid="{00000000-0005-0000-0000-0000E1C60000}"/>
    <cellStyle name="Normal 26 6 2 29" xfId="54033" xr:uid="{00000000-0005-0000-0000-0000E2C60000}"/>
    <cellStyle name="Normal 26 6 2 3" xfId="593" xr:uid="{00000000-0005-0000-0000-0000E3C60000}"/>
    <cellStyle name="Normal 26 6 2 3 10" xfId="15742" xr:uid="{00000000-0005-0000-0000-0000E4C60000}"/>
    <cellStyle name="Normal 26 6 2 3 11" xfId="30891" xr:uid="{00000000-0005-0000-0000-0000E5C60000}"/>
    <cellStyle name="Normal 26 6 2 3 12" xfId="32574" xr:uid="{00000000-0005-0000-0000-0000E6C60000}"/>
    <cellStyle name="Normal 26 6 2 3 13" xfId="34257" xr:uid="{00000000-0005-0000-0000-0000E7C60000}"/>
    <cellStyle name="Normal 26 6 2 3 14" xfId="35940" xr:uid="{00000000-0005-0000-0000-0000E8C60000}"/>
    <cellStyle name="Normal 26 6 2 3 15" xfId="37623" xr:uid="{00000000-0005-0000-0000-0000E9C60000}"/>
    <cellStyle name="Normal 26 6 2 3 16" xfId="39306" xr:uid="{00000000-0005-0000-0000-0000EAC60000}"/>
    <cellStyle name="Normal 26 6 2 3 17" xfId="40989" xr:uid="{00000000-0005-0000-0000-0000EBC60000}"/>
    <cellStyle name="Normal 26 6 2 3 18" xfId="42672" xr:uid="{00000000-0005-0000-0000-0000ECC60000}"/>
    <cellStyle name="Normal 26 6 2 3 19" xfId="44355" xr:uid="{00000000-0005-0000-0000-0000EDC60000}"/>
    <cellStyle name="Normal 26 6 2 3 2" xfId="2276" xr:uid="{00000000-0005-0000-0000-0000EEC60000}"/>
    <cellStyle name="Normal 26 6 2 3 2 2" xfId="17425" xr:uid="{00000000-0005-0000-0000-0000EFC60000}"/>
    <cellStyle name="Normal 26 6 2 3 20" xfId="46038" xr:uid="{00000000-0005-0000-0000-0000F0C60000}"/>
    <cellStyle name="Normal 26 6 2 3 21" xfId="47721" xr:uid="{00000000-0005-0000-0000-0000F1C60000}"/>
    <cellStyle name="Normal 26 6 2 3 22" xfId="49404" xr:uid="{00000000-0005-0000-0000-0000F2C60000}"/>
    <cellStyle name="Normal 26 6 2 3 23" xfId="51087" xr:uid="{00000000-0005-0000-0000-0000F3C60000}"/>
    <cellStyle name="Normal 26 6 2 3 24" xfId="52770" xr:uid="{00000000-0005-0000-0000-0000F4C60000}"/>
    <cellStyle name="Normal 26 6 2 3 25" xfId="54453" xr:uid="{00000000-0005-0000-0000-0000F5C60000}"/>
    <cellStyle name="Normal 26 6 2 3 26" xfId="56136" xr:uid="{00000000-0005-0000-0000-0000F6C60000}"/>
    <cellStyle name="Normal 26 6 2 3 27" xfId="57819" xr:uid="{00000000-0005-0000-0000-0000F7C60000}"/>
    <cellStyle name="Normal 26 6 2 3 28" xfId="59502" xr:uid="{00000000-0005-0000-0000-0000F8C60000}"/>
    <cellStyle name="Normal 26 6 2 3 29" xfId="61185" xr:uid="{00000000-0005-0000-0000-0000F9C60000}"/>
    <cellStyle name="Normal 26 6 2 3 3" xfId="3960" xr:uid="{00000000-0005-0000-0000-0000FAC60000}"/>
    <cellStyle name="Normal 26 6 2 3 3 2" xfId="19109" xr:uid="{00000000-0005-0000-0000-0000FBC60000}"/>
    <cellStyle name="Normal 26 6 2 3 30" xfId="62868" xr:uid="{00000000-0005-0000-0000-0000FCC60000}"/>
    <cellStyle name="Normal 26 6 2 3 4" xfId="5643" xr:uid="{00000000-0005-0000-0000-0000FDC60000}"/>
    <cellStyle name="Normal 26 6 2 3 4 2" xfId="20792" xr:uid="{00000000-0005-0000-0000-0000FEC60000}"/>
    <cellStyle name="Normal 26 6 2 3 5" xfId="7326" xr:uid="{00000000-0005-0000-0000-0000FFC60000}"/>
    <cellStyle name="Normal 26 6 2 3 5 2" xfId="22475" xr:uid="{00000000-0005-0000-0000-000000C70000}"/>
    <cellStyle name="Normal 26 6 2 3 6" xfId="9009" xr:uid="{00000000-0005-0000-0000-000001C70000}"/>
    <cellStyle name="Normal 26 6 2 3 6 2" xfId="24158" xr:uid="{00000000-0005-0000-0000-000002C70000}"/>
    <cellStyle name="Normal 26 6 2 3 7" xfId="10692" xr:uid="{00000000-0005-0000-0000-000003C70000}"/>
    <cellStyle name="Normal 26 6 2 3 7 2" xfId="25841" xr:uid="{00000000-0005-0000-0000-000004C70000}"/>
    <cellStyle name="Normal 26 6 2 3 8" xfId="12376" xr:uid="{00000000-0005-0000-0000-000005C70000}"/>
    <cellStyle name="Normal 26 6 2 3 8 2" xfId="27525" xr:uid="{00000000-0005-0000-0000-000006C70000}"/>
    <cellStyle name="Normal 26 6 2 3 9" xfId="14059" xr:uid="{00000000-0005-0000-0000-000007C70000}"/>
    <cellStyle name="Normal 26 6 2 3 9 2" xfId="29208" xr:uid="{00000000-0005-0000-0000-000008C70000}"/>
    <cellStyle name="Normal 26 6 2 30" xfId="55716" xr:uid="{00000000-0005-0000-0000-000009C70000}"/>
    <cellStyle name="Normal 26 6 2 31" xfId="57399" xr:uid="{00000000-0005-0000-0000-00000AC70000}"/>
    <cellStyle name="Normal 26 6 2 32" xfId="59082" xr:uid="{00000000-0005-0000-0000-00000BC70000}"/>
    <cellStyle name="Normal 26 6 2 33" xfId="60765" xr:uid="{00000000-0005-0000-0000-00000CC70000}"/>
    <cellStyle name="Normal 26 6 2 34" xfId="62448" xr:uid="{00000000-0005-0000-0000-00000DC70000}"/>
    <cellStyle name="Normal 26 6 2 4" xfId="1014" xr:uid="{00000000-0005-0000-0000-00000EC70000}"/>
    <cellStyle name="Normal 26 6 2 4 10" xfId="16163" xr:uid="{00000000-0005-0000-0000-00000FC70000}"/>
    <cellStyle name="Normal 26 6 2 4 11" xfId="31312" xr:uid="{00000000-0005-0000-0000-000010C70000}"/>
    <cellStyle name="Normal 26 6 2 4 12" xfId="32995" xr:uid="{00000000-0005-0000-0000-000011C70000}"/>
    <cellStyle name="Normal 26 6 2 4 13" xfId="34678" xr:uid="{00000000-0005-0000-0000-000012C70000}"/>
    <cellStyle name="Normal 26 6 2 4 14" xfId="36361" xr:uid="{00000000-0005-0000-0000-000013C70000}"/>
    <cellStyle name="Normal 26 6 2 4 15" xfId="38044" xr:uid="{00000000-0005-0000-0000-000014C70000}"/>
    <cellStyle name="Normal 26 6 2 4 16" xfId="39727" xr:uid="{00000000-0005-0000-0000-000015C70000}"/>
    <cellStyle name="Normal 26 6 2 4 17" xfId="41410" xr:uid="{00000000-0005-0000-0000-000016C70000}"/>
    <cellStyle name="Normal 26 6 2 4 18" xfId="43093" xr:uid="{00000000-0005-0000-0000-000017C70000}"/>
    <cellStyle name="Normal 26 6 2 4 19" xfId="44776" xr:uid="{00000000-0005-0000-0000-000018C70000}"/>
    <cellStyle name="Normal 26 6 2 4 2" xfId="2697" xr:uid="{00000000-0005-0000-0000-000019C70000}"/>
    <cellStyle name="Normal 26 6 2 4 2 2" xfId="17846" xr:uid="{00000000-0005-0000-0000-00001AC70000}"/>
    <cellStyle name="Normal 26 6 2 4 20" xfId="46459" xr:uid="{00000000-0005-0000-0000-00001BC70000}"/>
    <cellStyle name="Normal 26 6 2 4 21" xfId="48142" xr:uid="{00000000-0005-0000-0000-00001CC70000}"/>
    <cellStyle name="Normal 26 6 2 4 22" xfId="49825" xr:uid="{00000000-0005-0000-0000-00001DC70000}"/>
    <cellStyle name="Normal 26 6 2 4 23" xfId="51508" xr:uid="{00000000-0005-0000-0000-00001EC70000}"/>
    <cellStyle name="Normal 26 6 2 4 24" xfId="53191" xr:uid="{00000000-0005-0000-0000-00001FC70000}"/>
    <cellStyle name="Normal 26 6 2 4 25" xfId="54874" xr:uid="{00000000-0005-0000-0000-000020C70000}"/>
    <cellStyle name="Normal 26 6 2 4 26" xfId="56557" xr:uid="{00000000-0005-0000-0000-000021C70000}"/>
    <cellStyle name="Normal 26 6 2 4 27" xfId="58240" xr:uid="{00000000-0005-0000-0000-000022C70000}"/>
    <cellStyle name="Normal 26 6 2 4 28" xfId="59923" xr:uid="{00000000-0005-0000-0000-000023C70000}"/>
    <cellStyle name="Normal 26 6 2 4 29" xfId="61606" xr:uid="{00000000-0005-0000-0000-000024C70000}"/>
    <cellStyle name="Normal 26 6 2 4 3" xfId="4381" xr:uid="{00000000-0005-0000-0000-000025C70000}"/>
    <cellStyle name="Normal 26 6 2 4 3 2" xfId="19530" xr:uid="{00000000-0005-0000-0000-000026C70000}"/>
    <cellStyle name="Normal 26 6 2 4 30" xfId="63289" xr:uid="{00000000-0005-0000-0000-000027C70000}"/>
    <cellStyle name="Normal 26 6 2 4 4" xfId="6064" xr:uid="{00000000-0005-0000-0000-000028C70000}"/>
    <cellStyle name="Normal 26 6 2 4 4 2" xfId="21213" xr:uid="{00000000-0005-0000-0000-000029C70000}"/>
    <cellStyle name="Normal 26 6 2 4 5" xfId="7747" xr:uid="{00000000-0005-0000-0000-00002AC70000}"/>
    <cellStyle name="Normal 26 6 2 4 5 2" xfId="22896" xr:uid="{00000000-0005-0000-0000-00002BC70000}"/>
    <cellStyle name="Normal 26 6 2 4 6" xfId="9430" xr:uid="{00000000-0005-0000-0000-00002CC70000}"/>
    <cellStyle name="Normal 26 6 2 4 6 2" xfId="24579" xr:uid="{00000000-0005-0000-0000-00002DC70000}"/>
    <cellStyle name="Normal 26 6 2 4 7" xfId="11113" xr:uid="{00000000-0005-0000-0000-00002EC70000}"/>
    <cellStyle name="Normal 26 6 2 4 7 2" xfId="26262" xr:uid="{00000000-0005-0000-0000-00002FC70000}"/>
    <cellStyle name="Normal 26 6 2 4 8" xfId="12797" xr:uid="{00000000-0005-0000-0000-000030C70000}"/>
    <cellStyle name="Normal 26 6 2 4 8 2" xfId="27946" xr:uid="{00000000-0005-0000-0000-000031C70000}"/>
    <cellStyle name="Normal 26 6 2 4 9" xfId="14480" xr:uid="{00000000-0005-0000-0000-000032C70000}"/>
    <cellStyle name="Normal 26 6 2 4 9 2" xfId="29629" xr:uid="{00000000-0005-0000-0000-000033C70000}"/>
    <cellStyle name="Normal 26 6 2 5" xfId="1435" xr:uid="{00000000-0005-0000-0000-000034C70000}"/>
    <cellStyle name="Normal 26 6 2 5 10" xfId="16584" xr:uid="{00000000-0005-0000-0000-000035C70000}"/>
    <cellStyle name="Normal 26 6 2 5 11" xfId="31733" xr:uid="{00000000-0005-0000-0000-000036C70000}"/>
    <cellStyle name="Normal 26 6 2 5 12" xfId="33416" xr:uid="{00000000-0005-0000-0000-000037C70000}"/>
    <cellStyle name="Normal 26 6 2 5 13" xfId="35099" xr:uid="{00000000-0005-0000-0000-000038C70000}"/>
    <cellStyle name="Normal 26 6 2 5 14" xfId="36782" xr:uid="{00000000-0005-0000-0000-000039C70000}"/>
    <cellStyle name="Normal 26 6 2 5 15" xfId="38465" xr:uid="{00000000-0005-0000-0000-00003AC70000}"/>
    <cellStyle name="Normal 26 6 2 5 16" xfId="40148" xr:uid="{00000000-0005-0000-0000-00003BC70000}"/>
    <cellStyle name="Normal 26 6 2 5 17" xfId="41831" xr:uid="{00000000-0005-0000-0000-00003CC70000}"/>
    <cellStyle name="Normal 26 6 2 5 18" xfId="43514" xr:uid="{00000000-0005-0000-0000-00003DC70000}"/>
    <cellStyle name="Normal 26 6 2 5 19" xfId="45197" xr:uid="{00000000-0005-0000-0000-00003EC70000}"/>
    <cellStyle name="Normal 26 6 2 5 2" xfId="3118" xr:uid="{00000000-0005-0000-0000-00003FC70000}"/>
    <cellStyle name="Normal 26 6 2 5 2 2" xfId="18267" xr:uid="{00000000-0005-0000-0000-000040C70000}"/>
    <cellStyle name="Normal 26 6 2 5 20" xfId="46880" xr:uid="{00000000-0005-0000-0000-000041C70000}"/>
    <cellStyle name="Normal 26 6 2 5 21" xfId="48563" xr:uid="{00000000-0005-0000-0000-000042C70000}"/>
    <cellStyle name="Normal 26 6 2 5 22" xfId="50246" xr:uid="{00000000-0005-0000-0000-000043C70000}"/>
    <cellStyle name="Normal 26 6 2 5 23" xfId="51929" xr:uid="{00000000-0005-0000-0000-000044C70000}"/>
    <cellStyle name="Normal 26 6 2 5 24" xfId="53612" xr:uid="{00000000-0005-0000-0000-000045C70000}"/>
    <cellStyle name="Normal 26 6 2 5 25" xfId="55295" xr:uid="{00000000-0005-0000-0000-000046C70000}"/>
    <cellStyle name="Normal 26 6 2 5 26" xfId="56978" xr:uid="{00000000-0005-0000-0000-000047C70000}"/>
    <cellStyle name="Normal 26 6 2 5 27" xfId="58661" xr:uid="{00000000-0005-0000-0000-000048C70000}"/>
    <cellStyle name="Normal 26 6 2 5 28" xfId="60344" xr:uid="{00000000-0005-0000-0000-000049C70000}"/>
    <cellStyle name="Normal 26 6 2 5 29" xfId="62027" xr:uid="{00000000-0005-0000-0000-00004AC70000}"/>
    <cellStyle name="Normal 26 6 2 5 3" xfId="4802" xr:uid="{00000000-0005-0000-0000-00004BC70000}"/>
    <cellStyle name="Normal 26 6 2 5 3 2" xfId="19951" xr:uid="{00000000-0005-0000-0000-00004CC70000}"/>
    <cellStyle name="Normal 26 6 2 5 30" xfId="63710" xr:uid="{00000000-0005-0000-0000-00004DC70000}"/>
    <cellStyle name="Normal 26 6 2 5 4" xfId="6485" xr:uid="{00000000-0005-0000-0000-00004EC70000}"/>
    <cellStyle name="Normal 26 6 2 5 4 2" xfId="21634" xr:uid="{00000000-0005-0000-0000-00004FC70000}"/>
    <cellStyle name="Normal 26 6 2 5 5" xfId="8168" xr:uid="{00000000-0005-0000-0000-000050C70000}"/>
    <cellStyle name="Normal 26 6 2 5 5 2" xfId="23317" xr:uid="{00000000-0005-0000-0000-000051C70000}"/>
    <cellStyle name="Normal 26 6 2 5 6" xfId="9851" xr:uid="{00000000-0005-0000-0000-000052C70000}"/>
    <cellStyle name="Normal 26 6 2 5 6 2" xfId="25000" xr:uid="{00000000-0005-0000-0000-000053C70000}"/>
    <cellStyle name="Normal 26 6 2 5 7" xfId="11534" xr:uid="{00000000-0005-0000-0000-000054C70000}"/>
    <cellStyle name="Normal 26 6 2 5 7 2" xfId="26683" xr:uid="{00000000-0005-0000-0000-000055C70000}"/>
    <cellStyle name="Normal 26 6 2 5 8" xfId="13218" xr:uid="{00000000-0005-0000-0000-000056C70000}"/>
    <cellStyle name="Normal 26 6 2 5 8 2" xfId="28367" xr:uid="{00000000-0005-0000-0000-000057C70000}"/>
    <cellStyle name="Normal 26 6 2 5 9" xfId="14901" xr:uid="{00000000-0005-0000-0000-000058C70000}"/>
    <cellStyle name="Normal 26 6 2 5 9 2" xfId="30050" xr:uid="{00000000-0005-0000-0000-000059C70000}"/>
    <cellStyle name="Normal 26 6 2 6" xfId="1856" xr:uid="{00000000-0005-0000-0000-00005AC70000}"/>
    <cellStyle name="Normal 26 6 2 6 2" xfId="17005" xr:uid="{00000000-0005-0000-0000-00005BC70000}"/>
    <cellStyle name="Normal 26 6 2 7" xfId="3540" xr:uid="{00000000-0005-0000-0000-00005CC70000}"/>
    <cellStyle name="Normal 26 6 2 7 2" xfId="18689" xr:uid="{00000000-0005-0000-0000-00005DC70000}"/>
    <cellStyle name="Normal 26 6 2 8" xfId="5223" xr:uid="{00000000-0005-0000-0000-00005EC70000}"/>
    <cellStyle name="Normal 26 6 2 8 2" xfId="20372" xr:uid="{00000000-0005-0000-0000-00005FC70000}"/>
    <cellStyle name="Normal 26 6 2 9" xfId="6906" xr:uid="{00000000-0005-0000-0000-000060C70000}"/>
    <cellStyle name="Normal 26 6 2 9 2" xfId="22055" xr:uid="{00000000-0005-0000-0000-000061C70000}"/>
    <cellStyle name="Normal 26 6 20" xfId="37098" xr:uid="{00000000-0005-0000-0000-000062C70000}"/>
    <cellStyle name="Normal 26 6 21" xfId="38781" xr:uid="{00000000-0005-0000-0000-000063C70000}"/>
    <cellStyle name="Normal 26 6 22" xfId="40464" xr:uid="{00000000-0005-0000-0000-000064C70000}"/>
    <cellStyle name="Normal 26 6 23" xfId="42147" xr:uid="{00000000-0005-0000-0000-000065C70000}"/>
    <cellStyle name="Normal 26 6 24" xfId="43830" xr:uid="{00000000-0005-0000-0000-000066C70000}"/>
    <cellStyle name="Normal 26 6 25" xfId="45513" xr:uid="{00000000-0005-0000-0000-000067C70000}"/>
    <cellStyle name="Normal 26 6 26" xfId="47196" xr:uid="{00000000-0005-0000-0000-000068C70000}"/>
    <cellStyle name="Normal 26 6 27" xfId="48879" xr:uid="{00000000-0005-0000-0000-000069C70000}"/>
    <cellStyle name="Normal 26 6 28" xfId="50562" xr:uid="{00000000-0005-0000-0000-00006AC70000}"/>
    <cellStyle name="Normal 26 6 29" xfId="52245" xr:uid="{00000000-0005-0000-0000-00006BC70000}"/>
    <cellStyle name="Normal 26 6 3" xfId="278" xr:uid="{00000000-0005-0000-0000-00006CC70000}"/>
    <cellStyle name="Normal 26 6 3 10" xfId="10377" xr:uid="{00000000-0005-0000-0000-00006DC70000}"/>
    <cellStyle name="Normal 26 6 3 10 2" xfId="25526" xr:uid="{00000000-0005-0000-0000-00006EC70000}"/>
    <cellStyle name="Normal 26 6 3 11" xfId="12061" xr:uid="{00000000-0005-0000-0000-00006FC70000}"/>
    <cellStyle name="Normal 26 6 3 11 2" xfId="27210" xr:uid="{00000000-0005-0000-0000-000070C70000}"/>
    <cellStyle name="Normal 26 6 3 12" xfId="13744" xr:uid="{00000000-0005-0000-0000-000071C70000}"/>
    <cellStyle name="Normal 26 6 3 12 2" xfId="28893" xr:uid="{00000000-0005-0000-0000-000072C70000}"/>
    <cellStyle name="Normal 26 6 3 13" xfId="15427" xr:uid="{00000000-0005-0000-0000-000073C70000}"/>
    <cellStyle name="Normal 26 6 3 14" xfId="30576" xr:uid="{00000000-0005-0000-0000-000074C70000}"/>
    <cellStyle name="Normal 26 6 3 15" xfId="32259" xr:uid="{00000000-0005-0000-0000-000075C70000}"/>
    <cellStyle name="Normal 26 6 3 16" xfId="33942" xr:uid="{00000000-0005-0000-0000-000076C70000}"/>
    <cellStyle name="Normal 26 6 3 17" xfId="35625" xr:uid="{00000000-0005-0000-0000-000077C70000}"/>
    <cellStyle name="Normal 26 6 3 18" xfId="37308" xr:uid="{00000000-0005-0000-0000-000078C70000}"/>
    <cellStyle name="Normal 26 6 3 19" xfId="38991" xr:uid="{00000000-0005-0000-0000-000079C70000}"/>
    <cellStyle name="Normal 26 6 3 2" xfId="698" xr:uid="{00000000-0005-0000-0000-00007AC70000}"/>
    <cellStyle name="Normal 26 6 3 2 10" xfId="15847" xr:uid="{00000000-0005-0000-0000-00007BC70000}"/>
    <cellStyle name="Normal 26 6 3 2 11" xfId="30996" xr:uid="{00000000-0005-0000-0000-00007CC70000}"/>
    <cellStyle name="Normal 26 6 3 2 12" xfId="32679" xr:uid="{00000000-0005-0000-0000-00007DC70000}"/>
    <cellStyle name="Normal 26 6 3 2 13" xfId="34362" xr:uid="{00000000-0005-0000-0000-00007EC70000}"/>
    <cellStyle name="Normal 26 6 3 2 14" xfId="36045" xr:uid="{00000000-0005-0000-0000-00007FC70000}"/>
    <cellStyle name="Normal 26 6 3 2 15" xfId="37728" xr:uid="{00000000-0005-0000-0000-000080C70000}"/>
    <cellStyle name="Normal 26 6 3 2 16" xfId="39411" xr:uid="{00000000-0005-0000-0000-000081C70000}"/>
    <cellStyle name="Normal 26 6 3 2 17" xfId="41094" xr:uid="{00000000-0005-0000-0000-000082C70000}"/>
    <cellStyle name="Normal 26 6 3 2 18" xfId="42777" xr:uid="{00000000-0005-0000-0000-000083C70000}"/>
    <cellStyle name="Normal 26 6 3 2 19" xfId="44460" xr:uid="{00000000-0005-0000-0000-000084C70000}"/>
    <cellStyle name="Normal 26 6 3 2 2" xfId="2381" xr:uid="{00000000-0005-0000-0000-000085C70000}"/>
    <cellStyle name="Normal 26 6 3 2 2 2" xfId="17530" xr:uid="{00000000-0005-0000-0000-000086C70000}"/>
    <cellStyle name="Normal 26 6 3 2 20" xfId="46143" xr:uid="{00000000-0005-0000-0000-000087C70000}"/>
    <cellStyle name="Normal 26 6 3 2 21" xfId="47826" xr:uid="{00000000-0005-0000-0000-000088C70000}"/>
    <cellStyle name="Normal 26 6 3 2 22" xfId="49509" xr:uid="{00000000-0005-0000-0000-000089C70000}"/>
    <cellStyle name="Normal 26 6 3 2 23" xfId="51192" xr:uid="{00000000-0005-0000-0000-00008AC70000}"/>
    <cellStyle name="Normal 26 6 3 2 24" xfId="52875" xr:uid="{00000000-0005-0000-0000-00008BC70000}"/>
    <cellStyle name="Normal 26 6 3 2 25" xfId="54558" xr:uid="{00000000-0005-0000-0000-00008CC70000}"/>
    <cellStyle name="Normal 26 6 3 2 26" xfId="56241" xr:uid="{00000000-0005-0000-0000-00008DC70000}"/>
    <cellStyle name="Normal 26 6 3 2 27" xfId="57924" xr:uid="{00000000-0005-0000-0000-00008EC70000}"/>
    <cellStyle name="Normal 26 6 3 2 28" xfId="59607" xr:uid="{00000000-0005-0000-0000-00008FC70000}"/>
    <cellStyle name="Normal 26 6 3 2 29" xfId="61290" xr:uid="{00000000-0005-0000-0000-000090C70000}"/>
    <cellStyle name="Normal 26 6 3 2 3" xfId="4065" xr:uid="{00000000-0005-0000-0000-000091C70000}"/>
    <cellStyle name="Normal 26 6 3 2 3 2" xfId="19214" xr:uid="{00000000-0005-0000-0000-000092C70000}"/>
    <cellStyle name="Normal 26 6 3 2 30" xfId="62973" xr:uid="{00000000-0005-0000-0000-000093C70000}"/>
    <cellStyle name="Normal 26 6 3 2 4" xfId="5748" xr:uid="{00000000-0005-0000-0000-000094C70000}"/>
    <cellStyle name="Normal 26 6 3 2 4 2" xfId="20897" xr:uid="{00000000-0005-0000-0000-000095C70000}"/>
    <cellStyle name="Normal 26 6 3 2 5" xfId="7431" xr:uid="{00000000-0005-0000-0000-000096C70000}"/>
    <cellStyle name="Normal 26 6 3 2 5 2" xfId="22580" xr:uid="{00000000-0005-0000-0000-000097C70000}"/>
    <cellStyle name="Normal 26 6 3 2 6" xfId="9114" xr:uid="{00000000-0005-0000-0000-000098C70000}"/>
    <cellStyle name="Normal 26 6 3 2 6 2" xfId="24263" xr:uid="{00000000-0005-0000-0000-000099C70000}"/>
    <cellStyle name="Normal 26 6 3 2 7" xfId="10797" xr:uid="{00000000-0005-0000-0000-00009AC70000}"/>
    <cellStyle name="Normal 26 6 3 2 7 2" xfId="25946" xr:uid="{00000000-0005-0000-0000-00009BC70000}"/>
    <cellStyle name="Normal 26 6 3 2 8" xfId="12481" xr:uid="{00000000-0005-0000-0000-00009CC70000}"/>
    <cellStyle name="Normal 26 6 3 2 8 2" xfId="27630" xr:uid="{00000000-0005-0000-0000-00009DC70000}"/>
    <cellStyle name="Normal 26 6 3 2 9" xfId="14164" xr:uid="{00000000-0005-0000-0000-00009EC70000}"/>
    <cellStyle name="Normal 26 6 3 2 9 2" xfId="29313" xr:uid="{00000000-0005-0000-0000-00009FC70000}"/>
    <cellStyle name="Normal 26 6 3 20" xfId="40674" xr:uid="{00000000-0005-0000-0000-0000A0C70000}"/>
    <cellStyle name="Normal 26 6 3 21" xfId="42357" xr:uid="{00000000-0005-0000-0000-0000A1C70000}"/>
    <cellStyle name="Normal 26 6 3 22" xfId="44040" xr:uid="{00000000-0005-0000-0000-0000A2C70000}"/>
    <cellStyle name="Normal 26 6 3 23" xfId="45723" xr:uid="{00000000-0005-0000-0000-0000A3C70000}"/>
    <cellStyle name="Normal 26 6 3 24" xfId="47406" xr:uid="{00000000-0005-0000-0000-0000A4C70000}"/>
    <cellStyle name="Normal 26 6 3 25" xfId="49089" xr:uid="{00000000-0005-0000-0000-0000A5C70000}"/>
    <cellStyle name="Normal 26 6 3 26" xfId="50772" xr:uid="{00000000-0005-0000-0000-0000A6C70000}"/>
    <cellStyle name="Normal 26 6 3 27" xfId="52455" xr:uid="{00000000-0005-0000-0000-0000A7C70000}"/>
    <cellStyle name="Normal 26 6 3 28" xfId="54138" xr:uid="{00000000-0005-0000-0000-0000A8C70000}"/>
    <cellStyle name="Normal 26 6 3 29" xfId="55821" xr:uid="{00000000-0005-0000-0000-0000A9C70000}"/>
    <cellStyle name="Normal 26 6 3 3" xfId="1119" xr:uid="{00000000-0005-0000-0000-0000AAC70000}"/>
    <cellStyle name="Normal 26 6 3 3 10" xfId="16268" xr:uid="{00000000-0005-0000-0000-0000ABC70000}"/>
    <cellStyle name="Normal 26 6 3 3 11" xfId="31417" xr:uid="{00000000-0005-0000-0000-0000ACC70000}"/>
    <cellStyle name="Normal 26 6 3 3 12" xfId="33100" xr:uid="{00000000-0005-0000-0000-0000ADC70000}"/>
    <cellStyle name="Normal 26 6 3 3 13" xfId="34783" xr:uid="{00000000-0005-0000-0000-0000AEC70000}"/>
    <cellStyle name="Normal 26 6 3 3 14" xfId="36466" xr:uid="{00000000-0005-0000-0000-0000AFC70000}"/>
    <cellStyle name="Normal 26 6 3 3 15" xfId="38149" xr:uid="{00000000-0005-0000-0000-0000B0C70000}"/>
    <cellStyle name="Normal 26 6 3 3 16" xfId="39832" xr:uid="{00000000-0005-0000-0000-0000B1C70000}"/>
    <cellStyle name="Normal 26 6 3 3 17" xfId="41515" xr:uid="{00000000-0005-0000-0000-0000B2C70000}"/>
    <cellStyle name="Normal 26 6 3 3 18" xfId="43198" xr:uid="{00000000-0005-0000-0000-0000B3C70000}"/>
    <cellStyle name="Normal 26 6 3 3 19" xfId="44881" xr:uid="{00000000-0005-0000-0000-0000B4C70000}"/>
    <cellStyle name="Normal 26 6 3 3 2" xfId="2802" xr:uid="{00000000-0005-0000-0000-0000B5C70000}"/>
    <cellStyle name="Normal 26 6 3 3 2 2" xfId="17951" xr:uid="{00000000-0005-0000-0000-0000B6C70000}"/>
    <cellStyle name="Normal 26 6 3 3 20" xfId="46564" xr:uid="{00000000-0005-0000-0000-0000B7C70000}"/>
    <cellStyle name="Normal 26 6 3 3 21" xfId="48247" xr:uid="{00000000-0005-0000-0000-0000B8C70000}"/>
    <cellStyle name="Normal 26 6 3 3 22" xfId="49930" xr:uid="{00000000-0005-0000-0000-0000B9C70000}"/>
    <cellStyle name="Normal 26 6 3 3 23" xfId="51613" xr:uid="{00000000-0005-0000-0000-0000BAC70000}"/>
    <cellStyle name="Normal 26 6 3 3 24" xfId="53296" xr:uid="{00000000-0005-0000-0000-0000BBC70000}"/>
    <cellStyle name="Normal 26 6 3 3 25" xfId="54979" xr:uid="{00000000-0005-0000-0000-0000BCC70000}"/>
    <cellStyle name="Normal 26 6 3 3 26" xfId="56662" xr:uid="{00000000-0005-0000-0000-0000BDC70000}"/>
    <cellStyle name="Normal 26 6 3 3 27" xfId="58345" xr:uid="{00000000-0005-0000-0000-0000BEC70000}"/>
    <cellStyle name="Normal 26 6 3 3 28" xfId="60028" xr:uid="{00000000-0005-0000-0000-0000BFC70000}"/>
    <cellStyle name="Normal 26 6 3 3 29" xfId="61711" xr:uid="{00000000-0005-0000-0000-0000C0C70000}"/>
    <cellStyle name="Normal 26 6 3 3 3" xfId="4486" xr:uid="{00000000-0005-0000-0000-0000C1C70000}"/>
    <cellStyle name="Normal 26 6 3 3 3 2" xfId="19635" xr:uid="{00000000-0005-0000-0000-0000C2C70000}"/>
    <cellStyle name="Normal 26 6 3 3 30" xfId="63394" xr:uid="{00000000-0005-0000-0000-0000C3C70000}"/>
    <cellStyle name="Normal 26 6 3 3 4" xfId="6169" xr:uid="{00000000-0005-0000-0000-0000C4C70000}"/>
    <cellStyle name="Normal 26 6 3 3 4 2" xfId="21318" xr:uid="{00000000-0005-0000-0000-0000C5C70000}"/>
    <cellStyle name="Normal 26 6 3 3 5" xfId="7852" xr:uid="{00000000-0005-0000-0000-0000C6C70000}"/>
    <cellStyle name="Normal 26 6 3 3 5 2" xfId="23001" xr:uid="{00000000-0005-0000-0000-0000C7C70000}"/>
    <cellStyle name="Normal 26 6 3 3 6" xfId="9535" xr:uid="{00000000-0005-0000-0000-0000C8C70000}"/>
    <cellStyle name="Normal 26 6 3 3 6 2" xfId="24684" xr:uid="{00000000-0005-0000-0000-0000C9C70000}"/>
    <cellStyle name="Normal 26 6 3 3 7" xfId="11218" xr:uid="{00000000-0005-0000-0000-0000CAC70000}"/>
    <cellStyle name="Normal 26 6 3 3 7 2" xfId="26367" xr:uid="{00000000-0005-0000-0000-0000CBC70000}"/>
    <cellStyle name="Normal 26 6 3 3 8" xfId="12902" xr:uid="{00000000-0005-0000-0000-0000CCC70000}"/>
    <cellStyle name="Normal 26 6 3 3 8 2" xfId="28051" xr:uid="{00000000-0005-0000-0000-0000CDC70000}"/>
    <cellStyle name="Normal 26 6 3 3 9" xfId="14585" xr:uid="{00000000-0005-0000-0000-0000CEC70000}"/>
    <cellStyle name="Normal 26 6 3 3 9 2" xfId="29734" xr:uid="{00000000-0005-0000-0000-0000CFC70000}"/>
    <cellStyle name="Normal 26 6 3 30" xfId="57504" xr:uid="{00000000-0005-0000-0000-0000D0C70000}"/>
    <cellStyle name="Normal 26 6 3 31" xfId="59187" xr:uid="{00000000-0005-0000-0000-0000D1C70000}"/>
    <cellStyle name="Normal 26 6 3 32" xfId="60870" xr:uid="{00000000-0005-0000-0000-0000D2C70000}"/>
    <cellStyle name="Normal 26 6 3 33" xfId="62553" xr:uid="{00000000-0005-0000-0000-0000D3C70000}"/>
    <cellStyle name="Normal 26 6 3 4" xfId="1540" xr:uid="{00000000-0005-0000-0000-0000D4C70000}"/>
    <cellStyle name="Normal 26 6 3 4 10" xfId="16689" xr:uid="{00000000-0005-0000-0000-0000D5C70000}"/>
    <cellStyle name="Normal 26 6 3 4 11" xfId="31838" xr:uid="{00000000-0005-0000-0000-0000D6C70000}"/>
    <cellStyle name="Normal 26 6 3 4 12" xfId="33521" xr:uid="{00000000-0005-0000-0000-0000D7C70000}"/>
    <cellStyle name="Normal 26 6 3 4 13" xfId="35204" xr:uid="{00000000-0005-0000-0000-0000D8C70000}"/>
    <cellStyle name="Normal 26 6 3 4 14" xfId="36887" xr:uid="{00000000-0005-0000-0000-0000D9C70000}"/>
    <cellStyle name="Normal 26 6 3 4 15" xfId="38570" xr:uid="{00000000-0005-0000-0000-0000DAC70000}"/>
    <cellStyle name="Normal 26 6 3 4 16" xfId="40253" xr:uid="{00000000-0005-0000-0000-0000DBC70000}"/>
    <cellStyle name="Normal 26 6 3 4 17" xfId="41936" xr:uid="{00000000-0005-0000-0000-0000DCC70000}"/>
    <cellStyle name="Normal 26 6 3 4 18" xfId="43619" xr:uid="{00000000-0005-0000-0000-0000DDC70000}"/>
    <cellStyle name="Normal 26 6 3 4 19" xfId="45302" xr:uid="{00000000-0005-0000-0000-0000DEC70000}"/>
    <cellStyle name="Normal 26 6 3 4 2" xfId="3223" xr:uid="{00000000-0005-0000-0000-0000DFC70000}"/>
    <cellStyle name="Normal 26 6 3 4 2 2" xfId="18372" xr:uid="{00000000-0005-0000-0000-0000E0C70000}"/>
    <cellStyle name="Normal 26 6 3 4 20" xfId="46985" xr:uid="{00000000-0005-0000-0000-0000E1C70000}"/>
    <cellStyle name="Normal 26 6 3 4 21" xfId="48668" xr:uid="{00000000-0005-0000-0000-0000E2C70000}"/>
    <cellStyle name="Normal 26 6 3 4 22" xfId="50351" xr:uid="{00000000-0005-0000-0000-0000E3C70000}"/>
    <cellStyle name="Normal 26 6 3 4 23" xfId="52034" xr:uid="{00000000-0005-0000-0000-0000E4C70000}"/>
    <cellStyle name="Normal 26 6 3 4 24" xfId="53717" xr:uid="{00000000-0005-0000-0000-0000E5C70000}"/>
    <cellStyle name="Normal 26 6 3 4 25" xfId="55400" xr:uid="{00000000-0005-0000-0000-0000E6C70000}"/>
    <cellStyle name="Normal 26 6 3 4 26" xfId="57083" xr:uid="{00000000-0005-0000-0000-0000E7C70000}"/>
    <cellStyle name="Normal 26 6 3 4 27" xfId="58766" xr:uid="{00000000-0005-0000-0000-0000E8C70000}"/>
    <cellStyle name="Normal 26 6 3 4 28" xfId="60449" xr:uid="{00000000-0005-0000-0000-0000E9C70000}"/>
    <cellStyle name="Normal 26 6 3 4 29" xfId="62132" xr:uid="{00000000-0005-0000-0000-0000EAC70000}"/>
    <cellStyle name="Normal 26 6 3 4 3" xfId="4907" xr:uid="{00000000-0005-0000-0000-0000EBC70000}"/>
    <cellStyle name="Normal 26 6 3 4 3 2" xfId="20056" xr:uid="{00000000-0005-0000-0000-0000ECC70000}"/>
    <cellStyle name="Normal 26 6 3 4 30" xfId="63815" xr:uid="{00000000-0005-0000-0000-0000EDC70000}"/>
    <cellStyle name="Normal 26 6 3 4 4" xfId="6590" xr:uid="{00000000-0005-0000-0000-0000EEC70000}"/>
    <cellStyle name="Normal 26 6 3 4 4 2" xfId="21739" xr:uid="{00000000-0005-0000-0000-0000EFC70000}"/>
    <cellStyle name="Normal 26 6 3 4 5" xfId="8273" xr:uid="{00000000-0005-0000-0000-0000F0C70000}"/>
    <cellStyle name="Normal 26 6 3 4 5 2" xfId="23422" xr:uid="{00000000-0005-0000-0000-0000F1C70000}"/>
    <cellStyle name="Normal 26 6 3 4 6" xfId="9956" xr:uid="{00000000-0005-0000-0000-0000F2C70000}"/>
    <cellStyle name="Normal 26 6 3 4 6 2" xfId="25105" xr:uid="{00000000-0005-0000-0000-0000F3C70000}"/>
    <cellStyle name="Normal 26 6 3 4 7" xfId="11639" xr:uid="{00000000-0005-0000-0000-0000F4C70000}"/>
    <cellStyle name="Normal 26 6 3 4 7 2" xfId="26788" xr:uid="{00000000-0005-0000-0000-0000F5C70000}"/>
    <cellStyle name="Normal 26 6 3 4 8" xfId="13323" xr:uid="{00000000-0005-0000-0000-0000F6C70000}"/>
    <cellStyle name="Normal 26 6 3 4 8 2" xfId="28472" xr:uid="{00000000-0005-0000-0000-0000F7C70000}"/>
    <cellStyle name="Normal 26 6 3 4 9" xfId="15006" xr:uid="{00000000-0005-0000-0000-0000F8C70000}"/>
    <cellStyle name="Normal 26 6 3 4 9 2" xfId="30155" xr:uid="{00000000-0005-0000-0000-0000F9C70000}"/>
    <cellStyle name="Normal 26 6 3 5" xfId="1961" xr:uid="{00000000-0005-0000-0000-0000FAC70000}"/>
    <cellStyle name="Normal 26 6 3 5 2" xfId="17110" xr:uid="{00000000-0005-0000-0000-0000FBC70000}"/>
    <cellStyle name="Normal 26 6 3 6" xfId="3645" xr:uid="{00000000-0005-0000-0000-0000FCC70000}"/>
    <cellStyle name="Normal 26 6 3 6 2" xfId="18794" xr:uid="{00000000-0005-0000-0000-0000FDC70000}"/>
    <cellStyle name="Normal 26 6 3 7" xfId="5328" xr:uid="{00000000-0005-0000-0000-0000FEC70000}"/>
    <cellStyle name="Normal 26 6 3 7 2" xfId="20477" xr:uid="{00000000-0005-0000-0000-0000FFC70000}"/>
    <cellStyle name="Normal 26 6 3 8" xfId="7011" xr:uid="{00000000-0005-0000-0000-000000C80000}"/>
    <cellStyle name="Normal 26 6 3 8 2" xfId="22160" xr:uid="{00000000-0005-0000-0000-000001C80000}"/>
    <cellStyle name="Normal 26 6 3 9" xfId="8694" xr:uid="{00000000-0005-0000-0000-000002C80000}"/>
    <cellStyle name="Normal 26 6 3 9 2" xfId="23843" xr:uid="{00000000-0005-0000-0000-000003C80000}"/>
    <cellStyle name="Normal 26 6 30" xfId="53928" xr:uid="{00000000-0005-0000-0000-000004C80000}"/>
    <cellStyle name="Normal 26 6 31" xfId="55611" xr:uid="{00000000-0005-0000-0000-000005C80000}"/>
    <cellStyle name="Normal 26 6 32" xfId="57294" xr:uid="{00000000-0005-0000-0000-000006C80000}"/>
    <cellStyle name="Normal 26 6 33" xfId="58977" xr:uid="{00000000-0005-0000-0000-000007C80000}"/>
    <cellStyle name="Normal 26 6 34" xfId="60660" xr:uid="{00000000-0005-0000-0000-000008C80000}"/>
    <cellStyle name="Normal 26 6 35" xfId="62343" xr:uid="{00000000-0005-0000-0000-000009C80000}"/>
    <cellStyle name="Normal 26 6 4" xfId="488" xr:uid="{00000000-0005-0000-0000-00000AC80000}"/>
    <cellStyle name="Normal 26 6 4 10" xfId="15637" xr:uid="{00000000-0005-0000-0000-00000BC80000}"/>
    <cellStyle name="Normal 26 6 4 11" xfId="30786" xr:uid="{00000000-0005-0000-0000-00000CC80000}"/>
    <cellStyle name="Normal 26 6 4 12" xfId="32469" xr:uid="{00000000-0005-0000-0000-00000DC80000}"/>
    <cellStyle name="Normal 26 6 4 13" xfId="34152" xr:uid="{00000000-0005-0000-0000-00000EC80000}"/>
    <cellStyle name="Normal 26 6 4 14" xfId="35835" xr:uid="{00000000-0005-0000-0000-00000FC80000}"/>
    <cellStyle name="Normal 26 6 4 15" xfId="37518" xr:uid="{00000000-0005-0000-0000-000010C80000}"/>
    <cellStyle name="Normal 26 6 4 16" xfId="39201" xr:uid="{00000000-0005-0000-0000-000011C80000}"/>
    <cellStyle name="Normal 26 6 4 17" xfId="40884" xr:uid="{00000000-0005-0000-0000-000012C80000}"/>
    <cellStyle name="Normal 26 6 4 18" xfId="42567" xr:uid="{00000000-0005-0000-0000-000013C80000}"/>
    <cellStyle name="Normal 26 6 4 19" xfId="44250" xr:uid="{00000000-0005-0000-0000-000014C80000}"/>
    <cellStyle name="Normal 26 6 4 2" xfId="2171" xr:uid="{00000000-0005-0000-0000-000015C80000}"/>
    <cellStyle name="Normal 26 6 4 2 2" xfId="17320" xr:uid="{00000000-0005-0000-0000-000016C80000}"/>
    <cellStyle name="Normal 26 6 4 20" xfId="45933" xr:uid="{00000000-0005-0000-0000-000017C80000}"/>
    <cellStyle name="Normal 26 6 4 21" xfId="47616" xr:uid="{00000000-0005-0000-0000-000018C80000}"/>
    <cellStyle name="Normal 26 6 4 22" xfId="49299" xr:uid="{00000000-0005-0000-0000-000019C80000}"/>
    <cellStyle name="Normal 26 6 4 23" xfId="50982" xr:uid="{00000000-0005-0000-0000-00001AC80000}"/>
    <cellStyle name="Normal 26 6 4 24" xfId="52665" xr:uid="{00000000-0005-0000-0000-00001BC80000}"/>
    <cellStyle name="Normal 26 6 4 25" xfId="54348" xr:uid="{00000000-0005-0000-0000-00001CC80000}"/>
    <cellStyle name="Normal 26 6 4 26" xfId="56031" xr:uid="{00000000-0005-0000-0000-00001DC80000}"/>
    <cellStyle name="Normal 26 6 4 27" xfId="57714" xr:uid="{00000000-0005-0000-0000-00001EC80000}"/>
    <cellStyle name="Normal 26 6 4 28" xfId="59397" xr:uid="{00000000-0005-0000-0000-00001FC80000}"/>
    <cellStyle name="Normal 26 6 4 29" xfId="61080" xr:uid="{00000000-0005-0000-0000-000020C80000}"/>
    <cellStyle name="Normal 26 6 4 3" xfId="3855" xr:uid="{00000000-0005-0000-0000-000021C80000}"/>
    <cellStyle name="Normal 26 6 4 3 2" xfId="19004" xr:uid="{00000000-0005-0000-0000-000022C80000}"/>
    <cellStyle name="Normal 26 6 4 30" xfId="62763" xr:uid="{00000000-0005-0000-0000-000023C80000}"/>
    <cellStyle name="Normal 26 6 4 4" xfId="5538" xr:uid="{00000000-0005-0000-0000-000024C80000}"/>
    <cellStyle name="Normal 26 6 4 4 2" xfId="20687" xr:uid="{00000000-0005-0000-0000-000025C80000}"/>
    <cellStyle name="Normal 26 6 4 5" xfId="7221" xr:uid="{00000000-0005-0000-0000-000026C80000}"/>
    <cellStyle name="Normal 26 6 4 5 2" xfId="22370" xr:uid="{00000000-0005-0000-0000-000027C80000}"/>
    <cellStyle name="Normal 26 6 4 6" xfId="8904" xr:uid="{00000000-0005-0000-0000-000028C80000}"/>
    <cellStyle name="Normal 26 6 4 6 2" xfId="24053" xr:uid="{00000000-0005-0000-0000-000029C80000}"/>
    <cellStyle name="Normal 26 6 4 7" xfId="10587" xr:uid="{00000000-0005-0000-0000-00002AC80000}"/>
    <cellStyle name="Normal 26 6 4 7 2" xfId="25736" xr:uid="{00000000-0005-0000-0000-00002BC80000}"/>
    <cellStyle name="Normal 26 6 4 8" xfId="12271" xr:uid="{00000000-0005-0000-0000-00002CC80000}"/>
    <cellStyle name="Normal 26 6 4 8 2" xfId="27420" xr:uid="{00000000-0005-0000-0000-00002DC80000}"/>
    <cellStyle name="Normal 26 6 4 9" xfId="13954" xr:uid="{00000000-0005-0000-0000-00002EC80000}"/>
    <cellStyle name="Normal 26 6 4 9 2" xfId="29103" xr:uid="{00000000-0005-0000-0000-00002FC80000}"/>
    <cellStyle name="Normal 26 6 5" xfId="909" xr:uid="{00000000-0005-0000-0000-000030C80000}"/>
    <cellStyle name="Normal 26 6 5 10" xfId="16058" xr:uid="{00000000-0005-0000-0000-000031C80000}"/>
    <cellStyle name="Normal 26 6 5 11" xfId="31207" xr:uid="{00000000-0005-0000-0000-000032C80000}"/>
    <cellStyle name="Normal 26 6 5 12" xfId="32890" xr:uid="{00000000-0005-0000-0000-000033C80000}"/>
    <cellStyle name="Normal 26 6 5 13" xfId="34573" xr:uid="{00000000-0005-0000-0000-000034C80000}"/>
    <cellStyle name="Normal 26 6 5 14" xfId="36256" xr:uid="{00000000-0005-0000-0000-000035C80000}"/>
    <cellStyle name="Normal 26 6 5 15" xfId="37939" xr:uid="{00000000-0005-0000-0000-000036C80000}"/>
    <cellStyle name="Normal 26 6 5 16" xfId="39622" xr:uid="{00000000-0005-0000-0000-000037C80000}"/>
    <cellStyle name="Normal 26 6 5 17" xfId="41305" xr:uid="{00000000-0005-0000-0000-000038C80000}"/>
    <cellStyle name="Normal 26 6 5 18" xfId="42988" xr:uid="{00000000-0005-0000-0000-000039C80000}"/>
    <cellStyle name="Normal 26 6 5 19" xfId="44671" xr:uid="{00000000-0005-0000-0000-00003AC80000}"/>
    <cellStyle name="Normal 26 6 5 2" xfId="2592" xr:uid="{00000000-0005-0000-0000-00003BC80000}"/>
    <cellStyle name="Normal 26 6 5 2 2" xfId="17741" xr:uid="{00000000-0005-0000-0000-00003CC80000}"/>
    <cellStyle name="Normal 26 6 5 20" xfId="46354" xr:uid="{00000000-0005-0000-0000-00003DC80000}"/>
    <cellStyle name="Normal 26 6 5 21" xfId="48037" xr:uid="{00000000-0005-0000-0000-00003EC80000}"/>
    <cellStyle name="Normal 26 6 5 22" xfId="49720" xr:uid="{00000000-0005-0000-0000-00003FC80000}"/>
    <cellStyle name="Normal 26 6 5 23" xfId="51403" xr:uid="{00000000-0005-0000-0000-000040C80000}"/>
    <cellStyle name="Normal 26 6 5 24" xfId="53086" xr:uid="{00000000-0005-0000-0000-000041C80000}"/>
    <cellStyle name="Normal 26 6 5 25" xfId="54769" xr:uid="{00000000-0005-0000-0000-000042C80000}"/>
    <cellStyle name="Normal 26 6 5 26" xfId="56452" xr:uid="{00000000-0005-0000-0000-000043C80000}"/>
    <cellStyle name="Normal 26 6 5 27" xfId="58135" xr:uid="{00000000-0005-0000-0000-000044C80000}"/>
    <cellStyle name="Normal 26 6 5 28" xfId="59818" xr:uid="{00000000-0005-0000-0000-000045C80000}"/>
    <cellStyle name="Normal 26 6 5 29" xfId="61501" xr:uid="{00000000-0005-0000-0000-000046C80000}"/>
    <cellStyle name="Normal 26 6 5 3" xfId="4276" xr:uid="{00000000-0005-0000-0000-000047C80000}"/>
    <cellStyle name="Normal 26 6 5 3 2" xfId="19425" xr:uid="{00000000-0005-0000-0000-000048C80000}"/>
    <cellStyle name="Normal 26 6 5 30" xfId="63184" xr:uid="{00000000-0005-0000-0000-000049C80000}"/>
    <cellStyle name="Normal 26 6 5 4" xfId="5959" xr:uid="{00000000-0005-0000-0000-00004AC80000}"/>
    <cellStyle name="Normal 26 6 5 4 2" xfId="21108" xr:uid="{00000000-0005-0000-0000-00004BC80000}"/>
    <cellStyle name="Normal 26 6 5 5" xfId="7642" xr:uid="{00000000-0005-0000-0000-00004CC80000}"/>
    <cellStyle name="Normal 26 6 5 5 2" xfId="22791" xr:uid="{00000000-0005-0000-0000-00004DC80000}"/>
    <cellStyle name="Normal 26 6 5 6" xfId="9325" xr:uid="{00000000-0005-0000-0000-00004EC80000}"/>
    <cellStyle name="Normal 26 6 5 6 2" xfId="24474" xr:uid="{00000000-0005-0000-0000-00004FC80000}"/>
    <cellStyle name="Normal 26 6 5 7" xfId="11008" xr:uid="{00000000-0005-0000-0000-000050C80000}"/>
    <cellStyle name="Normal 26 6 5 7 2" xfId="26157" xr:uid="{00000000-0005-0000-0000-000051C80000}"/>
    <cellStyle name="Normal 26 6 5 8" xfId="12692" xr:uid="{00000000-0005-0000-0000-000052C80000}"/>
    <cellStyle name="Normal 26 6 5 8 2" xfId="27841" xr:uid="{00000000-0005-0000-0000-000053C80000}"/>
    <cellStyle name="Normal 26 6 5 9" xfId="14375" xr:uid="{00000000-0005-0000-0000-000054C80000}"/>
    <cellStyle name="Normal 26 6 5 9 2" xfId="29524" xr:uid="{00000000-0005-0000-0000-000055C80000}"/>
    <cellStyle name="Normal 26 6 6" xfId="1330" xr:uid="{00000000-0005-0000-0000-000056C80000}"/>
    <cellStyle name="Normal 26 6 6 10" xfId="16479" xr:uid="{00000000-0005-0000-0000-000057C80000}"/>
    <cellStyle name="Normal 26 6 6 11" xfId="31628" xr:uid="{00000000-0005-0000-0000-000058C80000}"/>
    <cellStyle name="Normal 26 6 6 12" xfId="33311" xr:uid="{00000000-0005-0000-0000-000059C80000}"/>
    <cellStyle name="Normal 26 6 6 13" xfId="34994" xr:uid="{00000000-0005-0000-0000-00005AC80000}"/>
    <cellStyle name="Normal 26 6 6 14" xfId="36677" xr:uid="{00000000-0005-0000-0000-00005BC80000}"/>
    <cellStyle name="Normal 26 6 6 15" xfId="38360" xr:uid="{00000000-0005-0000-0000-00005CC80000}"/>
    <cellStyle name="Normal 26 6 6 16" xfId="40043" xr:uid="{00000000-0005-0000-0000-00005DC80000}"/>
    <cellStyle name="Normal 26 6 6 17" xfId="41726" xr:uid="{00000000-0005-0000-0000-00005EC80000}"/>
    <cellStyle name="Normal 26 6 6 18" xfId="43409" xr:uid="{00000000-0005-0000-0000-00005FC80000}"/>
    <cellStyle name="Normal 26 6 6 19" xfId="45092" xr:uid="{00000000-0005-0000-0000-000060C80000}"/>
    <cellStyle name="Normal 26 6 6 2" xfId="3013" xr:uid="{00000000-0005-0000-0000-000061C80000}"/>
    <cellStyle name="Normal 26 6 6 2 2" xfId="18162" xr:uid="{00000000-0005-0000-0000-000062C80000}"/>
    <cellStyle name="Normal 26 6 6 20" xfId="46775" xr:uid="{00000000-0005-0000-0000-000063C80000}"/>
    <cellStyle name="Normal 26 6 6 21" xfId="48458" xr:uid="{00000000-0005-0000-0000-000064C80000}"/>
    <cellStyle name="Normal 26 6 6 22" xfId="50141" xr:uid="{00000000-0005-0000-0000-000065C80000}"/>
    <cellStyle name="Normal 26 6 6 23" xfId="51824" xr:uid="{00000000-0005-0000-0000-000066C80000}"/>
    <cellStyle name="Normal 26 6 6 24" xfId="53507" xr:uid="{00000000-0005-0000-0000-000067C80000}"/>
    <cellStyle name="Normal 26 6 6 25" xfId="55190" xr:uid="{00000000-0005-0000-0000-000068C80000}"/>
    <cellStyle name="Normal 26 6 6 26" xfId="56873" xr:uid="{00000000-0005-0000-0000-000069C80000}"/>
    <cellStyle name="Normal 26 6 6 27" xfId="58556" xr:uid="{00000000-0005-0000-0000-00006AC80000}"/>
    <cellStyle name="Normal 26 6 6 28" xfId="60239" xr:uid="{00000000-0005-0000-0000-00006BC80000}"/>
    <cellStyle name="Normal 26 6 6 29" xfId="61922" xr:uid="{00000000-0005-0000-0000-00006CC80000}"/>
    <cellStyle name="Normal 26 6 6 3" xfId="4697" xr:uid="{00000000-0005-0000-0000-00006DC80000}"/>
    <cellStyle name="Normal 26 6 6 3 2" xfId="19846" xr:uid="{00000000-0005-0000-0000-00006EC80000}"/>
    <cellStyle name="Normal 26 6 6 30" xfId="63605" xr:uid="{00000000-0005-0000-0000-00006FC80000}"/>
    <cellStyle name="Normal 26 6 6 4" xfId="6380" xr:uid="{00000000-0005-0000-0000-000070C80000}"/>
    <cellStyle name="Normal 26 6 6 4 2" xfId="21529" xr:uid="{00000000-0005-0000-0000-000071C80000}"/>
    <cellStyle name="Normal 26 6 6 5" xfId="8063" xr:uid="{00000000-0005-0000-0000-000072C80000}"/>
    <cellStyle name="Normal 26 6 6 5 2" xfId="23212" xr:uid="{00000000-0005-0000-0000-000073C80000}"/>
    <cellStyle name="Normal 26 6 6 6" xfId="9746" xr:uid="{00000000-0005-0000-0000-000074C80000}"/>
    <cellStyle name="Normal 26 6 6 6 2" xfId="24895" xr:uid="{00000000-0005-0000-0000-000075C80000}"/>
    <cellStyle name="Normal 26 6 6 7" xfId="11429" xr:uid="{00000000-0005-0000-0000-000076C80000}"/>
    <cellStyle name="Normal 26 6 6 7 2" xfId="26578" xr:uid="{00000000-0005-0000-0000-000077C80000}"/>
    <cellStyle name="Normal 26 6 6 8" xfId="13113" xr:uid="{00000000-0005-0000-0000-000078C80000}"/>
    <cellStyle name="Normal 26 6 6 8 2" xfId="28262" xr:uid="{00000000-0005-0000-0000-000079C80000}"/>
    <cellStyle name="Normal 26 6 6 9" xfId="14796" xr:uid="{00000000-0005-0000-0000-00007AC80000}"/>
    <cellStyle name="Normal 26 6 6 9 2" xfId="29945" xr:uid="{00000000-0005-0000-0000-00007BC80000}"/>
    <cellStyle name="Normal 26 6 7" xfId="1751" xr:uid="{00000000-0005-0000-0000-00007CC80000}"/>
    <cellStyle name="Normal 26 6 7 2" xfId="16900" xr:uid="{00000000-0005-0000-0000-00007DC80000}"/>
    <cellStyle name="Normal 26 6 8" xfId="3435" xr:uid="{00000000-0005-0000-0000-00007EC80000}"/>
    <cellStyle name="Normal 26 6 8 2" xfId="18584" xr:uid="{00000000-0005-0000-0000-00007FC80000}"/>
    <cellStyle name="Normal 26 6 9" xfId="5118" xr:uid="{00000000-0005-0000-0000-000080C80000}"/>
    <cellStyle name="Normal 26 6 9 2" xfId="20267" xr:uid="{00000000-0005-0000-0000-000081C80000}"/>
    <cellStyle name="Normal 26 7" xfId="141" xr:uid="{00000000-0005-0000-0000-000082C80000}"/>
    <cellStyle name="Normal 26 7 10" xfId="8557" xr:uid="{00000000-0005-0000-0000-000083C80000}"/>
    <cellStyle name="Normal 26 7 10 2" xfId="23706" xr:uid="{00000000-0005-0000-0000-000084C80000}"/>
    <cellStyle name="Normal 26 7 11" xfId="10240" xr:uid="{00000000-0005-0000-0000-000085C80000}"/>
    <cellStyle name="Normal 26 7 11 2" xfId="25389" xr:uid="{00000000-0005-0000-0000-000086C80000}"/>
    <cellStyle name="Normal 26 7 12" xfId="11924" xr:uid="{00000000-0005-0000-0000-000087C80000}"/>
    <cellStyle name="Normal 26 7 12 2" xfId="27073" xr:uid="{00000000-0005-0000-0000-000088C80000}"/>
    <cellStyle name="Normal 26 7 13" xfId="13607" xr:uid="{00000000-0005-0000-0000-000089C80000}"/>
    <cellStyle name="Normal 26 7 13 2" xfId="28756" xr:uid="{00000000-0005-0000-0000-00008AC80000}"/>
    <cellStyle name="Normal 26 7 14" xfId="15290" xr:uid="{00000000-0005-0000-0000-00008BC80000}"/>
    <cellStyle name="Normal 26 7 15" xfId="30439" xr:uid="{00000000-0005-0000-0000-00008CC80000}"/>
    <cellStyle name="Normal 26 7 16" xfId="32122" xr:uid="{00000000-0005-0000-0000-00008DC80000}"/>
    <cellStyle name="Normal 26 7 17" xfId="33805" xr:uid="{00000000-0005-0000-0000-00008EC80000}"/>
    <cellStyle name="Normal 26 7 18" xfId="35488" xr:uid="{00000000-0005-0000-0000-00008FC80000}"/>
    <cellStyle name="Normal 26 7 19" xfId="37171" xr:uid="{00000000-0005-0000-0000-000090C80000}"/>
    <cellStyle name="Normal 26 7 2" xfId="351" xr:uid="{00000000-0005-0000-0000-000091C80000}"/>
    <cellStyle name="Normal 26 7 2 10" xfId="10450" xr:uid="{00000000-0005-0000-0000-000092C80000}"/>
    <cellStyle name="Normal 26 7 2 10 2" xfId="25599" xr:uid="{00000000-0005-0000-0000-000093C80000}"/>
    <cellStyle name="Normal 26 7 2 11" xfId="12134" xr:uid="{00000000-0005-0000-0000-000094C80000}"/>
    <cellStyle name="Normal 26 7 2 11 2" xfId="27283" xr:uid="{00000000-0005-0000-0000-000095C80000}"/>
    <cellStyle name="Normal 26 7 2 12" xfId="13817" xr:uid="{00000000-0005-0000-0000-000096C80000}"/>
    <cellStyle name="Normal 26 7 2 12 2" xfId="28966" xr:uid="{00000000-0005-0000-0000-000097C80000}"/>
    <cellStyle name="Normal 26 7 2 13" xfId="15500" xr:uid="{00000000-0005-0000-0000-000098C80000}"/>
    <cellStyle name="Normal 26 7 2 14" xfId="30649" xr:uid="{00000000-0005-0000-0000-000099C80000}"/>
    <cellStyle name="Normal 26 7 2 15" xfId="32332" xr:uid="{00000000-0005-0000-0000-00009AC80000}"/>
    <cellStyle name="Normal 26 7 2 16" xfId="34015" xr:uid="{00000000-0005-0000-0000-00009BC80000}"/>
    <cellStyle name="Normal 26 7 2 17" xfId="35698" xr:uid="{00000000-0005-0000-0000-00009CC80000}"/>
    <cellStyle name="Normal 26 7 2 18" xfId="37381" xr:uid="{00000000-0005-0000-0000-00009DC80000}"/>
    <cellStyle name="Normal 26 7 2 19" xfId="39064" xr:uid="{00000000-0005-0000-0000-00009EC80000}"/>
    <cellStyle name="Normal 26 7 2 2" xfId="771" xr:uid="{00000000-0005-0000-0000-00009FC80000}"/>
    <cellStyle name="Normal 26 7 2 2 10" xfId="15920" xr:uid="{00000000-0005-0000-0000-0000A0C80000}"/>
    <cellStyle name="Normal 26 7 2 2 11" xfId="31069" xr:uid="{00000000-0005-0000-0000-0000A1C80000}"/>
    <cellStyle name="Normal 26 7 2 2 12" xfId="32752" xr:uid="{00000000-0005-0000-0000-0000A2C80000}"/>
    <cellStyle name="Normal 26 7 2 2 13" xfId="34435" xr:uid="{00000000-0005-0000-0000-0000A3C80000}"/>
    <cellStyle name="Normal 26 7 2 2 14" xfId="36118" xr:uid="{00000000-0005-0000-0000-0000A4C80000}"/>
    <cellStyle name="Normal 26 7 2 2 15" xfId="37801" xr:uid="{00000000-0005-0000-0000-0000A5C80000}"/>
    <cellStyle name="Normal 26 7 2 2 16" xfId="39484" xr:uid="{00000000-0005-0000-0000-0000A6C80000}"/>
    <cellStyle name="Normal 26 7 2 2 17" xfId="41167" xr:uid="{00000000-0005-0000-0000-0000A7C80000}"/>
    <cellStyle name="Normal 26 7 2 2 18" xfId="42850" xr:uid="{00000000-0005-0000-0000-0000A8C80000}"/>
    <cellStyle name="Normal 26 7 2 2 19" xfId="44533" xr:uid="{00000000-0005-0000-0000-0000A9C80000}"/>
    <cellStyle name="Normal 26 7 2 2 2" xfId="2454" xr:uid="{00000000-0005-0000-0000-0000AAC80000}"/>
    <cellStyle name="Normal 26 7 2 2 2 2" xfId="17603" xr:uid="{00000000-0005-0000-0000-0000ABC80000}"/>
    <cellStyle name="Normal 26 7 2 2 20" xfId="46216" xr:uid="{00000000-0005-0000-0000-0000ACC80000}"/>
    <cellStyle name="Normal 26 7 2 2 21" xfId="47899" xr:uid="{00000000-0005-0000-0000-0000ADC80000}"/>
    <cellStyle name="Normal 26 7 2 2 22" xfId="49582" xr:uid="{00000000-0005-0000-0000-0000AEC80000}"/>
    <cellStyle name="Normal 26 7 2 2 23" xfId="51265" xr:uid="{00000000-0005-0000-0000-0000AFC80000}"/>
    <cellStyle name="Normal 26 7 2 2 24" xfId="52948" xr:uid="{00000000-0005-0000-0000-0000B0C80000}"/>
    <cellStyle name="Normal 26 7 2 2 25" xfId="54631" xr:uid="{00000000-0005-0000-0000-0000B1C80000}"/>
    <cellStyle name="Normal 26 7 2 2 26" xfId="56314" xr:uid="{00000000-0005-0000-0000-0000B2C80000}"/>
    <cellStyle name="Normal 26 7 2 2 27" xfId="57997" xr:uid="{00000000-0005-0000-0000-0000B3C80000}"/>
    <cellStyle name="Normal 26 7 2 2 28" xfId="59680" xr:uid="{00000000-0005-0000-0000-0000B4C80000}"/>
    <cellStyle name="Normal 26 7 2 2 29" xfId="61363" xr:uid="{00000000-0005-0000-0000-0000B5C80000}"/>
    <cellStyle name="Normal 26 7 2 2 3" xfId="4138" xr:uid="{00000000-0005-0000-0000-0000B6C80000}"/>
    <cellStyle name="Normal 26 7 2 2 3 2" xfId="19287" xr:uid="{00000000-0005-0000-0000-0000B7C80000}"/>
    <cellStyle name="Normal 26 7 2 2 30" xfId="63046" xr:uid="{00000000-0005-0000-0000-0000B8C80000}"/>
    <cellStyle name="Normal 26 7 2 2 4" xfId="5821" xr:uid="{00000000-0005-0000-0000-0000B9C80000}"/>
    <cellStyle name="Normal 26 7 2 2 4 2" xfId="20970" xr:uid="{00000000-0005-0000-0000-0000BAC80000}"/>
    <cellStyle name="Normal 26 7 2 2 5" xfId="7504" xr:uid="{00000000-0005-0000-0000-0000BBC80000}"/>
    <cellStyle name="Normal 26 7 2 2 5 2" xfId="22653" xr:uid="{00000000-0005-0000-0000-0000BCC80000}"/>
    <cellStyle name="Normal 26 7 2 2 6" xfId="9187" xr:uid="{00000000-0005-0000-0000-0000BDC80000}"/>
    <cellStyle name="Normal 26 7 2 2 6 2" xfId="24336" xr:uid="{00000000-0005-0000-0000-0000BEC80000}"/>
    <cellStyle name="Normal 26 7 2 2 7" xfId="10870" xr:uid="{00000000-0005-0000-0000-0000BFC80000}"/>
    <cellStyle name="Normal 26 7 2 2 7 2" xfId="26019" xr:uid="{00000000-0005-0000-0000-0000C0C80000}"/>
    <cellStyle name="Normal 26 7 2 2 8" xfId="12554" xr:uid="{00000000-0005-0000-0000-0000C1C80000}"/>
    <cellStyle name="Normal 26 7 2 2 8 2" xfId="27703" xr:uid="{00000000-0005-0000-0000-0000C2C80000}"/>
    <cellStyle name="Normal 26 7 2 2 9" xfId="14237" xr:uid="{00000000-0005-0000-0000-0000C3C80000}"/>
    <cellStyle name="Normal 26 7 2 2 9 2" xfId="29386" xr:uid="{00000000-0005-0000-0000-0000C4C80000}"/>
    <cellStyle name="Normal 26 7 2 20" xfId="40747" xr:uid="{00000000-0005-0000-0000-0000C5C80000}"/>
    <cellStyle name="Normal 26 7 2 21" xfId="42430" xr:uid="{00000000-0005-0000-0000-0000C6C80000}"/>
    <cellStyle name="Normal 26 7 2 22" xfId="44113" xr:uid="{00000000-0005-0000-0000-0000C7C80000}"/>
    <cellStyle name="Normal 26 7 2 23" xfId="45796" xr:uid="{00000000-0005-0000-0000-0000C8C80000}"/>
    <cellStyle name="Normal 26 7 2 24" xfId="47479" xr:uid="{00000000-0005-0000-0000-0000C9C80000}"/>
    <cellStyle name="Normal 26 7 2 25" xfId="49162" xr:uid="{00000000-0005-0000-0000-0000CAC80000}"/>
    <cellStyle name="Normal 26 7 2 26" xfId="50845" xr:uid="{00000000-0005-0000-0000-0000CBC80000}"/>
    <cellStyle name="Normal 26 7 2 27" xfId="52528" xr:uid="{00000000-0005-0000-0000-0000CCC80000}"/>
    <cellStyle name="Normal 26 7 2 28" xfId="54211" xr:uid="{00000000-0005-0000-0000-0000CDC80000}"/>
    <cellStyle name="Normal 26 7 2 29" xfId="55894" xr:uid="{00000000-0005-0000-0000-0000CEC80000}"/>
    <cellStyle name="Normal 26 7 2 3" xfId="1192" xr:uid="{00000000-0005-0000-0000-0000CFC80000}"/>
    <cellStyle name="Normal 26 7 2 3 10" xfId="16341" xr:uid="{00000000-0005-0000-0000-0000D0C80000}"/>
    <cellStyle name="Normal 26 7 2 3 11" xfId="31490" xr:uid="{00000000-0005-0000-0000-0000D1C80000}"/>
    <cellStyle name="Normal 26 7 2 3 12" xfId="33173" xr:uid="{00000000-0005-0000-0000-0000D2C80000}"/>
    <cellStyle name="Normal 26 7 2 3 13" xfId="34856" xr:uid="{00000000-0005-0000-0000-0000D3C80000}"/>
    <cellStyle name="Normal 26 7 2 3 14" xfId="36539" xr:uid="{00000000-0005-0000-0000-0000D4C80000}"/>
    <cellStyle name="Normal 26 7 2 3 15" xfId="38222" xr:uid="{00000000-0005-0000-0000-0000D5C80000}"/>
    <cellStyle name="Normal 26 7 2 3 16" xfId="39905" xr:uid="{00000000-0005-0000-0000-0000D6C80000}"/>
    <cellStyle name="Normal 26 7 2 3 17" xfId="41588" xr:uid="{00000000-0005-0000-0000-0000D7C80000}"/>
    <cellStyle name="Normal 26 7 2 3 18" xfId="43271" xr:uid="{00000000-0005-0000-0000-0000D8C80000}"/>
    <cellStyle name="Normal 26 7 2 3 19" xfId="44954" xr:uid="{00000000-0005-0000-0000-0000D9C80000}"/>
    <cellStyle name="Normal 26 7 2 3 2" xfId="2875" xr:uid="{00000000-0005-0000-0000-0000DAC80000}"/>
    <cellStyle name="Normal 26 7 2 3 2 2" xfId="18024" xr:uid="{00000000-0005-0000-0000-0000DBC80000}"/>
    <cellStyle name="Normal 26 7 2 3 20" xfId="46637" xr:uid="{00000000-0005-0000-0000-0000DCC80000}"/>
    <cellStyle name="Normal 26 7 2 3 21" xfId="48320" xr:uid="{00000000-0005-0000-0000-0000DDC80000}"/>
    <cellStyle name="Normal 26 7 2 3 22" xfId="50003" xr:uid="{00000000-0005-0000-0000-0000DEC80000}"/>
    <cellStyle name="Normal 26 7 2 3 23" xfId="51686" xr:uid="{00000000-0005-0000-0000-0000DFC80000}"/>
    <cellStyle name="Normal 26 7 2 3 24" xfId="53369" xr:uid="{00000000-0005-0000-0000-0000E0C80000}"/>
    <cellStyle name="Normal 26 7 2 3 25" xfId="55052" xr:uid="{00000000-0005-0000-0000-0000E1C80000}"/>
    <cellStyle name="Normal 26 7 2 3 26" xfId="56735" xr:uid="{00000000-0005-0000-0000-0000E2C80000}"/>
    <cellStyle name="Normal 26 7 2 3 27" xfId="58418" xr:uid="{00000000-0005-0000-0000-0000E3C80000}"/>
    <cellStyle name="Normal 26 7 2 3 28" xfId="60101" xr:uid="{00000000-0005-0000-0000-0000E4C80000}"/>
    <cellStyle name="Normal 26 7 2 3 29" xfId="61784" xr:uid="{00000000-0005-0000-0000-0000E5C80000}"/>
    <cellStyle name="Normal 26 7 2 3 3" xfId="4559" xr:uid="{00000000-0005-0000-0000-0000E6C80000}"/>
    <cellStyle name="Normal 26 7 2 3 3 2" xfId="19708" xr:uid="{00000000-0005-0000-0000-0000E7C80000}"/>
    <cellStyle name="Normal 26 7 2 3 30" xfId="63467" xr:uid="{00000000-0005-0000-0000-0000E8C80000}"/>
    <cellStyle name="Normal 26 7 2 3 4" xfId="6242" xr:uid="{00000000-0005-0000-0000-0000E9C80000}"/>
    <cellStyle name="Normal 26 7 2 3 4 2" xfId="21391" xr:uid="{00000000-0005-0000-0000-0000EAC80000}"/>
    <cellStyle name="Normal 26 7 2 3 5" xfId="7925" xr:uid="{00000000-0005-0000-0000-0000EBC80000}"/>
    <cellStyle name="Normal 26 7 2 3 5 2" xfId="23074" xr:uid="{00000000-0005-0000-0000-0000ECC80000}"/>
    <cellStyle name="Normal 26 7 2 3 6" xfId="9608" xr:uid="{00000000-0005-0000-0000-0000EDC80000}"/>
    <cellStyle name="Normal 26 7 2 3 6 2" xfId="24757" xr:uid="{00000000-0005-0000-0000-0000EEC80000}"/>
    <cellStyle name="Normal 26 7 2 3 7" xfId="11291" xr:uid="{00000000-0005-0000-0000-0000EFC80000}"/>
    <cellStyle name="Normal 26 7 2 3 7 2" xfId="26440" xr:uid="{00000000-0005-0000-0000-0000F0C80000}"/>
    <cellStyle name="Normal 26 7 2 3 8" xfId="12975" xr:uid="{00000000-0005-0000-0000-0000F1C80000}"/>
    <cellStyle name="Normal 26 7 2 3 8 2" xfId="28124" xr:uid="{00000000-0005-0000-0000-0000F2C80000}"/>
    <cellStyle name="Normal 26 7 2 3 9" xfId="14658" xr:uid="{00000000-0005-0000-0000-0000F3C80000}"/>
    <cellStyle name="Normal 26 7 2 3 9 2" xfId="29807" xr:uid="{00000000-0005-0000-0000-0000F4C80000}"/>
    <cellStyle name="Normal 26 7 2 30" xfId="57577" xr:uid="{00000000-0005-0000-0000-0000F5C80000}"/>
    <cellStyle name="Normal 26 7 2 31" xfId="59260" xr:uid="{00000000-0005-0000-0000-0000F6C80000}"/>
    <cellStyle name="Normal 26 7 2 32" xfId="60943" xr:uid="{00000000-0005-0000-0000-0000F7C80000}"/>
    <cellStyle name="Normal 26 7 2 33" xfId="62626" xr:uid="{00000000-0005-0000-0000-0000F8C80000}"/>
    <cellStyle name="Normal 26 7 2 4" xfId="1613" xr:uid="{00000000-0005-0000-0000-0000F9C80000}"/>
    <cellStyle name="Normal 26 7 2 4 10" xfId="16762" xr:uid="{00000000-0005-0000-0000-0000FAC80000}"/>
    <cellStyle name="Normal 26 7 2 4 11" xfId="31911" xr:uid="{00000000-0005-0000-0000-0000FBC80000}"/>
    <cellStyle name="Normal 26 7 2 4 12" xfId="33594" xr:uid="{00000000-0005-0000-0000-0000FCC80000}"/>
    <cellStyle name="Normal 26 7 2 4 13" xfId="35277" xr:uid="{00000000-0005-0000-0000-0000FDC80000}"/>
    <cellStyle name="Normal 26 7 2 4 14" xfId="36960" xr:uid="{00000000-0005-0000-0000-0000FEC80000}"/>
    <cellStyle name="Normal 26 7 2 4 15" xfId="38643" xr:uid="{00000000-0005-0000-0000-0000FFC80000}"/>
    <cellStyle name="Normal 26 7 2 4 16" xfId="40326" xr:uid="{00000000-0005-0000-0000-000000C90000}"/>
    <cellStyle name="Normal 26 7 2 4 17" xfId="42009" xr:uid="{00000000-0005-0000-0000-000001C90000}"/>
    <cellStyle name="Normal 26 7 2 4 18" xfId="43692" xr:uid="{00000000-0005-0000-0000-000002C90000}"/>
    <cellStyle name="Normal 26 7 2 4 19" xfId="45375" xr:uid="{00000000-0005-0000-0000-000003C90000}"/>
    <cellStyle name="Normal 26 7 2 4 2" xfId="3296" xr:uid="{00000000-0005-0000-0000-000004C90000}"/>
    <cellStyle name="Normal 26 7 2 4 2 2" xfId="18445" xr:uid="{00000000-0005-0000-0000-000005C90000}"/>
    <cellStyle name="Normal 26 7 2 4 20" xfId="47058" xr:uid="{00000000-0005-0000-0000-000006C90000}"/>
    <cellStyle name="Normal 26 7 2 4 21" xfId="48741" xr:uid="{00000000-0005-0000-0000-000007C90000}"/>
    <cellStyle name="Normal 26 7 2 4 22" xfId="50424" xr:uid="{00000000-0005-0000-0000-000008C90000}"/>
    <cellStyle name="Normal 26 7 2 4 23" xfId="52107" xr:uid="{00000000-0005-0000-0000-000009C90000}"/>
    <cellStyle name="Normal 26 7 2 4 24" xfId="53790" xr:uid="{00000000-0005-0000-0000-00000AC90000}"/>
    <cellStyle name="Normal 26 7 2 4 25" xfId="55473" xr:uid="{00000000-0005-0000-0000-00000BC90000}"/>
    <cellStyle name="Normal 26 7 2 4 26" xfId="57156" xr:uid="{00000000-0005-0000-0000-00000CC90000}"/>
    <cellStyle name="Normal 26 7 2 4 27" xfId="58839" xr:uid="{00000000-0005-0000-0000-00000DC90000}"/>
    <cellStyle name="Normal 26 7 2 4 28" xfId="60522" xr:uid="{00000000-0005-0000-0000-00000EC90000}"/>
    <cellStyle name="Normal 26 7 2 4 29" xfId="62205" xr:uid="{00000000-0005-0000-0000-00000FC90000}"/>
    <cellStyle name="Normal 26 7 2 4 3" xfId="4980" xr:uid="{00000000-0005-0000-0000-000010C90000}"/>
    <cellStyle name="Normal 26 7 2 4 3 2" xfId="20129" xr:uid="{00000000-0005-0000-0000-000011C90000}"/>
    <cellStyle name="Normal 26 7 2 4 30" xfId="63888" xr:uid="{00000000-0005-0000-0000-000012C90000}"/>
    <cellStyle name="Normal 26 7 2 4 4" xfId="6663" xr:uid="{00000000-0005-0000-0000-000013C90000}"/>
    <cellStyle name="Normal 26 7 2 4 4 2" xfId="21812" xr:uid="{00000000-0005-0000-0000-000014C90000}"/>
    <cellStyle name="Normal 26 7 2 4 5" xfId="8346" xr:uid="{00000000-0005-0000-0000-000015C90000}"/>
    <cellStyle name="Normal 26 7 2 4 5 2" xfId="23495" xr:uid="{00000000-0005-0000-0000-000016C90000}"/>
    <cellStyle name="Normal 26 7 2 4 6" xfId="10029" xr:uid="{00000000-0005-0000-0000-000017C90000}"/>
    <cellStyle name="Normal 26 7 2 4 6 2" xfId="25178" xr:uid="{00000000-0005-0000-0000-000018C90000}"/>
    <cellStyle name="Normal 26 7 2 4 7" xfId="11712" xr:uid="{00000000-0005-0000-0000-000019C90000}"/>
    <cellStyle name="Normal 26 7 2 4 7 2" xfId="26861" xr:uid="{00000000-0005-0000-0000-00001AC90000}"/>
    <cellStyle name="Normal 26 7 2 4 8" xfId="13396" xr:uid="{00000000-0005-0000-0000-00001BC90000}"/>
    <cellStyle name="Normal 26 7 2 4 8 2" xfId="28545" xr:uid="{00000000-0005-0000-0000-00001CC90000}"/>
    <cellStyle name="Normal 26 7 2 4 9" xfId="15079" xr:uid="{00000000-0005-0000-0000-00001DC90000}"/>
    <cellStyle name="Normal 26 7 2 4 9 2" xfId="30228" xr:uid="{00000000-0005-0000-0000-00001EC90000}"/>
    <cellStyle name="Normal 26 7 2 5" xfId="2034" xr:uid="{00000000-0005-0000-0000-00001FC90000}"/>
    <cellStyle name="Normal 26 7 2 5 2" xfId="17183" xr:uid="{00000000-0005-0000-0000-000020C90000}"/>
    <cellStyle name="Normal 26 7 2 6" xfId="3718" xr:uid="{00000000-0005-0000-0000-000021C90000}"/>
    <cellStyle name="Normal 26 7 2 6 2" xfId="18867" xr:uid="{00000000-0005-0000-0000-000022C90000}"/>
    <cellStyle name="Normal 26 7 2 7" xfId="5401" xr:uid="{00000000-0005-0000-0000-000023C90000}"/>
    <cellStyle name="Normal 26 7 2 7 2" xfId="20550" xr:uid="{00000000-0005-0000-0000-000024C90000}"/>
    <cellStyle name="Normal 26 7 2 8" xfId="7084" xr:uid="{00000000-0005-0000-0000-000025C90000}"/>
    <cellStyle name="Normal 26 7 2 8 2" xfId="22233" xr:uid="{00000000-0005-0000-0000-000026C90000}"/>
    <cellStyle name="Normal 26 7 2 9" xfId="8767" xr:uid="{00000000-0005-0000-0000-000027C90000}"/>
    <cellStyle name="Normal 26 7 2 9 2" xfId="23916" xr:uid="{00000000-0005-0000-0000-000028C90000}"/>
    <cellStyle name="Normal 26 7 20" xfId="38854" xr:uid="{00000000-0005-0000-0000-000029C90000}"/>
    <cellStyle name="Normal 26 7 21" xfId="40537" xr:uid="{00000000-0005-0000-0000-00002AC90000}"/>
    <cellStyle name="Normal 26 7 22" xfId="42220" xr:uid="{00000000-0005-0000-0000-00002BC90000}"/>
    <cellStyle name="Normal 26 7 23" xfId="43903" xr:uid="{00000000-0005-0000-0000-00002CC90000}"/>
    <cellStyle name="Normal 26 7 24" xfId="45586" xr:uid="{00000000-0005-0000-0000-00002DC90000}"/>
    <cellStyle name="Normal 26 7 25" xfId="47269" xr:uid="{00000000-0005-0000-0000-00002EC90000}"/>
    <cellStyle name="Normal 26 7 26" xfId="48952" xr:uid="{00000000-0005-0000-0000-00002FC90000}"/>
    <cellStyle name="Normal 26 7 27" xfId="50635" xr:uid="{00000000-0005-0000-0000-000030C90000}"/>
    <cellStyle name="Normal 26 7 28" xfId="52318" xr:uid="{00000000-0005-0000-0000-000031C90000}"/>
    <cellStyle name="Normal 26 7 29" xfId="54001" xr:uid="{00000000-0005-0000-0000-000032C90000}"/>
    <cellStyle name="Normal 26 7 3" xfId="561" xr:uid="{00000000-0005-0000-0000-000033C90000}"/>
    <cellStyle name="Normal 26 7 3 10" xfId="15710" xr:uid="{00000000-0005-0000-0000-000034C90000}"/>
    <cellStyle name="Normal 26 7 3 11" xfId="30859" xr:uid="{00000000-0005-0000-0000-000035C90000}"/>
    <cellStyle name="Normal 26 7 3 12" xfId="32542" xr:uid="{00000000-0005-0000-0000-000036C90000}"/>
    <cellStyle name="Normal 26 7 3 13" xfId="34225" xr:uid="{00000000-0005-0000-0000-000037C90000}"/>
    <cellStyle name="Normal 26 7 3 14" xfId="35908" xr:uid="{00000000-0005-0000-0000-000038C90000}"/>
    <cellStyle name="Normal 26 7 3 15" xfId="37591" xr:uid="{00000000-0005-0000-0000-000039C90000}"/>
    <cellStyle name="Normal 26 7 3 16" xfId="39274" xr:uid="{00000000-0005-0000-0000-00003AC90000}"/>
    <cellStyle name="Normal 26 7 3 17" xfId="40957" xr:uid="{00000000-0005-0000-0000-00003BC90000}"/>
    <cellStyle name="Normal 26 7 3 18" xfId="42640" xr:uid="{00000000-0005-0000-0000-00003CC90000}"/>
    <cellStyle name="Normal 26 7 3 19" xfId="44323" xr:uid="{00000000-0005-0000-0000-00003DC90000}"/>
    <cellStyle name="Normal 26 7 3 2" xfId="2244" xr:uid="{00000000-0005-0000-0000-00003EC90000}"/>
    <cellStyle name="Normal 26 7 3 2 2" xfId="17393" xr:uid="{00000000-0005-0000-0000-00003FC90000}"/>
    <cellStyle name="Normal 26 7 3 20" xfId="46006" xr:uid="{00000000-0005-0000-0000-000040C90000}"/>
    <cellStyle name="Normal 26 7 3 21" xfId="47689" xr:uid="{00000000-0005-0000-0000-000041C90000}"/>
    <cellStyle name="Normal 26 7 3 22" xfId="49372" xr:uid="{00000000-0005-0000-0000-000042C90000}"/>
    <cellStyle name="Normal 26 7 3 23" xfId="51055" xr:uid="{00000000-0005-0000-0000-000043C90000}"/>
    <cellStyle name="Normal 26 7 3 24" xfId="52738" xr:uid="{00000000-0005-0000-0000-000044C90000}"/>
    <cellStyle name="Normal 26 7 3 25" xfId="54421" xr:uid="{00000000-0005-0000-0000-000045C90000}"/>
    <cellStyle name="Normal 26 7 3 26" xfId="56104" xr:uid="{00000000-0005-0000-0000-000046C90000}"/>
    <cellStyle name="Normal 26 7 3 27" xfId="57787" xr:uid="{00000000-0005-0000-0000-000047C90000}"/>
    <cellStyle name="Normal 26 7 3 28" xfId="59470" xr:uid="{00000000-0005-0000-0000-000048C90000}"/>
    <cellStyle name="Normal 26 7 3 29" xfId="61153" xr:uid="{00000000-0005-0000-0000-000049C90000}"/>
    <cellStyle name="Normal 26 7 3 3" xfId="3928" xr:uid="{00000000-0005-0000-0000-00004AC90000}"/>
    <cellStyle name="Normal 26 7 3 3 2" xfId="19077" xr:uid="{00000000-0005-0000-0000-00004BC90000}"/>
    <cellStyle name="Normal 26 7 3 30" xfId="62836" xr:uid="{00000000-0005-0000-0000-00004CC90000}"/>
    <cellStyle name="Normal 26 7 3 4" xfId="5611" xr:uid="{00000000-0005-0000-0000-00004DC90000}"/>
    <cellStyle name="Normal 26 7 3 4 2" xfId="20760" xr:uid="{00000000-0005-0000-0000-00004EC90000}"/>
    <cellStyle name="Normal 26 7 3 5" xfId="7294" xr:uid="{00000000-0005-0000-0000-00004FC90000}"/>
    <cellStyle name="Normal 26 7 3 5 2" xfId="22443" xr:uid="{00000000-0005-0000-0000-000050C90000}"/>
    <cellStyle name="Normal 26 7 3 6" xfId="8977" xr:uid="{00000000-0005-0000-0000-000051C90000}"/>
    <cellStyle name="Normal 26 7 3 6 2" xfId="24126" xr:uid="{00000000-0005-0000-0000-000052C90000}"/>
    <cellStyle name="Normal 26 7 3 7" xfId="10660" xr:uid="{00000000-0005-0000-0000-000053C90000}"/>
    <cellStyle name="Normal 26 7 3 7 2" xfId="25809" xr:uid="{00000000-0005-0000-0000-000054C90000}"/>
    <cellStyle name="Normal 26 7 3 8" xfId="12344" xr:uid="{00000000-0005-0000-0000-000055C90000}"/>
    <cellStyle name="Normal 26 7 3 8 2" xfId="27493" xr:uid="{00000000-0005-0000-0000-000056C90000}"/>
    <cellStyle name="Normal 26 7 3 9" xfId="14027" xr:uid="{00000000-0005-0000-0000-000057C90000}"/>
    <cellStyle name="Normal 26 7 3 9 2" xfId="29176" xr:uid="{00000000-0005-0000-0000-000058C90000}"/>
    <cellStyle name="Normal 26 7 30" xfId="55684" xr:uid="{00000000-0005-0000-0000-000059C90000}"/>
    <cellStyle name="Normal 26 7 31" xfId="57367" xr:uid="{00000000-0005-0000-0000-00005AC90000}"/>
    <cellStyle name="Normal 26 7 32" xfId="59050" xr:uid="{00000000-0005-0000-0000-00005BC90000}"/>
    <cellStyle name="Normal 26 7 33" xfId="60733" xr:uid="{00000000-0005-0000-0000-00005CC90000}"/>
    <cellStyle name="Normal 26 7 34" xfId="62416" xr:uid="{00000000-0005-0000-0000-00005DC90000}"/>
    <cellStyle name="Normal 26 7 4" xfId="982" xr:uid="{00000000-0005-0000-0000-00005EC90000}"/>
    <cellStyle name="Normal 26 7 4 10" xfId="16131" xr:uid="{00000000-0005-0000-0000-00005FC90000}"/>
    <cellStyle name="Normal 26 7 4 11" xfId="31280" xr:uid="{00000000-0005-0000-0000-000060C90000}"/>
    <cellStyle name="Normal 26 7 4 12" xfId="32963" xr:uid="{00000000-0005-0000-0000-000061C90000}"/>
    <cellStyle name="Normal 26 7 4 13" xfId="34646" xr:uid="{00000000-0005-0000-0000-000062C90000}"/>
    <cellStyle name="Normal 26 7 4 14" xfId="36329" xr:uid="{00000000-0005-0000-0000-000063C90000}"/>
    <cellStyle name="Normal 26 7 4 15" xfId="38012" xr:uid="{00000000-0005-0000-0000-000064C90000}"/>
    <cellStyle name="Normal 26 7 4 16" xfId="39695" xr:uid="{00000000-0005-0000-0000-000065C90000}"/>
    <cellStyle name="Normal 26 7 4 17" xfId="41378" xr:uid="{00000000-0005-0000-0000-000066C90000}"/>
    <cellStyle name="Normal 26 7 4 18" xfId="43061" xr:uid="{00000000-0005-0000-0000-000067C90000}"/>
    <cellStyle name="Normal 26 7 4 19" xfId="44744" xr:uid="{00000000-0005-0000-0000-000068C90000}"/>
    <cellStyle name="Normal 26 7 4 2" xfId="2665" xr:uid="{00000000-0005-0000-0000-000069C90000}"/>
    <cellStyle name="Normal 26 7 4 2 2" xfId="17814" xr:uid="{00000000-0005-0000-0000-00006AC90000}"/>
    <cellStyle name="Normal 26 7 4 20" xfId="46427" xr:uid="{00000000-0005-0000-0000-00006BC90000}"/>
    <cellStyle name="Normal 26 7 4 21" xfId="48110" xr:uid="{00000000-0005-0000-0000-00006CC90000}"/>
    <cellStyle name="Normal 26 7 4 22" xfId="49793" xr:uid="{00000000-0005-0000-0000-00006DC90000}"/>
    <cellStyle name="Normal 26 7 4 23" xfId="51476" xr:uid="{00000000-0005-0000-0000-00006EC90000}"/>
    <cellStyle name="Normal 26 7 4 24" xfId="53159" xr:uid="{00000000-0005-0000-0000-00006FC90000}"/>
    <cellStyle name="Normal 26 7 4 25" xfId="54842" xr:uid="{00000000-0005-0000-0000-000070C90000}"/>
    <cellStyle name="Normal 26 7 4 26" xfId="56525" xr:uid="{00000000-0005-0000-0000-000071C90000}"/>
    <cellStyle name="Normal 26 7 4 27" xfId="58208" xr:uid="{00000000-0005-0000-0000-000072C90000}"/>
    <cellStyle name="Normal 26 7 4 28" xfId="59891" xr:uid="{00000000-0005-0000-0000-000073C90000}"/>
    <cellStyle name="Normal 26 7 4 29" xfId="61574" xr:uid="{00000000-0005-0000-0000-000074C90000}"/>
    <cellStyle name="Normal 26 7 4 3" xfId="4349" xr:uid="{00000000-0005-0000-0000-000075C90000}"/>
    <cellStyle name="Normal 26 7 4 3 2" xfId="19498" xr:uid="{00000000-0005-0000-0000-000076C90000}"/>
    <cellStyle name="Normal 26 7 4 30" xfId="63257" xr:uid="{00000000-0005-0000-0000-000077C90000}"/>
    <cellStyle name="Normal 26 7 4 4" xfId="6032" xr:uid="{00000000-0005-0000-0000-000078C90000}"/>
    <cellStyle name="Normal 26 7 4 4 2" xfId="21181" xr:uid="{00000000-0005-0000-0000-000079C90000}"/>
    <cellStyle name="Normal 26 7 4 5" xfId="7715" xr:uid="{00000000-0005-0000-0000-00007AC90000}"/>
    <cellStyle name="Normal 26 7 4 5 2" xfId="22864" xr:uid="{00000000-0005-0000-0000-00007BC90000}"/>
    <cellStyle name="Normal 26 7 4 6" xfId="9398" xr:uid="{00000000-0005-0000-0000-00007CC90000}"/>
    <cellStyle name="Normal 26 7 4 6 2" xfId="24547" xr:uid="{00000000-0005-0000-0000-00007DC90000}"/>
    <cellStyle name="Normal 26 7 4 7" xfId="11081" xr:uid="{00000000-0005-0000-0000-00007EC90000}"/>
    <cellStyle name="Normal 26 7 4 7 2" xfId="26230" xr:uid="{00000000-0005-0000-0000-00007FC90000}"/>
    <cellStyle name="Normal 26 7 4 8" xfId="12765" xr:uid="{00000000-0005-0000-0000-000080C90000}"/>
    <cellStyle name="Normal 26 7 4 8 2" xfId="27914" xr:uid="{00000000-0005-0000-0000-000081C90000}"/>
    <cellStyle name="Normal 26 7 4 9" xfId="14448" xr:uid="{00000000-0005-0000-0000-000082C90000}"/>
    <cellStyle name="Normal 26 7 4 9 2" xfId="29597" xr:uid="{00000000-0005-0000-0000-000083C90000}"/>
    <cellStyle name="Normal 26 7 5" xfId="1403" xr:uid="{00000000-0005-0000-0000-000084C90000}"/>
    <cellStyle name="Normal 26 7 5 10" xfId="16552" xr:uid="{00000000-0005-0000-0000-000085C90000}"/>
    <cellStyle name="Normal 26 7 5 11" xfId="31701" xr:uid="{00000000-0005-0000-0000-000086C90000}"/>
    <cellStyle name="Normal 26 7 5 12" xfId="33384" xr:uid="{00000000-0005-0000-0000-000087C90000}"/>
    <cellStyle name="Normal 26 7 5 13" xfId="35067" xr:uid="{00000000-0005-0000-0000-000088C90000}"/>
    <cellStyle name="Normal 26 7 5 14" xfId="36750" xr:uid="{00000000-0005-0000-0000-000089C90000}"/>
    <cellStyle name="Normal 26 7 5 15" xfId="38433" xr:uid="{00000000-0005-0000-0000-00008AC90000}"/>
    <cellStyle name="Normal 26 7 5 16" xfId="40116" xr:uid="{00000000-0005-0000-0000-00008BC90000}"/>
    <cellStyle name="Normal 26 7 5 17" xfId="41799" xr:uid="{00000000-0005-0000-0000-00008CC90000}"/>
    <cellStyle name="Normal 26 7 5 18" xfId="43482" xr:uid="{00000000-0005-0000-0000-00008DC90000}"/>
    <cellStyle name="Normal 26 7 5 19" xfId="45165" xr:uid="{00000000-0005-0000-0000-00008EC90000}"/>
    <cellStyle name="Normal 26 7 5 2" xfId="3086" xr:uid="{00000000-0005-0000-0000-00008FC90000}"/>
    <cellStyle name="Normal 26 7 5 2 2" xfId="18235" xr:uid="{00000000-0005-0000-0000-000090C90000}"/>
    <cellStyle name="Normal 26 7 5 20" xfId="46848" xr:uid="{00000000-0005-0000-0000-000091C90000}"/>
    <cellStyle name="Normal 26 7 5 21" xfId="48531" xr:uid="{00000000-0005-0000-0000-000092C90000}"/>
    <cellStyle name="Normal 26 7 5 22" xfId="50214" xr:uid="{00000000-0005-0000-0000-000093C90000}"/>
    <cellStyle name="Normal 26 7 5 23" xfId="51897" xr:uid="{00000000-0005-0000-0000-000094C90000}"/>
    <cellStyle name="Normal 26 7 5 24" xfId="53580" xr:uid="{00000000-0005-0000-0000-000095C90000}"/>
    <cellStyle name="Normal 26 7 5 25" xfId="55263" xr:uid="{00000000-0005-0000-0000-000096C90000}"/>
    <cellStyle name="Normal 26 7 5 26" xfId="56946" xr:uid="{00000000-0005-0000-0000-000097C90000}"/>
    <cellStyle name="Normal 26 7 5 27" xfId="58629" xr:uid="{00000000-0005-0000-0000-000098C90000}"/>
    <cellStyle name="Normal 26 7 5 28" xfId="60312" xr:uid="{00000000-0005-0000-0000-000099C90000}"/>
    <cellStyle name="Normal 26 7 5 29" xfId="61995" xr:uid="{00000000-0005-0000-0000-00009AC90000}"/>
    <cellStyle name="Normal 26 7 5 3" xfId="4770" xr:uid="{00000000-0005-0000-0000-00009BC90000}"/>
    <cellStyle name="Normal 26 7 5 3 2" xfId="19919" xr:uid="{00000000-0005-0000-0000-00009CC90000}"/>
    <cellStyle name="Normal 26 7 5 30" xfId="63678" xr:uid="{00000000-0005-0000-0000-00009DC90000}"/>
    <cellStyle name="Normal 26 7 5 4" xfId="6453" xr:uid="{00000000-0005-0000-0000-00009EC90000}"/>
    <cellStyle name="Normal 26 7 5 4 2" xfId="21602" xr:uid="{00000000-0005-0000-0000-00009FC90000}"/>
    <cellStyle name="Normal 26 7 5 5" xfId="8136" xr:uid="{00000000-0005-0000-0000-0000A0C90000}"/>
    <cellStyle name="Normal 26 7 5 5 2" xfId="23285" xr:uid="{00000000-0005-0000-0000-0000A1C90000}"/>
    <cellStyle name="Normal 26 7 5 6" xfId="9819" xr:uid="{00000000-0005-0000-0000-0000A2C90000}"/>
    <cellStyle name="Normal 26 7 5 6 2" xfId="24968" xr:uid="{00000000-0005-0000-0000-0000A3C90000}"/>
    <cellStyle name="Normal 26 7 5 7" xfId="11502" xr:uid="{00000000-0005-0000-0000-0000A4C90000}"/>
    <cellStyle name="Normal 26 7 5 7 2" xfId="26651" xr:uid="{00000000-0005-0000-0000-0000A5C90000}"/>
    <cellStyle name="Normal 26 7 5 8" xfId="13186" xr:uid="{00000000-0005-0000-0000-0000A6C90000}"/>
    <cellStyle name="Normal 26 7 5 8 2" xfId="28335" xr:uid="{00000000-0005-0000-0000-0000A7C90000}"/>
    <cellStyle name="Normal 26 7 5 9" xfId="14869" xr:uid="{00000000-0005-0000-0000-0000A8C90000}"/>
    <cellStyle name="Normal 26 7 5 9 2" xfId="30018" xr:uid="{00000000-0005-0000-0000-0000A9C90000}"/>
    <cellStyle name="Normal 26 7 6" xfId="1824" xr:uid="{00000000-0005-0000-0000-0000AAC90000}"/>
    <cellStyle name="Normal 26 7 6 2" xfId="16973" xr:uid="{00000000-0005-0000-0000-0000ABC90000}"/>
    <cellStyle name="Normal 26 7 7" xfId="3508" xr:uid="{00000000-0005-0000-0000-0000ACC90000}"/>
    <cellStyle name="Normal 26 7 7 2" xfId="18657" xr:uid="{00000000-0005-0000-0000-0000ADC90000}"/>
    <cellStyle name="Normal 26 7 8" xfId="5191" xr:uid="{00000000-0005-0000-0000-0000AEC90000}"/>
    <cellStyle name="Normal 26 7 8 2" xfId="20340" xr:uid="{00000000-0005-0000-0000-0000AFC90000}"/>
    <cellStyle name="Normal 26 7 9" xfId="6874" xr:uid="{00000000-0005-0000-0000-0000B0C90000}"/>
    <cellStyle name="Normal 26 7 9 2" xfId="22023" xr:uid="{00000000-0005-0000-0000-0000B1C90000}"/>
    <cellStyle name="Normal 26 8" xfId="246" xr:uid="{00000000-0005-0000-0000-0000B2C90000}"/>
    <cellStyle name="Normal 26 8 10" xfId="10345" xr:uid="{00000000-0005-0000-0000-0000B3C90000}"/>
    <cellStyle name="Normal 26 8 10 2" xfId="25494" xr:uid="{00000000-0005-0000-0000-0000B4C90000}"/>
    <cellStyle name="Normal 26 8 11" xfId="12029" xr:uid="{00000000-0005-0000-0000-0000B5C90000}"/>
    <cellStyle name="Normal 26 8 11 2" xfId="27178" xr:uid="{00000000-0005-0000-0000-0000B6C90000}"/>
    <cellStyle name="Normal 26 8 12" xfId="13712" xr:uid="{00000000-0005-0000-0000-0000B7C90000}"/>
    <cellStyle name="Normal 26 8 12 2" xfId="28861" xr:uid="{00000000-0005-0000-0000-0000B8C90000}"/>
    <cellStyle name="Normal 26 8 13" xfId="15395" xr:uid="{00000000-0005-0000-0000-0000B9C90000}"/>
    <cellStyle name="Normal 26 8 14" xfId="30544" xr:uid="{00000000-0005-0000-0000-0000BAC90000}"/>
    <cellStyle name="Normal 26 8 15" xfId="32227" xr:uid="{00000000-0005-0000-0000-0000BBC90000}"/>
    <cellStyle name="Normal 26 8 16" xfId="33910" xr:uid="{00000000-0005-0000-0000-0000BCC90000}"/>
    <cellStyle name="Normal 26 8 17" xfId="35593" xr:uid="{00000000-0005-0000-0000-0000BDC90000}"/>
    <cellStyle name="Normal 26 8 18" xfId="37276" xr:uid="{00000000-0005-0000-0000-0000BEC90000}"/>
    <cellStyle name="Normal 26 8 19" xfId="38959" xr:uid="{00000000-0005-0000-0000-0000BFC90000}"/>
    <cellStyle name="Normal 26 8 2" xfId="666" xr:uid="{00000000-0005-0000-0000-0000C0C90000}"/>
    <cellStyle name="Normal 26 8 2 10" xfId="15815" xr:uid="{00000000-0005-0000-0000-0000C1C90000}"/>
    <cellStyle name="Normal 26 8 2 11" xfId="30964" xr:uid="{00000000-0005-0000-0000-0000C2C90000}"/>
    <cellStyle name="Normal 26 8 2 12" xfId="32647" xr:uid="{00000000-0005-0000-0000-0000C3C90000}"/>
    <cellStyle name="Normal 26 8 2 13" xfId="34330" xr:uid="{00000000-0005-0000-0000-0000C4C90000}"/>
    <cellStyle name="Normal 26 8 2 14" xfId="36013" xr:uid="{00000000-0005-0000-0000-0000C5C90000}"/>
    <cellStyle name="Normal 26 8 2 15" xfId="37696" xr:uid="{00000000-0005-0000-0000-0000C6C90000}"/>
    <cellStyle name="Normal 26 8 2 16" xfId="39379" xr:uid="{00000000-0005-0000-0000-0000C7C90000}"/>
    <cellStyle name="Normal 26 8 2 17" xfId="41062" xr:uid="{00000000-0005-0000-0000-0000C8C90000}"/>
    <cellStyle name="Normal 26 8 2 18" xfId="42745" xr:uid="{00000000-0005-0000-0000-0000C9C90000}"/>
    <cellStyle name="Normal 26 8 2 19" xfId="44428" xr:uid="{00000000-0005-0000-0000-0000CAC90000}"/>
    <cellStyle name="Normal 26 8 2 2" xfId="2349" xr:uid="{00000000-0005-0000-0000-0000CBC90000}"/>
    <cellStyle name="Normal 26 8 2 2 2" xfId="17498" xr:uid="{00000000-0005-0000-0000-0000CCC90000}"/>
    <cellStyle name="Normal 26 8 2 20" xfId="46111" xr:uid="{00000000-0005-0000-0000-0000CDC90000}"/>
    <cellStyle name="Normal 26 8 2 21" xfId="47794" xr:uid="{00000000-0005-0000-0000-0000CEC90000}"/>
    <cellStyle name="Normal 26 8 2 22" xfId="49477" xr:uid="{00000000-0005-0000-0000-0000CFC90000}"/>
    <cellStyle name="Normal 26 8 2 23" xfId="51160" xr:uid="{00000000-0005-0000-0000-0000D0C90000}"/>
    <cellStyle name="Normal 26 8 2 24" xfId="52843" xr:uid="{00000000-0005-0000-0000-0000D1C90000}"/>
    <cellStyle name="Normal 26 8 2 25" xfId="54526" xr:uid="{00000000-0005-0000-0000-0000D2C90000}"/>
    <cellStyle name="Normal 26 8 2 26" xfId="56209" xr:uid="{00000000-0005-0000-0000-0000D3C90000}"/>
    <cellStyle name="Normal 26 8 2 27" xfId="57892" xr:uid="{00000000-0005-0000-0000-0000D4C90000}"/>
    <cellStyle name="Normal 26 8 2 28" xfId="59575" xr:uid="{00000000-0005-0000-0000-0000D5C90000}"/>
    <cellStyle name="Normal 26 8 2 29" xfId="61258" xr:uid="{00000000-0005-0000-0000-0000D6C90000}"/>
    <cellStyle name="Normal 26 8 2 3" xfId="4033" xr:uid="{00000000-0005-0000-0000-0000D7C90000}"/>
    <cellStyle name="Normal 26 8 2 3 2" xfId="19182" xr:uid="{00000000-0005-0000-0000-0000D8C90000}"/>
    <cellStyle name="Normal 26 8 2 30" xfId="62941" xr:uid="{00000000-0005-0000-0000-0000D9C90000}"/>
    <cellStyle name="Normal 26 8 2 4" xfId="5716" xr:uid="{00000000-0005-0000-0000-0000DAC90000}"/>
    <cellStyle name="Normal 26 8 2 4 2" xfId="20865" xr:uid="{00000000-0005-0000-0000-0000DBC90000}"/>
    <cellStyle name="Normal 26 8 2 5" xfId="7399" xr:uid="{00000000-0005-0000-0000-0000DCC90000}"/>
    <cellStyle name="Normal 26 8 2 5 2" xfId="22548" xr:uid="{00000000-0005-0000-0000-0000DDC90000}"/>
    <cellStyle name="Normal 26 8 2 6" xfId="9082" xr:uid="{00000000-0005-0000-0000-0000DEC90000}"/>
    <cellStyle name="Normal 26 8 2 6 2" xfId="24231" xr:uid="{00000000-0005-0000-0000-0000DFC90000}"/>
    <cellStyle name="Normal 26 8 2 7" xfId="10765" xr:uid="{00000000-0005-0000-0000-0000E0C90000}"/>
    <cellStyle name="Normal 26 8 2 7 2" xfId="25914" xr:uid="{00000000-0005-0000-0000-0000E1C90000}"/>
    <cellStyle name="Normal 26 8 2 8" xfId="12449" xr:uid="{00000000-0005-0000-0000-0000E2C90000}"/>
    <cellStyle name="Normal 26 8 2 8 2" xfId="27598" xr:uid="{00000000-0005-0000-0000-0000E3C90000}"/>
    <cellStyle name="Normal 26 8 2 9" xfId="14132" xr:uid="{00000000-0005-0000-0000-0000E4C90000}"/>
    <cellStyle name="Normal 26 8 2 9 2" xfId="29281" xr:uid="{00000000-0005-0000-0000-0000E5C90000}"/>
    <cellStyle name="Normal 26 8 20" xfId="40642" xr:uid="{00000000-0005-0000-0000-0000E6C90000}"/>
    <cellStyle name="Normal 26 8 21" xfId="42325" xr:uid="{00000000-0005-0000-0000-0000E7C90000}"/>
    <cellStyle name="Normal 26 8 22" xfId="44008" xr:uid="{00000000-0005-0000-0000-0000E8C90000}"/>
    <cellStyle name="Normal 26 8 23" xfId="45691" xr:uid="{00000000-0005-0000-0000-0000E9C90000}"/>
    <cellStyle name="Normal 26 8 24" xfId="47374" xr:uid="{00000000-0005-0000-0000-0000EAC90000}"/>
    <cellStyle name="Normal 26 8 25" xfId="49057" xr:uid="{00000000-0005-0000-0000-0000EBC90000}"/>
    <cellStyle name="Normal 26 8 26" xfId="50740" xr:uid="{00000000-0005-0000-0000-0000ECC90000}"/>
    <cellStyle name="Normal 26 8 27" xfId="52423" xr:uid="{00000000-0005-0000-0000-0000EDC90000}"/>
    <cellStyle name="Normal 26 8 28" xfId="54106" xr:uid="{00000000-0005-0000-0000-0000EEC90000}"/>
    <cellStyle name="Normal 26 8 29" xfId="55789" xr:uid="{00000000-0005-0000-0000-0000EFC90000}"/>
    <cellStyle name="Normal 26 8 3" xfId="1087" xr:uid="{00000000-0005-0000-0000-0000F0C90000}"/>
    <cellStyle name="Normal 26 8 3 10" xfId="16236" xr:uid="{00000000-0005-0000-0000-0000F1C90000}"/>
    <cellStyle name="Normal 26 8 3 11" xfId="31385" xr:uid="{00000000-0005-0000-0000-0000F2C90000}"/>
    <cellStyle name="Normal 26 8 3 12" xfId="33068" xr:uid="{00000000-0005-0000-0000-0000F3C90000}"/>
    <cellStyle name="Normal 26 8 3 13" xfId="34751" xr:uid="{00000000-0005-0000-0000-0000F4C90000}"/>
    <cellStyle name="Normal 26 8 3 14" xfId="36434" xr:uid="{00000000-0005-0000-0000-0000F5C90000}"/>
    <cellStyle name="Normal 26 8 3 15" xfId="38117" xr:uid="{00000000-0005-0000-0000-0000F6C90000}"/>
    <cellStyle name="Normal 26 8 3 16" xfId="39800" xr:uid="{00000000-0005-0000-0000-0000F7C90000}"/>
    <cellStyle name="Normal 26 8 3 17" xfId="41483" xr:uid="{00000000-0005-0000-0000-0000F8C90000}"/>
    <cellStyle name="Normal 26 8 3 18" xfId="43166" xr:uid="{00000000-0005-0000-0000-0000F9C90000}"/>
    <cellStyle name="Normal 26 8 3 19" xfId="44849" xr:uid="{00000000-0005-0000-0000-0000FAC90000}"/>
    <cellStyle name="Normal 26 8 3 2" xfId="2770" xr:uid="{00000000-0005-0000-0000-0000FBC90000}"/>
    <cellStyle name="Normal 26 8 3 2 2" xfId="17919" xr:uid="{00000000-0005-0000-0000-0000FCC90000}"/>
    <cellStyle name="Normal 26 8 3 20" xfId="46532" xr:uid="{00000000-0005-0000-0000-0000FDC90000}"/>
    <cellStyle name="Normal 26 8 3 21" xfId="48215" xr:uid="{00000000-0005-0000-0000-0000FEC90000}"/>
    <cellStyle name="Normal 26 8 3 22" xfId="49898" xr:uid="{00000000-0005-0000-0000-0000FFC90000}"/>
    <cellStyle name="Normal 26 8 3 23" xfId="51581" xr:uid="{00000000-0005-0000-0000-000000CA0000}"/>
    <cellStyle name="Normal 26 8 3 24" xfId="53264" xr:uid="{00000000-0005-0000-0000-000001CA0000}"/>
    <cellStyle name="Normal 26 8 3 25" xfId="54947" xr:uid="{00000000-0005-0000-0000-000002CA0000}"/>
    <cellStyle name="Normal 26 8 3 26" xfId="56630" xr:uid="{00000000-0005-0000-0000-000003CA0000}"/>
    <cellStyle name="Normal 26 8 3 27" xfId="58313" xr:uid="{00000000-0005-0000-0000-000004CA0000}"/>
    <cellStyle name="Normal 26 8 3 28" xfId="59996" xr:uid="{00000000-0005-0000-0000-000005CA0000}"/>
    <cellStyle name="Normal 26 8 3 29" xfId="61679" xr:uid="{00000000-0005-0000-0000-000006CA0000}"/>
    <cellStyle name="Normal 26 8 3 3" xfId="4454" xr:uid="{00000000-0005-0000-0000-000007CA0000}"/>
    <cellStyle name="Normal 26 8 3 3 2" xfId="19603" xr:uid="{00000000-0005-0000-0000-000008CA0000}"/>
    <cellStyle name="Normal 26 8 3 30" xfId="63362" xr:uid="{00000000-0005-0000-0000-000009CA0000}"/>
    <cellStyle name="Normal 26 8 3 4" xfId="6137" xr:uid="{00000000-0005-0000-0000-00000ACA0000}"/>
    <cellStyle name="Normal 26 8 3 4 2" xfId="21286" xr:uid="{00000000-0005-0000-0000-00000BCA0000}"/>
    <cellStyle name="Normal 26 8 3 5" xfId="7820" xr:uid="{00000000-0005-0000-0000-00000CCA0000}"/>
    <cellStyle name="Normal 26 8 3 5 2" xfId="22969" xr:uid="{00000000-0005-0000-0000-00000DCA0000}"/>
    <cellStyle name="Normal 26 8 3 6" xfId="9503" xr:uid="{00000000-0005-0000-0000-00000ECA0000}"/>
    <cellStyle name="Normal 26 8 3 6 2" xfId="24652" xr:uid="{00000000-0005-0000-0000-00000FCA0000}"/>
    <cellStyle name="Normal 26 8 3 7" xfId="11186" xr:uid="{00000000-0005-0000-0000-000010CA0000}"/>
    <cellStyle name="Normal 26 8 3 7 2" xfId="26335" xr:uid="{00000000-0005-0000-0000-000011CA0000}"/>
    <cellStyle name="Normal 26 8 3 8" xfId="12870" xr:uid="{00000000-0005-0000-0000-000012CA0000}"/>
    <cellStyle name="Normal 26 8 3 8 2" xfId="28019" xr:uid="{00000000-0005-0000-0000-000013CA0000}"/>
    <cellStyle name="Normal 26 8 3 9" xfId="14553" xr:uid="{00000000-0005-0000-0000-000014CA0000}"/>
    <cellStyle name="Normal 26 8 3 9 2" xfId="29702" xr:uid="{00000000-0005-0000-0000-000015CA0000}"/>
    <cellStyle name="Normal 26 8 30" xfId="57472" xr:uid="{00000000-0005-0000-0000-000016CA0000}"/>
    <cellStyle name="Normal 26 8 31" xfId="59155" xr:uid="{00000000-0005-0000-0000-000017CA0000}"/>
    <cellStyle name="Normal 26 8 32" xfId="60838" xr:uid="{00000000-0005-0000-0000-000018CA0000}"/>
    <cellStyle name="Normal 26 8 33" xfId="62521" xr:uid="{00000000-0005-0000-0000-000019CA0000}"/>
    <cellStyle name="Normal 26 8 4" xfId="1508" xr:uid="{00000000-0005-0000-0000-00001ACA0000}"/>
    <cellStyle name="Normal 26 8 4 10" xfId="16657" xr:uid="{00000000-0005-0000-0000-00001BCA0000}"/>
    <cellStyle name="Normal 26 8 4 11" xfId="31806" xr:uid="{00000000-0005-0000-0000-00001CCA0000}"/>
    <cellStyle name="Normal 26 8 4 12" xfId="33489" xr:uid="{00000000-0005-0000-0000-00001DCA0000}"/>
    <cellStyle name="Normal 26 8 4 13" xfId="35172" xr:uid="{00000000-0005-0000-0000-00001ECA0000}"/>
    <cellStyle name="Normal 26 8 4 14" xfId="36855" xr:uid="{00000000-0005-0000-0000-00001FCA0000}"/>
    <cellStyle name="Normal 26 8 4 15" xfId="38538" xr:uid="{00000000-0005-0000-0000-000020CA0000}"/>
    <cellStyle name="Normal 26 8 4 16" xfId="40221" xr:uid="{00000000-0005-0000-0000-000021CA0000}"/>
    <cellStyle name="Normal 26 8 4 17" xfId="41904" xr:uid="{00000000-0005-0000-0000-000022CA0000}"/>
    <cellStyle name="Normal 26 8 4 18" xfId="43587" xr:uid="{00000000-0005-0000-0000-000023CA0000}"/>
    <cellStyle name="Normal 26 8 4 19" xfId="45270" xr:uid="{00000000-0005-0000-0000-000024CA0000}"/>
    <cellStyle name="Normal 26 8 4 2" xfId="3191" xr:uid="{00000000-0005-0000-0000-000025CA0000}"/>
    <cellStyle name="Normal 26 8 4 2 2" xfId="18340" xr:uid="{00000000-0005-0000-0000-000026CA0000}"/>
    <cellStyle name="Normal 26 8 4 20" xfId="46953" xr:uid="{00000000-0005-0000-0000-000027CA0000}"/>
    <cellStyle name="Normal 26 8 4 21" xfId="48636" xr:uid="{00000000-0005-0000-0000-000028CA0000}"/>
    <cellStyle name="Normal 26 8 4 22" xfId="50319" xr:uid="{00000000-0005-0000-0000-000029CA0000}"/>
    <cellStyle name="Normal 26 8 4 23" xfId="52002" xr:uid="{00000000-0005-0000-0000-00002ACA0000}"/>
    <cellStyle name="Normal 26 8 4 24" xfId="53685" xr:uid="{00000000-0005-0000-0000-00002BCA0000}"/>
    <cellStyle name="Normal 26 8 4 25" xfId="55368" xr:uid="{00000000-0005-0000-0000-00002CCA0000}"/>
    <cellStyle name="Normal 26 8 4 26" xfId="57051" xr:uid="{00000000-0005-0000-0000-00002DCA0000}"/>
    <cellStyle name="Normal 26 8 4 27" xfId="58734" xr:uid="{00000000-0005-0000-0000-00002ECA0000}"/>
    <cellStyle name="Normal 26 8 4 28" xfId="60417" xr:uid="{00000000-0005-0000-0000-00002FCA0000}"/>
    <cellStyle name="Normal 26 8 4 29" xfId="62100" xr:uid="{00000000-0005-0000-0000-000030CA0000}"/>
    <cellStyle name="Normal 26 8 4 3" xfId="4875" xr:uid="{00000000-0005-0000-0000-000031CA0000}"/>
    <cellStyle name="Normal 26 8 4 3 2" xfId="20024" xr:uid="{00000000-0005-0000-0000-000032CA0000}"/>
    <cellStyle name="Normal 26 8 4 30" xfId="63783" xr:uid="{00000000-0005-0000-0000-000033CA0000}"/>
    <cellStyle name="Normal 26 8 4 4" xfId="6558" xr:uid="{00000000-0005-0000-0000-000034CA0000}"/>
    <cellStyle name="Normal 26 8 4 4 2" xfId="21707" xr:uid="{00000000-0005-0000-0000-000035CA0000}"/>
    <cellStyle name="Normal 26 8 4 5" xfId="8241" xr:uid="{00000000-0005-0000-0000-000036CA0000}"/>
    <cellStyle name="Normal 26 8 4 5 2" xfId="23390" xr:uid="{00000000-0005-0000-0000-000037CA0000}"/>
    <cellStyle name="Normal 26 8 4 6" xfId="9924" xr:uid="{00000000-0005-0000-0000-000038CA0000}"/>
    <cellStyle name="Normal 26 8 4 6 2" xfId="25073" xr:uid="{00000000-0005-0000-0000-000039CA0000}"/>
    <cellStyle name="Normal 26 8 4 7" xfId="11607" xr:uid="{00000000-0005-0000-0000-00003ACA0000}"/>
    <cellStyle name="Normal 26 8 4 7 2" xfId="26756" xr:uid="{00000000-0005-0000-0000-00003BCA0000}"/>
    <cellStyle name="Normal 26 8 4 8" xfId="13291" xr:uid="{00000000-0005-0000-0000-00003CCA0000}"/>
    <cellStyle name="Normal 26 8 4 8 2" xfId="28440" xr:uid="{00000000-0005-0000-0000-00003DCA0000}"/>
    <cellStyle name="Normal 26 8 4 9" xfId="14974" xr:uid="{00000000-0005-0000-0000-00003ECA0000}"/>
    <cellStyle name="Normal 26 8 4 9 2" xfId="30123" xr:uid="{00000000-0005-0000-0000-00003FCA0000}"/>
    <cellStyle name="Normal 26 8 5" xfId="1929" xr:uid="{00000000-0005-0000-0000-000040CA0000}"/>
    <cellStyle name="Normal 26 8 5 2" xfId="17078" xr:uid="{00000000-0005-0000-0000-000041CA0000}"/>
    <cellStyle name="Normal 26 8 6" xfId="3613" xr:uid="{00000000-0005-0000-0000-000042CA0000}"/>
    <cellStyle name="Normal 26 8 6 2" xfId="18762" xr:uid="{00000000-0005-0000-0000-000043CA0000}"/>
    <cellStyle name="Normal 26 8 7" xfId="5296" xr:uid="{00000000-0005-0000-0000-000044CA0000}"/>
    <cellStyle name="Normal 26 8 7 2" xfId="20445" xr:uid="{00000000-0005-0000-0000-000045CA0000}"/>
    <cellStyle name="Normal 26 8 8" xfId="6979" xr:uid="{00000000-0005-0000-0000-000046CA0000}"/>
    <cellStyle name="Normal 26 8 8 2" xfId="22128" xr:uid="{00000000-0005-0000-0000-000047CA0000}"/>
    <cellStyle name="Normal 26 8 9" xfId="8662" xr:uid="{00000000-0005-0000-0000-000048CA0000}"/>
    <cellStyle name="Normal 26 8 9 2" xfId="23811" xr:uid="{00000000-0005-0000-0000-000049CA0000}"/>
    <cellStyle name="Normal 26 9" xfId="456" xr:uid="{00000000-0005-0000-0000-00004ACA0000}"/>
    <cellStyle name="Normal 26 9 10" xfId="15605" xr:uid="{00000000-0005-0000-0000-00004BCA0000}"/>
    <cellStyle name="Normal 26 9 11" xfId="30754" xr:uid="{00000000-0005-0000-0000-00004CCA0000}"/>
    <cellStyle name="Normal 26 9 12" xfId="32437" xr:uid="{00000000-0005-0000-0000-00004DCA0000}"/>
    <cellStyle name="Normal 26 9 13" xfId="34120" xr:uid="{00000000-0005-0000-0000-00004ECA0000}"/>
    <cellStyle name="Normal 26 9 14" xfId="35803" xr:uid="{00000000-0005-0000-0000-00004FCA0000}"/>
    <cellStyle name="Normal 26 9 15" xfId="37486" xr:uid="{00000000-0005-0000-0000-000050CA0000}"/>
    <cellStyle name="Normal 26 9 16" xfId="39169" xr:uid="{00000000-0005-0000-0000-000051CA0000}"/>
    <cellStyle name="Normal 26 9 17" xfId="40852" xr:uid="{00000000-0005-0000-0000-000052CA0000}"/>
    <cellStyle name="Normal 26 9 18" xfId="42535" xr:uid="{00000000-0005-0000-0000-000053CA0000}"/>
    <cellStyle name="Normal 26 9 19" xfId="44218" xr:uid="{00000000-0005-0000-0000-000054CA0000}"/>
    <cellStyle name="Normal 26 9 2" xfId="2139" xr:uid="{00000000-0005-0000-0000-000055CA0000}"/>
    <cellStyle name="Normal 26 9 2 2" xfId="17288" xr:uid="{00000000-0005-0000-0000-000056CA0000}"/>
    <cellStyle name="Normal 26 9 20" xfId="45901" xr:uid="{00000000-0005-0000-0000-000057CA0000}"/>
    <cellStyle name="Normal 26 9 21" xfId="47584" xr:uid="{00000000-0005-0000-0000-000058CA0000}"/>
    <cellStyle name="Normal 26 9 22" xfId="49267" xr:uid="{00000000-0005-0000-0000-000059CA0000}"/>
    <cellStyle name="Normal 26 9 23" xfId="50950" xr:uid="{00000000-0005-0000-0000-00005ACA0000}"/>
    <cellStyle name="Normal 26 9 24" xfId="52633" xr:uid="{00000000-0005-0000-0000-00005BCA0000}"/>
    <cellStyle name="Normal 26 9 25" xfId="54316" xr:uid="{00000000-0005-0000-0000-00005CCA0000}"/>
    <cellStyle name="Normal 26 9 26" xfId="55999" xr:uid="{00000000-0005-0000-0000-00005DCA0000}"/>
    <cellStyle name="Normal 26 9 27" xfId="57682" xr:uid="{00000000-0005-0000-0000-00005ECA0000}"/>
    <cellStyle name="Normal 26 9 28" xfId="59365" xr:uid="{00000000-0005-0000-0000-00005FCA0000}"/>
    <cellStyle name="Normal 26 9 29" xfId="61048" xr:uid="{00000000-0005-0000-0000-000060CA0000}"/>
    <cellStyle name="Normal 26 9 3" xfId="3823" xr:uid="{00000000-0005-0000-0000-000061CA0000}"/>
    <cellStyle name="Normal 26 9 3 2" xfId="18972" xr:uid="{00000000-0005-0000-0000-000062CA0000}"/>
    <cellStyle name="Normal 26 9 30" xfId="62731" xr:uid="{00000000-0005-0000-0000-000063CA0000}"/>
    <cellStyle name="Normal 26 9 4" xfId="5506" xr:uid="{00000000-0005-0000-0000-000064CA0000}"/>
    <cellStyle name="Normal 26 9 4 2" xfId="20655" xr:uid="{00000000-0005-0000-0000-000065CA0000}"/>
    <cellStyle name="Normal 26 9 5" xfId="7189" xr:uid="{00000000-0005-0000-0000-000066CA0000}"/>
    <cellStyle name="Normal 26 9 5 2" xfId="22338" xr:uid="{00000000-0005-0000-0000-000067CA0000}"/>
    <cellStyle name="Normal 26 9 6" xfId="8872" xr:uid="{00000000-0005-0000-0000-000068CA0000}"/>
    <cellStyle name="Normal 26 9 6 2" xfId="24021" xr:uid="{00000000-0005-0000-0000-000069CA0000}"/>
    <cellStyle name="Normal 26 9 7" xfId="10555" xr:uid="{00000000-0005-0000-0000-00006ACA0000}"/>
    <cellStyle name="Normal 26 9 7 2" xfId="25704" xr:uid="{00000000-0005-0000-0000-00006BCA0000}"/>
    <cellStyle name="Normal 26 9 8" xfId="12239" xr:uid="{00000000-0005-0000-0000-00006CCA0000}"/>
    <cellStyle name="Normal 26 9 8 2" xfId="27388" xr:uid="{00000000-0005-0000-0000-00006DCA0000}"/>
    <cellStyle name="Normal 26 9 9" xfId="13922" xr:uid="{00000000-0005-0000-0000-00006ECA0000}"/>
    <cellStyle name="Normal 26 9 9 2" xfId="29071" xr:uid="{00000000-0005-0000-0000-00006FCA0000}"/>
    <cellStyle name="Normal 27" xfId="10" xr:uid="{00000000-0005-0000-0000-000070CA0000}"/>
    <cellStyle name="Normal 27 2" xfId="17" xr:uid="{00000000-0005-0000-0000-000071CA0000}"/>
    <cellStyle name="Normal 3" xfId="11" xr:uid="{00000000-0005-0000-0000-000072CA0000}"/>
    <cellStyle name="Normal 38" xfId="12" xr:uid="{00000000-0005-0000-0000-000073CA0000}"/>
    <cellStyle name="Normal 38 10" xfId="6771" xr:uid="{00000000-0005-0000-0000-000074CA0000}"/>
    <cellStyle name="Normal 38 10 2" xfId="21920" xr:uid="{00000000-0005-0000-0000-000075CA0000}"/>
    <cellStyle name="Normal 38 11" xfId="8454" xr:uid="{00000000-0005-0000-0000-000076CA0000}"/>
    <cellStyle name="Normal 38 11 2" xfId="23603" xr:uid="{00000000-0005-0000-0000-000077CA0000}"/>
    <cellStyle name="Normal 38 12" xfId="10137" xr:uid="{00000000-0005-0000-0000-000078CA0000}"/>
    <cellStyle name="Normal 38 12 2" xfId="25286" xr:uid="{00000000-0005-0000-0000-000079CA0000}"/>
    <cellStyle name="Normal 38 13" xfId="11821" xr:uid="{00000000-0005-0000-0000-00007ACA0000}"/>
    <cellStyle name="Normal 38 13 2" xfId="26970" xr:uid="{00000000-0005-0000-0000-00007BCA0000}"/>
    <cellStyle name="Normal 38 14" xfId="13504" xr:uid="{00000000-0005-0000-0000-00007CCA0000}"/>
    <cellStyle name="Normal 38 14 2" xfId="28653" xr:uid="{00000000-0005-0000-0000-00007DCA0000}"/>
    <cellStyle name="Normal 38 15" xfId="15187" xr:uid="{00000000-0005-0000-0000-00007ECA0000}"/>
    <cellStyle name="Normal 38 16" xfId="30336" xr:uid="{00000000-0005-0000-0000-00007FCA0000}"/>
    <cellStyle name="Normal 38 17" xfId="32019" xr:uid="{00000000-0005-0000-0000-000080CA0000}"/>
    <cellStyle name="Normal 38 18" xfId="33702" xr:uid="{00000000-0005-0000-0000-000081CA0000}"/>
    <cellStyle name="Normal 38 19" xfId="35385" xr:uid="{00000000-0005-0000-0000-000082CA0000}"/>
    <cellStyle name="Normal 38 2" xfId="143" xr:uid="{00000000-0005-0000-0000-000083CA0000}"/>
    <cellStyle name="Normal 38 2 10" xfId="8559" xr:uid="{00000000-0005-0000-0000-000084CA0000}"/>
    <cellStyle name="Normal 38 2 10 2" xfId="23708" xr:uid="{00000000-0005-0000-0000-000085CA0000}"/>
    <cellStyle name="Normal 38 2 11" xfId="10242" xr:uid="{00000000-0005-0000-0000-000086CA0000}"/>
    <cellStyle name="Normal 38 2 11 2" xfId="25391" xr:uid="{00000000-0005-0000-0000-000087CA0000}"/>
    <cellStyle name="Normal 38 2 12" xfId="11926" xr:uid="{00000000-0005-0000-0000-000088CA0000}"/>
    <cellStyle name="Normal 38 2 12 2" xfId="27075" xr:uid="{00000000-0005-0000-0000-000089CA0000}"/>
    <cellStyle name="Normal 38 2 13" xfId="13609" xr:uid="{00000000-0005-0000-0000-00008ACA0000}"/>
    <cellStyle name="Normal 38 2 13 2" xfId="28758" xr:uid="{00000000-0005-0000-0000-00008BCA0000}"/>
    <cellStyle name="Normal 38 2 14" xfId="15292" xr:uid="{00000000-0005-0000-0000-00008CCA0000}"/>
    <cellStyle name="Normal 38 2 15" xfId="30441" xr:uid="{00000000-0005-0000-0000-00008DCA0000}"/>
    <cellStyle name="Normal 38 2 16" xfId="32124" xr:uid="{00000000-0005-0000-0000-00008ECA0000}"/>
    <cellStyle name="Normal 38 2 17" xfId="33807" xr:uid="{00000000-0005-0000-0000-00008FCA0000}"/>
    <cellStyle name="Normal 38 2 18" xfId="35490" xr:uid="{00000000-0005-0000-0000-000090CA0000}"/>
    <cellStyle name="Normal 38 2 19" xfId="37173" xr:uid="{00000000-0005-0000-0000-000091CA0000}"/>
    <cellStyle name="Normal 38 2 2" xfId="353" xr:uid="{00000000-0005-0000-0000-000092CA0000}"/>
    <cellStyle name="Normal 38 2 2 10" xfId="10452" xr:uid="{00000000-0005-0000-0000-000093CA0000}"/>
    <cellStyle name="Normal 38 2 2 10 2" xfId="25601" xr:uid="{00000000-0005-0000-0000-000094CA0000}"/>
    <cellStyle name="Normal 38 2 2 11" xfId="12136" xr:uid="{00000000-0005-0000-0000-000095CA0000}"/>
    <cellStyle name="Normal 38 2 2 11 2" xfId="27285" xr:uid="{00000000-0005-0000-0000-000096CA0000}"/>
    <cellStyle name="Normal 38 2 2 12" xfId="13819" xr:uid="{00000000-0005-0000-0000-000097CA0000}"/>
    <cellStyle name="Normal 38 2 2 12 2" xfId="28968" xr:uid="{00000000-0005-0000-0000-000098CA0000}"/>
    <cellStyle name="Normal 38 2 2 13" xfId="15502" xr:uid="{00000000-0005-0000-0000-000099CA0000}"/>
    <cellStyle name="Normal 38 2 2 14" xfId="30651" xr:uid="{00000000-0005-0000-0000-00009ACA0000}"/>
    <cellStyle name="Normal 38 2 2 15" xfId="32334" xr:uid="{00000000-0005-0000-0000-00009BCA0000}"/>
    <cellStyle name="Normal 38 2 2 16" xfId="34017" xr:uid="{00000000-0005-0000-0000-00009CCA0000}"/>
    <cellStyle name="Normal 38 2 2 17" xfId="35700" xr:uid="{00000000-0005-0000-0000-00009DCA0000}"/>
    <cellStyle name="Normal 38 2 2 18" xfId="37383" xr:uid="{00000000-0005-0000-0000-00009ECA0000}"/>
    <cellStyle name="Normal 38 2 2 19" xfId="39066" xr:uid="{00000000-0005-0000-0000-00009FCA0000}"/>
    <cellStyle name="Normal 38 2 2 2" xfId="773" xr:uid="{00000000-0005-0000-0000-0000A0CA0000}"/>
    <cellStyle name="Normal 38 2 2 2 10" xfId="15922" xr:uid="{00000000-0005-0000-0000-0000A1CA0000}"/>
    <cellStyle name="Normal 38 2 2 2 11" xfId="31071" xr:uid="{00000000-0005-0000-0000-0000A2CA0000}"/>
    <cellStyle name="Normal 38 2 2 2 12" xfId="32754" xr:uid="{00000000-0005-0000-0000-0000A3CA0000}"/>
    <cellStyle name="Normal 38 2 2 2 13" xfId="34437" xr:uid="{00000000-0005-0000-0000-0000A4CA0000}"/>
    <cellStyle name="Normal 38 2 2 2 14" xfId="36120" xr:uid="{00000000-0005-0000-0000-0000A5CA0000}"/>
    <cellStyle name="Normal 38 2 2 2 15" xfId="37803" xr:uid="{00000000-0005-0000-0000-0000A6CA0000}"/>
    <cellStyle name="Normal 38 2 2 2 16" xfId="39486" xr:uid="{00000000-0005-0000-0000-0000A7CA0000}"/>
    <cellStyle name="Normal 38 2 2 2 17" xfId="41169" xr:uid="{00000000-0005-0000-0000-0000A8CA0000}"/>
    <cellStyle name="Normal 38 2 2 2 18" xfId="42852" xr:uid="{00000000-0005-0000-0000-0000A9CA0000}"/>
    <cellStyle name="Normal 38 2 2 2 19" xfId="44535" xr:uid="{00000000-0005-0000-0000-0000AACA0000}"/>
    <cellStyle name="Normal 38 2 2 2 2" xfId="2456" xr:uid="{00000000-0005-0000-0000-0000ABCA0000}"/>
    <cellStyle name="Normal 38 2 2 2 2 2" xfId="17605" xr:uid="{00000000-0005-0000-0000-0000ACCA0000}"/>
    <cellStyle name="Normal 38 2 2 2 20" xfId="46218" xr:uid="{00000000-0005-0000-0000-0000ADCA0000}"/>
    <cellStyle name="Normal 38 2 2 2 21" xfId="47901" xr:uid="{00000000-0005-0000-0000-0000AECA0000}"/>
    <cellStyle name="Normal 38 2 2 2 22" xfId="49584" xr:uid="{00000000-0005-0000-0000-0000AFCA0000}"/>
    <cellStyle name="Normal 38 2 2 2 23" xfId="51267" xr:uid="{00000000-0005-0000-0000-0000B0CA0000}"/>
    <cellStyle name="Normal 38 2 2 2 24" xfId="52950" xr:uid="{00000000-0005-0000-0000-0000B1CA0000}"/>
    <cellStyle name="Normal 38 2 2 2 25" xfId="54633" xr:uid="{00000000-0005-0000-0000-0000B2CA0000}"/>
    <cellStyle name="Normal 38 2 2 2 26" xfId="56316" xr:uid="{00000000-0005-0000-0000-0000B3CA0000}"/>
    <cellStyle name="Normal 38 2 2 2 27" xfId="57999" xr:uid="{00000000-0005-0000-0000-0000B4CA0000}"/>
    <cellStyle name="Normal 38 2 2 2 28" xfId="59682" xr:uid="{00000000-0005-0000-0000-0000B5CA0000}"/>
    <cellStyle name="Normal 38 2 2 2 29" xfId="61365" xr:uid="{00000000-0005-0000-0000-0000B6CA0000}"/>
    <cellStyle name="Normal 38 2 2 2 3" xfId="4140" xr:uid="{00000000-0005-0000-0000-0000B7CA0000}"/>
    <cellStyle name="Normal 38 2 2 2 3 2" xfId="19289" xr:uid="{00000000-0005-0000-0000-0000B8CA0000}"/>
    <cellStyle name="Normal 38 2 2 2 30" xfId="63048" xr:uid="{00000000-0005-0000-0000-0000B9CA0000}"/>
    <cellStyle name="Normal 38 2 2 2 4" xfId="5823" xr:uid="{00000000-0005-0000-0000-0000BACA0000}"/>
    <cellStyle name="Normal 38 2 2 2 4 2" xfId="20972" xr:uid="{00000000-0005-0000-0000-0000BBCA0000}"/>
    <cellStyle name="Normal 38 2 2 2 5" xfId="7506" xr:uid="{00000000-0005-0000-0000-0000BCCA0000}"/>
    <cellStyle name="Normal 38 2 2 2 5 2" xfId="22655" xr:uid="{00000000-0005-0000-0000-0000BDCA0000}"/>
    <cellStyle name="Normal 38 2 2 2 6" xfId="9189" xr:uid="{00000000-0005-0000-0000-0000BECA0000}"/>
    <cellStyle name="Normal 38 2 2 2 6 2" xfId="24338" xr:uid="{00000000-0005-0000-0000-0000BFCA0000}"/>
    <cellStyle name="Normal 38 2 2 2 7" xfId="10872" xr:uid="{00000000-0005-0000-0000-0000C0CA0000}"/>
    <cellStyle name="Normal 38 2 2 2 7 2" xfId="26021" xr:uid="{00000000-0005-0000-0000-0000C1CA0000}"/>
    <cellStyle name="Normal 38 2 2 2 8" xfId="12556" xr:uid="{00000000-0005-0000-0000-0000C2CA0000}"/>
    <cellStyle name="Normal 38 2 2 2 8 2" xfId="27705" xr:uid="{00000000-0005-0000-0000-0000C3CA0000}"/>
    <cellStyle name="Normal 38 2 2 2 9" xfId="14239" xr:uid="{00000000-0005-0000-0000-0000C4CA0000}"/>
    <cellStyle name="Normal 38 2 2 2 9 2" xfId="29388" xr:uid="{00000000-0005-0000-0000-0000C5CA0000}"/>
    <cellStyle name="Normal 38 2 2 20" xfId="40749" xr:uid="{00000000-0005-0000-0000-0000C6CA0000}"/>
    <cellStyle name="Normal 38 2 2 21" xfId="42432" xr:uid="{00000000-0005-0000-0000-0000C7CA0000}"/>
    <cellStyle name="Normal 38 2 2 22" xfId="44115" xr:uid="{00000000-0005-0000-0000-0000C8CA0000}"/>
    <cellStyle name="Normal 38 2 2 23" xfId="45798" xr:uid="{00000000-0005-0000-0000-0000C9CA0000}"/>
    <cellStyle name="Normal 38 2 2 24" xfId="47481" xr:uid="{00000000-0005-0000-0000-0000CACA0000}"/>
    <cellStyle name="Normal 38 2 2 25" xfId="49164" xr:uid="{00000000-0005-0000-0000-0000CBCA0000}"/>
    <cellStyle name="Normal 38 2 2 26" xfId="50847" xr:uid="{00000000-0005-0000-0000-0000CCCA0000}"/>
    <cellStyle name="Normal 38 2 2 27" xfId="52530" xr:uid="{00000000-0005-0000-0000-0000CDCA0000}"/>
    <cellStyle name="Normal 38 2 2 28" xfId="54213" xr:uid="{00000000-0005-0000-0000-0000CECA0000}"/>
    <cellStyle name="Normal 38 2 2 29" xfId="55896" xr:uid="{00000000-0005-0000-0000-0000CFCA0000}"/>
    <cellStyle name="Normal 38 2 2 3" xfId="1194" xr:uid="{00000000-0005-0000-0000-0000D0CA0000}"/>
    <cellStyle name="Normal 38 2 2 3 10" xfId="16343" xr:uid="{00000000-0005-0000-0000-0000D1CA0000}"/>
    <cellStyle name="Normal 38 2 2 3 11" xfId="31492" xr:uid="{00000000-0005-0000-0000-0000D2CA0000}"/>
    <cellStyle name="Normal 38 2 2 3 12" xfId="33175" xr:uid="{00000000-0005-0000-0000-0000D3CA0000}"/>
    <cellStyle name="Normal 38 2 2 3 13" xfId="34858" xr:uid="{00000000-0005-0000-0000-0000D4CA0000}"/>
    <cellStyle name="Normal 38 2 2 3 14" xfId="36541" xr:uid="{00000000-0005-0000-0000-0000D5CA0000}"/>
    <cellStyle name="Normal 38 2 2 3 15" xfId="38224" xr:uid="{00000000-0005-0000-0000-0000D6CA0000}"/>
    <cellStyle name="Normal 38 2 2 3 16" xfId="39907" xr:uid="{00000000-0005-0000-0000-0000D7CA0000}"/>
    <cellStyle name="Normal 38 2 2 3 17" xfId="41590" xr:uid="{00000000-0005-0000-0000-0000D8CA0000}"/>
    <cellStyle name="Normal 38 2 2 3 18" xfId="43273" xr:uid="{00000000-0005-0000-0000-0000D9CA0000}"/>
    <cellStyle name="Normal 38 2 2 3 19" xfId="44956" xr:uid="{00000000-0005-0000-0000-0000DACA0000}"/>
    <cellStyle name="Normal 38 2 2 3 2" xfId="2877" xr:uid="{00000000-0005-0000-0000-0000DBCA0000}"/>
    <cellStyle name="Normal 38 2 2 3 2 2" xfId="18026" xr:uid="{00000000-0005-0000-0000-0000DCCA0000}"/>
    <cellStyle name="Normal 38 2 2 3 20" xfId="46639" xr:uid="{00000000-0005-0000-0000-0000DDCA0000}"/>
    <cellStyle name="Normal 38 2 2 3 21" xfId="48322" xr:uid="{00000000-0005-0000-0000-0000DECA0000}"/>
    <cellStyle name="Normal 38 2 2 3 22" xfId="50005" xr:uid="{00000000-0005-0000-0000-0000DFCA0000}"/>
    <cellStyle name="Normal 38 2 2 3 23" xfId="51688" xr:uid="{00000000-0005-0000-0000-0000E0CA0000}"/>
    <cellStyle name="Normal 38 2 2 3 24" xfId="53371" xr:uid="{00000000-0005-0000-0000-0000E1CA0000}"/>
    <cellStyle name="Normal 38 2 2 3 25" xfId="55054" xr:uid="{00000000-0005-0000-0000-0000E2CA0000}"/>
    <cellStyle name="Normal 38 2 2 3 26" xfId="56737" xr:uid="{00000000-0005-0000-0000-0000E3CA0000}"/>
    <cellStyle name="Normal 38 2 2 3 27" xfId="58420" xr:uid="{00000000-0005-0000-0000-0000E4CA0000}"/>
    <cellStyle name="Normal 38 2 2 3 28" xfId="60103" xr:uid="{00000000-0005-0000-0000-0000E5CA0000}"/>
    <cellStyle name="Normal 38 2 2 3 29" xfId="61786" xr:uid="{00000000-0005-0000-0000-0000E6CA0000}"/>
    <cellStyle name="Normal 38 2 2 3 3" xfId="4561" xr:uid="{00000000-0005-0000-0000-0000E7CA0000}"/>
    <cellStyle name="Normal 38 2 2 3 3 2" xfId="19710" xr:uid="{00000000-0005-0000-0000-0000E8CA0000}"/>
    <cellStyle name="Normal 38 2 2 3 30" xfId="63469" xr:uid="{00000000-0005-0000-0000-0000E9CA0000}"/>
    <cellStyle name="Normal 38 2 2 3 4" xfId="6244" xr:uid="{00000000-0005-0000-0000-0000EACA0000}"/>
    <cellStyle name="Normal 38 2 2 3 4 2" xfId="21393" xr:uid="{00000000-0005-0000-0000-0000EBCA0000}"/>
    <cellStyle name="Normal 38 2 2 3 5" xfId="7927" xr:uid="{00000000-0005-0000-0000-0000ECCA0000}"/>
    <cellStyle name="Normal 38 2 2 3 5 2" xfId="23076" xr:uid="{00000000-0005-0000-0000-0000EDCA0000}"/>
    <cellStyle name="Normal 38 2 2 3 6" xfId="9610" xr:uid="{00000000-0005-0000-0000-0000EECA0000}"/>
    <cellStyle name="Normal 38 2 2 3 6 2" xfId="24759" xr:uid="{00000000-0005-0000-0000-0000EFCA0000}"/>
    <cellStyle name="Normal 38 2 2 3 7" xfId="11293" xr:uid="{00000000-0005-0000-0000-0000F0CA0000}"/>
    <cellStyle name="Normal 38 2 2 3 7 2" xfId="26442" xr:uid="{00000000-0005-0000-0000-0000F1CA0000}"/>
    <cellStyle name="Normal 38 2 2 3 8" xfId="12977" xr:uid="{00000000-0005-0000-0000-0000F2CA0000}"/>
    <cellStyle name="Normal 38 2 2 3 8 2" xfId="28126" xr:uid="{00000000-0005-0000-0000-0000F3CA0000}"/>
    <cellStyle name="Normal 38 2 2 3 9" xfId="14660" xr:uid="{00000000-0005-0000-0000-0000F4CA0000}"/>
    <cellStyle name="Normal 38 2 2 3 9 2" xfId="29809" xr:uid="{00000000-0005-0000-0000-0000F5CA0000}"/>
    <cellStyle name="Normal 38 2 2 30" xfId="57579" xr:uid="{00000000-0005-0000-0000-0000F6CA0000}"/>
    <cellStyle name="Normal 38 2 2 31" xfId="59262" xr:uid="{00000000-0005-0000-0000-0000F7CA0000}"/>
    <cellStyle name="Normal 38 2 2 32" xfId="60945" xr:uid="{00000000-0005-0000-0000-0000F8CA0000}"/>
    <cellStyle name="Normal 38 2 2 33" xfId="62628" xr:uid="{00000000-0005-0000-0000-0000F9CA0000}"/>
    <cellStyle name="Normal 38 2 2 4" xfId="1615" xr:uid="{00000000-0005-0000-0000-0000FACA0000}"/>
    <cellStyle name="Normal 38 2 2 4 10" xfId="16764" xr:uid="{00000000-0005-0000-0000-0000FBCA0000}"/>
    <cellStyle name="Normal 38 2 2 4 11" xfId="31913" xr:uid="{00000000-0005-0000-0000-0000FCCA0000}"/>
    <cellStyle name="Normal 38 2 2 4 12" xfId="33596" xr:uid="{00000000-0005-0000-0000-0000FDCA0000}"/>
    <cellStyle name="Normal 38 2 2 4 13" xfId="35279" xr:uid="{00000000-0005-0000-0000-0000FECA0000}"/>
    <cellStyle name="Normal 38 2 2 4 14" xfId="36962" xr:uid="{00000000-0005-0000-0000-0000FFCA0000}"/>
    <cellStyle name="Normal 38 2 2 4 15" xfId="38645" xr:uid="{00000000-0005-0000-0000-000000CB0000}"/>
    <cellStyle name="Normal 38 2 2 4 16" xfId="40328" xr:uid="{00000000-0005-0000-0000-000001CB0000}"/>
    <cellStyle name="Normal 38 2 2 4 17" xfId="42011" xr:uid="{00000000-0005-0000-0000-000002CB0000}"/>
    <cellStyle name="Normal 38 2 2 4 18" xfId="43694" xr:uid="{00000000-0005-0000-0000-000003CB0000}"/>
    <cellStyle name="Normal 38 2 2 4 19" xfId="45377" xr:uid="{00000000-0005-0000-0000-000004CB0000}"/>
    <cellStyle name="Normal 38 2 2 4 2" xfId="3298" xr:uid="{00000000-0005-0000-0000-000005CB0000}"/>
    <cellStyle name="Normal 38 2 2 4 2 2" xfId="18447" xr:uid="{00000000-0005-0000-0000-000006CB0000}"/>
    <cellStyle name="Normal 38 2 2 4 20" xfId="47060" xr:uid="{00000000-0005-0000-0000-000007CB0000}"/>
    <cellStyle name="Normal 38 2 2 4 21" xfId="48743" xr:uid="{00000000-0005-0000-0000-000008CB0000}"/>
    <cellStyle name="Normal 38 2 2 4 22" xfId="50426" xr:uid="{00000000-0005-0000-0000-000009CB0000}"/>
    <cellStyle name="Normal 38 2 2 4 23" xfId="52109" xr:uid="{00000000-0005-0000-0000-00000ACB0000}"/>
    <cellStyle name="Normal 38 2 2 4 24" xfId="53792" xr:uid="{00000000-0005-0000-0000-00000BCB0000}"/>
    <cellStyle name="Normal 38 2 2 4 25" xfId="55475" xr:uid="{00000000-0005-0000-0000-00000CCB0000}"/>
    <cellStyle name="Normal 38 2 2 4 26" xfId="57158" xr:uid="{00000000-0005-0000-0000-00000DCB0000}"/>
    <cellStyle name="Normal 38 2 2 4 27" xfId="58841" xr:uid="{00000000-0005-0000-0000-00000ECB0000}"/>
    <cellStyle name="Normal 38 2 2 4 28" xfId="60524" xr:uid="{00000000-0005-0000-0000-00000FCB0000}"/>
    <cellStyle name="Normal 38 2 2 4 29" xfId="62207" xr:uid="{00000000-0005-0000-0000-000010CB0000}"/>
    <cellStyle name="Normal 38 2 2 4 3" xfId="4982" xr:uid="{00000000-0005-0000-0000-000011CB0000}"/>
    <cellStyle name="Normal 38 2 2 4 3 2" xfId="20131" xr:uid="{00000000-0005-0000-0000-000012CB0000}"/>
    <cellStyle name="Normal 38 2 2 4 30" xfId="63890" xr:uid="{00000000-0005-0000-0000-000013CB0000}"/>
    <cellStyle name="Normal 38 2 2 4 4" xfId="6665" xr:uid="{00000000-0005-0000-0000-000014CB0000}"/>
    <cellStyle name="Normal 38 2 2 4 4 2" xfId="21814" xr:uid="{00000000-0005-0000-0000-000015CB0000}"/>
    <cellStyle name="Normal 38 2 2 4 5" xfId="8348" xr:uid="{00000000-0005-0000-0000-000016CB0000}"/>
    <cellStyle name="Normal 38 2 2 4 5 2" xfId="23497" xr:uid="{00000000-0005-0000-0000-000017CB0000}"/>
    <cellStyle name="Normal 38 2 2 4 6" xfId="10031" xr:uid="{00000000-0005-0000-0000-000018CB0000}"/>
    <cellStyle name="Normal 38 2 2 4 6 2" xfId="25180" xr:uid="{00000000-0005-0000-0000-000019CB0000}"/>
    <cellStyle name="Normal 38 2 2 4 7" xfId="11714" xr:uid="{00000000-0005-0000-0000-00001ACB0000}"/>
    <cellStyle name="Normal 38 2 2 4 7 2" xfId="26863" xr:uid="{00000000-0005-0000-0000-00001BCB0000}"/>
    <cellStyle name="Normal 38 2 2 4 8" xfId="13398" xr:uid="{00000000-0005-0000-0000-00001CCB0000}"/>
    <cellStyle name="Normal 38 2 2 4 8 2" xfId="28547" xr:uid="{00000000-0005-0000-0000-00001DCB0000}"/>
    <cellStyle name="Normal 38 2 2 4 9" xfId="15081" xr:uid="{00000000-0005-0000-0000-00001ECB0000}"/>
    <cellStyle name="Normal 38 2 2 4 9 2" xfId="30230" xr:uid="{00000000-0005-0000-0000-00001FCB0000}"/>
    <cellStyle name="Normal 38 2 2 5" xfId="2036" xr:uid="{00000000-0005-0000-0000-000020CB0000}"/>
    <cellStyle name="Normal 38 2 2 5 2" xfId="17185" xr:uid="{00000000-0005-0000-0000-000021CB0000}"/>
    <cellStyle name="Normal 38 2 2 6" xfId="3720" xr:uid="{00000000-0005-0000-0000-000022CB0000}"/>
    <cellStyle name="Normal 38 2 2 6 2" xfId="18869" xr:uid="{00000000-0005-0000-0000-000023CB0000}"/>
    <cellStyle name="Normal 38 2 2 7" xfId="5403" xr:uid="{00000000-0005-0000-0000-000024CB0000}"/>
    <cellStyle name="Normal 38 2 2 7 2" xfId="20552" xr:uid="{00000000-0005-0000-0000-000025CB0000}"/>
    <cellStyle name="Normal 38 2 2 8" xfId="7086" xr:uid="{00000000-0005-0000-0000-000026CB0000}"/>
    <cellStyle name="Normal 38 2 2 8 2" xfId="22235" xr:uid="{00000000-0005-0000-0000-000027CB0000}"/>
    <cellStyle name="Normal 38 2 2 9" xfId="8769" xr:uid="{00000000-0005-0000-0000-000028CB0000}"/>
    <cellStyle name="Normal 38 2 2 9 2" xfId="23918" xr:uid="{00000000-0005-0000-0000-000029CB0000}"/>
    <cellStyle name="Normal 38 2 20" xfId="38856" xr:uid="{00000000-0005-0000-0000-00002ACB0000}"/>
    <cellStyle name="Normal 38 2 21" xfId="40539" xr:uid="{00000000-0005-0000-0000-00002BCB0000}"/>
    <cellStyle name="Normal 38 2 22" xfId="42222" xr:uid="{00000000-0005-0000-0000-00002CCB0000}"/>
    <cellStyle name="Normal 38 2 23" xfId="43905" xr:uid="{00000000-0005-0000-0000-00002DCB0000}"/>
    <cellStyle name="Normal 38 2 24" xfId="45588" xr:uid="{00000000-0005-0000-0000-00002ECB0000}"/>
    <cellStyle name="Normal 38 2 25" xfId="47271" xr:uid="{00000000-0005-0000-0000-00002FCB0000}"/>
    <cellStyle name="Normal 38 2 26" xfId="48954" xr:uid="{00000000-0005-0000-0000-000030CB0000}"/>
    <cellStyle name="Normal 38 2 27" xfId="50637" xr:uid="{00000000-0005-0000-0000-000031CB0000}"/>
    <cellStyle name="Normal 38 2 28" xfId="52320" xr:uid="{00000000-0005-0000-0000-000032CB0000}"/>
    <cellStyle name="Normal 38 2 29" xfId="54003" xr:uid="{00000000-0005-0000-0000-000033CB0000}"/>
    <cellStyle name="Normal 38 2 3" xfId="563" xr:uid="{00000000-0005-0000-0000-000034CB0000}"/>
    <cellStyle name="Normal 38 2 3 10" xfId="15712" xr:uid="{00000000-0005-0000-0000-000035CB0000}"/>
    <cellStyle name="Normal 38 2 3 11" xfId="30861" xr:uid="{00000000-0005-0000-0000-000036CB0000}"/>
    <cellStyle name="Normal 38 2 3 12" xfId="32544" xr:uid="{00000000-0005-0000-0000-000037CB0000}"/>
    <cellStyle name="Normal 38 2 3 13" xfId="34227" xr:uid="{00000000-0005-0000-0000-000038CB0000}"/>
    <cellStyle name="Normal 38 2 3 14" xfId="35910" xr:uid="{00000000-0005-0000-0000-000039CB0000}"/>
    <cellStyle name="Normal 38 2 3 15" xfId="37593" xr:uid="{00000000-0005-0000-0000-00003ACB0000}"/>
    <cellStyle name="Normal 38 2 3 16" xfId="39276" xr:uid="{00000000-0005-0000-0000-00003BCB0000}"/>
    <cellStyle name="Normal 38 2 3 17" xfId="40959" xr:uid="{00000000-0005-0000-0000-00003CCB0000}"/>
    <cellStyle name="Normal 38 2 3 18" xfId="42642" xr:uid="{00000000-0005-0000-0000-00003DCB0000}"/>
    <cellStyle name="Normal 38 2 3 19" xfId="44325" xr:uid="{00000000-0005-0000-0000-00003ECB0000}"/>
    <cellStyle name="Normal 38 2 3 2" xfId="2246" xr:uid="{00000000-0005-0000-0000-00003FCB0000}"/>
    <cellStyle name="Normal 38 2 3 2 2" xfId="17395" xr:uid="{00000000-0005-0000-0000-000040CB0000}"/>
    <cellStyle name="Normal 38 2 3 20" xfId="46008" xr:uid="{00000000-0005-0000-0000-000041CB0000}"/>
    <cellStyle name="Normal 38 2 3 21" xfId="47691" xr:uid="{00000000-0005-0000-0000-000042CB0000}"/>
    <cellStyle name="Normal 38 2 3 22" xfId="49374" xr:uid="{00000000-0005-0000-0000-000043CB0000}"/>
    <cellStyle name="Normal 38 2 3 23" xfId="51057" xr:uid="{00000000-0005-0000-0000-000044CB0000}"/>
    <cellStyle name="Normal 38 2 3 24" xfId="52740" xr:uid="{00000000-0005-0000-0000-000045CB0000}"/>
    <cellStyle name="Normal 38 2 3 25" xfId="54423" xr:uid="{00000000-0005-0000-0000-000046CB0000}"/>
    <cellStyle name="Normal 38 2 3 26" xfId="56106" xr:uid="{00000000-0005-0000-0000-000047CB0000}"/>
    <cellStyle name="Normal 38 2 3 27" xfId="57789" xr:uid="{00000000-0005-0000-0000-000048CB0000}"/>
    <cellStyle name="Normal 38 2 3 28" xfId="59472" xr:uid="{00000000-0005-0000-0000-000049CB0000}"/>
    <cellStyle name="Normal 38 2 3 29" xfId="61155" xr:uid="{00000000-0005-0000-0000-00004ACB0000}"/>
    <cellStyle name="Normal 38 2 3 3" xfId="3930" xr:uid="{00000000-0005-0000-0000-00004BCB0000}"/>
    <cellStyle name="Normal 38 2 3 3 2" xfId="19079" xr:uid="{00000000-0005-0000-0000-00004CCB0000}"/>
    <cellStyle name="Normal 38 2 3 30" xfId="62838" xr:uid="{00000000-0005-0000-0000-00004DCB0000}"/>
    <cellStyle name="Normal 38 2 3 4" xfId="5613" xr:uid="{00000000-0005-0000-0000-00004ECB0000}"/>
    <cellStyle name="Normal 38 2 3 4 2" xfId="20762" xr:uid="{00000000-0005-0000-0000-00004FCB0000}"/>
    <cellStyle name="Normal 38 2 3 5" xfId="7296" xr:uid="{00000000-0005-0000-0000-000050CB0000}"/>
    <cellStyle name="Normal 38 2 3 5 2" xfId="22445" xr:uid="{00000000-0005-0000-0000-000051CB0000}"/>
    <cellStyle name="Normal 38 2 3 6" xfId="8979" xr:uid="{00000000-0005-0000-0000-000052CB0000}"/>
    <cellStyle name="Normal 38 2 3 6 2" xfId="24128" xr:uid="{00000000-0005-0000-0000-000053CB0000}"/>
    <cellStyle name="Normal 38 2 3 7" xfId="10662" xr:uid="{00000000-0005-0000-0000-000054CB0000}"/>
    <cellStyle name="Normal 38 2 3 7 2" xfId="25811" xr:uid="{00000000-0005-0000-0000-000055CB0000}"/>
    <cellStyle name="Normal 38 2 3 8" xfId="12346" xr:uid="{00000000-0005-0000-0000-000056CB0000}"/>
    <cellStyle name="Normal 38 2 3 8 2" xfId="27495" xr:uid="{00000000-0005-0000-0000-000057CB0000}"/>
    <cellStyle name="Normal 38 2 3 9" xfId="14029" xr:uid="{00000000-0005-0000-0000-000058CB0000}"/>
    <cellStyle name="Normal 38 2 3 9 2" xfId="29178" xr:uid="{00000000-0005-0000-0000-000059CB0000}"/>
    <cellStyle name="Normal 38 2 30" xfId="55686" xr:uid="{00000000-0005-0000-0000-00005ACB0000}"/>
    <cellStyle name="Normal 38 2 31" xfId="57369" xr:uid="{00000000-0005-0000-0000-00005BCB0000}"/>
    <cellStyle name="Normal 38 2 32" xfId="59052" xr:uid="{00000000-0005-0000-0000-00005CCB0000}"/>
    <cellStyle name="Normal 38 2 33" xfId="60735" xr:uid="{00000000-0005-0000-0000-00005DCB0000}"/>
    <cellStyle name="Normal 38 2 34" xfId="62418" xr:uid="{00000000-0005-0000-0000-00005ECB0000}"/>
    <cellStyle name="Normal 38 2 4" xfId="984" xr:uid="{00000000-0005-0000-0000-00005FCB0000}"/>
    <cellStyle name="Normal 38 2 4 10" xfId="16133" xr:uid="{00000000-0005-0000-0000-000060CB0000}"/>
    <cellStyle name="Normal 38 2 4 11" xfId="31282" xr:uid="{00000000-0005-0000-0000-000061CB0000}"/>
    <cellStyle name="Normal 38 2 4 12" xfId="32965" xr:uid="{00000000-0005-0000-0000-000062CB0000}"/>
    <cellStyle name="Normal 38 2 4 13" xfId="34648" xr:uid="{00000000-0005-0000-0000-000063CB0000}"/>
    <cellStyle name="Normal 38 2 4 14" xfId="36331" xr:uid="{00000000-0005-0000-0000-000064CB0000}"/>
    <cellStyle name="Normal 38 2 4 15" xfId="38014" xr:uid="{00000000-0005-0000-0000-000065CB0000}"/>
    <cellStyle name="Normal 38 2 4 16" xfId="39697" xr:uid="{00000000-0005-0000-0000-000066CB0000}"/>
    <cellStyle name="Normal 38 2 4 17" xfId="41380" xr:uid="{00000000-0005-0000-0000-000067CB0000}"/>
    <cellStyle name="Normal 38 2 4 18" xfId="43063" xr:uid="{00000000-0005-0000-0000-000068CB0000}"/>
    <cellStyle name="Normal 38 2 4 19" xfId="44746" xr:uid="{00000000-0005-0000-0000-000069CB0000}"/>
    <cellStyle name="Normal 38 2 4 2" xfId="2667" xr:uid="{00000000-0005-0000-0000-00006ACB0000}"/>
    <cellStyle name="Normal 38 2 4 2 2" xfId="17816" xr:uid="{00000000-0005-0000-0000-00006BCB0000}"/>
    <cellStyle name="Normal 38 2 4 20" xfId="46429" xr:uid="{00000000-0005-0000-0000-00006CCB0000}"/>
    <cellStyle name="Normal 38 2 4 21" xfId="48112" xr:uid="{00000000-0005-0000-0000-00006DCB0000}"/>
    <cellStyle name="Normal 38 2 4 22" xfId="49795" xr:uid="{00000000-0005-0000-0000-00006ECB0000}"/>
    <cellStyle name="Normal 38 2 4 23" xfId="51478" xr:uid="{00000000-0005-0000-0000-00006FCB0000}"/>
    <cellStyle name="Normal 38 2 4 24" xfId="53161" xr:uid="{00000000-0005-0000-0000-000070CB0000}"/>
    <cellStyle name="Normal 38 2 4 25" xfId="54844" xr:uid="{00000000-0005-0000-0000-000071CB0000}"/>
    <cellStyle name="Normal 38 2 4 26" xfId="56527" xr:uid="{00000000-0005-0000-0000-000072CB0000}"/>
    <cellStyle name="Normal 38 2 4 27" xfId="58210" xr:uid="{00000000-0005-0000-0000-000073CB0000}"/>
    <cellStyle name="Normal 38 2 4 28" xfId="59893" xr:uid="{00000000-0005-0000-0000-000074CB0000}"/>
    <cellStyle name="Normal 38 2 4 29" xfId="61576" xr:uid="{00000000-0005-0000-0000-000075CB0000}"/>
    <cellStyle name="Normal 38 2 4 3" xfId="4351" xr:uid="{00000000-0005-0000-0000-000076CB0000}"/>
    <cellStyle name="Normal 38 2 4 3 2" xfId="19500" xr:uid="{00000000-0005-0000-0000-000077CB0000}"/>
    <cellStyle name="Normal 38 2 4 30" xfId="63259" xr:uid="{00000000-0005-0000-0000-000078CB0000}"/>
    <cellStyle name="Normal 38 2 4 4" xfId="6034" xr:uid="{00000000-0005-0000-0000-000079CB0000}"/>
    <cellStyle name="Normal 38 2 4 4 2" xfId="21183" xr:uid="{00000000-0005-0000-0000-00007ACB0000}"/>
    <cellStyle name="Normal 38 2 4 5" xfId="7717" xr:uid="{00000000-0005-0000-0000-00007BCB0000}"/>
    <cellStyle name="Normal 38 2 4 5 2" xfId="22866" xr:uid="{00000000-0005-0000-0000-00007CCB0000}"/>
    <cellStyle name="Normal 38 2 4 6" xfId="9400" xr:uid="{00000000-0005-0000-0000-00007DCB0000}"/>
    <cellStyle name="Normal 38 2 4 6 2" xfId="24549" xr:uid="{00000000-0005-0000-0000-00007ECB0000}"/>
    <cellStyle name="Normal 38 2 4 7" xfId="11083" xr:uid="{00000000-0005-0000-0000-00007FCB0000}"/>
    <cellStyle name="Normal 38 2 4 7 2" xfId="26232" xr:uid="{00000000-0005-0000-0000-000080CB0000}"/>
    <cellStyle name="Normal 38 2 4 8" xfId="12767" xr:uid="{00000000-0005-0000-0000-000081CB0000}"/>
    <cellStyle name="Normal 38 2 4 8 2" xfId="27916" xr:uid="{00000000-0005-0000-0000-000082CB0000}"/>
    <cellStyle name="Normal 38 2 4 9" xfId="14450" xr:uid="{00000000-0005-0000-0000-000083CB0000}"/>
    <cellStyle name="Normal 38 2 4 9 2" xfId="29599" xr:uid="{00000000-0005-0000-0000-000084CB0000}"/>
    <cellStyle name="Normal 38 2 5" xfId="1405" xr:uid="{00000000-0005-0000-0000-000085CB0000}"/>
    <cellStyle name="Normal 38 2 5 10" xfId="16554" xr:uid="{00000000-0005-0000-0000-000086CB0000}"/>
    <cellStyle name="Normal 38 2 5 11" xfId="31703" xr:uid="{00000000-0005-0000-0000-000087CB0000}"/>
    <cellStyle name="Normal 38 2 5 12" xfId="33386" xr:uid="{00000000-0005-0000-0000-000088CB0000}"/>
    <cellStyle name="Normal 38 2 5 13" xfId="35069" xr:uid="{00000000-0005-0000-0000-000089CB0000}"/>
    <cellStyle name="Normal 38 2 5 14" xfId="36752" xr:uid="{00000000-0005-0000-0000-00008ACB0000}"/>
    <cellStyle name="Normal 38 2 5 15" xfId="38435" xr:uid="{00000000-0005-0000-0000-00008BCB0000}"/>
    <cellStyle name="Normal 38 2 5 16" xfId="40118" xr:uid="{00000000-0005-0000-0000-00008CCB0000}"/>
    <cellStyle name="Normal 38 2 5 17" xfId="41801" xr:uid="{00000000-0005-0000-0000-00008DCB0000}"/>
    <cellStyle name="Normal 38 2 5 18" xfId="43484" xr:uid="{00000000-0005-0000-0000-00008ECB0000}"/>
    <cellStyle name="Normal 38 2 5 19" xfId="45167" xr:uid="{00000000-0005-0000-0000-00008FCB0000}"/>
    <cellStyle name="Normal 38 2 5 2" xfId="3088" xr:uid="{00000000-0005-0000-0000-000090CB0000}"/>
    <cellStyle name="Normal 38 2 5 2 2" xfId="18237" xr:uid="{00000000-0005-0000-0000-000091CB0000}"/>
    <cellStyle name="Normal 38 2 5 20" xfId="46850" xr:uid="{00000000-0005-0000-0000-000092CB0000}"/>
    <cellStyle name="Normal 38 2 5 21" xfId="48533" xr:uid="{00000000-0005-0000-0000-000093CB0000}"/>
    <cellStyle name="Normal 38 2 5 22" xfId="50216" xr:uid="{00000000-0005-0000-0000-000094CB0000}"/>
    <cellStyle name="Normal 38 2 5 23" xfId="51899" xr:uid="{00000000-0005-0000-0000-000095CB0000}"/>
    <cellStyle name="Normal 38 2 5 24" xfId="53582" xr:uid="{00000000-0005-0000-0000-000096CB0000}"/>
    <cellStyle name="Normal 38 2 5 25" xfId="55265" xr:uid="{00000000-0005-0000-0000-000097CB0000}"/>
    <cellStyle name="Normal 38 2 5 26" xfId="56948" xr:uid="{00000000-0005-0000-0000-000098CB0000}"/>
    <cellStyle name="Normal 38 2 5 27" xfId="58631" xr:uid="{00000000-0005-0000-0000-000099CB0000}"/>
    <cellStyle name="Normal 38 2 5 28" xfId="60314" xr:uid="{00000000-0005-0000-0000-00009ACB0000}"/>
    <cellStyle name="Normal 38 2 5 29" xfId="61997" xr:uid="{00000000-0005-0000-0000-00009BCB0000}"/>
    <cellStyle name="Normal 38 2 5 3" xfId="4772" xr:uid="{00000000-0005-0000-0000-00009CCB0000}"/>
    <cellStyle name="Normal 38 2 5 3 2" xfId="19921" xr:uid="{00000000-0005-0000-0000-00009DCB0000}"/>
    <cellStyle name="Normal 38 2 5 30" xfId="63680" xr:uid="{00000000-0005-0000-0000-00009ECB0000}"/>
    <cellStyle name="Normal 38 2 5 4" xfId="6455" xr:uid="{00000000-0005-0000-0000-00009FCB0000}"/>
    <cellStyle name="Normal 38 2 5 4 2" xfId="21604" xr:uid="{00000000-0005-0000-0000-0000A0CB0000}"/>
    <cellStyle name="Normal 38 2 5 5" xfId="8138" xr:uid="{00000000-0005-0000-0000-0000A1CB0000}"/>
    <cellStyle name="Normal 38 2 5 5 2" xfId="23287" xr:uid="{00000000-0005-0000-0000-0000A2CB0000}"/>
    <cellStyle name="Normal 38 2 5 6" xfId="9821" xr:uid="{00000000-0005-0000-0000-0000A3CB0000}"/>
    <cellStyle name="Normal 38 2 5 6 2" xfId="24970" xr:uid="{00000000-0005-0000-0000-0000A4CB0000}"/>
    <cellStyle name="Normal 38 2 5 7" xfId="11504" xr:uid="{00000000-0005-0000-0000-0000A5CB0000}"/>
    <cellStyle name="Normal 38 2 5 7 2" xfId="26653" xr:uid="{00000000-0005-0000-0000-0000A6CB0000}"/>
    <cellStyle name="Normal 38 2 5 8" xfId="13188" xr:uid="{00000000-0005-0000-0000-0000A7CB0000}"/>
    <cellStyle name="Normal 38 2 5 8 2" xfId="28337" xr:uid="{00000000-0005-0000-0000-0000A8CB0000}"/>
    <cellStyle name="Normal 38 2 5 9" xfId="14871" xr:uid="{00000000-0005-0000-0000-0000A9CB0000}"/>
    <cellStyle name="Normal 38 2 5 9 2" xfId="30020" xr:uid="{00000000-0005-0000-0000-0000AACB0000}"/>
    <cellStyle name="Normal 38 2 6" xfId="1826" xr:uid="{00000000-0005-0000-0000-0000ABCB0000}"/>
    <cellStyle name="Normal 38 2 6 2" xfId="16975" xr:uid="{00000000-0005-0000-0000-0000ACCB0000}"/>
    <cellStyle name="Normal 38 2 7" xfId="3510" xr:uid="{00000000-0005-0000-0000-0000ADCB0000}"/>
    <cellStyle name="Normal 38 2 7 2" xfId="18659" xr:uid="{00000000-0005-0000-0000-0000AECB0000}"/>
    <cellStyle name="Normal 38 2 8" xfId="5193" xr:uid="{00000000-0005-0000-0000-0000AFCB0000}"/>
    <cellStyle name="Normal 38 2 8 2" xfId="20342" xr:uid="{00000000-0005-0000-0000-0000B0CB0000}"/>
    <cellStyle name="Normal 38 2 9" xfId="6876" xr:uid="{00000000-0005-0000-0000-0000B1CB0000}"/>
    <cellStyle name="Normal 38 2 9 2" xfId="22025" xr:uid="{00000000-0005-0000-0000-0000B2CB0000}"/>
    <cellStyle name="Normal 38 20" xfId="37068" xr:uid="{00000000-0005-0000-0000-0000B3CB0000}"/>
    <cellStyle name="Normal 38 21" xfId="38751" xr:uid="{00000000-0005-0000-0000-0000B4CB0000}"/>
    <cellStyle name="Normal 38 22" xfId="40434" xr:uid="{00000000-0005-0000-0000-0000B5CB0000}"/>
    <cellStyle name="Normal 38 23" xfId="42117" xr:uid="{00000000-0005-0000-0000-0000B6CB0000}"/>
    <cellStyle name="Normal 38 24" xfId="43800" xr:uid="{00000000-0005-0000-0000-0000B7CB0000}"/>
    <cellStyle name="Normal 38 25" xfId="45483" xr:uid="{00000000-0005-0000-0000-0000B8CB0000}"/>
    <cellStyle name="Normal 38 26" xfId="47166" xr:uid="{00000000-0005-0000-0000-0000B9CB0000}"/>
    <cellStyle name="Normal 38 27" xfId="48849" xr:uid="{00000000-0005-0000-0000-0000BACB0000}"/>
    <cellStyle name="Normal 38 28" xfId="50532" xr:uid="{00000000-0005-0000-0000-0000BBCB0000}"/>
    <cellStyle name="Normal 38 29" xfId="52215" xr:uid="{00000000-0005-0000-0000-0000BCCB0000}"/>
    <cellStyle name="Normal 38 3" xfId="248" xr:uid="{00000000-0005-0000-0000-0000BDCB0000}"/>
    <cellStyle name="Normal 38 3 10" xfId="10347" xr:uid="{00000000-0005-0000-0000-0000BECB0000}"/>
    <cellStyle name="Normal 38 3 10 2" xfId="25496" xr:uid="{00000000-0005-0000-0000-0000BFCB0000}"/>
    <cellStyle name="Normal 38 3 11" xfId="12031" xr:uid="{00000000-0005-0000-0000-0000C0CB0000}"/>
    <cellStyle name="Normal 38 3 11 2" xfId="27180" xr:uid="{00000000-0005-0000-0000-0000C1CB0000}"/>
    <cellStyle name="Normal 38 3 12" xfId="13714" xr:uid="{00000000-0005-0000-0000-0000C2CB0000}"/>
    <cellStyle name="Normal 38 3 12 2" xfId="28863" xr:uid="{00000000-0005-0000-0000-0000C3CB0000}"/>
    <cellStyle name="Normal 38 3 13" xfId="15397" xr:uid="{00000000-0005-0000-0000-0000C4CB0000}"/>
    <cellStyle name="Normal 38 3 14" xfId="30546" xr:uid="{00000000-0005-0000-0000-0000C5CB0000}"/>
    <cellStyle name="Normal 38 3 15" xfId="32229" xr:uid="{00000000-0005-0000-0000-0000C6CB0000}"/>
    <cellStyle name="Normal 38 3 16" xfId="33912" xr:uid="{00000000-0005-0000-0000-0000C7CB0000}"/>
    <cellStyle name="Normal 38 3 17" xfId="35595" xr:uid="{00000000-0005-0000-0000-0000C8CB0000}"/>
    <cellStyle name="Normal 38 3 18" xfId="37278" xr:uid="{00000000-0005-0000-0000-0000C9CB0000}"/>
    <cellStyle name="Normal 38 3 19" xfId="38961" xr:uid="{00000000-0005-0000-0000-0000CACB0000}"/>
    <cellStyle name="Normal 38 3 2" xfId="668" xr:uid="{00000000-0005-0000-0000-0000CBCB0000}"/>
    <cellStyle name="Normal 38 3 2 10" xfId="15817" xr:uid="{00000000-0005-0000-0000-0000CCCB0000}"/>
    <cellStyle name="Normal 38 3 2 11" xfId="30966" xr:uid="{00000000-0005-0000-0000-0000CDCB0000}"/>
    <cellStyle name="Normal 38 3 2 12" xfId="32649" xr:uid="{00000000-0005-0000-0000-0000CECB0000}"/>
    <cellStyle name="Normal 38 3 2 13" xfId="34332" xr:uid="{00000000-0005-0000-0000-0000CFCB0000}"/>
    <cellStyle name="Normal 38 3 2 14" xfId="36015" xr:uid="{00000000-0005-0000-0000-0000D0CB0000}"/>
    <cellStyle name="Normal 38 3 2 15" xfId="37698" xr:uid="{00000000-0005-0000-0000-0000D1CB0000}"/>
    <cellStyle name="Normal 38 3 2 16" xfId="39381" xr:uid="{00000000-0005-0000-0000-0000D2CB0000}"/>
    <cellStyle name="Normal 38 3 2 17" xfId="41064" xr:uid="{00000000-0005-0000-0000-0000D3CB0000}"/>
    <cellStyle name="Normal 38 3 2 18" xfId="42747" xr:uid="{00000000-0005-0000-0000-0000D4CB0000}"/>
    <cellStyle name="Normal 38 3 2 19" xfId="44430" xr:uid="{00000000-0005-0000-0000-0000D5CB0000}"/>
    <cellStyle name="Normal 38 3 2 2" xfId="2351" xr:uid="{00000000-0005-0000-0000-0000D6CB0000}"/>
    <cellStyle name="Normal 38 3 2 2 2" xfId="17500" xr:uid="{00000000-0005-0000-0000-0000D7CB0000}"/>
    <cellStyle name="Normal 38 3 2 20" xfId="46113" xr:uid="{00000000-0005-0000-0000-0000D8CB0000}"/>
    <cellStyle name="Normal 38 3 2 21" xfId="47796" xr:uid="{00000000-0005-0000-0000-0000D9CB0000}"/>
    <cellStyle name="Normal 38 3 2 22" xfId="49479" xr:uid="{00000000-0005-0000-0000-0000DACB0000}"/>
    <cellStyle name="Normal 38 3 2 23" xfId="51162" xr:uid="{00000000-0005-0000-0000-0000DBCB0000}"/>
    <cellStyle name="Normal 38 3 2 24" xfId="52845" xr:uid="{00000000-0005-0000-0000-0000DCCB0000}"/>
    <cellStyle name="Normal 38 3 2 25" xfId="54528" xr:uid="{00000000-0005-0000-0000-0000DDCB0000}"/>
    <cellStyle name="Normal 38 3 2 26" xfId="56211" xr:uid="{00000000-0005-0000-0000-0000DECB0000}"/>
    <cellStyle name="Normal 38 3 2 27" xfId="57894" xr:uid="{00000000-0005-0000-0000-0000DFCB0000}"/>
    <cellStyle name="Normal 38 3 2 28" xfId="59577" xr:uid="{00000000-0005-0000-0000-0000E0CB0000}"/>
    <cellStyle name="Normal 38 3 2 29" xfId="61260" xr:uid="{00000000-0005-0000-0000-0000E1CB0000}"/>
    <cellStyle name="Normal 38 3 2 3" xfId="4035" xr:uid="{00000000-0005-0000-0000-0000E2CB0000}"/>
    <cellStyle name="Normal 38 3 2 3 2" xfId="19184" xr:uid="{00000000-0005-0000-0000-0000E3CB0000}"/>
    <cellStyle name="Normal 38 3 2 30" xfId="62943" xr:uid="{00000000-0005-0000-0000-0000E4CB0000}"/>
    <cellStyle name="Normal 38 3 2 4" xfId="5718" xr:uid="{00000000-0005-0000-0000-0000E5CB0000}"/>
    <cellStyle name="Normal 38 3 2 4 2" xfId="20867" xr:uid="{00000000-0005-0000-0000-0000E6CB0000}"/>
    <cellStyle name="Normal 38 3 2 5" xfId="7401" xr:uid="{00000000-0005-0000-0000-0000E7CB0000}"/>
    <cellStyle name="Normal 38 3 2 5 2" xfId="22550" xr:uid="{00000000-0005-0000-0000-0000E8CB0000}"/>
    <cellStyle name="Normal 38 3 2 6" xfId="9084" xr:uid="{00000000-0005-0000-0000-0000E9CB0000}"/>
    <cellStyle name="Normal 38 3 2 6 2" xfId="24233" xr:uid="{00000000-0005-0000-0000-0000EACB0000}"/>
    <cellStyle name="Normal 38 3 2 7" xfId="10767" xr:uid="{00000000-0005-0000-0000-0000EBCB0000}"/>
    <cellStyle name="Normal 38 3 2 7 2" xfId="25916" xr:uid="{00000000-0005-0000-0000-0000ECCB0000}"/>
    <cellStyle name="Normal 38 3 2 8" xfId="12451" xr:uid="{00000000-0005-0000-0000-0000EDCB0000}"/>
    <cellStyle name="Normal 38 3 2 8 2" xfId="27600" xr:uid="{00000000-0005-0000-0000-0000EECB0000}"/>
    <cellStyle name="Normal 38 3 2 9" xfId="14134" xr:uid="{00000000-0005-0000-0000-0000EFCB0000}"/>
    <cellStyle name="Normal 38 3 2 9 2" xfId="29283" xr:uid="{00000000-0005-0000-0000-0000F0CB0000}"/>
    <cellStyle name="Normal 38 3 20" xfId="40644" xr:uid="{00000000-0005-0000-0000-0000F1CB0000}"/>
    <cellStyle name="Normal 38 3 21" xfId="42327" xr:uid="{00000000-0005-0000-0000-0000F2CB0000}"/>
    <cellStyle name="Normal 38 3 22" xfId="44010" xr:uid="{00000000-0005-0000-0000-0000F3CB0000}"/>
    <cellStyle name="Normal 38 3 23" xfId="45693" xr:uid="{00000000-0005-0000-0000-0000F4CB0000}"/>
    <cellStyle name="Normal 38 3 24" xfId="47376" xr:uid="{00000000-0005-0000-0000-0000F5CB0000}"/>
    <cellStyle name="Normal 38 3 25" xfId="49059" xr:uid="{00000000-0005-0000-0000-0000F6CB0000}"/>
    <cellStyle name="Normal 38 3 26" xfId="50742" xr:uid="{00000000-0005-0000-0000-0000F7CB0000}"/>
    <cellStyle name="Normal 38 3 27" xfId="52425" xr:uid="{00000000-0005-0000-0000-0000F8CB0000}"/>
    <cellStyle name="Normal 38 3 28" xfId="54108" xr:uid="{00000000-0005-0000-0000-0000F9CB0000}"/>
    <cellStyle name="Normal 38 3 29" xfId="55791" xr:uid="{00000000-0005-0000-0000-0000FACB0000}"/>
    <cellStyle name="Normal 38 3 3" xfId="1089" xr:uid="{00000000-0005-0000-0000-0000FBCB0000}"/>
    <cellStyle name="Normal 38 3 3 10" xfId="16238" xr:uid="{00000000-0005-0000-0000-0000FCCB0000}"/>
    <cellStyle name="Normal 38 3 3 11" xfId="31387" xr:uid="{00000000-0005-0000-0000-0000FDCB0000}"/>
    <cellStyle name="Normal 38 3 3 12" xfId="33070" xr:uid="{00000000-0005-0000-0000-0000FECB0000}"/>
    <cellStyle name="Normal 38 3 3 13" xfId="34753" xr:uid="{00000000-0005-0000-0000-0000FFCB0000}"/>
    <cellStyle name="Normal 38 3 3 14" xfId="36436" xr:uid="{00000000-0005-0000-0000-000000CC0000}"/>
    <cellStyle name="Normal 38 3 3 15" xfId="38119" xr:uid="{00000000-0005-0000-0000-000001CC0000}"/>
    <cellStyle name="Normal 38 3 3 16" xfId="39802" xr:uid="{00000000-0005-0000-0000-000002CC0000}"/>
    <cellStyle name="Normal 38 3 3 17" xfId="41485" xr:uid="{00000000-0005-0000-0000-000003CC0000}"/>
    <cellStyle name="Normal 38 3 3 18" xfId="43168" xr:uid="{00000000-0005-0000-0000-000004CC0000}"/>
    <cellStyle name="Normal 38 3 3 19" xfId="44851" xr:uid="{00000000-0005-0000-0000-000005CC0000}"/>
    <cellStyle name="Normal 38 3 3 2" xfId="2772" xr:uid="{00000000-0005-0000-0000-000006CC0000}"/>
    <cellStyle name="Normal 38 3 3 2 2" xfId="17921" xr:uid="{00000000-0005-0000-0000-000007CC0000}"/>
    <cellStyle name="Normal 38 3 3 20" xfId="46534" xr:uid="{00000000-0005-0000-0000-000008CC0000}"/>
    <cellStyle name="Normal 38 3 3 21" xfId="48217" xr:uid="{00000000-0005-0000-0000-000009CC0000}"/>
    <cellStyle name="Normal 38 3 3 22" xfId="49900" xr:uid="{00000000-0005-0000-0000-00000ACC0000}"/>
    <cellStyle name="Normal 38 3 3 23" xfId="51583" xr:uid="{00000000-0005-0000-0000-00000BCC0000}"/>
    <cellStyle name="Normal 38 3 3 24" xfId="53266" xr:uid="{00000000-0005-0000-0000-00000CCC0000}"/>
    <cellStyle name="Normal 38 3 3 25" xfId="54949" xr:uid="{00000000-0005-0000-0000-00000DCC0000}"/>
    <cellStyle name="Normal 38 3 3 26" xfId="56632" xr:uid="{00000000-0005-0000-0000-00000ECC0000}"/>
    <cellStyle name="Normal 38 3 3 27" xfId="58315" xr:uid="{00000000-0005-0000-0000-00000FCC0000}"/>
    <cellStyle name="Normal 38 3 3 28" xfId="59998" xr:uid="{00000000-0005-0000-0000-000010CC0000}"/>
    <cellStyle name="Normal 38 3 3 29" xfId="61681" xr:uid="{00000000-0005-0000-0000-000011CC0000}"/>
    <cellStyle name="Normal 38 3 3 3" xfId="4456" xr:uid="{00000000-0005-0000-0000-000012CC0000}"/>
    <cellStyle name="Normal 38 3 3 3 2" xfId="19605" xr:uid="{00000000-0005-0000-0000-000013CC0000}"/>
    <cellStyle name="Normal 38 3 3 30" xfId="63364" xr:uid="{00000000-0005-0000-0000-000014CC0000}"/>
    <cellStyle name="Normal 38 3 3 4" xfId="6139" xr:uid="{00000000-0005-0000-0000-000015CC0000}"/>
    <cellStyle name="Normal 38 3 3 4 2" xfId="21288" xr:uid="{00000000-0005-0000-0000-000016CC0000}"/>
    <cellStyle name="Normal 38 3 3 5" xfId="7822" xr:uid="{00000000-0005-0000-0000-000017CC0000}"/>
    <cellStyle name="Normal 38 3 3 5 2" xfId="22971" xr:uid="{00000000-0005-0000-0000-000018CC0000}"/>
    <cellStyle name="Normal 38 3 3 6" xfId="9505" xr:uid="{00000000-0005-0000-0000-000019CC0000}"/>
    <cellStyle name="Normal 38 3 3 6 2" xfId="24654" xr:uid="{00000000-0005-0000-0000-00001ACC0000}"/>
    <cellStyle name="Normal 38 3 3 7" xfId="11188" xr:uid="{00000000-0005-0000-0000-00001BCC0000}"/>
    <cellStyle name="Normal 38 3 3 7 2" xfId="26337" xr:uid="{00000000-0005-0000-0000-00001CCC0000}"/>
    <cellStyle name="Normal 38 3 3 8" xfId="12872" xr:uid="{00000000-0005-0000-0000-00001DCC0000}"/>
    <cellStyle name="Normal 38 3 3 8 2" xfId="28021" xr:uid="{00000000-0005-0000-0000-00001ECC0000}"/>
    <cellStyle name="Normal 38 3 3 9" xfId="14555" xr:uid="{00000000-0005-0000-0000-00001FCC0000}"/>
    <cellStyle name="Normal 38 3 3 9 2" xfId="29704" xr:uid="{00000000-0005-0000-0000-000020CC0000}"/>
    <cellStyle name="Normal 38 3 30" xfId="57474" xr:uid="{00000000-0005-0000-0000-000021CC0000}"/>
    <cellStyle name="Normal 38 3 31" xfId="59157" xr:uid="{00000000-0005-0000-0000-000022CC0000}"/>
    <cellStyle name="Normal 38 3 32" xfId="60840" xr:uid="{00000000-0005-0000-0000-000023CC0000}"/>
    <cellStyle name="Normal 38 3 33" xfId="62523" xr:uid="{00000000-0005-0000-0000-000024CC0000}"/>
    <cellStyle name="Normal 38 3 4" xfId="1510" xr:uid="{00000000-0005-0000-0000-000025CC0000}"/>
    <cellStyle name="Normal 38 3 4 10" xfId="16659" xr:uid="{00000000-0005-0000-0000-000026CC0000}"/>
    <cellStyle name="Normal 38 3 4 11" xfId="31808" xr:uid="{00000000-0005-0000-0000-000027CC0000}"/>
    <cellStyle name="Normal 38 3 4 12" xfId="33491" xr:uid="{00000000-0005-0000-0000-000028CC0000}"/>
    <cellStyle name="Normal 38 3 4 13" xfId="35174" xr:uid="{00000000-0005-0000-0000-000029CC0000}"/>
    <cellStyle name="Normal 38 3 4 14" xfId="36857" xr:uid="{00000000-0005-0000-0000-00002ACC0000}"/>
    <cellStyle name="Normal 38 3 4 15" xfId="38540" xr:uid="{00000000-0005-0000-0000-00002BCC0000}"/>
    <cellStyle name="Normal 38 3 4 16" xfId="40223" xr:uid="{00000000-0005-0000-0000-00002CCC0000}"/>
    <cellStyle name="Normal 38 3 4 17" xfId="41906" xr:uid="{00000000-0005-0000-0000-00002DCC0000}"/>
    <cellStyle name="Normal 38 3 4 18" xfId="43589" xr:uid="{00000000-0005-0000-0000-00002ECC0000}"/>
    <cellStyle name="Normal 38 3 4 19" xfId="45272" xr:uid="{00000000-0005-0000-0000-00002FCC0000}"/>
    <cellStyle name="Normal 38 3 4 2" xfId="3193" xr:uid="{00000000-0005-0000-0000-000030CC0000}"/>
    <cellStyle name="Normal 38 3 4 2 2" xfId="18342" xr:uid="{00000000-0005-0000-0000-000031CC0000}"/>
    <cellStyle name="Normal 38 3 4 20" xfId="46955" xr:uid="{00000000-0005-0000-0000-000032CC0000}"/>
    <cellStyle name="Normal 38 3 4 21" xfId="48638" xr:uid="{00000000-0005-0000-0000-000033CC0000}"/>
    <cellStyle name="Normal 38 3 4 22" xfId="50321" xr:uid="{00000000-0005-0000-0000-000034CC0000}"/>
    <cellStyle name="Normal 38 3 4 23" xfId="52004" xr:uid="{00000000-0005-0000-0000-000035CC0000}"/>
    <cellStyle name="Normal 38 3 4 24" xfId="53687" xr:uid="{00000000-0005-0000-0000-000036CC0000}"/>
    <cellStyle name="Normal 38 3 4 25" xfId="55370" xr:uid="{00000000-0005-0000-0000-000037CC0000}"/>
    <cellStyle name="Normal 38 3 4 26" xfId="57053" xr:uid="{00000000-0005-0000-0000-000038CC0000}"/>
    <cellStyle name="Normal 38 3 4 27" xfId="58736" xr:uid="{00000000-0005-0000-0000-000039CC0000}"/>
    <cellStyle name="Normal 38 3 4 28" xfId="60419" xr:uid="{00000000-0005-0000-0000-00003ACC0000}"/>
    <cellStyle name="Normal 38 3 4 29" xfId="62102" xr:uid="{00000000-0005-0000-0000-00003BCC0000}"/>
    <cellStyle name="Normal 38 3 4 3" xfId="4877" xr:uid="{00000000-0005-0000-0000-00003CCC0000}"/>
    <cellStyle name="Normal 38 3 4 3 2" xfId="20026" xr:uid="{00000000-0005-0000-0000-00003DCC0000}"/>
    <cellStyle name="Normal 38 3 4 30" xfId="63785" xr:uid="{00000000-0005-0000-0000-00003ECC0000}"/>
    <cellStyle name="Normal 38 3 4 4" xfId="6560" xr:uid="{00000000-0005-0000-0000-00003FCC0000}"/>
    <cellStyle name="Normal 38 3 4 4 2" xfId="21709" xr:uid="{00000000-0005-0000-0000-000040CC0000}"/>
    <cellStyle name="Normal 38 3 4 5" xfId="8243" xr:uid="{00000000-0005-0000-0000-000041CC0000}"/>
    <cellStyle name="Normal 38 3 4 5 2" xfId="23392" xr:uid="{00000000-0005-0000-0000-000042CC0000}"/>
    <cellStyle name="Normal 38 3 4 6" xfId="9926" xr:uid="{00000000-0005-0000-0000-000043CC0000}"/>
    <cellStyle name="Normal 38 3 4 6 2" xfId="25075" xr:uid="{00000000-0005-0000-0000-000044CC0000}"/>
    <cellStyle name="Normal 38 3 4 7" xfId="11609" xr:uid="{00000000-0005-0000-0000-000045CC0000}"/>
    <cellStyle name="Normal 38 3 4 7 2" xfId="26758" xr:uid="{00000000-0005-0000-0000-000046CC0000}"/>
    <cellStyle name="Normal 38 3 4 8" xfId="13293" xr:uid="{00000000-0005-0000-0000-000047CC0000}"/>
    <cellStyle name="Normal 38 3 4 8 2" xfId="28442" xr:uid="{00000000-0005-0000-0000-000048CC0000}"/>
    <cellStyle name="Normal 38 3 4 9" xfId="14976" xr:uid="{00000000-0005-0000-0000-000049CC0000}"/>
    <cellStyle name="Normal 38 3 4 9 2" xfId="30125" xr:uid="{00000000-0005-0000-0000-00004ACC0000}"/>
    <cellStyle name="Normal 38 3 5" xfId="1931" xr:uid="{00000000-0005-0000-0000-00004BCC0000}"/>
    <cellStyle name="Normal 38 3 5 2" xfId="17080" xr:uid="{00000000-0005-0000-0000-00004CCC0000}"/>
    <cellStyle name="Normal 38 3 6" xfId="3615" xr:uid="{00000000-0005-0000-0000-00004DCC0000}"/>
    <cellStyle name="Normal 38 3 6 2" xfId="18764" xr:uid="{00000000-0005-0000-0000-00004ECC0000}"/>
    <cellStyle name="Normal 38 3 7" xfId="5298" xr:uid="{00000000-0005-0000-0000-00004FCC0000}"/>
    <cellStyle name="Normal 38 3 7 2" xfId="20447" xr:uid="{00000000-0005-0000-0000-000050CC0000}"/>
    <cellStyle name="Normal 38 3 8" xfId="6981" xr:uid="{00000000-0005-0000-0000-000051CC0000}"/>
    <cellStyle name="Normal 38 3 8 2" xfId="22130" xr:uid="{00000000-0005-0000-0000-000052CC0000}"/>
    <cellStyle name="Normal 38 3 9" xfId="8664" xr:uid="{00000000-0005-0000-0000-000053CC0000}"/>
    <cellStyle name="Normal 38 3 9 2" xfId="23813" xr:uid="{00000000-0005-0000-0000-000054CC0000}"/>
    <cellStyle name="Normal 38 30" xfId="53898" xr:uid="{00000000-0005-0000-0000-000055CC0000}"/>
    <cellStyle name="Normal 38 31" xfId="55581" xr:uid="{00000000-0005-0000-0000-000056CC0000}"/>
    <cellStyle name="Normal 38 32" xfId="57264" xr:uid="{00000000-0005-0000-0000-000057CC0000}"/>
    <cellStyle name="Normal 38 33" xfId="58947" xr:uid="{00000000-0005-0000-0000-000058CC0000}"/>
    <cellStyle name="Normal 38 34" xfId="60630" xr:uid="{00000000-0005-0000-0000-000059CC0000}"/>
    <cellStyle name="Normal 38 35" xfId="62313" xr:uid="{00000000-0005-0000-0000-00005ACC0000}"/>
    <cellStyle name="Normal 38 4" xfId="458" xr:uid="{00000000-0005-0000-0000-00005BCC0000}"/>
    <cellStyle name="Normal 38 4 10" xfId="15607" xr:uid="{00000000-0005-0000-0000-00005CCC0000}"/>
    <cellStyle name="Normal 38 4 11" xfId="30756" xr:uid="{00000000-0005-0000-0000-00005DCC0000}"/>
    <cellStyle name="Normal 38 4 12" xfId="32439" xr:uid="{00000000-0005-0000-0000-00005ECC0000}"/>
    <cellStyle name="Normal 38 4 13" xfId="34122" xr:uid="{00000000-0005-0000-0000-00005FCC0000}"/>
    <cellStyle name="Normal 38 4 14" xfId="35805" xr:uid="{00000000-0005-0000-0000-000060CC0000}"/>
    <cellStyle name="Normal 38 4 15" xfId="37488" xr:uid="{00000000-0005-0000-0000-000061CC0000}"/>
    <cellStyle name="Normal 38 4 16" xfId="39171" xr:uid="{00000000-0005-0000-0000-000062CC0000}"/>
    <cellStyle name="Normal 38 4 17" xfId="40854" xr:uid="{00000000-0005-0000-0000-000063CC0000}"/>
    <cellStyle name="Normal 38 4 18" xfId="42537" xr:uid="{00000000-0005-0000-0000-000064CC0000}"/>
    <cellStyle name="Normal 38 4 19" xfId="44220" xr:uid="{00000000-0005-0000-0000-000065CC0000}"/>
    <cellStyle name="Normal 38 4 2" xfId="2141" xr:uid="{00000000-0005-0000-0000-000066CC0000}"/>
    <cellStyle name="Normal 38 4 2 2" xfId="17290" xr:uid="{00000000-0005-0000-0000-000067CC0000}"/>
    <cellStyle name="Normal 38 4 20" xfId="45903" xr:uid="{00000000-0005-0000-0000-000068CC0000}"/>
    <cellStyle name="Normal 38 4 21" xfId="47586" xr:uid="{00000000-0005-0000-0000-000069CC0000}"/>
    <cellStyle name="Normal 38 4 22" xfId="49269" xr:uid="{00000000-0005-0000-0000-00006ACC0000}"/>
    <cellStyle name="Normal 38 4 23" xfId="50952" xr:uid="{00000000-0005-0000-0000-00006BCC0000}"/>
    <cellStyle name="Normal 38 4 24" xfId="52635" xr:uid="{00000000-0005-0000-0000-00006CCC0000}"/>
    <cellStyle name="Normal 38 4 25" xfId="54318" xr:uid="{00000000-0005-0000-0000-00006DCC0000}"/>
    <cellStyle name="Normal 38 4 26" xfId="56001" xr:uid="{00000000-0005-0000-0000-00006ECC0000}"/>
    <cellStyle name="Normal 38 4 27" xfId="57684" xr:uid="{00000000-0005-0000-0000-00006FCC0000}"/>
    <cellStyle name="Normal 38 4 28" xfId="59367" xr:uid="{00000000-0005-0000-0000-000070CC0000}"/>
    <cellStyle name="Normal 38 4 29" xfId="61050" xr:uid="{00000000-0005-0000-0000-000071CC0000}"/>
    <cellStyle name="Normal 38 4 3" xfId="3825" xr:uid="{00000000-0005-0000-0000-000072CC0000}"/>
    <cellStyle name="Normal 38 4 3 2" xfId="18974" xr:uid="{00000000-0005-0000-0000-000073CC0000}"/>
    <cellStyle name="Normal 38 4 30" xfId="62733" xr:uid="{00000000-0005-0000-0000-000074CC0000}"/>
    <cellStyle name="Normal 38 4 4" xfId="5508" xr:uid="{00000000-0005-0000-0000-000075CC0000}"/>
    <cellStyle name="Normal 38 4 4 2" xfId="20657" xr:uid="{00000000-0005-0000-0000-000076CC0000}"/>
    <cellStyle name="Normal 38 4 5" xfId="7191" xr:uid="{00000000-0005-0000-0000-000077CC0000}"/>
    <cellStyle name="Normal 38 4 5 2" xfId="22340" xr:uid="{00000000-0005-0000-0000-000078CC0000}"/>
    <cellStyle name="Normal 38 4 6" xfId="8874" xr:uid="{00000000-0005-0000-0000-000079CC0000}"/>
    <cellStyle name="Normal 38 4 6 2" xfId="24023" xr:uid="{00000000-0005-0000-0000-00007ACC0000}"/>
    <cellStyle name="Normal 38 4 7" xfId="10557" xr:uid="{00000000-0005-0000-0000-00007BCC0000}"/>
    <cellStyle name="Normal 38 4 7 2" xfId="25706" xr:uid="{00000000-0005-0000-0000-00007CCC0000}"/>
    <cellStyle name="Normal 38 4 8" xfId="12241" xr:uid="{00000000-0005-0000-0000-00007DCC0000}"/>
    <cellStyle name="Normal 38 4 8 2" xfId="27390" xr:uid="{00000000-0005-0000-0000-00007ECC0000}"/>
    <cellStyle name="Normal 38 4 9" xfId="13924" xr:uid="{00000000-0005-0000-0000-00007FCC0000}"/>
    <cellStyle name="Normal 38 4 9 2" xfId="29073" xr:uid="{00000000-0005-0000-0000-000080CC0000}"/>
    <cellStyle name="Normal 38 5" xfId="879" xr:uid="{00000000-0005-0000-0000-000081CC0000}"/>
    <cellStyle name="Normal 38 5 10" xfId="16028" xr:uid="{00000000-0005-0000-0000-000082CC0000}"/>
    <cellStyle name="Normal 38 5 11" xfId="31177" xr:uid="{00000000-0005-0000-0000-000083CC0000}"/>
    <cellStyle name="Normal 38 5 12" xfId="32860" xr:uid="{00000000-0005-0000-0000-000084CC0000}"/>
    <cellStyle name="Normal 38 5 13" xfId="34543" xr:uid="{00000000-0005-0000-0000-000085CC0000}"/>
    <cellStyle name="Normal 38 5 14" xfId="36226" xr:uid="{00000000-0005-0000-0000-000086CC0000}"/>
    <cellStyle name="Normal 38 5 15" xfId="37909" xr:uid="{00000000-0005-0000-0000-000087CC0000}"/>
    <cellStyle name="Normal 38 5 16" xfId="39592" xr:uid="{00000000-0005-0000-0000-000088CC0000}"/>
    <cellStyle name="Normal 38 5 17" xfId="41275" xr:uid="{00000000-0005-0000-0000-000089CC0000}"/>
    <cellStyle name="Normal 38 5 18" xfId="42958" xr:uid="{00000000-0005-0000-0000-00008ACC0000}"/>
    <cellStyle name="Normal 38 5 19" xfId="44641" xr:uid="{00000000-0005-0000-0000-00008BCC0000}"/>
    <cellStyle name="Normal 38 5 2" xfId="2562" xr:uid="{00000000-0005-0000-0000-00008CCC0000}"/>
    <cellStyle name="Normal 38 5 2 2" xfId="17711" xr:uid="{00000000-0005-0000-0000-00008DCC0000}"/>
    <cellStyle name="Normal 38 5 20" xfId="46324" xr:uid="{00000000-0005-0000-0000-00008ECC0000}"/>
    <cellStyle name="Normal 38 5 21" xfId="48007" xr:uid="{00000000-0005-0000-0000-00008FCC0000}"/>
    <cellStyle name="Normal 38 5 22" xfId="49690" xr:uid="{00000000-0005-0000-0000-000090CC0000}"/>
    <cellStyle name="Normal 38 5 23" xfId="51373" xr:uid="{00000000-0005-0000-0000-000091CC0000}"/>
    <cellStyle name="Normal 38 5 24" xfId="53056" xr:uid="{00000000-0005-0000-0000-000092CC0000}"/>
    <cellStyle name="Normal 38 5 25" xfId="54739" xr:uid="{00000000-0005-0000-0000-000093CC0000}"/>
    <cellStyle name="Normal 38 5 26" xfId="56422" xr:uid="{00000000-0005-0000-0000-000094CC0000}"/>
    <cellStyle name="Normal 38 5 27" xfId="58105" xr:uid="{00000000-0005-0000-0000-000095CC0000}"/>
    <cellStyle name="Normal 38 5 28" xfId="59788" xr:uid="{00000000-0005-0000-0000-000096CC0000}"/>
    <cellStyle name="Normal 38 5 29" xfId="61471" xr:uid="{00000000-0005-0000-0000-000097CC0000}"/>
    <cellStyle name="Normal 38 5 3" xfId="4246" xr:uid="{00000000-0005-0000-0000-000098CC0000}"/>
    <cellStyle name="Normal 38 5 3 2" xfId="19395" xr:uid="{00000000-0005-0000-0000-000099CC0000}"/>
    <cellStyle name="Normal 38 5 30" xfId="63154" xr:uid="{00000000-0005-0000-0000-00009ACC0000}"/>
    <cellStyle name="Normal 38 5 4" xfId="5929" xr:uid="{00000000-0005-0000-0000-00009BCC0000}"/>
    <cellStyle name="Normal 38 5 4 2" xfId="21078" xr:uid="{00000000-0005-0000-0000-00009CCC0000}"/>
    <cellStyle name="Normal 38 5 5" xfId="7612" xr:uid="{00000000-0005-0000-0000-00009DCC0000}"/>
    <cellStyle name="Normal 38 5 5 2" xfId="22761" xr:uid="{00000000-0005-0000-0000-00009ECC0000}"/>
    <cellStyle name="Normal 38 5 6" xfId="9295" xr:uid="{00000000-0005-0000-0000-00009FCC0000}"/>
    <cellStyle name="Normal 38 5 6 2" xfId="24444" xr:uid="{00000000-0005-0000-0000-0000A0CC0000}"/>
    <cellStyle name="Normal 38 5 7" xfId="10978" xr:uid="{00000000-0005-0000-0000-0000A1CC0000}"/>
    <cellStyle name="Normal 38 5 7 2" xfId="26127" xr:uid="{00000000-0005-0000-0000-0000A2CC0000}"/>
    <cellStyle name="Normal 38 5 8" xfId="12662" xr:uid="{00000000-0005-0000-0000-0000A3CC0000}"/>
    <cellStyle name="Normal 38 5 8 2" xfId="27811" xr:uid="{00000000-0005-0000-0000-0000A4CC0000}"/>
    <cellStyle name="Normal 38 5 9" xfId="14345" xr:uid="{00000000-0005-0000-0000-0000A5CC0000}"/>
    <cellStyle name="Normal 38 5 9 2" xfId="29494" xr:uid="{00000000-0005-0000-0000-0000A6CC0000}"/>
    <cellStyle name="Normal 38 6" xfId="1300" xr:uid="{00000000-0005-0000-0000-0000A7CC0000}"/>
    <cellStyle name="Normal 38 6 10" xfId="16449" xr:uid="{00000000-0005-0000-0000-0000A8CC0000}"/>
    <cellStyle name="Normal 38 6 11" xfId="31598" xr:uid="{00000000-0005-0000-0000-0000A9CC0000}"/>
    <cellStyle name="Normal 38 6 12" xfId="33281" xr:uid="{00000000-0005-0000-0000-0000AACC0000}"/>
    <cellStyle name="Normal 38 6 13" xfId="34964" xr:uid="{00000000-0005-0000-0000-0000ABCC0000}"/>
    <cellStyle name="Normal 38 6 14" xfId="36647" xr:uid="{00000000-0005-0000-0000-0000ACCC0000}"/>
    <cellStyle name="Normal 38 6 15" xfId="38330" xr:uid="{00000000-0005-0000-0000-0000ADCC0000}"/>
    <cellStyle name="Normal 38 6 16" xfId="40013" xr:uid="{00000000-0005-0000-0000-0000AECC0000}"/>
    <cellStyle name="Normal 38 6 17" xfId="41696" xr:uid="{00000000-0005-0000-0000-0000AFCC0000}"/>
    <cellStyle name="Normal 38 6 18" xfId="43379" xr:uid="{00000000-0005-0000-0000-0000B0CC0000}"/>
    <cellStyle name="Normal 38 6 19" xfId="45062" xr:uid="{00000000-0005-0000-0000-0000B1CC0000}"/>
    <cellStyle name="Normal 38 6 2" xfId="2983" xr:uid="{00000000-0005-0000-0000-0000B2CC0000}"/>
    <cellStyle name="Normal 38 6 2 2" xfId="18132" xr:uid="{00000000-0005-0000-0000-0000B3CC0000}"/>
    <cellStyle name="Normal 38 6 20" xfId="46745" xr:uid="{00000000-0005-0000-0000-0000B4CC0000}"/>
    <cellStyle name="Normal 38 6 21" xfId="48428" xr:uid="{00000000-0005-0000-0000-0000B5CC0000}"/>
    <cellStyle name="Normal 38 6 22" xfId="50111" xr:uid="{00000000-0005-0000-0000-0000B6CC0000}"/>
    <cellStyle name="Normal 38 6 23" xfId="51794" xr:uid="{00000000-0005-0000-0000-0000B7CC0000}"/>
    <cellStyle name="Normal 38 6 24" xfId="53477" xr:uid="{00000000-0005-0000-0000-0000B8CC0000}"/>
    <cellStyle name="Normal 38 6 25" xfId="55160" xr:uid="{00000000-0005-0000-0000-0000B9CC0000}"/>
    <cellStyle name="Normal 38 6 26" xfId="56843" xr:uid="{00000000-0005-0000-0000-0000BACC0000}"/>
    <cellStyle name="Normal 38 6 27" xfId="58526" xr:uid="{00000000-0005-0000-0000-0000BBCC0000}"/>
    <cellStyle name="Normal 38 6 28" xfId="60209" xr:uid="{00000000-0005-0000-0000-0000BCCC0000}"/>
    <cellStyle name="Normal 38 6 29" xfId="61892" xr:uid="{00000000-0005-0000-0000-0000BDCC0000}"/>
    <cellStyle name="Normal 38 6 3" xfId="4667" xr:uid="{00000000-0005-0000-0000-0000BECC0000}"/>
    <cellStyle name="Normal 38 6 3 2" xfId="19816" xr:uid="{00000000-0005-0000-0000-0000BFCC0000}"/>
    <cellStyle name="Normal 38 6 30" xfId="63575" xr:uid="{00000000-0005-0000-0000-0000C0CC0000}"/>
    <cellStyle name="Normal 38 6 4" xfId="6350" xr:uid="{00000000-0005-0000-0000-0000C1CC0000}"/>
    <cellStyle name="Normal 38 6 4 2" xfId="21499" xr:uid="{00000000-0005-0000-0000-0000C2CC0000}"/>
    <cellStyle name="Normal 38 6 5" xfId="8033" xr:uid="{00000000-0005-0000-0000-0000C3CC0000}"/>
    <cellStyle name="Normal 38 6 5 2" xfId="23182" xr:uid="{00000000-0005-0000-0000-0000C4CC0000}"/>
    <cellStyle name="Normal 38 6 6" xfId="9716" xr:uid="{00000000-0005-0000-0000-0000C5CC0000}"/>
    <cellStyle name="Normal 38 6 6 2" xfId="24865" xr:uid="{00000000-0005-0000-0000-0000C6CC0000}"/>
    <cellStyle name="Normal 38 6 7" xfId="11399" xr:uid="{00000000-0005-0000-0000-0000C7CC0000}"/>
    <cellStyle name="Normal 38 6 7 2" xfId="26548" xr:uid="{00000000-0005-0000-0000-0000C8CC0000}"/>
    <cellStyle name="Normal 38 6 8" xfId="13083" xr:uid="{00000000-0005-0000-0000-0000C9CC0000}"/>
    <cellStyle name="Normal 38 6 8 2" xfId="28232" xr:uid="{00000000-0005-0000-0000-0000CACC0000}"/>
    <cellStyle name="Normal 38 6 9" xfId="14766" xr:uid="{00000000-0005-0000-0000-0000CBCC0000}"/>
    <cellStyle name="Normal 38 6 9 2" xfId="29915" xr:uid="{00000000-0005-0000-0000-0000CCCC0000}"/>
    <cellStyle name="Normal 38 7" xfId="1721" xr:uid="{00000000-0005-0000-0000-0000CDCC0000}"/>
    <cellStyle name="Normal 38 7 2" xfId="16870" xr:uid="{00000000-0005-0000-0000-0000CECC0000}"/>
    <cellStyle name="Normal 38 8" xfId="3405" xr:uid="{00000000-0005-0000-0000-0000CFCC0000}"/>
    <cellStyle name="Normal 38 8 2" xfId="18554" xr:uid="{00000000-0005-0000-0000-0000D0CC0000}"/>
    <cellStyle name="Normal 38 9" xfId="5088" xr:uid="{00000000-0005-0000-0000-0000D1CC0000}"/>
    <cellStyle name="Normal 38 9 2" xfId="20237" xr:uid="{00000000-0005-0000-0000-0000D2CC0000}"/>
    <cellStyle name="Normal 4" xfId="16" xr:uid="{00000000-0005-0000-0000-0000D3CC0000}"/>
    <cellStyle name="Normal 4 10" xfId="6773" xr:uid="{00000000-0005-0000-0000-0000D4CC0000}"/>
    <cellStyle name="Normal 4 10 2" xfId="21922" xr:uid="{00000000-0005-0000-0000-0000D5CC0000}"/>
    <cellStyle name="Normal 4 11" xfId="8456" xr:uid="{00000000-0005-0000-0000-0000D6CC0000}"/>
    <cellStyle name="Normal 4 11 2" xfId="23605" xr:uid="{00000000-0005-0000-0000-0000D7CC0000}"/>
    <cellStyle name="Normal 4 12" xfId="10139" xr:uid="{00000000-0005-0000-0000-0000D8CC0000}"/>
    <cellStyle name="Normal 4 12 2" xfId="25288" xr:uid="{00000000-0005-0000-0000-0000D9CC0000}"/>
    <cellStyle name="Normal 4 13" xfId="11823" xr:uid="{00000000-0005-0000-0000-0000DACC0000}"/>
    <cellStyle name="Normal 4 13 2" xfId="26972" xr:uid="{00000000-0005-0000-0000-0000DBCC0000}"/>
    <cellStyle name="Normal 4 14" xfId="13506" xr:uid="{00000000-0005-0000-0000-0000DCCC0000}"/>
    <cellStyle name="Normal 4 14 2" xfId="28655" xr:uid="{00000000-0005-0000-0000-0000DDCC0000}"/>
    <cellStyle name="Normal 4 15" xfId="15189" xr:uid="{00000000-0005-0000-0000-0000DECC0000}"/>
    <cellStyle name="Normal 4 16" xfId="30338" xr:uid="{00000000-0005-0000-0000-0000DFCC0000}"/>
    <cellStyle name="Normal 4 17" xfId="32021" xr:uid="{00000000-0005-0000-0000-0000E0CC0000}"/>
    <cellStyle name="Normal 4 18" xfId="33704" xr:uid="{00000000-0005-0000-0000-0000E1CC0000}"/>
    <cellStyle name="Normal 4 19" xfId="35387" xr:uid="{00000000-0005-0000-0000-0000E2CC0000}"/>
    <cellStyle name="Normal 4 2" xfId="145" xr:uid="{00000000-0005-0000-0000-0000E3CC0000}"/>
    <cellStyle name="Normal 4 2 10" xfId="8561" xr:uid="{00000000-0005-0000-0000-0000E4CC0000}"/>
    <cellStyle name="Normal 4 2 10 2" xfId="23710" xr:uid="{00000000-0005-0000-0000-0000E5CC0000}"/>
    <cellStyle name="Normal 4 2 11" xfId="10244" xr:uid="{00000000-0005-0000-0000-0000E6CC0000}"/>
    <cellStyle name="Normal 4 2 11 2" xfId="25393" xr:uid="{00000000-0005-0000-0000-0000E7CC0000}"/>
    <cellStyle name="Normal 4 2 12" xfId="11928" xr:uid="{00000000-0005-0000-0000-0000E8CC0000}"/>
    <cellStyle name="Normal 4 2 12 2" xfId="27077" xr:uid="{00000000-0005-0000-0000-0000E9CC0000}"/>
    <cellStyle name="Normal 4 2 13" xfId="13611" xr:uid="{00000000-0005-0000-0000-0000EACC0000}"/>
    <cellStyle name="Normal 4 2 13 2" xfId="28760" xr:uid="{00000000-0005-0000-0000-0000EBCC0000}"/>
    <cellStyle name="Normal 4 2 14" xfId="15294" xr:uid="{00000000-0005-0000-0000-0000ECCC0000}"/>
    <cellStyle name="Normal 4 2 15" xfId="30443" xr:uid="{00000000-0005-0000-0000-0000EDCC0000}"/>
    <cellStyle name="Normal 4 2 16" xfId="32126" xr:uid="{00000000-0005-0000-0000-0000EECC0000}"/>
    <cellStyle name="Normal 4 2 17" xfId="33809" xr:uid="{00000000-0005-0000-0000-0000EFCC0000}"/>
    <cellStyle name="Normal 4 2 18" xfId="35492" xr:uid="{00000000-0005-0000-0000-0000F0CC0000}"/>
    <cellStyle name="Normal 4 2 19" xfId="37175" xr:uid="{00000000-0005-0000-0000-0000F1CC0000}"/>
    <cellStyle name="Normal 4 2 2" xfId="355" xr:uid="{00000000-0005-0000-0000-0000F2CC0000}"/>
    <cellStyle name="Normal 4 2 2 10" xfId="10454" xr:uid="{00000000-0005-0000-0000-0000F3CC0000}"/>
    <cellStyle name="Normal 4 2 2 10 2" xfId="25603" xr:uid="{00000000-0005-0000-0000-0000F4CC0000}"/>
    <cellStyle name="Normal 4 2 2 11" xfId="12138" xr:uid="{00000000-0005-0000-0000-0000F5CC0000}"/>
    <cellStyle name="Normal 4 2 2 11 2" xfId="27287" xr:uid="{00000000-0005-0000-0000-0000F6CC0000}"/>
    <cellStyle name="Normal 4 2 2 12" xfId="13821" xr:uid="{00000000-0005-0000-0000-0000F7CC0000}"/>
    <cellStyle name="Normal 4 2 2 12 2" xfId="28970" xr:uid="{00000000-0005-0000-0000-0000F8CC0000}"/>
    <cellStyle name="Normal 4 2 2 13" xfId="15504" xr:uid="{00000000-0005-0000-0000-0000F9CC0000}"/>
    <cellStyle name="Normal 4 2 2 14" xfId="30653" xr:uid="{00000000-0005-0000-0000-0000FACC0000}"/>
    <cellStyle name="Normal 4 2 2 15" xfId="32336" xr:uid="{00000000-0005-0000-0000-0000FBCC0000}"/>
    <cellStyle name="Normal 4 2 2 16" xfId="34019" xr:uid="{00000000-0005-0000-0000-0000FCCC0000}"/>
    <cellStyle name="Normal 4 2 2 17" xfId="35702" xr:uid="{00000000-0005-0000-0000-0000FDCC0000}"/>
    <cellStyle name="Normal 4 2 2 18" xfId="37385" xr:uid="{00000000-0005-0000-0000-0000FECC0000}"/>
    <cellStyle name="Normal 4 2 2 19" xfId="39068" xr:uid="{00000000-0005-0000-0000-0000FFCC0000}"/>
    <cellStyle name="Normal 4 2 2 2" xfId="775" xr:uid="{00000000-0005-0000-0000-000000CD0000}"/>
    <cellStyle name="Normal 4 2 2 2 10" xfId="15924" xr:uid="{00000000-0005-0000-0000-000001CD0000}"/>
    <cellStyle name="Normal 4 2 2 2 11" xfId="31073" xr:uid="{00000000-0005-0000-0000-000002CD0000}"/>
    <cellStyle name="Normal 4 2 2 2 12" xfId="32756" xr:uid="{00000000-0005-0000-0000-000003CD0000}"/>
    <cellStyle name="Normal 4 2 2 2 13" xfId="34439" xr:uid="{00000000-0005-0000-0000-000004CD0000}"/>
    <cellStyle name="Normal 4 2 2 2 14" xfId="36122" xr:uid="{00000000-0005-0000-0000-000005CD0000}"/>
    <cellStyle name="Normal 4 2 2 2 15" xfId="37805" xr:uid="{00000000-0005-0000-0000-000006CD0000}"/>
    <cellStyle name="Normal 4 2 2 2 16" xfId="39488" xr:uid="{00000000-0005-0000-0000-000007CD0000}"/>
    <cellStyle name="Normal 4 2 2 2 17" xfId="41171" xr:uid="{00000000-0005-0000-0000-000008CD0000}"/>
    <cellStyle name="Normal 4 2 2 2 18" xfId="42854" xr:uid="{00000000-0005-0000-0000-000009CD0000}"/>
    <cellStyle name="Normal 4 2 2 2 19" xfId="44537" xr:uid="{00000000-0005-0000-0000-00000ACD0000}"/>
    <cellStyle name="Normal 4 2 2 2 2" xfId="2458" xr:uid="{00000000-0005-0000-0000-00000BCD0000}"/>
    <cellStyle name="Normal 4 2 2 2 2 2" xfId="17607" xr:uid="{00000000-0005-0000-0000-00000CCD0000}"/>
    <cellStyle name="Normal 4 2 2 2 20" xfId="46220" xr:uid="{00000000-0005-0000-0000-00000DCD0000}"/>
    <cellStyle name="Normal 4 2 2 2 21" xfId="47903" xr:uid="{00000000-0005-0000-0000-00000ECD0000}"/>
    <cellStyle name="Normal 4 2 2 2 22" xfId="49586" xr:uid="{00000000-0005-0000-0000-00000FCD0000}"/>
    <cellStyle name="Normal 4 2 2 2 23" xfId="51269" xr:uid="{00000000-0005-0000-0000-000010CD0000}"/>
    <cellStyle name="Normal 4 2 2 2 24" xfId="52952" xr:uid="{00000000-0005-0000-0000-000011CD0000}"/>
    <cellStyle name="Normal 4 2 2 2 25" xfId="54635" xr:uid="{00000000-0005-0000-0000-000012CD0000}"/>
    <cellStyle name="Normal 4 2 2 2 26" xfId="56318" xr:uid="{00000000-0005-0000-0000-000013CD0000}"/>
    <cellStyle name="Normal 4 2 2 2 27" xfId="58001" xr:uid="{00000000-0005-0000-0000-000014CD0000}"/>
    <cellStyle name="Normal 4 2 2 2 28" xfId="59684" xr:uid="{00000000-0005-0000-0000-000015CD0000}"/>
    <cellStyle name="Normal 4 2 2 2 29" xfId="61367" xr:uid="{00000000-0005-0000-0000-000016CD0000}"/>
    <cellStyle name="Normal 4 2 2 2 3" xfId="4142" xr:uid="{00000000-0005-0000-0000-000017CD0000}"/>
    <cellStyle name="Normal 4 2 2 2 3 2" xfId="19291" xr:uid="{00000000-0005-0000-0000-000018CD0000}"/>
    <cellStyle name="Normal 4 2 2 2 30" xfId="63050" xr:uid="{00000000-0005-0000-0000-000019CD0000}"/>
    <cellStyle name="Normal 4 2 2 2 4" xfId="5825" xr:uid="{00000000-0005-0000-0000-00001ACD0000}"/>
    <cellStyle name="Normal 4 2 2 2 4 2" xfId="20974" xr:uid="{00000000-0005-0000-0000-00001BCD0000}"/>
    <cellStyle name="Normal 4 2 2 2 5" xfId="7508" xr:uid="{00000000-0005-0000-0000-00001CCD0000}"/>
    <cellStyle name="Normal 4 2 2 2 5 2" xfId="22657" xr:uid="{00000000-0005-0000-0000-00001DCD0000}"/>
    <cellStyle name="Normal 4 2 2 2 6" xfId="9191" xr:uid="{00000000-0005-0000-0000-00001ECD0000}"/>
    <cellStyle name="Normal 4 2 2 2 6 2" xfId="24340" xr:uid="{00000000-0005-0000-0000-00001FCD0000}"/>
    <cellStyle name="Normal 4 2 2 2 7" xfId="10874" xr:uid="{00000000-0005-0000-0000-000020CD0000}"/>
    <cellStyle name="Normal 4 2 2 2 7 2" xfId="26023" xr:uid="{00000000-0005-0000-0000-000021CD0000}"/>
    <cellStyle name="Normal 4 2 2 2 8" xfId="12558" xr:uid="{00000000-0005-0000-0000-000022CD0000}"/>
    <cellStyle name="Normal 4 2 2 2 8 2" xfId="27707" xr:uid="{00000000-0005-0000-0000-000023CD0000}"/>
    <cellStyle name="Normal 4 2 2 2 9" xfId="14241" xr:uid="{00000000-0005-0000-0000-000024CD0000}"/>
    <cellStyle name="Normal 4 2 2 2 9 2" xfId="29390" xr:uid="{00000000-0005-0000-0000-000025CD0000}"/>
    <cellStyle name="Normal 4 2 2 20" xfId="40751" xr:uid="{00000000-0005-0000-0000-000026CD0000}"/>
    <cellStyle name="Normal 4 2 2 21" xfId="42434" xr:uid="{00000000-0005-0000-0000-000027CD0000}"/>
    <cellStyle name="Normal 4 2 2 22" xfId="44117" xr:uid="{00000000-0005-0000-0000-000028CD0000}"/>
    <cellStyle name="Normal 4 2 2 23" xfId="45800" xr:uid="{00000000-0005-0000-0000-000029CD0000}"/>
    <cellStyle name="Normal 4 2 2 24" xfId="47483" xr:uid="{00000000-0005-0000-0000-00002ACD0000}"/>
    <cellStyle name="Normal 4 2 2 25" xfId="49166" xr:uid="{00000000-0005-0000-0000-00002BCD0000}"/>
    <cellStyle name="Normal 4 2 2 26" xfId="50849" xr:uid="{00000000-0005-0000-0000-00002CCD0000}"/>
    <cellStyle name="Normal 4 2 2 27" xfId="52532" xr:uid="{00000000-0005-0000-0000-00002DCD0000}"/>
    <cellStyle name="Normal 4 2 2 28" xfId="54215" xr:uid="{00000000-0005-0000-0000-00002ECD0000}"/>
    <cellStyle name="Normal 4 2 2 29" xfId="55898" xr:uid="{00000000-0005-0000-0000-00002FCD0000}"/>
    <cellStyle name="Normal 4 2 2 3" xfId="1196" xr:uid="{00000000-0005-0000-0000-000030CD0000}"/>
    <cellStyle name="Normal 4 2 2 3 10" xfId="16345" xr:uid="{00000000-0005-0000-0000-000031CD0000}"/>
    <cellStyle name="Normal 4 2 2 3 11" xfId="31494" xr:uid="{00000000-0005-0000-0000-000032CD0000}"/>
    <cellStyle name="Normal 4 2 2 3 12" xfId="33177" xr:uid="{00000000-0005-0000-0000-000033CD0000}"/>
    <cellStyle name="Normal 4 2 2 3 13" xfId="34860" xr:uid="{00000000-0005-0000-0000-000034CD0000}"/>
    <cellStyle name="Normal 4 2 2 3 14" xfId="36543" xr:uid="{00000000-0005-0000-0000-000035CD0000}"/>
    <cellStyle name="Normal 4 2 2 3 15" xfId="38226" xr:uid="{00000000-0005-0000-0000-000036CD0000}"/>
    <cellStyle name="Normal 4 2 2 3 16" xfId="39909" xr:uid="{00000000-0005-0000-0000-000037CD0000}"/>
    <cellStyle name="Normal 4 2 2 3 17" xfId="41592" xr:uid="{00000000-0005-0000-0000-000038CD0000}"/>
    <cellStyle name="Normal 4 2 2 3 18" xfId="43275" xr:uid="{00000000-0005-0000-0000-000039CD0000}"/>
    <cellStyle name="Normal 4 2 2 3 19" xfId="44958" xr:uid="{00000000-0005-0000-0000-00003ACD0000}"/>
    <cellStyle name="Normal 4 2 2 3 2" xfId="2879" xr:uid="{00000000-0005-0000-0000-00003BCD0000}"/>
    <cellStyle name="Normal 4 2 2 3 2 2" xfId="18028" xr:uid="{00000000-0005-0000-0000-00003CCD0000}"/>
    <cellStyle name="Normal 4 2 2 3 20" xfId="46641" xr:uid="{00000000-0005-0000-0000-00003DCD0000}"/>
    <cellStyle name="Normal 4 2 2 3 21" xfId="48324" xr:uid="{00000000-0005-0000-0000-00003ECD0000}"/>
    <cellStyle name="Normal 4 2 2 3 22" xfId="50007" xr:uid="{00000000-0005-0000-0000-00003FCD0000}"/>
    <cellStyle name="Normal 4 2 2 3 23" xfId="51690" xr:uid="{00000000-0005-0000-0000-000040CD0000}"/>
    <cellStyle name="Normal 4 2 2 3 24" xfId="53373" xr:uid="{00000000-0005-0000-0000-000041CD0000}"/>
    <cellStyle name="Normal 4 2 2 3 25" xfId="55056" xr:uid="{00000000-0005-0000-0000-000042CD0000}"/>
    <cellStyle name="Normal 4 2 2 3 26" xfId="56739" xr:uid="{00000000-0005-0000-0000-000043CD0000}"/>
    <cellStyle name="Normal 4 2 2 3 27" xfId="58422" xr:uid="{00000000-0005-0000-0000-000044CD0000}"/>
    <cellStyle name="Normal 4 2 2 3 28" xfId="60105" xr:uid="{00000000-0005-0000-0000-000045CD0000}"/>
    <cellStyle name="Normal 4 2 2 3 29" xfId="61788" xr:uid="{00000000-0005-0000-0000-000046CD0000}"/>
    <cellStyle name="Normal 4 2 2 3 3" xfId="4563" xr:uid="{00000000-0005-0000-0000-000047CD0000}"/>
    <cellStyle name="Normal 4 2 2 3 3 2" xfId="19712" xr:uid="{00000000-0005-0000-0000-000048CD0000}"/>
    <cellStyle name="Normal 4 2 2 3 30" xfId="63471" xr:uid="{00000000-0005-0000-0000-000049CD0000}"/>
    <cellStyle name="Normal 4 2 2 3 4" xfId="6246" xr:uid="{00000000-0005-0000-0000-00004ACD0000}"/>
    <cellStyle name="Normal 4 2 2 3 4 2" xfId="21395" xr:uid="{00000000-0005-0000-0000-00004BCD0000}"/>
    <cellStyle name="Normal 4 2 2 3 5" xfId="7929" xr:uid="{00000000-0005-0000-0000-00004CCD0000}"/>
    <cellStyle name="Normal 4 2 2 3 5 2" xfId="23078" xr:uid="{00000000-0005-0000-0000-00004DCD0000}"/>
    <cellStyle name="Normal 4 2 2 3 6" xfId="9612" xr:uid="{00000000-0005-0000-0000-00004ECD0000}"/>
    <cellStyle name="Normal 4 2 2 3 6 2" xfId="24761" xr:uid="{00000000-0005-0000-0000-00004FCD0000}"/>
    <cellStyle name="Normal 4 2 2 3 7" xfId="11295" xr:uid="{00000000-0005-0000-0000-000050CD0000}"/>
    <cellStyle name="Normal 4 2 2 3 7 2" xfId="26444" xr:uid="{00000000-0005-0000-0000-000051CD0000}"/>
    <cellStyle name="Normal 4 2 2 3 8" xfId="12979" xr:uid="{00000000-0005-0000-0000-000052CD0000}"/>
    <cellStyle name="Normal 4 2 2 3 8 2" xfId="28128" xr:uid="{00000000-0005-0000-0000-000053CD0000}"/>
    <cellStyle name="Normal 4 2 2 3 9" xfId="14662" xr:uid="{00000000-0005-0000-0000-000054CD0000}"/>
    <cellStyle name="Normal 4 2 2 3 9 2" xfId="29811" xr:uid="{00000000-0005-0000-0000-000055CD0000}"/>
    <cellStyle name="Normal 4 2 2 30" xfId="57581" xr:uid="{00000000-0005-0000-0000-000056CD0000}"/>
    <cellStyle name="Normal 4 2 2 31" xfId="59264" xr:uid="{00000000-0005-0000-0000-000057CD0000}"/>
    <cellStyle name="Normal 4 2 2 32" xfId="60947" xr:uid="{00000000-0005-0000-0000-000058CD0000}"/>
    <cellStyle name="Normal 4 2 2 33" xfId="62630" xr:uid="{00000000-0005-0000-0000-000059CD0000}"/>
    <cellStyle name="Normal 4 2 2 4" xfId="1617" xr:uid="{00000000-0005-0000-0000-00005ACD0000}"/>
    <cellStyle name="Normal 4 2 2 4 10" xfId="16766" xr:uid="{00000000-0005-0000-0000-00005BCD0000}"/>
    <cellStyle name="Normal 4 2 2 4 11" xfId="31915" xr:uid="{00000000-0005-0000-0000-00005CCD0000}"/>
    <cellStyle name="Normal 4 2 2 4 12" xfId="33598" xr:uid="{00000000-0005-0000-0000-00005DCD0000}"/>
    <cellStyle name="Normal 4 2 2 4 13" xfId="35281" xr:uid="{00000000-0005-0000-0000-00005ECD0000}"/>
    <cellStyle name="Normal 4 2 2 4 14" xfId="36964" xr:uid="{00000000-0005-0000-0000-00005FCD0000}"/>
    <cellStyle name="Normal 4 2 2 4 15" xfId="38647" xr:uid="{00000000-0005-0000-0000-000060CD0000}"/>
    <cellStyle name="Normal 4 2 2 4 16" xfId="40330" xr:uid="{00000000-0005-0000-0000-000061CD0000}"/>
    <cellStyle name="Normal 4 2 2 4 17" xfId="42013" xr:uid="{00000000-0005-0000-0000-000062CD0000}"/>
    <cellStyle name="Normal 4 2 2 4 18" xfId="43696" xr:uid="{00000000-0005-0000-0000-000063CD0000}"/>
    <cellStyle name="Normal 4 2 2 4 19" xfId="45379" xr:uid="{00000000-0005-0000-0000-000064CD0000}"/>
    <cellStyle name="Normal 4 2 2 4 2" xfId="3300" xr:uid="{00000000-0005-0000-0000-000065CD0000}"/>
    <cellStyle name="Normal 4 2 2 4 2 2" xfId="18449" xr:uid="{00000000-0005-0000-0000-000066CD0000}"/>
    <cellStyle name="Normal 4 2 2 4 20" xfId="47062" xr:uid="{00000000-0005-0000-0000-000067CD0000}"/>
    <cellStyle name="Normal 4 2 2 4 21" xfId="48745" xr:uid="{00000000-0005-0000-0000-000068CD0000}"/>
    <cellStyle name="Normal 4 2 2 4 22" xfId="50428" xr:uid="{00000000-0005-0000-0000-000069CD0000}"/>
    <cellStyle name="Normal 4 2 2 4 23" xfId="52111" xr:uid="{00000000-0005-0000-0000-00006ACD0000}"/>
    <cellStyle name="Normal 4 2 2 4 24" xfId="53794" xr:uid="{00000000-0005-0000-0000-00006BCD0000}"/>
    <cellStyle name="Normal 4 2 2 4 25" xfId="55477" xr:uid="{00000000-0005-0000-0000-00006CCD0000}"/>
    <cellStyle name="Normal 4 2 2 4 26" xfId="57160" xr:uid="{00000000-0005-0000-0000-00006DCD0000}"/>
    <cellStyle name="Normal 4 2 2 4 27" xfId="58843" xr:uid="{00000000-0005-0000-0000-00006ECD0000}"/>
    <cellStyle name="Normal 4 2 2 4 28" xfId="60526" xr:uid="{00000000-0005-0000-0000-00006FCD0000}"/>
    <cellStyle name="Normal 4 2 2 4 29" xfId="62209" xr:uid="{00000000-0005-0000-0000-000070CD0000}"/>
    <cellStyle name="Normal 4 2 2 4 3" xfId="4984" xr:uid="{00000000-0005-0000-0000-000071CD0000}"/>
    <cellStyle name="Normal 4 2 2 4 3 2" xfId="20133" xr:uid="{00000000-0005-0000-0000-000072CD0000}"/>
    <cellStyle name="Normal 4 2 2 4 30" xfId="63892" xr:uid="{00000000-0005-0000-0000-000073CD0000}"/>
    <cellStyle name="Normal 4 2 2 4 4" xfId="6667" xr:uid="{00000000-0005-0000-0000-000074CD0000}"/>
    <cellStyle name="Normal 4 2 2 4 4 2" xfId="21816" xr:uid="{00000000-0005-0000-0000-000075CD0000}"/>
    <cellStyle name="Normal 4 2 2 4 5" xfId="8350" xr:uid="{00000000-0005-0000-0000-000076CD0000}"/>
    <cellStyle name="Normal 4 2 2 4 5 2" xfId="23499" xr:uid="{00000000-0005-0000-0000-000077CD0000}"/>
    <cellStyle name="Normal 4 2 2 4 6" xfId="10033" xr:uid="{00000000-0005-0000-0000-000078CD0000}"/>
    <cellStyle name="Normal 4 2 2 4 6 2" xfId="25182" xr:uid="{00000000-0005-0000-0000-000079CD0000}"/>
    <cellStyle name="Normal 4 2 2 4 7" xfId="11716" xr:uid="{00000000-0005-0000-0000-00007ACD0000}"/>
    <cellStyle name="Normal 4 2 2 4 7 2" xfId="26865" xr:uid="{00000000-0005-0000-0000-00007BCD0000}"/>
    <cellStyle name="Normal 4 2 2 4 8" xfId="13400" xr:uid="{00000000-0005-0000-0000-00007CCD0000}"/>
    <cellStyle name="Normal 4 2 2 4 8 2" xfId="28549" xr:uid="{00000000-0005-0000-0000-00007DCD0000}"/>
    <cellStyle name="Normal 4 2 2 4 9" xfId="15083" xr:uid="{00000000-0005-0000-0000-00007ECD0000}"/>
    <cellStyle name="Normal 4 2 2 4 9 2" xfId="30232" xr:uid="{00000000-0005-0000-0000-00007FCD0000}"/>
    <cellStyle name="Normal 4 2 2 5" xfId="2038" xr:uid="{00000000-0005-0000-0000-000080CD0000}"/>
    <cellStyle name="Normal 4 2 2 5 2" xfId="17187" xr:uid="{00000000-0005-0000-0000-000081CD0000}"/>
    <cellStyle name="Normal 4 2 2 6" xfId="3722" xr:uid="{00000000-0005-0000-0000-000082CD0000}"/>
    <cellStyle name="Normal 4 2 2 6 2" xfId="18871" xr:uid="{00000000-0005-0000-0000-000083CD0000}"/>
    <cellStyle name="Normal 4 2 2 7" xfId="5405" xr:uid="{00000000-0005-0000-0000-000084CD0000}"/>
    <cellStyle name="Normal 4 2 2 7 2" xfId="20554" xr:uid="{00000000-0005-0000-0000-000085CD0000}"/>
    <cellStyle name="Normal 4 2 2 8" xfId="7088" xr:uid="{00000000-0005-0000-0000-000086CD0000}"/>
    <cellStyle name="Normal 4 2 2 8 2" xfId="22237" xr:uid="{00000000-0005-0000-0000-000087CD0000}"/>
    <cellStyle name="Normal 4 2 2 9" xfId="8771" xr:uid="{00000000-0005-0000-0000-000088CD0000}"/>
    <cellStyle name="Normal 4 2 2 9 2" xfId="23920" xr:uid="{00000000-0005-0000-0000-000089CD0000}"/>
    <cellStyle name="Normal 4 2 20" xfId="38858" xr:uid="{00000000-0005-0000-0000-00008ACD0000}"/>
    <cellStyle name="Normal 4 2 21" xfId="40541" xr:uid="{00000000-0005-0000-0000-00008BCD0000}"/>
    <cellStyle name="Normal 4 2 22" xfId="42224" xr:uid="{00000000-0005-0000-0000-00008CCD0000}"/>
    <cellStyle name="Normal 4 2 23" xfId="43907" xr:uid="{00000000-0005-0000-0000-00008DCD0000}"/>
    <cellStyle name="Normal 4 2 24" xfId="45590" xr:uid="{00000000-0005-0000-0000-00008ECD0000}"/>
    <cellStyle name="Normal 4 2 25" xfId="47273" xr:uid="{00000000-0005-0000-0000-00008FCD0000}"/>
    <cellStyle name="Normal 4 2 26" xfId="48956" xr:uid="{00000000-0005-0000-0000-000090CD0000}"/>
    <cellStyle name="Normal 4 2 27" xfId="50639" xr:uid="{00000000-0005-0000-0000-000091CD0000}"/>
    <cellStyle name="Normal 4 2 28" xfId="52322" xr:uid="{00000000-0005-0000-0000-000092CD0000}"/>
    <cellStyle name="Normal 4 2 29" xfId="54005" xr:uid="{00000000-0005-0000-0000-000093CD0000}"/>
    <cellStyle name="Normal 4 2 3" xfId="565" xr:uid="{00000000-0005-0000-0000-000094CD0000}"/>
    <cellStyle name="Normal 4 2 3 10" xfId="15714" xr:uid="{00000000-0005-0000-0000-000095CD0000}"/>
    <cellStyle name="Normal 4 2 3 11" xfId="30863" xr:uid="{00000000-0005-0000-0000-000096CD0000}"/>
    <cellStyle name="Normal 4 2 3 12" xfId="32546" xr:uid="{00000000-0005-0000-0000-000097CD0000}"/>
    <cellStyle name="Normal 4 2 3 13" xfId="34229" xr:uid="{00000000-0005-0000-0000-000098CD0000}"/>
    <cellStyle name="Normal 4 2 3 14" xfId="35912" xr:uid="{00000000-0005-0000-0000-000099CD0000}"/>
    <cellStyle name="Normal 4 2 3 15" xfId="37595" xr:uid="{00000000-0005-0000-0000-00009ACD0000}"/>
    <cellStyle name="Normal 4 2 3 16" xfId="39278" xr:uid="{00000000-0005-0000-0000-00009BCD0000}"/>
    <cellStyle name="Normal 4 2 3 17" xfId="40961" xr:uid="{00000000-0005-0000-0000-00009CCD0000}"/>
    <cellStyle name="Normal 4 2 3 18" xfId="42644" xr:uid="{00000000-0005-0000-0000-00009DCD0000}"/>
    <cellStyle name="Normal 4 2 3 19" xfId="44327" xr:uid="{00000000-0005-0000-0000-00009ECD0000}"/>
    <cellStyle name="Normal 4 2 3 2" xfId="2248" xr:uid="{00000000-0005-0000-0000-00009FCD0000}"/>
    <cellStyle name="Normal 4 2 3 2 2" xfId="17397" xr:uid="{00000000-0005-0000-0000-0000A0CD0000}"/>
    <cellStyle name="Normal 4 2 3 20" xfId="46010" xr:uid="{00000000-0005-0000-0000-0000A1CD0000}"/>
    <cellStyle name="Normal 4 2 3 21" xfId="47693" xr:uid="{00000000-0005-0000-0000-0000A2CD0000}"/>
    <cellStyle name="Normal 4 2 3 22" xfId="49376" xr:uid="{00000000-0005-0000-0000-0000A3CD0000}"/>
    <cellStyle name="Normal 4 2 3 23" xfId="51059" xr:uid="{00000000-0005-0000-0000-0000A4CD0000}"/>
    <cellStyle name="Normal 4 2 3 24" xfId="52742" xr:uid="{00000000-0005-0000-0000-0000A5CD0000}"/>
    <cellStyle name="Normal 4 2 3 25" xfId="54425" xr:uid="{00000000-0005-0000-0000-0000A6CD0000}"/>
    <cellStyle name="Normal 4 2 3 26" xfId="56108" xr:uid="{00000000-0005-0000-0000-0000A7CD0000}"/>
    <cellStyle name="Normal 4 2 3 27" xfId="57791" xr:uid="{00000000-0005-0000-0000-0000A8CD0000}"/>
    <cellStyle name="Normal 4 2 3 28" xfId="59474" xr:uid="{00000000-0005-0000-0000-0000A9CD0000}"/>
    <cellStyle name="Normal 4 2 3 29" xfId="61157" xr:uid="{00000000-0005-0000-0000-0000AACD0000}"/>
    <cellStyle name="Normal 4 2 3 3" xfId="3932" xr:uid="{00000000-0005-0000-0000-0000ABCD0000}"/>
    <cellStyle name="Normal 4 2 3 3 2" xfId="19081" xr:uid="{00000000-0005-0000-0000-0000ACCD0000}"/>
    <cellStyle name="Normal 4 2 3 30" xfId="62840" xr:uid="{00000000-0005-0000-0000-0000ADCD0000}"/>
    <cellStyle name="Normal 4 2 3 4" xfId="5615" xr:uid="{00000000-0005-0000-0000-0000AECD0000}"/>
    <cellStyle name="Normal 4 2 3 4 2" xfId="20764" xr:uid="{00000000-0005-0000-0000-0000AFCD0000}"/>
    <cellStyle name="Normal 4 2 3 5" xfId="7298" xr:uid="{00000000-0005-0000-0000-0000B0CD0000}"/>
    <cellStyle name="Normal 4 2 3 5 2" xfId="22447" xr:uid="{00000000-0005-0000-0000-0000B1CD0000}"/>
    <cellStyle name="Normal 4 2 3 6" xfId="8981" xr:uid="{00000000-0005-0000-0000-0000B2CD0000}"/>
    <cellStyle name="Normal 4 2 3 6 2" xfId="24130" xr:uid="{00000000-0005-0000-0000-0000B3CD0000}"/>
    <cellStyle name="Normal 4 2 3 7" xfId="10664" xr:uid="{00000000-0005-0000-0000-0000B4CD0000}"/>
    <cellStyle name="Normal 4 2 3 7 2" xfId="25813" xr:uid="{00000000-0005-0000-0000-0000B5CD0000}"/>
    <cellStyle name="Normal 4 2 3 8" xfId="12348" xr:uid="{00000000-0005-0000-0000-0000B6CD0000}"/>
    <cellStyle name="Normal 4 2 3 8 2" xfId="27497" xr:uid="{00000000-0005-0000-0000-0000B7CD0000}"/>
    <cellStyle name="Normal 4 2 3 9" xfId="14031" xr:uid="{00000000-0005-0000-0000-0000B8CD0000}"/>
    <cellStyle name="Normal 4 2 3 9 2" xfId="29180" xr:uid="{00000000-0005-0000-0000-0000B9CD0000}"/>
    <cellStyle name="Normal 4 2 30" xfId="55688" xr:uid="{00000000-0005-0000-0000-0000BACD0000}"/>
    <cellStyle name="Normal 4 2 31" xfId="57371" xr:uid="{00000000-0005-0000-0000-0000BBCD0000}"/>
    <cellStyle name="Normal 4 2 32" xfId="59054" xr:uid="{00000000-0005-0000-0000-0000BCCD0000}"/>
    <cellStyle name="Normal 4 2 33" xfId="60737" xr:uid="{00000000-0005-0000-0000-0000BDCD0000}"/>
    <cellStyle name="Normal 4 2 34" xfId="62420" xr:uid="{00000000-0005-0000-0000-0000BECD0000}"/>
    <cellStyle name="Normal 4 2 4" xfId="986" xr:uid="{00000000-0005-0000-0000-0000BFCD0000}"/>
    <cellStyle name="Normal 4 2 4 10" xfId="16135" xr:uid="{00000000-0005-0000-0000-0000C0CD0000}"/>
    <cellStyle name="Normal 4 2 4 11" xfId="31284" xr:uid="{00000000-0005-0000-0000-0000C1CD0000}"/>
    <cellStyle name="Normal 4 2 4 12" xfId="32967" xr:uid="{00000000-0005-0000-0000-0000C2CD0000}"/>
    <cellStyle name="Normal 4 2 4 13" xfId="34650" xr:uid="{00000000-0005-0000-0000-0000C3CD0000}"/>
    <cellStyle name="Normal 4 2 4 14" xfId="36333" xr:uid="{00000000-0005-0000-0000-0000C4CD0000}"/>
    <cellStyle name="Normal 4 2 4 15" xfId="38016" xr:uid="{00000000-0005-0000-0000-0000C5CD0000}"/>
    <cellStyle name="Normal 4 2 4 16" xfId="39699" xr:uid="{00000000-0005-0000-0000-0000C6CD0000}"/>
    <cellStyle name="Normal 4 2 4 17" xfId="41382" xr:uid="{00000000-0005-0000-0000-0000C7CD0000}"/>
    <cellStyle name="Normal 4 2 4 18" xfId="43065" xr:uid="{00000000-0005-0000-0000-0000C8CD0000}"/>
    <cellStyle name="Normal 4 2 4 19" xfId="44748" xr:uid="{00000000-0005-0000-0000-0000C9CD0000}"/>
    <cellStyle name="Normal 4 2 4 2" xfId="2669" xr:uid="{00000000-0005-0000-0000-0000CACD0000}"/>
    <cellStyle name="Normal 4 2 4 2 2" xfId="17818" xr:uid="{00000000-0005-0000-0000-0000CBCD0000}"/>
    <cellStyle name="Normal 4 2 4 20" xfId="46431" xr:uid="{00000000-0005-0000-0000-0000CCCD0000}"/>
    <cellStyle name="Normal 4 2 4 21" xfId="48114" xr:uid="{00000000-0005-0000-0000-0000CDCD0000}"/>
    <cellStyle name="Normal 4 2 4 22" xfId="49797" xr:uid="{00000000-0005-0000-0000-0000CECD0000}"/>
    <cellStyle name="Normal 4 2 4 23" xfId="51480" xr:uid="{00000000-0005-0000-0000-0000CFCD0000}"/>
    <cellStyle name="Normal 4 2 4 24" xfId="53163" xr:uid="{00000000-0005-0000-0000-0000D0CD0000}"/>
    <cellStyle name="Normal 4 2 4 25" xfId="54846" xr:uid="{00000000-0005-0000-0000-0000D1CD0000}"/>
    <cellStyle name="Normal 4 2 4 26" xfId="56529" xr:uid="{00000000-0005-0000-0000-0000D2CD0000}"/>
    <cellStyle name="Normal 4 2 4 27" xfId="58212" xr:uid="{00000000-0005-0000-0000-0000D3CD0000}"/>
    <cellStyle name="Normal 4 2 4 28" xfId="59895" xr:uid="{00000000-0005-0000-0000-0000D4CD0000}"/>
    <cellStyle name="Normal 4 2 4 29" xfId="61578" xr:uid="{00000000-0005-0000-0000-0000D5CD0000}"/>
    <cellStyle name="Normal 4 2 4 3" xfId="4353" xr:uid="{00000000-0005-0000-0000-0000D6CD0000}"/>
    <cellStyle name="Normal 4 2 4 3 2" xfId="19502" xr:uid="{00000000-0005-0000-0000-0000D7CD0000}"/>
    <cellStyle name="Normal 4 2 4 30" xfId="63261" xr:uid="{00000000-0005-0000-0000-0000D8CD0000}"/>
    <cellStyle name="Normal 4 2 4 4" xfId="6036" xr:uid="{00000000-0005-0000-0000-0000D9CD0000}"/>
    <cellStyle name="Normal 4 2 4 4 2" xfId="21185" xr:uid="{00000000-0005-0000-0000-0000DACD0000}"/>
    <cellStyle name="Normal 4 2 4 5" xfId="7719" xr:uid="{00000000-0005-0000-0000-0000DBCD0000}"/>
    <cellStyle name="Normal 4 2 4 5 2" xfId="22868" xr:uid="{00000000-0005-0000-0000-0000DCCD0000}"/>
    <cellStyle name="Normal 4 2 4 6" xfId="9402" xr:uid="{00000000-0005-0000-0000-0000DDCD0000}"/>
    <cellStyle name="Normal 4 2 4 6 2" xfId="24551" xr:uid="{00000000-0005-0000-0000-0000DECD0000}"/>
    <cellStyle name="Normal 4 2 4 7" xfId="11085" xr:uid="{00000000-0005-0000-0000-0000DFCD0000}"/>
    <cellStyle name="Normal 4 2 4 7 2" xfId="26234" xr:uid="{00000000-0005-0000-0000-0000E0CD0000}"/>
    <cellStyle name="Normal 4 2 4 8" xfId="12769" xr:uid="{00000000-0005-0000-0000-0000E1CD0000}"/>
    <cellStyle name="Normal 4 2 4 8 2" xfId="27918" xr:uid="{00000000-0005-0000-0000-0000E2CD0000}"/>
    <cellStyle name="Normal 4 2 4 9" xfId="14452" xr:uid="{00000000-0005-0000-0000-0000E3CD0000}"/>
    <cellStyle name="Normal 4 2 4 9 2" xfId="29601" xr:uid="{00000000-0005-0000-0000-0000E4CD0000}"/>
    <cellStyle name="Normal 4 2 5" xfId="1407" xr:uid="{00000000-0005-0000-0000-0000E5CD0000}"/>
    <cellStyle name="Normal 4 2 5 10" xfId="16556" xr:uid="{00000000-0005-0000-0000-0000E6CD0000}"/>
    <cellStyle name="Normal 4 2 5 11" xfId="31705" xr:uid="{00000000-0005-0000-0000-0000E7CD0000}"/>
    <cellStyle name="Normal 4 2 5 12" xfId="33388" xr:uid="{00000000-0005-0000-0000-0000E8CD0000}"/>
    <cellStyle name="Normal 4 2 5 13" xfId="35071" xr:uid="{00000000-0005-0000-0000-0000E9CD0000}"/>
    <cellStyle name="Normal 4 2 5 14" xfId="36754" xr:uid="{00000000-0005-0000-0000-0000EACD0000}"/>
    <cellStyle name="Normal 4 2 5 15" xfId="38437" xr:uid="{00000000-0005-0000-0000-0000EBCD0000}"/>
    <cellStyle name="Normal 4 2 5 16" xfId="40120" xr:uid="{00000000-0005-0000-0000-0000ECCD0000}"/>
    <cellStyle name="Normal 4 2 5 17" xfId="41803" xr:uid="{00000000-0005-0000-0000-0000EDCD0000}"/>
    <cellStyle name="Normal 4 2 5 18" xfId="43486" xr:uid="{00000000-0005-0000-0000-0000EECD0000}"/>
    <cellStyle name="Normal 4 2 5 19" xfId="45169" xr:uid="{00000000-0005-0000-0000-0000EFCD0000}"/>
    <cellStyle name="Normal 4 2 5 2" xfId="3090" xr:uid="{00000000-0005-0000-0000-0000F0CD0000}"/>
    <cellStyle name="Normal 4 2 5 2 2" xfId="18239" xr:uid="{00000000-0005-0000-0000-0000F1CD0000}"/>
    <cellStyle name="Normal 4 2 5 20" xfId="46852" xr:uid="{00000000-0005-0000-0000-0000F2CD0000}"/>
    <cellStyle name="Normal 4 2 5 21" xfId="48535" xr:uid="{00000000-0005-0000-0000-0000F3CD0000}"/>
    <cellStyle name="Normal 4 2 5 22" xfId="50218" xr:uid="{00000000-0005-0000-0000-0000F4CD0000}"/>
    <cellStyle name="Normal 4 2 5 23" xfId="51901" xr:uid="{00000000-0005-0000-0000-0000F5CD0000}"/>
    <cellStyle name="Normal 4 2 5 24" xfId="53584" xr:uid="{00000000-0005-0000-0000-0000F6CD0000}"/>
    <cellStyle name="Normal 4 2 5 25" xfId="55267" xr:uid="{00000000-0005-0000-0000-0000F7CD0000}"/>
    <cellStyle name="Normal 4 2 5 26" xfId="56950" xr:uid="{00000000-0005-0000-0000-0000F8CD0000}"/>
    <cellStyle name="Normal 4 2 5 27" xfId="58633" xr:uid="{00000000-0005-0000-0000-0000F9CD0000}"/>
    <cellStyle name="Normal 4 2 5 28" xfId="60316" xr:uid="{00000000-0005-0000-0000-0000FACD0000}"/>
    <cellStyle name="Normal 4 2 5 29" xfId="61999" xr:uid="{00000000-0005-0000-0000-0000FBCD0000}"/>
    <cellStyle name="Normal 4 2 5 3" xfId="4774" xr:uid="{00000000-0005-0000-0000-0000FCCD0000}"/>
    <cellStyle name="Normal 4 2 5 3 2" xfId="19923" xr:uid="{00000000-0005-0000-0000-0000FDCD0000}"/>
    <cellStyle name="Normal 4 2 5 30" xfId="63682" xr:uid="{00000000-0005-0000-0000-0000FECD0000}"/>
    <cellStyle name="Normal 4 2 5 4" xfId="6457" xr:uid="{00000000-0005-0000-0000-0000FFCD0000}"/>
    <cellStyle name="Normal 4 2 5 4 2" xfId="21606" xr:uid="{00000000-0005-0000-0000-000000CE0000}"/>
    <cellStyle name="Normal 4 2 5 5" xfId="8140" xr:uid="{00000000-0005-0000-0000-000001CE0000}"/>
    <cellStyle name="Normal 4 2 5 5 2" xfId="23289" xr:uid="{00000000-0005-0000-0000-000002CE0000}"/>
    <cellStyle name="Normal 4 2 5 6" xfId="9823" xr:uid="{00000000-0005-0000-0000-000003CE0000}"/>
    <cellStyle name="Normal 4 2 5 6 2" xfId="24972" xr:uid="{00000000-0005-0000-0000-000004CE0000}"/>
    <cellStyle name="Normal 4 2 5 7" xfId="11506" xr:uid="{00000000-0005-0000-0000-000005CE0000}"/>
    <cellStyle name="Normal 4 2 5 7 2" xfId="26655" xr:uid="{00000000-0005-0000-0000-000006CE0000}"/>
    <cellStyle name="Normal 4 2 5 8" xfId="13190" xr:uid="{00000000-0005-0000-0000-000007CE0000}"/>
    <cellStyle name="Normal 4 2 5 8 2" xfId="28339" xr:uid="{00000000-0005-0000-0000-000008CE0000}"/>
    <cellStyle name="Normal 4 2 5 9" xfId="14873" xr:uid="{00000000-0005-0000-0000-000009CE0000}"/>
    <cellStyle name="Normal 4 2 5 9 2" xfId="30022" xr:uid="{00000000-0005-0000-0000-00000ACE0000}"/>
    <cellStyle name="Normal 4 2 6" xfId="1828" xr:uid="{00000000-0005-0000-0000-00000BCE0000}"/>
    <cellStyle name="Normal 4 2 6 2" xfId="16977" xr:uid="{00000000-0005-0000-0000-00000CCE0000}"/>
    <cellStyle name="Normal 4 2 7" xfId="3512" xr:uid="{00000000-0005-0000-0000-00000DCE0000}"/>
    <cellStyle name="Normal 4 2 7 2" xfId="18661" xr:uid="{00000000-0005-0000-0000-00000ECE0000}"/>
    <cellStyle name="Normal 4 2 8" xfId="5195" xr:uid="{00000000-0005-0000-0000-00000FCE0000}"/>
    <cellStyle name="Normal 4 2 8 2" xfId="20344" xr:uid="{00000000-0005-0000-0000-000010CE0000}"/>
    <cellStyle name="Normal 4 2 9" xfId="6878" xr:uid="{00000000-0005-0000-0000-000011CE0000}"/>
    <cellStyle name="Normal 4 2 9 2" xfId="22027" xr:uid="{00000000-0005-0000-0000-000012CE0000}"/>
    <cellStyle name="Normal 4 20" xfId="37070" xr:uid="{00000000-0005-0000-0000-000013CE0000}"/>
    <cellStyle name="Normal 4 21" xfId="38753" xr:uid="{00000000-0005-0000-0000-000014CE0000}"/>
    <cellStyle name="Normal 4 22" xfId="40436" xr:uid="{00000000-0005-0000-0000-000015CE0000}"/>
    <cellStyle name="Normal 4 23" xfId="42119" xr:uid="{00000000-0005-0000-0000-000016CE0000}"/>
    <cellStyle name="Normal 4 24" xfId="43802" xr:uid="{00000000-0005-0000-0000-000017CE0000}"/>
    <cellStyle name="Normal 4 25" xfId="45485" xr:uid="{00000000-0005-0000-0000-000018CE0000}"/>
    <cellStyle name="Normal 4 26" xfId="47168" xr:uid="{00000000-0005-0000-0000-000019CE0000}"/>
    <cellStyle name="Normal 4 27" xfId="48851" xr:uid="{00000000-0005-0000-0000-00001ACE0000}"/>
    <cellStyle name="Normal 4 28" xfId="50534" xr:uid="{00000000-0005-0000-0000-00001BCE0000}"/>
    <cellStyle name="Normal 4 29" xfId="52217" xr:uid="{00000000-0005-0000-0000-00001CCE0000}"/>
    <cellStyle name="Normal 4 3" xfId="250" xr:uid="{00000000-0005-0000-0000-00001DCE0000}"/>
    <cellStyle name="Normal 4 3 10" xfId="10349" xr:uid="{00000000-0005-0000-0000-00001ECE0000}"/>
    <cellStyle name="Normal 4 3 10 2" xfId="25498" xr:uid="{00000000-0005-0000-0000-00001FCE0000}"/>
    <cellStyle name="Normal 4 3 11" xfId="12033" xr:uid="{00000000-0005-0000-0000-000020CE0000}"/>
    <cellStyle name="Normal 4 3 11 2" xfId="27182" xr:uid="{00000000-0005-0000-0000-000021CE0000}"/>
    <cellStyle name="Normal 4 3 12" xfId="13716" xr:uid="{00000000-0005-0000-0000-000022CE0000}"/>
    <cellStyle name="Normal 4 3 12 2" xfId="28865" xr:uid="{00000000-0005-0000-0000-000023CE0000}"/>
    <cellStyle name="Normal 4 3 13" xfId="15399" xr:uid="{00000000-0005-0000-0000-000024CE0000}"/>
    <cellStyle name="Normal 4 3 14" xfId="30548" xr:uid="{00000000-0005-0000-0000-000025CE0000}"/>
    <cellStyle name="Normal 4 3 15" xfId="32231" xr:uid="{00000000-0005-0000-0000-000026CE0000}"/>
    <cellStyle name="Normal 4 3 16" xfId="33914" xr:uid="{00000000-0005-0000-0000-000027CE0000}"/>
    <cellStyle name="Normal 4 3 17" xfId="35597" xr:uid="{00000000-0005-0000-0000-000028CE0000}"/>
    <cellStyle name="Normal 4 3 18" xfId="37280" xr:uid="{00000000-0005-0000-0000-000029CE0000}"/>
    <cellStyle name="Normal 4 3 19" xfId="38963" xr:uid="{00000000-0005-0000-0000-00002ACE0000}"/>
    <cellStyle name="Normal 4 3 2" xfId="670" xr:uid="{00000000-0005-0000-0000-00002BCE0000}"/>
    <cellStyle name="Normal 4 3 2 10" xfId="15819" xr:uid="{00000000-0005-0000-0000-00002CCE0000}"/>
    <cellStyle name="Normal 4 3 2 11" xfId="30968" xr:uid="{00000000-0005-0000-0000-00002DCE0000}"/>
    <cellStyle name="Normal 4 3 2 12" xfId="32651" xr:uid="{00000000-0005-0000-0000-00002ECE0000}"/>
    <cellStyle name="Normal 4 3 2 13" xfId="34334" xr:uid="{00000000-0005-0000-0000-00002FCE0000}"/>
    <cellStyle name="Normal 4 3 2 14" xfId="36017" xr:uid="{00000000-0005-0000-0000-000030CE0000}"/>
    <cellStyle name="Normal 4 3 2 15" xfId="37700" xr:uid="{00000000-0005-0000-0000-000031CE0000}"/>
    <cellStyle name="Normal 4 3 2 16" xfId="39383" xr:uid="{00000000-0005-0000-0000-000032CE0000}"/>
    <cellStyle name="Normal 4 3 2 17" xfId="41066" xr:uid="{00000000-0005-0000-0000-000033CE0000}"/>
    <cellStyle name="Normal 4 3 2 18" xfId="42749" xr:uid="{00000000-0005-0000-0000-000034CE0000}"/>
    <cellStyle name="Normal 4 3 2 19" xfId="44432" xr:uid="{00000000-0005-0000-0000-000035CE0000}"/>
    <cellStyle name="Normal 4 3 2 2" xfId="2353" xr:uid="{00000000-0005-0000-0000-000036CE0000}"/>
    <cellStyle name="Normal 4 3 2 2 2" xfId="17502" xr:uid="{00000000-0005-0000-0000-000037CE0000}"/>
    <cellStyle name="Normal 4 3 2 20" xfId="46115" xr:uid="{00000000-0005-0000-0000-000038CE0000}"/>
    <cellStyle name="Normal 4 3 2 21" xfId="47798" xr:uid="{00000000-0005-0000-0000-000039CE0000}"/>
    <cellStyle name="Normal 4 3 2 22" xfId="49481" xr:uid="{00000000-0005-0000-0000-00003ACE0000}"/>
    <cellStyle name="Normal 4 3 2 23" xfId="51164" xr:uid="{00000000-0005-0000-0000-00003BCE0000}"/>
    <cellStyle name="Normal 4 3 2 24" xfId="52847" xr:uid="{00000000-0005-0000-0000-00003CCE0000}"/>
    <cellStyle name="Normal 4 3 2 25" xfId="54530" xr:uid="{00000000-0005-0000-0000-00003DCE0000}"/>
    <cellStyle name="Normal 4 3 2 26" xfId="56213" xr:uid="{00000000-0005-0000-0000-00003ECE0000}"/>
    <cellStyle name="Normal 4 3 2 27" xfId="57896" xr:uid="{00000000-0005-0000-0000-00003FCE0000}"/>
    <cellStyle name="Normal 4 3 2 28" xfId="59579" xr:uid="{00000000-0005-0000-0000-000040CE0000}"/>
    <cellStyle name="Normal 4 3 2 29" xfId="61262" xr:uid="{00000000-0005-0000-0000-000041CE0000}"/>
    <cellStyle name="Normal 4 3 2 3" xfId="4037" xr:uid="{00000000-0005-0000-0000-000042CE0000}"/>
    <cellStyle name="Normal 4 3 2 3 2" xfId="19186" xr:uid="{00000000-0005-0000-0000-000043CE0000}"/>
    <cellStyle name="Normal 4 3 2 30" xfId="62945" xr:uid="{00000000-0005-0000-0000-000044CE0000}"/>
    <cellStyle name="Normal 4 3 2 4" xfId="5720" xr:uid="{00000000-0005-0000-0000-000045CE0000}"/>
    <cellStyle name="Normal 4 3 2 4 2" xfId="20869" xr:uid="{00000000-0005-0000-0000-000046CE0000}"/>
    <cellStyle name="Normal 4 3 2 5" xfId="7403" xr:uid="{00000000-0005-0000-0000-000047CE0000}"/>
    <cellStyle name="Normal 4 3 2 5 2" xfId="22552" xr:uid="{00000000-0005-0000-0000-000048CE0000}"/>
    <cellStyle name="Normal 4 3 2 6" xfId="9086" xr:uid="{00000000-0005-0000-0000-000049CE0000}"/>
    <cellStyle name="Normal 4 3 2 6 2" xfId="24235" xr:uid="{00000000-0005-0000-0000-00004ACE0000}"/>
    <cellStyle name="Normal 4 3 2 7" xfId="10769" xr:uid="{00000000-0005-0000-0000-00004BCE0000}"/>
    <cellStyle name="Normal 4 3 2 7 2" xfId="25918" xr:uid="{00000000-0005-0000-0000-00004CCE0000}"/>
    <cellStyle name="Normal 4 3 2 8" xfId="12453" xr:uid="{00000000-0005-0000-0000-00004DCE0000}"/>
    <cellStyle name="Normal 4 3 2 8 2" xfId="27602" xr:uid="{00000000-0005-0000-0000-00004ECE0000}"/>
    <cellStyle name="Normal 4 3 2 9" xfId="14136" xr:uid="{00000000-0005-0000-0000-00004FCE0000}"/>
    <cellStyle name="Normal 4 3 2 9 2" xfId="29285" xr:uid="{00000000-0005-0000-0000-000050CE0000}"/>
    <cellStyle name="Normal 4 3 20" xfId="40646" xr:uid="{00000000-0005-0000-0000-000051CE0000}"/>
    <cellStyle name="Normal 4 3 21" xfId="42329" xr:uid="{00000000-0005-0000-0000-000052CE0000}"/>
    <cellStyle name="Normal 4 3 22" xfId="44012" xr:uid="{00000000-0005-0000-0000-000053CE0000}"/>
    <cellStyle name="Normal 4 3 23" xfId="45695" xr:uid="{00000000-0005-0000-0000-000054CE0000}"/>
    <cellStyle name="Normal 4 3 24" xfId="47378" xr:uid="{00000000-0005-0000-0000-000055CE0000}"/>
    <cellStyle name="Normal 4 3 25" xfId="49061" xr:uid="{00000000-0005-0000-0000-000056CE0000}"/>
    <cellStyle name="Normal 4 3 26" xfId="50744" xr:uid="{00000000-0005-0000-0000-000057CE0000}"/>
    <cellStyle name="Normal 4 3 27" xfId="52427" xr:uid="{00000000-0005-0000-0000-000058CE0000}"/>
    <cellStyle name="Normal 4 3 28" xfId="54110" xr:uid="{00000000-0005-0000-0000-000059CE0000}"/>
    <cellStyle name="Normal 4 3 29" xfId="55793" xr:uid="{00000000-0005-0000-0000-00005ACE0000}"/>
    <cellStyle name="Normal 4 3 3" xfId="1091" xr:uid="{00000000-0005-0000-0000-00005BCE0000}"/>
    <cellStyle name="Normal 4 3 3 10" xfId="16240" xr:uid="{00000000-0005-0000-0000-00005CCE0000}"/>
    <cellStyle name="Normal 4 3 3 11" xfId="31389" xr:uid="{00000000-0005-0000-0000-00005DCE0000}"/>
    <cellStyle name="Normal 4 3 3 12" xfId="33072" xr:uid="{00000000-0005-0000-0000-00005ECE0000}"/>
    <cellStyle name="Normal 4 3 3 13" xfId="34755" xr:uid="{00000000-0005-0000-0000-00005FCE0000}"/>
    <cellStyle name="Normal 4 3 3 14" xfId="36438" xr:uid="{00000000-0005-0000-0000-000060CE0000}"/>
    <cellStyle name="Normal 4 3 3 15" xfId="38121" xr:uid="{00000000-0005-0000-0000-000061CE0000}"/>
    <cellStyle name="Normal 4 3 3 16" xfId="39804" xr:uid="{00000000-0005-0000-0000-000062CE0000}"/>
    <cellStyle name="Normal 4 3 3 17" xfId="41487" xr:uid="{00000000-0005-0000-0000-000063CE0000}"/>
    <cellStyle name="Normal 4 3 3 18" xfId="43170" xr:uid="{00000000-0005-0000-0000-000064CE0000}"/>
    <cellStyle name="Normal 4 3 3 19" xfId="44853" xr:uid="{00000000-0005-0000-0000-000065CE0000}"/>
    <cellStyle name="Normal 4 3 3 2" xfId="2774" xr:uid="{00000000-0005-0000-0000-000066CE0000}"/>
    <cellStyle name="Normal 4 3 3 2 2" xfId="17923" xr:uid="{00000000-0005-0000-0000-000067CE0000}"/>
    <cellStyle name="Normal 4 3 3 20" xfId="46536" xr:uid="{00000000-0005-0000-0000-000068CE0000}"/>
    <cellStyle name="Normal 4 3 3 21" xfId="48219" xr:uid="{00000000-0005-0000-0000-000069CE0000}"/>
    <cellStyle name="Normal 4 3 3 22" xfId="49902" xr:uid="{00000000-0005-0000-0000-00006ACE0000}"/>
    <cellStyle name="Normal 4 3 3 23" xfId="51585" xr:uid="{00000000-0005-0000-0000-00006BCE0000}"/>
    <cellStyle name="Normal 4 3 3 24" xfId="53268" xr:uid="{00000000-0005-0000-0000-00006CCE0000}"/>
    <cellStyle name="Normal 4 3 3 25" xfId="54951" xr:uid="{00000000-0005-0000-0000-00006DCE0000}"/>
    <cellStyle name="Normal 4 3 3 26" xfId="56634" xr:uid="{00000000-0005-0000-0000-00006ECE0000}"/>
    <cellStyle name="Normal 4 3 3 27" xfId="58317" xr:uid="{00000000-0005-0000-0000-00006FCE0000}"/>
    <cellStyle name="Normal 4 3 3 28" xfId="60000" xr:uid="{00000000-0005-0000-0000-000070CE0000}"/>
    <cellStyle name="Normal 4 3 3 29" xfId="61683" xr:uid="{00000000-0005-0000-0000-000071CE0000}"/>
    <cellStyle name="Normal 4 3 3 3" xfId="4458" xr:uid="{00000000-0005-0000-0000-000072CE0000}"/>
    <cellStyle name="Normal 4 3 3 3 2" xfId="19607" xr:uid="{00000000-0005-0000-0000-000073CE0000}"/>
    <cellStyle name="Normal 4 3 3 30" xfId="63366" xr:uid="{00000000-0005-0000-0000-000074CE0000}"/>
    <cellStyle name="Normal 4 3 3 4" xfId="6141" xr:uid="{00000000-0005-0000-0000-000075CE0000}"/>
    <cellStyle name="Normal 4 3 3 4 2" xfId="21290" xr:uid="{00000000-0005-0000-0000-000076CE0000}"/>
    <cellStyle name="Normal 4 3 3 5" xfId="7824" xr:uid="{00000000-0005-0000-0000-000077CE0000}"/>
    <cellStyle name="Normal 4 3 3 5 2" xfId="22973" xr:uid="{00000000-0005-0000-0000-000078CE0000}"/>
    <cellStyle name="Normal 4 3 3 6" xfId="9507" xr:uid="{00000000-0005-0000-0000-000079CE0000}"/>
    <cellStyle name="Normal 4 3 3 6 2" xfId="24656" xr:uid="{00000000-0005-0000-0000-00007ACE0000}"/>
    <cellStyle name="Normal 4 3 3 7" xfId="11190" xr:uid="{00000000-0005-0000-0000-00007BCE0000}"/>
    <cellStyle name="Normal 4 3 3 7 2" xfId="26339" xr:uid="{00000000-0005-0000-0000-00007CCE0000}"/>
    <cellStyle name="Normal 4 3 3 8" xfId="12874" xr:uid="{00000000-0005-0000-0000-00007DCE0000}"/>
    <cellStyle name="Normal 4 3 3 8 2" xfId="28023" xr:uid="{00000000-0005-0000-0000-00007ECE0000}"/>
    <cellStyle name="Normal 4 3 3 9" xfId="14557" xr:uid="{00000000-0005-0000-0000-00007FCE0000}"/>
    <cellStyle name="Normal 4 3 3 9 2" xfId="29706" xr:uid="{00000000-0005-0000-0000-000080CE0000}"/>
    <cellStyle name="Normal 4 3 30" xfId="57476" xr:uid="{00000000-0005-0000-0000-000081CE0000}"/>
    <cellStyle name="Normal 4 3 31" xfId="59159" xr:uid="{00000000-0005-0000-0000-000082CE0000}"/>
    <cellStyle name="Normal 4 3 32" xfId="60842" xr:uid="{00000000-0005-0000-0000-000083CE0000}"/>
    <cellStyle name="Normal 4 3 33" xfId="62525" xr:uid="{00000000-0005-0000-0000-000084CE0000}"/>
    <cellStyle name="Normal 4 3 4" xfId="1512" xr:uid="{00000000-0005-0000-0000-000085CE0000}"/>
    <cellStyle name="Normal 4 3 4 10" xfId="16661" xr:uid="{00000000-0005-0000-0000-000086CE0000}"/>
    <cellStyle name="Normal 4 3 4 11" xfId="31810" xr:uid="{00000000-0005-0000-0000-000087CE0000}"/>
    <cellStyle name="Normal 4 3 4 12" xfId="33493" xr:uid="{00000000-0005-0000-0000-000088CE0000}"/>
    <cellStyle name="Normal 4 3 4 13" xfId="35176" xr:uid="{00000000-0005-0000-0000-000089CE0000}"/>
    <cellStyle name="Normal 4 3 4 14" xfId="36859" xr:uid="{00000000-0005-0000-0000-00008ACE0000}"/>
    <cellStyle name="Normal 4 3 4 15" xfId="38542" xr:uid="{00000000-0005-0000-0000-00008BCE0000}"/>
    <cellStyle name="Normal 4 3 4 16" xfId="40225" xr:uid="{00000000-0005-0000-0000-00008CCE0000}"/>
    <cellStyle name="Normal 4 3 4 17" xfId="41908" xr:uid="{00000000-0005-0000-0000-00008DCE0000}"/>
    <cellStyle name="Normal 4 3 4 18" xfId="43591" xr:uid="{00000000-0005-0000-0000-00008ECE0000}"/>
    <cellStyle name="Normal 4 3 4 19" xfId="45274" xr:uid="{00000000-0005-0000-0000-00008FCE0000}"/>
    <cellStyle name="Normal 4 3 4 2" xfId="3195" xr:uid="{00000000-0005-0000-0000-000090CE0000}"/>
    <cellStyle name="Normal 4 3 4 2 2" xfId="18344" xr:uid="{00000000-0005-0000-0000-000091CE0000}"/>
    <cellStyle name="Normal 4 3 4 20" xfId="46957" xr:uid="{00000000-0005-0000-0000-000092CE0000}"/>
    <cellStyle name="Normal 4 3 4 21" xfId="48640" xr:uid="{00000000-0005-0000-0000-000093CE0000}"/>
    <cellStyle name="Normal 4 3 4 22" xfId="50323" xr:uid="{00000000-0005-0000-0000-000094CE0000}"/>
    <cellStyle name="Normal 4 3 4 23" xfId="52006" xr:uid="{00000000-0005-0000-0000-000095CE0000}"/>
    <cellStyle name="Normal 4 3 4 24" xfId="53689" xr:uid="{00000000-0005-0000-0000-000096CE0000}"/>
    <cellStyle name="Normal 4 3 4 25" xfId="55372" xr:uid="{00000000-0005-0000-0000-000097CE0000}"/>
    <cellStyle name="Normal 4 3 4 26" xfId="57055" xr:uid="{00000000-0005-0000-0000-000098CE0000}"/>
    <cellStyle name="Normal 4 3 4 27" xfId="58738" xr:uid="{00000000-0005-0000-0000-000099CE0000}"/>
    <cellStyle name="Normal 4 3 4 28" xfId="60421" xr:uid="{00000000-0005-0000-0000-00009ACE0000}"/>
    <cellStyle name="Normal 4 3 4 29" xfId="62104" xr:uid="{00000000-0005-0000-0000-00009BCE0000}"/>
    <cellStyle name="Normal 4 3 4 3" xfId="4879" xr:uid="{00000000-0005-0000-0000-00009CCE0000}"/>
    <cellStyle name="Normal 4 3 4 3 2" xfId="20028" xr:uid="{00000000-0005-0000-0000-00009DCE0000}"/>
    <cellStyle name="Normal 4 3 4 30" xfId="63787" xr:uid="{00000000-0005-0000-0000-00009ECE0000}"/>
    <cellStyle name="Normal 4 3 4 4" xfId="6562" xr:uid="{00000000-0005-0000-0000-00009FCE0000}"/>
    <cellStyle name="Normal 4 3 4 4 2" xfId="21711" xr:uid="{00000000-0005-0000-0000-0000A0CE0000}"/>
    <cellStyle name="Normal 4 3 4 5" xfId="8245" xr:uid="{00000000-0005-0000-0000-0000A1CE0000}"/>
    <cellStyle name="Normal 4 3 4 5 2" xfId="23394" xr:uid="{00000000-0005-0000-0000-0000A2CE0000}"/>
    <cellStyle name="Normal 4 3 4 6" xfId="9928" xr:uid="{00000000-0005-0000-0000-0000A3CE0000}"/>
    <cellStyle name="Normal 4 3 4 6 2" xfId="25077" xr:uid="{00000000-0005-0000-0000-0000A4CE0000}"/>
    <cellStyle name="Normal 4 3 4 7" xfId="11611" xr:uid="{00000000-0005-0000-0000-0000A5CE0000}"/>
    <cellStyle name="Normal 4 3 4 7 2" xfId="26760" xr:uid="{00000000-0005-0000-0000-0000A6CE0000}"/>
    <cellStyle name="Normal 4 3 4 8" xfId="13295" xr:uid="{00000000-0005-0000-0000-0000A7CE0000}"/>
    <cellStyle name="Normal 4 3 4 8 2" xfId="28444" xr:uid="{00000000-0005-0000-0000-0000A8CE0000}"/>
    <cellStyle name="Normal 4 3 4 9" xfId="14978" xr:uid="{00000000-0005-0000-0000-0000A9CE0000}"/>
    <cellStyle name="Normal 4 3 4 9 2" xfId="30127" xr:uid="{00000000-0005-0000-0000-0000AACE0000}"/>
    <cellStyle name="Normal 4 3 5" xfId="1933" xr:uid="{00000000-0005-0000-0000-0000ABCE0000}"/>
    <cellStyle name="Normal 4 3 5 2" xfId="17082" xr:uid="{00000000-0005-0000-0000-0000ACCE0000}"/>
    <cellStyle name="Normal 4 3 6" xfId="3617" xr:uid="{00000000-0005-0000-0000-0000ADCE0000}"/>
    <cellStyle name="Normal 4 3 6 2" xfId="18766" xr:uid="{00000000-0005-0000-0000-0000AECE0000}"/>
    <cellStyle name="Normal 4 3 7" xfId="5300" xr:uid="{00000000-0005-0000-0000-0000AFCE0000}"/>
    <cellStyle name="Normal 4 3 7 2" xfId="20449" xr:uid="{00000000-0005-0000-0000-0000B0CE0000}"/>
    <cellStyle name="Normal 4 3 8" xfId="6983" xr:uid="{00000000-0005-0000-0000-0000B1CE0000}"/>
    <cellStyle name="Normal 4 3 8 2" xfId="22132" xr:uid="{00000000-0005-0000-0000-0000B2CE0000}"/>
    <cellStyle name="Normal 4 3 9" xfId="8666" xr:uid="{00000000-0005-0000-0000-0000B3CE0000}"/>
    <cellStyle name="Normal 4 3 9 2" xfId="23815" xr:uid="{00000000-0005-0000-0000-0000B4CE0000}"/>
    <cellStyle name="Normal 4 30" xfId="53900" xr:uid="{00000000-0005-0000-0000-0000B5CE0000}"/>
    <cellStyle name="Normal 4 31" xfId="55583" xr:uid="{00000000-0005-0000-0000-0000B6CE0000}"/>
    <cellStyle name="Normal 4 32" xfId="57266" xr:uid="{00000000-0005-0000-0000-0000B7CE0000}"/>
    <cellStyle name="Normal 4 33" xfId="58949" xr:uid="{00000000-0005-0000-0000-0000B8CE0000}"/>
    <cellStyle name="Normal 4 34" xfId="60632" xr:uid="{00000000-0005-0000-0000-0000B9CE0000}"/>
    <cellStyle name="Normal 4 35" xfId="62315" xr:uid="{00000000-0005-0000-0000-0000BACE0000}"/>
    <cellStyle name="Normal 4 4" xfId="460" xr:uid="{00000000-0005-0000-0000-0000BBCE0000}"/>
    <cellStyle name="Normal 4 4 10" xfId="15609" xr:uid="{00000000-0005-0000-0000-0000BCCE0000}"/>
    <cellStyle name="Normal 4 4 11" xfId="30758" xr:uid="{00000000-0005-0000-0000-0000BDCE0000}"/>
    <cellStyle name="Normal 4 4 12" xfId="32441" xr:uid="{00000000-0005-0000-0000-0000BECE0000}"/>
    <cellStyle name="Normal 4 4 13" xfId="34124" xr:uid="{00000000-0005-0000-0000-0000BFCE0000}"/>
    <cellStyle name="Normal 4 4 14" xfId="35807" xr:uid="{00000000-0005-0000-0000-0000C0CE0000}"/>
    <cellStyle name="Normal 4 4 15" xfId="37490" xr:uid="{00000000-0005-0000-0000-0000C1CE0000}"/>
    <cellStyle name="Normal 4 4 16" xfId="39173" xr:uid="{00000000-0005-0000-0000-0000C2CE0000}"/>
    <cellStyle name="Normal 4 4 17" xfId="40856" xr:uid="{00000000-0005-0000-0000-0000C3CE0000}"/>
    <cellStyle name="Normal 4 4 18" xfId="42539" xr:uid="{00000000-0005-0000-0000-0000C4CE0000}"/>
    <cellStyle name="Normal 4 4 19" xfId="44222" xr:uid="{00000000-0005-0000-0000-0000C5CE0000}"/>
    <cellStyle name="Normal 4 4 2" xfId="2143" xr:uid="{00000000-0005-0000-0000-0000C6CE0000}"/>
    <cellStyle name="Normal 4 4 2 2" xfId="17292" xr:uid="{00000000-0005-0000-0000-0000C7CE0000}"/>
    <cellStyle name="Normal 4 4 20" xfId="45905" xr:uid="{00000000-0005-0000-0000-0000C8CE0000}"/>
    <cellStyle name="Normal 4 4 21" xfId="47588" xr:uid="{00000000-0005-0000-0000-0000C9CE0000}"/>
    <cellStyle name="Normal 4 4 22" xfId="49271" xr:uid="{00000000-0005-0000-0000-0000CACE0000}"/>
    <cellStyle name="Normal 4 4 23" xfId="50954" xr:uid="{00000000-0005-0000-0000-0000CBCE0000}"/>
    <cellStyle name="Normal 4 4 24" xfId="52637" xr:uid="{00000000-0005-0000-0000-0000CCCE0000}"/>
    <cellStyle name="Normal 4 4 25" xfId="54320" xr:uid="{00000000-0005-0000-0000-0000CDCE0000}"/>
    <cellStyle name="Normal 4 4 26" xfId="56003" xr:uid="{00000000-0005-0000-0000-0000CECE0000}"/>
    <cellStyle name="Normal 4 4 27" xfId="57686" xr:uid="{00000000-0005-0000-0000-0000CFCE0000}"/>
    <cellStyle name="Normal 4 4 28" xfId="59369" xr:uid="{00000000-0005-0000-0000-0000D0CE0000}"/>
    <cellStyle name="Normal 4 4 29" xfId="61052" xr:uid="{00000000-0005-0000-0000-0000D1CE0000}"/>
    <cellStyle name="Normal 4 4 3" xfId="3827" xr:uid="{00000000-0005-0000-0000-0000D2CE0000}"/>
    <cellStyle name="Normal 4 4 3 2" xfId="18976" xr:uid="{00000000-0005-0000-0000-0000D3CE0000}"/>
    <cellStyle name="Normal 4 4 30" xfId="62735" xr:uid="{00000000-0005-0000-0000-0000D4CE0000}"/>
    <cellStyle name="Normal 4 4 4" xfId="5510" xr:uid="{00000000-0005-0000-0000-0000D5CE0000}"/>
    <cellStyle name="Normal 4 4 4 2" xfId="20659" xr:uid="{00000000-0005-0000-0000-0000D6CE0000}"/>
    <cellStyle name="Normal 4 4 5" xfId="7193" xr:uid="{00000000-0005-0000-0000-0000D7CE0000}"/>
    <cellStyle name="Normal 4 4 5 2" xfId="22342" xr:uid="{00000000-0005-0000-0000-0000D8CE0000}"/>
    <cellStyle name="Normal 4 4 6" xfId="8876" xr:uid="{00000000-0005-0000-0000-0000D9CE0000}"/>
    <cellStyle name="Normal 4 4 6 2" xfId="24025" xr:uid="{00000000-0005-0000-0000-0000DACE0000}"/>
    <cellStyle name="Normal 4 4 7" xfId="10559" xr:uid="{00000000-0005-0000-0000-0000DBCE0000}"/>
    <cellStyle name="Normal 4 4 7 2" xfId="25708" xr:uid="{00000000-0005-0000-0000-0000DCCE0000}"/>
    <cellStyle name="Normal 4 4 8" xfId="12243" xr:uid="{00000000-0005-0000-0000-0000DDCE0000}"/>
    <cellStyle name="Normal 4 4 8 2" xfId="27392" xr:uid="{00000000-0005-0000-0000-0000DECE0000}"/>
    <cellStyle name="Normal 4 4 9" xfId="13926" xr:uid="{00000000-0005-0000-0000-0000DFCE0000}"/>
    <cellStyle name="Normal 4 4 9 2" xfId="29075" xr:uid="{00000000-0005-0000-0000-0000E0CE0000}"/>
    <cellStyle name="Normal 4 5" xfId="881" xr:uid="{00000000-0005-0000-0000-0000E1CE0000}"/>
    <cellStyle name="Normal 4 5 10" xfId="16030" xr:uid="{00000000-0005-0000-0000-0000E2CE0000}"/>
    <cellStyle name="Normal 4 5 11" xfId="31179" xr:uid="{00000000-0005-0000-0000-0000E3CE0000}"/>
    <cellStyle name="Normal 4 5 12" xfId="32862" xr:uid="{00000000-0005-0000-0000-0000E4CE0000}"/>
    <cellStyle name="Normal 4 5 13" xfId="34545" xr:uid="{00000000-0005-0000-0000-0000E5CE0000}"/>
    <cellStyle name="Normal 4 5 14" xfId="36228" xr:uid="{00000000-0005-0000-0000-0000E6CE0000}"/>
    <cellStyle name="Normal 4 5 15" xfId="37911" xr:uid="{00000000-0005-0000-0000-0000E7CE0000}"/>
    <cellStyle name="Normal 4 5 16" xfId="39594" xr:uid="{00000000-0005-0000-0000-0000E8CE0000}"/>
    <cellStyle name="Normal 4 5 17" xfId="41277" xr:uid="{00000000-0005-0000-0000-0000E9CE0000}"/>
    <cellStyle name="Normal 4 5 18" xfId="42960" xr:uid="{00000000-0005-0000-0000-0000EACE0000}"/>
    <cellStyle name="Normal 4 5 19" xfId="44643" xr:uid="{00000000-0005-0000-0000-0000EBCE0000}"/>
    <cellStyle name="Normal 4 5 2" xfId="2564" xr:uid="{00000000-0005-0000-0000-0000ECCE0000}"/>
    <cellStyle name="Normal 4 5 2 2" xfId="17713" xr:uid="{00000000-0005-0000-0000-0000EDCE0000}"/>
    <cellStyle name="Normal 4 5 20" xfId="46326" xr:uid="{00000000-0005-0000-0000-0000EECE0000}"/>
    <cellStyle name="Normal 4 5 21" xfId="48009" xr:uid="{00000000-0005-0000-0000-0000EFCE0000}"/>
    <cellStyle name="Normal 4 5 22" xfId="49692" xr:uid="{00000000-0005-0000-0000-0000F0CE0000}"/>
    <cellStyle name="Normal 4 5 23" xfId="51375" xr:uid="{00000000-0005-0000-0000-0000F1CE0000}"/>
    <cellStyle name="Normal 4 5 24" xfId="53058" xr:uid="{00000000-0005-0000-0000-0000F2CE0000}"/>
    <cellStyle name="Normal 4 5 25" xfId="54741" xr:uid="{00000000-0005-0000-0000-0000F3CE0000}"/>
    <cellStyle name="Normal 4 5 26" xfId="56424" xr:uid="{00000000-0005-0000-0000-0000F4CE0000}"/>
    <cellStyle name="Normal 4 5 27" xfId="58107" xr:uid="{00000000-0005-0000-0000-0000F5CE0000}"/>
    <cellStyle name="Normal 4 5 28" xfId="59790" xr:uid="{00000000-0005-0000-0000-0000F6CE0000}"/>
    <cellStyle name="Normal 4 5 29" xfId="61473" xr:uid="{00000000-0005-0000-0000-0000F7CE0000}"/>
    <cellStyle name="Normal 4 5 3" xfId="4248" xr:uid="{00000000-0005-0000-0000-0000F8CE0000}"/>
    <cellStyle name="Normal 4 5 3 2" xfId="19397" xr:uid="{00000000-0005-0000-0000-0000F9CE0000}"/>
    <cellStyle name="Normal 4 5 30" xfId="63156" xr:uid="{00000000-0005-0000-0000-0000FACE0000}"/>
    <cellStyle name="Normal 4 5 4" xfId="5931" xr:uid="{00000000-0005-0000-0000-0000FBCE0000}"/>
    <cellStyle name="Normal 4 5 4 2" xfId="21080" xr:uid="{00000000-0005-0000-0000-0000FCCE0000}"/>
    <cellStyle name="Normal 4 5 5" xfId="7614" xr:uid="{00000000-0005-0000-0000-0000FDCE0000}"/>
    <cellStyle name="Normal 4 5 5 2" xfId="22763" xr:uid="{00000000-0005-0000-0000-0000FECE0000}"/>
    <cellStyle name="Normal 4 5 6" xfId="9297" xr:uid="{00000000-0005-0000-0000-0000FFCE0000}"/>
    <cellStyle name="Normal 4 5 6 2" xfId="24446" xr:uid="{00000000-0005-0000-0000-000000CF0000}"/>
    <cellStyle name="Normal 4 5 7" xfId="10980" xr:uid="{00000000-0005-0000-0000-000001CF0000}"/>
    <cellStyle name="Normal 4 5 7 2" xfId="26129" xr:uid="{00000000-0005-0000-0000-000002CF0000}"/>
    <cellStyle name="Normal 4 5 8" xfId="12664" xr:uid="{00000000-0005-0000-0000-000003CF0000}"/>
    <cellStyle name="Normal 4 5 8 2" xfId="27813" xr:uid="{00000000-0005-0000-0000-000004CF0000}"/>
    <cellStyle name="Normal 4 5 9" xfId="14347" xr:uid="{00000000-0005-0000-0000-000005CF0000}"/>
    <cellStyle name="Normal 4 5 9 2" xfId="29496" xr:uid="{00000000-0005-0000-0000-000006CF0000}"/>
    <cellStyle name="Normal 4 6" xfId="1302" xr:uid="{00000000-0005-0000-0000-000007CF0000}"/>
    <cellStyle name="Normal 4 6 10" xfId="16451" xr:uid="{00000000-0005-0000-0000-000008CF0000}"/>
    <cellStyle name="Normal 4 6 11" xfId="31600" xr:uid="{00000000-0005-0000-0000-000009CF0000}"/>
    <cellStyle name="Normal 4 6 12" xfId="33283" xr:uid="{00000000-0005-0000-0000-00000ACF0000}"/>
    <cellStyle name="Normal 4 6 13" xfId="34966" xr:uid="{00000000-0005-0000-0000-00000BCF0000}"/>
    <cellStyle name="Normal 4 6 14" xfId="36649" xr:uid="{00000000-0005-0000-0000-00000CCF0000}"/>
    <cellStyle name="Normal 4 6 15" xfId="38332" xr:uid="{00000000-0005-0000-0000-00000DCF0000}"/>
    <cellStyle name="Normal 4 6 16" xfId="40015" xr:uid="{00000000-0005-0000-0000-00000ECF0000}"/>
    <cellStyle name="Normal 4 6 17" xfId="41698" xr:uid="{00000000-0005-0000-0000-00000FCF0000}"/>
    <cellStyle name="Normal 4 6 18" xfId="43381" xr:uid="{00000000-0005-0000-0000-000010CF0000}"/>
    <cellStyle name="Normal 4 6 19" xfId="45064" xr:uid="{00000000-0005-0000-0000-000011CF0000}"/>
    <cellStyle name="Normal 4 6 2" xfId="2985" xr:uid="{00000000-0005-0000-0000-000012CF0000}"/>
    <cellStyle name="Normal 4 6 2 2" xfId="18134" xr:uid="{00000000-0005-0000-0000-000013CF0000}"/>
    <cellStyle name="Normal 4 6 20" xfId="46747" xr:uid="{00000000-0005-0000-0000-000014CF0000}"/>
    <cellStyle name="Normal 4 6 21" xfId="48430" xr:uid="{00000000-0005-0000-0000-000015CF0000}"/>
    <cellStyle name="Normal 4 6 22" xfId="50113" xr:uid="{00000000-0005-0000-0000-000016CF0000}"/>
    <cellStyle name="Normal 4 6 23" xfId="51796" xr:uid="{00000000-0005-0000-0000-000017CF0000}"/>
    <cellStyle name="Normal 4 6 24" xfId="53479" xr:uid="{00000000-0005-0000-0000-000018CF0000}"/>
    <cellStyle name="Normal 4 6 25" xfId="55162" xr:uid="{00000000-0005-0000-0000-000019CF0000}"/>
    <cellStyle name="Normal 4 6 26" xfId="56845" xr:uid="{00000000-0005-0000-0000-00001ACF0000}"/>
    <cellStyle name="Normal 4 6 27" xfId="58528" xr:uid="{00000000-0005-0000-0000-00001BCF0000}"/>
    <cellStyle name="Normal 4 6 28" xfId="60211" xr:uid="{00000000-0005-0000-0000-00001CCF0000}"/>
    <cellStyle name="Normal 4 6 29" xfId="61894" xr:uid="{00000000-0005-0000-0000-00001DCF0000}"/>
    <cellStyle name="Normal 4 6 3" xfId="4669" xr:uid="{00000000-0005-0000-0000-00001ECF0000}"/>
    <cellStyle name="Normal 4 6 3 2" xfId="19818" xr:uid="{00000000-0005-0000-0000-00001FCF0000}"/>
    <cellStyle name="Normal 4 6 30" xfId="63577" xr:uid="{00000000-0005-0000-0000-000020CF0000}"/>
    <cellStyle name="Normal 4 6 4" xfId="6352" xr:uid="{00000000-0005-0000-0000-000021CF0000}"/>
    <cellStyle name="Normal 4 6 4 2" xfId="21501" xr:uid="{00000000-0005-0000-0000-000022CF0000}"/>
    <cellStyle name="Normal 4 6 5" xfId="8035" xr:uid="{00000000-0005-0000-0000-000023CF0000}"/>
    <cellStyle name="Normal 4 6 5 2" xfId="23184" xr:uid="{00000000-0005-0000-0000-000024CF0000}"/>
    <cellStyle name="Normal 4 6 6" xfId="9718" xr:uid="{00000000-0005-0000-0000-000025CF0000}"/>
    <cellStyle name="Normal 4 6 6 2" xfId="24867" xr:uid="{00000000-0005-0000-0000-000026CF0000}"/>
    <cellStyle name="Normal 4 6 7" xfId="11401" xr:uid="{00000000-0005-0000-0000-000027CF0000}"/>
    <cellStyle name="Normal 4 6 7 2" xfId="26550" xr:uid="{00000000-0005-0000-0000-000028CF0000}"/>
    <cellStyle name="Normal 4 6 8" xfId="13085" xr:uid="{00000000-0005-0000-0000-000029CF0000}"/>
    <cellStyle name="Normal 4 6 8 2" xfId="28234" xr:uid="{00000000-0005-0000-0000-00002ACF0000}"/>
    <cellStyle name="Normal 4 6 9" xfId="14768" xr:uid="{00000000-0005-0000-0000-00002BCF0000}"/>
    <cellStyle name="Normal 4 6 9 2" xfId="29917" xr:uid="{00000000-0005-0000-0000-00002CCF0000}"/>
    <cellStyle name="Normal 4 7" xfId="1723" xr:uid="{00000000-0005-0000-0000-00002DCF0000}"/>
    <cellStyle name="Normal 4 7 2" xfId="16872" xr:uid="{00000000-0005-0000-0000-00002ECF0000}"/>
    <cellStyle name="Normal 4 8" xfId="3407" xr:uid="{00000000-0005-0000-0000-00002FCF0000}"/>
    <cellStyle name="Normal 4 8 2" xfId="18556" xr:uid="{00000000-0005-0000-0000-000030CF0000}"/>
    <cellStyle name="Normal 4 9" xfId="5090" xr:uid="{00000000-0005-0000-0000-000031CF0000}"/>
    <cellStyle name="Normal 4 9 2" xfId="20239" xr:uid="{00000000-0005-0000-0000-000032CF0000}"/>
    <cellStyle name="Normal 5" xfId="27" xr:uid="{00000000-0005-0000-0000-000033CF0000}"/>
    <cellStyle name="Normal 5 10" xfId="6782" xr:uid="{00000000-0005-0000-0000-000034CF0000}"/>
    <cellStyle name="Normal 5 10 2" xfId="21931" xr:uid="{00000000-0005-0000-0000-000035CF0000}"/>
    <cellStyle name="Normal 5 11" xfId="8465" xr:uid="{00000000-0005-0000-0000-000036CF0000}"/>
    <cellStyle name="Normal 5 11 2" xfId="23614" xr:uid="{00000000-0005-0000-0000-000037CF0000}"/>
    <cellStyle name="Normal 5 12" xfId="10148" xr:uid="{00000000-0005-0000-0000-000038CF0000}"/>
    <cellStyle name="Normal 5 12 2" xfId="25297" xr:uid="{00000000-0005-0000-0000-000039CF0000}"/>
    <cellStyle name="Normal 5 13" xfId="11832" xr:uid="{00000000-0005-0000-0000-00003ACF0000}"/>
    <cellStyle name="Normal 5 13 2" xfId="26981" xr:uid="{00000000-0005-0000-0000-00003BCF0000}"/>
    <cellStyle name="Normal 5 14" xfId="13515" xr:uid="{00000000-0005-0000-0000-00003CCF0000}"/>
    <cellStyle name="Normal 5 14 2" xfId="28664" xr:uid="{00000000-0005-0000-0000-00003DCF0000}"/>
    <cellStyle name="Normal 5 15" xfId="15198" xr:uid="{00000000-0005-0000-0000-00003ECF0000}"/>
    <cellStyle name="Normal 5 16" xfId="30347" xr:uid="{00000000-0005-0000-0000-00003FCF0000}"/>
    <cellStyle name="Normal 5 17" xfId="32030" xr:uid="{00000000-0005-0000-0000-000040CF0000}"/>
    <cellStyle name="Normal 5 18" xfId="33713" xr:uid="{00000000-0005-0000-0000-000041CF0000}"/>
    <cellStyle name="Normal 5 19" xfId="35396" xr:uid="{00000000-0005-0000-0000-000042CF0000}"/>
    <cellStyle name="Normal 5 2" xfId="154" xr:uid="{00000000-0005-0000-0000-000043CF0000}"/>
    <cellStyle name="Normal 5 2 10" xfId="8570" xr:uid="{00000000-0005-0000-0000-000044CF0000}"/>
    <cellStyle name="Normal 5 2 10 2" xfId="23719" xr:uid="{00000000-0005-0000-0000-000045CF0000}"/>
    <cellStyle name="Normal 5 2 11" xfId="10253" xr:uid="{00000000-0005-0000-0000-000046CF0000}"/>
    <cellStyle name="Normal 5 2 11 2" xfId="25402" xr:uid="{00000000-0005-0000-0000-000047CF0000}"/>
    <cellStyle name="Normal 5 2 12" xfId="11937" xr:uid="{00000000-0005-0000-0000-000048CF0000}"/>
    <cellStyle name="Normal 5 2 12 2" xfId="27086" xr:uid="{00000000-0005-0000-0000-000049CF0000}"/>
    <cellStyle name="Normal 5 2 13" xfId="13620" xr:uid="{00000000-0005-0000-0000-00004ACF0000}"/>
    <cellStyle name="Normal 5 2 13 2" xfId="28769" xr:uid="{00000000-0005-0000-0000-00004BCF0000}"/>
    <cellStyle name="Normal 5 2 14" xfId="15303" xr:uid="{00000000-0005-0000-0000-00004CCF0000}"/>
    <cellStyle name="Normal 5 2 15" xfId="30452" xr:uid="{00000000-0005-0000-0000-00004DCF0000}"/>
    <cellStyle name="Normal 5 2 16" xfId="32135" xr:uid="{00000000-0005-0000-0000-00004ECF0000}"/>
    <cellStyle name="Normal 5 2 17" xfId="33818" xr:uid="{00000000-0005-0000-0000-00004FCF0000}"/>
    <cellStyle name="Normal 5 2 18" xfId="35501" xr:uid="{00000000-0005-0000-0000-000050CF0000}"/>
    <cellStyle name="Normal 5 2 19" xfId="37184" xr:uid="{00000000-0005-0000-0000-000051CF0000}"/>
    <cellStyle name="Normal 5 2 2" xfId="364" xr:uid="{00000000-0005-0000-0000-000052CF0000}"/>
    <cellStyle name="Normal 5 2 2 10" xfId="10463" xr:uid="{00000000-0005-0000-0000-000053CF0000}"/>
    <cellStyle name="Normal 5 2 2 10 2" xfId="25612" xr:uid="{00000000-0005-0000-0000-000054CF0000}"/>
    <cellStyle name="Normal 5 2 2 11" xfId="12147" xr:uid="{00000000-0005-0000-0000-000055CF0000}"/>
    <cellStyle name="Normal 5 2 2 11 2" xfId="27296" xr:uid="{00000000-0005-0000-0000-000056CF0000}"/>
    <cellStyle name="Normal 5 2 2 12" xfId="13830" xr:uid="{00000000-0005-0000-0000-000057CF0000}"/>
    <cellStyle name="Normal 5 2 2 12 2" xfId="28979" xr:uid="{00000000-0005-0000-0000-000058CF0000}"/>
    <cellStyle name="Normal 5 2 2 13" xfId="15513" xr:uid="{00000000-0005-0000-0000-000059CF0000}"/>
    <cellStyle name="Normal 5 2 2 14" xfId="30662" xr:uid="{00000000-0005-0000-0000-00005ACF0000}"/>
    <cellStyle name="Normal 5 2 2 15" xfId="32345" xr:uid="{00000000-0005-0000-0000-00005BCF0000}"/>
    <cellStyle name="Normal 5 2 2 16" xfId="34028" xr:uid="{00000000-0005-0000-0000-00005CCF0000}"/>
    <cellStyle name="Normal 5 2 2 17" xfId="35711" xr:uid="{00000000-0005-0000-0000-00005DCF0000}"/>
    <cellStyle name="Normal 5 2 2 18" xfId="37394" xr:uid="{00000000-0005-0000-0000-00005ECF0000}"/>
    <cellStyle name="Normal 5 2 2 19" xfId="39077" xr:uid="{00000000-0005-0000-0000-00005FCF0000}"/>
    <cellStyle name="Normal 5 2 2 2" xfId="784" xr:uid="{00000000-0005-0000-0000-000060CF0000}"/>
    <cellStyle name="Normal 5 2 2 2 10" xfId="15933" xr:uid="{00000000-0005-0000-0000-000061CF0000}"/>
    <cellStyle name="Normal 5 2 2 2 11" xfId="31082" xr:uid="{00000000-0005-0000-0000-000062CF0000}"/>
    <cellStyle name="Normal 5 2 2 2 12" xfId="32765" xr:uid="{00000000-0005-0000-0000-000063CF0000}"/>
    <cellStyle name="Normal 5 2 2 2 13" xfId="34448" xr:uid="{00000000-0005-0000-0000-000064CF0000}"/>
    <cellStyle name="Normal 5 2 2 2 14" xfId="36131" xr:uid="{00000000-0005-0000-0000-000065CF0000}"/>
    <cellStyle name="Normal 5 2 2 2 15" xfId="37814" xr:uid="{00000000-0005-0000-0000-000066CF0000}"/>
    <cellStyle name="Normal 5 2 2 2 16" xfId="39497" xr:uid="{00000000-0005-0000-0000-000067CF0000}"/>
    <cellStyle name="Normal 5 2 2 2 17" xfId="41180" xr:uid="{00000000-0005-0000-0000-000068CF0000}"/>
    <cellStyle name="Normal 5 2 2 2 18" xfId="42863" xr:uid="{00000000-0005-0000-0000-000069CF0000}"/>
    <cellStyle name="Normal 5 2 2 2 19" xfId="44546" xr:uid="{00000000-0005-0000-0000-00006ACF0000}"/>
    <cellStyle name="Normal 5 2 2 2 2" xfId="2467" xr:uid="{00000000-0005-0000-0000-00006BCF0000}"/>
    <cellStyle name="Normal 5 2 2 2 2 2" xfId="17616" xr:uid="{00000000-0005-0000-0000-00006CCF0000}"/>
    <cellStyle name="Normal 5 2 2 2 20" xfId="46229" xr:uid="{00000000-0005-0000-0000-00006DCF0000}"/>
    <cellStyle name="Normal 5 2 2 2 21" xfId="47912" xr:uid="{00000000-0005-0000-0000-00006ECF0000}"/>
    <cellStyle name="Normal 5 2 2 2 22" xfId="49595" xr:uid="{00000000-0005-0000-0000-00006FCF0000}"/>
    <cellStyle name="Normal 5 2 2 2 23" xfId="51278" xr:uid="{00000000-0005-0000-0000-000070CF0000}"/>
    <cellStyle name="Normal 5 2 2 2 24" xfId="52961" xr:uid="{00000000-0005-0000-0000-000071CF0000}"/>
    <cellStyle name="Normal 5 2 2 2 25" xfId="54644" xr:uid="{00000000-0005-0000-0000-000072CF0000}"/>
    <cellStyle name="Normal 5 2 2 2 26" xfId="56327" xr:uid="{00000000-0005-0000-0000-000073CF0000}"/>
    <cellStyle name="Normal 5 2 2 2 27" xfId="58010" xr:uid="{00000000-0005-0000-0000-000074CF0000}"/>
    <cellStyle name="Normal 5 2 2 2 28" xfId="59693" xr:uid="{00000000-0005-0000-0000-000075CF0000}"/>
    <cellStyle name="Normal 5 2 2 2 29" xfId="61376" xr:uid="{00000000-0005-0000-0000-000076CF0000}"/>
    <cellStyle name="Normal 5 2 2 2 3" xfId="4151" xr:uid="{00000000-0005-0000-0000-000077CF0000}"/>
    <cellStyle name="Normal 5 2 2 2 3 2" xfId="19300" xr:uid="{00000000-0005-0000-0000-000078CF0000}"/>
    <cellStyle name="Normal 5 2 2 2 30" xfId="63059" xr:uid="{00000000-0005-0000-0000-000079CF0000}"/>
    <cellStyle name="Normal 5 2 2 2 4" xfId="5834" xr:uid="{00000000-0005-0000-0000-00007ACF0000}"/>
    <cellStyle name="Normal 5 2 2 2 4 2" xfId="20983" xr:uid="{00000000-0005-0000-0000-00007BCF0000}"/>
    <cellStyle name="Normal 5 2 2 2 5" xfId="7517" xr:uid="{00000000-0005-0000-0000-00007CCF0000}"/>
    <cellStyle name="Normal 5 2 2 2 5 2" xfId="22666" xr:uid="{00000000-0005-0000-0000-00007DCF0000}"/>
    <cellStyle name="Normal 5 2 2 2 6" xfId="9200" xr:uid="{00000000-0005-0000-0000-00007ECF0000}"/>
    <cellStyle name="Normal 5 2 2 2 6 2" xfId="24349" xr:uid="{00000000-0005-0000-0000-00007FCF0000}"/>
    <cellStyle name="Normal 5 2 2 2 7" xfId="10883" xr:uid="{00000000-0005-0000-0000-000080CF0000}"/>
    <cellStyle name="Normal 5 2 2 2 7 2" xfId="26032" xr:uid="{00000000-0005-0000-0000-000081CF0000}"/>
    <cellStyle name="Normal 5 2 2 2 8" xfId="12567" xr:uid="{00000000-0005-0000-0000-000082CF0000}"/>
    <cellStyle name="Normal 5 2 2 2 8 2" xfId="27716" xr:uid="{00000000-0005-0000-0000-000083CF0000}"/>
    <cellStyle name="Normal 5 2 2 2 9" xfId="14250" xr:uid="{00000000-0005-0000-0000-000084CF0000}"/>
    <cellStyle name="Normal 5 2 2 2 9 2" xfId="29399" xr:uid="{00000000-0005-0000-0000-000085CF0000}"/>
    <cellStyle name="Normal 5 2 2 20" xfId="40760" xr:uid="{00000000-0005-0000-0000-000086CF0000}"/>
    <cellStyle name="Normal 5 2 2 21" xfId="42443" xr:uid="{00000000-0005-0000-0000-000087CF0000}"/>
    <cellStyle name="Normal 5 2 2 22" xfId="44126" xr:uid="{00000000-0005-0000-0000-000088CF0000}"/>
    <cellStyle name="Normal 5 2 2 23" xfId="45809" xr:uid="{00000000-0005-0000-0000-000089CF0000}"/>
    <cellStyle name="Normal 5 2 2 24" xfId="47492" xr:uid="{00000000-0005-0000-0000-00008ACF0000}"/>
    <cellStyle name="Normal 5 2 2 25" xfId="49175" xr:uid="{00000000-0005-0000-0000-00008BCF0000}"/>
    <cellStyle name="Normal 5 2 2 26" xfId="50858" xr:uid="{00000000-0005-0000-0000-00008CCF0000}"/>
    <cellStyle name="Normal 5 2 2 27" xfId="52541" xr:uid="{00000000-0005-0000-0000-00008DCF0000}"/>
    <cellStyle name="Normal 5 2 2 28" xfId="54224" xr:uid="{00000000-0005-0000-0000-00008ECF0000}"/>
    <cellStyle name="Normal 5 2 2 29" xfId="55907" xr:uid="{00000000-0005-0000-0000-00008FCF0000}"/>
    <cellStyle name="Normal 5 2 2 3" xfId="1205" xr:uid="{00000000-0005-0000-0000-000090CF0000}"/>
    <cellStyle name="Normal 5 2 2 3 10" xfId="16354" xr:uid="{00000000-0005-0000-0000-000091CF0000}"/>
    <cellStyle name="Normal 5 2 2 3 11" xfId="31503" xr:uid="{00000000-0005-0000-0000-000092CF0000}"/>
    <cellStyle name="Normal 5 2 2 3 12" xfId="33186" xr:uid="{00000000-0005-0000-0000-000093CF0000}"/>
    <cellStyle name="Normal 5 2 2 3 13" xfId="34869" xr:uid="{00000000-0005-0000-0000-000094CF0000}"/>
    <cellStyle name="Normal 5 2 2 3 14" xfId="36552" xr:uid="{00000000-0005-0000-0000-000095CF0000}"/>
    <cellStyle name="Normal 5 2 2 3 15" xfId="38235" xr:uid="{00000000-0005-0000-0000-000096CF0000}"/>
    <cellStyle name="Normal 5 2 2 3 16" xfId="39918" xr:uid="{00000000-0005-0000-0000-000097CF0000}"/>
    <cellStyle name="Normal 5 2 2 3 17" xfId="41601" xr:uid="{00000000-0005-0000-0000-000098CF0000}"/>
    <cellStyle name="Normal 5 2 2 3 18" xfId="43284" xr:uid="{00000000-0005-0000-0000-000099CF0000}"/>
    <cellStyle name="Normal 5 2 2 3 19" xfId="44967" xr:uid="{00000000-0005-0000-0000-00009ACF0000}"/>
    <cellStyle name="Normal 5 2 2 3 2" xfId="2888" xr:uid="{00000000-0005-0000-0000-00009BCF0000}"/>
    <cellStyle name="Normal 5 2 2 3 2 2" xfId="18037" xr:uid="{00000000-0005-0000-0000-00009CCF0000}"/>
    <cellStyle name="Normal 5 2 2 3 20" xfId="46650" xr:uid="{00000000-0005-0000-0000-00009DCF0000}"/>
    <cellStyle name="Normal 5 2 2 3 21" xfId="48333" xr:uid="{00000000-0005-0000-0000-00009ECF0000}"/>
    <cellStyle name="Normal 5 2 2 3 22" xfId="50016" xr:uid="{00000000-0005-0000-0000-00009FCF0000}"/>
    <cellStyle name="Normal 5 2 2 3 23" xfId="51699" xr:uid="{00000000-0005-0000-0000-0000A0CF0000}"/>
    <cellStyle name="Normal 5 2 2 3 24" xfId="53382" xr:uid="{00000000-0005-0000-0000-0000A1CF0000}"/>
    <cellStyle name="Normal 5 2 2 3 25" xfId="55065" xr:uid="{00000000-0005-0000-0000-0000A2CF0000}"/>
    <cellStyle name="Normal 5 2 2 3 26" xfId="56748" xr:uid="{00000000-0005-0000-0000-0000A3CF0000}"/>
    <cellStyle name="Normal 5 2 2 3 27" xfId="58431" xr:uid="{00000000-0005-0000-0000-0000A4CF0000}"/>
    <cellStyle name="Normal 5 2 2 3 28" xfId="60114" xr:uid="{00000000-0005-0000-0000-0000A5CF0000}"/>
    <cellStyle name="Normal 5 2 2 3 29" xfId="61797" xr:uid="{00000000-0005-0000-0000-0000A6CF0000}"/>
    <cellStyle name="Normal 5 2 2 3 3" xfId="4572" xr:uid="{00000000-0005-0000-0000-0000A7CF0000}"/>
    <cellStyle name="Normal 5 2 2 3 3 2" xfId="19721" xr:uid="{00000000-0005-0000-0000-0000A8CF0000}"/>
    <cellStyle name="Normal 5 2 2 3 30" xfId="63480" xr:uid="{00000000-0005-0000-0000-0000A9CF0000}"/>
    <cellStyle name="Normal 5 2 2 3 4" xfId="6255" xr:uid="{00000000-0005-0000-0000-0000AACF0000}"/>
    <cellStyle name="Normal 5 2 2 3 4 2" xfId="21404" xr:uid="{00000000-0005-0000-0000-0000ABCF0000}"/>
    <cellStyle name="Normal 5 2 2 3 5" xfId="7938" xr:uid="{00000000-0005-0000-0000-0000ACCF0000}"/>
    <cellStyle name="Normal 5 2 2 3 5 2" xfId="23087" xr:uid="{00000000-0005-0000-0000-0000ADCF0000}"/>
    <cellStyle name="Normal 5 2 2 3 6" xfId="9621" xr:uid="{00000000-0005-0000-0000-0000AECF0000}"/>
    <cellStyle name="Normal 5 2 2 3 6 2" xfId="24770" xr:uid="{00000000-0005-0000-0000-0000AFCF0000}"/>
    <cellStyle name="Normal 5 2 2 3 7" xfId="11304" xr:uid="{00000000-0005-0000-0000-0000B0CF0000}"/>
    <cellStyle name="Normal 5 2 2 3 7 2" xfId="26453" xr:uid="{00000000-0005-0000-0000-0000B1CF0000}"/>
    <cellStyle name="Normal 5 2 2 3 8" xfId="12988" xr:uid="{00000000-0005-0000-0000-0000B2CF0000}"/>
    <cellStyle name="Normal 5 2 2 3 8 2" xfId="28137" xr:uid="{00000000-0005-0000-0000-0000B3CF0000}"/>
    <cellStyle name="Normal 5 2 2 3 9" xfId="14671" xr:uid="{00000000-0005-0000-0000-0000B4CF0000}"/>
    <cellStyle name="Normal 5 2 2 3 9 2" xfId="29820" xr:uid="{00000000-0005-0000-0000-0000B5CF0000}"/>
    <cellStyle name="Normal 5 2 2 30" xfId="57590" xr:uid="{00000000-0005-0000-0000-0000B6CF0000}"/>
    <cellStyle name="Normal 5 2 2 31" xfId="59273" xr:uid="{00000000-0005-0000-0000-0000B7CF0000}"/>
    <cellStyle name="Normal 5 2 2 32" xfId="60956" xr:uid="{00000000-0005-0000-0000-0000B8CF0000}"/>
    <cellStyle name="Normal 5 2 2 33" xfId="62639" xr:uid="{00000000-0005-0000-0000-0000B9CF0000}"/>
    <cellStyle name="Normal 5 2 2 4" xfId="1626" xr:uid="{00000000-0005-0000-0000-0000BACF0000}"/>
    <cellStyle name="Normal 5 2 2 4 10" xfId="16775" xr:uid="{00000000-0005-0000-0000-0000BBCF0000}"/>
    <cellStyle name="Normal 5 2 2 4 11" xfId="31924" xr:uid="{00000000-0005-0000-0000-0000BCCF0000}"/>
    <cellStyle name="Normal 5 2 2 4 12" xfId="33607" xr:uid="{00000000-0005-0000-0000-0000BDCF0000}"/>
    <cellStyle name="Normal 5 2 2 4 13" xfId="35290" xr:uid="{00000000-0005-0000-0000-0000BECF0000}"/>
    <cellStyle name="Normal 5 2 2 4 14" xfId="36973" xr:uid="{00000000-0005-0000-0000-0000BFCF0000}"/>
    <cellStyle name="Normal 5 2 2 4 15" xfId="38656" xr:uid="{00000000-0005-0000-0000-0000C0CF0000}"/>
    <cellStyle name="Normal 5 2 2 4 16" xfId="40339" xr:uid="{00000000-0005-0000-0000-0000C1CF0000}"/>
    <cellStyle name="Normal 5 2 2 4 17" xfId="42022" xr:uid="{00000000-0005-0000-0000-0000C2CF0000}"/>
    <cellStyle name="Normal 5 2 2 4 18" xfId="43705" xr:uid="{00000000-0005-0000-0000-0000C3CF0000}"/>
    <cellStyle name="Normal 5 2 2 4 19" xfId="45388" xr:uid="{00000000-0005-0000-0000-0000C4CF0000}"/>
    <cellStyle name="Normal 5 2 2 4 2" xfId="3309" xr:uid="{00000000-0005-0000-0000-0000C5CF0000}"/>
    <cellStyle name="Normal 5 2 2 4 2 2" xfId="18458" xr:uid="{00000000-0005-0000-0000-0000C6CF0000}"/>
    <cellStyle name="Normal 5 2 2 4 20" xfId="47071" xr:uid="{00000000-0005-0000-0000-0000C7CF0000}"/>
    <cellStyle name="Normal 5 2 2 4 21" xfId="48754" xr:uid="{00000000-0005-0000-0000-0000C8CF0000}"/>
    <cellStyle name="Normal 5 2 2 4 22" xfId="50437" xr:uid="{00000000-0005-0000-0000-0000C9CF0000}"/>
    <cellStyle name="Normal 5 2 2 4 23" xfId="52120" xr:uid="{00000000-0005-0000-0000-0000CACF0000}"/>
    <cellStyle name="Normal 5 2 2 4 24" xfId="53803" xr:uid="{00000000-0005-0000-0000-0000CBCF0000}"/>
    <cellStyle name="Normal 5 2 2 4 25" xfId="55486" xr:uid="{00000000-0005-0000-0000-0000CCCF0000}"/>
    <cellStyle name="Normal 5 2 2 4 26" xfId="57169" xr:uid="{00000000-0005-0000-0000-0000CDCF0000}"/>
    <cellStyle name="Normal 5 2 2 4 27" xfId="58852" xr:uid="{00000000-0005-0000-0000-0000CECF0000}"/>
    <cellStyle name="Normal 5 2 2 4 28" xfId="60535" xr:uid="{00000000-0005-0000-0000-0000CFCF0000}"/>
    <cellStyle name="Normal 5 2 2 4 29" xfId="62218" xr:uid="{00000000-0005-0000-0000-0000D0CF0000}"/>
    <cellStyle name="Normal 5 2 2 4 3" xfId="4993" xr:uid="{00000000-0005-0000-0000-0000D1CF0000}"/>
    <cellStyle name="Normal 5 2 2 4 3 2" xfId="20142" xr:uid="{00000000-0005-0000-0000-0000D2CF0000}"/>
    <cellStyle name="Normal 5 2 2 4 30" xfId="63901" xr:uid="{00000000-0005-0000-0000-0000D3CF0000}"/>
    <cellStyle name="Normal 5 2 2 4 4" xfId="6676" xr:uid="{00000000-0005-0000-0000-0000D4CF0000}"/>
    <cellStyle name="Normal 5 2 2 4 4 2" xfId="21825" xr:uid="{00000000-0005-0000-0000-0000D5CF0000}"/>
    <cellStyle name="Normal 5 2 2 4 5" xfId="8359" xr:uid="{00000000-0005-0000-0000-0000D6CF0000}"/>
    <cellStyle name="Normal 5 2 2 4 5 2" xfId="23508" xr:uid="{00000000-0005-0000-0000-0000D7CF0000}"/>
    <cellStyle name="Normal 5 2 2 4 6" xfId="10042" xr:uid="{00000000-0005-0000-0000-0000D8CF0000}"/>
    <cellStyle name="Normal 5 2 2 4 6 2" xfId="25191" xr:uid="{00000000-0005-0000-0000-0000D9CF0000}"/>
    <cellStyle name="Normal 5 2 2 4 7" xfId="11725" xr:uid="{00000000-0005-0000-0000-0000DACF0000}"/>
    <cellStyle name="Normal 5 2 2 4 7 2" xfId="26874" xr:uid="{00000000-0005-0000-0000-0000DBCF0000}"/>
    <cellStyle name="Normal 5 2 2 4 8" xfId="13409" xr:uid="{00000000-0005-0000-0000-0000DCCF0000}"/>
    <cellStyle name="Normal 5 2 2 4 8 2" xfId="28558" xr:uid="{00000000-0005-0000-0000-0000DDCF0000}"/>
    <cellStyle name="Normal 5 2 2 4 9" xfId="15092" xr:uid="{00000000-0005-0000-0000-0000DECF0000}"/>
    <cellStyle name="Normal 5 2 2 4 9 2" xfId="30241" xr:uid="{00000000-0005-0000-0000-0000DFCF0000}"/>
    <cellStyle name="Normal 5 2 2 5" xfId="2047" xr:uid="{00000000-0005-0000-0000-0000E0CF0000}"/>
    <cellStyle name="Normal 5 2 2 5 2" xfId="17196" xr:uid="{00000000-0005-0000-0000-0000E1CF0000}"/>
    <cellStyle name="Normal 5 2 2 6" xfId="3731" xr:uid="{00000000-0005-0000-0000-0000E2CF0000}"/>
    <cellStyle name="Normal 5 2 2 6 2" xfId="18880" xr:uid="{00000000-0005-0000-0000-0000E3CF0000}"/>
    <cellStyle name="Normal 5 2 2 7" xfId="5414" xr:uid="{00000000-0005-0000-0000-0000E4CF0000}"/>
    <cellStyle name="Normal 5 2 2 7 2" xfId="20563" xr:uid="{00000000-0005-0000-0000-0000E5CF0000}"/>
    <cellStyle name="Normal 5 2 2 8" xfId="7097" xr:uid="{00000000-0005-0000-0000-0000E6CF0000}"/>
    <cellStyle name="Normal 5 2 2 8 2" xfId="22246" xr:uid="{00000000-0005-0000-0000-0000E7CF0000}"/>
    <cellStyle name="Normal 5 2 2 9" xfId="8780" xr:uid="{00000000-0005-0000-0000-0000E8CF0000}"/>
    <cellStyle name="Normal 5 2 2 9 2" xfId="23929" xr:uid="{00000000-0005-0000-0000-0000E9CF0000}"/>
    <cellStyle name="Normal 5 2 20" xfId="38867" xr:uid="{00000000-0005-0000-0000-0000EACF0000}"/>
    <cellStyle name="Normal 5 2 21" xfId="40550" xr:uid="{00000000-0005-0000-0000-0000EBCF0000}"/>
    <cellStyle name="Normal 5 2 22" xfId="42233" xr:uid="{00000000-0005-0000-0000-0000ECCF0000}"/>
    <cellStyle name="Normal 5 2 23" xfId="43916" xr:uid="{00000000-0005-0000-0000-0000EDCF0000}"/>
    <cellStyle name="Normal 5 2 24" xfId="45599" xr:uid="{00000000-0005-0000-0000-0000EECF0000}"/>
    <cellStyle name="Normal 5 2 25" xfId="47282" xr:uid="{00000000-0005-0000-0000-0000EFCF0000}"/>
    <cellStyle name="Normal 5 2 26" xfId="48965" xr:uid="{00000000-0005-0000-0000-0000F0CF0000}"/>
    <cellStyle name="Normal 5 2 27" xfId="50648" xr:uid="{00000000-0005-0000-0000-0000F1CF0000}"/>
    <cellStyle name="Normal 5 2 28" xfId="52331" xr:uid="{00000000-0005-0000-0000-0000F2CF0000}"/>
    <cellStyle name="Normal 5 2 29" xfId="54014" xr:uid="{00000000-0005-0000-0000-0000F3CF0000}"/>
    <cellStyle name="Normal 5 2 3" xfId="574" xr:uid="{00000000-0005-0000-0000-0000F4CF0000}"/>
    <cellStyle name="Normal 5 2 3 10" xfId="15723" xr:uid="{00000000-0005-0000-0000-0000F5CF0000}"/>
    <cellStyle name="Normal 5 2 3 11" xfId="30872" xr:uid="{00000000-0005-0000-0000-0000F6CF0000}"/>
    <cellStyle name="Normal 5 2 3 12" xfId="32555" xr:uid="{00000000-0005-0000-0000-0000F7CF0000}"/>
    <cellStyle name="Normal 5 2 3 13" xfId="34238" xr:uid="{00000000-0005-0000-0000-0000F8CF0000}"/>
    <cellStyle name="Normal 5 2 3 14" xfId="35921" xr:uid="{00000000-0005-0000-0000-0000F9CF0000}"/>
    <cellStyle name="Normal 5 2 3 15" xfId="37604" xr:uid="{00000000-0005-0000-0000-0000FACF0000}"/>
    <cellStyle name="Normal 5 2 3 16" xfId="39287" xr:uid="{00000000-0005-0000-0000-0000FBCF0000}"/>
    <cellStyle name="Normal 5 2 3 17" xfId="40970" xr:uid="{00000000-0005-0000-0000-0000FCCF0000}"/>
    <cellStyle name="Normal 5 2 3 18" xfId="42653" xr:uid="{00000000-0005-0000-0000-0000FDCF0000}"/>
    <cellStyle name="Normal 5 2 3 19" xfId="44336" xr:uid="{00000000-0005-0000-0000-0000FECF0000}"/>
    <cellStyle name="Normal 5 2 3 2" xfId="2257" xr:uid="{00000000-0005-0000-0000-0000FFCF0000}"/>
    <cellStyle name="Normal 5 2 3 2 2" xfId="17406" xr:uid="{00000000-0005-0000-0000-000000D00000}"/>
    <cellStyle name="Normal 5 2 3 20" xfId="46019" xr:uid="{00000000-0005-0000-0000-000001D00000}"/>
    <cellStyle name="Normal 5 2 3 21" xfId="47702" xr:uid="{00000000-0005-0000-0000-000002D00000}"/>
    <cellStyle name="Normal 5 2 3 22" xfId="49385" xr:uid="{00000000-0005-0000-0000-000003D00000}"/>
    <cellStyle name="Normal 5 2 3 23" xfId="51068" xr:uid="{00000000-0005-0000-0000-000004D00000}"/>
    <cellStyle name="Normal 5 2 3 24" xfId="52751" xr:uid="{00000000-0005-0000-0000-000005D00000}"/>
    <cellStyle name="Normal 5 2 3 25" xfId="54434" xr:uid="{00000000-0005-0000-0000-000006D00000}"/>
    <cellStyle name="Normal 5 2 3 26" xfId="56117" xr:uid="{00000000-0005-0000-0000-000007D00000}"/>
    <cellStyle name="Normal 5 2 3 27" xfId="57800" xr:uid="{00000000-0005-0000-0000-000008D00000}"/>
    <cellStyle name="Normal 5 2 3 28" xfId="59483" xr:uid="{00000000-0005-0000-0000-000009D00000}"/>
    <cellStyle name="Normal 5 2 3 29" xfId="61166" xr:uid="{00000000-0005-0000-0000-00000AD00000}"/>
    <cellStyle name="Normal 5 2 3 3" xfId="3941" xr:uid="{00000000-0005-0000-0000-00000BD00000}"/>
    <cellStyle name="Normal 5 2 3 3 2" xfId="19090" xr:uid="{00000000-0005-0000-0000-00000CD00000}"/>
    <cellStyle name="Normal 5 2 3 30" xfId="62849" xr:uid="{00000000-0005-0000-0000-00000DD00000}"/>
    <cellStyle name="Normal 5 2 3 4" xfId="5624" xr:uid="{00000000-0005-0000-0000-00000ED00000}"/>
    <cellStyle name="Normal 5 2 3 4 2" xfId="20773" xr:uid="{00000000-0005-0000-0000-00000FD00000}"/>
    <cellStyle name="Normal 5 2 3 5" xfId="7307" xr:uid="{00000000-0005-0000-0000-000010D00000}"/>
    <cellStyle name="Normal 5 2 3 5 2" xfId="22456" xr:uid="{00000000-0005-0000-0000-000011D00000}"/>
    <cellStyle name="Normal 5 2 3 6" xfId="8990" xr:uid="{00000000-0005-0000-0000-000012D00000}"/>
    <cellStyle name="Normal 5 2 3 6 2" xfId="24139" xr:uid="{00000000-0005-0000-0000-000013D00000}"/>
    <cellStyle name="Normal 5 2 3 7" xfId="10673" xr:uid="{00000000-0005-0000-0000-000014D00000}"/>
    <cellStyle name="Normal 5 2 3 7 2" xfId="25822" xr:uid="{00000000-0005-0000-0000-000015D00000}"/>
    <cellStyle name="Normal 5 2 3 8" xfId="12357" xr:uid="{00000000-0005-0000-0000-000016D00000}"/>
    <cellStyle name="Normal 5 2 3 8 2" xfId="27506" xr:uid="{00000000-0005-0000-0000-000017D00000}"/>
    <cellStyle name="Normal 5 2 3 9" xfId="14040" xr:uid="{00000000-0005-0000-0000-000018D00000}"/>
    <cellStyle name="Normal 5 2 3 9 2" xfId="29189" xr:uid="{00000000-0005-0000-0000-000019D00000}"/>
    <cellStyle name="Normal 5 2 30" xfId="55697" xr:uid="{00000000-0005-0000-0000-00001AD00000}"/>
    <cellStyle name="Normal 5 2 31" xfId="57380" xr:uid="{00000000-0005-0000-0000-00001BD00000}"/>
    <cellStyle name="Normal 5 2 32" xfId="59063" xr:uid="{00000000-0005-0000-0000-00001CD00000}"/>
    <cellStyle name="Normal 5 2 33" xfId="60746" xr:uid="{00000000-0005-0000-0000-00001DD00000}"/>
    <cellStyle name="Normal 5 2 34" xfId="62429" xr:uid="{00000000-0005-0000-0000-00001ED00000}"/>
    <cellStyle name="Normal 5 2 4" xfId="995" xr:uid="{00000000-0005-0000-0000-00001FD00000}"/>
    <cellStyle name="Normal 5 2 4 10" xfId="16144" xr:uid="{00000000-0005-0000-0000-000020D00000}"/>
    <cellStyle name="Normal 5 2 4 11" xfId="31293" xr:uid="{00000000-0005-0000-0000-000021D00000}"/>
    <cellStyle name="Normal 5 2 4 12" xfId="32976" xr:uid="{00000000-0005-0000-0000-000022D00000}"/>
    <cellStyle name="Normal 5 2 4 13" xfId="34659" xr:uid="{00000000-0005-0000-0000-000023D00000}"/>
    <cellStyle name="Normal 5 2 4 14" xfId="36342" xr:uid="{00000000-0005-0000-0000-000024D00000}"/>
    <cellStyle name="Normal 5 2 4 15" xfId="38025" xr:uid="{00000000-0005-0000-0000-000025D00000}"/>
    <cellStyle name="Normal 5 2 4 16" xfId="39708" xr:uid="{00000000-0005-0000-0000-000026D00000}"/>
    <cellStyle name="Normal 5 2 4 17" xfId="41391" xr:uid="{00000000-0005-0000-0000-000027D00000}"/>
    <cellStyle name="Normal 5 2 4 18" xfId="43074" xr:uid="{00000000-0005-0000-0000-000028D00000}"/>
    <cellStyle name="Normal 5 2 4 19" xfId="44757" xr:uid="{00000000-0005-0000-0000-000029D00000}"/>
    <cellStyle name="Normal 5 2 4 2" xfId="2678" xr:uid="{00000000-0005-0000-0000-00002AD00000}"/>
    <cellStyle name="Normal 5 2 4 2 2" xfId="17827" xr:uid="{00000000-0005-0000-0000-00002BD00000}"/>
    <cellStyle name="Normal 5 2 4 20" xfId="46440" xr:uid="{00000000-0005-0000-0000-00002CD00000}"/>
    <cellStyle name="Normal 5 2 4 21" xfId="48123" xr:uid="{00000000-0005-0000-0000-00002DD00000}"/>
    <cellStyle name="Normal 5 2 4 22" xfId="49806" xr:uid="{00000000-0005-0000-0000-00002ED00000}"/>
    <cellStyle name="Normal 5 2 4 23" xfId="51489" xr:uid="{00000000-0005-0000-0000-00002FD00000}"/>
    <cellStyle name="Normal 5 2 4 24" xfId="53172" xr:uid="{00000000-0005-0000-0000-000030D00000}"/>
    <cellStyle name="Normal 5 2 4 25" xfId="54855" xr:uid="{00000000-0005-0000-0000-000031D00000}"/>
    <cellStyle name="Normal 5 2 4 26" xfId="56538" xr:uid="{00000000-0005-0000-0000-000032D00000}"/>
    <cellStyle name="Normal 5 2 4 27" xfId="58221" xr:uid="{00000000-0005-0000-0000-000033D00000}"/>
    <cellStyle name="Normal 5 2 4 28" xfId="59904" xr:uid="{00000000-0005-0000-0000-000034D00000}"/>
    <cellStyle name="Normal 5 2 4 29" xfId="61587" xr:uid="{00000000-0005-0000-0000-000035D00000}"/>
    <cellStyle name="Normal 5 2 4 3" xfId="4362" xr:uid="{00000000-0005-0000-0000-000036D00000}"/>
    <cellStyle name="Normal 5 2 4 3 2" xfId="19511" xr:uid="{00000000-0005-0000-0000-000037D00000}"/>
    <cellStyle name="Normal 5 2 4 30" xfId="63270" xr:uid="{00000000-0005-0000-0000-000038D00000}"/>
    <cellStyle name="Normal 5 2 4 4" xfId="6045" xr:uid="{00000000-0005-0000-0000-000039D00000}"/>
    <cellStyle name="Normal 5 2 4 4 2" xfId="21194" xr:uid="{00000000-0005-0000-0000-00003AD00000}"/>
    <cellStyle name="Normal 5 2 4 5" xfId="7728" xr:uid="{00000000-0005-0000-0000-00003BD00000}"/>
    <cellStyle name="Normal 5 2 4 5 2" xfId="22877" xr:uid="{00000000-0005-0000-0000-00003CD00000}"/>
    <cellStyle name="Normal 5 2 4 6" xfId="9411" xr:uid="{00000000-0005-0000-0000-00003DD00000}"/>
    <cellStyle name="Normal 5 2 4 6 2" xfId="24560" xr:uid="{00000000-0005-0000-0000-00003ED00000}"/>
    <cellStyle name="Normal 5 2 4 7" xfId="11094" xr:uid="{00000000-0005-0000-0000-00003FD00000}"/>
    <cellStyle name="Normal 5 2 4 7 2" xfId="26243" xr:uid="{00000000-0005-0000-0000-000040D00000}"/>
    <cellStyle name="Normal 5 2 4 8" xfId="12778" xr:uid="{00000000-0005-0000-0000-000041D00000}"/>
    <cellStyle name="Normal 5 2 4 8 2" xfId="27927" xr:uid="{00000000-0005-0000-0000-000042D00000}"/>
    <cellStyle name="Normal 5 2 4 9" xfId="14461" xr:uid="{00000000-0005-0000-0000-000043D00000}"/>
    <cellStyle name="Normal 5 2 4 9 2" xfId="29610" xr:uid="{00000000-0005-0000-0000-000044D00000}"/>
    <cellStyle name="Normal 5 2 5" xfId="1416" xr:uid="{00000000-0005-0000-0000-000045D00000}"/>
    <cellStyle name="Normal 5 2 5 10" xfId="16565" xr:uid="{00000000-0005-0000-0000-000046D00000}"/>
    <cellStyle name="Normal 5 2 5 11" xfId="31714" xr:uid="{00000000-0005-0000-0000-000047D00000}"/>
    <cellStyle name="Normal 5 2 5 12" xfId="33397" xr:uid="{00000000-0005-0000-0000-000048D00000}"/>
    <cellStyle name="Normal 5 2 5 13" xfId="35080" xr:uid="{00000000-0005-0000-0000-000049D00000}"/>
    <cellStyle name="Normal 5 2 5 14" xfId="36763" xr:uid="{00000000-0005-0000-0000-00004AD00000}"/>
    <cellStyle name="Normal 5 2 5 15" xfId="38446" xr:uid="{00000000-0005-0000-0000-00004BD00000}"/>
    <cellStyle name="Normal 5 2 5 16" xfId="40129" xr:uid="{00000000-0005-0000-0000-00004CD00000}"/>
    <cellStyle name="Normal 5 2 5 17" xfId="41812" xr:uid="{00000000-0005-0000-0000-00004DD00000}"/>
    <cellStyle name="Normal 5 2 5 18" xfId="43495" xr:uid="{00000000-0005-0000-0000-00004ED00000}"/>
    <cellStyle name="Normal 5 2 5 19" xfId="45178" xr:uid="{00000000-0005-0000-0000-00004FD00000}"/>
    <cellStyle name="Normal 5 2 5 2" xfId="3099" xr:uid="{00000000-0005-0000-0000-000050D00000}"/>
    <cellStyle name="Normal 5 2 5 2 2" xfId="18248" xr:uid="{00000000-0005-0000-0000-000051D00000}"/>
    <cellStyle name="Normal 5 2 5 20" xfId="46861" xr:uid="{00000000-0005-0000-0000-000052D00000}"/>
    <cellStyle name="Normal 5 2 5 21" xfId="48544" xr:uid="{00000000-0005-0000-0000-000053D00000}"/>
    <cellStyle name="Normal 5 2 5 22" xfId="50227" xr:uid="{00000000-0005-0000-0000-000054D00000}"/>
    <cellStyle name="Normal 5 2 5 23" xfId="51910" xr:uid="{00000000-0005-0000-0000-000055D00000}"/>
    <cellStyle name="Normal 5 2 5 24" xfId="53593" xr:uid="{00000000-0005-0000-0000-000056D00000}"/>
    <cellStyle name="Normal 5 2 5 25" xfId="55276" xr:uid="{00000000-0005-0000-0000-000057D00000}"/>
    <cellStyle name="Normal 5 2 5 26" xfId="56959" xr:uid="{00000000-0005-0000-0000-000058D00000}"/>
    <cellStyle name="Normal 5 2 5 27" xfId="58642" xr:uid="{00000000-0005-0000-0000-000059D00000}"/>
    <cellStyle name="Normal 5 2 5 28" xfId="60325" xr:uid="{00000000-0005-0000-0000-00005AD00000}"/>
    <cellStyle name="Normal 5 2 5 29" xfId="62008" xr:uid="{00000000-0005-0000-0000-00005BD00000}"/>
    <cellStyle name="Normal 5 2 5 3" xfId="4783" xr:uid="{00000000-0005-0000-0000-00005CD00000}"/>
    <cellStyle name="Normal 5 2 5 3 2" xfId="19932" xr:uid="{00000000-0005-0000-0000-00005DD00000}"/>
    <cellStyle name="Normal 5 2 5 30" xfId="63691" xr:uid="{00000000-0005-0000-0000-00005ED00000}"/>
    <cellStyle name="Normal 5 2 5 4" xfId="6466" xr:uid="{00000000-0005-0000-0000-00005FD00000}"/>
    <cellStyle name="Normal 5 2 5 4 2" xfId="21615" xr:uid="{00000000-0005-0000-0000-000060D00000}"/>
    <cellStyle name="Normal 5 2 5 5" xfId="8149" xr:uid="{00000000-0005-0000-0000-000061D00000}"/>
    <cellStyle name="Normal 5 2 5 5 2" xfId="23298" xr:uid="{00000000-0005-0000-0000-000062D00000}"/>
    <cellStyle name="Normal 5 2 5 6" xfId="9832" xr:uid="{00000000-0005-0000-0000-000063D00000}"/>
    <cellStyle name="Normal 5 2 5 6 2" xfId="24981" xr:uid="{00000000-0005-0000-0000-000064D00000}"/>
    <cellStyle name="Normal 5 2 5 7" xfId="11515" xr:uid="{00000000-0005-0000-0000-000065D00000}"/>
    <cellStyle name="Normal 5 2 5 7 2" xfId="26664" xr:uid="{00000000-0005-0000-0000-000066D00000}"/>
    <cellStyle name="Normal 5 2 5 8" xfId="13199" xr:uid="{00000000-0005-0000-0000-000067D00000}"/>
    <cellStyle name="Normal 5 2 5 8 2" xfId="28348" xr:uid="{00000000-0005-0000-0000-000068D00000}"/>
    <cellStyle name="Normal 5 2 5 9" xfId="14882" xr:uid="{00000000-0005-0000-0000-000069D00000}"/>
    <cellStyle name="Normal 5 2 5 9 2" xfId="30031" xr:uid="{00000000-0005-0000-0000-00006AD00000}"/>
    <cellStyle name="Normal 5 2 6" xfId="1837" xr:uid="{00000000-0005-0000-0000-00006BD00000}"/>
    <cellStyle name="Normal 5 2 6 2" xfId="16986" xr:uid="{00000000-0005-0000-0000-00006CD00000}"/>
    <cellStyle name="Normal 5 2 7" xfId="3521" xr:uid="{00000000-0005-0000-0000-00006DD00000}"/>
    <cellStyle name="Normal 5 2 7 2" xfId="18670" xr:uid="{00000000-0005-0000-0000-00006ED00000}"/>
    <cellStyle name="Normal 5 2 8" xfId="5204" xr:uid="{00000000-0005-0000-0000-00006FD00000}"/>
    <cellStyle name="Normal 5 2 8 2" xfId="20353" xr:uid="{00000000-0005-0000-0000-000070D00000}"/>
    <cellStyle name="Normal 5 2 9" xfId="6887" xr:uid="{00000000-0005-0000-0000-000071D00000}"/>
    <cellStyle name="Normal 5 2 9 2" xfId="22036" xr:uid="{00000000-0005-0000-0000-000072D00000}"/>
    <cellStyle name="Normal 5 20" xfId="37079" xr:uid="{00000000-0005-0000-0000-000073D00000}"/>
    <cellStyle name="Normal 5 21" xfId="38762" xr:uid="{00000000-0005-0000-0000-000074D00000}"/>
    <cellStyle name="Normal 5 22" xfId="40445" xr:uid="{00000000-0005-0000-0000-000075D00000}"/>
    <cellStyle name="Normal 5 23" xfId="42128" xr:uid="{00000000-0005-0000-0000-000076D00000}"/>
    <cellStyle name="Normal 5 24" xfId="43811" xr:uid="{00000000-0005-0000-0000-000077D00000}"/>
    <cellStyle name="Normal 5 25" xfId="45494" xr:uid="{00000000-0005-0000-0000-000078D00000}"/>
    <cellStyle name="Normal 5 26" xfId="47177" xr:uid="{00000000-0005-0000-0000-000079D00000}"/>
    <cellStyle name="Normal 5 27" xfId="48860" xr:uid="{00000000-0005-0000-0000-00007AD00000}"/>
    <cellStyle name="Normal 5 28" xfId="50543" xr:uid="{00000000-0005-0000-0000-00007BD00000}"/>
    <cellStyle name="Normal 5 29" xfId="52226" xr:uid="{00000000-0005-0000-0000-00007CD00000}"/>
    <cellStyle name="Normal 5 3" xfId="259" xr:uid="{00000000-0005-0000-0000-00007DD00000}"/>
    <cellStyle name="Normal 5 3 10" xfId="10358" xr:uid="{00000000-0005-0000-0000-00007ED00000}"/>
    <cellStyle name="Normal 5 3 10 2" xfId="25507" xr:uid="{00000000-0005-0000-0000-00007FD00000}"/>
    <cellStyle name="Normal 5 3 11" xfId="12042" xr:uid="{00000000-0005-0000-0000-000080D00000}"/>
    <cellStyle name="Normal 5 3 11 2" xfId="27191" xr:uid="{00000000-0005-0000-0000-000081D00000}"/>
    <cellStyle name="Normal 5 3 12" xfId="13725" xr:uid="{00000000-0005-0000-0000-000082D00000}"/>
    <cellStyle name="Normal 5 3 12 2" xfId="28874" xr:uid="{00000000-0005-0000-0000-000083D00000}"/>
    <cellStyle name="Normal 5 3 13" xfId="15408" xr:uid="{00000000-0005-0000-0000-000084D00000}"/>
    <cellStyle name="Normal 5 3 14" xfId="30557" xr:uid="{00000000-0005-0000-0000-000085D00000}"/>
    <cellStyle name="Normal 5 3 15" xfId="32240" xr:uid="{00000000-0005-0000-0000-000086D00000}"/>
    <cellStyle name="Normal 5 3 16" xfId="33923" xr:uid="{00000000-0005-0000-0000-000087D00000}"/>
    <cellStyle name="Normal 5 3 17" xfId="35606" xr:uid="{00000000-0005-0000-0000-000088D00000}"/>
    <cellStyle name="Normal 5 3 18" xfId="37289" xr:uid="{00000000-0005-0000-0000-000089D00000}"/>
    <cellStyle name="Normal 5 3 19" xfId="38972" xr:uid="{00000000-0005-0000-0000-00008AD00000}"/>
    <cellStyle name="Normal 5 3 2" xfId="679" xr:uid="{00000000-0005-0000-0000-00008BD00000}"/>
    <cellStyle name="Normal 5 3 2 10" xfId="15828" xr:uid="{00000000-0005-0000-0000-00008CD00000}"/>
    <cellStyle name="Normal 5 3 2 11" xfId="30977" xr:uid="{00000000-0005-0000-0000-00008DD00000}"/>
    <cellStyle name="Normal 5 3 2 12" xfId="32660" xr:uid="{00000000-0005-0000-0000-00008ED00000}"/>
    <cellStyle name="Normal 5 3 2 13" xfId="34343" xr:uid="{00000000-0005-0000-0000-00008FD00000}"/>
    <cellStyle name="Normal 5 3 2 14" xfId="36026" xr:uid="{00000000-0005-0000-0000-000090D00000}"/>
    <cellStyle name="Normal 5 3 2 15" xfId="37709" xr:uid="{00000000-0005-0000-0000-000091D00000}"/>
    <cellStyle name="Normal 5 3 2 16" xfId="39392" xr:uid="{00000000-0005-0000-0000-000092D00000}"/>
    <cellStyle name="Normal 5 3 2 17" xfId="41075" xr:uid="{00000000-0005-0000-0000-000093D00000}"/>
    <cellStyle name="Normal 5 3 2 18" xfId="42758" xr:uid="{00000000-0005-0000-0000-000094D00000}"/>
    <cellStyle name="Normal 5 3 2 19" xfId="44441" xr:uid="{00000000-0005-0000-0000-000095D00000}"/>
    <cellStyle name="Normal 5 3 2 2" xfId="2362" xr:uid="{00000000-0005-0000-0000-000096D00000}"/>
    <cellStyle name="Normal 5 3 2 2 2" xfId="17511" xr:uid="{00000000-0005-0000-0000-000097D00000}"/>
    <cellStyle name="Normal 5 3 2 20" xfId="46124" xr:uid="{00000000-0005-0000-0000-000098D00000}"/>
    <cellStyle name="Normal 5 3 2 21" xfId="47807" xr:uid="{00000000-0005-0000-0000-000099D00000}"/>
    <cellStyle name="Normal 5 3 2 22" xfId="49490" xr:uid="{00000000-0005-0000-0000-00009AD00000}"/>
    <cellStyle name="Normal 5 3 2 23" xfId="51173" xr:uid="{00000000-0005-0000-0000-00009BD00000}"/>
    <cellStyle name="Normal 5 3 2 24" xfId="52856" xr:uid="{00000000-0005-0000-0000-00009CD00000}"/>
    <cellStyle name="Normal 5 3 2 25" xfId="54539" xr:uid="{00000000-0005-0000-0000-00009DD00000}"/>
    <cellStyle name="Normal 5 3 2 26" xfId="56222" xr:uid="{00000000-0005-0000-0000-00009ED00000}"/>
    <cellStyle name="Normal 5 3 2 27" xfId="57905" xr:uid="{00000000-0005-0000-0000-00009FD00000}"/>
    <cellStyle name="Normal 5 3 2 28" xfId="59588" xr:uid="{00000000-0005-0000-0000-0000A0D00000}"/>
    <cellStyle name="Normal 5 3 2 29" xfId="61271" xr:uid="{00000000-0005-0000-0000-0000A1D00000}"/>
    <cellStyle name="Normal 5 3 2 3" xfId="4046" xr:uid="{00000000-0005-0000-0000-0000A2D00000}"/>
    <cellStyle name="Normal 5 3 2 3 2" xfId="19195" xr:uid="{00000000-0005-0000-0000-0000A3D00000}"/>
    <cellStyle name="Normal 5 3 2 30" xfId="62954" xr:uid="{00000000-0005-0000-0000-0000A4D00000}"/>
    <cellStyle name="Normal 5 3 2 4" xfId="5729" xr:uid="{00000000-0005-0000-0000-0000A5D00000}"/>
    <cellStyle name="Normal 5 3 2 4 2" xfId="20878" xr:uid="{00000000-0005-0000-0000-0000A6D00000}"/>
    <cellStyle name="Normal 5 3 2 5" xfId="7412" xr:uid="{00000000-0005-0000-0000-0000A7D00000}"/>
    <cellStyle name="Normal 5 3 2 5 2" xfId="22561" xr:uid="{00000000-0005-0000-0000-0000A8D00000}"/>
    <cellStyle name="Normal 5 3 2 6" xfId="9095" xr:uid="{00000000-0005-0000-0000-0000A9D00000}"/>
    <cellStyle name="Normal 5 3 2 6 2" xfId="24244" xr:uid="{00000000-0005-0000-0000-0000AAD00000}"/>
    <cellStyle name="Normal 5 3 2 7" xfId="10778" xr:uid="{00000000-0005-0000-0000-0000ABD00000}"/>
    <cellStyle name="Normal 5 3 2 7 2" xfId="25927" xr:uid="{00000000-0005-0000-0000-0000ACD00000}"/>
    <cellStyle name="Normal 5 3 2 8" xfId="12462" xr:uid="{00000000-0005-0000-0000-0000ADD00000}"/>
    <cellStyle name="Normal 5 3 2 8 2" xfId="27611" xr:uid="{00000000-0005-0000-0000-0000AED00000}"/>
    <cellStyle name="Normal 5 3 2 9" xfId="14145" xr:uid="{00000000-0005-0000-0000-0000AFD00000}"/>
    <cellStyle name="Normal 5 3 2 9 2" xfId="29294" xr:uid="{00000000-0005-0000-0000-0000B0D00000}"/>
    <cellStyle name="Normal 5 3 20" xfId="40655" xr:uid="{00000000-0005-0000-0000-0000B1D00000}"/>
    <cellStyle name="Normal 5 3 21" xfId="42338" xr:uid="{00000000-0005-0000-0000-0000B2D00000}"/>
    <cellStyle name="Normal 5 3 22" xfId="44021" xr:uid="{00000000-0005-0000-0000-0000B3D00000}"/>
    <cellStyle name="Normal 5 3 23" xfId="45704" xr:uid="{00000000-0005-0000-0000-0000B4D00000}"/>
    <cellStyle name="Normal 5 3 24" xfId="47387" xr:uid="{00000000-0005-0000-0000-0000B5D00000}"/>
    <cellStyle name="Normal 5 3 25" xfId="49070" xr:uid="{00000000-0005-0000-0000-0000B6D00000}"/>
    <cellStyle name="Normal 5 3 26" xfId="50753" xr:uid="{00000000-0005-0000-0000-0000B7D00000}"/>
    <cellStyle name="Normal 5 3 27" xfId="52436" xr:uid="{00000000-0005-0000-0000-0000B8D00000}"/>
    <cellStyle name="Normal 5 3 28" xfId="54119" xr:uid="{00000000-0005-0000-0000-0000B9D00000}"/>
    <cellStyle name="Normal 5 3 29" xfId="55802" xr:uid="{00000000-0005-0000-0000-0000BAD00000}"/>
    <cellStyle name="Normal 5 3 3" xfId="1100" xr:uid="{00000000-0005-0000-0000-0000BBD00000}"/>
    <cellStyle name="Normal 5 3 3 10" xfId="16249" xr:uid="{00000000-0005-0000-0000-0000BCD00000}"/>
    <cellStyle name="Normal 5 3 3 11" xfId="31398" xr:uid="{00000000-0005-0000-0000-0000BDD00000}"/>
    <cellStyle name="Normal 5 3 3 12" xfId="33081" xr:uid="{00000000-0005-0000-0000-0000BED00000}"/>
    <cellStyle name="Normal 5 3 3 13" xfId="34764" xr:uid="{00000000-0005-0000-0000-0000BFD00000}"/>
    <cellStyle name="Normal 5 3 3 14" xfId="36447" xr:uid="{00000000-0005-0000-0000-0000C0D00000}"/>
    <cellStyle name="Normal 5 3 3 15" xfId="38130" xr:uid="{00000000-0005-0000-0000-0000C1D00000}"/>
    <cellStyle name="Normal 5 3 3 16" xfId="39813" xr:uid="{00000000-0005-0000-0000-0000C2D00000}"/>
    <cellStyle name="Normal 5 3 3 17" xfId="41496" xr:uid="{00000000-0005-0000-0000-0000C3D00000}"/>
    <cellStyle name="Normal 5 3 3 18" xfId="43179" xr:uid="{00000000-0005-0000-0000-0000C4D00000}"/>
    <cellStyle name="Normal 5 3 3 19" xfId="44862" xr:uid="{00000000-0005-0000-0000-0000C5D00000}"/>
    <cellStyle name="Normal 5 3 3 2" xfId="2783" xr:uid="{00000000-0005-0000-0000-0000C6D00000}"/>
    <cellStyle name="Normal 5 3 3 2 2" xfId="17932" xr:uid="{00000000-0005-0000-0000-0000C7D00000}"/>
    <cellStyle name="Normal 5 3 3 20" xfId="46545" xr:uid="{00000000-0005-0000-0000-0000C8D00000}"/>
    <cellStyle name="Normal 5 3 3 21" xfId="48228" xr:uid="{00000000-0005-0000-0000-0000C9D00000}"/>
    <cellStyle name="Normal 5 3 3 22" xfId="49911" xr:uid="{00000000-0005-0000-0000-0000CAD00000}"/>
    <cellStyle name="Normal 5 3 3 23" xfId="51594" xr:uid="{00000000-0005-0000-0000-0000CBD00000}"/>
    <cellStyle name="Normal 5 3 3 24" xfId="53277" xr:uid="{00000000-0005-0000-0000-0000CCD00000}"/>
    <cellStyle name="Normal 5 3 3 25" xfId="54960" xr:uid="{00000000-0005-0000-0000-0000CDD00000}"/>
    <cellStyle name="Normal 5 3 3 26" xfId="56643" xr:uid="{00000000-0005-0000-0000-0000CED00000}"/>
    <cellStyle name="Normal 5 3 3 27" xfId="58326" xr:uid="{00000000-0005-0000-0000-0000CFD00000}"/>
    <cellStyle name="Normal 5 3 3 28" xfId="60009" xr:uid="{00000000-0005-0000-0000-0000D0D00000}"/>
    <cellStyle name="Normal 5 3 3 29" xfId="61692" xr:uid="{00000000-0005-0000-0000-0000D1D00000}"/>
    <cellStyle name="Normal 5 3 3 3" xfId="4467" xr:uid="{00000000-0005-0000-0000-0000D2D00000}"/>
    <cellStyle name="Normal 5 3 3 3 2" xfId="19616" xr:uid="{00000000-0005-0000-0000-0000D3D00000}"/>
    <cellStyle name="Normal 5 3 3 30" xfId="63375" xr:uid="{00000000-0005-0000-0000-0000D4D00000}"/>
    <cellStyle name="Normal 5 3 3 4" xfId="6150" xr:uid="{00000000-0005-0000-0000-0000D5D00000}"/>
    <cellStyle name="Normal 5 3 3 4 2" xfId="21299" xr:uid="{00000000-0005-0000-0000-0000D6D00000}"/>
    <cellStyle name="Normal 5 3 3 5" xfId="7833" xr:uid="{00000000-0005-0000-0000-0000D7D00000}"/>
    <cellStyle name="Normal 5 3 3 5 2" xfId="22982" xr:uid="{00000000-0005-0000-0000-0000D8D00000}"/>
    <cellStyle name="Normal 5 3 3 6" xfId="9516" xr:uid="{00000000-0005-0000-0000-0000D9D00000}"/>
    <cellStyle name="Normal 5 3 3 6 2" xfId="24665" xr:uid="{00000000-0005-0000-0000-0000DAD00000}"/>
    <cellStyle name="Normal 5 3 3 7" xfId="11199" xr:uid="{00000000-0005-0000-0000-0000DBD00000}"/>
    <cellStyle name="Normal 5 3 3 7 2" xfId="26348" xr:uid="{00000000-0005-0000-0000-0000DCD00000}"/>
    <cellStyle name="Normal 5 3 3 8" xfId="12883" xr:uid="{00000000-0005-0000-0000-0000DDD00000}"/>
    <cellStyle name="Normal 5 3 3 8 2" xfId="28032" xr:uid="{00000000-0005-0000-0000-0000DED00000}"/>
    <cellStyle name="Normal 5 3 3 9" xfId="14566" xr:uid="{00000000-0005-0000-0000-0000DFD00000}"/>
    <cellStyle name="Normal 5 3 3 9 2" xfId="29715" xr:uid="{00000000-0005-0000-0000-0000E0D00000}"/>
    <cellStyle name="Normal 5 3 30" xfId="57485" xr:uid="{00000000-0005-0000-0000-0000E1D00000}"/>
    <cellStyle name="Normal 5 3 31" xfId="59168" xr:uid="{00000000-0005-0000-0000-0000E2D00000}"/>
    <cellStyle name="Normal 5 3 32" xfId="60851" xr:uid="{00000000-0005-0000-0000-0000E3D00000}"/>
    <cellStyle name="Normal 5 3 33" xfId="62534" xr:uid="{00000000-0005-0000-0000-0000E4D00000}"/>
    <cellStyle name="Normal 5 3 4" xfId="1521" xr:uid="{00000000-0005-0000-0000-0000E5D00000}"/>
    <cellStyle name="Normal 5 3 4 10" xfId="16670" xr:uid="{00000000-0005-0000-0000-0000E6D00000}"/>
    <cellStyle name="Normal 5 3 4 11" xfId="31819" xr:uid="{00000000-0005-0000-0000-0000E7D00000}"/>
    <cellStyle name="Normal 5 3 4 12" xfId="33502" xr:uid="{00000000-0005-0000-0000-0000E8D00000}"/>
    <cellStyle name="Normal 5 3 4 13" xfId="35185" xr:uid="{00000000-0005-0000-0000-0000E9D00000}"/>
    <cellStyle name="Normal 5 3 4 14" xfId="36868" xr:uid="{00000000-0005-0000-0000-0000EAD00000}"/>
    <cellStyle name="Normal 5 3 4 15" xfId="38551" xr:uid="{00000000-0005-0000-0000-0000EBD00000}"/>
    <cellStyle name="Normal 5 3 4 16" xfId="40234" xr:uid="{00000000-0005-0000-0000-0000ECD00000}"/>
    <cellStyle name="Normal 5 3 4 17" xfId="41917" xr:uid="{00000000-0005-0000-0000-0000EDD00000}"/>
    <cellStyle name="Normal 5 3 4 18" xfId="43600" xr:uid="{00000000-0005-0000-0000-0000EED00000}"/>
    <cellStyle name="Normal 5 3 4 19" xfId="45283" xr:uid="{00000000-0005-0000-0000-0000EFD00000}"/>
    <cellStyle name="Normal 5 3 4 2" xfId="3204" xr:uid="{00000000-0005-0000-0000-0000F0D00000}"/>
    <cellStyle name="Normal 5 3 4 2 2" xfId="18353" xr:uid="{00000000-0005-0000-0000-0000F1D00000}"/>
    <cellStyle name="Normal 5 3 4 20" xfId="46966" xr:uid="{00000000-0005-0000-0000-0000F2D00000}"/>
    <cellStyle name="Normal 5 3 4 21" xfId="48649" xr:uid="{00000000-0005-0000-0000-0000F3D00000}"/>
    <cellStyle name="Normal 5 3 4 22" xfId="50332" xr:uid="{00000000-0005-0000-0000-0000F4D00000}"/>
    <cellStyle name="Normal 5 3 4 23" xfId="52015" xr:uid="{00000000-0005-0000-0000-0000F5D00000}"/>
    <cellStyle name="Normal 5 3 4 24" xfId="53698" xr:uid="{00000000-0005-0000-0000-0000F6D00000}"/>
    <cellStyle name="Normal 5 3 4 25" xfId="55381" xr:uid="{00000000-0005-0000-0000-0000F7D00000}"/>
    <cellStyle name="Normal 5 3 4 26" xfId="57064" xr:uid="{00000000-0005-0000-0000-0000F8D00000}"/>
    <cellStyle name="Normal 5 3 4 27" xfId="58747" xr:uid="{00000000-0005-0000-0000-0000F9D00000}"/>
    <cellStyle name="Normal 5 3 4 28" xfId="60430" xr:uid="{00000000-0005-0000-0000-0000FAD00000}"/>
    <cellStyle name="Normal 5 3 4 29" xfId="62113" xr:uid="{00000000-0005-0000-0000-0000FBD00000}"/>
    <cellStyle name="Normal 5 3 4 3" xfId="4888" xr:uid="{00000000-0005-0000-0000-0000FCD00000}"/>
    <cellStyle name="Normal 5 3 4 3 2" xfId="20037" xr:uid="{00000000-0005-0000-0000-0000FDD00000}"/>
    <cellStyle name="Normal 5 3 4 30" xfId="63796" xr:uid="{00000000-0005-0000-0000-0000FED00000}"/>
    <cellStyle name="Normal 5 3 4 4" xfId="6571" xr:uid="{00000000-0005-0000-0000-0000FFD00000}"/>
    <cellStyle name="Normal 5 3 4 4 2" xfId="21720" xr:uid="{00000000-0005-0000-0000-000000D10000}"/>
    <cellStyle name="Normal 5 3 4 5" xfId="8254" xr:uid="{00000000-0005-0000-0000-000001D10000}"/>
    <cellStyle name="Normal 5 3 4 5 2" xfId="23403" xr:uid="{00000000-0005-0000-0000-000002D10000}"/>
    <cellStyle name="Normal 5 3 4 6" xfId="9937" xr:uid="{00000000-0005-0000-0000-000003D10000}"/>
    <cellStyle name="Normal 5 3 4 6 2" xfId="25086" xr:uid="{00000000-0005-0000-0000-000004D10000}"/>
    <cellStyle name="Normal 5 3 4 7" xfId="11620" xr:uid="{00000000-0005-0000-0000-000005D10000}"/>
    <cellStyle name="Normal 5 3 4 7 2" xfId="26769" xr:uid="{00000000-0005-0000-0000-000006D10000}"/>
    <cellStyle name="Normal 5 3 4 8" xfId="13304" xr:uid="{00000000-0005-0000-0000-000007D10000}"/>
    <cellStyle name="Normal 5 3 4 8 2" xfId="28453" xr:uid="{00000000-0005-0000-0000-000008D10000}"/>
    <cellStyle name="Normal 5 3 4 9" xfId="14987" xr:uid="{00000000-0005-0000-0000-000009D10000}"/>
    <cellStyle name="Normal 5 3 4 9 2" xfId="30136" xr:uid="{00000000-0005-0000-0000-00000AD10000}"/>
    <cellStyle name="Normal 5 3 5" xfId="1942" xr:uid="{00000000-0005-0000-0000-00000BD10000}"/>
    <cellStyle name="Normal 5 3 5 2" xfId="17091" xr:uid="{00000000-0005-0000-0000-00000CD10000}"/>
    <cellStyle name="Normal 5 3 6" xfId="3626" xr:uid="{00000000-0005-0000-0000-00000DD10000}"/>
    <cellStyle name="Normal 5 3 6 2" xfId="18775" xr:uid="{00000000-0005-0000-0000-00000ED10000}"/>
    <cellStyle name="Normal 5 3 7" xfId="5309" xr:uid="{00000000-0005-0000-0000-00000FD10000}"/>
    <cellStyle name="Normal 5 3 7 2" xfId="20458" xr:uid="{00000000-0005-0000-0000-000010D10000}"/>
    <cellStyle name="Normal 5 3 8" xfId="6992" xr:uid="{00000000-0005-0000-0000-000011D10000}"/>
    <cellStyle name="Normal 5 3 8 2" xfId="22141" xr:uid="{00000000-0005-0000-0000-000012D10000}"/>
    <cellStyle name="Normal 5 3 9" xfId="8675" xr:uid="{00000000-0005-0000-0000-000013D10000}"/>
    <cellStyle name="Normal 5 3 9 2" xfId="23824" xr:uid="{00000000-0005-0000-0000-000014D10000}"/>
    <cellStyle name="Normal 5 30" xfId="53909" xr:uid="{00000000-0005-0000-0000-000015D10000}"/>
    <cellStyle name="Normal 5 31" xfId="55592" xr:uid="{00000000-0005-0000-0000-000016D10000}"/>
    <cellStyle name="Normal 5 32" xfId="57275" xr:uid="{00000000-0005-0000-0000-000017D10000}"/>
    <cellStyle name="Normal 5 33" xfId="58958" xr:uid="{00000000-0005-0000-0000-000018D10000}"/>
    <cellStyle name="Normal 5 34" xfId="60641" xr:uid="{00000000-0005-0000-0000-000019D10000}"/>
    <cellStyle name="Normal 5 35" xfId="62324" xr:uid="{00000000-0005-0000-0000-00001AD10000}"/>
    <cellStyle name="Normal 5 4" xfId="469" xr:uid="{00000000-0005-0000-0000-00001BD10000}"/>
    <cellStyle name="Normal 5 4 10" xfId="15618" xr:uid="{00000000-0005-0000-0000-00001CD10000}"/>
    <cellStyle name="Normal 5 4 11" xfId="30767" xr:uid="{00000000-0005-0000-0000-00001DD10000}"/>
    <cellStyle name="Normal 5 4 12" xfId="32450" xr:uid="{00000000-0005-0000-0000-00001ED10000}"/>
    <cellStyle name="Normal 5 4 13" xfId="34133" xr:uid="{00000000-0005-0000-0000-00001FD10000}"/>
    <cellStyle name="Normal 5 4 14" xfId="35816" xr:uid="{00000000-0005-0000-0000-000020D10000}"/>
    <cellStyle name="Normal 5 4 15" xfId="37499" xr:uid="{00000000-0005-0000-0000-000021D10000}"/>
    <cellStyle name="Normal 5 4 16" xfId="39182" xr:uid="{00000000-0005-0000-0000-000022D10000}"/>
    <cellStyle name="Normal 5 4 17" xfId="40865" xr:uid="{00000000-0005-0000-0000-000023D10000}"/>
    <cellStyle name="Normal 5 4 18" xfId="42548" xr:uid="{00000000-0005-0000-0000-000024D10000}"/>
    <cellStyle name="Normal 5 4 19" xfId="44231" xr:uid="{00000000-0005-0000-0000-000025D10000}"/>
    <cellStyle name="Normal 5 4 2" xfId="2152" xr:uid="{00000000-0005-0000-0000-000026D10000}"/>
    <cellStyle name="Normal 5 4 2 2" xfId="17301" xr:uid="{00000000-0005-0000-0000-000027D10000}"/>
    <cellStyle name="Normal 5 4 20" xfId="45914" xr:uid="{00000000-0005-0000-0000-000028D10000}"/>
    <cellStyle name="Normal 5 4 21" xfId="47597" xr:uid="{00000000-0005-0000-0000-000029D10000}"/>
    <cellStyle name="Normal 5 4 22" xfId="49280" xr:uid="{00000000-0005-0000-0000-00002AD10000}"/>
    <cellStyle name="Normal 5 4 23" xfId="50963" xr:uid="{00000000-0005-0000-0000-00002BD10000}"/>
    <cellStyle name="Normal 5 4 24" xfId="52646" xr:uid="{00000000-0005-0000-0000-00002CD10000}"/>
    <cellStyle name="Normal 5 4 25" xfId="54329" xr:uid="{00000000-0005-0000-0000-00002DD10000}"/>
    <cellStyle name="Normal 5 4 26" xfId="56012" xr:uid="{00000000-0005-0000-0000-00002ED10000}"/>
    <cellStyle name="Normal 5 4 27" xfId="57695" xr:uid="{00000000-0005-0000-0000-00002FD10000}"/>
    <cellStyle name="Normal 5 4 28" xfId="59378" xr:uid="{00000000-0005-0000-0000-000030D10000}"/>
    <cellStyle name="Normal 5 4 29" xfId="61061" xr:uid="{00000000-0005-0000-0000-000031D10000}"/>
    <cellStyle name="Normal 5 4 3" xfId="3836" xr:uid="{00000000-0005-0000-0000-000032D10000}"/>
    <cellStyle name="Normal 5 4 3 2" xfId="18985" xr:uid="{00000000-0005-0000-0000-000033D10000}"/>
    <cellStyle name="Normal 5 4 30" xfId="62744" xr:uid="{00000000-0005-0000-0000-000034D10000}"/>
    <cellStyle name="Normal 5 4 4" xfId="5519" xr:uid="{00000000-0005-0000-0000-000035D10000}"/>
    <cellStyle name="Normal 5 4 4 2" xfId="20668" xr:uid="{00000000-0005-0000-0000-000036D10000}"/>
    <cellStyle name="Normal 5 4 5" xfId="7202" xr:uid="{00000000-0005-0000-0000-000037D10000}"/>
    <cellStyle name="Normal 5 4 5 2" xfId="22351" xr:uid="{00000000-0005-0000-0000-000038D10000}"/>
    <cellStyle name="Normal 5 4 6" xfId="8885" xr:uid="{00000000-0005-0000-0000-000039D10000}"/>
    <cellStyle name="Normal 5 4 6 2" xfId="24034" xr:uid="{00000000-0005-0000-0000-00003AD10000}"/>
    <cellStyle name="Normal 5 4 7" xfId="10568" xr:uid="{00000000-0005-0000-0000-00003BD10000}"/>
    <cellStyle name="Normal 5 4 7 2" xfId="25717" xr:uid="{00000000-0005-0000-0000-00003CD10000}"/>
    <cellStyle name="Normal 5 4 8" xfId="12252" xr:uid="{00000000-0005-0000-0000-00003DD10000}"/>
    <cellStyle name="Normal 5 4 8 2" xfId="27401" xr:uid="{00000000-0005-0000-0000-00003ED10000}"/>
    <cellStyle name="Normal 5 4 9" xfId="13935" xr:uid="{00000000-0005-0000-0000-00003FD10000}"/>
    <cellStyle name="Normal 5 4 9 2" xfId="29084" xr:uid="{00000000-0005-0000-0000-000040D10000}"/>
    <cellStyle name="Normal 5 5" xfId="890" xr:uid="{00000000-0005-0000-0000-000041D10000}"/>
    <cellStyle name="Normal 5 5 10" xfId="16039" xr:uid="{00000000-0005-0000-0000-000042D10000}"/>
    <cellStyle name="Normal 5 5 11" xfId="31188" xr:uid="{00000000-0005-0000-0000-000043D10000}"/>
    <cellStyle name="Normal 5 5 12" xfId="32871" xr:uid="{00000000-0005-0000-0000-000044D10000}"/>
    <cellStyle name="Normal 5 5 13" xfId="34554" xr:uid="{00000000-0005-0000-0000-000045D10000}"/>
    <cellStyle name="Normal 5 5 14" xfId="36237" xr:uid="{00000000-0005-0000-0000-000046D10000}"/>
    <cellStyle name="Normal 5 5 15" xfId="37920" xr:uid="{00000000-0005-0000-0000-000047D10000}"/>
    <cellStyle name="Normal 5 5 16" xfId="39603" xr:uid="{00000000-0005-0000-0000-000048D10000}"/>
    <cellStyle name="Normal 5 5 17" xfId="41286" xr:uid="{00000000-0005-0000-0000-000049D10000}"/>
    <cellStyle name="Normal 5 5 18" xfId="42969" xr:uid="{00000000-0005-0000-0000-00004AD10000}"/>
    <cellStyle name="Normal 5 5 19" xfId="44652" xr:uid="{00000000-0005-0000-0000-00004BD10000}"/>
    <cellStyle name="Normal 5 5 2" xfId="2573" xr:uid="{00000000-0005-0000-0000-00004CD10000}"/>
    <cellStyle name="Normal 5 5 2 2" xfId="17722" xr:uid="{00000000-0005-0000-0000-00004DD10000}"/>
    <cellStyle name="Normal 5 5 20" xfId="46335" xr:uid="{00000000-0005-0000-0000-00004ED10000}"/>
    <cellStyle name="Normal 5 5 21" xfId="48018" xr:uid="{00000000-0005-0000-0000-00004FD10000}"/>
    <cellStyle name="Normal 5 5 22" xfId="49701" xr:uid="{00000000-0005-0000-0000-000050D10000}"/>
    <cellStyle name="Normal 5 5 23" xfId="51384" xr:uid="{00000000-0005-0000-0000-000051D10000}"/>
    <cellStyle name="Normal 5 5 24" xfId="53067" xr:uid="{00000000-0005-0000-0000-000052D10000}"/>
    <cellStyle name="Normal 5 5 25" xfId="54750" xr:uid="{00000000-0005-0000-0000-000053D10000}"/>
    <cellStyle name="Normal 5 5 26" xfId="56433" xr:uid="{00000000-0005-0000-0000-000054D10000}"/>
    <cellStyle name="Normal 5 5 27" xfId="58116" xr:uid="{00000000-0005-0000-0000-000055D10000}"/>
    <cellStyle name="Normal 5 5 28" xfId="59799" xr:uid="{00000000-0005-0000-0000-000056D10000}"/>
    <cellStyle name="Normal 5 5 29" xfId="61482" xr:uid="{00000000-0005-0000-0000-000057D10000}"/>
    <cellStyle name="Normal 5 5 3" xfId="4257" xr:uid="{00000000-0005-0000-0000-000058D10000}"/>
    <cellStyle name="Normal 5 5 3 2" xfId="19406" xr:uid="{00000000-0005-0000-0000-000059D10000}"/>
    <cellStyle name="Normal 5 5 30" xfId="63165" xr:uid="{00000000-0005-0000-0000-00005AD10000}"/>
    <cellStyle name="Normal 5 5 4" xfId="5940" xr:uid="{00000000-0005-0000-0000-00005BD10000}"/>
    <cellStyle name="Normal 5 5 4 2" xfId="21089" xr:uid="{00000000-0005-0000-0000-00005CD10000}"/>
    <cellStyle name="Normal 5 5 5" xfId="7623" xr:uid="{00000000-0005-0000-0000-00005DD10000}"/>
    <cellStyle name="Normal 5 5 5 2" xfId="22772" xr:uid="{00000000-0005-0000-0000-00005ED10000}"/>
    <cellStyle name="Normal 5 5 6" xfId="9306" xr:uid="{00000000-0005-0000-0000-00005FD10000}"/>
    <cellStyle name="Normal 5 5 6 2" xfId="24455" xr:uid="{00000000-0005-0000-0000-000060D10000}"/>
    <cellStyle name="Normal 5 5 7" xfId="10989" xr:uid="{00000000-0005-0000-0000-000061D10000}"/>
    <cellStyle name="Normal 5 5 7 2" xfId="26138" xr:uid="{00000000-0005-0000-0000-000062D10000}"/>
    <cellStyle name="Normal 5 5 8" xfId="12673" xr:uid="{00000000-0005-0000-0000-000063D10000}"/>
    <cellStyle name="Normal 5 5 8 2" xfId="27822" xr:uid="{00000000-0005-0000-0000-000064D10000}"/>
    <cellStyle name="Normal 5 5 9" xfId="14356" xr:uid="{00000000-0005-0000-0000-000065D10000}"/>
    <cellStyle name="Normal 5 5 9 2" xfId="29505" xr:uid="{00000000-0005-0000-0000-000066D10000}"/>
    <cellStyle name="Normal 5 6" xfId="1311" xr:uid="{00000000-0005-0000-0000-000067D10000}"/>
    <cellStyle name="Normal 5 6 10" xfId="16460" xr:uid="{00000000-0005-0000-0000-000068D10000}"/>
    <cellStyle name="Normal 5 6 11" xfId="31609" xr:uid="{00000000-0005-0000-0000-000069D10000}"/>
    <cellStyle name="Normal 5 6 12" xfId="33292" xr:uid="{00000000-0005-0000-0000-00006AD10000}"/>
    <cellStyle name="Normal 5 6 13" xfId="34975" xr:uid="{00000000-0005-0000-0000-00006BD10000}"/>
    <cellStyle name="Normal 5 6 14" xfId="36658" xr:uid="{00000000-0005-0000-0000-00006CD10000}"/>
    <cellStyle name="Normal 5 6 15" xfId="38341" xr:uid="{00000000-0005-0000-0000-00006DD10000}"/>
    <cellStyle name="Normal 5 6 16" xfId="40024" xr:uid="{00000000-0005-0000-0000-00006ED10000}"/>
    <cellStyle name="Normal 5 6 17" xfId="41707" xr:uid="{00000000-0005-0000-0000-00006FD10000}"/>
    <cellStyle name="Normal 5 6 18" xfId="43390" xr:uid="{00000000-0005-0000-0000-000070D10000}"/>
    <cellStyle name="Normal 5 6 19" xfId="45073" xr:uid="{00000000-0005-0000-0000-000071D10000}"/>
    <cellStyle name="Normal 5 6 2" xfId="2994" xr:uid="{00000000-0005-0000-0000-000072D10000}"/>
    <cellStyle name="Normal 5 6 2 2" xfId="18143" xr:uid="{00000000-0005-0000-0000-000073D10000}"/>
    <cellStyle name="Normal 5 6 20" xfId="46756" xr:uid="{00000000-0005-0000-0000-000074D10000}"/>
    <cellStyle name="Normal 5 6 21" xfId="48439" xr:uid="{00000000-0005-0000-0000-000075D10000}"/>
    <cellStyle name="Normal 5 6 22" xfId="50122" xr:uid="{00000000-0005-0000-0000-000076D10000}"/>
    <cellStyle name="Normal 5 6 23" xfId="51805" xr:uid="{00000000-0005-0000-0000-000077D10000}"/>
    <cellStyle name="Normal 5 6 24" xfId="53488" xr:uid="{00000000-0005-0000-0000-000078D10000}"/>
    <cellStyle name="Normal 5 6 25" xfId="55171" xr:uid="{00000000-0005-0000-0000-000079D10000}"/>
    <cellStyle name="Normal 5 6 26" xfId="56854" xr:uid="{00000000-0005-0000-0000-00007AD10000}"/>
    <cellStyle name="Normal 5 6 27" xfId="58537" xr:uid="{00000000-0005-0000-0000-00007BD10000}"/>
    <cellStyle name="Normal 5 6 28" xfId="60220" xr:uid="{00000000-0005-0000-0000-00007CD10000}"/>
    <cellStyle name="Normal 5 6 29" xfId="61903" xr:uid="{00000000-0005-0000-0000-00007DD10000}"/>
    <cellStyle name="Normal 5 6 3" xfId="4678" xr:uid="{00000000-0005-0000-0000-00007ED10000}"/>
    <cellStyle name="Normal 5 6 3 2" xfId="19827" xr:uid="{00000000-0005-0000-0000-00007FD10000}"/>
    <cellStyle name="Normal 5 6 30" xfId="63586" xr:uid="{00000000-0005-0000-0000-000080D10000}"/>
    <cellStyle name="Normal 5 6 4" xfId="6361" xr:uid="{00000000-0005-0000-0000-000081D10000}"/>
    <cellStyle name="Normal 5 6 4 2" xfId="21510" xr:uid="{00000000-0005-0000-0000-000082D10000}"/>
    <cellStyle name="Normal 5 6 5" xfId="8044" xr:uid="{00000000-0005-0000-0000-000083D10000}"/>
    <cellStyle name="Normal 5 6 5 2" xfId="23193" xr:uid="{00000000-0005-0000-0000-000084D10000}"/>
    <cellStyle name="Normal 5 6 6" xfId="9727" xr:uid="{00000000-0005-0000-0000-000085D10000}"/>
    <cellStyle name="Normal 5 6 6 2" xfId="24876" xr:uid="{00000000-0005-0000-0000-000086D10000}"/>
    <cellStyle name="Normal 5 6 7" xfId="11410" xr:uid="{00000000-0005-0000-0000-000087D10000}"/>
    <cellStyle name="Normal 5 6 7 2" xfId="26559" xr:uid="{00000000-0005-0000-0000-000088D10000}"/>
    <cellStyle name="Normal 5 6 8" xfId="13094" xr:uid="{00000000-0005-0000-0000-000089D10000}"/>
    <cellStyle name="Normal 5 6 8 2" xfId="28243" xr:uid="{00000000-0005-0000-0000-00008AD10000}"/>
    <cellStyle name="Normal 5 6 9" xfId="14777" xr:uid="{00000000-0005-0000-0000-00008BD10000}"/>
    <cellStyle name="Normal 5 6 9 2" xfId="29926" xr:uid="{00000000-0005-0000-0000-00008CD10000}"/>
    <cellStyle name="Normal 5 7" xfId="1732" xr:uid="{00000000-0005-0000-0000-00008DD10000}"/>
    <cellStyle name="Normal 5 7 2" xfId="16881" xr:uid="{00000000-0005-0000-0000-00008ED10000}"/>
    <cellStyle name="Normal 5 8" xfId="3416" xr:uid="{00000000-0005-0000-0000-00008FD10000}"/>
    <cellStyle name="Normal 5 8 2" xfId="18565" xr:uid="{00000000-0005-0000-0000-000090D10000}"/>
    <cellStyle name="Normal 5 9" xfId="5099" xr:uid="{00000000-0005-0000-0000-000091D10000}"/>
    <cellStyle name="Normal 5 9 2" xfId="20248" xr:uid="{00000000-0005-0000-0000-000092D10000}"/>
    <cellStyle name="Normal 6" xfId="36" xr:uid="{00000000-0005-0000-0000-000093D10000}"/>
    <cellStyle name="Normal 6 10" xfId="6791" xr:uid="{00000000-0005-0000-0000-000094D10000}"/>
    <cellStyle name="Normal 6 10 2" xfId="21940" xr:uid="{00000000-0005-0000-0000-000095D10000}"/>
    <cellStyle name="Normal 6 11" xfId="8474" xr:uid="{00000000-0005-0000-0000-000096D10000}"/>
    <cellStyle name="Normal 6 11 2" xfId="23623" xr:uid="{00000000-0005-0000-0000-000097D10000}"/>
    <cellStyle name="Normal 6 12" xfId="10157" xr:uid="{00000000-0005-0000-0000-000098D10000}"/>
    <cellStyle name="Normal 6 12 2" xfId="25306" xr:uid="{00000000-0005-0000-0000-000099D10000}"/>
    <cellStyle name="Normal 6 13" xfId="11841" xr:uid="{00000000-0005-0000-0000-00009AD10000}"/>
    <cellStyle name="Normal 6 13 2" xfId="26990" xr:uid="{00000000-0005-0000-0000-00009BD10000}"/>
    <cellStyle name="Normal 6 14" xfId="13524" xr:uid="{00000000-0005-0000-0000-00009CD10000}"/>
    <cellStyle name="Normal 6 14 2" xfId="28673" xr:uid="{00000000-0005-0000-0000-00009DD10000}"/>
    <cellStyle name="Normal 6 15" xfId="15207" xr:uid="{00000000-0005-0000-0000-00009ED10000}"/>
    <cellStyle name="Normal 6 16" xfId="30356" xr:uid="{00000000-0005-0000-0000-00009FD10000}"/>
    <cellStyle name="Normal 6 17" xfId="32039" xr:uid="{00000000-0005-0000-0000-0000A0D10000}"/>
    <cellStyle name="Normal 6 18" xfId="33722" xr:uid="{00000000-0005-0000-0000-0000A1D10000}"/>
    <cellStyle name="Normal 6 19" xfId="35405" xr:uid="{00000000-0005-0000-0000-0000A2D10000}"/>
    <cellStyle name="Normal 6 2" xfId="163" xr:uid="{00000000-0005-0000-0000-0000A3D10000}"/>
    <cellStyle name="Normal 6 2 10" xfId="8579" xr:uid="{00000000-0005-0000-0000-0000A4D10000}"/>
    <cellStyle name="Normal 6 2 10 2" xfId="23728" xr:uid="{00000000-0005-0000-0000-0000A5D10000}"/>
    <cellStyle name="Normal 6 2 11" xfId="10262" xr:uid="{00000000-0005-0000-0000-0000A6D10000}"/>
    <cellStyle name="Normal 6 2 11 2" xfId="25411" xr:uid="{00000000-0005-0000-0000-0000A7D10000}"/>
    <cellStyle name="Normal 6 2 12" xfId="11946" xr:uid="{00000000-0005-0000-0000-0000A8D10000}"/>
    <cellStyle name="Normal 6 2 12 2" xfId="27095" xr:uid="{00000000-0005-0000-0000-0000A9D10000}"/>
    <cellStyle name="Normal 6 2 13" xfId="13629" xr:uid="{00000000-0005-0000-0000-0000AAD10000}"/>
    <cellStyle name="Normal 6 2 13 2" xfId="28778" xr:uid="{00000000-0005-0000-0000-0000ABD10000}"/>
    <cellStyle name="Normal 6 2 14" xfId="15312" xr:uid="{00000000-0005-0000-0000-0000ACD10000}"/>
    <cellStyle name="Normal 6 2 15" xfId="30461" xr:uid="{00000000-0005-0000-0000-0000ADD10000}"/>
    <cellStyle name="Normal 6 2 16" xfId="32144" xr:uid="{00000000-0005-0000-0000-0000AED10000}"/>
    <cellStyle name="Normal 6 2 17" xfId="33827" xr:uid="{00000000-0005-0000-0000-0000AFD10000}"/>
    <cellStyle name="Normal 6 2 18" xfId="35510" xr:uid="{00000000-0005-0000-0000-0000B0D10000}"/>
    <cellStyle name="Normal 6 2 19" xfId="37193" xr:uid="{00000000-0005-0000-0000-0000B1D10000}"/>
    <cellStyle name="Normal 6 2 2" xfId="373" xr:uid="{00000000-0005-0000-0000-0000B2D10000}"/>
    <cellStyle name="Normal 6 2 2 10" xfId="10472" xr:uid="{00000000-0005-0000-0000-0000B3D10000}"/>
    <cellStyle name="Normal 6 2 2 10 2" xfId="25621" xr:uid="{00000000-0005-0000-0000-0000B4D10000}"/>
    <cellStyle name="Normal 6 2 2 11" xfId="12156" xr:uid="{00000000-0005-0000-0000-0000B5D10000}"/>
    <cellStyle name="Normal 6 2 2 11 2" xfId="27305" xr:uid="{00000000-0005-0000-0000-0000B6D10000}"/>
    <cellStyle name="Normal 6 2 2 12" xfId="13839" xr:uid="{00000000-0005-0000-0000-0000B7D10000}"/>
    <cellStyle name="Normal 6 2 2 12 2" xfId="28988" xr:uid="{00000000-0005-0000-0000-0000B8D10000}"/>
    <cellStyle name="Normal 6 2 2 13" xfId="15522" xr:uid="{00000000-0005-0000-0000-0000B9D10000}"/>
    <cellStyle name="Normal 6 2 2 14" xfId="30671" xr:uid="{00000000-0005-0000-0000-0000BAD10000}"/>
    <cellStyle name="Normal 6 2 2 15" xfId="32354" xr:uid="{00000000-0005-0000-0000-0000BBD10000}"/>
    <cellStyle name="Normal 6 2 2 16" xfId="34037" xr:uid="{00000000-0005-0000-0000-0000BCD10000}"/>
    <cellStyle name="Normal 6 2 2 17" xfId="35720" xr:uid="{00000000-0005-0000-0000-0000BDD10000}"/>
    <cellStyle name="Normal 6 2 2 18" xfId="37403" xr:uid="{00000000-0005-0000-0000-0000BED10000}"/>
    <cellStyle name="Normal 6 2 2 19" xfId="39086" xr:uid="{00000000-0005-0000-0000-0000BFD10000}"/>
    <cellStyle name="Normal 6 2 2 2" xfId="793" xr:uid="{00000000-0005-0000-0000-0000C0D10000}"/>
    <cellStyle name="Normal 6 2 2 2 10" xfId="15942" xr:uid="{00000000-0005-0000-0000-0000C1D10000}"/>
    <cellStyle name="Normal 6 2 2 2 11" xfId="31091" xr:uid="{00000000-0005-0000-0000-0000C2D10000}"/>
    <cellStyle name="Normal 6 2 2 2 12" xfId="32774" xr:uid="{00000000-0005-0000-0000-0000C3D10000}"/>
    <cellStyle name="Normal 6 2 2 2 13" xfId="34457" xr:uid="{00000000-0005-0000-0000-0000C4D10000}"/>
    <cellStyle name="Normal 6 2 2 2 14" xfId="36140" xr:uid="{00000000-0005-0000-0000-0000C5D10000}"/>
    <cellStyle name="Normal 6 2 2 2 15" xfId="37823" xr:uid="{00000000-0005-0000-0000-0000C6D10000}"/>
    <cellStyle name="Normal 6 2 2 2 16" xfId="39506" xr:uid="{00000000-0005-0000-0000-0000C7D10000}"/>
    <cellStyle name="Normal 6 2 2 2 17" xfId="41189" xr:uid="{00000000-0005-0000-0000-0000C8D10000}"/>
    <cellStyle name="Normal 6 2 2 2 18" xfId="42872" xr:uid="{00000000-0005-0000-0000-0000C9D10000}"/>
    <cellStyle name="Normal 6 2 2 2 19" xfId="44555" xr:uid="{00000000-0005-0000-0000-0000CAD10000}"/>
    <cellStyle name="Normal 6 2 2 2 2" xfId="2476" xr:uid="{00000000-0005-0000-0000-0000CBD10000}"/>
    <cellStyle name="Normal 6 2 2 2 2 2" xfId="17625" xr:uid="{00000000-0005-0000-0000-0000CCD10000}"/>
    <cellStyle name="Normal 6 2 2 2 20" xfId="46238" xr:uid="{00000000-0005-0000-0000-0000CDD10000}"/>
    <cellStyle name="Normal 6 2 2 2 21" xfId="47921" xr:uid="{00000000-0005-0000-0000-0000CED10000}"/>
    <cellStyle name="Normal 6 2 2 2 22" xfId="49604" xr:uid="{00000000-0005-0000-0000-0000CFD10000}"/>
    <cellStyle name="Normal 6 2 2 2 23" xfId="51287" xr:uid="{00000000-0005-0000-0000-0000D0D10000}"/>
    <cellStyle name="Normal 6 2 2 2 24" xfId="52970" xr:uid="{00000000-0005-0000-0000-0000D1D10000}"/>
    <cellStyle name="Normal 6 2 2 2 25" xfId="54653" xr:uid="{00000000-0005-0000-0000-0000D2D10000}"/>
    <cellStyle name="Normal 6 2 2 2 26" xfId="56336" xr:uid="{00000000-0005-0000-0000-0000D3D10000}"/>
    <cellStyle name="Normal 6 2 2 2 27" xfId="58019" xr:uid="{00000000-0005-0000-0000-0000D4D10000}"/>
    <cellStyle name="Normal 6 2 2 2 28" xfId="59702" xr:uid="{00000000-0005-0000-0000-0000D5D10000}"/>
    <cellStyle name="Normal 6 2 2 2 29" xfId="61385" xr:uid="{00000000-0005-0000-0000-0000D6D10000}"/>
    <cellStyle name="Normal 6 2 2 2 3" xfId="4160" xr:uid="{00000000-0005-0000-0000-0000D7D10000}"/>
    <cellStyle name="Normal 6 2 2 2 3 2" xfId="19309" xr:uid="{00000000-0005-0000-0000-0000D8D10000}"/>
    <cellStyle name="Normal 6 2 2 2 30" xfId="63068" xr:uid="{00000000-0005-0000-0000-0000D9D10000}"/>
    <cellStyle name="Normal 6 2 2 2 4" xfId="5843" xr:uid="{00000000-0005-0000-0000-0000DAD10000}"/>
    <cellStyle name="Normal 6 2 2 2 4 2" xfId="20992" xr:uid="{00000000-0005-0000-0000-0000DBD10000}"/>
    <cellStyle name="Normal 6 2 2 2 5" xfId="7526" xr:uid="{00000000-0005-0000-0000-0000DCD10000}"/>
    <cellStyle name="Normal 6 2 2 2 5 2" xfId="22675" xr:uid="{00000000-0005-0000-0000-0000DDD10000}"/>
    <cellStyle name="Normal 6 2 2 2 6" xfId="9209" xr:uid="{00000000-0005-0000-0000-0000DED10000}"/>
    <cellStyle name="Normal 6 2 2 2 6 2" xfId="24358" xr:uid="{00000000-0005-0000-0000-0000DFD10000}"/>
    <cellStyle name="Normal 6 2 2 2 7" xfId="10892" xr:uid="{00000000-0005-0000-0000-0000E0D10000}"/>
    <cellStyle name="Normal 6 2 2 2 7 2" xfId="26041" xr:uid="{00000000-0005-0000-0000-0000E1D10000}"/>
    <cellStyle name="Normal 6 2 2 2 8" xfId="12576" xr:uid="{00000000-0005-0000-0000-0000E2D10000}"/>
    <cellStyle name="Normal 6 2 2 2 8 2" xfId="27725" xr:uid="{00000000-0005-0000-0000-0000E3D10000}"/>
    <cellStyle name="Normal 6 2 2 2 9" xfId="14259" xr:uid="{00000000-0005-0000-0000-0000E4D10000}"/>
    <cellStyle name="Normal 6 2 2 2 9 2" xfId="29408" xr:uid="{00000000-0005-0000-0000-0000E5D10000}"/>
    <cellStyle name="Normal 6 2 2 20" xfId="40769" xr:uid="{00000000-0005-0000-0000-0000E6D10000}"/>
    <cellStyle name="Normal 6 2 2 21" xfId="42452" xr:uid="{00000000-0005-0000-0000-0000E7D10000}"/>
    <cellStyle name="Normal 6 2 2 22" xfId="44135" xr:uid="{00000000-0005-0000-0000-0000E8D10000}"/>
    <cellStyle name="Normal 6 2 2 23" xfId="45818" xr:uid="{00000000-0005-0000-0000-0000E9D10000}"/>
    <cellStyle name="Normal 6 2 2 24" xfId="47501" xr:uid="{00000000-0005-0000-0000-0000EAD10000}"/>
    <cellStyle name="Normal 6 2 2 25" xfId="49184" xr:uid="{00000000-0005-0000-0000-0000EBD10000}"/>
    <cellStyle name="Normal 6 2 2 26" xfId="50867" xr:uid="{00000000-0005-0000-0000-0000ECD10000}"/>
    <cellStyle name="Normal 6 2 2 27" xfId="52550" xr:uid="{00000000-0005-0000-0000-0000EDD10000}"/>
    <cellStyle name="Normal 6 2 2 28" xfId="54233" xr:uid="{00000000-0005-0000-0000-0000EED10000}"/>
    <cellStyle name="Normal 6 2 2 29" xfId="55916" xr:uid="{00000000-0005-0000-0000-0000EFD10000}"/>
    <cellStyle name="Normal 6 2 2 3" xfId="1214" xr:uid="{00000000-0005-0000-0000-0000F0D10000}"/>
    <cellStyle name="Normal 6 2 2 3 10" xfId="16363" xr:uid="{00000000-0005-0000-0000-0000F1D10000}"/>
    <cellStyle name="Normal 6 2 2 3 11" xfId="31512" xr:uid="{00000000-0005-0000-0000-0000F2D10000}"/>
    <cellStyle name="Normal 6 2 2 3 12" xfId="33195" xr:uid="{00000000-0005-0000-0000-0000F3D10000}"/>
    <cellStyle name="Normal 6 2 2 3 13" xfId="34878" xr:uid="{00000000-0005-0000-0000-0000F4D10000}"/>
    <cellStyle name="Normal 6 2 2 3 14" xfId="36561" xr:uid="{00000000-0005-0000-0000-0000F5D10000}"/>
    <cellStyle name="Normal 6 2 2 3 15" xfId="38244" xr:uid="{00000000-0005-0000-0000-0000F6D10000}"/>
    <cellStyle name="Normal 6 2 2 3 16" xfId="39927" xr:uid="{00000000-0005-0000-0000-0000F7D10000}"/>
    <cellStyle name="Normal 6 2 2 3 17" xfId="41610" xr:uid="{00000000-0005-0000-0000-0000F8D10000}"/>
    <cellStyle name="Normal 6 2 2 3 18" xfId="43293" xr:uid="{00000000-0005-0000-0000-0000F9D10000}"/>
    <cellStyle name="Normal 6 2 2 3 19" xfId="44976" xr:uid="{00000000-0005-0000-0000-0000FAD10000}"/>
    <cellStyle name="Normal 6 2 2 3 2" xfId="2897" xr:uid="{00000000-0005-0000-0000-0000FBD10000}"/>
    <cellStyle name="Normal 6 2 2 3 2 2" xfId="18046" xr:uid="{00000000-0005-0000-0000-0000FCD10000}"/>
    <cellStyle name="Normal 6 2 2 3 20" xfId="46659" xr:uid="{00000000-0005-0000-0000-0000FDD10000}"/>
    <cellStyle name="Normal 6 2 2 3 21" xfId="48342" xr:uid="{00000000-0005-0000-0000-0000FED10000}"/>
    <cellStyle name="Normal 6 2 2 3 22" xfId="50025" xr:uid="{00000000-0005-0000-0000-0000FFD10000}"/>
    <cellStyle name="Normal 6 2 2 3 23" xfId="51708" xr:uid="{00000000-0005-0000-0000-000000D20000}"/>
    <cellStyle name="Normal 6 2 2 3 24" xfId="53391" xr:uid="{00000000-0005-0000-0000-000001D20000}"/>
    <cellStyle name="Normal 6 2 2 3 25" xfId="55074" xr:uid="{00000000-0005-0000-0000-000002D20000}"/>
    <cellStyle name="Normal 6 2 2 3 26" xfId="56757" xr:uid="{00000000-0005-0000-0000-000003D20000}"/>
    <cellStyle name="Normal 6 2 2 3 27" xfId="58440" xr:uid="{00000000-0005-0000-0000-000004D20000}"/>
    <cellStyle name="Normal 6 2 2 3 28" xfId="60123" xr:uid="{00000000-0005-0000-0000-000005D20000}"/>
    <cellStyle name="Normal 6 2 2 3 29" xfId="61806" xr:uid="{00000000-0005-0000-0000-000006D20000}"/>
    <cellStyle name="Normal 6 2 2 3 3" xfId="4581" xr:uid="{00000000-0005-0000-0000-000007D20000}"/>
    <cellStyle name="Normal 6 2 2 3 3 2" xfId="19730" xr:uid="{00000000-0005-0000-0000-000008D20000}"/>
    <cellStyle name="Normal 6 2 2 3 30" xfId="63489" xr:uid="{00000000-0005-0000-0000-000009D20000}"/>
    <cellStyle name="Normal 6 2 2 3 4" xfId="6264" xr:uid="{00000000-0005-0000-0000-00000AD20000}"/>
    <cellStyle name="Normal 6 2 2 3 4 2" xfId="21413" xr:uid="{00000000-0005-0000-0000-00000BD20000}"/>
    <cellStyle name="Normal 6 2 2 3 5" xfId="7947" xr:uid="{00000000-0005-0000-0000-00000CD20000}"/>
    <cellStyle name="Normal 6 2 2 3 5 2" xfId="23096" xr:uid="{00000000-0005-0000-0000-00000DD20000}"/>
    <cellStyle name="Normal 6 2 2 3 6" xfId="9630" xr:uid="{00000000-0005-0000-0000-00000ED20000}"/>
    <cellStyle name="Normal 6 2 2 3 6 2" xfId="24779" xr:uid="{00000000-0005-0000-0000-00000FD20000}"/>
    <cellStyle name="Normal 6 2 2 3 7" xfId="11313" xr:uid="{00000000-0005-0000-0000-000010D20000}"/>
    <cellStyle name="Normal 6 2 2 3 7 2" xfId="26462" xr:uid="{00000000-0005-0000-0000-000011D20000}"/>
    <cellStyle name="Normal 6 2 2 3 8" xfId="12997" xr:uid="{00000000-0005-0000-0000-000012D20000}"/>
    <cellStyle name="Normal 6 2 2 3 8 2" xfId="28146" xr:uid="{00000000-0005-0000-0000-000013D20000}"/>
    <cellStyle name="Normal 6 2 2 3 9" xfId="14680" xr:uid="{00000000-0005-0000-0000-000014D20000}"/>
    <cellStyle name="Normal 6 2 2 3 9 2" xfId="29829" xr:uid="{00000000-0005-0000-0000-000015D20000}"/>
    <cellStyle name="Normal 6 2 2 30" xfId="57599" xr:uid="{00000000-0005-0000-0000-000016D20000}"/>
    <cellStyle name="Normal 6 2 2 31" xfId="59282" xr:uid="{00000000-0005-0000-0000-000017D20000}"/>
    <cellStyle name="Normal 6 2 2 32" xfId="60965" xr:uid="{00000000-0005-0000-0000-000018D20000}"/>
    <cellStyle name="Normal 6 2 2 33" xfId="62648" xr:uid="{00000000-0005-0000-0000-000019D20000}"/>
    <cellStyle name="Normal 6 2 2 4" xfId="1635" xr:uid="{00000000-0005-0000-0000-00001AD20000}"/>
    <cellStyle name="Normal 6 2 2 4 10" xfId="16784" xr:uid="{00000000-0005-0000-0000-00001BD20000}"/>
    <cellStyle name="Normal 6 2 2 4 11" xfId="31933" xr:uid="{00000000-0005-0000-0000-00001CD20000}"/>
    <cellStyle name="Normal 6 2 2 4 12" xfId="33616" xr:uid="{00000000-0005-0000-0000-00001DD20000}"/>
    <cellStyle name="Normal 6 2 2 4 13" xfId="35299" xr:uid="{00000000-0005-0000-0000-00001ED20000}"/>
    <cellStyle name="Normal 6 2 2 4 14" xfId="36982" xr:uid="{00000000-0005-0000-0000-00001FD20000}"/>
    <cellStyle name="Normal 6 2 2 4 15" xfId="38665" xr:uid="{00000000-0005-0000-0000-000020D20000}"/>
    <cellStyle name="Normal 6 2 2 4 16" xfId="40348" xr:uid="{00000000-0005-0000-0000-000021D20000}"/>
    <cellStyle name="Normal 6 2 2 4 17" xfId="42031" xr:uid="{00000000-0005-0000-0000-000022D20000}"/>
    <cellStyle name="Normal 6 2 2 4 18" xfId="43714" xr:uid="{00000000-0005-0000-0000-000023D20000}"/>
    <cellStyle name="Normal 6 2 2 4 19" xfId="45397" xr:uid="{00000000-0005-0000-0000-000024D20000}"/>
    <cellStyle name="Normal 6 2 2 4 2" xfId="3318" xr:uid="{00000000-0005-0000-0000-000025D20000}"/>
    <cellStyle name="Normal 6 2 2 4 2 2" xfId="18467" xr:uid="{00000000-0005-0000-0000-000026D20000}"/>
    <cellStyle name="Normal 6 2 2 4 20" xfId="47080" xr:uid="{00000000-0005-0000-0000-000027D20000}"/>
    <cellStyle name="Normal 6 2 2 4 21" xfId="48763" xr:uid="{00000000-0005-0000-0000-000028D20000}"/>
    <cellStyle name="Normal 6 2 2 4 22" xfId="50446" xr:uid="{00000000-0005-0000-0000-000029D20000}"/>
    <cellStyle name="Normal 6 2 2 4 23" xfId="52129" xr:uid="{00000000-0005-0000-0000-00002AD20000}"/>
    <cellStyle name="Normal 6 2 2 4 24" xfId="53812" xr:uid="{00000000-0005-0000-0000-00002BD20000}"/>
    <cellStyle name="Normal 6 2 2 4 25" xfId="55495" xr:uid="{00000000-0005-0000-0000-00002CD20000}"/>
    <cellStyle name="Normal 6 2 2 4 26" xfId="57178" xr:uid="{00000000-0005-0000-0000-00002DD20000}"/>
    <cellStyle name="Normal 6 2 2 4 27" xfId="58861" xr:uid="{00000000-0005-0000-0000-00002ED20000}"/>
    <cellStyle name="Normal 6 2 2 4 28" xfId="60544" xr:uid="{00000000-0005-0000-0000-00002FD20000}"/>
    <cellStyle name="Normal 6 2 2 4 29" xfId="62227" xr:uid="{00000000-0005-0000-0000-000030D20000}"/>
    <cellStyle name="Normal 6 2 2 4 3" xfId="5002" xr:uid="{00000000-0005-0000-0000-000031D20000}"/>
    <cellStyle name="Normal 6 2 2 4 3 2" xfId="20151" xr:uid="{00000000-0005-0000-0000-000032D20000}"/>
    <cellStyle name="Normal 6 2 2 4 30" xfId="63910" xr:uid="{00000000-0005-0000-0000-000033D20000}"/>
    <cellStyle name="Normal 6 2 2 4 4" xfId="6685" xr:uid="{00000000-0005-0000-0000-000034D20000}"/>
    <cellStyle name="Normal 6 2 2 4 4 2" xfId="21834" xr:uid="{00000000-0005-0000-0000-000035D20000}"/>
    <cellStyle name="Normal 6 2 2 4 5" xfId="8368" xr:uid="{00000000-0005-0000-0000-000036D20000}"/>
    <cellStyle name="Normal 6 2 2 4 5 2" xfId="23517" xr:uid="{00000000-0005-0000-0000-000037D20000}"/>
    <cellStyle name="Normal 6 2 2 4 6" xfId="10051" xr:uid="{00000000-0005-0000-0000-000038D20000}"/>
    <cellStyle name="Normal 6 2 2 4 6 2" xfId="25200" xr:uid="{00000000-0005-0000-0000-000039D20000}"/>
    <cellStyle name="Normal 6 2 2 4 7" xfId="11734" xr:uid="{00000000-0005-0000-0000-00003AD20000}"/>
    <cellStyle name="Normal 6 2 2 4 7 2" xfId="26883" xr:uid="{00000000-0005-0000-0000-00003BD20000}"/>
    <cellStyle name="Normal 6 2 2 4 8" xfId="13418" xr:uid="{00000000-0005-0000-0000-00003CD20000}"/>
    <cellStyle name="Normal 6 2 2 4 8 2" xfId="28567" xr:uid="{00000000-0005-0000-0000-00003DD20000}"/>
    <cellStyle name="Normal 6 2 2 4 9" xfId="15101" xr:uid="{00000000-0005-0000-0000-00003ED20000}"/>
    <cellStyle name="Normal 6 2 2 4 9 2" xfId="30250" xr:uid="{00000000-0005-0000-0000-00003FD20000}"/>
    <cellStyle name="Normal 6 2 2 5" xfId="2056" xr:uid="{00000000-0005-0000-0000-000040D20000}"/>
    <cellStyle name="Normal 6 2 2 5 2" xfId="17205" xr:uid="{00000000-0005-0000-0000-000041D20000}"/>
    <cellStyle name="Normal 6 2 2 6" xfId="3740" xr:uid="{00000000-0005-0000-0000-000042D20000}"/>
    <cellStyle name="Normal 6 2 2 6 2" xfId="18889" xr:uid="{00000000-0005-0000-0000-000043D20000}"/>
    <cellStyle name="Normal 6 2 2 7" xfId="5423" xr:uid="{00000000-0005-0000-0000-000044D20000}"/>
    <cellStyle name="Normal 6 2 2 7 2" xfId="20572" xr:uid="{00000000-0005-0000-0000-000045D20000}"/>
    <cellStyle name="Normal 6 2 2 8" xfId="7106" xr:uid="{00000000-0005-0000-0000-000046D20000}"/>
    <cellStyle name="Normal 6 2 2 8 2" xfId="22255" xr:uid="{00000000-0005-0000-0000-000047D20000}"/>
    <cellStyle name="Normal 6 2 2 9" xfId="8789" xr:uid="{00000000-0005-0000-0000-000048D20000}"/>
    <cellStyle name="Normal 6 2 2 9 2" xfId="23938" xr:uid="{00000000-0005-0000-0000-000049D20000}"/>
    <cellStyle name="Normal 6 2 20" xfId="38876" xr:uid="{00000000-0005-0000-0000-00004AD20000}"/>
    <cellStyle name="Normal 6 2 21" xfId="40559" xr:uid="{00000000-0005-0000-0000-00004BD20000}"/>
    <cellStyle name="Normal 6 2 22" xfId="42242" xr:uid="{00000000-0005-0000-0000-00004CD20000}"/>
    <cellStyle name="Normal 6 2 23" xfId="43925" xr:uid="{00000000-0005-0000-0000-00004DD20000}"/>
    <cellStyle name="Normal 6 2 24" xfId="45608" xr:uid="{00000000-0005-0000-0000-00004ED20000}"/>
    <cellStyle name="Normal 6 2 25" xfId="47291" xr:uid="{00000000-0005-0000-0000-00004FD20000}"/>
    <cellStyle name="Normal 6 2 26" xfId="48974" xr:uid="{00000000-0005-0000-0000-000050D20000}"/>
    <cellStyle name="Normal 6 2 27" xfId="50657" xr:uid="{00000000-0005-0000-0000-000051D20000}"/>
    <cellStyle name="Normal 6 2 28" xfId="52340" xr:uid="{00000000-0005-0000-0000-000052D20000}"/>
    <cellStyle name="Normal 6 2 29" xfId="54023" xr:uid="{00000000-0005-0000-0000-000053D20000}"/>
    <cellStyle name="Normal 6 2 3" xfId="583" xr:uid="{00000000-0005-0000-0000-000054D20000}"/>
    <cellStyle name="Normal 6 2 3 10" xfId="15732" xr:uid="{00000000-0005-0000-0000-000055D20000}"/>
    <cellStyle name="Normal 6 2 3 11" xfId="30881" xr:uid="{00000000-0005-0000-0000-000056D20000}"/>
    <cellStyle name="Normal 6 2 3 12" xfId="32564" xr:uid="{00000000-0005-0000-0000-000057D20000}"/>
    <cellStyle name="Normal 6 2 3 13" xfId="34247" xr:uid="{00000000-0005-0000-0000-000058D20000}"/>
    <cellStyle name="Normal 6 2 3 14" xfId="35930" xr:uid="{00000000-0005-0000-0000-000059D20000}"/>
    <cellStyle name="Normal 6 2 3 15" xfId="37613" xr:uid="{00000000-0005-0000-0000-00005AD20000}"/>
    <cellStyle name="Normal 6 2 3 16" xfId="39296" xr:uid="{00000000-0005-0000-0000-00005BD20000}"/>
    <cellStyle name="Normal 6 2 3 17" xfId="40979" xr:uid="{00000000-0005-0000-0000-00005CD20000}"/>
    <cellStyle name="Normal 6 2 3 18" xfId="42662" xr:uid="{00000000-0005-0000-0000-00005DD20000}"/>
    <cellStyle name="Normal 6 2 3 19" xfId="44345" xr:uid="{00000000-0005-0000-0000-00005ED20000}"/>
    <cellStyle name="Normal 6 2 3 2" xfId="2266" xr:uid="{00000000-0005-0000-0000-00005FD20000}"/>
    <cellStyle name="Normal 6 2 3 2 2" xfId="17415" xr:uid="{00000000-0005-0000-0000-000060D20000}"/>
    <cellStyle name="Normal 6 2 3 20" xfId="46028" xr:uid="{00000000-0005-0000-0000-000061D20000}"/>
    <cellStyle name="Normal 6 2 3 21" xfId="47711" xr:uid="{00000000-0005-0000-0000-000062D20000}"/>
    <cellStyle name="Normal 6 2 3 22" xfId="49394" xr:uid="{00000000-0005-0000-0000-000063D20000}"/>
    <cellStyle name="Normal 6 2 3 23" xfId="51077" xr:uid="{00000000-0005-0000-0000-000064D20000}"/>
    <cellStyle name="Normal 6 2 3 24" xfId="52760" xr:uid="{00000000-0005-0000-0000-000065D20000}"/>
    <cellStyle name="Normal 6 2 3 25" xfId="54443" xr:uid="{00000000-0005-0000-0000-000066D20000}"/>
    <cellStyle name="Normal 6 2 3 26" xfId="56126" xr:uid="{00000000-0005-0000-0000-000067D20000}"/>
    <cellStyle name="Normal 6 2 3 27" xfId="57809" xr:uid="{00000000-0005-0000-0000-000068D20000}"/>
    <cellStyle name="Normal 6 2 3 28" xfId="59492" xr:uid="{00000000-0005-0000-0000-000069D20000}"/>
    <cellStyle name="Normal 6 2 3 29" xfId="61175" xr:uid="{00000000-0005-0000-0000-00006AD20000}"/>
    <cellStyle name="Normal 6 2 3 3" xfId="3950" xr:uid="{00000000-0005-0000-0000-00006BD20000}"/>
    <cellStyle name="Normal 6 2 3 3 2" xfId="19099" xr:uid="{00000000-0005-0000-0000-00006CD20000}"/>
    <cellStyle name="Normal 6 2 3 30" xfId="62858" xr:uid="{00000000-0005-0000-0000-00006DD20000}"/>
    <cellStyle name="Normal 6 2 3 4" xfId="5633" xr:uid="{00000000-0005-0000-0000-00006ED20000}"/>
    <cellStyle name="Normal 6 2 3 4 2" xfId="20782" xr:uid="{00000000-0005-0000-0000-00006FD20000}"/>
    <cellStyle name="Normal 6 2 3 5" xfId="7316" xr:uid="{00000000-0005-0000-0000-000070D20000}"/>
    <cellStyle name="Normal 6 2 3 5 2" xfId="22465" xr:uid="{00000000-0005-0000-0000-000071D20000}"/>
    <cellStyle name="Normal 6 2 3 6" xfId="8999" xr:uid="{00000000-0005-0000-0000-000072D20000}"/>
    <cellStyle name="Normal 6 2 3 6 2" xfId="24148" xr:uid="{00000000-0005-0000-0000-000073D20000}"/>
    <cellStyle name="Normal 6 2 3 7" xfId="10682" xr:uid="{00000000-0005-0000-0000-000074D20000}"/>
    <cellStyle name="Normal 6 2 3 7 2" xfId="25831" xr:uid="{00000000-0005-0000-0000-000075D20000}"/>
    <cellStyle name="Normal 6 2 3 8" xfId="12366" xr:uid="{00000000-0005-0000-0000-000076D20000}"/>
    <cellStyle name="Normal 6 2 3 8 2" xfId="27515" xr:uid="{00000000-0005-0000-0000-000077D20000}"/>
    <cellStyle name="Normal 6 2 3 9" xfId="14049" xr:uid="{00000000-0005-0000-0000-000078D20000}"/>
    <cellStyle name="Normal 6 2 3 9 2" xfId="29198" xr:uid="{00000000-0005-0000-0000-000079D20000}"/>
    <cellStyle name="Normal 6 2 30" xfId="55706" xr:uid="{00000000-0005-0000-0000-00007AD20000}"/>
    <cellStyle name="Normal 6 2 31" xfId="57389" xr:uid="{00000000-0005-0000-0000-00007BD20000}"/>
    <cellStyle name="Normal 6 2 32" xfId="59072" xr:uid="{00000000-0005-0000-0000-00007CD20000}"/>
    <cellStyle name="Normal 6 2 33" xfId="60755" xr:uid="{00000000-0005-0000-0000-00007DD20000}"/>
    <cellStyle name="Normal 6 2 34" xfId="62438" xr:uid="{00000000-0005-0000-0000-00007ED20000}"/>
    <cellStyle name="Normal 6 2 4" xfId="1004" xr:uid="{00000000-0005-0000-0000-00007FD20000}"/>
    <cellStyle name="Normal 6 2 4 10" xfId="16153" xr:uid="{00000000-0005-0000-0000-000080D20000}"/>
    <cellStyle name="Normal 6 2 4 11" xfId="31302" xr:uid="{00000000-0005-0000-0000-000081D20000}"/>
    <cellStyle name="Normal 6 2 4 12" xfId="32985" xr:uid="{00000000-0005-0000-0000-000082D20000}"/>
    <cellStyle name="Normal 6 2 4 13" xfId="34668" xr:uid="{00000000-0005-0000-0000-000083D20000}"/>
    <cellStyle name="Normal 6 2 4 14" xfId="36351" xr:uid="{00000000-0005-0000-0000-000084D20000}"/>
    <cellStyle name="Normal 6 2 4 15" xfId="38034" xr:uid="{00000000-0005-0000-0000-000085D20000}"/>
    <cellStyle name="Normal 6 2 4 16" xfId="39717" xr:uid="{00000000-0005-0000-0000-000086D20000}"/>
    <cellStyle name="Normal 6 2 4 17" xfId="41400" xr:uid="{00000000-0005-0000-0000-000087D20000}"/>
    <cellStyle name="Normal 6 2 4 18" xfId="43083" xr:uid="{00000000-0005-0000-0000-000088D20000}"/>
    <cellStyle name="Normal 6 2 4 19" xfId="44766" xr:uid="{00000000-0005-0000-0000-000089D20000}"/>
    <cellStyle name="Normal 6 2 4 2" xfId="2687" xr:uid="{00000000-0005-0000-0000-00008AD20000}"/>
    <cellStyle name="Normal 6 2 4 2 2" xfId="17836" xr:uid="{00000000-0005-0000-0000-00008BD20000}"/>
    <cellStyle name="Normal 6 2 4 20" xfId="46449" xr:uid="{00000000-0005-0000-0000-00008CD20000}"/>
    <cellStyle name="Normal 6 2 4 21" xfId="48132" xr:uid="{00000000-0005-0000-0000-00008DD20000}"/>
    <cellStyle name="Normal 6 2 4 22" xfId="49815" xr:uid="{00000000-0005-0000-0000-00008ED20000}"/>
    <cellStyle name="Normal 6 2 4 23" xfId="51498" xr:uid="{00000000-0005-0000-0000-00008FD20000}"/>
    <cellStyle name="Normal 6 2 4 24" xfId="53181" xr:uid="{00000000-0005-0000-0000-000090D20000}"/>
    <cellStyle name="Normal 6 2 4 25" xfId="54864" xr:uid="{00000000-0005-0000-0000-000091D20000}"/>
    <cellStyle name="Normal 6 2 4 26" xfId="56547" xr:uid="{00000000-0005-0000-0000-000092D20000}"/>
    <cellStyle name="Normal 6 2 4 27" xfId="58230" xr:uid="{00000000-0005-0000-0000-000093D20000}"/>
    <cellStyle name="Normal 6 2 4 28" xfId="59913" xr:uid="{00000000-0005-0000-0000-000094D20000}"/>
    <cellStyle name="Normal 6 2 4 29" xfId="61596" xr:uid="{00000000-0005-0000-0000-000095D20000}"/>
    <cellStyle name="Normal 6 2 4 3" xfId="4371" xr:uid="{00000000-0005-0000-0000-000096D20000}"/>
    <cellStyle name="Normal 6 2 4 3 2" xfId="19520" xr:uid="{00000000-0005-0000-0000-000097D20000}"/>
    <cellStyle name="Normal 6 2 4 30" xfId="63279" xr:uid="{00000000-0005-0000-0000-000098D20000}"/>
    <cellStyle name="Normal 6 2 4 4" xfId="6054" xr:uid="{00000000-0005-0000-0000-000099D20000}"/>
    <cellStyle name="Normal 6 2 4 4 2" xfId="21203" xr:uid="{00000000-0005-0000-0000-00009AD20000}"/>
    <cellStyle name="Normal 6 2 4 5" xfId="7737" xr:uid="{00000000-0005-0000-0000-00009BD20000}"/>
    <cellStyle name="Normal 6 2 4 5 2" xfId="22886" xr:uid="{00000000-0005-0000-0000-00009CD20000}"/>
    <cellStyle name="Normal 6 2 4 6" xfId="9420" xr:uid="{00000000-0005-0000-0000-00009DD20000}"/>
    <cellStyle name="Normal 6 2 4 6 2" xfId="24569" xr:uid="{00000000-0005-0000-0000-00009ED20000}"/>
    <cellStyle name="Normal 6 2 4 7" xfId="11103" xr:uid="{00000000-0005-0000-0000-00009FD20000}"/>
    <cellStyle name="Normal 6 2 4 7 2" xfId="26252" xr:uid="{00000000-0005-0000-0000-0000A0D20000}"/>
    <cellStyle name="Normal 6 2 4 8" xfId="12787" xr:uid="{00000000-0005-0000-0000-0000A1D20000}"/>
    <cellStyle name="Normal 6 2 4 8 2" xfId="27936" xr:uid="{00000000-0005-0000-0000-0000A2D20000}"/>
    <cellStyle name="Normal 6 2 4 9" xfId="14470" xr:uid="{00000000-0005-0000-0000-0000A3D20000}"/>
    <cellStyle name="Normal 6 2 4 9 2" xfId="29619" xr:uid="{00000000-0005-0000-0000-0000A4D20000}"/>
    <cellStyle name="Normal 6 2 5" xfId="1425" xr:uid="{00000000-0005-0000-0000-0000A5D20000}"/>
    <cellStyle name="Normal 6 2 5 10" xfId="16574" xr:uid="{00000000-0005-0000-0000-0000A6D20000}"/>
    <cellStyle name="Normal 6 2 5 11" xfId="31723" xr:uid="{00000000-0005-0000-0000-0000A7D20000}"/>
    <cellStyle name="Normal 6 2 5 12" xfId="33406" xr:uid="{00000000-0005-0000-0000-0000A8D20000}"/>
    <cellStyle name="Normal 6 2 5 13" xfId="35089" xr:uid="{00000000-0005-0000-0000-0000A9D20000}"/>
    <cellStyle name="Normal 6 2 5 14" xfId="36772" xr:uid="{00000000-0005-0000-0000-0000AAD20000}"/>
    <cellStyle name="Normal 6 2 5 15" xfId="38455" xr:uid="{00000000-0005-0000-0000-0000ABD20000}"/>
    <cellStyle name="Normal 6 2 5 16" xfId="40138" xr:uid="{00000000-0005-0000-0000-0000ACD20000}"/>
    <cellStyle name="Normal 6 2 5 17" xfId="41821" xr:uid="{00000000-0005-0000-0000-0000ADD20000}"/>
    <cellStyle name="Normal 6 2 5 18" xfId="43504" xr:uid="{00000000-0005-0000-0000-0000AED20000}"/>
    <cellStyle name="Normal 6 2 5 19" xfId="45187" xr:uid="{00000000-0005-0000-0000-0000AFD20000}"/>
    <cellStyle name="Normal 6 2 5 2" xfId="3108" xr:uid="{00000000-0005-0000-0000-0000B0D20000}"/>
    <cellStyle name="Normal 6 2 5 2 2" xfId="18257" xr:uid="{00000000-0005-0000-0000-0000B1D20000}"/>
    <cellStyle name="Normal 6 2 5 20" xfId="46870" xr:uid="{00000000-0005-0000-0000-0000B2D20000}"/>
    <cellStyle name="Normal 6 2 5 21" xfId="48553" xr:uid="{00000000-0005-0000-0000-0000B3D20000}"/>
    <cellStyle name="Normal 6 2 5 22" xfId="50236" xr:uid="{00000000-0005-0000-0000-0000B4D20000}"/>
    <cellStyle name="Normal 6 2 5 23" xfId="51919" xr:uid="{00000000-0005-0000-0000-0000B5D20000}"/>
    <cellStyle name="Normal 6 2 5 24" xfId="53602" xr:uid="{00000000-0005-0000-0000-0000B6D20000}"/>
    <cellStyle name="Normal 6 2 5 25" xfId="55285" xr:uid="{00000000-0005-0000-0000-0000B7D20000}"/>
    <cellStyle name="Normal 6 2 5 26" xfId="56968" xr:uid="{00000000-0005-0000-0000-0000B8D20000}"/>
    <cellStyle name="Normal 6 2 5 27" xfId="58651" xr:uid="{00000000-0005-0000-0000-0000B9D20000}"/>
    <cellStyle name="Normal 6 2 5 28" xfId="60334" xr:uid="{00000000-0005-0000-0000-0000BAD20000}"/>
    <cellStyle name="Normal 6 2 5 29" xfId="62017" xr:uid="{00000000-0005-0000-0000-0000BBD20000}"/>
    <cellStyle name="Normal 6 2 5 3" xfId="4792" xr:uid="{00000000-0005-0000-0000-0000BCD20000}"/>
    <cellStyle name="Normal 6 2 5 3 2" xfId="19941" xr:uid="{00000000-0005-0000-0000-0000BDD20000}"/>
    <cellStyle name="Normal 6 2 5 30" xfId="63700" xr:uid="{00000000-0005-0000-0000-0000BED20000}"/>
    <cellStyle name="Normal 6 2 5 4" xfId="6475" xr:uid="{00000000-0005-0000-0000-0000BFD20000}"/>
    <cellStyle name="Normal 6 2 5 4 2" xfId="21624" xr:uid="{00000000-0005-0000-0000-0000C0D20000}"/>
    <cellStyle name="Normal 6 2 5 5" xfId="8158" xr:uid="{00000000-0005-0000-0000-0000C1D20000}"/>
    <cellStyle name="Normal 6 2 5 5 2" xfId="23307" xr:uid="{00000000-0005-0000-0000-0000C2D20000}"/>
    <cellStyle name="Normal 6 2 5 6" xfId="9841" xr:uid="{00000000-0005-0000-0000-0000C3D20000}"/>
    <cellStyle name="Normal 6 2 5 6 2" xfId="24990" xr:uid="{00000000-0005-0000-0000-0000C4D20000}"/>
    <cellStyle name="Normal 6 2 5 7" xfId="11524" xr:uid="{00000000-0005-0000-0000-0000C5D20000}"/>
    <cellStyle name="Normal 6 2 5 7 2" xfId="26673" xr:uid="{00000000-0005-0000-0000-0000C6D20000}"/>
    <cellStyle name="Normal 6 2 5 8" xfId="13208" xr:uid="{00000000-0005-0000-0000-0000C7D20000}"/>
    <cellStyle name="Normal 6 2 5 8 2" xfId="28357" xr:uid="{00000000-0005-0000-0000-0000C8D20000}"/>
    <cellStyle name="Normal 6 2 5 9" xfId="14891" xr:uid="{00000000-0005-0000-0000-0000C9D20000}"/>
    <cellStyle name="Normal 6 2 5 9 2" xfId="30040" xr:uid="{00000000-0005-0000-0000-0000CAD20000}"/>
    <cellStyle name="Normal 6 2 6" xfId="1846" xr:uid="{00000000-0005-0000-0000-0000CBD20000}"/>
    <cellStyle name="Normal 6 2 6 2" xfId="16995" xr:uid="{00000000-0005-0000-0000-0000CCD20000}"/>
    <cellStyle name="Normal 6 2 7" xfId="3530" xr:uid="{00000000-0005-0000-0000-0000CDD20000}"/>
    <cellStyle name="Normal 6 2 7 2" xfId="18679" xr:uid="{00000000-0005-0000-0000-0000CED20000}"/>
    <cellStyle name="Normal 6 2 8" xfId="5213" xr:uid="{00000000-0005-0000-0000-0000CFD20000}"/>
    <cellStyle name="Normal 6 2 8 2" xfId="20362" xr:uid="{00000000-0005-0000-0000-0000D0D20000}"/>
    <cellStyle name="Normal 6 2 9" xfId="6896" xr:uid="{00000000-0005-0000-0000-0000D1D20000}"/>
    <cellStyle name="Normal 6 2 9 2" xfId="22045" xr:uid="{00000000-0005-0000-0000-0000D2D20000}"/>
    <cellStyle name="Normal 6 20" xfId="37088" xr:uid="{00000000-0005-0000-0000-0000D3D20000}"/>
    <cellStyle name="Normal 6 21" xfId="38771" xr:uid="{00000000-0005-0000-0000-0000D4D20000}"/>
    <cellStyle name="Normal 6 22" xfId="40454" xr:uid="{00000000-0005-0000-0000-0000D5D20000}"/>
    <cellStyle name="Normal 6 23" xfId="42137" xr:uid="{00000000-0005-0000-0000-0000D6D20000}"/>
    <cellStyle name="Normal 6 24" xfId="43820" xr:uid="{00000000-0005-0000-0000-0000D7D20000}"/>
    <cellStyle name="Normal 6 25" xfId="45503" xr:uid="{00000000-0005-0000-0000-0000D8D20000}"/>
    <cellStyle name="Normal 6 26" xfId="47186" xr:uid="{00000000-0005-0000-0000-0000D9D20000}"/>
    <cellStyle name="Normal 6 27" xfId="48869" xr:uid="{00000000-0005-0000-0000-0000DAD20000}"/>
    <cellStyle name="Normal 6 28" xfId="50552" xr:uid="{00000000-0005-0000-0000-0000DBD20000}"/>
    <cellStyle name="Normal 6 29" xfId="52235" xr:uid="{00000000-0005-0000-0000-0000DCD20000}"/>
    <cellStyle name="Normal 6 3" xfId="268" xr:uid="{00000000-0005-0000-0000-0000DDD20000}"/>
    <cellStyle name="Normal 6 3 10" xfId="10367" xr:uid="{00000000-0005-0000-0000-0000DED20000}"/>
    <cellStyle name="Normal 6 3 10 2" xfId="25516" xr:uid="{00000000-0005-0000-0000-0000DFD20000}"/>
    <cellStyle name="Normal 6 3 11" xfId="12051" xr:uid="{00000000-0005-0000-0000-0000E0D20000}"/>
    <cellStyle name="Normal 6 3 11 2" xfId="27200" xr:uid="{00000000-0005-0000-0000-0000E1D20000}"/>
    <cellStyle name="Normal 6 3 12" xfId="13734" xr:uid="{00000000-0005-0000-0000-0000E2D20000}"/>
    <cellStyle name="Normal 6 3 12 2" xfId="28883" xr:uid="{00000000-0005-0000-0000-0000E3D20000}"/>
    <cellStyle name="Normal 6 3 13" xfId="15417" xr:uid="{00000000-0005-0000-0000-0000E4D20000}"/>
    <cellStyle name="Normal 6 3 14" xfId="30566" xr:uid="{00000000-0005-0000-0000-0000E5D20000}"/>
    <cellStyle name="Normal 6 3 15" xfId="32249" xr:uid="{00000000-0005-0000-0000-0000E6D20000}"/>
    <cellStyle name="Normal 6 3 16" xfId="33932" xr:uid="{00000000-0005-0000-0000-0000E7D20000}"/>
    <cellStyle name="Normal 6 3 17" xfId="35615" xr:uid="{00000000-0005-0000-0000-0000E8D20000}"/>
    <cellStyle name="Normal 6 3 18" xfId="37298" xr:uid="{00000000-0005-0000-0000-0000E9D20000}"/>
    <cellStyle name="Normal 6 3 19" xfId="38981" xr:uid="{00000000-0005-0000-0000-0000EAD20000}"/>
    <cellStyle name="Normal 6 3 2" xfId="688" xr:uid="{00000000-0005-0000-0000-0000EBD20000}"/>
    <cellStyle name="Normal 6 3 2 10" xfId="15837" xr:uid="{00000000-0005-0000-0000-0000ECD20000}"/>
    <cellStyle name="Normal 6 3 2 11" xfId="30986" xr:uid="{00000000-0005-0000-0000-0000EDD20000}"/>
    <cellStyle name="Normal 6 3 2 12" xfId="32669" xr:uid="{00000000-0005-0000-0000-0000EED20000}"/>
    <cellStyle name="Normal 6 3 2 13" xfId="34352" xr:uid="{00000000-0005-0000-0000-0000EFD20000}"/>
    <cellStyle name="Normal 6 3 2 14" xfId="36035" xr:uid="{00000000-0005-0000-0000-0000F0D20000}"/>
    <cellStyle name="Normal 6 3 2 15" xfId="37718" xr:uid="{00000000-0005-0000-0000-0000F1D20000}"/>
    <cellStyle name="Normal 6 3 2 16" xfId="39401" xr:uid="{00000000-0005-0000-0000-0000F2D20000}"/>
    <cellStyle name="Normal 6 3 2 17" xfId="41084" xr:uid="{00000000-0005-0000-0000-0000F3D20000}"/>
    <cellStyle name="Normal 6 3 2 18" xfId="42767" xr:uid="{00000000-0005-0000-0000-0000F4D20000}"/>
    <cellStyle name="Normal 6 3 2 19" xfId="44450" xr:uid="{00000000-0005-0000-0000-0000F5D20000}"/>
    <cellStyle name="Normal 6 3 2 2" xfId="2371" xr:uid="{00000000-0005-0000-0000-0000F6D20000}"/>
    <cellStyle name="Normal 6 3 2 2 2" xfId="17520" xr:uid="{00000000-0005-0000-0000-0000F7D20000}"/>
    <cellStyle name="Normal 6 3 2 20" xfId="46133" xr:uid="{00000000-0005-0000-0000-0000F8D20000}"/>
    <cellStyle name="Normal 6 3 2 21" xfId="47816" xr:uid="{00000000-0005-0000-0000-0000F9D20000}"/>
    <cellStyle name="Normal 6 3 2 22" xfId="49499" xr:uid="{00000000-0005-0000-0000-0000FAD20000}"/>
    <cellStyle name="Normal 6 3 2 23" xfId="51182" xr:uid="{00000000-0005-0000-0000-0000FBD20000}"/>
    <cellStyle name="Normal 6 3 2 24" xfId="52865" xr:uid="{00000000-0005-0000-0000-0000FCD20000}"/>
    <cellStyle name="Normal 6 3 2 25" xfId="54548" xr:uid="{00000000-0005-0000-0000-0000FDD20000}"/>
    <cellStyle name="Normal 6 3 2 26" xfId="56231" xr:uid="{00000000-0005-0000-0000-0000FED20000}"/>
    <cellStyle name="Normal 6 3 2 27" xfId="57914" xr:uid="{00000000-0005-0000-0000-0000FFD20000}"/>
    <cellStyle name="Normal 6 3 2 28" xfId="59597" xr:uid="{00000000-0005-0000-0000-000000D30000}"/>
    <cellStyle name="Normal 6 3 2 29" xfId="61280" xr:uid="{00000000-0005-0000-0000-000001D30000}"/>
    <cellStyle name="Normal 6 3 2 3" xfId="4055" xr:uid="{00000000-0005-0000-0000-000002D30000}"/>
    <cellStyle name="Normal 6 3 2 3 2" xfId="19204" xr:uid="{00000000-0005-0000-0000-000003D30000}"/>
    <cellStyle name="Normal 6 3 2 30" xfId="62963" xr:uid="{00000000-0005-0000-0000-000004D30000}"/>
    <cellStyle name="Normal 6 3 2 4" xfId="5738" xr:uid="{00000000-0005-0000-0000-000005D30000}"/>
    <cellStyle name="Normal 6 3 2 4 2" xfId="20887" xr:uid="{00000000-0005-0000-0000-000006D30000}"/>
    <cellStyle name="Normal 6 3 2 5" xfId="7421" xr:uid="{00000000-0005-0000-0000-000007D30000}"/>
    <cellStyle name="Normal 6 3 2 5 2" xfId="22570" xr:uid="{00000000-0005-0000-0000-000008D30000}"/>
    <cellStyle name="Normal 6 3 2 6" xfId="9104" xr:uid="{00000000-0005-0000-0000-000009D30000}"/>
    <cellStyle name="Normal 6 3 2 6 2" xfId="24253" xr:uid="{00000000-0005-0000-0000-00000AD30000}"/>
    <cellStyle name="Normal 6 3 2 7" xfId="10787" xr:uid="{00000000-0005-0000-0000-00000BD30000}"/>
    <cellStyle name="Normal 6 3 2 7 2" xfId="25936" xr:uid="{00000000-0005-0000-0000-00000CD30000}"/>
    <cellStyle name="Normal 6 3 2 8" xfId="12471" xr:uid="{00000000-0005-0000-0000-00000DD30000}"/>
    <cellStyle name="Normal 6 3 2 8 2" xfId="27620" xr:uid="{00000000-0005-0000-0000-00000ED30000}"/>
    <cellStyle name="Normal 6 3 2 9" xfId="14154" xr:uid="{00000000-0005-0000-0000-00000FD30000}"/>
    <cellStyle name="Normal 6 3 2 9 2" xfId="29303" xr:uid="{00000000-0005-0000-0000-000010D30000}"/>
    <cellStyle name="Normal 6 3 20" xfId="40664" xr:uid="{00000000-0005-0000-0000-000011D30000}"/>
    <cellStyle name="Normal 6 3 21" xfId="42347" xr:uid="{00000000-0005-0000-0000-000012D30000}"/>
    <cellStyle name="Normal 6 3 22" xfId="44030" xr:uid="{00000000-0005-0000-0000-000013D30000}"/>
    <cellStyle name="Normal 6 3 23" xfId="45713" xr:uid="{00000000-0005-0000-0000-000014D30000}"/>
    <cellStyle name="Normal 6 3 24" xfId="47396" xr:uid="{00000000-0005-0000-0000-000015D30000}"/>
    <cellStyle name="Normal 6 3 25" xfId="49079" xr:uid="{00000000-0005-0000-0000-000016D30000}"/>
    <cellStyle name="Normal 6 3 26" xfId="50762" xr:uid="{00000000-0005-0000-0000-000017D30000}"/>
    <cellStyle name="Normal 6 3 27" xfId="52445" xr:uid="{00000000-0005-0000-0000-000018D30000}"/>
    <cellStyle name="Normal 6 3 28" xfId="54128" xr:uid="{00000000-0005-0000-0000-000019D30000}"/>
    <cellStyle name="Normal 6 3 29" xfId="55811" xr:uid="{00000000-0005-0000-0000-00001AD30000}"/>
    <cellStyle name="Normal 6 3 3" xfId="1109" xr:uid="{00000000-0005-0000-0000-00001BD30000}"/>
    <cellStyle name="Normal 6 3 3 10" xfId="16258" xr:uid="{00000000-0005-0000-0000-00001CD30000}"/>
    <cellStyle name="Normal 6 3 3 11" xfId="31407" xr:uid="{00000000-0005-0000-0000-00001DD30000}"/>
    <cellStyle name="Normal 6 3 3 12" xfId="33090" xr:uid="{00000000-0005-0000-0000-00001ED30000}"/>
    <cellStyle name="Normal 6 3 3 13" xfId="34773" xr:uid="{00000000-0005-0000-0000-00001FD30000}"/>
    <cellStyle name="Normal 6 3 3 14" xfId="36456" xr:uid="{00000000-0005-0000-0000-000020D30000}"/>
    <cellStyle name="Normal 6 3 3 15" xfId="38139" xr:uid="{00000000-0005-0000-0000-000021D30000}"/>
    <cellStyle name="Normal 6 3 3 16" xfId="39822" xr:uid="{00000000-0005-0000-0000-000022D30000}"/>
    <cellStyle name="Normal 6 3 3 17" xfId="41505" xr:uid="{00000000-0005-0000-0000-000023D30000}"/>
    <cellStyle name="Normal 6 3 3 18" xfId="43188" xr:uid="{00000000-0005-0000-0000-000024D30000}"/>
    <cellStyle name="Normal 6 3 3 19" xfId="44871" xr:uid="{00000000-0005-0000-0000-000025D30000}"/>
    <cellStyle name="Normal 6 3 3 2" xfId="2792" xr:uid="{00000000-0005-0000-0000-000026D30000}"/>
    <cellStyle name="Normal 6 3 3 2 2" xfId="17941" xr:uid="{00000000-0005-0000-0000-000027D30000}"/>
    <cellStyle name="Normal 6 3 3 20" xfId="46554" xr:uid="{00000000-0005-0000-0000-000028D30000}"/>
    <cellStyle name="Normal 6 3 3 21" xfId="48237" xr:uid="{00000000-0005-0000-0000-000029D30000}"/>
    <cellStyle name="Normal 6 3 3 22" xfId="49920" xr:uid="{00000000-0005-0000-0000-00002AD30000}"/>
    <cellStyle name="Normal 6 3 3 23" xfId="51603" xr:uid="{00000000-0005-0000-0000-00002BD30000}"/>
    <cellStyle name="Normal 6 3 3 24" xfId="53286" xr:uid="{00000000-0005-0000-0000-00002CD30000}"/>
    <cellStyle name="Normal 6 3 3 25" xfId="54969" xr:uid="{00000000-0005-0000-0000-00002DD30000}"/>
    <cellStyle name="Normal 6 3 3 26" xfId="56652" xr:uid="{00000000-0005-0000-0000-00002ED30000}"/>
    <cellStyle name="Normal 6 3 3 27" xfId="58335" xr:uid="{00000000-0005-0000-0000-00002FD30000}"/>
    <cellStyle name="Normal 6 3 3 28" xfId="60018" xr:uid="{00000000-0005-0000-0000-000030D30000}"/>
    <cellStyle name="Normal 6 3 3 29" xfId="61701" xr:uid="{00000000-0005-0000-0000-000031D30000}"/>
    <cellStyle name="Normal 6 3 3 3" xfId="4476" xr:uid="{00000000-0005-0000-0000-000032D30000}"/>
    <cellStyle name="Normal 6 3 3 3 2" xfId="19625" xr:uid="{00000000-0005-0000-0000-000033D30000}"/>
    <cellStyle name="Normal 6 3 3 30" xfId="63384" xr:uid="{00000000-0005-0000-0000-000034D30000}"/>
    <cellStyle name="Normal 6 3 3 4" xfId="6159" xr:uid="{00000000-0005-0000-0000-000035D30000}"/>
    <cellStyle name="Normal 6 3 3 4 2" xfId="21308" xr:uid="{00000000-0005-0000-0000-000036D30000}"/>
    <cellStyle name="Normal 6 3 3 5" xfId="7842" xr:uid="{00000000-0005-0000-0000-000037D30000}"/>
    <cellStyle name="Normal 6 3 3 5 2" xfId="22991" xr:uid="{00000000-0005-0000-0000-000038D30000}"/>
    <cellStyle name="Normal 6 3 3 6" xfId="9525" xr:uid="{00000000-0005-0000-0000-000039D30000}"/>
    <cellStyle name="Normal 6 3 3 6 2" xfId="24674" xr:uid="{00000000-0005-0000-0000-00003AD30000}"/>
    <cellStyle name="Normal 6 3 3 7" xfId="11208" xr:uid="{00000000-0005-0000-0000-00003BD30000}"/>
    <cellStyle name="Normal 6 3 3 7 2" xfId="26357" xr:uid="{00000000-0005-0000-0000-00003CD30000}"/>
    <cellStyle name="Normal 6 3 3 8" xfId="12892" xr:uid="{00000000-0005-0000-0000-00003DD30000}"/>
    <cellStyle name="Normal 6 3 3 8 2" xfId="28041" xr:uid="{00000000-0005-0000-0000-00003ED30000}"/>
    <cellStyle name="Normal 6 3 3 9" xfId="14575" xr:uid="{00000000-0005-0000-0000-00003FD30000}"/>
    <cellStyle name="Normal 6 3 3 9 2" xfId="29724" xr:uid="{00000000-0005-0000-0000-000040D30000}"/>
    <cellStyle name="Normal 6 3 30" xfId="57494" xr:uid="{00000000-0005-0000-0000-000041D30000}"/>
    <cellStyle name="Normal 6 3 31" xfId="59177" xr:uid="{00000000-0005-0000-0000-000042D30000}"/>
    <cellStyle name="Normal 6 3 32" xfId="60860" xr:uid="{00000000-0005-0000-0000-000043D30000}"/>
    <cellStyle name="Normal 6 3 33" xfId="62543" xr:uid="{00000000-0005-0000-0000-000044D30000}"/>
    <cellStyle name="Normal 6 3 4" xfId="1530" xr:uid="{00000000-0005-0000-0000-000045D30000}"/>
    <cellStyle name="Normal 6 3 4 10" xfId="16679" xr:uid="{00000000-0005-0000-0000-000046D30000}"/>
    <cellStyle name="Normal 6 3 4 11" xfId="31828" xr:uid="{00000000-0005-0000-0000-000047D30000}"/>
    <cellStyle name="Normal 6 3 4 12" xfId="33511" xr:uid="{00000000-0005-0000-0000-000048D30000}"/>
    <cellStyle name="Normal 6 3 4 13" xfId="35194" xr:uid="{00000000-0005-0000-0000-000049D30000}"/>
    <cellStyle name="Normal 6 3 4 14" xfId="36877" xr:uid="{00000000-0005-0000-0000-00004AD30000}"/>
    <cellStyle name="Normal 6 3 4 15" xfId="38560" xr:uid="{00000000-0005-0000-0000-00004BD30000}"/>
    <cellStyle name="Normal 6 3 4 16" xfId="40243" xr:uid="{00000000-0005-0000-0000-00004CD30000}"/>
    <cellStyle name="Normal 6 3 4 17" xfId="41926" xr:uid="{00000000-0005-0000-0000-00004DD30000}"/>
    <cellStyle name="Normal 6 3 4 18" xfId="43609" xr:uid="{00000000-0005-0000-0000-00004ED30000}"/>
    <cellStyle name="Normal 6 3 4 19" xfId="45292" xr:uid="{00000000-0005-0000-0000-00004FD30000}"/>
    <cellStyle name="Normal 6 3 4 2" xfId="3213" xr:uid="{00000000-0005-0000-0000-000050D30000}"/>
    <cellStyle name="Normal 6 3 4 2 2" xfId="18362" xr:uid="{00000000-0005-0000-0000-000051D30000}"/>
    <cellStyle name="Normal 6 3 4 20" xfId="46975" xr:uid="{00000000-0005-0000-0000-000052D30000}"/>
    <cellStyle name="Normal 6 3 4 21" xfId="48658" xr:uid="{00000000-0005-0000-0000-000053D30000}"/>
    <cellStyle name="Normal 6 3 4 22" xfId="50341" xr:uid="{00000000-0005-0000-0000-000054D30000}"/>
    <cellStyle name="Normal 6 3 4 23" xfId="52024" xr:uid="{00000000-0005-0000-0000-000055D30000}"/>
    <cellStyle name="Normal 6 3 4 24" xfId="53707" xr:uid="{00000000-0005-0000-0000-000056D30000}"/>
    <cellStyle name="Normal 6 3 4 25" xfId="55390" xr:uid="{00000000-0005-0000-0000-000057D30000}"/>
    <cellStyle name="Normal 6 3 4 26" xfId="57073" xr:uid="{00000000-0005-0000-0000-000058D30000}"/>
    <cellStyle name="Normal 6 3 4 27" xfId="58756" xr:uid="{00000000-0005-0000-0000-000059D30000}"/>
    <cellStyle name="Normal 6 3 4 28" xfId="60439" xr:uid="{00000000-0005-0000-0000-00005AD30000}"/>
    <cellStyle name="Normal 6 3 4 29" xfId="62122" xr:uid="{00000000-0005-0000-0000-00005BD30000}"/>
    <cellStyle name="Normal 6 3 4 3" xfId="4897" xr:uid="{00000000-0005-0000-0000-00005CD30000}"/>
    <cellStyle name="Normal 6 3 4 3 2" xfId="20046" xr:uid="{00000000-0005-0000-0000-00005DD30000}"/>
    <cellStyle name="Normal 6 3 4 30" xfId="63805" xr:uid="{00000000-0005-0000-0000-00005ED30000}"/>
    <cellStyle name="Normal 6 3 4 4" xfId="6580" xr:uid="{00000000-0005-0000-0000-00005FD30000}"/>
    <cellStyle name="Normal 6 3 4 4 2" xfId="21729" xr:uid="{00000000-0005-0000-0000-000060D30000}"/>
    <cellStyle name="Normal 6 3 4 5" xfId="8263" xr:uid="{00000000-0005-0000-0000-000061D30000}"/>
    <cellStyle name="Normal 6 3 4 5 2" xfId="23412" xr:uid="{00000000-0005-0000-0000-000062D30000}"/>
    <cellStyle name="Normal 6 3 4 6" xfId="9946" xr:uid="{00000000-0005-0000-0000-000063D30000}"/>
    <cellStyle name="Normal 6 3 4 6 2" xfId="25095" xr:uid="{00000000-0005-0000-0000-000064D30000}"/>
    <cellStyle name="Normal 6 3 4 7" xfId="11629" xr:uid="{00000000-0005-0000-0000-000065D30000}"/>
    <cellStyle name="Normal 6 3 4 7 2" xfId="26778" xr:uid="{00000000-0005-0000-0000-000066D30000}"/>
    <cellStyle name="Normal 6 3 4 8" xfId="13313" xr:uid="{00000000-0005-0000-0000-000067D30000}"/>
    <cellStyle name="Normal 6 3 4 8 2" xfId="28462" xr:uid="{00000000-0005-0000-0000-000068D30000}"/>
    <cellStyle name="Normal 6 3 4 9" xfId="14996" xr:uid="{00000000-0005-0000-0000-000069D30000}"/>
    <cellStyle name="Normal 6 3 4 9 2" xfId="30145" xr:uid="{00000000-0005-0000-0000-00006AD30000}"/>
    <cellStyle name="Normal 6 3 5" xfId="1951" xr:uid="{00000000-0005-0000-0000-00006BD30000}"/>
    <cellStyle name="Normal 6 3 5 2" xfId="17100" xr:uid="{00000000-0005-0000-0000-00006CD30000}"/>
    <cellStyle name="Normal 6 3 6" xfId="3635" xr:uid="{00000000-0005-0000-0000-00006DD30000}"/>
    <cellStyle name="Normal 6 3 6 2" xfId="18784" xr:uid="{00000000-0005-0000-0000-00006ED30000}"/>
    <cellStyle name="Normal 6 3 7" xfId="5318" xr:uid="{00000000-0005-0000-0000-00006FD30000}"/>
    <cellStyle name="Normal 6 3 7 2" xfId="20467" xr:uid="{00000000-0005-0000-0000-000070D30000}"/>
    <cellStyle name="Normal 6 3 8" xfId="7001" xr:uid="{00000000-0005-0000-0000-000071D30000}"/>
    <cellStyle name="Normal 6 3 8 2" xfId="22150" xr:uid="{00000000-0005-0000-0000-000072D30000}"/>
    <cellStyle name="Normal 6 3 9" xfId="8684" xr:uid="{00000000-0005-0000-0000-000073D30000}"/>
    <cellStyle name="Normal 6 3 9 2" xfId="23833" xr:uid="{00000000-0005-0000-0000-000074D30000}"/>
    <cellStyle name="Normal 6 30" xfId="53918" xr:uid="{00000000-0005-0000-0000-000075D30000}"/>
    <cellStyle name="Normal 6 31" xfId="55601" xr:uid="{00000000-0005-0000-0000-000076D30000}"/>
    <cellStyle name="Normal 6 32" xfId="57284" xr:uid="{00000000-0005-0000-0000-000077D30000}"/>
    <cellStyle name="Normal 6 33" xfId="58967" xr:uid="{00000000-0005-0000-0000-000078D30000}"/>
    <cellStyle name="Normal 6 34" xfId="60650" xr:uid="{00000000-0005-0000-0000-000079D30000}"/>
    <cellStyle name="Normal 6 35" xfId="62333" xr:uid="{00000000-0005-0000-0000-00007AD30000}"/>
    <cellStyle name="Normal 6 4" xfId="478" xr:uid="{00000000-0005-0000-0000-00007BD30000}"/>
    <cellStyle name="Normal 6 4 10" xfId="15627" xr:uid="{00000000-0005-0000-0000-00007CD30000}"/>
    <cellStyle name="Normal 6 4 11" xfId="30776" xr:uid="{00000000-0005-0000-0000-00007DD30000}"/>
    <cellStyle name="Normal 6 4 12" xfId="32459" xr:uid="{00000000-0005-0000-0000-00007ED30000}"/>
    <cellStyle name="Normal 6 4 13" xfId="34142" xr:uid="{00000000-0005-0000-0000-00007FD30000}"/>
    <cellStyle name="Normal 6 4 14" xfId="35825" xr:uid="{00000000-0005-0000-0000-000080D30000}"/>
    <cellStyle name="Normal 6 4 15" xfId="37508" xr:uid="{00000000-0005-0000-0000-000081D30000}"/>
    <cellStyle name="Normal 6 4 16" xfId="39191" xr:uid="{00000000-0005-0000-0000-000082D30000}"/>
    <cellStyle name="Normal 6 4 17" xfId="40874" xr:uid="{00000000-0005-0000-0000-000083D30000}"/>
    <cellStyle name="Normal 6 4 18" xfId="42557" xr:uid="{00000000-0005-0000-0000-000084D30000}"/>
    <cellStyle name="Normal 6 4 19" xfId="44240" xr:uid="{00000000-0005-0000-0000-000085D30000}"/>
    <cellStyle name="Normal 6 4 2" xfId="2161" xr:uid="{00000000-0005-0000-0000-000086D30000}"/>
    <cellStyle name="Normal 6 4 2 2" xfId="17310" xr:uid="{00000000-0005-0000-0000-000087D30000}"/>
    <cellStyle name="Normal 6 4 20" xfId="45923" xr:uid="{00000000-0005-0000-0000-000088D30000}"/>
    <cellStyle name="Normal 6 4 21" xfId="47606" xr:uid="{00000000-0005-0000-0000-000089D30000}"/>
    <cellStyle name="Normal 6 4 22" xfId="49289" xr:uid="{00000000-0005-0000-0000-00008AD30000}"/>
    <cellStyle name="Normal 6 4 23" xfId="50972" xr:uid="{00000000-0005-0000-0000-00008BD30000}"/>
    <cellStyle name="Normal 6 4 24" xfId="52655" xr:uid="{00000000-0005-0000-0000-00008CD30000}"/>
    <cellStyle name="Normal 6 4 25" xfId="54338" xr:uid="{00000000-0005-0000-0000-00008DD30000}"/>
    <cellStyle name="Normal 6 4 26" xfId="56021" xr:uid="{00000000-0005-0000-0000-00008ED30000}"/>
    <cellStyle name="Normal 6 4 27" xfId="57704" xr:uid="{00000000-0005-0000-0000-00008FD30000}"/>
    <cellStyle name="Normal 6 4 28" xfId="59387" xr:uid="{00000000-0005-0000-0000-000090D30000}"/>
    <cellStyle name="Normal 6 4 29" xfId="61070" xr:uid="{00000000-0005-0000-0000-000091D30000}"/>
    <cellStyle name="Normal 6 4 3" xfId="3845" xr:uid="{00000000-0005-0000-0000-000092D30000}"/>
    <cellStyle name="Normal 6 4 3 2" xfId="18994" xr:uid="{00000000-0005-0000-0000-000093D30000}"/>
    <cellStyle name="Normal 6 4 30" xfId="62753" xr:uid="{00000000-0005-0000-0000-000094D30000}"/>
    <cellStyle name="Normal 6 4 4" xfId="5528" xr:uid="{00000000-0005-0000-0000-000095D30000}"/>
    <cellStyle name="Normal 6 4 4 2" xfId="20677" xr:uid="{00000000-0005-0000-0000-000096D30000}"/>
    <cellStyle name="Normal 6 4 5" xfId="7211" xr:uid="{00000000-0005-0000-0000-000097D30000}"/>
    <cellStyle name="Normal 6 4 5 2" xfId="22360" xr:uid="{00000000-0005-0000-0000-000098D30000}"/>
    <cellStyle name="Normal 6 4 6" xfId="8894" xr:uid="{00000000-0005-0000-0000-000099D30000}"/>
    <cellStyle name="Normal 6 4 6 2" xfId="24043" xr:uid="{00000000-0005-0000-0000-00009AD30000}"/>
    <cellStyle name="Normal 6 4 7" xfId="10577" xr:uid="{00000000-0005-0000-0000-00009BD30000}"/>
    <cellStyle name="Normal 6 4 7 2" xfId="25726" xr:uid="{00000000-0005-0000-0000-00009CD30000}"/>
    <cellStyle name="Normal 6 4 8" xfId="12261" xr:uid="{00000000-0005-0000-0000-00009DD30000}"/>
    <cellStyle name="Normal 6 4 8 2" xfId="27410" xr:uid="{00000000-0005-0000-0000-00009ED30000}"/>
    <cellStyle name="Normal 6 4 9" xfId="13944" xr:uid="{00000000-0005-0000-0000-00009FD30000}"/>
    <cellStyle name="Normal 6 4 9 2" xfId="29093" xr:uid="{00000000-0005-0000-0000-0000A0D30000}"/>
    <cellStyle name="Normal 6 5" xfId="899" xr:uid="{00000000-0005-0000-0000-0000A1D30000}"/>
    <cellStyle name="Normal 6 5 10" xfId="16048" xr:uid="{00000000-0005-0000-0000-0000A2D30000}"/>
    <cellStyle name="Normal 6 5 11" xfId="31197" xr:uid="{00000000-0005-0000-0000-0000A3D30000}"/>
    <cellStyle name="Normal 6 5 12" xfId="32880" xr:uid="{00000000-0005-0000-0000-0000A4D30000}"/>
    <cellStyle name="Normal 6 5 13" xfId="34563" xr:uid="{00000000-0005-0000-0000-0000A5D30000}"/>
    <cellStyle name="Normal 6 5 14" xfId="36246" xr:uid="{00000000-0005-0000-0000-0000A6D30000}"/>
    <cellStyle name="Normal 6 5 15" xfId="37929" xr:uid="{00000000-0005-0000-0000-0000A7D30000}"/>
    <cellStyle name="Normal 6 5 16" xfId="39612" xr:uid="{00000000-0005-0000-0000-0000A8D30000}"/>
    <cellStyle name="Normal 6 5 17" xfId="41295" xr:uid="{00000000-0005-0000-0000-0000A9D30000}"/>
    <cellStyle name="Normal 6 5 18" xfId="42978" xr:uid="{00000000-0005-0000-0000-0000AAD30000}"/>
    <cellStyle name="Normal 6 5 19" xfId="44661" xr:uid="{00000000-0005-0000-0000-0000ABD30000}"/>
    <cellStyle name="Normal 6 5 2" xfId="2582" xr:uid="{00000000-0005-0000-0000-0000ACD30000}"/>
    <cellStyle name="Normal 6 5 2 2" xfId="17731" xr:uid="{00000000-0005-0000-0000-0000ADD30000}"/>
    <cellStyle name="Normal 6 5 20" xfId="46344" xr:uid="{00000000-0005-0000-0000-0000AED30000}"/>
    <cellStyle name="Normal 6 5 21" xfId="48027" xr:uid="{00000000-0005-0000-0000-0000AFD30000}"/>
    <cellStyle name="Normal 6 5 22" xfId="49710" xr:uid="{00000000-0005-0000-0000-0000B0D30000}"/>
    <cellStyle name="Normal 6 5 23" xfId="51393" xr:uid="{00000000-0005-0000-0000-0000B1D30000}"/>
    <cellStyle name="Normal 6 5 24" xfId="53076" xr:uid="{00000000-0005-0000-0000-0000B2D30000}"/>
    <cellStyle name="Normal 6 5 25" xfId="54759" xr:uid="{00000000-0005-0000-0000-0000B3D30000}"/>
    <cellStyle name="Normal 6 5 26" xfId="56442" xr:uid="{00000000-0005-0000-0000-0000B4D30000}"/>
    <cellStyle name="Normal 6 5 27" xfId="58125" xr:uid="{00000000-0005-0000-0000-0000B5D30000}"/>
    <cellStyle name="Normal 6 5 28" xfId="59808" xr:uid="{00000000-0005-0000-0000-0000B6D30000}"/>
    <cellStyle name="Normal 6 5 29" xfId="61491" xr:uid="{00000000-0005-0000-0000-0000B7D30000}"/>
    <cellStyle name="Normal 6 5 3" xfId="4266" xr:uid="{00000000-0005-0000-0000-0000B8D30000}"/>
    <cellStyle name="Normal 6 5 3 2" xfId="19415" xr:uid="{00000000-0005-0000-0000-0000B9D30000}"/>
    <cellStyle name="Normal 6 5 30" xfId="63174" xr:uid="{00000000-0005-0000-0000-0000BAD30000}"/>
    <cellStyle name="Normal 6 5 4" xfId="5949" xr:uid="{00000000-0005-0000-0000-0000BBD30000}"/>
    <cellStyle name="Normal 6 5 4 2" xfId="21098" xr:uid="{00000000-0005-0000-0000-0000BCD30000}"/>
    <cellStyle name="Normal 6 5 5" xfId="7632" xr:uid="{00000000-0005-0000-0000-0000BDD30000}"/>
    <cellStyle name="Normal 6 5 5 2" xfId="22781" xr:uid="{00000000-0005-0000-0000-0000BED30000}"/>
    <cellStyle name="Normal 6 5 6" xfId="9315" xr:uid="{00000000-0005-0000-0000-0000BFD30000}"/>
    <cellStyle name="Normal 6 5 6 2" xfId="24464" xr:uid="{00000000-0005-0000-0000-0000C0D30000}"/>
    <cellStyle name="Normal 6 5 7" xfId="10998" xr:uid="{00000000-0005-0000-0000-0000C1D30000}"/>
    <cellStyle name="Normal 6 5 7 2" xfId="26147" xr:uid="{00000000-0005-0000-0000-0000C2D30000}"/>
    <cellStyle name="Normal 6 5 8" xfId="12682" xr:uid="{00000000-0005-0000-0000-0000C3D30000}"/>
    <cellStyle name="Normal 6 5 8 2" xfId="27831" xr:uid="{00000000-0005-0000-0000-0000C4D30000}"/>
    <cellStyle name="Normal 6 5 9" xfId="14365" xr:uid="{00000000-0005-0000-0000-0000C5D30000}"/>
    <cellStyle name="Normal 6 5 9 2" xfId="29514" xr:uid="{00000000-0005-0000-0000-0000C6D30000}"/>
    <cellStyle name="Normal 6 6" xfId="1320" xr:uid="{00000000-0005-0000-0000-0000C7D30000}"/>
    <cellStyle name="Normal 6 6 10" xfId="16469" xr:uid="{00000000-0005-0000-0000-0000C8D30000}"/>
    <cellStyle name="Normal 6 6 11" xfId="31618" xr:uid="{00000000-0005-0000-0000-0000C9D30000}"/>
    <cellStyle name="Normal 6 6 12" xfId="33301" xr:uid="{00000000-0005-0000-0000-0000CAD30000}"/>
    <cellStyle name="Normal 6 6 13" xfId="34984" xr:uid="{00000000-0005-0000-0000-0000CBD30000}"/>
    <cellStyle name="Normal 6 6 14" xfId="36667" xr:uid="{00000000-0005-0000-0000-0000CCD30000}"/>
    <cellStyle name="Normal 6 6 15" xfId="38350" xr:uid="{00000000-0005-0000-0000-0000CDD30000}"/>
    <cellStyle name="Normal 6 6 16" xfId="40033" xr:uid="{00000000-0005-0000-0000-0000CED30000}"/>
    <cellStyle name="Normal 6 6 17" xfId="41716" xr:uid="{00000000-0005-0000-0000-0000CFD30000}"/>
    <cellStyle name="Normal 6 6 18" xfId="43399" xr:uid="{00000000-0005-0000-0000-0000D0D30000}"/>
    <cellStyle name="Normal 6 6 19" xfId="45082" xr:uid="{00000000-0005-0000-0000-0000D1D30000}"/>
    <cellStyle name="Normal 6 6 2" xfId="3003" xr:uid="{00000000-0005-0000-0000-0000D2D30000}"/>
    <cellStyle name="Normal 6 6 2 2" xfId="18152" xr:uid="{00000000-0005-0000-0000-0000D3D30000}"/>
    <cellStyle name="Normal 6 6 20" xfId="46765" xr:uid="{00000000-0005-0000-0000-0000D4D30000}"/>
    <cellStyle name="Normal 6 6 21" xfId="48448" xr:uid="{00000000-0005-0000-0000-0000D5D30000}"/>
    <cellStyle name="Normal 6 6 22" xfId="50131" xr:uid="{00000000-0005-0000-0000-0000D6D30000}"/>
    <cellStyle name="Normal 6 6 23" xfId="51814" xr:uid="{00000000-0005-0000-0000-0000D7D30000}"/>
    <cellStyle name="Normal 6 6 24" xfId="53497" xr:uid="{00000000-0005-0000-0000-0000D8D30000}"/>
    <cellStyle name="Normal 6 6 25" xfId="55180" xr:uid="{00000000-0005-0000-0000-0000D9D30000}"/>
    <cellStyle name="Normal 6 6 26" xfId="56863" xr:uid="{00000000-0005-0000-0000-0000DAD30000}"/>
    <cellStyle name="Normal 6 6 27" xfId="58546" xr:uid="{00000000-0005-0000-0000-0000DBD30000}"/>
    <cellStyle name="Normal 6 6 28" xfId="60229" xr:uid="{00000000-0005-0000-0000-0000DCD30000}"/>
    <cellStyle name="Normal 6 6 29" xfId="61912" xr:uid="{00000000-0005-0000-0000-0000DDD30000}"/>
    <cellStyle name="Normal 6 6 3" xfId="4687" xr:uid="{00000000-0005-0000-0000-0000DED30000}"/>
    <cellStyle name="Normal 6 6 3 2" xfId="19836" xr:uid="{00000000-0005-0000-0000-0000DFD30000}"/>
    <cellStyle name="Normal 6 6 30" xfId="63595" xr:uid="{00000000-0005-0000-0000-0000E0D30000}"/>
    <cellStyle name="Normal 6 6 4" xfId="6370" xr:uid="{00000000-0005-0000-0000-0000E1D30000}"/>
    <cellStyle name="Normal 6 6 4 2" xfId="21519" xr:uid="{00000000-0005-0000-0000-0000E2D30000}"/>
    <cellStyle name="Normal 6 6 5" xfId="8053" xr:uid="{00000000-0005-0000-0000-0000E3D30000}"/>
    <cellStyle name="Normal 6 6 5 2" xfId="23202" xr:uid="{00000000-0005-0000-0000-0000E4D30000}"/>
    <cellStyle name="Normal 6 6 6" xfId="9736" xr:uid="{00000000-0005-0000-0000-0000E5D30000}"/>
    <cellStyle name="Normal 6 6 6 2" xfId="24885" xr:uid="{00000000-0005-0000-0000-0000E6D30000}"/>
    <cellStyle name="Normal 6 6 7" xfId="11419" xr:uid="{00000000-0005-0000-0000-0000E7D30000}"/>
    <cellStyle name="Normal 6 6 7 2" xfId="26568" xr:uid="{00000000-0005-0000-0000-0000E8D30000}"/>
    <cellStyle name="Normal 6 6 8" xfId="13103" xr:uid="{00000000-0005-0000-0000-0000E9D30000}"/>
    <cellStyle name="Normal 6 6 8 2" xfId="28252" xr:uid="{00000000-0005-0000-0000-0000EAD30000}"/>
    <cellStyle name="Normal 6 6 9" xfId="14786" xr:uid="{00000000-0005-0000-0000-0000EBD30000}"/>
    <cellStyle name="Normal 6 6 9 2" xfId="29935" xr:uid="{00000000-0005-0000-0000-0000ECD30000}"/>
    <cellStyle name="Normal 6 7" xfId="1741" xr:uid="{00000000-0005-0000-0000-0000EDD30000}"/>
    <cellStyle name="Normal 6 7 2" xfId="16890" xr:uid="{00000000-0005-0000-0000-0000EED30000}"/>
    <cellStyle name="Normal 6 8" xfId="3425" xr:uid="{00000000-0005-0000-0000-0000EFD30000}"/>
    <cellStyle name="Normal 6 8 2" xfId="18574" xr:uid="{00000000-0005-0000-0000-0000F0D30000}"/>
    <cellStyle name="Normal 6 9" xfId="5108" xr:uid="{00000000-0005-0000-0000-0000F1D30000}"/>
    <cellStyle name="Normal 6 9 2" xfId="20257" xr:uid="{00000000-0005-0000-0000-0000F2D30000}"/>
    <cellStyle name="Normal 7" xfId="45" xr:uid="{00000000-0005-0000-0000-0000F3D30000}"/>
    <cellStyle name="Normal 7 10" xfId="6800" xr:uid="{00000000-0005-0000-0000-0000F4D30000}"/>
    <cellStyle name="Normal 7 10 2" xfId="21949" xr:uid="{00000000-0005-0000-0000-0000F5D30000}"/>
    <cellStyle name="Normal 7 11" xfId="8483" xr:uid="{00000000-0005-0000-0000-0000F6D30000}"/>
    <cellStyle name="Normal 7 11 2" xfId="23632" xr:uid="{00000000-0005-0000-0000-0000F7D30000}"/>
    <cellStyle name="Normal 7 12" xfId="10166" xr:uid="{00000000-0005-0000-0000-0000F8D30000}"/>
    <cellStyle name="Normal 7 12 2" xfId="25315" xr:uid="{00000000-0005-0000-0000-0000F9D30000}"/>
    <cellStyle name="Normal 7 13" xfId="11850" xr:uid="{00000000-0005-0000-0000-0000FAD30000}"/>
    <cellStyle name="Normal 7 13 2" xfId="26999" xr:uid="{00000000-0005-0000-0000-0000FBD30000}"/>
    <cellStyle name="Normal 7 14" xfId="13533" xr:uid="{00000000-0005-0000-0000-0000FCD30000}"/>
    <cellStyle name="Normal 7 14 2" xfId="28682" xr:uid="{00000000-0005-0000-0000-0000FDD30000}"/>
    <cellStyle name="Normal 7 15" xfId="15216" xr:uid="{00000000-0005-0000-0000-0000FED30000}"/>
    <cellStyle name="Normal 7 16" xfId="30365" xr:uid="{00000000-0005-0000-0000-0000FFD30000}"/>
    <cellStyle name="Normal 7 17" xfId="32048" xr:uid="{00000000-0005-0000-0000-000000D40000}"/>
    <cellStyle name="Normal 7 18" xfId="33731" xr:uid="{00000000-0005-0000-0000-000001D40000}"/>
    <cellStyle name="Normal 7 19" xfId="35414" xr:uid="{00000000-0005-0000-0000-000002D40000}"/>
    <cellStyle name="Normal 7 2" xfId="172" xr:uid="{00000000-0005-0000-0000-000003D40000}"/>
    <cellStyle name="Normal 7 2 10" xfId="8588" xr:uid="{00000000-0005-0000-0000-000004D40000}"/>
    <cellStyle name="Normal 7 2 10 2" xfId="23737" xr:uid="{00000000-0005-0000-0000-000005D40000}"/>
    <cellStyle name="Normal 7 2 11" xfId="10271" xr:uid="{00000000-0005-0000-0000-000006D40000}"/>
    <cellStyle name="Normal 7 2 11 2" xfId="25420" xr:uid="{00000000-0005-0000-0000-000007D40000}"/>
    <cellStyle name="Normal 7 2 12" xfId="11955" xr:uid="{00000000-0005-0000-0000-000008D40000}"/>
    <cellStyle name="Normal 7 2 12 2" xfId="27104" xr:uid="{00000000-0005-0000-0000-000009D40000}"/>
    <cellStyle name="Normal 7 2 13" xfId="13638" xr:uid="{00000000-0005-0000-0000-00000AD40000}"/>
    <cellStyle name="Normal 7 2 13 2" xfId="28787" xr:uid="{00000000-0005-0000-0000-00000BD40000}"/>
    <cellStyle name="Normal 7 2 14" xfId="15321" xr:uid="{00000000-0005-0000-0000-00000CD40000}"/>
    <cellStyle name="Normal 7 2 15" xfId="30470" xr:uid="{00000000-0005-0000-0000-00000DD40000}"/>
    <cellStyle name="Normal 7 2 16" xfId="32153" xr:uid="{00000000-0005-0000-0000-00000ED40000}"/>
    <cellStyle name="Normal 7 2 17" xfId="33836" xr:uid="{00000000-0005-0000-0000-00000FD40000}"/>
    <cellStyle name="Normal 7 2 18" xfId="35519" xr:uid="{00000000-0005-0000-0000-000010D40000}"/>
    <cellStyle name="Normal 7 2 19" xfId="37202" xr:uid="{00000000-0005-0000-0000-000011D40000}"/>
    <cellStyle name="Normal 7 2 2" xfId="382" xr:uid="{00000000-0005-0000-0000-000012D40000}"/>
    <cellStyle name="Normal 7 2 2 10" xfId="10481" xr:uid="{00000000-0005-0000-0000-000013D40000}"/>
    <cellStyle name="Normal 7 2 2 10 2" xfId="25630" xr:uid="{00000000-0005-0000-0000-000014D40000}"/>
    <cellStyle name="Normal 7 2 2 11" xfId="12165" xr:uid="{00000000-0005-0000-0000-000015D40000}"/>
    <cellStyle name="Normal 7 2 2 11 2" xfId="27314" xr:uid="{00000000-0005-0000-0000-000016D40000}"/>
    <cellStyle name="Normal 7 2 2 12" xfId="13848" xr:uid="{00000000-0005-0000-0000-000017D40000}"/>
    <cellStyle name="Normal 7 2 2 12 2" xfId="28997" xr:uid="{00000000-0005-0000-0000-000018D40000}"/>
    <cellStyle name="Normal 7 2 2 13" xfId="15531" xr:uid="{00000000-0005-0000-0000-000019D40000}"/>
    <cellStyle name="Normal 7 2 2 14" xfId="30680" xr:uid="{00000000-0005-0000-0000-00001AD40000}"/>
    <cellStyle name="Normal 7 2 2 15" xfId="32363" xr:uid="{00000000-0005-0000-0000-00001BD40000}"/>
    <cellStyle name="Normal 7 2 2 16" xfId="34046" xr:uid="{00000000-0005-0000-0000-00001CD40000}"/>
    <cellStyle name="Normal 7 2 2 17" xfId="35729" xr:uid="{00000000-0005-0000-0000-00001DD40000}"/>
    <cellStyle name="Normal 7 2 2 18" xfId="37412" xr:uid="{00000000-0005-0000-0000-00001ED40000}"/>
    <cellStyle name="Normal 7 2 2 19" xfId="39095" xr:uid="{00000000-0005-0000-0000-00001FD40000}"/>
    <cellStyle name="Normal 7 2 2 2" xfId="802" xr:uid="{00000000-0005-0000-0000-000020D40000}"/>
    <cellStyle name="Normal 7 2 2 2 10" xfId="15951" xr:uid="{00000000-0005-0000-0000-000021D40000}"/>
    <cellStyle name="Normal 7 2 2 2 11" xfId="31100" xr:uid="{00000000-0005-0000-0000-000022D40000}"/>
    <cellStyle name="Normal 7 2 2 2 12" xfId="32783" xr:uid="{00000000-0005-0000-0000-000023D40000}"/>
    <cellStyle name="Normal 7 2 2 2 13" xfId="34466" xr:uid="{00000000-0005-0000-0000-000024D40000}"/>
    <cellStyle name="Normal 7 2 2 2 14" xfId="36149" xr:uid="{00000000-0005-0000-0000-000025D40000}"/>
    <cellStyle name="Normal 7 2 2 2 15" xfId="37832" xr:uid="{00000000-0005-0000-0000-000026D40000}"/>
    <cellStyle name="Normal 7 2 2 2 16" xfId="39515" xr:uid="{00000000-0005-0000-0000-000027D40000}"/>
    <cellStyle name="Normal 7 2 2 2 17" xfId="41198" xr:uid="{00000000-0005-0000-0000-000028D40000}"/>
    <cellStyle name="Normal 7 2 2 2 18" xfId="42881" xr:uid="{00000000-0005-0000-0000-000029D40000}"/>
    <cellStyle name="Normal 7 2 2 2 19" xfId="44564" xr:uid="{00000000-0005-0000-0000-00002AD40000}"/>
    <cellStyle name="Normal 7 2 2 2 2" xfId="2485" xr:uid="{00000000-0005-0000-0000-00002BD40000}"/>
    <cellStyle name="Normal 7 2 2 2 2 2" xfId="17634" xr:uid="{00000000-0005-0000-0000-00002CD40000}"/>
    <cellStyle name="Normal 7 2 2 2 20" xfId="46247" xr:uid="{00000000-0005-0000-0000-00002DD40000}"/>
    <cellStyle name="Normal 7 2 2 2 21" xfId="47930" xr:uid="{00000000-0005-0000-0000-00002ED40000}"/>
    <cellStyle name="Normal 7 2 2 2 22" xfId="49613" xr:uid="{00000000-0005-0000-0000-00002FD40000}"/>
    <cellStyle name="Normal 7 2 2 2 23" xfId="51296" xr:uid="{00000000-0005-0000-0000-000030D40000}"/>
    <cellStyle name="Normal 7 2 2 2 24" xfId="52979" xr:uid="{00000000-0005-0000-0000-000031D40000}"/>
    <cellStyle name="Normal 7 2 2 2 25" xfId="54662" xr:uid="{00000000-0005-0000-0000-000032D40000}"/>
    <cellStyle name="Normal 7 2 2 2 26" xfId="56345" xr:uid="{00000000-0005-0000-0000-000033D40000}"/>
    <cellStyle name="Normal 7 2 2 2 27" xfId="58028" xr:uid="{00000000-0005-0000-0000-000034D40000}"/>
    <cellStyle name="Normal 7 2 2 2 28" xfId="59711" xr:uid="{00000000-0005-0000-0000-000035D40000}"/>
    <cellStyle name="Normal 7 2 2 2 29" xfId="61394" xr:uid="{00000000-0005-0000-0000-000036D40000}"/>
    <cellStyle name="Normal 7 2 2 2 3" xfId="4169" xr:uid="{00000000-0005-0000-0000-000037D40000}"/>
    <cellStyle name="Normal 7 2 2 2 3 2" xfId="19318" xr:uid="{00000000-0005-0000-0000-000038D40000}"/>
    <cellStyle name="Normal 7 2 2 2 30" xfId="63077" xr:uid="{00000000-0005-0000-0000-000039D40000}"/>
    <cellStyle name="Normal 7 2 2 2 4" xfId="5852" xr:uid="{00000000-0005-0000-0000-00003AD40000}"/>
    <cellStyle name="Normal 7 2 2 2 4 2" xfId="21001" xr:uid="{00000000-0005-0000-0000-00003BD40000}"/>
    <cellStyle name="Normal 7 2 2 2 5" xfId="7535" xr:uid="{00000000-0005-0000-0000-00003CD40000}"/>
    <cellStyle name="Normal 7 2 2 2 5 2" xfId="22684" xr:uid="{00000000-0005-0000-0000-00003DD40000}"/>
    <cellStyle name="Normal 7 2 2 2 6" xfId="9218" xr:uid="{00000000-0005-0000-0000-00003ED40000}"/>
    <cellStyle name="Normal 7 2 2 2 6 2" xfId="24367" xr:uid="{00000000-0005-0000-0000-00003FD40000}"/>
    <cellStyle name="Normal 7 2 2 2 7" xfId="10901" xr:uid="{00000000-0005-0000-0000-000040D40000}"/>
    <cellStyle name="Normal 7 2 2 2 7 2" xfId="26050" xr:uid="{00000000-0005-0000-0000-000041D40000}"/>
    <cellStyle name="Normal 7 2 2 2 8" xfId="12585" xr:uid="{00000000-0005-0000-0000-000042D40000}"/>
    <cellStyle name="Normal 7 2 2 2 8 2" xfId="27734" xr:uid="{00000000-0005-0000-0000-000043D40000}"/>
    <cellStyle name="Normal 7 2 2 2 9" xfId="14268" xr:uid="{00000000-0005-0000-0000-000044D40000}"/>
    <cellStyle name="Normal 7 2 2 2 9 2" xfId="29417" xr:uid="{00000000-0005-0000-0000-000045D40000}"/>
    <cellStyle name="Normal 7 2 2 20" xfId="40778" xr:uid="{00000000-0005-0000-0000-000046D40000}"/>
    <cellStyle name="Normal 7 2 2 21" xfId="42461" xr:uid="{00000000-0005-0000-0000-000047D40000}"/>
    <cellStyle name="Normal 7 2 2 22" xfId="44144" xr:uid="{00000000-0005-0000-0000-000048D40000}"/>
    <cellStyle name="Normal 7 2 2 23" xfId="45827" xr:uid="{00000000-0005-0000-0000-000049D40000}"/>
    <cellStyle name="Normal 7 2 2 24" xfId="47510" xr:uid="{00000000-0005-0000-0000-00004AD40000}"/>
    <cellStyle name="Normal 7 2 2 25" xfId="49193" xr:uid="{00000000-0005-0000-0000-00004BD40000}"/>
    <cellStyle name="Normal 7 2 2 26" xfId="50876" xr:uid="{00000000-0005-0000-0000-00004CD40000}"/>
    <cellStyle name="Normal 7 2 2 27" xfId="52559" xr:uid="{00000000-0005-0000-0000-00004DD40000}"/>
    <cellStyle name="Normal 7 2 2 28" xfId="54242" xr:uid="{00000000-0005-0000-0000-00004ED40000}"/>
    <cellStyle name="Normal 7 2 2 29" xfId="55925" xr:uid="{00000000-0005-0000-0000-00004FD40000}"/>
    <cellStyle name="Normal 7 2 2 3" xfId="1223" xr:uid="{00000000-0005-0000-0000-000050D40000}"/>
    <cellStyle name="Normal 7 2 2 3 10" xfId="16372" xr:uid="{00000000-0005-0000-0000-000051D40000}"/>
    <cellStyle name="Normal 7 2 2 3 11" xfId="31521" xr:uid="{00000000-0005-0000-0000-000052D40000}"/>
    <cellStyle name="Normal 7 2 2 3 12" xfId="33204" xr:uid="{00000000-0005-0000-0000-000053D40000}"/>
    <cellStyle name="Normal 7 2 2 3 13" xfId="34887" xr:uid="{00000000-0005-0000-0000-000054D40000}"/>
    <cellStyle name="Normal 7 2 2 3 14" xfId="36570" xr:uid="{00000000-0005-0000-0000-000055D40000}"/>
    <cellStyle name="Normal 7 2 2 3 15" xfId="38253" xr:uid="{00000000-0005-0000-0000-000056D40000}"/>
    <cellStyle name="Normal 7 2 2 3 16" xfId="39936" xr:uid="{00000000-0005-0000-0000-000057D40000}"/>
    <cellStyle name="Normal 7 2 2 3 17" xfId="41619" xr:uid="{00000000-0005-0000-0000-000058D40000}"/>
    <cellStyle name="Normal 7 2 2 3 18" xfId="43302" xr:uid="{00000000-0005-0000-0000-000059D40000}"/>
    <cellStyle name="Normal 7 2 2 3 19" xfId="44985" xr:uid="{00000000-0005-0000-0000-00005AD40000}"/>
    <cellStyle name="Normal 7 2 2 3 2" xfId="2906" xr:uid="{00000000-0005-0000-0000-00005BD40000}"/>
    <cellStyle name="Normal 7 2 2 3 2 2" xfId="18055" xr:uid="{00000000-0005-0000-0000-00005CD40000}"/>
    <cellStyle name="Normal 7 2 2 3 20" xfId="46668" xr:uid="{00000000-0005-0000-0000-00005DD40000}"/>
    <cellStyle name="Normal 7 2 2 3 21" xfId="48351" xr:uid="{00000000-0005-0000-0000-00005ED40000}"/>
    <cellStyle name="Normal 7 2 2 3 22" xfId="50034" xr:uid="{00000000-0005-0000-0000-00005FD40000}"/>
    <cellStyle name="Normal 7 2 2 3 23" xfId="51717" xr:uid="{00000000-0005-0000-0000-000060D40000}"/>
    <cellStyle name="Normal 7 2 2 3 24" xfId="53400" xr:uid="{00000000-0005-0000-0000-000061D40000}"/>
    <cellStyle name="Normal 7 2 2 3 25" xfId="55083" xr:uid="{00000000-0005-0000-0000-000062D40000}"/>
    <cellStyle name="Normal 7 2 2 3 26" xfId="56766" xr:uid="{00000000-0005-0000-0000-000063D40000}"/>
    <cellStyle name="Normal 7 2 2 3 27" xfId="58449" xr:uid="{00000000-0005-0000-0000-000064D40000}"/>
    <cellStyle name="Normal 7 2 2 3 28" xfId="60132" xr:uid="{00000000-0005-0000-0000-000065D40000}"/>
    <cellStyle name="Normal 7 2 2 3 29" xfId="61815" xr:uid="{00000000-0005-0000-0000-000066D40000}"/>
    <cellStyle name="Normal 7 2 2 3 3" xfId="4590" xr:uid="{00000000-0005-0000-0000-000067D40000}"/>
    <cellStyle name="Normal 7 2 2 3 3 2" xfId="19739" xr:uid="{00000000-0005-0000-0000-000068D40000}"/>
    <cellStyle name="Normal 7 2 2 3 30" xfId="63498" xr:uid="{00000000-0005-0000-0000-000069D40000}"/>
    <cellStyle name="Normal 7 2 2 3 4" xfId="6273" xr:uid="{00000000-0005-0000-0000-00006AD40000}"/>
    <cellStyle name="Normal 7 2 2 3 4 2" xfId="21422" xr:uid="{00000000-0005-0000-0000-00006BD40000}"/>
    <cellStyle name="Normal 7 2 2 3 5" xfId="7956" xr:uid="{00000000-0005-0000-0000-00006CD40000}"/>
    <cellStyle name="Normal 7 2 2 3 5 2" xfId="23105" xr:uid="{00000000-0005-0000-0000-00006DD40000}"/>
    <cellStyle name="Normal 7 2 2 3 6" xfId="9639" xr:uid="{00000000-0005-0000-0000-00006ED40000}"/>
    <cellStyle name="Normal 7 2 2 3 6 2" xfId="24788" xr:uid="{00000000-0005-0000-0000-00006FD40000}"/>
    <cellStyle name="Normal 7 2 2 3 7" xfId="11322" xr:uid="{00000000-0005-0000-0000-000070D40000}"/>
    <cellStyle name="Normal 7 2 2 3 7 2" xfId="26471" xr:uid="{00000000-0005-0000-0000-000071D40000}"/>
    <cellStyle name="Normal 7 2 2 3 8" xfId="13006" xr:uid="{00000000-0005-0000-0000-000072D40000}"/>
    <cellStyle name="Normal 7 2 2 3 8 2" xfId="28155" xr:uid="{00000000-0005-0000-0000-000073D40000}"/>
    <cellStyle name="Normal 7 2 2 3 9" xfId="14689" xr:uid="{00000000-0005-0000-0000-000074D40000}"/>
    <cellStyle name="Normal 7 2 2 3 9 2" xfId="29838" xr:uid="{00000000-0005-0000-0000-000075D40000}"/>
    <cellStyle name="Normal 7 2 2 30" xfId="57608" xr:uid="{00000000-0005-0000-0000-000076D40000}"/>
    <cellStyle name="Normal 7 2 2 31" xfId="59291" xr:uid="{00000000-0005-0000-0000-000077D40000}"/>
    <cellStyle name="Normal 7 2 2 32" xfId="60974" xr:uid="{00000000-0005-0000-0000-000078D40000}"/>
    <cellStyle name="Normal 7 2 2 33" xfId="62657" xr:uid="{00000000-0005-0000-0000-000079D40000}"/>
    <cellStyle name="Normal 7 2 2 4" xfId="1644" xr:uid="{00000000-0005-0000-0000-00007AD40000}"/>
    <cellStyle name="Normal 7 2 2 4 10" xfId="16793" xr:uid="{00000000-0005-0000-0000-00007BD40000}"/>
    <cellStyle name="Normal 7 2 2 4 11" xfId="31942" xr:uid="{00000000-0005-0000-0000-00007CD40000}"/>
    <cellStyle name="Normal 7 2 2 4 12" xfId="33625" xr:uid="{00000000-0005-0000-0000-00007DD40000}"/>
    <cellStyle name="Normal 7 2 2 4 13" xfId="35308" xr:uid="{00000000-0005-0000-0000-00007ED40000}"/>
    <cellStyle name="Normal 7 2 2 4 14" xfId="36991" xr:uid="{00000000-0005-0000-0000-00007FD40000}"/>
    <cellStyle name="Normal 7 2 2 4 15" xfId="38674" xr:uid="{00000000-0005-0000-0000-000080D40000}"/>
    <cellStyle name="Normal 7 2 2 4 16" xfId="40357" xr:uid="{00000000-0005-0000-0000-000081D40000}"/>
    <cellStyle name="Normal 7 2 2 4 17" xfId="42040" xr:uid="{00000000-0005-0000-0000-000082D40000}"/>
    <cellStyle name="Normal 7 2 2 4 18" xfId="43723" xr:uid="{00000000-0005-0000-0000-000083D40000}"/>
    <cellStyle name="Normal 7 2 2 4 19" xfId="45406" xr:uid="{00000000-0005-0000-0000-000084D40000}"/>
    <cellStyle name="Normal 7 2 2 4 2" xfId="3327" xr:uid="{00000000-0005-0000-0000-000085D40000}"/>
    <cellStyle name="Normal 7 2 2 4 2 2" xfId="18476" xr:uid="{00000000-0005-0000-0000-000086D40000}"/>
    <cellStyle name="Normal 7 2 2 4 20" xfId="47089" xr:uid="{00000000-0005-0000-0000-000087D40000}"/>
    <cellStyle name="Normal 7 2 2 4 21" xfId="48772" xr:uid="{00000000-0005-0000-0000-000088D40000}"/>
    <cellStyle name="Normal 7 2 2 4 22" xfId="50455" xr:uid="{00000000-0005-0000-0000-000089D40000}"/>
    <cellStyle name="Normal 7 2 2 4 23" xfId="52138" xr:uid="{00000000-0005-0000-0000-00008AD40000}"/>
    <cellStyle name="Normal 7 2 2 4 24" xfId="53821" xr:uid="{00000000-0005-0000-0000-00008BD40000}"/>
    <cellStyle name="Normal 7 2 2 4 25" xfId="55504" xr:uid="{00000000-0005-0000-0000-00008CD40000}"/>
    <cellStyle name="Normal 7 2 2 4 26" xfId="57187" xr:uid="{00000000-0005-0000-0000-00008DD40000}"/>
    <cellStyle name="Normal 7 2 2 4 27" xfId="58870" xr:uid="{00000000-0005-0000-0000-00008ED40000}"/>
    <cellStyle name="Normal 7 2 2 4 28" xfId="60553" xr:uid="{00000000-0005-0000-0000-00008FD40000}"/>
    <cellStyle name="Normal 7 2 2 4 29" xfId="62236" xr:uid="{00000000-0005-0000-0000-000090D40000}"/>
    <cellStyle name="Normal 7 2 2 4 3" xfId="5011" xr:uid="{00000000-0005-0000-0000-000091D40000}"/>
    <cellStyle name="Normal 7 2 2 4 3 2" xfId="20160" xr:uid="{00000000-0005-0000-0000-000092D40000}"/>
    <cellStyle name="Normal 7 2 2 4 30" xfId="63919" xr:uid="{00000000-0005-0000-0000-000093D40000}"/>
    <cellStyle name="Normal 7 2 2 4 4" xfId="6694" xr:uid="{00000000-0005-0000-0000-000094D40000}"/>
    <cellStyle name="Normal 7 2 2 4 4 2" xfId="21843" xr:uid="{00000000-0005-0000-0000-000095D40000}"/>
    <cellStyle name="Normal 7 2 2 4 5" xfId="8377" xr:uid="{00000000-0005-0000-0000-000096D40000}"/>
    <cellStyle name="Normal 7 2 2 4 5 2" xfId="23526" xr:uid="{00000000-0005-0000-0000-000097D40000}"/>
    <cellStyle name="Normal 7 2 2 4 6" xfId="10060" xr:uid="{00000000-0005-0000-0000-000098D40000}"/>
    <cellStyle name="Normal 7 2 2 4 6 2" xfId="25209" xr:uid="{00000000-0005-0000-0000-000099D40000}"/>
    <cellStyle name="Normal 7 2 2 4 7" xfId="11743" xr:uid="{00000000-0005-0000-0000-00009AD40000}"/>
    <cellStyle name="Normal 7 2 2 4 7 2" xfId="26892" xr:uid="{00000000-0005-0000-0000-00009BD40000}"/>
    <cellStyle name="Normal 7 2 2 4 8" xfId="13427" xr:uid="{00000000-0005-0000-0000-00009CD40000}"/>
    <cellStyle name="Normal 7 2 2 4 8 2" xfId="28576" xr:uid="{00000000-0005-0000-0000-00009DD40000}"/>
    <cellStyle name="Normal 7 2 2 4 9" xfId="15110" xr:uid="{00000000-0005-0000-0000-00009ED40000}"/>
    <cellStyle name="Normal 7 2 2 4 9 2" xfId="30259" xr:uid="{00000000-0005-0000-0000-00009FD40000}"/>
    <cellStyle name="Normal 7 2 2 5" xfId="2065" xr:uid="{00000000-0005-0000-0000-0000A0D40000}"/>
    <cellStyle name="Normal 7 2 2 5 2" xfId="17214" xr:uid="{00000000-0005-0000-0000-0000A1D40000}"/>
    <cellStyle name="Normal 7 2 2 6" xfId="3749" xr:uid="{00000000-0005-0000-0000-0000A2D40000}"/>
    <cellStyle name="Normal 7 2 2 6 2" xfId="18898" xr:uid="{00000000-0005-0000-0000-0000A3D40000}"/>
    <cellStyle name="Normal 7 2 2 7" xfId="5432" xr:uid="{00000000-0005-0000-0000-0000A4D40000}"/>
    <cellStyle name="Normal 7 2 2 7 2" xfId="20581" xr:uid="{00000000-0005-0000-0000-0000A5D40000}"/>
    <cellStyle name="Normal 7 2 2 8" xfId="7115" xr:uid="{00000000-0005-0000-0000-0000A6D40000}"/>
    <cellStyle name="Normal 7 2 2 8 2" xfId="22264" xr:uid="{00000000-0005-0000-0000-0000A7D40000}"/>
    <cellStyle name="Normal 7 2 2 9" xfId="8798" xr:uid="{00000000-0005-0000-0000-0000A8D40000}"/>
    <cellStyle name="Normal 7 2 2 9 2" xfId="23947" xr:uid="{00000000-0005-0000-0000-0000A9D40000}"/>
    <cellStyle name="Normal 7 2 20" xfId="38885" xr:uid="{00000000-0005-0000-0000-0000AAD40000}"/>
    <cellStyle name="Normal 7 2 21" xfId="40568" xr:uid="{00000000-0005-0000-0000-0000ABD40000}"/>
    <cellStyle name="Normal 7 2 22" xfId="42251" xr:uid="{00000000-0005-0000-0000-0000ACD40000}"/>
    <cellStyle name="Normal 7 2 23" xfId="43934" xr:uid="{00000000-0005-0000-0000-0000ADD40000}"/>
    <cellStyle name="Normal 7 2 24" xfId="45617" xr:uid="{00000000-0005-0000-0000-0000AED40000}"/>
    <cellStyle name="Normal 7 2 25" xfId="47300" xr:uid="{00000000-0005-0000-0000-0000AFD40000}"/>
    <cellStyle name="Normal 7 2 26" xfId="48983" xr:uid="{00000000-0005-0000-0000-0000B0D40000}"/>
    <cellStyle name="Normal 7 2 27" xfId="50666" xr:uid="{00000000-0005-0000-0000-0000B1D40000}"/>
    <cellStyle name="Normal 7 2 28" xfId="52349" xr:uid="{00000000-0005-0000-0000-0000B2D40000}"/>
    <cellStyle name="Normal 7 2 29" xfId="54032" xr:uid="{00000000-0005-0000-0000-0000B3D40000}"/>
    <cellStyle name="Normal 7 2 3" xfId="592" xr:uid="{00000000-0005-0000-0000-0000B4D40000}"/>
    <cellStyle name="Normal 7 2 3 10" xfId="15741" xr:uid="{00000000-0005-0000-0000-0000B5D40000}"/>
    <cellStyle name="Normal 7 2 3 11" xfId="30890" xr:uid="{00000000-0005-0000-0000-0000B6D40000}"/>
    <cellStyle name="Normal 7 2 3 12" xfId="32573" xr:uid="{00000000-0005-0000-0000-0000B7D40000}"/>
    <cellStyle name="Normal 7 2 3 13" xfId="34256" xr:uid="{00000000-0005-0000-0000-0000B8D40000}"/>
    <cellStyle name="Normal 7 2 3 14" xfId="35939" xr:uid="{00000000-0005-0000-0000-0000B9D40000}"/>
    <cellStyle name="Normal 7 2 3 15" xfId="37622" xr:uid="{00000000-0005-0000-0000-0000BAD40000}"/>
    <cellStyle name="Normal 7 2 3 16" xfId="39305" xr:uid="{00000000-0005-0000-0000-0000BBD40000}"/>
    <cellStyle name="Normal 7 2 3 17" xfId="40988" xr:uid="{00000000-0005-0000-0000-0000BCD40000}"/>
    <cellStyle name="Normal 7 2 3 18" xfId="42671" xr:uid="{00000000-0005-0000-0000-0000BDD40000}"/>
    <cellStyle name="Normal 7 2 3 19" xfId="44354" xr:uid="{00000000-0005-0000-0000-0000BED40000}"/>
    <cellStyle name="Normal 7 2 3 2" xfId="2275" xr:uid="{00000000-0005-0000-0000-0000BFD40000}"/>
    <cellStyle name="Normal 7 2 3 2 2" xfId="17424" xr:uid="{00000000-0005-0000-0000-0000C0D40000}"/>
    <cellStyle name="Normal 7 2 3 20" xfId="46037" xr:uid="{00000000-0005-0000-0000-0000C1D40000}"/>
    <cellStyle name="Normal 7 2 3 21" xfId="47720" xr:uid="{00000000-0005-0000-0000-0000C2D40000}"/>
    <cellStyle name="Normal 7 2 3 22" xfId="49403" xr:uid="{00000000-0005-0000-0000-0000C3D40000}"/>
    <cellStyle name="Normal 7 2 3 23" xfId="51086" xr:uid="{00000000-0005-0000-0000-0000C4D40000}"/>
    <cellStyle name="Normal 7 2 3 24" xfId="52769" xr:uid="{00000000-0005-0000-0000-0000C5D40000}"/>
    <cellStyle name="Normal 7 2 3 25" xfId="54452" xr:uid="{00000000-0005-0000-0000-0000C6D40000}"/>
    <cellStyle name="Normal 7 2 3 26" xfId="56135" xr:uid="{00000000-0005-0000-0000-0000C7D40000}"/>
    <cellStyle name="Normal 7 2 3 27" xfId="57818" xr:uid="{00000000-0005-0000-0000-0000C8D40000}"/>
    <cellStyle name="Normal 7 2 3 28" xfId="59501" xr:uid="{00000000-0005-0000-0000-0000C9D40000}"/>
    <cellStyle name="Normal 7 2 3 29" xfId="61184" xr:uid="{00000000-0005-0000-0000-0000CAD40000}"/>
    <cellStyle name="Normal 7 2 3 3" xfId="3959" xr:uid="{00000000-0005-0000-0000-0000CBD40000}"/>
    <cellStyle name="Normal 7 2 3 3 2" xfId="19108" xr:uid="{00000000-0005-0000-0000-0000CCD40000}"/>
    <cellStyle name="Normal 7 2 3 30" xfId="62867" xr:uid="{00000000-0005-0000-0000-0000CDD40000}"/>
    <cellStyle name="Normal 7 2 3 4" xfId="5642" xr:uid="{00000000-0005-0000-0000-0000CED40000}"/>
    <cellStyle name="Normal 7 2 3 4 2" xfId="20791" xr:uid="{00000000-0005-0000-0000-0000CFD40000}"/>
    <cellStyle name="Normal 7 2 3 5" xfId="7325" xr:uid="{00000000-0005-0000-0000-0000D0D40000}"/>
    <cellStyle name="Normal 7 2 3 5 2" xfId="22474" xr:uid="{00000000-0005-0000-0000-0000D1D40000}"/>
    <cellStyle name="Normal 7 2 3 6" xfId="9008" xr:uid="{00000000-0005-0000-0000-0000D2D40000}"/>
    <cellStyle name="Normal 7 2 3 6 2" xfId="24157" xr:uid="{00000000-0005-0000-0000-0000D3D40000}"/>
    <cellStyle name="Normal 7 2 3 7" xfId="10691" xr:uid="{00000000-0005-0000-0000-0000D4D40000}"/>
    <cellStyle name="Normal 7 2 3 7 2" xfId="25840" xr:uid="{00000000-0005-0000-0000-0000D5D40000}"/>
    <cellStyle name="Normal 7 2 3 8" xfId="12375" xr:uid="{00000000-0005-0000-0000-0000D6D40000}"/>
    <cellStyle name="Normal 7 2 3 8 2" xfId="27524" xr:uid="{00000000-0005-0000-0000-0000D7D40000}"/>
    <cellStyle name="Normal 7 2 3 9" xfId="14058" xr:uid="{00000000-0005-0000-0000-0000D8D40000}"/>
    <cellStyle name="Normal 7 2 3 9 2" xfId="29207" xr:uid="{00000000-0005-0000-0000-0000D9D40000}"/>
    <cellStyle name="Normal 7 2 30" xfId="55715" xr:uid="{00000000-0005-0000-0000-0000DAD40000}"/>
    <cellStyle name="Normal 7 2 31" xfId="57398" xr:uid="{00000000-0005-0000-0000-0000DBD40000}"/>
    <cellStyle name="Normal 7 2 32" xfId="59081" xr:uid="{00000000-0005-0000-0000-0000DCD40000}"/>
    <cellStyle name="Normal 7 2 33" xfId="60764" xr:uid="{00000000-0005-0000-0000-0000DDD40000}"/>
    <cellStyle name="Normal 7 2 34" xfId="62447" xr:uid="{00000000-0005-0000-0000-0000DED40000}"/>
    <cellStyle name="Normal 7 2 4" xfId="1013" xr:uid="{00000000-0005-0000-0000-0000DFD40000}"/>
    <cellStyle name="Normal 7 2 4 10" xfId="16162" xr:uid="{00000000-0005-0000-0000-0000E0D40000}"/>
    <cellStyle name="Normal 7 2 4 11" xfId="31311" xr:uid="{00000000-0005-0000-0000-0000E1D40000}"/>
    <cellStyle name="Normal 7 2 4 12" xfId="32994" xr:uid="{00000000-0005-0000-0000-0000E2D40000}"/>
    <cellStyle name="Normal 7 2 4 13" xfId="34677" xr:uid="{00000000-0005-0000-0000-0000E3D40000}"/>
    <cellStyle name="Normal 7 2 4 14" xfId="36360" xr:uid="{00000000-0005-0000-0000-0000E4D40000}"/>
    <cellStyle name="Normal 7 2 4 15" xfId="38043" xr:uid="{00000000-0005-0000-0000-0000E5D40000}"/>
    <cellStyle name="Normal 7 2 4 16" xfId="39726" xr:uid="{00000000-0005-0000-0000-0000E6D40000}"/>
    <cellStyle name="Normal 7 2 4 17" xfId="41409" xr:uid="{00000000-0005-0000-0000-0000E7D40000}"/>
    <cellStyle name="Normal 7 2 4 18" xfId="43092" xr:uid="{00000000-0005-0000-0000-0000E8D40000}"/>
    <cellStyle name="Normal 7 2 4 19" xfId="44775" xr:uid="{00000000-0005-0000-0000-0000E9D40000}"/>
    <cellStyle name="Normal 7 2 4 2" xfId="2696" xr:uid="{00000000-0005-0000-0000-0000EAD40000}"/>
    <cellStyle name="Normal 7 2 4 2 2" xfId="17845" xr:uid="{00000000-0005-0000-0000-0000EBD40000}"/>
    <cellStyle name="Normal 7 2 4 20" xfId="46458" xr:uid="{00000000-0005-0000-0000-0000ECD40000}"/>
    <cellStyle name="Normal 7 2 4 21" xfId="48141" xr:uid="{00000000-0005-0000-0000-0000EDD40000}"/>
    <cellStyle name="Normal 7 2 4 22" xfId="49824" xr:uid="{00000000-0005-0000-0000-0000EED40000}"/>
    <cellStyle name="Normal 7 2 4 23" xfId="51507" xr:uid="{00000000-0005-0000-0000-0000EFD40000}"/>
    <cellStyle name="Normal 7 2 4 24" xfId="53190" xr:uid="{00000000-0005-0000-0000-0000F0D40000}"/>
    <cellStyle name="Normal 7 2 4 25" xfId="54873" xr:uid="{00000000-0005-0000-0000-0000F1D40000}"/>
    <cellStyle name="Normal 7 2 4 26" xfId="56556" xr:uid="{00000000-0005-0000-0000-0000F2D40000}"/>
    <cellStyle name="Normal 7 2 4 27" xfId="58239" xr:uid="{00000000-0005-0000-0000-0000F3D40000}"/>
    <cellStyle name="Normal 7 2 4 28" xfId="59922" xr:uid="{00000000-0005-0000-0000-0000F4D40000}"/>
    <cellStyle name="Normal 7 2 4 29" xfId="61605" xr:uid="{00000000-0005-0000-0000-0000F5D40000}"/>
    <cellStyle name="Normal 7 2 4 3" xfId="4380" xr:uid="{00000000-0005-0000-0000-0000F6D40000}"/>
    <cellStyle name="Normal 7 2 4 3 2" xfId="19529" xr:uid="{00000000-0005-0000-0000-0000F7D40000}"/>
    <cellStyle name="Normal 7 2 4 30" xfId="63288" xr:uid="{00000000-0005-0000-0000-0000F8D40000}"/>
    <cellStyle name="Normal 7 2 4 4" xfId="6063" xr:uid="{00000000-0005-0000-0000-0000F9D40000}"/>
    <cellStyle name="Normal 7 2 4 4 2" xfId="21212" xr:uid="{00000000-0005-0000-0000-0000FAD40000}"/>
    <cellStyle name="Normal 7 2 4 5" xfId="7746" xr:uid="{00000000-0005-0000-0000-0000FBD40000}"/>
    <cellStyle name="Normal 7 2 4 5 2" xfId="22895" xr:uid="{00000000-0005-0000-0000-0000FCD40000}"/>
    <cellStyle name="Normal 7 2 4 6" xfId="9429" xr:uid="{00000000-0005-0000-0000-0000FDD40000}"/>
    <cellStyle name="Normal 7 2 4 6 2" xfId="24578" xr:uid="{00000000-0005-0000-0000-0000FED40000}"/>
    <cellStyle name="Normal 7 2 4 7" xfId="11112" xr:uid="{00000000-0005-0000-0000-0000FFD40000}"/>
    <cellStyle name="Normal 7 2 4 7 2" xfId="26261" xr:uid="{00000000-0005-0000-0000-000000D50000}"/>
    <cellStyle name="Normal 7 2 4 8" xfId="12796" xr:uid="{00000000-0005-0000-0000-000001D50000}"/>
    <cellStyle name="Normal 7 2 4 8 2" xfId="27945" xr:uid="{00000000-0005-0000-0000-000002D50000}"/>
    <cellStyle name="Normal 7 2 4 9" xfId="14479" xr:uid="{00000000-0005-0000-0000-000003D50000}"/>
    <cellStyle name="Normal 7 2 4 9 2" xfId="29628" xr:uid="{00000000-0005-0000-0000-000004D50000}"/>
    <cellStyle name="Normal 7 2 5" xfId="1434" xr:uid="{00000000-0005-0000-0000-000005D50000}"/>
    <cellStyle name="Normal 7 2 5 10" xfId="16583" xr:uid="{00000000-0005-0000-0000-000006D50000}"/>
    <cellStyle name="Normal 7 2 5 11" xfId="31732" xr:uid="{00000000-0005-0000-0000-000007D50000}"/>
    <cellStyle name="Normal 7 2 5 12" xfId="33415" xr:uid="{00000000-0005-0000-0000-000008D50000}"/>
    <cellStyle name="Normal 7 2 5 13" xfId="35098" xr:uid="{00000000-0005-0000-0000-000009D50000}"/>
    <cellStyle name="Normal 7 2 5 14" xfId="36781" xr:uid="{00000000-0005-0000-0000-00000AD50000}"/>
    <cellStyle name="Normal 7 2 5 15" xfId="38464" xr:uid="{00000000-0005-0000-0000-00000BD50000}"/>
    <cellStyle name="Normal 7 2 5 16" xfId="40147" xr:uid="{00000000-0005-0000-0000-00000CD50000}"/>
    <cellStyle name="Normal 7 2 5 17" xfId="41830" xr:uid="{00000000-0005-0000-0000-00000DD50000}"/>
    <cellStyle name="Normal 7 2 5 18" xfId="43513" xr:uid="{00000000-0005-0000-0000-00000ED50000}"/>
    <cellStyle name="Normal 7 2 5 19" xfId="45196" xr:uid="{00000000-0005-0000-0000-00000FD50000}"/>
    <cellStyle name="Normal 7 2 5 2" xfId="3117" xr:uid="{00000000-0005-0000-0000-000010D50000}"/>
    <cellStyle name="Normal 7 2 5 2 2" xfId="18266" xr:uid="{00000000-0005-0000-0000-000011D50000}"/>
    <cellStyle name="Normal 7 2 5 20" xfId="46879" xr:uid="{00000000-0005-0000-0000-000012D50000}"/>
    <cellStyle name="Normal 7 2 5 21" xfId="48562" xr:uid="{00000000-0005-0000-0000-000013D50000}"/>
    <cellStyle name="Normal 7 2 5 22" xfId="50245" xr:uid="{00000000-0005-0000-0000-000014D50000}"/>
    <cellStyle name="Normal 7 2 5 23" xfId="51928" xr:uid="{00000000-0005-0000-0000-000015D50000}"/>
    <cellStyle name="Normal 7 2 5 24" xfId="53611" xr:uid="{00000000-0005-0000-0000-000016D50000}"/>
    <cellStyle name="Normal 7 2 5 25" xfId="55294" xr:uid="{00000000-0005-0000-0000-000017D50000}"/>
    <cellStyle name="Normal 7 2 5 26" xfId="56977" xr:uid="{00000000-0005-0000-0000-000018D50000}"/>
    <cellStyle name="Normal 7 2 5 27" xfId="58660" xr:uid="{00000000-0005-0000-0000-000019D50000}"/>
    <cellStyle name="Normal 7 2 5 28" xfId="60343" xr:uid="{00000000-0005-0000-0000-00001AD50000}"/>
    <cellStyle name="Normal 7 2 5 29" xfId="62026" xr:uid="{00000000-0005-0000-0000-00001BD50000}"/>
    <cellStyle name="Normal 7 2 5 3" xfId="4801" xr:uid="{00000000-0005-0000-0000-00001CD50000}"/>
    <cellStyle name="Normal 7 2 5 3 2" xfId="19950" xr:uid="{00000000-0005-0000-0000-00001DD50000}"/>
    <cellStyle name="Normal 7 2 5 30" xfId="63709" xr:uid="{00000000-0005-0000-0000-00001ED50000}"/>
    <cellStyle name="Normal 7 2 5 4" xfId="6484" xr:uid="{00000000-0005-0000-0000-00001FD50000}"/>
    <cellStyle name="Normal 7 2 5 4 2" xfId="21633" xr:uid="{00000000-0005-0000-0000-000020D50000}"/>
    <cellStyle name="Normal 7 2 5 5" xfId="8167" xr:uid="{00000000-0005-0000-0000-000021D50000}"/>
    <cellStyle name="Normal 7 2 5 5 2" xfId="23316" xr:uid="{00000000-0005-0000-0000-000022D50000}"/>
    <cellStyle name="Normal 7 2 5 6" xfId="9850" xr:uid="{00000000-0005-0000-0000-000023D50000}"/>
    <cellStyle name="Normal 7 2 5 6 2" xfId="24999" xr:uid="{00000000-0005-0000-0000-000024D50000}"/>
    <cellStyle name="Normal 7 2 5 7" xfId="11533" xr:uid="{00000000-0005-0000-0000-000025D50000}"/>
    <cellStyle name="Normal 7 2 5 7 2" xfId="26682" xr:uid="{00000000-0005-0000-0000-000026D50000}"/>
    <cellStyle name="Normal 7 2 5 8" xfId="13217" xr:uid="{00000000-0005-0000-0000-000027D50000}"/>
    <cellStyle name="Normal 7 2 5 8 2" xfId="28366" xr:uid="{00000000-0005-0000-0000-000028D50000}"/>
    <cellStyle name="Normal 7 2 5 9" xfId="14900" xr:uid="{00000000-0005-0000-0000-000029D50000}"/>
    <cellStyle name="Normal 7 2 5 9 2" xfId="30049" xr:uid="{00000000-0005-0000-0000-00002AD50000}"/>
    <cellStyle name="Normal 7 2 6" xfId="1855" xr:uid="{00000000-0005-0000-0000-00002BD50000}"/>
    <cellStyle name="Normal 7 2 6 2" xfId="17004" xr:uid="{00000000-0005-0000-0000-00002CD50000}"/>
    <cellStyle name="Normal 7 2 7" xfId="3539" xr:uid="{00000000-0005-0000-0000-00002DD50000}"/>
    <cellStyle name="Normal 7 2 7 2" xfId="18688" xr:uid="{00000000-0005-0000-0000-00002ED50000}"/>
    <cellStyle name="Normal 7 2 8" xfId="5222" xr:uid="{00000000-0005-0000-0000-00002FD50000}"/>
    <cellStyle name="Normal 7 2 8 2" xfId="20371" xr:uid="{00000000-0005-0000-0000-000030D50000}"/>
    <cellStyle name="Normal 7 2 9" xfId="6905" xr:uid="{00000000-0005-0000-0000-000031D50000}"/>
    <cellStyle name="Normal 7 2 9 2" xfId="22054" xr:uid="{00000000-0005-0000-0000-000032D50000}"/>
    <cellStyle name="Normal 7 20" xfId="37097" xr:uid="{00000000-0005-0000-0000-000033D50000}"/>
    <cellStyle name="Normal 7 21" xfId="38780" xr:uid="{00000000-0005-0000-0000-000034D50000}"/>
    <cellStyle name="Normal 7 22" xfId="40463" xr:uid="{00000000-0005-0000-0000-000035D50000}"/>
    <cellStyle name="Normal 7 23" xfId="42146" xr:uid="{00000000-0005-0000-0000-000036D50000}"/>
    <cellStyle name="Normal 7 24" xfId="43829" xr:uid="{00000000-0005-0000-0000-000037D50000}"/>
    <cellStyle name="Normal 7 25" xfId="45512" xr:uid="{00000000-0005-0000-0000-000038D50000}"/>
    <cellStyle name="Normal 7 26" xfId="47195" xr:uid="{00000000-0005-0000-0000-000039D50000}"/>
    <cellStyle name="Normal 7 27" xfId="48878" xr:uid="{00000000-0005-0000-0000-00003AD50000}"/>
    <cellStyle name="Normal 7 28" xfId="50561" xr:uid="{00000000-0005-0000-0000-00003BD50000}"/>
    <cellStyle name="Normal 7 29" xfId="52244" xr:uid="{00000000-0005-0000-0000-00003CD50000}"/>
    <cellStyle name="Normal 7 3" xfId="277" xr:uid="{00000000-0005-0000-0000-00003DD50000}"/>
    <cellStyle name="Normal 7 3 10" xfId="10376" xr:uid="{00000000-0005-0000-0000-00003ED50000}"/>
    <cellStyle name="Normal 7 3 10 2" xfId="25525" xr:uid="{00000000-0005-0000-0000-00003FD50000}"/>
    <cellStyle name="Normal 7 3 11" xfId="12060" xr:uid="{00000000-0005-0000-0000-000040D50000}"/>
    <cellStyle name="Normal 7 3 11 2" xfId="27209" xr:uid="{00000000-0005-0000-0000-000041D50000}"/>
    <cellStyle name="Normal 7 3 12" xfId="13743" xr:uid="{00000000-0005-0000-0000-000042D50000}"/>
    <cellStyle name="Normal 7 3 12 2" xfId="28892" xr:uid="{00000000-0005-0000-0000-000043D50000}"/>
    <cellStyle name="Normal 7 3 13" xfId="15426" xr:uid="{00000000-0005-0000-0000-000044D50000}"/>
    <cellStyle name="Normal 7 3 14" xfId="30575" xr:uid="{00000000-0005-0000-0000-000045D50000}"/>
    <cellStyle name="Normal 7 3 15" xfId="32258" xr:uid="{00000000-0005-0000-0000-000046D50000}"/>
    <cellStyle name="Normal 7 3 16" xfId="33941" xr:uid="{00000000-0005-0000-0000-000047D50000}"/>
    <cellStyle name="Normal 7 3 17" xfId="35624" xr:uid="{00000000-0005-0000-0000-000048D50000}"/>
    <cellStyle name="Normal 7 3 18" xfId="37307" xr:uid="{00000000-0005-0000-0000-000049D50000}"/>
    <cellStyle name="Normal 7 3 19" xfId="38990" xr:uid="{00000000-0005-0000-0000-00004AD50000}"/>
    <cellStyle name="Normal 7 3 2" xfId="697" xr:uid="{00000000-0005-0000-0000-00004BD50000}"/>
    <cellStyle name="Normal 7 3 2 10" xfId="15846" xr:uid="{00000000-0005-0000-0000-00004CD50000}"/>
    <cellStyle name="Normal 7 3 2 11" xfId="30995" xr:uid="{00000000-0005-0000-0000-00004DD50000}"/>
    <cellStyle name="Normal 7 3 2 12" xfId="32678" xr:uid="{00000000-0005-0000-0000-00004ED50000}"/>
    <cellStyle name="Normal 7 3 2 13" xfId="34361" xr:uid="{00000000-0005-0000-0000-00004FD50000}"/>
    <cellStyle name="Normal 7 3 2 14" xfId="36044" xr:uid="{00000000-0005-0000-0000-000050D50000}"/>
    <cellStyle name="Normal 7 3 2 15" xfId="37727" xr:uid="{00000000-0005-0000-0000-000051D50000}"/>
    <cellStyle name="Normal 7 3 2 16" xfId="39410" xr:uid="{00000000-0005-0000-0000-000052D50000}"/>
    <cellStyle name="Normal 7 3 2 17" xfId="41093" xr:uid="{00000000-0005-0000-0000-000053D50000}"/>
    <cellStyle name="Normal 7 3 2 18" xfId="42776" xr:uid="{00000000-0005-0000-0000-000054D50000}"/>
    <cellStyle name="Normal 7 3 2 19" xfId="44459" xr:uid="{00000000-0005-0000-0000-000055D50000}"/>
    <cellStyle name="Normal 7 3 2 2" xfId="2380" xr:uid="{00000000-0005-0000-0000-000056D50000}"/>
    <cellStyle name="Normal 7 3 2 2 2" xfId="17529" xr:uid="{00000000-0005-0000-0000-000057D50000}"/>
    <cellStyle name="Normal 7 3 2 20" xfId="46142" xr:uid="{00000000-0005-0000-0000-000058D50000}"/>
    <cellStyle name="Normal 7 3 2 21" xfId="47825" xr:uid="{00000000-0005-0000-0000-000059D50000}"/>
    <cellStyle name="Normal 7 3 2 22" xfId="49508" xr:uid="{00000000-0005-0000-0000-00005AD50000}"/>
    <cellStyle name="Normal 7 3 2 23" xfId="51191" xr:uid="{00000000-0005-0000-0000-00005BD50000}"/>
    <cellStyle name="Normal 7 3 2 24" xfId="52874" xr:uid="{00000000-0005-0000-0000-00005CD50000}"/>
    <cellStyle name="Normal 7 3 2 25" xfId="54557" xr:uid="{00000000-0005-0000-0000-00005DD50000}"/>
    <cellStyle name="Normal 7 3 2 26" xfId="56240" xr:uid="{00000000-0005-0000-0000-00005ED50000}"/>
    <cellStyle name="Normal 7 3 2 27" xfId="57923" xr:uid="{00000000-0005-0000-0000-00005FD50000}"/>
    <cellStyle name="Normal 7 3 2 28" xfId="59606" xr:uid="{00000000-0005-0000-0000-000060D50000}"/>
    <cellStyle name="Normal 7 3 2 29" xfId="61289" xr:uid="{00000000-0005-0000-0000-000061D50000}"/>
    <cellStyle name="Normal 7 3 2 3" xfId="4064" xr:uid="{00000000-0005-0000-0000-000062D50000}"/>
    <cellStyle name="Normal 7 3 2 3 2" xfId="19213" xr:uid="{00000000-0005-0000-0000-000063D50000}"/>
    <cellStyle name="Normal 7 3 2 30" xfId="62972" xr:uid="{00000000-0005-0000-0000-000064D50000}"/>
    <cellStyle name="Normal 7 3 2 4" xfId="5747" xr:uid="{00000000-0005-0000-0000-000065D50000}"/>
    <cellStyle name="Normal 7 3 2 4 2" xfId="20896" xr:uid="{00000000-0005-0000-0000-000066D50000}"/>
    <cellStyle name="Normal 7 3 2 5" xfId="7430" xr:uid="{00000000-0005-0000-0000-000067D50000}"/>
    <cellStyle name="Normal 7 3 2 5 2" xfId="22579" xr:uid="{00000000-0005-0000-0000-000068D50000}"/>
    <cellStyle name="Normal 7 3 2 6" xfId="9113" xr:uid="{00000000-0005-0000-0000-000069D50000}"/>
    <cellStyle name="Normal 7 3 2 6 2" xfId="24262" xr:uid="{00000000-0005-0000-0000-00006AD50000}"/>
    <cellStyle name="Normal 7 3 2 7" xfId="10796" xr:uid="{00000000-0005-0000-0000-00006BD50000}"/>
    <cellStyle name="Normal 7 3 2 7 2" xfId="25945" xr:uid="{00000000-0005-0000-0000-00006CD50000}"/>
    <cellStyle name="Normal 7 3 2 8" xfId="12480" xr:uid="{00000000-0005-0000-0000-00006DD50000}"/>
    <cellStyle name="Normal 7 3 2 8 2" xfId="27629" xr:uid="{00000000-0005-0000-0000-00006ED50000}"/>
    <cellStyle name="Normal 7 3 2 9" xfId="14163" xr:uid="{00000000-0005-0000-0000-00006FD50000}"/>
    <cellStyle name="Normal 7 3 2 9 2" xfId="29312" xr:uid="{00000000-0005-0000-0000-000070D50000}"/>
    <cellStyle name="Normal 7 3 20" xfId="40673" xr:uid="{00000000-0005-0000-0000-000071D50000}"/>
    <cellStyle name="Normal 7 3 21" xfId="42356" xr:uid="{00000000-0005-0000-0000-000072D50000}"/>
    <cellStyle name="Normal 7 3 22" xfId="44039" xr:uid="{00000000-0005-0000-0000-000073D50000}"/>
    <cellStyle name="Normal 7 3 23" xfId="45722" xr:uid="{00000000-0005-0000-0000-000074D50000}"/>
    <cellStyle name="Normal 7 3 24" xfId="47405" xr:uid="{00000000-0005-0000-0000-000075D50000}"/>
    <cellStyle name="Normal 7 3 25" xfId="49088" xr:uid="{00000000-0005-0000-0000-000076D50000}"/>
    <cellStyle name="Normal 7 3 26" xfId="50771" xr:uid="{00000000-0005-0000-0000-000077D50000}"/>
    <cellStyle name="Normal 7 3 27" xfId="52454" xr:uid="{00000000-0005-0000-0000-000078D50000}"/>
    <cellStyle name="Normal 7 3 28" xfId="54137" xr:uid="{00000000-0005-0000-0000-000079D50000}"/>
    <cellStyle name="Normal 7 3 29" xfId="55820" xr:uid="{00000000-0005-0000-0000-00007AD50000}"/>
    <cellStyle name="Normal 7 3 3" xfId="1118" xr:uid="{00000000-0005-0000-0000-00007BD50000}"/>
    <cellStyle name="Normal 7 3 3 10" xfId="16267" xr:uid="{00000000-0005-0000-0000-00007CD50000}"/>
    <cellStyle name="Normal 7 3 3 11" xfId="31416" xr:uid="{00000000-0005-0000-0000-00007DD50000}"/>
    <cellStyle name="Normal 7 3 3 12" xfId="33099" xr:uid="{00000000-0005-0000-0000-00007ED50000}"/>
    <cellStyle name="Normal 7 3 3 13" xfId="34782" xr:uid="{00000000-0005-0000-0000-00007FD50000}"/>
    <cellStyle name="Normal 7 3 3 14" xfId="36465" xr:uid="{00000000-0005-0000-0000-000080D50000}"/>
    <cellStyle name="Normal 7 3 3 15" xfId="38148" xr:uid="{00000000-0005-0000-0000-000081D50000}"/>
    <cellStyle name="Normal 7 3 3 16" xfId="39831" xr:uid="{00000000-0005-0000-0000-000082D50000}"/>
    <cellStyle name="Normal 7 3 3 17" xfId="41514" xr:uid="{00000000-0005-0000-0000-000083D50000}"/>
    <cellStyle name="Normal 7 3 3 18" xfId="43197" xr:uid="{00000000-0005-0000-0000-000084D50000}"/>
    <cellStyle name="Normal 7 3 3 19" xfId="44880" xr:uid="{00000000-0005-0000-0000-000085D50000}"/>
    <cellStyle name="Normal 7 3 3 2" xfId="2801" xr:uid="{00000000-0005-0000-0000-000086D50000}"/>
    <cellStyle name="Normal 7 3 3 2 2" xfId="17950" xr:uid="{00000000-0005-0000-0000-000087D50000}"/>
    <cellStyle name="Normal 7 3 3 20" xfId="46563" xr:uid="{00000000-0005-0000-0000-000088D50000}"/>
    <cellStyle name="Normal 7 3 3 21" xfId="48246" xr:uid="{00000000-0005-0000-0000-000089D50000}"/>
    <cellStyle name="Normal 7 3 3 22" xfId="49929" xr:uid="{00000000-0005-0000-0000-00008AD50000}"/>
    <cellStyle name="Normal 7 3 3 23" xfId="51612" xr:uid="{00000000-0005-0000-0000-00008BD50000}"/>
    <cellStyle name="Normal 7 3 3 24" xfId="53295" xr:uid="{00000000-0005-0000-0000-00008CD50000}"/>
    <cellStyle name="Normal 7 3 3 25" xfId="54978" xr:uid="{00000000-0005-0000-0000-00008DD50000}"/>
    <cellStyle name="Normal 7 3 3 26" xfId="56661" xr:uid="{00000000-0005-0000-0000-00008ED50000}"/>
    <cellStyle name="Normal 7 3 3 27" xfId="58344" xr:uid="{00000000-0005-0000-0000-00008FD50000}"/>
    <cellStyle name="Normal 7 3 3 28" xfId="60027" xr:uid="{00000000-0005-0000-0000-000090D50000}"/>
    <cellStyle name="Normal 7 3 3 29" xfId="61710" xr:uid="{00000000-0005-0000-0000-000091D50000}"/>
    <cellStyle name="Normal 7 3 3 3" xfId="4485" xr:uid="{00000000-0005-0000-0000-000092D50000}"/>
    <cellStyle name="Normal 7 3 3 3 2" xfId="19634" xr:uid="{00000000-0005-0000-0000-000093D50000}"/>
    <cellStyle name="Normal 7 3 3 30" xfId="63393" xr:uid="{00000000-0005-0000-0000-000094D50000}"/>
    <cellStyle name="Normal 7 3 3 4" xfId="6168" xr:uid="{00000000-0005-0000-0000-000095D50000}"/>
    <cellStyle name="Normal 7 3 3 4 2" xfId="21317" xr:uid="{00000000-0005-0000-0000-000096D50000}"/>
    <cellStyle name="Normal 7 3 3 5" xfId="7851" xr:uid="{00000000-0005-0000-0000-000097D50000}"/>
    <cellStyle name="Normal 7 3 3 5 2" xfId="23000" xr:uid="{00000000-0005-0000-0000-000098D50000}"/>
    <cellStyle name="Normal 7 3 3 6" xfId="9534" xr:uid="{00000000-0005-0000-0000-000099D50000}"/>
    <cellStyle name="Normal 7 3 3 6 2" xfId="24683" xr:uid="{00000000-0005-0000-0000-00009AD50000}"/>
    <cellStyle name="Normal 7 3 3 7" xfId="11217" xr:uid="{00000000-0005-0000-0000-00009BD50000}"/>
    <cellStyle name="Normal 7 3 3 7 2" xfId="26366" xr:uid="{00000000-0005-0000-0000-00009CD50000}"/>
    <cellStyle name="Normal 7 3 3 8" xfId="12901" xr:uid="{00000000-0005-0000-0000-00009DD50000}"/>
    <cellStyle name="Normal 7 3 3 8 2" xfId="28050" xr:uid="{00000000-0005-0000-0000-00009ED50000}"/>
    <cellStyle name="Normal 7 3 3 9" xfId="14584" xr:uid="{00000000-0005-0000-0000-00009FD50000}"/>
    <cellStyle name="Normal 7 3 3 9 2" xfId="29733" xr:uid="{00000000-0005-0000-0000-0000A0D50000}"/>
    <cellStyle name="Normal 7 3 30" xfId="57503" xr:uid="{00000000-0005-0000-0000-0000A1D50000}"/>
    <cellStyle name="Normal 7 3 31" xfId="59186" xr:uid="{00000000-0005-0000-0000-0000A2D50000}"/>
    <cellStyle name="Normal 7 3 32" xfId="60869" xr:uid="{00000000-0005-0000-0000-0000A3D50000}"/>
    <cellStyle name="Normal 7 3 33" xfId="62552" xr:uid="{00000000-0005-0000-0000-0000A4D50000}"/>
    <cellStyle name="Normal 7 3 4" xfId="1539" xr:uid="{00000000-0005-0000-0000-0000A5D50000}"/>
    <cellStyle name="Normal 7 3 4 10" xfId="16688" xr:uid="{00000000-0005-0000-0000-0000A6D50000}"/>
    <cellStyle name="Normal 7 3 4 11" xfId="31837" xr:uid="{00000000-0005-0000-0000-0000A7D50000}"/>
    <cellStyle name="Normal 7 3 4 12" xfId="33520" xr:uid="{00000000-0005-0000-0000-0000A8D50000}"/>
    <cellStyle name="Normal 7 3 4 13" xfId="35203" xr:uid="{00000000-0005-0000-0000-0000A9D50000}"/>
    <cellStyle name="Normal 7 3 4 14" xfId="36886" xr:uid="{00000000-0005-0000-0000-0000AAD50000}"/>
    <cellStyle name="Normal 7 3 4 15" xfId="38569" xr:uid="{00000000-0005-0000-0000-0000ABD50000}"/>
    <cellStyle name="Normal 7 3 4 16" xfId="40252" xr:uid="{00000000-0005-0000-0000-0000ACD50000}"/>
    <cellStyle name="Normal 7 3 4 17" xfId="41935" xr:uid="{00000000-0005-0000-0000-0000ADD50000}"/>
    <cellStyle name="Normal 7 3 4 18" xfId="43618" xr:uid="{00000000-0005-0000-0000-0000AED50000}"/>
    <cellStyle name="Normal 7 3 4 19" xfId="45301" xr:uid="{00000000-0005-0000-0000-0000AFD50000}"/>
    <cellStyle name="Normal 7 3 4 2" xfId="3222" xr:uid="{00000000-0005-0000-0000-0000B0D50000}"/>
    <cellStyle name="Normal 7 3 4 2 2" xfId="18371" xr:uid="{00000000-0005-0000-0000-0000B1D50000}"/>
    <cellStyle name="Normal 7 3 4 20" xfId="46984" xr:uid="{00000000-0005-0000-0000-0000B2D50000}"/>
    <cellStyle name="Normal 7 3 4 21" xfId="48667" xr:uid="{00000000-0005-0000-0000-0000B3D50000}"/>
    <cellStyle name="Normal 7 3 4 22" xfId="50350" xr:uid="{00000000-0005-0000-0000-0000B4D50000}"/>
    <cellStyle name="Normal 7 3 4 23" xfId="52033" xr:uid="{00000000-0005-0000-0000-0000B5D50000}"/>
    <cellStyle name="Normal 7 3 4 24" xfId="53716" xr:uid="{00000000-0005-0000-0000-0000B6D50000}"/>
    <cellStyle name="Normal 7 3 4 25" xfId="55399" xr:uid="{00000000-0005-0000-0000-0000B7D50000}"/>
    <cellStyle name="Normal 7 3 4 26" xfId="57082" xr:uid="{00000000-0005-0000-0000-0000B8D50000}"/>
    <cellStyle name="Normal 7 3 4 27" xfId="58765" xr:uid="{00000000-0005-0000-0000-0000B9D50000}"/>
    <cellStyle name="Normal 7 3 4 28" xfId="60448" xr:uid="{00000000-0005-0000-0000-0000BAD50000}"/>
    <cellStyle name="Normal 7 3 4 29" xfId="62131" xr:uid="{00000000-0005-0000-0000-0000BBD50000}"/>
    <cellStyle name="Normal 7 3 4 3" xfId="4906" xr:uid="{00000000-0005-0000-0000-0000BCD50000}"/>
    <cellStyle name="Normal 7 3 4 3 2" xfId="20055" xr:uid="{00000000-0005-0000-0000-0000BDD50000}"/>
    <cellStyle name="Normal 7 3 4 30" xfId="63814" xr:uid="{00000000-0005-0000-0000-0000BED50000}"/>
    <cellStyle name="Normal 7 3 4 4" xfId="6589" xr:uid="{00000000-0005-0000-0000-0000BFD50000}"/>
    <cellStyle name="Normal 7 3 4 4 2" xfId="21738" xr:uid="{00000000-0005-0000-0000-0000C0D50000}"/>
    <cellStyle name="Normal 7 3 4 5" xfId="8272" xr:uid="{00000000-0005-0000-0000-0000C1D50000}"/>
    <cellStyle name="Normal 7 3 4 5 2" xfId="23421" xr:uid="{00000000-0005-0000-0000-0000C2D50000}"/>
    <cellStyle name="Normal 7 3 4 6" xfId="9955" xr:uid="{00000000-0005-0000-0000-0000C3D50000}"/>
    <cellStyle name="Normal 7 3 4 6 2" xfId="25104" xr:uid="{00000000-0005-0000-0000-0000C4D50000}"/>
    <cellStyle name="Normal 7 3 4 7" xfId="11638" xr:uid="{00000000-0005-0000-0000-0000C5D50000}"/>
    <cellStyle name="Normal 7 3 4 7 2" xfId="26787" xr:uid="{00000000-0005-0000-0000-0000C6D50000}"/>
    <cellStyle name="Normal 7 3 4 8" xfId="13322" xr:uid="{00000000-0005-0000-0000-0000C7D50000}"/>
    <cellStyle name="Normal 7 3 4 8 2" xfId="28471" xr:uid="{00000000-0005-0000-0000-0000C8D50000}"/>
    <cellStyle name="Normal 7 3 4 9" xfId="15005" xr:uid="{00000000-0005-0000-0000-0000C9D50000}"/>
    <cellStyle name="Normal 7 3 4 9 2" xfId="30154" xr:uid="{00000000-0005-0000-0000-0000CAD50000}"/>
    <cellStyle name="Normal 7 3 5" xfId="1960" xr:uid="{00000000-0005-0000-0000-0000CBD50000}"/>
    <cellStyle name="Normal 7 3 5 2" xfId="17109" xr:uid="{00000000-0005-0000-0000-0000CCD50000}"/>
    <cellStyle name="Normal 7 3 6" xfId="3644" xr:uid="{00000000-0005-0000-0000-0000CDD50000}"/>
    <cellStyle name="Normal 7 3 6 2" xfId="18793" xr:uid="{00000000-0005-0000-0000-0000CED50000}"/>
    <cellStyle name="Normal 7 3 7" xfId="5327" xr:uid="{00000000-0005-0000-0000-0000CFD50000}"/>
    <cellStyle name="Normal 7 3 7 2" xfId="20476" xr:uid="{00000000-0005-0000-0000-0000D0D50000}"/>
    <cellStyle name="Normal 7 3 8" xfId="7010" xr:uid="{00000000-0005-0000-0000-0000D1D50000}"/>
    <cellStyle name="Normal 7 3 8 2" xfId="22159" xr:uid="{00000000-0005-0000-0000-0000D2D50000}"/>
    <cellStyle name="Normal 7 3 9" xfId="8693" xr:uid="{00000000-0005-0000-0000-0000D3D50000}"/>
    <cellStyle name="Normal 7 3 9 2" xfId="23842" xr:uid="{00000000-0005-0000-0000-0000D4D50000}"/>
    <cellStyle name="Normal 7 30" xfId="53927" xr:uid="{00000000-0005-0000-0000-0000D5D50000}"/>
    <cellStyle name="Normal 7 31" xfId="55610" xr:uid="{00000000-0005-0000-0000-0000D6D50000}"/>
    <cellStyle name="Normal 7 32" xfId="57293" xr:uid="{00000000-0005-0000-0000-0000D7D50000}"/>
    <cellStyle name="Normal 7 33" xfId="58976" xr:uid="{00000000-0005-0000-0000-0000D8D50000}"/>
    <cellStyle name="Normal 7 34" xfId="60659" xr:uid="{00000000-0005-0000-0000-0000D9D50000}"/>
    <cellStyle name="Normal 7 35" xfId="62342" xr:uid="{00000000-0005-0000-0000-0000DAD50000}"/>
    <cellStyle name="Normal 7 4" xfId="487" xr:uid="{00000000-0005-0000-0000-0000DBD50000}"/>
    <cellStyle name="Normal 7 4 10" xfId="15636" xr:uid="{00000000-0005-0000-0000-0000DCD50000}"/>
    <cellStyle name="Normal 7 4 11" xfId="30785" xr:uid="{00000000-0005-0000-0000-0000DDD50000}"/>
    <cellStyle name="Normal 7 4 12" xfId="32468" xr:uid="{00000000-0005-0000-0000-0000DED50000}"/>
    <cellStyle name="Normal 7 4 13" xfId="34151" xr:uid="{00000000-0005-0000-0000-0000DFD50000}"/>
    <cellStyle name="Normal 7 4 14" xfId="35834" xr:uid="{00000000-0005-0000-0000-0000E0D50000}"/>
    <cellStyle name="Normal 7 4 15" xfId="37517" xr:uid="{00000000-0005-0000-0000-0000E1D50000}"/>
    <cellStyle name="Normal 7 4 16" xfId="39200" xr:uid="{00000000-0005-0000-0000-0000E2D50000}"/>
    <cellStyle name="Normal 7 4 17" xfId="40883" xr:uid="{00000000-0005-0000-0000-0000E3D50000}"/>
    <cellStyle name="Normal 7 4 18" xfId="42566" xr:uid="{00000000-0005-0000-0000-0000E4D50000}"/>
    <cellStyle name="Normal 7 4 19" xfId="44249" xr:uid="{00000000-0005-0000-0000-0000E5D50000}"/>
    <cellStyle name="Normal 7 4 2" xfId="2170" xr:uid="{00000000-0005-0000-0000-0000E6D50000}"/>
    <cellStyle name="Normal 7 4 2 2" xfId="17319" xr:uid="{00000000-0005-0000-0000-0000E7D50000}"/>
    <cellStyle name="Normal 7 4 20" xfId="45932" xr:uid="{00000000-0005-0000-0000-0000E8D50000}"/>
    <cellStyle name="Normal 7 4 21" xfId="47615" xr:uid="{00000000-0005-0000-0000-0000E9D50000}"/>
    <cellStyle name="Normal 7 4 22" xfId="49298" xr:uid="{00000000-0005-0000-0000-0000EAD50000}"/>
    <cellStyle name="Normal 7 4 23" xfId="50981" xr:uid="{00000000-0005-0000-0000-0000EBD50000}"/>
    <cellStyle name="Normal 7 4 24" xfId="52664" xr:uid="{00000000-0005-0000-0000-0000ECD50000}"/>
    <cellStyle name="Normal 7 4 25" xfId="54347" xr:uid="{00000000-0005-0000-0000-0000EDD50000}"/>
    <cellStyle name="Normal 7 4 26" xfId="56030" xr:uid="{00000000-0005-0000-0000-0000EED50000}"/>
    <cellStyle name="Normal 7 4 27" xfId="57713" xr:uid="{00000000-0005-0000-0000-0000EFD50000}"/>
    <cellStyle name="Normal 7 4 28" xfId="59396" xr:uid="{00000000-0005-0000-0000-0000F0D50000}"/>
    <cellStyle name="Normal 7 4 29" xfId="61079" xr:uid="{00000000-0005-0000-0000-0000F1D50000}"/>
    <cellStyle name="Normal 7 4 3" xfId="3854" xr:uid="{00000000-0005-0000-0000-0000F2D50000}"/>
    <cellStyle name="Normal 7 4 3 2" xfId="19003" xr:uid="{00000000-0005-0000-0000-0000F3D50000}"/>
    <cellStyle name="Normal 7 4 30" xfId="62762" xr:uid="{00000000-0005-0000-0000-0000F4D50000}"/>
    <cellStyle name="Normal 7 4 4" xfId="5537" xr:uid="{00000000-0005-0000-0000-0000F5D50000}"/>
    <cellStyle name="Normal 7 4 4 2" xfId="20686" xr:uid="{00000000-0005-0000-0000-0000F6D50000}"/>
    <cellStyle name="Normal 7 4 5" xfId="7220" xr:uid="{00000000-0005-0000-0000-0000F7D50000}"/>
    <cellStyle name="Normal 7 4 5 2" xfId="22369" xr:uid="{00000000-0005-0000-0000-0000F8D50000}"/>
    <cellStyle name="Normal 7 4 6" xfId="8903" xr:uid="{00000000-0005-0000-0000-0000F9D50000}"/>
    <cellStyle name="Normal 7 4 6 2" xfId="24052" xr:uid="{00000000-0005-0000-0000-0000FAD50000}"/>
    <cellStyle name="Normal 7 4 7" xfId="10586" xr:uid="{00000000-0005-0000-0000-0000FBD50000}"/>
    <cellStyle name="Normal 7 4 7 2" xfId="25735" xr:uid="{00000000-0005-0000-0000-0000FCD50000}"/>
    <cellStyle name="Normal 7 4 8" xfId="12270" xr:uid="{00000000-0005-0000-0000-0000FDD50000}"/>
    <cellStyle name="Normal 7 4 8 2" xfId="27419" xr:uid="{00000000-0005-0000-0000-0000FED50000}"/>
    <cellStyle name="Normal 7 4 9" xfId="13953" xr:uid="{00000000-0005-0000-0000-0000FFD50000}"/>
    <cellStyle name="Normal 7 4 9 2" xfId="29102" xr:uid="{00000000-0005-0000-0000-000000D60000}"/>
    <cellStyle name="Normal 7 5" xfId="908" xr:uid="{00000000-0005-0000-0000-000001D60000}"/>
    <cellStyle name="Normal 7 5 10" xfId="16057" xr:uid="{00000000-0005-0000-0000-000002D60000}"/>
    <cellStyle name="Normal 7 5 11" xfId="31206" xr:uid="{00000000-0005-0000-0000-000003D60000}"/>
    <cellStyle name="Normal 7 5 12" xfId="32889" xr:uid="{00000000-0005-0000-0000-000004D60000}"/>
    <cellStyle name="Normal 7 5 13" xfId="34572" xr:uid="{00000000-0005-0000-0000-000005D60000}"/>
    <cellStyle name="Normal 7 5 14" xfId="36255" xr:uid="{00000000-0005-0000-0000-000006D60000}"/>
    <cellStyle name="Normal 7 5 15" xfId="37938" xr:uid="{00000000-0005-0000-0000-000007D60000}"/>
    <cellStyle name="Normal 7 5 16" xfId="39621" xr:uid="{00000000-0005-0000-0000-000008D60000}"/>
    <cellStyle name="Normal 7 5 17" xfId="41304" xr:uid="{00000000-0005-0000-0000-000009D60000}"/>
    <cellStyle name="Normal 7 5 18" xfId="42987" xr:uid="{00000000-0005-0000-0000-00000AD60000}"/>
    <cellStyle name="Normal 7 5 19" xfId="44670" xr:uid="{00000000-0005-0000-0000-00000BD60000}"/>
    <cellStyle name="Normal 7 5 2" xfId="2591" xr:uid="{00000000-0005-0000-0000-00000CD60000}"/>
    <cellStyle name="Normal 7 5 2 2" xfId="17740" xr:uid="{00000000-0005-0000-0000-00000DD60000}"/>
    <cellStyle name="Normal 7 5 20" xfId="46353" xr:uid="{00000000-0005-0000-0000-00000ED60000}"/>
    <cellStyle name="Normal 7 5 21" xfId="48036" xr:uid="{00000000-0005-0000-0000-00000FD60000}"/>
    <cellStyle name="Normal 7 5 22" xfId="49719" xr:uid="{00000000-0005-0000-0000-000010D60000}"/>
    <cellStyle name="Normal 7 5 23" xfId="51402" xr:uid="{00000000-0005-0000-0000-000011D60000}"/>
    <cellStyle name="Normal 7 5 24" xfId="53085" xr:uid="{00000000-0005-0000-0000-000012D60000}"/>
    <cellStyle name="Normal 7 5 25" xfId="54768" xr:uid="{00000000-0005-0000-0000-000013D60000}"/>
    <cellStyle name="Normal 7 5 26" xfId="56451" xr:uid="{00000000-0005-0000-0000-000014D60000}"/>
    <cellStyle name="Normal 7 5 27" xfId="58134" xr:uid="{00000000-0005-0000-0000-000015D60000}"/>
    <cellStyle name="Normal 7 5 28" xfId="59817" xr:uid="{00000000-0005-0000-0000-000016D60000}"/>
    <cellStyle name="Normal 7 5 29" xfId="61500" xr:uid="{00000000-0005-0000-0000-000017D60000}"/>
    <cellStyle name="Normal 7 5 3" xfId="4275" xr:uid="{00000000-0005-0000-0000-000018D60000}"/>
    <cellStyle name="Normal 7 5 3 2" xfId="19424" xr:uid="{00000000-0005-0000-0000-000019D60000}"/>
    <cellStyle name="Normal 7 5 30" xfId="63183" xr:uid="{00000000-0005-0000-0000-00001AD60000}"/>
    <cellStyle name="Normal 7 5 4" xfId="5958" xr:uid="{00000000-0005-0000-0000-00001BD60000}"/>
    <cellStyle name="Normal 7 5 4 2" xfId="21107" xr:uid="{00000000-0005-0000-0000-00001CD60000}"/>
    <cellStyle name="Normal 7 5 5" xfId="7641" xr:uid="{00000000-0005-0000-0000-00001DD60000}"/>
    <cellStyle name="Normal 7 5 5 2" xfId="22790" xr:uid="{00000000-0005-0000-0000-00001ED60000}"/>
    <cellStyle name="Normal 7 5 6" xfId="9324" xr:uid="{00000000-0005-0000-0000-00001FD60000}"/>
    <cellStyle name="Normal 7 5 6 2" xfId="24473" xr:uid="{00000000-0005-0000-0000-000020D60000}"/>
    <cellStyle name="Normal 7 5 7" xfId="11007" xr:uid="{00000000-0005-0000-0000-000021D60000}"/>
    <cellStyle name="Normal 7 5 7 2" xfId="26156" xr:uid="{00000000-0005-0000-0000-000022D60000}"/>
    <cellStyle name="Normal 7 5 8" xfId="12691" xr:uid="{00000000-0005-0000-0000-000023D60000}"/>
    <cellStyle name="Normal 7 5 8 2" xfId="27840" xr:uid="{00000000-0005-0000-0000-000024D60000}"/>
    <cellStyle name="Normal 7 5 9" xfId="14374" xr:uid="{00000000-0005-0000-0000-000025D60000}"/>
    <cellStyle name="Normal 7 5 9 2" xfId="29523" xr:uid="{00000000-0005-0000-0000-000026D60000}"/>
    <cellStyle name="Normal 7 6" xfId="1329" xr:uid="{00000000-0005-0000-0000-000027D60000}"/>
    <cellStyle name="Normal 7 6 10" xfId="16478" xr:uid="{00000000-0005-0000-0000-000028D60000}"/>
    <cellStyle name="Normal 7 6 11" xfId="31627" xr:uid="{00000000-0005-0000-0000-000029D60000}"/>
    <cellStyle name="Normal 7 6 12" xfId="33310" xr:uid="{00000000-0005-0000-0000-00002AD60000}"/>
    <cellStyle name="Normal 7 6 13" xfId="34993" xr:uid="{00000000-0005-0000-0000-00002BD60000}"/>
    <cellStyle name="Normal 7 6 14" xfId="36676" xr:uid="{00000000-0005-0000-0000-00002CD60000}"/>
    <cellStyle name="Normal 7 6 15" xfId="38359" xr:uid="{00000000-0005-0000-0000-00002DD60000}"/>
    <cellStyle name="Normal 7 6 16" xfId="40042" xr:uid="{00000000-0005-0000-0000-00002ED60000}"/>
    <cellStyle name="Normal 7 6 17" xfId="41725" xr:uid="{00000000-0005-0000-0000-00002FD60000}"/>
    <cellStyle name="Normal 7 6 18" xfId="43408" xr:uid="{00000000-0005-0000-0000-000030D60000}"/>
    <cellStyle name="Normal 7 6 19" xfId="45091" xr:uid="{00000000-0005-0000-0000-000031D60000}"/>
    <cellStyle name="Normal 7 6 2" xfId="3012" xr:uid="{00000000-0005-0000-0000-000032D60000}"/>
    <cellStyle name="Normal 7 6 2 2" xfId="18161" xr:uid="{00000000-0005-0000-0000-000033D60000}"/>
    <cellStyle name="Normal 7 6 20" xfId="46774" xr:uid="{00000000-0005-0000-0000-000034D60000}"/>
    <cellStyle name="Normal 7 6 21" xfId="48457" xr:uid="{00000000-0005-0000-0000-000035D60000}"/>
    <cellStyle name="Normal 7 6 22" xfId="50140" xr:uid="{00000000-0005-0000-0000-000036D60000}"/>
    <cellStyle name="Normal 7 6 23" xfId="51823" xr:uid="{00000000-0005-0000-0000-000037D60000}"/>
    <cellStyle name="Normal 7 6 24" xfId="53506" xr:uid="{00000000-0005-0000-0000-000038D60000}"/>
    <cellStyle name="Normal 7 6 25" xfId="55189" xr:uid="{00000000-0005-0000-0000-000039D60000}"/>
    <cellStyle name="Normal 7 6 26" xfId="56872" xr:uid="{00000000-0005-0000-0000-00003AD60000}"/>
    <cellStyle name="Normal 7 6 27" xfId="58555" xr:uid="{00000000-0005-0000-0000-00003BD60000}"/>
    <cellStyle name="Normal 7 6 28" xfId="60238" xr:uid="{00000000-0005-0000-0000-00003CD60000}"/>
    <cellStyle name="Normal 7 6 29" xfId="61921" xr:uid="{00000000-0005-0000-0000-00003DD60000}"/>
    <cellStyle name="Normal 7 6 3" xfId="4696" xr:uid="{00000000-0005-0000-0000-00003ED60000}"/>
    <cellStyle name="Normal 7 6 3 2" xfId="19845" xr:uid="{00000000-0005-0000-0000-00003FD60000}"/>
    <cellStyle name="Normal 7 6 30" xfId="63604" xr:uid="{00000000-0005-0000-0000-000040D60000}"/>
    <cellStyle name="Normal 7 6 4" xfId="6379" xr:uid="{00000000-0005-0000-0000-000041D60000}"/>
    <cellStyle name="Normal 7 6 4 2" xfId="21528" xr:uid="{00000000-0005-0000-0000-000042D60000}"/>
    <cellStyle name="Normal 7 6 5" xfId="8062" xr:uid="{00000000-0005-0000-0000-000043D60000}"/>
    <cellStyle name="Normal 7 6 5 2" xfId="23211" xr:uid="{00000000-0005-0000-0000-000044D60000}"/>
    <cellStyle name="Normal 7 6 6" xfId="9745" xr:uid="{00000000-0005-0000-0000-000045D60000}"/>
    <cellStyle name="Normal 7 6 6 2" xfId="24894" xr:uid="{00000000-0005-0000-0000-000046D60000}"/>
    <cellStyle name="Normal 7 6 7" xfId="11428" xr:uid="{00000000-0005-0000-0000-000047D60000}"/>
    <cellStyle name="Normal 7 6 7 2" xfId="26577" xr:uid="{00000000-0005-0000-0000-000048D60000}"/>
    <cellStyle name="Normal 7 6 8" xfId="13112" xr:uid="{00000000-0005-0000-0000-000049D60000}"/>
    <cellStyle name="Normal 7 6 8 2" xfId="28261" xr:uid="{00000000-0005-0000-0000-00004AD60000}"/>
    <cellStyle name="Normal 7 6 9" xfId="14795" xr:uid="{00000000-0005-0000-0000-00004BD60000}"/>
    <cellStyle name="Normal 7 6 9 2" xfId="29944" xr:uid="{00000000-0005-0000-0000-00004CD60000}"/>
    <cellStyle name="Normal 7 7" xfId="1750" xr:uid="{00000000-0005-0000-0000-00004DD60000}"/>
    <cellStyle name="Normal 7 7 2" xfId="16899" xr:uid="{00000000-0005-0000-0000-00004ED60000}"/>
    <cellStyle name="Normal 7 8" xfId="3434" xr:uid="{00000000-0005-0000-0000-00004FD60000}"/>
    <cellStyle name="Normal 7 8 2" xfId="18583" xr:uid="{00000000-0005-0000-0000-000050D60000}"/>
    <cellStyle name="Normal 7 9" xfId="5117" xr:uid="{00000000-0005-0000-0000-000051D60000}"/>
    <cellStyle name="Normal 7 9 2" xfId="20266" xr:uid="{00000000-0005-0000-0000-000052D60000}"/>
    <cellStyle name="Normal 8" xfId="94" xr:uid="{00000000-0005-0000-0000-000053D60000}"/>
    <cellStyle name="Normal 8 10" xfId="6827" xr:uid="{00000000-0005-0000-0000-000054D60000}"/>
    <cellStyle name="Normal 8 10 2" xfId="21976" xr:uid="{00000000-0005-0000-0000-000055D60000}"/>
    <cellStyle name="Normal 8 11" xfId="8510" xr:uid="{00000000-0005-0000-0000-000056D60000}"/>
    <cellStyle name="Normal 8 11 2" xfId="23659" xr:uid="{00000000-0005-0000-0000-000057D60000}"/>
    <cellStyle name="Normal 8 12" xfId="10193" xr:uid="{00000000-0005-0000-0000-000058D60000}"/>
    <cellStyle name="Normal 8 12 2" xfId="25342" xr:uid="{00000000-0005-0000-0000-000059D60000}"/>
    <cellStyle name="Normal 8 13" xfId="11877" xr:uid="{00000000-0005-0000-0000-00005AD60000}"/>
    <cellStyle name="Normal 8 13 2" xfId="27026" xr:uid="{00000000-0005-0000-0000-00005BD60000}"/>
    <cellStyle name="Normal 8 14" xfId="13560" xr:uid="{00000000-0005-0000-0000-00005CD60000}"/>
    <cellStyle name="Normal 8 14 2" xfId="28709" xr:uid="{00000000-0005-0000-0000-00005DD60000}"/>
    <cellStyle name="Normal 8 15" xfId="15243" xr:uid="{00000000-0005-0000-0000-00005ED60000}"/>
    <cellStyle name="Normal 8 16" xfId="30392" xr:uid="{00000000-0005-0000-0000-00005FD60000}"/>
    <cellStyle name="Normal 8 17" xfId="32075" xr:uid="{00000000-0005-0000-0000-000060D60000}"/>
    <cellStyle name="Normal 8 18" xfId="33758" xr:uid="{00000000-0005-0000-0000-000061D60000}"/>
    <cellStyle name="Normal 8 19" xfId="35441" xr:uid="{00000000-0005-0000-0000-000062D60000}"/>
    <cellStyle name="Normal 8 2" xfId="199" xr:uid="{00000000-0005-0000-0000-000063D60000}"/>
    <cellStyle name="Normal 8 2 10" xfId="8615" xr:uid="{00000000-0005-0000-0000-000064D60000}"/>
    <cellStyle name="Normal 8 2 10 2" xfId="23764" xr:uid="{00000000-0005-0000-0000-000065D60000}"/>
    <cellStyle name="Normal 8 2 11" xfId="10298" xr:uid="{00000000-0005-0000-0000-000066D60000}"/>
    <cellStyle name="Normal 8 2 11 2" xfId="25447" xr:uid="{00000000-0005-0000-0000-000067D60000}"/>
    <cellStyle name="Normal 8 2 12" xfId="11982" xr:uid="{00000000-0005-0000-0000-000068D60000}"/>
    <cellStyle name="Normal 8 2 12 2" xfId="27131" xr:uid="{00000000-0005-0000-0000-000069D60000}"/>
    <cellStyle name="Normal 8 2 13" xfId="13665" xr:uid="{00000000-0005-0000-0000-00006AD60000}"/>
    <cellStyle name="Normal 8 2 13 2" xfId="28814" xr:uid="{00000000-0005-0000-0000-00006BD60000}"/>
    <cellStyle name="Normal 8 2 14" xfId="15348" xr:uid="{00000000-0005-0000-0000-00006CD60000}"/>
    <cellStyle name="Normal 8 2 15" xfId="30497" xr:uid="{00000000-0005-0000-0000-00006DD60000}"/>
    <cellStyle name="Normal 8 2 16" xfId="32180" xr:uid="{00000000-0005-0000-0000-00006ED60000}"/>
    <cellStyle name="Normal 8 2 17" xfId="33863" xr:uid="{00000000-0005-0000-0000-00006FD60000}"/>
    <cellStyle name="Normal 8 2 18" xfId="35546" xr:uid="{00000000-0005-0000-0000-000070D60000}"/>
    <cellStyle name="Normal 8 2 19" xfId="37229" xr:uid="{00000000-0005-0000-0000-000071D60000}"/>
    <cellStyle name="Normal 8 2 2" xfId="409" xr:uid="{00000000-0005-0000-0000-000072D60000}"/>
    <cellStyle name="Normal 8 2 2 10" xfId="10508" xr:uid="{00000000-0005-0000-0000-000073D60000}"/>
    <cellStyle name="Normal 8 2 2 10 2" xfId="25657" xr:uid="{00000000-0005-0000-0000-000074D60000}"/>
    <cellStyle name="Normal 8 2 2 11" xfId="12192" xr:uid="{00000000-0005-0000-0000-000075D60000}"/>
    <cellStyle name="Normal 8 2 2 11 2" xfId="27341" xr:uid="{00000000-0005-0000-0000-000076D60000}"/>
    <cellStyle name="Normal 8 2 2 12" xfId="13875" xr:uid="{00000000-0005-0000-0000-000077D60000}"/>
    <cellStyle name="Normal 8 2 2 12 2" xfId="29024" xr:uid="{00000000-0005-0000-0000-000078D60000}"/>
    <cellStyle name="Normal 8 2 2 13" xfId="15558" xr:uid="{00000000-0005-0000-0000-000079D60000}"/>
    <cellStyle name="Normal 8 2 2 14" xfId="30707" xr:uid="{00000000-0005-0000-0000-00007AD60000}"/>
    <cellStyle name="Normal 8 2 2 15" xfId="32390" xr:uid="{00000000-0005-0000-0000-00007BD60000}"/>
    <cellStyle name="Normal 8 2 2 16" xfId="34073" xr:uid="{00000000-0005-0000-0000-00007CD60000}"/>
    <cellStyle name="Normal 8 2 2 17" xfId="35756" xr:uid="{00000000-0005-0000-0000-00007DD60000}"/>
    <cellStyle name="Normal 8 2 2 18" xfId="37439" xr:uid="{00000000-0005-0000-0000-00007ED60000}"/>
    <cellStyle name="Normal 8 2 2 19" xfId="39122" xr:uid="{00000000-0005-0000-0000-00007FD60000}"/>
    <cellStyle name="Normal 8 2 2 2" xfId="829" xr:uid="{00000000-0005-0000-0000-000080D60000}"/>
    <cellStyle name="Normal 8 2 2 2 10" xfId="15978" xr:uid="{00000000-0005-0000-0000-000081D60000}"/>
    <cellStyle name="Normal 8 2 2 2 11" xfId="31127" xr:uid="{00000000-0005-0000-0000-000082D60000}"/>
    <cellStyle name="Normal 8 2 2 2 12" xfId="32810" xr:uid="{00000000-0005-0000-0000-000083D60000}"/>
    <cellStyle name="Normal 8 2 2 2 13" xfId="34493" xr:uid="{00000000-0005-0000-0000-000084D60000}"/>
    <cellStyle name="Normal 8 2 2 2 14" xfId="36176" xr:uid="{00000000-0005-0000-0000-000085D60000}"/>
    <cellStyle name="Normal 8 2 2 2 15" xfId="37859" xr:uid="{00000000-0005-0000-0000-000086D60000}"/>
    <cellStyle name="Normal 8 2 2 2 16" xfId="39542" xr:uid="{00000000-0005-0000-0000-000087D60000}"/>
    <cellStyle name="Normal 8 2 2 2 17" xfId="41225" xr:uid="{00000000-0005-0000-0000-000088D60000}"/>
    <cellStyle name="Normal 8 2 2 2 18" xfId="42908" xr:uid="{00000000-0005-0000-0000-000089D60000}"/>
    <cellStyle name="Normal 8 2 2 2 19" xfId="44591" xr:uid="{00000000-0005-0000-0000-00008AD60000}"/>
    <cellStyle name="Normal 8 2 2 2 2" xfId="2512" xr:uid="{00000000-0005-0000-0000-00008BD60000}"/>
    <cellStyle name="Normal 8 2 2 2 2 2" xfId="17661" xr:uid="{00000000-0005-0000-0000-00008CD60000}"/>
    <cellStyle name="Normal 8 2 2 2 20" xfId="46274" xr:uid="{00000000-0005-0000-0000-00008DD60000}"/>
    <cellStyle name="Normal 8 2 2 2 21" xfId="47957" xr:uid="{00000000-0005-0000-0000-00008ED60000}"/>
    <cellStyle name="Normal 8 2 2 2 22" xfId="49640" xr:uid="{00000000-0005-0000-0000-00008FD60000}"/>
    <cellStyle name="Normal 8 2 2 2 23" xfId="51323" xr:uid="{00000000-0005-0000-0000-000090D60000}"/>
    <cellStyle name="Normal 8 2 2 2 24" xfId="53006" xr:uid="{00000000-0005-0000-0000-000091D60000}"/>
    <cellStyle name="Normal 8 2 2 2 25" xfId="54689" xr:uid="{00000000-0005-0000-0000-000092D60000}"/>
    <cellStyle name="Normal 8 2 2 2 26" xfId="56372" xr:uid="{00000000-0005-0000-0000-000093D60000}"/>
    <cellStyle name="Normal 8 2 2 2 27" xfId="58055" xr:uid="{00000000-0005-0000-0000-000094D60000}"/>
    <cellStyle name="Normal 8 2 2 2 28" xfId="59738" xr:uid="{00000000-0005-0000-0000-000095D60000}"/>
    <cellStyle name="Normal 8 2 2 2 29" xfId="61421" xr:uid="{00000000-0005-0000-0000-000096D60000}"/>
    <cellStyle name="Normal 8 2 2 2 3" xfId="4196" xr:uid="{00000000-0005-0000-0000-000097D60000}"/>
    <cellStyle name="Normal 8 2 2 2 3 2" xfId="19345" xr:uid="{00000000-0005-0000-0000-000098D60000}"/>
    <cellStyle name="Normal 8 2 2 2 30" xfId="63104" xr:uid="{00000000-0005-0000-0000-000099D60000}"/>
    <cellStyle name="Normal 8 2 2 2 4" xfId="5879" xr:uid="{00000000-0005-0000-0000-00009AD60000}"/>
    <cellStyle name="Normal 8 2 2 2 4 2" xfId="21028" xr:uid="{00000000-0005-0000-0000-00009BD60000}"/>
    <cellStyle name="Normal 8 2 2 2 5" xfId="7562" xr:uid="{00000000-0005-0000-0000-00009CD60000}"/>
    <cellStyle name="Normal 8 2 2 2 5 2" xfId="22711" xr:uid="{00000000-0005-0000-0000-00009DD60000}"/>
    <cellStyle name="Normal 8 2 2 2 6" xfId="9245" xr:uid="{00000000-0005-0000-0000-00009ED60000}"/>
    <cellStyle name="Normal 8 2 2 2 6 2" xfId="24394" xr:uid="{00000000-0005-0000-0000-00009FD60000}"/>
    <cellStyle name="Normal 8 2 2 2 7" xfId="10928" xr:uid="{00000000-0005-0000-0000-0000A0D60000}"/>
    <cellStyle name="Normal 8 2 2 2 7 2" xfId="26077" xr:uid="{00000000-0005-0000-0000-0000A1D60000}"/>
    <cellStyle name="Normal 8 2 2 2 8" xfId="12612" xr:uid="{00000000-0005-0000-0000-0000A2D60000}"/>
    <cellStyle name="Normal 8 2 2 2 8 2" xfId="27761" xr:uid="{00000000-0005-0000-0000-0000A3D60000}"/>
    <cellStyle name="Normal 8 2 2 2 9" xfId="14295" xr:uid="{00000000-0005-0000-0000-0000A4D60000}"/>
    <cellStyle name="Normal 8 2 2 2 9 2" xfId="29444" xr:uid="{00000000-0005-0000-0000-0000A5D60000}"/>
    <cellStyle name="Normal 8 2 2 20" xfId="40805" xr:uid="{00000000-0005-0000-0000-0000A6D60000}"/>
    <cellStyle name="Normal 8 2 2 21" xfId="42488" xr:uid="{00000000-0005-0000-0000-0000A7D60000}"/>
    <cellStyle name="Normal 8 2 2 22" xfId="44171" xr:uid="{00000000-0005-0000-0000-0000A8D60000}"/>
    <cellStyle name="Normal 8 2 2 23" xfId="45854" xr:uid="{00000000-0005-0000-0000-0000A9D60000}"/>
    <cellStyle name="Normal 8 2 2 24" xfId="47537" xr:uid="{00000000-0005-0000-0000-0000AAD60000}"/>
    <cellStyle name="Normal 8 2 2 25" xfId="49220" xr:uid="{00000000-0005-0000-0000-0000ABD60000}"/>
    <cellStyle name="Normal 8 2 2 26" xfId="50903" xr:uid="{00000000-0005-0000-0000-0000ACD60000}"/>
    <cellStyle name="Normal 8 2 2 27" xfId="52586" xr:uid="{00000000-0005-0000-0000-0000ADD60000}"/>
    <cellStyle name="Normal 8 2 2 28" xfId="54269" xr:uid="{00000000-0005-0000-0000-0000AED60000}"/>
    <cellStyle name="Normal 8 2 2 29" xfId="55952" xr:uid="{00000000-0005-0000-0000-0000AFD60000}"/>
    <cellStyle name="Normal 8 2 2 3" xfId="1250" xr:uid="{00000000-0005-0000-0000-0000B0D60000}"/>
    <cellStyle name="Normal 8 2 2 3 10" xfId="16399" xr:uid="{00000000-0005-0000-0000-0000B1D60000}"/>
    <cellStyle name="Normal 8 2 2 3 11" xfId="31548" xr:uid="{00000000-0005-0000-0000-0000B2D60000}"/>
    <cellStyle name="Normal 8 2 2 3 12" xfId="33231" xr:uid="{00000000-0005-0000-0000-0000B3D60000}"/>
    <cellStyle name="Normal 8 2 2 3 13" xfId="34914" xr:uid="{00000000-0005-0000-0000-0000B4D60000}"/>
    <cellStyle name="Normal 8 2 2 3 14" xfId="36597" xr:uid="{00000000-0005-0000-0000-0000B5D60000}"/>
    <cellStyle name="Normal 8 2 2 3 15" xfId="38280" xr:uid="{00000000-0005-0000-0000-0000B6D60000}"/>
    <cellStyle name="Normal 8 2 2 3 16" xfId="39963" xr:uid="{00000000-0005-0000-0000-0000B7D60000}"/>
    <cellStyle name="Normal 8 2 2 3 17" xfId="41646" xr:uid="{00000000-0005-0000-0000-0000B8D60000}"/>
    <cellStyle name="Normal 8 2 2 3 18" xfId="43329" xr:uid="{00000000-0005-0000-0000-0000B9D60000}"/>
    <cellStyle name="Normal 8 2 2 3 19" xfId="45012" xr:uid="{00000000-0005-0000-0000-0000BAD60000}"/>
    <cellStyle name="Normal 8 2 2 3 2" xfId="2933" xr:uid="{00000000-0005-0000-0000-0000BBD60000}"/>
    <cellStyle name="Normal 8 2 2 3 2 2" xfId="18082" xr:uid="{00000000-0005-0000-0000-0000BCD60000}"/>
    <cellStyle name="Normal 8 2 2 3 20" xfId="46695" xr:uid="{00000000-0005-0000-0000-0000BDD60000}"/>
    <cellStyle name="Normal 8 2 2 3 21" xfId="48378" xr:uid="{00000000-0005-0000-0000-0000BED60000}"/>
    <cellStyle name="Normal 8 2 2 3 22" xfId="50061" xr:uid="{00000000-0005-0000-0000-0000BFD60000}"/>
    <cellStyle name="Normal 8 2 2 3 23" xfId="51744" xr:uid="{00000000-0005-0000-0000-0000C0D60000}"/>
    <cellStyle name="Normal 8 2 2 3 24" xfId="53427" xr:uid="{00000000-0005-0000-0000-0000C1D60000}"/>
    <cellStyle name="Normal 8 2 2 3 25" xfId="55110" xr:uid="{00000000-0005-0000-0000-0000C2D60000}"/>
    <cellStyle name="Normal 8 2 2 3 26" xfId="56793" xr:uid="{00000000-0005-0000-0000-0000C3D60000}"/>
    <cellStyle name="Normal 8 2 2 3 27" xfId="58476" xr:uid="{00000000-0005-0000-0000-0000C4D60000}"/>
    <cellStyle name="Normal 8 2 2 3 28" xfId="60159" xr:uid="{00000000-0005-0000-0000-0000C5D60000}"/>
    <cellStyle name="Normal 8 2 2 3 29" xfId="61842" xr:uid="{00000000-0005-0000-0000-0000C6D60000}"/>
    <cellStyle name="Normal 8 2 2 3 3" xfId="4617" xr:uid="{00000000-0005-0000-0000-0000C7D60000}"/>
    <cellStyle name="Normal 8 2 2 3 3 2" xfId="19766" xr:uid="{00000000-0005-0000-0000-0000C8D60000}"/>
    <cellStyle name="Normal 8 2 2 3 30" xfId="63525" xr:uid="{00000000-0005-0000-0000-0000C9D60000}"/>
    <cellStyle name="Normal 8 2 2 3 4" xfId="6300" xr:uid="{00000000-0005-0000-0000-0000CAD60000}"/>
    <cellStyle name="Normal 8 2 2 3 4 2" xfId="21449" xr:uid="{00000000-0005-0000-0000-0000CBD60000}"/>
    <cellStyle name="Normal 8 2 2 3 5" xfId="7983" xr:uid="{00000000-0005-0000-0000-0000CCD60000}"/>
    <cellStyle name="Normal 8 2 2 3 5 2" xfId="23132" xr:uid="{00000000-0005-0000-0000-0000CDD60000}"/>
    <cellStyle name="Normal 8 2 2 3 6" xfId="9666" xr:uid="{00000000-0005-0000-0000-0000CED60000}"/>
    <cellStyle name="Normal 8 2 2 3 6 2" xfId="24815" xr:uid="{00000000-0005-0000-0000-0000CFD60000}"/>
    <cellStyle name="Normal 8 2 2 3 7" xfId="11349" xr:uid="{00000000-0005-0000-0000-0000D0D60000}"/>
    <cellStyle name="Normal 8 2 2 3 7 2" xfId="26498" xr:uid="{00000000-0005-0000-0000-0000D1D60000}"/>
    <cellStyle name="Normal 8 2 2 3 8" xfId="13033" xr:uid="{00000000-0005-0000-0000-0000D2D60000}"/>
    <cellStyle name="Normal 8 2 2 3 8 2" xfId="28182" xr:uid="{00000000-0005-0000-0000-0000D3D60000}"/>
    <cellStyle name="Normal 8 2 2 3 9" xfId="14716" xr:uid="{00000000-0005-0000-0000-0000D4D60000}"/>
    <cellStyle name="Normal 8 2 2 3 9 2" xfId="29865" xr:uid="{00000000-0005-0000-0000-0000D5D60000}"/>
    <cellStyle name="Normal 8 2 2 30" xfId="57635" xr:uid="{00000000-0005-0000-0000-0000D6D60000}"/>
    <cellStyle name="Normal 8 2 2 31" xfId="59318" xr:uid="{00000000-0005-0000-0000-0000D7D60000}"/>
    <cellStyle name="Normal 8 2 2 32" xfId="61001" xr:uid="{00000000-0005-0000-0000-0000D8D60000}"/>
    <cellStyle name="Normal 8 2 2 33" xfId="62684" xr:uid="{00000000-0005-0000-0000-0000D9D60000}"/>
    <cellStyle name="Normal 8 2 2 4" xfId="1671" xr:uid="{00000000-0005-0000-0000-0000DAD60000}"/>
    <cellStyle name="Normal 8 2 2 4 10" xfId="16820" xr:uid="{00000000-0005-0000-0000-0000DBD60000}"/>
    <cellStyle name="Normal 8 2 2 4 11" xfId="31969" xr:uid="{00000000-0005-0000-0000-0000DCD60000}"/>
    <cellStyle name="Normal 8 2 2 4 12" xfId="33652" xr:uid="{00000000-0005-0000-0000-0000DDD60000}"/>
    <cellStyle name="Normal 8 2 2 4 13" xfId="35335" xr:uid="{00000000-0005-0000-0000-0000DED60000}"/>
    <cellStyle name="Normal 8 2 2 4 14" xfId="37018" xr:uid="{00000000-0005-0000-0000-0000DFD60000}"/>
    <cellStyle name="Normal 8 2 2 4 15" xfId="38701" xr:uid="{00000000-0005-0000-0000-0000E0D60000}"/>
    <cellStyle name="Normal 8 2 2 4 16" xfId="40384" xr:uid="{00000000-0005-0000-0000-0000E1D60000}"/>
    <cellStyle name="Normal 8 2 2 4 17" xfId="42067" xr:uid="{00000000-0005-0000-0000-0000E2D60000}"/>
    <cellStyle name="Normal 8 2 2 4 18" xfId="43750" xr:uid="{00000000-0005-0000-0000-0000E3D60000}"/>
    <cellStyle name="Normal 8 2 2 4 19" xfId="45433" xr:uid="{00000000-0005-0000-0000-0000E4D60000}"/>
    <cellStyle name="Normal 8 2 2 4 2" xfId="3354" xr:uid="{00000000-0005-0000-0000-0000E5D60000}"/>
    <cellStyle name="Normal 8 2 2 4 2 2" xfId="18503" xr:uid="{00000000-0005-0000-0000-0000E6D60000}"/>
    <cellStyle name="Normal 8 2 2 4 20" xfId="47116" xr:uid="{00000000-0005-0000-0000-0000E7D60000}"/>
    <cellStyle name="Normal 8 2 2 4 21" xfId="48799" xr:uid="{00000000-0005-0000-0000-0000E8D60000}"/>
    <cellStyle name="Normal 8 2 2 4 22" xfId="50482" xr:uid="{00000000-0005-0000-0000-0000E9D60000}"/>
    <cellStyle name="Normal 8 2 2 4 23" xfId="52165" xr:uid="{00000000-0005-0000-0000-0000EAD60000}"/>
    <cellStyle name="Normal 8 2 2 4 24" xfId="53848" xr:uid="{00000000-0005-0000-0000-0000EBD60000}"/>
    <cellStyle name="Normal 8 2 2 4 25" xfId="55531" xr:uid="{00000000-0005-0000-0000-0000ECD60000}"/>
    <cellStyle name="Normal 8 2 2 4 26" xfId="57214" xr:uid="{00000000-0005-0000-0000-0000EDD60000}"/>
    <cellStyle name="Normal 8 2 2 4 27" xfId="58897" xr:uid="{00000000-0005-0000-0000-0000EED60000}"/>
    <cellStyle name="Normal 8 2 2 4 28" xfId="60580" xr:uid="{00000000-0005-0000-0000-0000EFD60000}"/>
    <cellStyle name="Normal 8 2 2 4 29" xfId="62263" xr:uid="{00000000-0005-0000-0000-0000F0D60000}"/>
    <cellStyle name="Normal 8 2 2 4 3" xfId="5038" xr:uid="{00000000-0005-0000-0000-0000F1D60000}"/>
    <cellStyle name="Normal 8 2 2 4 3 2" xfId="20187" xr:uid="{00000000-0005-0000-0000-0000F2D60000}"/>
    <cellStyle name="Normal 8 2 2 4 30" xfId="63946" xr:uid="{00000000-0005-0000-0000-0000F3D60000}"/>
    <cellStyle name="Normal 8 2 2 4 4" xfId="6721" xr:uid="{00000000-0005-0000-0000-0000F4D60000}"/>
    <cellStyle name="Normal 8 2 2 4 4 2" xfId="21870" xr:uid="{00000000-0005-0000-0000-0000F5D60000}"/>
    <cellStyle name="Normal 8 2 2 4 5" xfId="8404" xr:uid="{00000000-0005-0000-0000-0000F6D60000}"/>
    <cellStyle name="Normal 8 2 2 4 5 2" xfId="23553" xr:uid="{00000000-0005-0000-0000-0000F7D60000}"/>
    <cellStyle name="Normal 8 2 2 4 6" xfId="10087" xr:uid="{00000000-0005-0000-0000-0000F8D60000}"/>
    <cellStyle name="Normal 8 2 2 4 6 2" xfId="25236" xr:uid="{00000000-0005-0000-0000-0000F9D60000}"/>
    <cellStyle name="Normal 8 2 2 4 7" xfId="11770" xr:uid="{00000000-0005-0000-0000-0000FAD60000}"/>
    <cellStyle name="Normal 8 2 2 4 7 2" xfId="26919" xr:uid="{00000000-0005-0000-0000-0000FBD60000}"/>
    <cellStyle name="Normal 8 2 2 4 8" xfId="13454" xr:uid="{00000000-0005-0000-0000-0000FCD60000}"/>
    <cellStyle name="Normal 8 2 2 4 8 2" xfId="28603" xr:uid="{00000000-0005-0000-0000-0000FDD60000}"/>
    <cellStyle name="Normal 8 2 2 4 9" xfId="15137" xr:uid="{00000000-0005-0000-0000-0000FED60000}"/>
    <cellStyle name="Normal 8 2 2 4 9 2" xfId="30286" xr:uid="{00000000-0005-0000-0000-0000FFD60000}"/>
    <cellStyle name="Normal 8 2 2 5" xfId="2092" xr:uid="{00000000-0005-0000-0000-000000D70000}"/>
    <cellStyle name="Normal 8 2 2 5 2" xfId="17241" xr:uid="{00000000-0005-0000-0000-000001D70000}"/>
    <cellStyle name="Normal 8 2 2 6" xfId="3776" xr:uid="{00000000-0005-0000-0000-000002D70000}"/>
    <cellStyle name="Normal 8 2 2 6 2" xfId="18925" xr:uid="{00000000-0005-0000-0000-000003D70000}"/>
    <cellStyle name="Normal 8 2 2 7" xfId="5459" xr:uid="{00000000-0005-0000-0000-000004D70000}"/>
    <cellStyle name="Normal 8 2 2 7 2" xfId="20608" xr:uid="{00000000-0005-0000-0000-000005D70000}"/>
    <cellStyle name="Normal 8 2 2 8" xfId="7142" xr:uid="{00000000-0005-0000-0000-000006D70000}"/>
    <cellStyle name="Normal 8 2 2 8 2" xfId="22291" xr:uid="{00000000-0005-0000-0000-000007D70000}"/>
    <cellStyle name="Normal 8 2 2 9" xfId="8825" xr:uid="{00000000-0005-0000-0000-000008D70000}"/>
    <cellStyle name="Normal 8 2 2 9 2" xfId="23974" xr:uid="{00000000-0005-0000-0000-000009D70000}"/>
    <cellStyle name="Normal 8 2 20" xfId="38912" xr:uid="{00000000-0005-0000-0000-00000AD70000}"/>
    <cellStyle name="Normal 8 2 21" xfId="40595" xr:uid="{00000000-0005-0000-0000-00000BD70000}"/>
    <cellStyle name="Normal 8 2 22" xfId="42278" xr:uid="{00000000-0005-0000-0000-00000CD70000}"/>
    <cellStyle name="Normal 8 2 23" xfId="43961" xr:uid="{00000000-0005-0000-0000-00000DD70000}"/>
    <cellStyle name="Normal 8 2 24" xfId="45644" xr:uid="{00000000-0005-0000-0000-00000ED70000}"/>
    <cellStyle name="Normal 8 2 25" xfId="47327" xr:uid="{00000000-0005-0000-0000-00000FD70000}"/>
    <cellStyle name="Normal 8 2 26" xfId="49010" xr:uid="{00000000-0005-0000-0000-000010D70000}"/>
    <cellStyle name="Normal 8 2 27" xfId="50693" xr:uid="{00000000-0005-0000-0000-000011D70000}"/>
    <cellStyle name="Normal 8 2 28" xfId="52376" xr:uid="{00000000-0005-0000-0000-000012D70000}"/>
    <cellStyle name="Normal 8 2 29" xfId="54059" xr:uid="{00000000-0005-0000-0000-000013D70000}"/>
    <cellStyle name="Normal 8 2 3" xfId="619" xr:uid="{00000000-0005-0000-0000-000014D70000}"/>
    <cellStyle name="Normal 8 2 3 10" xfId="15768" xr:uid="{00000000-0005-0000-0000-000015D70000}"/>
    <cellStyle name="Normal 8 2 3 11" xfId="30917" xr:uid="{00000000-0005-0000-0000-000016D70000}"/>
    <cellStyle name="Normal 8 2 3 12" xfId="32600" xr:uid="{00000000-0005-0000-0000-000017D70000}"/>
    <cellStyle name="Normal 8 2 3 13" xfId="34283" xr:uid="{00000000-0005-0000-0000-000018D70000}"/>
    <cellStyle name="Normal 8 2 3 14" xfId="35966" xr:uid="{00000000-0005-0000-0000-000019D70000}"/>
    <cellStyle name="Normal 8 2 3 15" xfId="37649" xr:uid="{00000000-0005-0000-0000-00001AD70000}"/>
    <cellStyle name="Normal 8 2 3 16" xfId="39332" xr:uid="{00000000-0005-0000-0000-00001BD70000}"/>
    <cellStyle name="Normal 8 2 3 17" xfId="41015" xr:uid="{00000000-0005-0000-0000-00001CD70000}"/>
    <cellStyle name="Normal 8 2 3 18" xfId="42698" xr:uid="{00000000-0005-0000-0000-00001DD70000}"/>
    <cellStyle name="Normal 8 2 3 19" xfId="44381" xr:uid="{00000000-0005-0000-0000-00001ED70000}"/>
    <cellStyle name="Normal 8 2 3 2" xfId="2302" xr:uid="{00000000-0005-0000-0000-00001FD70000}"/>
    <cellStyle name="Normal 8 2 3 2 2" xfId="17451" xr:uid="{00000000-0005-0000-0000-000020D70000}"/>
    <cellStyle name="Normal 8 2 3 20" xfId="46064" xr:uid="{00000000-0005-0000-0000-000021D70000}"/>
    <cellStyle name="Normal 8 2 3 21" xfId="47747" xr:uid="{00000000-0005-0000-0000-000022D70000}"/>
    <cellStyle name="Normal 8 2 3 22" xfId="49430" xr:uid="{00000000-0005-0000-0000-000023D70000}"/>
    <cellStyle name="Normal 8 2 3 23" xfId="51113" xr:uid="{00000000-0005-0000-0000-000024D70000}"/>
    <cellStyle name="Normal 8 2 3 24" xfId="52796" xr:uid="{00000000-0005-0000-0000-000025D70000}"/>
    <cellStyle name="Normal 8 2 3 25" xfId="54479" xr:uid="{00000000-0005-0000-0000-000026D70000}"/>
    <cellStyle name="Normal 8 2 3 26" xfId="56162" xr:uid="{00000000-0005-0000-0000-000027D70000}"/>
    <cellStyle name="Normal 8 2 3 27" xfId="57845" xr:uid="{00000000-0005-0000-0000-000028D70000}"/>
    <cellStyle name="Normal 8 2 3 28" xfId="59528" xr:uid="{00000000-0005-0000-0000-000029D70000}"/>
    <cellStyle name="Normal 8 2 3 29" xfId="61211" xr:uid="{00000000-0005-0000-0000-00002AD70000}"/>
    <cellStyle name="Normal 8 2 3 3" xfId="3986" xr:uid="{00000000-0005-0000-0000-00002BD70000}"/>
    <cellStyle name="Normal 8 2 3 3 2" xfId="19135" xr:uid="{00000000-0005-0000-0000-00002CD70000}"/>
    <cellStyle name="Normal 8 2 3 30" xfId="62894" xr:uid="{00000000-0005-0000-0000-00002DD70000}"/>
    <cellStyle name="Normal 8 2 3 4" xfId="5669" xr:uid="{00000000-0005-0000-0000-00002ED70000}"/>
    <cellStyle name="Normal 8 2 3 4 2" xfId="20818" xr:uid="{00000000-0005-0000-0000-00002FD70000}"/>
    <cellStyle name="Normal 8 2 3 5" xfId="7352" xr:uid="{00000000-0005-0000-0000-000030D70000}"/>
    <cellStyle name="Normal 8 2 3 5 2" xfId="22501" xr:uid="{00000000-0005-0000-0000-000031D70000}"/>
    <cellStyle name="Normal 8 2 3 6" xfId="9035" xr:uid="{00000000-0005-0000-0000-000032D70000}"/>
    <cellStyle name="Normal 8 2 3 6 2" xfId="24184" xr:uid="{00000000-0005-0000-0000-000033D70000}"/>
    <cellStyle name="Normal 8 2 3 7" xfId="10718" xr:uid="{00000000-0005-0000-0000-000034D70000}"/>
    <cellStyle name="Normal 8 2 3 7 2" xfId="25867" xr:uid="{00000000-0005-0000-0000-000035D70000}"/>
    <cellStyle name="Normal 8 2 3 8" xfId="12402" xr:uid="{00000000-0005-0000-0000-000036D70000}"/>
    <cellStyle name="Normal 8 2 3 8 2" xfId="27551" xr:uid="{00000000-0005-0000-0000-000037D70000}"/>
    <cellStyle name="Normal 8 2 3 9" xfId="14085" xr:uid="{00000000-0005-0000-0000-000038D70000}"/>
    <cellStyle name="Normal 8 2 3 9 2" xfId="29234" xr:uid="{00000000-0005-0000-0000-000039D70000}"/>
    <cellStyle name="Normal 8 2 30" xfId="55742" xr:uid="{00000000-0005-0000-0000-00003AD70000}"/>
    <cellStyle name="Normal 8 2 31" xfId="57425" xr:uid="{00000000-0005-0000-0000-00003BD70000}"/>
    <cellStyle name="Normal 8 2 32" xfId="59108" xr:uid="{00000000-0005-0000-0000-00003CD70000}"/>
    <cellStyle name="Normal 8 2 33" xfId="60791" xr:uid="{00000000-0005-0000-0000-00003DD70000}"/>
    <cellStyle name="Normal 8 2 34" xfId="62474" xr:uid="{00000000-0005-0000-0000-00003ED70000}"/>
    <cellStyle name="Normal 8 2 4" xfId="1040" xr:uid="{00000000-0005-0000-0000-00003FD70000}"/>
    <cellStyle name="Normal 8 2 4 10" xfId="16189" xr:uid="{00000000-0005-0000-0000-000040D70000}"/>
    <cellStyle name="Normal 8 2 4 11" xfId="31338" xr:uid="{00000000-0005-0000-0000-000041D70000}"/>
    <cellStyle name="Normal 8 2 4 12" xfId="33021" xr:uid="{00000000-0005-0000-0000-000042D70000}"/>
    <cellStyle name="Normal 8 2 4 13" xfId="34704" xr:uid="{00000000-0005-0000-0000-000043D70000}"/>
    <cellStyle name="Normal 8 2 4 14" xfId="36387" xr:uid="{00000000-0005-0000-0000-000044D70000}"/>
    <cellStyle name="Normal 8 2 4 15" xfId="38070" xr:uid="{00000000-0005-0000-0000-000045D70000}"/>
    <cellStyle name="Normal 8 2 4 16" xfId="39753" xr:uid="{00000000-0005-0000-0000-000046D70000}"/>
    <cellStyle name="Normal 8 2 4 17" xfId="41436" xr:uid="{00000000-0005-0000-0000-000047D70000}"/>
    <cellStyle name="Normal 8 2 4 18" xfId="43119" xr:uid="{00000000-0005-0000-0000-000048D70000}"/>
    <cellStyle name="Normal 8 2 4 19" xfId="44802" xr:uid="{00000000-0005-0000-0000-000049D70000}"/>
    <cellStyle name="Normal 8 2 4 2" xfId="2723" xr:uid="{00000000-0005-0000-0000-00004AD70000}"/>
    <cellStyle name="Normal 8 2 4 2 2" xfId="17872" xr:uid="{00000000-0005-0000-0000-00004BD70000}"/>
    <cellStyle name="Normal 8 2 4 20" xfId="46485" xr:uid="{00000000-0005-0000-0000-00004CD70000}"/>
    <cellStyle name="Normal 8 2 4 21" xfId="48168" xr:uid="{00000000-0005-0000-0000-00004DD70000}"/>
    <cellStyle name="Normal 8 2 4 22" xfId="49851" xr:uid="{00000000-0005-0000-0000-00004ED70000}"/>
    <cellStyle name="Normal 8 2 4 23" xfId="51534" xr:uid="{00000000-0005-0000-0000-00004FD70000}"/>
    <cellStyle name="Normal 8 2 4 24" xfId="53217" xr:uid="{00000000-0005-0000-0000-000050D70000}"/>
    <cellStyle name="Normal 8 2 4 25" xfId="54900" xr:uid="{00000000-0005-0000-0000-000051D70000}"/>
    <cellStyle name="Normal 8 2 4 26" xfId="56583" xr:uid="{00000000-0005-0000-0000-000052D70000}"/>
    <cellStyle name="Normal 8 2 4 27" xfId="58266" xr:uid="{00000000-0005-0000-0000-000053D70000}"/>
    <cellStyle name="Normal 8 2 4 28" xfId="59949" xr:uid="{00000000-0005-0000-0000-000054D70000}"/>
    <cellStyle name="Normal 8 2 4 29" xfId="61632" xr:uid="{00000000-0005-0000-0000-000055D70000}"/>
    <cellStyle name="Normal 8 2 4 3" xfId="4407" xr:uid="{00000000-0005-0000-0000-000056D70000}"/>
    <cellStyle name="Normal 8 2 4 3 2" xfId="19556" xr:uid="{00000000-0005-0000-0000-000057D70000}"/>
    <cellStyle name="Normal 8 2 4 30" xfId="63315" xr:uid="{00000000-0005-0000-0000-000058D70000}"/>
    <cellStyle name="Normal 8 2 4 4" xfId="6090" xr:uid="{00000000-0005-0000-0000-000059D70000}"/>
    <cellStyle name="Normal 8 2 4 4 2" xfId="21239" xr:uid="{00000000-0005-0000-0000-00005AD70000}"/>
    <cellStyle name="Normal 8 2 4 5" xfId="7773" xr:uid="{00000000-0005-0000-0000-00005BD70000}"/>
    <cellStyle name="Normal 8 2 4 5 2" xfId="22922" xr:uid="{00000000-0005-0000-0000-00005CD70000}"/>
    <cellStyle name="Normal 8 2 4 6" xfId="9456" xr:uid="{00000000-0005-0000-0000-00005DD70000}"/>
    <cellStyle name="Normal 8 2 4 6 2" xfId="24605" xr:uid="{00000000-0005-0000-0000-00005ED70000}"/>
    <cellStyle name="Normal 8 2 4 7" xfId="11139" xr:uid="{00000000-0005-0000-0000-00005FD70000}"/>
    <cellStyle name="Normal 8 2 4 7 2" xfId="26288" xr:uid="{00000000-0005-0000-0000-000060D70000}"/>
    <cellStyle name="Normal 8 2 4 8" xfId="12823" xr:uid="{00000000-0005-0000-0000-000061D70000}"/>
    <cellStyle name="Normal 8 2 4 8 2" xfId="27972" xr:uid="{00000000-0005-0000-0000-000062D70000}"/>
    <cellStyle name="Normal 8 2 4 9" xfId="14506" xr:uid="{00000000-0005-0000-0000-000063D70000}"/>
    <cellStyle name="Normal 8 2 4 9 2" xfId="29655" xr:uid="{00000000-0005-0000-0000-000064D70000}"/>
    <cellStyle name="Normal 8 2 5" xfId="1461" xr:uid="{00000000-0005-0000-0000-000065D70000}"/>
    <cellStyle name="Normal 8 2 5 10" xfId="16610" xr:uid="{00000000-0005-0000-0000-000066D70000}"/>
    <cellStyle name="Normal 8 2 5 11" xfId="31759" xr:uid="{00000000-0005-0000-0000-000067D70000}"/>
    <cellStyle name="Normal 8 2 5 12" xfId="33442" xr:uid="{00000000-0005-0000-0000-000068D70000}"/>
    <cellStyle name="Normal 8 2 5 13" xfId="35125" xr:uid="{00000000-0005-0000-0000-000069D70000}"/>
    <cellStyle name="Normal 8 2 5 14" xfId="36808" xr:uid="{00000000-0005-0000-0000-00006AD70000}"/>
    <cellStyle name="Normal 8 2 5 15" xfId="38491" xr:uid="{00000000-0005-0000-0000-00006BD70000}"/>
    <cellStyle name="Normal 8 2 5 16" xfId="40174" xr:uid="{00000000-0005-0000-0000-00006CD70000}"/>
    <cellStyle name="Normal 8 2 5 17" xfId="41857" xr:uid="{00000000-0005-0000-0000-00006DD70000}"/>
    <cellStyle name="Normal 8 2 5 18" xfId="43540" xr:uid="{00000000-0005-0000-0000-00006ED70000}"/>
    <cellStyle name="Normal 8 2 5 19" xfId="45223" xr:uid="{00000000-0005-0000-0000-00006FD70000}"/>
    <cellStyle name="Normal 8 2 5 2" xfId="3144" xr:uid="{00000000-0005-0000-0000-000070D70000}"/>
    <cellStyle name="Normal 8 2 5 2 2" xfId="18293" xr:uid="{00000000-0005-0000-0000-000071D70000}"/>
    <cellStyle name="Normal 8 2 5 20" xfId="46906" xr:uid="{00000000-0005-0000-0000-000072D70000}"/>
    <cellStyle name="Normal 8 2 5 21" xfId="48589" xr:uid="{00000000-0005-0000-0000-000073D70000}"/>
    <cellStyle name="Normal 8 2 5 22" xfId="50272" xr:uid="{00000000-0005-0000-0000-000074D70000}"/>
    <cellStyle name="Normal 8 2 5 23" xfId="51955" xr:uid="{00000000-0005-0000-0000-000075D70000}"/>
    <cellStyle name="Normal 8 2 5 24" xfId="53638" xr:uid="{00000000-0005-0000-0000-000076D70000}"/>
    <cellStyle name="Normal 8 2 5 25" xfId="55321" xr:uid="{00000000-0005-0000-0000-000077D70000}"/>
    <cellStyle name="Normal 8 2 5 26" xfId="57004" xr:uid="{00000000-0005-0000-0000-000078D70000}"/>
    <cellStyle name="Normal 8 2 5 27" xfId="58687" xr:uid="{00000000-0005-0000-0000-000079D70000}"/>
    <cellStyle name="Normal 8 2 5 28" xfId="60370" xr:uid="{00000000-0005-0000-0000-00007AD70000}"/>
    <cellStyle name="Normal 8 2 5 29" xfId="62053" xr:uid="{00000000-0005-0000-0000-00007BD70000}"/>
    <cellStyle name="Normal 8 2 5 3" xfId="4828" xr:uid="{00000000-0005-0000-0000-00007CD70000}"/>
    <cellStyle name="Normal 8 2 5 3 2" xfId="19977" xr:uid="{00000000-0005-0000-0000-00007DD70000}"/>
    <cellStyle name="Normal 8 2 5 30" xfId="63736" xr:uid="{00000000-0005-0000-0000-00007ED70000}"/>
    <cellStyle name="Normal 8 2 5 4" xfId="6511" xr:uid="{00000000-0005-0000-0000-00007FD70000}"/>
    <cellStyle name="Normal 8 2 5 4 2" xfId="21660" xr:uid="{00000000-0005-0000-0000-000080D70000}"/>
    <cellStyle name="Normal 8 2 5 5" xfId="8194" xr:uid="{00000000-0005-0000-0000-000081D70000}"/>
    <cellStyle name="Normal 8 2 5 5 2" xfId="23343" xr:uid="{00000000-0005-0000-0000-000082D70000}"/>
    <cellStyle name="Normal 8 2 5 6" xfId="9877" xr:uid="{00000000-0005-0000-0000-000083D70000}"/>
    <cellStyle name="Normal 8 2 5 6 2" xfId="25026" xr:uid="{00000000-0005-0000-0000-000084D70000}"/>
    <cellStyle name="Normal 8 2 5 7" xfId="11560" xr:uid="{00000000-0005-0000-0000-000085D70000}"/>
    <cellStyle name="Normal 8 2 5 7 2" xfId="26709" xr:uid="{00000000-0005-0000-0000-000086D70000}"/>
    <cellStyle name="Normal 8 2 5 8" xfId="13244" xr:uid="{00000000-0005-0000-0000-000087D70000}"/>
    <cellStyle name="Normal 8 2 5 8 2" xfId="28393" xr:uid="{00000000-0005-0000-0000-000088D70000}"/>
    <cellStyle name="Normal 8 2 5 9" xfId="14927" xr:uid="{00000000-0005-0000-0000-000089D70000}"/>
    <cellStyle name="Normal 8 2 5 9 2" xfId="30076" xr:uid="{00000000-0005-0000-0000-00008AD70000}"/>
    <cellStyle name="Normal 8 2 6" xfId="1882" xr:uid="{00000000-0005-0000-0000-00008BD70000}"/>
    <cellStyle name="Normal 8 2 6 2" xfId="17031" xr:uid="{00000000-0005-0000-0000-00008CD70000}"/>
    <cellStyle name="Normal 8 2 7" xfId="3566" xr:uid="{00000000-0005-0000-0000-00008DD70000}"/>
    <cellStyle name="Normal 8 2 7 2" xfId="18715" xr:uid="{00000000-0005-0000-0000-00008ED70000}"/>
    <cellStyle name="Normal 8 2 8" xfId="5249" xr:uid="{00000000-0005-0000-0000-00008FD70000}"/>
    <cellStyle name="Normal 8 2 8 2" xfId="20398" xr:uid="{00000000-0005-0000-0000-000090D70000}"/>
    <cellStyle name="Normal 8 2 9" xfId="6932" xr:uid="{00000000-0005-0000-0000-000091D70000}"/>
    <cellStyle name="Normal 8 2 9 2" xfId="22081" xr:uid="{00000000-0005-0000-0000-000092D70000}"/>
    <cellStyle name="Normal 8 20" xfId="37124" xr:uid="{00000000-0005-0000-0000-000093D70000}"/>
    <cellStyle name="Normal 8 21" xfId="38807" xr:uid="{00000000-0005-0000-0000-000094D70000}"/>
    <cellStyle name="Normal 8 22" xfId="40490" xr:uid="{00000000-0005-0000-0000-000095D70000}"/>
    <cellStyle name="Normal 8 23" xfId="42173" xr:uid="{00000000-0005-0000-0000-000096D70000}"/>
    <cellStyle name="Normal 8 24" xfId="43856" xr:uid="{00000000-0005-0000-0000-000097D70000}"/>
    <cellStyle name="Normal 8 25" xfId="45539" xr:uid="{00000000-0005-0000-0000-000098D70000}"/>
    <cellStyle name="Normal 8 26" xfId="47222" xr:uid="{00000000-0005-0000-0000-000099D70000}"/>
    <cellStyle name="Normal 8 27" xfId="48905" xr:uid="{00000000-0005-0000-0000-00009AD70000}"/>
    <cellStyle name="Normal 8 28" xfId="50588" xr:uid="{00000000-0005-0000-0000-00009BD70000}"/>
    <cellStyle name="Normal 8 29" xfId="52271" xr:uid="{00000000-0005-0000-0000-00009CD70000}"/>
    <cellStyle name="Normal 8 3" xfId="304" xr:uid="{00000000-0005-0000-0000-00009DD70000}"/>
    <cellStyle name="Normal 8 3 10" xfId="10403" xr:uid="{00000000-0005-0000-0000-00009ED70000}"/>
    <cellStyle name="Normal 8 3 10 2" xfId="25552" xr:uid="{00000000-0005-0000-0000-00009FD70000}"/>
    <cellStyle name="Normal 8 3 11" xfId="12087" xr:uid="{00000000-0005-0000-0000-0000A0D70000}"/>
    <cellStyle name="Normal 8 3 11 2" xfId="27236" xr:uid="{00000000-0005-0000-0000-0000A1D70000}"/>
    <cellStyle name="Normal 8 3 12" xfId="13770" xr:uid="{00000000-0005-0000-0000-0000A2D70000}"/>
    <cellStyle name="Normal 8 3 12 2" xfId="28919" xr:uid="{00000000-0005-0000-0000-0000A3D70000}"/>
    <cellStyle name="Normal 8 3 13" xfId="15453" xr:uid="{00000000-0005-0000-0000-0000A4D70000}"/>
    <cellStyle name="Normal 8 3 14" xfId="30602" xr:uid="{00000000-0005-0000-0000-0000A5D70000}"/>
    <cellStyle name="Normal 8 3 15" xfId="32285" xr:uid="{00000000-0005-0000-0000-0000A6D70000}"/>
    <cellStyle name="Normal 8 3 16" xfId="33968" xr:uid="{00000000-0005-0000-0000-0000A7D70000}"/>
    <cellStyle name="Normal 8 3 17" xfId="35651" xr:uid="{00000000-0005-0000-0000-0000A8D70000}"/>
    <cellStyle name="Normal 8 3 18" xfId="37334" xr:uid="{00000000-0005-0000-0000-0000A9D70000}"/>
    <cellStyle name="Normal 8 3 19" xfId="39017" xr:uid="{00000000-0005-0000-0000-0000AAD70000}"/>
    <cellStyle name="Normal 8 3 2" xfId="724" xr:uid="{00000000-0005-0000-0000-0000ABD70000}"/>
    <cellStyle name="Normal 8 3 2 10" xfId="15873" xr:uid="{00000000-0005-0000-0000-0000ACD70000}"/>
    <cellStyle name="Normal 8 3 2 11" xfId="31022" xr:uid="{00000000-0005-0000-0000-0000ADD70000}"/>
    <cellStyle name="Normal 8 3 2 12" xfId="32705" xr:uid="{00000000-0005-0000-0000-0000AED70000}"/>
    <cellStyle name="Normal 8 3 2 13" xfId="34388" xr:uid="{00000000-0005-0000-0000-0000AFD70000}"/>
    <cellStyle name="Normal 8 3 2 14" xfId="36071" xr:uid="{00000000-0005-0000-0000-0000B0D70000}"/>
    <cellStyle name="Normal 8 3 2 15" xfId="37754" xr:uid="{00000000-0005-0000-0000-0000B1D70000}"/>
    <cellStyle name="Normal 8 3 2 16" xfId="39437" xr:uid="{00000000-0005-0000-0000-0000B2D70000}"/>
    <cellStyle name="Normal 8 3 2 17" xfId="41120" xr:uid="{00000000-0005-0000-0000-0000B3D70000}"/>
    <cellStyle name="Normal 8 3 2 18" xfId="42803" xr:uid="{00000000-0005-0000-0000-0000B4D70000}"/>
    <cellStyle name="Normal 8 3 2 19" xfId="44486" xr:uid="{00000000-0005-0000-0000-0000B5D70000}"/>
    <cellStyle name="Normal 8 3 2 2" xfId="2407" xr:uid="{00000000-0005-0000-0000-0000B6D70000}"/>
    <cellStyle name="Normal 8 3 2 2 2" xfId="17556" xr:uid="{00000000-0005-0000-0000-0000B7D70000}"/>
    <cellStyle name="Normal 8 3 2 20" xfId="46169" xr:uid="{00000000-0005-0000-0000-0000B8D70000}"/>
    <cellStyle name="Normal 8 3 2 21" xfId="47852" xr:uid="{00000000-0005-0000-0000-0000B9D70000}"/>
    <cellStyle name="Normal 8 3 2 22" xfId="49535" xr:uid="{00000000-0005-0000-0000-0000BAD70000}"/>
    <cellStyle name="Normal 8 3 2 23" xfId="51218" xr:uid="{00000000-0005-0000-0000-0000BBD70000}"/>
    <cellStyle name="Normal 8 3 2 24" xfId="52901" xr:uid="{00000000-0005-0000-0000-0000BCD70000}"/>
    <cellStyle name="Normal 8 3 2 25" xfId="54584" xr:uid="{00000000-0005-0000-0000-0000BDD70000}"/>
    <cellStyle name="Normal 8 3 2 26" xfId="56267" xr:uid="{00000000-0005-0000-0000-0000BED70000}"/>
    <cellStyle name="Normal 8 3 2 27" xfId="57950" xr:uid="{00000000-0005-0000-0000-0000BFD70000}"/>
    <cellStyle name="Normal 8 3 2 28" xfId="59633" xr:uid="{00000000-0005-0000-0000-0000C0D70000}"/>
    <cellStyle name="Normal 8 3 2 29" xfId="61316" xr:uid="{00000000-0005-0000-0000-0000C1D70000}"/>
    <cellStyle name="Normal 8 3 2 3" xfId="4091" xr:uid="{00000000-0005-0000-0000-0000C2D70000}"/>
    <cellStyle name="Normal 8 3 2 3 2" xfId="19240" xr:uid="{00000000-0005-0000-0000-0000C3D70000}"/>
    <cellStyle name="Normal 8 3 2 30" xfId="62999" xr:uid="{00000000-0005-0000-0000-0000C4D70000}"/>
    <cellStyle name="Normal 8 3 2 4" xfId="5774" xr:uid="{00000000-0005-0000-0000-0000C5D70000}"/>
    <cellStyle name="Normal 8 3 2 4 2" xfId="20923" xr:uid="{00000000-0005-0000-0000-0000C6D70000}"/>
    <cellStyle name="Normal 8 3 2 5" xfId="7457" xr:uid="{00000000-0005-0000-0000-0000C7D70000}"/>
    <cellStyle name="Normal 8 3 2 5 2" xfId="22606" xr:uid="{00000000-0005-0000-0000-0000C8D70000}"/>
    <cellStyle name="Normal 8 3 2 6" xfId="9140" xr:uid="{00000000-0005-0000-0000-0000C9D70000}"/>
    <cellStyle name="Normal 8 3 2 6 2" xfId="24289" xr:uid="{00000000-0005-0000-0000-0000CAD70000}"/>
    <cellStyle name="Normal 8 3 2 7" xfId="10823" xr:uid="{00000000-0005-0000-0000-0000CBD70000}"/>
    <cellStyle name="Normal 8 3 2 7 2" xfId="25972" xr:uid="{00000000-0005-0000-0000-0000CCD70000}"/>
    <cellStyle name="Normal 8 3 2 8" xfId="12507" xr:uid="{00000000-0005-0000-0000-0000CDD70000}"/>
    <cellStyle name="Normal 8 3 2 8 2" xfId="27656" xr:uid="{00000000-0005-0000-0000-0000CED70000}"/>
    <cellStyle name="Normal 8 3 2 9" xfId="14190" xr:uid="{00000000-0005-0000-0000-0000CFD70000}"/>
    <cellStyle name="Normal 8 3 2 9 2" xfId="29339" xr:uid="{00000000-0005-0000-0000-0000D0D70000}"/>
    <cellStyle name="Normal 8 3 20" xfId="40700" xr:uid="{00000000-0005-0000-0000-0000D1D70000}"/>
    <cellStyle name="Normal 8 3 21" xfId="42383" xr:uid="{00000000-0005-0000-0000-0000D2D70000}"/>
    <cellStyle name="Normal 8 3 22" xfId="44066" xr:uid="{00000000-0005-0000-0000-0000D3D70000}"/>
    <cellStyle name="Normal 8 3 23" xfId="45749" xr:uid="{00000000-0005-0000-0000-0000D4D70000}"/>
    <cellStyle name="Normal 8 3 24" xfId="47432" xr:uid="{00000000-0005-0000-0000-0000D5D70000}"/>
    <cellStyle name="Normal 8 3 25" xfId="49115" xr:uid="{00000000-0005-0000-0000-0000D6D70000}"/>
    <cellStyle name="Normal 8 3 26" xfId="50798" xr:uid="{00000000-0005-0000-0000-0000D7D70000}"/>
    <cellStyle name="Normal 8 3 27" xfId="52481" xr:uid="{00000000-0005-0000-0000-0000D8D70000}"/>
    <cellStyle name="Normal 8 3 28" xfId="54164" xr:uid="{00000000-0005-0000-0000-0000D9D70000}"/>
    <cellStyle name="Normal 8 3 29" xfId="55847" xr:uid="{00000000-0005-0000-0000-0000DAD70000}"/>
    <cellStyle name="Normal 8 3 3" xfId="1145" xr:uid="{00000000-0005-0000-0000-0000DBD70000}"/>
    <cellStyle name="Normal 8 3 3 10" xfId="16294" xr:uid="{00000000-0005-0000-0000-0000DCD70000}"/>
    <cellStyle name="Normal 8 3 3 11" xfId="31443" xr:uid="{00000000-0005-0000-0000-0000DDD70000}"/>
    <cellStyle name="Normal 8 3 3 12" xfId="33126" xr:uid="{00000000-0005-0000-0000-0000DED70000}"/>
    <cellStyle name="Normal 8 3 3 13" xfId="34809" xr:uid="{00000000-0005-0000-0000-0000DFD70000}"/>
    <cellStyle name="Normal 8 3 3 14" xfId="36492" xr:uid="{00000000-0005-0000-0000-0000E0D70000}"/>
    <cellStyle name="Normal 8 3 3 15" xfId="38175" xr:uid="{00000000-0005-0000-0000-0000E1D70000}"/>
    <cellStyle name="Normal 8 3 3 16" xfId="39858" xr:uid="{00000000-0005-0000-0000-0000E2D70000}"/>
    <cellStyle name="Normal 8 3 3 17" xfId="41541" xr:uid="{00000000-0005-0000-0000-0000E3D70000}"/>
    <cellStyle name="Normal 8 3 3 18" xfId="43224" xr:uid="{00000000-0005-0000-0000-0000E4D70000}"/>
    <cellStyle name="Normal 8 3 3 19" xfId="44907" xr:uid="{00000000-0005-0000-0000-0000E5D70000}"/>
    <cellStyle name="Normal 8 3 3 2" xfId="2828" xr:uid="{00000000-0005-0000-0000-0000E6D70000}"/>
    <cellStyle name="Normal 8 3 3 2 2" xfId="17977" xr:uid="{00000000-0005-0000-0000-0000E7D70000}"/>
    <cellStyle name="Normal 8 3 3 20" xfId="46590" xr:uid="{00000000-0005-0000-0000-0000E8D70000}"/>
    <cellStyle name="Normal 8 3 3 21" xfId="48273" xr:uid="{00000000-0005-0000-0000-0000E9D70000}"/>
    <cellStyle name="Normal 8 3 3 22" xfId="49956" xr:uid="{00000000-0005-0000-0000-0000EAD70000}"/>
    <cellStyle name="Normal 8 3 3 23" xfId="51639" xr:uid="{00000000-0005-0000-0000-0000EBD70000}"/>
    <cellStyle name="Normal 8 3 3 24" xfId="53322" xr:uid="{00000000-0005-0000-0000-0000ECD70000}"/>
    <cellStyle name="Normal 8 3 3 25" xfId="55005" xr:uid="{00000000-0005-0000-0000-0000EDD70000}"/>
    <cellStyle name="Normal 8 3 3 26" xfId="56688" xr:uid="{00000000-0005-0000-0000-0000EED70000}"/>
    <cellStyle name="Normal 8 3 3 27" xfId="58371" xr:uid="{00000000-0005-0000-0000-0000EFD70000}"/>
    <cellStyle name="Normal 8 3 3 28" xfId="60054" xr:uid="{00000000-0005-0000-0000-0000F0D70000}"/>
    <cellStyle name="Normal 8 3 3 29" xfId="61737" xr:uid="{00000000-0005-0000-0000-0000F1D70000}"/>
    <cellStyle name="Normal 8 3 3 3" xfId="4512" xr:uid="{00000000-0005-0000-0000-0000F2D70000}"/>
    <cellStyle name="Normal 8 3 3 3 2" xfId="19661" xr:uid="{00000000-0005-0000-0000-0000F3D70000}"/>
    <cellStyle name="Normal 8 3 3 30" xfId="63420" xr:uid="{00000000-0005-0000-0000-0000F4D70000}"/>
    <cellStyle name="Normal 8 3 3 4" xfId="6195" xr:uid="{00000000-0005-0000-0000-0000F5D70000}"/>
    <cellStyle name="Normal 8 3 3 4 2" xfId="21344" xr:uid="{00000000-0005-0000-0000-0000F6D70000}"/>
    <cellStyle name="Normal 8 3 3 5" xfId="7878" xr:uid="{00000000-0005-0000-0000-0000F7D70000}"/>
    <cellStyle name="Normal 8 3 3 5 2" xfId="23027" xr:uid="{00000000-0005-0000-0000-0000F8D70000}"/>
    <cellStyle name="Normal 8 3 3 6" xfId="9561" xr:uid="{00000000-0005-0000-0000-0000F9D70000}"/>
    <cellStyle name="Normal 8 3 3 6 2" xfId="24710" xr:uid="{00000000-0005-0000-0000-0000FAD70000}"/>
    <cellStyle name="Normal 8 3 3 7" xfId="11244" xr:uid="{00000000-0005-0000-0000-0000FBD70000}"/>
    <cellStyle name="Normal 8 3 3 7 2" xfId="26393" xr:uid="{00000000-0005-0000-0000-0000FCD70000}"/>
    <cellStyle name="Normal 8 3 3 8" xfId="12928" xr:uid="{00000000-0005-0000-0000-0000FDD70000}"/>
    <cellStyle name="Normal 8 3 3 8 2" xfId="28077" xr:uid="{00000000-0005-0000-0000-0000FED70000}"/>
    <cellStyle name="Normal 8 3 3 9" xfId="14611" xr:uid="{00000000-0005-0000-0000-0000FFD70000}"/>
    <cellStyle name="Normal 8 3 3 9 2" xfId="29760" xr:uid="{00000000-0005-0000-0000-000000D80000}"/>
    <cellStyle name="Normal 8 3 30" xfId="57530" xr:uid="{00000000-0005-0000-0000-000001D80000}"/>
    <cellStyle name="Normal 8 3 31" xfId="59213" xr:uid="{00000000-0005-0000-0000-000002D80000}"/>
    <cellStyle name="Normal 8 3 32" xfId="60896" xr:uid="{00000000-0005-0000-0000-000003D80000}"/>
    <cellStyle name="Normal 8 3 33" xfId="62579" xr:uid="{00000000-0005-0000-0000-000004D80000}"/>
    <cellStyle name="Normal 8 3 4" xfId="1566" xr:uid="{00000000-0005-0000-0000-000005D80000}"/>
    <cellStyle name="Normal 8 3 4 10" xfId="16715" xr:uid="{00000000-0005-0000-0000-000006D80000}"/>
    <cellStyle name="Normal 8 3 4 11" xfId="31864" xr:uid="{00000000-0005-0000-0000-000007D80000}"/>
    <cellStyle name="Normal 8 3 4 12" xfId="33547" xr:uid="{00000000-0005-0000-0000-000008D80000}"/>
    <cellStyle name="Normal 8 3 4 13" xfId="35230" xr:uid="{00000000-0005-0000-0000-000009D80000}"/>
    <cellStyle name="Normal 8 3 4 14" xfId="36913" xr:uid="{00000000-0005-0000-0000-00000AD80000}"/>
    <cellStyle name="Normal 8 3 4 15" xfId="38596" xr:uid="{00000000-0005-0000-0000-00000BD80000}"/>
    <cellStyle name="Normal 8 3 4 16" xfId="40279" xr:uid="{00000000-0005-0000-0000-00000CD80000}"/>
    <cellStyle name="Normal 8 3 4 17" xfId="41962" xr:uid="{00000000-0005-0000-0000-00000DD80000}"/>
    <cellStyle name="Normal 8 3 4 18" xfId="43645" xr:uid="{00000000-0005-0000-0000-00000ED80000}"/>
    <cellStyle name="Normal 8 3 4 19" xfId="45328" xr:uid="{00000000-0005-0000-0000-00000FD80000}"/>
    <cellStyle name="Normal 8 3 4 2" xfId="3249" xr:uid="{00000000-0005-0000-0000-000010D80000}"/>
    <cellStyle name="Normal 8 3 4 2 2" xfId="18398" xr:uid="{00000000-0005-0000-0000-000011D80000}"/>
    <cellStyle name="Normal 8 3 4 20" xfId="47011" xr:uid="{00000000-0005-0000-0000-000012D80000}"/>
    <cellStyle name="Normal 8 3 4 21" xfId="48694" xr:uid="{00000000-0005-0000-0000-000013D80000}"/>
    <cellStyle name="Normal 8 3 4 22" xfId="50377" xr:uid="{00000000-0005-0000-0000-000014D80000}"/>
    <cellStyle name="Normal 8 3 4 23" xfId="52060" xr:uid="{00000000-0005-0000-0000-000015D80000}"/>
    <cellStyle name="Normal 8 3 4 24" xfId="53743" xr:uid="{00000000-0005-0000-0000-000016D80000}"/>
    <cellStyle name="Normal 8 3 4 25" xfId="55426" xr:uid="{00000000-0005-0000-0000-000017D80000}"/>
    <cellStyle name="Normal 8 3 4 26" xfId="57109" xr:uid="{00000000-0005-0000-0000-000018D80000}"/>
    <cellStyle name="Normal 8 3 4 27" xfId="58792" xr:uid="{00000000-0005-0000-0000-000019D80000}"/>
    <cellStyle name="Normal 8 3 4 28" xfId="60475" xr:uid="{00000000-0005-0000-0000-00001AD80000}"/>
    <cellStyle name="Normal 8 3 4 29" xfId="62158" xr:uid="{00000000-0005-0000-0000-00001BD80000}"/>
    <cellStyle name="Normal 8 3 4 3" xfId="4933" xr:uid="{00000000-0005-0000-0000-00001CD80000}"/>
    <cellStyle name="Normal 8 3 4 3 2" xfId="20082" xr:uid="{00000000-0005-0000-0000-00001DD80000}"/>
    <cellStyle name="Normal 8 3 4 30" xfId="63841" xr:uid="{00000000-0005-0000-0000-00001ED80000}"/>
    <cellStyle name="Normal 8 3 4 4" xfId="6616" xr:uid="{00000000-0005-0000-0000-00001FD80000}"/>
    <cellStyle name="Normal 8 3 4 4 2" xfId="21765" xr:uid="{00000000-0005-0000-0000-000020D80000}"/>
    <cellStyle name="Normal 8 3 4 5" xfId="8299" xr:uid="{00000000-0005-0000-0000-000021D80000}"/>
    <cellStyle name="Normal 8 3 4 5 2" xfId="23448" xr:uid="{00000000-0005-0000-0000-000022D80000}"/>
    <cellStyle name="Normal 8 3 4 6" xfId="9982" xr:uid="{00000000-0005-0000-0000-000023D80000}"/>
    <cellStyle name="Normal 8 3 4 6 2" xfId="25131" xr:uid="{00000000-0005-0000-0000-000024D80000}"/>
    <cellStyle name="Normal 8 3 4 7" xfId="11665" xr:uid="{00000000-0005-0000-0000-000025D80000}"/>
    <cellStyle name="Normal 8 3 4 7 2" xfId="26814" xr:uid="{00000000-0005-0000-0000-000026D80000}"/>
    <cellStyle name="Normal 8 3 4 8" xfId="13349" xr:uid="{00000000-0005-0000-0000-000027D80000}"/>
    <cellStyle name="Normal 8 3 4 8 2" xfId="28498" xr:uid="{00000000-0005-0000-0000-000028D80000}"/>
    <cellStyle name="Normal 8 3 4 9" xfId="15032" xr:uid="{00000000-0005-0000-0000-000029D80000}"/>
    <cellStyle name="Normal 8 3 4 9 2" xfId="30181" xr:uid="{00000000-0005-0000-0000-00002AD80000}"/>
    <cellStyle name="Normal 8 3 5" xfId="1987" xr:uid="{00000000-0005-0000-0000-00002BD80000}"/>
    <cellStyle name="Normal 8 3 5 2" xfId="17136" xr:uid="{00000000-0005-0000-0000-00002CD80000}"/>
    <cellStyle name="Normal 8 3 6" xfId="3671" xr:uid="{00000000-0005-0000-0000-00002DD80000}"/>
    <cellStyle name="Normal 8 3 6 2" xfId="18820" xr:uid="{00000000-0005-0000-0000-00002ED80000}"/>
    <cellStyle name="Normal 8 3 7" xfId="5354" xr:uid="{00000000-0005-0000-0000-00002FD80000}"/>
    <cellStyle name="Normal 8 3 7 2" xfId="20503" xr:uid="{00000000-0005-0000-0000-000030D80000}"/>
    <cellStyle name="Normal 8 3 8" xfId="7037" xr:uid="{00000000-0005-0000-0000-000031D80000}"/>
    <cellStyle name="Normal 8 3 8 2" xfId="22186" xr:uid="{00000000-0005-0000-0000-000032D80000}"/>
    <cellStyle name="Normal 8 3 9" xfId="8720" xr:uid="{00000000-0005-0000-0000-000033D80000}"/>
    <cellStyle name="Normal 8 3 9 2" xfId="23869" xr:uid="{00000000-0005-0000-0000-000034D80000}"/>
    <cellStyle name="Normal 8 30" xfId="53954" xr:uid="{00000000-0005-0000-0000-000035D80000}"/>
    <cellStyle name="Normal 8 31" xfId="55637" xr:uid="{00000000-0005-0000-0000-000036D80000}"/>
    <cellStyle name="Normal 8 32" xfId="57320" xr:uid="{00000000-0005-0000-0000-000037D80000}"/>
    <cellStyle name="Normal 8 33" xfId="59003" xr:uid="{00000000-0005-0000-0000-000038D80000}"/>
    <cellStyle name="Normal 8 34" xfId="60686" xr:uid="{00000000-0005-0000-0000-000039D80000}"/>
    <cellStyle name="Normal 8 35" xfId="62369" xr:uid="{00000000-0005-0000-0000-00003AD80000}"/>
    <cellStyle name="Normal 8 4" xfId="514" xr:uid="{00000000-0005-0000-0000-00003BD80000}"/>
    <cellStyle name="Normal 8 4 10" xfId="15663" xr:uid="{00000000-0005-0000-0000-00003CD80000}"/>
    <cellStyle name="Normal 8 4 11" xfId="30812" xr:uid="{00000000-0005-0000-0000-00003DD80000}"/>
    <cellStyle name="Normal 8 4 12" xfId="32495" xr:uid="{00000000-0005-0000-0000-00003ED80000}"/>
    <cellStyle name="Normal 8 4 13" xfId="34178" xr:uid="{00000000-0005-0000-0000-00003FD80000}"/>
    <cellStyle name="Normal 8 4 14" xfId="35861" xr:uid="{00000000-0005-0000-0000-000040D80000}"/>
    <cellStyle name="Normal 8 4 15" xfId="37544" xr:uid="{00000000-0005-0000-0000-000041D80000}"/>
    <cellStyle name="Normal 8 4 16" xfId="39227" xr:uid="{00000000-0005-0000-0000-000042D80000}"/>
    <cellStyle name="Normal 8 4 17" xfId="40910" xr:uid="{00000000-0005-0000-0000-000043D80000}"/>
    <cellStyle name="Normal 8 4 18" xfId="42593" xr:uid="{00000000-0005-0000-0000-000044D80000}"/>
    <cellStyle name="Normal 8 4 19" xfId="44276" xr:uid="{00000000-0005-0000-0000-000045D80000}"/>
    <cellStyle name="Normal 8 4 2" xfId="2197" xr:uid="{00000000-0005-0000-0000-000046D80000}"/>
    <cellStyle name="Normal 8 4 2 2" xfId="17346" xr:uid="{00000000-0005-0000-0000-000047D80000}"/>
    <cellStyle name="Normal 8 4 20" xfId="45959" xr:uid="{00000000-0005-0000-0000-000048D80000}"/>
    <cellStyle name="Normal 8 4 21" xfId="47642" xr:uid="{00000000-0005-0000-0000-000049D80000}"/>
    <cellStyle name="Normal 8 4 22" xfId="49325" xr:uid="{00000000-0005-0000-0000-00004AD80000}"/>
    <cellStyle name="Normal 8 4 23" xfId="51008" xr:uid="{00000000-0005-0000-0000-00004BD80000}"/>
    <cellStyle name="Normal 8 4 24" xfId="52691" xr:uid="{00000000-0005-0000-0000-00004CD80000}"/>
    <cellStyle name="Normal 8 4 25" xfId="54374" xr:uid="{00000000-0005-0000-0000-00004DD80000}"/>
    <cellStyle name="Normal 8 4 26" xfId="56057" xr:uid="{00000000-0005-0000-0000-00004ED80000}"/>
    <cellStyle name="Normal 8 4 27" xfId="57740" xr:uid="{00000000-0005-0000-0000-00004FD80000}"/>
    <cellStyle name="Normal 8 4 28" xfId="59423" xr:uid="{00000000-0005-0000-0000-000050D80000}"/>
    <cellStyle name="Normal 8 4 29" xfId="61106" xr:uid="{00000000-0005-0000-0000-000051D80000}"/>
    <cellStyle name="Normal 8 4 3" xfId="3881" xr:uid="{00000000-0005-0000-0000-000052D80000}"/>
    <cellStyle name="Normal 8 4 3 2" xfId="19030" xr:uid="{00000000-0005-0000-0000-000053D80000}"/>
    <cellStyle name="Normal 8 4 30" xfId="62789" xr:uid="{00000000-0005-0000-0000-000054D80000}"/>
    <cellStyle name="Normal 8 4 4" xfId="5564" xr:uid="{00000000-0005-0000-0000-000055D80000}"/>
    <cellStyle name="Normal 8 4 4 2" xfId="20713" xr:uid="{00000000-0005-0000-0000-000056D80000}"/>
    <cellStyle name="Normal 8 4 5" xfId="7247" xr:uid="{00000000-0005-0000-0000-000057D80000}"/>
    <cellStyle name="Normal 8 4 5 2" xfId="22396" xr:uid="{00000000-0005-0000-0000-000058D80000}"/>
    <cellStyle name="Normal 8 4 6" xfId="8930" xr:uid="{00000000-0005-0000-0000-000059D80000}"/>
    <cellStyle name="Normal 8 4 6 2" xfId="24079" xr:uid="{00000000-0005-0000-0000-00005AD80000}"/>
    <cellStyle name="Normal 8 4 7" xfId="10613" xr:uid="{00000000-0005-0000-0000-00005BD80000}"/>
    <cellStyle name="Normal 8 4 7 2" xfId="25762" xr:uid="{00000000-0005-0000-0000-00005CD80000}"/>
    <cellStyle name="Normal 8 4 8" xfId="12297" xr:uid="{00000000-0005-0000-0000-00005DD80000}"/>
    <cellStyle name="Normal 8 4 8 2" xfId="27446" xr:uid="{00000000-0005-0000-0000-00005ED80000}"/>
    <cellStyle name="Normal 8 4 9" xfId="13980" xr:uid="{00000000-0005-0000-0000-00005FD80000}"/>
    <cellStyle name="Normal 8 4 9 2" xfId="29129" xr:uid="{00000000-0005-0000-0000-000060D80000}"/>
    <cellStyle name="Normal 8 5" xfId="935" xr:uid="{00000000-0005-0000-0000-000061D80000}"/>
    <cellStyle name="Normal 8 5 10" xfId="16084" xr:uid="{00000000-0005-0000-0000-000062D80000}"/>
    <cellStyle name="Normal 8 5 11" xfId="31233" xr:uid="{00000000-0005-0000-0000-000063D80000}"/>
    <cellStyle name="Normal 8 5 12" xfId="32916" xr:uid="{00000000-0005-0000-0000-000064D80000}"/>
    <cellStyle name="Normal 8 5 13" xfId="34599" xr:uid="{00000000-0005-0000-0000-000065D80000}"/>
    <cellStyle name="Normal 8 5 14" xfId="36282" xr:uid="{00000000-0005-0000-0000-000066D80000}"/>
    <cellStyle name="Normal 8 5 15" xfId="37965" xr:uid="{00000000-0005-0000-0000-000067D80000}"/>
    <cellStyle name="Normal 8 5 16" xfId="39648" xr:uid="{00000000-0005-0000-0000-000068D80000}"/>
    <cellStyle name="Normal 8 5 17" xfId="41331" xr:uid="{00000000-0005-0000-0000-000069D80000}"/>
    <cellStyle name="Normal 8 5 18" xfId="43014" xr:uid="{00000000-0005-0000-0000-00006AD80000}"/>
    <cellStyle name="Normal 8 5 19" xfId="44697" xr:uid="{00000000-0005-0000-0000-00006BD80000}"/>
    <cellStyle name="Normal 8 5 2" xfId="2618" xr:uid="{00000000-0005-0000-0000-00006CD80000}"/>
    <cellStyle name="Normal 8 5 2 2" xfId="17767" xr:uid="{00000000-0005-0000-0000-00006DD80000}"/>
    <cellStyle name="Normal 8 5 20" xfId="46380" xr:uid="{00000000-0005-0000-0000-00006ED80000}"/>
    <cellStyle name="Normal 8 5 21" xfId="48063" xr:uid="{00000000-0005-0000-0000-00006FD80000}"/>
    <cellStyle name="Normal 8 5 22" xfId="49746" xr:uid="{00000000-0005-0000-0000-000070D80000}"/>
    <cellStyle name="Normal 8 5 23" xfId="51429" xr:uid="{00000000-0005-0000-0000-000071D80000}"/>
    <cellStyle name="Normal 8 5 24" xfId="53112" xr:uid="{00000000-0005-0000-0000-000072D80000}"/>
    <cellStyle name="Normal 8 5 25" xfId="54795" xr:uid="{00000000-0005-0000-0000-000073D80000}"/>
    <cellStyle name="Normal 8 5 26" xfId="56478" xr:uid="{00000000-0005-0000-0000-000074D80000}"/>
    <cellStyle name="Normal 8 5 27" xfId="58161" xr:uid="{00000000-0005-0000-0000-000075D80000}"/>
    <cellStyle name="Normal 8 5 28" xfId="59844" xr:uid="{00000000-0005-0000-0000-000076D80000}"/>
    <cellStyle name="Normal 8 5 29" xfId="61527" xr:uid="{00000000-0005-0000-0000-000077D80000}"/>
    <cellStyle name="Normal 8 5 3" xfId="4302" xr:uid="{00000000-0005-0000-0000-000078D80000}"/>
    <cellStyle name="Normal 8 5 3 2" xfId="19451" xr:uid="{00000000-0005-0000-0000-000079D80000}"/>
    <cellStyle name="Normal 8 5 30" xfId="63210" xr:uid="{00000000-0005-0000-0000-00007AD80000}"/>
    <cellStyle name="Normal 8 5 4" xfId="5985" xr:uid="{00000000-0005-0000-0000-00007BD80000}"/>
    <cellStyle name="Normal 8 5 4 2" xfId="21134" xr:uid="{00000000-0005-0000-0000-00007CD80000}"/>
    <cellStyle name="Normal 8 5 5" xfId="7668" xr:uid="{00000000-0005-0000-0000-00007DD80000}"/>
    <cellStyle name="Normal 8 5 5 2" xfId="22817" xr:uid="{00000000-0005-0000-0000-00007ED80000}"/>
    <cellStyle name="Normal 8 5 6" xfId="9351" xr:uid="{00000000-0005-0000-0000-00007FD80000}"/>
    <cellStyle name="Normal 8 5 6 2" xfId="24500" xr:uid="{00000000-0005-0000-0000-000080D80000}"/>
    <cellStyle name="Normal 8 5 7" xfId="11034" xr:uid="{00000000-0005-0000-0000-000081D80000}"/>
    <cellStyle name="Normal 8 5 7 2" xfId="26183" xr:uid="{00000000-0005-0000-0000-000082D80000}"/>
    <cellStyle name="Normal 8 5 8" xfId="12718" xr:uid="{00000000-0005-0000-0000-000083D80000}"/>
    <cellStyle name="Normal 8 5 8 2" xfId="27867" xr:uid="{00000000-0005-0000-0000-000084D80000}"/>
    <cellStyle name="Normal 8 5 9" xfId="14401" xr:uid="{00000000-0005-0000-0000-000085D80000}"/>
    <cellStyle name="Normal 8 5 9 2" xfId="29550" xr:uid="{00000000-0005-0000-0000-000086D80000}"/>
    <cellStyle name="Normal 8 6" xfId="1356" xr:uid="{00000000-0005-0000-0000-000087D80000}"/>
    <cellStyle name="Normal 8 6 10" xfId="16505" xr:uid="{00000000-0005-0000-0000-000088D80000}"/>
    <cellStyle name="Normal 8 6 11" xfId="31654" xr:uid="{00000000-0005-0000-0000-000089D80000}"/>
    <cellStyle name="Normal 8 6 12" xfId="33337" xr:uid="{00000000-0005-0000-0000-00008AD80000}"/>
    <cellStyle name="Normal 8 6 13" xfId="35020" xr:uid="{00000000-0005-0000-0000-00008BD80000}"/>
    <cellStyle name="Normal 8 6 14" xfId="36703" xr:uid="{00000000-0005-0000-0000-00008CD80000}"/>
    <cellStyle name="Normal 8 6 15" xfId="38386" xr:uid="{00000000-0005-0000-0000-00008DD80000}"/>
    <cellStyle name="Normal 8 6 16" xfId="40069" xr:uid="{00000000-0005-0000-0000-00008ED80000}"/>
    <cellStyle name="Normal 8 6 17" xfId="41752" xr:uid="{00000000-0005-0000-0000-00008FD80000}"/>
    <cellStyle name="Normal 8 6 18" xfId="43435" xr:uid="{00000000-0005-0000-0000-000090D80000}"/>
    <cellStyle name="Normal 8 6 19" xfId="45118" xr:uid="{00000000-0005-0000-0000-000091D80000}"/>
    <cellStyle name="Normal 8 6 2" xfId="3039" xr:uid="{00000000-0005-0000-0000-000092D80000}"/>
    <cellStyle name="Normal 8 6 2 2" xfId="18188" xr:uid="{00000000-0005-0000-0000-000093D80000}"/>
    <cellStyle name="Normal 8 6 20" xfId="46801" xr:uid="{00000000-0005-0000-0000-000094D80000}"/>
    <cellStyle name="Normal 8 6 21" xfId="48484" xr:uid="{00000000-0005-0000-0000-000095D80000}"/>
    <cellStyle name="Normal 8 6 22" xfId="50167" xr:uid="{00000000-0005-0000-0000-000096D80000}"/>
    <cellStyle name="Normal 8 6 23" xfId="51850" xr:uid="{00000000-0005-0000-0000-000097D80000}"/>
    <cellStyle name="Normal 8 6 24" xfId="53533" xr:uid="{00000000-0005-0000-0000-000098D80000}"/>
    <cellStyle name="Normal 8 6 25" xfId="55216" xr:uid="{00000000-0005-0000-0000-000099D80000}"/>
    <cellStyle name="Normal 8 6 26" xfId="56899" xr:uid="{00000000-0005-0000-0000-00009AD80000}"/>
    <cellStyle name="Normal 8 6 27" xfId="58582" xr:uid="{00000000-0005-0000-0000-00009BD80000}"/>
    <cellStyle name="Normal 8 6 28" xfId="60265" xr:uid="{00000000-0005-0000-0000-00009CD80000}"/>
    <cellStyle name="Normal 8 6 29" xfId="61948" xr:uid="{00000000-0005-0000-0000-00009DD80000}"/>
    <cellStyle name="Normal 8 6 3" xfId="4723" xr:uid="{00000000-0005-0000-0000-00009ED80000}"/>
    <cellStyle name="Normal 8 6 3 2" xfId="19872" xr:uid="{00000000-0005-0000-0000-00009FD80000}"/>
    <cellStyle name="Normal 8 6 30" xfId="63631" xr:uid="{00000000-0005-0000-0000-0000A0D80000}"/>
    <cellStyle name="Normal 8 6 4" xfId="6406" xr:uid="{00000000-0005-0000-0000-0000A1D80000}"/>
    <cellStyle name="Normal 8 6 4 2" xfId="21555" xr:uid="{00000000-0005-0000-0000-0000A2D80000}"/>
    <cellStyle name="Normal 8 6 5" xfId="8089" xr:uid="{00000000-0005-0000-0000-0000A3D80000}"/>
    <cellStyle name="Normal 8 6 5 2" xfId="23238" xr:uid="{00000000-0005-0000-0000-0000A4D80000}"/>
    <cellStyle name="Normal 8 6 6" xfId="9772" xr:uid="{00000000-0005-0000-0000-0000A5D80000}"/>
    <cellStyle name="Normal 8 6 6 2" xfId="24921" xr:uid="{00000000-0005-0000-0000-0000A6D80000}"/>
    <cellStyle name="Normal 8 6 7" xfId="11455" xr:uid="{00000000-0005-0000-0000-0000A7D80000}"/>
    <cellStyle name="Normal 8 6 7 2" xfId="26604" xr:uid="{00000000-0005-0000-0000-0000A8D80000}"/>
    <cellStyle name="Normal 8 6 8" xfId="13139" xr:uid="{00000000-0005-0000-0000-0000A9D80000}"/>
    <cellStyle name="Normal 8 6 8 2" xfId="28288" xr:uid="{00000000-0005-0000-0000-0000AAD80000}"/>
    <cellStyle name="Normal 8 6 9" xfId="14822" xr:uid="{00000000-0005-0000-0000-0000ABD80000}"/>
    <cellStyle name="Normal 8 6 9 2" xfId="29971" xr:uid="{00000000-0005-0000-0000-0000ACD80000}"/>
    <cellStyle name="Normal 8 7" xfId="1777" xr:uid="{00000000-0005-0000-0000-0000ADD80000}"/>
    <cellStyle name="Normal 8 7 2" xfId="16926" xr:uid="{00000000-0005-0000-0000-0000AED80000}"/>
    <cellStyle name="Normal 8 8" xfId="3461" xr:uid="{00000000-0005-0000-0000-0000AFD80000}"/>
    <cellStyle name="Normal 8 8 2" xfId="18610" xr:uid="{00000000-0005-0000-0000-0000B0D80000}"/>
    <cellStyle name="Normal 8 9" xfId="5144" xr:uid="{00000000-0005-0000-0000-0000B1D80000}"/>
    <cellStyle name="Normal 8 9 2" xfId="20293" xr:uid="{00000000-0005-0000-0000-0000B2D80000}"/>
    <cellStyle name="Normal 9" xfId="96" xr:uid="{00000000-0005-0000-0000-0000B3D80000}"/>
    <cellStyle name="Normal 9 10" xfId="6829" xr:uid="{00000000-0005-0000-0000-0000B4D80000}"/>
    <cellStyle name="Normal 9 10 2" xfId="21978" xr:uid="{00000000-0005-0000-0000-0000B5D80000}"/>
    <cellStyle name="Normal 9 11" xfId="8512" xr:uid="{00000000-0005-0000-0000-0000B6D80000}"/>
    <cellStyle name="Normal 9 11 2" xfId="23661" xr:uid="{00000000-0005-0000-0000-0000B7D80000}"/>
    <cellStyle name="Normal 9 12" xfId="10195" xr:uid="{00000000-0005-0000-0000-0000B8D80000}"/>
    <cellStyle name="Normal 9 12 2" xfId="25344" xr:uid="{00000000-0005-0000-0000-0000B9D80000}"/>
    <cellStyle name="Normal 9 13" xfId="11879" xr:uid="{00000000-0005-0000-0000-0000BAD80000}"/>
    <cellStyle name="Normal 9 13 2" xfId="27028" xr:uid="{00000000-0005-0000-0000-0000BBD80000}"/>
    <cellStyle name="Normal 9 14" xfId="13562" xr:uid="{00000000-0005-0000-0000-0000BCD80000}"/>
    <cellStyle name="Normal 9 14 2" xfId="28711" xr:uid="{00000000-0005-0000-0000-0000BDD80000}"/>
    <cellStyle name="Normal 9 15" xfId="15245" xr:uid="{00000000-0005-0000-0000-0000BED80000}"/>
    <cellStyle name="Normal 9 16" xfId="30394" xr:uid="{00000000-0005-0000-0000-0000BFD80000}"/>
    <cellStyle name="Normal 9 17" xfId="32077" xr:uid="{00000000-0005-0000-0000-0000C0D80000}"/>
    <cellStyle name="Normal 9 18" xfId="33760" xr:uid="{00000000-0005-0000-0000-0000C1D80000}"/>
    <cellStyle name="Normal 9 19" xfId="35443" xr:uid="{00000000-0005-0000-0000-0000C2D80000}"/>
    <cellStyle name="Normal 9 2" xfId="201" xr:uid="{00000000-0005-0000-0000-0000C3D80000}"/>
    <cellStyle name="Normal 9 2 10" xfId="8617" xr:uid="{00000000-0005-0000-0000-0000C4D80000}"/>
    <cellStyle name="Normal 9 2 10 2" xfId="23766" xr:uid="{00000000-0005-0000-0000-0000C5D80000}"/>
    <cellStyle name="Normal 9 2 11" xfId="10300" xr:uid="{00000000-0005-0000-0000-0000C6D80000}"/>
    <cellStyle name="Normal 9 2 11 2" xfId="25449" xr:uid="{00000000-0005-0000-0000-0000C7D80000}"/>
    <cellStyle name="Normal 9 2 12" xfId="11984" xr:uid="{00000000-0005-0000-0000-0000C8D80000}"/>
    <cellStyle name="Normal 9 2 12 2" xfId="27133" xr:uid="{00000000-0005-0000-0000-0000C9D80000}"/>
    <cellStyle name="Normal 9 2 13" xfId="13667" xr:uid="{00000000-0005-0000-0000-0000CAD80000}"/>
    <cellStyle name="Normal 9 2 13 2" xfId="28816" xr:uid="{00000000-0005-0000-0000-0000CBD80000}"/>
    <cellStyle name="Normal 9 2 14" xfId="15350" xr:uid="{00000000-0005-0000-0000-0000CCD80000}"/>
    <cellStyle name="Normal 9 2 15" xfId="30499" xr:uid="{00000000-0005-0000-0000-0000CDD80000}"/>
    <cellStyle name="Normal 9 2 16" xfId="32182" xr:uid="{00000000-0005-0000-0000-0000CED80000}"/>
    <cellStyle name="Normal 9 2 17" xfId="33865" xr:uid="{00000000-0005-0000-0000-0000CFD80000}"/>
    <cellStyle name="Normal 9 2 18" xfId="35548" xr:uid="{00000000-0005-0000-0000-0000D0D80000}"/>
    <cellStyle name="Normal 9 2 19" xfId="37231" xr:uid="{00000000-0005-0000-0000-0000D1D80000}"/>
    <cellStyle name="Normal 9 2 2" xfId="411" xr:uid="{00000000-0005-0000-0000-0000D2D80000}"/>
    <cellStyle name="Normal 9 2 2 10" xfId="10510" xr:uid="{00000000-0005-0000-0000-0000D3D80000}"/>
    <cellStyle name="Normal 9 2 2 10 2" xfId="25659" xr:uid="{00000000-0005-0000-0000-0000D4D80000}"/>
    <cellStyle name="Normal 9 2 2 11" xfId="12194" xr:uid="{00000000-0005-0000-0000-0000D5D80000}"/>
    <cellStyle name="Normal 9 2 2 11 2" xfId="27343" xr:uid="{00000000-0005-0000-0000-0000D6D80000}"/>
    <cellStyle name="Normal 9 2 2 12" xfId="13877" xr:uid="{00000000-0005-0000-0000-0000D7D80000}"/>
    <cellStyle name="Normal 9 2 2 12 2" xfId="29026" xr:uid="{00000000-0005-0000-0000-0000D8D80000}"/>
    <cellStyle name="Normal 9 2 2 13" xfId="15560" xr:uid="{00000000-0005-0000-0000-0000D9D80000}"/>
    <cellStyle name="Normal 9 2 2 14" xfId="30709" xr:uid="{00000000-0005-0000-0000-0000DAD80000}"/>
    <cellStyle name="Normal 9 2 2 15" xfId="32392" xr:uid="{00000000-0005-0000-0000-0000DBD80000}"/>
    <cellStyle name="Normal 9 2 2 16" xfId="34075" xr:uid="{00000000-0005-0000-0000-0000DCD80000}"/>
    <cellStyle name="Normal 9 2 2 17" xfId="35758" xr:uid="{00000000-0005-0000-0000-0000DDD80000}"/>
    <cellStyle name="Normal 9 2 2 18" xfId="37441" xr:uid="{00000000-0005-0000-0000-0000DED80000}"/>
    <cellStyle name="Normal 9 2 2 19" xfId="39124" xr:uid="{00000000-0005-0000-0000-0000DFD80000}"/>
    <cellStyle name="Normal 9 2 2 2" xfId="831" xr:uid="{00000000-0005-0000-0000-0000E0D80000}"/>
    <cellStyle name="Normal 9 2 2 2 10" xfId="15980" xr:uid="{00000000-0005-0000-0000-0000E1D80000}"/>
    <cellStyle name="Normal 9 2 2 2 11" xfId="31129" xr:uid="{00000000-0005-0000-0000-0000E2D80000}"/>
    <cellStyle name="Normal 9 2 2 2 12" xfId="32812" xr:uid="{00000000-0005-0000-0000-0000E3D80000}"/>
    <cellStyle name="Normal 9 2 2 2 13" xfId="34495" xr:uid="{00000000-0005-0000-0000-0000E4D80000}"/>
    <cellStyle name="Normal 9 2 2 2 14" xfId="36178" xr:uid="{00000000-0005-0000-0000-0000E5D80000}"/>
    <cellStyle name="Normal 9 2 2 2 15" xfId="37861" xr:uid="{00000000-0005-0000-0000-0000E6D80000}"/>
    <cellStyle name="Normal 9 2 2 2 16" xfId="39544" xr:uid="{00000000-0005-0000-0000-0000E7D80000}"/>
    <cellStyle name="Normal 9 2 2 2 17" xfId="41227" xr:uid="{00000000-0005-0000-0000-0000E8D80000}"/>
    <cellStyle name="Normal 9 2 2 2 18" xfId="42910" xr:uid="{00000000-0005-0000-0000-0000E9D80000}"/>
    <cellStyle name="Normal 9 2 2 2 19" xfId="44593" xr:uid="{00000000-0005-0000-0000-0000EAD80000}"/>
    <cellStyle name="Normal 9 2 2 2 2" xfId="2514" xr:uid="{00000000-0005-0000-0000-0000EBD80000}"/>
    <cellStyle name="Normal 9 2 2 2 2 2" xfId="17663" xr:uid="{00000000-0005-0000-0000-0000ECD80000}"/>
    <cellStyle name="Normal 9 2 2 2 20" xfId="46276" xr:uid="{00000000-0005-0000-0000-0000EDD80000}"/>
    <cellStyle name="Normal 9 2 2 2 21" xfId="47959" xr:uid="{00000000-0005-0000-0000-0000EED80000}"/>
    <cellStyle name="Normal 9 2 2 2 22" xfId="49642" xr:uid="{00000000-0005-0000-0000-0000EFD80000}"/>
    <cellStyle name="Normal 9 2 2 2 23" xfId="51325" xr:uid="{00000000-0005-0000-0000-0000F0D80000}"/>
    <cellStyle name="Normal 9 2 2 2 24" xfId="53008" xr:uid="{00000000-0005-0000-0000-0000F1D80000}"/>
    <cellStyle name="Normal 9 2 2 2 25" xfId="54691" xr:uid="{00000000-0005-0000-0000-0000F2D80000}"/>
    <cellStyle name="Normal 9 2 2 2 26" xfId="56374" xr:uid="{00000000-0005-0000-0000-0000F3D80000}"/>
    <cellStyle name="Normal 9 2 2 2 27" xfId="58057" xr:uid="{00000000-0005-0000-0000-0000F4D80000}"/>
    <cellStyle name="Normal 9 2 2 2 28" xfId="59740" xr:uid="{00000000-0005-0000-0000-0000F5D80000}"/>
    <cellStyle name="Normal 9 2 2 2 29" xfId="61423" xr:uid="{00000000-0005-0000-0000-0000F6D80000}"/>
    <cellStyle name="Normal 9 2 2 2 3" xfId="4198" xr:uid="{00000000-0005-0000-0000-0000F7D80000}"/>
    <cellStyle name="Normal 9 2 2 2 3 2" xfId="19347" xr:uid="{00000000-0005-0000-0000-0000F8D80000}"/>
    <cellStyle name="Normal 9 2 2 2 30" xfId="63106" xr:uid="{00000000-0005-0000-0000-0000F9D80000}"/>
    <cellStyle name="Normal 9 2 2 2 4" xfId="5881" xr:uid="{00000000-0005-0000-0000-0000FAD80000}"/>
    <cellStyle name="Normal 9 2 2 2 4 2" xfId="21030" xr:uid="{00000000-0005-0000-0000-0000FBD80000}"/>
    <cellStyle name="Normal 9 2 2 2 5" xfId="7564" xr:uid="{00000000-0005-0000-0000-0000FCD80000}"/>
    <cellStyle name="Normal 9 2 2 2 5 2" xfId="22713" xr:uid="{00000000-0005-0000-0000-0000FDD80000}"/>
    <cellStyle name="Normal 9 2 2 2 6" xfId="9247" xr:uid="{00000000-0005-0000-0000-0000FED80000}"/>
    <cellStyle name="Normal 9 2 2 2 6 2" xfId="24396" xr:uid="{00000000-0005-0000-0000-0000FFD80000}"/>
    <cellStyle name="Normal 9 2 2 2 7" xfId="10930" xr:uid="{00000000-0005-0000-0000-000000D90000}"/>
    <cellStyle name="Normal 9 2 2 2 7 2" xfId="26079" xr:uid="{00000000-0005-0000-0000-000001D90000}"/>
    <cellStyle name="Normal 9 2 2 2 8" xfId="12614" xr:uid="{00000000-0005-0000-0000-000002D90000}"/>
    <cellStyle name="Normal 9 2 2 2 8 2" xfId="27763" xr:uid="{00000000-0005-0000-0000-000003D90000}"/>
    <cellStyle name="Normal 9 2 2 2 9" xfId="14297" xr:uid="{00000000-0005-0000-0000-000004D90000}"/>
    <cellStyle name="Normal 9 2 2 2 9 2" xfId="29446" xr:uid="{00000000-0005-0000-0000-000005D90000}"/>
    <cellStyle name="Normal 9 2 2 20" xfId="40807" xr:uid="{00000000-0005-0000-0000-000006D90000}"/>
    <cellStyle name="Normal 9 2 2 21" xfId="42490" xr:uid="{00000000-0005-0000-0000-000007D90000}"/>
    <cellStyle name="Normal 9 2 2 22" xfId="44173" xr:uid="{00000000-0005-0000-0000-000008D90000}"/>
    <cellStyle name="Normal 9 2 2 23" xfId="45856" xr:uid="{00000000-0005-0000-0000-000009D90000}"/>
    <cellStyle name="Normal 9 2 2 24" xfId="47539" xr:uid="{00000000-0005-0000-0000-00000AD90000}"/>
    <cellStyle name="Normal 9 2 2 25" xfId="49222" xr:uid="{00000000-0005-0000-0000-00000BD90000}"/>
    <cellStyle name="Normal 9 2 2 26" xfId="50905" xr:uid="{00000000-0005-0000-0000-00000CD90000}"/>
    <cellStyle name="Normal 9 2 2 27" xfId="52588" xr:uid="{00000000-0005-0000-0000-00000DD90000}"/>
    <cellStyle name="Normal 9 2 2 28" xfId="54271" xr:uid="{00000000-0005-0000-0000-00000ED90000}"/>
    <cellStyle name="Normal 9 2 2 29" xfId="55954" xr:uid="{00000000-0005-0000-0000-00000FD90000}"/>
    <cellStyle name="Normal 9 2 2 3" xfId="1252" xr:uid="{00000000-0005-0000-0000-000010D90000}"/>
    <cellStyle name="Normal 9 2 2 3 10" xfId="16401" xr:uid="{00000000-0005-0000-0000-000011D90000}"/>
    <cellStyle name="Normal 9 2 2 3 11" xfId="31550" xr:uid="{00000000-0005-0000-0000-000012D90000}"/>
    <cellStyle name="Normal 9 2 2 3 12" xfId="33233" xr:uid="{00000000-0005-0000-0000-000013D90000}"/>
    <cellStyle name="Normal 9 2 2 3 13" xfId="34916" xr:uid="{00000000-0005-0000-0000-000014D90000}"/>
    <cellStyle name="Normal 9 2 2 3 14" xfId="36599" xr:uid="{00000000-0005-0000-0000-000015D90000}"/>
    <cellStyle name="Normal 9 2 2 3 15" xfId="38282" xr:uid="{00000000-0005-0000-0000-000016D90000}"/>
    <cellStyle name="Normal 9 2 2 3 16" xfId="39965" xr:uid="{00000000-0005-0000-0000-000017D90000}"/>
    <cellStyle name="Normal 9 2 2 3 17" xfId="41648" xr:uid="{00000000-0005-0000-0000-000018D90000}"/>
    <cellStyle name="Normal 9 2 2 3 18" xfId="43331" xr:uid="{00000000-0005-0000-0000-000019D90000}"/>
    <cellStyle name="Normal 9 2 2 3 19" xfId="45014" xr:uid="{00000000-0005-0000-0000-00001AD90000}"/>
    <cellStyle name="Normal 9 2 2 3 2" xfId="2935" xr:uid="{00000000-0005-0000-0000-00001BD90000}"/>
    <cellStyle name="Normal 9 2 2 3 2 2" xfId="18084" xr:uid="{00000000-0005-0000-0000-00001CD90000}"/>
    <cellStyle name="Normal 9 2 2 3 20" xfId="46697" xr:uid="{00000000-0005-0000-0000-00001DD90000}"/>
    <cellStyle name="Normal 9 2 2 3 21" xfId="48380" xr:uid="{00000000-0005-0000-0000-00001ED90000}"/>
    <cellStyle name="Normal 9 2 2 3 22" xfId="50063" xr:uid="{00000000-0005-0000-0000-00001FD90000}"/>
    <cellStyle name="Normal 9 2 2 3 23" xfId="51746" xr:uid="{00000000-0005-0000-0000-000020D90000}"/>
    <cellStyle name="Normal 9 2 2 3 24" xfId="53429" xr:uid="{00000000-0005-0000-0000-000021D90000}"/>
    <cellStyle name="Normal 9 2 2 3 25" xfId="55112" xr:uid="{00000000-0005-0000-0000-000022D90000}"/>
    <cellStyle name="Normal 9 2 2 3 26" xfId="56795" xr:uid="{00000000-0005-0000-0000-000023D90000}"/>
    <cellStyle name="Normal 9 2 2 3 27" xfId="58478" xr:uid="{00000000-0005-0000-0000-000024D90000}"/>
    <cellStyle name="Normal 9 2 2 3 28" xfId="60161" xr:uid="{00000000-0005-0000-0000-000025D90000}"/>
    <cellStyle name="Normal 9 2 2 3 29" xfId="61844" xr:uid="{00000000-0005-0000-0000-000026D90000}"/>
    <cellStyle name="Normal 9 2 2 3 3" xfId="4619" xr:uid="{00000000-0005-0000-0000-000027D90000}"/>
    <cellStyle name="Normal 9 2 2 3 3 2" xfId="19768" xr:uid="{00000000-0005-0000-0000-000028D90000}"/>
    <cellStyle name="Normal 9 2 2 3 30" xfId="63527" xr:uid="{00000000-0005-0000-0000-000029D90000}"/>
    <cellStyle name="Normal 9 2 2 3 4" xfId="6302" xr:uid="{00000000-0005-0000-0000-00002AD90000}"/>
    <cellStyle name="Normal 9 2 2 3 4 2" xfId="21451" xr:uid="{00000000-0005-0000-0000-00002BD90000}"/>
    <cellStyle name="Normal 9 2 2 3 5" xfId="7985" xr:uid="{00000000-0005-0000-0000-00002CD90000}"/>
    <cellStyle name="Normal 9 2 2 3 5 2" xfId="23134" xr:uid="{00000000-0005-0000-0000-00002DD90000}"/>
    <cellStyle name="Normal 9 2 2 3 6" xfId="9668" xr:uid="{00000000-0005-0000-0000-00002ED90000}"/>
    <cellStyle name="Normal 9 2 2 3 6 2" xfId="24817" xr:uid="{00000000-0005-0000-0000-00002FD90000}"/>
    <cellStyle name="Normal 9 2 2 3 7" xfId="11351" xr:uid="{00000000-0005-0000-0000-000030D90000}"/>
    <cellStyle name="Normal 9 2 2 3 7 2" xfId="26500" xr:uid="{00000000-0005-0000-0000-000031D90000}"/>
    <cellStyle name="Normal 9 2 2 3 8" xfId="13035" xr:uid="{00000000-0005-0000-0000-000032D90000}"/>
    <cellStyle name="Normal 9 2 2 3 8 2" xfId="28184" xr:uid="{00000000-0005-0000-0000-000033D90000}"/>
    <cellStyle name="Normal 9 2 2 3 9" xfId="14718" xr:uid="{00000000-0005-0000-0000-000034D90000}"/>
    <cellStyle name="Normal 9 2 2 3 9 2" xfId="29867" xr:uid="{00000000-0005-0000-0000-000035D90000}"/>
    <cellStyle name="Normal 9 2 2 30" xfId="57637" xr:uid="{00000000-0005-0000-0000-000036D90000}"/>
    <cellStyle name="Normal 9 2 2 31" xfId="59320" xr:uid="{00000000-0005-0000-0000-000037D90000}"/>
    <cellStyle name="Normal 9 2 2 32" xfId="61003" xr:uid="{00000000-0005-0000-0000-000038D90000}"/>
    <cellStyle name="Normal 9 2 2 33" xfId="62686" xr:uid="{00000000-0005-0000-0000-000039D90000}"/>
    <cellStyle name="Normal 9 2 2 4" xfId="1673" xr:uid="{00000000-0005-0000-0000-00003AD90000}"/>
    <cellStyle name="Normal 9 2 2 4 10" xfId="16822" xr:uid="{00000000-0005-0000-0000-00003BD90000}"/>
    <cellStyle name="Normal 9 2 2 4 11" xfId="31971" xr:uid="{00000000-0005-0000-0000-00003CD90000}"/>
    <cellStyle name="Normal 9 2 2 4 12" xfId="33654" xr:uid="{00000000-0005-0000-0000-00003DD90000}"/>
    <cellStyle name="Normal 9 2 2 4 13" xfId="35337" xr:uid="{00000000-0005-0000-0000-00003ED90000}"/>
    <cellStyle name="Normal 9 2 2 4 14" xfId="37020" xr:uid="{00000000-0005-0000-0000-00003FD90000}"/>
    <cellStyle name="Normal 9 2 2 4 15" xfId="38703" xr:uid="{00000000-0005-0000-0000-000040D90000}"/>
    <cellStyle name="Normal 9 2 2 4 16" xfId="40386" xr:uid="{00000000-0005-0000-0000-000041D90000}"/>
    <cellStyle name="Normal 9 2 2 4 17" xfId="42069" xr:uid="{00000000-0005-0000-0000-000042D90000}"/>
    <cellStyle name="Normal 9 2 2 4 18" xfId="43752" xr:uid="{00000000-0005-0000-0000-000043D90000}"/>
    <cellStyle name="Normal 9 2 2 4 19" xfId="45435" xr:uid="{00000000-0005-0000-0000-000044D90000}"/>
    <cellStyle name="Normal 9 2 2 4 2" xfId="3356" xr:uid="{00000000-0005-0000-0000-000045D90000}"/>
    <cellStyle name="Normal 9 2 2 4 2 2" xfId="18505" xr:uid="{00000000-0005-0000-0000-000046D90000}"/>
    <cellStyle name="Normal 9 2 2 4 20" xfId="47118" xr:uid="{00000000-0005-0000-0000-000047D90000}"/>
    <cellStyle name="Normal 9 2 2 4 21" xfId="48801" xr:uid="{00000000-0005-0000-0000-000048D90000}"/>
    <cellStyle name="Normal 9 2 2 4 22" xfId="50484" xr:uid="{00000000-0005-0000-0000-000049D90000}"/>
    <cellStyle name="Normal 9 2 2 4 23" xfId="52167" xr:uid="{00000000-0005-0000-0000-00004AD90000}"/>
    <cellStyle name="Normal 9 2 2 4 24" xfId="53850" xr:uid="{00000000-0005-0000-0000-00004BD90000}"/>
    <cellStyle name="Normal 9 2 2 4 25" xfId="55533" xr:uid="{00000000-0005-0000-0000-00004CD90000}"/>
    <cellStyle name="Normal 9 2 2 4 26" xfId="57216" xr:uid="{00000000-0005-0000-0000-00004DD90000}"/>
    <cellStyle name="Normal 9 2 2 4 27" xfId="58899" xr:uid="{00000000-0005-0000-0000-00004ED90000}"/>
    <cellStyle name="Normal 9 2 2 4 28" xfId="60582" xr:uid="{00000000-0005-0000-0000-00004FD90000}"/>
    <cellStyle name="Normal 9 2 2 4 29" xfId="62265" xr:uid="{00000000-0005-0000-0000-000050D90000}"/>
    <cellStyle name="Normal 9 2 2 4 3" xfId="5040" xr:uid="{00000000-0005-0000-0000-000051D90000}"/>
    <cellStyle name="Normal 9 2 2 4 3 2" xfId="20189" xr:uid="{00000000-0005-0000-0000-000052D90000}"/>
    <cellStyle name="Normal 9 2 2 4 30" xfId="63948" xr:uid="{00000000-0005-0000-0000-000053D90000}"/>
    <cellStyle name="Normal 9 2 2 4 4" xfId="6723" xr:uid="{00000000-0005-0000-0000-000054D90000}"/>
    <cellStyle name="Normal 9 2 2 4 4 2" xfId="21872" xr:uid="{00000000-0005-0000-0000-000055D90000}"/>
    <cellStyle name="Normal 9 2 2 4 5" xfId="8406" xr:uid="{00000000-0005-0000-0000-000056D90000}"/>
    <cellStyle name="Normal 9 2 2 4 5 2" xfId="23555" xr:uid="{00000000-0005-0000-0000-000057D90000}"/>
    <cellStyle name="Normal 9 2 2 4 6" xfId="10089" xr:uid="{00000000-0005-0000-0000-000058D90000}"/>
    <cellStyle name="Normal 9 2 2 4 6 2" xfId="25238" xr:uid="{00000000-0005-0000-0000-000059D90000}"/>
    <cellStyle name="Normal 9 2 2 4 7" xfId="11772" xr:uid="{00000000-0005-0000-0000-00005AD90000}"/>
    <cellStyle name="Normal 9 2 2 4 7 2" xfId="26921" xr:uid="{00000000-0005-0000-0000-00005BD90000}"/>
    <cellStyle name="Normal 9 2 2 4 8" xfId="13456" xr:uid="{00000000-0005-0000-0000-00005CD90000}"/>
    <cellStyle name="Normal 9 2 2 4 8 2" xfId="28605" xr:uid="{00000000-0005-0000-0000-00005DD90000}"/>
    <cellStyle name="Normal 9 2 2 4 9" xfId="15139" xr:uid="{00000000-0005-0000-0000-00005ED90000}"/>
    <cellStyle name="Normal 9 2 2 4 9 2" xfId="30288" xr:uid="{00000000-0005-0000-0000-00005FD90000}"/>
    <cellStyle name="Normal 9 2 2 5" xfId="2094" xr:uid="{00000000-0005-0000-0000-000060D90000}"/>
    <cellStyle name="Normal 9 2 2 5 2" xfId="17243" xr:uid="{00000000-0005-0000-0000-000061D90000}"/>
    <cellStyle name="Normal 9 2 2 6" xfId="3778" xr:uid="{00000000-0005-0000-0000-000062D90000}"/>
    <cellStyle name="Normal 9 2 2 6 2" xfId="18927" xr:uid="{00000000-0005-0000-0000-000063D90000}"/>
    <cellStyle name="Normal 9 2 2 7" xfId="5461" xr:uid="{00000000-0005-0000-0000-000064D90000}"/>
    <cellStyle name="Normal 9 2 2 7 2" xfId="20610" xr:uid="{00000000-0005-0000-0000-000065D90000}"/>
    <cellStyle name="Normal 9 2 2 8" xfId="7144" xr:uid="{00000000-0005-0000-0000-000066D90000}"/>
    <cellStyle name="Normal 9 2 2 8 2" xfId="22293" xr:uid="{00000000-0005-0000-0000-000067D90000}"/>
    <cellStyle name="Normal 9 2 2 9" xfId="8827" xr:uid="{00000000-0005-0000-0000-000068D90000}"/>
    <cellStyle name="Normal 9 2 2 9 2" xfId="23976" xr:uid="{00000000-0005-0000-0000-000069D90000}"/>
    <cellStyle name="Normal 9 2 20" xfId="38914" xr:uid="{00000000-0005-0000-0000-00006AD90000}"/>
    <cellStyle name="Normal 9 2 21" xfId="40597" xr:uid="{00000000-0005-0000-0000-00006BD90000}"/>
    <cellStyle name="Normal 9 2 22" xfId="42280" xr:uid="{00000000-0005-0000-0000-00006CD90000}"/>
    <cellStyle name="Normal 9 2 23" xfId="43963" xr:uid="{00000000-0005-0000-0000-00006DD90000}"/>
    <cellStyle name="Normal 9 2 24" xfId="45646" xr:uid="{00000000-0005-0000-0000-00006ED90000}"/>
    <cellStyle name="Normal 9 2 25" xfId="47329" xr:uid="{00000000-0005-0000-0000-00006FD90000}"/>
    <cellStyle name="Normal 9 2 26" xfId="49012" xr:uid="{00000000-0005-0000-0000-000070D90000}"/>
    <cellStyle name="Normal 9 2 27" xfId="50695" xr:uid="{00000000-0005-0000-0000-000071D90000}"/>
    <cellStyle name="Normal 9 2 28" xfId="52378" xr:uid="{00000000-0005-0000-0000-000072D90000}"/>
    <cellStyle name="Normal 9 2 29" xfId="54061" xr:uid="{00000000-0005-0000-0000-000073D90000}"/>
    <cellStyle name="Normal 9 2 3" xfId="621" xr:uid="{00000000-0005-0000-0000-000074D90000}"/>
    <cellStyle name="Normal 9 2 3 10" xfId="15770" xr:uid="{00000000-0005-0000-0000-000075D90000}"/>
    <cellStyle name="Normal 9 2 3 11" xfId="30919" xr:uid="{00000000-0005-0000-0000-000076D90000}"/>
    <cellStyle name="Normal 9 2 3 12" xfId="32602" xr:uid="{00000000-0005-0000-0000-000077D90000}"/>
    <cellStyle name="Normal 9 2 3 13" xfId="34285" xr:uid="{00000000-0005-0000-0000-000078D90000}"/>
    <cellStyle name="Normal 9 2 3 14" xfId="35968" xr:uid="{00000000-0005-0000-0000-000079D90000}"/>
    <cellStyle name="Normal 9 2 3 15" xfId="37651" xr:uid="{00000000-0005-0000-0000-00007AD90000}"/>
    <cellStyle name="Normal 9 2 3 16" xfId="39334" xr:uid="{00000000-0005-0000-0000-00007BD90000}"/>
    <cellStyle name="Normal 9 2 3 17" xfId="41017" xr:uid="{00000000-0005-0000-0000-00007CD90000}"/>
    <cellStyle name="Normal 9 2 3 18" xfId="42700" xr:uid="{00000000-0005-0000-0000-00007DD90000}"/>
    <cellStyle name="Normal 9 2 3 19" xfId="44383" xr:uid="{00000000-0005-0000-0000-00007ED90000}"/>
    <cellStyle name="Normal 9 2 3 2" xfId="2304" xr:uid="{00000000-0005-0000-0000-00007FD90000}"/>
    <cellStyle name="Normal 9 2 3 2 2" xfId="17453" xr:uid="{00000000-0005-0000-0000-000080D90000}"/>
    <cellStyle name="Normal 9 2 3 20" xfId="46066" xr:uid="{00000000-0005-0000-0000-000081D90000}"/>
    <cellStyle name="Normal 9 2 3 21" xfId="47749" xr:uid="{00000000-0005-0000-0000-000082D90000}"/>
    <cellStyle name="Normal 9 2 3 22" xfId="49432" xr:uid="{00000000-0005-0000-0000-000083D90000}"/>
    <cellStyle name="Normal 9 2 3 23" xfId="51115" xr:uid="{00000000-0005-0000-0000-000084D90000}"/>
    <cellStyle name="Normal 9 2 3 24" xfId="52798" xr:uid="{00000000-0005-0000-0000-000085D90000}"/>
    <cellStyle name="Normal 9 2 3 25" xfId="54481" xr:uid="{00000000-0005-0000-0000-000086D90000}"/>
    <cellStyle name="Normal 9 2 3 26" xfId="56164" xr:uid="{00000000-0005-0000-0000-000087D90000}"/>
    <cellStyle name="Normal 9 2 3 27" xfId="57847" xr:uid="{00000000-0005-0000-0000-000088D90000}"/>
    <cellStyle name="Normal 9 2 3 28" xfId="59530" xr:uid="{00000000-0005-0000-0000-000089D90000}"/>
    <cellStyle name="Normal 9 2 3 29" xfId="61213" xr:uid="{00000000-0005-0000-0000-00008AD90000}"/>
    <cellStyle name="Normal 9 2 3 3" xfId="3988" xr:uid="{00000000-0005-0000-0000-00008BD90000}"/>
    <cellStyle name="Normal 9 2 3 3 2" xfId="19137" xr:uid="{00000000-0005-0000-0000-00008CD90000}"/>
    <cellStyle name="Normal 9 2 3 30" xfId="62896" xr:uid="{00000000-0005-0000-0000-00008DD90000}"/>
    <cellStyle name="Normal 9 2 3 4" xfId="5671" xr:uid="{00000000-0005-0000-0000-00008ED90000}"/>
    <cellStyle name="Normal 9 2 3 4 2" xfId="20820" xr:uid="{00000000-0005-0000-0000-00008FD90000}"/>
    <cellStyle name="Normal 9 2 3 5" xfId="7354" xr:uid="{00000000-0005-0000-0000-000090D90000}"/>
    <cellStyle name="Normal 9 2 3 5 2" xfId="22503" xr:uid="{00000000-0005-0000-0000-000091D90000}"/>
    <cellStyle name="Normal 9 2 3 6" xfId="9037" xr:uid="{00000000-0005-0000-0000-000092D90000}"/>
    <cellStyle name="Normal 9 2 3 6 2" xfId="24186" xr:uid="{00000000-0005-0000-0000-000093D90000}"/>
    <cellStyle name="Normal 9 2 3 7" xfId="10720" xr:uid="{00000000-0005-0000-0000-000094D90000}"/>
    <cellStyle name="Normal 9 2 3 7 2" xfId="25869" xr:uid="{00000000-0005-0000-0000-000095D90000}"/>
    <cellStyle name="Normal 9 2 3 8" xfId="12404" xr:uid="{00000000-0005-0000-0000-000096D90000}"/>
    <cellStyle name="Normal 9 2 3 8 2" xfId="27553" xr:uid="{00000000-0005-0000-0000-000097D90000}"/>
    <cellStyle name="Normal 9 2 3 9" xfId="14087" xr:uid="{00000000-0005-0000-0000-000098D90000}"/>
    <cellStyle name="Normal 9 2 3 9 2" xfId="29236" xr:uid="{00000000-0005-0000-0000-000099D90000}"/>
    <cellStyle name="Normal 9 2 30" xfId="55744" xr:uid="{00000000-0005-0000-0000-00009AD90000}"/>
    <cellStyle name="Normal 9 2 31" xfId="57427" xr:uid="{00000000-0005-0000-0000-00009BD90000}"/>
    <cellStyle name="Normal 9 2 32" xfId="59110" xr:uid="{00000000-0005-0000-0000-00009CD90000}"/>
    <cellStyle name="Normal 9 2 33" xfId="60793" xr:uid="{00000000-0005-0000-0000-00009DD90000}"/>
    <cellStyle name="Normal 9 2 34" xfId="62476" xr:uid="{00000000-0005-0000-0000-00009ED90000}"/>
    <cellStyle name="Normal 9 2 4" xfId="1042" xr:uid="{00000000-0005-0000-0000-00009FD90000}"/>
    <cellStyle name="Normal 9 2 4 10" xfId="16191" xr:uid="{00000000-0005-0000-0000-0000A0D90000}"/>
    <cellStyle name="Normal 9 2 4 11" xfId="31340" xr:uid="{00000000-0005-0000-0000-0000A1D90000}"/>
    <cellStyle name="Normal 9 2 4 12" xfId="33023" xr:uid="{00000000-0005-0000-0000-0000A2D90000}"/>
    <cellStyle name="Normal 9 2 4 13" xfId="34706" xr:uid="{00000000-0005-0000-0000-0000A3D90000}"/>
    <cellStyle name="Normal 9 2 4 14" xfId="36389" xr:uid="{00000000-0005-0000-0000-0000A4D90000}"/>
    <cellStyle name="Normal 9 2 4 15" xfId="38072" xr:uid="{00000000-0005-0000-0000-0000A5D90000}"/>
    <cellStyle name="Normal 9 2 4 16" xfId="39755" xr:uid="{00000000-0005-0000-0000-0000A6D90000}"/>
    <cellStyle name="Normal 9 2 4 17" xfId="41438" xr:uid="{00000000-0005-0000-0000-0000A7D90000}"/>
    <cellStyle name="Normal 9 2 4 18" xfId="43121" xr:uid="{00000000-0005-0000-0000-0000A8D90000}"/>
    <cellStyle name="Normal 9 2 4 19" xfId="44804" xr:uid="{00000000-0005-0000-0000-0000A9D90000}"/>
    <cellStyle name="Normal 9 2 4 2" xfId="2725" xr:uid="{00000000-0005-0000-0000-0000AAD90000}"/>
    <cellStyle name="Normal 9 2 4 2 2" xfId="17874" xr:uid="{00000000-0005-0000-0000-0000ABD90000}"/>
    <cellStyle name="Normal 9 2 4 20" xfId="46487" xr:uid="{00000000-0005-0000-0000-0000ACD90000}"/>
    <cellStyle name="Normal 9 2 4 21" xfId="48170" xr:uid="{00000000-0005-0000-0000-0000ADD90000}"/>
    <cellStyle name="Normal 9 2 4 22" xfId="49853" xr:uid="{00000000-0005-0000-0000-0000AED90000}"/>
    <cellStyle name="Normal 9 2 4 23" xfId="51536" xr:uid="{00000000-0005-0000-0000-0000AFD90000}"/>
    <cellStyle name="Normal 9 2 4 24" xfId="53219" xr:uid="{00000000-0005-0000-0000-0000B0D90000}"/>
    <cellStyle name="Normal 9 2 4 25" xfId="54902" xr:uid="{00000000-0005-0000-0000-0000B1D90000}"/>
    <cellStyle name="Normal 9 2 4 26" xfId="56585" xr:uid="{00000000-0005-0000-0000-0000B2D90000}"/>
    <cellStyle name="Normal 9 2 4 27" xfId="58268" xr:uid="{00000000-0005-0000-0000-0000B3D90000}"/>
    <cellStyle name="Normal 9 2 4 28" xfId="59951" xr:uid="{00000000-0005-0000-0000-0000B4D90000}"/>
    <cellStyle name="Normal 9 2 4 29" xfId="61634" xr:uid="{00000000-0005-0000-0000-0000B5D90000}"/>
    <cellStyle name="Normal 9 2 4 3" xfId="4409" xr:uid="{00000000-0005-0000-0000-0000B6D90000}"/>
    <cellStyle name="Normal 9 2 4 3 2" xfId="19558" xr:uid="{00000000-0005-0000-0000-0000B7D90000}"/>
    <cellStyle name="Normal 9 2 4 30" xfId="63317" xr:uid="{00000000-0005-0000-0000-0000B8D90000}"/>
    <cellStyle name="Normal 9 2 4 4" xfId="6092" xr:uid="{00000000-0005-0000-0000-0000B9D90000}"/>
    <cellStyle name="Normal 9 2 4 4 2" xfId="21241" xr:uid="{00000000-0005-0000-0000-0000BAD90000}"/>
    <cellStyle name="Normal 9 2 4 5" xfId="7775" xr:uid="{00000000-0005-0000-0000-0000BBD90000}"/>
    <cellStyle name="Normal 9 2 4 5 2" xfId="22924" xr:uid="{00000000-0005-0000-0000-0000BCD90000}"/>
    <cellStyle name="Normal 9 2 4 6" xfId="9458" xr:uid="{00000000-0005-0000-0000-0000BDD90000}"/>
    <cellStyle name="Normal 9 2 4 6 2" xfId="24607" xr:uid="{00000000-0005-0000-0000-0000BED90000}"/>
    <cellStyle name="Normal 9 2 4 7" xfId="11141" xr:uid="{00000000-0005-0000-0000-0000BFD90000}"/>
    <cellStyle name="Normal 9 2 4 7 2" xfId="26290" xr:uid="{00000000-0005-0000-0000-0000C0D90000}"/>
    <cellStyle name="Normal 9 2 4 8" xfId="12825" xr:uid="{00000000-0005-0000-0000-0000C1D90000}"/>
    <cellStyle name="Normal 9 2 4 8 2" xfId="27974" xr:uid="{00000000-0005-0000-0000-0000C2D90000}"/>
    <cellStyle name="Normal 9 2 4 9" xfId="14508" xr:uid="{00000000-0005-0000-0000-0000C3D90000}"/>
    <cellStyle name="Normal 9 2 4 9 2" xfId="29657" xr:uid="{00000000-0005-0000-0000-0000C4D90000}"/>
    <cellStyle name="Normal 9 2 5" xfId="1463" xr:uid="{00000000-0005-0000-0000-0000C5D90000}"/>
    <cellStyle name="Normal 9 2 5 10" xfId="16612" xr:uid="{00000000-0005-0000-0000-0000C6D90000}"/>
    <cellStyle name="Normal 9 2 5 11" xfId="31761" xr:uid="{00000000-0005-0000-0000-0000C7D90000}"/>
    <cellStyle name="Normal 9 2 5 12" xfId="33444" xr:uid="{00000000-0005-0000-0000-0000C8D90000}"/>
    <cellStyle name="Normal 9 2 5 13" xfId="35127" xr:uid="{00000000-0005-0000-0000-0000C9D90000}"/>
    <cellStyle name="Normal 9 2 5 14" xfId="36810" xr:uid="{00000000-0005-0000-0000-0000CAD90000}"/>
    <cellStyle name="Normal 9 2 5 15" xfId="38493" xr:uid="{00000000-0005-0000-0000-0000CBD90000}"/>
    <cellStyle name="Normal 9 2 5 16" xfId="40176" xr:uid="{00000000-0005-0000-0000-0000CCD90000}"/>
    <cellStyle name="Normal 9 2 5 17" xfId="41859" xr:uid="{00000000-0005-0000-0000-0000CDD90000}"/>
    <cellStyle name="Normal 9 2 5 18" xfId="43542" xr:uid="{00000000-0005-0000-0000-0000CED90000}"/>
    <cellStyle name="Normal 9 2 5 19" xfId="45225" xr:uid="{00000000-0005-0000-0000-0000CFD90000}"/>
    <cellStyle name="Normal 9 2 5 2" xfId="3146" xr:uid="{00000000-0005-0000-0000-0000D0D90000}"/>
    <cellStyle name="Normal 9 2 5 2 2" xfId="18295" xr:uid="{00000000-0005-0000-0000-0000D1D90000}"/>
    <cellStyle name="Normal 9 2 5 20" xfId="46908" xr:uid="{00000000-0005-0000-0000-0000D2D90000}"/>
    <cellStyle name="Normal 9 2 5 21" xfId="48591" xr:uid="{00000000-0005-0000-0000-0000D3D90000}"/>
    <cellStyle name="Normal 9 2 5 22" xfId="50274" xr:uid="{00000000-0005-0000-0000-0000D4D90000}"/>
    <cellStyle name="Normal 9 2 5 23" xfId="51957" xr:uid="{00000000-0005-0000-0000-0000D5D90000}"/>
    <cellStyle name="Normal 9 2 5 24" xfId="53640" xr:uid="{00000000-0005-0000-0000-0000D6D90000}"/>
    <cellStyle name="Normal 9 2 5 25" xfId="55323" xr:uid="{00000000-0005-0000-0000-0000D7D90000}"/>
    <cellStyle name="Normal 9 2 5 26" xfId="57006" xr:uid="{00000000-0005-0000-0000-0000D8D90000}"/>
    <cellStyle name="Normal 9 2 5 27" xfId="58689" xr:uid="{00000000-0005-0000-0000-0000D9D90000}"/>
    <cellStyle name="Normal 9 2 5 28" xfId="60372" xr:uid="{00000000-0005-0000-0000-0000DAD90000}"/>
    <cellStyle name="Normal 9 2 5 29" xfId="62055" xr:uid="{00000000-0005-0000-0000-0000DBD90000}"/>
    <cellStyle name="Normal 9 2 5 3" xfId="4830" xr:uid="{00000000-0005-0000-0000-0000DCD90000}"/>
    <cellStyle name="Normal 9 2 5 3 2" xfId="19979" xr:uid="{00000000-0005-0000-0000-0000DDD90000}"/>
    <cellStyle name="Normal 9 2 5 30" xfId="63738" xr:uid="{00000000-0005-0000-0000-0000DED90000}"/>
    <cellStyle name="Normal 9 2 5 4" xfId="6513" xr:uid="{00000000-0005-0000-0000-0000DFD90000}"/>
    <cellStyle name="Normal 9 2 5 4 2" xfId="21662" xr:uid="{00000000-0005-0000-0000-0000E0D90000}"/>
    <cellStyle name="Normal 9 2 5 5" xfId="8196" xr:uid="{00000000-0005-0000-0000-0000E1D90000}"/>
    <cellStyle name="Normal 9 2 5 5 2" xfId="23345" xr:uid="{00000000-0005-0000-0000-0000E2D90000}"/>
    <cellStyle name="Normal 9 2 5 6" xfId="9879" xr:uid="{00000000-0005-0000-0000-0000E3D90000}"/>
    <cellStyle name="Normal 9 2 5 6 2" xfId="25028" xr:uid="{00000000-0005-0000-0000-0000E4D90000}"/>
    <cellStyle name="Normal 9 2 5 7" xfId="11562" xr:uid="{00000000-0005-0000-0000-0000E5D90000}"/>
    <cellStyle name="Normal 9 2 5 7 2" xfId="26711" xr:uid="{00000000-0005-0000-0000-0000E6D90000}"/>
    <cellStyle name="Normal 9 2 5 8" xfId="13246" xr:uid="{00000000-0005-0000-0000-0000E7D90000}"/>
    <cellStyle name="Normal 9 2 5 8 2" xfId="28395" xr:uid="{00000000-0005-0000-0000-0000E8D90000}"/>
    <cellStyle name="Normal 9 2 5 9" xfId="14929" xr:uid="{00000000-0005-0000-0000-0000E9D90000}"/>
    <cellStyle name="Normal 9 2 5 9 2" xfId="30078" xr:uid="{00000000-0005-0000-0000-0000EAD90000}"/>
    <cellStyle name="Normal 9 2 6" xfId="1884" xr:uid="{00000000-0005-0000-0000-0000EBD90000}"/>
    <cellStyle name="Normal 9 2 6 2" xfId="17033" xr:uid="{00000000-0005-0000-0000-0000ECD90000}"/>
    <cellStyle name="Normal 9 2 7" xfId="3568" xr:uid="{00000000-0005-0000-0000-0000EDD90000}"/>
    <cellStyle name="Normal 9 2 7 2" xfId="18717" xr:uid="{00000000-0005-0000-0000-0000EED90000}"/>
    <cellStyle name="Normal 9 2 8" xfId="5251" xr:uid="{00000000-0005-0000-0000-0000EFD90000}"/>
    <cellStyle name="Normal 9 2 8 2" xfId="20400" xr:uid="{00000000-0005-0000-0000-0000F0D90000}"/>
    <cellStyle name="Normal 9 2 9" xfId="6934" xr:uid="{00000000-0005-0000-0000-0000F1D90000}"/>
    <cellStyle name="Normal 9 2 9 2" xfId="22083" xr:uid="{00000000-0005-0000-0000-0000F2D90000}"/>
    <cellStyle name="Normal 9 20" xfId="37126" xr:uid="{00000000-0005-0000-0000-0000F3D90000}"/>
    <cellStyle name="Normal 9 21" xfId="38809" xr:uid="{00000000-0005-0000-0000-0000F4D90000}"/>
    <cellStyle name="Normal 9 22" xfId="40492" xr:uid="{00000000-0005-0000-0000-0000F5D90000}"/>
    <cellStyle name="Normal 9 23" xfId="42175" xr:uid="{00000000-0005-0000-0000-0000F6D90000}"/>
    <cellStyle name="Normal 9 24" xfId="43858" xr:uid="{00000000-0005-0000-0000-0000F7D90000}"/>
    <cellStyle name="Normal 9 25" xfId="45541" xr:uid="{00000000-0005-0000-0000-0000F8D90000}"/>
    <cellStyle name="Normal 9 26" xfId="47224" xr:uid="{00000000-0005-0000-0000-0000F9D90000}"/>
    <cellStyle name="Normal 9 27" xfId="48907" xr:uid="{00000000-0005-0000-0000-0000FAD90000}"/>
    <cellStyle name="Normal 9 28" xfId="50590" xr:uid="{00000000-0005-0000-0000-0000FBD90000}"/>
    <cellStyle name="Normal 9 29" xfId="52273" xr:uid="{00000000-0005-0000-0000-0000FCD90000}"/>
    <cellStyle name="Normal 9 3" xfId="306" xr:uid="{00000000-0005-0000-0000-0000FDD90000}"/>
    <cellStyle name="Normal 9 3 10" xfId="10405" xr:uid="{00000000-0005-0000-0000-0000FED90000}"/>
    <cellStyle name="Normal 9 3 10 2" xfId="25554" xr:uid="{00000000-0005-0000-0000-0000FFD90000}"/>
    <cellStyle name="Normal 9 3 11" xfId="12089" xr:uid="{00000000-0005-0000-0000-000000DA0000}"/>
    <cellStyle name="Normal 9 3 11 2" xfId="27238" xr:uid="{00000000-0005-0000-0000-000001DA0000}"/>
    <cellStyle name="Normal 9 3 12" xfId="13772" xr:uid="{00000000-0005-0000-0000-000002DA0000}"/>
    <cellStyle name="Normal 9 3 12 2" xfId="28921" xr:uid="{00000000-0005-0000-0000-000003DA0000}"/>
    <cellStyle name="Normal 9 3 13" xfId="15455" xr:uid="{00000000-0005-0000-0000-000004DA0000}"/>
    <cellStyle name="Normal 9 3 14" xfId="30604" xr:uid="{00000000-0005-0000-0000-000005DA0000}"/>
    <cellStyle name="Normal 9 3 15" xfId="32287" xr:uid="{00000000-0005-0000-0000-000006DA0000}"/>
    <cellStyle name="Normal 9 3 16" xfId="33970" xr:uid="{00000000-0005-0000-0000-000007DA0000}"/>
    <cellStyle name="Normal 9 3 17" xfId="35653" xr:uid="{00000000-0005-0000-0000-000008DA0000}"/>
    <cellStyle name="Normal 9 3 18" xfId="37336" xr:uid="{00000000-0005-0000-0000-000009DA0000}"/>
    <cellStyle name="Normal 9 3 19" xfId="39019" xr:uid="{00000000-0005-0000-0000-00000ADA0000}"/>
    <cellStyle name="Normal 9 3 2" xfId="726" xr:uid="{00000000-0005-0000-0000-00000BDA0000}"/>
    <cellStyle name="Normal 9 3 2 10" xfId="15875" xr:uid="{00000000-0005-0000-0000-00000CDA0000}"/>
    <cellStyle name="Normal 9 3 2 11" xfId="31024" xr:uid="{00000000-0005-0000-0000-00000DDA0000}"/>
    <cellStyle name="Normal 9 3 2 12" xfId="32707" xr:uid="{00000000-0005-0000-0000-00000EDA0000}"/>
    <cellStyle name="Normal 9 3 2 13" xfId="34390" xr:uid="{00000000-0005-0000-0000-00000FDA0000}"/>
    <cellStyle name="Normal 9 3 2 14" xfId="36073" xr:uid="{00000000-0005-0000-0000-000010DA0000}"/>
    <cellStyle name="Normal 9 3 2 15" xfId="37756" xr:uid="{00000000-0005-0000-0000-000011DA0000}"/>
    <cellStyle name="Normal 9 3 2 16" xfId="39439" xr:uid="{00000000-0005-0000-0000-000012DA0000}"/>
    <cellStyle name="Normal 9 3 2 17" xfId="41122" xr:uid="{00000000-0005-0000-0000-000013DA0000}"/>
    <cellStyle name="Normal 9 3 2 18" xfId="42805" xr:uid="{00000000-0005-0000-0000-000014DA0000}"/>
    <cellStyle name="Normal 9 3 2 19" xfId="44488" xr:uid="{00000000-0005-0000-0000-000015DA0000}"/>
    <cellStyle name="Normal 9 3 2 2" xfId="2409" xr:uid="{00000000-0005-0000-0000-000016DA0000}"/>
    <cellStyle name="Normal 9 3 2 2 2" xfId="17558" xr:uid="{00000000-0005-0000-0000-000017DA0000}"/>
    <cellStyle name="Normal 9 3 2 20" xfId="46171" xr:uid="{00000000-0005-0000-0000-000018DA0000}"/>
    <cellStyle name="Normal 9 3 2 21" xfId="47854" xr:uid="{00000000-0005-0000-0000-000019DA0000}"/>
    <cellStyle name="Normal 9 3 2 22" xfId="49537" xr:uid="{00000000-0005-0000-0000-00001ADA0000}"/>
    <cellStyle name="Normal 9 3 2 23" xfId="51220" xr:uid="{00000000-0005-0000-0000-00001BDA0000}"/>
    <cellStyle name="Normal 9 3 2 24" xfId="52903" xr:uid="{00000000-0005-0000-0000-00001CDA0000}"/>
    <cellStyle name="Normal 9 3 2 25" xfId="54586" xr:uid="{00000000-0005-0000-0000-00001DDA0000}"/>
    <cellStyle name="Normal 9 3 2 26" xfId="56269" xr:uid="{00000000-0005-0000-0000-00001EDA0000}"/>
    <cellStyle name="Normal 9 3 2 27" xfId="57952" xr:uid="{00000000-0005-0000-0000-00001FDA0000}"/>
    <cellStyle name="Normal 9 3 2 28" xfId="59635" xr:uid="{00000000-0005-0000-0000-000020DA0000}"/>
    <cellStyle name="Normal 9 3 2 29" xfId="61318" xr:uid="{00000000-0005-0000-0000-000021DA0000}"/>
    <cellStyle name="Normal 9 3 2 3" xfId="4093" xr:uid="{00000000-0005-0000-0000-000022DA0000}"/>
    <cellStyle name="Normal 9 3 2 3 2" xfId="19242" xr:uid="{00000000-0005-0000-0000-000023DA0000}"/>
    <cellStyle name="Normal 9 3 2 30" xfId="63001" xr:uid="{00000000-0005-0000-0000-000024DA0000}"/>
    <cellStyle name="Normal 9 3 2 4" xfId="5776" xr:uid="{00000000-0005-0000-0000-000025DA0000}"/>
    <cellStyle name="Normal 9 3 2 4 2" xfId="20925" xr:uid="{00000000-0005-0000-0000-000026DA0000}"/>
    <cellStyle name="Normal 9 3 2 5" xfId="7459" xr:uid="{00000000-0005-0000-0000-000027DA0000}"/>
    <cellStyle name="Normal 9 3 2 5 2" xfId="22608" xr:uid="{00000000-0005-0000-0000-000028DA0000}"/>
    <cellStyle name="Normal 9 3 2 6" xfId="9142" xr:uid="{00000000-0005-0000-0000-000029DA0000}"/>
    <cellStyle name="Normal 9 3 2 6 2" xfId="24291" xr:uid="{00000000-0005-0000-0000-00002ADA0000}"/>
    <cellStyle name="Normal 9 3 2 7" xfId="10825" xr:uid="{00000000-0005-0000-0000-00002BDA0000}"/>
    <cellStyle name="Normal 9 3 2 7 2" xfId="25974" xr:uid="{00000000-0005-0000-0000-00002CDA0000}"/>
    <cellStyle name="Normal 9 3 2 8" xfId="12509" xr:uid="{00000000-0005-0000-0000-00002DDA0000}"/>
    <cellStyle name="Normal 9 3 2 8 2" xfId="27658" xr:uid="{00000000-0005-0000-0000-00002EDA0000}"/>
    <cellStyle name="Normal 9 3 2 9" xfId="14192" xr:uid="{00000000-0005-0000-0000-00002FDA0000}"/>
    <cellStyle name="Normal 9 3 2 9 2" xfId="29341" xr:uid="{00000000-0005-0000-0000-000030DA0000}"/>
    <cellStyle name="Normal 9 3 20" xfId="40702" xr:uid="{00000000-0005-0000-0000-000031DA0000}"/>
    <cellStyle name="Normal 9 3 21" xfId="42385" xr:uid="{00000000-0005-0000-0000-000032DA0000}"/>
    <cellStyle name="Normal 9 3 22" xfId="44068" xr:uid="{00000000-0005-0000-0000-000033DA0000}"/>
    <cellStyle name="Normal 9 3 23" xfId="45751" xr:uid="{00000000-0005-0000-0000-000034DA0000}"/>
    <cellStyle name="Normal 9 3 24" xfId="47434" xr:uid="{00000000-0005-0000-0000-000035DA0000}"/>
    <cellStyle name="Normal 9 3 25" xfId="49117" xr:uid="{00000000-0005-0000-0000-000036DA0000}"/>
    <cellStyle name="Normal 9 3 26" xfId="50800" xr:uid="{00000000-0005-0000-0000-000037DA0000}"/>
    <cellStyle name="Normal 9 3 27" xfId="52483" xr:uid="{00000000-0005-0000-0000-000038DA0000}"/>
    <cellStyle name="Normal 9 3 28" xfId="54166" xr:uid="{00000000-0005-0000-0000-000039DA0000}"/>
    <cellStyle name="Normal 9 3 29" xfId="55849" xr:uid="{00000000-0005-0000-0000-00003ADA0000}"/>
    <cellStyle name="Normal 9 3 3" xfId="1147" xr:uid="{00000000-0005-0000-0000-00003BDA0000}"/>
    <cellStyle name="Normal 9 3 3 10" xfId="16296" xr:uid="{00000000-0005-0000-0000-00003CDA0000}"/>
    <cellStyle name="Normal 9 3 3 11" xfId="31445" xr:uid="{00000000-0005-0000-0000-00003DDA0000}"/>
    <cellStyle name="Normal 9 3 3 12" xfId="33128" xr:uid="{00000000-0005-0000-0000-00003EDA0000}"/>
    <cellStyle name="Normal 9 3 3 13" xfId="34811" xr:uid="{00000000-0005-0000-0000-00003FDA0000}"/>
    <cellStyle name="Normal 9 3 3 14" xfId="36494" xr:uid="{00000000-0005-0000-0000-000040DA0000}"/>
    <cellStyle name="Normal 9 3 3 15" xfId="38177" xr:uid="{00000000-0005-0000-0000-000041DA0000}"/>
    <cellStyle name="Normal 9 3 3 16" xfId="39860" xr:uid="{00000000-0005-0000-0000-000042DA0000}"/>
    <cellStyle name="Normal 9 3 3 17" xfId="41543" xr:uid="{00000000-0005-0000-0000-000043DA0000}"/>
    <cellStyle name="Normal 9 3 3 18" xfId="43226" xr:uid="{00000000-0005-0000-0000-000044DA0000}"/>
    <cellStyle name="Normal 9 3 3 19" xfId="44909" xr:uid="{00000000-0005-0000-0000-000045DA0000}"/>
    <cellStyle name="Normal 9 3 3 2" xfId="2830" xr:uid="{00000000-0005-0000-0000-000046DA0000}"/>
    <cellStyle name="Normal 9 3 3 2 2" xfId="17979" xr:uid="{00000000-0005-0000-0000-000047DA0000}"/>
    <cellStyle name="Normal 9 3 3 20" xfId="46592" xr:uid="{00000000-0005-0000-0000-000048DA0000}"/>
    <cellStyle name="Normal 9 3 3 21" xfId="48275" xr:uid="{00000000-0005-0000-0000-000049DA0000}"/>
    <cellStyle name="Normal 9 3 3 22" xfId="49958" xr:uid="{00000000-0005-0000-0000-00004ADA0000}"/>
    <cellStyle name="Normal 9 3 3 23" xfId="51641" xr:uid="{00000000-0005-0000-0000-00004BDA0000}"/>
    <cellStyle name="Normal 9 3 3 24" xfId="53324" xr:uid="{00000000-0005-0000-0000-00004CDA0000}"/>
    <cellStyle name="Normal 9 3 3 25" xfId="55007" xr:uid="{00000000-0005-0000-0000-00004DDA0000}"/>
    <cellStyle name="Normal 9 3 3 26" xfId="56690" xr:uid="{00000000-0005-0000-0000-00004EDA0000}"/>
    <cellStyle name="Normal 9 3 3 27" xfId="58373" xr:uid="{00000000-0005-0000-0000-00004FDA0000}"/>
    <cellStyle name="Normal 9 3 3 28" xfId="60056" xr:uid="{00000000-0005-0000-0000-000050DA0000}"/>
    <cellStyle name="Normal 9 3 3 29" xfId="61739" xr:uid="{00000000-0005-0000-0000-000051DA0000}"/>
    <cellStyle name="Normal 9 3 3 3" xfId="4514" xr:uid="{00000000-0005-0000-0000-000052DA0000}"/>
    <cellStyle name="Normal 9 3 3 3 2" xfId="19663" xr:uid="{00000000-0005-0000-0000-000053DA0000}"/>
    <cellStyle name="Normal 9 3 3 30" xfId="63422" xr:uid="{00000000-0005-0000-0000-000054DA0000}"/>
    <cellStyle name="Normal 9 3 3 4" xfId="6197" xr:uid="{00000000-0005-0000-0000-000055DA0000}"/>
    <cellStyle name="Normal 9 3 3 4 2" xfId="21346" xr:uid="{00000000-0005-0000-0000-000056DA0000}"/>
    <cellStyle name="Normal 9 3 3 5" xfId="7880" xr:uid="{00000000-0005-0000-0000-000057DA0000}"/>
    <cellStyle name="Normal 9 3 3 5 2" xfId="23029" xr:uid="{00000000-0005-0000-0000-000058DA0000}"/>
    <cellStyle name="Normal 9 3 3 6" xfId="9563" xr:uid="{00000000-0005-0000-0000-000059DA0000}"/>
    <cellStyle name="Normal 9 3 3 6 2" xfId="24712" xr:uid="{00000000-0005-0000-0000-00005ADA0000}"/>
    <cellStyle name="Normal 9 3 3 7" xfId="11246" xr:uid="{00000000-0005-0000-0000-00005BDA0000}"/>
    <cellStyle name="Normal 9 3 3 7 2" xfId="26395" xr:uid="{00000000-0005-0000-0000-00005CDA0000}"/>
    <cellStyle name="Normal 9 3 3 8" xfId="12930" xr:uid="{00000000-0005-0000-0000-00005DDA0000}"/>
    <cellStyle name="Normal 9 3 3 8 2" xfId="28079" xr:uid="{00000000-0005-0000-0000-00005EDA0000}"/>
    <cellStyle name="Normal 9 3 3 9" xfId="14613" xr:uid="{00000000-0005-0000-0000-00005FDA0000}"/>
    <cellStyle name="Normal 9 3 3 9 2" xfId="29762" xr:uid="{00000000-0005-0000-0000-000060DA0000}"/>
    <cellStyle name="Normal 9 3 30" xfId="57532" xr:uid="{00000000-0005-0000-0000-000061DA0000}"/>
    <cellStyle name="Normal 9 3 31" xfId="59215" xr:uid="{00000000-0005-0000-0000-000062DA0000}"/>
    <cellStyle name="Normal 9 3 32" xfId="60898" xr:uid="{00000000-0005-0000-0000-000063DA0000}"/>
    <cellStyle name="Normal 9 3 33" xfId="62581" xr:uid="{00000000-0005-0000-0000-000064DA0000}"/>
    <cellStyle name="Normal 9 3 4" xfId="1568" xr:uid="{00000000-0005-0000-0000-000065DA0000}"/>
    <cellStyle name="Normal 9 3 4 10" xfId="16717" xr:uid="{00000000-0005-0000-0000-000066DA0000}"/>
    <cellStyle name="Normal 9 3 4 11" xfId="31866" xr:uid="{00000000-0005-0000-0000-000067DA0000}"/>
    <cellStyle name="Normal 9 3 4 12" xfId="33549" xr:uid="{00000000-0005-0000-0000-000068DA0000}"/>
    <cellStyle name="Normal 9 3 4 13" xfId="35232" xr:uid="{00000000-0005-0000-0000-000069DA0000}"/>
    <cellStyle name="Normal 9 3 4 14" xfId="36915" xr:uid="{00000000-0005-0000-0000-00006ADA0000}"/>
    <cellStyle name="Normal 9 3 4 15" xfId="38598" xr:uid="{00000000-0005-0000-0000-00006BDA0000}"/>
    <cellStyle name="Normal 9 3 4 16" xfId="40281" xr:uid="{00000000-0005-0000-0000-00006CDA0000}"/>
    <cellStyle name="Normal 9 3 4 17" xfId="41964" xr:uid="{00000000-0005-0000-0000-00006DDA0000}"/>
    <cellStyle name="Normal 9 3 4 18" xfId="43647" xr:uid="{00000000-0005-0000-0000-00006EDA0000}"/>
    <cellStyle name="Normal 9 3 4 19" xfId="45330" xr:uid="{00000000-0005-0000-0000-00006FDA0000}"/>
    <cellStyle name="Normal 9 3 4 2" xfId="3251" xr:uid="{00000000-0005-0000-0000-000070DA0000}"/>
    <cellStyle name="Normal 9 3 4 2 2" xfId="18400" xr:uid="{00000000-0005-0000-0000-000071DA0000}"/>
    <cellStyle name="Normal 9 3 4 20" xfId="47013" xr:uid="{00000000-0005-0000-0000-000072DA0000}"/>
    <cellStyle name="Normal 9 3 4 21" xfId="48696" xr:uid="{00000000-0005-0000-0000-000073DA0000}"/>
    <cellStyle name="Normal 9 3 4 22" xfId="50379" xr:uid="{00000000-0005-0000-0000-000074DA0000}"/>
    <cellStyle name="Normal 9 3 4 23" xfId="52062" xr:uid="{00000000-0005-0000-0000-000075DA0000}"/>
    <cellStyle name="Normal 9 3 4 24" xfId="53745" xr:uid="{00000000-0005-0000-0000-000076DA0000}"/>
    <cellStyle name="Normal 9 3 4 25" xfId="55428" xr:uid="{00000000-0005-0000-0000-000077DA0000}"/>
    <cellStyle name="Normal 9 3 4 26" xfId="57111" xr:uid="{00000000-0005-0000-0000-000078DA0000}"/>
    <cellStyle name="Normal 9 3 4 27" xfId="58794" xr:uid="{00000000-0005-0000-0000-000079DA0000}"/>
    <cellStyle name="Normal 9 3 4 28" xfId="60477" xr:uid="{00000000-0005-0000-0000-00007ADA0000}"/>
    <cellStyle name="Normal 9 3 4 29" xfId="62160" xr:uid="{00000000-0005-0000-0000-00007BDA0000}"/>
    <cellStyle name="Normal 9 3 4 3" xfId="4935" xr:uid="{00000000-0005-0000-0000-00007CDA0000}"/>
    <cellStyle name="Normal 9 3 4 3 2" xfId="20084" xr:uid="{00000000-0005-0000-0000-00007DDA0000}"/>
    <cellStyle name="Normal 9 3 4 30" xfId="63843" xr:uid="{00000000-0005-0000-0000-00007EDA0000}"/>
    <cellStyle name="Normal 9 3 4 4" xfId="6618" xr:uid="{00000000-0005-0000-0000-00007FDA0000}"/>
    <cellStyle name="Normal 9 3 4 4 2" xfId="21767" xr:uid="{00000000-0005-0000-0000-000080DA0000}"/>
    <cellStyle name="Normal 9 3 4 5" xfId="8301" xr:uid="{00000000-0005-0000-0000-000081DA0000}"/>
    <cellStyle name="Normal 9 3 4 5 2" xfId="23450" xr:uid="{00000000-0005-0000-0000-000082DA0000}"/>
    <cellStyle name="Normal 9 3 4 6" xfId="9984" xr:uid="{00000000-0005-0000-0000-000083DA0000}"/>
    <cellStyle name="Normal 9 3 4 6 2" xfId="25133" xr:uid="{00000000-0005-0000-0000-000084DA0000}"/>
    <cellStyle name="Normal 9 3 4 7" xfId="11667" xr:uid="{00000000-0005-0000-0000-000085DA0000}"/>
    <cellStyle name="Normal 9 3 4 7 2" xfId="26816" xr:uid="{00000000-0005-0000-0000-000086DA0000}"/>
    <cellStyle name="Normal 9 3 4 8" xfId="13351" xr:uid="{00000000-0005-0000-0000-000087DA0000}"/>
    <cellStyle name="Normal 9 3 4 8 2" xfId="28500" xr:uid="{00000000-0005-0000-0000-000088DA0000}"/>
    <cellStyle name="Normal 9 3 4 9" xfId="15034" xr:uid="{00000000-0005-0000-0000-000089DA0000}"/>
    <cellStyle name="Normal 9 3 4 9 2" xfId="30183" xr:uid="{00000000-0005-0000-0000-00008ADA0000}"/>
    <cellStyle name="Normal 9 3 5" xfId="1989" xr:uid="{00000000-0005-0000-0000-00008BDA0000}"/>
    <cellStyle name="Normal 9 3 5 2" xfId="17138" xr:uid="{00000000-0005-0000-0000-00008CDA0000}"/>
    <cellStyle name="Normal 9 3 6" xfId="3673" xr:uid="{00000000-0005-0000-0000-00008DDA0000}"/>
    <cellStyle name="Normal 9 3 6 2" xfId="18822" xr:uid="{00000000-0005-0000-0000-00008EDA0000}"/>
    <cellStyle name="Normal 9 3 7" xfId="5356" xr:uid="{00000000-0005-0000-0000-00008FDA0000}"/>
    <cellStyle name="Normal 9 3 7 2" xfId="20505" xr:uid="{00000000-0005-0000-0000-000090DA0000}"/>
    <cellStyle name="Normal 9 3 8" xfId="7039" xr:uid="{00000000-0005-0000-0000-000091DA0000}"/>
    <cellStyle name="Normal 9 3 8 2" xfId="22188" xr:uid="{00000000-0005-0000-0000-000092DA0000}"/>
    <cellStyle name="Normal 9 3 9" xfId="8722" xr:uid="{00000000-0005-0000-0000-000093DA0000}"/>
    <cellStyle name="Normal 9 3 9 2" xfId="23871" xr:uid="{00000000-0005-0000-0000-000094DA0000}"/>
    <cellStyle name="Normal 9 30" xfId="53956" xr:uid="{00000000-0005-0000-0000-000095DA0000}"/>
    <cellStyle name="Normal 9 31" xfId="55639" xr:uid="{00000000-0005-0000-0000-000096DA0000}"/>
    <cellStyle name="Normal 9 32" xfId="57322" xr:uid="{00000000-0005-0000-0000-000097DA0000}"/>
    <cellStyle name="Normal 9 33" xfId="59005" xr:uid="{00000000-0005-0000-0000-000098DA0000}"/>
    <cellStyle name="Normal 9 34" xfId="60688" xr:uid="{00000000-0005-0000-0000-000099DA0000}"/>
    <cellStyle name="Normal 9 35" xfId="62371" xr:uid="{00000000-0005-0000-0000-00009ADA0000}"/>
    <cellStyle name="Normal 9 4" xfId="516" xr:uid="{00000000-0005-0000-0000-00009BDA0000}"/>
    <cellStyle name="Normal 9 4 10" xfId="15665" xr:uid="{00000000-0005-0000-0000-00009CDA0000}"/>
    <cellStyle name="Normal 9 4 11" xfId="30814" xr:uid="{00000000-0005-0000-0000-00009DDA0000}"/>
    <cellStyle name="Normal 9 4 12" xfId="32497" xr:uid="{00000000-0005-0000-0000-00009EDA0000}"/>
    <cellStyle name="Normal 9 4 13" xfId="34180" xr:uid="{00000000-0005-0000-0000-00009FDA0000}"/>
    <cellStyle name="Normal 9 4 14" xfId="35863" xr:uid="{00000000-0005-0000-0000-0000A0DA0000}"/>
    <cellStyle name="Normal 9 4 15" xfId="37546" xr:uid="{00000000-0005-0000-0000-0000A1DA0000}"/>
    <cellStyle name="Normal 9 4 16" xfId="39229" xr:uid="{00000000-0005-0000-0000-0000A2DA0000}"/>
    <cellStyle name="Normal 9 4 17" xfId="40912" xr:uid="{00000000-0005-0000-0000-0000A3DA0000}"/>
    <cellStyle name="Normal 9 4 18" xfId="42595" xr:uid="{00000000-0005-0000-0000-0000A4DA0000}"/>
    <cellStyle name="Normal 9 4 19" xfId="44278" xr:uid="{00000000-0005-0000-0000-0000A5DA0000}"/>
    <cellStyle name="Normal 9 4 2" xfId="2199" xr:uid="{00000000-0005-0000-0000-0000A6DA0000}"/>
    <cellStyle name="Normal 9 4 2 2" xfId="17348" xr:uid="{00000000-0005-0000-0000-0000A7DA0000}"/>
    <cellStyle name="Normal 9 4 20" xfId="45961" xr:uid="{00000000-0005-0000-0000-0000A8DA0000}"/>
    <cellStyle name="Normal 9 4 21" xfId="47644" xr:uid="{00000000-0005-0000-0000-0000A9DA0000}"/>
    <cellStyle name="Normal 9 4 22" xfId="49327" xr:uid="{00000000-0005-0000-0000-0000AADA0000}"/>
    <cellStyle name="Normal 9 4 23" xfId="51010" xr:uid="{00000000-0005-0000-0000-0000ABDA0000}"/>
    <cellStyle name="Normal 9 4 24" xfId="52693" xr:uid="{00000000-0005-0000-0000-0000ACDA0000}"/>
    <cellStyle name="Normal 9 4 25" xfId="54376" xr:uid="{00000000-0005-0000-0000-0000ADDA0000}"/>
    <cellStyle name="Normal 9 4 26" xfId="56059" xr:uid="{00000000-0005-0000-0000-0000AEDA0000}"/>
    <cellStyle name="Normal 9 4 27" xfId="57742" xr:uid="{00000000-0005-0000-0000-0000AFDA0000}"/>
    <cellStyle name="Normal 9 4 28" xfId="59425" xr:uid="{00000000-0005-0000-0000-0000B0DA0000}"/>
    <cellStyle name="Normal 9 4 29" xfId="61108" xr:uid="{00000000-0005-0000-0000-0000B1DA0000}"/>
    <cellStyle name="Normal 9 4 3" xfId="3883" xr:uid="{00000000-0005-0000-0000-0000B2DA0000}"/>
    <cellStyle name="Normal 9 4 3 2" xfId="19032" xr:uid="{00000000-0005-0000-0000-0000B3DA0000}"/>
    <cellStyle name="Normal 9 4 30" xfId="62791" xr:uid="{00000000-0005-0000-0000-0000B4DA0000}"/>
    <cellStyle name="Normal 9 4 4" xfId="5566" xr:uid="{00000000-0005-0000-0000-0000B5DA0000}"/>
    <cellStyle name="Normal 9 4 4 2" xfId="20715" xr:uid="{00000000-0005-0000-0000-0000B6DA0000}"/>
    <cellStyle name="Normal 9 4 5" xfId="7249" xr:uid="{00000000-0005-0000-0000-0000B7DA0000}"/>
    <cellStyle name="Normal 9 4 5 2" xfId="22398" xr:uid="{00000000-0005-0000-0000-0000B8DA0000}"/>
    <cellStyle name="Normal 9 4 6" xfId="8932" xr:uid="{00000000-0005-0000-0000-0000B9DA0000}"/>
    <cellStyle name="Normal 9 4 6 2" xfId="24081" xr:uid="{00000000-0005-0000-0000-0000BADA0000}"/>
    <cellStyle name="Normal 9 4 7" xfId="10615" xr:uid="{00000000-0005-0000-0000-0000BBDA0000}"/>
    <cellStyle name="Normal 9 4 7 2" xfId="25764" xr:uid="{00000000-0005-0000-0000-0000BCDA0000}"/>
    <cellStyle name="Normal 9 4 8" xfId="12299" xr:uid="{00000000-0005-0000-0000-0000BDDA0000}"/>
    <cellStyle name="Normal 9 4 8 2" xfId="27448" xr:uid="{00000000-0005-0000-0000-0000BEDA0000}"/>
    <cellStyle name="Normal 9 4 9" xfId="13982" xr:uid="{00000000-0005-0000-0000-0000BFDA0000}"/>
    <cellStyle name="Normal 9 4 9 2" xfId="29131" xr:uid="{00000000-0005-0000-0000-0000C0DA0000}"/>
    <cellStyle name="Normal 9 5" xfId="937" xr:uid="{00000000-0005-0000-0000-0000C1DA0000}"/>
    <cellStyle name="Normal 9 5 10" xfId="16086" xr:uid="{00000000-0005-0000-0000-0000C2DA0000}"/>
    <cellStyle name="Normal 9 5 11" xfId="31235" xr:uid="{00000000-0005-0000-0000-0000C3DA0000}"/>
    <cellStyle name="Normal 9 5 12" xfId="32918" xr:uid="{00000000-0005-0000-0000-0000C4DA0000}"/>
    <cellStyle name="Normal 9 5 13" xfId="34601" xr:uid="{00000000-0005-0000-0000-0000C5DA0000}"/>
    <cellStyle name="Normal 9 5 14" xfId="36284" xr:uid="{00000000-0005-0000-0000-0000C6DA0000}"/>
    <cellStyle name="Normal 9 5 15" xfId="37967" xr:uid="{00000000-0005-0000-0000-0000C7DA0000}"/>
    <cellStyle name="Normal 9 5 16" xfId="39650" xr:uid="{00000000-0005-0000-0000-0000C8DA0000}"/>
    <cellStyle name="Normal 9 5 17" xfId="41333" xr:uid="{00000000-0005-0000-0000-0000C9DA0000}"/>
    <cellStyle name="Normal 9 5 18" xfId="43016" xr:uid="{00000000-0005-0000-0000-0000CADA0000}"/>
    <cellStyle name="Normal 9 5 19" xfId="44699" xr:uid="{00000000-0005-0000-0000-0000CBDA0000}"/>
    <cellStyle name="Normal 9 5 2" xfId="2620" xr:uid="{00000000-0005-0000-0000-0000CCDA0000}"/>
    <cellStyle name="Normal 9 5 2 2" xfId="17769" xr:uid="{00000000-0005-0000-0000-0000CDDA0000}"/>
    <cellStyle name="Normal 9 5 20" xfId="46382" xr:uid="{00000000-0005-0000-0000-0000CEDA0000}"/>
    <cellStyle name="Normal 9 5 21" xfId="48065" xr:uid="{00000000-0005-0000-0000-0000CFDA0000}"/>
    <cellStyle name="Normal 9 5 22" xfId="49748" xr:uid="{00000000-0005-0000-0000-0000D0DA0000}"/>
    <cellStyle name="Normal 9 5 23" xfId="51431" xr:uid="{00000000-0005-0000-0000-0000D1DA0000}"/>
    <cellStyle name="Normal 9 5 24" xfId="53114" xr:uid="{00000000-0005-0000-0000-0000D2DA0000}"/>
    <cellStyle name="Normal 9 5 25" xfId="54797" xr:uid="{00000000-0005-0000-0000-0000D3DA0000}"/>
    <cellStyle name="Normal 9 5 26" xfId="56480" xr:uid="{00000000-0005-0000-0000-0000D4DA0000}"/>
    <cellStyle name="Normal 9 5 27" xfId="58163" xr:uid="{00000000-0005-0000-0000-0000D5DA0000}"/>
    <cellStyle name="Normal 9 5 28" xfId="59846" xr:uid="{00000000-0005-0000-0000-0000D6DA0000}"/>
    <cellStyle name="Normal 9 5 29" xfId="61529" xr:uid="{00000000-0005-0000-0000-0000D7DA0000}"/>
    <cellStyle name="Normal 9 5 3" xfId="4304" xr:uid="{00000000-0005-0000-0000-0000D8DA0000}"/>
    <cellStyle name="Normal 9 5 3 2" xfId="19453" xr:uid="{00000000-0005-0000-0000-0000D9DA0000}"/>
    <cellStyle name="Normal 9 5 30" xfId="63212" xr:uid="{00000000-0005-0000-0000-0000DADA0000}"/>
    <cellStyle name="Normal 9 5 4" xfId="5987" xr:uid="{00000000-0005-0000-0000-0000DBDA0000}"/>
    <cellStyle name="Normal 9 5 4 2" xfId="21136" xr:uid="{00000000-0005-0000-0000-0000DCDA0000}"/>
    <cellStyle name="Normal 9 5 5" xfId="7670" xr:uid="{00000000-0005-0000-0000-0000DDDA0000}"/>
    <cellStyle name="Normal 9 5 5 2" xfId="22819" xr:uid="{00000000-0005-0000-0000-0000DEDA0000}"/>
    <cellStyle name="Normal 9 5 6" xfId="9353" xr:uid="{00000000-0005-0000-0000-0000DFDA0000}"/>
    <cellStyle name="Normal 9 5 6 2" xfId="24502" xr:uid="{00000000-0005-0000-0000-0000E0DA0000}"/>
    <cellStyle name="Normal 9 5 7" xfId="11036" xr:uid="{00000000-0005-0000-0000-0000E1DA0000}"/>
    <cellStyle name="Normal 9 5 7 2" xfId="26185" xr:uid="{00000000-0005-0000-0000-0000E2DA0000}"/>
    <cellStyle name="Normal 9 5 8" xfId="12720" xr:uid="{00000000-0005-0000-0000-0000E3DA0000}"/>
    <cellStyle name="Normal 9 5 8 2" xfId="27869" xr:uid="{00000000-0005-0000-0000-0000E4DA0000}"/>
    <cellStyle name="Normal 9 5 9" xfId="14403" xr:uid="{00000000-0005-0000-0000-0000E5DA0000}"/>
    <cellStyle name="Normal 9 5 9 2" xfId="29552" xr:uid="{00000000-0005-0000-0000-0000E6DA0000}"/>
    <cellStyle name="Normal 9 6" xfId="1358" xr:uid="{00000000-0005-0000-0000-0000E7DA0000}"/>
    <cellStyle name="Normal 9 6 10" xfId="16507" xr:uid="{00000000-0005-0000-0000-0000E8DA0000}"/>
    <cellStyle name="Normal 9 6 11" xfId="31656" xr:uid="{00000000-0005-0000-0000-0000E9DA0000}"/>
    <cellStyle name="Normal 9 6 12" xfId="33339" xr:uid="{00000000-0005-0000-0000-0000EADA0000}"/>
    <cellStyle name="Normal 9 6 13" xfId="35022" xr:uid="{00000000-0005-0000-0000-0000EBDA0000}"/>
    <cellStyle name="Normal 9 6 14" xfId="36705" xr:uid="{00000000-0005-0000-0000-0000ECDA0000}"/>
    <cellStyle name="Normal 9 6 15" xfId="38388" xr:uid="{00000000-0005-0000-0000-0000EDDA0000}"/>
    <cellStyle name="Normal 9 6 16" xfId="40071" xr:uid="{00000000-0005-0000-0000-0000EEDA0000}"/>
    <cellStyle name="Normal 9 6 17" xfId="41754" xr:uid="{00000000-0005-0000-0000-0000EFDA0000}"/>
    <cellStyle name="Normal 9 6 18" xfId="43437" xr:uid="{00000000-0005-0000-0000-0000F0DA0000}"/>
    <cellStyle name="Normal 9 6 19" xfId="45120" xr:uid="{00000000-0005-0000-0000-0000F1DA0000}"/>
    <cellStyle name="Normal 9 6 2" xfId="3041" xr:uid="{00000000-0005-0000-0000-0000F2DA0000}"/>
    <cellStyle name="Normal 9 6 2 2" xfId="18190" xr:uid="{00000000-0005-0000-0000-0000F3DA0000}"/>
    <cellStyle name="Normal 9 6 20" xfId="46803" xr:uid="{00000000-0005-0000-0000-0000F4DA0000}"/>
    <cellStyle name="Normal 9 6 21" xfId="48486" xr:uid="{00000000-0005-0000-0000-0000F5DA0000}"/>
    <cellStyle name="Normal 9 6 22" xfId="50169" xr:uid="{00000000-0005-0000-0000-0000F6DA0000}"/>
    <cellStyle name="Normal 9 6 23" xfId="51852" xr:uid="{00000000-0005-0000-0000-0000F7DA0000}"/>
    <cellStyle name="Normal 9 6 24" xfId="53535" xr:uid="{00000000-0005-0000-0000-0000F8DA0000}"/>
    <cellStyle name="Normal 9 6 25" xfId="55218" xr:uid="{00000000-0005-0000-0000-0000F9DA0000}"/>
    <cellStyle name="Normal 9 6 26" xfId="56901" xr:uid="{00000000-0005-0000-0000-0000FADA0000}"/>
    <cellStyle name="Normal 9 6 27" xfId="58584" xr:uid="{00000000-0005-0000-0000-0000FBDA0000}"/>
    <cellStyle name="Normal 9 6 28" xfId="60267" xr:uid="{00000000-0005-0000-0000-0000FCDA0000}"/>
    <cellStyle name="Normal 9 6 29" xfId="61950" xr:uid="{00000000-0005-0000-0000-0000FDDA0000}"/>
    <cellStyle name="Normal 9 6 3" xfId="4725" xr:uid="{00000000-0005-0000-0000-0000FEDA0000}"/>
    <cellStyle name="Normal 9 6 3 2" xfId="19874" xr:uid="{00000000-0005-0000-0000-0000FFDA0000}"/>
    <cellStyle name="Normal 9 6 30" xfId="63633" xr:uid="{00000000-0005-0000-0000-000000DB0000}"/>
    <cellStyle name="Normal 9 6 4" xfId="6408" xr:uid="{00000000-0005-0000-0000-000001DB0000}"/>
    <cellStyle name="Normal 9 6 4 2" xfId="21557" xr:uid="{00000000-0005-0000-0000-000002DB0000}"/>
    <cellStyle name="Normal 9 6 5" xfId="8091" xr:uid="{00000000-0005-0000-0000-000003DB0000}"/>
    <cellStyle name="Normal 9 6 5 2" xfId="23240" xr:uid="{00000000-0005-0000-0000-000004DB0000}"/>
    <cellStyle name="Normal 9 6 6" xfId="9774" xr:uid="{00000000-0005-0000-0000-000005DB0000}"/>
    <cellStyle name="Normal 9 6 6 2" xfId="24923" xr:uid="{00000000-0005-0000-0000-000006DB0000}"/>
    <cellStyle name="Normal 9 6 7" xfId="11457" xr:uid="{00000000-0005-0000-0000-000007DB0000}"/>
    <cellStyle name="Normal 9 6 7 2" xfId="26606" xr:uid="{00000000-0005-0000-0000-000008DB0000}"/>
    <cellStyle name="Normal 9 6 8" xfId="13141" xr:uid="{00000000-0005-0000-0000-000009DB0000}"/>
    <cellStyle name="Normal 9 6 8 2" xfId="28290" xr:uid="{00000000-0005-0000-0000-00000ADB0000}"/>
    <cellStyle name="Normal 9 6 9" xfId="14824" xr:uid="{00000000-0005-0000-0000-00000BDB0000}"/>
    <cellStyle name="Normal 9 6 9 2" xfId="29973" xr:uid="{00000000-0005-0000-0000-00000CDB0000}"/>
    <cellStyle name="Normal 9 7" xfId="1779" xr:uid="{00000000-0005-0000-0000-00000DDB0000}"/>
    <cellStyle name="Normal 9 7 2" xfId="16928" xr:uid="{00000000-0005-0000-0000-00000EDB0000}"/>
    <cellStyle name="Normal 9 8" xfId="3463" xr:uid="{00000000-0005-0000-0000-00000FDB0000}"/>
    <cellStyle name="Normal 9 8 2" xfId="18612" xr:uid="{00000000-0005-0000-0000-000010DB0000}"/>
    <cellStyle name="Normal 9 9" xfId="5146" xr:uid="{00000000-0005-0000-0000-000011DB0000}"/>
    <cellStyle name="Normal 9 9 2" xfId="20295" xr:uid="{00000000-0005-0000-0000-000012DB0000}"/>
    <cellStyle name="Note 2" xfId="95" xr:uid="{00000000-0005-0000-0000-000013DB0000}"/>
    <cellStyle name="Note 2 10" xfId="6828" xr:uid="{00000000-0005-0000-0000-000014DB0000}"/>
    <cellStyle name="Note 2 10 2" xfId="21977" xr:uid="{00000000-0005-0000-0000-000015DB0000}"/>
    <cellStyle name="Note 2 11" xfId="8511" xr:uid="{00000000-0005-0000-0000-000016DB0000}"/>
    <cellStyle name="Note 2 11 2" xfId="23660" xr:uid="{00000000-0005-0000-0000-000017DB0000}"/>
    <cellStyle name="Note 2 12" xfId="10194" xr:uid="{00000000-0005-0000-0000-000018DB0000}"/>
    <cellStyle name="Note 2 12 2" xfId="25343" xr:uid="{00000000-0005-0000-0000-000019DB0000}"/>
    <cellStyle name="Note 2 13" xfId="11878" xr:uid="{00000000-0005-0000-0000-00001ADB0000}"/>
    <cellStyle name="Note 2 13 2" xfId="27027" xr:uid="{00000000-0005-0000-0000-00001BDB0000}"/>
    <cellStyle name="Note 2 14" xfId="13561" xr:uid="{00000000-0005-0000-0000-00001CDB0000}"/>
    <cellStyle name="Note 2 14 2" xfId="28710" xr:uid="{00000000-0005-0000-0000-00001DDB0000}"/>
    <cellStyle name="Note 2 15" xfId="15244" xr:uid="{00000000-0005-0000-0000-00001EDB0000}"/>
    <cellStyle name="Note 2 16" xfId="30393" xr:uid="{00000000-0005-0000-0000-00001FDB0000}"/>
    <cellStyle name="Note 2 17" xfId="32076" xr:uid="{00000000-0005-0000-0000-000020DB0000}"/>
    <cellStyle name="Note 2 18" xfId="33759" xr:uid="{00000000-0005-0000-0000-000021DB0000}"/>
    <cellStyle name="Note 2 19" xfId="35442" xr:uid="{00000000-0005-0000-0000-000022DB0000}"/>
    <cellStyle name="Note 2 2" xfId="200" xr:uid="{00000000-0005-0000-0000-000023DB0000}"/>
    <cellStyle name="Note 2 2 10" xfId="8616" xr:uid="{00000000-0005-0000-0000-000024DB0000}"/>
    <cellStyle name="Note 2 2 10 2" xfId="23765" xr:uid="{00000000-0005-0000-0000-000025DB0000}"/>
    <cellStyle name="Note 2 2 11" xfId="10299" xr:uid="{00000000-0005-0000-0000-000026DB0000}"/>
    <cellStyle name="Note 2 2 11 2" xfId="25448" xr:uid="{00000000-0005-0000-0000-000027DB0000}"/>
    <cellStyle name="Note 2 2 12" xfId="11983" xr:uid="{00000000-0005-0000-0000-000028DB0000}"/>
    <cellStyle name="Note 2 2 12 2" xfId="27132" xr:uid="{00000000-0005-0000-0000-000029DB0000}"/>
    <cellStyle name="Note 2 2 13" xfId="13666" xr:uid="{00000000-0005-0000-0000-00002ADB0000}"/>
    <cellStyle name="Note 2 2 13 2" xfId="28815" xr:uid="{00000000-0005-0000-0000-00002BDB0000}"/>
    <cellStyle name="Note 2 2 14" xfId="15349" xr:uid="{00000000-0005-0000-0000-00002CDB0000}"/>
    <cellStyle name="Note 2 2 15" xfId="30498" xr:uid="{00000000-0005-0000-0000-00002DDB0000}"/>
    <cellStyle name="Note 2 2 16" xfId="32181" xr:uid="{00000000-0005-0000-0000-00002EDB0000}"/>
    <cellStyle name="Note 2 2 17" xfId="33864" xr:uid="{00000000-0005-0000-0000-00002FDB0000}"/>
    <cellStyle name="Note 2 2 18" xfId="35547" xr:uid="{00000000-0005-0000-0000-000030DB0000}"/>
    <cellStyle name="Note 2 2 19" xfId="37230" xr:uid="{00000000-0005-0000-0000-000031DB0000}"/>
    <cellStyle name="Note 2 2 2" xfId="410" xr:uid="{00000000-0005-0000-0000-000032DB0000}"/>
    <cellStyle name="Note 2 2 2 10" xfId="10509" xr:uid="{00000000-0005-0000-0000-000033DB0000}"/>
    <cellStyle name="Note 2 2 2 10 2" xfId="25658" xr:uid="{00000000-0005-0000-0000-000034DB0000}"/>
    <cellStyle name="Note 2 2 2 11" xfId="12193" xr:uid="{00000000-0005-0000-0000-000035DB0000}"/>
    <cellStyle name="Note 2 2 2 11 2" xfId="27342" xr:uid="{00000000-0005-0000-0000-000036DB0000}"/>
    <cellStyle name="Note 2 2 2 12" xfId="13876" xr:uid="{00000000-0005-0000-0000-000037DB0000}"/>
    <cellStyle name="Note 2 2 2 12 2" xfId="29025" xr:uid="{00000000-0005-0000-0000-000038DB0000}"/>
    <cellStyle name="Note 2 2 2 13" xfId="15559" xr:uid="{00000000-0005-0000-0000-000039DB0000}"/>
    <cellStyle name="Note 2 2 2 14" xfId="30708" xr:uid="{00000000-0005-0000-0000-00003ADB0000}"/>
    <cellStyle name="Note 2 2 2 15" xfId="32391" xr:uid="{00000000-0005-0000-0000-00003BDB0000}"/>
    <cellStyle name="Note 2 2 2 16" xfId="34074" xr:uid="{00000000-0005-0000-0000-00003CDB0000}"/>
    <cellStyle name="Note 2 2 2 17" xfId="35757" xr:uid="{00000000-0005-0000-0000-00003DDB0000}"/>
    <cellStyle name="Note 2 2 2 18" xfId="37440" xr:uid="{00000000-0005-0000-0000-00003EDB0000}"/>
    <cellStyle name="Note 2 2 2 19" xfId="39123" xr:uid="{00000000-0005-0000-0000-00003FDB0000}"/>
    <cellStyle name="Note 2 2 2 2" xfId="830" xr:uid="{00000000-0005-0000-0000-000040DB0000}"/>
    <cellStyle name="Note 2 2 2 2 10" xfId="15979" xr:uid="{00000000-0005-0000-0000-000041DB0000}"/>
    <cellStyle name="Note 2 2 2 2 11" xfId="31128" xr:uid="{00000000-0005-0000-0000-000042DB0000}"/>
    <cellStyle name="Note 2 2 2 2 12" xfId="32811" xr:uid="{00000000-0005-0000-0000-000043DB0000}"/>
    <cellStyle name="Note 2 2 2 2 13" xfId="34494" xr:uid="{00000000-0005-0000-0000-000044DB0000}"/>
    <cellStyle name="Note 2 2 2 2 14" xfId="36177" xr:uid="{00000000-0005-0000-0000-000045DB0000}"/>
    <cellStyle name="Note 2 2 2 2 15" xfId="37860" xr:uid="{00000000-0005-0000-0000-000046DB0000}"/>
    <cellStyle name="Note 2 2 2 2 16" xfId="39543" xr:uid="{00000000-0005-0000-0000-000047DB0000}"/>
    <cellStyle name="Note 2 2 2 2 17" xfId="41226" xr:uid="{00000000-0005-0000-0000-000048DB0000}"/>
    <cellStyle name="Note 2 2 2 2 18" xfId="42909" xr:uid="{00000000-0005-0000-0000-000049DB0000}"/>
    <cellStyle name="Note 2 2 2 2 19" xfId="44592" xr:uid="{00000000-0005-0000-0000-00004ADB0000}"/>
    <cellStyle name="Note 2 2 2 2 2" xfId="2513" xr:uid="{00000000-0005-0000-0000-00004BDB0000}"/>
    <cellStyle name="Note 2 2 2 2 2 2" xfId="17662" xr:uid="{00000000-0005-0000-0000-00004CDB0000}"/>
    <cellStyle name="Note 2 2 2 2 20" xfId="46275" xr:uid="{00000000-0005-0000-0000-00004DDB0000}"/>
    <cellStyle name="Note 2 2 2 2 21" xfId="47958" xr:uid="{00000000-0005-0000-0000-00004EDB0000}"/>
    <cellStyle name="Note 2 2 2 2 22" xfId="49641" xr:uid="{00000000-0005-0000-0000-00004FDB0000}"/>
    <cellStyle name="Note 2 2 2 2 23" xfId="51324" xr:uid="{00000000-0005-0000-0000-000050DB0000}"/>
    <cellStyle name="Note 2 2 2 2 24" xfId="53007" xr:uid="{00000000-0005-0000-0000-000051DB0000}"/>
    <cellStyle name="Note 2 2 2 2 25" xfId="54690" xr:uid="{00000000-0005-0000-0000-000052DB0000}"/>
    <cellStyle name="Note 2 2 2 2 26" xfId="56373" xr:uid="{00000000-0005-0000-0000-000053DB0000}"/>
    <cellStyle name="Note 2 2 2 2 27" xfId="58056" xr:uid="{00000000-0005-0000-0000-000054DB0000}"/>
    <cellStyle name="Note 2 2 2 2 28" xfId="59739" xr:uid="{00000000-0005-0000-0000-000055DB0000}"/>
    <cellStyle name="Note 2 2 2 2 29" xfId="61422" xr:uid="{00000000-0005-0000-0000-000056DB0000}"/>
    <cellStyle name="Note 2 2 2 2 3" xfId="4197" xr:uid="{00000000-0005-0000-0000-000057DB0000}"/>
    <cellStyle name="Note 2 2 2 2 3 2" xfId="19346" xr:uid="{00000000-0005-0000-0000-000058DB0000}"/>
    <cellStyle name="Note 2 2 2 2 30" xfId="63105" xr:uid="{00000000-0005-0000-0000-000059DB0000}"/>
    <cellStyle name="Note 2 2 2 2 4" xfId="5880" xr:uid="{00000000-0005-0000-0000-00005ADB0000}"/>
    <cellStyle name="Note 2 2 2 2 4 2" xfId="21029" xr:uid="{00000000-0005-0000-0000-00005BDB0000}"/>
    <cellStyle name="Note 2 2 2 2 5" xfId="7563" xr:uid="{00000000-0005-0000-0000-00005CDB0000}"/>
    <cellStyle name="Note 2 2 2 2 5 2" xfId="22712" xr:uid="{00000000-0005-0000-0000-00005DDB0000}"/>
    <cellStyle name="Note 2 2 2 2 6" xfId="9246" xr:uid="{00000000-0005-0000-0000-00005EDB0000}"/>
    <cellStyle name="Note 2 2 2 2 6 2" xfId="24395" xr:uid="{00000000-0005-0000-0000-00005FDB0000}"/>
    <cellStyle name="Note 2 2 2 2 7" xfId="10929" xr:uid="{00000000-0005-0000-0000-000060DB0000}"/>
    <cellStyle name="Note 2 2 2 2 7 2" xfId="26078" xr:uid="{00000000-0005-0000-0000-000061DB0000}"/>
    <cellStyle name="Note 2 2 2 2 8" xfId="12613" xr:uid="{00000000-0005-0000-0000-000062DB0000}"/>
    <cellStyle name="Note 2 2 2 2 8 2" xfId="27762" xr:uid="{00000000-0005-0000-0000-000063DB0000}"/>
    <cellStyle name="Note 2 2 2 2 9" xfId="14296" xr:uid="{00000000-0005-0000-0000-000064DB0000}"/>
    <cellStyle name="Note 2 2 2 2 9 2" xfId="29445" xr:uid="{00000000-0005-0000-0000-000065DB0000}"/>
    <cellStyle name="Note 2 2 2 20" xfId="40806" xr:uid="{00000000-0005-0000-0000-000066DB0000}"/>
    <cellStyle name="Note 2 2 2 21" xfId="42489" xr:uid="{00000000-0005-0000-0000-000067DB0000}"/>
    <cellStyle name="Note 2 2 2 22" xfId="44172" xr:uid="{00000000-0005-0000-0000-000068DB0000}"/>
    <cellStyle name="Note 2 2 2 23" xfId="45855" xr:uid="{00000000-0005-0000-0000-000069DB0000}"/>
    <cellStyle name="Note 2 2 2 24" xfId="47538" xr:uid="{00000000-0005-0000-0000-00006ADB0000}"/>
    <cellStyle name="Note 2 2 2 25" xfId="49221" xr:uid="{00000000-0005-0000-0000-00006BDB0000}"/>
    <cellStyle name="Note 2 2 2 26" xfId="50904" xr:uid="{00000000-0005-0000-0000-00006CDB0000}"/>
    <cellStyle name="Note 2 2 2 27" xfId="52587" xr:uid="{00000000-0005-0000-0000-00006DDB0000}"/>
    <cellStyle name="Note 2 2 2 28" xfId="54270" xr:uid="{00000000-0005-0000-0000-00006EDB0000}"/>
    <cellStyle name="Note 2 2 2 29" xfId="55953" xr:uid="{00000000-0005-0000-0000-00006FDB0000}"/>
    <cellStyle name="Note 2 2 2 3" xfId="1251" xr:uid="{00000000-0005-0000-0000-000070DB0000}"/>
    <cellStyle name="Note 2 2 2 3 10" xfId="16400" xr:uid="{00000000-0005-0000-0000-000071DB0000}"/>
    <cellStyle name="Note 2 2 2 3 11" xfId="31549" xr:uid="{00000000-0005-0000-0000-000072DB0000}"/>
    <cellStyle name="Note 2 2 2 3 12" xfId="33232" xr:uid="{00000000-0005-0000-0000-000073DB0000}"/>
    <cellStyle name="Note 2 2 2 3 13" xfId="34915" xr:uid="{00000000-0005-0000-0000-000074DB0000}"/>
    <cellStyle name="Note 2 2 2 3 14" xfId="36598" xr:uid="{00000000-0005-0000-0000-000075DB0000}"/>
    <cellStyle name="Note 2 2 2 3 15" xfId="38281" xr:uid="{00000000-0005-0000-0000-000076DB0000}"/>
    <cellStyle name="Note 2 2 2 3 16" xfId="39964" xr:uid="{00000000-0005-0000-0000-000077DB0000}"/>
    <cellStyle name="Note 2 2 2 3 17" xfId="41647" xr:uid="{00000000-0005-0000-0000-000078DB0000}"/>
    <cellStyle name="Note 2 2 2 3 18" xfId="43330" xr:uid="{00000000-0005-0000-0000-000079DB0000}"/>
    <cellStyle name="Note 2 2 2 3 19" xfId="45013" xr:uid="{00000000-0005-0000-0000-00007ADB0000}"/>
    <cellStyle name="Note 2 2 2 3 2" xfId="2934" xr:uid="{00000000-0005-0000-0000-00007BDB0000}"/>
    <cellStyle name="Note 2 2 2 3 2 2" xfId="18083" xr:uid="{00000000-0005-0000-0000-00007CDB0000}"/>
    <cellStyle name="Note 2 2 2 3 20" xfId="46696" xr:uid="{00000000-0005-0000-0000-00007DDB0000}"/>
    <cellStyle name="Note 2 2 2 3 21" xfId="48379" xr:uid="{00000000-0005-0000-0000-00007EDB0000}"/>
    <cellStyle name="Note 2 2 2 3 22" xfId="50062" xr:uid="{00000000-0005-0000-0000-00007FDB0000}"/>
    <cellStyle name="Note 2 2 2 3 23" xfId="51745" xr:uid="{00000000-0005-0000-0000-000080DB0000}"/>
    <cellStyle name="Note 2 2 2 3 24" xfId="53428" xr:uid="{00000000-0005-0000-0000-000081DB0000}"/>
    <cellStyle name="Note 2 2 2 3 25" xfId="55111" xr:uid="{00000000-0005-0000-0000-000082DB0000}"/>
    <cellStyle name="Note 2 2 2 3 26" xfId="56794" xr:uid="{00000000-0005-0000-0000-000083DB0000}"/>
    <cellStyle name="Note 2 2 2 3 27" xfId="58477" xr:uid="{00000000-0005-0000-0000-000084DB0000}"/>
    <cellStyle name="Note 2 2 2 3 28" xfId="60160" xr:uid="{00000000-0005-0000-0000-000085DB0000}"/>
    <cellStyle name="Note 2 2 2 3 29" xfId="61843" xr:uid="{00000000-0005-0000-0000-000086DB0000}"/>
    <cellStyle name="Note 2 2 2 3 3" xfId="4618" xr:uid="{00000000-0005-0000-0000-000087DB0000}"/>
    <cellStyle name="Note 2 2 2 3 3 2" xfId="19767" xr:uid="{00000000-0005-0000-0000-000088DB0000}"/>
    <cellStyle name="Note 2 2 2 3 30" xfId="63526" xr:uid="{00000000-0005-0000-0000-000089DB0000}"/>
    <cellStyle name="Note 2 2 2 3 4" xfId="6301" xr:uid="{00000000-0005-0000-0000-00008ADB0000}"/>
    <cellStyle name="Note 2 2 2 3 4 2" xfId="21450" xr:uid="{00000000-0005-0000-0000-00008BDB0000}"/>
    <cellStyle name="Note 2 2 2 3 5" xfId="7984" xr:uid="{00000000-0005-0000-0000-00008CDB0000}"/>
    <cellStyle name="Note 2 2 2 3 5 2" xfId="23133" xr:uid="{00000000-0005-0000-0000-00008DDB0000}"/>
    <cellStyle name="Note 2 2 2 3 6" xfId="9667" xr:uid="{00000000-0005-0000-0000-00008EDB0000}"/>
    <cellStyle name="Note 2 2 2 3 6 2" xfId="24816" xr:uid="{00000000-0005-0000-0000-00008FDB0000}"/>
    <cellStyle name="Note 2 2 2 3 7" xfId="11350" xr:uid="{00000000-0005-0000-0000-000090DB0000}"/>
    <cellStyle name="Note 2 2 2 3 7 2" xfId="26499" xr:uid="{00000000-0005-0000-0000-000091DB0000}"/>
    <cellStyle name="Note 2 2 2 3 8" xfId="13034" xr:uid="{00000000-0005-0000-0000-000092DB0000}"/>
    <cellStyle name="Note 2 2 2 3 8 2" xfId="28183" xr:uid="{00000000-0005-0000-0000-000093DB0000}"/>
    <cellStyle name="Note 2 2 2 3 9" xfId="14717" xr:uid="{00000000-0005-0000-0000-000094DB0000}"/>
    <cellStyle name="Note 2 2 2 3 9 2" xfId="29866" xr:uid="{00000000-0005-0000-0000-000095DB0000}"/>
    <cellStyle name="Note 2 2 2 30" xfId="57636" xr:uid="{00000000-0005-0000-0000-000096DB0000}"/>
    <cellStyle name="Note 2 2 2 31" xfId="59319" xr:uid="{00000000-0005-0000-0000-000097DB0000}"/>
    <cellStyle name="Note 2 2 2 32" xfId="61002" xr:uid="{00000000-0005-0000-0000-000098DB0000}"/>
    <cellStyle name="Note 2 2 2 33" xfId="62685" xr:uid="{00000000-0005-0000-0000-000099DB0000}"/>
    <cellStyle name="Note 2 2 2 4" xfId="1672" xr:uid="{00000000-0005-0000-0000-00009ADB0000}"/>
    <cellStyle name="Note 2 2 2 4 10" xfId="16821" xr:uid="{00000000-0005-0000-0000-00009BDB0000}"/>
    <cellStyle name="Note 2 2 2 4 11" xfId="31970" xr:uid="{00000000-0005-0000-0000-00009CDB0000}"/>
    <cellStyle name="Note 2 2 2 4 12" xfId="33653" xr:uid="{00000000-0005-0000-0000-00009DDB0000}"/>
    <cellStyle name="Note 2 2 2 4 13" xfId="35336" xr:uid="{00000000-0005-0000-0000-00009EDB0000}"/>
    <cellStyle name="Note 2 2 2 4 14" xfId="37019" xr:uid="{00000000-0005-0000-0000-00009FDB0000}"/>
    <cellStyle name="Note 2 2 2 4 15" xfId="38702" xr:uid="{00000000-0005-0000-0000-0000A0DB0000}"/>
    <cellStyle name="Note 2 2 2 4 16" xfId="40385" xr:uid="{00000000-0005-0000-0000-0000A1DB0000}"/>
    <cellStyle name="Note 2 2 2 4 17" xfId="42068" xr:uid="{00000000-0005-0000-0000-0000A2DB0000}"/>
    <cellStyle name="Note 2 2 2 4 18" xfId="43751" xr:uid="{00000000-0005-0000-0000-0000A3DB0000}"/>
    <cellStyle name="Note 2 2 2 4 19" xfId="45434" xr:uid="{00000000-0005-0000-0000-0000A4DB0000}"/>
    <cellStyle name="Note 2 2 2 4 2" xfId="3355" xr:uid="{00000000-0005-0000-0000-0000A5DB0000}"/>
    <cellStyle name="Note 2 2 2 4 2 2" xfId="18504" xr:uid="{00000000-0005-0000-0000-0000A6DB0000}"/>
    <cellStyle name="Note 2 2 2 4 20" xfId="47117" xr:uid="{00000000-0005-0000-0000-0000A7DB0000}"/>
    <cellStyle name="Note 2 2 2 4 21" xfId="48800" xr:uid="{00000000-0005-0000-0000-0000A8DB0000}"/>
    <cellStyle name="Note 2 2 2 4 22" xfId="50483" xr:uid="{00000000-0005-0000-0000-0000A9DB0000}"/>
    <cellStyle name="Note 2 2 2 4 23" xfId="52166" xr:uid="{00000000-0005-0000-0000-0000AADB0000}"/>
    <cellStyle name="Note 2 2 2 4 24" xfId="53849" xr:uid="{00000000-0005-0000-0000-0000ABDB0000}"/>
    <cellStyle name="Note 2 2 2 4 25" xfId="55532" xr:uid="{00000000-0005-0000-0000-0000ACDB0000}"/>
    <cellStyle name="Note 2 2 2 4 26" xfId="57215" xr:uid="{00000000-0005-0000-0000-0000ADDB0000}"/>
    <cellStyle name="Note 2 2 2 4 27" xfId="58898" xr:uid="{00000000-0005-0000-0000-0000AEDB0000}"/>
    <cellStyle name="Note 2 2 2 4 28" xfId="60581" xr:uid="{00000000-0005-0000-0000-0000AFDB0000}"/>
    <cellStyle name="Note 2 2 2 4 29" xfId="62264" xr:uid="{00000000-0005-0000-0000-0000B0DB0000}"/>
    <cellStyle name="Note 2 2 2 4 3" xfId="5039" xr:uid="{00000000-0005-0000-0000-0000B1DB0000}"/>
    <cellStyle name="Note 2 2 2 4 3 2" xfId="20188" xr:uid="{00000000-0005-0000-0000-0000B2DB0000}"/>
    <cellStyle name="Note 2 2 2 4 30" xfId="63947" xr:uid="{00000000-0005-0000-0000-0000B3DB0000}"/>
    <cellStyle name="Note 2 2 2 4 4" xfId="6722" xr:uid="{00000000-0005-0000-0000-0000B4DB0000}"/>
    <cellStyle name="Note 2 2 2 4 4 2" xfId="21871" xr:uid="{00000000-0005-0000-0000-0000B5DB0000}"/>
    <cellStyle name="Note 2 2 2 4 5" xfId="8405" xr:uid="{00000000-0005-0000-0000-0000B6DB0000}"/>
    <cellStyle name="Note 2 2 2 4 5 2" xfId="23554" xr:uid="{00000000-0005-0000-0000-0000B7DB0000}"/>
    <cellStyle name="Note 2 2 2 4 6" xfId="10088" xr:uid="{00000000-0005-0000-0000-0000B8DB0000}"/>
    <cellStyle name="Note 2 2 2 4 6 2" xfId="25237" xr:uid="{00000000-0005-0000-0000-0000B9DB0000}"/>
    <cellStyle name="Note 2 2 2 4 7" xfId="11771" xr:uid="{00000000-0005-0000-0000-0000BADB0000}"/>
    <cellStyle name="Note 2 2 2 4 7 2" xfId="26920" xr:uid="{00000000-0005-0000-0000-0000BBDB0000}"/>
    <cellStyle name="Note 2 2 2 4 8" xfId="13455" xr:uid="{00000000-0005-0000-0000-0000BCDB0000}"/>
    <cellStyle name="Note 2 2 2 4 8 2" xfId="28604" xr:uid="{00000000-0005-0000-0000-0000BDDB0000}"/>
    <cellStyle name="Note 2 2 2 4 9" xfId="15138" xr:uid="{00000000-0005-0000-0000-0000BEDB0000}"/>
    <cellStyle name="Note 2 2 2 4 9 2" xfId="30287" xr:uid="{00000000-0005-0000-0000-0000BFDB0000}"/>
    <cellStyle name="Note 2 2 2 5" xfId="2093" xr:uid="{00000000-0005-0000-0000-0000C0DB0000}"/>
    <cellStyle name="Note 2 2 2 5 2" xfId="17242" xr:uid="{00000000-0005-0000-0000-0000C1DB0000}"/>
    <cellStyle name="Note 2 2 2 6" xfId="3777" xr:uid="{00000000-0005-0000-0000-0000C2DB0000}"/>
    <cellStyle name="Note 2 2 2 6 2" xfId="18926" xr:uid="{00000000-0005-0000-0000-0000C3DB0000}"/>
    <cellStyle name="Note 2 2 2 7" xfId="5460" xr:uid="{00000000-0005-0000-0000-0000C4DB0000}"/>
    <cellStyle name="Note 2 2 2 7 2" xfId="20609" xr:uid="{00000000-0005-0000-0000-0000C5DB0000}"/>
    <cellStyle name="Note 2 2 2 8" xfId="7143" xr:uid="{00000000-0005-0000-0000-0000C6DB0000}"/>
    <cellStyle name="Note 2 2 2 8 2" xfId="22292" xr:uid="{00000000-0005-0000-0000-0000C7DB0000}"/>
    <cellStyle name="Note 2 2 2 9" xfId="8826" xr:uid="{00000000-0005-0000-0000-0000C8DB0000}"/>
    <cellStyle name="Note 2 2 2 9 2" xfId="23975" xr:uid="{00000000-0005-0000-0000-0000C9DB0000}"/>
    <cellStyle name="Note 2 2 20" xfId="38913" xr:uid="{00000000-0005-0000-0000-0000CADB0000}"/>
    <cellStyle name="Note 2 2 21" xfId="40596" xr:uid="{00000000-0005-0000-0000-0000CBDB0000}"/>
    <cellStyle name="Note 2 2 22" xfId="42279" xr:uid="{00000000-0005-0000-0000-0000CCDB0000}"/>
    <cellStyle name="Note 2 2 23" xfId="43962" xr:uid="{00000000-0005-0000-0000-0000CDDB0000}"/>
    <cellStyle name="Note 2 2 24" xfId="45645" xr:uid="{00000000-0005-0000-0000-0000CEDB0000}"/>
    <cellStyle name="Note 2 2 25" xfId="47328" xr:uid="{00000000-0005-0000-0000-0000CFDB0000}"/>
    <cellStyle name="Note 2 2 26" xfId="49011" xr:uid="{00000000-0005-0000-0000-0000D0DB0000}"/>
    <cellStyle name="Note 2 2 27" xfId="50694" xr:uid="{00000000-0005-0000-0000-0000D1DB0000}"/>
    <cellStyle name="Note 2 2 28" xfId="52377" xr:uid="{00000000-0005-0000-0000-0000D2DB0000}"/>
    <cellStyle name="Note 2 2 29" xfId="54060" xr:uid="{00000000-0005-0000-0000-0000D3DB0000}"/>
    <cellStyle name="Note 2 2 3" xfId="620" xr:uid="{00000000-0005-0000-0000-0000D4DB0000}"/>
    <cellStyle name="Note 2 2 3 10" xfId="15769" xr:uid="{00000000-0005-0000-0000-0000D5DB0000}"/>
    <cellStyle name="Note 2 2 3 11" xfId="30918" xr:uid="{00000000-0005-0000-0000-0000D6DB0000}"/>
    <cellStyle name="Note 2 2 3 12" xfId="32601" xr:uid="{00000000-0005-0000-0000-0000D7DB0000}"/>
    <cellStyle name="Note 2 2 3 13" xfId="34284" xr:uid="{00000000-0005-0000-0000-0000D8DB0000}"/>
    <cellStyle name="Note 2 2 3 14" xfId="35967" xr:uid="{00000000-0005-0000-0000-0000D9DB0000}"/>
    <cellStyle name="Note 2 2 3 15" xfId="37650" xr:uid="{00000000-0005-0000-0000-0000DADB0000}"/>
    <cellStyle name="Note 2 2 3 16" xfId="39333" xr:uid="{00000000-0005-0000-0000-0000DBDB0000}"/>
    <cellStyle name="Note 2 2 3 17" xfId="41016" xr:uid="{00000000-0005-0000-0000-0000DCDB0000}"/>
    <cellStyle name="Note 2 2 3 18" xfId="42699" xr:uid="{00000000-0005-0000-0000-0000DDDB0000}"/>
    <cellStyle name="Note 2 2 3 19" xfId="44382" xr:uid="{00000000-0005-0000-0000-0000DEDB0000}"/>
    <cellStyle name="Note 2 2 3 2" xfId="2303" xr:uid="{00000000-0005-0000-0000-0000DFDB0000}"/>
    <cellStyle name="Note 2 2 3 2 2" xfId="17452" xr:uid="{00000000-0005-0000-0000-0000E0DB0000}"/>
    <cellStyle name="Note 2 2 3 20" xfId="46065" xr:uid="{00000000-0005-0000-0000-0000E1DB0000}"/>
    <cellStyle name="Note 2 2 3 21" xfId="47748" xr:uid="{00000000-0005-0000-0000-0000E2DB0000}"/>
    <cellStyle name="Note 2 2 3 22" xfId="49431" xr:uid="{00000000-0005-0000-0000-0000E3DB0000}"/>
    <cellStyle name="Note 2 2 3 23" xfId="51114" xr:uid="{00000000-0005-0000-0000-0000E4DB0000}"/>
    <cellStyle name="Note 2 2 3 24" xfId="52797" xr:uid="{00000000-0005-0000-0000-0000E5DB0000}"/>
    <cellStyle name="Note 2 2 3 25" xfId="54480" xr:uid="{00000000-0005-0000-0000-0000E6DB0000}"/>
    <cellStyle name="Note 2 2 3 26" xfId="56163" xr:uid="{00000000-0005-0000-0000-0000E7DB0000}"/>
    <cellStyle name="Note 2 2 3 27" xfId="57846" xr:uid="{00000000-0005-0000-0000-0000E8DB0000}"/>
    <cellStyle name="Note 2 2 3 28" xfId="59529" xr:uid="{00000000-0005-0000-0000-0000E9DB0000}"/>
    <cellStyle name="Note 2 2 3 29" xfId="61212" xr:uid="{00000000-0005-0000-0000-0000EADB0000}"/>
    <cellStyle name="Note 2 2 3 3" xfId="3987" xr:uid="{00000000-0005-0000-0000-0000EBDB0000}"/>
    <cellStyle name="Note 2 2 3 3 2" xfId="19136" xr:uid="{00000000-0005-0000-0000-0000ECDB0000}"/>
    <cellStyle name="Note 2 2 3 30" xfId="62895" xr:uid="{00000000-0005-0000-0000-0000EDDB0000}"/>
    <cellStyle name="Note 2 2 3 4" xfId="5670" xr:uid="{00000000-0005-0000-0000-0000EEDB0000}"/>
    <cellStyle name="Note 2 2 3 4 2" xfId="20819" xr:uid="{00000000-0005-0000-0000-0000EFDB0000}"/>
    <cellStyle name="Note 2 2 3 5" xfId="7353" xr:uid="{00000000-0005-0000-0000-0000F0DB0000}"/>
    <cellStyle name="Note 2 2 3 5 2" xfId="22502" xr:uid="{00000000-0005-0000-0000-0000F1DB0000}"/>
    <cellStyle name="Note 2 2 3 6" xfId="9036" xr:uid="{00000000-0005-0000-0000-0000F2DB0000}"/>
    <cellStyle name="Note 2 2 3 6 2" xfId="24185" xr:uid="{00000000-0005-0000-0000-0000F3DB0000}"/>
    <cellStyle name="Note 2 2 3 7" xfId="10719" xr:uid="{00000000-0005-0000-0000-0000F4DB0000}"/>
    <cellStyle name="Note 2 2 3 7 2" xfId="25868" xr:uid="{00000000-0005-0000-0000-0000F5DB0000}"/>
    <cellStyle name="Note 2 2 3 8" xfId="12403" xr:uid="{00000000-0005-0000-0000-0000F6DB0000}"/>
    <cellStyle name="Note 2 2 3 8 2" xfId="27552" xr:uid="{00000000-0005-0000-0000-0000F7DB0000}"/>
    <cellStyle name="Note 2 2 3 9" xfId="14086" xr:uid="{00000000-0005-0000-0000-0000F8DB0000}"/>
    <cellStyle name="Note 2 2 3 9 2" xfId="29235" xr:uid="{00000000-0005-0000-0000-0000F9DB0000}"/>
    <cellStyle name="Note 2 2 30" xfId="55743" xr:uid="{00000000-0005-0000-0000-0000FADB0000}"/>
    <cellStyle name="Note 2 2 31" xfId="57426" xr:uid="{00000000-0005-0000-0000-0000FBDB0000}"/>
    <cellStyle name="Note 2 2 32" xfId="59109" xr:uid="{00000000-0005-0000-0000-0000FCDB0000}"/>
    <cellStyle name="Note 2 2 33" xfId="60792" xr:uid="{00000000-0005-0000-0000-0000FDDB0000}"/>
    <cellStyle name="Note 2 2 34" xfId="62475" xr:uid="{00000000-0005-0000-0000-0000FEDB0000}"/>
    <cellStyle name="Note 2 2 4" xfId="1041" xr:uid="{00000000-0005-0000-0000-0000FFDB0000}"/>
    <cellStyle name="Note 2 2 4 10" xfId="16190" xr:uid="{00000000-0005-0000-0000-000000DC0000}"/>
    <cellStyle name="Note 2 2 4 11" xfId="31339" xr:uid="{00000000-0005-0000-0000-000001DC0000}"/>
    <cellStyle name="Note 2 2 4 12" xfId="33022" xr:uid="{00000000-0005-0000-0000-000002DC0000}"/>
    <cellStyle name="Note 2 2 4 13" xfId="34705" xr:uid="{00000000-0005-0000-0000-000003DC0000}"/>
    <cellStyle name="Note 2 2 4 14" xfId="36388" xr:uid="{00000000-0005-0000-0000-000004DC0000}"/>
    <cellStyle name="Note 2 2 4 15" xfId="38071" xr:uid="{00000000-0005-0000-0000-000005DC0000}"/>
    <cellStyle name="Note 2 2 4 16" xfId="39754" xr:uid="{00000000-0005-0000-0000-000006DC0000}"/>
    <cellStyle name="Note 2 2 4 17" xfId="41437" xr:uid="{00000000-0005-0000-0000-000007DC0000}"/>
    <cellStyle name="Note 2 2 4 18" xfId="43120" xr:uid="{00000000-0005-0000-0000-000008DC0000}"/>
    <cellStyle name="Note 2 2 4 19" xfId="44803" xr:uid="{00000000-0005-0000-0000-000009DC0000}"/>
    <cellStyle name="Note 2 2 4 2" xfId="2724" xr:uid="{00000000-0005-0000-0000-00000ADC0000}"/>
    <cellStyle name="Note 2 2 4 2 2" xfId="17873" xr:uid="{00000000-0005-0000-0000-00000BDC0000}"/>
    <cellStyle name="Note 2 2 4 20" xfId="46486" xr:uid="{00000000-0005-0000-0000-00000CDC0000}"/>
    <cellStyle name="Note 2 2 4 21" xfId="48169" xr:uid="{00000000-0005-0000-0000-00000DDC0000}"/>
    <cellStyle name="Note 2 2 4 22" xfId="49852" xr:uid="{00000000-0005-0000-0000-00000EDC0000}"/>
    <cellStyle name="Note 2 2 4 23" xfId="51535" xr:uid="{00000000-0005-0000-0000-00000FDC0000}"/>
    <cellStyle name="Note 2 2 4 24" xfId="53218" xr:uid="{00000000-0005-0000-0000-000010DC0000}"/>
    <cellStyle name="Note 2 2 4 25" xfId="54901" xr:uid="{00000000-0005-0000-0000-000011DC0000}"/>
    <cellStyle name="Note 2 2 4 26" xfId="56584" xr:uid="{00000000-0005-0000-0000-000012DC0000}"/>
    <cellStyle name="Note 2 2 4 27" xfId="58267" xr:uid="{00000000-0005-0000-0000-000013DC0000}"/>
    <cellStyle name="Note 2 2 4 28" xfId="59950" xr:uid="{00000000-0005-0000-0000-000014DC0000}"/>
    <cellStyle name="Note 2 2 4 29" xfId="61633" xr:uid="{00000000-0005-0000-0000-000015DC0000}"/>
    <cellStyle name="Note 2 2 4 3" xfId="4408" xr:uid="{00000000-0005-0000-0000-000016DC0000}"/>
    <cellStyle name="Note 2 2 4 3 2" xfId="19557" xr:uid="{00000000-0005-0000-0000-000017DC0000}"/>
    <cellStyle name="Note 2 2 4 30" xfId="63316" xr:uid="{00000000-0005-0000-0000-000018DC0000}"/>
    <cellStyle name="Note 2 2 4 4" xfId="6091" xr:uid="{00000000-0005-0000-0000-000019DC0000}"/>
    <cellStyle name="Note 2 2 4 4 2" xfId="21240" xr:uid="{00000000-0005-0000-0000-00001ADC0000}"/>
    <cellStyle name="Note 2 2 4 5" xfId="7774" xr:uid="{00000000-0005-0000-0000-00001BDC0000}"/>
    <cellStyle name="Note 2 2 4 5 2" xfId="22923" xr:uid="{00000000-0005-0000-0000-00001CDC0000}"/>
    <cellStyle name="Note 2 2 4 6" xfId="9457" xr:uid="{00000000-0005-0000-0000-00001DDC0000}"/>
    <cellStyle name="Note 2 2 4 6 2" xfId="24606" xr:uid="{00000000-0005-0000-0000-00001EDC0000}"/>
    <cellStyle name="Note 2 2 4 7" xfId="11140" xr:uid="{00000000-0005-0000-0000-00001FDC0000}"/>
    <cellStyle name="Note 2 2 4 7 2" xfId="26289" xr:uid="{00000000-0005-0000-0000-000020DC0000}"/>
    <cellStyle name="Note 2 2 4 8" xfId="12824" xr:uid="{00000000-0005-0000-0000-000021DC0000}"/>
    <cellStyle name="Note 2 2 4 8 2" xfId="27973" xr:uid="{00000000-0005-0000-0000-000022DC0000}"/>
    <cellStyle name="Note 2 2 4 9" xfId="14507" xr:uid="{00000000-0005-0000-0000-000023DC0000}"/>
    <cellStyle name="Note 2 2 4 9 2" xfId="29656" xr:uid="{00000000-0005-0000-0000-000024DC0000}"/>
    <cellStyle name="Note 2 2 5" xfId="1462" xr:uid="{00000000-0005-0000-0000-000025DC0000}"/>
    <cellStyle name="Note 2 2 5 10" xfId="16611" xr:uid="{00000000-0005-0000-0000-000026DC0000}"/>
    <cellStyle name="Note 2 2 5 11" xfId="31760" xr:uid="{00000000-0005-0000-0000-000027DC0000}"/>
    <cellStyle name="Note 2 2 5 12" xfId="33443" xr:uid="{00000000-0005-0000-0000-000028DC0000}"/>
    <cellStyle name="Note 2 2 5 13" xfId="35126" xr:uid="{00000000-0005-0000-0000-000029DC0000}"/>
    <cellStyle name="Note 2 2 5 14" xfId="36809" xr:uid="{00000000-0005-0000-0000-00002ADC0000}"/>
    <cellStyle name="Note 2 2 5 15" xfId="38492" xr:uid="{00000000-0005-0000-0000-00002BDC0000}"/>
    <cellStyle name="Note 2 2 5 16" xfId="40175" xr:uid="{00000000-0005-0000-0000-00002CDC0000}"/>
    <cellStyle name="Note 2 2 5 17" xfId="41858" xr:uid="{00000000-0005-0000-0000-00002DDC0000}"/>
    <cellStyle name="Note 2 2 5 18" xfId="43541" xr:uid="{00000000-0005-0000-0000-00002EDC0000}"/>
    <cellStyle name="Note 2 2 5 19" xfId="45224" xr:uid="{00000000-0005-0000-0000-00002FDC0000}"/>
    <cellStyle name="Note 2 2 5 2" xfId="3145" xr:uid="{00000000-0005-0000-0000-000030DC0000}"/>
    <cellStyle name="Note 2 2 5 2 2" xfId="18294" xr:uid="{00000000-0005-0000-0000-000031DC0000}"/>
    <cellStyle name="Note 2 2 5 20" xfId="46907" xr:uid="{00000000-0005-0000-0000-000032DC0000}"/>
    <cellStyle name="Note 2 2 5 21" xfId="48590" xr:uid="{00000000-0005-0000-0000-000033DC0000}"/>
    <cellStyle name="Note 2 2 5 22" xfId="50273" xr:uid="{00000000-0005-0000-0000-000034DC0000}"/>
    <cellStyle name="Note 2 2 5 23" xfId="51956" xr:uid="{00000000-0005-0000-0000-000035DC0000}"/>
    <cellStyle name="Note 2 2 5 24" xfId="53639" xr:uid="{00000000-0005-0000-0000-000036DC0000}"/>
    <cellStyle name="Note 2 2 5 25" xfId="55322" xr:uid="{00000000-0005-0000-0000-000037DC0000}"/>
    <cellStyle name="Note 2 2 5 26" xfId="57005" xr:uid="{00000000-0005-0000-0000-000038DC0000}"/>
    <cellStyle name="Note 2 2 5 27" xfId="58688" xr:uid="{00000000-0005-0000-0000-000039DC0000}"/>
    <cellStyle name="Note 2 2 5 28" xfId="60371" xr:uid="{00000000-0005-0000-0000-00003ADC0000}"/>
    <cellStyle name="Note 2 2 5 29" xfId="62054" xr:uid="{00000000-0005-0000-0000-00003BDC0000}"/>
    <cellStyle name="Note 2 2 5 3" xfId="4829" xr:uid="{00000000-0005-0000-0000-00003CDC0000}"/>
    <cellStyle name="Note 2 2 5 3 2" xfId="19978" xr:uid="{00000000-0005-0000-0000-00003DDC0000}"/>
    <cellStyle name="Note 2 2 5 30" xfId="63737" xr:uid="{00000000-0005-0000-0000-00003EDC0000}"/>
    <cellStyle name="Note 2 2 5 4" xfId="6512" xr:uid="{00000000-0005-0000-0000-00003FDC0000}"/>
    <cellStyle name="Note 2 2 5 4 2" xfId="21661" xr:uid="{00000000-0005-0000-0000-000040DC0000}"/>
    <cellStyle name="Note 2 2 5 5" xfId="8195" xr:uid="{00000000-0005-0000-0000-000041DC0000}"/>
    <cellStyle name="Note 2 2 5 5 2" xfId="23344" xr:uid="{00000000-0005-0000-0000-000042DC0000}"/>
    <cellStyle name="Note 2 2 5 6" xfId="9878" xr:uid="{00000000-0005-0000-0000-000043DC0000}"/>
    <cellStyle name="Note 2 2 5 6 2" xfId="25027" xr:uid="{00000000-0005-0000-0000-000044DC0000}"/>
    <cellStyle name="Note 2 2 5 7" xfId="11561" xr:uid="{00000000-0005-0000-0000-000045DC0000}"/>
    <cellStyle name="Note 2 2 5 7 2" xfId="26710" xr:uid="{00000000-0005-0000-0000-000046DC0000}"/>
    <cellStyle name="Note 2 2 5 8" xfId="13245" xr:uid="{00000000-0005-0000-0000-000047DC0000}"/>
    <cellStyle name="Note 2 2 5 8 2" xfId="28394" xr:uid="{00000000-0005-0000-0000-000048DC0000}"/>
    <cellStyle name="Note 2 2 5 9" xfId="14928" xr:uid="{00000000-0005-0000-0000-000049DC0000}"/>
    <cellStyle name="Note 2 2 5 9 2" xfId="30077" xr:uid="{00000000-0005-0000-0000-00004ADC0000}"/>
    <cellStyle name="Note 2 2 6" xfId="1883" xr:uid="{00000000-0005-0000-0000-00004BDC0000}"/>
    <cellStyle name="Note 2 2 6 2" xfId="17032" xr:uid="{00000000-0005-0000-0000-00004CDC0000}"/>
    <cellStyle name="Note 2 2 7" xfId="3567" xr:uid="{00000000-0005-0000-0000-00004DDC0000}"/>
    <cellStyle name="Note 2 2 7 2" xfId="18716" xr:uid="{00000000-0005-0000-0000-00004EDC0000}"/>
    <cellStyle name="Note 2 2 8" xfId="5250" xr:uid="{00000000-0005-0000-0000-00004FDC0000}"/>
    <cellStyle name="Note 2 2 8 2" xfId="20399" xr:uid="{00000000-0005-0000-0000-000050DC0000}"/>
    <cellStyle name="Note 2 2 9" xfId="6933" xr:uid="{00000000-0005-0000-0000-000051DC0000}"/>
    <cellStyle name="Note 2 2 9 2" xfId="22082" xr:uid="{00000000-0005-0000-0000-000052DC0000}"/>
    <cellStyle name="Note 2 20" xfId="37125" xr:uid="{00000000-0005-0000-0000-000053DC0000}"/>
    <cellStyle name="Note 2 21" xfId="38808" xr:uid="{00000000-0005-0000-0000-000054DC0000}"/>
    <cellStyle name="Note 2 22" xfId="40491" xr:uid="{00000000-0005-0000-0000-000055DC0000}"/>
    <cellStyle name="Note 2 23" xfId="42174" xr:uid="{00000000-0005-0000-0000-000056DC0000}"/>
    <cellStyle name="Note 2 24" xfId="43857" xr:uid="{00000000-0005-0000-0000-000057DC0000}"/>
    <cellStyle name="Note 2 25" xfId="45540" xr:uid="{00000000-0005-0000-0000-000058DC0000}"/>
    <cellStyle name="Note 2 26" xfId="47223" xr:uid="{00000000-0005-0000-0000-000059DC0000}"/>
    <cellStyle name="Note 2 27" xfId="48906" xr:uid="{00000000-0005-0000-0000-00005ADC0000}"/>
    <cellStyle name="Note 2 28" xfId="50589" xr:uid="{00000000-0005-0000-0000-00005BDC0000}"/>
    <cellStyle name="Note 2 29" xfId="52272" xr:uid="{00000000-0005-0000-0000-00005CDC0000}"/>
    <cellStyle name="Note 2 3" xfId="305" xr:uid="{00000000-0005-0000-0000-00005DDC0000}"/>
    <cellStyle name="Note 2 3 10" xfId="10404" xr:uid="{00000000-0005-0000-0000-00005EDC0000}"/>
    <cellStyle name="Note 2 3 10 2" xfId="25553" xr:uid="{00000000-0005-0000-0000-00005FDC0000}"/>
    <cellStyle name="Note 2 3 11" xfId="12088" xr:uid="{00000000-0005-0000-0000-000060DC0000}"/>
    <cellStyle name="Note 2 3 11 2" xfId="27237" xr:uid="{00000000-0005-0000-0000-000061DC0000}"/>
    <cellStyle name="Note 2 3 12" xfId="13771" xr:uid="{00000000-0005-0000-0000-000062DC0000}"/>
    <cellStyle name="Note 2 3 12 2" xfId="28920" xr:uid="{00000000-0005-0000-0000-000063DC0000}"/>
    <cellStyle name="Note 2 3 13" xfId="15454" xr:uid="{00000000-0005-0000-0000-000064DC0000}"/>
    <cellStyle name="Note 2 3 14" xfId="30603" xr:uid="{00000000-0005-0000-0000-000065DC0000}"/>
    <cellStyle name="Note 2 3 15" xfId="32286" xr:uid="{00000000-0005-0000-0000-000066DC0000}"/>
    <cellStyle name="Note 2 3 16" xfId="33969" xr:uid="{00000000-0005-0000-0000-000067DC0000}"/>
    <cellStyle name="Note 2 3 17" xfId="35652" xr:uid="{00000000-0005-0000-0000-000068DC0000}"/>
    <cellStyle name="Note 2 3 18" xfId="37335" xr:uid="{00000000-0005-0000-0000-000069DC0000}"/>
    <cellStyle name="Note 2 3 19" xfId="39018" xr:uid="{00000000-0005-0000-0000-00006ADC0000}"/>
    <cellStyle name="Note 2 3 2" xfId="725" xr:uid="{00000000-0005-0000-0000-00006BDC0000}"/>
    <cellStyle name="Note 2 3 2 10" xfId="15874" xr:uid="{00000000-0005-0000-0000-00006CDC0000}"/>
    <cellStyle name="Note 2 3 2 11" xfId="31023" xr:uid="{00000000-0005-0000-0000-00006DDC0000}"/>
    <cellStyle name="Note 2 3 2 12" xfId="32706" xr:uid="{00000000-0005-0000-0000-00006EDC0000}"/>
    <cellStyle name="Note 2 3 2 13" xfId="34389" xr:uid="{00000000-0005-0000-0000-00006FDC0000}"/>
    <cellStyle name="Note 2 3 2 14" xfId="36072" xr:uid="{00000000-0005-0000-0000-000070DC0000}"/>
    <cellStyle name="Note 2 3 2 15" xfId="37755" xr:uid="{00000000-0005-0000-0000-000071DC0000}"/>
    <cellStyle name="Note 2 3 2 16" xfId="39438" xr:uid="{00000000-0005-0000-0000-000072DC0000}"/>
    <cellStyle name="Note 2 3 2 17" xfId="41121" xr:uid="{00000000-0005-0000-0000-000073DC0000}"/>
    <cellStyle name="Note 2 3 2 18" xfId="42804" xr:uid="{00000000-0005-0000-0000-000074DC0000}"/>
    <cellStyle name="Note 2 3 2 19" xfId="44487" xr:uid="{00000000-0005-0000-0000-000075DC0000}"/>
    <cellStyle name="Note 2 3 2 2" xfId="2408" xr:uid="{00000000-0005-0000-0000-000076DC0000}"/>
    <cellStyle name="Note 2 3 2 2 2" xfId="17557" xr:uid="{00000000-0005-0000-0000-000077DC0000}"/>
    <cellStyle name="Note 2 3 2 20" xfId="46170" xr:uid="{00000000-0005-0000-0000-000078DC0000}"/>
    <cellStyle name="Note 2 3 2 21" xfId="47853" xr:uid="{00000000-0005-0000-0000-000079DC0000}"/>
    <cellStyle name="Note 2 3 2 22" xfId="49536" xr:uid="{00000000-0005-0000-0000-00007ADC0000}"/>
    <cellStyle name="Note 2 3 2 23" xfId="51219" xr:uid="{00000000-0005-0000-0000-00007BDC0000}"/>
    <cellStyle name="Note 2 3 2 24" xfId="52902" xr:uid="{00000000-0005-0000-0000-00007CDC0000}"/>
    <cellStyle name="Note 2 3 2 25" xfId="54585" xr:uid="{00000000-0005-0000-0000-00007DDC0000}"/>
    <cellStyle name="Note 2 3 2 26" xfId="56268" xr:uid="{00000000-0005-0000-0000-00007EDC0000}"/>
    <cellStyle name="Note 2 3 2 27" xfId="57951" xr:uid="{00000000-0005-0000-0000-00007FDC0000}"/>
    <cellStyle name="Note 2 3 2 28" xfId="59634" xr:uid="{00000000-0005-0000-0000-000080DC0000}"/>
    <cellStyle name="Note 2 3 2 29" xfId="61317" xr:uid="{00000000-0005-0000-0000-000081DC0000}"/>
    <cellStyle name="Note 2 3 2 3" xfId="4092" xr:uid="{00000000-0005-0000-0000-000082DC0000}"/>
    <cellStyle name="Note 2 3 2 3 2" xfId="19241" xr:uid="{00000000-0005-0000-0000-000083DC0000}"/>
    <cellStyle name="Note 2 3 2 30" xfId="63000" xr:uid="{00000000-0005-0000-0000-000084DC0000}"/>
    <cellStyle name="Note 2 3 2 4" xfId="5775" xr:uid="{00000000-0005-0000-0000-000085DC0000}"/>
    <cellStyle name="Note 2 3 2 4 2" xfId="20924" xr:uid="{00000000-0005-0000-0000-000086DC0000}"/>
    <cellStyle name="Note 2 3 2 5" xfId="7458" xr:uid="{00000000-0005-0000-0000-000087DC0000}"/>
    <cellStyle name="Note 2 3 2 5 2" xfId="22607" xr:uid="{00000000-0005-0000-0000-000088DC0000}"/>
    <cellStyle name="Note 2 3 2 6" xfId="9141" xr:uid="{00000000-0005-0000-0000-000089DC0000}"/>
    <cellStyle name="Note 2 3 2 6 2" xfId="24290" xr:uid="{00000000-0005-0000-0000-00008ADC0000}"/>
    <cellStyle name="Note 2 3 2 7" xfId="10824" xr:uid="{00000000-0005-0000-0000-00008BDC0000}"/>
    <cellStyle name="Note 2 3 2 7 2" xfId="25973" xr:uid="{00000000-0005-0000-0000-00008CDC0000}"/>
    <cellStyle name="Note 2 3 2 8" xfId="12508" xr:uid="{00000000-0005-0000-0000-00008DDC0000}"/>
    <cellStyle name="Note 2 3 2 8 2" xfId="27657" xr:uid="{00000000-0005-0000-0000-00008EDC0000}"/>
    <cellStyle name="Note 2 3 2 9" xfId="14191" xr:uid="{00000000-0005-0000-0000-00008FDC0000}"/>
    <cellStyle name="Note 2 3 2 9 2" xfId="29340" xr:uid="{00000000-0005-0000-0000-000090DC0000}"/>
    <cellStyle name="Note 2 3 20" xfId="40701" xr:uid="{00000000-0005-0000-0000-000091DC0000}"/>
    <cellStyle name="Note 2 3 21" xfId="42384" xr:uid="{00000000-0005-0000-0000-000092DC0000}"/>
    <cellStyle name="Note 2 3 22" xfId="44067" xr:uid="{00000000-0005-0000-0000-000093DC0000}"/>
    <cellStyle name="Note 2 3 23" xfId="45750" xr:uid="{00000000-0005-0000-0000-000094DC0000}"/>
    <cellStyle name="Note 2 3 24" xfId="47433" xr:uid="{00000000-0005-0000-0000-000095DC0000}"/>
    <cellStyle name="Note 2 3 25" xfId="49116" xr:uid="{00000000-0005-0000-0000-000096DC0000}"/>
    <cellStyle name="Note 2 3 26" xfId="50799" xr:uid="{00000000-0005-0000-0000-000097DC0000}"/>
    <cellStyle name="Note 2 3 27" xfId="52482" xr:uid="{00000000-0005-0000-0000-000098DC0000}"/>
    <cellStyle name="Note 2 3 28" xfId="54165" xr:uid="{00000000-0005-0000-0000-000099DC0000}"/>
    <cellStyle name="Note 2 3 29" xfId="55848" xr:uid="{00000000-0005-0000-0000-00009ADC0000}"/>
    <cellStyle name="Note 2 3 3" xfId="1146" xr:uid="{00000000-0005-0000-0000-00009BDC0000}"/>
    <cellStyle name="Note 2 3 3 10" xfId="16295" xr:uid="{00000000-0005-0000-0000-00009CDC0000}"/>
    <cellStyle name="Note 2 3 3 11" xfId="31444" xr:uid="{00000000-0005-0000-0000-00009DDC0000}"/>
    <cellStyle name="Note 2 3 3 12" xfId="33127" xr:uid="{00000000-0005-0000-0000-00009EDC0000}"/>
    <cellStyle name="Note 2 3 3 13" xfId="34810" xr:uid="{00000000-0005-0000-0000-00009FDC0000}"/>
    <cellStyle name="Note 2 3 3 14" xfId="36493" xr:uid="{00000000-0005-0000-0000-0000A0DC0000}"/>
    <cellStyle name="Note 2 3 3 15" xfId="38176" xr:uid="{00000000-0005-0000-0000-0000A1DC0000}"/>
    <cellStyle name="Note 2 3 3 16" xfId="39859" xr:uid="{00000000-0005-0000-0000-0000A2DC0000}"/>
    <cellStyle name="Note 2 3 3 17" xfId="41542" xr:uid="{00000000-0005-0000-0000-0000A3DC0000}"/>
    <cellStyle name="Note 2 3 3 18" xfId="43225" xr:uid="{00000000-0005-0000-0000-0000A4DC0000}"/>
    <cellStyle name="Note 2 3 3 19" xfId="44908" xr:uid="{00000000-0005-0000-0000-0000A5DC0000}"/>
    <cellStyle name="Note 2 3 3 2" xfId="2829" xr:uid="{00000000-0005-0000-0000-0000A6DC0000}"/>
    <cellStyle name="Note 2 3 3 2 2" xfId="17978" xr:uid="{00000000-0005-0000-0000-0000A7DC0000}"/>
    <cellStyle name="Note 2 3 3 20" xfId="46591" xr:uid="{00000000-0005-0000-0000-0000A8DC0000}"/>
    <cellStyle name="Note 2 3 3 21" xfId="48274" xr:uid="{00000000-0005-0000-0000-0000A9DC0000}"/>
    <cellStyle name="Note 2 3 3 22" xfId="49957" xr:uid="{00000000-0005-0000-0000-0000AADC0000}"/>
    <cellStyle name="Note 2 3 3 23" xfId="51640" xr:uid="{00000000-0005-0000-0000-0000ABDC0000}"/>
    <cellStyle name="Note 2 3 3 24" xfId="53323" xr:uid="{00000000-0005-0000-0000-0000ACDC0000}"/>
    <cellStyle name="Note 2 3 3 25" xfId="55006" xr:uid="{00000000-0005-0000-0000-0000ADDC0000}"/>
    <cellStyle name="Note 2 3 3 26" xfId="56689" xr:uid="{00000000-0005-0000-0000-0000AEDC0000}"/>
    <cellStyle name="Note 2 3 3 27" xfId="58372" xr:uid="{00000000-0005-0000-0000-0000AFDC0000}"/>
    <cellStyle name="Note 2 3 3 28" xfId="60055" xr:uid="{00000000-0005-0000-0000-0000B0DC0000}"/>
    <cellStyle name="Note 2 3 3 29" xfId="61738" xr:uid="{00000000-0005-0000-0000-0000B1DC0000}"/>
    <cellStyle name="Note 2 3 3 3" xfId="4513" xr:uid="{00000000-0005-0000-0000-0000B2DC0000}"/>
    <cellStyle name="Note 2 3 3 3 2" xfId="19662" xr:uid="{00000000-0005-0000-0000-0000B3DC0000}"/>
    <cellStyle name="Note 2 3 3 30" xfId="63421" xr:uid="{00000000-0005-0000-0000-0000B4DC0000}"/>
    <cellStyle name="Note 2 3 3 4" xfId="6196" xr:uid="{00000000-0005-0000-0000-0000B5DC0000}"/>
    <cellStyle name="Note 2 3 3 4 2" xfId="21345" xr:uid="{00000000-0005-0000-0000-0000B6DC0000}"/>
    <cellStyle name="Note 2 3 3 5" xfId="7879" xr:uid="{00000000-0005-0000-0000-0000B7DC0000}"/>
    <cellStyle name="Note 2 3 3 5 2" xfId="23028" xr:uid="{00000000-0005-0000-0000-0000B8DC0000}"/>
    <cellStyle name="Note 2 3 3 6" xfId="9562" xr:uid="{00000000-0005-0000-0000-0000B9DC0000}"/>
    <cellStyle name="Note 2 3 3 6 2" xfId="24711" xr:uid="{00000000-0005-0000-0000-0000BADC0000}"/>
    <cellStyle name="Note 2 3 3 7" xfId="11245" xr:uid="{00000000-0005-0000-0000-0000BBDC0000}"/>
    <cellStyle name="Note 2 3 3 7 2" xfId="26394" xr:uid="{00000000-0005-0000-0000-0000BCDC0000}"/>
    <cellStyle name="Note 2 3 3 8" xfId="12929" xr:uid="{00000000-0005-0000-0000-0000BDDC0000}"/>
    <cellStyle name="Note 2 3 3 8 2" xfId="28078" xr:uid="{00000000-0005-0000-0000-0000BEDC0000}"/>
    <cellStyle name="Note 2 3 3 9" xfId="14612" xr:uid="{00000000-0005-0000-0000-0000BFDC0000}"/>
    <cellStyle name="Note 2 3 3 9 2" xfId="29761" xr:uid="{00000000-0005-0000-0000-0000C0DC0000}"/>
    <cellStyle name="Note 2 3 30" xfId="57531" xr:uid="{00000000-0005-0000-0000-0000C1DC0000}"/>
    <cellStyle name="Note 2 3 31" xfId="59214" xr:uid="{00000000-0005-0000-0000-0000C2DC0000}"/>
    <cellStyle name="Note 2 3 32" xfId="60897" xr:uid="{00000000-0005-0000-0000-0000C3DC0000}"/>
    <cellStyle name="Note 2 3 33" xfId="62580" xr:uid="{00000000-0005-0000-0000-0000C4DC0000}"/>
    <cellStyle name="Note 2 3 4" xfId="1567" xr:uid="{00000000-0005-0000-0000-0000C5DC0000}"/>
    <cellStyle name="Note 2 3 4 10" xfId="16716" xr:uid="{00000000-0005-0000-0000-0000C6DC0000}"/>
    <cellStyle name="Note 2 3 4 11" xfId="31865" xr:uid="{00000000-0005-0000-0000-0000C7DC0000}"/>
    <cellStyle name="Note 2 3 4 12" xfId="33548" xr:uid="{00000000-0005-0000-0000-0000C8DC0000}"/>
    <cellStyle name="Note 2 3 4 13" xfId="35231" xr:uid="{00000000-0005-0000-0000-0000C9DC0000}"/>
    <cellStyle name="Note 2 3 4 14" xfId="36914" xr:uid="{00000000-0005-0000-0000-0000CADC0000}"/>
    <cellStyle name="Note 2 3 4 15" xfId="38597" xr:uid="{00000000-0005-0000-0000-0000CBDC0000}"/>
    <cellStyle name="Note 2 3 4 16" xfId="40280" xr:uid="{00000000-0005-0000-0000-0000CCDC0000}"/>
    <cellStyle name="Note 2 3 4 17" xfId="41963" xr:uid="{00000000-0005-0000-0000-0000CDDC0000}"/>
    <cellStyle name="Note 2 3 4 18" xfId="43646" xr:uid="{00000000-0005-0000-0000-0000CEDC0000}"/>
    <cellStyle name="Note 2 3 4 19" xfId="45329" xr:uid="{00000000-0005-0000-0000-0000CFDC0000}"/>
    <cellStyle name="Note 2 3 4 2" xfId="3250" xr:uid="{00000000-0005-0000-0000-0000D0DC0000}"/>
    <cellStyle name="Note 2 3 4 2 2" xfId="18399" xr:uid="{00000000-0005-0000-0000-0000D1DC0000}"/>
    <cellStyle name="Note 2 3 4 20" xfId="47012" xr:uid="{00000000-0005-0000-0000-0000D2DC0000}"/>
    <cellStyle name="Note 2 3 4 21" xfId="48695" xr:uid="{00000000-0005-0000-0000-0000D3DC0000}"/>
    <cellStyle name="Note 2 3 4 22" xfId="50378" xr:uid="{00000000-0005-0000-0000-0000D4DC0000}"/>
    <cellStyle name="Note 2 3 4 23" xfId="52061" xr:uid="{00000000-0005-0000-0000-0000D5DC0000}"/>
    <cellStyle name="Note 2 3 4 24" xfId="53744" xr:uid="{00000000-0005-0000-0000-0000D6DC0000}"/>
    <cellStyle name="Note 2 3 4 25" xfId="55427" xr:uid="{00000000-0005-0000-0000-0000D7DC0000}"/>
    <cellStyle name="Note 2 3 4 26" xfId="57110" xr:uid="{00000000-0005-0000-0000-0000D8DC0000}"/>
    <cellStyle name="Note 2 3 4 27" xfId="58793" xr:uid="{00000000-0005-0000-0000-0000D9DC0000}"/>
    <cellStyle name="Note 2 3 4 28" xfId="60476" xr:uid="{00000000-0005-0000-0000-0000DADC0000}"/>
    <cellStyle name="Note 2 3 4 29" xfId="62159" xr:uid="{00000000-0005-0000-0000-0000DBDC0000}"/>
    <cellStyle name="Note 2 3 4 3" xfId="4934" xr:uid="{00000000-0005-0000-0000-0000DCDC0000}"/>
    <cellStyle name="Note 2 3 4 3 2" xfId="20083" xr:uid="{00000000-0005-0000-0000-0000DDDC0000}"/>
    <cellStyle name="Note 2 3 4 30" xfId="63842" xr:uid="{00000000-0005-0000-0000-0000DEDC0000}"/>
    <cellStyle name="Note 2 3 4 4" xfId="6617" xr:uid="{00000000-0005-0000-0000-0000DFDC0000}"/>
    <cellStyle name="Note 2 3 4 4 2" xfId="21766" xr:uid="{00000000-0005-0000-0000-0000E0DC0000}"/>
    <cellStyle name="Note 2 3 4 5" xfId="8300" xr:uid="{00000000-0005-0000-0000-0000E1DC0000}"/>
    <cellStyle name="Note 2 3 4 5 2" xfId="23449" xr:uid="{00000000-0005-0000-0000-0000E2DC0000}"/>
    <cellStyle name="Note 2 3 4 6" xfId="9983" xr:uid="{00000000-0005-0000-0000-0000E3DC0000}"/>
    <cellStyle name="Note 2 3 4 6 2" xfId="25132" xr:uid="{00000000-0005-0000-0000-0000E4DC0000}"/>
    <cellStyle name="Note 2 3 4 7" xfId="11666" xr:uid="{00000000-0005-0000-0000-0000E5DC0000}"/>
    <cellStyle name="Note 2 3 4 7 2" xfId="26815" xr:uid="{00000000-0005-0000-0000-0000E6DC0000}"/>
    <cellStyle name="Note 2 3 4 8" xfId="13350" xr:uid="{00000000-0005-0000-0000-0000E7DC0000}"/>
    <cellStyle name="Note 2 3 4 8 2" xfId="28499" xr:uid="{00000000-0005-0000-0000-0000E8DC0000}"/>
    <cellStyle name="Note 2 3 4 9" xfId="15033" xr:uid="{00000000-0005-0000-0000-0000E9DC0000}"/>
    <cellStyle name="Note 2 3 4 9 2" xfId="30182" xr:uid="{00000000-0005-0000-0000-0000EADC0000}"/>
    <cellStyle name="Note 2 3 5" xfId="1988" xr:uid="{00000000-0005-0000-0000-0000EBDC0000}"/>
    <cellStyle name="Note 2 3 5 2" xfId="17137" xr:uid="{00000000-0005-0000-0000-0000ECDC0000}"/>
    <cellStyle name="Note 2 3 6" xfId="3672" xr:uid="{00000000-0005-0000-0000-0000EDDC0000}"/>
    <cellStyle name="Note 2 3 6 2" xfId="18821" xr:uid="{00000000-0005-0000-0000-0000EEDC0000}"/>
    <cellStyle name="Note 2 3 7" xfId="5355" xr:uid="{00000000-0005-0000-0000-0000EFDC0000}"/>
    <cellStyle name="Note 2 3 7 2" xfId="20504" xr:uid="{00000000-0005-0000-0000-0000F0DC0000}"/>
    <cellStyle name="Note 2 3 8" xfId="7038" xr:uid="{00000000-0005-0000-0000-0000F1DC0000}"/>
    <cellStyle name="Note 2 3 8 2" xfId="22187" xr:uid="{00000000-0005-0000-0000-0000F2DC0000}"/>
    <cellStyle name="Note 2 3 9" xfId="8721" xr:uid="{00000000-0005-0000-0000-0000F3DC0000}"/>
    <cellStyle name="Note 2 3 9 2" xfId="23870" xr:uid="{00000000-0005-0000-0000-0000F4DC0000}"/>
    <cellStyle name="Note 2 30" xfId="53955" xr:uid="{00000000-0005-0000-0000-0000F5DC0000}"/>
    <cellStyle name="Note 2 31" xfId="55638" xr:uid="{00000000-0005-0000-0000-0000F6DC0000}"/>
    <cellStyle name="Note 2 32" xfId="57321" xr:uid="{00000000-0005-0000-0000-0000F7DC0000}"/>
    <cellStyle name="Note 2 33" xfId="59004" xr:uid="{00000000-0005-0000-0000-0000F8DC0000}"/>
    <cellStyle name="Note 2 34" xfId="60687" xr:uid="{00000000-0005-0000-0000-0000F9DC0000}"/>
    <cellStyle name="Note 2 35" xfId="62370" xr:uid="{00000000-0005-0000-0000-0000FADC0000}"/>
    <cellStyle name="Note 2 4" xfId="515" xr:uid="{00000000-0005-0000-0000-0000FBDC0000}"/>
    <cellStyle name="Note 2 4 10" xfId="15664" xr:uid="{00000000-0005-0000-0000-0000FCDC0000}"/>
    <cellStyle name="Note 2 4 11" xfId="30813" xr:uid="{00000000-0005-0000-0000-0000FDDC0000}"/>
    <cellStyle name="Note 2 4 12" xfId="32496" xr:uid="{00000000-0005-0000-0000-0000FEDC0000}"/>
    <cellStyle name="Note 2 4 13" xfId="34179" xr:uid="{00000000-0005-0000-0000-0000FFDC0000}"/>
    <cellStyle name="Note 2 4 14" xfId="35862" xr:uid="{00000000-0005-0000-0000-000000DD0000}"/>
    <cellStyle name="Note 2 4 15" xfId="37545" xr:uid="{00000000-0005-0000-0000-000001DD0000}"/>
    <cellStyle name="Note 2 4 16" xfId="39228" xr:uid="{00000000-0005-0000-0000-000002DD0000}"/>
    <cellStyle name="Note 2 4 17" xfId="40911" xr:uid="{00000000-0005-0000-0000-000003DD0000}"/>
    <cellStyle name="Note 2 4 18" xfId="42594" xr:uid="{00000000-0005-0000-0000-000004DD0000}"/>
    <cellStyle name="Note 2 4 19" xfId="44277" xr:uid="{00000000-0005-0000-0000-000005DD0000}"/>
    <cellStyle name="Note 2 4 2" xfId="2198" xr:uid="{00000000-0005-0000-0000-000006DD0000}"/>
    <cellStyle name="Note 2 4 2 2" xfId="17347" xr:uid="{00000000-0005-0000-0000-000007DD0000}"/>
    <cellStyle name="Note 2 4 20" xfId="45960" xr:uid="{00000000-0005-0000-0000-000008DD0000}"/>
    <cellStyle name="Note 2 4 21" xfId="47643" xr:uid="{00000000-0005-0000-0000-000009DD0000}"/>
    <cellStyle name="Note 2 4 22" xfId="49326" xr:uid="{00000000-0005-0000-0000-00000ADD0000}"/>
    <cellStyle name="Note 2 4 23" xfId="51009" xr:uid="{00000000-0005-0000-0000-00000BDD0000}"/>
    <cellStyle name="Note 2 4 24" xfId="52692" xr:uid="{00000000-0005-0000-0000-00000CDD0000}"/>
    <cellStyle name="Note 2 4 25" xfId="54375" xr:uid="{00000000-0005-0000-0000-00000DDD0000}"/>
    <cellStyle name="Note 2 4 26" xfId="56058" xr:uid="{00000000-0005-0000-0000-00000EDD0000}"/>
    <cellStyle name="Note 2 4 27" xfId="57741" xr:uid="{00000000-0005-0000-0000-00000FDD0000}"/>
    <cellStyle name="Note 2 4 28" xfId="59424" xr:uid="{00000000-0005-0000-0000-000010DD0000}"/>
    <cellStyle name="Note 2 4 29" xfId="61107" xr:uid="{00000000-0005-0000-0000-000011DD0000}"/>
    <cellStyle name="Note 2 4 3" xfId="3882" xr:uid="{00000000-0005-0000-0000-000012DD0000}"/>
    <cellStyle name="Note 2 4 3 2" xfId="19031" xr:uid="{00000000-0005-0000-0000-000013DD0000}"/>
    <cellStyle name="Note 2 4 30" xfId="62790" xr:uid="{00000000-0005-0000-0000-000014DD0000}"/>
    <cellStyle name="Note 2 4 4" xfId="5565" xr:uid="{00000000-0005-0000-0000-000015DD0000}"/>
    <cellStyle name="Note 2 4 4 2" xfId="20714" xr:uid="{00000000-0005-0000-0000-000016DD0000}"/>
    <cellStyle name="Note 2 4 5" xfId="7248" xr:uid="{00000000-0005-0000-0000-000017DD0000}"/>
    <cellStyle name="Note 2 4 5 2" xfId="22397" xr:uid="{00000000-0005-0000-0000-000018DD0000}"/>
    <cellStyle name="Note 2 4 6" xfId="8931" xr:uid="{00000000-0005-0000-0000-000019DD0000}"/>
    <cellStyle name="Note 2 4 6 2" xfId="24080" xr:uid="{00000000-0005-0000-0000-00001ADD0000}"/>
    <cellStyle name="Note 2 4 7" xfId="10614" xr:uid="{00000000-0005-0000-0000-00001BDD0000}"/>
    <cellStyle name="Note 2 4 7 2" xfId="25763" xr:uid="{00000000-0005-0000-0000-00001CDD0000}"/>
    <cellStyle name="Note 2 4 8" xfId="12298" xr:uid="{00000000-0005-0000-0000-00001DDD0000}"/>
    <cellStyle name="Note 2 4 8 2" xfId="27447" xr:uid="{00000000-0005-0000-0000-00001EDD0000}"/>
    <cellStyle name="Note 2 4 9" xfId="13981" xr:uid="{00000000-0005-0000-0000-00001FDD0000}"/>
    <cellStyle name="Note 2 4 9 2" xfId="29130" xr:uid="{00000000-0005-0000-0000-000020DD0000}"/>
    <cellStyle name="Note 2 5" xfId="936" xr:uid="{00000000-0005-0000-0000-000021DD0000}"/>
    <cellStyle name="Note 2 5 10" xfId="16085" xr:uid="{00000000-0005-0000-0000-000022DD0000}"/>
    <cellStyle name="Note 2 5 11" xfId="31234" xr:uid="{00000000-0005-0000-0000-000023DD0000}"/>
    <cellStyle name="Note 2 5 12" xfId="32917" xr:uid="{00000000-0005-0000-0000-000024DD0000}"/>
    <cellStyle name="Note 2 5 13" xfId="34600" xr:uid="{00000000-0005-0000-0000-000025DD0000}"/>
    <cellStyle name="Note 2 5 14" xfId="36283" xr:uid="{00000000-0005-0000-0000-000026DD0000}"/>
    <cellStyle name="Note 2 5 15" xfId="37966" xr:uid="{00000000-0005-0000-0000-000027DD0000}"/>
    <cellStyle name="Note 2 5 16" xfId="39649" xr:uid="{00000000-0005-0000-0000-000028DD0000}"/>
    <cellStyle name="Note 2 5 17" xfId="41332" xr:uid="{00000000-0005-0000-0000-000029DD0000}"/>
    <cellStyle name="Note 2 5 18" xfId="43015" xr:uid="{00000000-0005-0000-0000-00002ADD0000}"/>
    <cellStyle name="Note 2 5 19" xfId="44698" xr:uid="{00000000-0005-0000-0000-00002BDD0000}"/>
    <cellStyle name="Note 2 5 2" xfId="2619" xr:uid="{00000000-0005-0000-0000-00002CDD0000}"/>
    <cellStyle name="Note 2 5 2 2" xfId="17768" xr:uid="{00000000-0005-0000-0000-00002DDD0000}"/>
    <cellStyle name="Note 2 5 20" xfId="46381" xr:uid="{00000000-0005-0000-0000-00002EDD0000}"/>
    <cellStyle name="Note 2 5 21" xfId="48064" xr:uid="{00000000-0005-0000-0000-00002FDD0000}"/>
    <cellStyle name="Note 2 5 22" xfId="49747" xr:uid="{00000000-0005-0000-0000-000030DD0000}"/>
    <cellStyle name="Note 2 5 23" xfId="51430" xr:uid="{00000000-0005-0000-0000-000031DD0000}"/>
    <cellStyle name="Note 2 5 24" xfId="53113" xr:uid="{00000000-0005-0000-0000-000032DD0000}"/>
    <cellStyle name="Note 2 5 25" xfId="54796" xr:uid="{00000000-0005-0000-0000-000033DD0000}"/>
    <cellStyle name="Note 2 5 26" xfId="56479" xr:uid="{00000000-0005-0000-0000-000034DD0000}"/>
    <cellStyle name="Note 2 5 27" xfId="58162" xr:uid="{00000000-0005-0000-0000-000035DD0000}"/>
    <cellStyle name="Note 2 5 28" xfId="59845" xr:uid="{00000000-0005-0000-0000-000036DD0000}"/>
    <cellStyle name="Note 2 5 29" xfId="61528" xr:uid="{00000000-0005-0000-0000-000037DD0000}"/>
    <cellStyle name="Note 2 5 3" xfId="4303" xr:uid="{00000000-0005-0000-0000-000038DD0000}"/>
    <cellStyle name="Note 2 5 3 2" xfId="19452" xr:uid="{00000000-0005-0000-0000-000039DD0000}"/>
    <cellStyle name="Note 2 5 30" xfId="63211" xr:uid="{00000000-0005-0000-0000-00003ADD0000}"/>
    <cellStyle name="Note 2 5 4" xfId="5986" xr:uid="{00000000-0005-0000-0000-00003BDD0000}"/>
    <cellStyle name="Note 2 5 4 2" xfId="21135" xr:uid="{00000000-0005-0000-0000-00003CDD0000}"/>
    <cellStyle name="Note 2 5 5" xfId="7669" xr:uid="{00000000-0005-0000-0000-00003DDD0000}"/>
    <cellStyle name="Note 2 5 5 2" xfId="22818" xr:uid="{00000000-0005-0000-0000-00003EDD0000}"/>
    <cellStyle name="Note 2 5 6" xfId="9352" xr:uid="{00000000-0005-0000-0000-00003FDD0000}"/>
    <cellStyle name="Note 2 5 6 2" xfId="24501" xr:uid="{00000000-0005-0000-0000-000040DD0000}"/>
    <cellStyle name="Note 2 5 7" xfId="11035" xr:uid="{00000000-0005-0000-0000-000041DD0000}"/>
    <cellStyle name="Note 2 5 7 2" xfId="26184" xr:uid="{00000000-0005-0000-0000-000042DD0000}"/>
    <cellStyle name="Note 2 5 8" xfId="12719" xr:uid="{00000000-0005-0000-0000-000043DD0000}"/>
    <cellStyle name="Note 2 5 8 2" xfId="27868" xr:uid="{00000000-0005-0000-0000-000044DD0000}"/>
    <cellStyle name="Note 2 5 9" xfId="14402" xr:uid="{00000000-0005-0000-0000-000045DD0000}"/>
    <cellStyle name="Note 2 5 9 2" xfId="29551" xr:uid="{00000000-0005-0000-0000-000046DD0000}"/>
    <cellStyle name="Note 2 6" xfId="1357" xr:uid="{00000000-0005-0000-0000-000047DD0000}"/>
    <cellStyle name="Note 2 6 10" xfId="16506" xr:uid="{00000000-0005-0000-0000-000048DD0000}"/>
    <cellStyle name="Note 2 6 11" xfId="31655" xr:uid="{00000000-0005-0000-0000-000049DD0000}"/>
    <cellStyle name="Note 2 6 12" xfId="33338" xr:uid="{00000000-0005-0000-0000-00004ADD0000}"/>
    <cellStyle name="Note 2 6 13" xfId="35021" xr:uid="{00000000-0005-0000-0000-00004BDD0000}"/>
    <cellStyle name="Note 2 6 14" xfId="36704" xr:uid="{00000000-0005-0000-0000-00004CDD0000}"/>
    <cellStyle name="Note 2 6 15" xfId="38387" xr:uid="{00000000-0005-0000-0000-00004DDD0000}"/>
    <cellStyle name="Note 2 6 16" xfId="40070" xr:uid="{00000000-0005-0000-0000-00004EDD0000}"/>
    <cellStyle name="Note 2 6 17" xfId="41753" xr:uid="{00000000-0005-0000-0000-00004FDD0000}"/>
    <cellStyle name="Note 2 6 18" xfId="43436" xr:uid="{00000000-0005-0000-0000-000050DD0000}"/>
    <cellStyle name="Note 2 6 19" xfId="45119" xr:uid="{00000000-0005-0000-0000-000051DD0000}"/>
    <cellStyle name="Note 2 6 2" xfId="3040" xr:uid="{00000000-0005-0000-0000-000052DD0000}"/>
    <cellStyle name="Note 2 6 2 2" xfId="18189" xr:uid="{00000000-0005-0000-0000-000053DD0000}"/>
    <cellStyle name="Note 2 6 20" xfId="46802" xr:uid="{00000000-0005-0000-0000-000054DD0000}"/>
    <cellStyle name="Note 2 6 21" xfId="48485" xr:uid="{00000000-0005-0000-0000-000055DD0000}"/>
    <cellStyle name="Note 2 6 22" xfId="50168" xr:uid="{00000000-0005-0000-0000-000056DD0000}"/>
    <cellStyle name="Note 2 6 23" xfId="51851" xr:uid="{00000000-0005-0000-0000-000057DD0000}"/>
    <cellStyle name="Note 2 6 24" xfId="53534" xr:uid="{00000000-0005-0000-0000-000058DD0000}"/>
    <cellStyle name="Note 2 6 25" xfId="55217" xr:uid="{00000000-0005-0000-0000-000059DD0000}"/>
    <cellStyle name="Note 2 6 26" xfId="56900" xr:uid="{00000000-0005-0000-0000-00005ADD0000}"/>
    <cellStyle name="Note 2 6 27" xfId="58583" xr:uid="{00000000-0005-0000-0000-00005BDD0000}"/>
    <cellStyle name="Note 2 6 28" xfId="60266" xr:uid="{00000000-0005-0000-0000-00005CDD0000}"/>
    <cellStyle name="Note 2 6 29" xfId="61949" xr:uid="{00000000-0005-0000-0000-00005DDD0000}"/>
    <cellStyle name="Note 2 6 3" xfId="4724" xr:uid="{00000000-0005-0000-0000-00005EDD0000}"/>
    <cellStyle name="Note 2 6 3 2" xfId="19873" xr:uid="{00000000-0005-0000-0000-00005FDD0000}"/>
    <cellStyle name="Note 2 6 30" xfId="63632" xr:uid="{00000000-0005-0000-0000-000060DD0000}"/>
    <cellStyle name="Note 2 6 4" xfId="6407" xr:uid="{00000000-0005-0000-0000-000061DD0000}"/>
    <cellStyle name="Note 2 6 4 2" xfId="21556" xr:uid="{00000000-0005-0000-0000-000062DD0000}"/>
    <cellStyle name="Note 2 6 5" xfId="8090" xr:uid="{00000000-0005-0000-0000-000063DD0000}"/>
    <cellStyle name="Note 2 6 5 2" xfId="23239" xr:uid="{00000000-0005-0000-0000-000064DD0000}"/>
    <cellStyle name="Note 2 6 6" xfId="9773" xr:uid="{00000000-0005-0000-0000-000065DD0000}"/>
    <cellStyle name="Note 2 6 6 2" xfId="24922" xr:uid="{00000000-0005-0000-0000-000066DD0000}"/>
    <cellStyle name="Note 2 6 7" xfId="11456" xr:uid="{00000000-0005-0000-0000-000067DD0000}"/>
    <cellStyle name="Note 2 6 7 2" xfId="26605" xr:uid="{00000000-0005-0000-0000-000068DD0000}"/>
    <cellStyle name="Note 2 6 8" xfId="13140" xr:uid="{00000000-0005-0000-0000-000069DD0000}"/>
    <cellStyle name="Note 2 6 8 2" xfId="28289" xr:uid="{00000000-0005-0000-0000-00006ADD0000}"/>
    <cellStyle name="Note 2 6 9" xfId="14823" xr:uid="{00000000-0005-0000-0000-00006BDD0000}"/>
    <cellStyle name="Note 2 6 9 2" xfId="29972" xr:uid="{00000000-0005-0000-0000-00006CDD0000}"/>
    <cellStyle name="Note 2 7" xfId="1778" xr:uid="{00000000-0005-0000-0000-00006DDD0000}"/>
    <cellStyle name="Note 2 7 2" xfId="16927" xr:uid="{00000000-0005-0000-0000-00006EDD0000}"/>
    <cellStyle name="Note 2 8" xfId="3462" xr:uid="{00000000-0005-0000-0000-00006FDD0000}"/>
    <cellStyle name="Note 2 8 2" xfId="18611" xr:uid="{00000000-0005-0000-0000-000070DD0000}"/>
    <cellStyle name="Note 2 9" xfId="5145" xr:uid="{00000000-0005-0000-0000-000071DD0000}"/>
    <cellStyle name="Note 2 9 2" xfId="20294" xr:uid="{00000000-0005-0000-0000-000072DD0000}"/>
    <cellStyle name="Note 3" xfId="97" xr:uid="{00000000-0005-0000-0000-000073DD0000}"/>
    <cellStyle name="Note 3 10" xfId="6830" xr:uid="{00000000-0005-0000-0000-000074DD0000}"/>
    <cellStyle name="Note 3 10 2" xfId="21979" xr:uid="{00000000-0005-0000-0000-000075DD0000}"/>
    <cellStyle name="Note 3 11" xfId="8513" xr:uid="{00000000-0005-0000-0000-000076DD0000}"/>
    <cellStyle name="Note 3 11 2" xfId="23662" xr:uid="{00000000-0005-0000-0000-000077DD0000}"/>
    <cellStyle name="Note 3 12" xfId="10196" xr:uid="{00000000-0005-0000-0000-000078DD0000}"/>
    <cellStyle name="Note 3 12 2" xfId="25345" xr:uid="{00000000-0005-0000-0000-000079DD0000}"/>
    <cellStyle name="Note 3 13" xfId="11880" xr:uid="{00000000-0005-0000-0000-00007ADD0000}"/>
    <cellStyle name="Note 3 13 2" xfId="27029" xr:uid="{00000000-0005-0000-0000-00007BDD0000}"/>
    <cellStyle name="Note 3 14" xfId="13563" xr:uid="{00000000-0005-0000-0000-00007CDD0000}"/>
    <cellStyle name="Note 3 14 2" xfId="28712" xr:uid="{00000000-0005-0000-0000-00007DDD0000}"/>
    <cellStyle name="Note 3 15" xfId="15246" xr:uid="{00000000-0005-0000-0000-00007EDD0000}"/>
    <cellStyle name="Note 3 16" xfId="30395" xr:uid="{00000000-0005-0000-0000-00007FDD0000}"/>
    <cellStyle name="Note 3 17" xfId="32078" xr:uid="{00000000-0005-0000-0000-000080DD0000}"/>
    <cellStyle name="Note 3 18" xfId="33761" xr:uid="{00000000-0005-0000-0000-000081DD0000}"/>
    <cellStyle name="Note 3 19" xfId="35444" xr:uid="{00000000-0005-0000-0000-000082DD0000}"/>
    <cellStyle name="Note 3 2" xfId="202" xr:uid="{00000000-0005-0000-0000-000083DD0000}"/>
    <cellStyle name="Note 3 2 10" xfId="8618" xr:uid="{00000000-0005-0000-0000-000084DD0000}"/>
    <cellStyle name="Note 3 2 10 2" xfId="23767" xr:uid="{00000000-0005-0000-0000-000085DD0000}"/>
    <cellStyle name="Note 3 2 11" xfId="10301" xr:uid="{00000000-0005-0000-0000-000086DD0000}"/>
    <cellStyle name="Note 3 2 11 2" xfId="25450" xr:uid="{00000000-0005-0000-0000-000087DD0000}"/>
    <cellStyle name="Note 3 2 12" xfId="11985" xr:uid="{00000000-0005-0000-0000-000088DD0000}"/>
    <cellStyle name="Note 3 2 12 2" xfId="27134" xr:uid="{00000000-0005-0000-0000-000089DD0000}"/>
    <cellStyle name="Note 3 2 13" xfId="13668" xr:uid="{00000000-0005-0000-0000-00008ADD0000}"/>
    <cellStyle name="Note 3 2 13 2" xfId="28817" xr:uid="{00000000-0005-0000-0000-00008BDD0000}"/>
    <cellStyle name="Note 3 2 14" xfId="15351" xr:uid="{00000000-0005-0000-0000-00008CDD0000}"/>
    <cellStyle name="Note 3 2 15" xfId="30500" xr:uid="{00000000-0005-0000-0000-00008DDD0000}"/>
    <cellStyle name="Note 3 2 16" xfId="32183" xr:uid="{00000000-0005-0000-0000-00008EDD0000}"/>
    <cellStyle name="Note 3 2 17" xfId="33866" xr:uid="{00000000-0005-0000-0000-00008FDD0000}"/>
    <cellStyle name="Note 3 2 18" xfId="35549" xr:uid="{00000000-0005-0000-0000-000090DD0000}"/>
    <cellStyle name="Note 3 2 19" xfId="37232" xr:uid="{00000000-0005-0000-0000-000091DD0000}"/>
    <cellStyle name="Note 3 2 2" xfId="412" xr:uid="{00000000-0005-0000-0000-000092DD0000}"/>
    <cellStyle name="Note 3 2 2 10" xfId="10511" xr:uid="{00000000-0005-0000-0000-000093DD0000}"/>
    <cellStyle name="Note 3 2 2 10 2" xfId="25660" xr:uid="{00000000-0005-0000-0000-000094DD0000}"/>
    <cellStyle name="Note 3 2 2 11" xfId="12195" xr:uid="{00000000-0005-0000-0000-000095DD0000}"/>
    <cellStyle name="Note 3 2 2 11 2" xfId="27344" xr:uid="{00000000-0005-0000-0000-000096DD0000}"/>
    <cellStyle name="Note 3 2 2 12" xfId="13878" xr:uid="{00000000-0005-0000-0000-000097DD0000}"/>
    <cellStyle name="Note 3 2 2 12 2" xfId="29027" xr:uid="{00000000-0005-0000-0000-000098DD0000}"/>
    <cellStyle name="Note 3 2 2 13" xfId="15561" xr:uid="{00000000-0005-0000-0000-000099DD0000}"/>
    <cellStyle name="Note 3 2 2 14" xfId="30710" xr:uid="{00000000-0005-0000-0000-00009ADD0000}"/>
    <cellStyle name="Note 3 2 2 15" xfId="32393" xr:uid="{00000000-0005-0000-0000-00009BDD0000}"/>
    <cellStyle name="Note 3 2 2 16" xfId="34076" xr:uid="{00000000-0005-0000-0000-00009CDD0000}"/>
    <cellStyle name="Note 3 2 2 17" xfId="35759" xr:uid="{00000000-0005-0000-0000-00009DDD0000}"/>
    <cellStyle name="Note 3 2 2 18" xfId="37442" xr:uid="{00000000-0005-0000-0000-00009EDD0000}"/>
    <cellStyle name="Note 3 2 2 19" xfId="39125" xr:uid="{00000000-0005-0000-0000-00009FDD0000}"/>
    <cellStyle name="Note 3 2 2 2" xfId="832" xr:uid="{00000000-0005-0000-0000-0000A0DD0000}"/>
    <cellStyle name="Note 3 2 2 2 10" xfId="15981" xr:uid="{00000000-0005-0000-0000-0000A1DD0000}"/>
    <cellStyle name="Note 3 2 2 2 11" xfId="31130" xr:uid="{00000000-0005-0000-0000-0000A2DD0000}"/>
    <cellStyle name="Note 3 2 2 2 12" xfId="32813" xr:uid="{00000000-0005-0000-0000-0000A3DD0000}"/>
    <cellStyle name="Note 3 2 2 2 13" xfId="34496" xr:uid="{00000000-0005-0000-0000-0000A4DD0000}"/>
    <cellStyle name="Note 3 2 2 2 14" xfId="36179" xr:uid="{00000000-0005-0000-0000-0000A5DD0000}"/>
    <cellStyle name="Note 3 2 2 2 15" xfId="37862" xr:uid="{00000000-0005-0000-0000-0000A6DD0000}"/>
    <cellStyle name="Note 3 2 2 2 16" xfId="39545" xr:uid="{00000000-0005-0000-0000-0000A7DD0000}"/>
    <cellStyle name="Note 3 2 2 2 17" xfId="41228" xr:uid="{00000000-0005-0000-0000-0000A8DD0000}"/>
    <cellStyle name="Note 3 2 2 2 18" xfId="42911" xr:uid="{00000000-0005-0000-0000-0000A9DD0000}"/>
    <cellStyle name="Note 3 2 2 2 19" xfId="44594" xr:uid="{00000000-0005-0000-0000-0000AADD0000}"/>
    <cellStyle name="Note 3 2 2 2 2" xfId="2515" xr:uid="{00000000-0005-0000-0000-0000ABDD0000}"/>
    <cellStyle name="Note 3 2 2 2 2 2" xfId="17664" xr:uid="{00000000-0005-0000-0000-0000ACDD0000}"/>
    <cellStyle name="Note 3 2 2 2 20" xfId="46277" xr:uid="{00000000-0005-0000-0000-0000ADDD0000}"/>
    <cellStyle name="Note 3 2 2 2 21" xfId="47960" xr:uid="{00000000-0005-0000-0000-0000AEDD0000}"/>
    <cellStyle name="Note 3 2 2 2 22" xfId="49643" xr:uid="{00000000-0005-0000-0000-0000AFDD0000}"/>
    <cellStyle name="Note 3 2 2 2 23" xfId="51326" xr:uid="{00000000-0005-0000-0000-0000B0DD0000}"/>
    <cellStyle name="Note 3 2 2 2 24" xfId="53009" xr:uid="{00000000-0005-0000-0000-0000B1DD0000}"/>
    <cellStyle name="Note 3 2 2 2 25" xfId="54692" xr:uid="{00000000-0005-0000-0000-0000B2DD0000}"/>
    <cellStyle name="Note 3 2 2 2 26" xfId="56375" xr:uid="{00000000-0005-0000-0000-0000B3DD0000}"/>
    <cellStyle name="Note 3 2 2 2 27" xfId="58058" xr:uid="{00000000-0005-0000-0000-0000B4DD0000}"/>
    <cellStyle name="Note 3 2 2 2 28" xfId="59741" xr:uid="{00000000-0005-0000-0000-0000B5DD0000}"/>
    <cellStyle name="Note 3 2 2 2 29" xfId="61424" xr:uid="{00000000-0005-0000-0000-0000B6DD0000}"/>
    <cellStyle name="Note 3 2 2 2 3" xfId="4199" xr:uid="{00000000-0005-0000-0000-0000B7DD0000}"/>
    <cellStyle name="Note 3 2 2 2 3 2" xfId="19348" xr:uid="{00000000-0005-0000-0000-0000B8DD0000}"/>
    <cellStyle name="Note 3 2 2 2 30" xfId="63107" xr:uid="{00000000-0005-0000-0000-0000B9DD0000}"/>
    <cellStyle name="Note 3 2 2 2 4" xfId="5882" xr:uid="{00000000-0005-0000-0000-0000BADD0000}"/>
    <cellStyle name="Note 3 2 2 2 4 2" xfId="21031" xr:uid="{00000000-0005-0000-0000-0000BBDD0000}"/>
    <cellStyle name="Note 3 2 2 2 5" xfId="7565" xr:uid="{00000000-0005-0000-0000-0000BCDD0000}"/>
    <cellStyle name="Note 3 2 2 2 5 2" xfId="22714" xr:uid="{00000000-0005-0000-0000-0000BDDD0000}"/>
    <cellStyle name="Note 3 2 2 2 6" xfId="9248" xr:uid="{00000000-0005-0000-0000-0000BEDD0000}"/>
    <cellStyle name="Note 3 2 2 2 6 2" xfId="24397" xr:uid="{00000000-0005-0000-0000-0000BFDD0000}"/>
    <cellStyle name="Note 3 2 2 2 7" xfId="10931" xr:uid="{00000000-0005-0000-0000-0000C0DD0000}"/>
    <cellStyle name="Note 3 2 2 2 7 2" xfId="26080" xr:uid="{00000000-0005-0000-0000-0000C1DD0000}"/>
    <cellStyle name="Note 3 2 2 2 8" xfId="12615" xr:uid="{00000000-0005-0000-0000-0000C2DD0000}"/>
    <cellStyle name="Note 3 2 2 2 8 2" xfId="27764" xr:uid="{00000000-0005-0000-0000-0000C3DD0000}"/>
    <cellStyle name="Note 3 2 2 2 9" xfId="14298" xr:uid="{00000000-0005-0000-0000-0000C4DD0000}"/>
    <cellStyle name="Note 3 2 2 2 9 2" xfId="29447" xr:uid="{00000000-0005-0000-0000-0000C5DD0000}"/>
    <cellStyle name="Note 3 2 2 20" xfId="40808" xr:uid="{00000000-0005-0000-0000-0000C6DD0000}"/>
    <cellStyle name="Note 3 2 2 21" xfId="42491" xr:uid="{00000000-0005-0000-0000-0000C7DD0000}"/>
    <cellStyle name="Note 3 2 2 22" xfId="44174" xr:uid="{00000000-0005-0000-0000-0000C8DD0000}"/>
    <cellStyle name="Note 3 2 2 23" xfId="45857" xr:uid="{00000000-0005-0000-0000-0000C9DD0000}"/>
    <cellStyle name="Note 3 2 2 24" xfId="47540" xr:uid="{00000000-0005-0000-0000-0000CADD0000}"/>
    <cellStyle name="Note 3 2 2 25" xfId="49223" xr:uid="{00000000-0005-0000-0000-0000CBDD0000}"/>
    <cellStyle name="Note 3 2 2 26" xfId="50906" xr:uid="{00000000-0005-0000-0000-0000CCDD0000}"/>
    <cellStyle name="Note 3 2 2 27" xfId="52589" xr:uid="{00000000-0005-0000-0000-0000CDDD0000}"/>
    <cellStyle name="Note 3 2 2 28" xfId="54272" xr:uid="{00000000-0005-0000-0000-0000CEDD0000}"/>
    <cellStyle name="Note 3 2 2 29" xfId="55955" xr:uid="{00000000-0005-0000-0000-0000CFDD0000}"/>
    <cellStyle name="Note 3 2 2 3" xfId="1253" xr:uid="{00000000-0005-0000-0000-0000D0DD0000}"/>
    <cellStyle name="Note 3 2 2 3 10" xfId="16402" xr:uid="{00000000-0005-0000-0000-0000D1DD0000}"/>
    <cellStyle name="Note 3 2 2 3 11" xfId="31551" xr:uid="{00000000-0005-0000-0000-0000D2DD0000}"/>
    <cellStyle name="Note 3 2 2 3 12" xfId="33234" xr:uid="{00000000-0005-0000-0000-0000D3DD0000}"/>
    <cellStyle name="Note 3 2 2 3 13" xfId="34917" xr:uid="{00000000-0005-0000-0000-0000D4DD0000}"/>
    <cellStyle name="Note 3 2 2 3 14" xfId="36600" xr:uid="{00000000-0005-0000-0000-0000D5DD0000}"/>
    <cellStyle name="Note 3 2 2 3 15" xfId="38283" xr:uid="{00000000-0005-0000-0000-0000D6DD0000}"/>
    <cellStyle name="Note 3 2 2 3 16" xfId="39966" xr:uid="{00000000-0005-0000-0000-0000D7DD0000}"/>
    <cellStyle name="Note 3 2 2 3 17" xfId="41649" xr:uid="{00000000-0005-0000-0000-0000D8DD0000}"/>
    <cellStyle name="Note 3 2 2 3 18" xfId="43332" xr:uid="{00000000-0005-0000-0000-0000D9DD0000}"/>
    <cellStyle name="Note 3 2 2 3 19" xfId="45015" xr:uid="{00000000-0005-0000-0000-0000DADD0000}"/>
    <cellStyle name="Note 3 2 2 3 2" xfId="2936" xr:uid="{00000000-0005-0000-0000-0000DBDD0000}"/>
    <cellStyle name="Note 3 2 2 3 2 2" xfId="18085" xr:uid="{00000000-0005-0000-0000-0000DCDD0000}"/>
    <cellStyle name="Note 3 2 2 3 20" xfId="46698" xr:uid="{00000000-0005-0000-0000-0000DDDD0000}"/>
    <cellStyle name="Note 3 2 2 3 21" xfId="48381" xr:uid="{00000000-0005-0000-0000-0000DEDD0000}"/>
    <cellStyle name="Note 3 2 2 3 22" xfId="50064" xr:uid="{00000000-0005-0000-0000-0000DFDD0000}"/>
    <cellStyle name="Note 3 2 2 3 23" xfId="51747" xr:uid="{00000000-0005-0000-0000-0000E0DD0000}"/>
    <cellStyle name="Note 3 2 2 3 24" xfId="53430" xr:uid="{00000000-0005-0000-0000-0000E1DD0000}"/>
    <cellStyle name="Note 3 2 2 3 25" xfId="55113" xr:uid="{00000000-0005-0000-0000-0000E2DD0000}"/>
    <cellStyle name="Note 3 2 2 3 26" xfId="56796" xr:uid="{00000000-0005-0000-0000-0000E3DD0000}"/>
    <cellStyle name="Note 3 2 2 3 27" xfId="58479" xr:uid="{00000000-0005-0000-0000-0000E4DD0000}"/>
    <cellStyle name="Note 3 2 2 3 28" xfId="60162" xr:uid="{00000000-0005-0000-0000-0000E5DD0000}"/>
    <cellStyle name="Note 3 2 2 3 29" xfId="61845" xr:uid="{00000000-0005-0000-0000-0000E6DD0000}"/>
    <cellStyle name="Note 3 2 2 3 3" xfId="4620" xr:uid="{00000000-0005-0000-0000-0000E7DD0000}"/>
    <cellStyle name="Note 3 2 2 3 3 2" xfId="19769" xr:uid="{00000000-0005-0000-0000-0000E8DD0000}"/>
    <cellStyle name="Note 3 2 2 3 30" xfId="63528" xr:uid="{00000000-0005-0000-0000-0000E9DD0000}"/>
    <cellStyle name="Note 3 2 2 3 4" xfId="6303" xr:uid="{00000000-0005-0000-0000-0000EADD0000}"/>
    <cellStyle name="Note 3 2 2 3 4 2" xfId="21452" xr:uid="{00000000-0005-0000-0000-0000EBDD0000}"/>
    <cellStyle name="Note 3 2 2 3 5" xfId="7986" xr:uid="{00000000-0005-0000-0000-0000ECDD0000}"/>
    <cellStyle name="Note 3 2 2 3 5 2" xfId="23135" xr:uid="{00000000-0005-0000-0000-0000EDDD0000}"/>
    <cellStyle name="Note 3 2 2 3 6" xfId="9669" xr:uid="{00000000-0005-0000-0000-0000EEDD0000}"/>
    <cellStyle name="Note 3 2 2 3 6 2" xfId="24818" xr:uid="{00000000-0005-0000-0000-0000EFDD0000}"/>
    <cellStyle name="Note 3 2 2 3 7" xfId="11352" xr:uid="{00000000-0005-0000-0000-0000F0DD0000}"/>
    <cellStyle name="Note 3 2 2 3 7 2" xfId="26501" xr:uid="{00000000-0005-0000-0000-0000F1DD0000}"/>
    <cellStyle name="Note 3 2 2 3 8" xfId="13036" xr:uid="{00000000-0005-0000-0000-0000F2DD0000}"/>
    <cellStyle name="Note 3 2 2 3 8 2" xfId="28185" xr:uid="{00000000-0005-0000-0000-0000F3DD0000}"/>
    <cellStyle name="Note 3 2 2 3 9" xfId="14719" xr:uid="{00000000-0005-0000-0000-0000F4DD0000}"/>
    <cellStyle name="Note 3 2 2 3 9 2" xfId="29868" xr:uid="{00000000-0005-0000-0000-0000F5DD0000}"/>
    <cellStyle name="Note 3 2 2 30" xfId="57638" xr:uid="{00000000-0005-0000-0000-0000F6DD0000}"/>
    <cellStyle name="Note 3 2 2 31" xfId="59321" xr:uid="{00000000-0005-0000-0000-0000F7DD0000}"/>
    <cellStyle name="Note 3 2 2 32" xfId="61004" xr:uid="{00000000-0005-0000-0000-0000F8DD0000}"/>
    <cellStyle name="Note 3 2 2 33" xfId="62687" xr:uid="{00000000-0005-0000-0000-0000F9DD0000}"/>
    <cellStyle name="Note 3 2 2 4" xfId="1674" xr:uid="{00000000-0005-0000-0000-0000FADD0000}"/>
    <cellStyle name="Note 3 2 2 4 10" xfId="16823" xr:uid="{00000000-0005-0000-0000-0000FBDD0000}"/>
    <cellStyle name="Note 3 2 2 4 11" xfId="31972" xr:uid="{00000000-0005-0000-0000-0000FCDD0000}"/>
    <cellStyle name="Note 3 2 2 4 12" xfId="33655" xr:uid="{00000000-0005-0000-0000-0000FDDD0000}"/>
    <cellStyle name="Note 3 2 2 4 13" xfId="35338" xr:uid="{00000000-0005-0000-0000-0000FEDD0000}"/>
    <cellStyle name="Note 3 2 2 4 14" xfId="37021" xr:uid="{00000000-0005-0000-0000-0000FFDD0000}"/>
    <cellStyle name="Note 3 2 2 4 15" xfId="38704" xr:uid="{00000000-0005-0000-0000-000000DE0000}"/>
    <cellStyle name="Note 3 2 2 4 16" xfId="40387" xr:uid="{00000000-0005-0000-0000-000001DE0000}"/>
    <cellStyle name="Note 3 2 2 4 17" xfId="42070" xr:uid="{00000000-0005-0000-0000-000002DE0000}"/>
    <cellStyle name="Note 3 2 2 4 18" xfId="43753" xr:uid="{00000000-0005-0000-0000-000003DE0000}"/>
    <cellStyle name="Note 3 2 2 4 19" xfId="45436" xr:uid="{00000000-0005-0000-0000-000004DE0000}"/>
    <cellStyle name="Note 3 2 2 4 2" xfId="3357" xr:uid="{00000000-0005-0000-0000-000005DE0000}"/>
    <cellStyle name="Note 3 2 2 4 2 2" xfId="18506" xr:uid="{00000000-0005-0000-0000-000006DE0000}"/>
    <cellStyle name="Note 3 2 2 4 20" xfId="47119" xr:uid="{00000000-0005-0000-0000-000007DE0000}"/>
    <cellStyle name="Note 3 2 2 4 21" xfId="48802" xr:uid="{00000000-0005-0000-0000-000008DE0000}"/>
    <cellStyle name="Note 3 2 2 4 22" xfId="50485" xr:uid="{00000000-0005-0000-0000-000009DE0000}"/>
    <cellStyle name="Note 3 2 2 4 23" xfId="52168" xr:uid="{00000000-0005-0000-0000-00000ADE0000}"/>
    <cellStyle name="Note 3 2 2 4 24" xfId="53851" xr:uid="{00000000-0005-0000-0000-00000BDE0000}"/>
    <cellStyle name="Note 3 2 2 4 25" xfId="55534" xr:uid="{00000000-0005-0000-0000-00000CDE0000}"/>
    <cellStyle name="Note 3 2 2 4 26" xfId="57217" xr:uid="{00000000-0005-0000-0000-00000DDE0000}"/>
    <cellStyle name="Note 3 2 2 4 27" xfId="58900" xr:uid="{00000000-0005-0000-0000-00000EDE0000}"/>
    <cellStyle name="Note 3 2 2 4 28" xfId="60583" xr:uid="{00000000-0005-0000-0000-00000FDE0000}"/>
    <cellStyle name="Note 3 2 2 4 29" xfId="62266" xr:uid="{00000000-0005-0000-0000-000010DE0000}"/>
    <cellStyle name="Note 3 2 2 4 3" xfId="5041" xr:uid="{00000000-0005-0000-0000-000011DE0000}"/>
    <cellStyle name="Note 3 2 2 4 3 2" xfId="20190" xr:uid="{00000000-0005-0000-0000-000012DE0000}"/>
    <cellStyle name="Note 3 2 2 4 30" xfId="63949" xr:uid="{00000000-0005-0000-0000-000013DE0000}"/>
    <cellStyle name="Note 3 2 2 4 4" xfId="6724" xr:uid="{00000000-0005-0000-0000-000014DE0000}"/>
    <cellStyle name="Note 3 2 2 4 4 2" xfId="21873" xr:uid="{00000000-0005-0000-0000-000015DE0000}"/>
    <cellStyle name="Note 3 2 2 4 5" xfId="8407" xr:uid="{00000000-0005-0000-0000-000016DE0000}"/>
    <cellStyle name="Note 3 2 2 4 5 2" xfId="23556" xr:uid="{00000000-0005-0000-0000-000017DE0000}"/>
    <cellStyle name="Note 3 2 2 4 6" xfId="10090" xr:uid="{00000000-0005-0000-0000-000018DE0000}"/>
    <cellStyle name="Note 3 2 2 4 6 2" xfId="25239" xr:uid="{00000000-0005-0000-0000-000019DE0000}"/>
    <cellStyle name="Note 3 2 2 4 7" xfId="11773" xr:uid="{00000000-0005-0000-0000-00001ADE0000}"/>
    <cellStyle name="Note 3 2 2 4 7 2" xfId="26922" xr:uid="{00000000-0005-0000-0000-00001BDE0000}"/>
    <cellStyle name="Note 3 2 2 4 8" xfId="13457" xr:uid="{00000000-0005-0000-0000-00001CDE0000}"/>
    <cellStyle name="Note 3 2 2 4 8 2" xfId="28606" xr:uid="{00000000-0005-0000-0000-00001DDE0000}"/>
    <cellStyle name="Note 3 2 2 4 9" xfId="15140" xr:uid="{00000000-0005-0000-0000-00001EDE0000}"/>
    <cellStyle name="Note 3 2 2 4 9 2" xfId="30289" xr:uid="{00000000-0005-0000-0000-00001FDE0000}"/>
    <cellStyle name="Note 3 2 2 5" xfId="2095" xr:uid="{00000000-0005-0000-0000-000020DE0000}"/>
    <cellStyle name="Note 3 2 2 5 2" xfId="17244" xr:uid="{00000000-0005-0000-0000-000021DE0000}"/>
    <cellStyle name="Note 3 2 2 6" xfId="3779" xr:uid="{00000000-0005-0000-0000-000022DE0000}"/>
    <cellStyle name="Note 3 2 2 6 2" xfId="18928" xr:uid="{00000000-0005-0000-0000-000023DE0000}"/>
    <cellStyle name="Note 3 2 2 7" xfId="5462" xr:uid="{00000000-0005-0000-0000-000024DE0000}"/>
    <cellStyle name="Note 3 2 2 7 2" xfId="20611" xr:uid="{00000000-0005-0000-0000-000025DE0000}"/>
    <cellStyle name="Note 3 2 2 8" xfId="7145" xr:uid="{00000000-0005-0000-0000-000026DE0000}"/>
    <cellStyle name="Note 3 2 2 8 2" xfId="22294" xr:uid="{00000000-0005-0000-0000-000027DE0000}"/>
    <cellStyle name="Note 3 2 2 9" xfId="8828" xr:uid="{00000000-0005-0000-0000-000028DE0000}"/>
    <cellStyle name="Note 3 2 2 9 2" xfId="23977" xr:uid="{00000000-0005-0000-0000-000029DE0000}"/>
    <cellStyle name="Note 3 2 20" xfId="38915" xr:uid="{00000000-0005-0000-0000-00002ADE0000}"/>
    <cellStyle name="Note 3 2 21" xfId="40598" xr:uid="{00000000-0005-0000-0000-00002BDE0000}"/>
    <cellStyle name="Note 3 2 22" xfId="42281" xr:uid="{00000000-0005-0000-0000-00002CDE0000}"/>
    <cellStyle name="Note 3 2 23" xfId="43964" xr:uid="{00000000-0005-0000-0000-00002DDE0000}"/>
    <cellStyle name="Note 3 2 24" xfId="45647" xr:uid="{00000000-0005-0000-0000-00002EDE0000}"/>
    <cellStyle name="Note 3 2 25" xfId="47330" xr:uid="{00000000-0005-0000-0000-00002FDE0000}"/>
    <cellStyle name="Note 3 2 26" xfId="49013" xr:uid="{00000000-0005-0000-0000-000030DE0000}"/>
    <cellStyle name="Note 3 2 27" xfId="50696" xr:uid="{00000000-0005-0000-0000-000031DE0000}"/>
    <cellStyle name="Note 3 2 28" xfId="52379" xr:uid="{00000000-0005-0000-0000-000032DE0000}"/>
    <cellStyle name="Note 3 2 29" xfId="54062" xr:uid="{00000000-0005-0000-0000-000033DE0000}"/>
    <cellStyle name="Note 3 2 3" xfId="622" xr:uid="{00000000-0005-0000-0000-000034DE0000}"/>
    <cellStyle name="Note 3 2 3 10" xfId="15771" xr:uid="{00000000-0005-0000-0000-000035DE0000}"/>
    <cellStyle name="Note 3 2 3 11" xfId="30920" xr:uid="{00000000-0005-0000-0000-000036DE0000}"/>
    <cellStyle name="Note 3 2 3 12" xfId="32603" xr:uid="{00000000-0005-0000-0000-000037DE0000}"/>
    <cellStyle name="Note 3 2 3 13" xfId="34286" xr:uid="{00000000-0005-0000-0000-000038DE0000}"/>
    <cellStyle name="Note 3 2 3 14" xfId="35969" xr:uid="{00000000-0005-0000-0000-000039DE0000}"/>
    <cellStyle name="Note 3 2 3 15" xfId="37652" xr:uid="{00000000-0005-0000-0000-00003ADE0000}"/>
    <cellStyle name="Note 3 2 3 16" xfId="39335" xr:uid="{00000000-0005-0000-0000-00003BDE0000}"/>
    <cellStyle name="Note 3 2 3 17" xfId="41018" xr:uid="{00000000-0005-0000-0000-00003CDE0000}"/>
    <cellStyle name="Note 3 2 3 18" xfId="42701" xr:uid="{00000000-0005-0000-0000-00003DDE0000}"/>
    <cellStyle name="Note 3 2 3 19" xfId="44384" xr:uid="{00000000-0005-0000-0000-00003EDE0000}"/>
    <cellStyle name="Note 3 2 3 2" xfId="2305" xr:uid="{00000000-0005-0000-0000-00003FDE0000}"/>
    <cellStyle name="Note 3 2 3 2 2" xfId="17454" xr:uid="{00000000-0005-0000-0000-000040DE0000}"/>
    <cellStyle name="Note 3 2 3 20" xfId="46067" xr:uid="{00000000-0005-0000-0000-000041DE0000}"/>
    <cellStyle name="Note 3 2 3 21" xfId="47750" xr:uid="{00000000-0005-0000-0000-000042DE0000}"/>
    <cellStyle name="Note 3 2 3 22" xfId="49433" xr:uid="{00000000-0005-0000-0000-000043DE0000}"/>
    <cellStyle name="Note 3 2 3 23" xfId="51116" xr:uid="{00000000-0005-0000-0000-000044DE0000}"/>
    <cellStyle name="Note 3 2 3 24" xfId="52799" xr:uid="{00000000-0005-0000-0000-000045DE0000}"/>
    <cellStyle name="Note 3 2 3 25" xfId="54482" xr:uid="{00000000-0005-0000-0000-000046DE0000}"/>
    <cellStyle name="Note 3 2 3 26" xfId="56165" xr:uid="{00000000-0005-0000-0000-000047DE0000}"/>
    <cellStyle name="Note 3 2 3 27" xfId="57848" xr:uid="{00000000-0005-0000-0000-000048DE0000}"/>
    <cellStyle name="Note 3 2 3 28" xfId="59531" xr:uid="{00000000-0005-0000-0000-000049DE0000}"/>
    <cellStyle name="Note 3 2 3 29" xfId="61214" xr:uid="{00000000-0005-0000-0000-00004ADE0000}"/>
    <cellStyle name="Note 3 2 3 3" xfId="3989" xr:uid="{00000000-0005-0000-0000-00004BDE0000}"/>
    <cellStyle name="Note 3 2 3 3 2" xfId="19138" xr:uid="{00000000-0005-0000-0000-00004CDE0000}"/>
    <cellStyle name="Note 3 2 3 30" xfId="62897" xr:uid="{00000000-0005-0000-0000-00004DDE0000}"/>
    <cellStyle name="Note 3 2 3 4" xfId="5672" xr:uid="{00000000-0005-0000-0000-00004EDE0000}"/>
    <cellStyle name="Note 3 2 3 4 2" xfId="20821" xr:uid="{00000000-0005-0000-0000-00004FDE0000}"/>
    <cellStyle name="Note 3 2 3 5" xfId="7355" xr:uid="{00000000-0005-0000-0000-000050DE0000}"/>
    <cellStyle name="Note 3 2 3 5 2" xfId="22504" xr:uid="{00000000-0005-0000-0000-000051DE0000}"/>
    <cellStyle name="Note 3 2 3 6" xfId="9038" xr:uid="{00000000-0005-0000-0000-000052DE0000}"/>
    <cellStyle name="Note 3 2 3 6 2" xfId="24187" xr:uid="{00000000-0005-0000-0000-000053DE0000}"/>
    <cellStyle name="Note 3 2 3 7" xfId="10721" xr:uid="{00000000-0005-0000-0000-000054DE0000}"/>
    <cellStyle name="Note 3 2 3 7 2" xfId="25870" xr:uid="{00000000-0005-0000-0000-000055DE0000}"/>
    <cellStyle name="Note 3 2 3 8" xfId="12405" xr:uid="{00000000-0005-0000-0000-000056DE0000}"/>
    <cellStyle name="Note 3 2 3 8 2" xfId="27554" xr:uid="{00000000-0005-0000-0000-000057DE0000}"/>
    <cellStyle name="Note 3 2 3 9" xfId="14088" xr:uid="{00000000-0005-0000-0000-000058DE0000}"/>
    <cellStyle name="Note 3 2 3 9 2" xfId="29237" xr:uid="{00000000-0005-0000-0000-000059DE0000}"/>
    <cellStyle name="Note 3 2 30" xfId="55745" xr:uid="{00000000-0005-0000-0000-00005ADE0000}"/>
    <cellStyle name="Note 3 2 31" xfId="57428" xr:uid="{00000000-0005-0000-0000-00005BDE0000}"/>
    <cellStyle name="Note 3 2 32" xfId="59111" xr:uid="{00000000-0005-0000-0000-00005CDE0000}"/>
    <cellStyle name="Note 3 2 33" xfId="60794" xr:uid="{00000000-0005-0000-0000-00005DDE0000}"/>
    <cellStyle name="Note 3 2 34" xfId="62477" xr:uid="{00000000-0005-0000-0000-00005EDE0000}"/>
    <cellStyle name="Note 3 2 4" xfId="1043" xr:uid="{00000000-0005-0000-0000-00005FDE0000}"/>
    <cellStyle name="Note 3 2 4 10" xfId="16192" xr:uid="{00000000-0005-0000-0000-000060DE0000}"/>
    <cellStyle name="Note 3 2 4 11" xfId="31341" xr:uid="{00000000-0005-0000-0000-000061DE0000}"/>
    <cellStyle name="Note 3 2 4 12" xfId="33024" xr:uid="{00000000-0005-0000-0000-000062DE0000}"/>
    <cellStyle name="Note 3 2 4 13" xfId="34707" xr:uid="{00000000-0005-0000-0000-000063DE0000}"/>
    <cellStyle name="Note 3 2 4 14" xfId="36390" xr:uid="{00000000-0005-0000-0000-000064DE0000}"/>
    <cellStyle name="Note 3 2 4 15" xfId="38073" xr:uid="{00000000-0005-0000-0000-000065DE0000}"/>
    <cellStyle name="Note 3 2 4 16" xfId="39756" xr:uid="{00000000-0005-0000-0000-000066DE0000}"/>
    <cellStyle name="Note 3 2 4 17" xfId="41439" xr:uid="{00000000-0005-0000-0000-000067DE0000}"/>
    <cellStyle name="Note 3 2 4 18" xfId="43122" xr:uid="{00000000-0005-0000-0000-000068DE0000}"/>
    <cellStyle name="Note 3 2 4 19" xfId="44805" xr:uid="{00000000-0005-0000-0000-000069DE0000}"/>
    <cellStyle name="Note 3 2 4 2" xfId="2726" xr:uid="{00000000-0005-0000-0000-00006ADE0000}"/>
    <cellStyle name="Note 3 2 4 2 2" xfId="17875" xr:uid="{00000000-0005-0000-0000-00006BDE0000}"/>
    <cellStyle name="Note 3 2 4 20" xfId="46488" xr:uid="{00000000-0005-0000-0000-00006CDE0000}"/>
    <cellStyle name="Note 3 2 4 21" xfId="48171" xr:uid="{00000000-0005-0000-0000-00006DDE0000}"/>
    <cellStyle name="Note 3 2 4 22" xfId="49854" xr:uid="{00000000-0005-0000-0000-00006EDE0000}"/>
    <cellStyle name="Note 3 2 4 23" xfId="51537" xr:uid="{00000000-0005-0000-0000-00006FDE0000}"/>
    <cellStyle name="Note 3 2 4 24" xfId="53220" xr:uid="{00000000-0005-0000-0000-000070DE0000}"/>
    <cellStyle name="Note 3 2 4 25" xfId="54903" xr:uid="{00000000-0005-0000-0000-000071DE0000}"/>
    <cellStyle name="Note 3 2 4 26" xfId="56586" xr:uid="{00000000-0005-0000-0000-000072DE0000}"/>
    <cellStyle name="Note 3 2 4 27" xfId="58269" xr:uid="{00000000-0005-0000-0000-000073DE0000}"/>
    <cellStyle name="Note 3 2 4 28" xfId="59952" xr:uid="{00000000-0005-0000-0000-000074DE0000}"/>
    <cellStyle name="Note 3 2 4 29" xfId="61635" xr:uid="{00000000-0005-0000-0000-000075DE0000}"/>
    <cellStyle name="Note 3 2 4 3" xfId="4410" xr:uid="{00000000-0005-0000-0000-000076DE0000}"/>
    <cellStyle name="Note 3 2 4 3 2" xfId="19559" xr:uid="{00000000-0005-0000-0000-000077DE0000}"/>
    <cellStyle name="Note 3 2 4 30" xfId="63318" xr:uid="{00000000-0005-0000-0000-000078DE0000}"/>
    <cellStyle name="Note 3 2 4 4" xfId="6093" xr:uid="{00000000-0005-0000-0000-000079DE0000}"/>
    <cellStyle name="Note 3 2 4 4 2" xfId="21242" xr:uid="{00000000-0005-0000-0000-00007ADE0000}"/>
    <cellStyle name="Note 3 2 4 5" xfId="7776" xr:uid="{00000000-0005-0000-0000-00007BDE0000}"/>
    <cellStyle name="Note 3 2 4 5 2" xfId="22925" xr:uid="{00000000-0005-0000-0000-00007CDE0000}"/>
    <cellStyle name="Note 3 2 4 6" xfId="9459" xr:uid="{00000000-0005-0000-0000-00007DDE0000}"/>
    <cellStyle name="Note 3 2 4 6 2" xfId="24608" xr:uid="{00000000-0005-0000-0000-00007EDE0000}"/>
    <cellStyle name="Note 3 2 4 7" xfId="11142" xr:uid="{00000000-0005-0000-0000-00007FDE0000}"/>
    <cellStyle name="Note 3 2 4 7 2" xfId="26291" xr:uid="{00000000-0005-0000-0000-000080DE0000}"/>
    <cellStyle name="Note 3 2 4 8" xfId="12826" xr:uid="{00000000-0005-0000-0000-000081DE0000}"/>
    <cellStyle name="Note 3 2 4 8 2" xfId="27975" xr:uid="{00000000-0005-0000-0000-000082DE0000}"/>
    <cellStyle name="Note 3 2 4 9" xfId="14509" xr:uid="{00000000-0005-0000-0000-000083DE0000}"/>
    <cellStyle name="Note 3 2 4 9 2" xfId="29658" xr:uid="{00000000-0005-0000-0000-000084DE0000}"/>
    <cellStyle name="Note 3 2 5" xfId="1464" xr:uid="{00000000-0005-0000-0000-000085DE0000}"/>
    <cellStyle name="Note 3 2 5 10" xfId="16613" xr:uid="{00000000-0005-0000-0000-000086DE0000}"/>
    <cellStyle name="Note 3 2 5 11" xfId="31762" xr:uid="{00000000-0005-0000-0000-000087DE0000}"/>
    <cellStyle name="Note 3 2 5 12" xfId="33445" xr:uid="{00000000-0005-0000-0000-000088DE0000}"/>
    <cellStyle name="Note 3 2 5 13" xfId="35128" xr:uid="{00000000-0005-0000-0000-000089DE0000}"/>
    <cellStyle name="Note 3 2 5 14" xfId="36811" xr:uid="{00000000-0005-0000-0000-00008ADE0000}"/>
    <cellStyle name="Note 3 2 5 15" xfId="38494" xr:uid="{00000000-0005-0000-0000-00008BDE0000}"/>
    <cellStyle name="Note 3 2 5 16" xfId="40177" xr:uid="{00000000-0005-0000-0000-00008CDE0000}"/>
    <cellStyle name="Note 3 2 5 17" xfId="41860" xr:uid="{00000000-0005-0000-0000-00008DDE0000}"/>
    <cellStyle name="Note 3 2 5 18" xfId="43543" xr:uid="{00000000-0005-0000-0000-00008EDE0000}"/>
    <cellStyle name="Note 3 2 5 19" xfId="45226" xr:uid="{00000000-0005-0000-0000-00008FDE0000}"/>
    <cellStyle name="Note 3 2 5 2" xfId="3147" xr:uid="{00000000-0005-0000-0000-000090DE0000}"/>
    <cellStyle name="Note 3 2 5 2 2" xfId="18296" xr:uid="{00000000-0005-0000-0000-000091DE0000}"/>
    <cellStyle name="Note 3 2 5 20" xfId="46909" xr:uid="{00000000-0005-0000-0000-000092DE0000}"/>
    <cellStyle name="Note 3 2 5 21" xfId="48592" xr:uid="{00000000-0005-0000-0000-000093DE0000}"/>
    <cellStyle name="Note 3 2 5 22" xfId="50275" xr:uid="{00000000-0005-0000-0000-000094DE0000}"/>
    <cellStyle name="Note 3 2 5 23" xfId="51958" xr:uid="{00000000-0005-0000-0000-000095DE0000}"/>
    <cellStyle name="Note 3 2 5 24" xfId="53641" xr:uid="{00000000-0005-0000-0000-000096DE0000}"/>
    <cellStyle name="Note 3 2 5 25" xfId="55324" xr:uid="{00000000-0005-0000-0000-000097DE0000}"/>
    <cellStyle name="Note 3 2 5 26" xfId="57007" xr:uid="{00000000-0005-0000-0000-000098DE0000}"/>
    <cellStyle name="Note 3 2 5 27" xfId="58690" xr:uid="{00000000-0005-0000-0000-000099DE0000}"/>
    <cellStyle name="Note 3 2 5 28" xfId="60373" xr:uid="{00000000-0005-0000-0000-00009ADE0000}"/>
    <cellStyle name="Note 3 2 5 29" xfId="62056" xr:uid="{00000000-0005-0000-0000-00009BDE0000}"/>
    <cellStyle name="Note 3 2 5 3" xfId="4831" xr:uid="{00000000-0005-0000-0000-00009CDE0000}"/>
    <cellStyle name="Note 3 2 5 3 2" xfId="19980" xr:uid="{00000000-0005-0000-0000-00009DDE0000}"/>
    <cellStyle name="Note 3 2 5 30" xfId="63739" xr:uid="{00000000-0005-0000-0000-00009EDE0000}"/>
    <cellStyle name="Note 3 2 5 4" xfId="6514" xr:uid="{00000000-0005-0000-0000-00009FDE0000}"/>
    <cellStyle name="Note 3 2 5 4 2" xfId="21663" xr:uid="{00000000-0005-0000-0000-0000A0DE0000}"/>
    <cellStyle name="Note 3 2 5 5" xfId="8197" xr:uid="{00000000-0005-0000-0000-0000A1DE0000}"/>
    <cellStyle name="Note 3 2 5 5 2" xfId="23346" xr:uid="{00000000-0005-0000-0000-0000A2DE0000}"/>
    <cellStyle name="Note 3 2 5 6" xfId="9880" xr:uid="{00000000-0005-0000-0000-0000A3DE0000}"/>
    <cellStyle name="Note 3 2 5 6 2" xfId="25029" xr:uid="{00000000-0005-0000-0000-0000A4DE0000}"/>
    <cellStyle name="Note 3 2 5 7" xfId="11563" xr:uid="{00000000-0005-0000-0000-0000A5DE0000}"/>
    <cellStyle name="Note 3 2 5 7 2" xfId="26712" xr:uid="{00000000-0005-0000-0000-0000A6DE0000}"/>
    <cellStyle name="Note 3 2 5 8" xfId="13247" xr:uid="{00000000-0005-0000-0000-0000A7DE0000}"/>
    <cellStyle name="Note 3 2 5 8 2" xfId="28396" xr:uid="{00000000-0005-0000-0000-0000A8DE0000}"/>
    <cellStyle name="Note 3 2 5 9" xfId="14930" xr:uid="{00000000-0005-0000-0000-0000A9DE0000}"/>
    <cellStyle name="Note 3 2 5 9 2" xfId="30079" xr:uid="{00000000-0005-0000-0000-0000AADE0000}"/>
    <cellStyle name="Note 3 2 6" xfId="1885" xr:uid="{00000000-0005-0000-0000-0000ABDE0000}"/>
    <cellStyle name="Note 3 2 6 2" xfId="17034" xr:uid="{00000000-0005-0000-0000-0000ACDE0000}"/>
    <cellStyle name="Note 3 2 7" xfId="3569" xr:uid="{00000000-0005-0000-0000-0000ADDE0000}"/>
    <cellStyle name="Note 3 2 7 2" xfId="18718" xr:uid="{00000000-0005-0000-0000-0000AEDE0000}"/>
    <cellStyle name="Note 3 2 8" xfId="5252" xr:uid="{00000000-0005-0000-0000-0000AFDE0000}"/>
    <cellStyle name="Note 3 2 8 2" xfId="20401" xr:uid="{00000000-0005-0000-0000-0000B0DE0000}"/>
    <cellStyle name="Note 3 2 9" xfId="6935" xr:uid="{00000000-0005-0000-0000-0000B1DE0000}"/>
    <cellStyle name="Note 3 2 9 2" xfId="22084" xr:uid="{00000000-0005-0000-0000-0000B2DE0000}"/>
    <cellStyle name="Note 3 20" xfId="37127" xr:uid="{00000000-0005-0000-0000-0000B3DE0000}"/>
    <cellStyle name="Note 3 21" xfId="38810" xr:uid="{00000000-0005-0000-0000-0000B4DE0000}"/>
    <cellStyle name="Note 3 22" xfId="40493" xr:uid="{00000000-0005-0000-0000-0000B5DE0000}"/>
    <cellStyle name="Note 3 23" xfId="42176" xr:uid="{00000000-0005-0000-0000-0000B6DE0000}"/>
    <cellStyle name="Note 3 24" xfId="43859" xr:uid="{00000000-0005-0000-0000-0000B7DE0000}"/>
    <cellStyle name="Note 3 25" xfId="45542" xr:uid="{00000000-0005-0000-0000-0000B8DE0000}"/>
    <cellStyle name="Note 3 26" xfId="47225" xr:uid="{00000000-0005-0000-0000-0000B9DE0000}"/>
    <cellStyle name="Note 3 27" xfId="48908" xr:uid="{00000000-0005-0000-0000-0000BADE0000}"/>
    <cellStyle name="Note 3 28" xfId="50591" xr:uid="{00000000-0005-0000-0000-0000BBDE0000}"/>
    <cellStyle name="Note 3 29" xfId="52274" xr:uid="{00000000-0005-0000-0000-0000BCDE0000}"/>
    <cellStyle name="Note 3 3" xfId="307" xr:uid="{00000000-0005-0000-0000-0000BDDE0000}"/>
    <cellStyle name="Note 3 3 10" xfId="10406" xr:uid="{00000000-0005-0000-0000-0000BEDE0000}"/>
    <cellStyle name="Note 3 3 10 2" xfId="25555" xr:uid="{00000000-0005-0000-0000-0000BFDE0000}"/>
    <cellStyle name="Note 3 3 11" xfId="12090" xr:uid="{00000000-0005-0000-0000-0000C0DE0000}"/>
    <cellStyle name="Note 3 3 11 2" xfId="27239" xr:uid="{00000000-0005-0000-0000-0000C1DE0000}"/>
    <cellStyle name="Note 3 3 12" xfId="13773" xr:uid="{00000000-0005-0000-0000-0000C2DE0000}"/>
    <cellStyle name="Note 3 3 12 2" xfId="28922" xr:uid="{00000000-0005-0000-0000-0000C3DE0000}"/>
    <cellStyle name="Note 3 3 13" xfId="15456" xr:uid="{00000000-0005-0000-0000-0000C4DE0000}"/>
    <cellStyle name="Note 3 3 14" xfId="30605" xr:uid="{00000000-0005-0000-0000-0000C5DE0000}"/>
    <cellStyle name="Note 3 3 15" xfId="32288" xr:uid="{00000000-0005-0000-0000-0000C6DE0000}"/>
    <cellStyle name="Note 3 3 16" xfId="33971" xr:uid="{00000000-0005-0000-0000-0000C7DE0000}"/>
    <cellStyle name="Note 3 3 17" xfId="35654" xr:uid="{00000000-0005-0000-0000-0000C8DE0000}"/>
    <cellStyle name="Note 3 3 18" xfId="37337" xr:uid="{00000000-0005-0000-0000-0000C9DE0000}"/>
    <cellStyle name="Note 3 3 19" xfId="39020" xr:uid="{00000000-0005-0000-0000-0000CADE0000}"/>
    <cellStyle name="Note 3 3 2" xfId="727" xr:uid="{00000000-0005-0000-0000-0000CBDE0000}"/>
    <cellStyle name="Note 3 3 2 10" xfId="15876" xr:uid="{00000000-0005-0000-0000-0000CCDE0000}"/>
    <cellStyle name="Note 3 3 2 11" xfId="31025" xr:uid="{00000000-0005-0000-0000-0000CDDE0000}"/>
    <cellStyle name="Note 3 3 2 12" xfId="32708" xr:uid="{00000000-0005-0000-0000-0000CEDE0000}"/>
    <cellStyle name="Note 3 3 2 13" xfId="34391" xr:uid="{00000000-0005-0000-0000-0000CFDE0000}"/>
    <cellStyle name="Note 3 3 2 14" xfId="36074" xr:uid="{00000000-0005-0000-0000-0000D0DE0000}"/>
    <cellStyle name="Note 3 3 2 15" xfId="37757" xr:uid="{00000000-0005-0000-0000-0000D1DE0000}"/>
    <cellStyle name="Note 3 3 2 16" xfId="39440" xr:uid="{00000000-0005-0000-0000-0000D2DE0000}"/>
    <cellStyle name="Note 3 3 2 17" xfId="41123" xr:uid="{00000000-0005-0000-0000-0000D3DE0000}"/>
    <cellStyle name="Note 3 3 2 18" xfId="42806" xr:uid="{00000000-0005-0000-0000-0000D4DE0000}"/>
    <cellStyle name="Note 3 3 2 19" xfId="44489" xr:uid="{00000000-0005-0000-0000-0000D5DE0000}"/>
    <cellStyle name="Note 3 3 2 2" xfId="2410" xr:uid="{00000000-0005-0000-0000-0000D6DE0000}"/>
    <cellStyle name="Note 3 3 2 2 2" xfId="17559" xr:uid="{00000000-0005-0000-0000-0000D7DE0000}"/>
    <cellStyle name="Note 3 3 2 20" xfId="46172" xr:uid="{00000000-0005-0000-0000-0000D8DE0000}"/>
    <cellStyle name="Note 3 3 2 21" xfId="47855" xr:uid="{00000000-0005-0000-0000-0000D9DE0000}"/>
    <cellStyle name="Note 3 3 2 22" xfId="49538" xr:uid="{00000000-0005-0000-0000-0000DADE0000}"/>
    <cellStyle name="Note 3 3 2 23" xfId="51221" xr:uid="{00000000-0005-0000-0000-0000DBDE0000}"/>
    <cellStyle name="Note 3 3 2 24" xfId="52904" xr:uid="{00000000-0005-0000-0000-0000DCDE0000}"/>
    <cellStyle name="Note 3 3 2 25" xfId="54587" xr:uid="{00000000-0005-0000-0000-0000DDDE0000}"/>
    <cellStyle name="Note 3 3 2 26" xfId="56270" xr:uid="{00000000-0005-0000-0000-0000DEDE0000}"/>
    <cellStyle name="Note 3 3 2 27" xfId="57953" xr:uid="{00000000-0005-0000-0000-0000DFDE0000}"/>
    <cellStyle name="Note 3 3 2 28" xfId="59636" xr:uid="{00000000-0005-0000-0000-0000E0DE0000}"/>
    <cellStyle name="Note 3 3 2 29" xfId="61319" xr:uid="{00000000-0005-0000-0000-0000E1DE0000}"/>
    <cellStyle name="Note 3 3 2 3" xfId="4094" xr:uid="{00000000-0005-0000-0000-0000E2DE0000}"/>
    <cellStyle name="Note 3 3 2 3 2" xfId="19243" xr:uid="{00000000-0005-0000-0000-0000E3DE0000}"/>
    <cellStyle name="Note 3 3 2 30" xfId="63002" xr:uid="{00000000-0005-0000-0000-0000E4DE0000}"/>
    <cellStyle name="Note 3 3 2 4" xfId="5777" xr:uid="{00000000-0005-0000-0000-0000E5DE0000}"/>
    <cellStyle name="Note 3 3 2 4 2" xfId="20926" xr:uid="{00000000-0005-0000-0000-0000E6DE0000}"/>
    <cellStyle name="Note 3 3 2 5" xfId="7460" xr:uid="{00000000-0005-0000-0000-0000E7DE0000}"/>
    <cellStyle name="Note 3 3 2 5 2" xfId="22609" xr:uid="{00000000-0005-0000-0000-0000E8DE0000}"/>
    <cellStyle name="Note 3 3 2 6" xfId="9143" xr:uid="{00000000-0005-0000-0000-0000E9DE0000}"/>
    <cellStyle name="Note 3 3 2 6 2" xfId="24292" xr:uid="{00000000-0005-0000-0000-0000EADE0000}"/>
    <cellStyle name="Note 3 3 2 7" xfId="10826" xr:uid="{00000000-0005-0000-0000-0000EBDE0000}"/>
    <cellStyle name="Note 3 3 2 7 2" xfId="25975" xr:uid="{00000000-0005-0000-0000-0000ECDE0000}"/>
    <cellStyle name="Note 3 3 2 8" xfId="12510" xr:uid="{00000000-0005-0000-0000-0000EDDE0000}"/>
    <cellStyle name="Note 3 3 2 8 2" xfId="27659" xr:uid="{00000000-0005-0000-0000-0000EEDE0000}"/>
    <cellStyle name="Note 3 3 2 9" xfId="14193" xr:uid="{00000000-0005-0000-0000-0000EFDE0000}"/>
    <cellStyle name="Note 3 3 2 9 2" xfId="29342" xr:uid="{00000000-0005-0000-0000-0000F0DE0000}"/>
    <cellStyle name="Note 3 3 20" xfId="40703" xr:uid="{00000000-0005-0000-0000-0000F1DE0000}"/>
    <cellStyle name="Note 3 3 21" xfId="42386" xr:uid="{00000000-0005-0000-0000-0000F2DE0000}"/>
    <cellStyle name="Note 3 3 22" xfId="44069" xr:uid="{00000000-0005-0000-0000-0000F3DE0000}"/>
    <cellStyle name="Note 3 3 23" xfId="45752" xr:uid="{00000000-0005-0000-0000-0000F4DE0000}"/>
    <cellStyle name="Note 3 3 24" xfId="47435" xr:uid="{00000000-0005-0000-0000-0000F5DE0000}"/>
    <cellStyle name="Note 3 3 25" xfId="49118" xr:uid="{00000000-0005-0000-0000-0000F6DE0000}"/>
    <cellStyle name="Note 3 3 26" xfId="50801" xr:uid="{00000000-0005-0000-0000-0000F7DE0000}"/>
    <cellStyle name="Note 3 3 27" xfId="52484" xr:uid="{00000000-0005-0000-0000-0000F8DE0000}"/>
    <cellStyle name="Note 3 3 28" xfId="54167" xr:uid="{00000000-0005-0000-0000-0000F9DE0000}"/>
    <cellStyle name="Note 3 3 29" xfId="55850" xr:uid="{00000000-0005-0000-0000-0000FADE0000}"/>
    <cellStyle name="Note 3 3 3" xfId="1148" xr:uid="{00000000-0005-0000-0000-0000FBDE0000}"/>
    <cellStyle name="Note 3 3 3 10" xfId="16297" xr:uid="{00000000-0005-0000-0000-0000FCDE0000}"/>
    <cellStyle name="Note 3 3 3 11" xfId="31446" xr:uid="{00000000-0005-0000-0000-0000FDDE0000}"/>
    <cellStyle name="Note 3 3 3 12" xfId="33129" xr:uid="{00000000-0005-0000-0000-0000FEDE0000}"/>
    <cellStyle name="Note 3 3 3 13" xfId="34812" xr:uid="{00000000-0005-0000-0000-0000FFDE0000}"/>
    <cellStyle name="Note 3 3 3 14" xfId="36495" xr:uid="{00000000-0005-0000-0000-000000DF0000}"/>
    <cellStyle name="Note 3 3 3 15" xfId="38178" xr:uid="{00000000-0005-0000-0000-000001DF0000}"/>
    <cellStyle name="Note 3 3 3 16" xfId="39861" xr:uid="{00000000-0005-0000-0000-000002DF0000}"/>
    <cellStyle name="Note 3 3 3 17" xfId="41544" xr:uid="{00000000-0005-0000-0000-000003DF0000}"/>
    <cellStyle name="Note 3 3 3 18" xfId="43227" xr:uid="{00000000-0005-0000-0000-000004DF0000}"/>
    <cellStyle name="Note 3 3 3 19" xfId="44910" xr:uid="{00000000-0005-0000-0000-000005DF0000}"/>
    <cellStyle name="Note 3 3 3 2" xfId="2831" xr:uid="{00000000-0005-0000-0000-000006DF0000}"/>
    <cellStyle name="Note 3 3 3 2 2" xfId="17980" xr:uid="{00000000-0005-0000-0000-000007DF0000}"/>
    <cellStyle name="Note 3 3 3 20" xfId="46593" xr:uid="{00000000-0005-0000-0000-000008DF0000}"/>
    <cellStyle name="Note 3 3 3 21" xfId="48276" xr:uid="{00000000-0005-0000-0000-000009DF0000}"/>
    <cellStyle name="Note 3 3 3 22" xfId="49959" xr:uid="{00000000-0005-0000-0000-00000ADF0000}"/>
    <cellStyle name="Note 3 3 3 23" xfId="51642" xr:uid="{00000000-0005-0000-0000-00000BDF0000}"/>
    <cellStyle name="Note 3 3 3 24" xfId="53325" xr:uid="{00000000-0005-0000-0000-00000CDF0000}"/>
    <cellStyle name="Note 3 3 3 25" xfId="55008" xr:uid="{00000000-0005-0000-0000-00000DDF0000}"/>
    <cellStyle name="Note 3 3 3 26" xfId="56691" xr:uid="{00000000-0005-0000-0000-00000EDF0000}"/>
    <cellStyle name="Note 3 3 3 27" xfId="58374" xr:uid="{00000000-0005-0000-0000-00000FDF0000}"/>
    <cellStyle name="Note 3 3 3 28" xfId="60057" xr:uid="{00000000-0005-0000-0000-000010DF0000}"/>
    <cellStyle name="Note 3 3 3 29" xfId="61740" xr:uid="{00000000-0005-0000-0000-000011DF0000}"/>
    <cellStyle name="Note 3 3 3 3" xfId="4515" xr:uid="{00000000-0005-0000-0000-000012DF0000}"/>
    <cellStyle name="Note 3 3 3 3 2" xfId="19664" xr:uid="{00000000-0005-0000-0000-000013DF0000}"/>
    <cellStyle name="Note 3 3 3 30" xfId="63423" xr:uid="{00000000-0005-0000-0000-000014DF0000}"/>
    <cellStyle name="Note 3 3 3 4" xfId="6198" xr:uid="{00000000-0005-0000-0000-000015DF0000}"/>
    <cellStyle name="Note 3 3 3 4 2" xfId="21347" xr:uid="{00000000-0005-0000-0000-000016DF0000}"/>
    <cellStyle name="Note 3 3 3 5" xfId="7881" xr:uid="{00000000-0005-0000-0000-000017DF0000}"/>
    <cellStyle name="Note 3 3 3 5 2" xfId="23030" xr:uid="{00000000-0005-0000-0000-000018DF0000}"/>
    <cellStyle name="Note 3 3 3 6" xfId="9564" xr:uid="{00000000-0005-0000-0000-000019DF0000}"/>
    <cellStyle name="Note 3 3 3 6 2" xfId="24713" xr:uid="{00000000-0005-0000-0000-00001ADF0000}"/>
    <cellStyle name="Note 3 3 3 7" xfId="11247" xr:uid="{00000000-0005-0000-0000-00001BDF0000}"/>
    <cellStyle name="Note 3 3 3 7 2" xfId="26396" xr:uid="{00000000-0005-0000-0000-00001CDF0000}"/>
    <cellStyle name="Note 3 3 3 8" xfId="12931" xr:uid="{00000000-0005-0000-0000-00001DDF0000}"/>
    <cellStyle name="Note 3 3 3 8 2" xfId="28080" xr:uid="{00000000-0005-0000-0000-00001EDF0000}"/>
    <cellStyle name="Note 3 3 3 9" xfId="14614" xr:uid="{00000000-0005-0000-0000-00001FDF0000}"/>
    <cellStyle name="Note 3 3 3 9 2" xfId="29763" xr:uid="{00000000-0005-0000-0000-000020DF0000}"/>
    <cellStyle name="Note 3 3 30" xfId="57533" xr:uid="{00000000-0005-0000-0000-000021DF0000}"/>
    <cellStyle name="Note 3 3 31" xfId="59216" xr:uid="{00000000-0005-0000-0000-000022DF0000}"/>
    <cellStyle name="Note 3 3 32" xfId="60899" xr:uid="{00000000-0005-0000-0000-000023DF0000}"/>
    <cellStyle name="Note 3 3 33" xfId="62582" xr:uid="{00000000-0005-0000-0000-000024DF0000}"/>
    <cellStyle name="Note 3 3 4" xfId="1569" xr:uid="{00000000-0005-0000-0000-000025DF0000}"/>
    <cellStyle name="Note 3 3 4 10" xfId="16718" xr:uid="{00000000-0005-0000-0000-000026DF0000}"/>
    <cellStyle name="Note 3 3 4 11" xfId="31867" xr:uid="{00000000-0005-0000-0000-000027DF0000}"/>
    <cellStyle name="Note 3 3 4 12" xfId="33550" xr:uid="{00000000-0005-0000-0000-000028DF0000}"/>
    <cellStyle name="Note 3 3 4 13" xfId="35233" xr:uid="{00000000-0005-0000-0000-000029DF0000}"/>
    <cellStyle name="Note 3 3 4 14" xfId="36916" xr:uid="{00000000-0005-0000-0000-00002ADF0000}"/>
    <cellStyle name="Note 3 3 4 15" xfId="38599" xr:uid="{00000000-0005-0000-0000-00002BDF0000}"/>
    <cellStyle name="Note 3 3 4 16" xfId="40282" xr:uid="{00000000-0005-0000-0000-00002CDF0000}"/>
    <cellStyle name="Note 3 3 4 17" xfId="41965" xr:uid="{00000000-0005-0000-0000-00002DDF0000}"/>
    <cellStyle name="Note 3 3 4 18" xfId="43648" xr:uid="{00000000-0005-0000-0000-00002EDF0000}"/>
    <cellStyle name="Note 3 3 4 19" xfId="45331" xr:uid="{00000000-0005-0000-0000-00002FDF0000}"/>
    <cellStyle name="Note 3 3 4 2" xfId="3252" xr:uid="{00000000-0005-0000-0000-000030DF0000}"/>
    <cellStyle name="Note 3 3 4 2 2" xfId="18401" xr:uid="{00000000-0005-0000-0000-000031DF0000}"/>
    <cellStyle name="Note 3 3 4 20" xfId="47014" xr:uid="{00000000-0005-0000-0000-000032DF0000}"/>
    <cellStyle name="Note 3 3 4 21" xfId="48697" xr:uid="{00000000-0005-0000-0000-000033DF0000}"/>
    <cellStyle name="Note 3 3 4 22" xfId="50380" xr:uid="{00000000-0005-0000-0000-000034DF0000}"/>
    <cellStyle name="Note 3 3 4 23" xfId="52063" xr:uid="{00000000-0005-0000-0000-000035DF0000}"/>
    <cellStyle name="Note 3 3 4 24" xfId="53746" xr:uid="{00000000-0005-0000-0000-000036DF0000}"/>
    <cellStyle name="Note 3 3 4 25" xfId="55429" xr:uid="{00000000-0005-0000-0000-000037DF0000}"/>
    <cellStyle name="Note 3 3 4 26" xfId="57112" xr:uid="{00000000-0005-0000-0000-000038DF0000}"/>
    <cellStyle name="Note 3 3 4 27" xfId="58795" xr:uid="{00000000-0005-0000-0000-000039DF0000}"/>
    <cellStyle name="Note 3 3 4 28" xfId="60478" xr:uid="{00000000-0005-0000-0000-00003ADF0000}"/>
    <cellStyle name="Note 3 3 4 29" xfId="62161" xr:uid="{00000000-0005-0000-0000-00003BDF0000}"/>
    <cellStyle name="Note 3 3 4 3" xfId="4936" xr:uid="{00000000-0005-0000-0000-00003CDF0000}"/>
    <cellStyle name="Note 3 3 4 3 2" xfId="20085" xr:uid="{00000000-0005-0000-0000-00003DDF0000}"/>
    <cellStyle name="Note 3 3 4 30" xfId="63844" xr:uid="{00000000-0005-0000-0000-00003EDF0000}"/>
    <cellStyle name="Note 3 3 4 4" xfId="6619" xr:uid="{00000000-0005-0000-0000-00003FDF0000}"/>
    <cellStyle name="Note 3 3 4 4 2" xfId="21768" xr:uid="{00000000-0005-0000-0000-000040DF0000}"/>
    <cellStyle name="Note 3 3 4 5" xfId="8302" xr:uid="{00000000-0005-0000-0000-000041DF0000}"/>
    <cellStyle name="Note 3 3 4 5 2" xfId="23451" xr:uid="{00000000-0005-0000-0000-000042DF0000}"/>
    <cellStyle name="Note 3 3 4 6" xfId="9985" xr:uid="{00000000-0005-0000-0000-000043DF0000}"/>
    <cellStyle name="Note 3 3 4 6 2" xfId="25134" xr:uid="{00000000-0005-0000-0000-000044DF0000}"/>
    <cellStyle name="Note 3 3 4 7" xfId="11668" xr:uid="{00000000-0005-0000-0000-000045DF0000}"/>
    <cellStyle name="Note 3 3 4 7 2" xfId="26817" xr:uid="{00000000-0005-0000-0000-000046DF0000}"/>
    <cellStyle name="Note 3 3 4 8" xfId="13352" xr:uid="{00000000-0005-0000-0000-000047DF0000}"/>
    <cellStyle name="Note 3 3 4 8 2" xfId="28501" xr:uid="{00000000-0005-0000-0000-000048DF0000}"/>
    <cellStyle name="Note 3 3 4 9" xfId="15035" xr:uid="{00000000-0005-0000-0000-000049DF0000}"/>
    <cellStyle name="Note 3 3 4 9 2" xfId="30184" xr:uid="{00000000-0005-0000-0000-00004ADF0000}"/>
    <cellStyle name="Note 3 3 5" xfId="1990" xr:uid="{00000000-0005-0000-0000-00004BDF0000}"/>
    <cellStyle name="Note 3 3 5 2" xfId="17139" xr:uid="{00000000-0005-0000-0000-00004CDF0000}"/>
    <cellStyle name="Note 3 3 6" xfId="3674" xr:uid="{00000000-0005-0000-0000-00004DDF0000}"/>
    <cellStyle name="Note 3 3 6 2" xfId="18823" xr:uid="{00000000-0005-0000-0000-00004EDF0000}"/>
    <cellStyle name="Note 3 3 7" xfId="5357" xr:uid="{00000000-0005-0000-0000-00004FDF0000}"/>
    <cellStyle name="Note 3 3 7 2" xfId="20506" xr:uid="{00000000-0005-0000-0000-000050DF0000}"/>
    <cellStyle name="Note 3 3 8" xfId="7040" xr:uid="{00000000-0005-0000-0000-000051DF0000}"/>
    <cellStyle name="Note 3 3 8 2" xfId="22189" xr:uid="{00000000-0005-0000-0000-000052DF0000}"/>
    <cellStyle name="Note 3 3 9" xfId="8723" xr:uid="{00000000-0005-0000-0000-000053DF0000}"/>
    <cellStyle name="Note 3 3 9 2" xfId="23872" xr:uid="{00000000-0005-0000-0000-000054DF0000}"/>
    <cellStyle name="Note 3 30" xfId="53957" xr:uid="{00000000-0005-0000-0000-000055DF0000}"/>
    <cellStyle name="Note 3 31" xfId="55640" xr:uid="{00000000-0005-0000-0000-000056DF0000}"/>
    <cellStyle name="Note 3 32" xfId="57323" xr:uid="{00000000-0005-0000-0000-000057DF0000}"/>
    <cellStyle name="Note 3 33" xfId="59006" xr:uid="{00000000-0005-0000-0000-000058DF0000}"/>
    <cellStyle name="Note 3 34" xfId="60689" xr:uid="{00000000-0005-0000-0000-000059DF0000}"/>
    <cellStyle name="Note 3 35" xfId="62372" xr:uid="{00000000-0005-0000-0000-00005ADF0000}"/>
    <cellStyle name="Note 3 4" xfId="517" xr:uid="{00000000-0005-0000-0000-00005BDF0000}"/>
    <cellStyle name="Note 3 4 10" xfId="15666" xr:uid="{00000000-0005-0000-0000-00005CDF0000}"/>
    <cellStyle name="Note 3 4 11" xfId="30815" xr:uid="{00000000-0005-0000-0000-00005DDF0000}"/>
    <cellStyle name="Note 3 4 12" xfId="32498" xr:uid="{00000000-0005-0000-0000-00005EDF0000}"/>
    <cellStyle name="Note 3 4 13" xfId="34181" xr:uid="{00000000-0005-0000-0000-00005FDF0000}"/>
    <cellStyle name="Note 3 4 14" xfId="35864" xr:uid="{00000000-0005-0000-0000-000060DF0000}"/>
    <cellStyle name="Note 3 4 15" xfId="37547" xr:uid="{00000000-0005-0000-0000-000061DF0000}"/>
    <cellStyle name="Note 3 4 16" xfId="39230" xr:uid="{00000000-0005-0000-0000-000062DF0000}"/>
    <cellStyle name="Note 3 4 17" xfId="40913" xr:uid="{00000000-0005-0000-0000-000063DF0000}"/>
    <cellStyle name="Note 3 4 18" xfId="42596" xr:uid="{00000000-0005-0000-0000-000064DF0000}"/>
    <cellStyle name="Note 3 4 19" xfId="44279" xr:uid="{00000000-0005-0000-0000-000065DF0000}"/>
    <cellStyle name="Note 3 4 2" xfId="2200" xr:uid="{00000000-0005-0000-0000-000066DF0000}"/>
    <cellStyle name="Note 3 4 2 2" xfId="17349" xr:uid="{00000000-0005-0000-0000-000067DF0000}"/>
    <cellStyle name="Note 3 4 20" xfId="45962" xr:uid="{00000000-0005-0000-0000-000068DF0000}"/>
    <cellStyle name="Note 3 4 21" xfId="47645" xr:uid="{00000000-0005-0000-0000-000069DF0000}"/>
    <cellStyle name="Note 3 4 22" xfId="49328" xr:uid="{00000000-0005-0000-0000-00006ADF0000}"/>
    <cellStyle name="Note 3 4 23" xfId="51011" xr:uid="{00000000-0005-0000-0000-00006BDF0000}"/>
    <cellStyle name="Note 3 4 24" xfId="52694" xr:uid="{00000000-0005-0000-0000-00006CDF0000}"/>
    <cellStyle name="Note 3 4 25" xfId="54377" xr:uid="{00000000-0005-0000-0000-00006DDF0000}"/>
    <cellStyle name="Note 3 4 26" xfId="56060" xr:uid="{00000000-0005-0000-0000-00006EDF0000}"/>
    <cellStyle name="Note 3 4 27" xfId="57743" xr:uid="{00000000-0005-0000-0000-00006FDF0000}"/>
    <cellStyle name="Note 3 4 28" xfId="59426" xr:uid="{00000000-0005-0000-0000-000070DF0000}"/>
    <cellStyle name="Note 3 4 29" xfId="61109" xr:uid="{00000000-0005-0000-0000-000071DF0000}"/>
    <cellStyle name="Note 3 4 3" xfId="3884" xr:uid="{00000000-0005-0000-0000-000072DF0000}"/>
    <cellStyle name="Note 3 4 3 2" xfId="19033" xr:uid="{00000000-0005-0000-0000-000073DF0000}"/>
    <cellStyle name="Note 3 4 30" xfId="62792" xr:uid="{00000000-0005-0000-0000-000074DF0000}"/>
    <cellStyle name="Note 3 4 4" xfId="5567" xr:uid="{00000000-0005-0000-0000-000075DF0000}"/>
    <cellStyle name="Note 3 4 4 2" xfId="20716" xr:uid="{00000000-0005-0000-0000-000076DF0000}"/>
    <cellStyle name="Note 3 4 5" xfId="7250" xr:uid="{00000000-0005-0000-0000-000077DF0000}"/>
    <cellStyle name="Note 3 4 5 2" xfId="22399" xr:uid="{00000000-0005-0000-0000-000078DF0000}"/>
    <cellStyle name="Note 3 4 6" xfId="8933" xr:uid="{00000000-0005-0000-0000-000079DF0000}"/>
    <cellStyle name="Note 3 4 6 2" xfId="24082" xr:uid="{00000000-0005-0000-0000-00007ADF0000}"/>
    <cellStyle name="Note 3 4 7" xfId="10616" xr:uid="{00000000-0005-0000-0000-00007BDF0000}"/>
    <cellStyle name="Note 3 4 7 2" xfId="25765" xr:uid="{00000000-0005-0000-0000-00007CDF0000}"/>
    <cellStyle name="Note 3 4 8" xfId="12300" xr:uid="{00000000-0005-0000-0000-00007DDF0000}"/>
    <cellStyle name="Note 3 4 8 2" xfId="27449" xr:uid="{00000000-0005-0000-0000-00007EDF0000}"/>
    <cellStyle name="Note 3 4 9" xfId="13983" xr:uid="{00000000-0005-0000-0000-00007FDF0000}"/>
    <cellStyle name="Note 3 4 9 2" xfId="29132" xr:uid="{00000000-0005-0000-0000-000080DF0000}"/>
    <cellStyle name="Note 3 5" xfId="938" xr:uid="{00000000-0005-0000-0000-000081DF0000}"/>
    <cellStyle name="Note 3 5 10" xfId="16087" xr:uid="{00000000-0005-0000-0000-000082DF0000}"/>
    <cellStyle name="Note 3 5 11" xfId="31236" xr:uid="{00000000-0005-0000-0000-000083DF0000}"/>
    <cellStyle name="Note 3 5 12" xfId="32919" xr:uid="{00000000-0005-0000-0000-000084DF0000}"/>
    <cellStyle name="Note 3 5 13" xfId="34602" xr:uid="{00000000-0005-0000-0000-000085DF0000}"/>
    <cellStyle name="Note 3 5 14" xfId="36285" xr:uid="{00000000-0005-0000-0000-000086DF0000}"/>
    <cellStyle name="Note 3 5 15" xfId="37968" xr:uid="{00000000-0005-0000-0000-000087DF0000}"/>
    <cellStyle name="Note 3 5 16" xfId="39651" xr:uid="{00000000-0005-0000-0000-000088DF0000}"/>
    <cellStyle name="Note 3 5 17" xfId="41334" xr:uid="{00000000-0005-0000-0000-000089DF0000}"/>
    <cellStyle name="Note 3 5 18" xfId="43017" xr:uid="{00000000-0005-0000-0000-00008ADF0000}"/>
    <cellStyle name="Note 3 5 19" xfId="44700" xr:uid="{00000000-0005-0000-0000-00008BDF0000}"/>
    <cellStyle name="Note 3 5 2" xfId="2621" xr:uid="{00000000-0005-0000-0000-00008CDF0000}"/>
    <cellStyle name="Note 3 5 2 2" xfId="17770" xr:uid="{00000000-0005-0000-0000-00008DDF0000}"/>
    <cellStyle name="Note 3 5 20" xfId="46383" xr:uid="{00000000-0005-0000-0000-00008EDF0000}"/>
    <cellStyle name="Note 3 5 21" xfId="48066" xr:uid="{00000000-0005-0000-0000-00008FDF0000}"/>
    <cellStyle name="Note 3 5 22" xfId="49749" xr:uid="{00000000-0005-0000-0000-000090DF0000}"/>
    <cellStyle name="Note 3 5 23" xfId="51432" xr:uid="{00000000-0005-0000-0000-000091DF0000}"/>
    <cellStyle name="Note 3 5 24" xfId="53115" xr:uid="{00000000-0005-0000-0000-000092DF0000}"/>
    <cellStyle name="Note 3 5 25" xfId="54798" xr:uid="{00000000-0005-0000-0000-000093DF0000}"/>
    <cellStyle name="Note 3 5 26" xfId="56481" xr:uid="{00000000-0005-0000-0000-000094DF0000}"/>
    <cellStyle name="Note 3 5 27" xfId="58164" xr:uid="{00000000-0005-0000-0000-000095DF0000}"/>
    <cellStyle name="Note 3 5 28" xfId="59847" xr:uid="{00000000-0005-0000-0000-000096DF0000}"/>
    <cellStyle name="Note 3 5 29" xfId="61530" xr:uid="{00000000-0005-0000-0000-000097DF0000}"/>
    <cellStyle name="Note 3 5 3" xfId="4305" xr:uid="{00000000-0005-0000-0000-000098DF0000}"/>
    <cellStyle name="Note 3 5 3 2" xfId="19454" xr:uid="{00000000-0005-0000-0000-000099DF0000}"/>
    <cellStyle name="Note 3 5 30" xfId="63213" xr:uid="{00000000-0005-0000-0000-00009ADF0000}"/>
    <cellStyle name="Note 3 5 4" xfId="5988" xr:uid="{00000000-0005-0000-0000-00009BDF0000}"/>
    <cellStyle name="Note 3 5 4 2" xfId="21137" xr:uid="{00000000-0005-0000-0000-00009CDF0000}"/>
    <cellStyle name="Note 3 5 5" xfId="7671" xr:uid="{00000000-0005-0000-0000-00009DDF0000}"/>
    <cellStyle name="Note 3 5 5 2" xfId="22820" xr:uid="{00000000-0005-0000-0000-00009EDF0000}"/>
    <cellStyle name="Note 3 5 6" xfId="9354" xr:uid="{00000000-0005-0000-0000-00009FDF0000}"/>
    <cellStyle name="Note 3 5 6 2" xfId="24503" xr:uid="{00000000-0005-0000-0000-0000A0DF0000}"/>
    <cellStyle name="Note 3 5 7" xfId="11037" xr:uid="{00000000-0005-0000-0000-0000A1DF0000}"/>
    <cellStyle name="Note 3 5 7 2" xfId="26186" xr:uid="{00000000-0005-0000-0000-0000A2DF0000}"/>
    <cellStyle name="Note 3 5 8" xfId="12721" xr:uid="{00000000-0005-0000-0000-0000A3DF0000}"/>
    <cellStyle name="Note 3 5 8 2" xfId="27870" xr:uid="{00000000-0005-0000-0000-0000A4DF0000}"/>
    <cellStyle name="Note 3 5 9" xfId="14404" xr:uid="{00000000-0005-0000-0000-0000A5DF0000}"/>
    <cellStyle name="Note 3 5 9 2" xfId="29553" xr:uid="{00000000-0005-0000-0000-0000A6DF0000}"/>
    <cellStyle name="Note 3 6" xfId="1359" xr:uid="{00000000-0005-0000-0000-0000A7DF0000}"/>
    <cellStyle name="Note 3 6 10" xfId="16508" xr:uid="{00000000-0005-0000-0000-0000A8DF0000}"/>
    <cellStyle name="Note 3 6 11" xfId="31657" xr:uid="{00000000-0005-0000-0000-0000A9DF0000}"/>
    <cellStyle name="Note 3 6 12" xfId="33340" xr:uid="{00000000-0005-0000-0000-0000AADF0000}"/>
    <cellStyle name="Note 3 6 13" xfId="35023" xr:uid="{00000000-0005-0000-0000-0000ABDF0000}"/>
    <cellStyle name="Note 3 6 14" xfId="36706" xr:uid="{00000000-0005-0000-0000-0000ACDF0000}"/>
    <cellStyle name="Note 3 6 15" xfId="38389" xr:uid="{00000000-0005-0000-0000-0000ADDF0000}"/>
    <cellStyle name="Note 3 6 16" xfId="40072" xr:uid="{00000000-0005-0000-0000-0000AEDF0000}"/>
    <cellStyle name="Note 3 6 17" xfId="41755" xr:uid="{00000000-0005-0000-0000-0000AFDF0000}"/>
    <cellStyle name="Note 3 6 18" xfId="43438" xr:uid="{00000000-0005-0000-0000-0000B0DF0000}"/>
    <cellStyle name="Note 3 6 19" xfId="45121" xr:uid="{00000000-0005-0000-0000-0000B1DF0000}"/>
    <cellStyle name="Note 3 6 2" xfId="3042" xr:uid="{00000000-0005-0000-0000-0000B2DF0000}"/>
    <cellStyle name="Note 3 6 2 2" xfId="18191" xr:uid="{00000000-0005-0000-0000-0000B3DF0000}"/>
    <cellStyle name="Note 3 6 20" xfId="46804" xr:uid="{00000000-0005-0000-0000-0000B4DF0000}"/>
    <cellStyle name="Note 3 6 21" xfId="48487" xr:uid="{00000000-0005-0000-0000-0000B5DF0000}"/>
    <cellStyle name="Note 3 6 22" xfId="50170" xr:uid="{00000000-0005-0000-0000-0000B6DF0000}"/>
    <cellStyle name="Note 3 6 23" xfId="51853" xr:uid="{00000000-0005-0000-0000-0000B7DF0000}"/>
    <cellStyle name="Note 3 6 24" xfId="53536" xr:uid="{00000000-0005-0000-0000-0000B8DF0000}"/>
    <cellStyle name="Note 3 6 25" xfId="55219" xr:uid="{00000000-0005-0000-0000-0000B9DF0000}"/>
    <cellStyle name="Note 3 6 26" xfId="56902" xr:uid="{00000000-0005-0000-0000-0000BADF0000}"/>
    <cellStyle name="Note 3 6 27" xfId="58585" xr:uid="{00000000-0005-0000-0000-0000BBDF0000}"/>
    <cellStyle name="Note 3 6 28" xfId="60268" xr:uid="{00000000-0005-0000-0000-0000BCDF0000}"/>
    <cellStyle name="Note 3 6 29" xfId="61951" xr:uid="{00000000-0005-0000-0000-0000BDDF0000}"/>
    <cellStyle name="Note 3 6 3" xfId="4726" xr:uid="{00000000-0005-0000-0000-0000BEDF0000}"/>
    <cellStyle name="Note 3 6 3 2" xfId="19875" xr:uid="{00000000-0005-0000-0000-0000BFDF0000}"/>
    <cellStyle name="Note 3 6 30" xfId="63634" xr:uid="{00000000-0005-0000-0000-0000C0DF0000}"/>
    <cellStyle name="Note 3 6 4" xfId="6409" xr:uid="{00000000-0005-0000-0000-0000C1DF0000}"/>
    <cellStyle name="Note 3 6 4 2" xfId="21558" xr:uid="{00000000-0005-0000-0000-0000C2DF0000}"/>
    <cellStyle name="Note 3 6 5" xfId="8092" xr:uid="{00000000-0005-0000-0000-0000C3DF0000}"/>
    <cellStyle name="Note 3 6 5 2" xfId="23241" xr:uid="{00000000-0005-0000-0000-0000C4DF0000}"/>
    <cellStyle name="Note 3 6 6" xfId="9775" xr:uid="{00000000-0005-0000-0000-0000C5DF0000}"/>
    <cellStyle name="Note 3 6 6 2" xfId="24924" xr:uid="{00000000-0005-0000-0000-0000C6DF0000}"/>
    <cellStyle name="Note 3 6 7" xfId="11458" xr:uid="{00000000-0005-0000-0000-0000C7DF0000}"/>
    <cellStyle name="Note 3 6 7 2" xfId="26607" xr:uid="{00000000-0005-0000-0000-0000C8DF0000}"/>
    <cellStyle name="Note 3 6 8" xfId="13142" xr:uid="{00000000-0005-0000-0000-0000C9DF0000}"/>
    <cellStyle name="Note 3 6 8 2" xfId="28291" xr:uid="{00000000-0005-0000-0000-0000CADF0000}"/>
    <cellStyle name="Note 3 6 9" xfId="14825" xr:uid="{00000000-0005-0000-0000-0000CBDF0000}"/>
    <cellStyle name="Note 3 6 9 2" xfId="29974" xr:uid="{00000000-0005-0000-0000-0000CCDF0000}"/>
    <cellStyle name="Note 3 7" xfId="1780" xr:uid="{00000000-0005-0000-0000-0000CDDF0000}"/>
    <cellStyle name="Note 3 7 2" xfId="16929" xr:uid="{00000000-0005-0000-0000-0000CEDF0000}"/>
    <cellStyle name="Note 3 8" xfId="3464" xr:uid="{00000000-0005-0000-0000-0000CFDF0000}"/>
    <cellStyle name="Note 3 8 2" xfId="18613" xr:uid="{00000000-0005-0000-0000-0000D0DF0000}"/>
    <cellStyle name="Note 3 9" xfId="5147" xr:uid="{00000000-0005-0000-0000-0000D1DF0000}"/>
    <cellStyle name="Note 3 9 2" xfId="20296" xr:uid="{00000000-0005-0000-0000-0000D2DF0000}"/>
    <cellStyle name="Note 4" xfId="117" xr:uid="{00000000-0005-0000-0000-0000D3DF0000}"/>
    <cellStyle name="Note 4 10" xfId="6850" xr:uid="{00000000-0005-0000-0000-0000D4DF0000}"/>
    <cellStyle name="Note 4 10 2" xfId="21999" xr:uid="{00000000-0005-0000-0000-0000D5DF0000}"/>
    <cellStyle name="Note 4 11" xfId="8533" xr:uid="{00000000-0005-0000-0000-0000D6DF0000}"/>
    <cellStyle name="Note 4 11 2" xfId="23682" xr:uid="{00000000-0005-0000-0000-0000D7DF0000}"/>
    <cellStyle name="Note 4 12" xfId="10216" xr:uid="{00000000-0005-0000-0000-0000D8DF0000}"/>
    <cellStyle name="Note 4 12 2" xfId="25365" xr:uid="{00000000-0005-0000-0000-0000D9DF0000}"/>
    <cellStyle name="Note 4 13" xfId="11900" xr:uid="{00000000-0005-0000-0000-0000DADF0000}"/>
    <cellStyle name="Note 4 13 2" xfId="27049" xr:uid="{00000000-0005-0000-0000-0000DBDF0000}"/>
    <cellStyle name="Note 4 14" xfId="13583" xr:uid="{00000000-0005-0000-0000-0000DCDF0000}"/>
    <cellStyle name="Note 4 14 2" xfId="28732" xr:uid="{00000000-0005-0000-0000-0000DDDF0000}"/>
    <cellStyle name="Note 4 15" xfId="15266" xr:uid="{00000000-0005-0000-0000-0000DEDF0000}"/>
    <cellStyle name="Note 4 16" xfId="30415" xr:uid="{00000000-0005-0000-0000-0000DFDF0000}"/>
    <cellStyle name="Note 4 17" xfId="32098" xr:uid="{00000000-0005-0000-0000-0000E0DF0000}"/>
    <cellStyle name="Note 4 18" xfId="33781" xr:uid="{00000000-0005-0000-0000-0000E1DF0000}"/>
    <cellStyle name="Note 4 19" xfId="35464" xr:uid="{00000000-0005-0000-0000-0000E2DF0000}"/>
    <cellStyle name="Note 4 2" xfId="222" xr:uid="{00000000-0005-0000-0000-0000E3DF0000}"/>
    <cellStyle name="Note 4 2 10" xfId="8638" xr:uid="{00000000-0005-0000-0000-0000E4DF0000}"/>
    <cellStyle name="Note 4 2 10 2" xfId="23787" xr:uid="{00000000-0005-0000-0000-0000E5DF0000}"/>
    <cellStyle name="Note 4 2 11" xfId="10321" xr:uid="{00000000-0005-0000-0000-0000E6DF0000}"/>
    <cellStyle name="Note 4 2 11 2" xfId="25470" xr:uid="{00000000-0005-0000-0000-0000E7DF0000}"/>
    <cellStyle name="Note 4 2 12" xfId="12005" xr:uid="{00000000-0005-0000-0000-0000E8DF0000}"/>
    <cellStyle name="Note 4 2 12 2" xfId="27154" xr:uid="{00000000-0005-0000-0000-0000E9DF0000}"/>
    <cellStyle name="Note 4 2 13" xfId="13688" xr:uid="{00000000-0005-0000-0000-0000EADF0000}"/>
    <cellStyle name="Note 4 2 13 2" xfId="28837" xr:uid="{00000000-0005-0000-0000-0000EBDF0000}"/>
    <cellStyle name="Note 4 2 14" xfId="15371" xr:uid="{00000000-0005-0000-0000-0000ECDF0000}"/>
    <cellStyle name="Note 4 2 15" xfId="30520" xr:uid="{00000000-0005-0000-0000-0000EDDF0000}"/>
    <cellStyle name="Note 4 2 16" xfId="32203" xr:uid="{00000000-0005-0000-0000-0000EEDF0000}"/>
    <cellStyle name="Note 4 2 17" xfId="33886" xr:uid="{00000000-0005-0000-0000-0000EFDF0000}"/>
    <cellStyle name="Note 4 2 18" xfId="35569" xr:uid="{00000000-0005-0000-0000-0000F0DF0000}"/>
    <cellStyle name="Note 4 2 19" xfId="37252" xr:uid="{00000000-0005-0000-0000-0000F1DF0000}"/>
    <cellStyle name="Note 4 2 2" xfId="432" xr:uid="{00000000-0005-0000-0000-0000F2DF0000}"/>
    <cellStyle name="Note 4 2 2 10" xfId="10531" xr:uid="{00000000-0005-0000-0000-0000F3DF0000}"/>
    <cellStyle name="Note 4 2 2 10 2" xfId="25680" xr:uid="{00000000-0005-0000-0000-0000F4DF0000}"/>
    <cellStyle name="Note 4 2 2 11" xfId="12215" xr:uid="{00000000-0005-0000-0000-0000F5DF0000}"/>
    <cellStyle name="Note 4 2 2 11 2" xfId="27364" xr:uid="{00000000-0005-0000-0000-0000F6DF0000}"/>
    <cellStyle name="Note 4 2 2 12" xfId="13898" xr:uid="{00000000-0005-0000-0000-0000F7DF0000}"/>
    <cellStyle name="Note 4 2 2 12 2" xfId="29047" xr:uid="{00000000-0005-0000-0000-0000F8DF0000}"/>
    <cellStyle name="Note 4 2 2 13" xfId="15581" xr:uid="{00000000-0005-0000-0000-0000F9DF0000}"/>
    <cellStyle name="Note 4 2 2 14" xfId="30730" xr:uid="{00000000-0005-0000-0000-0000FADF0000}"/>
    <cellStyle name="Note 4 2 2 15" xfId="32413" xr:uid="{00000000-0005-0000-0000-0000FBDF0000}"/>
    <cellStyle name="Note 4 2 2 16" xfId="34096" xr:uid="{00000000-0005-0000-0000-0000FCDF0000}"/>
    <cellStyle name="Note 4 2 2 17" xfId="35779" xr:uid="{00000000-0005-0000-0000-0000FDDF0000}"/>
    <cellStyle name="Note 4 2 2 18" xfId="37462" xr:uid="{00000000-0005-0000-0000-0000FEDF0000}"/>
    <cellStyle name="Note 4 2 2 19" xfId="39145" xr:uid="{00000000-0005-0000-0000-0000FFDF0000}"/>
    <cellStyle name="Note 4 2 2 2" xfId="852" xr:uid="{00000000-0005-0000-0000-000000E00000}"/>
    <cellStyle name="Note 4 2 2 2 10" xfId="16001" xr:uid="{00000000-0005-0000-0000-000001E00000}"/>
    <cellStyle name="Note 4 2 2 2 11" xfId="31150" xr:uid="{00000000-0005-0000-0000-000002E00000}"/>
    <cellStyle name="Note 4 2 2 2 12" xfId="32833" xr:uid="{00000000-0005-0000-0000-000003E00000}"/>
    <cellStyle name="Note 4 2 2 2 13" xfId="34516" xr:uid="{00000000-0005-0000-0000-000004E00000}"/>
    <cellStyle name="Note 4 2 2 2 14" xfId="36199" xr:uid="{00000000-0005-0000-0000-000005E00000}"/>
    <cellStyle name="Note 4 2 2 2 15" xfId="37882" xr:uid="{00000000-0005-0000-0000-000006E00000}"/>
    <cellStyle name="Note 4 2 2 2 16" xfId="39565" xr:uid="{00000000-0005-0000-0000-000007E00000}"/>
    <cellStyle name="Note 4 2 2 2 17" xfId="41248" xr:uid="{00000000-0005-0000-0000-000008E00000}"/>
    <cellStyle name="Note 4 2 2 2 18" xfId="42931" xr:uid="{00000000-0005-0000-0000-000009E00000}"/>
    <cellStyle name="Note 4 2 2 2 19" xfId="44614" xr:uid="{00000000-0005-0000-0000-00000AE00000}"/>
    <cellStyle name="Note 4 2 2 2 2" xfId="2535" xr:uid="{00000000-0005-0000-0000-00000BE00000}"/>
    <cellStyle name="Note 4 2 2 2 2 2" xfId="17684" xr:uid="{00000000-0005-0000-0000-00000CE00000}"/>
    <cellStyle name="Note 4 2 2 2 20" xfId="46297" xr:uid="{00000000-0005-0000-0000-00000DE00000}"/>
    <cellStyle name="Note 4 2 2 2 21" xfId="47980" xr:uid="{00000000-0005-0000-0000-00000EE00000}"/>
    <cellStyle name="Note 4 2 2 2 22" xfId="49663" xr:uid="{00000000-0005-0000-0000-00000FE00000}"/>
    <cellStyle name="Note 4 2 2 2 23" xfId="51346" xr:uid="{00000000-0005-0000-0000-000010E00000}"/>
    <cellStyle name="Note 4 2 2 2 24" xfId="53029" xr:uid="{00000000-0005-0000-0000-000011E00000}"/>
    <cellStyle name="Note 4 2 2 2 25" xfId="54712" xr:uid="{00000000-0005-0000-0000-000012E00000}"/>
    <cellStyle name="Note 4 2 2 2 26" xfId="56395" xr:uid="{00000000-0005-0000-0000-000013E00000}"/>
    <cellStyle name="Note 4 2 2 2 27" xfId="58078" xr:uid="{00000000-0005-0000-0000-000014E00000}"/>
    <cellStyle name="Note 4 2 2 2 28" xfId="59761" xr:uid="{00000000-0005-0000-0000-000015E00000}"/>
    <cellStyle name="Note 4 2 2 2 29" xfId="61444" xr:uid="{00000000-0005-0000-0000-000016E00000}"/>
    <cellStyle name="Note 4 2 2 2 3" xfId="4219" xr:uid="{00000000-0005-0000-0000-000017E00000}"/>
    <cellStyle name="Note 4 2 2 2 3 2" xfId="19368" xr:uid="{00000000-0005-0000-0000-000018E00000}"/>
    <cellStyle name="Note 4 2 2 2 30" xfId="63127" xr:uid="{00000000-0005-0000-0000-000019E00000}"/>
    <cellStyle name="Note 4 2 2 2 4" xfId="5902" xr:uid="{00000000-0005-0000-0000-00001AE00000}"/>
    <cellStyle name="Note 4 2 2 2 4 2" xfId="21051" xr:uid="{00000000-0005-0000-0000-00001BE00000}"/>
    <cellStyle name="Note 4 2 2 2 5" xfId="7585" xr:uid="{00000000-0005-0000-0000-00001CE00000}"/>
    <cellStyle name="Note 4 2 2 2 5 2" xfId="22734" xr:uid="{00000000-0005-0000-0000-00001DE00000}"/>
    <cellStyle name="Note 4 2 2 2 6" xfId="9268" xr:uid="{00000000-0005-0000-0000-00001EE00000}"/>
    <cellStyle name="Note 4 2 2 2 6 2" xfId="24417" xr:uid="{00000000-0005-0000-0000-00001FE00000}"/>
    <cellStyle name="Note 4 2 2 2 7" xfId="10951" xr:uid="{00000000-0005-0000-0000-000020E00000}"/>
    <cellStyle name="Note 4 2 2 2 7 2" xfId="26100" xr:uid="{00000000-0005-0000-0000-000021E00000}"/>
    <cellStyle name="Note 4 2 2 2 8" xfId="12635" xr:uid="{00000000-0005-0000-0000-000022E00000}"/>
    <cellStyle name="Note 4 2 2 2 8 2" xfId="27784" xr:uid="{00000000-0005-0000-0000-000023E00000}"/>
    <cellStyle name="Note 4 2 2 2 9" xfId="14318" xr:uid="{00000000-0005-0000-0000-000024E00000}"/>
    <cellStyle name="Note 4 2 2 2 9 2" xfId="29467" xr:uid="{00000000-0005-0000-0000-000025E00000}"/>
    <cellStyle name="Note 4 2 2 20" xfId="40828" xr:uid="{00000000-0005-0000-0000-000026E00000}"/>
    <cellStyle name="Note 4 2 2 21" xfId="42511" xr:uid="{00000000-0005-0000-0000-000027E00000}"/>
    <cellStyle name="Note 4 2 2 22" xfId="44194" xr:uid="{00000000-0005-0000-0000-000028E00000}"/>
    <cellStyle name="Note 4 2 2 23" xfId="45877" xr:uid="{00000000-0005-0000-0000-000029E00000}"/>
    <cellStyle name="Note 4 2 2 24" xfId="47560" xr:uid="{00000000-0005-0000-0000-00002AE00000}"/>
    <cellStyle name="Note 4 2 2 25" xfId="49243" xr:uid="{00000000-0005-0000-0000-00002BE00000}"/>
    <cellStyle name="Note 4 2 2 26" xfId="50926" xr:uid="{00000000-0005-0000-0000-00002CE00000}"/>
    <cellStyle name="Note 4 2 2 27" xfId="52609" xr:uid="{00000000-0005-0000-0000-00002DE00000}"/>
    <cellStyle name="Note 4 2 2 28" xfId="54292" xr:uid="{00000000-0005-0000-0000-00002EE00000}"/>
    <cellStyle name="Note 4 2 2 29" xfId="55975" xr:uid="{00000000-0005-0000-0000-00002FE00000}"/>
    <cellStyle name="Note 4 2 2 3" xfId="1273" xr:uid="{00000000-0005-0000-0000-000030E00000}"/>
    <cellStyle name="Note 4 2 2 3 10" xfId="16422" xr:uid="{00000000-0005-0000-0000-000031E00000}"/>
    <cellStyle name="Note 4 2 2 3 11" xfId="31571" xr:uid="{00000000-0005-0000-0000-000032E00000}"/>
    <cellStyle name="Note 4 2 2 3 12" xfId="33254" xr:uid="{00000000-0005-0000-0000-000033E00000}"/>
    <cellStyle name="Note 4 2 2 3 13" xfId="34937" xr:uid="{00000000-0005-0000-0000-000034E00000}"/>
    <cellStyle name="Note 4 2 2 3 14" xfId="36620" xr:uid="{00000000-0005-0000-0000-000035E00000}"/>
    <cellStyle name="Note 4 2 2 3 15" xfId="38303" xr:uid="{00000000-0005-0000-0000-000036E00000}"/>
    <cellStyle name="Note 4 2 2 3 16" xfId="39986" xr:uid="{00000000-0005-0000-0000-000037E00000}"/>
    <cellStyle name="Note 4 2 2 3 17" xfId="41669" xr:uid="{00000000-0005-0000-0000-000038E00000}"/>
    <cellStyle name="Note 4 2 2 3 18" xfId="43352" xr:uid="{00000000-0005-0000-0000-000039E00000}"/>
    <cellStyle name="Note 4 2 2 3 19" xfId="45035" xr:uid="{00000000-0005-0000-0000-00003AE00000}"/>
    <cellStyle name="Note 4 2 2 3 2" xfId="2956" xr:uid="{00000000-0005-0000-0000-00003BE00000}"/>
    <cellStyle name="Note 4 2 2 3 2 2" xfId="18105" xr:uid="{00000000-0005-0000-0000-00003CE00000}"/>
    <cellStyle name="Note 4 2 2 3 20" xfId="46718" xr:uid="{00000000-0005-0000-0000-00003DE00000}"/>
    <cellStyle name="Note 4 2 2 3 21" xfId="48401" xr:uid="{00000000-0005-0000-0000-00003EE00000}"/>
    <cellStyle name="Note 4 2 2 3 22" xfId="50084" xr:uid="{00000000-0005-0000-0000-00003FE00000}"/>
    <cellStyle name="Note 4 2 2 3 23" xfId="51767" xr:uid="{00000000-0005-0000-0000-000040E00000}"/>
    <cellStyle name="Note 4 2 2 3 24" xfId="53450" xr:uid="{00000000-0005-0000-0000-000041E00000}"/>
    <cellStyle name="Note 4 2 2 3 25" xfId="55133" xr:uid="{00000000-0005-0000-0000-000042E00000}"/>
    <cellStyle name="Note 4 2 2 3 26" xfId="56816" xr:uid="{00000000-0005-0000-0000-000043E00000}"/>
    <cellStyle name="Note 4 2 2 3 27" xfId="58499" xr:uid="{00000000-0005-0000-0000-000044E00000}"/>
    <cellStyle name="Note 4 2 2 3 28" xfId="60182" xr:uid="{00000000-0005-0000-0000-000045E00000}"/>
    <cellStyle name="Note 4 2 2 3 29" xfId="61865" xr:uid="{00000000-0005-0000-0000-000046E00000}"/>
    <cellStyle name="Note 4 2 2 3 3" xfId="4640" xr:uid="{00000000-0005-0000-0000-000047E00000}"/>
    <cellStyle name="Note 4 2 2 3 3 2" xfId="19789" xr:uid="{00000000-0005-0000-0000-000048E00000}"/>
    <cellStyle name="Note 4 2 2 3 30" xfId="63548" xr:uid="{00000000-0005-0000-0000-000049E00000}"/>
    <cellStyle name="Note 4 2 2 3 4" xfId="6323" xr:uid="{00000000-0005-0000-0000-00004AE00000}"/>
    <cellStyle name="Note 4 2 2 3 4 2" xfId="21472" xr:uid="{00000000-0005-0000-0000-00004BE00000}"/>
    <cellStyle name="Note 4 2 2 3 5" xfId="8006" xr:uid="{00000000-0005-0000-0000-00004CE00000}"/>
    <cellStyle name="Note 4 2 2 3 5 2" xfId="23155" xr:uid="{00000000-0005-0000-0000-00004DE00000}"/>
    <cellStyle name="Note 4 2 2 3 6" xfId="9689" xr:uid="{00000000-0005-0000-0000-00004EE00000}"/>
    <cellStyle name="Note 4 2 2 3 6 2" xfId="24838" xr:uid="{00000000-0005-0000-0000-00004FE00000}"/>
    <cellStyle name="Note 4 2 2 3 7" xfId="11372" xr:uid="{00000000-0005-0000-0000-000050E00000}"/>
    <cellStyle name="Note 4 2 2 3 7 2" xfId="26521" xr:uid="{00000000-0005-0000-0000-000051E00000}"/>
    <cellStyle name="Note 4 2 2 3 8" xfId="13056" xr:uid="{00000000-0005-0000-0000-000052E00000}"/>
    <cellStyle name="Note 4 2 2 3 8 2" xfId="28205" xr:uid="{00000000-0005-0000-0000-000053E00000}"/>
    <cellStyle name="Note 4 2 2 3 9" xfId="14739" xr:uid="{00000000-0005-0000-0000-000054E00000}"/>
    <cellStyle name="Note 4 2 2 3 9 2" xfId="29888" xr:uid="{00000000-0005-0000-0000-000055E00000}"/>
    <cellStyle name="Note 4 2 2 30" xfId="57658" xr:uid="{00000000-0005-0000-0000-000056E00000}"/>
    <cellStyle name="Note 4 2 2 31" xfId="59341" xr:uid="{00000000-0005-0000-0000-000057E00000}"/>
    <cellStyle name="Note 4 2 2 32" xfId="61024" xr:uid="{00000000-0005-0000-0000-000058E00000}"/>
    <cellStyle name="Note 4 2 2 33" xfId="62707" xr:uid="{00000000-0005-0000-0000-000059E00000}"/>
    <cellStyle name="Note 4 2 2 4" xfId="1694" xr:uid="{00000000-0005-0000-0000-00005AE00000}"/>
    <cellStyle name="Note 4 2 2 4 10" xfId="16843" xr:uid="{00000000-0005-0000-0000-00005BE00000}"/>
    <cellStyle name="Note 4 2 2 4 11" xfId="31992" xr:uid="{00000000-0005-0000-0000-00005CE00000}"/>
    <cellStyle name="Note 4 2 2 4 12" xfId="33675" xr:uid="{00000000-0005-0000-0000-00005DE00000}"/>
    <cellStyle name="Note 4 2 2 4 13" xfId="35358" xr:uid="{00000000-0005-0000-0000-00005EE00000}"/>
    <cellStyle name="Note 4 2 2 4 14" xfId="37041" xr:uid="{00000000-0005-0000-0000-00005FE00000}"/>
    <cellStyle name="Note 4 2 2 4 15" xfId="38724" xr:uid="{00000000-0005-0000-0000-000060E00000}"/>
    <cellStyle name="Note 4 2 2 4 16" xfId="40407" xr:uid="{00000000-0005-0000-0000-000061E00000}"/>
    <cellStyle name="Note 4 2 2 4 17" xfId="42090" xr:uid="{00000000-0005-0000-0000-000062E00000}"/>
    <cellStyle name="Note 4 2 2 4 18" xfId="43773" xr:uid="{00000000-0005-0000-0000-000063E00000}"/>
    <cellStyle name="Note 4 2 2 4 19" xfId="45456" xr:uid="{00000000-0005-0000-0000-000064E00000}"/>
    <cellStyle name="Note 4 2 2 4 2" xfId="3377" xr:uid="{00000000-0005-0000-0000-000065E00000}"/>
    <cellStyle name="Note 4 2 2 4 2 2" xfId="18526" xr:uid="{00000000-0005-0000-0000-000066E00000}"/>
    <cellStyle name="Note 4 2 2 4 20" xfId="47139" xr:uid="{00000000-0005-0000-0000-000067E00000}"/>
    <cellStyle name="Note 4 2 2 4 21" xfId="48822" xr:uid="{00000000-0005-0000-0000-000068E00000}"/>
    <cellStyle name="Note 4 2 2 4 22" xfId="50505" xr:uid="{00000000-0005-0000-0000-000069E00000}"/>
    <cellStyle name="Note 4 2 2 4 23" xfId="52188" xr:uid="{00000000-0005-0000-0000-00006AE00000}"/>
    <cellStyle name="Note 4 2 2 4 24" xfId="53871" xr:uid="{00000000-0005-0000-0000-00006BE00000}"/>
    <cellStyle name="Note 4 2 2 4 25" xfId="55554" xr:uid="{00000000-0005-0000-0000-00006CE00000}"/>
    <cellStyle name="Note 4 2 2 4 26" xfId="57237" xr:uid="{00000000-0005-0000-0000-00006DE00000}"/>
    <cellStyle name="Note 4 2 2 4 27" xfId="58920" xr:uid="{00000000-0005-0000-0000-00006EE00000}"/>
    <cellStyle name="Note 4 2 2 4 28" xfId="60603" xr:uid="{00000000-0005-0000-0000-00006FE00000}"/>
    <cellStyle name="Note 4 2 2 4 29" xfId="62286" xr:uid="{00000000-0005-0000-0000-000070E00000}"/>
    <cellStyle name="Note 4 2 2 4 3" xfId="5061" xr:uid="{00000000-0005-0000-0000-000071E00000}"/>
    <cellStyle name="Note 4 2 2 4 3 2" xfId="20210" xr:uid="{00000000-0005-0000-0000-000072E00000}"/>
    <cellStyle name="Note 4 2 2 4 30" xfId="63969" xr:uid="{00000000-0005-0000-0000-000073E00000}"/>
    <cellStyle name="Note 4 2 2 4 4" xfId="6744" xr:uid="{00000000-0005-0000-0000-000074E00000}"/>
    <cellStyle name="Note 4 2 2 4 4 2" xfId="21893" xr:uid="{00000000-0005-0000-0000-000075E00000}"/>
    <cellStyle name="Note 4 2 2 4 5" xfId="8427" xr:uid="{00000000-0005-0000-0000-000076E00000}"/>
    <cellStyle name="Note 4 2 2 4 5 2" xfId="23576" xr:uid="{00000000-0005-0000-0000-000077E00000}"/>
    <cellStyle name="Note 4 2 2 4 6" xfId="10110" xr:uid="{00000000-0005-0000-0000-000078E00000}"/>
    <cellStyle name="Note 4 2 2 4 6 2" xfId="25259" xr:uid="{00000000-0005-0000-0000-000079E00000}"/>
    <cellStyle name="Note 4 2 2 4 7" xfId="11793" xr:uid="{00000000-0005-0000-0000-00007AE00000}"/>
    <cellStyle name="Note 4 2 2 4 7 2" xfId="26942" xr:uid="{00000000-0005-0000-0000-00007BE00000}"/>
    <cellStyle name="Note 4 2 2 4 8" xfId="13477" xr:uid="{00000000-0005-0000-0000-00007CE00000}"/>
    <cellStyle name="Note 4 2 2 4 8 2" xfId="28626" xr:uid="{00000000-0005-0000-0000-00007DE00000}"/>
    <cellStyle name="Note 4 2 2 4 9" xfId="15160" xr:uid="{00000000-0005-0000-0000-00007EE00000}"/>
    <cellStyle name="Note 4 2 2 4 9 2" xfId="30309" xr:uid="{00000000-0005-0000-0000-00007FE00000}"/>
    <cellStyle name="Note 4 2 2 5" xfId="2115" xr:uid="{00000000-0005-0000-0000-000080E00000}"/>
    <cellStyle name="Note 4 2 2 5 2" xfId="17264" xr:uid="{00000000-0005-0000-0000-000081E00000}"/>
    <cellStyle name="Note 4 2 2 6" xfId="3799" xr:uid="{00000000-0005-0000-0000-000082E00000}"/>
    <cellStyle name="Note 4 2 2 6 2" xfId="18948" xr:uid="{00000000-0005-0000-0000-000083E00000}"/>
    <cellStyle name="Note 4 2 2 7" xfId="5482" xr:uid="{00000000-0005-0000-0000-000084E00000}"/>
    <cellStyle name="Note 4 2 2 7 2" xfId="20631" xr:uid="{00000000-0005-0000-0000-000085E00000}"/>
    <cellStyle name="Note 4 2 2 8" xfId="7165" xr:uid="{00000000-0005-0000-0000-000086E00000}"/>
    <cellStyle name="Note 4 2 2 8 2" xfId="22314" xr:uid="{00000000-0005-0000-0000-000087E00000}"/>
    <cellStyle name="Note 4 2 2 9" xfId="8848" xr:uid="{00000000-0005-0000-0000-000088E00000}"/>
    <cellStyle name="Note 4 2 2 9 2" xfId="23997" xr:uid="{00000000-0005-0000-0000-000089E00000}"/>
    <cellStyle name="Note 4 2 20" xfId="38935" xr:uid="{00000000-0005-0000-0000-00008AE00000}"/>
    <cellStyle name="Note 4 2 21" xfId="40618" xr:uid="{00000000-0005-0000-0000-00008BE00000}"/>
    <cellStyle name="Note 4 2 22" xfId="42301" xr:uid="{00000000-0005-0000-0000-00008CE00000}"/>
    <cellStyle name="Note 4 2 23" xfId="43984" xr:uid="{00000000-0005-0000-0000-00008DE00000}"/>
    <cellStyle name="Note 4 2 24" xfId="45667" xr:uid="{00000000-0005-0000-0000-00008EE00000}"/>
    <cellStyle name="Note 4 2 25" xfId="47350" xr:uid="{00000000-0005-0000-0000-00008FE00000}"/>
    <cellStyle name="Note 4 2 26" xfId="49033" xr:uid="{00000000-0005-0000-0000-000090E00000}"/>
    <cellStyle name="Note 4 2 27" xfId="50716" xr:uid="{00000000-0005-0000-0000-000091E00000}"/>
    <cellStyle name="Note 4 2 28" xfId="52399" xr:uid="{00000000-0005-0000-0000-000092E00000}"/>
    <cellStyle name="Note 4 2 29" xfId="54082" xr:uid="{00000000-0005-0000-0000-000093E00000}"/>
    <cellStyle name="Note 4 2 3" xfId="642" xr:uid="{00000000-0005-0000-0000-000094E00000}"/>
    <cellStyle name="Note 4 2 3 10" xfId="15791" xr:uid="{00000000-0005-0000-0000-000095E00000}"/>
    <cellStyle name="Note 4 2 3 11" xfId="30940" xr:uid="{00000000-0005-0000-0000-000096E00000}"/>
    <cellStyle name="Note 4 2 3 12" xfId="32623" xr:uid="{00000000-0005-0000-0000-000097E00000}"/>
    <cellStyle name="Note 4 2 3 13" xfId="34306" xr:uid="{00000000-0005-0000-0000-000098E00000}"/>
    <cellStyle name="Note 4 2 3 14" xfId="35989" xr:uid="{00000000-0005-0000-0000-000099E00000}"/>
    <cellStyle name="Note 4 2 3 15" xfId="37672" xr:uid="{00000000-0005-0000-0000-00009AE00000}"/>
    <cellStyle name="Note 4 2 3 16" xfId="39355" xr:uid="{00000000-0005-0000-0000-00009BE00000}"/>
    <cellStyle name="Note 4 2 3 17" xfId="41038" xr:uid="{00000000-0005-0000-0000-00009CE00000}"/>
    <cellStyle name="Note 4 2 3 18" xfId="42721" xr:uid="{00000000-0005-0000-0000-00009DE00000}"/>
    <cellStyle name="Note 4 2 3 19" xfId="44404" xr:uid="{00000000-0005-0000-0000-00009EE00000}"/>
    <cellStyle name="Note 4 2 3 2" xfId="2325" xr:uid="{00000000-0005-0000-0000-00009FE00000}"/>
    <cellStyle name="Note 4 2 3 2 2" xfId="17474" xr:uid="{00000000-0005-0000-0000-0000A0E00000}"/>
    <cellStyle name="Note 4 2 3 20" xfId="46087" xr:uid="{00000000-0005-0000-0000-0000A1E00000}"/>
    <cellStyle name="Note 4 2 3 21" xfId="47770" xr:uid="{00000000-0005-0000-0000-0000A2E00000}"/>
    <cellStyle name="Note 4 2 3 22" xfId="49453" xr:uid="{00000000-0005-0000-0000-0000A3E00000}"/>
    <cellStyle name="Note 4 2 3 23" xfId="51136" xr:uid="{00000000-0005-0000-0000-0000A4E00000}"/>
    <cellStyle name="Note 4 2 3 24" xfId="52819" xr:uid="{00000000-0005-0000-0000-0000A5E00000}"/>
    <cellStyle name="Note 4 2 3 25" xfId="54502" xr:uid="{00000000-0005-0000-0000-0000A6E00000}"/>
    <cellStyle name="Note 4 2 3 26" xfId="56185" xr:uid="{00000000-0005-0000-0000-0000A7E00000}"/>
    <cellStyle name="Note 4 2 3 27" xfId="57868" xr:uid="{00000000-0005-0000-0000-0000A8E00000}"/>
    <cellStyle name="Note 4 2 3 28" xfId="59551" xr:uid="{00000000-0005-0000-0000-0000A9E00000}"/>
    <cellStyle name="Note 4 2 3 29" xfId="61234" xr:uid="{00000000-0005-0000-0000-0000AAE00000}"/>
    <cellStyle name="Note 4 2 3 3" xfId="4009" xr:uid="{00000000-0005-0000-0000-0000ABE00000}"/>
    <cellStyle name="Note 4 2 3 3 2" xfId="19158" xr:uid="{00000000-0005-0000-0000-0000ACE00000}"/>
    <cellStyle name="Note 4 2 3 30" xfId="62917" xr:uid="{00000000-0005-0000-0000-0000ADE00000}"/>
    <cellStyle name="Note 4 2 3 4" xfId="5692" xr:uid="{00000000-0005-0000-0000-0000AEE00000}"/>
    <cellStyle name="Note 4 2 3 4 2" xfId="20841" xr:uid="{00000000-0005-0000-0000-0000AFE00000}"/>
    <cellStyle name="Note 4 2 3 5" xfId="7375" xr:uid="{00000000-0005-0000-0000-0000B0E00000}"/>
    <cellStyle name="Note 4 2 3 5 2" xfId="22524" xr:uid="{00000000-0005-0000-0000-0000B1E00000}"/>
    <cellStyle name="Note 4 2 3 6" xfId="9058" xr:uid="{00000000-0005-0000-0000-0000B2E00000}"/>
    <cellStyle name="Note 4 2 3 6 2" xfId="24207" xr:uid="{00000000-0005-0000-0000-0000B3E00000}"/>
    <cellStyle name="Note 4 2 3 7" xfId="10741" xr:uid="{00000000-0005-0000-0000-0000B4E00000}"/>
    <cellStyle name="Note 4 2 3 7 2" xfId="25890" xr:uid="{00000000-0005-0000-0000-0000B5E00000}"/>
    <cellStyle name="Note 4 2 3 8" xfId="12425" xr:uid="{00000000-0005-0000-0000-0000B6E00000}"/>
    <cellStyle name="Note 4 2 3 8 2" xfId="27574" xr:uid="{00000000-0005-0000-0000-0000B7E00000}"/>
    <cellStyle name="Note 4 2 3 9" xfId="14108" xr:uid="{00000000-0005-0000-0000-0000B8E00000}"/>
    <cellStyle name="Note 4 2 3 9 2" xfId="29257" xr:uid="{00000000-0005-0000-0000-0000B9E00000}"/>
    <cellStyle name="Note 4 2 30" xfId="55765" xr:uid="{00000000-0005-0000-0000-0000BAE00000}"/>
    <cellStyle name="Note 4 2 31" xfId="57448" xr:uid="{00000000-0005-0000-0000-0000BBE00000}"/>
    <cellStyle name="Note 4 2 32" xfId="59131" xr:uid="{00000000-0005-0000-0000-0000BCE00000}"/>
    <cellStyle name="Note 4 2 33" xfId="60814" xr:uid="{00000000-0005-0000-0000-0000BDE00000}"/>
    <cellStyle name="Note 4 2 34" xfId="62497" xr:uid="{00000000-0005-0000-0000-0000BEE00000}"/>
    <cellStyle name="Note 4 2 4" xfId="1063" xr:uid="{00000000-0005-0000-0000-0000BFE00000}"/>
    <cellStyle name="Note 4 2 4 10" xfId="16212" xr:uid="{00000000-0005-0000-0000-0000C0E00000}"/>
    <cellStyle name="Note 4 2 4 11" xfId="31361" xr:uid="{00000000-0005-0000-0000-0000C1E00000}"/>
    <cellStyle name="Note 4 2 4 12" xfId="33044" xr:uid="{00000000-0005-0000-0000-0000C2E00000}"/>
    <cellStyle name="Note 4 2 4 13" xfId="34727" xr:uid="{00000000-0005-0000-0000-0000C3E00000}"/>
    <cellStyle name="Note 4 2 4 14" xfId="36410" xr:uid="{00000000-0005-0000-0000-0000C4E00000}"/>
    <cellStyle name="Note 4 2 4 15" xfId="38093" xr:uid="{00000000-0005-0000-0000-0000C5E00000}"/>
    <cellStyle name="Note 4 2 4 16" xfId="39776" xr:uid="{00000000-0005-0000-0000-0000C6E00000}"/>
    <cellStyle name="Note 4 2 4 17" xfId="41459" xr:uid="{00000000-0005-0000-0000-0000C7E00000}"/>
    <cellStyle name="Note 4 2 4 18" xfId="43142" xr:uid="{00000000-0005-0000-0000-0000C8E00000}"/>
    <cellStyle name="Note 4 2 4 19" xfId="44825" xr:uid="{00000000-0005-0000-0000-0000C9E00000}"/>
    <cellStyle name="Note 4 2 4 2" xfId="2746" xr:uid="{00000000-0005-0000-0000-0000CAE00000}"/>
    <cellStyle name="Note 4 2 4 2 2" xfId="17895" xr:uid="{00000000-0005-0000-0000-0000CBE00000}"/>
    <cellStyle name="Note 4 2 4 20" xfId="46508" xr:uid="{00000000-0005-0000-0000-0000CCE00000}"/>
    <cellStyle name="Note 4 2 4 21" xfId="48191" xr:uid="{00000000-0005-0000-0000-0000CDE00000}"/>
    <cellStyle name="Note 4 2 4 22" xfId="49874" xr:uid="{00000000-0005-0000-0000-0000CEE00000}"/>
    <cellStyle name="Note 4 2 4 23" xfId="51557" xr:uid="{00000000-0005-0000-0000-0000CFE00000}"/>
    <cellStyle name="Note 4 2 4 24" xfId="53240" xr:uid="{00000000-0005-0000-0000-0000D0E00000}"/>
    <cellStyle name="Note 4 2 4 25" xfId="54923" xr:uid="{00000000-0005-0000-0000-0000D1E00000}"/>
    <cellStyle name="Note 4 2 4 26" xfId="56606" xr:uid="{00000000-0005-0000-0000-0000D2E00000}"/>
    <cellStyle name="Note 4 2 4 27" xfId="58289" xr:uid="{00000000-0005-0000-0000-0000D3E00000}"/>
    <cellStyle name="Note 4 2 4 28" xfId="59972" xr:uid="{00000000-0005-0000-0000-0000D4E00000}"/>
    <cellStyle name="Note 4 2 4 29" xfId="61655" xr:uid="{00000000-0005-0000-0000-0000D5E00000}"/>
    <cellStyle name="Note 4 2 4 3" xfId="4430" xr:uid="{00000000-0005-0000-0000-0000D6E00000}"/>
    <cellStyle name="Note 4 2 4 3 2" xfId="19579" xr:uid="{00000000-0005-0000-0000-0000D7E00000}"/>
    <cellStyle name="Note 4 2 4 30" xfId="63338" xr:uid="{00000000-0005-0000-0000-0000D8E00000}"/>
    <cellStyle name="Note 4 2 4 4" xfId="6113" xr:uid="{00000000-0005-0000-0000-0000D9E00000}"/>
    <cellStyle name="Note 4 2 4 4 2" xfId="21262" xr:uid="{00000000-0005-0000-0000-0000DAE00000}"/>
    <cellStyle name="Note 4 2 4 5" xfId="7796" xr:uid="{00000000-0005-0000-0000-0000DBE00000}"/>
    <cellStyle name="Note 4 2 4 5 2" xfId="22945" xr:uid="{00000000-0005-0000-0000-0000DCE00000}"/>
    <cellStyle name="Note 4 2 4 6" xfId="9479" xr:uid="{00000000-0005-0000-0000-0000DDE00000}"/>
    <cellStyle name="Note 4 2 4 6 2" xfId="24628" xr:uid="{00000000-0005-0000-0000-0000DEE00000}"/>
    <cellStyle name="Note 4 2 4 7" xfId="11162" xr:uid="{00000000-0005-0000-0000-0000DFE00000}"/>
    <cellStyle name="Note 4 2 4 7 2" xfId="26311" xr:uid="{00000000-0005-0000-0000-0000E0E00000}"/>
    <cellStyle name="Note 4 2 4 8" xfId="12846" xr:uid="{00000000-0005-0000-0000-0000E1E00000}"/>
    <cellStyle name="Note 4 2 4 8 2" xfId="27995" xr:uid="{00000000-0005-0000-0000-0000E2E00000}"/>
    <cellStyle name="Note 4 2 4 9" xfId="14529" xr:uid="{00000000-0005-0000-0000-0000E3E00000}"/>
    <cellStyle name="Note 4 2 4 9 2" xfId="29678" xr:uid="{00000000-0005-0000-0000-0000E4E00000}"/>
    <cellStyle name="Note 4 2 5" xfId="1484" xr:uid="{00000000-0005-0000-0000-0000E5E00000}"/>
    <cellStyle name="Note 4 2 5 10" xfId="16633" xr:uid="{00000000-0005-0000-0000-0000E6E00000}"/>
    <cellStyle name="Note 4 2 5 11" xfId="31782" xr:uid="{00000000-0005-0000-0000-0000E7E00000}"/>
    <cellStyle name="Note 4 2 5 12" xfId="33465" xr:uid="{00000000-0005-0000-0000-0000E8E00000}"/>
    <cellStyle name="Note 4 2 5 13" xfId="35148" xr:uid="{00000000-0005-0000-0000-0000E9E00000}"/>
    <cellStyle name="Note 4 2 5 14" xfId="36831" xr:uid="{00000000-0005-0000-0000-0000EAE00000}"/>
    <cellStyle name="Note 4 2 5 15" xfId="38514" xr:uid="{00000000-0005-0000-0000-0000EBE00000}"/>
    <cellStyle name="Note 4 2 5 16" xfId="40197" xr:uid="{00000000-0005-0000-0000-0000ECE00000}"/>
    <cellStyle name="Note 4 2 5 17" xfId="41880" xr:uid="{00000000-0005-0000-0000-0000EDE00000}"/>
    <cellStyle name="Note 4 2 5 18" xfId="43563" xr:uid="{00000000-0005-0000-0000-0000EEE00000}"/>
    <cellStyle name="Note 4 2 5 19" xfId="45246" xr:uid="{00000000-0005-0000-0000-0000EFE00000}"/>
    <cellStyle name="Note 4 2 5 2" xfId="3167" xr:uid="{00000000-0005-0000-0000-0000F0E00000}"/>
    <cellStyle name="Note 4 2 5 2 2" xfId="18316" xr:uid="{00000000-0005-0000-0000-0000F1E00000}"/>
    <cellStyle name="Note 4 2 5 20" xfId="46929" xr:uid="{00000000-0005-0000-0000-0000F2E00000}"/>
    <cellStyle name="Note 4 2 5 21" xfId="48612" xr:uid="{00000000-0005-0000-0000-0000F3E00000}"/>
    <cellStyle name="Note 4 2 5 22" xfId="50295" xr:uid="{00000000-0005-0000-0000-0000F4E00000}"/>
    <cellStyle name="Note 4 2 5 23" xfId="51978" xr:uid="{00000000-0005-0000-0000-0000F5E00000}"/>
    <cellStyle name="Note 4 2 5 24" xfId="53661" xr:uid="{00000000-0005-0000-0000-0000F6E00000}"/>
    <cellStyle name="Note 4 2 5 25" xfId="55344" xr:uid="{00000000-0005-0000-0000-0000F7E00000}"/>
    <cellStyle name="Note 4 2 5 26" xfId="57027" xr:uid="{00000000-0005-0000-0000-0000F8E00000}"/>
    <cellStyle name="Note 4 2 5 27" xfId="58710" xr:uid="{00000000-0005-0000-0000-0000F9E00000}"/>
    <cellStyle name="Note 4 2 5 28" xfId="60393" xr:uid="{00000000-0005-0000-0000-0000FAE00000}"/>
    <cellStyle name="Note 4 2 5 29" xfId="62076" xr:uid="{00000000-0005-0000-0000-0000FBE00000}"/>
    <cellStyle name="Note 4 2 5 3" xfId="4851" xr:uid="{00000000-0005-0000-0000-0000FCE00000}"/>
    <cellStyle name="Note 4 2 5 3 2" xfId="20000" xr:uid="{00000000-0005-0000-0000-0000FDE00000}"/>
    <cellStyle name="Note 4 2 5 30" xfId="63759" xr:uid="{00000000-0005-0000-0000-0000FEE00000}"/>
    <cellStyle name="Note 4 2 5 4" xfId="6534" xr:uid="{00000000-0005-0000-0000-0000FFE00000}"/>
    <cellStyle name="Note 4 2 5 4 2" xfId="21683" xr:uid="{00000000-0005-0000-0000-000000E10000}"/>
    <cellStyle name="Note 4 2 5 5" xfId="8217" xr:uid="{00000000-0005-0000-0000-000001E10000}"/>
    <cellStyle name="Note 4 2 5 5 2" xfId="23366" xr:uid="{00000000-0005-0000-0000-000002E10000}"/>
    <cellStyle name="Note 4 2 5 6" xfId="9900" xr:uid="{00000000-0005-0000-0000-000003E10000}"/>
    <cellStyle name="Note 4 2 5 6 2" xfId="25049" xr:uid="{00000000-0005-0000-0000-000004E10000}"/>
    <cellStyle name="Note 4 2 5 7" xfId="11583" xr:uid="{00000000-0005-0000-0000-000005E10000}"/>
    <cellStyle name="Note 4 2 5 7 2" xfId="26732" xr:uid="{00000000-0005-0000-0000-000006E10000}"/>
    <cellStyle name="Note 4 2 5 8" xfId="13267" xr:uid="{00000000-0005-0000-0000-000007E10000}"/>
    <cellStyle name="Note 4 2 5 8 2" xfId="28416" xr:uid="{00000000-0005-0000-0000-000008E10000}"/>
    <cellStyle name="Note 4 2 5 9" xfId="14950" xr:uid="{00000000-0005-0000-0000-000009E10000}"/>
    <cellStyle name="Note 4 2 5 9 2" xfId="30099" xr:uid="{00000000-0005-0000-0000-00000AE10000}"/>
    <cellStyle name="Note 4 2 6" xfId="1905" xr:uid="{00000000-0005-0000-0000-00000BE10000}"/>
    <cellStyle name="Note 4 2 6 2" xfId="17054" xr:uid="{00000000-0005-0000-0000-00000CE10000}"/>
    <cellStyle name="Note 4 2 7" xfId="3589" xr:uid="{00000000-0005-0000-0000-00000DE10000}"/>
    <cellStyle name="Note 4 2 7 2" xfId="18738" xr:uid="{00000000-0005-0000-0000-00000EE10000}"/>
    <cellStyle name="Note 4 2 8" xfId="5272" xr:uid="{00000000-0005-0000-0000-00000FE10000}"/>
    <cellStyle name="Note 4 2 8 2" xfId="20421" xr:uid="{00000000-0005-0000-0000-000010E10000}"/>
    <cellStyle name="Note 4 2 9" xfId="6955" xr:uid="{00000000-0005-0000-0000-000011E10000}"/>
    <cellStyle name="Note 4 2 9 2" xfId="22104" xr:uid="{00000000-0005-0000-0000-000012E10000}"/>
    <cellStyle name="Note 4 20" xfId="37147" xr:uid="{00000000-0005-0000-0000-000013E10000}"/>
    <cellStyle name="Note 4 21" xfId="38830" xr:uid="{00000000-0005-0000-0000-000014E10000}"/>
    <cellStyle name="Note 4 22" xfId="40513" xr:uid="{00000000-0005-0000-0000-000015E10000}"/>
    <cellStyle name="Note 4 23" xfId="42196" xr:uid="{00000000-0005-0000-0000-000016E10000}"/>
    <cellStyle name="Note 4 24" xfId="43879" xr:uid="{00000000-0005-0000-0000-000017E10000}"/>
    <cellStyle name="Note 4 25" xfId="45562" xr:uid="{00000000-0005-0000-0000-000018E10000}"/>
    <cellStyle name="Note 4 26" xfId="47245" xr:uid="{00000000-0005-0000-0000-000019E10000}"/>
    <cellStyle name="Note 4 27" xfId="48928" xr:uid="{00000000-0005-0000-0000-00001AE10000}"/>
    <cellStyle name="Note 4 28" xfId="50611" xr:uid="{00000000-0005-0000-0000-00001BE10000}"/>
    <cellStyle name="Note 4 29" xfId="52294" xr:uid="{00000000-0005-0000-0000-00001CE10000}"/>
    <cellStyle name="Note 4 3" xfId="327" xr:uid="{00000000-0005-0000-0000-00001DE10000}"/>
    <cellStyle name="Note 4 3 10" xfId="10426" xr:uid="{00000000-0005-0000-0000-00001EE10000}"/>
    <cellStyle name="Note 4 3 10 2" xfId="25575" xr:uid="{00000000-0005-0000-0000-00001FE10000}"/>
    <cellStyle name="Note 4 3 11" xfId="12110" xr:uid="{00000000-0005-0000-0000-000020E10000}"/>
    <cellStyle name="Note 4 3 11 2" xfId="27259" xr:uid="{00000000-0005-0000-0000-000021E10000}"/>
    <cellStyle name="Note 4 3 12" xfId="13793" xr:uid="{00000000-0005-0000-0000-000022E10000}"/>
    <cellStyle name="Note 4 3 12 2" xfId="28942" xr:uid="{00000000-0005-0000-0000-000023E10000}"/>
    <cellStyle name="Note 4 3 13" xfId="15476" xr:uid="{00000000-0005-0000-0000-000024E10000}"/>
    <cellStyle name="Note 4 3 14" xfId="30625" xr:uid="{00000000-0005-0000-0000-000025E10000}"/>
    <cellStyle name="Note 4 3 15" xfId="32308" xr:uid="{00000000-0005-0000-0000-000026E10000}"/>
    <cellStyle name="Note 4 3 16" xfId="33991" xr:uid="{00000000-0005-0000-0000-000027E10000}"/>
    <cellStyle name="Note 4 3 17" xfId="35674" xr:uid="{00000000-0005-0000-0000-000028E10000}"/>
    <cellStyle name="Note 4 3 18" xfId="37357" xr:uid="{00000000-0005-0000-0000-000029E10000}"/>
    <cellStyle name="Note 4 3 19" xfId="39040" xr:uid="{00000000-0005-0000-0000-00002AE10000}"/>
    <cellStyle name="Note 4 3 2" xfId="747" xr:uid="{00000000-0005-0000-0000-00002BE10000}"/>
    <cellStyle name="Note 4 3 2 10" xfId="15896" xr:uid="{00000000-0005-0000-0000-00002CE10000}"/>
    <cellStyle name="Note 4 3 2 11" xfId="31045" xr:uid="{00000000-0005-0000-0000-00002DE10000}"/>
    <cellStyle name="Note 4 3 2 12" xfId="32728" xr:uid="{00000000-0005-0000-0000-00002EE10000}"/>
    <cellStyle name="Note 4 3 2 13" xfId="34411" xr:uid="{00000000-0005-0000-0000-00002FE10000}"/>
    <cellStyle name="Note 4 3 2 14" xfId="36094" xr:uid="{00000000-0005-0000-0000-000030E10000}"/>
    <cellStyle name="Note 4 3 2 15" xfId="37777" xr:uid="{00000000-0005-0000-0000-000031E10000}"/>
    <cellStyle name="Note 4 3 2 16" xfId="39460" xr:uid="{00000000-0005-0000-0000-000032E10000}"/>
    <cellStyle name="Note 4 3 2 17" xfId="41143" xr:uid="{00000000-0005-0000-0000-000033E10000}"/>
    <cellStyle name="Note 4 3 2 18" xfId="42826" xr:uid="{00000000-0005-0000-0000-000034E10000}"/>
    <cellStyle name="Note 4 3 2 19" xfId="44509" xr:uid="{00000000-0005-0000-0000-000035E10000}"/>
    <cellStyle name="Note 4 3 2 2" xfId="2430" xr:uid="{00000000-0005-0000-0000-000036E10000}"/>
    <cellStyle name="Note 4 3 2 2 2" xfId="17579" xr:uid="{00000000-0005-0000-0000-000037E10000}"/>
    <cellStyle name="Note 4 3 2 20" xfId="46192" xr:uid="{00000000-0005-0000-0000-000038E10000}"/>
    <cellStyle name="Note 4 3 2 21" xfId="47875" xr:uid="{00000000-0005-0000-0000-000039E10000}"/>
    <cellStyle name="Note 4 3 2 22" xfId="49558" xr:uid="{00000000-0005-0000-0000-00003AE10000}"/>
    <cellStyle name="Note 4 3 2 23" xfId="51241" xr:uid="{00000000-0005-0000-0000-00003BE10000}"/>
    <cellStyle name="Note 4 3 2 24" xfId="52924" xr:uid="{00000000-0005-0000-0000-00003CE10000}"/>
    <cellStyle name="Note 4 3 2 25" xfId="54607" xr:uid="{00000000-0005-0000-0000-00003DE10000}"/>
    <cellStyle name="Note 4 3 2 26" xfId="56290" xr:uid="{00000000-0005-0000-0000-00003EE10000}"/>
    <cellStyle name="Note 4 3 2 27" xfId="57973" xr:uid="{00000000-0005-0000-0000-00003FE10000}"/>
    <cellStyle name="Note 4 3 2 28" xfId="59656" xr:uid="{00000000-0005-0000-0000-000040E10000}"/>
    <cellStyle name="Note 4 3 2 29" xfId="61339" xr:uid="{00000000-0005-0000-0000-000041E10000}"/>
    <cellStyle name="Note 4 3 2 3" xfId="4114" xr:uid="{00000000-0005-0000-0000-000042E10000}"/>
    <cellStyle name="Note 4 3 2 3 2" xfId="19263" xr:uid="{00000000-0005-0000-0000-000043E10000}"/>
    <cellStyle name="Note 4 3 2 30" xfId="63022" xr:uid="{00000000-0005-0000-0000-000044E10000}"/>
    <cellStyle name="Note 4 3 2 4" xfId="5797" xr:uid="{00000000-0005-0000-0000-000045E10000}"/>
    <cellStyle name="Note 4 3 2 4 2" xfId="20946" xr:uid="{00000000-0005-0000-0000-000046E10000}"/>
    <cellStyle name="Note 4 3 2 5" xfId="7480" xr:uid="{00000000-0005-0000-0000-000047E10000}"/>
    <cellStyle name="Note 4 3 2 5 2" xfId="22629" xr:uid="{00000000-0005-0000-0000-000048E10000}"/>
    <cellStyle name="Note 4 3 2 6" xfId="9163" xr:uid="{00000000-0005-0000-0000-000049E10000}"/>
    <cellStyle name="Note 4 3 2 6 2" xfId="24312" xr:uid="{00000000-0005-0000-0000-00004AE10000}"/>
    <cellStyle name="Note 4 3 2 7" xfId="10846" xr:uid="{00000000-0005-0000-0000-00004BE10000}"/>
    <cellStyle name="Note 4 3 2 7 2" xfId="25995" xr:uid="{00000000-0005-0000-0000-00004CE10000}"/>
    <cellStyle name="Note 4 3 2 8" xfId="12530" xr:uid="{00000000-0005-0000-0000-00004DE10000}"/>
    <cellStyle name="Note 4 3 2 8 2" xfId="27679" xr:uid="{00000000-0005-0000-0000-00004EE10000}"/>
    <cellStyle name="Note 4 3 2 9" xfId="14213" xr:uid="{00000000-0005-0000-0000-00004FE10000}"/>
    <cellStyle name="Note 4 3 2 9 2" xfId="29362" xr:uid="{00000000-0005-0000-0000-000050E10000}"/>
    <cellStyle name="Note 4 3 20" xfId="40723" xr:uid="{00000000-0005-0000-0000-000051E10000}"/>
    <cellStyle name="Note 4 3 21" xfId="42406" xr:uid="{00000000-0005-0000-0000-000052E10000}"/>
    <cellStyle name="Note 4 3 22" xfId="44089" xr:uid="{00000000-0005-0000-0000-000053E10000}"/>
    <cellStyle name="Note 4 3 23" xfId="45772" xr:uid="{00000000-0005-0000-0000-000054E10000}"/>
    <cellStyle name="Note 4 3 24" xfId="47455" xr:uid="{00000000-0005-0000-0000-000055E10000}"/>
    <cellStyle name="Note 4 3 25" xfId="49138" xr:uid="{00000000-0005-0000-0000-000056E10000}"/>
    <cellStyle name="Note 4 3 26" xfId="50821" xr:uid="{00000000-0005-0000-0000-000057E10000}"/>
    <cellStyle name="Note 4 3 27" xfId="52504" xr:uid="{00000000-0005-0000-0000-000058E10000}"/>
    <cellStyle name="Note 4 3 28" xfId="54187" xr:uid="{00000000-0005-0000-0000-000059E10000}"/>
    <cellStyle name="Note 4 3 29" xfId="55870" xr:uid="{00000000-0005-0000-0000-00005AE10000}"/>
    <cellStyle name="Note 4 3 3" xfId="1168" xr:uid="{00000000-0005-0000-0000-00005BE10000}"/>
    <cellStyle name="Note 4 3 3 10" xfId="16317" xr:uid="{00000000-0005-0000-0000-00005CE10000}"/>
    <cellStyle name="Note 4 3 3 11" xfId="31466" xr:uid="{00000000-0005-0000-0000-00005DE10000}"/>
    <cellStyle name="Note 4 3 3 12" xfId="33149" xr:uid="{00000000-0005-0000-0000-00005EE10000}"/>
    <cellStyle name="Note 4 3 3 13" xfId="34832" xr:uid="{00000000-0005-0000-0000-00005FE10000}"/>
    <cellStyle name="Note 4 3 3 14" xfId="36515" xr:uid="{00000000-0005-0000-0000-000060E10000}"/>
    <cellStyle name="Note 4 3 3 15" xfId="38198" xr:uid="{00000000-0005-0000-0000-000061E10000}"/>
    <cellStyle name="Note 4 3 3 16" xfId="39881" xr:uid="{00000000-0005-0000-0000-000062E10000}"/>
    <cellStyle name="Note 4 3 3 17" xfId="41564" xr:uid="{00000000-0005-0000-0000-000063E10000}"/>
    <cellStyle name="Note 4 3 3 18" xfId="43247" xr:uid="{00000000-0005-0000-0000-000064E10000}"/>
    <cellStyle name="Note 4 3 3 19" xfId="44930" xr:uid="{00000000-0005-0000-0000-000065E10000}"/>
    <cellStyle name="Note 4 3 3 2" xfId="2851" xr:uid="{00000000-0005-0000-0000-000066E10000}"/>
    <cellStyle name="Note 4 3 3 2 2" xfId="18000" xr:uid="{00000000-0005-0000-0000-000067E10000}"/>
    <cellStyle name="Note 4 3 3 20" xfId="46613" xr:uid="{00000000-0005-0000-0000-000068E10000}"/>
    <cellStyle name="Note 4 3 3 21" xfId="48296" xr:uid="{00000000-0005-0000-0000-000069E10000}"/>
    <cellStyle name="Note 4 3 3 22" xfId="49979" xr:uid="{00000000-0005-0000-0000-00006AE10000}"/>
    <cellStyle name="Note 4 3 3 23" xfId="51662" xr:uid="{00000000-0005-0000-0000-00006BE10000}"/>
    <cellStyle name="Note 4 3 3 24" xfId="53345" xr:uid="{00000000-0005-0000-0000-00006CE10000}"/>
    <cellStyle name="Note 4 3 3 25" xfId="55028" xr:uid="{00000000-0005-0000-0000-00006DE10000}"/>
    <cellStyle name="Note 4 3 3 26" xfId="56711" xr:uid="{00000000-0005-0000-0000-00006EE10000}"/>
    <cellStyle name="Note 4 3 3 27" xfId="58394" xr:uid="{00000000-0005-0000-0000-00006FE10000}"/>
    <cellStyle name="Note 4 3 3 28" xfId="60077" xr:uid="{00000000-0005-0000-0000-000070E10000}"/>
    <cellStyle name="Note 4 3 3 29" xfId="61760" xr:uid="{00000000-0005-0000-0000-000071E10000}"/>
    <cellStyle name="Note 4 3 3 3" xfId="4535" xr:uid="{00000000-0005-0000-0000-000072E10000}"/>
    <cellStyle name="Note 4 3 3 3 2" xfId="19684" xr:uid="{00000000-0005-0000-0000-000073E10000}"/>
    <cellStyle name="Note 4 3 3 30" xfId="63443" xr:uid="{00000000-0005-0000-0000-000074E10000}"/>
    <cellStyle name="Note 4 3 3 4" xfId="6218" xr:uid="{00000000-0005-0000-0000-000075E10000}"/>
    <cellStyle name="Note 4 3 3 4 2" xfId="21367" xr:uid="{00000000-0005-0000-0000-000076E10000}"/>
    <cellStyle name="Note 4 3 3 5" xfId="7901" xr:uid="{00000000-0005-0000-0000-000077E10000}"/>
    <cellStyle name="Note 4 3 3 5 2" xfId="23050" xr:uid="{00000000-0005-0000-0000-000078E10000}"/>
    <cellStyle name="Note 4 3 3 6" xfId="9584" xr:uid="{00000000-0005-0000-0000-000079E10000}"/>
    <cellStyle name="Note 4 3 3 6 2" xfId="24733" xr:uid="{00000000-0005-0000-0000-00007AE10000}"/>
    <cellStyle name="Note 4 3 3 7" xfId="11267" xr:uid="{00000000-0005-0000-0000-00007BE10000}"/>
    <cellStyle name="Note 4 3 3 7 2" xfId="26416" xr:uid="{00000000-0005-0000-0000-00007CE10000}"/>
    <cellStyle name="Note 4 3 3 8" xfId="12951" xr:uid="{00000000-0005-0000-0000-00007DE10000}"/>
    <cellStyle name="Note 4 3 3 8 2" xfId="28100" xr:uid="{00000000-0005-0000-0000-00007EE10000}"/>
    <cellStyle name="Note 4 3 3 9" xfId="14634" xr:uid="{00000000-0005-0000-0000-00007FE10000}"/>
    <cellStyle name="Note 4 3 3 9 2" xfId="29783" xr:uid="{00000000-0005-0000-0000-000080E10000}"/>
    <cellStyle name="Note 4 3 30" xfId="57553" xr:uid="{00000000-0005-0000-0000-000081E10000}"/>
    <cellStyle name="Note 4 3 31" xfId="59236" xr:uid="{00000000-0005-0000-0000-000082E10000}"/>
    <cellStyle name="Note 4 3 32" xfId="60919" xr:uid="{00000000-0005-0000-0000-000083E10000}"/>
    <cellStyle name="Note 4 3 33" xfId="62602" xr:uid="{00000000-0005-0000-0000-000084E10000}"/>
    <cellStyle name="Note 4 3 4" xfId="1589" xr:uid="{00000000-0005-0000-0000-000085E10000}"/>
    <cellStyle name="Note 4 3 4 10" xfId="16738" xr:uid="{00000000-0005-0000-0000-000086E10000}"/>
    <cellStyle name="Note 4 3 4 11" xfId="31887" xr:uid="{00000000-0005-0000-0000-000087E10000}"/>
    <cellStyle name="Note 4 3 4 12" xfId="33570" xr:uid="{00000000-0005-0000-0000-000088E10000}"/>
    <cellStyle name="Note 4 3 4 13" xfId="35253" xr:uid="{00000000-0005-0000-0000-000089E10000}"/>
    <cellStyle name="Note 4 3 4 14" xfId="36936" xr:uid="{00000000-0005-0000-0000-00008AE10000}"/>
    <cellStyle name="Note 4 3 4 15" xfId="38619" xr:uid="{00000000-0005-0000-0000-00008BE10000}"/>
    <cellStyle name="Note 4 3 4 16" xfId="40302" xr:uid="{00000000-0005-0000-0000-00008CE10000}"/>
    <cellStyle name="Note 4 3 4 17" xfId="41985" xr:uid="{00000000-0005-0000-0000-00008DE10000}"/>
    <cellStyle name="Note 4 3 4 18" xfId="43668" xr:uid="{00000000-0005-0000-0000-00008EE10000}"/>
    <cellStyle name="Note 4 3 4 19" xfId="45351" xr:uid="{00000000-0005-0000-0000-00008FE10000}"/>
    <cellStyle name="Note 4 3 4 2" xfId="3272" xr:uid="{00000000-0005-0000-0000-000090E10000}"/>
    <cellStyle name="Note 4 3 4 2 2" xfId="18421" xr:uid="{00000000-0005-0000-0000-000091E10000}"/>
    <cellStyle name="Note 4 3 4 20" xfId="47034" xr:uid="{00000000-0005-0000-0000-000092E10000}"/>
    <cellStyle name="Note 4 3 4 21" xfId="48717" xr:uid="{00000000-0005-0000-0000-000093E10000}"/>
    <cellStyle name="Note 4 3 4 22" xfId="50400" xr:uid="{00000000-0005-0000-0000-000094E10000}"/>
    <cellStyle name="Note 4 3 4 23" xfId="52083" xr:uid="{00000000-0005-0000-0000-000095E10000}"/>
    <cellStyle name="Note 4 3 4 24" xfId="53766" xr:uid="{00000000-0005-0000-0000-000096E10000}"/>
    <cellStyle name="Note 4 3 4 25" xfId="55449" xr:uid="{00000000-0005-0000-0000-000097E10000}"/>
    <cellStyle name="Note 4 3 4 26" xfId="57132" xr:uid="{00000000-0005-0000-0000-000098E10000}"/>
    <cellStyle name="Note 4 3 4 27" xfId="58815" xr:uid="{00000000-0005-0000-0000-000099E10000}"/>
    <cellStyle name="Note 4 3 4 28" xfId="60498" xr:uid="{00000000-0005-0000-0000-00009AE10000}"/>
    <cellStyle name="Note 4 3 4 29" xfId="62181" xr:uid="{00000000-0005-0000-0000-00009BE10000}"/>
    <cellStyle name="Note 4 3 4 3" xfId="4956" xr:uid="{00000000-0005-0000-0000-00009CE10000}"/>
    <cellStyle name="Note 4 3 4 3 2" xfId="20105" xr:uid="{00000000-0005-0000-0000-00009DE10000}"/>
    <cellStyle name="Note 4 3 4 30" xfId="63864" xr:uid="{00000000-0005-0000-0000-00009EE10000}"/>
    <cellStyle name="Note 4 3 4 4" xfId="6639" xr:uid="{00000000-0005-0000-0000-00009FE10000}"/>
    <cellStyle name="Note 4 3 4 4 2" xfId="21788" xr:uid="{00000000-0005-0000-0000-0000A0E10000}"/>
    <cellStyle name="Note 4 3 4 5" xfId="8322" xr:uid="{00000000-0005-0000-0000-0000A1E10000}"/>
    <cellStyle name="Note 4 3 4 5 2" xfId="23471" xr:uid="{00000000-0005-0000-0000-0000A2E10000}"/>
    <cellStyle name="Note 4 3 4 6" xfId="10005" xr:uid="{00000000-0005-0000-0000-0000A3E10000}"/>
    <cellStyle name="Note 4 3 4 6 2" xfId="25154" xr:uid="{00000000-0005-0000-0000-0000A4E10000}"/>
    <cellStyle name="Note 4 3 4 7" xfId="11688" xr:uid="{00000000-0005-0000-0000-0000A5E10000}"/>
    <cellStyle name="Note 4 3 4 7 2" xfId="26837" xr:uid="{00000000-0005-0000-0000-0000A6E10000}"/>
    <cellStyle name="Note 4 3 4 8" xfId="13372" xr:uid="{00000000-0005-0000-0000-0000A7E10000}"/>
    <cellStyle name="Note 4 3 4 8 2" xfId="28521" xr:uid="{00000000-0005-0000-0000-0000A8E10000}"/>
    <cellStyle name="Note 4 3 4 9" xfId="15055" xr:uid="{00000000-0005-0000-0000-0000A9E10000}"/>
    <cellStyle name="Note 4 3 4 9 2" xfId="30204" xr:uid="{00000000-0005-0000-0000-0000AAE10000}"/>
    <cellStyle name="Note 4 3 5" xfId="2010" xr:uid="{00000000-0005-0000-0000-0000ABE10000}"/>
    <cellStyle name="Note 4 3 5 2" xfId="17159" xr:uid="{00000000-0005-0000-0000-0000ACE10000}"/>
    <cellStyle name="Note 4 3 6" xfId="3694" xr:uid="{00000000-0005-0000-0000-0000ADE10000}"/>
    <cellStyle name="Note 4 3 6 2" xfId="18843" xr:uid="{00000000-0005-0000-0000-0000AEE10000}"/>
    <cellStyle name="Note 4 3 7" xfId="5377" xr:uid="{00000000-0005-0000-0000-0000AFE10000}"/>
    <cellStyle name="Note 4 3 7 2" xfId="20526" xr:uid="{00000000-0005-0000-0000-0000B0E10000}"/>
    <cellStyle name="Note 4 3 8" xfId="7060" xr:uid="{00000000-0005-0000-0000-0000B1E10000}"/>
    <cellStyle name="Note 4 3 8 2" xfId="22209" xr:uid="{00000000-0005-0000-0000-0000B2E10000}"/>
    <cellStyle name="Note 4 3 9" xfId="8743" xr:uid="{00000000-0005-0000-0000-0000B3E10000}"/>
    <cellStyle name="Note 4 3 9 2" xfId="23892" xr:uid="{00000000-0005-0000-0000-0000B4E10000}"/>
    <cellStyle name="Note 4 30" xfId="53977" xr:uid="{00000000-0005-0000-0000-0000B5E10000}"/>
    <cellStyle name="Note 4 31" xfId="55660" xr:uid="{00000000-0005-0000-0000-0000B6E10000}"/>
    <cellStyle name="Note 4 32" xfId="57343" xr:uid="{00000000-0005-0000-0000-0000B7E10000}"/>
    <cellStyle name="Note 4 33" xfId="59026" xr:uid="{00000000-0005-0000-0000-0000B8E10000}"/>
    <cellStyle name="Note 4 34" xfId="60709" xr:uid="{00000000-0005-0000-0000-0000B9E10000}"/>
    <cellStyle name="Note 4 35" xfId="62392" xr:uid="{00000000-0005-0000-0000-0000BAE10000}"/>
    <cellStyle name="Note 4 4" xfId="537" xr:uid="{00000000-0005-0000-0000-0000BBE10000}"/>
    <cellStyle name="Note 4 4 10" xfId="15686" xr:uid="{00000000-0005-0000-0000-0000BCE10000}"/>
    <cellStyle name="Note 4 4 11" xfId="30835" xr:uid="{00000000-0005-0000-0000-0000BDE10000}"/>
    <cellStyle name="Note 4 4 12" xfId="32518" xr:uid="{00000000-0005-0000-0000-0000BEE10000}"/>
    <cellStyle name="Note 4 4 13" xfId="34201" xr:uid="{00000000-0005-0000-0000-0000BFE10000}"/>
    <cellStyle name="Note 4 4 14" xfId="35884" xr:uid="{00000000-0005-0000-0000-0000C0E10000}"/>
    <cellStyle name="Note 4 4 15" xfId="37567" xr:uid="{00000000-0005-0000-0000-0000C1E10000}"/>
    <cellStyle name="Note 4 4 16" xfId="39250" xr:uid="{00000000-0005-0000-0000-0000C2E10000}"/>
    <cellStyle name="Note 4 4 17" xfId="40933" xr:uid="{00000000-0005-0000-0000-0000C3E10000}"/>
    <cellStyle name="Note 4 4 18" xfId="42616" xr:uid="{00000000-0005-0000-0000-0000C4E10000}"/>
    <cellStyle name="Note 4 4 19" xfId="44299" xr:uid="{00000000-0005-0000-0000-0000C5E10000}"/>
    <cellStyle name="Note 4 4 2" xfId="2220" xr:uid="{00000000-0005-0000-0000-0000C6E10000}"/>
    <cellStyle name="Note 4 4 2 2" xfId="17369" xr:uid="{00000000-0005-0000-0000-0000C7E10000}"/>
    <cellStyle name="Note 4 4 20" xfId="45982" xr:uid="{00000000-0005-0000-0000-0000C8E10000}"/>
    <cellStyle name="Note 4 4 21" xfId="47665" xr:uid="{00000000-0005-0000-0000-0000C9E10000}"/>
    <cellStyle name="Note 4 4 22" xfId="49348" xr:uid="{00000000-0005-0000-0000-0000CAE10000}"/>
    <cellStyle name="Note 4 4 23" xfId="51031" xr:uid="{00000000-0005-0000-0000-0000CBE10000}"/>
    <cellStyle name="Note 4 4 24" xfId="52714" xr:uid="{00000000-0005-0000-0000-0000CCE10000}"/>
    <cellStyle name="Note 4 4 25" xfId="54397" xr:uid="{00000000-0005-0000-0000-0000CDE10000}"/>
    <cellStyle name="Note 4 4 26" xfId="56080" xr:uid="{00000000-0005-0000-0000-0000CEE10000}"/>
    <cellStyle name="Note 4 4 27" xfId="57763" xr:uid="{00000000-0005-0000-0000-0000CFE10000}"/>
    <cellStyle name="Note 4 4 28" xfId="59446" xr:uid="{00000000-0005-0000-0000-0000D0E10000}"/>
    <cellStyle name="Note 4 4 29" xfId="61129" xr:uid="{00000000-0005-0000-0000-0000D1E10000}"/>
    <cellStyle name="Note 4 4 3" xfId="3904" xr:uid="{00000000-0005-0000-0000-0000D2E10000}"/>
    <cellStyle name="Note 4 4 3 2" xfId="19053" xr:uid="{00000000-0005-0000-0000-0000D3E10000}"/>
    <cellStyle name="Note 4 4 30" xfId="62812" xr:uid="{00000000-0005-0000-0000-0000D4E10000}"/>
    <cellStyle name="Note 4 4 4" xfId="5587" xr:uid="{00000000-0005-0000-0000-0000D5E10000}"/>
    <cellStyle name="Note 4 4 4 2" xfId="20736" xr:uid="{00000000-0005-0000-0000-0000D6E10000}"/>
    <cellStyle name="Note 4 4 5" xfId="7270" xr:uid="{00000000-0005-0000-0000-0000D7E10000}"/>
    <cellStyle name="Note 4 4 5 2" xfId="22419" xr:uid="{00000000-0005-0000-0000-0000D8E10000}"/>
    <cellStyle name="Note 4 4 6" xfId="8953" xr:uid="{00000000-0005-0000-0000-0000D9E10000}"/>
    <cellStyle name="Note 4 4 6 2" xfId="24102" xr:uid="{00000000-0005-0000-0000-0000DAE10000}"/>
    <cellStyle name="Note 4 4 7" xfId="10636" xr:uid="{00000000-0005-0000-0000-0000DBE10000}"/>
    <cellStyle name="Note 4 4 7 2" xfId="25785" xr:uid="{00000000-0005-0000-0000-0000DCE10000}"/>
    <cellStyle name="Note 4 4 8" xfId="12320" xr:uid="{00000000-0005-0000-0000-0000DDE10000}"/>
    <cellStyle name="Note 4 4 8 2" xfId="27469" xr:uid="{00000000-0005-0000-0000-0000DEE10000}"/>
    <cellStyle name="Note 4 4 9" xfId="14003" xr:uid="{00000000-0005-0000-0000-0000DFE10000}"/>
    <cellStyle name="Note 4 4 9 2" xfId="29152" xr:uid="{00000000-0005-0000-0000-0000E0E10000}"/>
    <cellStyle name="Note 4 5" xfId="958" xr:uid="{00000000-0005-0000-0000-0000E1E10000}"/>
    <cellStyle name="Note 4 5 10" xfId="16107" xr:uid="{00000000-0005-0000-0000-0000E2E10000}"/>
    <cellStyle name="Note 4 5 11" xfId="31256" xr:uid="{00000000-0005-0000-0000-0000E3E10000}"/>
    <cellStyle name="Note 4 5 12" xfId="32939" xr:uid="{00000000-0005-0000-0000-0000E4E10000}"/>
    <cellStyle name="Note 4 5 13" xfId="34622" xr:uid="{00000000-0005-0000-0000-0000E5E10000}"/>
    <cellStyle name="Note 4 5 14" xfId="36305" xr:uid="{00000000-0005-0000-0000-0000E6E10000}"/>
    <cellStyle name="Note 4 5 15" xfId="37988" xr:uid="{00000000-0005-0000-0000-0000E7E10000}"/>
    <cellStyle name="Note 4 5 16" xfId="39671" xr:uid="{00000000-0005-0000-0000-0000E8E10000}"/>
    <cellStyle name="Note 4 5 17" xfId="41354" xr:uid="{00000000-0005-0000-0000-0000E9E10000}"/>
    <cellStyle name="Note 4 5 18" xfId="43037" xr:uid="{00000000-0005-0000-0000-0000EAE10000}"/>
    <cellStyle name="Note 4 5 19" xfId="44720" xr:uid="{00000000-0005-0000-0000-0000EBE10000}"/>
    <cellStyle name="Note 4 5 2" xfId="2641" xr:uid="{00000000-0005-0000-0000-0000ECE10000}"/>
    <cellStyle name="Note 4 5 2 2" xfId="17790" xr:uid="{00000000-0005-0000-0000-0000EDE10000}"/>
    <cellStyle name="Note 4 5 20" xfId="46403" xr:uid="{00000000-0005-0000-0000-0000EEE10000}"/>
    <cellStyle name="Note 4 5 21" xfId="48086" xr:uid="{00000000-0005-0000-0000-0000EFE10000}"/>
    <cellStyle name="Note 4 5 22" xfId="49769" xr:uid="{00000000-0005-0000-0000-0000F0E10000}"/>
    <cellStyle name="Note 4 5 23" xfId="51452" xr:uid="{00000000-0005-0000-0000-0000F1E10000}"/>
    <cellStyle name="Note 4 5 24" xfId="53135" xr:uid="{00000000-0005-0000-0000-0000F2E10000}"/>
    <cellStyle name="Note 4 5 25" xfId="54818" xr:uid="{00000000-0005-0000-0000-0000F3E10000}"/>
    <cellStyle name="Note 4 5 26" xfId="56501" xr:uid="{00000000-0005-0000-0000-0000F4E10000}"/>
    <cellStyle name="Note 4 5 27" xfId="58184" xr:uid="{00000000-0005-0000-0000-0000F5E10000}"/>
    <cellStyle name="Note 4 5 28" xfId="59867" xr:uid="{00000000-0005-0000-0000-0000F6E10000}"/>
    <cellStyle name="Note 4 5 29" xfId="61550" xr:uid="{00000000-0005-0000-0000-0000F7E10000}"/>
    <cellStyle name="Note 4 5 3" xfId="4325" xr:uid="{00000000-0005-0000-0000-0000F8E10000}"/>
    <cellStyle name="Note 4 5 3 2" xfId="19474" xr:uid="{00000000-0005-0000-0000-0000F9E10000}"/>
    <cellStyle name="Note 4 5 30" xfId="63233" xr:uid="{00000000-0005-0000-0000-0000FAE10000}"/>
    <cellStyle name="Note 4 5 4" xfId="6008" xr:uid="{00000000-0005-0000-0000-0000FBE10000}"/>
    <cellStyle name="Note 4 5 4 2" xfId="21157" xr:uid="{00000000-0005-0000-0000-0000FCE10000}"/>
    <cellStyle name="Note 4 5 5" xfId="7691" xr:uid="{00000000-0005-0000-0000-0000FDE10000}"/>
    <cellStyle name="Note 4 5 5 2" xfId="22840" xr:uid="{00000000-0005-0000-0000-0000FEE10000}"/>
    <cellStyle name="Note 4 5 6" xfId="9374" xr:uid="{00000000-0005-0000-0000-0000FFE10000}"/>
    <cellStyle name="Note 4 5 6 2" xfId="24523" xr:uid="{00000000-0005-0000-0000-000000E20000}"/>
    <cellStyle name="Note 4 5 7" xfId="11057" xr:uid="{00000000-0005-0000-0000-000001E20000}"/>
    <cellStyle name="Note 4 5 7 2" xfId="26206" xr:uid="{00000000-0005-0000-0000-000002E20000}"/>
    <cellStyle name="Note 4 5 8" xfId="12741" xr:uid="{00000000-0005-0000-0000-000003E20000}"/>
    <cellStyle name="Note 4 5 8 2" xfId="27890" xr:uid="{00000000-0005-0000-0000-000004E20000}"/>
    <cellStyle name="Note 4 5 9" xfId="14424" xr:uid="{00000000-0005-0000-0000-000005E20000}"/>
    <cellStyle name="Note 4 5 9 2" xfId="29573" xr:uid="{00000000-0005-0000-0000-000006E20000}"/>
    <cellStyle name="Note 4 6" xfId="1379" xr:uid="{00000000-0005-0000-0000-000007E20000}"/>
    <cellStyle name="Note 4 6 10" xfId="16528" xr:uid="{00000000-0005-0000-0000-000008E20000}"/>
    <cellStyle name="Note 4 6 11" xfId="31677" xr:uid="{00000000-0005-0000-0000-000009E20000}"/>
    <cellStyle name="Note 4 6 12" xfId="33360" xr:uid="{00000000-0005-0000-0000-00000AE20000}"/>
    <cellStyle name="Note 4 6 13" xfId="35043" xr:uid="{00000000-0005-0000-0000-00000BE20000}"/>
    <cellStyle name="Note 4 6 14" xfId="36726" xr:uid="{00000000-0005-0000-0000-00000CE20000}"/>
    <cellStyle name="Note 4 6 15" xfId="38409" xr:uid="{00000000-0005-0000-0000-00000DE20000}"/>
    <cellStyle name="Note 4 6 16" xfId="40092" xr:uid="{00000000-0005-0000-0000-00000EE20000}"/>
    <cellStyle name="Note 4 6 17" xfId="41775" xr:uid="{00000000-0005-0000-0000-00000FE20000}"/>
    <cellStyle name="Note 4 6 18" xfId="43458" xr:uid="{00000000-0005-0000-0000-000010E20000}"/>
    <cellStyle name="Note 4 6 19" xfId="45141" xr:uid="{00000000-0005-0000-0000-000011E20000}"/>
    <cellStyle name="Note 4 6 2" xfId="3062" xr:uid="{00000000-0005-0000-0000-000012E20000}"/>
    <cellStyle name="Note 4 6 2 2" xfId="18211" xr:uid="{00000000-0005-0000-0000-000013E20000}"/>
    <cellStyle name="Note 4 6 20" xfId="46824" xr:uid="{00000000-0005-0000-0000-000014E20000}"/>
    <cellStyle name="Note 4 6 21" xfId="48507" xr:uid="{00000000-0005-0000-0000-000015E20000}"/>
    <cellStyle name="Note 4 6 22" xfId="50190" xr:uid="{00000000-0005-0000-0000-000016E20000}"/>
    <cellStyle name="Note 4 6 23" xfId="51873" xr:uid="{00000000-0005-0000-0000-000017E20000}"/>
    <cellStyle name="Note 4 6 24" xfId="53556" xr:uid="{00000000-0005-0000-0000-000018E20000}"/>
    <cellStyle name="Note 4 6 25" xfId="55239" xr:uid="{00000000-0005-0000-0000-000019E20000}"/>
    <cellStyle name="Note 4 6 26" xfId="56922" xr:uid="{00000000-0005-0000-0000-00001AE20000}"/>
    <cellStyle name="Note 4 6 27" xfId="58605" xr:uid="{00000000-0005-0000-0000-00001BE20000}"/>
    <cellStyle name="Note 4 6 28" xfId="60288" xr:uid="{00000000-0005-0000-0000-00001CE20000}"/>
    <cellStyle name="Note 4 6 29" xfId="61971" xr:uid="{00000000-0005-0000-0000-00001DE20000}"/>
    <cellStyle name="Note 4 6 3" xfId="4746" xr:uid="{00000000-0005-0000-0000-00001EE20000}"/>
    <cellStyle name="Note 4 6 3 2" xfId="19895" xr:uid="{00000000-0005-0000-0000-00001FE20000}"/>
    <cellStyle name="Note 4 6 30" xfId="63654" xr:uid="{00000000-0005-0000-0000-000020E20000}"/>
    <cellStyle name="Note 4 6 4" xfId="6429" xr:uid="{00000000-0005-0000-0000-000021E20000}"/>
    <cellStyle name="Note 4 6 4 2" xfId="21578" xr:uid="{00000000-0005-0000-0000-000022E20000}"/>
    <cellStyle name="Note 4 6 5" xfId="8112" xr:uid="{00000000-0005-0000-0000-000023E20000}"/>
    <cellStyle name="Note 4 6 5 2" xfId="23261" xr:uid="{00000000-0005-0000-0000-000024E20000}"/>
    <cellStyle name="Note 4 6 6" xfId="9795" xr:uid="{00000000-0005-0000-0000-000025E20000}"/>
    <cellStyle name="Note 4 6 6 2" xfId="24944" xr:uid="{00000000-0005-0000-0000-000026E20000}"/>
    <cellStyle name="Note 4 6 7" xfId="11478" xr:uid="{00000000-0005-0000-0000-000027E20000}"/>
    <cellStyle name="Note 4 6 7 2" xfId="26627" xr:uid="{00000000-0005-0000-0000-000028E20000}"/>
    <cellStyle name="Note 4 6 8" xfId="13162" xr:uid="{00000000-0005-0000-0000-000029E20000}"/>
    <cellStyle name="Note 4 6 8 2" xfId="28311" xr:uid="{00000000-0005-0000-0000-00002AE20000}"/>
    <cellStyle name="Note 4 6 9" xfId="14845" xr:uid="{00000000-0005-0000-0000-00002BE20000}"/>
    <cellStyle name="Note 4 6 9 2" xfId="29994" xr:uid="{00000000-0005-0000-0000-00002CE20000}"/>
    <cellStyle name="Note 4 7" xfId="1800" xr:uid="{00000000-0005-0000-0000-00002DE20000}"/>
    <cellStyle name="Note 4 7 2" xfId="16949" xr:uid="{00000000-0005-0000-0000-00002EE20000}"/>
    <cellStyle name="Note 4 8" xfId="3484" xr:uid="{00000000-0005-0000-0000-00002FE20000}"/>
    <cellStyle name="Note 4 8 2" xfId="18633" xr:uid="{00000000-0005-0000-0000-000030E20000}"/>
    <cellStyle name="Note 4 9" xfId="5167" xr:uid="{00000000-0005-0000-0000-000031E20000}"/>
    <cellStyle name="Note 4 9 2" xfId="20316" xr:uid="{00000000-0005-0000-0000-000032E20000}"/>
    <cellStyle name="Output" xfId="63" builtinId="21" customBuiltin="1"/>
    <cellStyle name="Percent" xfId="2" builtinId="5"/>
    <cellStyle name="Percent 10" xfId="242" xr:uid="{00000000-0005-0000-0000-000035E20000}"/>
    <cellStyle name="Percent 10 10" xfId="10341" xr:uid="{00000000-0005-0000-0000-000036E20000}"/>
    <cellStyle name="Percent 10 10 2" xfId="25490" xr:uid="{00000000-0005-0000-0000-000037E20000}"/>
    <cellStyle name="Percent 10 11" xfId="12025" xr:uid="{00000000-0005-0000-0000-000038E20000}"/>
    <cellStyle name="Percent 10 11 2" xfId="27174" xr:uid="{00000000-0005-0000-0000-000039E20000}"/>
    <cellStyle name="Percent 10 12" xfId="13708" xr:uid="{00000000-0005-0000-0000-00003AE20000}"/>
    <cellStyle name="Percent 10 12 2" xfId="28857" xr:uid="{00000000-0005-0000-0000-00003BE20000}"/>
    <cellStyle name="Percent 10 13" xfId="15391" xr:uid="{00000000-0005-0000-0000-00003CE20000}"/>
    <cellStyle name="Percent 10 14" xfId="30540" xr:uid="{00000000-0005-0000-0000-00003DE20000}"/>
    <cellStyle name="Percent 10 15" xfId="32223" xr:uid="{00000000-0005-0000-0000-00003EE20000}"/>
    <cellStyle name="Percent 10 16" xfId="33906" xr:uid="{00000000-0005-0000-0000-00003FE20000}"/>
    <cellStyle name="Percent 10 17" xfId="35589" xr:uid="{00000000-0005-0000-0000-000040E20000}"/>
    <cellStyle name="Percent 10 18" xfId="37272" xr:uid="{00000000-0005-0000-0000-000041E20000}"/>
    <cellStyle name="Percent 10 19" xfId="38955" xr:uid="{00000000-0005-0000-0000-000042E20000}"/>
    <cellStyle name="Percent 10 2" xfId="662" xr:uid="{00000000-0005-0000-0000-000043E20000}"/>
    <cellStyle name="Percent 10 2 10" xfId="15811" xr:uid="{00000000-0005-0000-0000-000044E20000}"/>
    <cellStyle name="Percent 10 2 11" xfId="30960" xr:uid="{00000000-0005-0000-0000-000045E20000}"/>
    <cellStyle name="Percent 10 2 12" xfId="32643" xr:uid="{00000000-0005-0000-0000-000046E20000}"/>
    <cellStyle name="Percent 10 2 13" xfId="34326" xr:uid="{00000000-0005-0000-0000-000047E20000}"/>
    <cellStyle name="Percent 10 2 14" xfId="36009" xr:uid="{00000000-0005-0000-0000-000048E20000}"/>
    <cellStyle name="Percent 10 2 15" xfId="37692" xr:uid="{00000000-0005-0000-0000-000049E20000}"/>
    <cellStyle name="Percent 10 2 16" xfId="39375" xr:uid="{00000000-0005-0000-0000-00004AE20000}"/>
    <cellStyle name="Percent 10 2 17" xfId="41058" xr:uid="{00000000-0005-0000-0000-00004BE20000}"/>
    <cellStyle name="Percent 10 2 18" xfId="42741" xr:uid="{00000000-0005-0000-0000-00004CE20000}"/>
    <cellStyle name="Percent 10 2 19" xfId="44424" xr:uid="{00000000-0005-0000-0000-00004DE20000}"/>
    <cellStyle name="Percent 10 2 2" xfId="2345" xr:uid="{00000000-0005-0000-0000-00004EE20000}"/>
    <cellStyle name="Percent 10 2 2 2" xfId="17494" xr:uid="{00000000-0005-0000-0000-00004FE20000}"/>
    <cellStyle name="Percent 10 2 20" xfId="46107" xr:uid="{00000000-0005-0000-0000-000050E20000}"/>
    <cellStyle name="Percent 10 2 21" xfId="47790" xr:uid="{00000000-0005-0000-0000-000051E20000}"/>
    <cellStyle name="Percent 10 2 22" xfId="49473" xr:uid="{00000000-0005-0000-0000-000052E20000}"/>
    <cellStyle name="Percent 10 2 23" xfId="51156" xr:uid="{00000000-0005-0000-0000-000053E20000}"/>
    <cellStyle name="Percent 10 2 24" xfId="52839" xr:uid="{00000000-0005-0000-0000-000054E20000}"/>
    <cellStyle name="Percent 10 2 25" xfId="54522" xr:uid="{00000000-0005-0000-0000-000055E20000}"/>
    <cellStyle name="Percent 10 2 26" xfId="56205" xr:uid="{00000000-0005-0000-0000-000056E20000}"/>
    <cellStyle name="Percent 10 2 27" xfId="57888" xr:uid="{00000000-0005-0000-0000-000057E20000}"/>
    <cellStyle name="Percent 10 2 28" xfId="59571" xr:uid="{00000000-0005-0000-0000-000058E20000}"/>
    <cellStyle name="Percent 10 2 29" xfId="61254" xr:uid="{00000000-0005-0000-0000-000059E20000}"/>
    <cellStyle name="Percent 10 2 3" xfId="4029" xr:uid="{00000000-0005-0000-0000-00005AE20000}"/>
    <cellStyle name="Percent 10 2 3 2" xfId="19178" xr:uid="{00000000-0005-0000-0000-00005BE20000}"/>
    <cellStyle name="Percent 10 2 30" xfId="62937" xr:uid="{00000000-0005-0000-0000-00005CE20000}"/>
    <cellStyle name="Percent 10 2 4" xfId="5712" xr:uid="{00000000-0005-0000-0000-00005DE20000}"/>
    <cellStyle name="Percent 10 2 4 2" xfId="20861" xr:uid="{00000000-0005-0000-0000-00005EE20000}"/>
    <cellStyle name="Percent 10 2 5" xfId="7395" xr:uid="{00000000-0005-0000-0000-00005FE20000}"/>
    <cellStyle name="Percent 10 2 5 2" xfId="22544" xr:uid="{00000000-0005-0000-0000-000060E20000}"/>
    <cellStyle name="Percent 10 2 6" xfId="9078" xr:uid="{00000000-0005-0000-0000-000061E20000}"/>
    <cellStyle name="Percent 10 2 6 2" xfId="24227" xr:uid="{00000000-0005-0000-0000-000062E20000}"/>
    <cellStyle name="Percent 10 2 7" xfId="10761" xr:uid="{00000000-0005-0000-0000-000063E20000}"/>
    <cellStyle name="Percent 10 2 7 2" xfId="25910" xr:uid="{00000000-0005-0000-0000-000064E20000}"/>
    <cellStyle name="Percent 10 2 8" xfId="12445" xr:uid="{00000000-0005-0000-0000-000065E20000}"/>
    <cellStyle name="Percent 10 2 8 2" xfId="27594" xr:uid="{00000000-0005-0000-0000-000066E20000}"/>
    <cellStyle name="Percent 10 2 9" xfId="14128" xr:uid="{00000000-0005-0000-0000-000067E20000}"/>
    <cellStyle name="Percent 10 2 9 2" xfId="29277" xr:uid="{00000000-0005-0000-0000-000068E20000}"/>
    <cellStyle name="Percent 10 20" xfId="40638" xr:uid="{00000000-0005-0000-0000-000069E20000}"/>
    <cellStyle name="Percent 10 21" xfId="42321" xr:uid="{00000000-0005-0000-0000-00006AE20000}"/>
    <cellStyle name="Percent 10 22" xfId="44004" xr:uid="{00000000-0005-0000-0000-00006BE20000}"/>
    <cellStyle name="Percent 10 23" xfId="45687" xr:uid="{00000000-0005-0000-0000-00006CE20000}"/>
    <cellStyle name="Percent 10 24" xfId="47370" xr:uid="{00000000-0005-0000-0000-00006DE20000}"/>
    <cellStyle name="Percent 10 25" xfId="49053" xr:uid="{00000000-0005-0000-0000-00006EE20000}"/>
    <cellStyle name="Percent 10 26" xfId="50736" xr:uid="{00000000-0005-0000-0000-00006FE20000}"/>
    <cellStyle name="Percent 10 27" xfId="52419" xr:uid="{00000000-0005-0000-0000-000070E20000}"/>
    <cellStyle name="Percent 10 28" xfId="54102" xr:uid="{00000000-0005-0000-0000-000071E20000}"/>
    <cellStyle name="Percent 10 29" xfId="55785" xr:uid="{00000000-0005-0000-0000-000072E20000}"/>
    <cellStyle name="Percent 10 3" xfId="1083" xr:uid="{00000000-0005-0000-0000-000073E20000}"/>
    <cellStyle name="Percent 10 3 10" xfId="16232" xr:uid="{00000000-0005-0000-0000-000074E20000}"/>
    <cellStyle name="Percent 10 3 11" xfId="31381" xr:uid="{00000000-0005-0000-0000-000075E20000}"/>
    <cellStyle name="Percent 10 3 12" xfId="33064" xr:uid="{00000000-0005-0000-0000-000076E20000}"/>
    <cellStyle name="Percent 10 3 13" xfId="34747" xr:uid="{00000000-0005-0000-0000-000077E20000}"/>
    <cellStyle name="Percent 10 3 14" xfId="36430" xr:uid="{00000000-0005-0000-0000-000078E20000}"/>
    <cellStyle name="Percent 10 3 15" xfId="38113" xr:uid="{00000000-0005-0000-0000-000079E20000}"/>
    <cellStyle name="Percent 10 3 16" xfId="39796" xr:uid="{00000000-0005-0000-0000-00007AE20000}"/>
    <cellStyle name="Percent 10 3 17" xfId="41479" xr:uid="{00000000-0005-0000-0000-00007BE20000}"/>
    <cellStyle name="Percent 10 3 18" xfId="43162" xr:uid="{00000000-0005-0000-0000-00007CE20000}"/>
    <cellStyle name="Percent 10 3 19" xfId="44845" xr:uid="{00000000-0005-0000-0000-00007DE20000}"/>
    <cellStyle name="Percent 10 3 2" xfId="2766" xr:uid="{00000000-0005-0000-0000-00007EE20000}"/>
    <cellStyle name="Percent 10 3 2 2" xfId="17915" xr:uid="{00000000-0005-0000-0000-00007FE20000}"/>
    <cellStyle name="Percent 10 3 20" xfId="46528" xr:uid="{00000000-0005-0000-0000-000080E20000}"/>
    <cellStyle name="Percent 10 3 21" xfId="48211" xr:uid="{00000000-0005-0000-0000-000081E20000}"/>
    <cellStyle name="Percent 10 3 22" xfId="49894" xr:uid="{00000000-0005-0000-0000-000082E20000}"/>
    <cellStyle name="Percent 10 3 23" xfId="51577" xr:uid="{00000000-0005-0000-0000-000083E20000}"/>
    <cellStyle name="Percent 10 3 24" xfId="53260" xr:uid="{00000000-0005-0000-0000-000084E20000}"/>
    <cellStyle name="Percent 10 3 25" xfId="54943" xr:uid="{00000000-0005-0000-0000-000085E20000}"/>
    <cellStyle name="Percent 10 3 26" xfId="56626" xr:uid="{00000000-0005-0000-0000-000086E20000}"/>
    <cellStyle name="Percent 10 3 27" xfId="58309" xr:uid="{00000000-0005-0000-0000-000087E20000}"/>
    <cellStyle name="Percent 10 3 28" xfId="59992" xr:uid="{00000000-0005-0000-0000-000088E20000}"/>
    <cellStyle name="Percent 10 3 29" xfId="61675" xr:uid="{00000000-0005-0000-0000-000089E20000}"/>
    <cellStyle name="Percent 10 3 3" xfId="4450" xr:uid="{00000000-0005-0000-0000-00008AE20000}"/>
    <cellStyle name="Percent 10 3 3 2" xfId="19599" xr:uid="{00000000-0005-0000-0000-00008BE20000}"/>
    <cellStyle name="Percent 10 3 30" xfId="63358" xr:uid="{00000000-0005-0000-0000-00008CE20000}"/>
    <cellStyle name="Percent 10 3 4" xfId="6133" xr:uid="{00000000-0005-0000-0000-00008DE20000}"/>
    <cellStyle name="Percent 10 3 4 2" xfId="21282" xr:uid="{00000000-0005-0000-0000-00008EE20000}"/>
    <cellStyle name="Percent 10 3 5" xfId="7816" xr:uid="{00000000-0005-0000-0000-00008FE20000}"/>
    <cellStyle name="Percent 10 3 5 2" xfId="22965" xr:uid="{00000000-0005-0000-0000-000090E20000}"/>
    <cellStyle name="Percent 10 3 6" xfId="9499" xr:uid="{00000000-0005-0000-0000-000091E20000}"/>
    <cellStyle name="Percent 10 3 6 2" xfId="24648" xr:uid="{00000000-0005-0000-0000-000092E20000}"/>
    <cellStyle name="Percent 10 3 7" xfId="11182" xr:uid="{00000000-0005-0000-0000-000093E20000}"/>
    <cellStyle name="Percent 10 3 7 2" xfId="26331" xr:uid="{00000000-0005-0000-0000-000094E20000}"/>
    <cellStyle name="Percent 10 3 8" xfId="12866" xr:uid="{00000000-0005-0000-0000-000095E20000}"/>
    <cellStyle name="Percent 10 3 8 2" xfId="28015" xr:uid="{00000000-0005-0000-0000-000096E20000}"/>
    <cellStyle name="Percent 10 3 9" xfId="14549" xr:uid="{00000000-0005-0000-0000-000097E20000}"/>
    <cellStyle name="Percent 10 3 9 2" xfId="29698" xr:uid="{00000000-0005-0000-0000-000098E20000}"/>
    <cellStyle name="Percent 10 30" xfId="57468" xr:uid="{00000000-0005-0000-0000-000099E20000}"/>
    <cellStyle name="Percent 10 31" xfId="59151" xr:uid="{00000000-0005-0000-0000-00009AE20000}"/>
    <cellStyle name="Percent 10 32" xfId="60834" xr:uid="{00000000-0005-0000-0000-00009BE20000}"/>
    <cellStyle name="Percent 10 33" xfId="62517" xr:uid="{00000000-0005-0000-0000-00009CE20000}"/>
    <cellStyle name="Percent 10 4" xfId="1504" xr:uid="{00000000-0005-0000-0000-00009DE20000}"/>
    <cellStyle name="Percent 10 4 10" xfId="16653" xr:uid="{00000000-0005-0000-0000-00009EE20000}"/>
    <cellStyle name="Percent 10 4 11" xfId="31802" xr:uid="{00000000-0005-0000-0000-00009FE20000}"/>
    <cellStyle name="Percent 10 4 12" xfId="33485" xr:uid="{00000000-0005-0000-0000-0000A0E20000}"/>
    <cellStyle name="Percent 10 4 13" xfId="35168" xr:uid="{00000000-0005-0000-0000-0000A1E20000}"/>
    <cellStyle name="Percent 10 4 14" xfId="36851" xr:uid="{00000000-0005-0000-0000-0000A2E20000}"/>
    <cellStyle name="Percent 10 4 15" xfId="38534" xr:uid="{00000000-0005-0000-0000-0000A3E20000}"/>
    <cellStyle name="Percent 10 4 16" xfId="40217" xr:uid="{00000000-0005-0000-0000-0000A4E20000}"/>
    <cellStyle name="Percent 10 4 17" xfId="41900" xr:uid="{00000000-0005-0000-0000-0000A5E20000}"/>
    <cellStyle name="Percent 10 4 18" xfId="43583" xr:uid="{00000000-0005-0000-0000-0000A6E20000}"/>
    <cellStyle name="Percent 10 4 19" xfId="45266" xr:uid="{00000000-0005-0000-0000-0000A7E20000}"/>
    <cellStyle name="Percent 10 4 2" xfId="3187" xr:uid="{00000000-0005-0000-0000-0000A8E20000}"/>
    <cellStyle name="Percent 10 4 2 2" xfId="18336" xr:uid="{00000000-0005-0000-0000-0000A9E20000}"/>
    <cellStyle name="Percent 10 4 20" xfId="46949" xr:uid="{00000000-0005-0000-0000-0000AAE20000}"/>
    <cellStyle name="Percent 10 4 21" xfId="48632" xr:uid="{00000000-0005-0000-0000-0000ABE20000}"/>
    <cellStyle name="Percent 10 4 22" xfId="50315" xr:uid="{00000000-0005-0000-0000-0000ACE20000}"/>
    <cellStyle name="Percent 10 4 23" xfId="51998" xr:uid="{00000000-0005-0000-0000-0000ADE20000}"/>
    <cellStyle name="Percent 10 4 24" xfId="53681" xr:uid="{00000000-0005-0000-0000-0000AEE20000}"/>
    <cellStyle name="Percent 10 4 25" xfId="55364" xr:uid="{00000000-0005-0000-0000-0000AFE20000}"/>
    <cellStyle name="Percent 10 4 26" xfId="57047" xr:uid="{00000000-0005-0000-0000-0000B0E20000}"/>
    <cellStyle name="Percent 10 4 27" xfId="58730" xr:uid="{00000000-0005-0000-0000-0000B1E20000}"/>
    <cellStyle name="Percent 10 4 28" xfId="60413" xr:uid="{00000000-0005-0000-0000-0000B2E20000}"/>
    <cellStyle name="Percent 10 4 29" xfId="62096" xr:uid="{00000000-0005-0000-0000-0000B3E20000}"/>
    <cellStyle name="Percent 10 4 3" xfId="4871" xr:uid="{00000000-0005-0000-0000-0000B4E20000}"/>
    <cellStyle name="Percent 10 4 3 2" xfId="20020" xr:uid="{00000000-0005-0000-0000-0000B5E20000}"/>
    <cellStyle name="Percent 10 4 30" xfId="63779" xr:uid="{00000000-0005-0000-0000-0000B6E20000}"/>
    <cellStyle name="Percent 10 4 4" xfId="6554" xr:uid="{00000000-0005-0000-0000-0000B7E20000}"/>
    <cellStyle name="Percent 10 4 4 2" xfId="21703" xr:uid="{00000000-0005-0000-0000-0000B8E20000}"/>
    <cellStyle name="Percent 10 4 5" xfId="8237" xr:uid="{00000000-0005-0000-0000-0000B9E20000}"/>
    <cellStyle name="Percent 10 4 5 2" xfId="23386" xr:uid="{00000000-0005-0000-0000-0000BAE20000}"/>
    <cellStyle name="Percent 10 4 6" xfId="9920" xr:uid="{00000000-0005-0000-0000-0000BBE20000}"/>
    <cellStyle name="Percent 10 4 6 2" xfId="25069" xr:uid="{00000000-0005-0000-0000-0000BCE20000}"/>
    <cellStyle name="Percent 10 4 7" xfId="11603" xr:uid="{00000000-0005-0000-0000-0000BDE20000}"/>
    <cellStyle name="Percent 10 4 7 2" xfId="26752" xr:uid="{00000000-0005-0000-0000-0000BEE20000}"/>
    <cellStyle name="Percent 10 4 8" xfId="13287" xr:uid="{00000000-0005-0000-0000-0000BFE20000}"/>
    <cellStyle name="Percent 10 4 8 2" xfId="28436" xr:uid="{00000000-0005-0000-0000-0000C0E20000}"/>
    <cellStyle name="Percent 10 4 9" xfId="14970" xr:uid="{00000000-0005-0000-0000-0000C1E20000}"/>
    <cellStyle name="Percent 10 4 9 2" xfId="30119" xr:uid="{00000000-0005-0000-0000-0000C2E20000}"/>
    <cellStyle name="Percent 10 5" xfId="1925" xr:uid="{00000000-0005-0000-0000-0000C3E20000}"/>
    <cellStyle name="Percent 10 5 2" xfId="17074" xr:uid="{00000000-0005-0000-0000-0000C4E20000}"/>
    <cellStyle name="Percent 10 6" xfId="3609" xr:uid="{00000000-0005-0000-0000-0000C5E20000}"/>
    <cellStyle name="Percent 10 6 2" xfId="18758" xr:uid="{00000000-0005-0000-0000-0000C6E20000}"/>
    <cellStyle name="Percent 10 7" xfId="5292" xr:uid="{00000000-0005-0000-0000-0000C7E20000}"/>
    <cellStyle name="Percent 10 7 2" xfId="20441" xr:uid="{00000000-0005-0000-0000-0000C8E20000}"/>
    <cellStyle name="Percent 10 8" xfId="6975" xr:uid="{00000000-0005-0000-0000-0000C9E20000}"/>
    <cellStyle name="Percent 10 8 2" xfId="22124" xr:uid="{00000000-0005-0000-0000-0000CAE20000}"/>
    <cellStyle name="Percent 10 9" xfId="8658" xr:uid="{00000000-0005-0000-0000-0000CBE20000}"/>
    <cellStyle name="Percent 10 9 2" xfId="23807" xr:uid="{00000000-0005-0000-0000-0000CCE20000}"/>
    <cellStyle name="Percent 11" xfId="452" xr:uid="{00000000-0005-0000-0000-0000CDE20000}"/>
    <cellStyle name="Percent 11 10" xfId="15601" xr:uid="{00000000-0005-0000-0000-0000CEE20000}"/>
    <cellStyle name="Percent 11 11" xfId="30750" xr:uid="{00000000-0005-0000-0000-0000CFE20000}"/>
    <cellStyle name="Percent 11 12" xfId="32433" xr:uid="{00000000-0005-0000-0000-0000D0E20000}"/>
    <cellStyle name="Percent 11 13" xfId="34116" xr:uid="{00000000-0005-0000-0000-0000D1E20000}"/>
    <cellStyle name="Percent 11 14" xfId="35799" xr:uid="{00000000-0005-0000-0000-0000D2E20000}"/>
    <cellStyle name="Percent 11 15" xfId="37482" xr:uid="{00000000-0005-0000-0000-0000D3E20000}"/>
    <cellStyle name="Percent 11 16" xfId="39165" xr:uid="{00000000-0005-0000-0000-0000D4E20000}"/>
    <cellStyle name="Percent 11 17" xfId="40848" xr:uid="{00000000-0005-0000-0000-0000D5E20000}"/>
    <cellStyle name="Percent 11 18" xfId="42531" xr:uid="{00000000-0005-0000-0000-0000D6E20000}"/>
    <cellStyle name="Percent 11 19" xfId="44214" xr:uid="{00000000-0005-0000-0000-0000D7E20000}"/>
    <cellStyle name="Percent 11 2" xfId="2135" xr:uid="{00000000-0005-0000-0000-0000D8E20000}"/>
    <cellStyle name="Percent 11 2 2" xfId="17284" xr:uid="{00000000-0005-0000-0000-0000D9E20000}"/>
    <cellStyle name="Percent 11 20" xfId="45897" xr:uid="{00000000-0005-0000-0000-0000DAE20000}"/>
    <cellStyle name="Percent 11 21" xfId="47580" xr:uid="{00000000-0005-0000-0000-0000DBE20000}"/>
    <cellStyle name="Percent 11 22" xfId="49263" xr:uid="{00000000-0005-0000-0000-0000DCE20000}"/>
    <cellStyle name="Percent 11 23" xfId="50946" xr:uid="{00000000-0005-0000-0000-0000DDE20000}"/>
    <cellStyle name="Percent 11 24" xfId="52629" xr:uid="{00000000-0005-0000-0000-0000DEE20000}"/>
    <cellStyle name="Percent 11 25" xfId="54312" xr:uid="{00000000-0005-0000-0000-0000DFE20000}"/>
    <cellStyle name="Percent 11 26" xfId="55995" xr:uid="{00000000-0005-0000-0000-0000E0E20000}"/>
    <cellStyle name="Percent 11 27" xfId="57678" xr:uid="{00000000-0005-0000-0000-0000E1E20000}"/>
    <cellStyle name="Percent 11 28" xfId="59361" xr:uid="{00000000-0005-0000-0000-0000E2E20000}"/>
    <cellStyle name="Percent 11 29" xfId="61044" xr:uid="{00000000-0005-0000-0000-0000E3E20000}"/>
    <cellStyle name="Percent 11 3" xfId="3819" xr:uid="{00000000-0005-0000-0000-0000E4E20000}"/>
    <cellStyle name="Percent 11 3 2" xfId="18968" xr:uid="{00000000-0005-0000-0000-0000E5E20000}"/>
    <cellStyle name="Percent 11 30" xfId="62727" xr:uid="{00000000-0005-0000-0000-0000E6E20000}"/>
    <cellStyle name="Percent 11 4" xfId="5502" xr:uid="{00000000-0005-0000-0000-0000E7E20000}"/>
    <cellStyle name="Percent 11 4 2" xfId="20651" xr:uid="{00000000-0005-0000-0000-0000E8E20000}"/>
    <cellStyle name="Percent 11 5" xfId="7185" xr:uid="{00000000-0005-0000-0000-0000E9E20000}"/>
    <cellStyle name="Percent 11 5 2" xfId="22334" xr:uid="{00000000-0005-0000-0000-0000EAE20000}"/>
    <cellStyle name="Percent 11 6" xfId="8868" xr:uid="{00000000-0005-0000-0000-0000EBE20000}"/>
    <cellStyle name="Percent 11 6 2" xfId="24017" xr:uid="{00000000-0005-0000-0000-0000ECE20000}"/>
    <cellStyle name="Percent 11 7" xfId="10551" xr:uid="{00000000-0005-0000-0000-0000EDE20000}"/>
    <cellStyle name="Percent 11 7 2" xfId="25700" xr:uid="{00000000-0005-0000-0000-0000EEE20000}"/>
    <cellStyle name="Percent 11 8" xfId="12235" xr:uid="{00000000-0005-0000-0000-0000EFE20000}"/>
    <cellStyle name="Percent 11 8 2" xfId="27384" xr:uid="{00000000-0005-0000-0000-0000F0E20000}"/>
    <cellStyle name="Percent 11 9" xfId="13918" xr:uid="{00000000-0005-0000-0000-0000F1E20000}"/>
    <cellStyle name="Percent 11 9 2" xfId="29067" xr:uid="{00000000-0005-0000-0000-0000F2E20000}"/>
    <cellStyle name="Percent 12" xfId="873" xr:uid="{00000000-0005-0000-0000-0000F3E20000}"/>
    <cellStyle name="Percent 12 10" xfId="16022" xr:uid="{00000000-0005-0000-0000-0000F4E20000}"/>
    <cellStyle name="Percent 12 11" xfId="31171" xr:uid="{00000000-0005-0000-0000-0000F5E20000}"/>
    <cellStyle name="Percent 12 12" xfId="32854" xr:uid="{00000000-0005-0000-0000-0000F6E20000}"/>
    <cellStyle name="Percent 12 13" xfId="34537" xr:uid="{00000000-0005-0000-0000-0000F7E20000}"/>
    <cellStyle name="Percent 12 14" xfId="36220" xr:uid="{00000000-0005-0000-0000-0000F8E20000}"/>
    <cellStyle name="Percent 12 15" xfId="37903" xr:uid="{00000000-0005-0000-0000-0000F9E20000}"/>
    <cellStyle name="Percent 12 16" xfId="39586" xr:uid="{00000000-0005-0000-0000-0000FAE20000}"/>
    <cellStyle name="Percent 12 17" xfId="41269" xr:uid="{00000000-0005-0000-0000-0000FBE20000}"/>
    <cellStyle name="Percent 12 18" xfId="42952" xr:uid="{00000000-0005-0000-0000-0000FCE20000}"/>
    <cellStyle name="Percent 12 19" xfId="44635" xr:uid="{00000000-0005-0000-0000-0000FDE20000}"/>
    <cellStyle name="Percent 12 2" xfId="2556" xr:uid="{00000000-0005-0000-0000-0000FEE20000}"/>
    <cellStyle name="Percent 12 2 2" xfId="17705" xr:uid="{00000000-0005-0000-0000-0000FFE20000}"/>
    <cellStyle name="Percent 12 20" xfId="46318" xr:uid="{00000000-0005-0000-0000-000000E30000}"/>
    <cellStyle name="Percent 12 21" xfId="48001" xr:uid="{00000000-0005-0000-0000-000001E30000}"/>
    <cellStyle name="Percent 12 22" xfId="49684" xr:uid="{00000000-0005-0000-0000-000002E30000}"/>
    <cellStyle name="Percent 12 23" xfId="51367" xr:uid="{00000000-0005-0000-0000-000003E30000}"/>
    <cellStyle name="Percent 12 24" xfId="53050" xr:uid="{00000000-0005-0000-0000-000004E30000}"/>
    <cellStyle name="Percent 12 25" xfId="54733" xr:uid="{00000000-0005-0000-0000-000005E30000}"/>
    <cellStyle name="Percent 12 26" xfId="56416" xr:uid="{00000000-0005-0000-0000-000006E30000}"/>
    <cellStyle name="Percent 12 27" xfId="58099" xr:uid="{00000000-0005-0000-0000-000007E30000}"/>
    <cellStyle name="Percent 12 28" xfId="59782" xr:uid="{00000000-0005-0000-0000-000008E30000}"/>
    <cellStyle name="Percent 12 29" xfId="61465" xr:uid="{00000000-0005-0000-0000-000009E30000}"/>
    <cellStyle name="Percent 12 3" xfId="4240" xr:uid="{00000000-0005-0000-0000-00000AE30000}"/>
    <cellStyle name="Percent 12 3 2" xfId="19389" xr:uid="{00000000-0005-0000-0000-00000BE30000}"/>
    <cellStyle name="Percent 12 30" xfId="63148" xr:uid="{00000000-0005-0000-0000-00000CE30000}"/>
    <cellStyle name="Percent 12 4" xfId="5923" xr:uid="{00000000-0005-0000-0000-00000DE30000}"/>
    <cellStyle name="Percent 12 4 2" xfId="21072" xr:uid="{00000000-0005-0000-0000-00000EE30000}"/>
    <cellStyle name="Percent 12 5" xfId="7606" xr:uid="{00000000-0005-0000-0000-00000FE30000}"/>
    <cellStyle name="Percent 12 5 2" xfId="22755" xr:uid="{00000000-0005-0000-0000-000010E30000}"/>
    <cellStyle name="Percent 12 6" xfId="9289" xr:uid="{00000000-0005-0000-0000-000011E30000}"/>
    <cellStyle name="Percent 12 6 2" xfId="24438" xr:uid="{00000000-0005-0000-0000-000012E30000}"/>
    <cellStyle name="Percent 12 7" xfId="10972" xr:uid="{00000000-0005-0000-0000-000013E30000}"/>
    <cellStyle name="Percent 12 7 2" xfId="26121" xr:uid="{00000000-0005-0000-0000-000014E30000}"/>
    <cellStyle name="Percent 12 8" xfId="12656" xr:uid="{00000000-0005-0000-0000-000015E30000}"/>
    <cellStyle name="Percent 12 8 2" xfId="27805" xr:uid="{00000000-0005-0000-0000-000016E30000}"/>
    <cellStyle name="Percent 12 9" xfId="14339" xr:uid="{00000000-0005-0000-0000-000017E30000}"/>
    <cellStyle name="Percent 12 9 2" xfId="29488" xr:uid="{00000000-0005-0000-0000-000018E30000}"/>
    <cellStyle name="Percent 13" xfId="1294" xr:uid="{00000000-0005-0000-0000-000019E30000}"/>
    <cellStyle name="Percent 13 10" xfId="16443" xr:uid="{00000000-0005-0000-0000-00001AE30000}"/>
    <cellStyle name="Percent 13 11" xfId="31592" xr:uid="{00000000-0005-0000-0000-00001BE30000}"/>
    <cellStyle name="Percent 13 12" xfId="33275" xr:uid="{00000000-0005-0000-0000-00001CE30000}"/>
    <cellStyle name="Percent 13 13" xfId="34958" xr:uid="{00000000-0005-0000-0000-00001DE30000}"/>
    <cellStyle name="Percent 13 14" xfId="36641" xr:uid="{00000000-0005-0000-0000-00001EE30000}"/>
    <cellStyle name="Percent 13 15" xfId="38324" xr:uid="{00000000-0005-0000-0000-00001FE30000}"/>
    <cellStyle name="Percent 13 16" xfId="40007" xr:uid="{00000000-0005-0000-0000-000020E30000}"/>
    <cellStyle name="Percent 13 17" xfId="41690" xr:uid="{00000000-0005-0000-0000-000021E30000}"/>
    <cellStyle name="Percent 13 18" xfId="43373" xr:uid="{00000000-0005-0000-0000-000022E30000}"/>
    <cellStyle name="Percent 13 19" xfId="45056" xr:uid="{00000000-0005-0000-0000-000023E30000}"/>
    <cellStyle name="Percent 13 2" xfId="2977" xr:uid="{00000000-0005-0000-0000-000024E30000}"/>
    <cellStyle name="Percent 13 2 2" xfId="18126" xr:uid="{00000000-0005-0000-0000-000025E30000}"/>
    <cellStyle name="Percent 13 20" xfId="46739" xr:uid="{00000000-0005-0000-0000-000026E30000}"/>
    <cellStyle name="Percent 13 21" xfId="48422" xr:uid="{00000000-0005-0000-0000-000027E30000}"/>
    <cellStyle name="Percent 13 22" xfId="50105" xr:uid="{00000000-0005-0000-0000-000028E30000}"/>
    <cellStyle name="Percent 13 23" xfId="51788" xr:uid="{00000000-0005-0000-0000-000029E30000}"/>
    <cellStyle name="Percent 13 24" xfId="53471" xr:uid="{00000000-0005-0000-0000-00002AE30000}"/>
    <cellStyle name="Percent 13 25" xfId="55154" xr:uid="{00000000-0005-0000-0000-00002BE30000}"/>
    <cellStyle name="Percent 13 26" xfId="56837" xr:uid="{00000000-0005-0000-0000-00002CE30000}"/>
    <cellStyle name="Percent 13 27" xfId="58520" xr:uid="{00000000-0005-0000-0000-00002DE30000}"/>
    <cellStyle name="Percent 13 28" xfId="60203" xr:uid="{00000000-0005-0000-0000-00002EE30000}"/>
    <cellStyle name="Percent 13 29" xfId="61886" xr:uid="{00000000-0005-0000-0000-00002FE30000}"/>
    <cellStyle name="Percent 13 3" xfId="4661" xr:uid="{00000000-0005-0000-0000-000030E30000}"/>
    <cellStyle name="Percent 13 3 2" xfId="19810" xr:uid="{00000000-0005-0000-0000-000031E30000}"/>
    <cellStyle name="Percent 13 30" xfId="63569" xr:uid="{00000000-0005-0000-0000-000032E30000}"/>
    <cellStyle name="Percent 13 4" xfId="6344" xr:uid="{00000000-0005-0000-0000-000033E30000}"/>
    <cellStyle name="Percent 13 4 2" xfId="21493" xr:uid="{00000000-0005-0000-0000-000034E30000}"/>
    <cellStyle name="Percent 13 5" xfId="8027" xr:uid="{00000000-0005-0000-0000-000035E30000}"/>
    <cellStyle name="Percent 13 5 2" xfId="23176" xr:uid="{00000000-0005-0000-0000-000036E30000}"/>
    <cellStyle name="Percent 13 6" xfId="9710" xr:uid="{00000000-0005-0000-0000-000037E30000}"/>
    <cellStyle name="Percent 13 6 2" xfId="24859" xr:uid="{00000000-0005-0000-0000-000038E30000}"/>
    <cellStyle name="Percent 13 7" xfId="11393" xr:uid="{00000000-0005-0000-0000-000039E30000}"/>
    <cellStyle name="Percent 13 7 2" xfId="26542" xr:uid="{00000000-0005-0000-0000-00003AE30000}"/>
    <cellStyle name="Percent 13 8" xfId="13077" xr:uid="{00000000-0005-0000-0000-00003BE30000}"/>
    <cellStyle name="Percent 13 8 2" xfId="28226" xr:uid="{00000000-0005-0000-0000-00003CE30000}"/>
    <cellStyle name="Percent 13 9" xfId="14760" xr:uid="{00000000-0005-0000-0000-00003DE30000}"/>
    <cellStyle name="Percent 13 9 2" xfId="29909" xr:uid="{00000000-0005-0000-0000-00003EE30000}"/>
    <cellStyle name="Percent 14" xfId="1715" xr:uid="{00000000-0005-0000-0000-00003FE30000}"/>
    <cellStyle name="Percent 14 2" xfId="16864" xr:uid="{00000000-0005-0000-0000-000040E30000}"/>
    <cellStyle name="Percent 15" xfId="3399" xr:uid="{00000000-0005-0000-0000-000041E30000}"/>
    <cellStyle name="Percent 15 2" xfId="18548" xr:uid="{00000000-0005-0000-0000-000042E30000}"/>
    <cellStyle name="Percent 16" xfId="5082" xr:uid="{00000000-0005-0000-0000-000043E30000}"/>
    <cellStyle name="Percent 16 2" xfId="20231" xr:uid="{00000000-0005-0000-0000-000044E30000}"/>
    <cellStyle name="Percent 17" xfId="6765" xr:uid="{00000000-0005-0000-0000-000045E30000}"/>
    <cellStyle name="Percent 17 2" xfId="21914" xr:uid="{00000000-0005-0000-0000-000046E30000}"/>
    <cellStyle name="Percent 18" xfId="8448" xr:uid="{00000000-0005-0000-0000-000047E30000}"/>
    <cellStyle name="Percent 18 2" xfId="23597" xr:uid="{00000000-0005-0000-0000-000048E30000}"/>
    <cellStyle name="Percent 19" xfId="10131" xr:uid="{00000000-0005-0000-0000-000049E30000}"/>
    <cellStyle name="Percent 19 2" xfId="25280" xr:uid="{00000000-0005-0000-0000-00004AE30000}"/>
    <cellStyle name="Percent 2" xfId="13" xr:uid="{00000000-0005-0000-0000-00004BE30000}"/>
    <cellStyle name="Percent 20" xfId="11815" xr:uid="{00000000-0005-0000-0000-00004CE30000}"/>
    <cellStyle name="Percent 20 2" xfId="26964" xr:uid="{00000000-0005-0000-0000-00004DE30000}"/>
    <cellStyle name="Percent 21" xfId="13498" xr:uid="{00000000-0005-0000-0000-00004EE30000}"/>
    <cellStyle name="Percent 21 2" xfId="28647" xr:uid="{00000000-0005-0000-0000-00004FE30000}"/>
    <cellStyle name="Percent 22" xfId="15181" xr:uid="{00000000-0005-0000-0000-000050E30000}"/>
    <cellStyle name="Percent 23" xfId="30330" xr:uid="{00000000-0005-0000-0000-000051E30000}"/>
    <cellStyle name="Percent 24" xfId="32013" xr:uid="{00000000-0005-0000-0000-000052E30000}"/>
    <cellStyle name="Percent 25" xfId="33696" xr:uid="{00000000-0005-0000-0000-000053E30000}"/>
    <cellStyle name="Percent 26" xfId="35379" xr:uid="{00000000-0005-0000-0000-000054E30000}"/>
    <cellStyle name="Percent 27" xfId="37062" xr:uid="{00000000-0005-0000-0000-000055E30000}"/>
    <cellStyle name="Percent 28" xfId="38745" xr:uid="{00000000-0005-0000-0000-000056E30000}"/>
    <cellStyle name="Percent 29" xfId="40428" xr:uid="{00000000-0005-0000-0000-000057E30000}"/>
    <cellStyle name="Percent 3" xfId="14" xr:uid="{00000000-0005-0000-0000-000058E30000}"/>
    <cellStyle name="Percent 3 10" xfId="1301" xr:uid="{00000000-0005-0000-0000-000059E30000}"/>
    <cellStyle name="Percent 3 10 10" xfId="16450" xr:uid="{00000000-0005-0000-0000-00005AE30000}"/>
    <cellStyle name="Percent 3 10 11" xfId="31599" xr:uid="{00000000-0005-0000-0000-00005BE30000}"/>
    <cellStyle name="Percent 3 10 12" xfId="33282" xr:uid="{00000000-0005-0000-0000-00005CE30000}"/>
    <cellStyle name="Percent 3 10 13" xfId="34965" xr:uid="{00000000-0005-0000-0000-00005DE30000}"/>
    <cellStyle name="Percent 3 10 14" xfId="36648" xr:uid="{00000000-0005-0000-0000-00005EE30000}"/>
    <cellStyle name="Percent 3 10 15" xfId="38331" xr:uid="{00000000-0005-0000-0000-00005FE30000}"/>
    <cellStyle name="Percent 3 10 16" xfId="40014" xr:uid="{00000000-0005-0000-0000-000060E30000}"/>
    <cellStyle name="Percent 3 10 17" xfId="41697" xr:uid="{00000000-0005-0000-0000-000061E30000}"/>
    <cellStyle name="Percent 3 10 18" xfId="43380" xr:uid="{00000000-0005-0000-0000-000062E30000}"/>
    <cellStyle name="Percent 3 10 19" xfId="45063" xr:uid="{00000000-0005-0000-0000-000063E30000}"/>
    <cellStyle name="Percent 3 10 2" xfId="2984" xr:uid="{00000000-0005-0000-0000-000064E30000}"/>
    <cellStyle name="Percent 3 10 2 2" xfId="18133" xr:uid="{00000000-0005-0000-0000-000065E30000}"/>
    <cellStyle name="Percent 3 10 20" xfId="46746" xr:uid="{00000000-0005-0000-0000-000066E30000}"/>
    <cellStyle name="Percent 3 10 21" xfId="48429" xr:uid="{00000000-0005-0000-0000-000067E30000}"/>
    <cellStyle name="Percent 3 10 22" xfId="50112" xr:uid="{00000000-0005-0000-0000-000068E30000}"/>
    <cellStyle name="Percent 3 10 23" xfId="51795" xr:uid="{00000000-0005-0000-0000-000069E30000}"/>
    <cellStyle name="Percent 3 10 24" xfId="53478" xr:uid="{00000000-0005-0000-0000-00006AE30000}"/>
    <cellStyle name="Percent 3 10 25" xfId="55161" xr:uid="{00000000-0005-0000-0000-00006BE30000}"/>
    <cellStyle name="Percent 3 10 26" xfId="56844" xr:uid="{00000000-0005-0000-0000-00006CE30000}"/>
    <cellStyle name="Percent 3 10 27" xfId="58527" xr:uid="{00000000-0005-0000-0000-00006DE30000}"/>
    <cellStyle name="Percent 3 10 28" xfId="60210" xr:uid="{00000000-0005-0000-0000-00006EE30000}"/>
    <cellStyle name="Percent 3 10 29" xfId="61893" xr:uid="{00000000-0005-0000-0000-00006FE30000}"/>
    <cellStyle name="Percent 3 10 3" xfId="4668" xr:uid="{00000000-0005-0000-0000-000070E30000}"/>
    <cellStyle name="Percent 3 10 3 2" xfId="19817" xr:uid="{00000000-0005-0000-0000-000071E30000}"/>
    <cellStyle name="Percent 3 10 30" xfId="63576" xr:uid="{00000000-0005-0000-0000-000072E30000}"/>
    <cellStyle name="Percent 3 10 4" xfId="6351" xr:uid="{00000000-0005-0000-0000-000073E30000}"/>
    <cellStyle name="Percent 3 10 4 2" xfId="21500" xr:uid="{00000000-0005-0000-0000-000074E30000}"/>
    <cellStyle name="Percent 3 10 5" xfId="8034" xr:uid="{00000000-0005-0000-0000-000075E30000}"/>
    <cellStyle name="Percent 3 10 5 2" xfId="23183" xr:uid="{00000000-0005-0000-0000-000076E30000}"/>
    <cellStyle name="Percent 3 10 6" xfId="9717" xr:uid="{00000000-0005-0000-0000-000077E30000}"/>
    <cellStyle name="Percent 3 10 6 2" xfId="24866" xr:uid="{00000000-0005-0000-0000-000078E30000}"/>
    <cellStyle name="Percent 3 10 7" xfId="11400" xr:uid="{00000000-0005-0000-0000-000079E30000}"/>
    <cellStyle name="Percent 3 10 7 2" xfId="26549" xr:uid="{00000000-0005-0000-0000-00007AE30000}"/>
    <cellStyle name="Percent 3 10 8" xfId="13084" xr:uid="{00000000-0005-0000-0000-00007BE30000}"/>
    <cellStyle name="Percent 3 10 8 2" xfId="28233" xr:uid="{00000000-0005-0000-0000-00007CE30000}"/>
    <cellStyle name="Percent 3 10 9" xfId="14767" xr:uid="{00000000-0005-0000-0000-00007DE30000}"/>
    <cellStyle name="Percent 3 10 9 2" xfId="29916" xr:uid="{00000000-0005-0000-0000-00007EE30000}"/>
    <cellStyle name="Percent 3 11" xfId="1722" xr:uid="{00000000-0005-0000-0000-00007FE30000}"/>
    <cellStyle name="Percent 3 11 2" xfId="16871" xr:uid="{00000000-0005-0000-0000-000080E30000}"/>
    <cellStyle name="Percent 3 12" xfId="3406" xr:uid="{00000000-0005-0000-0000-000081E30000}"/>
    <cellStyle name="Percent 3 12 2" xfId="18555" xr:uid="{00000000-0005-0000-0000-000082E30000}"/>
    <cellStyle name="Percent 3 13" xfId="5089" xr:uid="{00000000-0005-0000-0000-000083E30000}"/>
    <cellStyle name="Percent 3 13 2" xfId="20238" xr:uid="{00000000-0005-0000-0000-000084E30000}"/>
    <cellStyle name="Percent 3 14" xfId="6772" xr:uid="{00000000-0005-0000-0000-000085E30000}"/>
    <cellStyle name="Percent 3 14 2" xfId="21921" xr:uid="{00000000-0005-0000-0000-000086E30000}"/>
    <cellStyle name="Percent 3 15" xfId="8455" xr:uid="{00000000-0005-0000-0000-000087E30000}"/>
    <cellStyle name="Percent 3 15 2" xfId="23604" xr:uid="{00000000-0005-0000-0000-000088E30000}"/>
    <cellStyle name="Percent 3 16" xfId="10138" xr:uid="{00000000-0005-0000-0000-000089E30000}"/>
    <cellStyle name="Percent 3 16 2" xfId="25287" xr:uid="{00000000-0005-0000-0000-00008AE30000}"/>
    <cellStyle name="Percent 3 17" xfId="11822" xr:uid="{00000000-0005-0000-0000-00008BE30000}"/>
    <cellStyle name="Percent 3 17 2" xfId="26971" xr:uid="{00000000-0005-0000-0000-00008CE30000}"/>
    <cellStyle name="Percent 3 18" xfId="13505" xr:uid="{00000000-0005-0000-0000-00008DE30000}"/>
    <cellStyle name="Percent 3 18 2" xfId="28654" xr:uid="{00000000-0005-0000-0000-00008EE30000}"/>
    <cellStyle name="Percent 3 19" xfId="15188" xr:uid="{00000000-0005-0000-0000-00008FE30000}"/>
    <cellStyle name="Percent 3 2" xfId="25" xr:uid="{00000000-0005-0000-0000-000090E30000}"/>
    <cellStyle name="Percent 3 2 10" xfId="6780" xr:uid="{00000000-0005-0000-0000-000091E30000}"/>
    <cellStyle name="Percent 3 2 10 2" xfId="21929" xr:uid="{00000000-0005-0000-0000-000092E30000}"/>
    <cellStyle name="Percent 3 2 11" xfId="8463" xr:uid="{00000000-0005-0000-0000-000093E30000}"/>
    <cellStyle name="Percent 3 2 11 2" xfId="23612" xr:uid="{00000000-0005-0000-0000-000094E30000}"/>
    <cellStyle name="Percent 3 2 12" xfId="10146" xr:uid="{00000000-0005-0000-0000-000095E30000}"/>
    <cellStyle name="Percent 3 2 12 2" xfId="25295" xr:uid="{00000000-0005-0000-0000-000096E30000}"/>
    <cellStyle name="Percent 3 2 13" xfId="11830" xr:uid="{00000000-0005-0000-0000-000097E30000}"/>
    <cellStyle name="Percent 3 2 13 2" xfId="26979" xr:uid="{00000000-0005-0000-0000-000098E30000}"/>
    <cellStyle name="Percent 3 2 14" xfId="13513" xr:uid="{00000000-0005-0000-0000-000099E30000}"/>
    <cellStyle name="Percent 3 2 14 2" xfId="28662" xr:uid="{00000000-0005-0000-0000-00009AE30000}"/>
    <cellStyle name="Percent 3 2 15" xfId="15196" xr:uid="{00000000-0005-0000-0000-00009BE30000}"/>
    <cellStyle name="Percent 3 2 16" xfId="30345" xr:uid="{00000000-0005-0000-0000-00009CE30000}"/>
    <cellStyle name="Percent 3 2 17" xfId="32028" xr:uid="{00000000-0005-0000-0000-00009DE30000}"/>
    <cellStyle name="Percent 3 2 18" xfId="33711" xr:uid="{00000000-0005-0000-0000-00009EE30000}"/>
    <cellStyle name="Percent 3 2 19" xfId="35394" xr:uid="{00000000-0005-0000-0000-00009FE30000}"/>
    <cellStyle name="Percent 3 2 2" xfId="152" xr:uid="{00000000-0005-0000-0000-0000A0E30000}"/>
    <cellStyle name="Percent 3 2 2 10" xfId="8568" xr:uid="{00000000-0005-0000-0000-0000A1E30000}"/>
    <cellStyle name="Percent 3 2 2 10 2" xfId="23717" xr:uid="{00000000-0005-0000-0000-0000A2E30000}"/>
    <cellStyle name="Percent 3 2 2 11" xfId="10251" xr:uid="{00000000-0005-0000-0000-0000A3E30000}"/>
    <cellStyle name="Percent 3 2 2 11 2" xfId="25400" xr:uid="{00000000-0005-0000-0000-0000A4E30000}"/>
    <cellStyle name="Percent 3 2 2 12" xfId="11935" xr:uid="{00000000-0005-0000-0000-0000A5E30000}"/>
    <cellStyle name="Percent 3 2 2 12 2" xfId="27084" xr:uid="{00000000-0005-0000-0000-0000A6E30000}"/>
    <cellStyle name="Percent 3 2 2 13" xfId="13618" xr:uid="{00000000-0005-0000-0000-0000A7E30000}"/>
    <cellStyle name="Percent 3 2 2 13 2" xfId="28767" xr:uid="{00000000-0005-0000-0000-0000A8E30000}"/>
    <cellStyle name="Percent 3 2 2 14" xfId="15301" xr:uid="{00000000-0005-0000-0000-0000A9E30000}"/>
    <cellStyle name="Percent 3 2 2 15" xfId="30450" xr:uid="{00000000-0005-0000-0000-0000AAE30000}"/>
    <cellStyle name="Percent 3 2 2 16" xfId="32133" xr:uid="{00000000-0005-0000-0000-0000ABE30000}"/>
    <cellStyle name="Percent 3 2 2 17" xfId="33816" xr:uid="{00000000-0005-0000-0000-0000ACE30000}"/>
    <cellStyle name="Percent 3 2 2 18" xfId="35499" xr:uid="{00000000-0005-0000-0000-0000ADE30000}"/>
    <cellStyle name="Percent 3 2 2 19" xfId="37182" xr:uid="{00000000-0005-0000-0000-0000AEE30000}"/>
    <cellStyle name="Percent 3 2 2 2" xfId="362" xr:uid="{00000000-0005-0000-0000-0000AFE30000}"/>
    <cellStyle name="Percent 3 2 2 2 10" xfId="10461" xr:uid="{00000000-0005-0000-0000-0000B0E30000}"/>
    <cellStyle name="Percent 3 2 2 2 10 2" xfId="25610" xr:uid="{00000000-0005-0000-0000-0000B1E30000}"/>
    <cellStyle name="Percent 3 2 2 2 11" xfId="12145" xr:uid="{00000000-0005-0000-0000-0000B2E30000}"/>
    <cellStyle name="Percent 3 2 2 2 11 2" xfId="27294" xr:uid="{00000000-0005-0000-0000-0000B3E30000}"/>
    <cellStyle name="Percent 3 2 2 2 12" xfId="13828" xr:uid="{00000000-0005-0000-0000-0000B4E30000}"/>
    <cellStyle name="Percent 3 2 2 2 12 2" xfId="28977" xr:uid="{00000000-0005-0000-0000-0000B5E30000}"/>
    <cellStyle name="Percent 3 2 2 2 13" xfId="15511" xr:uid="{00000000-0005-0000-0000-0000B6E30000}"/>
    <cellStyle name="Percent 3 2 2 2 14" xfId="30660" xr:uid="{00000000-0005-0000-0000-0000B7E30000}"/>
    <cellStyle name="Percent 3 2 2 2 15" xfId="32343" xr:uid="{00000000-0005-0000-0000-0000B8E30000}"/>
    <cellStyle name="Percent 3 2 2 2 16" xfId="34026" xr:uid="{00000000-0005-0000-0000-0000B9E30000}"/>
    <cellStyle name="Percent 3 2 2 2 17" xfId="35709" xr:uid="{00000000-0005-0000-0000-0000BAE30000}"/>
    <cellStyle name="Percent 3 2 2 2 18" xfId="37392" xr:uid="{00000000-0005-0000-0000-0000BBE30000}"/>
    <cellStyle name="Percent 3 2 2 2 19" xfId="39075" xr:uid="{00000000-0005-0000-0000-0000BCE30000}"/>
    <cellStyle name="Percent 3 2 2 2 2" xfId="782" xr:uid="{00000000-0005-0000-0000-0000BDE30000}"/>
    <cellStyle name="Percent 3 2 2 2 2 10" xfId="15931" xr:uid="{00000000-0005-0000-0000-0000BEE30000}"/>
    <cellStyle name="Percent 3 2 2 2 2 11" xfId="31080" xr:uid="{00000000-0005-0000-0000-0000BFE30000}"/>
    <cellStyle name="Percent 3 2 2 2 2 12" xfId="32763" xr:uid="{00000000-0005-0000-0000-0000C0E30000}"/>
    <cellStyle name="Percent 3 2 2 2 2 13" xfId="34446" xr:uid="{00000000-0005-0000-0000-0000C1E30000}"/>
    <cellStyle name="Percent 3 2 2 2 2 14" xfId="36129" xr:uid="{00000000-0005-0000-0000-0000C2E30000}"/>
    <cellStyle name="Percent 3 2 2 2 2 15" xfId="37812" xr:uid="{00000000-0005-0000-0000-0000C3E30000}"/>
    <cellStyle name="Percent 3 2 2 2 2 16" xfId="39495" xr:uid="{00000000-0005-0000-0000-0000C4E30000}"/>
    <cellStyle name="Percent 3 2 2 2 2 17" xfId="41178" xr:uid="{00000000-0005-0000-0000-0000C5E30000}"/>
    <cellStyle name="Percent 3 2 2 2 2 18" xfId="42861" xr:uid="{00000000-0005-0000-0000-0000C6E30000}"/>
    <cellStyle name="Percent 3 2 2 2 2 19" xfId="44544" xr:uid="{00000000-0005-0000-0000-0000C7E30000}"/>
    <cellStyle name="Percent 3 2 2 2 2 2" xfId="2465" xr:uid="{00000000-0005-0000-0000-0000C8E30000}"/>
    <cellStyle name="Percent 3 2 2 2 2 2 2" xfId="17614" xr:uid="{00000000-0005-0000-0000-0000C9E30000}"/>
    <cellStyle name="Percent 3 2 2 2 2 20" xfId="46227" xr:uid="{00000000-0005-0000-0000-0000CAE30000}"/>
    <cellStyle name="Percent 3 2 2 2 2 21" xfId="47910" xr:uid="{00000000-0005-0000-0000-0000CBE30000}"/>
    <cellStyle name="Percent 3 2 2 2 2 22" xfId="49593" xr:uid="{00000000-0005-0000-0000-0000CCE30000}"/>
    <cellStyle name="Percent 3 2 2 2 2 23" xfId="51276" xr:uid="{00000000-0005-0000-0000-0000CDE30000}"/>
    <cellStyle name="Percent 3 2 2 2 2 24" xfId="52959" xr:uid="{00000000-0005-0000-0000-0000CEE30000}"/>
    <cellStyle name="Percent 3 2 2 2 2 25" xfId="54642" xr:uid="{00000000-0005-0000-0000-0000CFE30000}"/>
    <cellStyle name="Percent 3 2 2 2 2 26" xfId="56325" xr:uid="{00000000-0005-0000-0000-0000D0E30000}"/>
    <cellStyle name="Percent 3 2 2 2 2 27" xfId="58008" xr:uid="{00000000-0005-0000-0000-0000D1E30000}"/>
    <cellStyle name="Percent 3 2 2 2 2 28" xfId="59691" xr:uid="{00000000-0005-0000-0000-0000D2E30000}"/>
    <cellStyle name="Percent 3 2 2 2 2 29" xfId="61374" xr:uid="{00000000-0005-0000-0000-0000D3E30000}"/>
    <cellStyle name="Percent 3 2 2 2 2 3" xfId="4149" xr:uid="{00000000-0005-0000-0000-0000D4E30000}"/>
    <cellStyle name="Percent 3 2 2 2 2 3 2" xfId="19298" xr:uid="{00000000-0005-0000-0000-0000D5E30000}"/>
    <cellStyle name="Percent 3 2 2 2 2 30" xfId="63057" xr:uid="{00000000-0005-0000-0000-0000D6E30000}"/>
    <cellStyle name="Percent 3 2 2 2 2 4" xfId="5832" xr:uid="{00000000-0005-0000-0000-0000D7E30000}"/>
    <cellStyle name="Percent 3 2 2 2 2 4 2" xfId="20981" xr:uid="{00000000-0005-0000-0000-0000D8E30000}"/>
    <cellStyle name="Percent 3 2 2 2 2 5" xfId="7515" xr:uid="{00000000-0005-0000-0000-0000D9E30000}"/>
    <cellStyle name="Percent 3 2 2 2 2 5 2" xfId="22664" xr:uid="{00000000-0005-0000-0000-0000DAE30000}"/>
    <cellStyle name="Percent 3 2 2 2 2 6" xfId="9198" xr:uid="{00000000-0005-0000-0000-0000DBE30000}"/>
    <cellStyle name="Percent 3 2 2 2 2 6 2" xfId="24347" xr:uid="{00000000-0005-0000-0000-0000DCE30000}"/>
    <cellStyle name="Percent 3 2 2 2 2 7" xfId="10881" xr:uid="{00000000-0005-0000-0000-0000DDE30000}"/>
    <cellStyle name="Percent 3 2 2 2 2 7 2" xfId="26030" xr:uid="{00000000-0005-0000-0000-0000DEE30000}"/>
    <cellStyle name="Percent 3 2 2 2 2 8" xfId="12565" xr:uid="{00000000-0005-0000-0000-0000DFE30000}"/>
    <cellStyle name="Percent 3 2 2 2 2 8 2" xfId="27714" xr:uid="{00000000-0005-0000-0000-0000E0E30000}"/>
    <cellStyle name="Percent 3 2 2 2 2 9" xfId="14248" xr:uid="{00000000-0005-0000-0000-0000E1E30000}"/>
    <cellStyle name="Percent 3 2 2 2 2 9 2" xfId="29397" xr:uid="{00000000-0005-0000-0000-0000E2E30000}"/>
    <cellStyle name="Percent 3 2 2 2 20" xfId="40758" xr:uid="{00000000-0005-0000-0000-0000E3E30000}"/>
    <cellStyle name="Percent 3 2 2 2 21" xfId="42441" xr:uid="{00000000-0005-0000-0000-0000E4E30000}"/>
    <cellStyle name="Percent 3 2 2 2 22" xfId="44124" xr:uid="{00000000-0005-0000-0000-0000E5E30000}"/>
    <cellStyle name="Percent 3 2 2 2 23" xfId="45807" xr:uid="{00000000-0005-0000-0000-0000E6E30000}"/>
    <cellStyle name="Percent 3 2 2 2 24" xfId="47490" xr:uid="{00000000-0005-0000-0000-0000E7E30000}"/>
    <cellStyle name="Percent 3 2 2 2 25" xfId="49173" xr:uid="{00000000-0005-0000-0000-0000E8E30000}"/>
    <cellStyle name="Percent 3 2 2 2 26" xfId="50856" xr:uid="{00000000-0005-0000-0000-0000E9E30000}"/>
    <cellStyle name="Percent 3 2 2 2 27" xfId="52539" xr:uid="{00000000-0005-0000-0000-0000EAE30000}"/>
    <cellStyle name="Percent 3 2 2 2 28" xfId="54222" xr:uid="{00000000-0005-0000-0000-0000EBE30000}"/>
    <cellStyle name="Percent 3 2 2 2 29" xfId="55905" xr:uid="{00000000-0005-0000-0000-0000ECE30000}"/>
    <cellStyle name="Percent 3 2 2 2 3" xfId="1203" xr:uid="{00000000-0005-0000-0000-0000EDE30000}"/>
    <cellStyle name="Percent 3 2 2 2 3 10" xfId="16352" xr:uid="{00000000-0005-0000-0000-0000EEE30000}"/>
    <cellStyle name="Percent 3 2 2 2 3 11" xfId="31501" xr:uid="{00000000-0005-0000-0000-0000EFE30000}"/>
    <cellStyle name="Percent 3 2 2 2 3 12" xfId="33184" xr:uid="{00000000-0005-0000-0000-0000F0E30000}"/>
    <cellStyle name="Percent 3 2 2 2 3 13" xfId="34867" xr:uid="{00000000-0005-0000-0000-0000F1E30000}"/>
    <cellStyle name="Percent 3 2 2 2 3 14" xfId="36550" xr:uid="{00000000-0005-0000-0000-0000F2E30000}"/>
    <cellStyle name="Percent 3 2 2 2 3 15" xfId="38233" xr:uid="{00000000-0005-0000-0000-0000F3E30000}"/>
    <cellStyle name="Percent 3 2 2 2 3 16" xfId="39916" xr:uid="{00000000-0005-0000-0000-0000F4E30000}"/>
    <cellStyle name="Percent 3 2 2 2 3 17" xfId="41599" xr:uid="{00000000-0005-0000-0000-0000F5E30000}"/>
    <cellStyle name="Percent 3 2 2 2 3 18" xfId="43282" xr:uid="{00000000-0005-0000-0000-0000F6E30000}"/>
    <cellStyle name="Percent 3 2 2 2 3 19" xfId="44965" xr:uid="{00000000-0005-0000-0000-0000F7E30000}"/>
    <cellStyle name="Percent 3 2 2 2 3 2" xfId="2886" xr:uid="{00000000-0005-0000-0000-0000F8E30000}"/>
    <cellStyle name="Percent 3 2 2 2 3 2 2" xfId="18035" xr:uid="{00000000-0005-0000-0000-0000F9E30000}"/>
    <cellStyle name="Percent 3 2 2 2 3 20" xfId="46648" xr:uid="{00000000-0005-0000-0000-0000FAE30000}"/>
    <cellStyle name="Percent 3 2 2 2 3 21" xfId="48331" xr:uid="{00000000-0005-0000-0000-0000FBE30000}"/>
    <cellStyle name="Percent 3 2 2 2 3 22" xfId="50014" xr:uid="{00000000-0005-0000-0000-0000FCE30000}"/>
    <cellStyle name="Percent 3 2 2 2 3 23" xfId="51697" xr:uid="{00000000-0005-0000-0000-0000FDE30000}"/>
    <cellStyle name="Percent 3 2 2 2 3 24" xfId="53380" xr:uid="{00000000-0005-0000-0000-0000FEE30000}"/>
    <cellStyle name="Percent 3 2 2 2 3 25" xfId="55063" xr:uid="{00000000-0005-0000-0000-0000FFE30000}"/>
    <cellStyle name="Percent 3 2 2 2 3 26" xfId="56746" xr:uid="{00000000-0005-0000-0000-000000E40000}"/>
    <cellStyle name="Percent 3 2 2 2 3 27" xfId="58429" xr:uid="{00000000-0005-0000-0000-000001E40000}"/>
    <cellStyle name="Percent 3 2 2 2 3 28" xfId="60112" xr:uid="{00000000-0005-0000-0000-000002E40000}"/>
    <cellStyle name="Percent 3 2 2 2 3 29" xfId="61795" xr:uid="{00000000-0005-0000-0000-000003E40000}"/>
    <cellStyle name="Percent 3 2 2 2 3 3" xfId="4570" xr:uid="{00000000-0005-0000-0000-000004E40000}"/>
    <cellStyle name="Percent 3 2 2 2 3 3 2" xfId="19719" xr:uid="{00000000-0005-0000-0000-000005E40000}"/>
    <cellStyle name="Percent 3 2 2 2 3 30" xfId="63478" xr:uid="{00000000-0005-0000-0000-000006E40000}"/>
    <cellStyle name="Percent 3 2 2 2 3 4" xfId="6253" xr:uid="{00000000-0005-0000-0000-000007E40000}"/>
    <cellStyle name="Percent 3 2 2 2 3 4 2" xfId="21402" xr:uid="{00000000-0005-0000-0000-000008E40000}"/>
    <cellStyle name="Percent 3 2 2 2 3 5" xfId="7936" xr:uid="{00000000-0005-0000-0000-000009E40000}"/>
    <cellStyle name="Percent 3 2 2 2 3 5 2" xfId="23085" xr:uid="{00000000-0005-0000-0000-00000AE40000}"/>
    <cellStyle name="Percent 3 2 2 2 3 6" xfId="9619" xr:uid="{00000000-0005-0000-0000-00000BE40000}"/>
    <cellStyle name="Percent 3 2 2 2 3 6 2" xfId="24768" xr:uid="{00000000-0005-0000-0000-00000CE40000}"/>
    <cellStyle name="Percent 3 2 2 2 3 7" xfId="11302" xr:uid="{00000000-0005-0000-0000-00000DE40000}"/>
    <cellStyle name="Percent 3 2 2 2 3 7 2" xfId="26451" xr:uid="{00000000-0005-0000-0000-00000EE40000}"/>
    <cellStyle name="Percent 3 2 2 2 3 8" xfId="12986" xr:uid="{00000000-0005-0000-0000-00000FE40000}"/>
    <cellStyle name="Percent 3 2 2 2 3 8 2" xfId="28135" xr:uid="{00000000-0005-0000-0000-000010E40000}"/>
    <cellStyle name="Percent 3 2 2 2 3 9" xfId="14669" xr:uid="{00000000-0005-0000-0000-000011E40000}"/>
    <cellStyle name="Percent 3 2 2 2 3 9 2" xfId="29818" xr:uid="{00000000-0005-0000-0000-000012E40000}"/>
    <cellStyle name="Percent 3 2 2 2 30" xfId="57588" xr:uid="{00000000-0005-0000-0000-000013E40000}"/>
    <cellStyle name="Percent 3 2 2 2 31" xfId="59271" xr:uid="{00000000-0005-0000-0000-000014E40000}"/>
    <cellStyle name="Percent 3 2 2 2 32" xfId="60954" xr:uid="{00000000-0005-0000-0000-000015E40000}"/>
    <cellStyle name="Percent 3 2 2 2 33" xfId="62637" xr:uid="{00000000-0005-0000-0000-000016E40000}"/>
    <cellStyle name="Percent 3 2 2 2 4" xfId="1624" xr:uid="{00000000-0005-0000-0000-000017E40000}"/>
    <cellStyle name="Percent 3 2 2 2 4 10" xfId="16773" xr:uid="{00000000-0005-0000-0000-000018E40000}"/>
    <cellStyle name="Percent 3 2 2 2 4 11" xfId="31922" xr:uid="{00000000-0005-0000-0000-000019E40000}"/>
    <cellStyle name="Percent 3 2 2 2 4 12" xfId="33605" xr:uid="{00000000-0005-0000-0000-00001AE40000}"/>
    <cellStyle name="Percent 3 2 2 2 4 13" xfId="35288" xr:uid="{00000000-0005-0000-0000-00001BE40000}"/>
    <cellStyle name="Percent 3 2 2 2 4 14" xfId="36971" xr:uid="{00000000-0005-0000-0000-00001CE40000}"/>
    <cellStyle name="Percent 3 2 2 2 4 15" xfId="38654" xr:uid="{00000000-0005-0000-0000-00001DE40000}"/>
    <cellStyle name="Percent 3 2 2 2 4 16" xfId="40337" xr:uid="{00000000-0005-0000-0000-00001EE40000}"/>
    <cellStyle name="Percent 3 2 2 2 4 17" xfId="42020" xr:uid="{00000000-0005-0000-0000-00001FE40000}"/>
    <cellStyle name="Percent 3 2 2 2 4 18" xfId="43703" xr:uid="{00000000-0005-0000-0000-000020E40000}"/>
    <cellStyle name="Percent 3 2 2 2 4 19" xfId="45386" xr:uid="{00000000-0005-0000-0000-000021E40000}"/>
    <cellStyle name="Percent 3 2 2 2 4 2" xfId="3307" xr:uid="{00000000-0005-0000-0000-000022E40000}"/>
    <cellStyle name="Percent 3 2 2 2 4 2 2" xfId="18456" xr:uid="{00000000-0005-0000-0000-000023E40000}"/>
    <cellStyle name="Percent 3 2 2 2 4 20" xfId="47069" xr:uid="{00000000-0005-0000-0000-000024E40000}"/>
    <cellStyle name="Percent 3 2 2 2 4 21" xfId="48752" xr:uid="{00000000-0005-0000-0000-000025E40000}"/>
    <cellStyle name="Percent 3 2 2 2 4 22" xfId="50435" xr:uid="{00000000-0005-0000-0000-000026E40000}"/>
    <cellStyle name="Percent 3 2 2 2 4 23" xfId="52118" xr:uid="{00000000-0005-0000-0000-000027E40000}"/>
    <cellStyle name="Percent 3 2 2 2 4 24" xfId="53801" xr:uid="{00000000-0005-0000-0000-000028E40000}"/>
    <cellStyle name="Percent 3 2 2 2 4 25" xfId="55484" xr:uid="{00000000-0005-0000-0000-000029E40000}"/>
    <cellStyle name="Percent 3 2 2 2 4 26" xfId="57167" xr:uid="{00000000-0005-0000-0000-00002AE40000}"/>
    <cellStyle name="Percent 3 2 2 2 4 27" xfId="58850" xr:uid="{00000000-0005-0000-0000-00002BE40000}"/>
    <cellStyle name="Percent 3 2 2 2 4 28" xfId="60533" xr:uid="{00000000-0005-0000-0000-00002CE40000}"/>
    <cellStyle name="Percent 3 2 2 2 4 29" xfId="62216" xr:uid="{00000000-0005-0000-0000-00002DE40000}"/>
    <cellStyle name="Percent 3 2 2 2 4 3" xfId="4991" xr:uid="{00000000-0005-0000-0000-00002EE40000}"/>
    <cellStyle name="Percent 3 2 2 2 4 3 2" xfId="20140" xr:uid="{00000000-0005-0000-0000-00002FE40000}"/>
    <cellStyle name="Percent 3 2 2 2 4 30" xfId="63899" xr:uid="{00000000-0005-0000-0000-000030E40000}"/>
    <cellStyle name="Percent 3 2 2 2 4 4" xfId="6674" xr:uid="{00000000-0005-0000-0000-000031E40000}"/>
    <cellStyle name="Percent 3 2 2 2 4 4 2" xfId="21823" xr:uid="{00000000-0005-0000-0000-000032E40000}"/>
    <cellStyle name="Percent 3 2 2 2 4 5" xfId="8357" xr:uid="{00000000-0005-0000-0000-000033E40000}"/>
    <cellStyle name="Percent 3 2 2 2 4 5 2" xfId="23506" xr:uid="{00000000-0005-0000-0000-000034E40000}"/>
    <cellStyle name="Percent 3 2 2 2 4 6" xfId="10040" xr:uid="{00000000-0005-0000-0000-000035E40000}"/>
    <cellStyle name="Percent 3 2 2 2 4 6 2" xfId="25189" xr:uid="{00000000-0005-0000-0000-000036E40000}"/>
    <cellStyle name="Percent 3 2 2 2 4 7" xfId="11723" xr:uid="{00000000-0005-0000-0000-000037E40000}"/>
    <cellStyle name="Percent 3 2 2 2 4 7 2" xfId="26872" xr:uid="{00000000-0005-0000-0000-000038E40000}"/>
    <cellStyle name="Percent 3 2 2 2 4 8" xfId="13407" xr:uid="{00000000-0005-0000-0000-000039E40000}"/>
    <cellStyle name="Percent 3 2 2 2 4 8 2" xfId="28556" xr:uid="{00000000-0005-0000-0000-00003AE40000}"/>
    <cellStyle name="Percent 3 2 2 2 4 9" xfId="15090" xr:uid="{00000000-0005-0000-0000-00003BE40000}"/>
    <cellStyle name="Percent 3 2 2 2 4 9 2" xfId="30239" xr:uid="{00000000-0005-0000-0000-00003CE40000}"/>
    <cellStyle name="Percent 3 2 2 2 5" xfId="2045" xr:uid="{00000000-0005-0000-0000-00003DE40000}"/>
    <cellStyle name="Percent 3 2 2 2 5 2" xfId="17194" xr:uid="{00000000-0005-0000-0000-00003EE40000}"/>
    <cellStyle name="Percent 3 2 2 2 6" xfId="3729" xr:uid="{00000000-0005-0000-0000-00003FE40000}"/>
    <cellStyle name="Percent 3 2 2 2 6 2" xfId="18878" xr:uid="{00000000-0005-0000-0000-000040E40000}"/>
    <cellStyle name="Percent 3 2 2 2 7" xfId="5412" xr:uid="{00000000-0005-0000-0000-000041E40000}"/>
    <cellStyle name="Percent 3 2 2 2 7 2" xfId="20561" xr:uid="{00000000-0005-0000-0000-000042E40000}"/>
    <cellStyle name="Percent 3 2 2 2 8" xfId="7095" xr:uid="{00000000-0005-0000-0000-000043E40000}"/>
    <cellStyle name="Percent 3 2 2 2 8 2" xfId="22244" xr:uid="{00000000-0005-0000-0000-000044E40000}"/>
    <cellStyle name="Percent 3 2 2 2 9" xfId="8778" xr:uid="{00000000-0005-0000-0000-000045E40000}"/>
    <cellStyle name="Percent 3 2 2 2 9 2" xfId="23927" xr:uid="{00000000-0005-0000-0000-000046E40000}"/>
    <cellStyle name="Percent 3 2 2 20" xfId="38865" xr:uid="{00000000-0005-0000-0000-000047E40000}"/>
    <cellStyle name="Percent 3 2 2 21" xfId="40548" xr:uid="{00000000-0005-0000-0000-000048E40000}"/>
    <cellStyle name="Percent 3 2 2 22" xfId="42231" xr:uid="{00000000-0005-0000-0000-000049E40000}"/>
    <cellStyle name="Percent 3 2 2 23" xfId="43914" xr:uid="{00000000-0005-0000-0000-00004AE40000}"/>
    <cellStyle name="Percent 3 2 2 24" xfId="45597" xr:uid="{00000000-0005-0000-0000-00004BE40000}"/>
    <cellStyle name="Percent 3 2 2 25" xfId="47280" xr:uid="{00000000-0005-0000-0000-00004CE40000}"/>
    <cellStyle name="Percent 3 2 2 26" xfId="48963" xr:uid="{00000000-0005-0000-0000-00004DE40000}"/>
    <cellStyle name="Percent 3 2 2 27" xfId="50646" xr:uid="{00000000-0005-0000-0000-00004EE40000}"/>
    <cellStyle name="Percent 3 2 2 28" xfId="52329" xr:uid="{00000000-0005-0000-0000-00004FE40000}"/>
    <cellStyle name="Percent 3 2 2 29" xfId="54012" xr:uid="{00000000-0005-0000-0000-000050E40000}"/>
    <cellStyle name="Percent 3 2 2 3" xfId="572" xr:uid="{00000000-0005-0000-0000-000051E40000}"/>
    <cellStyle name="Percent 3 2 2 3 10" xfId="15721" xr:uid="{00000000-0005-0000-0000-000052E40000}"/>
    <cellStyle name="Percent 3 2 2 3 11" xfId="30870" xr:uid="{00000000-0005-0000-0000-000053E40000}"/>
    <cellStyle name="Percent 3 2 2 3 12" xfId="32553" xr:uid="{00000000-0005-0000-0000-000054E40000}"/>
    <cellStyle name="Percent 3 2 2 3 13" xfId="34236" xr:uid="{00000000-0005-0000-0000-000055E40000}"/>
    <cellStyle name="Percent 3 2 2 3 14" xfId="35919" xr:uid="{00000000-0005-0000-0000-000056E40000}"/>
    <cellStyle name="Percent 3 2 2 3 15" xfId="37602" xr:uid="{00000000-0005-0000-0000-000057E40000}"/>
    <cellStyle name="Percent 3 2 2 3 16" xfId="39285" xr:uid="{00000000-0005-0000-0000-000058E40000}"/>
    <cellStyle name="Percent 3 2 2 3 17" xfId="40968" xr:uid="{00000000-0005-0000-0000-000059E40000}"/>
    <cellStyle name="Percent 3 2 2 3 18" xfId="42651" xr:uid="{00000000-0005-0000-0000-00005AE40000}"/>
    <cellStyle name="Percent 3 2 2 3 19" xfId="44334" xr:uid="{00000000-0005-0000-0000-00005BE40000}"/>
    <cellStyle name="Percent 3 2 2 3 2" xfId="2255" xr:uid="{00000000-0005-0000-0000-00005CE40000}"/>
    <cellStyle name="Percent 3 2 2 3 2 2" xfId="17404" xr:uid="{00000000-0005-0000-0000-00005DE40000}"/>
    <cellStyle name="Percent 3 2 2 3 20" xfId="46017" xr:uid="{00000000-0005-0000-0000-00005EE40000}"/>
    <cellStyle name="Percent 3 2 2 3 21" xfId="47700" xr:uid="{00000000-0005-0000-0000-00005FE40000}"/>
    <cellStyle name="Percent 3 2 2 3 22" xfId="49383" xr:uid="{00000000-0005-0000-0000-000060E40000}"/>
    <cellStyle name="Percent 3 2 2 3 23" xfId="51066" xr:uid="{00000000-0005-0000-0000-000061E40000}"/>
    <cellStyle name="Percent 3 2 2 3 24" xfId="52749" xr:uid="{00000000-0005-0000-0000-000062E40000}"/>
    <cellStyle name="Percent 3 2 2 3 25" xfId="54432" xr:uid="{00000000-0005-0000-0000-000063E40000}"/>
    <cellStyle name="Percent 3 2 2 3 26" xfId="56115" xr:uid="{00000000-0005-0000-0000-000064E40000}"/>
    <cellStyle name="Percent 3 2 2 3 27" xfId="57798" xr:uid="{00000000-0005-0000-0000-000065E40000}"/>
    <cellStyle name="Percent 3 2 2 3 28" xfId="59481" xr:uid="{00000000-0005-0000-0000-000066E40000}"/>
    <cellStyle name="Percent 3 2 2 3 29" xfId="61164" xr:uid="{00000000-0005-0000-0000-000067E40000}"/>
    <cellStyle name="Percent 3 2 2 3 3" xfId="3939" xr:uid="{00000000-0005-0000-0000-000068E40000}"/>
    <cellStyle name="Percent 3 2 2 3 3 2" xfId="19088" xr:uid="{00000000-0005-0000-0000-000069E40000}"/>
    <cellStyle name="Percent 3 2 2 3 30" xfId="62847" xr:uid="{00000000-0005-0000-0000-00006AE40000}"/>
    <cellStyle name="Percent 3 2 2 3 4" xfId="5622" xr:uid="{00000000-0005-0000-0000-00006BE40000}"/>
    <cellStyle name="Percent 3 2 2 3 4 2" xfId="20771" xr:uid="{00000000-0005-0000-0000-00006CE40000}"/>
    <cellStyle name="Percent 3 2 2 3 5" xfId="7305" xr:uid="{00000000-0005-0000-0000-00006DE40000}"/>
    <cellStyle name="Percent 3 2 2 3 5 2" xfId="22454" xr:uid="{00000000-0005-0000-0000-00006EE40000}"/>
    <cellStyle name="Percent 3 2 2 3 6" xfId="8988" xr:uid="{00000000-0005-0000-0000-00006FE40000}"/>
    <cellStyle name="Percent 3 2 2 3 6 2" xfId="24137" xr:uid="{00000000-0005-0000-0000-000070E40000}"/>
    <cellStyle name="Percent 3 2 2 3 7" xfId="10671" xr:uid="{00000000-0005-0000-0000-000071E40000}"/>
    <cellStyle name="Percent 3 2 2 3 7 2" xfId="25820" xr:uid="{00000000-0005-0000-0000-000072E40000}"/>
    <cellStyle name="Percent 3 2 2 3 8" xfId="12355" xr:uid="{00000000-0005-0000-0000-000073E40000}"/>
    <cellStyle name="Percent 3 2 2 3 8 2" xfId="27504" xr:uid="{00000000-0005-0000-0000-000074E40000}"/>
    <cellStyle name="Percent 3 2 2 3 9" xfId="14038" xr:uid="{00000000-0005-0000-0000-000075E40000}"/>
    <cellStyle name="Percent 3 2 2 3 9 2" xfId="29187" xr:uid="{00000000-0005-0000-0000-000076E40000}"/>
    <cellStyle name="Percent 3 2 2 30" xfId="55695" xr:uid="{00000000-0005-0000-0000-000077E40000}"/>
    <cellStyle name="Percent 3 2 2 31" xfId="57378" xr:uid="{00000000-0005-0000-0000-000078E40000}"/>
    <cellStyle name="Percent 3 2 2 32" xfId="59061" xr:uid="{00000000-0005-0000-0000-000079E40000}"/>
    <cellStyle name="Percent 3 2 2 33" xfId="60744" xr:uid="{00000000-0005-0000-0000-00007AE40000}"/>
    <cellStyle name="Percent 3 2 2 34" xfId="62427" xr:uid="{00000000-0005-0000-0000-00007BE40000}"/>
    <cellStyle name="Percent 3 2 2 4" xfId="993" xr:uid="{00000000-0005-0000-0000-00007CE40000}"/>
    <cellStyle name="Percent 3 2 2 4 10" xfId="16142" xr:uid="{00000000-0005-0000-0000-00007DE40000}"/>
    <cellStyle name="Percent 3 2 2 4 11" xfId="31291" xr:uid="{00000000-0005-0000-0000-00007EE40000}"/>
    <cellStyle name="Percent 3 2 2 4 12" xfId="32974" xr:uid="{00000000-0005-0000-0000-00007FE40000}"/>
    <cellStyle name="Percent 3 2 2 4 13" xfId="34657" xr:uid="{00000000-0005-0000-0000-000080E40000}"/>
    <cellStyle name="Percent 3 2 2 4 14" xfId="36340" xr:uid="{00000000-0005-0000-0000-000081E40000}"/>
    <cellStyle name="Percent 3 2 2 4 15" xfId="38023" xr:uid="{00000000-0005-0000-0000-000082E40000}"/>
    <cellStyle name="Percent 3 2 2 4 16" xfId="39706" xr:uid="{00000000-0005-0000-0000-000083E40000}"/>
    <cellStyle name="Percent 3 2 2 4 17" xfId="41389" xr:uid="{00000000-0005-0000-0000-000084E40000}"/>
    <cellStyle name="Percent 3 2 2 4 18" xfId="43072" xr:uid="{00000000-0005-0000-0000-000085E40000}"/>
    <cellStyle name="Percent 3 2 2 4 19" xfId="44755" xr:uid="{00000000-0005-0000-0000-000086E40000}"/>
    <cellStyle name="Percent 3 2 2 4 2" xfId="2676" xr:uid="{00000000-0005-0000-0000-000087E40000}"/>
    <cellStyle name="Percent 3 2 2 4 2 2" xfId="17825" xr:uid="{00000000-0005-0000-0000-000088E40000}"/>
    <cellStyle name="Percent 3 2 2 4 20" xfId="46438" xr:uid="{00000000-0005-0000-0000-000089E40000}"/>
    <cellStyle name="Percent 3 2 2 4 21" xfId="48121" xr:uid="{00000000-0005-0000-0000-00008AE40000}"/>
    <cellStyle name="Percent 3 2 2 4 22" xfId="49804" xr:uid="{00000000-0005-0000-0000-00008BE40000}"/>
    <cellStyle name="Percent 3 2 2 4 23" xfId="51487" xr:uid="{00000000-0005-0000-0000-00008CE40000}"/>
    <cellStyle name="Percent 3 2 2 4 24" xfId="53170" xr:uid="{00000000-0005-0000-0000-00008DE40000}"/>
    <cellStyle name="Percent 3 2 2 4 25" xfId="54853" xr:uid="{00000000-0005-0000-0000-00008EE40000}"/>
    <cellStyle name="Percent 3 2 2 4 26" xfId="56536" xr:uid="{00000000-0005-0000-0000-00008FE40000}"/>
    <cellStyle name="Percent 3 2 2 4 27" xfId="58219" xr:uid="{00000000-0005-0000-0000-000090E40000}"/>
    <cellStyle name="Percent 3 2 2 4 28" xfId="59902" xr:uid="{00000000-0005-0000-0000-000091E40000}"/>
    <cellStyle name="Percent 3 2 2 4 29" xfId="61585" xr:uid="{00000000-0005-0000-0000-000092E40000}"/>
    <cellStyle name="Percent 3 2 2 4 3" xfId="4360" xr:uid="{00000000-0005-0000-0000-000093E40000}"/>
    <cellStyle name="Percent 3 2 2 4 3 2" xfId="19509" xr:uid="{00000000-0005-0000-0000-000094E40000}"/>
    <cellStyle name="Percent 3 2 2 4 30" xfId="63268" xr:uid="{00000000-0005-0000-0000-000095E40000}"/>
    <cellStyle name="Percent 3 2 2 4 4" xfId="6043" xr:uid="{00000000-0005-0000-0000-000096E40000}"/>
    <cellStyle name="Percent 3 2 2 4 4 2" xfId="21192" xr:uid="{00000000-0005-0000-0000-000097E40000}"/>
    <cellStyle name="Percent 3 2 2 4 5" xfId="7726" xr:uid="{00000000-0005-0000-0000-000098E40000}"/>
    <cellStyle name="Percent 3 2 2 4 5 2" xfId="22875" xr:uid="{00000000-0005-0000-0000-000099E40000}"/>
    <cellStyle name="Percent 3 2 2 4 6" xfId="9409" xr:uid="{00000000-0005-0000-0000-00009AE40000}"/>
    <cellStyle name="Percent 3 2 2 4 6 2" xfId="24558" xr:uid="{00000000-0005-0000-0000-00009BE40000}"/>
    <cellStyle name="Percent 3 2 2 4 7" xfId="11092" xr:uid="{00000000-0005-0000-0000-00009CE40000}"/>
    <cellStyle name="Percent 3 2 2 4 7 2" xfId="26241" xr:uid="{00000000-0005-0000-0000-00009DE40000}"/>
    <cellStyle name="Percent 3 2 2 4 8" xfId="12776" xr:uid="{00000000-0005-0000-0000-00009EE40000}"/>
    <cellStyle name="Percent 3 2 2 4 8 2" xfId="27925" xr:uid="{00000000-0005-0000-0000-00009FE40000}"/>
    <cellStyle name="Percent 3 2 2 4 9" xfId="14459" xr:uid="{00000000-0005-0000-0000-0000A0E40000}"/>
    <cellStyle name="Percent 3 2 2 4 9 2" xfId="29608" xr:uid="{00000000-0005-0000-0000-0000A1E40000}"/>
    <cellStyle name="Percent 3 2 2 5" xfId="1414" xr:uid="{00000000-0005-0000-0000-0000A2E40000}"/>
    <cellStyle name="Percent 3 2 2 5 10" xfId="16563" xr:uid="{00000000-0005-0000-0000-0000A3E40000}"/>
    <cellStyle name="Percent 3 2 2 5 11" xfId="31712" xr:uid="{00000000-0005-0000-0000-0000A4E40000}"/>
    <cellStyle name="Percent 3 2 2 5 12" xfId="33395" xr:uid="{00000000-0005-0000-0000-0000A5E40000}"/>
    <cellStyle name="Percent 3 2 2 5 13" xfId="35078" xr:uid="{00000000-0005-0000-0000-0000A6E40000}"/>
    <cellStyle name="Percent 3 2 2 5 14" xfId="36761" xr:uid="{00000000-0005-0000-0000-0000A7E40000}"/>
    <cellStyle name="Percent 3 2 2 5 15" xfId="38444" xr:uid="{00000000-0005-0000-0000-0000A8E40000}"/>
    <cellStyle name="Percent 3 2 2 5 16" xfId="40127" xr:uid="{00000000-0005-0000-0000-0000A9E40000}"/>
    <cellStyle name="Percent 3 2 2 5 17" xfId="41810" xr:uid="{00000000-0005-0000-0000-0000AAE40000}"/>
    <cellStyle name="Percent 3 2 2 5 18" xfId="43493" xr:uid="{00000000-0005-0000-0000-0000ABE40000}"/>
    <cellStyle name="Percent 3 2 2 5 19" xfId="45176" xr:uid="{00000000-0005-0000-0000-0000ACE40000}"/>
    <cellStyle name="Percent 3 2 2 5 2" xfId="3097" xr:uid="{00000000-0005-0000-0000-0000ADE40000}"/>
    <cellStyle name="Percent 3 2 2 5 2 2" xfId="18246" xr:uid="{00000000-0005-0000-0000-0000AEE40000}"/>
    <cellStyle name="Percent 3 2 2 5 20" xfId="46859" xr:uid="{00000000-0005-0000-0000-0000AFE40000}"/>
    <cellStyle name="Percent 3 2 2 5 21" xfId="48542" xr:uid="{00000000-0005-0000-0000-0000B0E40000}"/>
    <cellStyle name="Percent 3 2 2 5 22" xfId="50225" xr:uid="{00000000-0005-0000-0000-0000B1E40000}"/>
    <cellStyle name="Percent 3 2 2 5 23" xfId="51908" xr:uid="{00000000-0005-0000-0000-0000B2E40000}"/>
    <cellStyle name="Percent 3 2 2 5 24" xfId="53591" xr:uid="{00000000-0005-0000-0000-0000B3E40000}"/>
    <cellStyle name="Percent 3 2 2 5 25" xfId="55274" xr:uid="{00000000-0005-0000-0000-0000B4E40000}"/>
    <cellStyle name="Percent 3 2 2 5 26" xfId="56957" xr:uid="{00000000-0005-0000-0000-0000B5E40000}"/>
    <cellStyle name="Percent 3 2 2 5 27" xfId="58640" xr:uid="{00000000-0005-0000-0000-0000B6E40000}"/>
    <cellStyle name="Percent 3 2 2 5 28" xfId="60323" xr:uid="{00000000-0005-0000-0000-0000B7E40000}"/>
    <cellStyle name="Percent 3 2 2 5 29" xfId="62006" xr:uid="{00000000-0005-0000-0000-0000B8E40000}"/>
    <cellStyle name="Percent 3 2 2 5 3" xfId="4781" xr:uid="{00000000-0005-0000-0000-0000B9E40000}"/>
    <cellStyle name="Percent 3 2 2 5 3 2" xfId="19930" xr:uid="{00000000-0005-0000-0000-0000BAE40000}"/>
    <cellStyle name="Percent 3 2 2 5 30" xfId="63689" xr:uid="{00000000-0005-0000-0000-0000BBE40000}"/>
    <cellStyle name="Percent 3 2 2 5 4" xfId="6464" xr:uid="{00000000-0005-0000-0000-0000BCE40000}"/>
    <cellStyle name="Percent 3 2 2 5 4 2" xfId="21613" xr:uid="{00000000-0005-0000-0000-0000BDE40000}"/>
    <cellStyle name="Percent 3 2 2 5 5" xfId="8147" xr:uid="{00000000-0005-0000-0000-0000BEE40000}"/>
    <cellStyle name="Percent 3 2 2 5 5 2" xfId="23296" xr:uid="{00000000-0005-0000-0000-0000BFE40000}"/>
    <cellStyle name="Percent 3 2 2 5 6" xfId="9830" xr:uid="{00000000-0005-0000-0000-0000C0E40000}"/>
    <cellStyle name="Percent 3 2 2 5 6 2" xfId="24979" xr:uid="{00000000-0005-0000-0000-0000C1E40000}"/>
    <cellStyle name="Percent 3 2 2 5 7" xfId="11513" xr:uid="{00000000-0005-0000-0000-0000C2E40000}"/>
    <cellStyle name="Percent 3 2 2 5 7 2" xfId="26662" xr:uid="{00000000-0005-0000-0000-0000C3E40000}"/>
    <cellStyle name="Percent 3 2 2 5 8" xfId="13197" xr:uid="{00000000-0005-0000-0000-0000C4E40000}"/>
    <cellStyle name="Percent 3 2 2 5 8 2" xfId="28346" xr:uid="{00000000-0005-0000-0000-0000C5E40000}"/>
    <cellStyle name="Percent 3 2 2 5 9" xfId="14880" xr:uid="{00000000-0005-0000-0000-0000C6E40000}"/>
    <cellStyle name="Percent 3 2 2 5 9 2" xfId="30029" xr:uid="{00000000-0005-0000-0000-0000C7E40000}"/>
    <cellStyle name="Percent 3 2 2 6" xfId="1835" xr:uid="{00000000-0005-0000-0000-0000C8E40000}"/>
    <cellStyle name="Percent 3 2 2 6 2" xfId="16984" xr:uid="{00000000-0005-0000-0000-0000C9E40000}"/>
    <cellStyle name="Percent 3 2 2 7" xfId="3519" xr:uid="{00000000-0005-0000-0000-0000CAE40000}"/>
    <cellStyle name="Percent 3 2 2 7 2" xfId="18668" xr:uid="{00000000-0005-0000-0000-0000CBE40000}"/>
    <cellStyle name="Percent 3 2 2 8" xfId="5202" xr:uid="{00000000-0005-0000-0000-0000CCE40000}"/>
    <cellStyle name="Percent 3 2 2 8 2" xfId="20351" xr:uid="{00000000-0005-0000-0000-0000CDE40000}"/>
    <cellStyle name="Percent 3 2 2 9" xfId="6885" xr:uid="{00000000-0005-0000-0000-0000CEE40000}"/>
    <cellStyle name="Percent 3 2 2 9 2" xfId="22034" xr:uid="{00000000-0005-0000-0000-0000CFE40000}"/>
    <cellStyle name="Percent 3 2 20" xfId="37077" xr:uid="{00000000-0005-0000-0000-0000D0E40000}"/>
    <cellStyle name="Percent 3 2 21" xfId="38760" xr:uid="{00000000-0005-0000-0000-0000D1E40000}"/>
    <cellStyle name="Percent 3 2 22" xfId="40443" xr:uid="{00000000-0005-0000-0000-0000D2E40000}"/>
    <cellStyle name="Percent 3 2 23" xfId="42126" xr:uid="{00000000-0005-0000-0000-0000D3E40000}"/>
    <cellStyle name="Percent 3 2 24" xfId="43809" xr:uid="{00000000-0005-0000-0000-0000D4E40000}"/>
    <cellStyle name="Percent 3 2 25" xfId="45492" xr:uid="{00000000-0005-0000-0000-0000D5E40000}"/>
    <cellStyle name="Percent 3 2 26" xfId="47175" xr:uid="{00000000-0005-0000-0000-0000D6E40000}"/>
    <cellStyle name="Percent 3 2 27" xfId="48858" xr:uid="{00000000-0005-0000-0000-0000D7E40000}"/>
    <cellStyle name="Percent 3 2 28" xfId="50541" xr:uid="{00000000-0005-0000-0000-0000D8E40000}"/>
    <cellStyle name="Percent 3 2 29" xfId="52224" xr:uid="{00000000-0005-0000-0000-0000D9E40000}"/>
    <cellStyle name="Percent 3 2 3" xfId="257" xr:uid="{00000000-0005-0000-0000-0000DAE40000}"/>
    <cellStyle name="Percent 3 2 3 10" xfId="10356" xr:uid="{00000000-0005-0000-0000-0000DBE40000}"/>
    <cellStyle name="Percent 3 2 3 10 2" xfId="25505" xr:uid="{00000000-0005-0000-0000-0000DCE40000}"/>
    <cellStyle name="Percent 3 2 3 11" xfId="12040" xr:uid="{00000000-0005-0000-0000-0000DDE40000}"/>
    <cellStyle name="Percent 3 2 3 11 2" xfId="27189" xr:uid="{00000000-0005-0000-0000-0000DEE40000}"/>
    <cellStyle name="Percent 3 2 3 12" xfId="13723" xr:uid="{00000000-0005-0000-0000-0000DFE40000}"/>
    <cellStyle name="Percent 3 2 3 12 2" xfId="28872" xr:uid="{00000000-0005-0000-0000-0000E0E40000}"/>
    <cellStyle name="Percent 3 2 3 13" xfId="15406" xr:uid="{00000000-0005-0000-0000-0000E1E40000}"/>
    <cellStyle name="Percent 3 2 3 14" xfId="30555" xr:uid="{00000000-0005-0000-0000-0000E2E40000}"/>
    <cellStyle name="Percent 3 2 3 15" xfId="32238" xr:uid="{00000000-0005-0000-0000-0000E3E40000}"/>
    <cellStyle name="Percent 3 2 3 16" xfId="33921" xr:uid="{00000000-0005-0000-0000-0000E4E40000}"/>
    <cellStyle name="Percent 3 2 3 17" xfId="35604" xr:uid="{00000000-0005-0000-0000-0000E5E40000}"/>
    <cellStyle name="Percent 3 2 3 18" xfId="37287" xr:uid="{00000000-0005-0000-0000-0000E6E40000}"/>
    <cellStyle name="Percent 3 2 3 19" xfId="38970" xr:uid="{00000000-0005-0000-0000-0000E7E40000}"/>
    <cellStyle name="Percent 3 2 3 2" xfId="677" xr:uid="{00000000-0005-0000-0000-0000E8E40000}"/>
    <cellStyle name="Percent 3 2 3 2 10" xfId="15826" xr:uid="{00000000-0005-0000-0000-0000E9E40000}"/>
    <cellStyle name="Percent 3 2 3 2 11" xfId="30975" xr:uid="{00000000-0005-0000-0000-0000EAE40000}"/>
    <cellStyle name="Percent 3 2 3 2 12" xfId="32658" xr:uid="{00000000-0005-0000-0000-0000EBE40000}"/>
    <cellStyle name="Percent 3 2 3 2 13" xfId="34341" xr:uid="{00000000-0005-0000-0000-0000ECE40000}"/>
    <cellStyle name="Percent 3 2 3 2 14" xfId="36024" xr:uid="{00000000-0005-0000-0000-0000EDE40000}"/>
    <cellStyle name="Percent 3 2 3 2 15" xfId="37707" xr:uid="{00000000-0005-0000-0000-0000EEE40000}"/>
    <cellStyle name="Percent 3 2 3 2 16" xfId="39390" xr:uid="{00000000-0005-0000-0000-0000EFE40000}"/>
    <cellStyle name="Percent 3 2 3 2 17" xfId="41073" xr:uid="{00000000-0005-0000-0000-0000F0E40000}"/>
    <cellStyle name="Percent 3 2 3 2 18" xfId="42756" xr:uid="{00000000-0005-0000-0000-0000F1E40000}"/>
    <cellStyle name="Percent 3 2 3 2 19" xfId="44439" xr:uid="{00000000-0005-0000-0000-0000F2E40000}"/>
    <cellStyle name="Percent 3 2 3 2 2" xfId="2360" xr:uid="{00000000-0005-0000-0000-0000F3E40000}"/>
    <cellStyle name="Percent 3 2 3 2 2 2" xfId="17509" xr:uid="{00000000-0005-0000-0000-0000F4E40000}"/>
    <cellStyle name="Percent 3 2 3 2 20" xfId="46122" xr:uid="{00000000-0005-0000-0000-0000F5E40000}"/>
    <cellStyle name="Percent 3 2 3 2 21" xfId="47805" xr:uid="{00000000-0005-0000-0000-0000F6E40000}"/>
    <cellStyle name="Percent 3 2 3 2 22" xfId="49488" xr:uid="{00000000-0005-0000-0000-0000F7E40000}"/>
    <cellStyle name="Percent 3 2 3 2 23" xfId="51171" xr:uid="{00000000-0005-0000-0000-0000F8E40000}"/>
    <cellStyle name="Percent 3 2 3 2 24" xfId="52854" xr:uid="{00000000-0005-0000-0000-0000F9E40000}"/>
    <cellStyle name="Percent 3 2 3 2 25" xfId="54537" xr:uid="{00000000-0005-0000-0000-0000FAE40000}"/>
    <cellStyle name="Percent 3 2 3 2 26" xfId="56220" xr:uid="{00000000-0005-0000-0000-0000FBE40000}"/>
    <cellStyle name="Percent 3 2 3 2 27" xfId="57903" xr:uid="{00000000-0005-0000-0000-0000FCE40000}"/>
    <cellStyle name="Percent 3 2 3 2 28" xfId="59586" xr:uid="{00000000-0005-0000-0000-0000FDE40000}"/>
    <cellStyle name="Percent 3 2 3 2 29" xfId="61269" xr:uid="{00000000-0005-0000-0000-0000FEE40000}"/>
    <cellStyle name="Percent 3 2 3 2 3" xfId="4044" xr:uid="{00000000-0005-0000-0000-0000FFE40000}"/>
    <cellStyle name="Percent 3 2 3 2 3 2" xfId="19193" xr:uid="{00000000-0005-0000-0000-000000E50000}"/>
    <cellStyle name="Percent 3 2 3 2 30" xfId="62952" xr:uid="{00000000-0005-0000-0000-000001E50000}"/>
    <cellStyle name="Percent 3 2 3 2 4" xfId="5727" xr:uid="{00000000-0005-0000-0000-000002E50000}"/>
    <cellStyle name="Percent 3 2 3 2 4 2" xfId="20876" xr:uid="{00000000-0005-0000-0000-000003E50000}"/>
    <cellStyle name="Percent 3 2 3 2 5" xfId="7410" xr:uid="{00000000-0005-0000-0000-000004E50000}"/>
    <cellStyle name="Percent 3 2 3 2 5 2" xfId="22559" xr:uid="{00000000-0005-0000-0000-000005E50000}"/>
    <cellStyle name="Percent 3 2 3 2 6" xfId="9093" xr:uid="{00000000-0005-0000-0000-000006E50000}"/>
    <cellStyle name="Percent 3 2 3 2 6 2" xfId="24242" xr:uid="{00000000-0005-0000-0000-000007E50000}"/>
    <cellStyle name="Percent 3 2 3 2 7" xfId="10776" xr:uid="{00000000-0005-0000-0000-000008E50000}"/>
    <cellStyle name="Percent 3 2 3 2 7 2" xfId="25925" xr:uid="{00000000-0005-0000-0000-000009E50000}"/>
    <cellStyle name="Percent 3 2 3 2 8" xfId="12460" xr:uid="{00000000-0005-0000-0000-00000AE50000}"/>
    <cellStyle name="Percent 3 2 3 2 8 2" xfId="27609" xr:uid="{00000000-0005-0000-0000-00000BE50000}"/>
    <cellStyle name="Percent 3 2 3 2 9" xfId="14143" xr:uid="{00000000-0005-0000-0000-00000CE50000}"/>
    <cellStyle name="Percent 3 2 3 2 9 2" xfId="29292" xr:uid="{00000000-0005-0000-0000-00000DE50000}"/>
    <cellStyle name="Percent 3 2 3 20" xfId="40653" xr:uid="{00000000-0005-0000-0000-00000EE50000}"/>
    <cellStyle name="Percent 3 2 3 21" xfId="42336" xr:uid="{00000000-0005-0000-0000-00000FE50000}"/>
    <cellStyle name="Percent 3 2 3 22" xfId="44019" xr:uid="{00000000-0005-0000-0000-000010E50000}"/>
    <cellStyle name="Percent 3 2 3 23" xfId="45702" xr:uid="{00000000-0005-0000-0000-000011E50000}"/>
    <cellStyle name="Percent 3 2 3 24" xfId="47385" xr:uid="{00000000-0005-0000-0000-000012E50000}"/>
    <cellStyle name="Percent 3 2 3 25" xfId="49068" xr:uid="{00000000-0005-0000-0000-000013E50000}"/>
    <cellStyle name="Percent 3 2 3 26" xfId="50751" xr:uid="{00000000-0005-0000-0000-000014E50000}"/>
    <cellStyle name="Percent 3 2 3 27" xfId="52434" xr:uid="{00000000-0005-0000-0000-000015E50000}"/>
    <cellStyle name="Percent 3 2 3 28" xfId="54117" xr:uid="{00000000-0005-0000-0000-000016E50000}"/>
    <cellStyle name="Percent 3 2 3 29" xfId="55800" xr:uid="{00000000-0005-0000-0000-000017E50000}"/>
    <cellStyle name="Percent 3 2 3 3" xfId="1098" xr:uid="{00000000-0005-0000-0000-000018E50000}"/>
    <cellStyle name="Percent 3 2 3 3 10" xfId="16247" xr:uid="{00000000-0005-0000-0000-000019E50000}"/>
    <cellStyle name="Percent 3 2 3 3 11" xfId="31396" xr:uid="{00000000-0005-0000-0000-00001AE50000}"/>
    <cellStyle name="Percent 3 2 3 3 12" xfId="33079" xr:uid="{00000000-0005-0000-0000-00001BE50000}"/>
    <cellStyle name="Percent 3 2 3 3 13" xfId="34762" xr:uid="{00000000-0005-0000-0000-00001CE50000}"/>
    <cellStyle name="Percent 3 2 3 3 14" xfId="36445" xr:uid="{00000000-0005-0000-0000-00001DE50000}"/>
    <cellStyle name="Percent 3 2 3 3 15" xfId="38128" xr:uid="{00000000-0005-0000-0000-00001EE50000}"/>
    <cellStyle name="Percent 3 2 3 3 16" xfId="39811" xr:uid="{00000000-0005-0000-0000-00001FE50000}"/>
    <cellStyle name="Percent 3 2 3 3 17" xfId="41494" xr:uid="{00000000-0005-0000-0000-000020E50000}"/>
    <cellStyle name="Percent 3 2 3 3 18" xfId="43177" xr:uid="{00000000-0005-0000-0000-000021E50000}"/>
    <cellStyle name="Percent 3 2 3 3 19" xfId="44860" xr:uid="{00000000-0005-0000-0000-000022E50000}"/>
    <cellStyle name="Percent 3 2 3 3 2" xfId="2781" xr:uid="{00000000-0005-0000-0000-000023E50000}"/>
    <cellStyle name="Percent 3 2 3 3 2 2" xfId="17930" xr:uid="{00000000-0005-0000-0000-000024E50000}"/>
    <cellStyle name="Percent 3 2 3 3 20" xfId="46543" xr:uid="{00000000-0005-0000-0000-000025E50000}"/>
    <cellStyle name="Percent 3 2 3 3 21" xfId="48226" xr:uid="{00000000-0005-0000-0000-000026E50000}"/>
    <cellStyle name="Percent 3 2 3 3 22" xfId="49909" xr:uid="{00000000-0005-0000-0000-000027E50000}"/>
    <cellStyle name="Percent 3 2 3 3 23" xfId="51592" xr:uid="{00000000-0005-0000-0000-000028E50000}"/>
    <cellStyle name="Percent 3 2 3 3 24" xfId="53275" xr:uid="{00000000-0005-0000-0000-000029E50000}"/>
    <cellStyle name="Percent 3 2 3 3 25" xfId="54958" xr:uid="{00000000-0005-0000-0000-00002AE50000}"/>
    <cellStyle name="Percent 3 2 3 3 26" xfId="56641" xr:uid="{00000000-0005-0000-0000-00002BE50000}"/>
    <cellStyle name="Percent 3 2 3 3 27" xfId="58324" xr:uid="{00000000-0005-0000-0000-00002CE50000}"/>
    <cellStyle name="Percent 3 2 3 3 28" xfId="60007" xr:uid="{00000000-0005-0000-0000-00002DE50000}"/>
    <cellStyle name="Percent 3 2 3 3 29" xfId="61690" xr:uid="{00000000-0005-0000-0000-00002EE50000}"/>
    <cellStyle name="Percent 3 2 3 3 3" xfId="4465" xr:uid="{00000000-0005-0000-0000-00002FE50000}"/>
    <cellStyle name="Percent 3 2 3 3 3 2" xfId="19614" xr:uid="{00000000-0005-0000-0000-000030E50000}"/>
    <cellStyle name="Percent 3 2 3 3 30" xfId="63373" xr:uid="{00000000-0005-0000-0000-000031E50000}"/>
    <cellStyle name="Percent 3 2 3 3 4" xfId="6148" xr:uid="{00000000-0005-0000-0000-000032E50000}"/>
    <cellStyle name="Percent 3 2 3 3 4 2" xfId="21297" xr:uid="{00000000-0005-0000-0000-000033E50000}"/>
    <cellStyle name="Percent 3 2 3 3 5" xfId="7831" xr:uid="{00000000-0005-0000-0000-000034E50000}"/>
    <cellStyle name="Percent 3 2 3 3 5 2" xfId="22980" xr:uid="{00000000-0005-0000-0000-000035E50000}"/>
    <cellStyle name="Percent 3 2 3 3 6" xfId="9514" xr:uid="{00000000-0005-0000-0000-000036E50000}"/>
    <cellStyle name="Percent 3 2 3 3 6 2" xfId="24663" xr:uid="{00000000-0005-0000-0000-000037E50000}"/>
    <cellStyle name="Percent 3 2 3 3 7" xfId="11197" xr:uid="{00000000-0005-0000-0000-000038E50000}"/>
    <cellStyle name="Percent 3 2 3 3 7 2" xfId="26346" xr:uid="{00000000-0005-0000-0000-000039E50000}"/>
    <cellStyle name="Percent 3 2 3 3 8" xfId="12881" xr:uid="{00000000-0005-0000-0000-00003AE50000}"/>
    <cellStyle name="Percent 3 2 3 3 8 2" xfId="28030" xr:uid="{00000000-0005-0000-0000-00003BE50000}"/>
    <cellStyle name="Percent 3 2 3 3 9" xfId="14564" xr:uid="{00000000-0005-0000-0000-00003CE50000}"/>
    <cellStyle name="Percent 3 2 3 3 9 2" xfId="29713" xr:uid="{00000000-0005-0000-0000-00003DE50000}"/>
    <cellStyle name="Percent 3 2 3 30" xfId="57483" xr:uid="{00000000-0005-0000-0000-00003EE50000}"/>
    <cellStyle name="Percent 3 2 3 31" xfId="59166" xr:uid="{00000000-0005-0000-0000-00003FE50000}"/>
    <cellStyle name="Percent 3 2 3 32" xfId="60849" xr:uid="{00000000-0005-0000-0000-000040E50000}"/>
    <cellStyle name="Percent 3 2 3 33" xfId="62532" xr:uid="{00000000-0005-0000-0000-000041E50000}"/>
    <cellStyle name="Percent 3 2 3 4" xfId="1519" xr:uid="{00000000-0005-0000-0000-000042E50000}"/>
    <cellStyle name="Percent 3 2 3 4 10" xfId="16668" xr:uid="{00000000-0005-0000-0000-000043E50000}"/>
    <cellStyle name="Percent 3 2 3 4 11" xfId="31817" xr:uid="{00000000-0005-0000-0000-000044E50000}"/>
    <cellStyle name="Percent 3 2 3 4 12" xfId="33500" xr:uid="{00000000-0005-0000-0000-000045E50000}"/>
    <cellStyle name="Percent 3 2 3 4 13" xfId="35183" xr:uid="{00000000-0005-0000-0000-000046E50000}"/>
    <cellStyle name="Percent 3 2 3 4 14" xfId="36866" xr:uid="{00000000-0005-0000-0000-000047E50000}"/>
    <cellStyle name="Percent 3 2 3 4 15" xfId="38549" xr:uid="{00000000-0005-0000-0000-000048E50000}"/>
    <cellStyle name="Percent 3 2 3 4 16" xfId="40232" xr:uid="{00000000-0005-0000-0000-000049E50000}"/>
    <cellStyle name="Percent 3 2 3 4 17" xfId="41915" xr:uid="{00000000-0005-0000-0000-00004AE50000}"/>
    <cellStyle name="Percent 3 2 3 4 18" xfId="43598" xr:uid="{00000000-0005-0000-0000-00004BE50000}"/>
    <cellStyle name="Percent 3 2 3 4 19" xfId="45281" xr:uid="{00000000-0005-0000-0000-00004CE50000}"/>
    <cellStyle name="Percent 3 2 3 4 2" xfId="3202" xr:uid="{00000000-0005-0000-0000-00004DE50000}"/>
    <cellStyle name="Percent 3 2 3 4 2 2" xfId="18351" xr:uid="{00000000-0005-0000-0000-00004EE50000}"/>
    <cellStyle name="Percent 3 2 3 4 20" xfId="46964" xr:uid="{00000000-0005-0000-0000-00004FE50000}"/>
    <cellStyle name="Percent 3 2 3 4 21" xfId="48647" xr:uid="{00000000-0005-0000-0000-000050E50000}"/>
    <cellStyle name="Percent 3 2 3 4 22" xfId="50330" xr:uid="{00000000-0005-0000-0000-000051E50000}"/>
    <cellStyle name="Percent 3 2 3 4 23" xfId="52013" xr:uid="{00000000-0005-0000-0000-000052E50000}"/>
    <cellStyle name="Percent 3 2 3 4 24" xfId="53696" xr:uid="{00000000-0005-0000-0000-000053E50000}"/>
    <cellStyle name="Percent 3 2 3 4 25" xfId="55379" xr:uid="{00000000-0005-0000-0000-000054E50000}"/>
    <cellStyle name="Percent 3 2 3 4 26" xfId="57062" xr:uid="{00000000-0005-0000-0000-000055E50000}"/>
    <cellStyle name="Percent 3 2 3 4 27" xfId="58745" xr:uid="{00000000-0005-0000-0000-000056E50000}"/>
    <cellStyle name="Percent 3 2 3 4 28" xfId="60428" xr:uid="{00000000-0005-0000-0000-000057E50000}"/>
    <cellStyle name="Percent 3 2 3 4 29" xfId="62111" xr:uid="{00000000-0005-0000-0000-000058E50000}"/>
    <cellStyle name="Percent 3 2 3 4 3" xfId="4886" xr:uid="{00000000-0005-0000-0000-000059E50000}"/>
    <cellStyle name="Percent 3 2 3 4 3 2" xfId="20035" xr:uid="{00000000-0005-0000-0000-00005AE50000}"/>
    <cellStyle name="Percent 3 2 3 4 30" xfId="63794" xr:uid="{00000000-0005-0000-0000-00005BE50000}"/>
    <cellStyle name="Percent 3 2 3 4 4" xfId="6569" xr:uid="{00000000-0005-0000-0000-00005CE50000}"/>
    <cellStyle name="Percent 3 2 3 4 4 2" xfId="21718" xr:uid="{00000000-0005-0000-0000-00005DE50000}"/>
    <cellStyle name="Percent 3 2 3 4 5" xfId="8252" xr:uid="{00000000-0005-0000-0000-00005EE50000}"/>
    <cellStyle name="Percent 3 2 3 4 5 2" xfId="23401" xr:uid="{00000000-0005-0000-0000-00005FE50000}"/>
    <cellStyle name="Percent 3 2 3 4 6" xfId="9935" xr:uid="{00000000-0005-0000-0000-000060E50000}"/>
    <cellStyle name="Percent 3 2 3 4 6 2" xfId="25084" xr:uid="{00000000-0005-0000-0000-000061E50000}"/>
    <cellStyle name="Percent 3 2 3 4 7" xfId="11618" xr:uid="{00000000-0005-0000-0000-000062E50000}"/>
    <cellStyle name="Percent 3 2 3 4 7 2" xfId="26767" xr:uid="{00000000-0005-0000-0000-000063E50000}"/>
    <cellStyle name="Percent 3 2 3 4 8" xfId="13302" xr:uid="{00000000-0005-0000-0000-000064E50000}"/>
    <cellStyle name="Percent 3 2 3 4 8 2" xfId="28451" xr:uid="{00000000-0005-0000-0000-000065E50000}"/>
    <cellStyle name="Percent 3 2 3 4 9" xfId="14985" xr:uid="{00000000-0005-0000-0000-000066E50000}"/>
    <cellStyle name="Percent 3 2 3 4 9 2" xfId="30134" xr:uid="{00000000-0005-0000-0000-000067E50000}"/>
    <cellStyle name="Percent 3 2 3 5" xfId="1940" xr:uid="{00000000-0005-0000-0000-000068E50000}"/>
    <cellStyle name="Percent 3 2 3 5 2" xfId="17089" xr:uid="{00000000-0005-0000-0000-000069E50000}"/>
    <cellStyle name="Percent 3 2 3 6" xfId="3624" xr:uid="{00000000-0005-0000-0000-00006AE50000}"/>
    <cellStyle name="Percent 3 2 3 6 2" xfId="18773" xr:uid="{00000000-0005-0000-0000-00006BE50000}"/>
    <cellStyle name="Percent 3 2 3 7" xfId="5307" xr:uid="{00000000-0005-0000-0000-00006CE50000}"/>
    <cellStyle name="Percent 3 2 3 7 2" xfId="20456" xr:uid="{00000000-0005-0000-0000-00006DE50000}"/>
    <cellStyle name="Percent 3 2 3 8" xfId="6990" xr:uid="{00000000-0005-0000-0000-00006EE50000}"/>
    <cellStyle name="Percent 3 2 3 8 2" xfId="22139" xr:uid="{00000000-0005-0000-0000-00006FE50000}"/>
    <cellStyle name="Percent 3 2 3 9" xfId="8673" xr:uid="{00000000-0005-0000-0000-000070E50000}"/>
    <cellStyle name="Percent 3 2 3 9 2" xfId="23822" xr:uid="{00000000-0005-0000-0000-000071E50000}"/>
    <cellStyle name="Percent 3 2 30" xfId="53907" xr:uid="{00000000-0005-0000-0000-000072E50000}"/>
    <cellStyle name="Percent 3 2 31" xfId="55590" xr:uid="{00000000-0005-0000-0000-000073E50000}"/>
    <cellStyle name="Percent 3 2 32" xfId="57273" xr:uid="{00000000-0005-0000-0000-000074E50000}"/>
    <cellStyle name="Percent 3 2 33" xfId="58956" xr:uid="{00000000-0005-0000-0000-000075E50000}"/>
    <cellStyle name="Percent 3 2 34" xfId="60639" xr:uid="{00000000-0005-0000-0000-000076E50000}"/>
    <cellStyle name="Percent 3 2 35" xfId="62322" xr:uid="{00000000-0005-0000-0000-000077E50000}"/>
    <cellStyle name="Percent 3 2 4" xfId="467" xr:uid="{00000000-0005-0000-0000-000078E50000}"/>
    <cellStyle name="Percent 3 2 4 10" xfId="15616" xr:uid="{00000000-0005-0000-0000-000079E50000}"/>
    <cellStyle name="Percent 3 2 4 11" xfId="30765" xr:uid="{00000000-0005-0000-0000-00007AE50000}"/>
    <cellStyle name="Percent 3 2 4 12" xfId="32448" xr:uid="{00000000-0005-0000-0000-00007BE50000}"/>
    <cellStyle name="Percent 3 2 4 13" xfId="34131" xr:uid="{00000000-0005-0000-0000-00007CE50000}"/>
    <cellStyle name="Percent 3 2 4 14" xfId="35814" xr:uid="{00000000-0005-0000-0000-00007DE50000}"/>
    <cellStyle name="Percent 3 2 4 15" xfId="37497" xr:uid="{00000000-0005-0000-0000-00007EE50000}"/>
    <cellStyle name="Percent 3 2 4 16" xfId="39180" xr:uid="{00000000-0005-0000-0000-00007FE50000}"/>
    <cellStyle name="Percent 3 2 4 17" xfId="40863" xr:uid="{00000000-0005-0000-0000-000080E50000}"/>
    <cellStyle name="Percent 3 2 4 18" xfId="42546" xr:uid="{00000000-0005-0000-0000-000081E50000}"/>
    <cellStyle name="Percent 3 2 4 19" xfId="44229" xr:uid="{00000000-0005-0000-0000-000082E50000}"/>
    <cellStyle name="Percent 3 2 4 2" xfId="2150" xr:uid="{00000000-0005-0000-0000-000083E50000}"/>
    <cellStyle name="Percent 3 2 4 2 2" xfId="17299" xr:uid="{00000000-0005-0000-0000-000084E50000}"/>
    <cellStyle name="Percent 3 2 4 20" xfId="45912" xr:uid="{00000000-0005-0000-0000-000085E50000}"/>
    <cellStyle name="Percent 3 2 4 21" xfId="47595" xr:uid="{00000000-0005-0000-0000-000086E50000}"/>
    <cellStyle name="Percent 3 2 4 22" xfId="49278" xr:uid="{00000000-0005-0000-0000-000087E50000}"/>
    <cellStyle name="Percent 3 2 4 23" xfId="50961" xr:uid="{00000000-0005-0000-0000-000088E50000}"/>
    <cellStyle name="Percent 3 2 4 24" xfId="52644" xr:uid="{00000000-0005-0000-0000-000089E50000}"/>
    <cellStyle name="Percent 3 2 4 25" xfId="54327" xr:uid="{00000000-0005-0000-0000-00008AE50000}"/>
    <cellStyle name="Percent 3 2 4 26" xfId="56010" xr:uid="{00000000-0005-0000-0000-00008BE50000}"/>
    <cellStyle name="Percent 3 2 4 27" xfId="57693" xr:uid="{00000000-0005-0000-0000-00008CE50000}"/>
    <cellStyle name="Percent 3 2 4 28" xfId="59376" xr:uid="{00000000-0005-0000-0000-00008DE50000}"/>
    <cellStyle name="Percent 3 2 4 29" xfId="61059" xr:uid="{00000000-0005-0000-0000-00008EE50000}"/>
    <cellStyle name="Percent 3 2 4 3" xfId="3834" xr:uid="{00000000-0005-0000-0000-00008FE50000}"/>
    <cellStyle name="Percent 3 2 4 3 2" xfId="18983" xr:uid="{00000000-0005-0000-0000-000090E50000}"/>
    <cellStyle name="Percent 3 2 4 30" xfId="62742" xr:uid="{00000000-0005-0000-0000-000091E50000}"/>
    <cellStyle name="Percent 3 2 4 4" xfId="5517" xr:uid="{00000000-0005-0000-0000-000092E50000}"/>
    <cellStyle name="Percent 3 2 4 4 2" xfId="20666" xr:uid="{00000000-0005-0000-0000-000093E50000}"/>
    <cellStyle name="Percent 3 2 4 5" xfId="7200" xr:uid="{00000000-0005-0000-0000-000094E50000}"/>
    <cellStyle name="Percent 3 2 4 5 2" xfId="22349" xr:uid="{00000000-0005-0000-0000-000095E50000}"/>
    <cellStyle name="Percent 3 2 4 6" xfId="8883" xr:uid="{00000000-0005-0000-0000-000096E50000}"/>
    <cellStyle name="Percent 3 2 4 6 2" xfId="24032" xr:uid="{00000000-0005-0000-0000-000097E50000}"/>
    <cellStyle name="Percent 3 2 4 7" xfId="10566" xr:uid="{00000000-0005-0000-0000-000098E50000}"/>
    <cellStyle name="Percent 3 2 4 7 2" xfId="25715" xr:uid="{00000000-0005-0000-0000-000099E50000}"/>
    <cellStyle name="Percent 3 2 4 8" xfId="12250" xr:uid="{00000000-0005-0000-0000-00009AE50000}"/>
    <cellStyle name="Percent 3 2 4 8 2" xfId="27399" xr:uid="{00000000-0005-0000-0000-00009BE50000}"/>
    <cellStyle name="Percent 3 2 4 9" xfId="13933" xr:uid="{00000000-0005-0000-0000-00009CE50000}"/>
    <cellStyle name="Percent 3 2 4 9 2" xfId="29082" xr:uid="{00000000-0005-0000-0000-00009DE50000}"/>
    <cellStyle name="Percent 3 2 5" xfId="888" xr:uid="{00000000-0005-0000-0000-00009EE50000}"/>
    <cellStyle name="Percent 3 2 5 10" xfId="16037" xr:uid="{00000000-0005-0000-0000-00009FE50000}"/>
    <cellStyle name="Percent 3 2 5 11" xfId="31186" xr:uid="{00000000-0005-0000-0000-0000A0E50000}"/>
    <cellStyle name="Percent 3 2 5 12" xfId="32869" xr:uid="{00000000-0005-0000-0000-0000A1E50000}"/>
    <cellStyle name="Percent 3 2 5 13" xfId="34552" xr:uid="{00000000-0005-0000-0000-0000A2E50000}"/>
    <cellStyle name="Percent 3 2 5 14" xfId="36235" xr:uid="{00000000-0005-0000-0000-0000A3E50000}"/>
    <cellStyle name="Percent 3 2 5 15" xfId="37918" xr:uid="{00000000-0005-0000-0000-0000A4E50000}"/>
    <cellStyle name="Percent 3 2 5 16" xfId="39601" xr:uid="{00000000-0005-0000-0000-0000A5E50000}"/>
    <cellStyle name="Percent 3 2 5 17" xfId="41284" xr:uid="{00000000-0005-0000-0000-0000A6E50000}"/>
    <cellStyle name="Percent 3 2 5 18" xfId="42967" xr:uid="{00000000-0005-0000-0000-0000A7E50000}"/>
    <cellStyle name="Percent 3 2 5 19" xfId="44650" xr:uid="{00000000-0005-0000-0000-0000A8E50000}"/>
    <cellStyle name="Percent 3 2 5 2" xfId="2571" xr:uid="{00000000-0005-0000-0000-0000A9E50000}"/>
    <cellStyle name="Percent 3 2 5 2 2" xfId="17720" xr:uid="{00000000-0005-0000-0000-0000AAE50000}"/>
    <cellStyle name="Percent 3 2 5 20" xfId="46333" xr:uid="{00000000-0005-0000-0000-0000ABE50000}"/>
    <cellStyle name="Percent 3 2 5 21" xfId="48016" xr:uid="{00000000-0005-0000-0000-0000ACE50000}"/>
    <cellStyle name="Percent 3 2 5 22" xfId="49699" xr:uid="{00000000-0005-0000-0000-0000ADE50000}"/>
    <cellStyle name="Percent 3 2 5 23" xfId="51382" xr:uid="{00000000-0005-0000-0000-0000AEE50000}"/>
    <cellStyle name="Percent 3 2 5 24" xfId="53065" xr:uid="{00000000-0005-0000-0000-0000AFE50000}"/>
    <cellStyle name="Percent 3 2 5 25" xfId="54748" xr:uid="{00000000-0005-0000-0000-0000B0E50000}"/>
    <cellStyle name="Percent 3 2 5 26" xfId="56431" xr:uid="{00000000-0005-0000-0000-0000B1E50000}"/>
    <cellStyle name="Percent 3 2 5 27" xfId="58114" xr:uid="{00000000-0005-0000-0000-0000B2E50000}"/>
    <cellStyle name="Percent 3 2 5 28" xfId="59797" xr:uid="{00000000-0005-0000-0000-0000B3E50000}"/>
    <cellStyle name="Percent 3 2 5 29" xfId="61480" xr:uid="{00000000-0005-0000-0000-0000B4E50000}"/>
    <cellStyle name="Percent 3 2 5 3" xfId="4255" xr:uid="{00000000-0005-0000-0000-0000B5E50000}"/>
    <cellStyle name="Percent 3 2 5 3 2" xfId="19404" xr:uid="{00000000-0005-0000-0000-0000B6E50000}"/>
    <cellStyle name="Percent 3 2 5 30" xfId="63163" xr:uid="{00000000-0005-0000-0000-0000B7E50000}"/>
    <cellStyle name="Percent 3 2 5 4" xfId="5938" xr:uid="{00000000-0005-0000-0000-0000B8E50000}"/>
    <cellStyle name="Percent 3 2 5 4 2" xfId="21087" xr:uid="{00000000-0005-0000-0000-0000B9E50000}"/>
    <cellStyle name="Percent 3 2 5 5" xfId="7621" xr:uid="{00000000-0005-0000-0000-0000BAE50000}"/>
    <cellStyle name="Percent 3 2 5 5 2" xfId="22770" xr:uid="{00000000-0005-0000-0000-0000BBE50000}"/>
    <cellStyle name="Percent 3 2 5 6" xfId="9304" xr:uid="{00000000-0005-0000-0000-0000BCE50000}"/>
    <cellStyle name="Percent 3 2 5 6 2" xfId="24453" xr:uid="{00000000-0005-0000-0000-0000BDE50000}"/>
    <cellStyle name="Percent 3 2 5 7" xfId="10987" xr:uid="{00000000-0005-0000-0000-0000BEE50000}"/>
    <cellStyle name="Percent 3 2 5 7 2" xfId="26136" xr:uid="{00000000-0005-0000-0000-0000BFE50000}"/>
    <cellStyle name="Percent 3 2 5 8" xfId="12671" xr:uid="{00000000-0005-0000-0000-0000C0E50000}"/>
    <cellStyle name="Percent 3 2 5 8 2" xfId="27820" xr:uid="{00000000-0005-0000-0000-0000C1E50000}"/>
    <cellStyle name="Percent 3 2 5 9" xfId="14354" xr:uid="{00000000-0005-0000-0000-0000C2E50000}"/>
    <cellStyle name="Percent 3 2 5 9 2" xfId="29503" xr:uid="{00000000-0005-0000-0000-0000C3E50000}"/>
    <cellStyle name="Percent 3 2 6" xfId="1309" xr:uid="{00000000-0005-0000-0000-0000C4E50000}"/>
    <cellStyle name="Percent 3 2 6 10" xfId="16458" xr:uid="{00000000-0005-0000-0000-0000C5E50000}"/>
    <cellStyle name="Percent 3 2 6 11" xfId="31607" xr:uid="{00000000-0005-0000-0000-0000C6E50000}"/>
    <cellStyle name="Percent 3 2 6 12" xfId="33290" xr:uid="{00000000-0005-0000-0000-0000C7E50000}"/>
    <cellStyle name="Percent 3 2 6 13" xfId="34973" xr:uid="{00000000-0005-0000-0000-0000C8E50000}"/>
    <cellStyle name="Percent 3 2 6 14" xfId="36656" xr:uid="{00000000-0005-0000-0000-0000C9E50000}"/>
    <cellStyle name="Percent 3 2 6 15" xfId="38339" xr:uid="{00000000-0005-0000-0000-0000CAE50000}"/>
    <cellStyle name="Percent 3 2 6 16" xfId="40022" xr:uid="{00000000-0005-0000-0000-0000CBE50000}"/>
    <cellStyle name="Percent 3 2 6 17" xfId="41705" xr:uid="{00000000-0005-0000-0000-0000CCE50000}"/>
    <cellStyle name="Percent 3 2 6 18" xfId="43388" xr:uid="{00000000-0005-0000-0000-0000CDE50000}"/>
    <cellStyle name="Percent 3 2 6 19" xfId="45071" xr:uid="{00000000-0005-0000-0000-0000CEE50000}"/>
    <cellStyle name="Percent 3 2 6 2" xfId="2992" xr:uid="{00000000-0005-0000-0000-0000CFE50000}"/>
    <cellStyle name="Percent 3 2 6 2 2" xfId="18141" xr:uid="{00000000-0005-0000-0000-0000D0E50000}"/>
    <cellStyle name="Percent 3 2 6 20" xfId="46754" xr:uid="{00000000-0005-0000-0000-0000D1E50000}"/>
    <cellStyle name="Percent 3 2 6 21" xfId="48437" xr:uid="{00000000-0005-0000-0000-0000D2E50000}"/>
    <cellStyle name="Percent 3 2 6 22" xfId="50120" xr:uid="{00000000-0005-0000-0000-0000D3E50000}"/>
    <cellStyle name="Percent 3 2 6 23" xfId="51803" xr:uid="{00000000-0005-0000-0000-0000D4E50000}"/>
    <cellStyle name="Percent 3 2 6 24" xfId="53486" xr:uid="{00000000-0005-0000-0000-0000D5E50000}"/>
    <cellStyle name="Percent 3 2 6 25" xfId="55169" xr:uid="{00000000-0005-0000-0000-0000D6E50000}"/>
    <cellStyle name="Percent 3 2 6 26" xfId="56852" xr:uid="{00000000-0005-0000-0000-0000D7E50000}"/>
    <cellStyle name="Percent 3 2 6 27" xfId="58535" xr:uid="{00000000-0005-0000-0000-0000D8E50000}"/>
    <cellStyle name="Percent 3 2 6 28" xfId="60218" xr:uid="{00000000-0005-0000-0000-0000D9E50000}"/>
    <cellStyle name="Percent 3 2 6 29" xfId="61901" xr:uid="{00000000-0005-0000-0000-0000DAE50000}"/>
    <cellStyle name="Percent 3 2 6 3" xfId="4676" xr:uid="{00000000-0005-0000-0000-0000DBE50000}"/>
    <cellStyle name="Percent 3 2 6 3 2" xfId="19825" xr:uid="{00000000-0005-0000-0000-0000DCE50000}"/>
    <cellStyle name="Percent 3 2 6 30" xfId="63584" xr:uid="{00000000-0005-0000-0000-0000DDE50000}"/>
    <cellStyle name="Percent 3 2 6 4" xfId="6359" xr:uid="{00000000-0005-0000-0000-0000DEE50000}"/>
    <cellStyle name="Percent 3 2 6 4 2" xfId="21508" xr:uid="{00000000-0005-0000-0000-0000DFE50000}"/>
    <cellStyle name="Percent 3 2 6 5" xfId="8042" xr:uid="{00000000-0005-0000-0000-0000E0E50000}"/>
    <cellStyle name="Percent 3 2 6 5 2" xfId="23191" xr:uid="{00000000-0005-0000-0000-0000E1E50000}"/>
    <cellStyle name="Percent 3 2 6 6" xfId="9725" xr:uid="{00000000-0005-0000-0000-0000E2E50000}"/>
    <cellStyle name="Percent 3 2 6 6 2" xfId="24874" xr:uid="{00000000-0005-0000-0000-0000E3E50000}"/>
    <cellStyle name="Percent 3 2 6 7" xfId="11408" xr:uid="{00000000-0005-0000-0000-0000E4E50000}"/>
    <cellStyle name="Percent 3 2 6 7 2" xfId="26557" xr:uid="{00000000-0005-0000-0000-0000E5E50000}"/>
    <cellStyle name="Percent 3 2 6 8" xfId="13092" xr:uid="{00000000-0005-0000-0000-0000E6E50000}"/>
    <cellStyle name="Percent 3 2 6 8 2" xfId="28241" xr:uid="{00000000-0005-0000-0000-0000E7E50000}"/>
    <cellStyle name="Percent 3 2 6 9" xfId="14775" xr:uid="{00000000-0005-0000-0000-0000E8E50000}"/>
    <cellStyle name="Percent 3 2 6 9 2" xfId="29924" xr:uid="{00000000-0005-0000-0000-0000E9E50000}"/>
    <cellStyle name="Percent 3 2 7" xfId="1730" xr:uid="{00000000-0005-0000-0000-0000EAE50000}"/>
    <cellStyle name="Percent 3 2 7 2" xfId="16879" xr:uid="{00000000-0005-0000-0000-0000EBE50000}"/>
    <cellStyle name="Percent 3 2 8" xfId="3414" xr:uid="{00000000-0005-0000-0000-0000ECE50000}"/>
    <cellStyle name="Percent 3 2 8 2" xfId="18563" xr:uid="{00000000-0005-0000-0000-0000EDE50000}"/>
    <cellStyle name="Percent 3 2 9" xfId="5097" xr:uid="{00000000-0005-0000-0000-0000EEE50000}"/>
    <cellStyle name="Percent 3 2 9 2" xfId="20246" xr:uid="{00000000-0005-0000-0000-0000EFE50000}"/>
    <cellStyle name="Percent 3 20" xfId="30337" xr:uid="{00000000-0005-0000-0000-0000F0E50000}"/>
    <cellStyle name="Percent 3 21" xfId="32020" xr:uid="{00000000-0005-0000-0000-0000F1E50000}"/>
    <cellStyle name="Percent 3 22" xfId="33703" xr:uid="{00000000-0005-0000-0000-0000F2E50000}"/>
    <cellStyle name="Percent 3 23" xfId="35386" xr:uid="{00000000-0005-0000-0000-0000F3E50000}"/>
    <cellStyle name="Percent 3 24" xfId="37069" xr:uid="{00000000-0005-0000-0000-0000F4E50000}"/>
    <cellStyle name="Percent 3 25" xfId="38752" xr:uid="{00000000-0005-0000-0000-0000F5E50000}"/>
    <cellStyle name="Percent 3 26" xfId="40435" xr:uid="{00000000-0005-0000-0000-0000F6E50000}"/>
    <cellStyle name="Percent 3 27" xfId="42118" xr:uid="{00000000-0005-0000-0000-0000F7E50000}"/>
    <cellStyle name="Percent 3 28" xfId="43801" xr:uid="{00000000-0005-0000-0000-0000F8E50000}"/>
    <cellStyle name="Percent 3 29" xfId="45484" xr:uid="{00000000-0005-0000-0000-0000F9E50000}"/>
    <cellStyle name="Percent 3 3" xfId="34" xr:uid="{00000000-0005-0000-0000-0000FAE50000}"/>
    <cellStyle name="Percent 3 3 10" xfId="6789" xr:uid="{00000000-0005-0000-0000-0000FBE50000}"/>
    <cellStyle name="Percent 3 3 10 2" xfId="21938" xr:uid="{00000000-0005-0000-0000-0000FCE50000}"/>
    <cellStyle name="Percent 3 3 11" xfId="8472" xr:uid="{00000000-0005-0000-0000-0000FDE50000}"/>
    <cellStyle name="Percent 3 3 11 2" xfId="23621" xr:uid="{00000000-0005-0000-0000-0000FEE50000}"/>
    <cellStyle name="Percent 3 3 12" xfId="10155" xr:uid="{00000000-0005-0000-0000-0000FFE50000}"/>
    <cellStyle name="Percent 3 3 12 2" xfId="25304" xr:uid="{00000000-0005-0000-0000-000000E60000}"/>
    <cellStyle name="Percent 3 3 13" xfId="11839" xr:uid="{00000000-0005-0000-0000-000001E60000}"/>
    <cellStyle name="Percent 3 3 13 2" xfId="26988" xr:uid="{00000000-0005-0000-0000-000002E60000}"/>
    <cellStyle name="Percent 3 3 14" xfId="13522" xr:uid="{00000000-0005-0000-0000-000003E60000}"/>
    <cellStyle name="Percent 3 3 14 2" xfId="28671" xr:uid="{00000000-0005-0000-0000-000004E60000}"/>
    <cellStyle name="Percent 3 3 15" xfId="15205" xr:uid="{00000000-0005-0000-0000-000005E60000}"/>
    <cellStyle name="Percent 3 3 16" xfId="30354" xr:uid="{00000000-0005-0000-0000-000006E60000}"/>
    <cellStyle name="Percent 3 3 17" xfId="32037" xr:uid="{00000000-0005-0000-0000-000007E60000}"/>
    <cellStyle name="Percent 3 3 18" xfId="33720" xr:uid="{00000000-0005-0000-0000-000008E60000}"/>
    <cellStyle name="Percent 3 3 19" xfId="35403" xr:uid="{00000000-0005-0000-0000-000009E60000}"/>
    <cellStyle name="Percent 3 3 2" xfId="161" xr:uid="{00000000-0005-0000-0000-00000AE60000}"/>
    <cellStyle name="Percent 3 3 2 10" xfId="8577" xr:uid="{00000000-0005-0000-0000-00000BE60000}"/>
    <cellStyle name="Percent 3 3 2 10 2" xfId="23726" xr:uid="{00000000-0005-0000-0000-00000CE60000}"/>
    <cellStyle name="Percent 3 3 2 11" xfId="10260" xr:uid="{00000000-0005-0000-0000-00000DE60000}"/>
    <cellStyle name="Percent 3 3 2 11 2" xfId="25409" xr:uid="{00000000-0005-0000-0000-00000EE60000}"/>
    <cellStyle name="Percent 3 3 2 12" xfId="11944" xr:uid="{00000000-0005-0000-0000-00000FE60000}"/>
    <cellStyle name="Percent 3 3 2 12 2" xfId="27093" xr:uid="{00000000-0005-0000-0000-000010E60000}"/>
    <cellStyle name="Percent 3 3 2 13" xfId="13627" xr:uid="{00000000-0005-0000-0000-000011E60000}"/>
    <cellStyle name="Percent 3 3 2 13 2" xfId="28776" xr:uid="{00000000-0005-0000-0000-000012E60000}"/>
    <cellStyle name="Percent 3 3 2 14" xfId="15310" xr:uid="{00000000-0005-0000-0000-000013E60000}"/>
    <cellStyle name="Percent 3 3 2 15" xfId="30459" xr:uid="{00000000-0005-0000-0000-000014E60000}"/>
    <cellStyle name="Percent 3 3 2 16" xfId="32142" xr:uid="{00000000-0005-0000-0000-000015E60000}"/>
    <cellStyle name="Percent 3 3 2 17" xfId="33825" xr:uid="{00000000-0005-0000-0000-000016E60000}"/>
    <cellStyle name="Percent 3 3 2 18" xfId="35508" xr:uid="{00000000-0005-0000-0000-000017E60000}"/>
    <cellStyle name="Percent 3 3 2 19" xfId="37191" xr:uid="{00000000-0005-0000-0000-000018E60000}"/>
    <cellStyle name="Percent 3 3 2 2" xfId="371" xr:uid="{00000000-0005-0000-0000-000019E60000}"/>
    <cellStyle name="Percent 3 3 2 2 10" xfId="10470" xr:uid="{00000000-0005-0000-0000-00001AE60000}"/>
    <cellStyle name="Percent 3 3 2 2 10 2" xfId="25619" xr:uid="{00000000-0005-0000-0000-00001BE60000}"/>
    <cellStyle name="Percent 3 3 2 2 11" xfId="12154" xr:uid="{00000000-0005-0000-0000-00001CE60000}"/>
    <cellStyle name="Percent 3 3 2 2 11 2" xfId="27303" xr:uid="{00000000-0005-0000-0000-00001DE60000}"/>
    <cellStyle name="Percent 3 3 2 2 12" xfId="13837" xr:uid="{00000000-0005-0000-0000-00001EE60000}"/>
    <cellStyle name="Percent 3 3 2 2 12 2" xfId="28986" xr:uid="{00000000-0005-0000-0000-00001FE60000}"/>
    <cellStyle name="Percent 3 3 2 2 13" xfId="15520" xr:uid="{00000000-0005-0000-0000-000020E60000}"/>
    <cellStyle name="Percent 3 3 2 2 14" xfId="30669" xr:uid="{00000000-0005-0000-0000-000021E60000}"/>
    <cellStyle name="Percent 3 3 2 2 15" xfId="32352" xr:uid="{00000000-0005-0000-0000-000022E60000}"/>
    <cellStyle name="Percent 3 3 2 2 16" xfId="34035" xr:uid="{00000000-0005-0000-0000-000023E60000}"/>
    <cellStyle name="Percent 3 3 2 2 17" xfId="35718" xr:uid="{00000000-0005-0000-0000-000024E60000}"/>
    <cellStyle name="Percent 3 3 2 2 18" xfId="37401" xr:uid="{00000000-0005-0000-0000-000025E60000}"/>
    <cellStyle name="Percent 3 3 2 2 19" xfId="39084" xr:uid="{00000000-0005-0000-0000-000026E60000}"/>
    <cellStyle name="Percent 3 3 2 2 2" xfId="791" xr:uid="{00000000-0005-0000-0000-000027E60000}"/>
    <cellStyle name="Percent 3 3 2 2 2 10" xfId="15940" xr:uid="{00000000-0005-0000-0000-000028E60000}"/>
    <cellStyle name="Percent 3 3 2 2 2 11" xfId="31089" xr:uid="{00000000-0005-0000-0000-000029E60000}"/>
    <cellStyle name="Percent 3 3 2 2 2 12" xfId="32772" xr:uid="{00000000-0005-0000-0000-00002AE60000}"/>
    <cellStyle name="Percent 3 3 2 2 2 13" xfId="34455" xr:uid="{00000000-0005-0000-0000-00002BE60000}"/>
    <cellStyle name="Percent 3 3 2 2 2 14" xfId="36138" xr:uid="{00000000-0005-0000-0000-00002CE60000}"/>
    <cellStyle name="Percent 3 3 2 2 2 15" xfId="37821" xr:uid="{00000000-0005-0000-0000-00002DE60000}"/>
    <cellStyle name="Percent 3 3 2 2 2 16" xfId="39504" xr:uid="{00000000-0005-0000-0000-00002EE60000}"/>
    <cellStyle name="Percent 3 3 2 2 2 17" xfId="41187" xr:uid="{00000000-0005-0000-0000-00002FE60000}"/>
    <cellStyle name="Percent 3 3 2 2 2 18" xfId="42870" xr:uid="{00000000-0005-0000-0000-000030E60000}"/>
    <cellStyle name="Percent 3 3 2 2 2 19" xfId="44553" xr:uid="{00000000-0005-0000-0000-000031E60000}"/>
    <cellStyle name="Percent 3 3 2 2 2 2" xfId="2474" xr:uid="{00000000-0005-0000-0000-000032E60000}"/>
    <cellStyle name="Percent 3 3 2 2 2 2 2" xfId="17623" xr:uid="{00000000-0005-0000-0000-000033E60000}"/>
    <cellStyle name="Percent 3 3 2 2 2 20" xfId="46236" xr:uid="{00000000-0005-0000-0000-000034E60000}"/>
    <cellStyle name="Percent 3 3 2 2 2 21" xfId="47919" xr:uid="{00000000-0005-0000-0000-000035E60000}"/>
    <cellStyle name="Percent 3 3 2 2 2 22" xfId="49602" xr:uid="{00000000-0005-0000-0000-000036E60000}"/>
    <cellStyle name="Percent 3 3 2 2 2 23" xfId="51285" xr:uid="{00000000-0005-0000-0000-000037E60000}"/>
    <cellStyle name="Percent 3 3 2 2 2 24" xfId="52968" xr:uid="{00000000-0005-0000-0000-000038E60000}"/>
    <cellStyle name="Percent 3 3 2 2 2 25" xfId="54651" xr:uid="{00000000-0005-0000-0000-000039E60000}"/>
    <cellStyle name="Percent 3 3 2 2 2 26" xfId="56334" xr:uid="{00000000-0005-0000-0000-00003AE60000}"/>
    <cellStyle name="Percent 3 3 2 2 2 27" xfId="58017" xr:uid="{00000000-0005-0000-0000-00003BE60000}"/>
    <cellStyle name="Percent 3 3 2 2 2 28" xfId="59700" xr:uid="{00000000-0005-0000-0000-00003CE60000}"/>
    <cellStyle name="Percent 3 3 2 2 2 29" xfId="61383" xr:uid="{00000000-0005-0000-0000-00003DE60000}"/>
    <cellStyle name="Percent 3 3 2 2 2 3" xfId="4158" xr:uid="{00000000-0005-0000-0000-00003EE60000}"/>
    <cellStyle name="Percent 3 3 2 2 2 3 2" xfId="19307" xr:uid="{00000000-0005-0000-0000-00003FE60000}"/>
    <cellStyle name="Percent 3 3 2 2 2 30" xfId="63066" xr:uid="{00000000-0005-0000-0000-000040E60000}"/>
    <cellStyle name="Percent 3 3 2 2 2 4" xfId="5841" xr:uid="{00000000-0005-0000-0000-000041E60000}"/>
    <cellStyle name="Percent 3 3 2 2 2 4 2" xfId="20990" xr:uid="{00000000-0005-0000-0000-000042E60000}"/>
    <cellStyle name="Percent 3 3 2 2 2 5" xfId="7524" xr:uid="{00000000-0005-0000-0000-000043E60000}"/>
    <cellStyle name="Percent 3 3 2 2 2 5 2" xfId="22673" xr:uid="{00000000-0005-0000-0000-000044E60000}"/>
    <cellStyle name="Percent 3 3 2 2 2 6" xfId="9207" xr:uid="{00000000-0005-0000-0000-000045E60000}"/>
    <cellStyle name="Percent 3 3 2 2 2 6 2" xfId="24356" xr:uid="{00000000-0005-0000-0000-000046E60000}"/>
    <cellStyle name="Percent 3 3 2 2 2 7" xfId="10890" xr:uid="{00000000-0005-0000-0000-000047E60000}"/>
    <cellStyle name="Percent 3 3 2 2 2 7 2" xfId="26039" xr:uid="{00000000-0005-0000-0000-000048E60000}"/>
    <cellStyle name="Percent 3 3 2 2 2 8" xfId="12574" xr:uid="{00000000-0005-0000-0000-000049E60000}"/>
    <cellStyle name="Percent 3 3 2 2 2 8 2" xfId="27723" xr:uid="{00000000-0005-0000-0000-00004AE60000}"/>
    <cellStyle name="Percent 3 3 2 2 2 9" xfId="14257" xr:uid="{00000000-0005-0000-0000-00004BE60000}"/>
    <cellStyle name="Percent 3 3 2 2 2 9 2" xfId="29406" xr:uid="{00000000-0005-0000-0000-00004CE60000}"/>
    <cellStyle name="Percent 3 3 2 2 20" xfId="40767" xr:uid="{00000000-0005-0000-0000-00004DE60000}"/>
    <cellStyle name="Percent 3 3 2 2 21" xfId="42450" xr:uid="{00000000-0005-0000-0000-00004EE60000}"/>
    <cellStyle name="Percent 3 3 2 2 22" xfId="44133" xr:uid="{00000000-0005-0000-0000-00004FE60000}"/>
    <cellStyle name="Percent 3 3 2 2 23" xfId="45816" xr:uid="{00000000-0005-0000-0000-000050E60000}"/>
    <cellStyle name="Percent 3 3 2 2 24" xfId="47499" xr:uid="{00000000-0005-0000-0000-000051E60000}"/>
    <cellStyle name="Percent 3 3 2 2 25" xfId="49182" xr:uid="{00000000-0005-0000-0000-000052E60000}"/>
    <cellStyle name="Percent 3 3 2 2 26" xfId="50865" xr:uid="{00000000-0005-0000-0000-000053E60000}"/>
    <cellStyle name="Percent 3 3 2 2 27" xfId="52548" xr:uid="{00000000-0005-0000-0000-000054E60000}"/>
    <cellStyle name="Percent 3 3 2 2 28" xfId="54231" xr:uid="{00000000-0005-0000-0000-000055E60000}"/>
    <cellStyle name="Percent 3 3 2 2 29" xfId="55914" xr:uid="{00000000-0005-0000-0000-000056E60000}"/>
    <cellStyle name="Percent 3 3 2 2 3" xfId="1212" xr:uid="{00000000-0005-0000-0000-000057E60000}"/>
    <cellStyle name="Percent 3 3 2 2 3 10" xfId="16361" xr:uid="{00000000-0005-0000-0000-000058E60000}"/>
    <cellStyle name="Percent 3 3 2 2 3 11" xfId="31510" xr:uid="{00000000-0005-0000-0000-000059E60000}"/>
    <cellStyle name="Percent 3 3 2 2 3 12" xfId="33193" xr:uid="{00000000-0005-0000-0000-00005AE60000}"/>
    <cellStyle name="Percent 3 3 2 2 3 13" xfId="34876" xr:uid="{00000000-0005-0000-0000-00005BE60000}"/>
    <cellStyle name="Percent 3 3 2 2 3 14" xfId="36559" xr:uid="{00000000-0005-0000-0000-00005CE60000}"/>
    <cellStyle name="Percent 3 3 2 2 3 15" xfId="38242" xr:uid="{00000000-0005-0000-0000-00005DE60000}"/>
    <cellStyle name="Percent 3 3 2 2 3 16" xfId="39925" xr:uid="{00000000-0005-0000-0000-00005EE60000}"/>
    <cellStyle name="Percent 3 3 2 2 3 17" xfId="41608" xr:uid="{00000000-0005-0000-0000-00005FE60000}"/>
    <cellStyle name="Percent 3 3 2 2 3 18" xfId="43291" xr:uid="{00000000-0005-0000-0000-000060E60000}"/>
    <cellStyle name="Percent 3 3 2 2 3 19" xfId="44974" xr:uid="{00000000-0005-0000-0000-000061E60000}"/>
    <cellStyle name="Percent 3 3 2 2 3 2" xfId="2895" xr:uid="{00000000-0005-0000-0000-000062E60000}"/>
    <cellStyle name="Percent 3 3 2 2 3 2 2" xfId="18044" xr:uid="{00000000-0005-0000-0000-000063E60000}"/>
    <cellStyle name="Percent 3 3 2 2 3 20" xfId="46657" xr:uid="{00000000-0005-0000-0000-000064E60000}"/>
    <cellStyle name="Percent 3 3 2 2 3 21" xfId="48340" xr:uid="{00000000-0005-0000-0000-000065E60000}"/>
    <cellStyle name="Percent 3 3 2 2 3 22" xfId="50023" xr:uid="{00000000-0005-0000-0000-000066E60000}"/>
    <cellStyle name="Percent 3 3 2 2 3 23" xfId="51706" xr:uid="{00000000-0005-0000-0000-000067E60000}"/>
    <cellStyle name="Percent 3 3 2 2 3 24" xfId="53389" xr:uid="{00000000-0005-0000-0000-000068E60000}"/>
    <cellStyle name="Percent 3 3 2 2 3 25" xfId="55072" xr:uid="{00000000-0005-0000-0000-000069E60000}"/>
    <cellStyle name="Percent 3 3 2 2 3 26" xfId="56755" xr:uid="{00000000-0005-0000-0000-00006AE60000}"/>
    <cellStyle name="Percent 3 3 2 2 3 27" xfId="58438" xr:uid="{00000000-0005-0000-0000-00006BE60000}"/>
    <cellStyle name="Percent 3 3 2 2 3 28" xfId="60121" xr:uid="{00000000-0005-0000-0000-00006CE60000}"/>
    <cellStyle name="Percent 3 3 2 2 3 29" xfId="61804" xr:uid="{00000000-0005-0000-0000-00006DE60000}"/>
    <cellStyle name="Percent 3 3 2 2 3 3" xfId="4579" xr:uid="{00000000-0005-0000-0000-00006EE60000}"/>
    <cellStyle name="Percent 3 3 2 2 3 3 2" xfId="19728" xr:uid="{00000000-0005-0000-0000-00006FE60000}"/>
    <cellStyle name="Percent 3 3 2 2 3 30" xfId="63487" xr:uid="{00000000-0005-0000-0000-000070E60000}"/>
    <cellStyle name="Percent 3 3 2 2 3 4" xfId="6262" xr:uid="{00000000-0005-0000-0000-000071E60000}"/>
    <cellStyle name="Percent 3 3 2 2 3 4 2" xfId="21411" xr:uid="{00000000-0005-0000-0000-000072E60000}"/>
    <cellStyle name="Percent 3 3 2 2 3 5" xfId="7945" xr:uid="{00000000-0005-0000-0000-000073E60000}"/>
    <cellStyle name="Percent 3 3 2 2 3 5 2" xfId="23094" xr:uid="{00000000-0005-0000-0000-000074E60000}"/>
    <cellStyle name="Percent 3 3 2 2 3 6" xfId="9628" xr:uid="{00000000-0005-0000-0000-000075E60000}"/>
    <cellStyle name="Percent 3 3 2 2 3 6 2" xfId="24777" xr:uid="{00000000-0005-0000-0000-000076E60000}"/>
    <cellStyle name="Percent 3 3 2 2 3 7" xfId="11311" xr:uid="{00000000-0005-0000-0000-000077E60000}"/>
    <cellStyle name="Percent 3 3 2 2 3 7 2" xfId="26460" xr:uid="{00000000-0005-0000-0000-000078E60000}"/>
    <cellStyle name="Percent 3 3 2 2 3 8" xfId="12995" xr:uid="{00000000-0005-0000-0000-000079E60000}"/>
    <cellStyle name="Percent 3 3 2 2 3 8 2" xfId="28144" xr:uid="{00000000-0005-0000-0000-00007AE60000}"/>
    <cellStyle name="Percent 3 3 2 2 3 9" xfId="14678" xr:uid="{00000000-0005-0000-0000-00007BE60000}"/>
    <cellStyle name="Percent 3 3 2 2 3 9 2" xfId="29827" xr:uid="{00000000-0005-0000-0000-00007CE60000}"/>
    <cellStyle name="Percent 3 3 2 2 30" xfId="57597" xr:uid="{00000000-0005-0000-0000-00007DE60000}"/>
    <cellStyle name="Percent 3 3 2 2 31" xfId="59280" xr:uid="{00000000-0005-0000-0000-00007EE60000}"/>
    <cellStyle name="Percent 3 3 2 2 32" xfId="60963" xr:uid="{00000000-0005-0000-0000-00007FE60000}"/>
    <cellStyle name="Percent 3 3 2 2 33" xfId="62646" xr:uid="{00000000-0005-0000-0000-000080E60000}"/>
    <cellStyle name="Percent 3 3 2 2 4" xfId="1633" xr:uid="{00000000-0005-0000-0000-000081E60000}"/>
    <cellStyle name="Percent 3 3 2 2 4 10" xfId="16782" xr:uid="{00000000-0005-0000-0000-000082E60000}"/>
    <cellStyle name="Percent 3 3 2 2 4 11" xfId="31931" xr:uid="{00000000-0005-0000-0000-000083E60000}"/>
    <cellStyle name="Percent 3 3 2 2 4 12" xfId="33614" xr:uid="{00000000-0005-0000-0000-000084E60000}"/>
    <cellStyle name="Percent 3 3 2 2 4 13" xfId="35297" xr:uid="{00000000-0005-0000-0000-000085E60000}"/>
    <cellStyle name="Percent 3 3 2 2 4 14" xfId="36980" xr:uid="{00000000-0005-0000-0000-000086E60000}"/>
    <cellStyle name="Percent 3 3 2 2 4 15" xfId="38663" xr:uid="{00000000-0005-0000-0000-000087E60000}"/>
    <cellStyle name="Percent 3 3 2 2 4 16" xfId="40346" xr:uid="{00000000-0005-0000-0000-000088E60000}"/>
    <cellStyle name="Percent 3 3 2 2 4 17" xfId="42029" xr:uid="{00000000-0005-0000-0000-000089E60000}"/>
    <cellStyle name="Percent 3 3 2 2 4 18" xfId="43712" xr:uid="{00000000-0005-0000-0000-00008AE60000}"/>
    <cellStyle name="Percent 3 3 2 2 4 19" xfId="45395" xr:uid="{00000000-0005-0000-0000-00008BE60000}"/>
    <cellStyle name="Percent 3 3 2 2 4 2" xfId="3316" xr:uid="{00000000-0005-0000-0000-00008CE60000}"/>
    <cellStyle name="Percent 3 3 2 2 4 2 2" xfId="18465" xr:uid="{00000000-0005-0000-0000-00008DE60000}"/>
    <cellStyle name="Percent 3 3 2 2 4 20" xfId="47078" xr:uid="{00000000-0005-0000-0000-00008EE60000}"/>
    <cellStyle name="Percent 3 3 2 2 4 21" xfId="48761" xr:uid="{00000000-0005-0000-0000-00008FE60000}"/>
    <cellStyle name="Percent 3 3 2 2 4 22" xfId="50444" xr:uid="{00000000-0005-0000-0000-000090E60000}"/>
    <cellStyle name="Percent 3 3 2 2 4 23" xfId="52127" xr:uid="{00000000-0005-0000-0000-000091E60000}"/>
    <cellStyle name="Percent 3 3 2 2 4 24" xfId="53810" xr:uid="{00000000-0005-0000-0000-000092E60000}"/>
    <cellStyle name="Percent 3 3 2 2 4 25" xfId="55493" xr:uid="{00000000-0005-0000-0000-000093E60000}"/>
    <cellStyle name="Percent 3 3 2 2 4 26" xfId="57176" xr:uid="{00000000-0005-0000-0000-000094E60000}"/>
    <cellStyle name="Percent 3 3 2 2 4 27" xfId="58859" xr:uid="{00000000-0005-0000-0000-000095E60000}"/>
    <cellStyle name="Percent 3 3 2 2 4 28" xfId="60542" xr:uid="{00000000-0005-0000-0000-000096E60000}"/>
    <cellStyle name="Percent 3 3 2 2 4 29" xfId="62225" xr:uid="{00000000-0005-0000-0000-000097E60000}"/>
    <cellStyle name="Percent 3 3 2 2 4 3" xfId="5000" xr:uid="{00000000-0005-0000-0000-000098E60000}"/>
    <cellStyle name="Percent 3 3 2 2 4 3 2" xfId="20149" xr:uid="{00000000-0005-0000-0000-000099E60000}"/>
    <cellStyle name="Percent 3 3 2 2 4 30" xfId="63908" xr:uid="{00000000-0005-0000-0000-00009AE60000}"/>
    <cellStyle name="Percent 3 3 2 2 4 4" xfId="6683" xr:uid="{00000000-0005-0000-0000-00009BE60000}"/>
    <cellStyle name="Percent 3 3 2 2 4 4 2" xfId="21832" xr:uid="{00000000-0005-0000-0000-00009CE60000}"/>
    <cellStyle name="Percent 3 3 2 2 4 5" xfId="8366" xr:uid="{00000000-0005-0000-0000-00009DE60000}"/>
    <cellStyle name="Percent 3 3 2 2 4 5 2" xfId="23515" xr:uid="{00000000-0005-0000-0000-00009EE60000}"/>
    <cellStyle name="Percent 3 3 2 2 4 6" xfId="10049" xr:uid="{00000000-0005-0000-0000-00009FE60000}"/>
    <cellStyle name="Percent 3 3 2 2 4 6 2" xfId="25198" xr:uid="{00000000-0005-0000-0000-0000A0E60000}"/>
    <cellStyle name="Percent 3 3 2 2 4 7" xfId="11732" xr:uid="{00000000-0005-0000-0000-0000A1E60000}"/>
    <cellStyle name="Percent 3 3 2 2 4 7 2" xfId="26881" xr:uid="{00000000-0005-0000-0000-0000A2E60000}"/>
    <cellStyle name="Percent 3 3 2 2 4 8" xfId="13416" xr:uid="{00000000-0005-0000-0000-0000A3E60000}"/>
    <cellStyle name="Percent 3 3 2 2 4 8 2" xfId="28565" xr:uid="{00000000-0005-0000-0000-0000A4E60000}"/>
    <cellStyle name="Percent 3 3 2 2 4 9" xfId="15099" xr:uid="{00000000-0005-0000-0000-0000A5E60000}"/>
    <cellStyle name="Percent 3 3 2 2 4 9 2" xfId="30248" xr:uid="{00000000-0005-0000-0000-0000A6E60000}"/>
    <cellStyle name="Percent 3 3 2 2 5" xfId="2054" xr:uid="{00000000-0005-0000-0000-0000A7E60000}"/>
    <cellStyle name="Percent 3 3 2 2 5 2" xfId="17203" xr:uid="{00000000-0005-0000-0000-0000A8E60000}"/>
    <cellStyle name="Percent 3 3 2 2 6" xfId="3738" xr:uid="{00000000-0005-0000-0000-0000A9E60000}"/>
    <cellStyle name="Percent 3 3 2 2 6 2" xfId="18887" xr:uid="{00000000-0005-0000-0000-0000AAE60000}"/>
    <cellStyle name="Percent 3 3 2 2 7" xfId="5421" xr:uid="{00000000-0005-0000-0000-0000ABE60000}"/>
    <cellStyle name="Percent 3 3 2 2 7 2" xfId="20570" xr:uid="{00000000-0005-0000-0000-0000ACE60000}"/>
    <cellStyle name="Percent 3 3 2 2 8" xfId="7104" xr:uid="{00000000-0005-0000-0000-0000ADE60000}"/>
    <cellStyle name="Percent 3 3 2 2 8 2" xfId="22253" xr:uid="{00000000-0005-0000-0000-0000AEE60000}"/>
    <cellStyle name="Percent 3 3 2 2 9" xfId="8787" xr:uid="{00000000-0005-0000-0000-0000AFE60000}"/>
    <cellStyle name="Percent 3 3 2 2 9 2" xfId="23936" xr:uid="{00000000-0005-0000-0000-0000B0E60000}"/>
    <cellStyle name="Percent 3 3 2 20" xfId="38874" xr:uid="{00000000-0005-0000-0000-0000B1E60000}"/>
    <cellStyle name="Percent 3 3 2 21" xfId="40557" xr:uid="{00000000-0005-0000-0000-0000B2E60000}"/>
    <cellStyle name="Percent 3 3 2 22" xfId="42240" xr:uid="{00000000-0005-0000-0000-0000B3E60000}"/>
    <cellStyle name="Percent 3 3 2 23" xfId="43923" xr:uid="{00000000-0005-0000-0000-0000B4E60000}"/>
    <cellStyle name="Percent 3 3 2 24" xfId="45606" xr:uid="{00000000-0005-0000-0000-0000B5E60000}"/>
    <cellStyle name="Percent 3 3 2 25" xfId="47289" xr:uid="{00000000-0005-0000-0000-0000B6E60000}"/>
    <cellStyle name="Percent 3 3 2 26" xfId="48972" xr:uid="{00000000-0005-0000-0000-0000B7E60000}"/>
    <cellStyle name="Percent 3 3 2 27" xfId="50655" xr:uid="{00000000-0005-0000-0000-0000B8E60000}"/>
    <cellStyle name="Percent 3 3 2 28" xfId="52338" xr:uid="{00000000-0005-0000-0000-0000B9E60000}"/>
    <cellStyle name="Percent 3 3 2 29" xfId="54021" xr:uid="{00000000-0005-0000-0000-0000BAE60000}"/>
    <cellStyle name="Percent 3 3 2 3" xfId="581" xr:uid="{00000000-0005-0000-0000-0000BBE60000}"/>
    <cellStyle name="Percent 3 3 2 3 10" xfId="15730" xr:uid="{00000000-0005-0000-0000-0000BCE60000}"/>
    <cellStyle name="Percent 3 3 2 3 11" xfId="30879" xr:uid="{00000000-0005-0000-0000-0000BDE60000}"/>
    <cellStyle name="Percent 3 3 2 3 12" xfId="32562" xr:uid="{00000000-0005-0000-0000-0000BEE60000}"/>
    <cellStyle name="Percent 3 3 2 3 13" xfId="34245" xr:uid="{00000000-0005-0000-0000-0000BFE60000}"/>
    <cellStyle name="Percent 3 3 2 3 14" xfId="35928" xr:uid="{00000000-0005-0000-0000-0000C0E60000}"/>
    <cellStyle name="Percent 3 3 2 3 15" xfId="37611" xr:uid="{00000000-0005-0000-0000-0000C1E60000}"/>
    <cellStyle name="Percent 3 3 2 3 16" xfId="39294" xr:uid="{00000000-0005-0000-0000-0000C2E60000}"/>
    <cellStyle name="Percent 3 3 2 3 17" xfId="40977" xr:uid="{00000000-0005-0000-0000-0000C3E60000}"/>
    <cellStyle name="Percent 3 3 2 3 18" xfId="42660" xr:uid="{00000000-0005-0000-0000-0000C4E60000}"/>
    <cellStyle name="Percent 3 3 2 3 19" xfId="44343" xr:uid="{00000000-0005-0000-0000-0000C5E60000}"/>
    <cellStyle name="Percent 3 3 2 3 2" xfId="2264" xr:uid="{00000000-0005-0000-0000-0000C6E60000}"/>
    <cellStyle name="Percent 3 3 2 3 2 2" xfId="17413" xr:uid="{00000000-0005-0000-0000-0000C7E60000}"/>
    <cellStyle name="Percent 3 3 2 3 20" xfId="46026" xr:uid="{00000000-0005-0000-0000-0000C8E60000}"/>
    <cellStyle name="Percent 3 3 2 3 21" xfId="47709" xr:uid="{00000000-0005-0000-0000-0000C9E60000}"/>
    <cellStyle name="Percent 3 3 2 3 22" xfId="49392" xr:uid="{00000000-0005-0000-0000-0000CAE60000}"/>
    <cellStyle name="Percent 3 3 2 3 23" xfId="51075" xr:uid="{00000000-0005-0000-0000-0000CBE60000}"/>
    <cellStyle name="Percent 3 3 2 3 24" xfId="52758" xr:uid="{00000000-0005-0000-0000-0000CCE60000}"/>
    <cellStyle name="Percent 3 3 2 3 25" xfId="54441" xr:uid="{00000000-0005-0000-0000-0000CDE60000}"/>
    <cellStyle name="Percent 3 3 2 3 26" xfId="56124" xr:uid="{00000000-0005-0000-0000-0000CEE60000}"/>
    <cellStyle name="Percent 3 3 2 3 27" xfId="57807" xr:uid="{00000000-0005-0000-0000-0000CFE60000}"/>
    <cellStyle name="Percent 3 3 2 3 28" xfId="59490" xr:uid="{00000000-0005-0000-0000-0000D0E60000}"/>
    <cellStyle name="Percent 3 3 2 3 29" xfId="61173" xr:uid="{00000000-0005-0000-0000-0000D1E60000}"/>
    <cellStyle name="Percent 3 3 2 3 3" xfId="3948" xr:uid="{00000000-0005-0000-0000-0000D2E60000}"/>
    <cellStyle name="Percent 3 3 2 3 3 2" xfId="19097" xr:uid="{00000000-0005-0000-0000-0000D3E60000}"/>
    <cellStyle name="Percent 3 3 2 3 30" xfId="62856" xr:uid="{00000000-0005-0000-0000-0000D4E60000}"/>
    <cellStyle name="Percent 3 3 2 3 4" xfId="5631" xr:uid="{00000000-0005-0000-0000-0000D5E60000}"/>
    <cellStyle name="Percent 3 3 2 3 4 2" xfId="20780" xr:uid="{00000000-0005-0000-0000-0000D6E60000}"/>
    <cellStyle name="Percent 3 3 2 3 5" xfId="7314" xr:uid="{00000000-0005-0000-0000-0000D7E60000}"/>
    <cellStyle name="Percent 3 3 2 3 5 2" xfId="22463" xr:uid="{00000000-0005-0000-0000-0000D8E60000}"/>
    <cellStyle name="Percent 3 3 2 3 6" xfId="8997" xr:uid="{00000000-0005-0000-0000-0000D9E60000}"/>
    <cellStyle name="Percent 3 3 2 3 6 2" xfId="24146" xr:uid="{00000000-0005-0000-0000-0000DAE60000}"/>
    <cellStyle name="Percent 3 3 2 3 7" xfId="10680" xr:uid="{00000000-0005-0000-0000-0000DBE60000}"/>
    <cellStyle name="Percent 3 3 2 3 7 2" xfId="25829" xr:uid="{00000000-0005-0000-0000-0000DCE60000}"/>
    <cellStyle name="Percent 3 3 2 3 8" xfId="12364" xr:uid="{00000000-0005-0000-0000-0000DDE60000}"/>
    <cellStyle name="Percent 3 3 2 3 8 2" xfId="27513" xr:uid="{00000000-0005-0000-0000-0000DEE60000}"/>
    <cellStyle name="Percent 3 3 2 3 9" xfId="14047" xr:uid="{00000000-0005-0000-0000-0000DFE60000}"/>
    <cellStyle name="Percent 3 3 2 3 9 2" xfId="29196" xr:uid="{00000000-0005-0000-0000-0000E0E60000}"/>
    <cellStyle name="Percent 3 3 2 30" xfId="55704" xr:uid="{00000000-0005-0000-0000-0000E1E60000}"/>
    <cellStyle name="Percent 3 3 2 31" xfId="57387" xr:uid="{00000000-0005-0000-0000-0000E2E60000}"/>
    <cellStyle name="Percent 3 3 2 32" xfId="59070" xr:uid="{00000000-0005-0000-0000-0000E3E60000}"/>
    <cellStyle name="Percent 3 3 2 33" xfId="60753" xr:uid="{00000000-0005-0000-0000-0000E4E60000}"/>
    <cellStyle name="Percent 3 3 2 34" xfId="62436" xr:uid="{00000000-0005-0000-0000-0000E5E60000}"/>
    <cellStyle name="Percent 3 3 2 4" xfId="1002" xr:uid="{00000000-0005-0000-0000-0000E6E60000}"/>
    <cellStyle name="Percent 3 3 2 4 10" xfId="16151" xr:uid="{00000000-0005-0000-0000-0000E7E60000}"/>
    <cellStyle name="Percent 3 3 2 4 11" xfId="31300" xr:uid="{00000000-0005-0000-0000-0000E8E60000}"/>
    <cellStyle name="Percent 3 3 2 4 12" xfId="32983" xr:uid="{00000000-0005-0000-0000-0000E9E60000}"/>
    <cellStyle name="Percent 3 3 2 4 13" xfId="34666" xr:uid="{00000000-0005-0000-0000-0000EAE60000}"/>
    <cellStyle name="Percent 3 3 2 4 14" xfId="36349" xr:uid="{00000000-0005-0000-0000-0000EBE60000}"/>
    <cellStyle name="Percent 3 3 2 4 15" xfId="38032" xr:uid="{00000000-0005-0000-0000-0000ECE60000}"/>
    <cellStyle name="Percent 3 3 2 4 16" xfId="39715" xr:uid="{00000000-0005-0000-0000-0000EDE60000}"/>
    <cellStyle name="Percent 3 3 2 4 17" xfId="41398" xr:uid="{00000000-0005-0000-0000-0000EEE60000}"/>
    <cellStyle name="Percent 3 3 2 4 18" xfId="43081" xr:uid="{00000000-0005-0000-0000-0000EFE60000}"/>
    <cellStyle name="Percent 3 3 2 4 19" xfId="44764" xr:uid="{00000000-0005-0000-0000-0000F0E60000}"/>
    <cellStyle name="Percent 3 3 2 4 2" xfId="2685" xr:uid="{00000000-0005-0000-0000-0000F1E60000}"/>
    <cellStyle name="Percent 3 3 2 4 2 2" xfId="17834" xr:uid="{00000000-0005-0000-0000-0000F2E60000}"/>
    <cellStyle name="Percent 3 3 2 4 20" xfId="46447" xr:uid="{00000000-0005-0000-0000-0000F3E60000}"/>
    <cellStyle name="Percent 3 3 2 4 21" xfId="48130" xr:uid="{00000000-0005-0000-0000-0000F4E60000}"/>
    <cellStyle name="Percent 3 3 2 4 22" xfId="49813" xr:uid="{00000000-0005-0000-0000-0000F5E60000}"/>
    <cellStyle name="Percent 3 3 2 4 23" xfId="51496" xr:uid="{00000000-0005-0000-0000-0000F6E60000}"/>
    <cellStyle name="Percent 3 3 2 4 24" xfId="53179" xr:uid="{00000000-0005-0000-0000-0000F7E60000}"/>
    <cellStyle name="Percent 3 3 2 4 25" xfId="54862" xr:uid="{00000000-0005-0000-0000-0000F8E60000}"/>
    <cellStyle name="Percent 3 3 2 4 26" xfId="56545" xr:uid="{00000000-0005-0000-0000-0000F9E60000}"/>
    <cellStyle name="Percent 3 3 2 4 27" xfId="58228" xr:uid="{00000000-0005-0000-0000-0000FAE60000}"/>
    <cellStyle name="Percent 3 3 2 4 28" xfId="59911" xr:uid="{00000000-0005-0000-0000-0000FBE60000}"/>
    <cellStyle name="Percent 3 3 2 4 29" xfId="61594" xr:uid="{00000000-0005-0000-0000-0000FCE60000}"/>
    <cellStyle name="Percent 3 3 2 4 3" xfId="4369" xr:uid="{00000000-0005-0000-0000-0000FDE60000}"/>
    <cellStyle name="Percent 3 3 2 4 3 2" xfId="19518" xr:uid="{00000000-0005-0000-0000-0000FEE60000}"/>
    <cellStyle name="Percent 3 3 2 4 30" xfId="63277" xr:uid="{00000000-0005-0000-0000-0000FFE60000}"/>
    <cellStyle name="Percent 3 3 2 4 4" xfId="6052" xr:uid="{00000000-0005-0000-0000-000000E70000}"/>
    <cellStyle name="Percent 3 3 2 4 4 2" xfId="21201" xr:uid="{00000000-0005-0000-0000-000001E70000}"/>
    <cellStyle name="Percent 3 3 2 4 5" xfId="7735" xr:uid="{00000000-0005-0000-0000-000002E70000}"/>
    <cellStyle name="Percent 3 3 2 4 5 2" xfId="22884" xr:uid="{00000000-0005-0000-0000-000003E70000}"/>
    <cellStyle name="Percent 3 3 2 4 6" xfId="9418" xr:uid="{00000000-0005-0000-0000-000004E70000}"/>
    <cellStyle name="Percent 3 3 2 4 6 2" xfId="24567" xr:uid="{00000000-0005-0000-0000-000005E70000}"/>
    <cellStyle name="Percent 3 3 2 4 7" xfId="11101" xr:uid="{00000000-0005-0000-0000-000006E70000}"/>
    <cellStyle name="Percent 3 3 2 4 7 2" xfId="26250" xr:uid="{00000000-0005-0000-0000-000007E70000}"/>
    <cellStyle name="Percent 3 3 2 4 8" xfId="12785" xr:uid="{00000000-0005-0000-0000-000008E70000}"/>
    <cellStyle name="Percent 3 3 2 4 8 2" xfId="27934" xr:uid="{00000000-0005-0000-0000-000009E70000}"/>
    <cellStyle name="Percent 3 3 2 4 9" xfId="14468" xr:uid="{00000000-0005-0000-0000-00000AE70000}"/>
    <cellStyle name="Percent 3 3 2 4 9 2" xfId="29617" xr:uid="{00000000-0005-0000-0000-00000BE70000}"/>
    <cellStyle name="Percent 3 3 2 5" xfId="1423" xr:uid="{00000000-0005-0000-0000-00000CE70000}"/>
    <cellStyle name="Percent 3 3 2 5 10" xfId="16572" xr:uid="{00000000-0005-0000-0000-00000DE70000}"/>
    <cellStyle name="Percent 3 3 2 5 11" xfId="31721" xr:uid="{00000000-0005-0000-0000-00000EE70000}"/>
    <cellStyle name="Percent 3 3 2 5 12" xfId="33404" xr:uid="{00000000-0005-0000-0000-00000FE70000}"/>
    <cellStyle name="Percent 3 3 2 5 13" xfId="35087" xr:uid="{00000000-0005-0000-0000-000010E70000}"/>
    <cellStyle name="Percent 3 3 2 5 14" xfId="36770" xr:uid="{00000000-0005-0000-0000-000011E70000}"/>
    <cellStyle name="Percent 3 3 2 5 15" xfId="38453" xr:uid="{00000000-0005-0000-0000-000012E70000}"/>
    <cellStyle name="Percent 3 3 2 5 16" xfId="40136" xr:uid="{00000000-0005-0000-0000-000013E70000}"/>
    <cellStyle name="Percent 3 3 2 5 17" xfId="41819" xr:uid="{00000000-0005-0000-0000-000014E70000}"/>
    <cellStyle name="Percent 3 3 2 5 18" xfId="43502" xr:uid="{00000000-0005-0000-0000-000015E70000}"/>
    <cellStyle name="Percent 3 3 2 5 19" xfId="45185" xr:uid="{00000000-0005-0000-0000-000016E70000}"/>
    <cellStyle name="Percent 3 3 2 5 2" xfId="3106" xr:uid="{00000000-0005-0000-0000-000017E70000}"/>
    <cellStyle name="Percent 3 3 2 5 2 2" xfId="18255" xr:uid="{00000000-0005-0000-0000-000018E70000}"/>
    <cellStyle name="Percent 3 3 2 5 20" xfId="46868" xr:uid="{00000000-0005-0000-0000-000019E70000}"/>
    <cellStyle name="Percent 3 3 2 5 21" xfId="48551" xr:uid="{00000000-0005-0000-0000-00001AE70000}"/>
    <cellStyle name="Percent 3 3 2 5 22" xfId="50234" xr:uid="{00000000-0005-0000-0000-00001BE70000}"/>
    <cellStyle name="Percent 3 3 2 5 23" xfId="51917" xr:uid="{00000000-0005-0000-0000-00001CE70000}"/>
    <cellStyle name="Percent 3 3 2 5 24" xfId="53600" xr:uid="{00000000-0005-0000-0000-00001DE70000}"/>
    <cellStyle name="Percent 3 3 2 5 25" xfId="55283" xr:uid="{00000000-0005-0000-0000-00001EE70000}"/>
    <cellStyle name="Percent 3 3 2 5 26" xfId="56966" xr:uid="{00000000-0005-0000-0000-00001FE70000}"/>
    <cellStyle name="Percent 3 3 2 5 27" xfId="58649" xr:uid="{00000000-0005-0000-0000-000020E70000}"/>
    <cellStyle name="Percent 3 3 2 5 28" xfId="60332" xr:uid="{00000000-0005-0000-0000-000021E70000}"/>
    <cellStyle name="Percent 3 3 2 5 29" xfId="62015" xr:uid="{00000000-0005-0000-0000-000022E70000}"/>
    <cellStyle name="Percent 3 3 2 5 3" xfId="4790" xr:uid="{00000000-0005-0000-0000-000023E70000}"/>
    <cellStyle name="Percent 3 3 2 5 3 2" xfId="19939" xr:uid="{00000000-0005-0000-0000-000024E70000}"/>
    <cellStyle name="Percent 3 3 2 5 30" xfId="63698" xr:uid="{00000000-0005-0000-0000-000025E70000}"/>
    <cellStyle name="Percent 3 3 2 5 4" xfId="6473" xr:uid="{00000000-0005-0000-0000-000026E70000}"/>
    <cellStyle name="Percent 3 3 2 5 4 2" xfId="21622" xr:uid="{00000000-0005-0000-0000-000027E70000}"/>
    <cellStyle name="Percent 3 3 2 5 5" xfId="8156" xr:uid="{00000000-0005-0000-0000-000028E70000}"/>
    <cellStyle name="Percent 3 3 2 5 5 2" xfId="23305" xr:uid="{00000000-0005-0000-0000-000029E70000}"/>
    <cellStyle name="Percent 3 3 2 5 6" xfId="9839" xr:uid="{00000000-0005-0000-0000-00002AE70000}"/>
    <cellStyle name="Percent 3 3 2 5 6 2" xfId="24988" xr:uid="{00000000-0005-0000-0000-00002BE70000}"/>
    <cellStyle name="Percent 3 3 2 5 7" xfId="11522" xr:uid="{00000000-0005-0000-0000-00002CE70000}"/>
    <cellStyle name="Percent 3 3 2 5 7 2" xfId="26671" xr:uid="{00000000-0005-0000-0000-00002DE70000}"/>
    <cellStyle name="Percent 3 3 2 5 8" xfId="13206" xr:uid="{00000000-0005-0000-0000-00002EE70000}"/>
    <cellStyle name="Percent 3 3 2 5 8 2" xfId="28355" xr:uid="{00000000-0005-0000-0000-00002FE70000}"/>
    <cellStyle name="Percent 3 3 2 5 9" xfId="14889" xr:uid="{00000000-0005-0000-0000-000030E70000}"/>
    <cellStyle name="Percent 3 3 2 5 9 2" xfId="30038" xr:uid="{00000000-0005-0000-0000-000031E70000}"/>
    <cellStyle name="Percent 3 3 2 6" xfId="1844" xr:uid="{00000000-0005-0000-0000-000032E70000}"/>
    <cellStyle name="Percent 3 3 2 6 2" xfId="16993" xr:uid="{00000000-0005-0000-0000-000033E70000}"/>
    <cellStyle name="Percent 3 3 2 7" xfId="3528" xr:uid="{00000000-0005-0000-0000-000034E70000}"/>
    <cellStyle name="Percent 3 3 2 7 2" xfId="18677" xr:uid="{00000000-0005-0000-0000-000035E70000}"/>
    <cellStyle name="Percent 3 3 2 8" xfId="5211" xr:uid="{00000000-0005-0000-0000-000036E70000}"/>
    <cellStyle name="Percent 3 3 2 8 2" xfId="20360" xr:uid="{00000000-0005-0000-0000-000037E70000}"/>
    <cellStyle name="Percent 3 3 2 9" xfId="6894" xr:uid="{00000000-0005-0000-0000-000038E70000}"/>
    <cellStyle name="Percent 3 3 2 9 2" xfId="22043" xr:uid="{00000000-0005-0000-0000-000039E70000}"/>
    <cellStyle name="Percent 3 3 20" xfId="37086" xr:uid="{00000000-0005-0000-0000-00003AE70000}"/>
    <cellStyle name="Percent 3 3 21" xfId="38769" xr:uid="{00000000-0005-0000-0000-00003BE70000}"/>
    <cellStyle name="Percent 3 3 22" xfId="40452" xr:uid="{00000000-0005-0000-0000-00003CE70000}"/>
    <cellStyle name="Percent 3 3 23" xfId="42135" xr:uid="{00000000-0005-0000-0000-00003DE70000}"/>
    <cellStyle name="Percent 3 3 24" xfId="43818" xr:uid="{00000000-0005-0000-0000-00003EE70000}"/>
    <cellStyle name="Percent 3 3 25" xfId="45501" xr:uid="{00000000-0005-0000-0000-00003FE70000}"/>
    <cellStyle name="Percent 3 3 26" xfId="47184" xr:uid="{00000000-0005-0000-0000-000040E70000}"/>
    <cellStyle name="Percent 3 3 27" xfId="48867" xr:uid="{00000000-0005-0000-0000-000041E70000}"/>
    <cellStyle name="Percent 3 3 28" xfId="50550" xr:uid="{00000000-0005-0000-0000-000042E70000}"/>
    <cellStyle name="Percent 3 3 29" xfId="52233" xr:uid="{00000000-0005-0000-0000-000043E70000}"/>
    <cellStyle name="Percent 3 3 3" xfId="266" xr:uid="{00000000-0005-0000-0000-000044E70000}"/>
    <cellStyle name="Percent 3 3 3 10" xfId="10365" xr:uid="{00000000-0005-0000-0000-000045E70000}"/>
    <cellStyle name="Percent 3 3 3 10 2" xfId="25514" xr:uid="{00000000-0005-0000-0000-000046E70000}"/>
    <cellStyle name="Percent 3 3 3 11" xfId="12049" xr:uid="{00000000-0005-0000-0000-000047E70000}"/>
    <cellStyle name="Percent 3 3 3 11 2" xfId="27198" xr:uid="{00000000-0005-0000-0000-000048E70000}"/>
    <cellStyle name="Percent 3 3 3 12" xfId="13732" xr:uid="{00000000-0005-0000-0000-000049E70000}"/>
    <cellStyle name="Percent 3 3 3 12 2" xfId="28881" xr:uid="{00000000-0005-0000-0000-00004AE70000}"/>
    <cellStyle name="Percent 3 3 3 13" xfId="15415" xr:uid="{00000000-0005-0000-0000-00004BE70000}"/>
    <cellStyle name="Percent 3 3 3 14" xfId="30564" xr:uid="{00000000-0005-0000-0000-00004CE70000}"/>
    <cellStyle name="Percent 3 3 3 15" xfId="32247" xr:uid="{00000000-0005-0000-0000-00004DE70000}"/>
    <cellStyle name="Percent 3 3 3 16" xfId="33930" xr:uid="{00000000-0005-0000-0000-00004EE70000}"/>
    <cellStyle name="Percent 3 3 3 17" xfId="35613" xr:uid="{00000000-0005-0000-0000-00004FE70000}"/>
    <cellStyle name="Percent 3 3 3 18" xfId="37296" xr:uid="{00000000-0005-0000-0000-000050E70000}"/>
    <cellStyle name="Percent 3 3 3 19" xfId="38979" xr:uid="{00000000-0005-0000-0000-000051E70000}"/>
    <cellStyle name="Percent 3 3 3 2" xfId="686" xr:uid="{00000000-0005-0000-0000-000052E70000}"/>
    <cellStyle name="Percent 3 3 3 2 10" xfId="15835" xr:uid="{00000000-0005-0000-0000-000053E70000}"/>
    <cellStyle name="Percent 3 3 3 2 11" xfId="30984" xr:uid="{00000000-0005-0000-0000-000054E70000}"/>
    <cellStyle name="Percent 3 3 3 2 12" xfId="32667" xr:uid="{00000000-0005-0000-0000-000055E70000}"/>
    <cellStyle name="Percent 3 3 3 2 13" xfId="34350" xr:uid="{00000000-0005-0000-0000-000056E70000}"/>
    <cellStyle name="Percent 3 3 3 2 14" xfId="36033" xr:uid="{00000000-0005-0000-0000-000057E70000}"/>
    <cellStyle name="Percent 3 3 3 2 15" xfId="37716" xr:uid="{00000000-0005-0000-0000-000058E70000}"/>
    <cellStyle name="Percent 3 3 3 2 16" xfId="39399" xr:uid="{00000000-0005-0000-0000-000059E70000}"/>
    <cellStyle name="Percent 3 3 3 2 17" xfId="41082" xr:uid="{00000000-0005-0000-0000-00005AE70000}"/>
    <cellStyle name="Percent 3 3 3 2 18" xfId="42765" xr:uid="{00000000-0005-0000-0000-00005BE70000}"/>
    <cellStyle name="Percent 3 3 3 2 19" xfId="44448" xr:uid="{00000000-0005-0000-0000-00005CE70000}"/>
    <cellStyle name="Percent 3 3 3 2 2" xfId="2369" xr:uid="{00000000-0005-0000-0000-00005DE70000}"/>
    <cellStyle name="Percent 3 3 3 2 2 2" xfId="17518" xr:uid="{00000000-0005-0000-0000-00005EE70000}"/>
    <cellStyle name="Percent 3 3 3 2 20" xfId="46131" xr:uid="{00000000-0005-0000-0000-00005FE70000}"/>
    <cellStyle name="Percent 3 3 3 2 21" xfId="47814" xr:uid="{00000000-0005-0000-0000-000060E70000}"/>
    <cellStyle name="Percent 3 3 3 2 22" xfId="49497" xr:uid="{00000000-0005-0000-0000-000061E70000}"/>
    <cellStyle name="Percent 3 3 3 2 23" xfId="51180" xr:uid="{00000000-0005-0000-0000-000062E70000}"/>
    <cellStyle name="Percent 3 3 3 2 24" xfId="52863" xr:uid="{00000000-0005-0000-0000-000063E70000}"/>
    <cellStyle name="Percent 3 3 3 2 25" xfId="54546" xr:uid="{00000000-0005-0000-0000-000064E70000}"/>
    <cellStyle name="Percent 3 3 3 2 26" xfId="56229" xr:uid="{00000000-0005-0000-0000-000065E70000}"/>
    <cellStyle name="Percent 3 3 3 2 27" xfId="57912" xr:uid="{00000000-0005-0000-0000-000066E70000}"/>
    <cellStyle name="Percent 3 3 3 2 28" xfId="59595" xr:uid="{00000000-0005-0000-0000-000067E70000}"/>
    <cellStyle name="Percent 3 3 3 2 29" xfId="61278" xr:uid="{00000000-0005-0000-0000-000068E70000}"/>
    <cellStyle name="Percent 3 3 3 2 3" xfId="4053" xr:uid="{00000000-0005-0000-0000-000069E70000}"/>
    <cellStyle name="Percent 3 3 3 2 3 2" xfId="19202" xr:uid="{00000000-0005-0000-0000-00006AE70000}"/>
    <cellStyle name="Percent 3 3 3 2 30" xfId="62961" xr:uid="{00000000-0005-0000-0000-00006BE70000}"/>
    <cellStyle name="Percent 3 3 3 2 4" xfId="5736" xr:uid="{00000000-0005-0000-0000-00006CE70000}"/>
    <cellStyle name="Percent 3 3 3 2 4 2" xfId="20885" xr:uid="{00000000-0005-0000-0000-00006DE70000}"/>
    <cellStyle name="Percent 3 3 3 2 5" xfId="7419" xr:uid="{00000000-0005-0000-0000-00006EE70000}"/>
    <cellStyle name="Percent 3 3 3 2 5 2" xfId="22568" xr:uid="{00000000-0005-0000-0000-00006FE70000}"/>
    <cellStyle name="Percent 3 3 3 2 6" xfId="9102" xr:uid="{00000000-0005-0000-0000-000070E70000}"/>
    <cellStyle name="Percent 3 3 3 2 6 2" xfId="24251" xr:uid="{00000000-0005-0000-0000-000071E70000}"/>
    <cellStyle name="Percent 3 3 3 2 7" xfId="10785" xr:uid="{00000000-0005-0000-0000-000072E70000}"/>
    <cellStyle name="Percent 3 3 3 2 7 2" xfId="25934" xr:uid="{00000000-0005-0000-0000-000073E70000}"/>
    <cellStyle name="Percent 3 3 3 2 8" xfId="12469" xr:uid="{00000000-0005-0000-0000-000074E70000}"/>
    <cellStyle name="Percent 3 3 3 2 8 2" xfId="27618" xr:uid="{00000000-0005-0000-0000-000075E70000}"/>
    <cellStyle name="Percent 3 3 3 2 9" xfId="14152" xr:uid="{00000000-0005-0000-0000-000076E70000}"/>
    <cellStyle name="Percent 3 3 3 2 9 2" xfId="29301" xr:uid="{00000000-0005-0000-0000-000077E70000}"/>
    <cellStyle name="Percent 3 3 3 20" xfId="40662" xr:uid="{00000000-0005-0000-0000-000078E70000}"/>
    <cellStyle name="Percent 3 3 3 21" xfId="42345" xr:uid="{00000000-0005-0000-0000-000079E70000}"/>
    <cellStyle name="Percent 3 3 3 22" xfId="44028" xr:uid="{00000000-0005-0000-0000-00007AE70000}"/>
    <cellStyle name="Percent 3 3 3 23" xfId="45711" xr:uid="{00000000-0005-0000-0000-00007BE70000}"/>
    <cellStyle name="Percent 3 3 3 24" xfId="47394" xr:uid="{00000000-0005-0000-0000-00007CE70000}"/>
    <cellStyle name="Percent 3 3 3 25" xfId="49077" xr:uid="{00000000-0005-0000-0000-00007DE70000}"/>
    <cellStyle name="Percent 3 3 3 26" xfId="50760" xr:uid="{00000000-0005-0000-0000-00007EE70000}"/>
    <cellStyle name="Percent 3 3 3 27" xfId="52443" xr:uid="{00000000-0005-0000-0000-00007FE70000}"/>
    <cellStyle name="Percent 3 3 3 28" xfId="54126" xr:uid="{00000000-0005-0000-0000-000080E70000}"/>
    <cellStyle name="Percent 3 3 3 29" xfId="55809" xr:uid="{00000000-0005-0000-0000-000081E70000}"/>
    <cellStyle name="Percent 3 3 3 3" xfId="1107" xr:uid="{00000000-0005-0000-0000-000082E70000}"/>
    <cellStyle name="Percent 3 3 3 3 10" xfId="16256" xr:uid="{00000000-0005-0000-0000-000083E70000}"/>
    <cellStyle name="Percent 3 3 3 3 11" xfId="31405" xr:uid="{00000000-0005-0000-0000-000084E70000}"/>
    <cellStyle name="Percent 3 3 3 3 12" xfId="33088" xr:uid="{00000000-0005-0000-0000-000085E70000}"/>
    <cellStyle name="Percent 3 3 3 3 13" xfId="34771" xr:uid="{00000000-0005-0000-0000-000086E70000}"/>
    <cellStyle name="Percent 3 3 3 3 14" xfId="36454" xr:uid="{00000000-0005-0000-0000-000087E70000}"/>
    <cellStyle name="Percent 3 3 3 3 15" xfId="38137" xr:uid="{00000000-0005-0000-0000-000088E70000}"/>
    <cellStyle name="Percent 3 3 3 3 16" xfId="39820" xr:uid="{00000000-0005-0000-0000-000089E70000}"/>
    <cellStyle name="Percent 3 3 3 3 17" xfId="41503" xr:uid="{00000000-0005-0000-0000-00008AE70000}"/>
    <cellStyle name="Percent 3 3 3 3 18" xfId="43186" xr:uid="{00000000-0005-0000-0000-00008BE70000}"/>
    <cellStyle name="Percent 3 3 3 3 19" xfId="44869" xr:uid="{00000000-0005-0000-0000-00008CE70000}"/>
    <cellStyle name="Percent 3 3 3 3 2" xfId="2790" xr:uid="{00000000-0005-0000-0000-00008DE70000}"/>
    <cellStyle name="Percent 3 3 3 3 2 2" xfId="17939" xr:uid="{00000000-0005-0000-0000-00008EE70000}"/>
    <cellStyle name="Percent 3 3 3 3 20" xfId="46552" xr:uid="{00000000-0005-0000-0000-00008FE70000}"/>
    <cellStyle name="Percent 3 3 3 3 21" xfId="48235" xr:uid="{00000000-0005-0000-0000-000090E70000}"/>
    <cellStyle name="Percent 3 3 3 3 22" xfId="49918" xr:uid="{00000000-0005-0000-0000-000091E70000}"/>
    <cellStyle name="Percent 3 3 3 3 23" xfId="51601" xr:uid="{00000000-0005-0000-0000-000092E70000}"/>
    <cellStyle name="Percent 3 3 3 3 24" xfId="53284" xr:uid="{00000000-0005-0000-0000-000093E70000}"/>
    <cellStyle name="Percent 3 3 3 3 25" xfId="54967" xr:uid="{00000000-0005-0000-0000-000094E70000}"/>
    <cellStyle name="Percent 3 3 3 3 26" xfId="56650" xr:uid="{00000000-0005-0000-0000-000095E70000}"/>
    <cellStyle name="Percent 3 3 3 3 27" xfId="58333" xr:uid="{00000000-0005-0000-0000-000096E70000}"/>
    <cellStyle name="Percent 3 3 3 3 28" xfId="60016" xr:uid="{00000000-0005-0000-0000-000097E70000}"/>
    <cellStyle name="Percent 3 3 3 3 29" xfId="61699" xr:uid="{00000000-0005-0000-0000-000098E70000}"/>
    <cellStyle name="Percent 3 3 3 3 3" xfId="4474" xr:uid="{00000000-0005-0000-0000-000099E70000}"/>
    <cellStyle name="Percent 3 3 3 3 3 2" xfId="19623" xr:uid="{00000000-0005-0000-0000-00009AE70000}"/>
    <cellStyle name="Percent 3 3 3 3 30" xfId="63382" xr:uid="{00000000-0005-0000-0000-00009BE70000}"/>
    <cellStyle name="Percent 3 3 3 3 4" xfId="6157" xr:uid="{00000000-0005-0000-0000-00009CE70000}"/>
    <cellStyle name="Percent 3 3 3 3 4 2" xfId="21306" xr:uid="{00000000-0005-0000-0000-00009DE70000}"/>
    <cellStyle name="Percent 3 3 3 3 5" xfId="7840" xr:uid="{00000000-0005-0000-0000-00009EE70000}"/>
    <cellStyle name="Percent 3 3 3 3 5 2" xfId="22989" xr:uid="{00000000-0005-0000-0000-00009FE70000}"/>
    <cellStyle name="Percent 3 3 3 3 6" xfId="9523" xr:uid="{00000000-0005-0000-0000-0000A0E70000}"/>
    <cellStyle name="Percent 3 3 3 3 6 2" xfId="24672" xr:uid="{00000000-0005-0000-0000-0000A1E70000}"/>
    <cellStyle name="Percent 3 3 3 3 7" xfId="11206" xr:uid="{00000000-0005-0000-0000-0000A2E70000}"/>
    <cellStyle name="Percent 3 3 3 3 7 2" xfId="26355" xr:uid="{00000000-0005-0000-0000-0000A3E70000}"/>
    <cellStyle name="Percent 3 3 3 3 8" xfId="12890" xr:uid="{00000000-0005-0000-0000-0000A4E70000}"/>
    <cellStyle name="Percent 3 3 3 3 8 2" xfId="28039" xr:uid="{00000000-0005-0000-0000-0000A5E70000}"/>
    <cellStyle name="Percent 3 3 3 3 9" xfId="14573" xr:uid="{00000000-0005-0000-0000-0000A6E70000}"/>
    <cellStyle name="Percent 3 3 3 3 9 2" xfId="29722" xr:uid="{00000000-0005-0000-0000-0000A7E70000}"/>
    <cellStyle name="Percent 3 3 3 30" xfId="57492" xr:uid="{00000000-0005-0000-0000-0000A8E70000}"/>
    <cellStyle name="Percent 3 3 3 31" xfId="59175" xr:uid="{00000000-0005-0000-0000-0000A9E70000}"/>
    <cellStyle name="Percent 3 3 3 32" xfId="60858" xr:uid="{00000000-0005-0000-0000-0000AAE70000}"/>
    <cellStyle name="Percent 3 3 3 33" xfId="62541" xr:uid="{00000000-0005-0000-0000-0000ABE70000}"/>
    <cellStyle name="Percent 3 3 3 4" xfId="1528" xr:uid="{00000000-0005-0000-0000-0000ACE70000}"/>
    <cellStyle name="Percent 3 3 3 4 10" xfId="16677" xr:uid="{00000000-0005-0000-0000-0000ADE70000}"/>
    <cellStyle name="Percent 3 3 3 4 11" xfId="31826" xr:uid="{00000000-0005-0000-0000-0000AEE70000}"/>
    <cellStyle name="Percent 3 3 3 4 12" xfId="33509" xr:uid="{00000000-0005-0000-0000-0000AFE70000}"/>
    <cellStyle name="Percent 3 3 3 4 13" xfId="35192" xr:uid="{00000000-0005-0000-0000-0000B0E70000}"/>
    <cellStyle name="Percent 3 3 3 4 14" xfId="36875" xr:uid="{00000000-0005-0000-0000-0000B1E70000}"/>
    <cellStyle name="Percent 3 3 3 4 15" xfId="38558" xr:uid="{00000000-0005-0000-0000-0000B2E70000}"/>
    <cellStyle name="Percent 3 3 3 4 16" xfId="40241" xr:uid="{00000000-0005-0000-0000-0000B3E70000}"/>
    <cellStyle name="Percent 3 3 3 4 17" xfId="41924" xr:uid="{00000000-0005-0000-0000-0000B4E70000}"/>
    <cellStyle name="Percent 3 3 3 4 18" xfId="43607" xr:uid="{00000000-0005-0000-0000-0000B5E70000}"/>
    <cellStyle name="Percent 3 3 3 4 19" xfId="45290" xr:uid="{00000000-0005-0000-0000-0000B6E70000}"/>
    <cellStyle name="Percent 3 3 3 4 2" xfId="3211" xr:uid="{00000000-0005-0000-0000-0000B7E70000}"/>
    <cellStyle name="Percent 3 3 3 4 2 2" xfId="18360" xr:uid="{00000000-0005-0000-0000-0000B8E70000}"/>
    <cellStyle name="Percent 3 3 3 4 20" xfId="46973" xr:uid="{00000000-0005-0000-0000-0000B9E70000}"/>
    <cellStyle name="Percent 3 3 3 4 21" xfId="48656" xr:uid="{00000000-0005-0000-0000-0000BAE70000}"/>
    <cellStyle name="Percent 3 3 3 4 22" xfId="50339" xr:uid="{00000000-0005-0000-0000-0000BBE70000}"/>
    <cellStyle name="Percent 3 3 3 4 23" xfId="52022" xr:uid="{00000000-0005-0000-0000-0000BCE70000}"/>
    <cellStyle name="Percent 3 3 3 4 24" xfId="53705" xr:uid="{00000000-0005-0000-0000-0000BDE70000}"/>
    <cellStyle name="Percent 3 3 3 4 25" xfId="55388" xr:uid="{00000000-0005-0000-0000-0000BEE70000}"/>
    <cellStyle name="Percent 3 3 3 4 26" xfId="57071" xr:uid="{00000000-0005-0000-0000-0000BFE70000}"/>
    <cellStyle name="Percent 3 3 3 4 27" xfId="58754" xr:uid="{00000000-0005-0000-0000-0000C0E70000}"/>
    <cellStyle name="Percent 3 3 3 4 28" xfId="60437" xr:uid="{00000000-0005-0000-0000-0000C1E70000}"/>
    <cellStyle name="Percent 3 3 3 4 29" xfId="62120" xr:uid="{00000000-0005-0000-0000-0000C2E70000}"/>
    <cellStyle name="Percent 3 3 3 4 3" xfId="4895" xr:uid="{00000000-0005-0000-0000-0000C3E70000}"/>
    <cellStyle name="Percent 3 3 3 4 3 2" xfId="20044" xr:uid="{00000000-0005-0000-0000-0000C4E70000}"/>
    <cellStyle name="Percent 3 3 3 4 30" xfId="63803" xr:uid="{00000000-0005-0000-0000-0000C5E70000}"/>
    <cellStyle name="Percent 3 3 3 4 4" xfId="6578" xr:uid="{00000000-0005-0000-0000-0000C6E70000}"/>
    <cellStyle name="Percent 3 3 3 4 4 2" xfId="21727" xr:uid="{00000000-0005-0000-0000-0000C7E70000}"/>
    <cellStyle name="Percent 3 3 3 4 5" xfId="8261" xr:uid="{00000000-0005-0000-0000-0000C8E70000}"/>
    <cellStyle name="Percent 3 3 3 4 5 2" xfId="23410" xr:uid="{00000000-0005-0000-0000-0000C9E70000}"/>
    <cellStyle name="Percent 3 3 3 4 6" xfId="9944" xr:uid="{00000000-0005-0000-0000-0000CAE70000}"/>
    <cellStyle name="Percent 3 3 3 4 6 2" xfId="25093" xr:uid="{00000000-0005-0000-0000-0000CBE70000}"/>
    <cellStyle name="Percent 3 3 3 4 7" xfId="11627" xr:uid="{00000000-0005-0000-0000-0000CCE70000}"/>
    <cellStyle name="Percent 3 3 3 4 7 2" xfId="26776" xr:uid="{00000000-0005-0000-0000-0000CDE70000}"/>
    <cellStyle name="Percent 3 3 3 4 8" xfId="13311" xr:uid="{00000000-0005-0000-0000-0000CEE70000}"/>
    <cellStyle name="Percent 3 3 3 4 8 2" xfId="28460" xr:uid="{00000000-0005-0000-0000-0000CFE70000}"/>
    <cellStyle name="Percent 3 3 3 4 9" xfId="14994" xr:uid="{00000000-0005-0000-0000-0000D0E70000}"/>
    <cellStyle name="Percent 3 3 3 4 9 2" xfId="30143" xr:uid="{00000000-0005-0000-0000-0000D1E70000}"/>
    <cellStyle name="Percent 3 3 3 5" xfId="1949" xr:uid="{00000000-0005-0000-0000-0000D2E70000}"/>
    <cellStyle name="Percent 3 3 3 5 2" xfId="17098" xr:uid="{00000000-0005-0000-0000-0000D3E70000}"/>
    <cellStyle name="Percent 3 3 3 6" xfId="3633" xr:uid="{00000000-0005-0000-0000-0000D4E70000}"/>
    <cellStyle name="Percent 3 3 3 6 2" xfId="18782" xr:uid="{00000000-0005-0000-0000-0000D5E70000}"/>
    <cellStyle name="Percent 3 3 3 7" xfId="5316" xr:uid="{00000000-0005-0000-0000-0000D6E70000}"/>
    <cellStyle name="Percent 3 3 3 7 2" xfId="20465" xr:uid="{00000000-0005-0000-0000-0000D7E70000}"/>
    <cellStyle name="Percent 3 3 3 8" xfId="6999" xr:uid="{00000000-0005-0000-0000-0000D8E70000}"/>
    <cellStyle name="Percent 3 3 3 8 2" xfId="22148" xr:uid="{00000000-0005-0000-0000-0000D9E70000}"/>
    <cellStyle name="Percent 3 3 3 9" xfId="8682" xr:uid="{00000000-0005-0000-0000-0000DAE70000}"/>
    <cellStyle name="Percent 3 3 3 9 2" xfId="23831" xr:uid="{00000000-0005-0000-0000-0000DBE70000}"/>
    <cellStyle name="Percent 3 3 30" xfId="53916" xr:uid="{00000000-0005-0000-0000-0000DCE70000}"/>
    <cellStyle name="Percent 3 3 31" xfId="55599" xr:uid="{00000000-0005-0000-0000-0000DDE70000}"/>
    <cellStyle name="Percent 3 3 32" xfId="57282" xr:uid="{00000000-0005-0000-0000-0000DEE70000}"/>
    <cellStyle name="Percent 3 3 33" xfId="58965" xr:uid="{00000000-0005-0000-0000-0000DFE70000}"/>
    <cellStyle name="Percent 3 3 34" xfId="60648" xr:uid="{00000000-0005-0000-0000-0000E0E70000}"/>
    <cellStyle name="Percent 3 3 35" xfId="62331" xr:uid="{00000000-0005-0000-0000-0000E1E70000}"/>
    <cellStyle name="Percent 3 3 4" xfId="476" xr:uid="{00000000-0005-0000-0000-0000E2E70000}"/>
    <cellStyle name="Percent 3 3 4 10" xfId="15625" xr:uid="{00000000-0005-0000-0000-0000E3E70000}"/>
    <cellStyle name="Percent 3 3 4 11" xfId="30774" xr:uid="{00000000-0005-0000-0000-0000E4E70000}"/>
    <cellStyle name="Percent 3 3 4 12" xfId="32457" xr:uid="{00000000-0005-0000-0000-0000E5E70000}"/>
    <cellStyle name="Percent 3 3 4 13" xfId="34140" xr:uid="{00000000-0005-0000-0000-0000E6E70000}"/>
    <cellStyle name="Percent 3 3 4 14" xfId="35823" xr:uid="{00000000-0005-0000-0000-0000E7E70000}"/>
    <cellStyle name="Percent 3 3 4 15" xfId="37506" xr:uid="{00000000-0005-0000-0000-0000E8E70000}"/>
    <cellStyle name="Percent 3 3 4 16" xfId="39189" xr:uid="{00000000-0005-0000-0000-0000E9E70000}"/>
    <cellStyle name="Percent 3 3 4 17" xfId="40872" xr:uid="{00000000-0005-0000-0000-0000EAE70000}"/>
    <cellStyle name="Percent 3 3 4 18" xfId="42555" xr:uid="{00000000-0005-0000-0000-0000EBE70000}"/>
    <cellStyle name="Percent 3 3 4 19" xfId="44238" xr:uid="{00000000-0005-0000-0000-0000ECE70000}"/>
    <cellStyle name="Percent 3 3 4 2" xfId="2159" xr:uid="{00000000-0005-0000-0000-0000EDE70000}"/>
    <cellStyle name="Percent 3 3 4 2 2" xfId="17308" xr:uid="{00000000-0005-0000-0000-0000EEE70000}"/>
    <cellStyle name="Percent 3 3 4 20" xfId="45921" xr:uid="{00000000-0005-0000-0000-0000EFE70000}"/>
    <cellStyle name="Percent 3 3 4 21" xfId="47604" xr:uid="{00000000-0005-0000-0000-0000F0E70000}"/>
    <cellStyle name="Percent 3 3 4 22" xfId="49287" xr:uid="{00000000-0005-0000-0000-0000F1E70000}"/>
    <cellStyle name="Percent 3 3 4 23" xfId="50970" xr:uid="{00000000-0005-0000-0000-0000F2E70000}"/>
    <cellStyle name="Percent 3 3 4 24" xfId="52653" xr:uid="{00000000-0005-0000-0000-0000F3E70000}"/>
    <cellStyle name="Percent 3 3 4 25" xfId="54336" xr:uid="{00000000-0005-0000-0000-0000F4E70000}"/>
    <cellStyle name="Percent 3 3 4 26" xfId="56019" xr:uid="{00000000-0005-0000-0000-0000F5E70000}"/>
    <cellStyle name="Percent 3 3 4 27" xfId="57702" xr:uid="{00000000-0005-0000-0000-0000F6E70000}"/>
    <cellStyle name="Percent 3 3 4 28" xfId="59385" xr:uid="{00000000-0005-0000-0000-0000F7E70000}"/>
    <cellStyle name="Percent 3 3 4 29" xfId="61068" xr:uid="{00000000-0005-0000-0000-0000F8E70000}"/>
    <cellStyle name="Percent 3 3 4 3" xfId="3843" xr:uid="{00000000-0005-0000-0000-0000F9E70000}"/>
    <cellStyle name="Percent 3 3 4 3 2" xfId="18992" xr:uid="{00000000-0005-0000-0000-0000FAE70000}"/>
    <cellStyle name="Percent 3 3 4 30" xfId="62751" xr:uid="{00000000-0005-0000-0000-0000FBE70000}"/>
    <cellStyle name="Percent 3 3 4 4" xfId="5526" xr:uid="{00000000-0005-0000-0000-0000FCE70000}"/>
    <cellStyle name="Percent 3 3 4 4 2" xfId="20675" xr:uid="{00000000-0005-0000-0000-0000FDE70000}"/>
    <cellStyle name="Percent 3 3 4 5" xfId="7209" xr:uid="{00000000-0005-0000-0000-0000FEE70000}"/>
    <cellStyle name="Percent 3 3 4 5 2" xfId="22358" xr:uid="{00000000-0005-0000-0000-0000FFE70000}"/>
    <cellStyle name="Percent 3 3 4 6" xfId="8892" xr:uid="{00000000-0005-0000-0000-000000E80000}"/>
    <cellStyle name="Percent 3 3 4 6 2" xfId="24041" xr:uid="{00000000-0005-0000-0000-000001E80000}"/>
    <cellStyle name="Percent 3 3 4 7" xfId="10575" xr:uid="{00000000-0005-0000-0000-000002E80000}"/>
    <cellStyle name="Percent 3 3 4 7 2" xfId="25724" xr:uid="{00000000-0005-0000-0000-000003E80000}"/>
    <cellStyle name="Percent 3 3 4 8" xfId="12259" xr:uid="{00000000-0005-0000-0000-000004E80000}"/>
    <cellStyle name="Percent 3 3 4 8 2" xfId="27408" xr:uid="{00000000-0005-0000-0000-000005E80000}"/>
    <cellStyle name="Percent 3 3 4 9" xfId="13942" xr:uid="{00000000-0005-0000-0000-000006E80000}"/>
    <cellStyle name="Percent 3 3 4 9 2" xfId="29091" xr:uid="{00000000-0005-0000-0000-000007E80000}"/>
    <cellStyle name="Percent 3 3 5" xfId="897" xr:uid="{00000000-0005-0000-0000-000008E80000}"/>
    <cellStyle name="Percent 3 3 5 10" xfId="16046" xr:uid="{00000000-0005-0000-0000-000009E80000}"/>
    <cellStyle name="Percent 3 3 5 11" xfId="31195" xr:uid="{00000000-0005-0000-0000-00000AE80000}"/>
    <cellStyle name="Percent 3 3 5 12" xfId="32878" xr:uid="{00000000-0005-0000-0000-00000BE80000}"/>
    <cellStyle name="Percent 3 3 5 13" xfId="34561" xr:uid="{00000000-0005-0000-0000-00000CE80000}"/>
    <cellStyle name="Percent 3 3 5 14" xfId="36244" xr:uid="{00000000-0005-0000-0000-00000DE80000}"/>
    <cellStyle name="Percent 3 3 5 15" xfId="37927" xr:uid="{00000000-0005-0000-0000-00000EE80000}"/>
    <cellStyle name="Percent 3 3 5 16" xfId="39610" xr:uid="{00000000-0005-0000-0000-00000FE80000}"/>
    <cellStyle name="Percent 3 3 5 17" xfId="41293" xr:uid="{00000000-0005-0000-0000-000010E80000}"/>
    <cellStyle name="Percent 3 3 5 18" xfId="42976" xr:uid="{00000000-0005-0000-0000-000011E80000}"/>
    <cellStyle name="Percent 3 3 5 19" xfId="44659" xr:uid="{00000000-0005-0000-0000-000012E80000}"/>
    <cellStyle name="Percent 3 3 5 2" xfId="2580" xr:uid="{00000000-0005-0000-0000-000013E80000}"/>
    <cellStyle name="Percent 3 3 5 2 2" xfId="17729" xr:uid="{00000000-0005-0000-0000-000014E80000}"/>
    <cellStyle name="Percent 3 3 5 20" xfId="46342" xr:uid="{00000000-0005-0000-0000-000015E80000}"/>
    <cellStyle name="Percent 3 3 5 21" xfId="48025" xr:uid="{00000000-0005-0000-0000-000016E80000}"/>
    <cellStyle name="Percent 3 3 5 22" xfId="49708" xr:uid="{00000000-0005-0000-0000-000017E80000}"/>
    <cellStyle name="Percent 3 3 5 23" xfId="51391" xr:uid="{00000000-0005-0000-0000-000018E80000}"/>
    <cellStyle name="Percent 3 3 5 24" xfId="53074" xr:uid="{00000000-0005-0000-0000-000019E80000}"/>
    <cellStyle name="Percent 3 3 5 25" xfId="54757" xr:uid="{00000000-0005-0000-0000-00001AE80000}"/>
    <cellStyle name="Percent 3 3 5 26" xfId="56440" xr:uid="{00000000-0005-0000-0000-00001BE80000}"/>
    <cellStyle name="Percent 3 3 5 27" xfId="58123" xr:uid="{00000000-0005-0000-0000-00001CE80000}"/>
    <cellStyle name="Percent 3 3 5 28" xfId="59806" xr:uid="{00000000-0005-0000-0000-00001DE80000}"/>
    <cellStyle name="Percent 3 3 5 29" xfId="61489" xr:uid="{00000000-0005-0000-0000-00001EE80000}"/>
    <cellStyle name="Percent 3 3 5 3" xfId="4264" xr:uid="{00000000-0005-0000-0000-00001FE80000}"/>
    <cellStyle name="Percent 3 3 5 3 2" xfId="19413" xr:uid="{00000000-0005-0000-0000-000020E80000}"/>
    <cellStyle name="Percent 3 3 5 30" xfId="63172" xr:uid="{00000000-0005-0000-0000-000021E80000}"/>
    <cellStyle name="Percent 3 3 5 4" xfId="5947" xr:uid="{00000000-0005-0000-0000-000022E80000}"/>
    <cellStyle name="Percent 3 3 5 4 2" xfId="21096" xr:uid="{00000000-0005-0000-0000-000023E80000}"/>
    <cellStyle name="Percent 3 3 5 5" xfId="7630" xr:uid="{00000000-0005-0000-0000-000024E80000}"/>
    <cellStyle name="Percent 3 3 5 5 2" xfId="22779" xr:uid="{00000000-0005-0000-0000-000025E80000}"/>
    <cellStyle name="Percent 3 3 5 6" xfId="9313" xr:uid="{00000000-0005-0000-0000-000026E80000}"/>
    <cellStyle name="Percent 3 3 5 6 2" xfId="24462" xr:uid="{00000000-0005-0000-0000-000027E80000}"/>
    <cellStyle name="Percent 3 3 5 7" xfId="10996" xr:uid="{00000000-0005-0000-0000-000028E80000}"/>
    <cellStyle name="Percent 3 3 5 7 2" xfId="26145" xr:uid="{00000000-0005-0000-0000-000029E80000}"/>
    <cellStyle name="Percent 3 3 5 8" xfId="12680" xr:uid="{00000000-0005-0000-0000-00002AE80000}"/>
    <cellStyle name="Percent 3 3 5 8 2" xfId="27829" xr:uid="{00000000-0005-0000-0000-00002BE80000}"/>
    <cellStyle name="Percent 3 3 5 9" xfId="14363" xr:uid="{00000000-0005-0000-0000-00002CE80000}"/>
    <cellStyle name="Percent 3 3 5 9 2" xfId="29512" xr:uid="{00000000-0005-0000-0000-00002DE80000}"/>
    <cellStyle name="Percent 3 3 6" xfId="1318" xr:uid="{00000000-0005-0000-0000-00002EE80000}"/>
    <cellStyle name="Percent 3 3 6 10" xfId="16467" xr:uid="{00000000-0005-0000-0000-00002FE80000}"/>
    <cellStyle name="Percent 3 3 6 11" xfId="31616" xr:uid="{00000000-0005-0000-0000-000030E80000}"/>
    <cellStyle name="Percent 3 3 6 12" xfId="33299" xr:uid="{00000000-0005-0000-0000-000031E80000}"/>
    <cellStyle name="Percent 3 3 6 13" xfId="34982" xr:uid="{00000000-0005-0000-0000-000032E80000}"/>
    <cellStyle name="Percent 3 3 6 14" xfId="36665" xr:uid="{00000000-0005-0000-0000-000033E80000}"/>
    <cellStyle name="Percent 3 3 6 15" xfId="38348" xr:uid="{00000000-0005-0000-0000-000034E80000}"/>
    <cellStyle name="Percent 3 3 6 16" xfId="40031" xr:uid="{00000000-0005-0000-0000-000035E80000}"/>
    <cellStyle name="Percent 3 3 6 17" xfId="41714" xr:uid="{00000000-0005-0000-0000-000036E80000}"/>
    <cellStyle name="Percent 3 3 6 18" xfId="43397" xr:uid="{00000000-0005-0000-0000-000037E80000}"/>
    <cellStyle name="Percent 3 3 6 19" xfId="45080" xr:uid="{00000000-0005-0000-0000-000038E80000}"/>
    <cellStyle name="Percent 3 3 6 2" xfId="3001" xr:uid="{00000000-0005-0000-0000-000039E80000}"/>
    <cellStyle name="Percent 3 3 6 2 2" xfId="18150" xr:uid="{00000000-0005-0000-0000-00003AE80000}"/>
    <cellStyle name="Percent 3 3 6 20" xfId="46763" xr:uid="{00000000-0005-0000-0000-00003BE80000}"/>
    <cellStyle name="Percent 3 3 6 21" xfId="48446" xr:uid="{00000000-0005-0000-0000-00003CE80000}"/>
    <cellStyle name="Percent 3 3 6 22" xfId="50129" xr:uid="{00000000-0005-0000-0000-00003DE80000}"/>
    <cellStyle name="Percent 3 3 6 23" xfId="51812" xr:uid="{00000000-0005-0000-0000-00003EE80000}"/>
    <cellStyle name="Percent 3 3 6 24" xfId="53495" xr:uid="{00000000-0005-0000-0000-00003FE80000}"/>
    <cellStyle name="Percent 3 3 6 25" xfId="55178" xr:uid="{00000000-0005-0000-0000-000040E80000}"/>
    <cellStyle name="Percent 3 3 6 26" xfId="56861" xr:uid="{00000000-0005-0000-0000-000041E80000}"/>
    <cellStyle name="Percent 3 3 6 27" xfId="58544" xr:uid="{00000000-0005-0000-0000-000042E80000}"/>
    <cellStyle name="Percent 3 3 6 28" xfId="60227" xr:uid="{00000000-0005-0000-0000-000043E80000}"/>
    <cellStyle name="Percent 3 3 6 29" xfId="61910" xr:uid="{00000000-0005-0000-0000-000044E80000}"/>
    <cellStyle name="Percent 3 3 6 3" xfId="4685" xr:uid="{00000000-0005-0000-0000-000045E80000}"/>
    <cellStyle name="Percent 3 3 6 3 2" xfId="19834" xr:uid="{00000000-0005-0000-0000-000046E80000}"/>
    <cellStyle name="Percent 3 3 6 30" xfId="63593" xr:uid="{00000000-0005-0000-0000-000047E80000}"/>
    <cellStyle name="Percent 3 3 6 4" xfId="6368" xr:uid="{00000000-0005-0000-0000-000048E80000}"/>
    <cellStyle name="Percent 3 3 6 4 2" xfId="21517" xr:uid="{00000000-0005-0000-0000-000049E80000}"/>
    <cellStyle name="Percent 3 3 6 5" xfId="8051" xr:uid="{00000000-0005-0000-0000-00004AE80000}"/>
    <cellStyle name="Percent 3 3 6 5 2" xfId="23200" xr:uid="{00000000-0005-0000-0000-00004BE80000}"/>
    <cellStyle name="Percent 3 3 6 6" xfId="9734" xr:uid="{00000000-0005-0000-0000-00004CE80000}"/>
    <cellStyle name="Percent 3 3 6 6 2" xfId="24883" xr:uid="{00000000-0005-0000-0000-00004DE80000}"/>
    <cellStyle name="Percent 3 3 6 7" xfId="11417" xr:uid="{00000000-0005-0000-0000-00004EE80000}"/>
    <cellStyle name="Percent 3 3 6 7 2" xfId="26566" xr:uid="{00000000-0005-0000-0000-00004FE80000}"/>
    <cellStyle name="Percent 3 3 6 8" xfId="13101" xr:uid="{00000000-0005-0000-0000-000050E80000}"/>
    <cellStyle name="Percent 3 3 6 8 2" xfId="28250" xr:uid="{00000000-0005-0000-0000-000051E80000}"/>
    <cellStyle name="Percent 3 3 6 9" xfId="14784" xr:uid="{00000000-0005-0000-0000-000052E80000}"/>
    <cellStyle name="Percent 3 3 6 9 2" xfId="29933" xr:uid="{00000000-0005-0000-0000-000053E80000}"/>
    <cellStyle name="Percent 3 3 7" xfId="1739" xr:uid="{00000000-0005-0000-0000-000054E80000}"/>
    <cellStyle name="Percent 3 3 7 2" xfId="16888" xr:uid="{00000000-0005-0000-0000-000055E80000}"/>
    <cellStyle name="Percent 3 3 8" xfId="3423" xr:uid="{00000000-0005-0000-0000-000056E80000}"/>
    <cellStyle name="Percent 3 3 8 2" xfId="18572" xr:uid="{00000000-0005-0000-0000-000057E80000}"/>
    <cellStyle name="Percent 3 3 9" xfId="5106" xr:uid="{00000000-0005-0000-0000-000058E80000}"/>
    <cellStyle name="Percent 3 3 9 2" xfId="20255" xr:uid="{00000000-0005-0000-0000-000059E80000}"/>
    <cellStyle name="Percent 3 30" xfId="47167" xr:uid="{00000000-0005-0000-0000-00005AE80000}"/>
    <cellStyle name="Percent 3 31" xfId="48850" xr:uid="{00000000-0005-0000-0000-00005BE80000}"/>
    <cellStyle name="Percent 3 32" xfId="50533" xr:uid="{00000000-0005-0000-0000-00005CE80000}"/>
    <cellStyle name="Percent 3 33" xfId="52216" xr:uid="{00000000-0005-0000-0000-00005DE80000}"/>
    <cellStyle name="Percent 3 34" xfId="53899" xr:uid="{00000000-0005-0000-0000-00005EE80000}"/>
    <cellStyle name="Percent 3 35" xfId="55582" xr:uid="{00000000-0005-0000-0000-00005FE80000}"/>
    <cellStyle name="Percent 3 36" xfId="57265" xr:uid="{00000000-0005-0000-0000-000060E80000}"/>
    <cellStyle name="Percent 3 37" xfId="58948" xr:uid="{00000000-0005-0000-0000-000061E80000}"/>
    <cellStyle name="Percent 3 38" xfId="60631" xr:uid="{00000000-0005-0000-0000-000062E80000}"/>
    <cellStyle name="Percent 3 39" xfId="62314" xr:uid="{00000000-0005-0000-0000-000063E80000}"/>
    <cellStyle name="Percent 3 4" xfId="43" xr:uid="{00000000-0005-0000-0000-000064E80000}"/>
    <cellStyle name="Percent 3 4 10" xfId="6798" xr:uid="{00000000-0005-0000-0000-000065E80000}"/>
    <cellStyle name="Percent 3 4 10 2" xfId="21947" xr:uid="{00000000-0005-0000-0000-000066E80000}"/>
    <cellStyle name="Percent 3 4 11" xfId="8481" xr:uid="{00000000-0005-0000-0000-000067E80000}"/>
    <cellStyle name="Percent 3 4 11 2" xfId="23630" xr:uid="{00000000-0005-0000-0000-000068E80000}"/>
    <cellStyle name="Percent 3 4 12" xfId="10164" xr:uid="{00000000-0005-0000-0000-000069E80000}"/>
    <cellStyle name="Percent 3 4 12 2" xfId="25313" xr:uid="{00000000-0005-0000-0000-00006AE80000}"/>
    <cellStyle name="Percent 3 4 13" xfId="11848" xr:uid="{00000000-0005-0000-0000-00006BE80000}"/>
    <cellStyle name="Percent 3 4 13 2" xfId="26997" xr:uid="{00000000-0005-0000-0000-00006CE80000}"/>
    <cellStyle name="Percent 3 4 14" xfId="13531" xr:uid="{00000000-0005-0000-0000-00006DE80000}"/>
    <cellStyle name="Percent 3 4 14 2" xfId="28680" xr:uid="{00000000-0005-0000-0000-00006EE80000}"/>
    <cellStyle name="Percent 3 4 15" xfId="15214" xr:uid="{00000000-0005-0000-0000-00006FE80000}"/>
    <cellStyle name="Percent 3 4 16" xfId="30363" xr:uid="{00000000-0005-0000-0000-000070E80000}"/>
    <cellStyle name="Percent 3 4 17" xfId="32046" xr:uid="{00000000-0005-0000-0000-000071E80000}"/>
    <cellStyle name="Percent 3 4 18" xfId="33729" xr:uid="{00000000-0005-0000-0000-000072E80000}"/>
    <cellStyle name="Percent 3 4 19" xfId="35412" xr:uid="{00000000-0005-0000-0000-000073E80000}"/>
    <cellStyle name="Percent 3 4 2" xfId="170" xr:uid="{00000000-0005-0000-0000-000074E80000}"/>
    <cellStyle name="Percent 3 4 2 10" xfId="8586" xr:uid="{00000000-0005-0000-0000-000075E80000}"/>
    <cellStyle name="Percent 3 4 2 10 2" xfId="23735" xr:uid="{00000000-0005-0000-0000-000076E80000}"/>
    <cellStyle name="Percent 3 4 2 11" xfId="10269" xr:uid="{00000000-0005-0000-0000-000077E80000}"/>
    <cellStyle name="Percent 3 4 2 11 2" xfId="25418" xr:uid="{00000000-0005-0000-0000-000078E80000}"/>
    <cellStyle name="Percent 3 4 2 12" xfId="11953" xr:uid="{00000000-0005-0000-0000-000079E80000}"/>
    <cellStyle name="Percent 3 4 2 12 2" xfId="27102" xr:uid="{00000000-0005-0000-0000-00007AE80000}"/>
    <cellStyle name="Percent 3 4 2 13" xfId="13636" xr:uid="{00000000-0005-0000-0000-00007BE80000}"/>
    <cellStyle name="Percent 3 4 2 13 2" xfId="28785" xr:uid="{00000000-0005-0000-0000-00007CE80000}"/>
    <cellStyle name="Percent 3 4 2 14" xfId="15319" xr:uid="{00000000-0005-0000-0000-00007DE80000}"/>
    <cellStyle name="Percent 3 4 2 15" xfId="30468" xr:uid="{00000000-0005-0000-0000-00007EE80000}"/>
    <cellStyle name="Percent 3 4 2 16" xfId="32151" xr:uid="{00000000-0005-0000-0000-00007FE80000}"/>
    <cellStyle name="Percent 3 4 2 17" xfId="33834" xr:uid="{00000000-0005-0000-0000-000080E80000}"/>
    <cellStyle name="Percent 3 4 2 18" xfId="35517" xr:uid="{00000000-0005-0000-0000-000081E80000}"/>
    <cellStyle name="Percent 3 4 2 19" xfId="37200" xr:uid="{00000000-0005-0000-0000-000082E80000}"/>
    <cellStyle name="Percent 3 4 2 2" xfId="380" xr:uid="{00000000-0005-0000-0000-000083E80000}"/>
    <cellStyle name="Percent 3 4 2 2 10" xfId="10479" xr:uid="{00000000-0005-0000-0000-000084E80000}"/>
    <cellStyle name="Percent 3 4 2 2 10 2" xfId="25628" xr:uid="{00000000-0005-0000-0000-000085E80000}"/>
    <cellStyle name="Percent 3 4 2 2 11" xfId="12163" xr:uid="{00000000-0005-0000-0000-000086E80000}"/>
    <cellStyle name="Percent 3 4 2 2 11 2" xfId="27312" xr:uid="{00000000-0005-0000-0000-000087E80000}"/>
    <cellStyle name="Percent 3 4 2 2 12" xfId="13846" xr:uid="{00000000-0005-0000-0000-000088E80000}"/>
    <cellStyle name="Percent 3 4 2 2 12 2" xfId="28995" xr:uid="{00000000-0005-0000-0000-000089E80000}"/>
    <cellStyle name="Percent 3 4 2 2 13" xfId="15529" xr:uid="{00000000-0005-0000-0000-00008AE80000}"/>
    <cellStyle name="Percent 3 4 2 2 14" xfId="30678" xr:uid="{00000000-0005-0000-0000-00008BE80000}"/>
    <cellStyle name="Percent 3 4 2 2 15" xfId="32361" xr:uid="{00000000-0005-0000-0000-00008CE80000}"/>
    <cellStyle name="Percent 3 4 2 2 16" xfId="34044" xr:uid="{00000000-0005-0000-0000-00008DE80000}"/>
    <cellStyle name="Percent 3 4 2 2 17" xfId="35727" xr:uid="{00000000-0005-0000-0000-00008EE80000}"/>
    <cellStyle name="Percent 3 4 2 2 18" xfId="37410" xr:uid="{00000000-0005-0000-0000-00008FE80000}"/>
    <cellStyle name="Percent 3 4 2 2 19" xfId="39093" xr:uid="{00000000-0005-0000-0000-000090E80000}"/>
    <cellStyle name="Percent 3 4 2 2 2" xfId="800" xr:uid="{00000000-0005-0000-0000-000091E80000}"/>
    <cellStyle name="Percent 3 4 2 2 2 10" xfId="15949" xr:uid="{00000000-0005-0000-0000-000092E80000}"/>
    <cellStyle name="Percent 3 4 2 2 2 11" xfId="31098" xr:uid="{00000000-0005-0000-0000-000093E80000}"/>
    <cellStyle name="Percent 3 4 2 2 2 12" xfId="32781" xr:uid="{00000000-0005-0000-0000-000094E80000}"/>
    <cellStyle name="Percent 3 4 2 2 2 13" xfId="34464" xr:uid="{00000000-0005-0000-0000-000095E80000}"/>
    <cellStyle name="Percent 3 4 2 2 2 14" xfId="36147" xr:uid="{00000000-0005-0000-0000-000096E80000}"/>
    <cellStyle name="Percent 3 4 2 2 2 15" xfId="37830" xr:uid="{00000000-0005-0000-0000-000097E80000}"/>
    <cellStyle name="Percent 3 4 2 2 2 16" xfId="39513" xr:uid="{00000000-0005-0000-0000-000098E80000}"/>
    <cellStyle name="Percent 3 4 2 2 2 17" xfId="41196" xr:uid="{00000000-0005-0000-0000-000099E80000}"/>
    <cellStyle name="Percent 3 4 2 2 2 18" xfId="42879" xr:uid="{00000000-0005-0000-0000-00009AE80000}"/>
    <cellStyle name="Percent 3 4 2 2 2 19" xfId="44562" xr:uid="{00000000-0005-0000-0000-00009BE80000}"/>
    <cellStyle name="Percent 3 4 2 2 2 2" xfId="2483" xr:uid="{00000000-0005-0000-0000-00009CE80000}"/>
    <cellStyle name="Percent 3 4 2 2 2 2 2" xfId="17632" xr:uid="{00000000-0005-0000-0000-00009DE80000}"/>
    <cellStyle name="Percent 3 4 2 2 2 20" xfId="46245" xr:uid="{00000000-0005-0000-0000-00009EE80000}"/>
    <cellStyle name="Percent 3 4 2 2 2 21" xfId="47928" xr:uid="{00000000-0005-0000-0000-00009FE80000}"/>
    <cellStyle name="Percent 3 4 2 2 2 22" xfId="49611" xr:uid="{00000000-0005-0000-0000-0000A0E80000}"/>
    <cellStyle name="Percent 3 4 2 2 2 23" xfId="51294" xr:uid="{00000000-0005-0000-0000-0000A1E80000}"/>
    <cellStyle name="Percent 3 4 2 2 2 24" xfId="52977" xr:uid="{00000000-0005-0000-0000-0000A2E80000}"/>
    <cellStyle name="Percent 3 4 2 2 2 25" xfId="54660" xr:uid="{00000000-0005-0000-0000-0000A3E80000}"/>
    <cellStyle name="Percent 3 4 2 2 2 26" xfId="56343" xr:uid="{00000000-0005-0000-0000-0000A4E80000}"/>
    <cellStyle name="Percent 3 4 2 2 2 27" xfId="58026" xr:uid="{00000000-0005-0000-0000-0000A5E80000}"/>
    <cellStyle name="Percent 3 4 2 2 2 28" xfId="59709" xr:uid="{00000000-0005-0000-0000-0000A6E80000}"/>
    <cellStyle name="Percent 3 4 2 2 2 29" xfId="61392" xr:uid="{00000000-0005-0000-0000-0000A7E80000}"/>
    <cellStyle name="Percent 3 4 2 2 2 3" xfId="4167" xr:uid="{00000000-0005-0000-0000-0000A8E80000}"/>
    <cellStyle name="Percent 3 4 2 2 2 3 2" xfId="19316" xr:uid="{00000000-0005-0000-0000-0000A9E80000}"/>
    <cellStyle name="Percent 3 4 2 2 2 30" xfId="63075" xr:uid="{00000000-0005-0000-0000-0000AAE80000}"/>
    <cellStyle name="Percent 3 4 2 2 2 4" xfId="5850" xr:uid="{00000000-0005-0000-0000-0000ABE80000}"/>
    <cellStyle name="Percent 3 4 2 2 2 4 2" xfId="20999" xr:uid="{00000000-0005-0000-0000-0000ACE80000}"/>
    <cellStyle name="Percent 3 4 2 2 2 5" xfId="7533" xr:uid="{00000000-0005-0000-0000-0000ADE80000}"/>
    <cellStyle name="Percent 3 4 2 2 2 5 2" xfId="22682" xr:uid="{00000000-0005-0000-0000-0000AEE80000}"/>
    <cellStyle name="Percent 3 4 2 2 2 6" xfId="9216" xr:uid="{00000000-0005-0000-0000-0000AFE80000}"/>
    <cellStyle name="Percent 3 4 2 2 2 6 2" xfId="24365" xr:uid="{00000000-0005-0000-0000-0000B0E80000}"/>
    <cellStyle name="Percent 3 4 2 2 2 7" xfId="10899" xr:uid="{00000000-0005-0000-0000-0000B1E80000}"/>
    <cellStyle name="Percent 3 4 2 2 2 7 2" xfId="26048" xr:uid="{00000000-0005-0000-0000-0000B2E80000}"/>
    <cellStyle name="Percent 3 4 2 2 2 8" xfId="12583" xr:uid="{00000000-0005-0000-0000-0000B3E80000}"/>
    <cellStyle name="Percent 3 4 2 2 2 8 2" xfId="27732" xr:uid="{00000000-0005-0000-0000-0000B4E80000}"/>
    <cellStyle name="Percent 3 4 2 2 2 9" xfId="14266" xr:uid="{00000000-0005-0000-0000-0000B5E80000}"/>
    <cellStyle name="Percent 3 4 2 2 2 9 2" xfId="29415" xr:uid="{00000000-0005-0000-0000-0000B6E80000}"/>
    <cellStyle name="Percent 3 4 2 2 20" xfId="40776" xr:uid="{00000000-0005-0000-0000-0000B7E80000}"/>
    <cellStyle name="Percent 3 4 2 2 21" xfId="42459" xr:uid="{00000000-0005-0000-0000-0000B8E80000}"/>
    <cellStyle name="Percent 3 4 2 2 22" xfId="44142" xr:uid="{00000000-0005-0000-0000-0000B9E80000}"/>
    <cellStyle name="Percent 3 4 2 2 23" xfId="45825" xr:uid="{00000000-0005-0000-0000-0000BAE80000}"/>
    <cellStyle name="Percent 3 4 2 2 24" xfId="47508" xr:uid="{00000000-0005-0000-0000-0000BBE80000}"/>
    <cellStyle name="Percent 3 4 2 2 25" xfId="49191" xr:uid="{00000000-0005-0000-0000-0000BCE80000}"/>
    <cellStyle name="Percent 3 4 2 2 26" xfId="50874" xr:uid="{00000000-0005-0000-0000-0000BDE80000}"/>
    <cellStyle name="Percent 3 4 2 2 27" xfId="52557" xr:uid="{00000000-0005-0000-0000-0000BEE80000}"/>
    <cellStyle name="Percent 3 4 2 2 28" xfId="54240" xr:uid="{00000000-0005-0000-0000-0000BFE80000}"/>
    <cellStyle name="Percent 3 4 2 2 29" xfId="55923" xr:uid="{00000000-0005-0000-0000-0000C0E80000}"/>
    <cellStyle name="Percent 3 4 2 2 3" xfId="1221" xr:uid="{00000000-0005-0000-0000-0000C1E80000}"/>
    <cellStyle name="Percent 3 4 2 2 3 10" xfId="16370" xr:uid="{00000000-0005-0000-0000-0000C2E80000}"/>
    <cellStyle name="Percent 3 4 2 2 3 11" xfId="31519" xr:uid="{00000000-0005-0000-0000-0000C3E80000}"/>
    <cellStyle name="Percent 3 4 2 2 3 12" xfId="33202" xr:uid="{00000000-0005-0000-0000-0000C4E80000}"/>
    <cellStyle name="Percent 3 4 2 2 3 13" xfId="34885" xr:uid="{00000000-0005-0000-0000-0000C5E80000}"/>
    <cellStyle name="Percent 3 4 2 2 3 14" xfId="36568" xr:uid="{00000000-0005-0000-0000-0000C6E80000}"/>
    <cellStyle name="Percent 3 4 2 2 3 15" xfId="38251" xr:uid="{00000000-0005-0000-0000-0000C7E80000}"/>
    <cellStyle name="Percent 3 4 2 2 3 16" xfId="39934" xr:uid="{00000000-0005-0000-0000-0000C8E80000}"/>
    <cellStyle name="Percent 3 4 2 2 3 17" xfId="41617" xr:uid="{00000000-0005-0000-0000-0000C9E80000}"/>
    <cellStyle name="Percent 3 4 2 2 3 18" xfId="43300" xr:uid="{00000000-0005-0000-0000-0000CAE80000}"/>
    <cellStyle name="Percent 3 4 2 2 3 19" xfId="44983" xr:uid="{00000000-0005-0000-0000-0000CBE80000}"/>
    <cellStyle name="Percent 3 4 2 2 3 2" xfId="2904" xr:uid="{00000000-0005-0000-0000-0000CCE80000}"/>
    <cellStyle name="Percent 3 4 2 2 3 2 2" xfId="18053" xr:uid="{00000000-0005-0000-0000-0000CDE80000}"/>
    <cellStyle name="Percent 3 4 2 2 3 20" xfId="46666" xr:uid="{00000000-0005-0000-0000-0000CEE80000}"/>
    <cellStyle name="Percent 3 4 2 2 3 21" xfId="48349" xr:uid="{00000000-0005-0000-0000-0000CFE80000}"/>
    <cellStyle name="Percent 3 4 2 2 3 22" xfId="50032" xr:uid="{00000000-0005-0000-0000-0000D0E80000}"/>
    <cellStyle name="Percent 3 4 2 2 3 23" xfId="51715" xr:uid="{00000000-0005-0000-0000-0000D1E80000}"/>
    <cellStyle name="Percent 3 4 2 2 3 24" xfId="53398" xr:uid="{00000000-0005-0000-0000-0000D2E80000}"/>
    <cellStyle name="Percent 3 4 2 2 3 25" xfId="55081" xr:uid="{00000000-0005-0000-0000-0000D3E80000}"/>
    <cellStyle name="Percent 3 4 2 2 3 26" xfId="56764" xr:uid="{00000000-0005-0000-0000-0000D4E80000}"/>
    <cellStyle name="Percent 3 4 2 2 3 27" xfId="58447" xr:uid="{00000000-0005-0000-0000-0000D5E80000}"/>
    <cellStyle name="Percent 3 4 2 2 3 28" xfId="60130" xr:uid="{00000000-0005-0000-0000-0000D6E80000}"/>
    <cellStyle name="Percent 3 4 2 2 3 29" xfId="61813" xr:uid="{00000000-0005-0000-0000-0000D7E80000}"/>
    <cellStyle name="Percent 3 4 2 2 3 3" xfId="4588" xr:uid="{00000000-0005-0000-0000-0000D8E80000}"/>
    <cellStyle name="Percent 3 4 2 2 3 3 2" xfId="19737" xr:uid="{00000000-0005-0000-0000-0000D9E80000}"/>
    <cellStyle name="Percent 3 4 2 2 3 30" xfId="63496" xr:uid="{00000000-0005-0000-0000-0000DAE80000}"/>
    <cellStyle name="Percent 3 4 2 2 3 4" xfId="6271" xr:uid="{00000000-0005-0000-0000-0000DBE80000}"/>
    <cellStyle name="Percent 3 4 2 2 3 4 2" xfId="21420" xr:uid="{00000000-0005-0000-0000-0000DCE80000}"/>
    <cellStyle name="Percent 3 4 2 2 3 5" xfId="7954" xr:uid="{00000000-0005-0000-0000-0000DDE80000}"/>
    <cellStyle name="Percent 3 4 2 2 3 5 2" xfId="23103" xr:uid="{00000000-0005-0000-0000-0000DEE80000}"/>
    <cellStyle name="Percent 3 4 2 2 3 6" xfId="9637" xr:uid="{00000000-0005-0000-0000-0000DFE80000}"/>
    <cellStyle name="Percent 3 4 2 2 3 6 2" xfId="24786" xr:uid="{00000000-0005-0000-0000-0000E0E80000}"/>
    <cellStyle name="Percent 3 4 2 2 3 7" xfId="11320" xr:uid="{00000000-0005-0000-0000-0000E1E80000}"/>
    <cellStyle name="Percent 3 4 2 2 3 7 2" xfId="26469" xr:uid="{00000000-0005-0000-0000-0000E2E80000}"/>
    <cellStyle name="Percent 3 4 2 2 3 8" xfId="13004" xr:uid="{00000000-0005-0000-0000-0000E3E80000}"/>
    <cellStyle name="Percent 3 4 2 2 3 8 2" xfId="28153" xr:uid="{00000000-0005-0000-0000-0000E4E80000}"/>
    <cellStyle name="Percent 3 4 2 2 3 9" xfId="14687" xr:uid="{00000000-0005-0000-0000-0000E5E80000}"/>
    <cellStyle name="Percent 3 4 2 2 3 9 2" xfId="29836" xr:uid="{00000000-0005-0000-0000-0000E6E80000}"/>
    <cellStyle name="Percent 3 4 2 2 30" xfId="57606" xr:uid="{00000000-0005-0000-0000-0000E7E80000}"/>
    <cellStyle name="Percent 3 4 2 2 31" xfId="59289" xr:uid="{00000000-0005-0000-0000-0000E8E80000}"/>
    <cellStyle name="Percent 3 4 2 2 32" xfId="60972" xr:uid="{00000000-0005-0000-0000-0000E9E80000}"/>
    <cellStyle name="Percent 3 4 2 2 33" xfId="62655" xr:uid="{00000000-0005-0000-0000-0000EAE80000}"/>
    <cellStyle name="Percent 3 4 2 2 4" xfId="1642" xr:uid="{00000000-0005-0000-0000-0000EBE80000}"/>
    <cellStyle name="Percent 3 4 2 2 4 10" xfId="16791" xr:uid="{00000000-0005-0000-0000-0000ECE80000}"/>
    <cellStyle name="Percent 3 4 2 2 4 11" xfId="31940" xr:uid="{00000000-0005-0000-0000-0000EDE80000}"/>
    <cellStyle name="Percent 3 4 2 2 4 12" xfId="33623" xr:uid="{00000000-0005-0000-0000-0000EEE80000}"/>
    <cellStyle name="Percent 3 4 2 2 4 13" xfId="35306" xr:uid="{00000000-0005-0000-0000-0000EFE80000}"/>
    <cellStyle name="Percent 3 4 2 2 4 14" xfId="36989" xr:uid="{00000000-0005-0000-0000-0000F0E80000}"/>
    <cellStyle name="Percent 3 4 2 2 4 15" xfId="38672" xr:uid="{00000000-0005-0000-0000-0000F1E80000}"/>
    <cellStyle name="Percent 3 4 2 2 4 16" xfId="40355" xr:uid="{00000000-0005-0000-0000-0000F2E80000}"/>
    <cellStyle name="Percent 3 4 2 2 4 17" xfId="42038" xr:uid="{00000000-0005-0000-0000-0000F3E80000}"/>
    <cellStyle name="Percent 3 4 2 2 4 18" xfId="43721" xr:uid="{00000000-0005-0000-0000-0000F4E80000}"/>
    <cellStyle name="Percent 3 4 2 2 4 19" xfId="45404" xr:uid="{00000000-0005-0000-0000-0000F5E80000}"/>
    <cellStyle name="Percent 3 4 2 2 4 2" xfId="3325" xr:uid="{00000000-0005-0000-0000-0000F6E80000}"/>
    <cellStyle name="Percent 3 4 2 2 4 2 2" xfId="18474" xr:uid="{00000000-0005-0000-0000-0000F7E80000}"/>
    <cellStyle name="Percent 3 4 2 2 4 20" xfId="47087" xr:uid="{00000000-0005-0000-0000-0000F8E80000}"/>
    <cellStyle name="Percent 3 4 2 2 4 21" xfId="48770" xr:uid="{00000000-0005-0000-0000-0000F9E80000}"/>
    <cellStyle name="Percent 3 4 2 2 4 22" xfId="50453" xr:uid="{00000000-0005-0000-0000-0000FAE80000}"/>
    <cellStyle name="Percent 3 4 2 2 4 23" xfId="52136" xr:uid="{00000000-0005-0000-0000-0000FBE80000}"/>
    <cellStyle name="Percent 3 4 2 2 4 24" xfId="53819" xr:uid="{00000000-0005-0000-0000-0000FCE80000}"/>
    <cellStyle name="Percent 3 4 2 2 4 25" xfId="55502" xr:uid="{00000000-0005-0000-0000-0000FDE80000}"/>
    <cellStyle name="Percent 3 4 2 2 4 26" xfId="57185" xr:uid="{00000000-0005-0000-0000-0000FEE80000}"/>
    <cellStyle name="Percent 3 4 2 2 4 27" xfId="58868" xr:uid="{00000000-0005-0000-0000-0000FFE80000}"/>
    <cellStyle name="Percent 3 4 2 2 4 28" xfId="60551" xr:uid="{00000000-0005-0000-0000-000000E90000}"/>
    <cellStyle name="Percent 3 4 2 2 4 29" xfId="62234" xr:uid="{00000000-0005-0000-0000-000001E90000}"/>
    <cellStyle name="Percent 3 4 2 2 4 3" xfId="5009" xr:uid="{00000000-0005-0000-0000-000002E90000}"/>
    <cellStyle name="Percent 3 4 2 2 4 3 2" xfId="20158" xr:uid="{00000000-0005-0000-0000-000003E90000}"/>
    <cellStyle name="Percent 3 4 2 2 4 30" xfId="63917" xr:uid="{00000000-0005-0000-0000-000004E90000}"/>
    <cellStyle name="Percent 3 4 2 2 4 4" xfId="6692" xr:uid="{00000000-0005-0000-0000-000005E90000}"/>
    <cellStyle name="Percent 3 4 2 2 4 4 2" xfId="21841" xr:uid="{00000000-0005-0000-0000-000006E90000}"/>
    <cellStyle name="Percent 3 4 2 2 4 5" xfId="8375" xr:uid="{00000000-0005-0000-0000-000007E90000}"/>
    <cellStyle name="Percent 3 4 2 2 4 5 2" xfId="23524" xr:uid="{00000000-0005-0000-0000-000008E90000}"/>
    <cellStyle name="Percent 3 4 2 2 4 6" xfId="10058" xr:uid="{00000000-0005-0000-0000-000009E90000}"/>
    <cellStyle name="Percent 3 4 2 2 4 6 2" xfId="25207" xr:uid="{00000000-0005-0000-0000-00000AE90000}"/>
    <cellStyle name="Percent 3 4 2 2 4 7" xfId="11741" xr:uid="{00000000-0005-0000-0000-00000BE90000}"/>
    <cellStyle name="Percent 3 4 2 2 4 7 2" xfId="26890" xr:uid="{00000000-0005-0000-0000-00000CE90000}"/>
    <cellStyle name="Percent 3 4 2 2 4 8" xfId="13425" xr:uid="{00000000-0005-0000-0000-00000DE90000}"/>
    <cellStyle name="Percent 3 4 2 2 4 8 2" xfId="28574" xr:uid="{00000000-0005-0000-0000-00000EE90000}"/>
    <cellStyle name="Percent 3 4 2 2 4 9" xfId="15108" xr:uid="{00000000-0005-0000-0000-00000FE90000}"/>
    <cellStyle name="Percent 3 4 2 2 4 9 2" xfId="30257" xr:uid="{00000000-0005-0000-0000-000010E90000}"/>
    <cellStyle name="Percent 3 4 2 2 5" xfId="2063" xr:uid="{00000000-0005-0000-0000-000011E90000}"/>
    <cellStyle name="Percent 3 4 2 2 5 2" xfId="17212" xr:uid="{00000000-0005-0000-0000-000012E90000}"/>
    <cellStyle name="Percent 3 4 2 2 6" xfId="3747" xr:uid="{00000000-0005-0000-0000-000013E90000}"/>
    <cellStyle name="Percent 3 4 2 2 6 2" xfId="18896" xr:uid="{00000000-0005-0000-0000-000014E90000}"/>
    <cellStyle name="Percent 3 4 2 2 7" xfId="5430" xr:uid="{00000000-0005-0000-0000-000015E90000}"/>
    <cellStyle name="Percent 3 4 2 2 7 2" xfId="20579" xr:uid="{00000000-0005-0000-0000-000016E90000}"/>
    <cellStyle name="Percent 3 4 2 2 8" xfId="7113" xr:uid="{00000000-0005-0000-0000-000017E90000}"/>
    <cellStyle name="Percent 3 4 2 2 8 2" xfId="22262" xr:uid="{00000000-0005-0000-0000-000018E90000}"/>
    <cellStyle name="Percent 3 4 2 2 9" xfId="8796" xr:uid="{00000000-0005-0000-0000-000019E90000}"/>
    <cellStyle name="Percent 3 4 2 2 9 2" xfId="23945" xr:uid="{00000000-0005-0000-0000-00001AE90000}"/>
    <cellStyle name="Percent 3 4 2 20" xfId="38883" xr:uid="{00000000-0005-0000-0000-00001BE90000}"/>
    <cellStyle name="Percent 3 4 2 21" xfId="40566" xr:uid="{00000000-0005-0000-0000-00001CE90000}"/>
    <cellStyle name="Percent 3 4 2 22" xfId="42249" xr:uid="{00000000-0005-0000-0000-00001DE90000}"/>
    <cellStyle name="Percent 3 4 2 23" xfId="43932" xr:uid="{00000000-0005-0000-0000-00001EE90000}"/>
    <cellStyle name="Percent 3 4 2 24" xfId="45615" xr:uid="{00000000-0005-0000-0000-00001FE90000}"/>
    <cellStyle name="Percent 3 4 2 25" xfId="47298" xr:uid="{00000000-0005-0000-0000-000020E90000}"/>
    <cellStyle name="Percent 3 4 2 26" xfId="48981" xr:uid="{00000000-0005-0000-0000-000021E90000}"/>
    <cellStyle name="Percent 3 4 2 27" xfId="50664" xr:uid="{00000000-0005-0000-0000-000022E90000}"/>
    <cellStyle name="Percent 3 4 2 28" xfId="52347" xr:uid="{00000000-0005-0000-0000-000023E90000}"/>
    <cellStyle name="Percent 3 4 2 29" xfId="54030" xr:uid="{00000000-0005-0000-0000-000024E90000}"/>
    <cellStyle name="Percent 3 4 2 3" xfId="590" xr:uid="{00000000-0005-0000-0000-000025E90000}"/>
    <cellStyle name="Percent 3 4 2 3 10" xfId="15739" xr:uid="{00000000-0005-0000-0000-000026E90000}"/>
    <cellStyle name="Percent 3 4 2 3 11" xfId="30888" xr:uid="{00000000-0005-0000-0000-000027E90000}"/>
    <cellStyle name="Percent 3 4 2 3 12" xfId="32571" xr:uid="{00000000-0005-0000-0000-000028E90000}"/>
    <cellStyle name="Percent 3 4 2 3 13" xfId="34254" xr:uid="{00000000-0005-0000-0000-000029E90000}"/>
    <cellStyle name="Percent 3 4 2 3 14" xfId="35937" xr:uid="{00000000-0005-0000-0000-00002AE90000}"/>
    <cellStyle name="Percent 3 4 2 3 15" xfId="37620" xr:uid="{00000000-0005-0000-0000-00002BE90000}"/>
    <cellStyle name="Percent 3 4 2 3 16" xfId="39303" xr:uid="{00000000-0005-0000-0000-00002CE90000}"/>
    <cellStyle name="Percent 3 4 2 3 17" xfId="40986" xr:uid="{00000000-0005-0000-0000-00002DE90000}"/>
    <cellStyle name="Percent 3 4 2 3 18" xfId="42669" xr:uid="{00000000-0005-0000-0000-00002EE90000}"/>
    <cellStyle name="Percent 3 4 2 3 19" xfId="44352" xr:uid="{00000000-0005-0000-0000-00002FE90000}"/>
    <cellStyle name="Percent 3 4 2 3 2" xfId="2273" xr:uid="{00000000-0005-0000-0000-000030E90000}"/>
    <cellStyle name="Percent 3 4 2 3 2 2" xfId="17422" xr:uid="{00000000-0005-0000-0000-000031E90000}"/>
    <cellStyle name="Percent 3 4 2 3 20" xfId="46035" xr:uid="{00000000-0005-0000-0000-000032E90000}"/>
    <cellStyle name="Percent 3 4 2 3 21" xfId="47718" xr:uid="{00000000-0005-0000-0000-000033E90000}"/>
    <cellStyle name="Percent 3 4 2 3 22" xfId="49401" xr:uid="{00000000-0005-0000-0000-000034E90000}"/>
    <cellStyle name="Percent 3 4 2 3 23" xfId="51084" xr:uid="{00000000-0005-0000-0000-000035E90000}"/>
    <cellStyle name="Percent 3 4 2 3 24" xfId="52767" xr:uid="{00000000-0005-0000-0000-000036E90000}"/>
    <cellStyle name="Percent 3 4 2 3 25" xfId="54450" xr:uid="{00000000-0005-0000-0000-000037E90000}"/>
    <cellStyle name="Percent 3 4 2 3 26" xfId="56133" xr:uid="{00000000-0005-0000-0000-000038E90000}"/>
    <cellStyle name="Percent 3 4 2 3 27" xfId="57816" xr:uid="{00000000-0005-0000-0000-000039E90000}"/>
    <cellStyle name="Percent 3 4 2 3 28" xfId="59499" xr:uid="{00000000-0005-0000-0000-00003AE90000}"/>
    <cellStyle name="Percent 3 4 2 3 29" xfId="61182" xr:uid="{00000000-0005-0000-0000-00003BE90000}"/>
    <cellStyle name="Percent 3 4 2 3 3" xfId="3957" xr:uid="{00000000-0005-0000-0000-00003CE90000}"/>
    <cellStyle name="Percent 3 4 2 3 3 2" xfId="19106" xr:uid="{00000000-0005-0000-0000-00003DE90000}"/>
    <cellStyle name="Percent 3 4 2 3 30" xfId="62865" xr:uid="{00000000-0005-0000-0000-00003EE90000}"/>
    <cellStyle name="Percent 3 4 2 3 4" xfId="5640" xr:uid="{00000000-0005-0000-0000-00003FE90000}"/>
    <cellStyle name="Percent 3 4 2 3 4 2" xfId="20789" xr:uid="{00000000-0005-0000-0000-000040E90000}"/>
    <cellStyle name="Percent 3 4 2 3 5" xfId="7323" xr:uid="{00000000-0005-0000-0000-000041E90000}"/>
    <cellStyle name="Percent 3 4 2 3 5 2" xfId="22472" xr:uid="{00000000-0005-0000-0000-000042E90000}"/>
    <cellStyle name="Percent 3 4 2 3 6" xfId="9006" xr:uid="{00000000-0005-0000-0000-000043E90000}"/>
    <cellStyle name="Percent 3 4 2 3 6 2" xfId="24155" xr:uid="{00000000-0005-0000-0000-000044E90000}"/>
    <cellStyle name="Percent 3 4 2 3 7" xfId="10689" xr:uid="{00000000-0005-0000-0000-000045E90000}"/>
    <cellStyle name="Percent 3 4 2 3 7 2" xfId="25838" xr:uid="{00000000-0005-0000-0000-000046E90000}"/>
    <cellStyle name="Percent 3 4 2 3 8" xfId="12373" xr:uid="{00000000-0005-0000-0000-000047E90000}"/>
    <cellStyle name="Percent 3 4 2 3 8 2" xfId="27522" xr:uid="{00000000-0005-0000-0000-000048E90000}"/>
    <cellStyle name="Percent 3 4 2 3 9" xfId="14056" xr:uid="{00000000-0005-0000-0000-000049E90000}"/>
    <cellStyle name="Percent 3 4 2 3 9 2" xfId="29205" xr:uid="{00000000-0005-0000-0000-00004AE90000}"/>
    <cellStyle name="Percent 3 4 2 30" xfId="55713" xr:uid="{00000000-0005-0000-0000-00004BE90000}"/>
    <cellStyle name="Percent 3 4 2 31" xfId="57396" xr:uid="{00000000-0005-0000-0000-00004CE90000}"/>
    <cellStyle name="Percent 3 4 2 32" xfId="59079" xr:uid="{00000000-0005-0000-0000-00004DE90000}"/>
    <cellStyle name="Percent 3 4 2 33" xfId="60762" xr:uid="{00000000-0005-0000-0000-00004EE90000}"/>
    <cellStyle name="Percent 3 4 2 34" xfId="62445" xr:uid="{00000000-0005-0000-0000-00004FE90000}"/>
    <cellStyle name="Percent 3 4 2 4" xfId="1011" xr:uid="{00000000-0005-0000-0000-000050E90000}"/>
    <cellStyle name="Percent 3 4 2 4 10" xfId="16160" xr:uid="{00000000-0005-0000-0000-000051E90000}"/>
    <cellStyle name="Percent 3 4 2 4 11" xfId="31309" xr:uid="{00000000-0005-0000-0000-000052E90000}"/>
    <cellStyle name="Percent 3 4 2 4 12" xfId="32992" xr:uid="{00000000-0005-0000-0000-000053E90000}"/>
    <cellStyle name="Percent 3 4 2 4 13" xfId="34675" xr:uid="{00000000-0005-0000-0000-000054E90000}"/>
    <cellStyle name="Percent 3 4 2 4 14" xfId="36358" xr:uid="{00000000-0005-0000-0000-000055E90000}"/>
    <cellStyle name="Percent 3 4 2 4 15" xfId="38041" xr:uid="{00000000-0005-0000-0000-000056E90000}"/>
    <cellStyle name="Percent 3 4 2 4 16" xfId="39724" xr:uid="{00000000-0005-0000-0000-000057E90000}"/>
    <cellStyle name="Percent 3 4 2 4 17" xfId="41407" xr:uid="{00000000-0005-0000-0000-000058E90000}"/>
    <cellStyle name="Percent 3 4 2 4 18" xfId="43090" xr:uid="{00000000-0005-0000-0000-000059E90000}"/>
    <cellStyle name="Percent 3 4 2 4 19" xfId="44773" xr:uid="{00000000-0005-0000-0000-00005AE90000}"/>
    <cellStyle name="Percent 3 4 2 4 2" xfId="2694" xr:uid="{00000000-0005-0000-0000-00005BE90000}"/>
    <cellStyle name="Percent 3 4 2 4 2 2" xfId="17843" xr:uid="{00000000-0005-0000-0000-00005CE90000}"/>
    <cellStyle name="Percent 3 4 2 4 20" xfId="46456" xr:uid="{00000000-0005-0000-0000-00005DE90000}"/>
    <cellStyle name="Percent 3 4 2 4 21" xfId="48139" xr:uid="{00000000-0005-0000-0000-00005EE90000}"/>
    <cellStyle name="Percent 3 4 2 4 22" xfId="49822" xr:uid="{00000000-0005-0000-0000-00005FE90000}"/>
    <cellStyle name="Percent 3 4 2 4 23" xfId="51505" xr:uid="{00000000-0005-0000-0000-000060E90000}"/>
    <cellStyle name="Percent 3 4 2 4 24" xfId="53188" xr:uid="{00000000-0005-0000-0000-000061E90000}"/>
    <cellStyle name="Percent 3 4 2 4 25" xfId="54871" xr:uid="{00000000-0005-0000-0000-000062E90000}"/>
    <cellStyle name="Percent 3 4 2 4 26" xfId="56554" xr:uid="{00000000-0005-0000-0000-000063E90000}"/>
    <cellStyle name="Percent 3 4 2 4 27" xfId="58237" xr:uid="{00000000-0005-0000-0000-000064E90000}"/>
    <cellStyle name="Percent 3 4 2 4 28" xfId="59920" xr:uid="{00000000-0005-0000-0000-000065E90000}"/>
    <cellStyle name="Percent 3 4 2 4 29" xfId="61603" xr:uid="{00000000-0005-0000-0000-000066E90000}"/>
    <cellStyle name="Percent 3 4 2 4 3" xfId="4378" xr:uid="{00000000-0005-0000-0000-000067E90000}"/>
    <cellStyle name="Percent 3 4 2 4 3 2" xfId="19527" xr:uid="{00000000-0005-0000-0000-000068E90000}"/>
    <cellStyle name="Percent 3 4 2 4 30" xfId="63286" xr:uid="{00000000-0005-0000-0000-000069E90000}"/>
    <cellStyle name="Percent 3 4 2 4 4" xfId="6061" xr:uid="{00000000-0005-0000-0000-00006AE90000}"/>
    <cellStyle name="Percent 3 4 2 4 4 2" xfId="21210" xr:uid="{00000000-0005-0000-0000-00006BE90000}"/>
    <cellStyle name="Percent 3 4 2 4 5" xfId="7744" xr:uid="{00000000-0005-0000-0000-00006CE90000}"/>
    <cellStyle name="Percent 3 4 2 4 5 2" xfId="22893" xr:uid="{00000000-0005-0000-0000-00006DE90000}"/>
    <cellStyle name="Percent 3 4 2 4 6" xfId="9427" xr:uid="{00000000-0005-0000-0000-00006EE90000}"/>
    <cellStyle name="Percent 3 4 2 4 6 2" xfId="24576" xr:uid="{00000000-0005-0000-0000-00006FE90000}"/>
    <cellStyle name="Percent 3 4 2 4 7" xfId="11110" xr:uid="{00000000-0005-0000-0000-000070E90000}"/>
    <cellStyle name="Percent 3 4 2 4 7 2" xfId="26259" xr:uid="{00000000-0005-0000-0000-000071E90000}"/>
    <cellStyle name="Percent 3 4 2 4 8" xfId="12794" xr:uid="{00000000-0005-0000-0000-000072E90000}"/>
    <cellStyle name="Percent 3 4 2 4 8 2" xfId="27943" xr:uid="{00000000-0005-0000-0000-000073E90000}"/>
    <cellStyle name="Percent 3 4 2 4 9" xfId="14477" xr:uid="{00000000-0005-0000-0000-000074E90000}"/>
    <cellStyle name="Percent 3 4 2 4 9 2" xfId="29626" xr:uid="{00000000-0005-0000-0000-000075E90000}"/>
    <cellStyle name="Percent 3 4 2 5" xfId="1432" xr:uid="{00000000-0005-0000-0000-000076E90000}"/>
    <cellStyle name="Percent 3 4 2 5 10" xfId="16581" xr:uid="{00000000-0005-0000-0000-000077E90000}"/>
    <cellStyle name="Percent 3 4 2 5 11" xfId="31730" xr:uid="{00000000-0005-0000-0000-000078E90000}"/>
    <cellStyle name="Percent 3 4 2 5 12" xfId="33413" xr:uid="{00000000-0005-0000-0000-000079E90000}"/>
    <cellStyle name="Percent 3 4 2 5 13" xfId="35096" xr:uid="{00000000-0005-0000-0000-00007AE90000}"/>
    <cellStyle name="Percent 3 4 2 5 14" xfId="36779" xr:uid="{00000000-0005-0000-0000-00007BE90000}"/>
    <cellStyle name="Percent 3 4 2 5 15" xfId="38462" xr:uid="{00000000-0005-0000-0000-00007CE90000}"/>
    <cellStyle name="Percent 3 4 2 5 16" xfId="40145" xr:uid="{00000000-0005-0000-0000-00007DE90000}"/>
    <cellStyle name="Percent 3 4 2 5 17" xfId="41828" xr:uid="{00000000-0005-0000-0000-00007EE90000}"/>
    <cellStyle name="Percent 3 4 2 5 18" xfId="43511" xr:uid="{00000000-0005-0000-0000-00007FE90000}"/>
    <cellStyle name="Percent 3 4 2 5 19" xfId="45194" xr:uid="{00000000-0005-0000-0000-000080E90000}"/>
    <cellStyle name="Percent 3 4 2 5 2" xfId="3115" xr:uid="{00000000-0005-0000-0000-000081E90000}"/>
    <cellStyle name="Percent 3 4 2 5 2 2" xfId="18264" xr:uid="{00000000-0005-0000-0000-000082E90000}"/>
    <cellStyle name="Percent 3 4 2 5 20" xfId="46877" xr:uid="{00000000-0005-0000-0000-000083E90000}"/>
    <cellStyle name="Percent 3 4 2 5 21" xfId="48560" xr:uid="{00000000-0005-0000-0000-000084E90000}"/>
    <cellStyle name="Percent 3 4 2 5 22" xfId="50243" xr:uid="{00000000-0005-0000-0000-000085E90000}"/>
    <cellStyle name="Percent 3 4 2 5 23" xfId="51926" xr:uid="{00000000-0005-0000-0000-000086E90000}"/>
    <cellStyle name="Percent 3 4 2 5 24" xfId="53609" xr:uid="{00000000-0005-0000-0000-000087E90000}"/>
    <cellStyle name="Percent 3 4 2 5 25" xfId="55292" xr:uid="{00000000-0005-0000-0000-000088E90000}"/>
    <cellStyle name="Percent 3 4 2 5 26" xfId="56975" xr:uid="{00000000-0005-0000-0000-000089E90000}"/>
    <cellStyle name="Percent 3 4 2 5 27" xfId="58658" xr:uid="{00000000-0005-0000-0000-00008AE90000}"/>
    <cellStyle name="Percent 3 4 2 5 28" xfId="60341" xr:uid="{00000000-0005-0000-0000-00008BE90000}"/>
    <cellStyle name="Percent 3 4 2 5 29" xfId="62024" xr:uid="{00000000-0005-0000-0000-00008CE90000}"/>
    <cellStyle name="Percent 3 4 2 5 3" xfId="4799" xr:uid="{00000000-0005-0000-0000-00008DE90000}"/>
    <cellStyle name="Percent 3 4 2 5 3 2" xfId="19948" xr:uid="{00000000-0005-0000-0000-00008EE90000}"/>
    <cellStyle name="Percent 3 4 2 5 30" xfId="63707" xr:uid="{00000000-0005-0000-0000-00008FE90000}"/>
    <cellStyle name="Percent 3 4 2 5 4" xfId="6482" xr:uid="{00000000-0005-0000-0000-000090E90000}"/>
    <cellStyle name="Percent 3 4 2 5 4 2" xfId="21631" xr:uid="{00000000-0005-0000-0000-000091E90000}"/>
    <cellStyle name="Percent 3 4 2 5 5" xfId="8165" xr:uid="{00000000-0005-0000-0000-000092E90000}"/>
    <cellStyle name="Percent 3 4 2 5 5 2" xfId="23314" xr:uid="{00000000-0005-0000-0000-000093E90000}"/>
    <cellStyle name="Percent 3 4 2 5 6" xfId="9848" xr:uid="{00000000-0005-0000-0000-000094E90000}"/>
    <cellStyle name="Percent 3 4 2 5 6 2" xfId="24997" xr:uid="{00000000-0005-0000-0000-000095E90000}"/>
    <cellStyle name="Percent 3 4 2 5 7" xfId="11531" xr:uid="{00000000-0005-0000-0000-000096E90000}"/>
    <cellStyle name="Percent 3 4 2 5 7 2" xfId="26680" xr:uid="{00000000-0005-0000-0000-000097E90000}"/>
    <cellStyle name="Percent 3 4 2 5 8" xfId="13215" xr:uid="{00000000-0005-0000-0000-000098E90000}"/>
    <cellStyle name="Percent 3 4 2 5 8 2" xfId="28364" xr:uid="{00000000-0005-0000-0000-000099E90000}"/>
    <cellStyle name="Percent 3 4 2 5 9" xfId="14898" xr:uid="{00000000-0005-0000-0000-00009AE90000}"/>
    <cellStyle name="Percent 3 4 2 5 9 2" xfId="30047" xr:uid="{00000000-0005-0000-0000-00009BE90000}"/>
    <cellStyle name="Percent 3 4 2 6" xfId="1853" xr:uid="{00000000-0005-0000-0000-00009CE90000}"/>
    <cellStyle name="Percent 3 4 2 6 2" xfId="17002" xr:uid="{00000000-0005-0000-0000-00009DE90000}"/>
    <cellStyle name="Percent 3 4 2 7" xfId="3537" xr:uid="{00000000-0005-0000-0000-00009EE90000}"/>
    <cellStyle name="Percent 3 4 2 7 2" xfId="18686" xr:uid="{00000000-0005-0000-0000-00009FE90000}"/>
    <cellStyle name="Percent 3 4 2 8" xfId="5220" xr:uid="{00000000-0005-0000-0000-0000A0E90000}"/>
    <cellStyle name="Percent 3 4 2 8 2" xfId="20369" xr:uid="{00000000-0005-0000-0000-0000A1E90000}"/>
    <cellStyle name="Percent 3 4 2 9" xfId="6903" xr:uid="{00000000-0005-0000-0000-0000A2E90000}"/>
    <cellStyle name="Percent 3 4 2 9 2" xfId="22052" xr:uid="{00000000-0005-0000-0000-0000A3E90000}"/>
    <cellStyle name="Percent 3 4 20" xfId="37095" xr:uid="{00000000-0005-0000-0000-0000A4E90000}"/>
    <cellStyle name="Percent 3 4 21" xfId="38778" xr:uid="{00000000-0005-0000-0000-0000A5E90000}"/>
    <cellStyle name="Percent 3 4 22" xfId="40461" xr:uid="{00000000-0005-0000-0000-0000A6E90000}"/>
    <cellStyle name="Percent 3 4 23" xfId="42144" xr:uid="{00000000-0005-0000-0000-0000A7E90000}"/>
    <cellStyle name="Percent 3 4 24" xfId="43827" xr:uid="{00000000-0005-0000-0000-0000A8E90000}"/>
    <cellStyle name="Percent 3 4 25" xfId="45510" xr:uid="{00000000-0005-0000-0000-0000A9E90000}"/>
    <cellStyle name="Percent 3 4 26" xfId="47193" xr:uid="{00000000-0005-0000-0000-0000AAE90000}"/>
    <cellStyle name="Percent 3 4 27" xfId="48876" xr:uid="{00000000-0005-0000-0000-0000ABE90000}"/>
    <cellStyle name="Percent 3 4 28" xfId="50559" xr:uid="{00000000-0005-0000-0000-0000ACE90000}"/>
    <cellStyle name="Percent 3 4 29" xfId="52242" xr:uid="{00000000-0005-0000-0000-0000ADE90000}"/>
    <cellStyle name="Percent 3 4 3" xfId="275" xr:uid="{00000000-0005-0000-0000-0000AEE90000}"/>
    <cellStyle name="Percent 3 4 3 10" xfId="10374" xr:uid="{00000000-0005-0000-0000-0000AFE90000}"/>
    <cellStyle name="Percent 3 4 3 10 2" xfId="25523" xr:uid="{00000000-0005-0000-0000-0000B0E90000}"/>
    <cellStyle name="Percent 3 4 3 11" xfId="12058" xr:uid="{00000000-0005-0000-0000-0000B1E90000}"/>
    <cellStyle name="Percent 3 4 3 11 2" xfId="27207" xr:uid="{00000000-0005-0000-0000-0000B2E90000}"/>
    <cellStyle name="Percent 3 4 3 12" xfId="13741" xr:uid="{00000000-0005-0000-0000-0000B3E90000}"/>
    <cellStyle name="Percent 3 4 3 12 2" xfId="28890" xr:uid="{00000000-0005-0000-0000-0000B4E90000}"/>
    <cellStyle name="Percent 3 4 3 13" xfId="15424" xr:uid="{00000000-0005-0000-0000-0000B5E90000}"/>
    <cellStyle name="Percent 3 4 3 14" xfId="30573" xr:uid="{00000000-0005-0000-0000-0000B6E90000}"/>
    <cellStyle name="Percent 3 4 3 15" xfId="32256" xr:uid="{00000000-0005-0000-0000-0000B7E90000}"/>
    <cellStyle name="Percent 3 4 3 16" xfId="33939" xr:uid="{00000000-0005-0000-0000-0000B8E90000}"/>
    <cellStyle name="Percent 3 4 3 17" xfId="35622" xr:uid="{00000000-0005-0000-0000-0000B9E90000}"/>
    <cellStyle name="Percent 3 4 3 18" xfId="37305" xr:uid="{00000000-0005-0000-0000-0000BAE90000}"/>
    <cellStyle name="Percent 3 4 3 19" xfId="38988" xr:uid="{00000000-0005-0000-0000-0000BBE90000}"/>
    <cellStyle name="Percent 3 4 3 2" xfId="695" xr:uid="{00000000-0005-0000-0000-0000BCE90000}"/>
    <cellStyle name="Percent 3 4 3 2 10" xfId="15844" xr:uid="{00000000-0005-0000-0000-0000BDE90000}"/>
    <cellStyle name="Percent 3 4 3 2 11" xfId="30993" xr:uid="{00000000-0005-0000-0000-0000BEE90000}"/>
    <cellStyle name="Percent 3 4 3 2 12" xfId="32676" xr:uid="{00000000-0005-0000-0000-0000BFE90000}"/>
    <cellStyle name="Percent 3 4 3 2 13" xfId="34359" xr:uid="{00000000-0005-0000-0000-0000C0E90000}"/>
    <cellStyle name="Percent 3 4 3 2 14" xfId="36042" xr:uid="{00000000-0005-0000-0000-0000C1E90000}"/>
    <cellStyle name="Percent 3 4 3 2 15" xfId="37725" xr:uid="{00000000-0005-0000-0000-0000C2E90000}"/>
    <cellStyle name="Percent 3 4 3 2 16" xfId="39408" xr:uid="{00000000-0005-0000-0000-0000C3E90000}"/>
    <cellStyle name="Percent 3 4 3 2 17" xfId="41091" xr:uid="{00000000-0005-0000-0000-0000C4E90000}"/>
    <cellStyle name="Percent 3 4 3 2 18" xfId="42774" xr:uid="{00000000-0005-0000-0000-0000C5E90000}"/>
    <cellStyle name="Percent 3 4 3 2 19" xfId="44457" xr:uid="{00000000-0005-0000-0000-0000C6E90000}"/>
    <cellStyle name="Percent 3 4 3 2 2" xfId="2378" xr:uid="{00000000-0005-0000-0000-0000C7E90000}"/>
    <cellStyle name="Percent 3 4 3 2 2 2" xfId="17527" xr:uid="{00000000-0005-0000-0000-0000C8E90000}"/>
    <cellStyle name="Percent 3 4 3 2 20" xfId="46140" xr:uid="{00000000-0005-0000-0000-0000C9E90000}"/>
    <cellStyle name="Percent 3 4 3 2 21" xfId="47823" xr:uid="{00000000-0005-0000-0000-0000CAE90000}"/>
    <cellStyle name="Percent 3 4 3 2 22" xfId="49506" xr:uid="{00000000-0005-0000-0000-0000CBE90000}"/>
    <cellStyle name="Percent 3 4 3 2 23" xfId="51189" xr:uid="{00000000-0005-0000-0000-0000CCE90000}"/>
    <cellStyle name="Percent 3 4 3 2 24" xfId="52872" xr:uid="{00000000-0005-0000-0000-0000CDE90000}"/>
    <cellStyle name="Percent 3 4 3 2 25" xfId="54555" xr:uid="{00000000-0005-0000-0000-0000CEE90000}"/>
    <cellStyle name="Percent 3 4 3 2 26" xfId="56238" xr:uid="{00000000-0005-0000-0000-0000CFE90000}"/>
    <cellStyle name="Percent 3 4 3 2 27" xfId="57921" xr:uid="{00000000-0005-0000-0000-0000D0E90000}"/>
    <cellStyle name="Percent 3 4 3 2 28" xfId="59604" xr:uid="{00000000-0005-0000-0000-0000D1E90000}"/>
    <cellStyle name="Percent 3 4 3 2 29" xfId="61287" xr:uid="{00000000-0005-0000-0000-0000D2E90000}"/>
    <cellStyle name="Percent 3 4 3 2 3" xfId="4062" xr:uid="{00000000-0005-0000-0000-0000D3E90000}"/>
    <cellStyle name="Percent 3 4 3 2 3 2" xfId="19211" xr:uid="{00000000-0005-0000-0000-0000D4E90000}"/>
    <cellStyle name="Percent 3 4 3 2 30" xfId="62970" xr:uid="{00000000-0005-0000-0000-0000D5E90000}"/>
    <cellStyle name="Percent 3 4 3 2 4" xfId="5745" xr:uid="{00000000-0005-0000-0000-0000D6E90000}"/>
    <cellStyle name="Percent 3 4 3 2 4 2" xfId="20894" xr:uid="{00000000-0005-0000-0000-0000D7E90000}"/>
    <cellStyle name="Percent 3 4 3 2 5" xfId="7428" xr:uid="{00000000-0005-0000-0000-0000D8E90000}"/>
    <cellStyle name="Percent 3 4 3 2 5 2" xfId="22577" xr:uid="{00000000-0005-0000-0000-0000D9E90000}"/>
    <cellStyle name="Percent 3 4 3 2 6" xfId="9111" xr:uid="{00000000-0005-0000-0000-0000DAE90000}"/>
    <cellStyle name="Percent 3 4 3 2 6 2" xfId="24260" xr:uid="{00000000-0005-0000-0000-0000DBE90000}"/>
    <cellStyle name="Percent 3 4 3 2 7" xfId="10794" xr:uid="{00000000-0005-0000-0000-0000DCE90000}"/>
    <cellStyle name="Percent 3 4 3 2 7 2" xfId="25943" xr:uid="{00000000-0005-0000-0000-0000DDE90000}"/>
    <cellStyle name="Percent 3 4 3 2 8" xfId="12478" xr:uid="{00000000-0005-0000-0000-0000DEE90000}"/>
    <cellStyle name="Percent 3 4 3 2 8 2" xfId="27627" xr:uid="{00000000-0005-0000-0000-0000DFE90000}"/>
    <cellStyle name="Percent 3 4 3 2 9" xfId="14161" xr:uid="{00000000-0005-0000-0000-0000E0E90000}"/>
    <cellStyle name="Percent 3 4 3 2 9 2" xfId="29310" xr:uid="{00000000-0005-0000-0000-0000E1E90000}"/>
    <cellStyle name="Percent 3 4 3 20" xfId="40671" xr:uid="{00000000-0005-0000-0000-0000E2E90000}"/>
    <cellStyle name="Percent 3 4 3 21" xfId="42354" xr:uid="{00000000-0005-0000-0000-0000E3E90000}"/>
    <cellStyle name="Percent 3 4 3 22" xfId="44037" xr:uid="{00000000-0005-0000-0000-0000E4E90000}"/>
    <cellStyle name="Percent 3 4 3 23" xfId="45720" xr:uid="{00000000-0005-0000-0000-0000E5E90000}"/>
    <cellStyle name="Percent 3 4 3 24" xfId="47403" xr:uid="{00000000-0005-0000-0000-0000E6E90000}"/>
    <cellStyle name="Percent 3 4 3 25" xfId="49086" xr:uid="{00000000-0005-0000-0000-0000E7E90000}"/>
    <cellStyle name="Percent 3 4 3 26" xfId="50769" xr:uid="{00000000-0005-0000-0000-0000E8E90000}"/>
    <cellStyle name="Percent 3 4 3 27" xfId="52452" xr:uid="{00000000-0005-0000-0000-0000E9E90000}"/>
    <cellStyle name="Percent 3 4 3 28" xfId="54135" xr:uid="{00000000-0005-0000-0000-0000EAE90000}"/>
    <cellStyle name="Percent 3 4 3 29" xfId="55818" xr:uid="{00000000-0005-0000-0000-0000EBE90000}"/>
    <cellStyle name="Percent 3 4 3 3" xfId="1116" xr:uid="{00000000-0005-0000-0000-0000ECE90000}"/>
    <cellStyle name="Percent 3 4 3 3 10" xfId="16265" xr:uid="{00000000-0005-0000-0000-0000EDE90000}"/>
    <cellStyle name="Percent 3 4 3 3 11" xfId="31414" xr:uid="{00000000-0005-0000-0000-0000EEE90000}"/>
    <cellStyle name="Percent 3 4 3 3 12" xfId="33097" xr:uid="{00000000-0005-0000-0000-0000EFE90000}"/>
    <cellStyle name="Percent 3 4 3 3 13" xfId="34780" xr:uid="{00000000-0005-0000-0000-0000F0E90000}"/>
    <cellStyle name="Percent 3 4 3 3 14" xfId="36463" xr:uid="{00000000-0005-0000-0000-0000F1E90000}"/>
    <cellStyle name="Percent 3 4 3 3 15" xfId="38146" xr:uid="{00000000-0005-0000-0000-0000F2E90000}"/>
    <cellStyle name="Percent 3 4 3 3 16" xfId="39829" xr:uid="{00000000-0005-0000-0000-0000F3E90000}"/>
    <cellStyle name="Percent 3 4 3 3 17" xfId="41512" xr:uid="{00000000-0005-0000-0000-0000F4E90000}"/>
    <cellStyle name="Percent 3 4 3 3 18" xfId="43195" xr:uid="{00000000-0005-0000-0000-0000F5E90000}"/>
    <cellStyle name="Percent 3 4 3 3 19" xfId="44878" xr:uid="{00000000-0005-0000-0000-0000F6E90000}"/>
    <cellStyle name="Percent 3 4 3 3 2" xfId="2799" xr:uid="{00000000-0005-0000-0000-0000F7E90000}"/>
    <cellStyle name="Percent 3 4 3 3 2 2" xfId="17948" xr:uid="{00000000-0005-0000-0000-0000F8E90000}"/>
    <cellStyle name="Percent 3 4 3 3 20" xfId="46561" xr:uid="{00000000-0005-0000-0000-0000F9E90000}"/>
    <cellStyle name="Percent 3 4 3 3 21" xfId="48244" xr:uid="{00000000-0005-0000-0000-0000FAE90000}"/>
    <cellStyle name="Percent 3 4 3 3 22" xfId="49927" xr:uid="{00000000-0005-0000-0000-0000FBE90000}"/>
    <cellStyle name="Percent 3 4 3 3 23" xfId="51610" xr:uid="{00000000-0005-0000-0000-0000FCE90000}"/>
    <cellStyle name="Percent 3 4 3 3 24" xfId="53293" xr:uid="{00000000-0005-0000-0000-0000FDE90000}"/>
    <cellStyle name="Percent 3 4 3 3 25" xfId="54976" xr:uid="{00000000-0005-0000-0000-0000FEE90000}"/>
    <cellStyle name="Percent 3 4 3 3 26" xfId="56659" xr:uid="{00000000-0005-0000-0000-0000FFE90000}"/>
    <cellStyle name="Percent 3 4 3 3 27" xfId="58342" xr:uid="{00000000-0005-0000-0000-000000EA0000}"/>
    <cellStyle name="Percent 3 4 3 3 28" xfId="60025" xr:uid="{00000000-0005-0000-0000-000001EA0000}"/>
    <cellStyle name="Percent 3 4 3 3 29" xfId="61708" xr:uid="{00000000-0005-0000-0000-000002EA0000}"/>
    <cellStyle name="Percent 3 4 3 3 3" xfId="4483" xr:uid="{00000000-0005-0000-0000-000003EA0000}"/>
    <cellStyle name="Percent 3 4 3 3 3 2" xfId="19632" xr:uid="{00000000-0005-0000-0000-000004EA0000}"/>
    <cellStyle name="Percent 3 4 3 3 30" xfId="63391" xr:uid="{00000000-0005-0000-0000-000005EA0000}"/>
    <cellStyle name="Percent 3 4 3 3 4" xfId="6166" xr:uid="{00000000-0005-0000-0000-000006EA0000}"/>
    <cellStyle name="Percent 3 4 3 3 4 2" xfId="21315" xr:uid="{00000000-0005-0000-0000-000007EA0000}"/>
    <cellStyle name="Percent 3 4 3 3 5" xfId="7849" xr:uid="{00000000-0005-0000-0000-000008EA0000}"/>
    <cellStyle name="Percent 3 4 3 3 5 2" xfId="22998" xr:uid="{00000000-0005-0000-0000-000009EA0000}"/>
    <cellStyle name="Percent 3 4 3 3 6" xfId="9532" xr:uid="{00000000-0005-0000-0000-00000AEA0000}"/>
    <cellStyle name="Percent 3 4 3 3 6 2" xfId="24681" xr:uid="{00000000-0005-0000-0000-00000BEA0000}"/>
    <cellStyle name="Percent 3 4 3 3 7" xfId="11215" xr:uid="{00000000-0005-0000-0000-00000CEA0000}"/>
    <cellStyle name="Percent 3 4 3 3 7 2" xfId="26364" xr:uid="{00000000-0005-0000-0000-00000DEA0000}"/>
    <cellStyle name="Percent 3 4 3 3 8" xfId="12899" xr:uid="{00000000-0005-0000-0000-00000EEA0000}"/>
    <cellStyle name="Percent 3 4 3 3 8 2" xfId="28048" xr:uid="{00000000-0005-0000-0000-00000FEA0000}"/>
    <cellStyle name="Percent 3 4 3 3 9" xfId="14582" xr:uid="{00000000-0005-0000-0000-000010EA0000}"/>
    <cellStyle name="Percent 3 4 3 3 9 2" xfId="29731" xr:uid="{00000000-0005-0000-0000-000011EA0000}"/>
    <cellStyle name="Percent 3 4 3 30" xfId="57501" xr:uid="{00000000-0005-0000-0000-000012EA0000}"/>
    <cellStyle name="Percent 3 4 3 31" xfId="59184" xr:uid="{00000000-0005-0000-0000-000013EA0000}"/>
    <cellStyle name="Percent 3 4 3 32" xfId="60867" xr:uid="{00000000-0005-0000-0000-000014EA0000}"/>
    <cellStyle name="Percent 3 4 3 33" xfId="62550" xr:uid="{00000000-0005-0000-0000-000015EA0000}"/>
    <cellStyle name="Percent 3 4 3 4" xfId="1537" xr:uid="{00000000-0005-0000-0000-000016EA0000}"/>
    <cellStyle name="Percent 3 4 3 4 10" xfId="16686" xr:uid="{00000000-0005-0000-0000-000017EA0000}"/>
    <cellStyle name="Percent 3 4 3 4 11" xfId="31835" xr:uid="{00000000-0005-0000-0000-000018EA0000}"/>
    <cellStyle name="Percent 3 4 3 4 12" xfId="33518" xr:uid="{00000000-0005-0000-0000-000019EA0000}"/>
    <cellStyle name="Percent 3 4 3 4 13" xfId="35201" xr:uid="{00000000-0005-0000-0000-00001AEA0000}"/>
    <cellStyle name="Percent 3 4 3 4 14" xfId="36884" xr:uid="{00000000-0005-0000-0000-00001BEA0000}"/>
    <cellStyle name="Percent 3 4 3 4 15" xfId="38567" xr:uid="{00000000-0005-0000-0000-00001CEA0000}"/>
    <cellStyle name="Percent 3 4 3 4 16" xfId="40250" xr:uid="{00000000-0005-0000-0000-00001DEA0000}"/>
    <cellStyle name="Percent 3 4 3 4 17" xfId="41933" xr:uid="{00000000-0005-0000-0000-00001EEA0000}"/>
    <cellStyle name="Percent 3 4 3 4 18" xfId="43616" xr:uid="{00000000-0005-0000-0000-00001FEA0000}"/>
    <cellStyle name="Percent 3 4 3 4 19" xfId="45299" xr:uid="{00000000-0005-0000-0000-000020EA0000}"/>
    <cellStyle name="Percent 3 4 3 4 2" xfId="3220" xr:uid="{00000000-0005-0000-0000-000021EA0000}"/>
    <cellStyle name="Percent 3 4 3 4 2 2" xfId="18369" xr:uid="{00000000-0005-0000-0000-000022EA0000}"/>
    <cellStyle name="Percent 3 4 3 4 20" xfId="46982" xr:uid="{00000000-0005-0000-0000-000023EA0000}"/>
    <cellStyle name="Percent 3 4 3 4 21" xfId="48665" xr:uid="{00000000-0005-0000-0000-000024EA0000}"/>
    <cellStyle name="Percent 3 4 3 4 22" xfId="50348" xr:uid="{00000000-0005-0000-0000-000025EA0000}"/>
    <cellStyle name="Percent 3 4 3 4 23" xfId="52031" xr:uid="{00000000-0005-0000-0000-000026EA0000}"/>
    <cellStyle name="Percent 3 4 3 4 24" xfId="53714" xr:uid="{00000000-0005-0000-0000-000027EA0000}"/>
    <cellStyle name="Percent 3 4 3 4 25" xfId="55397" xr:uid="{00000000-0005-0000-0000-000028EA0000}"/>
    <cellStyle name="Percent 3 4 3 4 26" xfId="57080" xr:uid="{00000000-0005-0000-0000-000029EA0000}"/>
    <cellStyle name="Percent 3 4 3 4 27" xfId="58763" xr:uid="{00000000-0005-0000-0000-00002AEA0000}"/>
    <cellStyle name="Percent 3 4 3 4 28" xfId="60446" xr:uid="{00000000-0005-0000-0000-00002BEA0000}"/>
    <cellStyle name="Percent 3 4 3 4 29" xfId="62129" xr:uid="{00000000-0005-0000-0000-00002CEA0000}"/>
    <cellStyle name="Percent 3 4 3 4 3" xfId="4904" xr:uid="{00000000-0005-0000-0000-00002DEA0000}"/>
    <cellStyle name="Percent 3 4 3 4 3 2" xfId="20053" xr:uid="{00000000-0005-0000-0000-00002EEA0000}"/>
    <cellStyle name="Percent 3 4 3 4 30" xfId="63812" xr:uid="{00000000-0005-0000-0000-00002FEA0000}"/>
    <cellStyle name="Percent 3 4 3 4 4" xfId="6587" xr:uid="{00000000-0005-0000-0000-000030EA0000}"/>
    <cellStyle name="Percent 3 4 3 4 4 2" xfId="21736" xr:uid="{00000000-0005-0000-0000-000031EA0000}"/>
    <cellStyle name="Percent 3 4 3 4 5" xfId="8270" xr:uid="{00000000-0005-0000-0000-000032EA0000}"/>
    <cellStyle name="Percent 3 4 3 4 5 2" xfId="23419" xr:uid="{00000000-0005-0000-0000-000033EA0000}"/>
    <cellStyle name="Percent 3 4 3 4 6" xfId="9953" xr:uid="{00000000-0005-0000-0000-000034EA0000}"/>
    <cellStyle name="Percent 3 4 3 4 6 2" xfId="25102" xr:uid="{00000000-0005-0000-0000-000035EA0000}"/>
    <cellStyle name="Percent 3 4 3 4 7" xfId="11636" xr:uid="{00000000-0005-0000-0000-000036EA0000}"/>
    <cellStyle name="Percent 3 4 3 4 7 2" xfId="26785" xr:uid="{00000000-0005-0000-0000-000037EA0000}"/>
    <cellStyle name="Percent 3 4 3 4 8" xfId="13320" xr:uid="{00000000-0005-0000-0000-000038EA0000}"/>
    <cellStyle name="Percent 3 4 3 4 8 2" xfId="28469" xr:uid="{00000000-0005-0000-0000-000039EA0000}"/>
    <cellStyle name="Percent 3 4 3 4 9" xfId="15003" xr:uid="{00000000-0005-0000-0000-00003AEA0000}"/>
    <cellStyle name="Percent 3 4 3 4 9 2" xfId="30152" xr:uid="{00000000-0005-0000-0000-00003BEA0000}"/>
    <cellStyle name="Percent 3 4 3 5" xfId="1958" xr:uid="{00000000-0005-0000-0000-00003CEA0000}"/>
    <cellStyle name="Percent 3 4 3 5 2" xfId="17107" xr:uid="{00000000-0005-0000-0000-00003DEA0000}"/>
    <cellStyle name="Percent 3 4 3 6" xfId="3642" xr:uid="{00000000-0005-0000-0000-00003EEA0000}"/>
    <cellStyle name="Percent 3 4 3 6 2" xfId="18791" xr:uid="{00000000-0005-0000-0000-00003FEA0000}"/>
    <cellStyle name="Percent 3 4 3 7" xfId="5325" xr:uid="{00000000-0005-0000-0000-000040EA0000}"/>
    <cellStyle name="Percent 3 4 3 7 2" xfId="20474" xr:uid="{00000000-0005-0000-0000-000041EA0000}"/>
    <cellStyle name="Percent 3 4 3 8" xfId="7008" xr:uid="{00000000-0005-0000-0000-000042EA0000}"/>
    <cellStyle name="Percent 3 4 3 8 2" xfId="22157" xr:uid="{00000000-0005-0000-0000-000043EA0000}"/>
    <cellStyle name="Percent 3 4 3 9" xfId="8691" xr:uid="{00000000-0005-0000-0000-000044EA0000}"/>
    <cellStyle name="Percent 3 4 3 9 2" xfId="23840" xr:uid="{00000000-0005-0000-0000-000045EA0000}"/>
    <cellStyle name="Percent 3 4 30" xfId="53925" xr:uid="{00000000-0005-0000-0000-000046EA0000}"/>
    <cellStyle name="Percent 3 4 31" xfId="55608" xr:uid="{00000000-0005-0000-0000-000047EA0000}"/>
    <cellStyle name="Percent 3 4 32" xfId="57291" xr:uid="{00000000-0005-0000-0000-000048EA0000}"/>
    <cellStyle name="Percent 3 4 33" xfId="58974" xr:uid="{00000000-0005-0000-0000-000049EA0000}"/>
    <cellStyle name="Percent 3 4 34" xfId="60657" xr:uid="{00000000-0005-0000-0000-00004AEA0000}"/>
    <cellStyle name="Percent 3 4 35" xfId="62340" xr:uid="{00000000-0005-0000-0000-00004BEA0000}"/>
    <cellStyle name="Percent 3 4 4" xfId="485" xr:uid="{00000000-0005-0000-0000-00004CEA0000}"/>
    <cellStyle name="Percent 3 4 4 10" xfId="15634" xr:uid="{00000000-0005-0000-0000-00004DEA0000}"/>
    <cellStyle name="Percent 3 4 4 11" xfId="30783" xr:uid="{00000000-0005-0000-0000-00004EEA0000}"/>
    <cellStyle name="Percent 3 4 4 12" xfId="32466" xr:uid="{00000000-0005-0000-0000-00004FEA0000}"/>
    <cellStyle name="Percent 3 4 4 13" xfId="34149" xr:uid="{00000000-0005-0000-0000-000050EA0000}"/>
    <cellStyle name="Percent 3 4 4 14" xfId="35832" xr:uid="{00000000-0005-0000-0000-000051EA0000}"/>
    <cellStyle name="Percent 3 4 4 15" xfId="37515" xr:uid="{00000000-0005-0000-0000-000052EA0000}"/>
    <cellStyle name="Percent 3 4 4 16" xfId="39198" xr:uid="{00000000-0005-0000-0000-000053EA0000}"/>
    <cellStyle name="Percent 3 4 4 17" xfId="40881" xr:uid="{00000000-0005-0000-0000-000054EA0000}"/>
    <cellStyle name="Percent 3 4 4 18" xfId="42564" xr:uid="{00000000-0005-0000-0000-000055EA0000}"/>
    <cellStyle name="Percent 3 4 4 19" xfId="44247" xr:uid="{00000000-0005-0000-0000-000056EA0000}"/>
    <cellStyle name="Percent 3 4 4 2" xfId="2168" xr:uid="{00000000-0005-0000-0000-000057EA0000}"/>
    <cellStyle name="Percent 3 4 4 2 2" xfId="17317" xr:uid="{00000000-0005-0000-0000-000058EA0000}"/>
    <cellStyle name="Percent 3 4 4 20" xfId="45930" xr:uid="{00000000-0005-0000-0000-000059EA0000}"/>
    <cellStyle name="Percent 3 4 4 21" xfId="47613" xr:uid="{00000000-0005-0000-0000-00005AEA0000}"/>
    <cellStyle name="Percent 3 4 4 22" xfId="49296" xr:uid="{00000000-0005-0000-0000-00005BEA0000}"/>
    <cellStyle name="Percent 3 4 4 23" xfId="50979" xr:uid="{00000000-0005-0000-0000-00005CEA0000}"/>
    <cellStyle name="Percent 3 4 4 24" xfId="52662" xr:uid="{00000000-0005-0000-0000-00005DEA0000}"/>
    <cellStyle name="Percent 3 4 4 25" xfId="54345" xr:uid="{00000000-0005-0000-0000-00005EEA0000}"/>
    <cellStyle name="Percent 3 4 4 26" xfId="56028" xr:uid="{00000000-0005-0000-0000-00005FEA0000}"/>
    <cellStyle name="Percent 3 4 4 27" xfId="57711" xr:uid="{00000000-0005-0000-0000-000060EA0000}"/>
    <cellStyle name="Percent 3 4 4 28" xfId="59394" xr:uid="{00000000-0005-0000-0000-000061EA0000}"/>
    <cellStyle name="Percent 3 4 4 29" xfId="61077" xr:uid="{00000000-0005-0000-0000-000062EA0000}"/>
    <cellStyle name="Percent 3 4 4 3" xfId="3852" xr:uid="{00000000-0005-0000-0000-000063EA0000}"/>
    <cellStyle name="Percent 3 4 4 3 2" xfId="19001" xr:uid="{00000000-0005-0000-0000-000064EA0000}"/>
    <cellStyle name="Percent 3 4 4 30" xfId="62760" xr:uid="{00000000-0005-0000-0000-000065EA0000}"/>
    <cellStyle name="Percent 3 4 4 4" xfId="5535" xr:uid="{00000000-0005-0000-0000-000066EA0000}"/>
    <cellStyle name="Percent 3 4 4 4 2" xfId="20684" xr:uid="{00000000-0005-0000-0000-000067EA0000}"/>
    <cellStyle name="Percent 3 4 4 5" xfId="7218" xr:uid="{00000000-0005-0000-0000-000068EA0000}"/>
    <cellStyle name="Percent 3 4 4 5 2" xfId="22367" xr:uid="{00000000-0005-0000-0000-000069EA0000}"/>
    <cellStyle name="Percent 3 4 4 6" xfId="8901" xr:uid="{00000000-0005-0000-0000-00006AEA0000}"/>
    <cellStyle name="Percent 3 4 4 6 2" xfId="24050" xr:uid="{00000000-0005-0000-0000-00006BEA0000}"/>
    <cellStyle name="Percent 3 4 4 7" xfId="10584" xr:uid="{00000000-0005-0000-0000-00006CEA0000}"/>
    <cellStyle name="Percent 3 4 4 7 2" xfId="25733" xr:uid="{00000000-0005-0000-0000-00006DEA0000}"/>
    <cellStyle name="Percent 3 4 4 8" xfId="12268" xr:uid="{00000000-0005-0000-0000-00006EEA0000}"/>
    <cellStyle name="Percent 3 4 4 8 2" xfId="27417" xr:uid="{00000000-0005-0000-0000-00006FEA0000}"/>
    <cellStyle name="Percent 3 4 4 9" xfId="13951" xr:uid="{00000000-0005-0000-0000-000070EA0000}"/>
    <cellStyle name="Percent 3 4 4 9 2" xfId="29100" xr:uid="{00000000-0005-0000-0000-000071EA0000}"/>
    <cellStyle name="Percent 3 4 5" xfId="906" xr:uid="{00000000-0005-0000-0000-000072EA0000}"/>
    <cellStyle name="Percent 3 4 5 10" xfId="16055" xr:uid="{00000000-0005-0000-0000-000073EA0000}"/>
    <cellStyle name="Percent 3 4 5 11" xfId="31204" xr:uid="{00000000-0005-0000-0000-000074EA0000}"/>
    <cellStyle name="Percent 3 4 5 12" xfId="32887" xr:uid="{00000000-0005-0000-0000-000075EA0000}"/>
    <cellStyle name="Percent 3 4 5 13" xfId="34570" xr:uid="{00000000-0005-0000-0000-000076EA0000}"/>
    <cellStyle name="Percent 3 4 5 14" xfId="36253" xr:uid="{00000000-0005-0000-0000-000077EA0000}"/>
    <cellStyle name="Percent 3 4 5 15" xfId="37936" xr:uid="{00000000-0005-0000-0000-000078EA0000}"/>
    <cellStyle name="Percent 3 4 5 16" xfId="39619" xr:uid="{00000000-0005-0000-0000-000079EA0000}"/>
    <cellStyle name="Percent 3 4 5 17" xfId="41302" xr:uid="{00000000-0005-0000-0000-00007AEA0000}"/>
    <cellStyle name="Percent 3 4 5 18" xfId="42985" xr:uid="{00000000-0005-0000-0000-00007BEA0000}"/>
    <cellStyle name="Percent 3 4 5 19" xfId="44668" xr:uid="{00000000-0005-0000-0000-00007CEA0000}"/>
    <cellStyle name="Percent 3 4 5 2" xfId="2589" xr:uid="{00000000-0005-0000-0000-00007DEA0000}"/>
    <cellStyle name="Percent 3 4 5 2 2" xfId="17738" xr:uid="{00000000-0005-0000-0000-00007EEA0000}"/>
    <cellStyle name="Percent 3 4 5 20" xfId="46351" xr:uid="{00000000-0005-0000-0000-00007FEA0000}"/>
    <cellStyle name="Percent 3 4 5 21" xfId="48034" xr:uid="{00000000-0005-0000-0000-000080EA0000}"/>
    <cellStyle name="Percent 3 4 5 22" xfId="49717" xr:uid="{00000000-0005-0000-0000-000081EA0000}"/>
    <cellStyle name="Percent 3 4 5 23" xfId="51400" xr:uid="{00000000-0005-0000-0000-000082EA0000}"/>
    <cellStyle name="Percent 3 4 5 24" xfId="53083" xr:uid="{00000000-0005-0000-0000-000083EA0000}"/>
    <cellStyle name="Percent 3 4 5 25" xfId="54766" xr:uid="{00000000-0005-0000-0000-000084EA0000}"/>
    <cellStyle name="Percent 3 4 5 26" xfId="56449" xr:uid="{00000000-0005-0000-0000-000085EA0000}"/>
    <cellStyle name="Percent 3 4 5 27" xfId="58132" xr:uid="{00000000-0005-0000-0000-000086EA0000}"/>
    <cellStyle name="Percent 3 4 5 28" xfId="59815" xr:uid="{00000000-0005-0000-0000-000087EA0000}"/>
    <cellStyle name="Percent 3 4 5 29" xfId="61498" xr:uid="{00000000-0005-0000-0000-000088EA0000}"/>
    <cellStyle name="Percent 3 4 5 3" xfId="4273" xr:uid="{00000000-0005-0000-0000-000089EA0000}"/>
    <cellStyle name="Percent 3 4 5 3 2" xfId="19422" xr:uid="{00000000-0005-0000-0000-00008AEA0000}"/>
    <cellStyle name="Percent 3 4 5 30" xfId="63181" xr:uid="{00000000-0005-0000-0000-00008BEA0000}"/>
    <cellStyle name="Percent 3 4 5 4" xfId="5956" xr:uid="{00000000-0005-0000-0000-00008CEA0000}"/>
    <cellStyle name="Percent 3 4 5 4 2" xfId="21105" xr:uid="{00000000-0005-0000-0000-00008DEA0000}"/>
    <cellStyle name="Percent 3 4 5 5" xfId="7639" xr:uid="{00000000-0005-0000-0000-00008EEA0000}"/>
    <cellStyle name="Percent 3 4 5 5 2" xfId="22788" xr:uid="{00000000-0005-0000-0000-00008FEA0000}"/>
    <cellStyle name="Percent 3 4 5 6" xfId="9322" xr:uid="{00000000-0005-0000-0000-000090EA0000}"/>
    <cellStyle name="Percent 3 4 5 6 2" xfId="24471" xr:uid="{00000000-0005-0000-0000-000091EA0000}"/>
    <cellStyle name="Percent 3 4 5 7" xfId="11005" xr:uid="{00000000-0005-0000-0000-000092EA0000}"/>
    <cellStyle name="Percent 3 4 5 7 2" xfId="26154" xr:uid="{00000000-0005-0000-0000-000093EA0000}"/>
    <cellStyle name="Percent 3 4 5 8" xfId="12689" xr:uid="{00000000-0005-0000-0000-000094EA0000}"/>
    <cellStyle name="Percent 3 4 5 8 2" xfId="27838" xr:uid="{00000000-0005-0000-0000-000095EA0000}"/>
    <cellStyle name="Percent 3 4 5 9" xfId="14372" xr:uid="{00000000-0005-0000-0000-000096EA0000}"/>
    <cellStyle name="Percent 3 4 5 9 2" xfId="29521" xr:uid="{00000000-0005-0000-0000-000097EA0000}"/>
    <cellStyle name="Percent 3 4 6" xfId="1327" xr:uid="{00000000-0005-0000-0000-000098EA0000}"/>
    <cellStyle name="Percent 3 4 6 10" xfId="16476" xr:uid="{00000000-0005-0000-0000-000099EA0000}"/>
    <cellStyle name="Percent 3 4 6 11" xfId="31625" xr:uid="{00000000-0005-0000-0000-00009AEA0000}"/>
    <cellStyle name="Percent 3 4 6 12" xfId="33308" xr:uid="{00000000-0005-0000-0000-00009BEA0000}"/>
    <cellStyle name="Percent 3 4 6 13" xfId="34991" xr:uid="{00000000-0005-0000-0000-00009CEA0000}"/>
    <cellStyle name="Percent 3 4 6 14" xfId="36674" xr:uid="{00000000-0005-0000-0000-00009DEA0000}"/>
    <cellStyle name="Percent 3 4 6 15" xfId="38357" xr:uid="{00000000-0005-0000-0000-00009EEA0000}"/>
    <cellStyle name="Percent 3 4 6 16" xfId="40040" xr:uid="{00000000-0005-0000-0000-00009FEA0000}"/>
    <cellStyle name="Percent 3 4 6 17" xfId="41723" xr:uid="{00000000-0005-0000-0000-0000A0EA0000}"/>
    <cellStyle name="Percent 3 4 6 18" xfId="43406" xr:uid="{00000000-0005-0000-0000-0000A1EA0000}"/>
    <cellStyle name="Percent 3 4 6 19" xfId="45089" xr:uid="{00000000-0005-0000-0000-0000A2EA0000}"/>
    <cellStyle name="Percent 3 4 6 2" xfId="3010" xr:uid="{00000000-0005-0000-0000-0000A3EA0000}"/>
    <cellStyle name="Percent 3 4 6 2 2" xfId="18159" xr:uid="{00000000-0005-0000-0000-0000A4EA0000}"/>
    <cellStyle name="Percent 3 4 6 20" xfId="46772" xr:uid="{00000000-0005-0000-0000-0000A5EA0000}"/>
    <cellStyle name="Percent 3 4 6 21" xfId="48455" xr:uid="{00000000-0005-0000-0000-0000A6EA0000}"/>
    <cellStyle name="Percent 3 4 6 22" xfId="50138" xr:uid="{00000000-0005-0000-0000-0000A7EA0000}"/>
    <cellStyle name="Percent 3 4 6 23" xfId="51821" xr:uid="{00000000-0005-0000-0000-0000A8EA0000}"/>
    <cellStyle name="Percent 3 4 6 24" xfId="53504" xr:uid="{00000000-0005-0000-0000-0000A9EA0000}"/>
    <cellStyle name="Percent 3 4 6 25" xfId="55187" xr:uid="{00000000-0005-0000-0000-0000AAEA0000}"/>
    <cellStyle name="Percent 3 4 6 26" xfId="56870" xr:uid="{00000000-0005-0000-0000-0000ABEA0000}"/>
    <cellStyle name="Percent 3 4 6 27" xfId="58553" xr:uid="{00000000-0005-0000-0000-0000ACEA0000}"/>
    <cellStyle name="Percent 3 4 6 28" xfId="60236" xr:uid="{00000000-0005-0000-0000-0000ADEA0000}"/>
    <cellStyle name="Percent 3 4 6 29" xfId="61919" xr:uid="{00000000-0005-0000-0000-0000AEEA0000}"/>
    <cellStyle name="Percent 3 4 6 3" xfId="4694" xr:uid="{00000000-0005-0000-0000-0000AFEA0000}"/>
    <cellStyle name="Percent 3 4 6 3 2" xfId="19843" xr:uid="{00000000-0005-0000-0000-0000B0EA0000}"/>
    <cellStyle name="Percent 3 4 6 30" xfId="63602" xr:uid="{00000000-0005-0000-0000-0000B1EA0000}"/>
    <cellStyle name="Percent 3 4 6 4" xfId="6377" xr:uid="{00000000-0005-0000-0000-0000B2EA0000}"/>
    <cellStyle name="Percent 3 4 6 4 2" xfId="21526" xr:uid="{00000000-0005-0000-0000-0000B3EA0000}"/>
    <cellStyle name="Percent 3 4 6 5" xfId="8060" xr:uid="{00000000-0005-0000-0000-0000B4EA0000}"/>
    <cellStyle name="Percent 3 4 6 5 2" xfId="23209" xr:uid="{00000000-0005-0000-0000-0000B5EA0000}"/>
    <cellStyle name="Percent 3 4 6 6" xfId="9743" xr:uid="{00000000-0005-0000-0000-0000B6EA0000}"/>
    <cellStyle name="Percent 3 4 6 6 2" xfId="24892" xr:uid="{00000000-0005-0000-0000-0000B7EA0000}"/>
    <cellStyle name="Percent 3 4 6 7" xfId="11426" xr:uid="{00000000-0005-0000-0000-0000B8EA0000}"/>
    <cellStyle name="Percent 3 4 6 7 2" xfId="26575" xr:uid="{00000000-0005-0000-0000-0000B9EA0000}"/>
    <cellStyle name="Percent 3 4 6 8" xfId="13110" xr:uid="{00000000-0005-0000-0000-0000BAEA0000}"/>
    <cellStyle name="Percent 3 4 6 8 2" xfId="28259" xr:uid="{00000000-0005-0000-0000-0000BBEA0000}"/>
    <cellStyle name="Percent 3 4 6 9" xfId="14793" xr:uid="{00000000-0005-0000-0000-0000BCEA0000}"/>
    <cellStyle name="Percent 3 4 6 9 2" xfId="29942" xr:uid="{00000000-0005-0000-0000-0000BDEA0000}"/>
    <cellStyle name="Percent 3 4 7" xfId="1748" xr:uid="{00000000-0005-0000-0000-0000BEEA0000}"/>
    <cellStyle name="Percent 3 4 7 2" xfId="16897" xr:uid="{00000000-0005-0000-0000-0000BFEA0000}"/>
    <cellStyle name="Percent 3 4 8" xfId="3432" xr:uid="{00000000-0005-0000-0000-0000C0EA0000}"/>
    <cellStyle name="Percent 3 4 8 2" xfId="18581" xr:uid="{00000000-0005-0000-0000-0000C1EA0000}"/>
    <cellStyle name="Percent 3 4 9" xfId="5115" xr:uid="{00000000-0005-0000-0000-0000C2EA0000}"/>
    <cellStyle name="Percent 3 4 9 2" xfId="20264" xr:uid="{00000000-0005-0000-0000-0000C3EA0000}"/>
    <cellStyle name="Percent 3 5" xfId="52" xr:uid="{00000000-0005-0000-0000-0000C4EA0000}"/>
    <cellStyle name="Percent 3 5 10" xfId="6807" xr:uid="{00000000-0005-0000-0000-0000C5EA0000}"/>
    <cellStyle name="Percent 3 5 10 2" xfId="21956" xr:uid="{00000000-0005-0000-0000-0000C6EA0000}"/>
    <cellStyle name="Percent 3 5 11" xfId="8490" xr:uid="{00000000-0005-0000-0000-0000C7EA0000}"/>
    <cellStyle name="Percent 3 5 11 2" xfId="23639" xr:uid="{00000000-0005-0000-0000-0000C8EA0000}"/>
    <cellStyle name="Percent 3 5 12" xfId="10173" xr:uid="{00000000-0005-0000-0000-0000C9EA0000}"/>
    <cellStyle name="Percent 3 5 12 2" xfId="25322" xr:uid="{00000000-0005-0000-0000-0000CAEA0000}"/>
    <cellStyle name="Percent 3 5 13" xfId="11857" xr:uid="{00000000-0005-0000-0000-0000CBEA0000}"/>
    <cellStyle name="Percent 3 5 13 2" xfId="27006" xr:uid="{00000000-0005-0000-0000-0000CCEA0000}"/>
    <cellStyle name="Percent 3 5 14" xfId="13540" xr:uid="{00000000-0005-0000-0000-0000CDEA0000}"/>
    <cellStyle name="Percent 3 5 14 2" xfId="28689" xr:uid="{00000000-0005-0000-0000-0000CEEA0000}"/>
    <cellStyle name="Percent 3 5 15" xfId="15223" xr:uid="{00000000-0005-0000-0000-0000CFEA0000}"/>
    <cellStyle name="Percent 3 5 16" xfId="30372" xr:uid="{00000000-0005-0000-0000-0000D0EA0000}"/>
    <cellStyle name="Percent 3 5 17" xfId="32055" xr:uid="{00000000-0005-0000-0000-0000D1EA0000}"/>
    <cellStyle name="Percent 3 5 18" xfId="33738" xr:uid="{00000000-0005-0000-0000-0000D2EA0000}"/>
    <cellStyle name="Percent 3 5 19" xfId="35421" xr:uid="{00000000-0005-0000-0000-0000D3EA0000}"/>
    <cellStyle name="Percent 3 5 2" xfId="179" xr:uid="{00000000-0005-0000-0000-0000D4EA0000}"/>
    <cellStyle name="Percent 3 5 2 10" xfId="8595" xr:uid="{00000000-0005-0000-0000-0000D5EA0000}"/>
    <cellStyle name="Percent 3 5 2 10 2" xfId="23744" xr:uid="{00000000-0005-0000-0000-0000D6EA0000}"/>
    <cellStyle name="Percent 3 5 2 11" xfId="10278" xr:uid="{00000000-0005-0000-0000-0000D7EA0000}"/>
    <cellStyle name="Percent 3 5 2 11 2" xfId="25427" xr:uid="{00000000-0005-0000-0000-0000D8EA0000}"/>
    <cellStyle name="Percent 3 5 2 12" xfId="11962" xr:uid="{00000000-0005-0000-0000-0000D9EA0000}"/>
    <cellStyle name="Percent 3 5 2 12 2" xfId="27111" xr:uid="{00000000-0005-0000-0000-0000DAEA0000}"/>
    <cellStyle name="Percent 3 5 2 13" xfId="13645" xr:uid="{00000000-0005-0000-0000-0000DBEA0000}"/>
    <cellStyle name="Percent 3 5 2 13 2" xfId="28794" xr:uid="{00000000-0005-0000-0000-0000DCEA0000}"/>
    <cellStyle name="Percent 3 5 2 14" xfId="15328" xr:uid="{00000000-0005-0000-0000-0000DDEA0000}"/>
    <cellStyle name="Percent 3 5 2 15" xfId="30477" xr:uid="{00000000-0005-0000-0000-0000DEEA0000}"/>
    <cellStyle name="Percent 3 5 2 16" xfId="32160" xr:uid="{00000000-0005-0000-0000-0000DFEA0000}"/>
    <cellStyle name="Percent 3 5 2 17" xfId="33843" xr:uid="{00000000-0005-0000-0000-0000E0EA0000}"/>
    <cellStyle name="Percent 3 5 2 18" xfId="35526" xr:uid="{00000000-0005-0000-0000-0000E1EA0000}"/>
    <cellStyle name="Percent 3 5 2 19" xfId="37209" xr:uid="{00000000-0005-0000-0000-0000E2EA0000}"/>
    <cellStyle name="Percent 3 5 2 2" xfId="389" xr:uid="{00000000-0005-0000-0000-0000E3EA0000}"/>
    <cellStyle name="Percent 3 5 2 2 10" xfId="10488" xr:uid="{00000000-0005-0000-0000-0000E4EA0000}"/>
    <cellStyle name="Percent 3 5 2 2 10 2" xfId="25637" xr:uid="{00000000-0005-0000-0000-0000E5EA0000}"/>
    <cellStyle name="Percent 3 5 2 2 11" xfId="12172" xr:uid="{00000000-0005-0000-0000-0000E6EA0000}"/>
    <cellStyle name="Percent 3 5 2 2 11 2" xfId="27321" xr:uid="{00000000-0005-0000-0000-0000E7EA0000}"/>
    <cellStyle name="Percent 3 5 2 2 12" xfId="13855" xr:uid="{00000000-0005-0000-0000-0000E8EA0000}"/>
    <cellStyle name="Percent 3 5 2 2 12 2" xfId="29004" xr:uid="{00000000-0005-0000-0000-0000E9EA0000}"/>
    <cellStyle name="Percent 3 5 2 2 13" xfId="15538" xr:uid="{00000000-0005-0000-0000-0000EAEA0000}"/>
    <cellStyle name="Percent 3 5 2 2 14" xfId="30687" xr:uid="{00000000-0005-0000-0000-0000EBEA0000}"/>
    <cellStyle name="Percent 3 5 2 2 15" xfId="32370" xr:uid="{00000000-0005-0000-0000-0000ECEA0000}"/>
    <cellStyle name="Percent 3 5 2 2 16" xfId="34053" xr:uid="{00000000-0005-0000-0000-0000EDEA0000}"/>
    <cellStyle name="Percent 3 5 2 2 17" xfId="35736" xr:uid="{00000000-0005-0000-0000-0000EEEA0000}"/>
    <cellStyle name="Percent 3 5 2 2 18" xfId="37419" xr:uid="{00000000-0005-0000-0000-0000EFEA0000}"/>
    <cellStyle name="Percent 3 5 2 2 19" xfId="39102" xr:uid="{00000000-0005-0000-0000-0000F0EA0000}"/>
    <cellStyle name="Percent 3 5 2 2 2" xfId="809" xr:uid="{00000000-0005-0000-0000-0000F1EA0000}"/>
    <cellStyle name="Percent 3 5 2 2 2 10" xfId="15958" xr:uid="{00000000-0005-0000-0000-0000F2EA0000}"/>
    <cellStyle name="Percent 3 5 2 2 2 11" xfId="31107" xr:uid="{00000000-0005-0000-0000-0000F3EA0000}"/>
    <cellStyle name="Percent 3 5 2 2 2 12" xfId="32790" xr:uid="{00000000-0005-0000-0000-0000F4EA0000}"/>
    <cellStyle name="Percent 3 5 2 2 2 13" xfId="34473" xr:uid="{00000000-0005-0000-0000-0000F5EA0000}"/>
    <cellStyle name="Percent 3 5 2 2 2 14" xfId="36156" xr:uid="{00000000-0005-0000-0000-0000F6EA0000}"/>
    <cellStyle name="Percent 3 5 2 2 2 15" xfId="37839" xr:uid="{00000000-0005-0000-0000-0000F7EA0000}"/>
    <cellStyle name="Percent 3 5 2 2 2 16" xfId="39522" xr:uid="{00000000-0005-0000-0000-0000F8EA0000}"/>
    <cellStyle name="Percent 3 5 2 2 2 17" xfId="41205" xr:uid="{00000000-0005-0000-0000-0000F9EA0000}"/>
    <cellStyle name="Percent 3 5 2 2 2 18" xfId="42888" xr:uid="{00000000-0005-0000-0000-0000FAEA0000}"/>
    <cellStyle name="Percent 3 5 2 2 2 19" xfId="44571" xr:uid="{00000000-0005-0000-0000-0000FBEA0000}"/>
    <cellStyle name="Percent 3 5 2 2 2 2" xfId="2492" xr:uid="{00000000-0005-0000-0000-0000FCEA0000}"/>
    <cellStyle name="Percent 3 5 2 2 2 2 2" xfId="17641" xr:uid="{00000000-0005-0000-0000-0000FDEA0000}"/>
    <cellStyle name="Percent 3 5 2 2 2 20" xfId="46254" xr:uid="{00000000-0005-0000-0000-0000FEEA0000}"/>
    <cellStyle name="Percent 3 5 2 2 2 21" xfId="47937" xr:uid="{00000000-0005-0000-0000-0000FFEA0000}"/>
    <cellStyle name="Percent 3 5 2 2 2 22" xfId="49620" xr:uid="{00000000-0005-0000-0000-000000EB0000}"/>
    <cellStyle name="Percent 3 5 2 2 2 23" xfId="51303" xr:uid="{00000000-0005-0000-0000-000001EB0000}"/>
    <cellStyle name="Percent 3 5 2 2 2 24" xfId="52986" xr:uid="{00000000-0005-0000-0000-000002EB0000}"/>
    <cellStyle name="Percent 3 5 2 2 2 25" xfId="54669" xr:uid="{00000000-0005-0000-0000-000003EB0000}"/>
    <cellStyle name="Percent 3 5 2 2 2 26" xfId="56352" xr:uid="{00000000-0005-0000-0000-000004EB0000}"/>
    <cellStyle name="Percent 3 5 2 2 2 27" xfId="58035" xr:uid="{00000000-0005-0000-0000-000005EB0000}"/>
    <cellStyle name="Percent 3 5 2 2 2 28" xfId="59718" xr:uid="{00000000-0005-0000-0000-000006EB0000}"/>
    <cellStyle name="Percent 3 5 2 2 2 29" xfId="61401" xr:uid="{00000000-0005-0000-0000-000007EB0000}"/>
    <cellStyle name="Percent 3 5 2 2 2 3" xfId="4176" xr:uid="{00000000-0005-0000-0000-000008EB0000}"/>
    <cellStyle name="Percent 3 5 2 2 2 3 2" xfId="19325" xr:uid="{00000000-0005-0000-0000-000009EB0000}"/>
    <cellStyle name="Percent 3 5 2 2 2 30" xfId="63084" xr:uid="{00000000-0005-0000-0000-00000AEB0000}"/>
    <cellStyle name="Percent 3 5 2 2 2 4" xfId="5859" xr:uid="{00000000-0005-0000-0000-00000BEB0000}"/>
    <cellStyle name="Percent 3 5 2 2 2 4 2" xfId="21008" xr:uid="{00000000-0005-0000-0000-00000CEB0000}"/>
    <cellStyle name="Percent 3 5 2 2 2 5" xfId="7542" xr:uid="{00000000-0005-0000-0000-00000DEB0000}"/>
    <cellStyle name="Percent 3 5 2 2 2 5 2" xfId="22691" xr:uid="{00000000-0005-0000-0000-00000EEB0000}"/>
    <cellStyle name="Percent 3 5 2 2 2 6" xfId="9225" xr:uid="{00000000-0005-0000-0000-00000FEB0000}"/>
    <cellStyle name="Percent 3 5 2 2 2 6 2" xfId="24374" xr:uid="{00000000-0005-0000-0000-000010EB0000}"/>
    <cellStyle name="Percent 3 5 2 2 2 7" xfId="10908" xr:uid="{00000000-0005-0000-0000-000011EB0000}"/>
    <cellStyle name="Percent 3 5 2 2 2 7 2" xfId="26057" xr:uid="{00000000-0005-0000-0000-000012EB0000}"/>
    <cellStyle name="Percent 3 5 2 2 2 8" xfId="12592" xr:uid="{00000000-0005-0000-0000-000013EB0000}"/>
    <cellStyle name="Percent 3 5 2 2 2 8 2" xfId="27741" xr:uid="{00000000-0005-0000-0000-000014EB0000}"/>
    <cellStyle name="Percent 3 5 2 2 2 9" xfId="14275" xr:uid="{00000000-0005-0000-0000-000015EB0000}"/>
    <cellStyle name="Percent 3 5 2 2 2 9 2" xfId="29424" xr:uid="{00000000-0005-0000-0000-000016EB0000}"/>
    <cellStyle name="Percent 3 5 2 2 20" xfId="40785" xr:uid="{00000000-0005-0000-0000-000017EB0000}"/>
    <cellStyle name="Percent 3 5 2 2 21" xfId="42468" xr:uid="{00000000-0005-0000-0000-000018EB0000}"/>
    <cellStyle name="Percent 3 5 2 2 22" xfId="44151" xr:uid="{00000000-0005-0000-0000-000019EB0000}"/>
    <cellStyle name="Percent 3 5 2 2 23" xfId="45834" xr:uid="{00000000-0005-0000-0000-00001AEB0000}"/>
    <cellStyle name="Percent 3 5 2 2 24" xfId="47517" xr:uid="{00000000-0005-0000-0000-00001BEB0000}"/>
    <cellStyle name="Percent 3 5 2 2 25" xfId="49200" xr:uid="{00000000-0005-0000-0000-00001CEB0000}"/>
    <cellStyle name="Percent 3 5 2 2 26" xfId="50883" xr:uid="{00000000-0005-0000-0000-00001DEB0000}"/>
    <cellStyle name="Percent 3 5 2 2 27" xfId="52566" xr:uid="{00000000-0005-0000-0000-00001EEB0000}"/>
    <cellStyle name="Percent 3 5 2 2 28" xfId="54249" xr:uid="{00000000-0005-0000-0000-00001FEB0000}"/>
    <cellStyle name="Percent 3 5 2 2 29" xfId="55932" xr:uid="{00000000-0005-0000-0000-000020EB0000}"/>
    <cellStyle name="Percent 3 5 2 2 3" xfId="1230" xr:uid="{00000000-0005-0000-0000-000021EB0000}"/>
    <cellStyle name="Percent 3 5 2 2 3 10" xfId="16379" xr:uid="{00000000-0005-0000-0000-000022EB0000}"/>
    <cellStyle name="Percent 3 5 2 2 3 11" xfId="31528" xr:uid="{00000000-0005-0000-0000-000023EB0000}"/>
    <cellStyle name="Percent 3 5 2 2 3 12" xfId="33211" xr:uid="{00000000-0005-0000-0000-000024EB0000}"/>
    <cellStyle name="Percent 3 5 2 2 3 13" xfId="34894" xr:uid="{00000000-0005-0000-0000-000025EB0000}"/>
    <cellStyle name="Percent 3 5 2 2 3 14" xfId="36577" xr:uid="{00000000-0005-0000-0000-000026EB0000}"/>
    <cellStyle name="Percent 3 5 2 2 3 15" xfId="38260" xr:uid="{00000000-0005-0000-0000-000027EB0000}"/>
    <cellStyle name="Percent 3 5 2 2 3 16" xfId="39943" xr:uid="{00000000-0005-0000-0000-000028EB0000}"/>
    <cellStyle name="Percent 3 5 2 2 3 17" xfId="41626" xr:uid="{00000000-0005-0000-0000-000029EB0000}"/>
    <cellStyle name="Percent 3 5 2 2 3 18" xfId="43309" xr:uid="{00000000-0005-0000-0000-00002AEB0000}"/>
    <cellStyle name="Percent 3 5 2 2 3 19" xfId="44992" xr:uid="{00000000-0005-0000-0000-00002BEB0000}"/>
    <cellStyle name="Percent 3 5 2 2 3 2" xfId="2913" xr:uid="{00000000-0005-0000-0000-00002CEB0000}"/>
    <cellStyle name="Percent 3 5 2 2 3 2 2" xfId="18062" xr:uid="{00000000-0005-0000-0000-00002DEB0000}"/>
    <cellStyle name="Percent 3 5 2 2 3 20" xfId="46675" xr:uid="{00000000-0005-0000-0000-00002EEB0000}"/>
    <cellStyle name="Percent 3 5 2 2 3 21" xfId="48358" xr:uid="{00000000-0005-0000-0000-00002FEB0000}"/>
    <cellStyle name="Percent 3 5 2 2 3 22" xfId="50041" xr:uid="{00000000-0005-0000-0000-000030EB0000}"/>
    <cellStyle name="Percent 3 5 2 2 3 23" xfId="51724" xr:uid="{00000000-0005-0000-0000-000031EB0000}"/>
    <cellStyle name="Percent 3 5 2 2 3 24" xfId="53407" xr:uid="{00000000-0005-0000-0000-000032EB0000}"/>
    <cellStyle name="Percent 3 5 2 2 3 25" xfId="55090" xr:uid="{00000000-0005-0000-0000-000033EB0000}"/>
    <cellStyle name="Percent 3 5 2 2 3 26" xfId="56773" xr:uid="{00000000-0005-0000-0000-000034EB0000}"/>
    <cellStyle name="Percent 3 5 2 2 3 27" xfId="58456" xr:uid="{00000000-0005-0000-0000-000035EB0000}"/>
    <cellStyle name="Percent 3 5 2 2 3 28" xfId="60139" xr:uid="{00000000-0005-0000-0000-000036EB0000}"/>
    <cellStyle name="Percent 3 5 2 2 3 29" xfId="61822" xr:uid="{00000000-0005-0000-0000-000037EB0000}"/>
    <cellStyle name="Percent 3 5 2 2 3 3" xfId="4597" xr:uid="{00000000-0005-0000-0000-000038EB0000}"/>
    <cellStyle name="Percent 3 5 2 2 3 3 2" xfId="19746" xr:uid="{00000000-0005-0000-0000-000039EB0000}"/>
    <cellStyle name="Percent 3 5 2 2 3 30" xfId="63505" xr:uid="{00000000-0005-0000-0000-00003AEB0000}"/>
    <cellStyle name="Percent 3 5 2 2 3 4" xfId="6280" xr:uid="{00000000-0005-0000-0000-00003BEB0000}"/>
    <cellStyle name="Percent 3 5 2 2 3 4 2" xfId="21429" xr:uid="{00000000-0005-0000-0000-00003CEB0000}"/>
    <cellStyle name="Percent 3 5 2 2 3 5" xfId="7963" xr:uid="{00000000-0005-0000-0000-00003DEB0000}"/>
    <cellStyle name="Percent 3 5 2 2 3 5 2" xfId="23112" xr:uid="{00000000-0005-0000-0000-00003EEB0000}"/>
    <cellStyle name="Percent 3 5 2 2 3 6" xfId="9646" xr:uid="{00000000-0005-0000-0000-00003FEB0000}"/>
    <cellStyle name="Percent 3 5 2 2 3 6 2" xfId="24795" xr:uid="{00000000-0005-0000-0000-000040EB0000}"/>
    <cellStyle name="Percent 3 5 2 2 3 7" xfId="11329" xr:uid="{00000000-0005-0000-0000-000041EB0000}"/>
    <cellStyle name="Percent 3 5 2 2 3 7 2" xfId="26478" xr:uid="{00000000-0005-0000-0000-000042EB0000}"/>
    <cellStyle name="Percent 3 5 2 2 3 8" xfId="13013" xr:uid="{00000000-0005-0000-0000-000043EB0000}"/>
    <cellStyle name="Percent 3 5 2 2 3 8 2" xfId="28162" xr:uid="{00000000-0005-0000-0000-000044EB0000}"/>
    <cellStyle name="Percent 3 5 2 2 3 9" xfId="14696" xr:uid="{00000000-0005-0000-0000-000045EB0000}"/>
    <cellStyle name="Percent 3 5 2 2 3 9 2" xfId="29845" xr:uid="{00000000-0005-0000-0000-000046EB0000}"/>
    <cellStyle name="Percent 3 5 2 2 30" xfId="57615" xr:uid="{00000000-0005-0000-0000-000047EB0000}"/>
    <cellStyle name="Percent 3 5 2 2 31" xfId="59298" xr:uid="{00000000-0005-0000-0000-000048EB0000}"/>
    <cellStyle name="Percent 3 5 2 2 32" xfId="60981" xr:uid="{00000000-0005-0000-0000-000049EB0000}"/>
    <cellStyle name="Percent 3 5 2 2 33" xfId="62664" xr:uid="{00000000-0005-0000-0000-00004AEB0000}"/>
    <cellStyle name="Percent 3 5 2 2 4" xfId="1651" xr:uid="{00000000-0005-0000-0000-00004BEB0000}"/>
    <cellStyle name="Percent 3 5 2 2 4 10" xfId="16800" xr:uid="{00000000-0005-0000-0000-00004CEB0000}"/>
    <cellStyle name="Percent 3 5 2 2 4 11" xfId="31949" xr:uid="{00000000-0005-0000-0000-00004DEB0000}"/>
    <cellStyle name="Percent 3 5 2 2 4 12" xfId="33632" xr:uid="{00000000-0005-0000-0000-00004EEB0000}"/>
    <cellStyle name="Percent 3 5 2 2 4 13" xfId="35315" xr:uid="{00000000-0005-0000-0000-00004FEB0000}"/>
    <cellStyle name="Percent 3 5 2 2 4 14" xfId="36998" xr:uid="{00000000-0005-0000-0000-000050EB0000}"/>
    <cellStyle name="Percent 3 5 2 2 4 15" xfId="38681" xr:uid="{00000000-0005-0000-0000-000051EB0000}"/>
    <cellStyle name="Percent 3 5 2 2 4 16" xfId="40364" xr:uid="{00000000-0005-0000-0000-000052EB0000}"/>
    <cellStyle name="Percent 3 5 2 2 4 17" xfId="42047" xr:uid="{00000000-0005-0000-0000-000053EB0000}"/>
    <cellStyle name="Percent 3 5 2 2 4 18" xfId="43730" xr:uid="{00000000-0005-0000-0000-000054EB0000}"/>
    <cellStyle name="Percent 3 5 2 2 4 19" xfId="45413" xr:uid="{00000000-0005-0000-0000-000055EB0000}"/>
    <cellStyle name="Percent 3 5 2 2 4 2" xfId="3334" xr:uid="{00000000-0005-0000-0000-000056EB0000}"/>
    <cellStyle name="Percent 3 5 2 2 4 2 2" xfId="18483" xr:uid="{00000000-0005-0000-0000-000057EB0000}"/>
    <cellStyle name="Percent 3 5 2 2 4 20" xfId="47096" xr:uid="{00000000-0005-0000-0000-000058EB0000}"/>
    <cellStyle name="Percent 3 5 2 2 4 21" xfId="48779" xr:uid="{00000000-0005-0000-0000-000059EB0000}"/>
    <cellStyle name="Percent 3 5 2 2 4 22" xfId="50462" xr:uid="{00000000-0005-0000-0000-00005AEB0000}"/>
    <cellStyle name="Percent 3 5 2 2 4 23" xfId="52145" xr:uid="{00000000-0005-0000-0000-00005BEB0000}"/>
    <cellStyle name="Percent 3 5 2 2 4 24" xfId="53828" xr:uid="{00000000-0005-0000-0000-00005CEB0000}"/>
    <cellStyle name="Percent 3 5 2 2 4 25" xfId="55511" xr:uid="{00000000-0005-0000-0000-00005DEB0000}"/>
    <cellStyle name="Percent 3 5 2 2 4 26" xfId="57194" xr:uid="{00000000-0005-0000-0000-00005EEB0000}"/>
    <cellStyle name="Percent 3 5 2 2 4 27" xfId="58877" xr:uid="{00000000-0005-0000-0000-00005FEB0000}"/>
    <cellStyle name="Percent 3 5 2 2 4 28" xfId="60560" xr:uid="{00000000-0005-0000-0000-000060EB0000}"/>
    <cellStyle name="Percent 3 5 2 2 4 29" xfId="62243" xr:uid="{00000000-0005-0000-0000-000061EB0000}"/>
    <cellStyle name="Percent 3 5 2 2 4 3" xfId="5018" xr:uid="{00000000-0005-0000-0000-000062EB0000}"/>
    <cellStyle name="Percent 3 5 2 2 4 3 2" xfId="20167" xr:uid="{00000000-0005-0000-0000-000063EB0000}"/>
    <cellStyle name="Percent 3 5 2 2 4 30" xfId="63926" xr:uid="{00000000-0005-0000-0000-000064EB0000}"/>
    <cellStyle name="Percent 3 5 2 2 4 4" xfId="6701" xr:uid="{00000000-0005-0000-0000-000065EB0000}"/>
    <cellStyle name="Percent 3 5 2 2 4 4 2" xfId="21850" xr:uid="{00000000-0005-0000-0000-000066EB0000}"/>
    <cellStyle name="Percent 3 5 2 2 4 5" xfId="8384" xr:uid="{00000000-0005-0000-0000-000067EB0000}"/>
    <cellStyle name="Percent 3 5 2 2 4 5 2" xfId="23533" xr:uid="{00000000-0005-0000-0000-000068EB0000}"/>
    <cellStyle name="Percent 3 5 2 2 4 6" xfId="10067" xr:uid="{00000000-0005-0000-0000-000069EB0000}"/>
    <cellStyle name="Percent 3 5 2 2 4 6 2" xfId="25216" xr:uid="{00000000-0005-0000-0000-00006AEB0000}"/>
    <cellStyle name="Percent 3 5 2 2 4 7" xfId="11750" xr:uid="{00000000-0005-0000-0000-00006BEB0000}"/>
    <cellStyle name="Percent 3 5 2 2 4 7 2" xfId="26899" xr:uid="{00000000-0005-0000-0000-00006CEB0000}"/>
    <cellStyle name="Percent 3 5 2 2 4 8" xfId="13434" xr:uid="{00000000-0005-0000-0000-00006DEB0000}"/>
    <cellStyle name="Percent 3 5 2 2 4 8 2" xfId="28583" xr:uid="{00000000-0005-0000-0000-00006EEB0000}"/>
    <cellStyle name="Percent 3 5 2 2 4 9" xfId="15117" xr:uid="{00000000-0005-0000-0000-00006FEB0000}"/>
    <cellStyle name="Percent 3 5 2 2 4 9 2" xfId="30266" xr:uid="{00000000-0005-0000-0000-000070EB0000}"/>
    <cellStyle name="Percent 3 5 2 2 5" xfId="2072" xr:uid="{00000000-0005-0000-0000-000071EB0000}"/>
    <cellStyle name="Percent 3 5 2 2 5 2" xfId="17221" xr:uid="{00000000-0005-0000-0000-000072EB0000}"/>
    <cellStyle name="Percent 3 5 2 2 6" xfId="3756" xr:uid="{00000000-0005-0000-0000-000073EB0000}"/>
    <cellStyle name="Percent 3 5 2 2 6 2" xfId="18905" xr:uid="{00000000-0005-0000-0000-000074EB0000}"/>
    <cellStyle name="Percent 3 5 2 2 7" xfId="5439" xr:uid="{00000000-0005-0000-0000-000075EB0000}"/>
    <cellStyle name="Percent 3 5 2 2 7 2" xfId="20588" xr:uid="{00000000-0005-0000-0000-000076EB0000}"/>
    <cellStyle name="Percent 3 5 2 2 8" xfId="7122" xr:uid="{00000000-0005-0000-0000-000077EB0000}"/>
    <cellStyle name="Percent 3 5 2 2 8 2" xfId="22271" xr:uid="{00000000-0005-0000-0000-000078EB0000}"/>
    <cellStyle name="Percent 3 5 2 2 9" xfId="8805" xr:uid="{00000000-0005-0000-0000-000079EB0000}"/>
    <cellStyle name="Percent 3 5 2 2 9 2" xfId="23954" xr:uid="{00000000-0005-0000-0000-00007AEB0000}"/>
    <cellStyle name="Percent 3 5 2 20" xfId="38892" xr:uid="{00000000-0005-0000-0000-00007BEB0000}"/>
    <cellStyle name="Percent 3 5 2 21" xfId="40575" xr:uid="{00000000-0005-0000-0000-00007CEB0000}"/>
    <cellStyle name="Percent 3 5 2 22" xfId="42258" xr:uid="{00000000-0005-0000-0000-00007DEB0000}"/>
    <cellStyle name="Percent 3 5 2 23" xfId="43941" xr:uid="{00000000-0005-0000-0000-00007EEB0000}"/>
    <cellStyle name="Percent 3 5 2 24" xfId="45624" xr:uid="{00000000-0005-0000-0000-00007FEB0000}"/>
    <cellStyle name="Percent 3 5 2 25" xfId="47307" xr:uid="{00000000-0005-0000-0000-000080EB0000}"/>
    <cellStyle name="Percent 3 5 2 26" xfId="48990" xr:uid="{00000000-0005-0000-0000-000081EB0000}"/>
    <cellStyle name="Percent 3 5 2 27" xfId="50673" xr:uid="{00000000-0005-0000-0000-000082EB0000}"/>
    <cellStyle name="Percent 3 5 2 28" xfId="52356" xr:uid="{00000000-0005-0000-0000-000083EB0000}"/>
    <cellStyle name="Percent 3 5 2 29" xfId="54039" xr:uid="{00000000-0005-0000-0000-000084EB0000}"/>
    <cellStyle name="Percent 3 5 2 3" xfId="599" xr:uid="{00000000-0005-0000-0000-000085EB0000}"/>
    <cellStyle name="Percent 3 5 2 3 10" xfId="15748" xr:uid="{00000000-0005-0000-0000-000086EB0000}"/>
    <cellStyle name="Percent 3 5 2 3 11" xfId="30897" xr:uid="{00000000-0005-0000-0000-000087EB0000}"/>
    <cellStyle name="Percent 3 5 2 3 12" xfId="32580" xr:uid="{00000000-0005-0000-0000-000088EB0000}"/>
    <cellStyle name="Percent 3 5 2 3 13" xfId="34263" xr:uid="{00000000-0005-0000-0000-000089EB0000}"/>
    <cellStyle name="Percent 3 5 2 3 14" xfId="35946" xr:uid="{00000000-0005-0000-0000-00008AEB0000}"/>
    <cellStyle name="Percent 3 5 2 3 15" xfId="37629" xr:uid="{00000000-0005-0000-0000-00008BEB0000}"/>
    <cellStyle name="Percent 3 5 2 3 16" xfId="39312" xr:uid="{00000000-0005-0000-0000-00008CEB0000}"/>
    <cellStyle name="Percent 3 5 2 3 17" xfId="40995" xr:uid="{00000000-0005-0000-0000-00008DEB0000}"/>
    <cellStyle name="Percent 3 5 2 3 18" xfId="42678" xr:uid="{00000000-0005-0000-0000-00008EEB0000}"/>
    <cellStyle name="Percent 3 5 2 3 19" xfId="44361" xr:uid="{00000000-0005-0000-0000-00008FEB0000}"/>
    <cellStyle name="Percent 3 5 2 3 2" xfId="2282" xr:uid="{00000000-0005-0000-0000-000090EB0000}"/>
    <cellStyle name="Percent 3 5 2 3 2 2" xfId="17431" xr:uid="{00000000-0005-0000-0000-000091EB0000}"/>
    <cellStyle name="Percent 3 5 2 3 20" xfId="46044" xr:uid="{00000000-0005-0000-0000-000092EB0000}"/>
    <cellStyle name="Percent 3 5 2 3 21" xfId="47727" xr:uid="{00000000-0005-0000-0000-000093EB0000}"/>
    <cellStyle name="Percent 3 5 2 3 22" xfId="49410" xr:uid="{00000000-0005-0000-0000-000094EB0000}"/>
    <cellStyle name="Percent 3 5 2 3 23" xfId="51093" xr:uid="{00000000-0005-0000-0000-000095EB0000}"/>
    <cellStyle name="Percent 3 5 2 3 24" xfId="52776" xr:uid="{00000000-0005-0000-0000-000096EB0000}"/>
    <cellStyle name="Percent 3 5 2 3 25" xfId="54459" xr:uid="{00000000-0005-0000-0000-000097EB0000}"/>
    <cellStyle name="Percent 3 5 2 3 26" xfId="56142" xr:uid="{00000000-0005-0000-0000-000098EB0000}"/>
    <cellStyle name="Percent 3 5 2 3 27" xfId="57825" xr:uid="{00000000-0005-0000-0000-000099EB0000}"/>
    <cellStyle name="Percent 3 5 2 3 28" xfId="59508" xr:uid="{00000000-0005-0000-0000-00009AEB0000}"/>
    <cellStyle name="Percent 3 5 2 3 29" xfId="61191" xr:uid="{00000000-0005-0000-0000-00009BEB0000}"/>
    <cellStyle name="Percent 3 5 2 3 3" xfId="3966" xr:uid="{00000000-0005-0000-0000-00009CEB0000}"/>
    <cellStyle name="Percent 3 5 2 3 3 2" xfId="19115" xr:uid="{00000000-0005-0000-0000-00009DEB0000}"/>
    <cellStyle name="Percent 3 5 2 3 30" xfId="62874" xr:uid="{00000000-0005-0000-0000-00009EEB0000}"/>
    <cellStyle name="Percent 3 5 2 3 4" xfId="5649" xr:uid="{00000000-0005-0000-0000-00009FEB0000}"/>
    <cellStyle name="Percent 3 5 2 3 4 2" xfId="20798" xr:uid="{00000000-0005-0000-0000-0000A0EB0000}"/>
    <cellStyle name="Percent 3 5 2 3 5" xfId="7332" xr:uid="{00000000-0005-0000-0000-0000A1EB0000}"/>
    <cellStyle name="Percent 3 5 2 3 5 2" xfId="22481" xr:uid="{00000000-0005-0000-0000-0000A2EB0000}"/>
    <cellStyle name="Percent 3 5 2 3 6" xfId="9015" xr:uid="{00000000-0005-0000-0000-0000A3EB0000}"/>
    <cellStyle name="Percent 3 5 2 3 6 2" xfId="24164" xr:uid="{00000000-0005-0000-0000-0000A4EB0000}"/>
    <cellStyle name="Percent 3 5 2 3 7" xfId="10698" xr:uid="{00000000-0005-0000-0000-0000A5EB0000}"/>
    <cellStyle name="Percent 3 5 2 3 7 2" xfId="25847" xr:uid="{00000000-0005-0000-0000-0000A6EB0000}"/>
    <cellStyle name="Percent 3 5 2 3 8" xfId="12382" xr:uid="{00000000-0005-0000-0000-0000A7EB0000}"/>
    <cellStyle name="Percent 3 5 2 3 8 2" xfId="27531" xr:uid="{00000000-0005-0000-0000-0000A8EB0000}"/>
    <cellStyle name="Percent 3 5 2 3 9" xfId="14065" xr:uid="{00000000-0005-0000-0000-0000A9EB0000}"/>
    <cellStyle name="Percent 3 5 2 3 9 2" xfId="29214" xr:uid="{00000000-0005-0000-0000-0000AAEB0000}"/>
    <cellStyle name="Percent 3 5 2 30" xfId="55722" xr:uid="{00000000-0005-0000-0000-0000ABEB0000}"/>
    <cellStyle name="Percent 3 5 2 31" xfId="57405" xr:uid="{00000000-0005-0000-0000-0000ACEB0000}"/>
    <cellStyle name="Percent 3 5 2 32" xfId="59088" xr:uid="{00000000-0005-0000-0000-0000ADEB0000}"/>
    <cellStyle name="Percent 3 5 2 33" xfId="60771" xr:uid="{00000000-0005-0000-0000-0000AEEB0000}"/>
    <cellStyle name="Percent 3 5 2 34" xfId="62454" xr:uid="{00000000-0005-0000-0000-0000AFEB0000}"/>
    <cellStyle name="Percent 3 5 2 4" xfId="1020" xr:uid="{00000000-0005-0000-0000-0000B0EB0000}"/>
    <cellStyle name="Percent 3 5 2 4 10" xfId="16169" xr:uid="{00000000-0005-0000-0000-0000B1EB0000}"/>
    <cellStyle name="Percent 3 5 2 4 11" xfId="31318" xr:uid="{00000000-0005-0000-0000-0000B2EB0000}"/>
    <cellStyle name="Percent 3 5 2 4 12" xfId="33001" xr:uid="{00000000-0005-0000-0000-0000B3EB0000}"/>
    <cellStyle name="Percent 3 5 2 4 13" xfId="34684" xr:uid="{00000000-0005-0000-0000-0000B4EB0000}"/>
    <cellStyle name="Percent 3 5 2 4 14" xfId="36367" xr:uid="{00000000-0005-0000-0000-0000B5EB0000}"/>
    <cellStyle name="Percent 3 5 2 4 15" xfId="38050" xr:uid="{00000000-0005-0000-0000-0000B6EB0000}"/>
    <cellStyle name="Percent 3 5 2 4 16" xfId="39733" xr:uid="{00000000-0005-0000-0000-0000B7EB0000}"/>
    <cellStyle name="Percent 3 5 2 4 17" xfId="41416" xr:uid="{00000000-0005-0000-0000-0000B8EB0000}"/>
    <cellStyle name="Percent 3 5 2 4 18" xfId="43099" xr:uid="{00000000-0005-0000-0000-0000B9EB0000}"/>
    <cellStyle name="Percent 3 5 2 4 19" xfId="44782" xr:uid="{00000000-0005-0000-0000-0000BAEB0000}"/>
    <cellStyle name="Percent 3 5 2 4 2" xfId="2703" xr:uid="{00000000-0005-0000-0000-0000BBEB0000}"/>
    <cellStyle name="Percent 3 5 2 4 2 2" xfId="17852" xr:uid="{00000000-0005-0000-0000-0000BCEB0000}"/>
    <cellStyle name="Percent 3 5 2 4 20" xfId="46465" xr:uid="{00000000-0005-0000-0000-0000BDEB0000}"/>
    <cellStyle name="Percent 3 5 2 4 21" xfId="48148" xr:uid="{00000000-0005-0000-0000-0000BEEB0000}"/>
    <cellStyle name="Percent 3 5 2 4 22" xfId="49831" xr:uid="{00000000-0005-0000-0000-0000BFEB0000}"/>
    <cellStyle name="Percent 3 5 2 4 23" xfId="51514" xr:uid="{00000000-0005-0000-0000-0000C0EB0000}"/>
    <cellStyle name="Percent 3 5 2 4 24" xfId="53197" xr:uid="{00000000-0005-0000-0000-0000C1EB0000}"/>
    <cellStyle name="Percent 3 5 2 4 25" xfId="54880" xr:uid="{00000000-0005-0000-0000-0000C2EB0000}"/>
    <cellStyle name="Percent 3 5 2 4 26" xfId="56563" xr:uid="{00000000-0005-0000-0000-0000C3EB0000}"/>
    <cellStyle name="Percent 3 5 2 4 27" xfId="58246" xr:uid="{00000000-0005-0000-0000-0000C4EB0000}"/>
    <cellStyle name="Percent 3 5 2 4 28" xfId="59929" xr:uid="{00000000-0005-0000-0000-0000C5EB0000}"/>
    <cellStyle name="Percent 3 5 2 4 29" xfId="61612" xr:uid="{00000000-0005-0000-0000-0000C6EB0000}"/>
    <cellStyle name="Percent 3 5 2 4 3" xfId="4387" xr:uid="{00000000-0005-0000-0000-0000C7EB0000}"/>
    <cellStyle name="Percent 3 5 2 4 3 2" xfId="19536" xr:uid="{00000000-0005-0000-0000-0000C8EB0000}"/>
    <cellStyle name="Percent 3 5 2 4 30" xfId="63295" xr:uid="{00000000-0005-0000-0000-0000C9EB0000}"/>
    <cellStyle name="Percent 3 5 2 4 4" xfId="6070" xr:uid="{00000000-0005-0000-0000-0000CAEB0000}"/>
    <cellStyle name="Percent 3 5 2 4 4 2" xfId="21219" xr:uid="{00000000-0005-0000-0000-0000CBEB0000}"/>
    <cellStyle name="Percent 3 5 2 4 5" xfId="7753" xr:uid="{00000000-0005-0000-0000-0000CCEB0000}"/>
    <cellStyle name="Percent 3 5 2 4 5 2" xfId="22902" xr:uid="{00000000-0005-0000-0000-0000CDEB0000}"/>
    <cellStyle name="Percent 3 5 2 4 6" xfId="9436" xr:uid="{00000000-0005-0000-0000-0000CEEB0000}"/>
    <cellStyle name="Percent 3 5 2 4 6 2" xfId="24585" xr:uid="{00000000-0005-0000-0000-0000CFEB0000}"/>
    <cellStyle name="Percent 3 5 2 4 7" xfId="11119" xr:uid="{00000000-0005-0000-0000-0000D0EB0000}"/>
    <cellStyle name="Percent 3 5 2 4 7 2" xfId="26268" xr:uid="{00000000-0005-0000-0000-0000D1EB0000}"/>
    <cellStyle name="Percent 3 5 2 4 8" xfId="12803" xr:uid="{00000000-0005-0000-0000-0000D2EB0000}"/>
    <cellStyle name="Percent 3 5 2 4 8 2" xfId="27952" xr:uid="{00000000-0005-0000-0000-0000D3EB0000}"/>
    <cellStyle name="Percent 3 5 2 4 9" xfId="14486" xr:uid="{00000000-0005-0000-0000-0000D4EB0000}"/>
    <cellStyle name="Percent 3 5 2 4 9 2" xfId="29635" xr:uid="{00000000-0005-0000-0000-0000D5EB0000}"/>
    <cellStyle name="Percent 3 5 2 5" xfId="1441" xr:uid="{00000000-0005-0000-0000-0000D6EB0000}"/>
    <cellStyle name="Percent 3 5 2 5 10" xfId="16590" xr:uid="{00000000-0005-0000-0000-0000D7EB0000}"/>
    <cellStyle name="Percent 3 5 2 5 11" xfId="31739" xr:uid="{00000000-0005-0000-0000-0000D8EB0000}"/>
    <cellStyle name="Percent 3 5 2 5 12" xfId="33422" xr:uid="{00000000-0005-0000-0000-0000D9EB0000}"/>
    <cellStyle name="Percent 3 5 2 5 13" xfId="35105" xr:uid="{00000000-0005-0000-0000-0000DAEB0000}"/>
    <cellStyle name="Percent 3 5 2 5 14" xfId="36788" xr:uid="{00000000-0005-0000-0000-0000DBEB0000}"/>
    <cellStyle name="Percent 3 5 2 5 15" xfId="38471" xr:uid="{00000000-0005-0000-0000-0000DCEB0000}"/>
    <cellStyle name="Percent 3 5 2 5 16" xfId="40154" xr:uid="{00000000-0005-0000-0000-0000DDEB0000}"/>
    <cellStyle name="Percent 3 5 2 5 17" xfId="41837" xr:uid="{00000000-0005-0000-0000-0000DEEB0000}"/>
    <cellStyle name="Percent 3 5 2 5 18" xfId="43520" xr:uid="{00000000-0005-0000-0000-0000DFEB0000}"/>
    <cellStyle name="Percent 3 5 2 5 19" xfId="45203" xr:uid="{00000000-0005-0000-0000-0000E0EB0000}"/>
    <cellStyle name="Percent 3 5 2 5 2" xfId="3124" xr:uid="{00000000-0005-0000-0000-0000E1EB0000}"/>
    <cellStyle name="Percent 3 5 2 5 2 2" xfId="18273" xr:uid="{00000000-0005-0000-0000-0000E2EB0000}"/>
    <cellStyle name="Percent 3 5 2 5 20" xfId="46886" xr:uid="{00000000-0005-0000-0000-0000E3EB0000}"/>
    <cellStyle name="Percent 3 5 2 5 21" xfId="48569" xr:uid="{00000000-0005-0000-0000-0000E4EB0000}"/>
    <cellStyle name="Percent 3 5 2 5 22" xfId="50252" xr:uid="{00000000-0005-0000-0000-0000E5EB0000}"/>
    <cellStyle name="Percent 3 5 2 5 23" xfId="51935" xr:uid="{00000000-0005-0000-0000-0000E6EB0000}"/>
    <cellStyle name="Percent 3 5 2 5 24" xfId="53618" xr:uid="{00000000-0005-0000-0000-0000E7EB0000}"/>
    <cellStyle name="Percent 3 5 2 5 25" xfId="55301" xr:uid="{00000000-0005-0000-0000-0000E8EB0000}"/>
    <cellStyle name="Percent 3 5 2 5 26" xfId="56984" xr:uid="{00000000-0005-0000-0000-0000E9EB0000}"/>
    <cellStyle name="Percent 3 5 2 5 27" xfId="58667" xr:uid="{00000000-0005-0000-0000-0000EAEB0000}"/>
    <cellStyle name="Percent 3 5 2 5 28" xfId="60350" xr:uid="{00000000-0005-0000-0000-0000EBEB0000}"/>
    <cellStyle name="Percent 3 5 2 5 29" xfId="62033" xr:uid="{00000000-0005-0000-0000-0000ECEB0000}"/>
    <cellStyle name="Percent 3 5 2 5 3" xfId="4808" xr:uid="{00000000-0005-0000-0000-0000EDEB0000}"/>
    <cellStyle name="Percent 3 5 2 5 3 2" xfId="19957" xr:uid="{00000000-0005-0000-0000-0000EEEB0000}"/>
    <cellStyle name="Percent 3 5 2 5 30" xfId="63716" xr:uid="{00000000-0005-0000-0000-0000EFEB0000}"/>
    <cellStyle name="Percent 3 5 2 5 4" xfId="6491" xr:uid="{00000000-0005-0000-0000-0000F0EB0000}"/>
    <cellStyle name="Percent 3 5 2 5 4 2" xfId="21640" xr:uid="{00000000-0005-0000-0000-0000F1EB0000}"/>
    <cellStyle name="Percent 3 5 2 5 5" xfId="8174" xr:uid="{00000000-0005-0000-0000-0000F2EB0000}"/>
    <cellStyle name="Percent 3 5 2 5 5 2" xfId="23323" xr:uid="{00000000-0005-0000-0000-0000F3EB0000}"/>
    <cellStyle name="Percent 3 5 2 5 6" xfId="9857" xr:uid="{00000000-0005-0000-0000-0000F4EB0000}"/>
    <cellStyle name="Percent 3 5 2 5 6 2" xfId="25006" xr:uid="{00000000-0005-0000-0000-0000F5EB0000}"/>
    <cellStyle name="Percent 3 5 2 5 7" xfId="11540" xr:uid="{00000000-0005-0000-0000-0000F6EB0000}"/>
    <cellStyle name="Percent 3 5 2 5 7 2" xfId="26689" xr:uid="{00000000-0005-0000-0000-0000F7EB0000}"/>
    <cellStyle name="Percent 3 5 2 5 8" xfId="13224" xr:uid="{00000000-0005-0000-0000-0000F8EB0000}"/>
    <cellStyle name="Percent 3 5 2 5 8 2" xfId="28373" xr:uid="{00000000-0005-0000-0000-0000F9EB0000}"/>
    <cellStyle name="Percent 3 5 2 5 9" xfId="14907" xr:uid="{00000000-0005-0000-0000-0000FAEB0000}"/>
    <cellStyle name="Percent 3 5 2 5 9 2" xfId="30056" xr:uid="{00000000-0005-0000-0000-0000FBEB0000}"/>
    <cellStyle name="Percent 3 5 2 6" xfId="1862" xr:uid="{00000000-0005-0000-0000-0000FCEB0000}"/>
    <cellStyle name="Percent 3 5 2 6 2" xfId="17011" xr:uid="{00000000-0005-0000-0000-0000FDEB0000}"/>
    <cellStyle name="Percent 3 5 2 7" xfId="3546" xr:uid="{00000000-0005-0000-0000-0000FEEB0000}"/>
    <cellStyle name="Percent 3 5 2 7 2" xfId="18695" xr:uid="{00000000-0005-0000-0000-0000FFEB0000}"/>
    <cellStyle name="Percent 3 5 2 8" xfId="5229" xr:uid="{00000000-0005-0000-0000-000000EC0000}"/>
    <cellStyle name="Percent 3 5 2 8 2" xfId="20378" xr:uid="{00000000-0005-0000-0000-000001EC0000}"/>
    <cellStyle name="Percent 3 5 2 9" xfId="6912" xr:uid="{00000000-0005-0000-0000-000002EC0000}"/>
    <cellStyle name="Percent 3 5 2 9 2" xfId="22061" xr:uid="{00000000-0005-0000-0000-000003EC0000}"/>
    <cellStyle name="Percent 3 5 20" xfId="37104" xr:uid="{00000000-0005-0000-0000-000004EC0000}"/>
    <cellStyle name="Percent 3 5 21" xfId="38787" xr:uid="{00000000-0005-0000-0000-000005EC0000}"/>
    <cellStyle name="Percent 3 5 22" xfId="40470" xr:uid="{00000000-0005-0000-0000-000006EC0000}"/>
    <cellStyle name="Percent 3 5 23" xfId="42153" xr:uid="{00000000-0005-0000-0000-000007EC0000}"/>
    <cellStyle name="Percent 3 5 24" xfId="43836" xr:uid="{00000000-0005-0000-0000-000008EC0000}"/>
    <cellStyle name="Percent 3 5 25" xfId="45519" xr:uid="{00000000-0005-0000-0000-000009EC0000}"/>
    <cellStyle name="Percent 3 5 26" xfId="47202" xr:uid="{00000000-0005-0000-0000-00000AEC0000}"/>
    <cellStyle name="Percent 3 5 27" xfId="48885" xr:uid="{00000000-0005-0000-0000-00000BEC0000}"/>
    <cellStyle name="Percent 3 5 28" xfId="50568" xr:uid="{00000000-0005-0000-0000-00000CEC0000}"/>
    <cellStyle name="Percent 3 5 29" xfId="52251" xr:uid="{00000000-0005-0000-0000-00000DEC0000}"/>
    <cellStyle name="Percent 3 5 3" xfId="284" xr:uid="{00000000-0005-0000-0000-00000EEC0000}"/>
    <cellStyle name="Percent 3 5 3 10" xfId="10383" xr:uid="{00000000-0005-0000-0000-00000FEC0000}"/>
    <cellStyle name="Percent 3 5 3 10 2" xfId="25532" xr:uid="{00000000-0005-0000-0000-000010EC0000}"/>
    <cellStyle name="Percent 3 5 3 11" xfId="12067" xr:uid="{00000000-0005-0000-0000-000011EC0000}"/>
    <cellStyle name="Percent 3 5 3 11 2" xfId="27216" xr:uid="{00000000-0005-0000-0000-000012EC0000}"/>
    <cellStyle name="Percent 3 5 3 12" xfId="13750" xr:uid="{00000000-0005-0000-0000-000013EC0000}"/>
    <cellStyle name="Percent 3 5 3 12 2" xfId="28899" xr:uid="{00000000-0005-0000-0000-000014EC0000}"/>
    <cellStyle name="Percent 3 5 3 13" xfId="15433" xr:uid="{00000000-0005-0000-0000-000015EC0000}"/>
    <cellStyle name="Percent 3 5 3 14" xfId="30582" xr:uid="{00000000-0005-0000-0000-000016EC0000}"/>
    <cellStyle name="Percent 3 5 3 15" xfId="32265" xr:uid="{00000000-0005-0000-0000-000017EC0000}"/>
    <cellStyle name="Percent 3 5 3 16" xfId="33948" xr:uid="{00000000-0005-0000-0000-000018EC0000}"/>
    <cellStyle name="Percent 3 5 3 17" xfId="35631" xr:uid="{00000000-0005-0000-0000-000019EC0000}"/>
    <cellStyle name="Percent 3 5 3 18" xfId="37314" xr:uid="{00000000-0005-0000-0000-00001AEC0000}"/>
    <cellStyle name="Percent 3 5 3 19" xfId="38997" xr:uid="{00000000-0005-0000-0000-00001BEC0000}"/>
    <cellStyle name="Percent 3 5 3 2" xfId="704" xr:uid="{00000000-0005-0000-0000-00001CEC0000}"/>
    <cellStyle name="Percent 3 5 3 2 10" xfId="15853" xr:uid="{00000000-0005-0000-0000-00001DEC0000}"/>
    <cellStyle name="Percent 3 5 3 2 11" xfId="31002" xr:uid="{00000000-0005-0000-0000-00001EEC0000}"/>
    <cellStyle name="Percent 3 5 3 2 12" xfId="32685" xr:uid="{00000000-0005-0000-0000-00001FEC0000}"/>
    <cellStyle name="Percent 3 5 3 2 13" xfId="34368" xr:uid="{00000000-0005-0000-0000-000020EC0000}"/>
    <cellStyle name="Percent 3 5 3 2 14" xfId="36051" xr:uid="{00000000-0005-0000-0000-000021EC0000}"/>
    <cellStyle name="Percent 3 5 3 2 15" xfId="37734" xr:uid="{00000000-0005-0000-0000-000022EC0000}"/>
    <cellStyle name="Percent 3 5 3 2 16" xfId="39417" xr:uid="{00000000-0005-0000-0000-000023EC0000}"/>
    <cellStyle name="Percent 3 5 3 2 17" xfId="41100" xr:uid="{00000000-0005-0000-0000-000024EC0000}"/>
    <cellStyle name="Percent 3 5 3 2 18" xfId="42783" xr:uid="{00000000-0005-0000-0000-000025EC0000}"/>
    <cellStyle name="Percent 3 5 3 2 19" xfId="44466" xr:uid="{00000000-0005-0000-0000-000026EC0000}"/>
    <cellStyle name="Percent 3 5 3 2 2" xfId="2387" xr:uid="{00000000-0005-0000-0000-000027EC0000}"/>
    <cellStyle name="Percent 3 5 3 2 2 2" xfId="17536" xr:uid="{00000000-0005-0000-0000-000028EC0000}"/>
    <cellStyle name="Percent 3 5 3 2 20" xfId="46149" xr:uid="{00000000-0005-0000-0000-000029EC0000}"/>
    <cellStyle name="Percent 3 5 3 2 21" xfId="47832" xr:uid="{00000000-0005-0000-0000-00002AEC0000}"/>
    <cellStyle name="Percent 3 5 3 2 22" xfId="49515" xr:uid="{00000000-0005-0000-0000-00002BEC0000}"/>
    <cellStyle name="Percent 3 5 3 2 23" xfId="51198" xr:uid="{00000000-0005-0000-0000-00002CEC0000}"/>
    <cellStyle name="Percent 3 5 3 2 24" xfId="52881" xr:uid="{00000000-0005-0000-0000-00002DEC0000}"/>
    <cellStyle name="Percent 3 5 3 2 25" xfId="54564" xr:uid="{00000000-0005-0000-0000-00002EEC0000}"/>
    <cellStyle name="Percent 3 5 3 2 26" xfId="56247" xr:uid="{00000000-0005-0000-0000-00002FEC0000}"/>
    <cellStyle name="Percent 3 5 3 2 27" xfId="57930" xr:uid="{00000000-0005-0000-0000-000030EC0000}"/>
    <cellStyle name="Percent 3 5 3 2 28" xfId="59613" xr:uid="{00000000-0005-0000-0000-000031EC0000}"/>
    <cellStyle name="Percent 3 5 3 2 29" xfId="61296" xr:uid="{00000000-0005-0000-0000-000032EC0000}"/>
    <cellStyle name="Percent 3 5 3 2 3" xfId="4071" xr:uid="{00000000-0005-0000-0000-000033EC0000}"/>
    <cellStyle name="Percent 3 5 3 2 3 2" xfId="19220" xr:uid="{00000000-0005-0000-0000-000034EC0000}"/>
    <cellStyle name="Percent 3 5 3 2 30" xfId="62979" xr:uid="{00000000-0005-0000-0000-000035EC0000}"/>
    <cellStyle name="Percent 3 5 3 2 4" xfId="5754" xr:uid="{00000000-0005-0000-0000-000036EC0000}"/>
    <cellStyle name="Percent 3 5 3 2 4 2" xfId="20903" xr:uid="{00000000-0005-0000-0000-000037EC0000}"/>
    <cellStyle name="Percent 3 5 3 2 5" xfId="7437" xr:uid="{00000000-0005-0000-0000-000038EC0000}"/>
    <cellStyle name="Percent 3 5 3 2 5 2" xfId="22586" xr:uid="{00000000-0005-0000-0000-000039EC0000}"/>
    <cellStyle name="Percent 3 5 3 2 6" xfId="9120" xr:uid="{00000000-0005-0000-0000-00003AEC0000}"/>
    <cellStyle name="Percent 3 5 3 2 6 2" xfId="24269" xr:uid="{00000000-0005-0000-0000-00003BEC0000}"/>
    <cellStyle name="Percent 3 5 3 2 7" xfId="10803" xr:uid="{00000000-0005-0000-0000-00003CEC0000}"/>
    <cellStyle name="Percent 3 5 3 2 7 2" xfId="25952" xr:uid="{00000000-0005-0000-0000-00003DEC0000}"/>
    <cellStyle name="Percent 3 5 3 2 8" xfId="12487" xr:uid="{00000000-0005-0000-0000-00003EEC0000}"/>
    <cellStyle name="Percent 3 5 3 2 8 2" xfId="27636" xr:uid="{00000000-0005-0000-0000-00003FEC0000}"/>
    <cellStyle name="Percent 3 5 3 2 9" xfId="14170" xr:uid="{00000000-0005-0000-0000-000040EC0000}"/>
    <cellStyle name="Percent 3 5 3 2 9 2" xfId="29319" xr:uid="{00000000-0005-0000-0000-000041EC0000}"/>
    <cellStyle name="Percent 3 5 3 20" xfId="40680" xr:uid="{00000000-0005-0000-0000-000042EC0000}"/>
    <cellStyle name="Percent 3 5 3 21" xfId="42363" xr:uid="{00000000-0005-0000-0000-000043EC0000}"/>
    <cellStyle name="Percent 3 5 3 22" xfId="44046" xr:uid="{00000000-0005-0000-0000-000044EC0000}"/>
    <cellStyle name="Percent 3 5 3 23" xfId="45729" xr:uid="{00000000-0005-0000-0000-000045EC0000}"/>
    <cellStyle name="Percent 3 5 3 24" xfId="47412" xr:uid="{00000000-0005-0000-0000-000046EC0000}"/>
    <cellStyle name="Percent 3 5 3 25" xfId="49095" xr:uid="{00000000-0005-0000-0000-000047EC0000}"/>
    <cellStyle name="Percent 3 5 3 26" xfId="50778" xr:uid="{00000000-0005-0000-0000-000048EC0000}"/>
    <cellStyle name="Percent 3 5 3 27" xfId="52461" xr:uid="{00000000-0005-0000-0000-000049EC0000}"/>
    <cellStyle name="Percent 3 5 3 28" xfId="54144" xr:uid="{00000000-0005-0000-0000-00004AEC0000}"/>
    <cellStyle name="Percent 3 5 3 29" xfId="55827" xr:uid="{00000000-0005-0000-0000-00004BEC0000}"/>
    <cellStyle name="Percent 3 5 3 3" xfId="1125" xr:uid="{00000000-0005-0000-0000-00004CEC0000}"/>
    <cellStyle name="Percent 3 5 3 3 10" xfId="16274" xr:uid="{00000000-0005-0000-0000-00004DEC0000}"/>
    <cellStyle name="Percent 3 5 3 3 11" xfId="31423" xr:uid="{00000000-0005-0000-0000-00004EEC0000}"/>
    <cellStyle name="Percent 3 5 3 3 12" xfId="33106" xr:uid="{00000000-0005-0000-0000-00004FEC0000}"/>
    <cellStyle name="Percent 3 5 3 3 13" xfId="34789" xr:uid="{00000000-0005-0000-0000-000050EC0000}"/>
    <cellStyle name="Percent 3 5 3 3 14" xfId="36472" xr:uid="{00000000-0005-0000-0000-000051EC0000}"/>
    <cellStyle name="Percent 3 5 3 3 15" xfId="38155" xr:uid="{00000000-0005-0000-0000-000052EC0000}"/>
    <cellStyle name="Percent 3 5 3 3 16" xfId="39838" xr:uid="{00000000-0005-0000-0000-000053EC0000}"/>
    <cellStyle name="Percent 3 5 3 3 17" xfId="41521" xr:uid="{00000000-0005-0000-0000-000054EC0000}"/>
    <cellStyle name="Percent 3 5 3 3 18" xfId="43204" xr:uid="{00000000-0005-0000-0000-000055EC0000}"/>
    <cellStyle name="Percent 3 5 3 3 19" xfId="44887" xr:uid="{00000000-0005-0000-0000-000056EC0000}"/>
    <cellStyle name="Percent 3 5 3 3 2" xfId="2808" xr:uid="{00000000-0005-0000-0000-000057EC0000}"/>
    <cellStyle name="Percent 3 5 3 3 2 2" xfId="17957" xr:uid="{00000000-0005-0000-0000-000058EC0000}"/>
    <cellStyle name="Percent 3 5 3 3 20" xfId="46570" xr:uid="{00000000-0005-0000-0000-000059EC0000}"/>
    <cellStyle name="Percent 3 5 3 3 21" xfId="48253" xr:uid="{00000000-0005-0000-0000-00005AEC0000}"/>
    <cellStyle name="Percent 3 5 3 3 22" xfId="49936" xr:uid="{00000000-0005-0000-0000-00005BEC0000}"/>
    <cellStyle name="Percent 3 5 3 3 23" xfId="51619" xr:uid="{00000000-0005-0000-0000-00005CEC0000}"/>
    <cellStyle name="Percent 3 5 3 3 24" xfId="53302" xr:uid="{00000000-0005-0000-0000-00005DEC0000}"/>
    <cellStyle name="Percent 3 5 3 3 25" xfId="54985" xr:uid="{00000000-0005-0000-0000-00005EEC0000}"/>
    <cellStyle name="Percent 3 5 3 3 26" xfId="56668" xr:uid="{00000000-0005-0000-0000-00005FEC0000}"/>
    <cellStyle name="Percent 3 5 3 3 27" xfId="58351" xr:uid="{00000000-0005-0000-0000-000060EC0000}"/>
    <cellStyle name="Percent 3 5 3 3 28" xfId="60034" xr:uid="{00000000-0005-0000-0000-000061EC0000}"/>
    <cellStyle name="Percent 3 5 3 3 29" xfId="61717" xr:uid="{00000000-0005-0000-0000-000062EC0000}"/>
    <cellStyle name="Percent 3 5 3 3 3" xfId="4492" xr:uid="{00000000-0005-0000-0000-000063EC0000}"/>
    <cellStyle name="Percent 3 5 3 3 3 2" xfId="19641" xr:uid="{00000000-0005-0000-0000-000064EC0000}"/>
    <cellStyle name="Percent 3 5 3 3 30" xfId="63400" xr:uid="{00000000-0005-0000-0000-000065EC0000}"/>
    <cellStyle name="Percent 3 5 3 3 4" xfId="6175" xr:uid="{00000000-0005-0000-0000-000066EC0000}"/>
    <cellStyle name="Percent 3 5 3 3 4 2" xfId="21324" xr:uid="{00000000-0005-0000-0000-000067EC0000}"/>
    <cellStyle name="Percent 3 5 3 3 5" xfId="7858" xr:uid="{00000000-0005-0000-0000-000068EC0000}"/>
    <cellStyle name="Percent 3 5 3 3 5 2" xfId="23007" xr:uid="{00000000-0005-0000-0000-000069EC0000}"/>
    <cellStyle name="Percent 3 5 3 3 6" xfId="9541" xr:uid="{00000000-0005-0000-0000-00006AEC0000}"/>
    <cellStyle name="Percent 3 5 3 3 6 2" xfId="24690" xr:uid="{00000000-0005-0000-0000-00006BEC0000}"/>
    <cellStyle name="Percent 3 5 3 3 7" xfId="11224" xr:uid="{00000000-0005-0000-0000-00006CEC0000}"/>
    <cellStyle name="Percent 3 5 3 3 7 2" xfId="26373" xr:uid="{00000000-0005-0000-0000-00006DEC0000}"/>
    <cellStyle name="Percent 3 5 3 3 8" xfId="12908" xr:uid="{00000000-0005-0000-0000-00006EEC0000}"/>
    <cellStyle name="Percent 3 5 3 3 8 2" xfId="28057" xr:uid="{00000000-0005-0000-0000-00006FEC0000}"/>
    <cellStyle name="Percent 3 5 3 3 9" xfId="14591" xr:uid="{00000000-0005-0000-0000-000070EC0000}"/>
    <cellStyle name="Percent 3 5 3 3 9 2" xfId="29740" xr:uid="{00000000-0005-0000-0000-000071EC0000}"/>
    <cellStyle name="Percent 3 5 3 30" xfId="57510" xr:uid="{00000000-0005-0000-0000-000072EC0000}"/>
    <cellStyle name="Percent 3 5 3 31" xfId="59193" xr:uid="{00000000-0005-0000-0000-000073EC0000}"/>
    <cellStyle name="Percent 3 5 3 32" xfId="60876" xr:uid="{00000000-0005-0000-0000-000074EC0000}"/>
    <cellStyle name="Percent 3 5 3 33" xfId="62559" xr:uid="{00000000-0005-0000-0000-000075EC0000}"/>
    <cellStyle name="Percent 3 5 3 4" xfId="1546" xr:uid="{00000000-0005-0000-0000-000076EC0000}"/>
    <cellStyle name="Percent 3 5 3 4 10" xfId="16695" xr:uid="{00000000-0005-0000-0000-000077EC0000}"/>
    <cellStyle name="Percent 3 5 3 4 11" xfId="31844" xr:uid="{00000000-0005-0000-0000-000078EC0000}"/>
    <cellStyle name="Percent 3 5 3 4 12" xfId="33527" xr:uid="{00000000-0005-0000-0000-000079EC0000}"/>
    <cellStyle name="Percent 3 5 3 4 13" xfId="35210" xr:uid="{00000000-0005-0000-0000-00007AEC0000}"/>
    <cellStyle name="Percent 3 5 3 4 14" xfId="36893" xr:uid="{00000000-0005-0000-0000-00007BEC0000}"/>
    <cellStyle name="Percent 3 5 3 4 15" xfId="38576" xr:uid="{00000000-0005-0000-0000-00007CEC0000}"/>
    <cellStyle name="Percent 3 5 3 4 16" xfId="40259" xr:uid="{00000000-0005-0000-0000-00007DEC0000}"/>
    <cellStyle name="Percent 3 5 3 4 17" xfId="41942" xr:uid="{00000000-0005-0000-0000-00007EEC0000}"/>
    <cellStyle name="Percent 3 5 3 4 18" xfId="43625" xr:uid="{00000000-0005-0000-0000-00007FEC0000}"/>
    <cellStyle name="Percent 3 5 3 4 19" xfId="45308" xr:uid="{00000000-0005-0000-0000-000080EC0000}"/>
    <cellStyle name="Percent 3 5 3 4 2" xfId="3229" xr:uid="{00000000-0005-0000-0000-000081EC0000}"/>
    <cellStyle name="Percent 3 5 3 4 2 2" xfId="18378" xr:uid="{00000000-0005-0000-0000-000082EC0000}"/>
    <cellStyle name="Percent 3 5 3 4 20" xfId="46991" xr:uid="{00000000-0005-0000-0000-000083EC0000}"/>
    <cellStyle name="Percent 3 5 3 4 21" xfId="48674" xr:uid="{00000000-0005-0000-0000-000084EC0000}"/>
    <cellStyle name="Percent 3 5 3 4 22" xfId="50357" xr:uid="{00000000-0005-0000-0000-000085EC0000}"/>
    <cellStyle name="Percent 3 5 3 4 23" xfId="52040" xr:uid="{00000000-0005-0000-0000-000086EC0000}"/>
    <cellStyle name="Percent 3 5 3 4 24" xfId="53723" xr:uid="{00000000-0005-0000-0000-000087EC0000}"/>
    <cellStyle name="Percent 3 5 3 4 25" xfId="55406" xr:uid="{00000000-0005-0000-0000-000088EC0000}"/>
    <cellStyle name="Percent 3 5 3 4 26" xfId="57089" xr:uid="{00000000-0005-0000-0000-000089EC0000}"/>
    <cellStyle name="Percent 3 5 3 4 27" xfId="58772" xr:uid="{00000000-0005-0000-0000-00008AEC0000}"/>
    <cellStyle name="Percent 3 5 3 4 28" xfId="60455" xr:uid="{00000000-0005-0000-0000-00008BEC0000}"/>
    <cellStyle name="Percent 3 5 3 4 29" xfId="62138" xr:uid="{00000000-0005-0000-0000-00008CEC0000}"/>
    <cellStyle name="Percent 3 5 3 4 3" xfId="4913" xr:uid="{00000000-0005-0000-0000-00008DEC0000}"/>
    <cellStyle name="Percent 3 5 3 4 3 2" xfId="20062" xr:uid="{00000000-0005-0000-0000-00008EEC0000}"/>
    <cellStyle name="Percent 3 5 3 4 30" xfId="63821" xr:uid="{00000000-0005-0000-0000-00008FEC0000}"/>
    <cellStyle name="Percent 3 5 3 4 4" xfId="6596" xr:uid="{00000000-0005-0000-0000-000090EC0000}"/>
    <cellStyle name="Percent 3 5 3 4 4 2" xfId="21745" xr:uid="{00000000-0005-0000-0000-000091EC0000}"/>
    <cellStyle name="Percent 3 5 3 4 5" xfId="8279" xr:uid="{00000000-0005-0000-0000-000092EC0000}"/>
    <cellStyle name="Percent 3 5 3 4 5 2" xfId="23428" xr:uid="{00000000-0005-0000-0000-000093EC0000}"/>
    <cellStyle name="Percent 3 5 3 4 6" xfId="9962" xr:uid="{00000000-0005-0000-0000-000094EC0000}"/>
    <cellStyle name="Percent 3 5 3 4 6 2" xfId="25111" xr:uid="{00000000-0005-0000-0000-000095EC0000}"/>
    <cellStyle name="Percent 3 5 3 4 7" xfId="11645" xr:uid="{00000000-0005-0000-0000-000096EC0000}"/>
    <cellStyle name="Percent 3 5 3 4 7 2" xfId="26794" xr:uid="{00000000-0005-0000-0000-000097EC0000}"/>
    <cellStyle name="Percent 3 5 3 4 8" xfId="13329" xr:uid="{00000000-0005-0000-0000-000098EC0000}"/>
    <cellStyle name="Percent 3 5 3 4 8 2" xfId="28478" xr:uid="{00000000-0005-0000-0000-000099EC0000}"/>
    <cellStyle name="Percent 3 5 3 4 9" xfId="15012" xr:uid="{00000000-0005-0000-0000-00009AEC0000}"/>
    <cellStyle name="Percent 3 5 3 4 9 2" xfId="30161" xr:uid="{00000000-0005-0000-0000-00009BEC0000}"/>
    <cellStyle name="Percent 3 5 3 5" xfId="1967" xr:uid="{00000000-0005-0000-0000-00009CEC0000}"/>
    <cellStyle name="Percent 3 5 3 5 2" xfId="17116" xr:uid="{00000000-0005-0000-0000-00009DEC0000}"/>
    <cellStyle name="Percent 3 5 3 6" xfId="3651" xr:uid="{00000000-0005-0000-0000-00009EEC0000}"/>
    <cellStyle name="Percent 3 5 3 6 2" xfId="18800" xr:uid="{00000000-0005-0000-0000-00009FEC0000}"/>
    <cellStyle name="Percent 3 5 3 7" xfId="5334" xr:uid="{00000000-0005-0000-0000-0000A0EC0000}"/>
    <cellStyle name="Percent 3 5 3 7 2" xfId="20483" xr:uid="{00000000-0005-0000-0000-0000A1EC0000}"/>
    <cellStyle name="Percent 3 5 3 8" xfId="7017" xr:uid="{00000000-0005-0000-0000-0000A2EC0000}"/>
    <cellStyle name="Percent 3 5 3 8 2" xfId="22166" xr:uid="{00000000-0005-0000-0000-0000A3EC0000}"/>
    <cellStyle name="Percent 3 5 3 9" xfId="8700" xr:uid="{00000000-0005-0000-0000-0000A4EC0000}"/>
    <cellStyle name="Percent 3 5 3 9 2" xfId="23849" xr:uid="{00000000-0005-0000-0000-0000A5EC0000}"/>
    <cellStyle name="Percent 3 5 30" xfId="53934" xr:uid="{00000000-0005-0000-0000-0000A6EC0000}"/>
    <cellStyle name="Percent 3 5 31" xfId="55617" xr:uid="{00000000-0005-0000-0000-0000A7EC0000}"/>
    <cellStyle name="Percent 3 5 32" xfId="57300" xr:uid="{00000000-0005-0000-0000-0000A8EC0000}"/>
    <cellStyle name="Percent 3 5 33" xfId="58983" xr:uid="{00000000-0005-0000-0000-0000A9EC0000}"/>
    <cellStyle name="Percent 3 5 34" xfId="60666" xr:uid="{00000000-0005-0000-0000-0000AAEC0000}"/>
    <cellStyle name="Percent 3 5 35" xfId="62349" xr:uid="{00000000-0005-0000-0000-0000ABEC0000}"/>
    <cellStyle name="Percent 3 5 4" xfId="494" xr:uid="{00000000-0005-0000-0000-0000ACEC0000}"/>
    <cellStyle name="Percent 3 5 4 10" xfId="15643" xr:uid="{00000000-0005-0000-0000-0000ADEC0000}"/>
    <cellStyle name="Percent 3 5 4 11" xfId="30792" xr:uid="{00000000-0005-0000-0000-0000AEEC0000}"/>
    <cellStyle name="Percent 3 5 4 12" xfId="32475" xr:uid="{00000000-0005-0000-0000-0000AFEC0000}"/>
    <cellStyle name="Percent 3 5 4 13" xfId="34158" xr:uid="{00000000-0005-0000-0000-0000B0EC0000}"/>
    <cellStyle name="Percent 3 5 4 14" xfId="35841" xr:uid="{00000000-0005-0000-0000-0000B1EC0000}"/>
    <cellStyle name="Percent 3 5 4 15" xfId="37524" xr:uid="{00000000-0005-0000-0000-0000B2EC0000}"/>
    <cellStyle name="Percent 3 5 4 16" xfId="39207" xr:uid="{00000000-0005-0000-0000-0000B3EC0000}"/>
    <cellStyle name="Percent 3 5 4 17" xfId="40890" xr:uid="{00000000-0005-0000-0000-0000B4EC0000}"/>
    <cellStyle name="Percent 3 5 4 18" xfId="42573" xr:uid="{00000000-0005-0000-0000-0000B5EC0000}"/>
    <cellStyle name="Percent 3 5 4 19" xfId="44256" xr:uid="{00000000-0005-0000-0000-0000B6EC0000}"/>
    <cellStyle name="Percent 3 5 4 2" xfId="2177" xr:uid="{00000000-0005-0000-0000-0000B7EC0000}"/>
    <cellStyle name="Percent 3 5 4 2 2" xfId="17326" xr:uid="{00000000-0005-0000-0000-0000B8EC0000}"/>
    <cellStyle name="Percent 3 5 4 20" xfId="45939" xr:uid="{00000000-0005-0000-0000-0000B9EC0000}"/>
    <cellStyle name="Percent 3 5 4 21" xfId="47622" xr:uid="{00000000-0005-0000-0000-0000BAEC0000}"/>
    <cellStyle name="Percent 3 5 4 22" xfId="49305" xr:uid="{00000000-0005-0000-0000-0000BBEC0000}"/>
    <cellStyle name="Percent 3 5 4 23" xfId="50988" xr:uid="{00000000-0005-0000-0000-0000BCEC0000}"/>
    <cellStyle name="Percent 3 5 4 24" xfId="52671" xr:uid="{00000000-0005-0000-0000-0000BDEC0000}"/>
    <cellStyle name="Percent 3 5 4 25" xfId="54354" xr:uid="{00000000-0005-0000-0000-0000BEEC0000}"/>
    <cellStyle name="Percent 3 5 4 26" xfId="56037" xr:uid="{00000000-0005-0000-0000-0000BFEC0000}"/>
    <cellStyle name="Percent 3 5 4 27" xfId="57720" xr:uid="{00000000-0005-0000-0000-0000C0EC0000}"/>
    <cellStyle name="Percent 3 5 4 28" xfId="59403" xr:uid="{00000000-0005-0000-0000-0000C1EC0000}"/>
    <cellStyle name="Percent 3 5 4 29" xfId="61086" xr:uid="{00000000-0005-0000-0000-0000C2EC0000}"/>
    <cellStyle name="Percent 3 5 4 3" xfId="3861" xr:uid="{00000000-0005-0000-0000-0000C3EC0000}"/>
    <cellStyle name="Percent 3 5 4 3 2" xfId="19010" xr:uid="{00000000-0005-0000-0000-0000C4EC0000}"/>
    <cellStyle name="Percent 3 5 4 30" xfId="62769" xr:uid="{00000000-0005-0000-0000-0000C5EC0000}"/>
    <cellStyle name="Percent 3 5 4 4" xfId="5544" xr:uid="{00000000-0005-0000-0000-0000C6EC0000}"/>
    <cellStyle name="Percent 3 5 4 4 2" xfId="20693" xr:uid="{00000000-0005-0000-0000-0000C7EC0000}"/>
    <cellStyle name="Percent 3 5 4 5" xfId="7227" xr:uid="{00000000-0005-0000-0000-0000C8EC0000}"/>
    <cellStyle name="Percent 3 5 4 5 2" xfId="22376" xr:uid="{00000000-0005-0000-0000-0000C9EC0000}"/>
    <cellStyle name="Percent 3 5 4 6" xfId="8910" xr:uid="{00000000-0005-0000-0000-0000CAEC0000}"/>
    <cellStyle name="Percent 3 5 4 6 2" xfId="24059" xr:uid="{00000000-0005-0000-0000-0000CBEC0000}"/>
    <cellStyle name="Percent 3 5 4 7" xfId="10593" xr:uid="{00000000-0005-0000-0000-0000CCEC0000}"/>
    <cellStyle name="Percent 3 5 4 7 2" xfId="25742" xr:uid="{00000000-0005-0000-0000-0000CDEC0000}"/>
    <cellStyle name="Percent 3 5 4 8" xfId="12277" xr:uid="{00000000-0005-0000-0000-0000CEEC0000}"/>
    <cellStyle name="Percent 3 5 4 8 2" xfId="27426" xr:uid="{00000000-0005-0000-0000-0000CFEC0000}"/>
    <cellStyle name="Percent 3 5 4 9" xfId="13960" xr:uid="{00000000-0005-0000-0000-0000D0EC0000}"/>
    <cellStyle name="Percent 3 5 4 9 2" xfId="29109" xr:uid="{00000000-0005-0000-0000-0000D1EC0000}"/>
    <cellStyle name="Percent 3 5 5" xfId="915" xr:uid="{00000000-0005-0000-0000-0000D2EC0000}"/>
    <cellStyle name="Percent 3 5 5 10" xfId="16064" xr:uid="{00000000-0005-0000-0000-0000D3EC0000}"/>
    <cellStyle name="Percent 3 5 5 11" xfId="31213" xr:uid="{00000000-0005-0000-0000-0000D4EC0000}"/>
    <cellStyle name="Percent 3 5 5 12" xfId="32896" xr:uid="{00000000-0005-0000-0000-0000D5EC0000}"/>
    <cellStyle name="Percent 3 5 5 13" xfId="34579" xr:uid="{00000000-0005-0000-0000-0000D6EC0000}"/>
    <cellStyle name="Percent 3 5 5 14" xfId="36262" xr:uid="{00000000-0005-0000-0000-0000D7EC0000}"/>
    <cellStyle name="Percent 3 5 5 15" xfId="37945" xr:uid="{00000000-0005-0000-0000-0000D8EC0000}"/>
    <cellStyle name="Percent 3 5 5 16" xfId="39628" xr:uid="{00000000-0005-0000-0000-0000D9EC0000}"/>
    <cellStyle name="Percent 3 5 5 17" xfId="41311" xr:uid="{00000000-0005-0000-0000-0000DAEC0000}"/>
    <cellStyle name="Percent 3 5 5 18" xfId="42994" xr:uid="{00000000-0005-0000-0000-0000DBEC0000}"/>
    <cellStyle name="Percent 3 5 5 19" xfId="44677" xr:uid="{00000000-0005-0000-0000-0000DCEC0000}"/>
    <cellStyle name="Percent 3 5 5 2" xfId="2598" xr:uid="{00000000-0005-0000-0000-0000DDEC0000}"/>
    <cellStyle name="Percent 3 5 5 2 2" xfId="17747" xr:uid="{00000000-0005-0000-0000-0000DEEC0000}"/>
    <cellStyle name="Percent 3 5 5 20" xfId="46360" xr:uid="{00000000-0005-0000-0000-0000DFEC0000}"/>
    <cellStyle name="Percent 3 5 5 21" xfId="48043" xr:uid="{00000000-0005-0000-0000-0000E0EC0000}"/>
    <cellStyle name="Percent 3 5 5 22" xfId="49726" xr:uid="{00000000-0005-0000-0000-0000E1EC0000}"/>
    <cellStyle name="Percent 3 5 5 23" xfId="51409" xr:uid="{00000000-0005-0000-0000-0000E2EC0000}"/>
    <cellStyle name="Percent 3 5 5 24" xfId="53092" xr:uid="{00000000-0005-0000-0000-0000E3EC0000}"/>
    <cellStyle name="Percent 3 5 5 25" xfId="54775" xr:uid="{00000000-0005-0000-0000-0000E4EC0000}"/>
    <cellStyle name="Percent 3 5 5 26" xfId="56458" xr:uid="{00000000-0005-0000-0000-0000E5EC0000}"/>
    <cellStyle name="Percent 3 5 5 27" xfId="58141" xr:uid="{00000000-0005-0000-0000-0000E6EC0000}"/>
    <cellStyle name="Percent 3 5 5 28" xfId="59824" xr:uid="{00000000-0005-0000-0000-0000E7EC0000}"/>
    <cellStyle name="Percent 3 5 5 29" xfId="61507" xr:uid="{00000000-0005-0000-0000-0000E8EC0000}"/>
    <cellStyle name="Percent 3 5 5 3" xfId="4282" xr:uid="{00000000-0005-0000-0000-0000E9EC0000}"/>
    <cellStyle name="Percent 3 5 5 3 2" xfId="19431" xr:uid="{00000000-0005-0000-0000-0000EAEC0000}"/>
    <cellStyle name="Percent 3 5 5 30" xfId="63190" xr:uid="{00000000-0005-0000-0000-0000EBEC0000}"/>
    <cellStyle name="Percent 3 5 5 4" xfId="5965" xr:uid="{00000000-0005-0000-0000-0000ECEC0000}"/>
    <cellStyle name="Percent 3 5 5 4 2" xfId="21114" xr:uid="{00000000-0005-0000-0000-0000EDEC0000}"/>
    <cellStyle name="Percent 3 5 5 5" xfId="7648" xr:uid="{00000000-0005-0000-0000-0000EEEC0000}"/>
    <cellStyle name="Percent 3 5 5 5 2" xfId="22797" xr:uid="{00000000-0005-0000-0000-0000EFEC0000}"/>
    <cellStyle name="Percent 3 5 5 6" xfId="9331" xr:uid="{00000000-0005-0000-0000-0000F0EC0000}"/>
    <cellStyle name="Percent 3 5 5 6 2" xfId="24480" xr:uid="{00000000-0005-0000-0000-0000F1EC0000}"/>
    <cellStyle name="Percent 3 5 5 7" xfId="11014" xr:uid="{00000000-0005-0000-0000-0000F2EC0000}"/>
    <cellStyle name="Percent 3 5 5 7 2" xfId="26163" xr:uid="{00000000-0005-0000-0000-0000F3EC0000}"/>
    <cellStyle name="Percent 3 5 5 8" xfId="12698" xr:uid="{00000000-0005-0000-0000-0000F4EC0000}"/>
    <cellStyle name="Percent 3 5 5 8 2" xfId="27847" xr:uid="{00000000-0005-0000-0000-0000F5EC0000}"/>
    <cellStyle name="Percent 3 5 5 9" xfId="14381" xr:uid="{00000000-0005-0000-0000-0000F6EC0000}"/>
    <cellStyle name="Percent 3 5 5 9 2" xfId="29530" xr:uid="{00000000-0005-0000-0000-0000F7EC0000}"/>
    <cellStyle name="Percent 3 5 6" xfId="1336" xr:uid="{00000000-0005-0000-0000-0000F8EC0000}"/>
    <cellStyle name="Percent 3 5 6 10" xfId="16485" xr:uid="{00000000-0005-0000-0000-0000F9EC0000}"/>
    <cellStyle name="Percent 3 5 6 11" xfId="31634" xr:uid="{00000000-0005-0000-0000-0000FAEC0000}"/>
    <cellStyle name="Percent 3 5 6 12" xfId="33317" xr:uid="{00000000-0005-0000-0000-0000FBEC0000}"/>
    <cellStyle name="Percent 3 5 6 13" xfId="35000" xr:uid="{00000000-0005-0000-0000-0000FCEC0000}"/>
    <cellStyle name="Percent 3 5 6 14" xfId="36683" xr:uid="{00000000-0005-0000-0000-0000FDEC0000}"/>
    <cellStyle name="Percent 3 5 6 15" xfId="38366" xr:uid="{00000000-0005-0000-0000-0000FEEC0000}"/>
    <cellStyle name="Percent 3 5 6 16" xfId="40049" xr:uid="{00000000-0005-0000-0000-0000FFEC0000}"/>
    <cellStyle name="Percent 3 5 6 17" xfId="41732" xr:uid="{00000000-0005-0000-0000-000000ED0000}"/>
    <cellStyle name="Percent 3 5 6 18" xfId="43415" xr:uid="{00000000-0005-0000-0000-000001ED0000}"/>
    <cellStyle name="Percent 3 5 6 19" xfId="45098" xr:uid="{00000000-0005-0000-0000-000002ED0000}"/>
    <cellStyle name="Percent 3 5 6 2" xfId="3019" xr:uid="{00000000-0005-0000-0000-000003ED0000}"/>
    <cellStyle name="Percent 3 5 6 2 2" xfId="18168" xr:uid="{00000000-0005-0000-0000-000004ED0000}"/>
    <cellStyle name="Percent 3 5 6 20" xfId="46781" xr:uid="{00000000-0005-0000-0000-000005ED0000}"/>
    <cellStyle name="Percent 3 5 6 21" xfId="48464" xr:uid="{00000000-0005-0000-0000-000006ED0000}"/>
    <cellStyle name="Percent 3 5 6 22" xfId="50147" xr:uid="{00000000-0005-0000-0000-000007ED0000}"/>
    <cellStyle name="Percent 3 5 6 23" xfId="51830" xr:uid="{00000000-0005-0000-0000-000008ED0000}"/>
    <cellStyle name="Percent 3 5 6 24" xfId="53513" xr:uid="{00000000-0005-0000-0000-000009ED0000}"/>
    <cellStyle name="Percent 3 5 6 25" xfId="55196" xr:uid="{00000000-0005-0000-0000-00000AED0000}"/>
    <cellStyle name="Percent 3 5 6 26" xfId="56879" xr:uid="{00000000-0005-0000-0000-00000BED0000}"/>
    <cellStyle name="Percent 3 5 6 27" xfId="58562" xr:uid="{00000000-0005-0000-0000-00000CED0000}"/>
    <cellStyle name="Percent 3 5 6 28" xfId="60245" xr:uid="{00000000-0005-0000-0000-00000DED0000}"/>
    <cellStyle name="Percent 3 5 6 29" xfId="61928" xr:uid="{00000000-0005-0000-0000-00000EED0000}"/>
    <cellStyle name="Percent 3 5 6 3" xfId="4703" xr:uid="{00000000-0005-0000-0000-00000FED0000}"/>
    <cellStyle name="Percent 3 5 6 3 2" xfId="19852" xr:uid="{00000000-0005-0000-0000-000010ED0000}"/>
    <cellStyle name="Percent 3 5 6 30" xfId="63611" xr:uid="{00000000-0005-0000-0000-000011ED0000}"/>
    <cellStyle name="Percent 3 5 6 4" xfId="6386" xr:uid="{00000000-0005-0000-0000-000012ED0000}"/>
    <cellStyle name="Percent 3 5 6 4 2" xfId="21535" xr:uid="{00000000-0005-0000-0000-000013ED0000}"/>
    <cellStyle name="Percent 3 5 6 5" xfId="8069" xr:uid="{00000000-0005-0000-0000-000014ED0000}"/>
    <cellStyle name="Percent 3 5 6 5 2" xfId="23218" xr:uid="{00000000-0005-0000-0000-000015ED0000}"/>
    <cellStyle name="Percent 3 5 6 6" xfId="9752" xr:uid="{00000000-0005-0000-0000-000016ED0000}"/>
    <cellStyle name="Percent 3 5 6 6 2" xfId="24901" xr:uid="{00000000-0005-0000-0000-000017ED0000}"/>
    <cellStyle name="Percent 3 5 6 7" xfId="11435" xr:uid="{00000000-0005-0000-0000-000018ED0000}"/>
    <cellStyle name="Percent 3 5 6 7 2" xfId="26584" xr:uid="{00000000-0005-0000-0000-000019ED0000}"/>
    <cellStyle name="Percent 3 5 6 8" xfId="13119" xr:uid="{00000000-0005-0000-0000-00001AED0000}"/>
    <cellStyle name="Percent 3 5 6 8 2" xfId="28268" xr:uid="{00000000-0005-0000-0000-00001BED0000}"/>
    <cellStyle name="Percent 3 5 6 9" xfId="14802" xr:uid="{00000000-0005-0000-0000-00001CED0000}"/>
    <cellStyle name="Percent 3 5 6 9 2" xfId="29951" xr:uid="{00000000-0005-0000-0000-00001DED0000}"/>
    <cellStyle name="Percent 3 5 7" xfId="1757" xr:uid="{00000000-0005-0000-0000-00001EED0000}"/>
    <cellStyle name="Percent 3 5 7 2" xfId="16906" xr:uid="{00000000-0005-0000-0000-00001FED0000}"/>
    <cellStyle name="Percent 3 5 8" xfId="3441" xr:uid="{00000000-0005-0000-0000-000020ED0000}"/>
    <cellStyle name="Percent 3 5 8 2" xfId="18590" xr:uid="{00000000-0005-0000-0000-000021ED0000}"/>
    <cellStyle name="Percent 3 5 9" xfId="5124" xr:uid="{00000000-0005-0000-0000-000022ED0000}"/>
    <cellStyle name="Percent 3 5 9 2" xfId="20273" xr:uid="{00000000-0005-0000-0000-000023ED0000}"/>
    <cellStyle name="Percent 3 6" xfId="144" xr:uid="{00000000-0005-0000-0000-000024ED0000}"/>
    <cellStyle name="Percent 3 6 10" xfId="8560" xr:uid="{00000000-0005-0000-0000-000025ED0000}"/>
    <cellStyle name="Percent 3 6 10 2" xfId="23709" xr:uid="{00000000-0005-0000-0000-000026ED0000}"/>
    <cellStyle name="Percent 3 6 11" xfId="10243" xr:uid="{00000000-0005-0000-0000-000027ED0000}"/>
    <cellStyle name="Percent 3 6 11 2" xfId="25392" xr:uid="{00000000-0005-0000-0000-000028ED0000}"/>
    <cellStyle name="Percent 3 6 12" xfId="11927" xr:uid="{00000000-0005-0000-0000-000029ED0000}"/>
    <cellStyle name="Percent 3 6 12 2" xfId="27076" xr:uid="{00000000-0005-0000-0000-00002AED0000}"/>
    <cellStyle name="Percent 3 6 13" xfId="13610" xr:uid="{00000000-0005-0000-0000-00002BED0000}"/>
    <cellStyle name="Percent 3 6 13 2" xfId="28759" xr:uid="{00000000-0005-0000-0000-00002CED0000}"/>
    <cellStyle name="Percent 3 6 14" xfId="15293" xr:uid="{00000000-0005-0000-0000-00002DED0000}"/>
    <cellStyle name="Percent 3 6 15" xfId="30442" xr:uid="{00000000-0005-0000-0000-00002EED0000}"/>
    <cellStyle name="Percent 3 6 16" xfId="32125" xr:uid="{00000000-0005-0000-0000-00002FED0000}"/>
    <cellStyle name="Percent 3 6 17" xfId="33808" xr:uid="{00000000-0005-0000-0000-000030ED0000}"/>
    <cellStyle name="Percent 3 6 18" xfId="35491" xr:uid="{00000000-0005-0000-0000-000031ED0000}"/>
    <cellStyle name="Percent 3 6 19" xfId="37174" xr:uid="{00000000-0005-0000-0000-000032ED0000}"/>
    <cellStyle name="Percent 3 6 2" xfId="354" xr:uid="{00000000-0005-0000-0000-000033ED0000}"/>
    <cellStyle name="Percent 3 6 2 10" xfId="10453" xr:uid="{00000000-0005-0000-0000-000034ED0000}"/>
    <cellStyle name="Percent 3 6 2 10 2" xfId="25602" xr:uid="{00000000-0005-0000-0000-000035ED0000}"/>
    <cellStyle name="Percent 3 6 2 11" xfId="12137" xr:uid="{00000000-0005-0000-0000-000036ED0000}"/>
    <cellStyle name="Percent 3 6 2 11 2" xfId="27286" xr:uid="{00000000-0005-0000-0000-000037ED0000}"/>
    <cellStyle name="Percent 3 6 2 12" xfId="13820" xr:uid="{00000000-0005-0000-0000-000038ED0000}"/>
    <cellStyle name="Percent 3 6 2 12 2" xfId="28969" xr:uid="{00000000-0005-0000-0000-000039ED0000}"/>
    <cellStyle name="Percent 3 6 2 13" xfId="15503" xr:uid="{00000000-0005-0000-0000-00003AED0000}"/>
    <cellStyle name="Percent 3 6 2 14" xfId="30652" xr:uid="{00000000-0005-0000-0000-00003BED0000}"/>
    <cellStyle name="Percent 3 6 2 15" xfId="32335" xr:uid="{00000000-0005-0000-0000-00003CED0000}"/>
    <cellStyle name="Percent 3 6 2 16" xfId="34018" xr:uid="{00000000-0005-0000-0000-00003DED0000}"/>
    <cellStyle name="Percent 3 6 2 17" xfId="35701" xr:uid="{00000000-0005-0000-0000-00003EED0000}"/>
    <cellStyle name="Percent 3 6 2 18" xfId="37384" xr:uid="{00000000-0005-0000-0000-00003FED0000}"/>
    <cellStyle name="Percent 3 6 2 19" xfId="39067" xr:uid="{00000000-0005-0000-0000-000040ED0000}"/>
    <cellStyle name="Percent 3 6 2 2" xfId="774" xr:uid="{00000000-0005-0000-0000-000041ED0000}"/>
    <cellStyle name="Percent 3 6 2 2 10" xfId="15923" xr:uid="{00000000-0005-0000-0000-000042ED0000}"/>
    <cellStyle name="Percent 3 6 2 2 11" xfId="31072" xr:uid="{00000000-0005-0000-0000-000043ED0000}"/>
    <cellStyle name="Percent 3 6 2 2 12" xfId="32755" xr:uid="{00000000-0005-0000-0000-000044ED0000}"/>
    <cellStyle name="Percent 3 6 2 2 13" xfId="34438" xr:uid="{00000000-0005-0000-0000-000045ED0000}"/>
    <cellStyle name="Percent 3 6 2 2 14" xfId="36121" xr:uid="{00000000-0005-0000-0000-000046ED0000}"/>
    <cellStyle name="Percent 3 6 2 2 15" xfId="37804" xr:uid="{00000000-0005-0000-0000-000047ED0000}"/>
    <cellStyle name="Percent 3 6 2 2 16" xfId="39487" xr:uid="{00000000-0005-0000-0000-000048ED0000}"/>
    <cellStyle name="Percent 3 6 2 2 17" xfId="41170" xr:uid="{00000000-0005-0000-0000-000049ED0000}"/>
    <cellStyle name="Percent 3 6 2 2 18" xfId="42853" xr:uid="{00000000-0005-0000-0000-00004AED0000}"/>
    <cellStyle name="Percent 3 6 2 2 19" xfId="44536" xr:uid="{00000000-0005-0000-0000-00004BED0000}"/>
    <cellStyle name="Percent 3 6 2 2 2" xfId="2457" xr:uid="{00000000-0005-0000-0000-00004CED0000}"/>
    <cellStyle name="Percent 3 6 2 2 2 2" xfId="17606" xr:uid="{00000000-0005-0000-0000-00004DED0000}"/>
    <cellStyle name="Percent 3 6 2 2 20" xfId="46219" xr:uid="{00000000-0005-0000-0000-00004EED0000}"/>
    <cellStyle name="Percent 3 6 2 2 21" xfId="47902" xr:uid="{00000000-0005-0000-0000-00004FED0000}"/>
    <cellStyle name="Percent 3 6 2 2 22" xfId="49585" xr:uid="{00000000-0005-0000-0000-000050ED0000}"/>
    <cellStyle name="Percent 3 6 2 2 23" xfId="51268" xr:uid="{00000000-0005-0000-0000-000051ED0000}"/>
    <cellStyle name="Percent 3 6 2 2 24" xfId="52951" xr:uid="{00000000-0005-0000-0000-000052ED0000}"/>
    <cellStyle name="Percent 3 6 2 2 25" xfId="54634" xr:uid="{00000000-0005-0000-0000-000053ED0000}"/>
    <cellStyle name="Percent 3 6 2 2 26" xfId="56317" xr:uid="{00000000-0005-0000-0000-000054ED0000}"/>
    <cellStyle name="Percent 3 6 2 2 27" xfId="58000" xr:uid="{00000000-0005-0000-0000-000055ED0000}"/>
    <cellStyle name="Percent 3 6 2 2 28" xfId="59683" xr:uid="{00000000-0005-0000-0000-000056ED0000}"/>
    <cellStyle name="Percent 3 6 2 2 29" xfId="61366" xr:uid="{00000000-0005-0000-0000-000057ED0000}"/>
    <cellStyle name="Percent 3 6 2 2 3" xfId="4141" xr:uid="{00000000-0005-0000-0000-000058ED0000}"/>
    <cellStyle name="Percent 3 6 2 2 3 2" xfId="19290" xr:uid="{00000000-0005-0000-0000-000059ED0000}"/>
    <cellStyle name="Percent 3 6 2 2 30" xfId="63049" xr:uid="{00000000-0005-0000-0000-00005AED0000}"/>
    <cellStyle name="Percent 3 6 2 2 4" xfId="5824" xr:uid="{00000000-0005-0000-0000-00005BED0000}"/>
    <cellStyle name="Percent 3 6 2 2 4 2" xfId="20973" xr:uid="{00000000-0005-0000-0000-00005CED0000}"/>
    <cellStyle name="Percent 3 6 2 2 5" xfId="7507" xr:uid="{00000000-0005-0000-0000-00005DED0000}"/>
    <cellStyle name="Percent 3 6 2 2 5 2" xfId="22656" xr:uid="{00000000-0005-0000-0000-00005EED0000}"/>
    <cellStyle name="Percent 3 6 2 2 6" xfId="9190" xr:uid="{00000000-0005-0000-0000-00005FED0000}"/>
    <cellStyle name="Percent 3 6 2 2 6 2" xfId="24339" xr:uid="{00000000-0005-0000-0000-000060ED0000}"/>
    <cellStyle name="Percent 3 6 2 2 7" xfId="10873" xr:uid="{00000000-0005-0000-0000-000061ED0000}"/>
    <cellStyle name="Percent 3 6 2 2 7 2" xfId="26022" xr:uid="{00000000-0005-0000-0000-000062ED0000}"/>
    <cellStyle name="Percent 3 6 2 2 8" xfId="12557" xr:uid="{00000000-0005-0000-0000-000063ED0000}"/>
    <cellStyle name="Percent 3 6 2 2 8 2" xfId="27706" xr:uid="{00000000-0005-0000-0000-000064ED0000}"/>
    <cellStyle name="Percent 3 6 2 2 9" xfId="14240" xr:uid="{00000000-0005-0000-0000-000065ED0000}"/>
    <cellStyle name="Percent 3 6 2 2 9 2" xfId="29389" xr:uid="{00000000-0005-0000-0000-000066ED0000}"/>
    <cellStyle name="Percent 3 6 2 20" xfId="40750" xr:uid="{00000000-0005-0000-0000-000067ED0000}"/>
    <cellStyle name="Percent 3 6 2 21" xfId="42433" xr:uid="{00000000-0005-0000-0000-000068ED0000}"/>
    <cellStyle name="Percent 3 6 2 22" xfId="44116" xr:uid="{00000000-0005-0000-0000-000069ED0000}"/>
    <cellStyle name="Percent 3 6 2 23" xfId="45799" xr:uid="{00000000-0005-0000-0000-00006AED0000}"/>
    <cellStyle name="Percent 3 6 2 24" xfId="47482" xr:uid="{00000000-0005-0000-0000-00006BED0000}"/>
    <cellStyle name="Percent 3 6 2 25" xfId="49165" xr:uid="{00000000-0005-0000-0000-00006CED0000}"/>
    <cellStyle name="Percent 3 6 2 26" xfId="50848" xr:uid="{00000000-0005-0000-0000-00006DED0000}"/>
    <cellStyle name="Percent 3 6 2 27" xfId="52531" xr:uid="{00000000-0005-0000-0000-00006EED0000}"/>
    <cellStyle name="Percent 3 6 2 28" xfId="54214" xr:uid="{00000000-0005-0000-0000-00006FED0000}"/>
    <cellStyle name="Percent 3 6 2 29" xfId="55897" xr:uid="{00000000-0005-0000-0000-000070ED0000}"/>
    <cellStyle name="Percent 3 6 2 3" xfId="1195" xr:uid="{00000000-0005-0000-0000-000071ED0000}"/>
    <cellStyle name="Percent 3 6 2 3 10" xfId="16344" xr:uid="{00000000-0005-0000-0000-000072ED0000}"/>
    <cellStyle name="Percent 3 6 2 3 11" xfId="31493" xr:uid="{00000000-0005-0000-0000-000073ED0000}"/>
    <cellStyle name="Percent 3 6 2 3 12" xfId="33176" xr:uid="{00000000-0005-0000-0000-000074ED0000}"/>
    <cellStyle name="Percent 3 6 2 3 13" xfId="34859" xr:uid="{00000000-0005-0000-0000-000075ED0000}"/>
    <cellStyle name="Percent 3 6 2 3 14" xfId="36542" xr:uid="{00000000-0005-0000-0000-000076ED0000}"/>
    <cellStyle name="Percent 3 6 2 3 15" xfId="38225" xr:uid="{00000000-0005-0000-0000-000077ED0000}"/>
    <cellStyle name="Percent 3 6 2 3 16" xfId="39908" xr:uid="{00000000-0005-0000-0000-000078ED0000}"/>
    <cellStyle name="Percent 3 6 2 3 17" xfId="41591" xr:uid="{00000000-0005-0000-0000-000079ED0000}"/>
    <cellStyle name="Percent 3 6 2 3 18" xfId="43274" xr:uid="{00000000-0005-0000-0000-00007AED0000}"/>
    <cellStyle name="Percent 3 6 2 3 19" xfId="44957" xr:uid="{00000000-0005-0000-0000-00007BED0000}"/>
    <cellStyle name="Percent 3 6 2 3 2" xfId="2878" xr:uid="{00000000-0005-0000-0000-00007CED0000}"/>
    <cellStyle name="Percent 3 6 2 3 2 2" xfId="18027" xr:uid="{00000000-0005-0000-0000-00007DED0000}"/>
    <cellStyle name="Percent 3 6 2 3 20" xfId="46640" xr:uid="{00000000-0005-0000-0000-00007EED0000}"/>
    <cellStyle name="Percent 3 6 2 3 21" xfId="48323" xr:uid="{00000000-0005-0000-0000-00007FED0000}"/>
    <cellStyle name="Percent 3 6 2 3 22" xfId="50006" xr:uid="{00000000-0005-0000-0000-000080ED0000}"/>
    <cellStyle name="Percent 3 6 2 3 23" xfId="51689" xr:uid="{00000000-0005-0000-0000-000081ED0000}"/>
    <cellStyle name="Percent 3 6 2 3 24" xfId="53372" xr:uid="{00000000-0005-0000-0000-000082ED0000}"/>
    <cellStyle name="Percent 3 6 2 3 25" xfId="55055" xr:uid="{00000000-0005-0000-0000-000083ED0000}"/>
    <cellStyle name="Percent 3 6 2 3 26" xfId="56738" xr:uid="{00000000-0005-0000-0000-000084ED0000}"/>
    <cellStyle name="Percent 3 6 2 3 27" xfId="58421" xr:uid="{00000000-0005-0000-0000-000085ED0000}"/>
    <cellStyle name="Percent 3 6 2 3 28" xfId="60104" xr:uid="{00000000-0005-0000-0000-000086ED0000}"/>
    <cellStyle name="Percent 3 6 2 3 29" xfId="61787" xr:uid="{00000000-0005-0000-0000-000087ED0000}"/>
    <cellStyle name="Percent 3 6 2 3 3" xfId="4562" xr:uid="{00000000-0005-0000-0000-000088ED0000}"/>
    <cellStyle name="Percent 3 6 2 3 3 2" xfId="19711" xr:uid="{00000000-0005-0000-0000-000089ED0000}"/>
    <cellStyle name="Percent 3 6 2 3 30" xfId="63470" xr:uid="{00000000-0005-0000-0000-00008AED0000}"/>
    <cellStyle name="Percent 3 6 2 3 4" xfId="6245" xr:uid="{00000000-0005-0000-0000-00008BED0000}"/>
    <cellStyle name="Percent 3 6 2 3 4 2" xfId="21394" xr:uid="{00000000-0005-0000-0000-00008CED0000}"/>
    <cellStyle name="Percent 3 6 2 3 5" xfId="7928" xr:uid="{00000000-0005-0000-0000-00008DED0000}"/>
    <cellStyle name="Percent 3 6 2 3 5 2" xfId="23077" xr:uid="{00000000-0005-0000-0000-00008EED0000}"/>
    <cellStyle name="Percent 3 6 2 3 6" xfId="9611" xr:uid="{00000000-0005-0000-0000-00008FED0000}"/>
    <cellStyle name="Percent 3 6 2 3 6 2" xfId="24760" xr:uid="{00000000-0005-0000-0000-000090ED0000}"/>
    <cellStyle name="Percent 3 6 2 3 7" xfId="11294" xr:uid="{00000000-0005-0000-0000-000091ED0000}"/>
    <cellStyle name="Percent 3 6 2 3 7 2" xfId="26443" xr:uid="{00000000-0005-0000-0000-000092ED0000}"/>
    <cellStyle name="Percent 3 6 2 3 8" xfId="12978" xr:uid="{00000000-0005-0000-0000-000093ED0000}"/>
    <cellStyle name="Percent 3 6 2 3 8 2" xfId="28127" xr:uid="{00000000-0005-0000-0000-000094ED0000}"/>
    <cellStyle name="Percent 3 6 2 3 9" xfId="14661" xr:uid="{00000000-0005-0000-0000-000095ED0000}"/>
    <cellStyle name="Percent 3 6 2 3 9 2" xfId="29810" xr:uid="{00000000-0005-0000-0000-000096ED0000}"/>
    <cellStyle name="Percent 3 6 2 30" xfId="57580" xr:uid="{00000000-0005-0000-0000-000097ED0000}"/>
    <cellStyle name="Percent 3 6 2 31" xfId="59263" xr:uid="{00000000-0005-0000-0000-000098ED0000}"/>
    <cellStyle name="Percent 3 6 2 32" xfId="60946" xr:uid="{00000000-0005-0000-0000-000099ED0000}"/>
    <cellStyle name="Percent 3 6 2 33" xfId="62629" xr:uid="{00000000-0005-0000-0000-00009AED0000}"/>
    <cellStyle name="Percent 3 6 2 4" xfId="1616" xr:uid="{00000000-0005-0000-0000-00009BED0000}"/>
    <cellStyle name="Percent 3 6 2 4 10" xfId="16765" xr:uid="{00000000-0005-0000-0000-00009CED0000}"/>
    <cellStyle name="Percent 3 6 2 4 11" xfId="31914" xr:uid="{00000000-0005-0000-0000-00009DED0000}"/>
    <cellStyle name="Percent 3 6 2 4 12" xfId="33597" xr:uid="{00000000-0005-0000-0000-00009EED0000}"/>
    <cellStyle name="Percent 3 6 2 4 13" xfId="35280" xr:uid="{00000000-0005-0000-0000-00009FED0000}"/>
    <cellStyle name="Percent 3 6 2 4 14" xfId="36963" xr:uid="{00000000-0005-0000-0000-0000A0ED0000}"/>
    <cellStyle name="Percent 3 6 2 4 15" xfId="38646" xr:uid="{00000000-0005-0000-0000-0000A1ED0000}"/>
    <cellStyle name="Percent 3 6 2 4 16" xfId="40329" xr:uid="{00000000-0005-0000-0000-0000A2ED0000}"/>
    <cellStyle name="Percent 3 6 2 4 17" xfId="42012" xr:uid="{00000000-0005-0000-0000-0000A3ED0000}"/>
    <cellStyle name="Percent 3 6 2 4 18" xfId="43695" xr:uid="{00000000-0005-0000-0000-0000A4ED0000}"/>
    <cellStyle name="Percent 3 6 2 4 19" xfId="45378" xr:uid="{00000000-0005-0000-0000-0000A5ED0000}"/>
    <cellStyle name="Percent 3 6 2 4 2" xfId="3299" xr:uid="{00000000-0005-0000-0000-0000A6ED0000}"/>
    <cellStyle name="Percent 3 6 2 4 2 2" xfId="18448" xr:uid="{00000000-0005-0000-0000-0000A7ED0000}"/>
    <cellStyle name="Percent 3 6 2 4 20" xfId="47061" xr:uid="{00000000-0005-0000-0000-0000A8ED0000}"/>
    <cellStyle name="Percent 3 6 2 4 21" xfId="48744" xr:uid="{00000000-0005-0000-0000-0000A9ED0000}"/>
    <cellStyle name="Percent 3 6 2 4 22" xfId="50427" xr:uid="{00000000-0005-0000-0000-0000AAED0000}"/>
    <cellStyle name="Percent 3 6 2 4 23" xfId="52110" xr:uid="{00000000-0005-0000-0000-0000ABED0000}"/>
    <cellStyle name="Percent 3 6 2 4 24" xfId="53793" xr:uid="{00000000-0005-0000-0000-0000ACED0000}"/>
    <cellStyle name="Percent 3 6 2 4 25" xfId="55476" xr:uid="{00000000-0005-0000-0000-0000ADED0000}"/>
    <cellStyle name="Percent 3 6 2 4 26" xfId="57159" xr:uid="{00000000-0005-0000-0000-0000AEED0000}"/>
    <cellStyle name="Percent 3 6 2 4 27" xfId="58842" xr:uid="{00000000-0005-0000-0000-0000AFED0000}"/>
    <cellStyle name="Percent 3 6 2 4 28" xfId="60525" xr:uid="{00000000-0005-0000-0000-0000B0ED0000}"/>
    <cellStyle name="Percent 3 6 2 4 29" xfId="62208" xr:uid="{00000000-0005-0000-0000-0000B1ED0000}"/>
    <cellStyle name="Percent 3 6 2 4 3" xfId="4983" xr:uid="{00000000-0005-0000-0000-0000B2ED0000}"/>
    <cellStyle name="Percent 3 6 2 4 3 2" xfId="20132" xr:uid="{00000000-0005-0000-0000-0000B3ED0000}"/>
    <cellStyle name="Percent 3 6 2 4 30" xfId="63891" xr:uid="{00000000-0005-0000-0000-0000B4ED0000}"/>
    <cellStyle name="Percent 3 6 2 4 4" xfId="6666" xr:uid="{00000000-0005-0000-0000-0000B5ED0000}"/>
    <cellStyle name="Percent 3 6 2 4 4 2" xfId="21815" xr:uid="{00000000-0005-0000-0000-0000B6ED0000}"/>
    <cellStyle name="Percent 3 6 2 4 5" xfId="8349" xr:uid="{00000000-0005-0000-0000-0000B7ED0000}"/>
    <cellStyle name="Percent 3 6 2 4 5 2" xfId="23498" xr:uid="{00000000-0005-0000-0000-0000B8ED0000}"/>
    <cellStyle name="Percent 3 6 2 4 6" xfId="10032" xr:uid="{00000000-0005-0000-0000-0000B9ED0000}"/>
    <cellStyle name="Percent 3 6 2 4 6 2" xfId="25181" xr:uid="{00000000-0005-0000-0000-0000BAED0000}"/>
    <cellStyle name="Percent 3 6 2 4 7" xfId="11715" xr:uid="{00000000-0005-0000-0000-0000BBED0000}"/>
    <cellStyle name="Percent 3 6 2 4 7 2" xfId="26864" xr:uid="{00000000-0005-0000-0000-0000BCED0000}"/>
    <cellStyle name="Percent 3 6 2 4 8" xfId="13399" xr:uid="{00000000-0005-0000-0000-0000BDED0000}"/>
    <cellStyle name="Percent 3 6 2 4 8 2" xfId="28548" xr:uid="{00000000-0005-0000-0000-0000BEED0000}"/>
    <cellStyle name="Percent 3 6 2 4 9" xfId="15082" xr:uid="{00000000-0005-0000-0000-0000BFED0000}"/>
    <cellStyle name="Percent 3 6 2 4 9 2" xfId="30231" xr:uid="{00000000-0005-0000-0000-0000C0ED0000}"/>
    <cellStyle name="Percent 3 6 2 5" xfId="2037" xr:uid="{00000000-0005-0000-0000-0000C1ED0000}"/>
    <cellStyle name="Percent 3 6 2 5 2" xfId="17186" xr:uid="{00000000-0005-0000-0000-0000C2ED0000}"/>
    <cellStyle name="Percent 3 6 2 6" xfId="3721" xr:uid="{00000000-0005-0000-0000-0000C3ED0000}"/>
    <cellStyle name="Percent 3 6 2 6 2" xfId="18870" xr:uid="{00000000-0005-0000-0000-0000C4ED0000}"/>
    <cellStyle name="Percent 3 6 2 7" xfId="5404" xr:uid="{00000000-0005-0000-0000-0000C5ED0000}"/>
    <cellStyle name="Percent 3 6 2 7 2" xfId="20553" xr:uid="{00000000-0005-0000-0000-0000C6ED0000}"/>
    <cellStyle name="Percent 3 6 2 8" xfId="7087" xr:uid="{00000000-0005-0000-0000-0000C7ED0000}"/>
    <cellStyle name="Percent 3 6 2 8 2" xfId="22236" xr:uid="{00000000-0005-0000-0000-0000C8ED0000}"/>
    <cellStyle name="Percent 3 6 2 9" xfId="8770" xr:uid="{00000000-0005-0000-0000-0000C9ED0000}"/>
    <cellStyle name="Percent 3 6 2 9 2" xfId="23919" xr:uid="{00000000-0005-0000-0000-0000CAED0000}"/>
    <cellStyle name="Percent 3 6 20" xfId="38857" xr:uid="{00000000-0005-0000-0000-0000CBED0000}"/>
    <cellStyle name="Percent 3 6 21" xfId="40540" xr:uid="{00000000-0005-0000-0000-0000CCED0000}"/>
    <cellStyle name="Percent 3 6 22" xfId="42223" xr:uid="{00000000-0005-0000-0000-0000CDED0000}"/>
    <cellStyle name="Percent 3 6 23" xfId="43906" xr:uid="{00000000-0005-0000-0000-0000CEED0000}"/>
    <cellStyle name="Percent 3 6 24" xfId="45589" xr:uid="{00000000-0005-0000-0000-0000CFED0000}"/>
    <cellStyle name="Percent 3 6 25" xfId="47272" xr:uid="{00000000-0005-0000-0000-0000D0ED0000}"/>
    <cellStyle name="Percent 3 6 26" xfId="48955" xr:uid="{00000000-0005-0000-0000-0000D1ED0000}"/>
    <cellStyle name="Percent 3 6 27" xfId="50638" xr:uid="{00000000-0005-0000-0000-0000D2ED0000}"/>
    <cellStyle name="Percent 3 6 28" xfId="52321" xr:uid="{00000000-0005-0000-0000-0000D3ED0000}"/>
    <cellStyle name="Percent 3 6 29" xfId="54004" xr:uid="{00000000-0005-0000-0000-0000D4ED0000}"/>
    <cellStyle name="Percent 3 6 3" xfId="564" xr:uid="{00000000-0005-0000-0000-0000D5ED0000}"/>
    <cellStyle name="Percent 3 6 3 10" xfId="15713" xr:uid="{00000000-0005-0000-0000-0000D6ED0000}"/>
    <cellStyle name="Percent 3 6 3 11" xfId="30862" xr:uid="{00000000-0005-0000-0000-0000D7ED0000}"/>
    <cellStyle name="Percent 3 6 3 12" xfId="32545" xr:uid="{00000000-0005-0000-0000-0000D8ED0000}"/>
    <cellStyle name="Percent 3 6 3 13" xfId="34228" xr:uid="{00000000-0005-0000-0000-0000D9ED0000}"/>
    <cellStyle name="Percent 3 6 3 14" xfId="35911" xr:uid="{00000000-0005-0000-0000-0000DAED0000}"/>
    <cellStyle name="Percent 3 6 3 15" xfId="37594" xr:uid="{00000000-0005-0000-0000-0000DBED0000}"/>
    <cellStyle name="Percent 3 6 3 16" xfId="39277" xr:uid="{00000000-0005-0000-0000-0000DCED0000}"/>
    <cellStyle name="Percent 3 6 3 17" xfId="40960" xr:uid="{00000000-0005-0000-0000-0000DDED0000}"/>
    <cellStyle name="Percent 3 6 3 18" xfId="42643" xr:uid="{00000000-0005-0000-0000-0000DEED0000}"/>
    <cellStyle name="Percent 3 6 3 19" xfId="44326" xr:uid="{00000000-0005-0000-0000-0000DFED0000}"/>
    <cellStyle name="Percent 3 6 3 2" xfId="2247" xr:uid="{00000000-0005-0000-0000-0000E0ED0000}"/>
    <cellStyle name="Percent 3 6 3 2 2" xfId="17396" xr:uid="{00000000-0005-0000-0000-0000E1ED0000}"/>
    <cellStyle name="Percent 3 6 3 20" xfId="46009" xr:uid="{00000000-0005-0000-0000-0000E2ED0000}"/>
    <cellStyle name="Percent 3 6 3 21" xfId="47692" xr:uid="{00000000-0005-0000-0000-0000E3ED0000}"/>
    <cellStyle name="Percent 3 6 3 22" xfId="49375" xr:uid="{00000000-0005-0000-0000-0000E4ED0000}"/>
    <cellStyle name="Percent 3 6 3 23" xfId="51058" xr:uid="{00000000-0005-0000-0000-0000E5ED0000}"/>
    <cellStyle name="Percent 3 6 3 24" xfId="52741" xr:uid="{00000000-0005-0000-0000-0000E6ED0000}"/>
    <cellStyle name="Percent 3 6 3 25" xfId="54424" xr:uid="{00000000-0005-0000-0000-0000E7ED0000}"/>
    <cellStyle name="Percent 3 6 3 26" xfId="56107" xr:uid="{00000000-0005-0000-0000-0000E8ED0000}"/>
    <cellStyle name="Percent 3 6 3 27" xfId="57790" xr:uid="{00000000-0005-0000-0000-0000E9ED0000}"/>
    <cellStyle name="Percent 3 6 3 28" xfId="59473" xr:uid="{00000000-0005-0000-0000-0000EAED0000}"/>
    <cellStyle name="Percent 3 6 3 29" xfId="61156" xr:uid="{00000000-0005-0000-0000-0000EBED0000}"/>
    <cellStyle name="Percent 3 6 3 3" xfId="3931" xr:uid="{00000000-0005-0000-0000-0000ECED0000}"/>
    <cellStyle name="Percent 3 6 3 3 2" xfId="19080" xr:uid="{00000000-0005-0000-0000-0000EDED0000}"/>
    <cellStyle name="Percent 3 6 3 30" xfId="62839" xr:uid="{00000000-0005-0000-0000-0000EEED0000}"/>
    <cellStyle name="Percent 3 6 3 4" xfId="5614" xr:uid="{00000000-0005-0000-0000-0000EFED0000}"/>
    <cellStyle name="Percent 3 6 3 4 2" xfId="20763" xr:uid="{00000000-0005-0000-0000-0000F0ED0000}"/>
    <cellStyle name="Percent 3 6 3 5" xfId="7297" xr:uid="{00000000-0005-0000-0000-0000F1ED0000}"/>
    <cellStyle name="Percent 3 6 3 5 2" xfId="22446" xr:uid="{00000000-0005-0000-0000-0000F2ED0000}"/>
    <cellStyle name="Percent 3 6 3 6" xfId="8980" xr:uid="{00000000-0005-0000-0000-0000F3ED0000}"/>
    <cellStyle name="Percent 3 6 3 6 2" xfId="24129" xr:uid="{00000000-0005-0000-0000-0000F4ED0000}"/>
    <cellStyle name="Percent 3 6 3 7" xfId="10663" xr:uid="{00000000-0005-0000-0000-0000F5ED0000}"/>
    <cellStyle name="Percent 3 6 3 7 2" xfId="25812" xr:uid="{00000000-0005-0000-0000-0000F6ED0000}"/>
    <cellStyle name="Percent 3 6 3 8" xfId="12347" xr:uid="{00000000-0005-0000-0000-0000F7ED0000}"/>
    <cellStyle name="Percent 3 6 3 8 2" xfId="27496" xr:uid="{00000000-0005-0000-0000-0000F8ED0000}"/>
    <cellStyle name="Percent 3 6 3 9" xfId="14030" xr:uid="{00000000-0005-0000-0000-0000F9ED0000}"/>
    <cellStyle name="Percent 3 6 3 9 2" xfId="29179" xr:uid="{00000000-0005-0000-0000-0000FAED0000}"/>
    <cellStyle name="Percent 3 6 30" xfId="55687" xr:uid="{00000000-0005-0000-0000-0000FBED0000}"/>
    <cellStyle name="Percent 3 6 31" xfId="57370" xr:uid="{00000000-0005-0000-0000-0000FCED0000}"/>
    <cellStyle name="Percent 3 6 32" xfId="59053" xr:uid="{00000000-0005-0000-0000-0000FDED0000}"/>
    <cellStyle name="Percent 3 6 33" xfId="60736" xr:uid="{00000000-0005-0000-0000-0000FEED0000}"/>
    <cellStyle name="Percent 3 6 34" xfId="62419" xr:uid="{00000000-0005-0000-0000-0000FFED0000}"/>
    <cellStyle name="Percent 3 6 4" xfId="985" xr:uid="{00000000-0005-0000-0000-000000EE0000}"/>
    <cellStyle name="Percent 3 6 4 10" xfId="16134" xr:uid="{00000000-0005-0000-0000-000001EE0000}"/>
    <cellStyle name="Percent 3 6 4 11" xfId="31283" xr:uid="{00000000-0005-0000-0000-000002EE0000}"/>
    <cellStyle name="Percent 3 6 4 12" xfId="32966" xr:uid="{00000000-0005-0000-0000-000003EE0000}"/>
    <cellStyle name="Percent 3 6 4 13" xfId="34649" xr:uid="{00000000-0005-0000-0000-000004EE0000}"/>
    <cellStyle name="Percent 3 6 4 14" xfId="36332" xr:uid="{00000000-0005-0000-0000-000005EE0000}"/>
    <cellStyle name="Percent 3 6 4 15" xfId="38015" xr:uid="{00000000-0005-0000-0000-000006EE0000}"/>
    <cellStyle name="Percent 3 6 4 16" xfId="39698" xr:uid="{00000000-0005-0000-0000-000007EE0000}"/>
    <cellStyle name="Percent 3 6 4 17" xfId="41381" xr:uid="{00000000-0005-0000-0000-000008EE0000}"/>
    <cellStyle name="Percent 3 6 4 18" xfId="43064" xr:uid="{00000000-0005-0000-0000-000009EE0000}"/>
    <cellStyle name="Percent 3 6 4 19" xfId="44747" xr:uid="{00000000-0005-0000-0000-00000AEE0000}"/>
    <cellStyle name="Percent 3 6 4 2" xfId="2668" xr:uid="{00000000-0005-0000-0000-00000BEE0000}"/>
    <cellStyle name="Percent 3 6 4 2 2" xfId="17817" xr:uid="{00000000-0005-0000-0000-00000CEE0000}"/>
    <cellStyle name="Percent 3 6 4 20" xfId="46430" xr:uid="{00000000-0005-0000-0000-00000DEE0000}"/>
    <cellStyle name="Percent 3 6 4 21" xfId="48113" xr:uid="{00000000-0005-0000-0000-00000EEE0000}"/>
    <cellStyle name="Percent 3 6 4 22" xfId="49796" xr:uid="{00000000-0005-0000-0000-00000FEE0000}"/>
    <cellStyle name="Percent 3 6 4 23" xfId="51479" xr:uid="{00000000-0005-0000-0000-000010EE0000}"/>
    <cellStyle name="Percent 3 6 4 24" xfId="53162" xr:uid="{00000000-0005-0000-0000-000011EE0000}"/>
    <cellStyle name="Percent 3 6 4 25" xfId="54845" xr:uid="{00000000-0005-0000-0000-000012EE0000}"/>
    <cellStyle name="Percent 3 6 4 26" xfId="56528" xr:uid="{00000000-0005-0000-0000-000013EE0000}"/>
    <cellStyle name="Percent 3 6 4 27" xfId="58211" xr:uid="{00000000-0005-0000-0000-000014EE0000}"/>
    <cellStyle name="Percent 3 6 4 28" xfId="59894" xr:uid="{00000000-0005-0000-0000-000015EE0000}"/>
    <cellStyle name="Percent 3 6 4 29" xfId="61577" xr:uid="{00000000-0005-0000-0000-000016EE0000}"/>
    <cellStyle name="Percent 3 6 4 3" xfId="4352" xr:uid="{00000000-0005-0000-0000-000017EE0000}"/>
    <cellStyle name="Percent 3 6 4 3 2" xfId="19501" xr:uid="{00000000-0005-0000-0000-000018EE0000}"/>
    <cellStyle name="Percent 3 6 4 30" xfId="63260" xr:uid="{00000000-0005-0000-0000-000019EE0000}"/>
    <cellStyle name="Percent 3 6 4 4" xfId="6035" xr:uid="{00000000-0005-0000-0000-00001AEE0000}"/>
    <cellStyle name="Percent 3 6 4 4 2" xfId="21184" xr:uid="{00000000-0005-0000-0000-00001BEE0000}"/>
    <cellStyle name="Percent 3 6 4 5" xfId="7718" xr:uid="{00000000-0005-0000-0000-00001CEE0000}"/>
    <cellStyle name="Percent 3 6 4 5 2" xfId="22867" xr:uid="{00000000-0005-0000-0000-00001DEE0000}"/>
    <cellStyle name="Percent 3 6 4 6" xfId="9401" xr:uid="{00000000-0005-0000-0000-00001EEE0000}"/>
    <cellStyle name="Percent 3 6 4 6 2" xfId="24550" xr:uid="{00000000-0005-0000-0000-00001FEE0000}"/>
    <cellStyle name="Percent 3 6 4 7" xfId="11084" xr:uid="{00000000-0005-0000-0000-000020EE0000}"/>
    <cellStyle name="Percent 3 6 4 7 2" xfId="26233" xr:uid="{00000000-0005-0000-0000-000021EE0000}"/>
    <cellStyle name="Percent 3 6 4 8" xfId="12768" xr:uid="{00000000-0005-0000-0000-000022EE0000}"/>
    <cellStyle name="Percent 3 6 4 8 2" xfId="27917" xr:uid="{00000000-0005-0000-0000-000023EE0000}"/>
    <cellStyle name="Percent 3 6 4 9" xfId="14451" xr:uid="{00000000-0005-0000-0000-000024EE0000}"/>
    <cellStyle name="Percent 3 6 4 9 2" xfId="29600" xr:uid="{00000000-0005-0000-0000-000025EE0000}"/>
    <cellStyle name="Percent 3 6 5" xfId="1406" xr:uid="{00000000-0005-0000-0000-000026EE0000}"/>
    <cellStyle name="Percent 3 6 5 10" xfId="16555" xr:uid="{00000000-0005-0000-0000-000027EE0000}"/>
    <cellStyle name="Percent 3 6 5 11" xfId="31704" xr:uid="{00000000-0005-0000-0000-000028EE0000}"/>
    <cellStyle name="Percent 3 6 5 12" xfId="33387" xr:uid="{00000000-0005-0000-0000-000029EE0000}"/>
    <cellStyle name="Percent 3 6 5 13" xfId="35070" xr:uid="{00000000-0005-0000-0000-00002AEE0000}"/>
    <cellStyle name="Percent 3 6 5 14" xfId="36753" xr:uid="{00000000-0005-0000-0000-00002BEE0000}"/>
    <cellStyle name="Percent 3 6 5 15" xfId="38436" xr:uid="{00000000-0005-0000-0000-00002CEE0000}"/>
    <cellStyle name="Percent 3 6 5 16" xfId="40119" xr:uid="{00000000-0005-0000-0000-00002DEE0000}"/>
    <cellStyle name="Percent 3 6 5 17" xfId="41802" xr:uid="{00000000-0005-0000-0000-00002EEE0000}"/>
    <cellStyle name="Percent 3 6 5 18" xfId="43485" xr:uid="{00000000-0005-0000-0000-00002FEE0000}"/>
    <cellStyle name="Percent 3 6 5 19" xfId="45168" xr:uid="{00000000-0005-0000-0000-000030EE0000}"/>
    <cellStyle name="Percent 3 6 5 2" xfId="3089" xr:uid="{00000000-0005-0000-0000-000031EE0000}"/>
    <cellStyle name="Percent 3 6 5 2 2" xfId="18238" xr:uid="{00000000-0005-0000-0000-000032EE0000}"/>
    <cellStyle name="Percent 3 6 5 20" xfId="46851" xr:uid="{00000000-0005-0000-0000-000033EE0000}"/>
    <cellStyle name="Percent 3 6 5 21" xfId="48534" xr:uid="{00000000-0005-0000-0000-000034EE0000}"/>
    <cellStyle name="Percent 3 6 5 22" xfId="50217" xr:uid="{00000000-0005-0000-0000-000035EE0000}"/>
    <cellStyle name="Percent 3 6 5 23" xfId="51900" xr:uid="{00000000-0005-0000-0000-000036EE0000}"/>
    <cellStyle name="Percent 3 6 5 24" xfId="53583" xr:uid="{00000000-0005-0000-0000-000037EE0000}"/>
    <cellStyle name="Percent 3 6 5 25" xfId="55266" xr:uid="{00000000-0005-0000-0000-000038EE0000}"/>
    <cellStyle name="Percent 3 6 5 26" xfId="56949" xr:uid="{00000000-0005-0000-0000-000039EE0000}"/>
    <cellStyle name="Percent 3 6 5 27" xfId="58632" xr:uid="{00000000-0005-0000-0000-00003AEE0000}"/>
    <cellStyle name="Percent 3 6 5 28" xfId="60315" xr:uid="{00000000-0005-0000-0000-00003BEE0000}"/>
    <cellStyle name="Percent 3 6 5 29" xfId="61998" xr:uid="{00000000-0005-0000-0000-00003CEE0000}"/>
    <cellStyle name="Percent 3 6 5 3" xfId="4773" xr:uid="{00000000-0005-0000-0000-00003DEE0000}"/>
    <cellStyle name="Percent 3 6 5 3 2" xfId="19922" xr:uid="{00000000-0005-0000-0000-00003EEE0000}"/>
    <cellStyle name="Percent 3 6 5 30" xfId="63681" xr:uid="{00000000-0005-0000-0000-00003FEE0000}"/>
    <cellStyle name="Percent 3 6 5 4" xfId="6456" xr:uid="{00000000-0005-0000-0000-000040EE0000}"/>
    <cellStyle name="Percent 3 6 5 4 2" xfId="21605" xr:uid="{00000000-0005-0000-0000-000041EE0000}"/>
    <cellStyle name="Percent 3 6 5 5" xfId="8139" xr:uid="{00000000-0005-0000-0000-000042EE0000}"/>
    <cellStyle name="Percent 3 6 5 5 2" xfId="23288" xr:uid="{00000000-0005-0000-0000-000043EE0000}"/>
    <cellStyle name="Percent 3 6 5 6" xfId="9822" xr:uid="{00000000-0005-0000-0000-000044EE0000}"/>
    <cellStyle name="Percent 3 6 5 6 2" xfId="24971" xr:uid="{00000000-0005-0000-0000-000045EE0000}"/>
    <cellStyle name="Percent 3 6 5 7" xfId="11505" xr:uid="{00000000-0005-0000-0000-000046EE0000}"/>
    <cellStyle name="Percent 3 6 5 7 2" xfId="26654" xr:uid="{00000000-0005-0000-0000-000047EE0000}"/>
    <cellStyle name="Percent 3 6 5 8" xfId="13189" xr:uid="{00000000-0005-0000-0000-000048EE0000}"/>
    <cellStyle name="Percent 3 6 5 8 2" xfId="28338" xr:uid="{00000000-0005-0000-0000-000049EE0000}"/>
    <cellStyle name="Percent 3 6 5 9" xfId="14872" xr:uid="{00000000-0005-0000-0000-00004AEE0000}"/>
    <cellStyle name="Percent 3 6 5 9 2" xfId="30021" xr:uid="{00000000-0005-0000-0000-00004BEE0000}"/>
    <cellStyle name="Percent 3 6 6" xfId="1827" xr:uid="{00000000-0005-0000-0000-00004CEE0000}"/>
    <cellStyle name="Percent 3 6 6 2" xfId="16976" xr:uid="{00000000-0005-0000-0000-00004DEE0000}"/>
    <cellStyle name="Percent 3 6 7" xfId="3511" xr:uid="{00000000-0005-0000-0000-00004EEE0000}"/>
    <cellStyle name="Percent 3 6 7 2" xfId="18660" xr:uid="{00000000-0005-0000-0000-00004FEE0000}"/>
    <cellStyle name="Percent 3 6 8" xfId="5194" xr:uid="{00000000-0005-0000-0000-000050EE0000}"/>
    <cellStyle name="Percent 3 6 8 2" xfId="20343" xr:uid="{00000000-0005-0000-0000-000051EE0000}"/>
    <cellStyle name="Percent 3 6 9" xfId="6877" xr:uid="{00000000-0005-0000-0000-000052EE0000}"/>
    <cellStyle name="Percent 3 6 9 2" xfId="22026" xr:uid="{00000000-0005-0000-0000-000053EE0000}"/>
    <cellStyle name="Percent 3 7" xfId="249" xr:uid="{00000000-0005-0000-0000-000054EE0000}"/>
    <cellStyle name="Percent 3 7 10" xfId="10348" xr:uid="{00000000-0005-0000-0000-000055EE0000}"/>
    <cellStyle name="Percent 3 7 10 2" xfId="25497" xr:uid="{00000000-0005-0000-0000-000056EE0000}"/>
    <cellStyle name="Percent 3 7 11" xfId="12032" xr:uid="{00000000-0005-0000-0000-000057EE0000}"/>
    <cellStyle name="Percent 3 7 11 2" xfId="27181" xr:uid="{00000000-0005-0000-0000-000058EE0000}"/>
    <cellStyle name="Percent 3 7 12" xfId="13715" xr:uid="{00000000-0005-0000-0000-000059EE0000}"/>
    <cellStyle name="Percent 3 7 12 2" xfId="28864" xr:uid="{00000000-0005-0000-0000-00005AEE0000}"/>
    <cellStyle name="Percent 3 7 13" xfId="15398" xr:uid="{00000000-0005-0000-0000-00005BEE0000}"/>
    <cellStyle name="Percent 3 7 14" xfId="30547" xr:uid="{00000000-0005-0000-0000-00005CEE0000}"/>
    <cellStyle name="Percent 3 7 15" xfId="32230" xr:uid="{00000000-0005-0000-0000-00005DEE0000}"/>
    <cellStyle name="Percent 3 7 16" xfId="33913" xr:uid="{00000000-0005-0000-0000-00005EEE0000}"/>
    <cellStyle name="Percent 3 7 17" xfId="35596" xr:uid="{00000000-0005-0000-0000-00005FEE0000}"/>
    <cellStyle name="Percent 3 7 18" xfId="37279" xr:uid="{00000000-0005-0000-0000-000060EE0000}"/>
    <cellStyle name="Percent 3 7 19" xfId="38962" xr:uid="{00000000-0005-0000-0000-000061EE0000}"/>
    <cellStyle name="Percent 3 7 2" xfId="669" xr:uid="{00000000-0005-0000-0000-000062EE0000}"/>
    <cellStyle name="Percent 3 7 2 10" xfId="15818" xr:uid="{00000000-0005-0000-0000-000063EE0000}"/>
    <cellStyle name="Percent 3 7 2 11" xfId="30967" xr:uid="{00000000-0005-0000-0000-000064EE0000}"/>
    <cellStyle name="Percent 3 7 2 12" xfId="32650" xr:uid="{00000000-0005-0000-0000-000065EE0000}"/>
    <cellStyle name="Percent 3 7 2 13" xfId="34333" xr:uid="{00000000-0005-0000-0000-000066EE0000}"/>
    <cellStyle name="Percent 3 7 2 14" xfId="36016" xr:uid="{00000000-0005-0000-0000-000067EE0000}"/>
    <cellStyle name="Percent 3 7 2 15" xfId="37699" xr:uid="{00000000-0005-0000-0000-000068EE0000}"/>
    <cellStyle name="Percent 3 7 2 16" xfId="39382" xr:uid="{00000000-0005-0000-0000-000069EE0000}"/>
    <cellStyle name="Percent 3 7 2 17" xfId="41065" xr:uid="{00000000-0005-0000-0000-00006AEE0000}"/>
    <cellStyle name="Percent 3 7 2 18" xfId="42748" xr:uid="{00000000-0005-0000-0000-00006BEE0000}"/>
    <cellStyle name="Percent 3 7 2 19" xfId="44431" xr:uid="{00000000-0005-0000-0000-00006CEE0000}"/>
    <cellStyle name="Percent 3 7 2 2" xfId="2352" xr:uid="{00000000-0005-0000-0000-00006DEE0000}"/>
    <cellStyle name="Percent 3 7 2 2 2" xfId="17501" xr:uid="{00000000-0005-0000-0000-00006EEE0000}"/>
    <cellStyle name="Percent 3 7 2 20" xfId="46114" xr:uid="{00000000-0005-0000-0000-00006FEE0000}"/>
    <cellStyle name="Percent 3 7 2 21" xfId="47797" xr:uid="{00000000-0005-0000-0000-000070EE0000}"/>
    <cellStyle name="Percent 3 7 2 22" xfId="49480" xr:uid="{00000000-0005-0000-0000-000071EE0000}"/>
    <cellStyle name="Percent 3 7 2 23" xfId="51163" xr:uid="{00000000-0005-0000-0000-000072EE0000}"/>
    <cellStyle name="Percent 3 7 2 24" xfId="52846" xr:uid="{00000000-0005-0000-0000-000073EE0000}"/>
    <cellStyle name="Percent 3 7 2 25" xfId="54529" xr:uid="{00000000-0005-0000-0000-000074EE0000}"/>
    <cellStyle name="Percent 3 7 2 26" xfId="56212" xr:uid="{00000000-0005-0000-0000-000075EE0000}"/>
    <cellStyle name="Percent 3 7 2 27" xfId="57895" xr:uid="{00000000-0005-0000-0000-000076EE0000}"/>
    <cellStyle name="Percent 3 7 2 28" xfId="59578" xr:uid="{00000000-0005-0000-0000-000077EE0000}"/>
    <cellStyle name="Percent 3 7 2 29" xfId="61261" xr:uid="{00000000-0005-0000-0000-000078EE0000}"/>
    <cellStyle name="Percent 3 7 2 3" xfId="4036" xr:uid="{00000000-0005-0000-0000-000079EE0000}"/>
    <cellStyle name="Percent 3 7 2 3 2" xfId="19185" xr:uid="{00000000-0005-0000-0000-00007AEE0000}"/>
    <cellStyle name="Percent 3 7 2 30" xfId="62944" xr:uid="{00000000-0005-0000-0000-00007BEE0000}"/>
    <cellStyle name="Percent 3 7 2 4" xfId="5719" xr:uid="{00000000-0005-0000-0000-00007CEE0000}"/>
    <cellStyle name="Percent 3 7 2 4 2" xfId="20868" xr:uid="{00000000-0005-0000-0000-00007DEE0000}"/>
    <cellStyle name="Percent 3 7 2 5" xfId="7402" xr:uid="{00000000-0005-0000-0000-00007EEE0000}"/>
    <cellStyle name="Percent 3 7 2 5 2" xfId="22551" xr:uid="{00000000-0005-0000-0000-00007FEE0000}"/>
    <cellStyle name="Percent 3 7 2 6" xfId="9085" xr:uid="{00000000-0005-0000-0000-000080EE0000}"/>
    <cellStyle name="Percent 3 7 2 6 2" xfId="24234" xr:uid="{00000000-0005-0000-0000-000081EE0000}"/>
    <cellStyle name="Percent 3 7 2 7" xfId="10768" xr:uid="{00000000-0005-0000-0000-000082EE0000}"/>
    <cellStyle name="Percent 3 7 2 7 2" xfId="25917" xr:uid="{00000000-0005-0000-0000-000083EE0000}"/>
    <cellStyle name="Percent 3 7 2 8" xfId="12452" xr:uid="{00000000-0005-0000-0000-000084EE0000}"/>
    <cellStyle name="Percent 3 7 2 8 2" xfId="27601" xr:uid="{00000000-0005-0000-0000-000085EE0000}"/>
    <cellStyle name="Percent 3 7 2 9" xfId="14135" xr:uid="{00000000-0005-0000-0000-000086EE0000}"/>
    <cellStyle name="Percent 3 7 2 9 2" xfId="29284" xr:uid="{00000000-0005-0000-0000-000087EE0000}"/>
    <cellStyle name="Percent 3 7 20" xfId="40645" xr:uid="{00000000-0005-0000-0000-000088EE0000}"/>
    <cellStyle name="Percent 3 7 21" xfId="42328" xr:uid="{00000000-0005-0000-0000-000089EE0000}"/>
    <cellStyle name="Percent 3 7 22" xfId="44011" xr:uid="{00000000-0005-0000-0000-00008AEE0000}"/>
    <cellStyle name="Percent 3 7 23" xfId="45694" xr:uid="{00000000-0005-0000-0000-00008BEE0000}"/>
    <cellStyle name="Percent 3 7 24" xfId="47377" xr:uid="{00000000-0005-0000-0000-00008CEE0000}"/>
    <cellStyle name="Percent 3 7 25" xfId="49060" xr:uid="{00000000-0005-0000-0000-00008DEE0000}"/>
    <cellStyle name="Percent 3 7 26" xfId="50743" xr:uid="{00000000-0005-0000-0000-00008EEE0000}"/>
    <cellStyle name="Percent 3 7 27" xfId="52426" xr:uid="{00000000-0005-0000-0000-00008FEE0000}"/>
    <cellStyle name="Percent 3 7 28" xfId="54109" xr:uid="{00000000-0005-0000-0000-000090EE0000}"/>
    <cellStyle name="Percent 3 7 29" xfId="55792" xr:uid="{00000000-0005-0000-0000-000091EE0000}"/>
    <cellStyle name="Percent 3 7 3" xfId="1090" xr:uid="{00000000-0005-0000-0000-000092EE0000}"/>
    <cellStyle name="Percent 3 7 3 10" xfId="16239" xr:uid="{00000000-0005-0000-0000-000093EE0000}"/>
    <cellStyle name="Percent 3 7 3 11" xfId="31388" xr:uid="{00000000-0005-0000-0000-000094EE0000}"/>
    <cellStyle name="Percent 3 7 3 12" xfId="33071" xr:uid="{00000000-0005-0000-0000-000095EE0000}"/>
    <cellStyle name="Percent 3 7 3 13" xfId="34754" xr:uid="{00000000-0005-0000-0000-000096EE0000}"/>
    <cellStyle name="Percent 3 7 3 14" xfId="36437" xr:uid="{00000000-0005-0000-0000-000097EE0000}"/>
    <cellStyle name="Percent 3 7 3 15" xfId="38120" xr:uid="{00000000-0005-0000-0000-000098EE0000}"/>
    <cellStyle name="Percent 3 7 3 16" xfId="39803" xr:uid="{00000000-0005-0000-0000-000099EE0000}"/>
    <cellStyle name="Percent 3 7 3 17" xfId="41486" xr:uid="{00000000-0005-0000-0000-00009AEE0000}"/>
    <cellStyle name="Percent 3 7 3 18" xfId="43169" xr:uid="{00000000-0005-0000-0000-00009BEE0000}"/>
    <cellStyle name="Percent 3 7 3 19" xfId="44852" xr:uid="{00000000-0005-0000-0000-00009CEE0000}"/>
    <cellStyle name="Percent 3 7 3 2" xfId="2773" xr:uid="{00000000-0005-0000-0000-00009DEE0000}"/>
    <cellStyle name="Percent 3 7 3 2 2" xfId="17922" xr:uid="{00000000-0005-0000-0000-00009EEE0000}"/>
    <cellStyle name="Percent 3 7 3 20" xfId="46535" xr:uid="{00000000-0005-0000-0000-00009FEE0000}"/>
    <cellStyle name="Percent 3 7 3 21" xfId="48218" xr:uid="{00000000-0005-0000-0000-0000A0EE0000}"/>
    <cellStyle name="Percent 3 7 3 22" xfId="49901" xr:uid="{00000000-0005-0000-0000-0000A1EE0000}"/>
    <cellStyle name="Percent 3 7 3 23" xfId="51584" xr:uid="{00000000-0005-0000-0000-0000A2EE0000}"/>
    <cellStyle name="Percent 3 7 3 24" xfId="53267" xr:uid="{00000000-0005-0000-0000-0000A3EE0000}"/>
    <cellStyle name="Percent 3 7 3 25" xfId="54950" xr:uid="{00000000-0005-0000-0000-0000A4EE0000}"/>
    <cellStyle name="Percent 3 7 3 26" xfId="56633" xr:uid="{00000000-0005-0000-0000-0000A5EE0000}"/>
    <cellStyle name="Percent 3 7 3 27" xfId="58316" xr:uid="{00000000-0005-0000-0000-0000A6EE0000}"/>
    <cellStyle name="Percent 3 7 3 28" xfId="59999" xr:uid="{00000000-0005-0000-0000-0000A7EE0000}"/>
    <cellStyle name="Percent 3 7 3 29" xfId="61682" xr:uid="{00000000-0005-0000-0000-0000A8EE0000}"/>
    <cellStyle name="Percent 3 7 3 3" xfId="4457" xr:uid="{00000000-0005-0000-0000-0000A9EE0000}"/>
    <cellStyle name="Percent 3 7 3 3 2" xfId="19606" xr:uid="{00000000-0005-0000-0000-0000AAEE0000}"/>
    <cellStyle name="Percent 3 7 3 30" xfId="63365" xr:uid="{00000000-0005-0000-0000-0000ABEE0000}"/>
    <cellStyle name="Percent 3 7 3 4" xfId="6140" xr:uid="{00000000-0005-0000-0000-0000ACEE0000}"/>
    <cellStyle name="Percent 3 7 3 4 2" xfId="21289" xr:uid="{00000000-0005-0000-0000-0000ADEE0000}"/>
    <cellStyle name="Percent 3 7 3 5" xfId="7823" xr:uid="{00000000-0005-0000-0000-0000AEEE0000}"/>
    <cellStyle name="Percent 3 7 3 5 2" xfId="22972" xr:uid="{00000000-0005-0000-0000-0000AFEE0000}"/>
    <cellStyle name="Percent 3 7 3 6" xfId="9506" xr:uid="{00000000-0005-0000-0000-0000B0EE0000}"/>
    <cellStyle name="Percent 3 7 3 6 2" xfId="24655" xr:uid="{00000000-0005-0000-0000-0000B1EE0000}"/>
    <cellStyle name="Percent 3 7 3 7" xfId="11189" xr:uid="{00000000-0005-0000-0000-0000B2EE0000}"/>
    <cellStyle name="Percent 3 7 3 7 2" xfId="26338" xr:uid="{00000000-0005-0000-0000-0000B3EE0000}"/>
    <cellStyle name="Percent 3 7 3 8" xfId="12873" xr:uid="{00000000-0005-0000-0000-0000B4EE0000}"/>
    <cellStyle name="Percent 3 7 3 8 2" xfId="28022" xr:uid="{00000000-0005-0000-0000-0000B5EE0000}"/>
    <cellStyle name="Percent 3 7 3 9" xfId="14556" xr:uid="{00000000-0005-0000-0000-0000B6EE0000}"/>
    <cellStyle name="Percent 3 7 3 9 2" xfId="29705" xr:uid="{00000000-0005-0000-0000-0000B7EE0000}"/>
    <cellStyle name="Percent 3 7 30" xfId="57475" xr:uid="{00000000-0005-0000-0000-0000B8EE0000}"/>
    <cellStyle name="Percent 3 7 31" xfId="59158" xr:uid="{00000000-0005-0000-0000-0000B9EE0000}"/>
    <cellStyle name="Percent 3 7 32" xfId="60841" xr:uid="{00000000-0005-0000-0000-0000BAEE0000}"/>
    <cellStyle name="Percent 3 7 33" xfId="62524" xr:uid="{00000000-0005-0000-0000-0000BBEE0000}"/>
    <cellStyle name="Percent 3 7 4" xfId="1511" xr:uid="{00000000-0005-0000-0000-0000BCEE0000}"/>
    <cellStyle name="Percent 3 7 4 10" xfId="16660" xr:uid="{00000000-0005-0000-0000-0000BDEE0000}"/>
    <cellStyle name="Percent 3 7 4 11" xfId="31809" xr:uid="{00000000-0005-0000-0000-0000BEEE0000}"/>
    <cellStyle name="Percent 3 7 4 12" xfId="33492" xr:uid="{00000000-0005-0000-0000-0000BFEE0000}"/>
    <cellStyle name="Percent 3 7 4 13" xfId="35175" xr:uid="{00000000-0005-0000-0000-0000C0EE0000}"/>
    <cellStyle name="Percent 3 7 4 14" xfId="36858" xr:uid="{00000000-0005-0000-0000-0000C1EE0000}"/>
    <cellStyle name="Percent 3 7 4 15" xfId="38541" xr:uid="{00000000-0005-0000-0000-0000C2EE0000}"/>
    <cellStyle name="Percent 3 7 4 16" xfId="40224" xr:uid="{00000000-0005-0000-0000-0000C3EE0000}"/>
    <cellStyle name="Percent 3 7 4 17" xfId="41907" xr:uid="{00000000-0005-0000-0000-0000C4EE0000}"/>
    <cellStyle name="Percent 3 7 4 18" xfId="43590" xr:uid="{00000000-0005-0000-0000-0000C5EE0000}"/>
    <cellStyle name="Percent 3 7 4 19" xfId="45273" xr:uid="{00000000-0005-0000-0000-0000C6EE0000}"/>
    <cellStyle name="Percent 3 7 4 2" xfId="3194" xr:uid="{00000000-0005-0000-0000-0000C7EE0000}"/>
    <cellStyle name="Percent 3 7 4 2 2" xfId="18343" xr:uid="{00000000-0005-0000-0000-0000C8EE0000}"/>
    <cellStyle name="Percent 3 7 4 20" xfId="46956" xr:uid="{00000000-0005-0000-0000-0000C9EE0000}"/>
    <cellStyle name="Percent 3 7 4 21" xfId="48639" xr:uid="{00000000-0005-0000-0000-0000CAEE0000}"/>
    <cellStyle name="Percent 3 7 4 22" xfId="50322" xr:uid="{00000000-0005-0000-0000-0000CBEE0000}"/>
    <cellStyle name="Percent 3 7 4 23" xfId="52005" xr:uid="{00000000-0005-0000-0000-0000CCEE0000}"/>
    <cellStyle name="Percent 3 7 4 24" xfId="53688" xr:uid="{00000000-0005-0000-0000-0000CDEE0000}"/>
    <cellStyle name="Percent 3 7 4 25" xfId="55371" xr:uid="{00000000-0005-0000-0000-0000CEEE0000}"/>
    <cellStyle name="Percent 3 7 4 26" xfId="57054" xr:uid="{00000000-0005-0000-0000-0000CFEE0000}"/>
    <cellStyle name="Percent 3 7 4 27" xfId="58737" xr:uid="{00000000-0005-0000-0000-0000D0EE0000}"/>
    <cellStyle name="Percent 3 7 4 28" xfId="60420" xr:uid="{00000000-0005-0000-0000-0000D1EE0000}"/>
    <cellStyle name="Percent 3 7 4 29" xfId="62103" xr:uid="{00000000-0005-0000-0000-0000D2EE0000}"/>
    <cellStyle name="Percent 3 7 4 3" xfId="4878" xr:uid="{00000000-0005-0000-0000-0000D3EE0000}"/>
    <cellStyle name="Percent 3 7 4 3 2" xfId="20027" xr:uid="{00000000-0005-0000-0000-0000D4EE0000}"/>
    <cellStyle name="Percent 3 7 4 30" xfId="63786" xr:uid="{00000000-0005-0000-0000-0000D5EE0000}"/>
    <cellStyle name="Percent 3 7 4 4" xfId="6561" xr:uid="{00000000-0005-0000-0000-0000D6EE0000}"/>
    <cellStyle name="Percent 3 7 4 4 2" xfId="21710" xr:uid="{00000000-0005-0000-0000-0000D7EE0000}"/>
    <cellStyle name="Percent 3 7 4 5" xfId="8244" xr:uid="{00000000-0005-0000-0000-0000D8EE0000}"/>
    <cellStyle name="Percent 3 7 4 5 2" xfId="23393" xr:uid="{00000000-0005-0000-0000-0000D9EE0000}"/>
    <cellStyle name="Percent 3 7 4 6" xfId="9927" xr:uid="{00000000-0005-0000-0000-0000DAEE0000}"/>
    <cellStyle name="Percent 3 7 4 6 2" xfId="25076" xr:uid="{00000000-0005-0000-0000-0000DBEE0000}"/>
    <cellStyle name="Percent 3 7 4 7" xfId="11610" xr:uid="{00000000-0005-0000-0000-0000DCEE0000}"/>
    <cellStyle name="Percent 3 7 4 7 2" xfId="26759" xr:uid="{00000000-0005-0000-0000-0000DDEE0000}"/>
    <cellStyle name="Percent 3 7 4 8" xfId="13294" xr:uid="{00000000-0005-0000-0000-0000DEEE0000}"/>
    <cellStyle name="Percent 3 7 4 8 2" xfId="28443" xr:uid="{00000000-0005-0000-0000-0000DFEE0000}"/>
    <cellStyle name="Percent 3 7 4 9" xfId="14977" xr:uid="{00000000-0005-0000-0000-0000E0EE0000}"/>
    <cellStyle name="Percent 3 7 4 9 2" xfId="30126" xr:uid="{00000000-0005-0000-0000-0000E1EE0000}"/>
    <cellStyle name="Percent 3 7 5" xfId="1932" xr:uid="{00000000-0005-0000-0000-0000E2EE0000}"/>
    <cellStyle name="Percent 3 7 5 2" xfId="17081" xr:uid="{00000000-0005-0000-0000-0000E3EE0000}"/>
    <cellStyle name="Percent 3 7 6" xfId="3616" xr:uid="{00000000-0005-0000-0000-0000E4EE0000}"/>
    <cellStyle name="Percent 3 7 6 2" xfId="18765" xr:uid="{00000000-0005-0000-0000-0000E5EE0000}"/>
    <cellStyle name="Percent 3 7 7" xfId="5299" xr:uid="{00000000-0005-0000-0000-0000E6EE0000}"/>
    <cellStyle name="Percent 3 7 7 2" xfId="20448" xr:uid="{00000000-0005-0000-0000-0000E7EE0000}"/>
    <cellStyle name="Percent 3 7 8" xfId="6982" xr:uid="{00000000-0005-0000-0000-0000E8EE0000}"/>
    <cellStyle name="Percent 3 7 8 2" xfId="22131" xr:uid="{00000000-0005-0000-0000-0000E9EE0000}"/>
    <cellStyle name="Percent 3 7 9" xfId="8665" xr:uid="{00000000-0005-0000-0000-0000EAEE0000}"/>
    <cellStyle name="Percent 3 7 9 2" xfId="23814" xr:uid="{00000000-0005-0000-0000-0000EBEE0000}"/>
    <cellStyle name="Percent 3 8" xfId="459" xr:uid="{00000000-0005-0000-0000-0000ECEE0000}"/>
    <cellStyle name="Percent 3 8 10" xfId="15608" xr:uid="{00000000-0005-0000-0000-0000EDEE0000}"/>
    <cellStyle name="Percent 3 8 11" xfId="30757" xr:uid="{00000000-0005-0000-0000-0000EEEE0000}"/>
    <cellStyle name="Percent 3 8 12" xfId="32440" xr:uid="{00000000-0005-0000-0000-0000EFEE0000}"/>
    <cellStyle name="Percent 3 8 13" xfId="34123" xr:uid="{00000000-0005-0000-0000-0000F0EE0000}"/>
    <cellStyle name="Percent 3 8 14" xfId="35806" xr:uid="{00000000-0005-0000-0000-0000F1EE0000}"/>
    <cellStyle name="Percent 3 8 15" xfId="37489" xr:uid="{00000000-0005-0000-0000-0000F2EE0000}"/>
    <cellStyle name="Percent 3 8 16" xfId="39172" xr:uid="{00000000-0005-0000-0000-0000F3EE0000}"/>
    <cellStyle name="Percent 3 8 17" xfId="40855" xr:uid="{00000000-0005-0000-0000-0000F4EE0000}"/>
    <cellStyle name="Percent 3 8 18" xfId="42538" xr:uid="{00000000-0005-0000-0000-0000F5EE0000}"/>
    <cellStyle name="Percent 3 8 19" xfId="44221" xr:uid="{00000000-0005-0000-0000-0000F6EE0000}"/>
    <cellStyle name="Percent 3 8 2" xfId="2142" xr:uid="{00000000-0005-0000-0000-0000F7EE0000}"/>
    <cellStyle name="Percent 3 8 2 2" xfId="17291" xr:uid="{00000000-0005-0000-0000-0000F8EE0000}"/>
    <cellStyle name="Percent 3 8 20" xfId="45904" xr:uid="{00000000-0005-0000-0000-0000F9EE0000}"/>
    <cellStyle name="Percent 3 8 21" xfId="47587" xr:uid="{00000000-0005-0000-0000-0000FAEE0000}"/>
    <cellStyle name="Percent 3 8 22" xfId="49270" xr:uid="{00000000-0005-0000-0000-0000FBEE0000}"/>
    <cellStyle name="Percent 3 8 23" xfId="50953" xr:uid="{00000000-0005-0000-0000-0000FCEE0000}"/>
    <cellStyle name="Percent 3 8 24" xfId="52636" xr:uid="{00000000-0005-0000-0000-0000FDEE0000}"/>
    <cellStyle name="Percent 3 8 25" xfId="54319" xr:uid="{00000000-0005-0000-0000-0000FEEE0000}"/>
    <cellStyle name="Percent 3 8 26" xfId="56002" xr:uid="{00000000-0005-0000-0000-0000FFEE0000}"/>
    <cellStyle name="Percent 3 8 27" xfId="57685" xr:uid="{00000000-0005-0000-0000-000000EF0000}"/>
    <cellStyle name="Percent 3 8 28" xfId="59368" xr:uid="{00000000-0005-0000-0000-000001EF0000}"/>
    <cellStyle name="Percent 3 8 29" xfId="61051" xr:uid="{00000000-0005-0000-0000-000002EF0000}"/>
    <cellStyle name="Percent 3 8 3" xfId="3826" xr:uid="{00000000-0005-0000-0000-000003EF0000}"/>
    <cellStyle name="Percent 3 8 3 2" xfId="18975" xr:uid="{00000000-0005-0000-0000-000004EF0000}"/>
    <cellStyle name="Percent 3 8 30" xfId="62734" xr:uid="{00000000-0005-0000-0000-000005EF0000}"/>
    <cellStyle name="Percent 3 8 4" xfId="5509" xr:uid="{00000000-0005-0000-0000-000006EF0000}"/>
    <cellStyle name="Percent 3 8 4 2" xfId="20658" xr:uid="{00000000-0005-0000-0000-000007EF0000}"/>
    <cellStyle name="Percent 3 8 5" xfId="7192" xr:uid="{00000000-0005-0000-0000-000008EF0000}"/>
    <cellStyle name="Percent 3 8 5 2" xfId="22341" xr:uid="{00000000-0005-0000-0000-000009EF0000}"/>
    <cellStyle name="Percent 3 8 6" xfId="8875" xr:uid="{00000000-0005-0000-0000-00000AEF0000}"/>
    <cellStyle name="Percent 3 8 6 2" xfId="24024" xr:uid="{00000000-0005-0000-0000-00000BEF0000}"/>
    <cellStyle name="Percent 3 8 7" xfId="10558" xr:uid="{00000000-0005-0000-0000-00000CEF0000}"/>
    <cellStyle name="Percent 3 8 7 2" xfId="25707" xr:uid="{00000000-0005-0000-0000-00000DEF0000}"/>
    <cellStyle name="Percent 3 8 8" xfId="12242" xr:uid="{00000000-0005-0000-0000-00000EEF0000}"/>
    <cellStyle name="Percent 3 8 8 2" xfId="27391" xr:uid="{00000000-0005-0000-0000-00000FEF0000}"/>
    <cellStyle name="Percent 3 8 9" xfId="13925" xr:uid="{00000000-0005-0000-0000-000010EF0000}"/>
    <cellStyle name="Percent 3 8 9 2" xfId="29074" xr:uid="{00000000-0005-0000-0000-000011EF0000}"/>
    <cellStyle name="Percent 3 9" xfId="880" xr:uid="{00000000-0005-0000-0000-000012EF0000}"/>
    <cellStyle name="Percent 3 9 10" xfId="16029" xr:uid="{00000000-0005-0000-0000-000013EF0000}"/>
    <cellStyle name="Percent 3 9 11" xfId="31178" xr:uid="{00000000-0005-0000-0000-000014EF0000}"/>
    <cellStyle name="Percent 3 9 12" xfId="32861" xr:uid="{00000000-0005-0000-0000-000015EF0000}"/>
    <cellStyle name="Percent 3 9 13" xfId="34544" xr:uid="{00000000-0005-0000-0000-000016EF0000}"/>
    <cellStyle name="Percent 3 9 14" xfId="36227" xr:uid="{00000000-0005-0000-0000-000017EF0000}"/>
    <cellStyle name="Percent 3 9 15" xfId="37910" xr:uid="{00000000-0005-0000-0000-000018EF0000}"/>
    <cellStyle name="Percent 3 9 16" xfId="39593" xr:uid="{00000000-0005-0000-0000-000019EF0000}"/>
    <cellStyle name="Percent 3 9 17" xfId="41276" xr:uid="{00000000-0005-0000-0000-00001AEF0000}"/>
    <cellStyle name="Percent 3 9 18" xfId="42959" xr:uid="{00000000-0005-0000-0000-00001BEF0000}"/>
    <cellStyle name="Percent 3 9 19" xfId="44642" xr:uid="{00000000-0005-0000-0000-00001CEF0000}"/>
    <cellStyle name="Percent 3 9 2" xfId="2563" xr:uid="{00000000-0005-0000-0000-00001DEF0000}"/>
    <cellStyle name="Percent 3 9 2 2" xfId="17712" xr:uid="{00000000-0005-0000-0000-00001EEF0000}"/>
    <cellStyle name="Percent 3 9 20" xfId="46325" xr:uid="{00000000-0005-0000-0000-00001FEF0000}"/>
    <cellStyle name="Percent 3 9 21" xfId="48008" xr:uid="{00000000-0005-0000-0000-000020EF0000}"/>
    <cellStyle name="Percent 3 9 22" xfId="49691" xr:uid="{00000000-0005-0000-0000-000021EF0000}"/>
    <cellStyle name="Percent 3 9 23" xfId="51374" xr:uid="{00000000-0005-0000-0000-000022EF0000}"/>
    <cellStyle name="Percent 3 9 24" xfId="53057" xr:uid="{00000000-0005-0000-0000-000023EF0000}"/>
    <cellStyle name="Percent 3 9 25" xfId="54740" xr:uid="{00000000-0005-0000-0000-000024EF0000}"/>
    <cellStyle name="Percent 3 9 26" xfId="56423" xr:uid="{00000000-0005-0000-0000-000025EF0000}"/>
    <cellStyle name="Percent 3 9 27" xfId="58106" xr:uid="{00000000-0005-0000-0000-000026EF0000}"/>
    <cellStyle name="Percent 3 9 28" xfId="59789" xr:uid="{00000000-0005-0000-0000-000027EF0000}"/>
    <cellStyle name="Percent 3 9 29" xfId="61472" xr:uid="{00000000-0005-0000-0000-000028EF0000}"/>
    <cellStyle name="Percent 3 9 3" xfId="4247" xr:uid="{00000000-0005-0000-0000-000029EF0000}"/>
    <cellStyle name="Percent 3 9 3 2" xfId="19396" xr:uid="{00000000-0005-0000-0000-00002AEF0000}"/>
    <cellStyle name="Percent 3 9 30" xfId="63155" xr:uid="{00000000-0005-0000-0000-00002BEF0000}"/>
    <cellStyle name="Percent 3 9 4" xfId="5930" xr:uid="{00000000-0005-0000-0000-00002CEF0000}"/>
    <cellStyle name="Percent 3 9 4 2" xfId="21079" xr:uid="{00000000-0005-0000-0000-00002DEF0000}"/>
    <cellStyle name="Percent 3 9 5" xfId="7613" xr:uid="{00000000-0005-0000-0000-00002EEF0000}"/>
    <cellStyle name="Percent 3 9 5 2" xfId="22762" xr:uid="{00000000-0005-0000-0000-00002FEF0000}"/>
    <cellStyle name="Percent 3 9 6" xfId="9296" xr:uid="{00000000-0005-0000-0000-000030EF0000}"/>
    <cellStyle name="Percent 3 9 6 2" xfId="24445" xr:uid="{00000000-0005-0000-0000-000031EF0000}"/>
    <cellStyle name="Percent 3 9 7" xfId="10979" xr:uid="{00000000-0005-0000-0000-000032EF0000}"/>
    <cellStyle name="Percent 3 9 7 2" xfId="26128" xr:uid="{00000000-0005-0000-0000-000033EF0000}"/>
    <cellStyle name="Percent 3 9 8" xfId="12663" xr:uid="{00000000-0005-0000-0000-000034EF0000}"/>
    <cellStyle name="Percent 3 9 8 2" xfId="27812" xr:uid="{00000000-0005-0000-0000-000035EF0000}"/>
    <cellStyle name="Percent 3 9 9" xfId="14346" xr:uid="{00000000-0005-0000-0000-000036EF0000}"/>
    <cellStyle name="Percent 3 9 9 2" xfId="29495" xr:uid="{00000000-0005-0000-0000-000037EF0000}"/>
    <cellStyle name="Percent 30" xfId="42111" xr:uid="{00000000-0005-0000-0000-000038EF0000}"/>
    <cellStyle name="Percent 31" xfId="43794" xr:uid="{00000000-0005-0000-0000-000039EF0000}"/>
    <cellStyle name="Percent 32" xfId="45477" xr:uid="{00000000-0005-0000-0000-00003AEF0000}"/>
    <cellStyle name="Percent 33" xfId="47160" xr:uid="{00000000-0005-0000-0000-00003BEF0000}"/>
    <cellStyle name="Percent 34" xfId="48843" xr:uid="{00000000-0005-0000-0000-00003CEF0000}"/>
    <cellStyle name="Percent 35" xfId="50526" xr:uid="{00000000-0005-0000-0000-00003DEF0000}"/>
    <cellStyle name="Percent 36" xfId="52209" xr:uid="{00000000-0005-0000-0000-00003EEF0000}"/>
    <cellStyle name="Percent 37" xfId="53892" xr:uid="{00000000-0005-0000-0000-00003FEF0000}"/>
    <cellStyle name="Percent 38" xfId="55575" xr:uid="{00000000-0005-0000-0000-000040EF0000}"/>
    <cellStyle name="Percent 39" xfId="57258" xr:uid="{00000000-0005-0000-0000-000041EF0000}"/>
    <cellStyle name="Percent 4" xfId="15" xr:uid="{00000000-0005-0000-0000-000042EF0000}"/>
    <cellStyle name="Percent 4 2" xfId="18" xr:uid="{00000000-0005-0000-0000-000043EF0000}"/>
    <cellStyle name="Percent 40" xfId="58941" xr:uid="{00000000-0005-0000-0000-000044EF0000}"/>
    <cellStyle name="Percent 41" xfId="60624" xr:uid="{00000000-0005-0000-0000-000045EF0000}"/>
    <cellStyle name="Percent 42" xfId="62307" xr:uid="{00000000-0005-0000-0000-000046EF0000}"/>
    <cellStyle name="Percent 43" xfId="63993" xr:uid="{00000000-0005-0000-0000-000047EF0000}"/>
    <cellStyle name="Percent 5" xfId="21" xr:uid="{00000000-0005-0000-0000-000048EF0000}"/>
    <cellStyle name="Percent 5 10" xfId="6776" xr:uid="{00000000-0005-0000-0000-000049EF0000}"/>
    <cellStyle name="Percent 5 10 2" xfId="21925" xr:uid="{00000000-0005-0000-0000-00004AEF0000}"/>
    <cellStyle name="Percent 5 11" xfId="8459" xr:uid="{00000000-0005-0000-0000-00004BEF0000}"/>
    <cellStyle name="Percent 5 11 2" xfId="23608" xr:uid="{00000000-0005-0000-0000-00004CEF0000}"/>
    <cellStyle name="Percent 5 12" xfId="10142" xr:uid="{00000000-0005-0000-0000-00004DEF0000}"/>
    <cellStyle name="Percent 5 12 2" xfId="25291" xr:uid="{00000000-0005-0000-0000-00004EEF0000}"/>
    <cellStyle name="Percent 5 13" xfId="11826" xr:uid="{00000000-0005-0000-0000-00004FEF0000}"/>
    <cellStyle name="Percent 5 13 2" xfId="26975" xr:uid="{00000000-0005-0000-0000-000050EF0000}"/>
    <cellStyle name="Percent 5 14" xfId="13509" xr:uid="{00000000-0005-0000-0000-000051EF0000}"/>
    <cellStyle name="Percent 5 14 2" xfId="28658" xr:uid="{00000000-0005-0000-0000-000052EF0000}"/>
    <cellStyle name="Percent 5 15" xfId="15192" xr:uid="{00000000-0005-0000-0000-000053EF0000}"/>
    <cellStyle name="Percent 5 16" xfId="30341" xr:uid="{00000000-0005-0000-0000-000054EF0000}"/>
    <cellStyle name="Percent 5 17" xfId="32024" xr:uid="{00000000-0005-0000-0000-000055EF0000}"/>
    <cellStyle name="Percent 5 18" xfId="33707" xr:uid="{00000000-0005-0000-0000-000056EF0000}"/>
    <cellStyle name="Percent 5 19" xfId="35390" xr:uid="{00000000-0005-0000-0000-000057EF0000}"/>
    <cellStyle name="Percent 5 2" xfId="148" xr:uid="{00000000-0005-0000-0000-000058EF0000}"/>
    <cellStyle name="Percent 5 2 10" xfId="8564" xr:uid="{00000000-0005-0000-0000-000059EF0000}"/>
    <cellStyle name="Percent 5 2 10 2" xfId="23713" xr:uid="{00000000-0005-0000-0000-00005AEF0000}"/>
    <cellStyle name="Percent 5 2 11" xfId="10247" xr:uid="{00000000-0005-0000-0000-00005BEF0000}"/>
    <cellStyle name="Percent 5 2 11 2" xfId="25396" xr:uid="{00000000-0005-0000-0000-00005CEF0000}"/>
    <cellStyle name="Percent 5 2 12" xfId="11931" xr:uid="{00000000-0005-0000-0000-00005DEF0000}"/>
    <cellStyle name="Percent 5 2 12 2" xfId="27080" xr:uid="{00000000-0005-0000-0000-00005EEF0000}"/>
    <cellStyle name="Percent 5 2 13" xfId="13614" xr:uid="{00000000-0005-0000-0000-00005FEF0000}"/>
    <cellStyle name="Percent 5 2 13 2" xfId="28763" xr:uid="{00000000-0005-0000-0000-000060EF0000}"/>
    <cellStyle name="Percent 5 2 14" xfId="15297" xr:uid="{00000000-0005-0000-0000-000061EF0000}"/>
    <cellStyle name="Percent 5 2 15" xfId="30446" xr:uid="{00000000-0005-0000-0000-000062EF0000}"/>
    <cellStyle name="Percent 5 2 16" xfId="32129" xr:uid="{00000000-0005-0000-0000-000063EF0000}"/>
    <cellStyle name="Percent 5 2 17" xfId="33812" xr:uid="{00000000-0005-0000-0000-000064EF0000}"/>
    <cellStyle name="Percent 5 2 18" xfId="35495" xr:uid="{00000000-0005-0000-0000-000065EF0000}"/>
    <cellStyle name="Percent 5 2 19" xfId="37178" xr:uid="{00000000-0005-0000-0000-000066EF0000}"/>
    <cellStyle name="Percent 5 2 2" xfId="358" xr:uid="{00000000-0005-0000-0000-000067EF0000}"/>
    <cellStyle name="Percent 5 2 2 10" xfId="10457" xr:uid="{00000000-0005-0000-0000-000068EF0000}"/>
    <cellStyle name="Percent 5 2 2 10 2" xfId="25606" xr:uid="{00000000-0005-0000-0000-000069EF0000}"/>
    <cellStyle name="Percent 5 2 2 11" xfId="12141" xr:uid="{00000000-0005-0000-0000-00006AEF0000}"/>
    <cellStyle name="Percent 5 2 2 11 2" xfId="27290" xr:uid="{00000000-0005-0000-0000-00006BEF0000}"/>
    <cellStyle name="Percent 5 2 2 12" xfId="13824" xr:uid="{00000000-0005-0000-0000-00006CEF0000}"/>
    <cellStyle name="Percent 5 2 2 12 2" xfId="28973" xr:uid="{00000000-0005-0000-0000-00006DEF0000}"/>
    <cellStyle name="Percent 5 2 2 13" xfId="15507" xr:uid="{00000000-0005-0000-0000-00006EEF0000}"/>
    <cellStyle name="Percent 5 2 2 14" xfId="30656" xr:uid="{00000000-0005-0000-0000-00006FEF0000}"/>
    <cellStyle name="Percent 5 2 2 15" xfId="32339" xr:uid="{00000000-0005-0000-0000-000070EF0000}"/>
    <cellStyle name="Percent 5 2 2 16" xfId="34022" xr:uid="{00000000-0005-0000-0000-000071EF0000}"/>
    <cellStyle name="Percent 5 2 2 17" xfId="35705" xr:uid="{00000000-0005-0000-0000-000072EF0000}"/>
    <cellStyle name="Percent 5 2 2 18" xfId="37388" xr:uid="{00000000-0005-0000-0000-000073EF0000}"/>
    <cellStyle name="Percent 5 2 2 19" xfId="39071" xr:uid="{00000000-0005-0000-0000-000074EF0000}"/>
    <cellStyle name="Percent 5 2 2 2" xfId="778" xr:uid="{00000000-0005-0000-0000-000075EF0000}"/>
    <cellStyle name="Percent 5 2 2 2 10" xfId="15927" xr:uid="{00000000-0005-0000-0000-000076EF0000}"/>
    <cellStyle name="Percent 5 2 2 2 11" xfId="31076" xr:uid="{00000000-0005-0000-0000-000077EF0000}"/>
    <cellStyle name="Percent 5 2 2 2 12" xfId="32759" xr:uid="{00000000-0005-0000-0000-000078EF0000}"/>
    <cellStyle name="Percent 5 2 2 2 13" xfId="34442" xr:uid="{00000000-0005-0000-0000-000079EF0000}"/>
    <cellStyle name="Percent 5 2 2 2 14" xfId="36125" xr:uid="{00000000-0005-0000-0000-00007AEF0000}"/>
    <cellStyle name="Percent 5 2 2 2 15" xfId="37808" xr:uid="{00000000-0005-0000-0000-00007BEF0000}"/>
    <cellStyle name="Percent 5 2 2 2 16" xfId="39491" xr:uid="{00000000-0005-0000-0000-00007CEF0000}"/>
    <cellStyle name="Percent 5 2 2 2 17" xfId="41174" xr:uid="{00000000-0005-0000-0000-00007DEF0000}"/>
    <cellStyle name="Percent 5 2 2 2 18" xfId="42857" xr:uid="{00000000-0005-0000-0000-00007EEF0000}"/>
    <cellStyle name="Percent 5 2 2 2 19" xfId="44540" xr:uid="{00000000-0005-0000-0000-00007FEF0000}"/>
    <cellStyle name="Percent 5 2 2 2 2" xfId="2461" xr:uid="{00000000-0005-0000-0000-000080EF0000}"/>
    <cellStyle name="Percent 5 2 2 2 2 2" xfId="17610" xr:uid="{00000000-0005-0000-0000-000081EF0000}"/>
    <cellStyle name="Percent 5 2 2 2 20" xfId="46223" xr:uid="{00000000-0005-0000-0000-000082EF0000}"/>
    <cellStyle name="Percent 5 2 2 2 21" xfId="47906" xr:uid="{00000000-0005-0000-0000-000083EF0000}"/>
    <cellStyle name="Percent 5 2 2 2 22" xfId="49589" xr:uid="{00000000-0005-0000-0000-000084EF0000}"/>
    <cellStyle name="Percent 5 2 2 2 23" xfId="51272" xr:uid="{00000000-0005-0000-0000-000085EF0000}"/>
    <cellStyle name="Percent 5 2 2 2 24" xfId="52955" xr:uid="{00000000-0005-0000-0000-000086EF0000}"/>
    <cellStyle name="Percent 5 2 2 2 25" xfId="54638" xr:uid="{00000000-0005-0000-0000-000087EF0000}"/>
    <cellStyle name="Percent 5 2 2 2 26" xfId="56321" xr:uid="{00000000-0005-0000-0000-000088EF0000}"/>
    <cellStyle name="Percent 5 2 2 2 27" xfId="58004" xr:uid="{00000000-0005-0000-0000-000089EF0000}"/>
    <cellStyle name="Percent 5 2 2 2 28" xfId="59687" xr:uid="{00000000-0005-0000-0000-00008AEF0000}"/>
    <cellStyle name="Percent 5 2 2 2 29" xfId="61370" xr:uid="{00000000-0005-0000-0000-00008BEF0000}"/>
    <cellStyle name="Percent 5 2 2 2 3" xfId="4145" xr:uid="{00000000-0005-0000-0000-00008CEF0000}"/>
    <cellStyle name="Percent 5 2 2 2 3 2" xfId="19294" xr:uid="{00000000-0005-0000-0000-00008DEF0000}"/>
    <cellStyle name="Percent 5 2 2 2 30" xfId="63053" xr:uid="{00000000-0005-0000-0000-00008EEF0000}"/>
    <cellStyle name="Percent 5 2 2 2 4" xfId="5828" xr:uid="{00000000-0005-0000-0000-00008FEF0000}"/>
    <cellStyle name="Percent 5 2 2 2 4 2" xfId="20977" xr:uid="{00000000-0005-0000-0000-000090EF0000}"/>
    <cellStyle name="Percent 5 2 2 2 5" xfId="7511" xr:uid="{00000000-0005-0000-0000-000091EF0000}"/>
    <cellStyle name="Percent 5 2 2 2 5 2" xfId="22660" xr:uid="{00000000-0005-0000-0000-000092EF0000}"/>
    <cellStyle name="Percent 5 2 2 2 6" xfId="9194" xr:uid="{00000000-0005-0000-0000-000093EF0000}"/>
    <cellStyle name="Percent 5 2 2 2 6 2" xfId="24343" xr:uid="{00000000-0005-0000-0000-000094EF0000}"/>
    <cellStyle name="Percent 5 2 2 2 7" xfId="10877" xr:uid="{00000000-0005-0000-0000-000095EF0000}"/>
    <cellStyle name="Percent 5 2 2 2 7 2" xfId="26026" xr:uid="{00000000-0005-0000-0000-000096EF0000}"/>
    <cellStyle name="Percent 5 2 2 2 8" xfId="12561" xr:uid="{00000000-0005-0000-0000-000097EF0000}"/>
    <cellStyle name="Percent 5 2 2 2 8 2" xfId="27710" xr:uid="{00000000-0005-0000-0000-000098EF0000}"/>
    <cellStyle name="Percent 5 2 2 2 9" xfId="14244" xr:uid="{00000000-0005-0000-0000-000099EF0000}"/>
    <cellStyle name="Percent 5 2 2 2 9 2" xfId="29393" xr:uid="{00000000-0005-0000-0000-00009AEF0000}"/>
    <cellStyle name="Percent 5 2 2 20" xfId="40754" xr:uid="{00000000-0005-0000-0000-00009BEF0000}"/>
    <cellStyle name="Percent 5 2 2 21" xfId="42437" xr:uid="{00000000-0005-0000-0000-00009CEF0000}"/>
    <cellStyle name="Percent 5 2 2 22" xfId="44120" xr:uid="{00000000-0005-0000-0000-00009DEF0000}"/>
    <cellStyle name="Percent 5 2 2 23" xfId="45803" xr:uid="{00000000-0005-0000-0000-00009EEF0000}"/>
    <cellStyle name="Percent 5 2 2 24" xfId="47486" xr:uid="{00000000-0005-0000-0000-00009FEF0000}"/>
    <cellStyle name="Percent 5 2 2 25" xfId="49169" xr:uid="{00000000-0005-0000-0000-0000A0EF0000}"/>
    <cellStyle name="Percent 5 2 2 26" xfId="50852" xr:uid="{00000000-0005-0000-0000-0000A1EF0000}"/>
    <cellStyle name="Percent 5 2 2 27" xfId="52535" xr:uid="{00000000-0005-0000-0000-0000A2EF0000}"/>
    <cellStyle name="Percent 5 2 2 28" xfId="54218" xr:uid="{00000000-0005-0000-0000-0000A3EF0000}"/>
    <cellStyle name="Percent 5 2 2 29" xfId="55901" xr:uid="{00000000-0005-0000-0000-0000A4EF0000}"/>
    <cellStyle name="Percent 5 2 2 3" xfId="1199" xr:uid="{00000000-0005-0000-0000-0000A5EF0000}"/>
    <cellStyle name="Percent 5 2 2 3 10" xfId="16348" xr:uid="{00000000-0005-0000-0000-0000A6EF0000}"/>
    <cellStyle name="Percent 5 2 2 3 11" xfId="31497" xr:uid="{00000000-0005-0000-0000-0000A7EF0000}"/>
    <cellStyle name="Percent 5 2 2 3 12" xfId="33180" xr:uid="{00000000-0005-0000-0000-0000A8EF0000}"/>
    <cellStyle name="Percent 5 2 2 3 13" xfId="34863" xr:uid="{00000000-0005-0000-0000-0000A9EF0000}"/>
    <cellStyle name="Percent 5 2 2 3 14" xfId="36546" xr:uid="{00000000-0005-0000-0000-0000AAEF0000}"/>
    <cellStyle name="Percent 5 2 2 3 15" xfId="38229" xr:uid="{00000000-0005-0000-0000-0000ABEF0000}"/>
    <cellStyle name="Percent 5 2 2 3 16" xfId="39912" xr:uid="{00000000-0005-0000-0000-0000ACEF0000}"/>
    <cellStyle name="Percent 5 2 2 3 17" xfId="41595" xr:uid="{00000000-0005-0000-0000-0000ADEF0000}"/>
    <cellStyle name="Percent 5 2 2 3 18" xfId="43278" xr:uid="{00000000-0005-0000-0000-0000AEEF0000}"/>
    <cellStyle name="Percent 5 2 2 3 19" xfId="44961" xr:uid="{00000000-0005-0000-0000-0000AFEF0000}"/>
    <cellStyle name="Percent 5 2 2 3 2" xfId="2882" xr:uid="{00000000-0005-0000-0000-0000B0EF0000}"/>
    <cellStyle name="Percent 5 2 2 3 2 2" xfId="18031" xr:uid="{00000000-0005-0000-0000-0000B1EF0000}"/>
    <cellStyle name="Percent 5 2 2 3 20" xfId="46644" xr:uid="{00000000-0005-0000-0000-0000B2EF0000}"/>
    <cellStyle name="Percent 5 2 2 3 21" xfId="48327" xr:uid="{00000000-0005-0000-0000-0000B3EF0000}"/>
    <cellStyle name="Percent 5 2 2 3 22" xfId="50010" xr:uid="{00000000-0005-0000-0000-0000B4EF0000}"/>
    <cellStyle name="Percent 5 2 2 3 23" xfId="51693" xr:uid="{00000000-0005-0000-0000-0000B5EF0000}"/>
    <cellStyle name="Percent 5 2 2 3 24" xfId="53376" xr:uid="{00000000-0005-0000-0000-0000B6EF0000}"/>
    <cellStyle name="Percent 5 2 2 3 25" xfId="55059" xr:uid="{00000000-0005-0000-0000-0000B7EF0000}"/>
    <cellStyle name="Percent 5 2 2 3 26" xfId="56742" xr:uid="{00000000-0005-0000-0000-0000B8EF0000}"/>
    <cellStyle name="Percent 5 2 2 3 27" xfId="58425" xr:uid="{00000000-0005-0000-0000-0000B9EF0000}"/>
    <cellStyle name="Percent 5 2 2 3 28" xfId="60108" xr:uid="{00000000-0005-0000-0000-0000BAEF0000}"/>
    <cellStyle name="Percent 5 2 2 3 29" xfId="61791" xr:uid="{00000000-0005-0000-0000-0000BBEF0000}"/>
    <cellStyle name="Percent 5 2 2 3 3" xfId="4566" xr:uid="{00000000-0005-0000-0000-0000BCEF0000}"/>
    <cellStyle name="Percent 5 2 2 3 3 2" xfId="19715" xr:uid="{00000000-0005-0000-0000-0000BDEF0000}"/>
    <cellStyle name="Percent 5 2 2 3 30" xfId="63474" xr:uid="{00000000-0005-0000-0000-0000BEEF0000}"/>
    <cellStyle name="Percent 5 2 2 3 4" xfId="6249" xr:uid="{00000000-0005-0000-0000-0000BFEF0000}"/>
    <cellStyle name="Percent 5 2 2 3 4 2" xfId="21398" xr:uid="{00000000-0005-0000-0000-0000C0EF0000}"/>
    <cellStyle name="Percent 5 2 2 3 5" xfId="7932" xr:uid="{00000000-0005-0000-0000-0000C1EF0000}"/>
    <cellStyle name="Percent 5 2 2 3 5 2" xfId="23081" xr:uid="{00000000-0005-0000-0000-0000C2EF0000}"/>
    <cellStyle name="Percent 5 2 2 3 6" xfId="9615" xr:uid="{00000000-0005-0000-0000-0000C3EF0000}"/>
    <cellStyle name="Percent 5 2 2 3 6 2" xfId="24764" xr:uid="{00000000-0005-0000-0000-0000C4EF0000}"/>
    <cellStyle name="Percent 5 2 2 3 7" xfId="11298" xr:uid="{00000000-0005-0000-0000-0000C5EF0000}"/>
    <cellStyle name="Percent 5 2 2 3 7 2" xfId="26447" xr:uid="{00000000-0005-0000-0000-0000C6EF0000}"/>
    <cellStyle name="Percent 5 2 2 3 8" xfId="12982" xr:uid="{00000000-0005-0000-0000-0000C7EF0000}"/>
    <cellStyle name="Percent 5 2 2 3 8 2" xfId="28131" xr:uid="{00000000-0005-0000-0000-0000C8EF0000}"/>
    <cellStyle name="Percent 5 2 2 3 9" xfId="14665" xr:uid="{00000000-0005-0000-0000-0000C9EF0000}"/>
    <cellStyle name="Percent 5 2 2 3 9 2" xfId="29814" xr:uid="{00000000-0005-0000-0000-0000CAEF0000}"/>
    <cellStyle name="Percent 5 2 2 30" xfId="57584" xr:uid="{00000000-0005-0000-0000-0000CBEF0000}"/>
    <cellStyle name="Percent 5 2 2 31" xfId="59267" xr:uid="{00000000-0005-0000-0000-0000CCEF0000}"/>
    <cellStyle name="Percent 5 2 2 32" xfId="60950" xr:uid="{00000000-0005-0000-0000-0000CDEF0000}"/>
    <cellStyle name="Percent 5 2 2 33" xfId="62633" xr:uid="{00000000-0005-0000-0000-0000CEEF0000}"/>
    <cellStyle name="Percent 5 2 2 4" xfId="1620" xr:uid="{00000000-0005-0000-0000-0000CFEF0000}"/>
    <cellStyle name="Percent 5 2 2 4 10" xfId="16769" xr:uid="{00000000-0005-0000-0000-0000D0EF0000}"/>
    <cellStyle name="Percent 5 2 2 4 11" xfId="31918" xr:uid="{00000000-0005-0000-0000-0000D1EF0000}"/>
    <cellStyle name="Percent 5 2 2 4 12" xfId="33601" xr:uid="{00000000-0005-0000-0000-0000D2EF0000}"/>
    <cellStyle name="Percent 5 2 2 4 13" xfId="35284" xr:uid="{00000000-0005-0000-0000-0000D3EF0000}"/>
    <cellStyle name="Percent 5 2 2 4 14" xfId="36967" xr:uid="{00000000-0005-0000-0000-0000D4EF0000}"/>
    <cellStyle name="Percent 5 2 2 4 15" xfId="38650" xr:uid="{00000000-0005-0000-0000-0000D5EF0000}"/>
    <cellStyle name="Percent 5 2 2 4 16" xfId="40333" xr:uid="{00000000-0005-0000-0000-0000D6EF0000}"/>
    <cellStyle name="Percent 5 2 2 4 17" xfId="42016" xr:uid="{00000000-0005-0000-0000-0000D7EF0000}"/>
    <cellStyle name="Percent 5 2 2 4 18" xfId="43699" xr:uid="{00000000-0005-0000-0000-0000D8EF0000}"/>
    <cellStyle name="Percent 5 2 2 4 19" xfId="45382" xr:uid="{00000000-0005-0000-0000-0000D9EF0000}"/>
    <cellStyle name="Percent 5 2 2 4 2" xfId="3303" xr:uid="{00000000-0005-0000-0000-0000DAEF0000}"/>
    <cellStyle name="Percent 5 2 2 4 2 2" xfId="18452" xr:uid="{00000000-0005-0000-0000-0000DBEF0000}"/>
    <cellStyle name="Percent 5 2 2 4 20" xfId="47065" xr:uid="{00000000-0005-0000-0000-0000DCEF0000}"/>
    <cellStyle name="Percent 5 2 2 4 21" xfId="48748" xr:uid="{00000000-0005-0000-0000-0000DDEF0000}"/>
    <cellStyle name="Percent 5 2 2 4 22" xfId="50431" xr:uid="{00000000-0005-0000-0000-0000DEEF0000}"/>
    <cellStyle name="Percent 5 2 2 4 23" xfId="52114" xr:uid="{00000000-0005-0000-0000-0000DFEF0000}"/>
    <cellStyle name="Percent 5 2 2 4 24" xfId="53797" xr:uid="{00000000-0005-0000-0000-0000E0EF0000}"/>
    <cellStyle name="Percent 5 2 2 4 25" xfId="55480" xr:uid="{00000000-0005-0000-0000-0000E1EF0000}"/>
    <cellStyle name="Percent 5 2 2 4 26" xfId="57163" xr:uid="{00000000-0005-0000-0000-0000E2EF0000}"/>
    <cellStyle name="Percent 5 2 2 4 27" xfId="58846" xr:uid="{00000000-0005-0000-0000-0000E3EF0000}"/>
    <cellStyle name="Percent 5 2 2 4 28" xfId="60529" xr:uid="{00000000-0005-0000-0000-0000E4EF0000}"/>
    <cellStyle name="Percent 5 2 2 4 29" xfId="62212" xr:uid="{00000000-0005-0000-0000-0000E5EF0000}"/>
    <cellStyle name="Percent 5 2 2 4 3" xfId="4987" xr:uid="{00000000-0005-0000-0000-0000E6EF0000}"/>
    <cellStyle name="Percent 5 2 2 4 3 2" xfId="20136" xr:uid="{00000000-0005-0000-0000-0000E7EF0000}"/>
    <cellStyle name="Percent 5 2 2 4 30" xfId="63895" xr:uid="{00000000-0005-0000-0000-0000E8EF0000}"/>
    <cellStyle name="Percent 5 2 2 4 4" xfId="6670" xr:uid="{00000000-0005-0000-0000-0000E9EF0000}"/>
    <cellStyle name="Percent 5 2 2 4 4 2" xfId="21819" xr:uid="{00000000-0005-0000-0000-0000EAEF0000}"/>
    <cellStyle name="Percent 5 2 2 4 5" xfId="8353" xr:uid="{00000000-0005-0000-0000-0000EBEF0000}"/>
    <cellStyle name="Percent 5 2 2 4 5 2" xfId="23502" xr:uid="{00000000-0005-0000-0000-0000ECEF0000}"/>
    <cellStyle name="Percent 5 2 2 4 6" xfId="10036" xr:uid="{00000000-0005-0000-0000-0000EDEF0000}"/>
    <cellStyle name="Percent 5 2 2 4 6 2" xfId="25185" xr:uid="{00000000-0005-0000-0000-0000EEEF0000}"/>
    <cellStyle name="Percent 5 2 2 4 7" xfId="11719" xr:uid="{00000000-0005-0000-0000-0000EFEF0000}"/>
    <cellStyle name="Percent 5 2 2 4 7 2" xfId="26868" xr:uid="{00000000-0005-0000-0000-0000F0EF0000}"/>
    <cellStyle name="Percent 5 2 2 4 8" xfId="13403" xr:uid="{00000000-0005-0000-0000-0000F1EF0000}"/>
    <cellStyle name="Percent 5 2 2 4 8 2" xfId="28552" xr:uid="{00000000-0005-0000-0000-0000F2EF0000}"/>
    <cellStyle name="Percent 5 2 2 4 9" xfId="15086" xr:uid="{00000000-0005-0000-0000-0000F3EF0000}"/>
    <cellStyle name="Percent 5 2 2 4 9 2" xfId="30235" xr:uid="{00000000-0005-0000-0000-0000F4EF0000}"/>
    <cellStyle name="Percent 5 2 2 5" xfId="2041" xr:uid="{00000000-0005-0000-0000-0000F5EF0000}"/>
    <cellStyle name="Percent 5 2 2 5 2" xfId="17190" xr:uid="{00000000-0005-0000-0000-0000F6EF0000}"/>
    <cellStyle name="Percent 5 2 2 6" xfId="3725" xr:uid="{00000000-0005-0000-0000-0000F7EF0000}"/>
    <cellStyle name="Percent 5 2 2 6 2" xfId="18874" xr:uid="{00000000-0005-0000-0000-0000F8EF0000}"/>
    <cellStyle name="Percent 5 2 2 7" xfId="5408" xr:uid="{00000000-0005-0000-0000-0000F9EF0000}"/>
    <cellStyle name="Percent 5 2 2 7 2" xfId="20557" xr:uid="{00000000-0005-0000-0000-0000FAEF0000}"/>
    <cellStyle name="Percent 5 2 2 8" xfId="7091" xr:uid="{00000000-0005-0000-0000-0000FBEF0000}"/>
    <cellStyle name="Percent 5 2 2 8 2" xfId="22240" xr:uid="{00000000-0005-0000-0000-0000FCEF0000}"/>
    <cellStyle name="Percent 5 2 2 9" xfId="8774" xr:uid="{00000000-0005-0000-0000-0000FDEF0000}"/>
    <cellStyle name="Percent 5 2 2 9 2" xfId="23923" xr:uid="{00000000-0005-0000-0000-0000FEEF0000}"/>
    <cellStyle name="Percent 5 2 20" xfId="38861" xr:uid="{00000000-0005-0000-0000-0000FFEF0000}"/>
    <cellStyle name="Percent 5 2 21" xfId="40544" xr:uid="{00000000-0005-0000-0000-000000F00000}"/>
    <cellStyle name="Percent 5 2 22" xfId="42227" xr:uid="{00000000-0005-0000-0000-000001F00000}"/>
    <cellStyle name="Percent 5 2 23" xfId="43910" xr:uid="{00000000-0005-0000-0000-000002F00000}"/>
    <cellStyle name="Percent 5 2 24" xfId="45593" xr:uid="{00000000-0005-0000-0000-000003F00000}"/>
    <cellStyle name="Percent 5 2 25" xfId="47276" xr:uid="{00000000-0005-0000-0000-000004F00000}"/>
    <cellStyle name="Percent 5 2 26" xfId="48959" xr:uid="{00000000-0005-0000-0000-000005F00000}"/>
    <cellStyle name="Percent 5 2 27" xfId="50642" xr:uid="{00000000-0005-0000-0000-000006F00000}"/>
    <cellStyle name="Percent 5 2 28" xfId="52325" xr:uid="{00000000-0005-0000-0000-000007F00000}"/>
    <cellStyle name="Percent 5 2 29" xfId="54008" xr:uid="{00000000-0005-0000-0000-000008F00000}"/>
    <cellStyle name="Percent 5 2 3" xfId="568" xr:uid="{00000000-0005-0000-0000-000009F00000}"/>
    <cellStyle name="Percent 5 2 3 10" xfId="15717" xr:uid="{00000000-0005-0000-0000-00000AF00000}"/>
    <cellStyle name="Percent 5 2 3 11" xfId="30866" xr:uid="{00000000-0005-0000-0000-00000BF00000}"/>
    <cellStyle name="Percent 5 2 3 12" xfId="32549" xr:uid="{00000000-0005-0000-0000-00000CF00000}"/>
    <cellStyle name="Percent 5 2 3 13" xfId="34232" xr:uid="{00000000-0005-0000-0000-00000DF00000}"/>
    <cellStyle name="Percent 5 2 3 14" xfId="35915" xr:uid="{00000000-0005-0000-0000-00000EF00000}"/>
    <cellStyle name="Percent 5 2 3 15" xfId="37598" xr:uid="{00000000-0005-0000-0000-00000FF00000}"/>
    <cellStyle name="Percent 5 2 3 16" xfId="39281" xr:uid="{00000000-0005-0000-0000-000010F00000}"/>
    <cellStyle name="Percent 5 2 3 17" xfId="40964" xr:uid="{00000000-0005-0000-0000-000011F00000}"/>
    <cellStyle name="Percent 5 2 3 18" xfId="42647" xr:uid="{00000000-0005-0000-0000-000012F00000}"/>
    <cellStyle name="Percent 5 2 3 19" xfId="44330" xr:uid="{00000000-0005-0000-0000-000013F00000}"/>
    <cellStyle name="Percent 5 2 3 2" xfId="2251" xr:uid="{00000000-0005-0000-0000-000014F00000}"/>
    <cellStyle name="Percent 5 2 3 2 2" xfId="17400" xr:uid="{00000000-0005-0000-0000-000015F00000}"/>
    <cellStyle name="Percent 5 2 3 20" xfId="46013" xr:uid="{00000000-0005-0000-0000-000016F00000}"/>
    <cellStyle name="Percent 5 2 3 21" xfId="47696" xr:uid="{00000000-0005-0000-0000-000017F00000}"/>
    <cellStyle name="Percent 5 2 3 22" xfId="49379" xr:uid="{00000000-0005-0000-0000-000018F00000}"/>
    <cellStyle name="Percent 5 2 3 23" xfId="51062" xr:uid="{00000000-0005-0000-0000-000019F00000}"/>
    <cellStyle name="Percent 5 2 3 24" xfId="52745" xr:uid="{00000000-0005-0000-0000-00001AF00000}"/>
    <cellStyle name="Percent 5 2 3 25" xfId="54428" xr:uid="{00000000-0005-0000-0000-00001BF00000}"/>
    <cellStyle name="Percent 5 2 3 26" xfId="56111" xr:uid="{00000000-0005-0000-0000-00001CF00000}"/>
    <cellStyle name="Percent 5 2 3 27" xfId="57794" xr:uid="{00000000-0005-0000-0000-00001DF00000}"/>
    <cellStyle name="Percent 5 2 3 28" xfId="59477" xr:uid="{00000000-0005-0000-0000-00001EF00000}"/>
    <cellStyle name="Percent 5 2 3 29" xfId="61160" xr:uid="{00000000-0005-0000-0000-00001FF00000}"/>
    <cellStyle name="Percent 5 2 3 3" xfId="3935" xr:uid="{00000000-0005-0000-0000-000020F00000}"/>
    <cellStyle name="Percent 5 2 3 3 2" xfId="19084" xr:uid="{00000000-0005-0000-0000-000021F00000}"/>
    <cellStyle name="Percent 5 2 3 30" xfId="62843" xr:uid="{00000000-0005-0000-0000-000022F00000}"/>
    <cellStyle name="Percent 5 2 3 4" xfId="5618" xr:uid="{00000000-0005-0000-0000-000023F00000}"/>
    <cellStyle name="Percent 5 2 3 4 2" xfId="20767" xr:uid="{00000000-0005-0000-0000-000024F00000}"/>
    <cellStyle name="Percent 5 2 3 5" xfId="7301" xr:uid="{00000000-0005-0000-0000-000025F00000}"/>
    <cellStyle name="Percent 5 2 3 5 2" xfId="22450" xr:uid="{00000000-0005-0000-0000-000026F00000}"/>
    <cellStyle name="Percent 5 2 3 6" xfId="8984" xr:uid="{00000000-0005-0000-0000-000027F00000}"/>
    <cellStyle name="Percent 5 2 3 6 2" xfId="24133" xr:uid="{00000000-0005-0000-0000-000028F00000}"/>
    <cellStyle name="Percent 5 2 3 7" xfId="10667" xr:uid="{00000000-0005-0000-0000-000029F00000}"/>
    <cellStyle name="Percent 5 2 3 7 2" xfId="25816" xr:uid="{00000000-0005-0000-0000-00002AF00000}"/>
    <cellStyle name="Percent 5 2 3 8" xfId="12351" xr:uid="{00000000-0005-0000-0000-00002BF00000}"/>
    <cellStyle name="Percent 5 2 3 8 2" xfId="27500" xr:uid="{00000000-0005-0000-0000-00002CF00000}"/>
    <cellStyle name="Percent 5 2 3 9" xfId="14034" xr:uid="{00000000-0005-0000-0000-00002DF00000}"/>
    <cellStyle name="Percent 5 2 3 9 2" xfId="29183" xr:uid="{00000000-0005-0000-0000-00002EF00000}"/>
    <cellStyle name="Percent 5 2 30" xfId="55691" xr:uid="{00000000-0005-0000-0000-00002FF00000}"/>
    <cellStyle name="Percent 5 2 31" xfId="57374" xr:uid="{00000000-0005-0000-0000-000030F00000}"/>
    <cellStyle name="Percent 5 2 32" xfId="59057" xr:uid="{00000000-0005-0000-0000-000031F00000}"/>
    <cellStyle name="Percent 5 2 33" xfId="60740" xr:uid="{00000000-0005-0000-0000-000032F00000}"/>
    <cellStyle name="Percent 5 2 34" xfId="62423" xr:uid="{00000000-0005-0000-0000-000033F00000}"/>
    <cellStyle name="Percent 5 2 4" xfId="989" xr:uid="{00000000-0005-0000-0000-000034F00000}"/>
    <cellStyle name="Percent 5 2 4 10" xfId="16138" xr:uid="{00000000-0005-0000-0000-000035F00000}"/>
    <cellStyle name="Percent 5 2 4 11" xfId="31287" xr:uid="{00000000-0005-0000-0000-000036F00000}"/>
    <cellStyle name="Percent 5 2 4 12" xfId="32970" xr:uid="{00000000-0005-0000-0000-000037F00000}"/>
    <cellStyle name="Percent 5 2 4 13" xfId="34653" xr:uid="{00000000-0005-0000-0000-000038F00000}"/>
    <cellStyle name="Percent 5 2 4 14" xfId="36336" xr:uid="{00000000-0005-0000-0000-000039F00000}"/>
    <cellStyle name="Percent 5 2 4 15" xfId="38019" xr:uid="{00000000-0005-0000-0000-00003AF00000}"/>
    <cellStyle name="Percent 5 2 4 16" xfId="39702" xr:uid="{00000000-0005-0000-0000-00003BF00000}"/>
    <cellStyle name="Percent 5 2 4 17" xfId="41385" xr:uid="{00000000-0005-0000-0000-00003CF00000}"/>
    <cellStyle name="Percent 5 2 4 18" xfId="43068" xr:uid="{00000000-0005-0000-0000-00003DF00000}"/>
    <cellStyle name="Percent 5 2 4 19" xfId="44751" xr:uid="{00000000-0005-0000-0000-00003EF00000}"/>
    <cellStyle name="Percent 5 2 4 2" xfId="2672" xr:uid="{00000000-0005-0000-0000-00003FF00000}"/>
    <cellStyle name="Percent 5 2 4 2 2" xfId="17821" xr:uid="{00000000-0005-0000-0000-000040F00000}"/>
    <cellStyle name="Percent 5 2 4 20" xfId="46434" xr:uid="{00000000-0005-0000-0000-000041F00000}"/>
    <cellStyle name="Percent 5 2 4 21" xfId="48117" xr:uid="{00000000-0005-0000-0000-000042F00000}"/>
    <cellStyle name="Percent 5 2 4 22" xfId="49800" xr:uid="{00000000-0005-0000-0000-000043F00000}"/>
    <cellStyle name="Percent 5 2 4 23" xfId="51483" xr:uid="{00000000-0005-0000-0000-000044F00000}"/>
    <cellStyle name="Percent 5 2 4 24" xfId="53166" xr:uid="{00000000-0005-0000-0000-000045F00000}"/>
    <cellStyle name="Percent 5 2 4 25" xfId="54849" xr:uid="{00000000-0005-0000-0000-000046F00000}"/>
    <cellStyle name="Percent 5 2 4 26" xfId="56532" xr:uid="{00000000-0005-0000-0000-000047F00000}"/>
    <cellStyle name="Percent 5 2 4 27" xfId="58215" xr:uid="{00000000-0005-0000-0000-000048F00000}"/>
    <cellStyle name="Percent 5 2 4 28" xfId="59898" xr:uid="{00000000-0005-0000-0000-000049F00000}"/>
    <cellStyle name="Percent 5 2 4 29" xfId="61581" xr:uid="{00000000-0005-0000-0000-00004AF00000}"/>
    <cellStyle name="Percent 5 2 4 3" xfId="4356" xr:uid="{00000000-0005-0000-0000-00004BF00000}"/>
    <cellStyle name="Percent 5 2 4 3 2" xfId="19505" xr:uid="{00000000-0005-0000-0000-00004CF00000}"/>
    <cellStyle name="Percent 5 2 4 30" xfId="63264" xr:uid="{00000000-0005-0000-0000-00004DF00000}"/>
    <cellStyle name="Percent 5 2 4 4" xfId="6039" xr:uid="{00000000-0005-0000-0000-00004EF00000}"/>
    <cellStyle name="Percent 5 2 4 4 2" xfId="21188" xr:uid="{00000000-0005-0000-0000-00004FF00000}"/>
    <cellStyle name="Percent 5 2 4 5" xfId="7722" xr:uid="{00000000-0005-0000-0000-000050F00000}"/>
    <cellStyle name="Percent 5 2 4 5 2" xfId="22871" xr:uid="{00000000-0005-0000-0000-000051F00000}"/>
    <cellStyle name="Percent 5 2 4 6" xfId="9405" xr:uid="{00000000-0005-0000-0000-000052F00000}"/>
    <cellStyle name="Percent 5 2 4 6 2" xfId="24554" xr:uid="{00000000-0005-0000-0000-000053F00000}"/>
    <cellStyle name="Percent 5 2 4 7" xfId="11088" xr:uid="{00000000-0005-0000-0000-000054F00000}"/>
    <cellStyle name="Percent 5 2 4 7 2" xfId="26237" xr:uid="{00000000-0005-0000-0000-000055F00000}"/>
    <cellStyle name="Percent 5 2 4 8" xfId="12772" xr:uid="{00000000-0005-0000-0000-000056F00000}"/>
    <cellStyle name="Percent 5 2 4 8 2" xfId="27921" xr:uid="{00000000-0005-0000-0000-000057F00000}"/>
    <cellStyle name="Percent 5 2 4 9" xfId="14455" xr:uid="{00000000-0005-0000-0000-000058F00000}"/>
    <cellStyle name="Percent 5 2 4 9 2" xfId="29604" xr:uid="{00000000-0005-0000-0000-000059F00000}"/>
    <cellStyle name="Percent 5 2 5" xfId="1410" xr:uid="{00000000-0005-0000-0000-00005AF00000}"/>
    <cellStyle name="Percent 5 2 5 10" xfId="16559" xr:uid="{00000000-0005-0000-0000-00005BF00000}"/>
    <cellStyle name="Percent 5 2 5 11" xfId="31708" xr:uid="{00000000-0005-0000-0000-00005CF00000}"/>
    <cellStyle name="Percent 5 2 5 12" xfId="33391" xr:uid="{00000000-0005-0000-0000-00005DF00000}"/>
    <cellStyle name="Percent 5 2 5 13" xfId="35074" xr:uid="{00000000-0005-0000-0000-00005EF00000}"/>
    <cellStyle name="Percent 5 2 5 14" xfId="36757" xr:uid="{00000000-0005-0000-0000-00005FF00000}"/>
    <cellStyle name="Percent 5 2 5 15" xfId="38440" xr:uid="{00000000-0005-0000-0000-000060F00000}"/>
    <cellStyle name="Percent 5 2 5 16" xfId="40123" xr:uid="{00000000-0005-0000-0000-000061F00000}"/>
    <cellStyle name="Percent 5 2 5 17" xfId="41806" xr:uid="{00000000-0005-0000-0000-000062F00000}"/>
    <cellStyle name="Percent 5 2 5 18" xfId="43489" xr:uid="{00000000-0005-0000-0000-000063F00000}"/>
    <cellStyle name="Percent 5 2 5 19" xfId="45172" xr:uid="{00000000-0005-0000-0000-000064F00000}"/>
    <cellStyle name="Percent 5 2 5 2" xfId="3093" xr:uid="{00000000-0005-0000-0000-000065F00000}"/>
    <cellStyle name="Percent 5 2 5 2 2" xfId="18242" xr:uid="{00000000-0005-0000-0000-000066F00000}"/>
    <cellStyle name="Percent 5 2 5 20" xfId="46855" xr:uid="{00000000-0005-0000-0000-000067F00000}"/>
    <cellStyle name="Percent 5 2 5 21" xfId="48538" xr:uid="{00000000-0005-0000-0000-000068F00000}"/>
    <cellStyle name="Percent 5 2 5 22" xfId="50221" xr:uid="{00000000-0005-0000-0000-000069F00000}"/>
    <cellStyle name="Percent 5 2 5 23" xfId="51904" xr:uid="{00000000-0005-0000-0000-00006AF00000}"/>
    <cellStyle name="Percent 5 2 5 24" xfId="53587" xr:uid="{00000000-0005-0000-0000-00006BF00000}"/>
    <cellStyle name="Percent 5 2 5 25" xfId="55270" xr:uid="{00000000-0005-0000-0000-00006CF00000}"/>
    <cellStyle name="Percent 5 2 5 26" xfId="56953" xr:uid="{00000000-0005-0000-0000-00006DF00000}"/>
    <cellStyle name="Percent 5 2 5 27" xfId="58636" xr:uid="{00000000-0005-0000-0000-00006EF00000}"/>
    <cellStyle name="Percent 5 2 5 28" xfId="60319" xr:uid="{00000000-0005-0000-0000-00006FF00000}"/>
    <cellStyle name="Percent 5 2 5 29" xfId="62002" xr:uid="{00000000-0005-0000-0000-000070F00000}"/>
    <cellStyle name="Percent 5 2 5 3" xfId="4777" xr:uid="{00000000-0005-0000-0000-000071F00000}"/>
    <cellStyle name="Percent 5 2 5 3 2" xfId="19926" xr:uid="{00000000-0005-0000-0000-000072F00000}"/>
    <cellStyle name="Percent 5 2 5 30" xfId="63685" xr:uid="{00000000-0005-0000-0000-000073F00000}"/>
    <cellStyle name="Percent 5 2 5 4" xfId="6460" xr:uid="{00000000-0005-0000-0000-000074F00000}"/>
    <cellStyle name="Percent 5 2 5 4 2" xfId="21609" xr:uid="{00000000-0005-0000-0000-000075F00000}"/>
    <cellStyle name="Percent 5 2 5 5" xfId="8143" xr:uid="{00000000-0005-0000-0000-000076F00000}"/>
    <cellStyle name="Percent 5 2 5 5 2" xfId="23292" xr:uid="{00000000-0005-0000-0000-000077F00000}"/>
    <cellStyle name="Percent 5 2 5 6" xfId="9826" xr:uid="{00000000-0005-0000-0000-000078F00000}"/>
    <cellStyle name="Percent 5 2 5 6 2" xfId="24975" xr:uid="{00000000-0005-0000-0000-000079F00000}"/>
    <cellStyle name="Percent 5 2 5 7" xfId="11509" xr:uid="{00000000-0005-0000-0000-00007AF00000}"/>
    <cellStyle name="Percent 5 2 5 7 2" xfId="26658" xr:uid="{00000000-0005-0000-0000-00007BF00000}"/>
    <cellStyle name="Percent 5 2 5 8" xfId="13193" xr:uid="{00000000-0005-0000-0000-00007CF00000}"/>
    <cellStyle name="Percent 5 2 5 8 2" xfId="28342" xr:uid="{00000000-0005-0000-0000-00007DF00000}"/>
    <cellStyle name="Percent 5 2 5 9" xfId="14876" xr:uid="{00000000-0005-0000-0000-00007EF00000}"/>
    <cellStyle name="Percent 5 2 5 9 2" xfId="30025" xr:uid="{00000000-0005-0000-0000-00007FF00000}"/>
    <cellStyle name="Percent 5 2 6" xfId="1831" xr:uid="{00000000-0005-0000-0000-000080F00000}"/>
    <cellStyle name="Percent 5 2 6 2" xfId="16980" xr:uid="{00000000-0005-0000-0000-000081F00000}"/>
    <cellStyle name="Percent 5 2 7" xfId="3515" xr:uid="{00000000-0005-0000-0000-000082F00000}"/>
    <cellStyle name="Percent 5 2 7 2" xfId="18664" xr:uid="{00000000-0005-0000-0000-000083F00000}"/>
    <cellStyle name="Percent 5 2 8" xfId="5198" xr:uid="{00000000-0005-0000-0000-000084F00000}"/>
    <cellStyle name="Percent 5 2 8 2" xfId="20347" xr:uid="{00000000-0005-0000-0000-000085F00000}"/>
    <cellStyle name="Percent 5 2 9" xfId="6881" xr:uid="{00000000-0005-0000-0000-000086F00000}"/>
    <cellStyle name="Percent 5 2 9 2" xfId="22030" xr:uid="{00000000-0005-0000-0000-000087F00000}"/>
    <cellStyle name="Percent 5 20" xfId="37073" xr:uid="{00000000-0005-0000-0000-000088F00000}"/>
    <cellStyle name="Percent 5 21" xfId="38756" xr:uid="{00000000-0005-0000-0000-000089F00000}"/>
    <cellStyle name="Percent 5 22" xfId="40439" xr:uid="{00000000-0005-0000-0000-00008AF00000}"/>
    <cellStyle name="Percent 5 23" xfId="42122" xr:uid="{00000000-0005-0000-0000-00008BF00000}"/>
    <cellStyle name="Percent 5 24" xfId="43805" xr:uid="{00000000-0005-0000-0000-00008CF00000}"/>
    <cellStyle name="Percent 5 25" xfId="45488" xr:uid="{00000000-0005-0000-0000-00008DF00000}"/>
    <cellStyle name="Percent 5 26" xfId="47171" xr:uid="{00000000-0005-0000-0000-00008EF00000}"/>
    <cellStyle name="Percent 5 27" xfId="48854" xr:uid="{00000000-0005-0000-0000-00008FF00000}"/>
    <cellStyle name="Percent 5 28" xfId="50537" xr:uid="{00000000-0005-0000-0000-000090F00000}"/>
    <cellStyle name="Percent 5 29" xfId="52220" xr:uid="{00000000-0005-0000-0000-000091F00000}"/>
    <cellStyle name="Percent 5 3" xfId="253" xr:uid="{00000000-0005-0000-0000-000092F00000}"/>
    <cellStyle name="Percent 5 3 10" xfId="10352" xr:uid="{00000000-0005-0000-0000-000093F00000}"/>
    <cellStyle name="Percent 5 3 10 2" xfId="25501" xr:uid="{00000000-0005-0000-0000-000094F00000}"/>
    <cellStyle name="Percent 5 3 11" xfId="12036" xr:uid="{00000000-0005-0000-0000-000095F00000}"/>
    <cellStyle name="Percent 5 3 11 2" xfId="27185" xr:uid="{00000000-0005-0000-0000-000096F00000}"/>
    <cellStyle name="Percent 5 3 12" xfId="13719" xr:uid="{00000000-0005-0000-0000-000097F00000}"/>
    <cellStyle name="Percent 5 3 12 2" xfId="28868" xr:uid="{00000000-0005-0000-0000-000098F00000}"/>
    <cellStyle name="Percent 5 3 13" xfId="15402" xr:uid="{00000000-0005-0000-0000-000099F00000}"/>
    <cellStyle name="Percent 5 3 14" xfId="30551" xr:uid="{00000000-0005-0000-0000-00009AF00000}"/>
    <cellStyle name="Percent 5 3 15" xfId="32234" xr:uid="{00000000-0005-0000-0000-00009BF00000}"/>
    <cellStyle name="Percent 5 3 16" xfId="33917" xr:uid="{00000000-0005-0000-0000-00009CF00000}"/>
    <cellStyle name="Percent 5 3 17" xfId="35600" xr:uid="{00000000-0005-0000-0000-00009DF00000}"/>
    <cellStyle name="Percent 5 3 18" xfId="37283" xr:uid="{00000000-0005-0000-0000-00009EF00000}"/>
    <cellStyle name="Percent 5 3 19" xfId="38966" xr:uid="{00000000-0005-0000-0000-00009FF00000}"/>
    <cellStyle name="Percent 5 3 2" xfId="673" xr:uid="{00000000-0005-0000-0000-0000A0F00000}"/>
    <cellStyle name="Percent 5 3 2 10" xfId="15822" xr:uid="{00000000-0005-0000-0000-0000A1F00000}"/>
    <cellStyle name="Percent 5 3 2 11" xfId="30971" xr:uid="{00000000-0005-0000-0000-0000A2F00000}"/>
    <cellStyle name="Percent 5 3 2 12" xfId="32654" xr:uid="{00000000-0005-0000-0000-0000A3F00000}"/>
    <cellStyle name="Percent 5 3 2 13" xfId="34337" xr:uid="{00000000-0005-0000-0000-0000A4F00000}"/>
    <cellStyle name="Percent 5 3 2 14" xfId="36020" xr:uid="{00000000-0005-0000-0000-0000A5F00000}"/>
    <cellStyle name="Percent 5 3 2 15" xfId="37703" xr:uid="{00000000-0005-0000-0000-0000A6F00000}"/>
    <cellStyle name="Percent 5 3 2 16" xfId="39386" xr:uid="{00000000-0005-0000-0000-0000A7F00000}"/>
    <cellStyle name="Percent 5 3 2 17" xfId="41069" xr:uid="{00000000-0005-0000-0000-0000A8F00000}"/>
    <cellStyle name="Percent 5 3 2 18" xfId="42752" xr:uid="{00000000-0005-0000-0000-0000A9F00000}"/>
    <cellStyle name="Percent 5 3 2 19" xfId="44435" xr:uid="{00000000-0005-0000-0000-0000AAF00000}"/>
    <cellStyle name="Percent 5 3 2 2" xfId="2356" xr:uid="{00000000-0005-0000-0000-0000ABF00000}"/>
    <cellStyle name="Percent 5 3 2 2 2" xfId="17505" xr:uid="{00000000-0005-0000-0000-0000ACF00000}"/>
    <cellStyle name="Percent 5 3 2 20" xfId="46118" xr:uid="{00000000-0005-0000-0000-0000ADF00000}"/>
    <cellStyle name="Percent 5 3 2 21" xfId="47801" xr:uid="{00000000-0005-0000-0000-0000AEF00000}"/>
    <cellStyle name="Percent 5 3 2 22" xfId="49484" xr:uid="{00000000-0005-0000-0000-0000AFF00000}"/>
    <cellStyle name="Percent 5 3 2 23" xfId="51167" xr:uid="{00000000-0005-0000-0000-0000B0F00000}"/>
    <cellStyle name="Percent 5 3 2 24" xfId="52850" xr:uid="{00000000-0005-0000-0000-0000B1F00000}"/>
    <cellStyle name="Percent 5 3 2 25" xfId="54533" xr:uid="{00000000-0005-0000-0000-0000B2F00000}"/>
    <cellStyle name="Percent 5 3 2 26" xfId="56216" xr:uid="{00000000-0005-0000-0000-0000B3F00000}"/>
    <cellStyle name="Percent 5 3 2 27" xfId="57899" xr:uid="{00000000-0005-0000-0000-0000B4F00000}"/>
    <cellStyle name="Percent 5 3 2 28" xfId="59582" xr:uid="{00000000-0005-0000-0000-0000B5F00000}"/>
    <cellStyle name="Percent 5 3 2 29" xfId="61265" xr:uid="{00000000-0005-0000-0000-0000B6F00000}"/>
    <cellStyle name="Percent 5 3 2 3" xfId="4040" xr:uid="{00000000-0005-0000-0000-0000B7F00000}"/>
    <cellStyle name="Percent 5 3 2 3 2" xfId="19189" xr:uid="{00000000-0005-0000-0000-0000B8F00000}"/>
    <cellStyle name="Percent 5 3 2 30" xfId="62948" xr:uid="{00000000-0005-0000-0000-0000B9F00000}"/>
    <cellStyle name="Percent 5 3 2 4" xfId="5723" xr:uid="{00000000-0005-0000-0000-0000BAF00000}"/>
    <cellStyle name="Percent 5 3 2 4 2" xfId="20872" xr:uid="{00000000-0005-0000-0000-0000BBF00000}"/>
    <cellStyle name="Percent 5 3 2 5" xfId="7406" xr:uid="{00000000-0005-0000-0000-0000BCF00000}"/>
    <cellStyle name="Percent 5 3 2 5 2" xfId="22555" xr:uid="{00000000-0005-0000-0000-0000BDF00000}"/>
    <cellStyle name="Percent 5 3 2 6" xfId="9089" xr:uid="{00000000-0005-0000-0000-0000BEF00000}"/>
    <cellStyle name="Percent 5 3 2 6 2" xfId="24238" xr:uid="{00000000-0005-0000-0000-0000BFF00000}"/>
    <cellStyle name="Percent 5 3 2 7" xfId="10772" xr:uid="{00000000-0005-0000-0000-0000C0F00000}"/>
    <cellStyle name="Percent 5 3 2 7 2" xfId="25921" xr:uid="{00000000-0005-0000-0000-0000C1F00000}"/>
    <cellStyle name="Percent 5 3 2 8" xfId="12456" xr:uid="{00000000-0005-0000-0000-0000C2F00000}"/>
    <cellStyle name="Percent 5 3 2 8 2" xfId="27605" xr:uid="{00000000-0005-0000-0000-0000C3F00000}"/>
    <cellStyle name="Percent 5 3 2 9" xfId="14139" xr:uid="{00000000-0005-0000-0000-0000C4F00000}"/>
    <cellStyle name="Percent 5 3 2 9 2" xfId="29288" xr:uid="{00000000-0005-0000-0000-0000C5F00000}"/>
    <cellStyle name="Percent 5 3 20" xfId="40649" xr:uid="{00000000-0005-0000-0000-0000C6F00000}"/>
    <cellStyle name="Percent 5 3 21" xfId="42332" xr:uid="{00000000-0005-0000-0000-0000C7F00000}"/>
    <cellStyle name="Percent 5 3 22" xfId="44015" xr:uid="{00000000-0005-0000-0000-0000C8F00000}"/>
    <cellStyle name="Percent 5 3 23" xfId="45698" xr:uid="{00000000-0005-0000-0000-0000C9F00000}"/>
    <cellStyle name="Percent 5 3 24" xfId="47381" xr:uid="{00000000-0005-0000-0000-0000CAF00000}"/>
    <cellStyle name="Percent 5 3 25" xfId="49064" xr:uid="{00000000-0005-0000-0000-0000CBF00000}"/>
    <cellStyle name="Percent 5 3 26" xfId="50747" xr:uid="{00000000-0005-0000-0000-0000CCF00000}"/>
    <cellStyle name="Percent 5 3 27" xfId="52430" xr:uid="{00000000-0005-0000-0000-0000CDF00000}"/>
    <cellStyle name="Percent 5 3 28" xfId="54113" xr:uid="{00000000-0005-0000-0000-0000CEF00000}"/>
    <cellStyle name="Percent 5 3 29" xfId="55796" xr:uid="{00000000-0005-0000-0000-0000CFF00000}"/>
    <cellStyle name="Percent 5 3 3" xfId="1094" xr:uid="{00000000-0005-0000-0000-0000D0F00000}"/>
    <cellStyle name="Percent 5 3 3 10" xfId="16243" xr:uid="{00000000-0005-0000-0000-0000D1F00000}"/>
    <cellStyle name="Percent 5 3 3 11" xfId="31392" xr:uid="{00000000-0005-0000-0000-0000D2F00000}"/>
    <cellStyle name="Percent 5 3 3 12" xfId="33075" xr:uid="{00000000-0005-0000-0000-0000D3F00000}"/>
    <cellStyle name="Percent 5 3 3 13" xfId="34758" xr:uid="{00000000-0005-0000-0000-0000D4F00000}"/>
    <cellStyle name="Percent 5 3 3 14" xfId="36441" xr:uid="{00000000-0005-0000-0000-0000D5F00000}"/>
    <cellStyle name="Percent 5 3 3 15" xfId="38124" xr:uid="{00000000-0005-0000-0000-0000D6F00000}"/>
    <cellStyle name="Percent 5 3 3 16" xfId="39807" xr:uid="{00000000-0005-0000-0000-0000D7F00000}"/>
    <cellStyle name="Percent 5 3 3 17" xfId="41490" xr:uid="{00000000-0005-0000-0000-0000D8F00000}"/>
    <cellStyle name="Percent 5 3 3 18" xfId="43173" xr:uid="{00000000-0005-0000-0000-0000D9F00000}"/>
    <cellStyle name="Percent 5 3 3 19" xfId="44856" xr:uid="{00000000-0005-0000-0000-0000DAF00000}"/>
    <cellStyle name="Percent 5 3 3 2" xfId="2777" xr:uid="{00000000-0005-0000-0000-0000DBF00000}"/>
    <cellStyle name="Percent 5 3 3 2 2" xfId="17926" xr:uid="{00000000-0005-0000-0000-0000DCF00000}"/>
    <cellStyle name="Percent 5 3 3 20" xfId="46539" xr:uid="{00000000-0005-0000-0000-0000DDF00000}"/>
    <cellStyle name="Percent 5 3 3 21" xfId="48222" xr:uid="{00000000-0005-0000-0000-0000DEF00000}"/>
    <cellStyle name="Percent 5 3 3 22" xfId="49905" xr:uid="{00000000-0005-0000-0000-0000DFF00000}"/>
    <cellStyle name="Percent 5 3 3 23" xfId="51588" xr:uid="{00000000-0005-0000-0000-0000E0F00000}"/>
    <cellStyle name="Percent 5 3 3 24" xfId="53271" xr:uid="{00000000-0005-0000-0000-0000E1F00000}"/>
    <cellStyle name="Percent 5 3 3 25" xfId="54954" xr:uid="{00000000-0005-0000-0000-0000E2F00000}"/>
    <cellStyle name="Percent 5 3 3 26" xfId="56637" xr:uid="{00000000-0005-0000-0000-0000E3F00000}"/>
    <cellStyle name="Percent 5 3 3 27" xfId="58320" xr:uid="{00000000-0005-0000-0000-0000E4F00000}"/>
    <cellStyle name="Percent 5 3 3 28" xfId="60003" xr:uid="{00000000-0005-0000-0000-0000E5F00000}"/>
    <cellStyle name="Percent 5 3 3 29" xfId="61686" xr:uid="{00000000-0005-0000-0000-0000E6F00000}"/>
    <cellStyle name="Percent 5 3 3 3" xfId="4461" xr:uid="{00000000-0005-0000-0000-0000E7F00000}"/>
    <cellStyle name="Percent 5 3 3 3 2" xfId="19610" xr:uid="{00000000-0005-0000-0000-0000E8F00000}"/>
    <cellStyle name="Percent 5 3 3 30" xfId="63369" xr:uid="{00000000-0005-0000-0000-0000E9F00000}"/>
    <cellStyle name="Percent 5 3 3 4" xfId="6144" xr:uid="{00000000-0005-0000-0000-0000EAF00000}"/>
    <cellStyle name="Percent 5 3 3 4 2" xfId="21293" xr:uid="{00000000-0005-0000-0000-0000EBF00000}"/>
    <cellStyle name="Percent 5 3 3 5" xfId="7827" xr:uid="{00000000-0005-0000-0000-0000ECF00000}"/>
    <cellStyle name="Percent 5 3 3 5 2" xfId="22976" xr:uid="{00000000-0005-0000-0000-0000EDF00000}"/>
    <cellStyle name="Percent 5 3 3 6" xfId="9510" xr:uid="{00000000-0005-0000-0000-0000EEF00000}"/>
    <cellStyle name="Percent 5 3 3 6 2" xfId="24659" xr:uid="{00000000-0005-0000-0000-0000EFF00000}"/>
    <cellStyle name="Percent 5 3 3 7" xfId="11193" xr:uid="{00000000-0005-0000-0000-0000F0F00000}"/>
    <cellStyle name="Percent 5 3 3 7 2" xfId="26342" xr:uid="{00000000-0005-0000-0000-0000F1F00000}"/>
    <cellStyle name="Percent 5 3 3 8" xfId="12877" xr:uid="{00000000-0005-0000-0000-0000F2F00000}"/>
    <cellStyle name="Percent 5 3 3 8 2" xfId="28026" xr:uid="{00000000-0005-0000-0000-0000F3F00000}"/>
    <cellStyle name="Percent 5 3 3 9" xfId="14560" xr:uid="{00000000-0005-0000-0000-0000F4F00000}"/>
    <cellStyle name="Percent 5 3 3 9 2" xfId="29709" xr:uid="{00000000-0005-0000-0000-0000F5F00000}"/>
    <cellStyle name="Percent 5 3 30" xfId="57479" xr:uid="{00000000-0005-0000-0000-0000F6F00000}"/>
    <cellStyle name="Percent 5 3 31" xfId="59162" xr:uid="{00000000-0005-0000-0000-0000F7F00000}"/>
    <cellStyle name="Percent 5 3 32" xfId="60845" xr:uid="{00000000-0005-0000-0000-0000F8F00000}"/>
    <cellStyle name="Percent 5 3 33" xfId="62528" xr:uid="{00000000-0005-0000-0000-0000F9F00000}"/>
    <cellStyle name="Percent 5 3 4" xfId="1515" xr:uid="{00000000-0005-0000-0000-0000FAF00000}"/>
    <cellStyle name="Percent 5 3 4 10" xfId="16664" xr:uid="{00000000-0005-0000-0000-0000FBF00000}"/>
    <cellStyle name="Percent 5 3 4 11" xfId="31813" xr:uid="{00000000-0005-0000-0000-0000FCF00000}"/>
    <cellStyle name="Percent 5 3 4 12" xfId="33496" xr:uid="{00000000-0005-0000-0000-0000FDF00000}"/>
    <cellStyle name="Percent 5 3 4 13" xfId="35179" xr:uid="{00000000-0005-0000-0000-0000FEF00000}"/>
    <cellStyle name="Percent 5 3 4 14" xfId="36862" xr:uid="{00000000-0005-0000-0000-0000FFF00000}"/>
    <cellStyle name="Percent 5 3 4 15" xfId="38545" xr:uid="{00000000-0005-0000-0000-000000F10000}"/>
    <cellStyle name="Percent 5 3 4 16" xfId="40228" xr:uid="{00000000-0005-0000-0000-000001F10000}"/>
    <cellStyle name="Percent 5 3 4 17" xfId="41911" xr:uid="{00000000-0005-0000-0000-000002F10000}"/>
    <cellStyle name="Percent 5 3 4 18" xfId="43594" xr:uid="{00000000-0005-0000-0000-000003F10000}"/>
    <cellStyle name="Percent 5 3 4 19" xfId="45277" xr:uid="{00000000-0005-0000-0000-000004F10000}"/>
    <cellStyle name="Percent 5 3 4 2" xfId="3198" xr:uid="{00000000-0005-0000-0000-000005F10000}"/>
    <cellStyle name="Percent 5 3 4 2 2" xfId="18347" xr:uid="{00000000-0005-0000-0000-000006F10000}"/>
    <cellStyle name="Percent 5 3 4 20" xfId="46960" xr:uid="{00000000-0005-0000-0000-000007F10000}"/>
    <cellStyle name="Percent 5 3 4 21" xfId="48643" xr:uid="{00000000-0005-0000-0000-000008F10000}"/>
    <cellStyle name="Percent 5 3 4 22" xfId="50326" xr:uid="{00000000-0005-0000-0000-000009F10000}"/>
    <cellStyle name="Percent 5 3 4 23" xfId="52009" xr:uid="{00000000-0005-0000-0000-00000AF10000}"/>
    <cellStyle name="Percent 5 3 4 24" xfId="53692" xr:uid="{00000000-0005-0000-0000-00000BF10000}"/>
    <cellStyle name="Percent 5 3 4 25" xfId="55375" xr:uid="{00000000-0005-0000-0000-00000CF10000}"/>
    <cellStyle name="Percent 5 3 4 26" xfId="57058" xr:uid="{00000000-0005-0000-0000-00000DF10000}"/>
    <cellStyle name="Percent 5 3 4 27" xfId="58741" xr:uid="{00000000-0005-0000-0000-00000EF10000}"/>
    <cellStyle name="Percent 5 3 4 28" xfId="60424" xr:uid="{00000000-0005-0000-0000-00000FF10000}"/>
    <cellStyle name="Percent 5 3 4 29" xfId="62107" xr:uid="{00000000-0005-0000-0000-000010F10000}"/>
    <cellStyle name="Percent 5 3 4 3" xfId="4882" xr:uid="{00000000-0005-0000-0000-000011F10000}"/>
    <cellStyle name="Percent 5 3 4 3 2" xfId="20031" xr:uid="{00000000-0005-0000-0000-000012F10000}"/>
    <cellStyle name="Percent 5 3 4 30" xfId="63790" xr:uid="{00000000-0005-0000-0000-000013F10000}"/>
    <cellStyle name="Percent 5 3 4 4" xfId="6565" xr:uid="{00000000-0005-0000-0000-000014F10000}"/>
    <cellStyle name="Percent 5 3 4 4 2" xfId="21714" xr:uid="{00000000-0005-0000-0000-000015F10000}"/>
    <cellStyle name="Percent 5 3 4 5" xfId="8248" xr:uid="{00000000-0005-0000-0000-000016F10000}"/>
    <cellStyle name="Percent 5 3 4 5 2" xfId="23397" xr:uid="{00000000-0005-0000-0000-000017F10000}"/>
    <cellStyle name="Percent 5 3 4 6" xfId="9931" xr:uid="{00000000-0005-0000-0000-000018F10000}"/>
    <cellStyle name="Percent 5 3 4 6 2" xfId="25080" xr:uid="{00000000-0005-0000-0000-000019F10000}"/>
    <cellStyle name="Percent 5 3 4 7" xfId="11614" xr:uid="{00000000-0005-0000-0000-00001AF10000}"/>
    <cellStyle name="Percent 5 3 4 7 2" xfId="26763" xr:uid="{00000000-0005-0000-0000-00001BF10000}"/>
    <cellStyle name="Percent 5 3 4 8" xfId="13298" xr:uid="{00000000-0005-0000-0000-00001CF10000}"/>
    <cellStyle name="Percent 5 3 4 8 2" xfId="28447" xr:uid="{00000000-0005-0000-0000-00001DF10000}"/>
    <cellStyle name="Percent 5 3 4 9" xfId="14981" xr:uid="{00000000-0005-0000-0000-00001EF10000}"/>
    <cellStyle name="Percent 5 3 4 9 2" xfId="30130" xr:uid="{00000000-0005-0000-0000-00001FF10000}"/>
    <cellStyle name="Percent 5 3 5" xfId="1936" xr:uid="{00000000-0005-0000-0000-000020F10000}"/>
    <cellStyle name="Percent 5 3 5 2" xfId="17085" xr:uid="{00000000-0005-0000-0000-000021F10000}"/>
    <cellStyle name="Percent 5 3 6" xfId="3620" xr:uid="{00000000-0005-0000-0000-000022F10000}"/>
    <cellStyle name="Percent 5 3 6 2" xfId="18769" xr:uid="{00000000-0005-0000-0000-000023F10000}"/>
    <cellStyle name="Percent 5 3 7" xfId="5303" xr:uid="{00000000-0005-0000-0000-000024F10000}"/>
    <cellStyle name="Percent 5 3 7 2" xfId="20452" xr:uid="{00000000-0005-0000-0000-000025F10000}"/>
    <cellStyle name="Percent 5 3 8" xfId="6986" xr:uid="{00000000-0005-0000-0000-000026F10000}"/>
    <cellStyle name="Percent 5 3 8 2" xfId="22135" xr:uid="{00000000-0005-0000-0000-000027F10000}"/>
    <cellStyle name="Percent 5 3 9" xfId="8669" xr:uid="{00000000-0005-0000-0000-000028F10000}"/>
    <cellStyle name="Percent 5 3 9 2" xfId="23818" xr:uid="{00000000-0005-0000-0000-000029F10000}"/>
    <cellStyle name="Percent 5 30" xfId="53903" xr:uid="{00000000-0005-0000-0000-00002AF10000}"/>
    <cellStyle name="Percent 5 31" xfId="55586" xr:uid="{00000000-0005-0000-0000-00002BF10000}"/>
    <cellStyle name="Percent 5 32" xfId="57269" xr:uid="{00000000-0005-0000-0000-00002CF10000}"/>
    <cellStyle name="Percent 5 33" xfId="58952" xr:uid="{00000000-0005-0000-0000-00002DF10000}"/>
    <cellStyle name="Percent 5 34" xfId="60635" xr:uid="{00000000-0005-0000-0000-00002EF10000}"/>
    <cellStyle name="Percent 5 35" xfId="62318" xr:uid="{00000000-0005-0000-0000-00002FF10000}"/>
    <cellStyle name="Percent 5 4" xfId="463" xr:uid="{00000000-0005-0000-0000-000030F10000}"/>
    <cellStyle name="Percent 5 4 10" xfId="15612" xr:uid="{00000000-0005-0000-0000-000031F10000}"/>
    <cellStyle name="Percent 5 4 11" xfId="30761" xr:uid="{00000000-0005-0000-0000-000032F10000}"/>
    <cellStyle name="Percent 5 4 12" xfId="32444" xr:uid="{00000000-0005-0000-0000-000033F10000}"/>
    <cellStyle name="Percent 5 4 13" xfId="34127" xr:uid="{00000000-0005-0000-0000-000034F10000}"/>
    <cellStyle name="Percent 5 4 14" xfId="35810" xr:uid="{00000000-0005-0000-0000-000035F10000}"/>
    <cellStyle name="Percent 5 4 15" xfId="37493" xr:uid="{00000000-0005-0000-0000-000036F10000}"/>
    <cellStyle name="Percent 5 4 16" xfId="39176" xr:uid="{00000000-0005-0000-0000-000037F10000}"/>
    <cellStyle name="Percent 5 4 17" xfId="40859" xr:uid="{00000000-0005-0000-0000-000038F10000}"/>
    <cellStyle name="Percent 5 4 18" xfId="42542" xr:uid="{00000000-0005-0000-0000-000039F10000}"/>
    <cellStyle name="Percent 5 4 19" xfId="44225" xr:uid="{00000000-0005-0000-0000-00003AF10000}"/>
    <cellStyle name="Percent 5 4 2" xfId="2146" xr:uid="{00000000-0005-0000-0000-00003BF10000}"/>
    <cellStyle name="Percent 5 4 2 2" xfId="17295" xr:uid="{00000000-0005-0000-0000-00003CF10000}"/>
    <cellStyle name="Percent 5 4 20" xfId="45908" xr:uid="{00000000-0005-0000-0000-00003DF10000}"/>
    <cellStyle name="Percent 5 4 21" xfId="47591" xr:uid="{00000000-0005-0000-0000-00003EF10000}"/>
    <cellStyle name="Percent 5 4 22" xfId="49274" xr:uid="{00000000-0005-0000-0000-00003FF10000}"/>
    <cellStyle name="Percent 5 4 23" xfId="50957" xr:uid="{00000000-0005-0000-0000-000040F10000}"/>
    <cellStyle name="Percent 5 4 24" xfId="52640" xr:uid="{00000000-0005-0000-0000-000041F10000}"/>
    <cellStyle name="Percent 5 4 25" xfId="54323" xr:uid="{00000000-0005-0000-0000-000042F10000}"/>
    <cellStyle name="Percent 5 4 26" xfId="56006" xr:uid="{00000000-0005-0000-0000-000043F10000}"/>
    <cellStyle name="Percent 5 4 27" xfId="57689" xr:uid="{00000000-0005-0000-0000-000044F10000}"/>
    <cellStyle name="Percent 5 4 28" xfId="59372" xr:uid="{00000000-0005-0000-0000-000045F10000}"/>
    <cellStyle name="Percent 5 4 29" xfId="61055" xr:uid="{00000000-0005-0000-0000-000046F10000}"/>
    <cellStyle name="Percent 5 4 3" xfId="3830" xr:uid="{00000000-0005-0000-0000-000047F10000}"/>
    <cellStyle name="Percent 5 4 3 2" xfId="18979" xr:uid="{00000000-0005-0000-0000-000048F10000}"/>
    <cellStyle name="Percent 5 4 30" xfId="62738" xr:uid="{00000000-0005-0000-0000-000049F10000}"/>
    <cellStyle name="Percent 5 4 4" xfId="5513" xr:uid="{00000000-0005-0000-0000-00004AF10000}"/>
    <cellStyle name="Percent 5 4 4 2" xfId="20662" xr:uid="{00000000-0005-0000-0000-00004BF10000}"/>
    <cellStyle name="Percent 5 4 5" xfId="7196" xr:uid="{00000000-0005-0000-0000-00004CF10000}"/>
    <cellStyle name="Percent 5 4 5 2" xfId="22345" xr:uid="{00000000-0005-0000-0000-00004DF10000}"/>
    <cellStyle name="Percent 5 4 6" xfId="8879" xr:uid="{00000000-0005-0000-0000-00004EF10000}"/>
    <cellStyle name="Percent 5 4 6 2" xfId="24028" xr:uid="{00000000-0005-0000-0000-00004FF10000}"/>
    <cellStyle name="Percent 5 4 7" xfId="10562" xr:uid="{00000000-0005-0000-0000-000050F10000}"/>
    <cellStyle name="Percent 5 4 7 2" xfId="25711" xr:uid="{00000000-0005-0000-0000-000051F10000}"/>
    <cellStyle name="Percent 5 4 8" xfId="12246" xr:uid="{00000000-0005-0000-0000-000052F10000}"/>
    <cellStyle name="Percent 5 4 8 2" xfId="27395" xr:uid="{00000000-0005-0000-0000-000053F10000}"/>
    <cellStyle name="Percent 5 4 9" xfId="13929" xr:uid="{00000000-0005-0000-0000-000054F10000}"/>
    <cellStyle name="Percent 5 4 9 2" xfId="29078" xr:uid="{00000000-0005-0000-0000-000055F10000}"/>
    <cellStyle name="Percent 5 5" xfId="884" xr:uid="{00000000-0005-0000-0000-000056F10000}"/>
    <cellStyle name="Percent 5 5 10" xfId="16033" xr:uid="{00000000-0005-0000-0000-000057F10000}"/>
    <cellStyle name="Percent 5 5 11" xfId="31182" xr:uid="{00000000-0005-0000-0000-000058F10000}"/>
    <cellStyle name="Percent 5 5 12" xfId="32865" xr:uid="{00000000-0005-0000-0000-000059F10000}"/>
    <cellStyle name="Percent 5 5 13" xfId="34548" xr:uid="{00000000-0005-0000-0000-00005AF10000}"/>
    <cellStyle name="Percent 5 5 14" xfId="36231" xr:uid="{00000000-0005-0000-0000-00005BF10000}"/>
    <cellStyle name="Percent 5 5 15" xfId="37914" xr:uid="{00000000-0005-0000-0000-00005CF10000}"/>
    <cellStyle name="Percent 5 5 16" xfId="39597" xr:uid="{00000000-0005-0000-0000-00005DF10000}"/>
    <cellStyle name="Percent 5 5 17" xfId="41280" xr:uid="{00000000-0005-0000-0000-00005EF10000}"/>
    <cellStyle name="Percent 5 5 18" xfId="42963" xr:uid="{00000000-0005-0000-0000-00005FF10000}"/>
    <cellStyle name="Percent 5 5 19" xfId="44646" xr:uid="{00000000-0005-0000-0000-000060F10000}"/>
    <cellStyle name="Percent 5 5 2" xfId="2567" xr:uid="{00000000-0005-0000-0000-000061F10000}"/>
    <cellStyle name="Percent 5 5 2 2" xfId="17716" xr:uid="{00000000-0005-0000-0000-000062F10000}"/>
    <cellStyle name="Percent 5 5 20" xfId="46329" xr:uid="{00000000-0005-0000-0000-000063F10000}"/>
    <cellStyle name="Percent 5 5 21" xfId="48012" xr:uid="{00000000-0005-0000-0000-000064F10000}"/>
    <cellStyle name="Percent 5 5 22" xfId="49695" xr:uid="{00000000-0005-0000-0000-000065F10000}"/>
    <cellStyle name="Percent 5 5 23" xfId="51378" xr:uid="{00000000-0005-0000-0000-000066F10000}"/>
    <cellStyle name="Percent 5 5 24" xfId="53061" xr:uid="{00000000-0005-0000-0000-000067F10000}"/>
    <cellStyle name="Percent 5 5 25" xfId="54744" xr:uid="{00000000-0005-0000-0000-000068F10000}"/>
    <cellStyle name="Percent 5 5 26" xfId="56427" xr:uid="{00000000-0005-0000-0000-000069F10000}"/>
    <cellStyle name="Percent 5 5 27" xfId="58110" xr:uid="{00000000-0005-0000-0000-00006AF10000}"/>
    <cellStyle name="Percent 5 5 28" xfId="59793" xr:uid="{00000000-0005-0000-0000-00006BF10000}"/>
    <cellStyle name="Percent 5 5 29" xfId="61476" xr:uid="{00000000-0005-0000-0000-00006CF10000}"/>
    <cellStyle name="Percent 5 5 3" xfId="4251" xr:uid="{00000000-0005-0000-0000-00006DF10000}"/>
    <cellStyle name="Percent 5 5 3 2" xfId="19400" xr:uid="{00000000-0005-0000-0000-00006EF10000}"/>
    <cellStyle name="Percent 5 5 30" xfId="63159" xr:uid="{00000000-0005-0000-0000-00006FF10000}"/>
    <cellStyle name="Percent 5 5 4" xfId="5934" xr:uid="{00000000-0005-0000-0000-000070F10000}"/>
    <cellStyle name="Percent 5 5 4 2" xfId="21083" xr:uid="{00000000-0005-0000-0000-000071F10000}"/>
    <cellStyle name="Percent 5 5 5" xfId="7617" xr:uid="{00000000-0005-0000-0000-000072F10000}"/>
    <cellStyle name="Percent 5 5 5 2" xfId="22766" xr:uid="{00000000-0005-0000-0000-000073F10000}"/>
    <cellStyle name="Percent 5 5 6" xfId="9300" xr:uid="{00000000-0005-0000-0000-000074F10000}"/>
    <cellStyle name="Percent 5 5 6 2" xfId="24449" xr:uid="{00000000-0005-0000-0000-000075F10000}"/>
    <cellStyle name="Percent 5 5 7" xfId="10983" xr:uid="{00000000-0005-0000-0000-000076F10000}"/>
    <cellStyle name="Percent 5 5 7 2" xfId="26132" xr:uid="{00000000-0005-0000-0000-000077F10000}"/>
    <cellStyle name="Percent 5 5 8" xfId="12667" xr:uid="{00000000-0005-0000-0000-000078F10000}"/>
    <cellStyle name="Percent 5 5 8 2" xfId="27816" xr:uid="{00000000-0005-0000-0000-000079F10000}"/>
    <cellStyle name="Percent 5 5 9" xfId="14350" xr:uid="{00000000-0005-0000-0000-00007AF10000}"/>
    <cellStyle name="Percent 5 5 9 2" xfId="29499" xr:uid="{00000000-0005-0000-0000-00007BF10000}"/>
    <cellStyle name="Percent 5 6" xfId="1305" xr:uid="{00000000-0005-0000-0000-00007CF10000}"/>
    <cellStyle name="Percent 5 6 10" xfId="16454" xr:uid="{00000000-0005-0000-0000-00007DF10000}"/>
    <cellStyle name="Percent 5 6 11" xfId="31603" xr:uid="{00000000-0005-0000-0000-00007EF10000}"/>
    <cellStyle name="Percent 5 6 12" xfId="33286" xr:uid="{00000000-0005-0000-0000-00007FF10000}"/>
    <cellStyle name="Percent 5 6 13" xfId="34969" xr:uid="{00000000-0005-0000-0000-000080F10000}"/>
    <cellStyle name="Percent 5 6 14" xfId="36652" xr:uid="{00000000-0005-0000-0000-000081F10000}"/>
    <cellStyle name="Percent 5 6 15" xfId="38335" xr:uid="{00000000-0005-0000-0000-000082F10000}"/>
    <cellStyle name="Percent 5 6 16" xfId="40018" xr:uid="{00000000-0005-0000-0000-000083F10000}"/>
    <cellStyle name="Percent 5 6 17" xfId="41701" xr:uid="{00000000-0005-0000-0000-000084F10000}"/>
    <cellStyle name="Percent 5 6 18" xfId="43384" xr:uid="{00000000-0005-0000-0000-000085F10000}"/>
    <cellStyle name="Percent 5 6 19" xfId="45067" xr:uid="{00000000-0005-0000-0000-000086F10000}"/>
    <cellStyle name="Percent 5 6 2" xfId="2988" xr:uid="{00000000-0005-0000-0000-000087F10000}"/>
    <cellStyle name="Percent 5 6 2 2" xfId="18137" xr:uid="{00000000-0005-0000-0000-000088F10000}"/>
    <cellStyle name="Percent 5 6 20" xfId="46750" xr:uid="{00000000-0005-0000-0000-000089F10000}"/>
    <cellStyle name="Percent 5 6 21" xfId="48433" xr:uid="{00000000-0005-0000-0000-00008AF10000}"/>
    <cellStyle name="Percent 5 6 22" xfId="50116" xr:uid="{00000000-0005-0000-0000-00008BF10000}"/>
    <cellStyle name="Percent 5 6 23" xfId="51799" xr:uid="{00000000-0005-0000-0000-00008CF10000}"/>
    <cellStyle name="Percent 5 6 24" xfId="53482" xr:uid="{00000000-0005-0000-0000-00008DF10000}"/>
    <cellStyle name="Percent 5 6 25" xfId="55165" xr:uid="{00000000-0005-0000-0000-00008EF10000}"/>
    <cellStyle name="Percent 5 6 26" xfId="56848" xr:uid="{00000000-0005-0000-0000-00008FF10000}"/>
    <cellStyle name="Percent 5 6 27" xfId="58531" xr:uid="{00000000-0005-0000-0000-000090F10000}"/>
    <cellStyle name="Percent 5 6 28" xfId="60214" xr:uid="{00000000-0005-0000-0000-000091F10000}"/>
    <cellStyle name="Percent 5 6 29" xfId="61897" xr:uid="{00000000-0005-0000-0000-000092F10000}"/>
    <cellStyle name="Percent 5 6 3" xfId="4672" xr:uid="{00000000-0005-0000-0000-000093F10000}"/>
    <cellStyle name="Percent 5 6 3 2" xfId="19821" xr:uid="{00000000-0005-0000-0000-000094F10000}"/>
    <cellStyle name="Percent 5 6 30" xfId="63580" xr:uid="{00000000-0005-0000-0000-000095F10000}"/>
    <cellStyle name="Percent 5 6 4" xfId="6355" xr:uid="{00000000-0005-0000-0000-000096F10000}"/>
    <cellStyle name="Percent 5 6 4 2" xfId="21504" xr:uid="{00000000-0005-0000-0000-000097F10000}"/>
    <cellStyle name="Percent 5 6 5" xfId="8038" xr:uid="{00000000-0005-0000-0000-000098F10000}"/>
    <cellStyle name="Percent 5 6 5 2" xfId="23187" xr:uid="{00000000-0005-0000-0000-000099F10000}"/>
    <cellStyle name="Percent 5 6 6" xfId="9721" xr:uid="{00000000-0005-0000-0000-00009AF10000}"/>
    <cellStyle name="Percent 5 6 6 2" xfId="24870" xr:uid="{00000000-0005-0000-0000-00009BF10000}"/>
    <cellStyle name="Percent 5 6 7" xfId="11404" xr:uid="{00000000-0005-0000-0000-00009CF10000}"/>
    <cellStyle name="Percent 5 6 7 2" xfId="26553" xr:uid="{00000000-0005-0000-0000-00009DF10000}"/>
    <cellStyle name="Percent 5 6 8" xfId="13088" xr:uid="{00000000-0005-0000-0000-00009EF10000}"/>
    <cellStyle name="Percent 5 6 8 2" xfId="28237" xr:uid="{00000000-0005-0000-0000-00009FF10000}"/>
    <cellStyle name="Percent 5 6 9" xfId="14771" xr:uid="{00000000-0005-0000-0000-0000A0F10000}"/>
    <cellStyle name="Percent 5 6 9 2" xfId="29920" xr:uid="{00000000-0005-0000-0000-0000A1F10000}"/>
    <cellStyle name="Percent 5 7" xfId="1726" xr:uid="{00000000-0005-0000-0000-0000A2F10000}"/>
    <cellStyle name="Percent 5 7 2" xfId="16875" xr:uid="{00000000-0005-0000-0000-0000A3F10000}"/>
    <cellStyle name="Percent 5 8" xfId="3410" xr:uid="{00000000-0005-0000-0000-0000A4F10000}"/>
    <cellStyle name="Percent 5 8 2" xfId="18559" xr:uid="{00000000-0005-0000-0000-0000A5F10000}"/>
    <cellStyle name="Percent 5 9" xfId="5093" xr:uid="{00000000-0005-0000-0000-0000A6F10000}"/>
    <cellStyle name="Percent 5 9 2" xfId="20242" xr:uid="{00000000-0005-0000-0000-0000A7F10000}"/>
    <cellStyle name="Percent 6" xfId="30" xr:uid="{00000000-0005-0000-0000-0000A8F10000}"/>
    <cellStyle name="Percent 6 10" xfId="6785" xr:uid="{00000000-0005-0000-0000-0000A9F10000}"/>
    <cellStyle name="Percent 6 10 2" xfId="21934" xr:uid="{00000000-0005-0000-0000-0000AAF10000}"/>
    <cellStyle name="Percent 6 11" xfId="8468" xr:uid="{00000000-0005-0000-0000-0000ABF10000}"/>
    <cellStyle name="Percent 6 11 2" xfId="23617" xr:uid="{00000000-0005-0000-0000-0000ACF10000}"/>
    <cellStyle name="Percent 6 12" xfId="10151" xr:uid="{00000000-0005-0000-0000-0000ADF10000}"/>
    <cellStyle name="Percent 6 12 2" xfId="25300" xr:uid="{00000000-0005-0000-0000-0000AEF10000}"/>
    <cellStyle name="Percent 6 13" xfId="11835" xr:uid="{00000000-0005-0000-0000-0000AFF10000}"/>
    <cellStyle name="Percent 6 13 2" xfId="26984" xr:uid="{00000000-0005-0000-0000-0000B0F10000}"/>
    <cellStyle name="Percent 6 14" xfId="13518" xr:uid="{00000000-0005-0000-0000-0000B1F10000}"/>
    <cellStyle name="Percent 6 14 2" xfId="28667" xr:uid="{00000000-0005-0000-0000-0000B2F10000}"/>
    <cellStyle name="Percent 6 15" xfId="15201" xr:uid="{00000000-0005-0000-0000-0000B3F10000}"/>
    <cellStyle name="Percent 6 16" xfId="30350" xr:uid="{00000000-0005-0000-0000-0000B4F10000}"/>
    <cellStyle name="Percent 6 17" xfId="32033" xr:uid="{00000000-0005-0000-0000-0000B5F10000}"/>
    <cellStyle name="Percent 6 18" xfId="33716" xr:uid="{00000000-0005-0000-0000-0000B6F10000}"/>
    <cellStyle name="Percent 6 19" xfId="35399" xr:uid="{00000000-0005-0000-0000-0000B7F10000}"/>
    <cellStyle name="Percent 6 2" xfId="157" xr:uid="{00000000-0005-0000-0000-0000B8F10000}"/>
    <cellStyle name="Percent 6 2 10" xfId="8573" xr:uid="{00000000-0005-0000-0000-0000B9F10000}"/>
    <cellStyle name="Percent 6 2 10 2" xfId="23722" xr:uid="{00000000-0005-0000-0000-0000BAF10000}"/>
    <cellStyle name="Percent 6 2 11" xfId="10256" xr:uid="{00000000-0005-0000-0000-0000BBF10000}"/>
    <cellStyle name="Percent 6 2 11 2" xfId="25405" xr:uid="{00000000-0005-0000-0000-0000BCF10000}"/>
    <cellStyle name="Percent 6 2 12" xfId="11940" xr:uid="{00000000-0005-0000-0000-0000BDF10000}"/>
    <cellStyle name="Percent 6 2 12 2" xfId="27089" xr:uid="{00000000-0005-0000-0000-0000BEF10000}"/>
    <cellStyle name="Percent 6 2 13" xfId="13623" xr:uid="{00000000-0005-0000-0000-0000BFF10000}"/>
    <cellStyle name="Percent 6 2 13 2" xfId="28772" xr:uid="{00000000-0005-0000-0000-0000C0F10000}"/>
    <cellStyle name="Percent 6 2 14" xfId="15306" xr:uid="{00000000-0005-0000-0000-0000C1F10000}"/>
    <cellStyle name="Percent 6 2 15" xfId="30455" xr:uid="{00000000-0005-0000-0000-0000C2F10000}"/>
    <cellStyle name="Percent 6 2 16" xfId="32138" xr:uid="{00000000-0005-0000-0000-0000C3F10000}"/>
    <cellStyle name="Percent 6 2 17" xfId="33821" xr:uid="{00000000-0005-0000-0000-0000C4F10000}"/>
    <cellStyle name="Percent 6 2 18" xfId="35504" xr:uid="{00000000-0005-0000-0000-0000C5F10000}"/>
    <cellStyle name="Percent 6 2 19" xfId="37187" xr:uid="{00000000-0005-0000-0000-0000C6F10000}"/>
    <cellStyle name="Percent 6 2 2" xfId="367" xr:uid="{00000000-0005-0000-0000-0000C7F10000}"/>
    <cellStyle name="Percent 6 2 2 10" xfId="10466" xr:uid="{00000000-0005-0000-0000-0000C8F10000}"/>
    <cellStyle name="Percent 6 2 2 10 2" xfId="25615" xr:uid="{00000000-0005-0000-0000-0000C9F10000}"/>
    <cellStyle name="Percent 6 2 2 11" xfId="12150" xr:uid="{00000000-0005-0000-0000-0000CAF10000}"/>
    <cellStyle name="Percent 6 2 2 11 2" xfId="27299" xr:uid="{00000000-0005-0000-0000-0000CBF10000}"/>
    <cellStyle name="Percent 6 2 2 12" xfId="13833" xr:uid="{00000000-0005-0000-0000-0000CCF10000}"/>
    <cellStyle name="Percent 6 2 2 12 2" xfId="28982" xr:uid="{00000000-0005-0000-0000-0000CDF10000}"/>
    <cellStyle name="Percent 6 2 2 13" xfId="15516" xr:uid="{00000000-0005-0000-0000-0000CEF10000}"/>
    <cellStyle name="Percent 6 2 2 14" xfId="30665" xr:uid="{00000000-0005-0000-0000-0000CFF10000}"/>
    <cellStyle name="Percent 6 2 2 15" xfId="32348" xr:uid="{00000000-0005-0000-0000-0000D0F10000}"/>
    <cellStyle name="Percent 6 2 2 16" xfId="34031" xr:uid="{00000000-0005-0000-0000-0000D1F10000}"/>
    <cellStyle name="Percent 6 2 2 17" xfId="35714" xr:uid="{00000000-0005-0000-0000-0000D2F10000}"/>
    <cellStyle name="Percent 6 2 2 18" xfId="37397" xr:uid="{00000000-0005-0000-0000-0000D3F10000}"/>
    <cellStyle name="Percent 6 2 2 19" xfId="39080" xr:uid="{00000000-0005-0000-0000-0000D4F10000}"/>
    <cellStyle name="Percent 6 2 2 2" xfId="787" xr:uid="{00000000-0005-0000-0000-0000D5F10000}"/>
    <cellStyle name="Percent 6 2 2 2 10" xfId="15936" xr:uid="{00000000-0005-0000-0000-0000D6F10000}"/>
    <cellStyle name="Percent 6 2 2 2 11" xfId="31085" xr:uid="{00000000-0005-0000-0000-0000D7F10000}"/>
    <cellStyle name="Percent 6 2 2 2 12" xfId="32768" xr:uid="{00000000-0005-0000-0000-0000D8F10000}"/>
    <cellStyle name="Percent 6 2 2 2 13" xfId="34451" xr:uid="{00000000-0005-0000-0000-0000D9F10000}"/>
    <cellStyle name="Percent 6 2 2 2 14" xfId="36134" xr:uid="{00000000-0005-0000-0000-0000DAF10000}"/>
    <cellStyle name="Percent 6 2 2 2 15" xfId="37817" xr:uid="{00000000-0005-0000-0000-0000DBF10000}"/>
    <cellStyle name="Percent 6 2 2 2 16" xfId="39500" xr:uid="{00000000-0005-0000-0000-0000DCF10000}"/>
    <cellStyle name="Percent 6 2 2 2 17" xfId="41183" xr:uid="{00000000-0005-0000-0000-0000DDF10000}"/>
    <cellStyle name="Percent 6 2 2 2 18" xfId="42866" xr:uid="{00000000-0005-0000-0000-0000DEF10000}"/>
    <cellStyle name="Percent 6 2 2 2 19" xfId="44549" xr:uid="{00000000-0005-0000-0000-0000DFF10000}"/>
    <cellStyle name="Percent 6 2 2 2 2" xfId="2470" xr:uid="{00000000-0005-0000-0000-0000E0F10000}"/>
    <cellStyle name="Percent 6 2 2 2 2 2" xfId="17619" xr:uid="{00000000-0005-0000-0000-0000E1F10000}"/>
    <cellStyle name="Percent 6 2 2 2 20" xfId="46232" xr:uid="{00000000-0005-0000-0000-0000E2F10000}"/>
    <cellStyle name="Percent 6 2 2 2 21" xfId="47915" xr:uid="{00000000-0005-0000-0000-0000E3F10000}"/>
    <cellStyle name="Percent 6 2 2 2 22" xfId="49598" xr:uid="{00000000-0005-0000-0000-0000E4F10000}"/>
    <cellStyle name="Percent 6 2 2 2 23" xfId="51281" xr:uid="{00000000-0005-0000-0000-0000E5F10000}"/>
    <cellStyle name="Percent 6 2 2 2 24" xfId="52964" xr:uid="{00000000-0005-0000-0000-0000E6F10000}"/>
    <cellStyle name="Percent 6 2 2 2 25" xfId="54647" xr:uid="{00000000-0005-0000-0000-0000E7F10000}"/>
    <cellStyle name="Percent 6 2 2 2 26" xfId="56330" xr:uid="{00000000-0005-0000-0000-0000E8F10000}"/>
    <cellStyle name="Percent 6 2 2 2 27" xfId="58013" xr:uid="{00000000-0005-0000-0000-0000E9F10000}"/>
    <cellStyle name="Percent 6 2 2 2 28" xfId="59696" xr:uid="{00000000-0005-0000-0000-0000EAF10000}"/>
    <cellStyle name="Percent 6 2 2 2 29" xfId="61379" xr:uid="{00000000-0005-0000-0000-0000EBF10000}"/>
    <cellStyle name="Percent 6 2 2 2 3" xfId="4154" xr:uid="{00000000-0005-0000-0000-0000ECF10000}"/>
    <cellStyle name="Percent 6 2 2 2 3 2" xfId="19303" xr:uid="{00000000-0005-0000-0000-0000EDF10000}"/>
    <cellStyle name="Percent 6 2 2 2 30" xfId="63062" xr:uid="{00000000-0005-0000-0000-0000EEF10000}"/>
    <cellStyle name="Percent 6 2 2 2 4" xfId="5837" xr:uid="{00000000-0005-0000-0000-0000EFF10000}"/>
    <cellStyle name="Percent 6 2 2 2 4 2" xfId="20986" xr:uid="{00000000-0005-0000-0000-0000F0F10000}"/>
    <cellStyle name="Percent 6 2 2 2 5" xfId="7520" xr:uid="{00000000-0005-0000-0000-0000F1F10000}"/>
    <cellStyle name="Percent 6 2 2 2 5 2" xfId="22669" xr:uid="{00000000-0005-0000-0000-0000F2F10000}"/>
    <cellStyle name="Percent 6 2 2 2 6" xfId="9203" xr:uid="{00000000-0005-0000-0000-0000F3F10000}"/>
    <cellStyle name="Percent 6 2 2 2 6 2" xfId="24352" xr:uid="{00000000-0005-0000-0000-0000F4F10000}"/>
    <cellStyle name="Percent 6 2 2 2 7" xfId="10886" xr:uid="{00000000-0005-0000-0000-0000F5F10000}"/>
    <cellStyle name="Percent 6 2 2 2 7 2" xfId="26035" xr:uid="{00000000-0005-0000-0000-0000F6F10000}"/>
    <cellStyle name="Percent 6 2 2 2 8" xfId="12570" xr:uid="{00000000-0005-0000-0000-0000F7F10000}"/>
    <cellStyle name="Percent 6 2 2 2 8 2" xfId="27719" xr:uid="{00000000-0005-0000-0000-0000F8F10000}"/>
    <cellStyle name="Percent 6 2 2 2 9" xfId="14253" xr:uid="{00000000-0005-0000-0000-0000F9F10000}"/>
    <cellStyle name="Percent 6 2 2 2 9 2" xfId="29402" xr:uid="{00000000-0005-0000-0000-0000FAF10000}"/>
    <cellStyle name="Percent 6 2 2 20" xfId="40763" xr:uid="{00000000-0005-0000-0000-0000FBF10000}"/>
    <cellStyle name="Percent 6 2 2 21" xfId="42446" xr:uid="{00000000-0005-0000-0000-0000FCF10000}"/>
    <cellStyle name="Percent 6 2 2 22" xfId="44129" xr:uid="{00000000-0005-0000-0000-0000FDF10000}"/>
    <cellStyle name="Percent 6 2 2 23" xfId="45812" xr:uid="{00000000-0005-0000-0000-0000FEF10000}"/>
    <cellStyle name="Percent 6 2 2 24" xfId="47495" xr:uid="{00000000-0005-0000-0000-0000FFF10000}"/>
    <cellStyle name="Percent 6 2 2 25" xfId="49178" xr:uid="{00000000-0005-0000-0000-000000F20000}"/>
    <cellStyle name="Percent 6 2 2 26" xfId="50861" xr:uid="{00000000-0005-0000-0000-000001F20000}"/>
    <cellStyle name="Percent 6 2 2 27" xfId="52544" xr:uid="{00000000-0005-0000-0000-000002F20000}"/>
    <cellStyle name="Percent 6 2 2 28" xfId="54227" xr:uid="{00000000-0005-0000-0000-000003F20000}"/>
    <cellStyle name="Percent 6 2 2 29" xfId="55910" xr:uid="{00000000-0005-0000-0000-000004F20000}"/>
    <cellStyle name="Percent 6 2 2 3" xfId="1208" xr:uid="{00000000-0005-0000-0000-000005F20000}"/>
    <cellStyle name="Percent 6 2 2 3 10" xfId="16357" xr:uid="{00000000-0005-0000-0000-000006F20000}"/>
    <cellStyle name="Percent 6 2 2 3 11" xfId="31506" xr:uid="{00000000-0005-0000-0000-000007F20000}"/>
    <cellStyle name="Percent 6 2 2 3 12" xfId="33189" xr:uid="{00000000-0005-0000-0000-000008F20000}"/>
    <cellStyle name="Percent 6 2 2 3 13" xfId="34872" xr:uid="{00000000-0005-0000-0000-000009F20000}"/>
    <cellStyle name="Percent 6 2 2 3 14" xfId="36555" xr:uid="{00000000-0005-0000-0000-00000AF20000}"/>
    <cellStyle name="Percent 6 2 2 3 15" xfId="38238" xr:uid="{00000000-0005-0000-0000-00000BF20000}"/>
    <cellStyle name="Percent 6 2 2 3 16" xfId="39921" xr:uid="{00000000-0005-0000-0000-00000CF20000}"/>
    <cellStyle name="Percent 6 2 2 3 17" xfId="41604" xr:uid="{00000000-0005-0000-0000-00000DF20000}"/>
    <cellStyle name="Percent 6 2 2 3 18" xfId="43287" xr:uid="{00000000-0005-0000-0000-00000EF20000}"/>
    <cellStyle name="Percent 6 2 2 3 19" xfId="44970" xr:uid="{00000000-0005-0000-0000-00000FF20000}"/>
    <cellStyle name="Percent 6 2 2 3 2" xfId="2891" xr:uid="{00000000-0005-0000-0000-000010F20000}"/>
    <cellStyle name="Percent 6 2 2 3 2 2" xfId="18040" xr:uid="{00000000-0005-0000-0000-000011F20000}"/>
    <cellStyle name="Percent 6 2 2 3 20" xfId="46653" xr:uid="{00000000-0005-0000-0000-000012F20000}"/>
    <cellStyle name="Percent 6 2 2 3 21" xfId="48336" xr:uid="{00000000-0005-0000-0000-000013F20000}"/>
    <cellStyle name="Percent 6 2 2 3 22" xfId="50019" xr:uid="{00000000-0005-0000-0000-000014F20000}"/>
    <cellStyle name="Percent 6 2 2 3 23" xfId="51702" xr:uid="{00000000-0005-0000-0000-000015F20000}"/>
    <cellStyle name="Percent 6 2 2 3 24" xfId="53385" xr:uid="{00000000-0005-0000-0000-000016F20000}"/>
    <cellStyle name="Percent 6 2 2 3 25" xfId="55068" xr:uid="{00000000-0005-0000-0000-000017F20000}"/>
    <cellStyle name="Percent 6 2 2 3 26" xfId="56751" xr:uid="{00000000-0005-0000-0000-000018F20000}"/>
    <cellStyle name="Percent 6 2 2 3 27" xfId="58434" xr:uid="{00000000-0005-0000-0000-000019F20000}"/>
    <cellStyle name="Percent 6 2 2 3 28" xfId="60117" xr:uid="{00000000-0005-0000-0000-00001AF20000}"/>
    <cellStyle name="Percent 6 2 2 3 29" xfId="61800" xr:uid="{00000000-0005-0000-0000-00001BF20000}"/>
    <cellStyle name="Percent 6 2 2 3 3" xfId="4575" xr:uid="{00000000-0005-0000-0000-00001CF20000}"/>
    <cellStyle name="Percent 6 2 2 3 3 2" xfId="19724" xr:uid="{00000000-0005-0000-0000-00001DF20000}"/>
    <cellStyle name="Percent 6 2 2 3 30" xfId="63483" xr:uid="{00000000-0005-0000-0000-00001EF20000}"/>
    <cellStyle name="Percent 6 2 2 3 4" xfId="6258" xr:uid="{00000000-0005-0000-0000-00001FF20000}"/>
    <cellStyle name="Percent 6 2 2 3 4 2" xfId="21407" xr:uid="{00000000-0005-0000-0000-000020F20000}"/>
    <cellStyle name="Percent 6 2 2 3 5" xfId="7941" xr:uid="{00000000-0005-0000-0000-000021F20000}"/>
    <cellStyle name="Percent 6 2 2 3 5 2" xfId="23090" xr:uid="{00000000-0005-0000-0000-000022F20000}"/>
    <cellStyle name="Percent 6 2 2 3 6" xfId="9624" xr:uid="{00000000-0005-0000-0000-000023F20000}"/>
    <cellStyle name="Percent 6 2 2 3 6 2" xfId="24773" xr:uid="{00000000-0005-0000-0000-000024F20000}"/>
    <cellStyle name="Percent 6 2 2 3 7" xfId="11307" xr:uid="{00000000-0005-0000-0000-000025F20000}"/>
    <cellStyle name="Percent 6 2 2 3 7 2" xfId="26456" xr:uid="{00000000-0005-0000-0000-000026F20000}"/>
    <cellStyle name="Percent 6 2 2 3 8" xfId="12991" xr:uid="{00000000-0005-0000-0000-000027F20000}"/>
    <cellStyle name="Percent 6 2 2 3 8 2" xfId="28140" xr:uid="{00000000-0005-0000-0000-000028F20000}"/>
    <cellStyle name="Percent 6 2 2 3 9" xfId="14674" xr:uid="{00000000-0005-0000-0000-000029F20000}"/>
    <cellStyle name="Percent 6 2 2 3 9 2" xfId="29823" xr:uid="{00000000-0005-0000-0000-00002AF20000}"/>
    <cellStyle name="Percent 6 2 2 30" xfId="57593" xr:uid="{00000000-0005-0000-0000-00002BF20000}"/>
    <cellStyle name="Percent 6 2 2 31" xfId="59276" xr:uid="{00000000-0005-0000-0000-00002CF20000}"/>
    <cellStyle name="Percent 6 2 2 32" xfId="60959" xr:uid="{00000000-0005-0000-0000-00002DF20000}"/>
    <cellStyle name="Percent 6 2 2 33" xfId="62642" xr:uid="{00000000-0005-0000-0000-00002EF20000}"/>
    <cellStyle name="Percent 6 2 2 4" xfId="1629" xr:uid="{00000000-0005-0000-0000-00002FF20000}"/>
    <cellStyle name="Percent 6 2 2 4 10" xfId="16778" xr:uid="{00000000-0005-0000-0000-000030F20000}"/>
    <cellStyle name="Percent 6 2 2 4 11" xfId="31927" xr:uid="{00000000-0005-0000-0000-000031F20000}"/>
    <cellStyle name="Percent 6 2 2 4 12" xfId="33610" xr:uid="{00000000-0005-0000-0000-000032F20000}"/>
    <cellStyle name="Percent 6 2 2 4 13" xfId="35293" xr:uid="{00000000-0005-0000-0000-000033F20000}"/>
    <cellStyle name="Percent 6 2 2 4 14" xfId="36976" xr:uid="{00000000-0005-0000-0000-000034F20000}"/>
    <cellStyle name="Percent 6 2 2 4 15" xfId="38659" xr:uid="{00000000-0005-0000-0000-000035F20000}"/>
    <cellStyle name="Percent 6 2 2 4 16" xfId="40342" xr:uid="{00000000-0005-0000-0000-000036F20000}"/>
    <cellStyle name="Percent 6 2 2 4 17" xfId="42025" xr:uid="{00000000-0005-0000-0000-000037F20000}"/>
    <cellStyle name="Percent 6 2 2 4 18" xfId="43708" xr:uid="{00000000-0005-0000-0000-000038F20000}"/>
    <cellStyle name="Percent 6 2 2 4 19" xfId="45391" xr:uid="{00000000-0005-0000-0000-000039F20000}"/>
    <cellStyle name="Percent 6 2 2 4 2" xfId="3312" xr:uid="{00000000-0005-0000-0000-00003AF20000}"/>
    <cellStyle name="Percent 6 2 2 4 2 2" xfId="18461" xr:uid="{00000000-0005-0000-0000-00003BF20000}"/>
    <cellStyle name="Percent 6 2 2 4 20" xfId="47074" xr:uid="{00000000-0005-0000-0000-00003CF20000}"/>
    <cellStyle name="Percent 6 2 2 4 21" xfId="48757" xr:uid="{00000000-0005-0000-0000-00003DF20000}"/>
    <cellStyle name="Percent 6 2 2 4 22" xfId="50440" xr:uid="{00000000-0005-0000-0000-00003EF20000}"/>
    <cellStyle name="Percent 6 2 2 4 23" xfId="52123" xr:uid="{00000000-0005-0000-0000-00003FF20000}"/>
    <cellStyle name="Percent 6 2 2 4 24" xfId="53806" xr:uid="{00000000-0005-0000-0000-000040F20000}"/>
    <cellStyle name="Percent 6 2 2 4 25" xfId="55489" xr:uid="{00000000-0005-0000-0000-000041F20000}"/>
    <cellStyle name="Percent 6 2 2 4 26" xfId="57172" xr:uid="{00000000-0005-0000-0000-000042F20000}"/>
    <cellStyle name="Percent 6 2 2 4 27" xfId="58855" xr:uid="{00000000-0005-0000-0000-000043F20000}"/>
    <cellStyle name="Percent 6 2 2 4 28" xfId="60538" xr:uid="{00000000-0005-0000-0000-000044F20000}"/>
    <cellStyle name="Percent 6 2 2 4 29" xfId="62221" xr:uid="{00000000-0005-0000-0000-000045F20000}"/>
    <cellStyle name="Percent 6 2 2 4 3" xfId="4996" xr:uid="{00000000-0005-0000-0000-000046F20000}"/>
    <cellStyle name="Percent 6 2 2 4 3 2" xfId="20145" xr:uid="{00000000-0005-0000-0000-000047F20000}"/>
    <cellStyle name="Percent 6 2 2 4 30" xfId="63904" xr:uid="{00000000-0005-0000-0000-000048F20000}"/>
    <cellStyle name="Percent 6 2 2 4 4" xfId="6679" xr:uid="{00000000-0005-0000-0000-000049F20000}"/>
    <cellStyle name="Percent 6 2 2 4 4 2" xfId="21828" xr:uid="{00000000-0005-0000-0000-00004AF20000}"/>
    <cellStyle name="Percent 6 2 2 4 5" xfId="8362" xr:uid="{00000000-0005-0000-0000-00004BF20000}"/>
    <cellStyle name="Percent 6 2 2 4 5 2" xfId="23511" xr:uid="{00000000-0005-0000-0000-00004CF20000}"/>
    <cellStyle name="Percent 6 2 2 4 6" xfId="10045" xr:uid="{00000000-0005-0000-0000-00004DF20000}"/>
    <cellStyle name="Percent 6 2 2 4 6 2" xfId="25194" xr:uid="{00000000-0005-0000-0000-00004EF20000}"/>
    <cellStyle name="Percent 6 2 2 4 7" xfId="11728" xr:uid="{00000000-0005-0000-0000-00004FF20000}"/>
    <cellStyle name="Percent 6 2 2 4 7 2" xfId="26877" xr:uid="{00000000-0005-0000-0000-000050F20000}"/>
    <cellStyle name="Percent 6 2 2 4 8" xfId="13412" xr:uid="{00000000-0005-0000-0000-000051F20000}"/>
    <cellStyle name="Percent 6 2 2 4 8 2" xfId="28561" xr:uid="{00000000-0005-0000-0000-000052F20000}"/>
    <cellStyle name="Percent 6 2 2 4 9" xfId="15095" xr:uid="{00000000-0005-0000-0000-000053F20000}"/>
    <cellStyle name="Percent 6 2 2 4 9 2" xfId="30244" xr:uid="{00000000-0005-0000-0000-000054F20000}"/>
    <cellStyle name="Percent 6 2 2 5" xfId="2050" xr:uid="{00000000-0005-0000-0000-000055F20000}"/>
    <cellStyle name="Percent 6 2 2 5 2" xfId="17199" xr:uid="{00000000-0005-0000-0000-000056F20000}"/>
    <cellStyle name="Percent 6 2 2 6" xfId="3734" xr:uid="{00000000-0005-0000-0000-000057F20000}"/>
    <cellStyle name="Percent 6 2 2 6 2" xfId="18883" xr:uid="{00000000-0005-0000-0000-000058F20000}"/>
    <cellStyle name="Percent 6 2 2 7" xfId="5417" xr:uid="{00000000-0005-0000-0000-000059F20000}"/>
    <cellStyle name="Percent 6 2 2 7 2" xfId="20566" xr:uid="{00000000-0005-0000-0000-00005AF20000}"/>
    <cellStyle name="Percent 6 2 2 8" xfId="7100" xr:uid="{00000000-0005-0000-0000-00005BF20000}"/>
    <cellStyle name="Percent 6 2 2 8 2" xfId="22249" xr:uid="{00000000-0005-0000-0000-00005CF20000}"/>
    <cellStyle name="Percent 6 2 2 9" xfId="8783" xr:uid="{00000000-0005-0000-0000-00005DF20000}"/>
    <cellStyle name="Percent 6 2 2 9 2" xfId="23932" xr:uid="{00000000-0005-0000-0000-00005EF20000}"/>
    <cellStyle name="Percent 6 2 20" xfId="38870" xr:uid="{00000000-0005-0000-0000-00005FF20000}"/>
    <cellStyle name="Percent 6 2 21" xfId="40553" xr:uid="{00000000-0005-0000-0000-000060F20000}"/>
    <cellStyle name="Percent 6 2 22" xfId="42236" xr:uid="{00000000-0005-0000-0000-000061F20000}"/>
    <cellStyle name="Percent 6 2 23" xfId="43919" xr:uid="{00000000-0005-0000-0000-000062F20000}"/>
    <cellStyle name="Percent 6 2 24" xfId="45602" xr:uid="{00000000-0005-0000-0000-000063F20000}"/>
    <cellStyle name="Percent 6 2 25" xfId="47285" xr:uid="{00000000-0005-0000-0000-000064F20000}"/>
    <cellStyle name="Percent 6 2 26" xfId="48968" xr:uid="{00000000-0005-0000-0000-000065F20000}"/>
    <cellStyle name="Percent 6 2 27" xfId="50651" xr:uid="{00000000-0005-0000-0000-000066F20000}"/>
    <cellStyle name="Percent 6 2 28" xfId="52334" xr:uid="{00000000-0005-0000-0000-000067F20000}"/>
    <cellStyle name="Percent 6 2 29" xfId="54017" xr:uid="{00000000-0005-0000-0000-000068F20000}"/>
    <cellStyle name="Percent 6 2 3" xfId="577" xr:uid="{00000000-0005-0000-0000-000069F20000}"/>
    <cellStyle name="Percent 6 2 3 10" xfId="15726" xr:uid="{00000000-0005-0000-0000-00006AF20000}"/>
    <cellStyle name="Percent 6 2 3 11" xfId="30875" xr:uid="{00000000-0005-0000-0000-00006BF20000}"/>
    <cellStyle name="Percent 6 2 3 12" xfId="32558" xr:uid="{00000000-0005-0000-0000-00006CF20000}"/>
    <cellStyle name="Percent 6 2 3 13" xfId="34241" xr:uid="{00000000-0005-0000-0000-00006DF20000}"/>
    <cellStyle name="Percent 6 2 3 14" xfId="35924" xr:uid="{00000000-0005-0000-0000-00006EF20000}"/>
    <cellStyle name="Percent 6 2 3 15" xfId="37607" xr:uid="{00000000-0005-0000-0000-00006FF20000}"/>
    <cellStyle name="Percent 6 2 3 16" xfId="39290" xr:uid="{00000000-0005-0000-0000-000070F20000}"/>
    <cellStyle name="Percent 6 2 3 17" xfId="40973" xr:uid="{00000000-0005-0000-0000-000071F20000}"/>
    <cellStyle name="Percent 6 2 3 18" xfId="42656" xr:uid="{00000000-0005-0000-0000-000072F20000}"/>
    <cellStyle name="Percent 6 2 3 19" xfId="44339" xr:uid="{00000000-0005-0000-0000-000073F20000}"/>
    <cellStyle name="Percent 6 2 3 2" xfId="2260" xr:uid="{00000000-0005-0000-0000-000074F20000}"/>
    <cellStyle name="Percent 6 2 3 2 2" xfId="17409" xr:uid="{00000000-0005-0000-0000-000075F20000}"/>
    <cellStyle name="Percent 6 2 3 20" xfId="46022" xr:uid="{00000000-0005-0000-0000-000076F20000}"/>
    <cellStyle name="Percent 6 2 3 21" xfId="47705" xr:uid="{00000000-0005-0000-0000-000077F20000}"/>
    <cellStyle name="Percent 6 2 3 22" xfId="49388" xr:uid="{00000000-0005-0000-0000-000078F20000}"/>
    <cellStyle name="Percent 6 2 3 23" xfId="51071" xr:uid="{00000000-0005-0000-0000-000079F20000}"/>
    <cellStyle name="Percent 6 2 3 24" xfId="52754" xr:uid="{00000000-0005-0000-0000-00007AF20000}"/>
    <cellStyle name="Percent 6 2 3 25" xfId="54437" xr:uid="{00000000-0005-0000-0000-00007BF20000}"/>
    <cellStyle name="Percent 6 2 3 26" xfId="56120" xr:uid="{00000000-0005-0000-0000-00007CF20000}"/>
    <cellStyle name="Percent 6 2 3 27" xfId="57803" xr:uid="{00000000-0005-0000-0000-00007DF20000}"/>
    <cellStyle name="Percent 6 2 3 28" xfId="59486" xr:uid="{00000000-0005-0000-0000-00007EF20000}"/>
    <cellStyle name="Percent 6 2 3 29" xfId="61169" xr:uid="{00000000-0005-0000-0000-00007FF20000}"/>
    <cellStyle name="Percent 6 2 3 3" xfId="3944" xr:uid="{00000000-0005-0000-0000-000080F20000}"/>
    <cellStyle name="Percent 6 2 3 3 2" xfId="19093" xr:uid="{00000000-0005-0000-0000-000081F20000}"/>
    <cellStyle name="Percent 6 2 3 30" xfId="62852" xr:uid="{00000000-0005-0000-0000-000082F20000}"/>
    <cellStyle name="Percent 6 2 3 4" xfId="5627" xr:uid="{00000000-0005-0000-0000-000083F20000}"/>
    <cellStyle name="Percent 6 2 3 4 2" xfId="20776" xr:uid="{00000000-0005-0000-0000-000084F20000}"/>
    <cellStyle name="Percent 6 2 3 5" xfId="7310" xr:uid="{00000000-0005-0000-0000-000085F20000}"/>
    <cellStyle name="Percent 6 2 3 5 2" xfId="22459" xr:uid="{00000000-0005-0000-0000-000086F20000}"/>
    <cellStyle name="Percent 6 2 3 6" xfId="8993" xr:uid="{00000000-0005-0000-0000-000087F20000}"/>
    <cellStyle name="Percent 6 2 3 6 2" xfId="24142" xr:uid="{00000000-0005-0000-0000-000088F20000}"/>
    <cellStyle name="Percent 6 2 3 7" xfId="10676" xr:uid="{00000000-0005-0000-0000-000089F20000}"/>
    <cellStyle name="Percent 6 2 3 7 2" xfId="25825" xr:uid="{00000000-0005-0000-0000-00008AF20000}"/>
    <cellStyle name="Percent 6 2 3 8" xfId="12360" xr:uid="{00000000-0005-0000-0000-00008BF20000}"/>
    <cellStyle name="Percent 6 2 3 8 2" xfId="27509" xr:uid="{00000000-0005-0000-0000-00008CF20000}"/>
    <cellStyle name="Percent 6 2 3 9" xfId="14043" xr:uid="{00000000-0005-0000-0000-00008DF20000}"/>
    <cellStyle name="Percent 6 2 3 9 2" xfId="29192" xr:uid="{00000000-0005-0000-0000-00008EF20000}"/>
    <cellStyle name="Percent 6 2 30" xfId="55700" xr:uid="{00000000-0005-0000-0000-00008FF20000}"/>
    <cellStyle name="Percent 6 2 31" xfId="57383" xr:uid="{00000000-0005-0000-0000-000090F20000}"/>
    <cellStyle name="Percent 6 2 32" xfId="59066" xr:uid="{00000000-0005-0000-0000-000091F20000}"/>
    <cellStyle name="Percent 6 2 33" xfId="60749" xr:uid="{00000000-0005-0000-0000-000092F20000}"/>
    <cellStyle name="Percent 6 2 34" xfId="62432" xr:uid="{00000000-0005-0000-0000-000093F20000}"/>
    <cellStyle name="Percent 6 2 4" xfId="998" xr:uid="{00000000-0005-0000-0000-000094F20000}"/>
    <cellStyle name="Percent 6 2 4 10" xfId="16147" xr:uid="{00000000-0005-0000-0000-000095F20000}"/>
    <cellStyle name="Percent 6 2 4 11" xfId="31296" xr:uid="{00000000-0005-0000-0000-000096F20000}"/>
    <cellStyle name="Percent 6 2 4 12" xfId="32979" xr:uid="{00000000-0005-0000-0000-000097F20000}"/>
    <cellStyle name="Percent 6 2 4 13" xfId="34662" xr:uid="{00000000-0005-0000-0000-000098F20000}"/>
    <cellStyle name="Percent 6 2 4 14" xfId="36345" xr:uid="{00000000-0005-0000-0000-000099F20000}"/>
    <cellStyle name="Percent 6 2 4 15" xfId="38028" xr:uid="{00000000-0005-0000-0000-00009AF20000}"/>
    <cellStyle name="Percent 6 2 4 16" xfId="39711" xr:uid="{00000000-0005-0000-0000-00009BF20000}"/>
    <cellStyle name="Percent 6 2 4 17" xfId="41394" xr:uid="{00000000-0005-0000-0000-00009CF20000}"/>
    <cellStyle name="Percent 6 2 4 18" xfId="43077" xr:uid="{00000000-0005-0000-0000-00009DF20000}"/>
    <cellStyle name="Percent 6 2 4 19" xfId="44760" xr:uid="{00000000-0005-0000-0000-00009EF20000}"/>
    <cellStyle name="Percent 6 2 4 2" xfId="2681" xr:uid="{00000000-0005-0000-0000-00009FF20000}"/>
    <cellStyle name="Percent 6 2 4 2 2" xfId="17830" xr:uid="{00000000-0005-0000-0000-0000A0F20000}"/>
    <cellStyle name="Percent 6 2 4 20" xfId="46443" xr:uid="{00000000-0005-0000-0000-0000A1F20000}"/>
    <cellStyle name="Percent 6 2 4 21" xfId="48126" xr:uid="{00000000-0005-0000-0000-0000A2F20000}"/>
    <cellStyle name="Percent 6 2 4 22" xfId="49809" xr:uid="{00000000-0005-0000-0000-0000A3F20000}"/>
    <cellStyle name="Percent 6 2 4 23" xfId="51492" xr:uid="{00000000-0005-0000-0000-0000A4F20000}"/>
    <cellStyle name="Percent 6 2 4 24" xfId="53175" xr:uid="{00000000-0005-0000-0000-0000A5F20000}"/>
    <cellStyle name="Percent 6 2 4 25" xfId="54858" xr:uid="{00000000-0005-0000-0000-0000A6F20000}"/>
    <cellStyle name="Percent 6 2 4 26" xfId="56541" xr:uid="{00000000-0005-0000-0000-0000A7F20000}"/>
    <cellStyle name="Percent 6 2 4 27" xfId="58224" xr:uid="{00000000-0005-0000-0000-0000A8F20000}"/>
    <cellStyle name="Percent 6 2 4 28" xfId="59907" xr:uid="{00000000-0005-0000-0000-0000A9F20000}"/>
    <cellStyle name="Percent 6 2 4 29" xfId="61590" xr:uid="{00000000-0005-0000-0000-0000AAF20000}"/>
    <cellStyle name="Percent 6 2 4 3" xfId="4365" xr:uid="{00000000-0005-0000-0000-0000ABF20000}"/>
    <cellStyle name="Percent 6 2 4 3 2" xfId="19514" xr:uid="{00000000-0005-0000-0000-0000ACF20000}"/>
    <cellStyle name="Percent 6 2 4 30" xfId="63273" xr:uid="{00000000-0005-0000-0000-0000ADF20000}"/>
    <cellStyle name="Percent 6 2 4 4" xfId="6048" xr:uid="{00000000-0005-0000-0000-0000AEF20000}"/>
    <cellStyle name="Percent 6 2 4 4 2" xfId="21197" xr:uid="{00000000-0005-0000-0000-0000AFF20000}"/>
    <cellStyle name="Percent 6 2 4 5" xfId="7731" xr:uid="{00000000-0005-0000-0000-0000B0F20000}"/>
    <cellStyle name="Percent 6 2 4 5 2" xfId="22880" xr:uid="{00000000-0005-0000-0000-0000B1F20000}"/>
    <cellStyle name="Percent 6 2 4 6" xfId="9414" xr:uid="{00000000-0005-0000-0000-0000B2F20000}"/>
    <cellStyle name="Percent 6 2 4 6 2" xfId="24563" xr:uid="{00000000-0005-0000-0000-0000B3F20000}"/>
    <cellStyle name="Percent 6 2 4 7" xfId="11097" xr:uid="{00000000-0005-0000-0000-0000B4F20000}"/>
    <cellStyle name="Percent 6 2 4 7 2" xfId="26246" xr:uid="{00000000-0005-0000-0000-0000B5F20000}"/>
    <cellStyle name="Percent 6 2 4 8" xfId="12781" xr:uid="{00000000-0005-0000-0000-0000B6F20000}"/>
    <cellStyle name="Percent 6 2 4 8 2" xfId="27930" xr:uid="{00000000-0005-0000-0000-0000B7F20000}"/>
    <cellStyle name="Percent 6 2 4 9" xfId="14464" xr:uid="{00000000-0005-0000-0000-0000B8F20000}"/>
    <cellStyle name="Percent 6 2 4 9 2" xfId="29613" xr:uid="{00000000-0005-0000-0000-0000B9F20000}"/>
    <cellStyle name="Percent 6 2 5" xfId="1419" xr:uid="{00000000-0005-0000-0000-0000BAF20000}"/>
    <cellStyle name="Percent 6 2 5 10" xfId="16568" xr:uid="{00000000-0005-0000-0000-0000BBF20000}"/>
    <cellStyle name="Percent 6 2 5 11" xfId="31717" xr:uid="{00000000-0005-0000-0000-0000BCF20000}"/>
    <cellStyle name="Percent 6 2 5 12" xfId="33400" xr:uid="{00000000-0005-0000-0000-0000BDF20000}"/>
    <cellStyle name="Percent 6 2 5 13" xfId="35083" xr:uid="{00000000-0005-0000-0000-0000BEF20000}"/>
    <cellStyle name="Percent 6 2 5 14" xfId="36766" xr:uid="{00000000-0005-0000-0000-0000BFF20000}"/>
    <cellStyle name="Percent 6 2 5 15" xfId="38449" xr:uid="{00000000-0005-0000-0000-0000C0F20000}"/>
    <cellStyle name="Percent 6 2 5 16" xfId="40132" xr:uid="{00000000-0005-0000-0000-0000C1F20000}"/>
    <cellStyle name="Percent 6 2 5 17" xfId="41815" xr:uid="{00000000-0005-0000-0000-0000C2F20000}"/>
    <cellStyle name="Percent 6 2 5 18" xfId="43498" xr:uid="{00000000-0005-0000-0000-0000C3F20000}"/>
    <cellStyle name="Percent 6 2 5 19" xfId="45181" xr:uid="{00000000-0005-0000-0000-0000C4F20000}"/>
    <cellStyle name="Percent 6 2 5 2" xfId="3102" xr:uid="{00000000-0005-0000-0000-0000C5F20000}"/>
    <cellStyle name="Percent 6 2 5 2 2" xfId="18251" xr:uid="{00000000-0005-0000-0000-0000C6F20000}"/>
    <cellStyle name="Percent 6 2 5 20" xfId="46864" xr:uid="{00000000-0005-0000-0000-0000C7F20000}"/>
    <cellStyle name="Percent 6 2 5 21" xfId="48547" xr:uid="{00000000-0005-0000-0000-0000C8F20000}"/>
    <cellStyle name="Percent 6 2 5 22" xfId="50230" xr:uid="{00000000-0005-0000-0000-0000C9F20000}"/>
    <cellStyle name="Percent 6 2 5 23" xfId="51913" xr:uid="{00000000-0005-0000-0000-0000CAF20000}"/>
    <cellStyle name="Percent 6 2 5 24" xfId="53596" xr:uid="{00000000-0005-0000-0000-0000CBF20000}"/>
    <cellStyle name="Percent 6 2 5 25" xfId="55279" xr:uid="{00000000-0005-0000-0000-0000CCF20000}"/>
    <cellStyle name="Percent 6 2 5 26" xfId="56962" xr:uid="{00000000-0005-0000-0000-0000CDF20000}"/>
    <cellStyle name="Percent 6 2 5 27" xfId="58645" xr:uid="{00000000-0005-0000-0000-0000CEF20000}"/>
    <cellStyle name="Percent 6 2 5 28" xfId="60328" xr:uid="{00000000-0005-0000-0000-0000CFF20000}"/>
    <cellStyle name="Percent 6 2 5 29" xfId="62011" xr:uid="{00000000-0005-0000-0000-0000D0F20000}"/>
    <cellStyle name="Percent 6 2 5 3" xfId="4786" xr:uid="{00000000-0005-0000-0000-0000D1F20000}"/>
    <cellStyle name="Percent 6 2 5 3 2" xfId="19935" xr:uid="{00000000-0005-0000-0000-0000D2F20000}"/>
    <cellStyle name="Percent 6 2 5 30" xfId="63694" xr:uid="{00000000-0005-0000-0000-0000D3F20000}"/>
    <cellStyle name="Percent 6 2 5 4" xfId="6469" xr:uid="{00000000-0005-0000-0000-0000D4F20000}"/>
    <cellStyle name="Percent 6 2 5 4 2" xfId="21618" xr:uid="{00000000-0005-0000-0000-0000D5F20000}"/>
    <cellStyle name="Percent 6 2 5 5" xfId="8152" xr:uid="{00000000-0005-0000-0000-0000D6F20000}"/>
    <cellStyle name="Percent 6 2 5 5 2" xfId="23301" xr:uid="{00000000-0005-0000-0000-0000D7F20000}"/>
    <cellStyle name="Percent 6 2 5 6" xfId="9835" xr:uid="{00000000-0005-0000-0000-0000D8F20000}"/>
    <cellStyle name="Percent 6 2 5 6 2" xfId="24984" xr:uid="{00000000-0005-0000-0000-0000D9F20000}"/>
    <cellStyle name="Percent 6 2 5 7" xfId="11518" xr:uid="{00000000-0005-0000-0000-0000DAF20000}"/>
    <cellStyle name="Percent 6 2 5 7 2" xfId="26667" xr:uid="{00000000-0005-0000-0000-0000DBF20000}"/>
    <cellStyle name="Percent 6 2 5 8" xfId="13202" xr:uid="{00000000-0005-0000-0000-0000DCF20000}"/>
    <cellStyle name="Percent 6 2 5 8 2" xfId="28351" xr:uid="{00000000-0005-0000-0000-0000DDF20000}"/>
    <cellStyle name="Percent 6 2 5 9" xfId="14885" xr:uid="{00000000-0005-0000-0000-0000DEF20000}"/>
    <cellStyle name="Percent 6 2 5 9 2" xfId="30034" xr:uid="{00000000-0005-0000-0000-0000DFF20000}"/>
    <cellStyle name="Percent 6 2 6" xfId="1840" xr:uid="{00000000-0005-0000-0000-0000E0F20000}"/>
    <cellStyle name="Percent 6 2 6 2" xfId="16989" xr:uid="{00000000-0005-0000-0000-0000E1F20000}"/>
    <cellStyle name="Percent 6 2 7" xfId="3524" xr:uid="{00000000-0005-0000-0000-0000E2F20000}"/>
    <cellStyle name="Percent 6 2 7 2" xfId="18673" xr:uid="{00000000-0005-0000-0000-0000E3F20000}"/>
    <cellStyle name="Percent 6 2 8" xfId="5207" xr:uid="{00000000-0005-0000-0000-0000E4F20000}"/>
    <cellStyle name="Percent 6 2 8 2" xfId="20356" xr:uid="{00000000-0005-0000-0000-0000E5F20000}"/>
    <cellStyle name="Percent 6 2 9" xfId="6890" xr:uid="{00000000-0005-0000-0000-0000E6F20000}"/>
    <cellStyle name="Percent 6 2 9 2" xfId="22039" xr:uid="{00000000-0005-0000-0000-0000E7F20000}"/>
    <cellStyle name="Percent 6 20" xfId="37082" xr:uid="{00000000-0005-0000-0000-0000E8F20000}"/>
    <cellStyle name="Percent 6 21" xfId="38765" xr:uid="{00000000-0005-0000-0000-0000E9F20000}"/>
    <cellStyle name="Percent 6 22" xfId="40448" xr:uid="{00000000-0005-0000-0000-0000EAF20000}"/>
    <cellStyle name="Percent 6 23" xfId="42131" xr:uid="{00000000-0005-0000-0000-0000EBF20000}"/>
    <cellStyle name="Percent 6 24" xfId="43814" xr:uid="{00000000-0005-0000-0000-0000ECF20000}"/>
    <cellStyle name="Percent 6 25" xfId="45497" xr:uid="{00000000-0005-0000-0000-0000EDF20000}"/>
    <cellStyle name="Percent 6 26" xfId="47180" xr:uid="{00000000-0005-0000-0000-0000EEF20000}"/>
    <cellStyle name="Percent 6 27" xfId="48863" xr:uid="{00000000-0005-0000-0000-0000EFF20000}"/>
    <cellStyle name="Percent 6 28" xfId="50546" xr:uid="{00000000-0005-0000-0000-0000F0F20000}"/>
    <cellStyle name="Percent 6 29" xfId="52229" xr:uid="{00000000-0005-0000-0000-0000F1F20000}"/>
    <cellStyle name="Percent 6 3" xfId="262" xr:uid="{00000000-0005-0000-0000-0000F2F20000}"/>
    <cellStyle name="Percent 6 3 10" xfId="10361" xr:uid="{00000000-0005-0000-0000-0000F3F20000}"/>
    <cellStyle name="Percent 6 3 10 2" xfId="25510" xr:uid="{00000000-0005-0000-0000-0000F4F20000}"/>
    <cellStyle name="Percent 6 3 11" xfId="12045" xr:uid="{00000000-0005-0000-0000-0000F5F20000}"/>
    <cellStyle name="Percent 6 3 11 2" xfId="27194" xr:uid="{00000000-0005-0000-0000-0000F6F20000}"/>
    <cellStyle name="Percent 6 3 12" xfId="13728" xr:uid="{00000000-0005-0000-0000-0000F7F20000}"/>
    <cellStyle name="Percent 6 3 12 2" xfId="28877" xr:uid="{00000000-0005-0000-0000-0000F8F20000}"/>
    <cellStyle name="Percent 6 3 13" xfId="15411" xr:uid="{00000000-0005-0000-0000-0000F9F20000}"/>
    <cellStyle name="Percent 6 3 14" xfId="30560" xr:uid="{00000000-0005-0000-0000-0000FAF20000}"/>
    <cellStyle name="Percent 6 3 15" xfId="32243" xr:uid="{00000000-0005-0000-0000-0000FBF20000}"/>
    <cellStyle name="Percent 6 3 16" xfId="33926" xr:uid="{00000000-0005-0000-0000-0000FCF20000}"/>
    <cellStyle name="Percent 6 3 17" xfId="35609" xr:uid="{00000000-0005-0000-0000-0000FDF20000}"/>
    <cellStyle name="Percent 6 3 18" xfId="37292" xr:uid="{00000000-0005-0000-0000-0000FEF20000}"/>
    <cellStyle name="Percent 6 3 19" xfId="38975" xr:uid="{00000000-0005-0000-0000-0000FFF20000}"/>
    <cellStyle name="Percent 6 3 2" xfId="682" xr:uid="{00000000-0005-0000-0000-000000F30000}"/>
    <cellStyle name="Percent 6 3 2 10" xfId="15831" xr:uid="{00000000-0005-0000-0000-000001F30000}"/>
    <cellStyle name="Percent 6 3 2 11" xfId="30980" xr:uid="{00000000-0005-0000-0000-000002F30000}"/>
    <cellStyle name="Percent 6 3 2 12" xfId="32663" xr:uid="{00000000-0005-0000-0000-000003F30000}"/>
    <cellStyle name="Percent 6 3 2 13" xfId="34346" xr:uid="{00000000-0005-0000-0000-000004F30000}"/>
    <cellStyle name="Percent 6 3 2 14" xfId="36029" xr:uid="{00000000-0005-0000-0000-000005F30000}"/>
    <cellStyle name="Percent 6 3 2 15" xfId="37712" xr:uid="{00000000-0005-0000-0000-000006F30000}"/>
    <cellStyle name="Percent 6 3 2 16" xfId="39395" xr:uid="{00000000-0005-0000-0000-000007F30000}"/>
    <cellStyle name="Percent 6 3 2 17" xfId="41078" xr:uid="{00000000-0005-0000-0000-000008F30000}"/>
    <cellStyle name="Percent 6 3 2 18" xfId="42761" xr:uid="{00000000-0005-0000-0000-000009F30000}"/>
    <cellStyle name="Percent 6 3 2 19" xfId="44444" xr:uid="{00000000-0005-0000-0000-00000AF30000}"/>
    <cellStyle name="Percent 6 3 2 2" xfId="2365" xr:uid="{00000000-0005-0000-0000-00000BF30000}"/>
    <cellStyle name="Percent 6 3 2 2 2" xfId="17514" xr:uid="{00000000-0005-0000-0000-00000CF30000}"/>
    <cellStyle name="Percent 6 3 2 20" xfId="46127" xr:uid="{00000000-0005-0000-0000-00000DF30000}"/>
    <cellStyle name="Percent 6 3 2 21" xfId="47810" xr:uid="{00000000-0005-0000-0000-00000EF30000}"/>
    <cellStyle name="Percent 6 3 2 22" xfId="49493" xr:uid="{00000000-0005-0000-0000-00000FF30000}"/>
    <cellStyle name="Percent 6 3 2 23" xfId="51176" xr:uid="{00000000-0005-0000-0000-000010F30000}"/>
    <cellStyle name="Percent 6 3 2 24" xfId="52859" xr:uid="{00000000-0005-0000-0000-000011F30000}"/>
    <cellStyle name="Percent 6 3 2 25" xfId="54542" xr:uid="{00000000-0005-0000-0000-000012F30000}"/>
    <cellStyle name="Percent 6 3 2 26" xfId="56225" xr:uid="{00000000-0005-0000-0000-000013F30000}"/>
    <cellStyle name="Percent 6 3 2 27" xfId="57908" xr:uid="{00000000-0005-0000-0000-000014F30000}"/>
    <cellStyle name="Percent 6 3 2 28" xfId="59591" xr:uid="{00000000-0005-0000-0000-000015F30000}"/>
    <cellStyle name="Percent 6 3 2 29" xfId="61274" xr:uid="{00000000-0005-0000-0000-000016F30000}"/>
    <cellStyle name="Percent 6 3 2 3" xfId="4049" xr:uid="{00000000-0005-0000-0000-000017F30000}"/>
    <cellStyle name="Percent 6 3 2 3 2" xfId="19198" xr:uid="{00000000-0005-0000-0000-000018F30000}"/>
    <cellStyle name="Percent 6 3 2 30" xfId="62957" xr:uid="{00000000-0005-0000-0000-000019F30000}"/>
    <cellStyle name="Percent 6 3 2 4" xfId="5732" xr:uid="{00000000-0005-0000-0000-00001AF30000}"/>
    <cellStyle name="Percent 6 3 2 4 2" xfId="20881" xr:uid="{00000000-0005-0000-0000-00001BF30000}"/>
    <cellStyle name="Percent 6 3 2 5" xfId="7415" xr:uid="{00000000-0005-0000-0000-00001CF30000}"/>
    <cellStyle name="Percent 6 3 2 5 2" xfId="22564" xr:uid="{00000000-0005-0000-0000-00001DF30000}"/>
    <cellStyle name="Percent 6 3 2 6" xfId="9098" xr:uid="{00000000-0005-0000-0000-00001EF30000}"/>
    <cellStyle name="Percent 6 3 2 6 2" xfId="24247" xr:uid="{00000000-0005-0000-0000-00001FF30000}"/>
    <cellStyle name="Percent 6 3 2 7" xfId="10781" xr:uid="{00000000-0005-0000-0000-000020F30000}"/>
    <cellStyle name="Percent 6 3 2 7 2" xfId="25930" xr:uid="{00000000-0005-0000-0000-000021F30000}"/>
    <cellStyle name="Percent 6 3 2 8" xfId="12465" xr:uid="{00000000-0005-0000-0000-000022F30000}"/>
    <cellStyle name="Percent 6 3 2 8 2" xfId="27614" xr:uid="{00000000-0005-0000-0000-000023F30000}"/>
    <cellStyle name="Percent 6 3 2 9" xfId="14148" xr:uid="{00000000-0005-0000-0000-000024F30000}"/>
    <cellStyle name="Percent 6 3 2 9 2" xfId="29297" xr:uid="{00000000-0005-0000-0000-000025F30000}"/>
    <cellStyle name="Percent 6 3 20" xfId="40658" xr:uid="{00000000-0005-0000-0000-000026F30000}"/>
    <cellStyle name="Percent 6 3 21" xfId="42341" xr:uid="{00000000-0005-0000-0000-000027F30000}"/>
    <cellStyle name="Percent 6 3 22" xfId="44024" xr:uid="{00000000-0005-0000-0000-000028F30000}"/>
    <cellStyle name="Percent 6 3 23" xfId="45707" xr:uid="{00000000-0005-0000-0000-000029F30000}"/>
    <cellStyle name="Percent 6 3 24" xfId="47390" xr:uid="{00000000-0005-0000-0000-00002AF30000}"/>
    <cellStyle name="Percent 6 3 25" xfId="49073" xr:uid="{00000000-0005-0000-0000-00002BF30000}"/>
    <cellStyle name="Percent 6 3 26" xfId="50756" xr:uid="{00000000-0005-0000-0000-00002CF30000}"/>
    <cellStyle name="Percent 6 3 27" xfId="52439" xr:uid="{00000000-0005-0000-0000-00002DF30000}"/>
    <cellStyle name="Percent 6 3 28" xfId="54122" xr:uid="{00000000-0005-0000-0000-00002EF30000}"/>
    <cellStyle name="Percent 6 3 29" xfId="55805" xr:uid="{00000000-0005-0000-0000-00002FF30000}"/>
    <cellStyle name="Percent 6 3 3" xfId="1103" xr:uid="{00000000-0005-0000-0000-000030F30000}"/>
    <cellStyle name="Percent 6 3 3 10" xfId="16252" xr:uid="{00000000-0005-0000-0000-000031F30000}"/>
    <cellStyle name="Percent 6 3 3 11" xfId="31401" xr:uid="{00000000-0005-0000-0000-000032F30000}"/>
    <cellStyle name="Percent 6 3 3 12" xfId="33084" xr:uid="{00000000-0005-0000-0000-000033F30000}"/>
    <cellStyle name="Percent 6 3 3 13" xfId="34767" xr:uid="{00000000-0005-0000-0000-000034F30000}"/>
    <cellStyle name="Percent 6 3 3 14" xfId="36450" xr:uid="{00000000-0005-0000-0000-000035F30000}"/>
    <cellStyle name="Percent 6 3 3 15" xfId="38133" xr:uid="{00000000-0005-0000-0000-000036F30000}"/>
    <cellStyle name="Percent 6 3 3 16" xfId="39816" xr:uid="{00000000-0005-0000-0000-000037F30000}"/>
    <cellStyle name="Percent 6 3 3 17" xfId="41499" xr:uid="{00000000-0005-0000-0000-000038F30000}"/>
    <cellStyle name="Percent 6 3 3 18" xfId="43182" xr:uid="{00000000-0005-0000-0000-000039F30000}"/>
    <cellStyle name="Percent 6 3 3 19" xfId="44865" xr:uid="{00000000-0005-0000-0000-00003AF30000}"/>
    <cellStyle name="Percent 6 3 3 2" xfId="2786" xr:uid="{00000000-0005-0000-0000-00003BF30000}"/>
    <cellStyle name="Percent 6 3 3 2 2" xfId="17935" xr:uid="{00000000-0005-0000-0000-00003CF30000}"/>
    <cellStyle name="Percent 6 3 3 20" xfId="46548" xr:uid="{00000000-0005-0000-0000-00003DF30000}"/>
    <cellStyle name="Percent 6 3 3 21" xfId="48231" xr:uid="{00000000-0005-0000-0000-00003EF30000}"/>
    <cellStyle name="Percent 6 3 3 22" xfId="49914" xr:uid="{00000000-0005-0000-0000-00003FF30000}"/>
    <cellStyle name="Percent 6 3 3 23" xfId="51597" xr:uid="{00000000-0005-0000-0000-000040F30000}"/>
    <cellStyle name="Percent 6 3 3 24" xfId="53280" xr:uid="{00000000-0005-0000-0000-000041F30000}"/>
    <cellStyle name="Percent 6 3 3 25" xfId="54963" xr:uid="{00000000-0005-0000-0000-000042F30000}"/>
    <cellStyle name="Percent 6 3 3 26" xfId="56646" xr:uid="{00000000-0005-0000-0000-000043F30000}"/>
    <cellStyle name="Percent 6 3 3 27" xfId="58329" xr:uid="{00000000-0005-0000-0000-000044F30000}"/>
    <cellStyle name="Percent 6 3 3 28" xfId="60012" xr:uid="{00000000-0005-0000-0000-000045F30000}"/>
    <cellStyle name="Percent 6 3 3 29" xfId="61695" xr:uid="{00000000-0005-0000-0000-000046F30000}"/>
    <cellStyle name="Percent 6 3 3 3" xfId="4470" xr:uid="{00000000-0005-0000-0000-000047F30000}"/>
    <cellStyle name="Percent 6 3 3 3 2" xfId="19619" xr:uid="{00000000-0005-0000-0000-000048F30000}"/>
    <cellStyle name="Percent 6 3 3 30" xfId="63378" xr:uid="{00000000-0005-0000-0000-000049F30000}"/>
    <cellStyle name="Percent 6 3 3 4" xfId="6153" xr:uid="{00000000-0005-0000-0000-00004AF30000}"/>
    <cellStyle name="Percent 6 3 3 4 2" xfId="21302" xr:uid="{00000000-0005-0000-0000-00004BF30000}"/>
    <cellStyle name="Percent 6 3 3 5" xfId="7836" xr:uid="{00000000-0005-0000-0000-00004CF30000}"/>
    <cellStyle name="Percent 6 3 3 5 2" xfId="22985" xr:uid="{00000000-0005-0000-0000-00004DF30000}"/>
    <cellStyle name="Percent 6 3 3 6" xfId="9519" xr:uid="{00000000-0005-0000-0000-00004EF30000}"/>
    <cellStyle name="Percent 6 3 3 6 2" xfId="24668" xr:uid="{00000000-0005-0000-0000-00004FF30000}"/>
    <cellStyle name="Percent 6 3 3 7" xfId="11202" xr:uid="{00000000-0005-0000-0000-000050F30000}"/>
    <cellStyle name="Percent 6 3 3 7 2" xfId="26351" xr:uid="{00000000-0005-0000-0000-000051F30000}"/>
    <cellStyle name="Percent 6 3 3 8" xfId="12886" xr:uid="{00000000-0005-0000-0000-000052F30000}"/>
    <cellStyle name="Percent 6 3 3 8 2" xfId="28035" xr:uid="{00000000-0005-0000-0000-000053F30000}"/>
    <cellStyle name="Percent 6 3 3 9" xfId="14569" xr:uid="{00000000-0005-0000-0000-000054F30000}"/>
    <cellStyle name="Percent 6 3 3 9 2" xfId="29718" xr:uid="{00000000-0005-0000-0000-000055F30000}"/>
    <cellStyle name="Percent 6 3 30" xfId="57488" xr:uid="{00000000-0005-0000-0000-000056F30000}"/>
    <cellStyle name="Percent 6 3 31" xfId="59171" xr:uid="{00000000-0005-0000-0000-000057F30000}"/>
    <cellStyle name="Percent 6 3 32" xfId="60854" xr:uid="{00000000-0005-0000-0000-000058F30000}"/>
    <cellStyle name="Percent 6 3 33" xfId="62537" xr:uid="{00000000-0005-0000-0000-000059F30000}"/>
    <cellStyle name="Percent 6 3 4" xfId="1524" xr:uid="{00000000-0005-0000-0000-00005AF30000}"/>
    <cellStyle name="Percent 6 3 4 10" xfId="16673" xr:uid="{00000000-0005-0000-0000-00005BF30000}"/>
    <cellStyle name="Percent 6 3 4 11" xfId="31822" xr:uid="{00000000-0005-0000-0000-00005CF30000}"/>
    <cellStyle name="Percent 6 3 4 12" xfId="33505" xr:uid="{00000000-0005-0000-0000-00005DF30000}"/>
    <cellStyle name="Percent 6 3 4 13" xfId="35188" xr:uid="{00000000-0005-0000-0000-00005EF30000}"/>
    <cellStyle name="Percent 6 3 4 14" xfId="36871" xr:uid="{00000000-0005-0000-0000-00005FF30000}"/>
    <cellStyle name="Percent 6 3 4 15" xfId="38554" xr:uid="{00000000-0005-0000-0000-000060F30000}"/>
    <cellStyle name="Percent 6 3 4 16" xfId="40237" xr:uid="{00000000-0005-0000-0000-000061F30000}"/>
    <cellStyle name="Percent 6 3 4 17" xfId="41920" xr:uid="{00000000-0005-0000-0000-000062F30000}"/>
    <cellStyle name="Percent 6 3 4 18" xfId="43603" xr:uid="{00000000-0005-0000-0000-000063F30000}"/>
    <cellStyle name="Percent 6 3 4 19" xfId="45286" xr:uid="{00000000-0005-0000-0000-000064F30000}"/>
    <cellStyle name="Percent 6 3 4 2" xfId="3207" xr:uid="{00000000-0005-0000-0000-000065F30000}"/>
    <cellStyle name="Percent 6 3 4 2 2" xfId="18356" xr:uid="{00000000-0005-0000-0000-000066F30000}"/>
    <cellStyle name="Percent 6 3 4 20" xfId="46969" xr:uid="{00000000-0005-0000-0000-000067F30000}"/>
    <cellStyle name="Percent 6 3 4 21" xfId="48652" xr:uid="{00000000-0005-0000-0000-000068F30000}"/>
    <cellStyle name="Percent 6 3 4 22" xfId="50335" xr:uid="{00000000-0005-0000-0000-000069F30000}"/>
    <cellStyle name="Percent 6 3 4 23" xfId="52018" xr:uid="{00000000-0005-0000-0000-00006AF30000}"/>
    <cellStyle name="Percent 6 3 4 24" xfId="53701" xr:uid="{00000000-0005-0000-0000-00006BF30000}"/>
    <cellStyle name="Percent 6 3 4 25" xfId="55384" xr:uid="{00000000-0005-0000-0000-00006CF30000}"/>
    <cellStyle name="Percent 6 3 4 26" xfId="57067" xr:uid="{00000000-0005-0000-0000-00006DF30000}"/>
    <cellStyle name="Percent 6 3 4 27" xfId="58750" xr:uid="{00000000-0005-0000-0000-00006EF30000}"/>
    <cellStyle name="Percent 6 3 4 28" xfId="60433" xr:uid="{00000000-0005-0000-0000-00006FF30000}"/>
    <cellStyle name="Percent 6 3 4 29" xfId="62116" xr:uid="{00000000-0005-0000-0000-000070F30000}"/>
    <cellStyle name="Percent 6 3 4 3" xfId="4891" xr:uid="{00000000-0005-0000-0000-000071F30000}"/>
    <cellStyle name="Percent 6 3 4 3 2" xfId="20040" xr:uid="{00000000-0005-0000-0000-000072F30000}"/>
    <cellStyle name="Percent 6 3 4 30" xfId="63799" xr:uid="{00000000-0005-0000-0000-000073F30000}"/>
    <cellStyle name="Percent 6 3 4 4" xfId="6574" xr:uid="{00000000-0005-0000-0000-000074F30000}"/>
    <cellStyle name="Percent 6 3 4 4 2" xfId="21723" xr:uid="{00000000-0005-0000-0000-000075F30000}"/>
    <cellStyle name="Percent 6 3 4 5" xfId="8257" xr:uid="{00000000-0005-0000-0000-000076F30000}"/>
    <cellStyle name="Percent 6 3 4 5 2" xfId="23406" xr:uid="{00000000-0005-0000-0000-000077F30000}"/>
    <cellStyle name="Percent 6 3 4 6" xfId="9940" xr:uid="{00000000-0005-0000-0000-000078F30000}"/>
    <cellStyle name="Percent 6 3 4 6 2" xfId="25089" xr:uid="{00000000-0005-0000-0000-000079F30000}"/>
    <cellStyle name="Percent 6 3 4 7" xfId="11623" xr:uid="{00000000-0005-0000-0000-00007AF30000}"/>
    <cellStyle name="Percent 6 3 4 7 2" xfId="26772" xr:uid="{00000000-0005-0000-0000-00007BF30000}"/>
    <cellStyle name="Percent 6 3 4 8" xfId="13307" xr:uid="{00000000-0005-0000-0000-00007CF30000}"/>
    <cellStyle name="Percent 6 3 4 8 2" xfId="28456" xr:uid="{00000000-0005-0000-0000-00007DF30000}"/>
    <cellStyle name="Percent 6 3 4 9" xfId="14990" xr:uid="{00000000-0005-0000-0000-00007EF30000}"/>
    <cellStyle name="Percent 6 3 4 9 2" xfId="30139" xr:uid="{00000000-0005-0000-0000-00007FF30000}"/>
    <cellStyle name="Percent 6 3 5" xfId="1945" xr:uid="{00000000-0005-0000-0000-000080F30000}"/>
    <cellStyle name="Percent 6 3 5 2" xfId="17094" xr:uid="{00000000-0005-0000-0000-000081F30000}"/>
    <cellStyle name="Percent 6 3 6" xfId="3629" xr:uid="{00000000-0005-0000-0000-000082F30000}"/>
    <cellStyle name="Percent 6 3 6 2" xfId="18778" xr:uid="{00000000-0005-0000-0000-000083F30000}"/>
    <cellStyle name="Percent 6 3 7" xfId="5312" xr:uid="{00000000-0005-0000-0000-000084F30000}"/>
    <cellStyle name="Percent 6 3 7 2" xfId="20461" xr:uid="{00000000-0005-0000-0000-000085F30000}"/>
    <cellStyle name="Percent 6 3 8" xfId="6995" xr:uid="{00000000-0005-0000-0000-000086F30000}"/>
    <cellStyle name="Percent 6 3 8 2" xfId="22144" xr:uid="{00000000-0005-0000-0000-000087F30000}"/>
    <cellStyle name="Percent 6 3 9" xfId="8678" xr:uid="{00000000-0005-0000-0000-000088F30000}"/>
    <cellStyle name="Percent 6 3 9 2" xfId="23827" xr:uid="{00000000-0005-0000-0000-000089F30000}"/>
    <cellStyle name="Percent 6 30" xfId="53912" xr:uid="{00000000-0005-0000-0000-00008AF30000}"/>
    <cellStyle name="Percent 6 31" xfId="55595" xr:uid="{00000000-0005-0000-0000-00008BF30000}"/>
    <cellStyle name="Percent 6 32" xfId="57278" xr:uid="{00000000-0005-0000-0000-00008CF30000}"/>
    <cellStyle name="Percent 6 33" xfId="58961" xr:uid="{00000000-0005-0000-0000-00008DF30000}"/>
    <cellStyle name="Percent 6 34" xfId="60644" xr:uid="{00000000-0005-0000-0000-00008EF30000}"/>
    <cellStyle name="Percent 6 35" xfId="62327" xr:uid="{00000000-0005-0000-0000-00008FF30000}"/>
    <cellStyle name="Percent 6 4" xfId="472" xr:uid="{00000000-0005-0000-0000-000090F30000}"/>
    <cellStyle name="Percent 6 4 10" xfId="15621" xr:uid="{00000000-0005-0000-0000-000091F30000}"/>
    <cellStyle name="Percent 6 4 11" xfId="30770" xr:uid="{00000000-0005-0000-0000-000092F30000}"/>
    <cellStyle name="Percent 6 4 12" xfId="32453" xr:uid="{00000000-0005-0000-0000-000093F30000}"/>
    <cellStyle name="Percent 6 4 13" xfId="34136" xr:uid="{00000000-0005-0000-0000-000094F30000}"/>
    <cellStyle name="Percent 6 4 14" xfId="35819" xr:uid="{00000000-0005-0000-0000-000095F30000}"/>
    <cellStyle name="Percent 6 4 15" xfId="37502" xr:uid="{00000000-0005-0000-0000-000096F30000}"/>
    <cellStyle name="Percent 6 4 16" xfId="39185" xr:uid="{00000000-0005-0000-0000-000097F30000}"/>
    <cellStyle name="Percent 6 4 17" xfId="40868" xr:uid="{00000000-0005-0000-0000-000098F30000}"/>
    <cellStyle name="Percent 6 4 18" xfId="42551" xr:uid="{00000000-0005-0000-0000-000099F30000}"/>
    <cellStyle name="Percent 6 4 19" xfId="44234" xr:uid="{00000000-0005-0000-0000-00009AF30000}"/>
    <cellStyle name="Percent 6 4 2" xfId="2155" xr:uid="{00000000-0005-0000-0000-00009BF30000}"/>
    <cellStyle name="Percent 6 4 2 2" xfId="17304" xr:uid="{00000000-0005-0000-0000-00009CF30000}"/>
    <cellStyle name="Percent 6 4 20" xfId="45917" xr:uid="{00000000-0005-0000-0000-00009DF30000}"/>
    <cellStyle name="Percent 6 4 21" xfId="47600" xr:uid="{00000000-0005-0000-0000-00009EF30000}"/>
    <cellStyle name="Percent 6 4 22" xfId="49283" xr:uid="{00000000-0005-0000-0000-00009FF30000}"/>
    <cellStyle name="Percent 6 4 23" xfId="50966" xr:uid="{00000000-0005-0000-0000-0000A0F30000}"/>
    <cellStyle name="Percent 6 4 24" xfId="52649" xr:uid="{00000000-0005-0000-0000-0000A1F30000}"/>
    <cellStyle name="Percent 6 4 25" xfId="54332" xr:uid="{00000000-0005-0000-0000-0000A2F30000}"/>
    <cellStyle name="Percent 6 4 26" xfId="56015" xr:uid="{00000000-0005-0000-0000-0000A3F30000}"/>
    <cellStyle name="Percent 6 4 27" xfId="57698" xr:uid="{00000000-0005-0000-0000-0000A4F30000}"/>
    <cellStyle name="Percent 6 4 28" xfId="59381" xr:uid="{00000000-0005-0000-0000-0000A5F30000}"/>
    <cellStyle name="Percent 6 4 29" xfId="61064" xr:uid="{00000000-0005-0000-0000-0000A6F30000}"/>
    <cellStyle name="Percent 6 4 3" xfId="3839" xr:uid="{00000000-0005-0000-0000-0000A7F30000}"/>
    <cellStyle name="Percent 6 4 3 2" xfId="18988" xr:uid="{00000000-0005-0000-0000-0000A8F30000}"/>
    <cellStyle name="Percent 6 4 30" xfId="62747" xr:uid="{00000000-0005-0000-0000-0000A9F30000}"/>
    <cellStyle name="Percent 6 4 4" xfId="5522" xr:uid="{00000000-0005-0000-0000-0000AAF30000}"/>
    <cellStyle name="Percent 6 4 4 2" xfId="20671" xr:uid="{00000000-0005-0000-0000-0000ABF30000}"/>
    <cellStyle name="Percent 6 4 5" xfId="7205" xr:uid="{00000000-0005-0000-0000-0000ACF30000}"/>
    <cellStyle name="Percent 6 4 5 2" xfId="22354" xr:uid="{00000000-0005-0000-0000-0000ADF30000}"/>
    <cellStyle name="Percent 6 4 6" xfId="8888" xr:uid="{00000000-0005-0000-0000-0000AEF30000}"/>
    <cellStyle name="Percent 6 4 6 2" xfId="24037" xr:uid="{00000000-0005-0000-0000-0000AFF30000}"/>
    <cellStyle name="Percent 6 4 7" xfId="10571" xr:uid="{00000000-0005-0000-0000-0000B0F30000}"/>
    <cellStyle name="Percent 6 4 7 2" xfId="25720" xr:uid="{00000000-0005-0000-0000-0000B1F30000}"/>
    <cellStyle name="Percent 6 4 8" xfId="12255" xr:uid="{00000000-0005-0000-0000-0000B2F30000}"/>
    <cellStyle name="Percent 6 4 8 2" xfId="27404" xr:uid="{00000000-0005-0000-0000-0000B3F30000}"/>
    <cellStyle name="Percent 6 4 9" xfId="13938" xr:uid="{00000000-0005-0000-0000-0000B4F30000}"/>
    <cellStyle name="Percent 6 4 9 2" xfId="29087" xr:uid="{00000000-0005-0000-0000-0000B5F30000}"/>
    <cellStyle name="Percent 6 5" xfId="893" xr:uid="{00000000-0005-0000-0000-0000B6F30000}"/>
    <cellStyle name="Percent 6 5 10" xfId="16042" xr:uid="{00000000-0005-0000-0000-0000B7F30000}"/>
    <cellStyle name="Percent 6 5 11" xfId="31191" xr:uid="{00000000-0005-0000-0000-0000B8F30000}"/>
    <cellStyle name="Percent 6 5 12" xfId="32874" xr:uid="{00000000-0005-0000-0000-0000B9F30000}"/>
    <cellStyle name="Percent 6 5 13" xfId="34557" xr:uid="{00000000-0005-0000-0000-0000BAF30000}"/>
    <cellStyle name="Percent 6 5 14" xfId="36240" xr:uid="{00000000-0005-0000-0000-0000BBF30000}"/>
    <cellStyle name="Percent 6 5 15" xfId="37923" xr:uid="{00000000-0005-0000-0000-0000BCF30000}"/>
    <cellStyle name="Percent 6 5 16" xfId="39606" xr:uid="{00000000-0005-0000-0000-0000BDF30000}"/>
    <cellStyle name="Percent 6 5 17" xfId="41289" xr:uid="{00000000-0005-0000-0000-0000BEF30000}"/>
    <cellStyle name="Percent 6 5 18" xfId="42972" xr:uid="{00000000-0005-0000-0000-0000BFF30000}"/>
    <cellStyle name="Percent 6 5 19" xfId="44655" xr:uid="{00000000-0005-0000-0000-0000C0F30000}"/>
    <cellStyle name="Percent 6 5 2" xfId="2576" xr:uid="{00000000-0005-0000-0000-0000C1F30000}"/>
    <cellStyle name="Percent 6 5 2 2" xfId="17725" xr:uid="{00000000-0005-0000-0000-0000C2F30000}"/>
    <cellStyle name="Percent 6 5 20" xfId="46338" xr:uid="{00000000-0005-0000-0000-0000C3F30000}"/>
    <cellStyle name="Percent 6 5 21" xfId="48021" xr:uid="{00000000-0005-0000-0000-0000C4F30000}"/>
    <cellStyle name="Percent 6 5 22" xfId="49704" xr:uid="{00000000-0005-0000-0000-0000C5F30000}"/>
    <cellStyle name="Percent 6 5 23" xfId="51387" xr:uid="{00000000-0005-0000-0000-0000C6F30000}"/>
    <cellStyle name="Percent 6 5 24" xfId="53070" xr:uid="{00000000-0005-0000-0000-0000C7F30000}"/>
    <cellStyle name="Percent 6 5 25" xfId="54753" xr:uid="{00000000-0005-0000-0000-0000C8F30000}"/>
    <cellStyle name="Percent 6 5 26" xfId="56436" xr:uid="{00000000-0005-0000-0000-0000C9F30000}"/>
    <cellStyle name="Percent 6 5 27" xfId="58119" xr:uid="{00000000-0005-0000-0000-0000CAF30000}"/>
    <cellStyle name="Percent 6 5 28" xfId="59802" xr:uid="{00000000-0005-0000-0000-0000CBF30000}"/>
    <cellStyle name="Percent 6 5 29" xfId="61485" xr:uid="{00000000-0005-0000-0000-0000CCF30000}"/>
    <cellStyle name="Percent 6 5 3" xfId="4260" xr:uid="{00000000-0005-0000-0000-0000CDF30000}"/>
    <cellStyle name="Percent 6 5 3 2" xfId="19409" xr:uid="{00000000-0005-0000-0000-0000CEF30000}"/>
    <cellStyle name="Percent 6 5 30" xfId="63168" xr:uid="{00000000-0005-0000-0000-0000CFF30000}"/>
    <cellStyle name="Percent 6 5 4" xfId="5943" xr:uid="{00000000-0005-0000-0000-0000D0F30000}"/>
    <cellStyle name="Percent 6 5 4 2" xfId="21092" xr:uid="{00000000-0005-0000-0000-0000D1F30000}"/>
    <cellStyle name="Percent 6 5 5" xfId="7626" xr:uid="{00000000-0005-0000-0000-0000D2F30000}"/>
    <cellStyle name="Percent 6 5 5 2" xfId="22775" xr:uid="{00000000-0005-0000-0000-0000D3F30000}"/>
    <cellStyle name="Percent 6 5 6" xfId="9309" xr:uid="{00000000-0005-0000-0000-0000D4F30000}"/>
    <cellStyle name="Percent 6 5 6 2" xfId="24458" xr:uid="{00000000-0005-0000-0000-0000D5F30000}"/>
    <cellStyle name="Percent 6 5 7" xfId="10992" xr:uid="{00000000-0005-0000-0000-0000D6F30000}"/>
    <cellStyle name="Percent 6 5 7 2" xfId="26141" xr:uid="{00000000-0005-0000-0000-0000D7F30000}"/>
    <cellStyle name="Percent 6 5 8" xfId="12676" xr:uid="{00000000-0005-0000-0000-0000D8F30000}"/>
    <cellStyle name="Percent 6 5 8 2" xfId="27825" xr:uid="{00000000-0005-0000-0000-0000D9F30000}"/>
    <cellStyle name="Percent 6 5 9" xfId="14359" xr:uid="{00000000-0005-0000-0000-0000DAF30000}"/>
    <cellStyle name="Percent 6 5 9 2" xfId="29508" xr:uid="{00000000-0005-0000-0000-0000DBF30000}"/>
    <cellStyle name="Percent 6 6" xfId="1314" xr:uid="{00000000-0005-0000-0000-0000DCF30000}"/>
    <cellStyle name="Percent 6 6 10" xfId="16463" xr:uid="{00000000-0005-0000-0000-0000DDF30000}"/>
    <cellStyle name="Percent 6 6 11" xfId="31612" xr:uid="{00000000-0005-0000-0000-0000DEF30000}"/>
    <cellStyle name="Percent 6 6 12" xfId="33295" xr:uid="{00000000-0005-0000-0000-0000DFF30000}"/>
    <cellStyle name="Percent 6 6 13" xfId="34978" xr:uid="{00000000-0005-0000-0000-0000E0F30000}"/>
    <cellStyle name="Percent 6 6 14" xfId="36661" xr:uid="{00000000-0005-0000-0000-0000E1F30000}"/>
    <cellStyle name="Percent 6 6 15" xfId="38344" xr:uid="{00000000-0005-0000-0000-0000E2F30000}"/>
    <cellStyle name="Percent 6 6 16" xfId="40027" xr:uid="{00000000-0005-0000-0000-0000E3F30000}"/>
    <cellStyle name="Percent 6 6 17" xfId="41710" xr:uid="{00000000-0005-0000-0000-0000E4F30000}"/>
    <cellStyle name="Percent 6 6 18" xfId="43393" xr:uid="{00000000-0005-0000-0000-0000E5F30000}"/>
    <cellStyle name="Percent 6 6 19" xfId="45076" xr:uid="{00000000-0005-0000-0000-0000E6F30000}"/>
    <cellStyle name="Percent 6 6 2" xfId="2997" xr:uid="{00000000-0005-0000-0000-0000E7F30000}"/>
    <cellStyle name="Percent 6 6 2 2" xfId="18146" xr:uid="{00000000-0005-0000-0000-0000E8F30000}"/>
    <cellStyle name="Percent 6 6 20" xfId="46759" xr:uid="{00000000-0005-0000-0000-0000E9F30000}"/>
    <cellStyle name="Percent 6 6 21" xfId="48442" xr:uid="{00000000-0005-0000-0000-0000EAF30000}"/>
    <cellStyle name="Percent 6 6 22" xfId="50125" xr:uid="{00000000-0005-0000-0000-0000EBF30000}"/>
    <cellStyle name="Percent 6 6 23" xfId="51808" xr:uid="{00000000-0005-0000-0000-0000ECF30000}"/>
    <cellStyle name="Percent 6 6 24" xfId="53491" xr:uid="{00000000-0005-0000-0000-0000EDF30000}"/>
    <cellStyle name="Percent 6 6 25" xfId="55174" xr:uid="{00000000-0005-0000-0000-0000EEF30000}"/>
    <cellStyle name="Percent 6 6 26" xfId="56857" xr:uid="{00000000-0005-0000-0000-0000EFF30000}"/>
    <cellStyle name="Percent 6 6 27" xfId="58540" xr:uid="{00000000-0005-0000-0000-0000F0F30000}"/>
    <cellStyle name="Percent 6 6 28" xfId="60223" xr:uid="{00000000-0005-0000-0000-0000F1F30000}"/>
    <cellStyle name="Percent 6 6 29" xfId="61906" xr:uid="{00000000-0005-0000-0000-0000F2F30000}"/>
    <cellStyle name="Percent 6 6 3" xfId="4681" xr:uid="{00000000-0005-0000-0000-0000F3F30000}"/>
    <cellStyle name="Percent 6 6 3 2" xfId="19830" xr:uid="{00000000-0005-0000-0000-0000F4F30000}"/>
    <cellStyle name="Percent 6 6 30" xfId="63589" xr:uid="{00000000-0005-0000-0000-0000F5F30000}"/>
    <cellStyle name="Percent 6 6 4" xfId="6364" xr:uid="{00000000-0005-0000-0000-0000F6F30000}"/>
    <cellStyle name="Percent 6 6 4 2" xfId="21513" xr:uid="{00000000-0005-0000-0000-0000F7F30000}"/>
    <cellStyle name="Percent 6 6 5" xfId="8047" xr:uid="{00000000-0005-0000-0000-0000F8F30000}"/>
    <cellStyle name="Percent 6 6 5 2" xfId="23196" xr:uid="{00000000-0005-0000-0000-0000F9F30000}"/>
    <cellStyle name="Percent 6 6 6" xfId="9730" xr:uid="{00000000-0005-0000-0000-0000FAF30000}"/>
    <cellStyle name="Percent 6 6 6 2" xfId="24879" xr:uid="{00000000-0005-0000-0000-0000FBF30000}"/>
    <cellStyle name="Percent 6 6 7" xfId="11413" xr:uid="{00000000-0005-0000-0000-0000FCF30000}"/>
    <cellStyle name="Percent 6 6 7 2" xfId="26562" xr:uid="{00000000-0005-0000-0000-0000FDF30000}"/>
    <cellStyle name="Percent 6 6 8" xfId="13097" xr:uid="{00000000-0005-0000-0000-0000FEF30000}"/>
    <cellStyle name="Percent 6 6 8 2" xfId="28246" xr:uid="{00000000-0005-0000-0000-0000FFF30000}"/>
    <cellStyle name="Percent 6 6 9" xfId="14780" xr:uid="{00000000-0005-0000-0000-000000F40000}"/>
    <cellStyle name="Percent 6 6 9 2" xfId="29929" xr:uid="{00000000-0005-0000-0000-000001F40000}"/>
    <cellStyle name="Percent 6 7" xfId="1735" xr:uid="{00000000-0005-0000-0000-000002F40000}"/>
    <cellStyle name="Percent 6 7 2" xfId="16884" xr:uid="{00000000-0005-0000-0000-000003F40000}"/>
    <cellStyle name="Percent 6 8" xfId="3419" xr:uid="{00000000-0005-0000-0000-000004F40000}"/>
    <cellStyle name="Percent 6 8 2" xfId="18568" xr:uid="{00000000-0005-0000-0000-000005F40000}"/>
    <cellStyle name="Percent 6 9" xfId="5102" xr:uid="{00000000-0005-0000-0000-000006F40000}"/>
    <cellStyle name="Percent 6 9 2" xfId="20251" xr:uid="{00000000-0005-0000-0000-000007F40000}"/>
    <cellStyle name="Percent 7" xfId="39" xr:uid="{00000000-0005-0000-0000-000008F40000}"/>
    <cellStyle name="Percent 7 10" xfId="6794" xr:uid="{00000000-0005-0000-0000-000009F40000}"/>
    <cellStyle name="Percent 7 10 2" xfId="21943" xr:uid="{00000000-0005-0000-0000-00000AF40000}"/>
    <cellStyle name="Percent 7 11" xfId="8477" xr:uid="{00000000-0005-0000-0000-00000BF40000}"/>
    <cellStyle name="Percent 7 11 2" xfId="23626" xr:uid="{00000000-0005-0000-0000-00000CF40000}"/>
    <cellStyle name="Percent 7 12" xfId="10160" xr:uid="{00000000-0005-0000-0000-00000DF40000}"/>
    <cellStyle name="Percent 7 12 2" xfId="25309" xr:uid="{00000000-0005-0000-0000-00000EF40000}"/>
    <cellStyle name="Percent 7 13" xfId="11844" xr:uid="{00000000-0005-0000-0000-00000FF40000}"/>
    <cellStyle name="Percent 7 13 2" xfId="26993" xr:uid="{00000000-0005-0000-0000-000010F40000}"/>
    <cellStyle name="Percent 7 14" xfId="13527" xr:uid="{00000000-0005-0000-0000-000011F40000}"/>
    <cellStyle name="Percent 7 14 2" xfId="28676" xr:uid="{00000000-0005-0000-0000-000012F40000}"/>
    <cellStyle name="Percent 7 15" xfId="15210" xr:uid="{00000000-0005-0000-0000-000013F40000}"/>
    <cellStyle name="Percent 7 16" xfId="30359" xr:uid="{00000000-0005-0000-0000-000014F40000}"/>
    <cellStyle name="Percent 7 17" xfId="32042" xr:uid="{00000000-0005-0000-0000-000015F40000}"/>
    <cellStyle name="Percent 7 18" xfId="33725" xr:uid="{00000000-0005-0000-0000-000016F40000}"/>
    <cellStyle name="Percent 7 19" xfId="35408" xr:uid="{00000000-0005-0000-0000-000017F40000}"/>
    <cellStyle name="Percent 7 2" xfId="166" xr:uid="{00000000-0005-0000-0000-000018F40000}"/>
    <cellStyle name="Percent 7 2 10" xfId="8582" xr:uid="{00000000-0005-0000-0000-000019F40000}"/>
    <cellStyle name="Percent 7 2 10 2" xfId="23731" xr:uid="{00000000-0005-0000-0000-00001AF40000}"/>
    <cellStyle name="Percent 7 2 11" xfId="10265" xr:uid="{00000000-0005-0000-0000-00001BF40000}"/>
    <cellStyle name="Percent 7 2 11 2" xfId="25414" xr:uid="{00000000-0005-0000-0000-00001CF40000}"/>
    <cellStyle name="Percent 7 2 12" xfId="11949" xr:uid="{00000000-0005-0000-0000-00001DF40000}"/>
    <cellStyle name="Percent 7 2 12 2" xfId="27098" xr:uid="{00000000-0005-0000-0000-00001EF40000}"/>
    <cellStyle name="Percent 7 2 13" xfId="13632" xr:uid="{00000000-0005-0000-0000-00001FF40000}"/>
    <cellStyle name="Percent 7 2 13 2" xfId="28781" xr:uid="{00000000-0005-0000-0000-000020F40000}"/>
    <cellStyle name="Percent 7 2 14" xfId="15315" xr:uid="{00000000-0005-0000-0000-000021F40000}"/>
    <cellStyle name="Percent 7 2 15" xfId="30464" xr:uid="{00000000-0005-0000-0000-000022F40000}"/>
    <cellStyle name="Percent 7 2 16" xfId="32147" xr:uid="{00000000-0005-0000-0000-000023F40000}"/>
    <cellStyle name="Percent 7 2 17" xfId="33830" xr:uid="{00000000-0005-0000-0000-000024F40000}"/>
    <cellStyle name="Percent 7 2 18" xfId="35513" xr:uid="{00000000-0005-0000-0000-000025F40000}"/>
    <cellStyle name="Percent 7 2 19" xfId="37196" xr:uid="{00000000-0005-0000-0000-000026F40000}"/>
    <cellStyle name="Percent 7 2 2" xfId="376" xr:uid="{00000000-0005-0000-0000-000027F40000}"/>
    <cellStyle name="Percent 7 2 2 10" xfId="10475" xr:uid="{00000000-0005-0000-0000-000028F40000}"/>
    <cellStyle name="Percent 7 2 2 10 2" xfId="25624" xr:uid="{00000000-0005-0000-0000-000029F40000}"/>
    <cellStyle name="Percent 7 2 2 11" xfId="12159" xr:uid="{00000000-0005-0000-0000-00002AF40000}"/>
    <cellStyle name="Percent 7 2 2 11 2" xfId="27308" xr:uid="{00000000-0005-0000-0000-00002BF40000}"/>
    <cellStyle name="Percent 7 2 2 12" xfId="13842" xr:uid="{00000000-0005-0000-0000-00002CF40000}"/>
    <cellStyle name="Percent 7 2 2 12 2" xfId="28991" xr:uid="{00000000-0005-0000-0000-00002DF40000}"/>
    <cellStyle name="Percent 7 2 2 13" xfId="15525" xr:uid="{00000000-0005-0000-0000-00002EF40000}"/>
    <cellStyle name="Percent 7 2 2 14" xfId="30674" xr:uid="{00000000-0005-0000-0000-00002FF40000}"/>
    <cellStyle name="Percent 7 2 2 15" xfId="32357" xr:uid="{00000000-0005-0000-0000-000030F40000}"/>
    <cellStyle name="Percent 7 2 2 16" xfId="34040" xr:uid="{00000000-0005-0000-0000-000031F40000}"/>
    <cellStyle name="Percent 7 2 2 17" xfId="35723" xr:uid="{00000000-0005-0000-0000-000032F40000}"/>
    <cellStyle name="Percent 7 2 2 18" xfId="37406" xr:uid="{00000000-0005-0000-0000-000033F40000}"/>
    <cellStyle name="Percent 7 2 2 19" xfId="39089" xr:uid="{00000000-0005-0000-0000-000034F40000}"/>
    <cellStyle name="Percent 7 2 2 2" xfId="796" xr:uid="{00000000-0005-0000-0000-000035F40000}"/>
    <cellStyle name="Percent 7 2 2 2 10" xfId="15945" xr:uid="{00000000-0005-0000-0000-000036F40000}"/>
    <cellStyle name="Percent 7 2 2 2 11" xfId="31094" xr:uid="{00000000-0005-0000-0000-000037F40000}"/>
    <cellStyle name="Percent 7 2 2 2 12" xfId="32777" xr:uid="{00000000-0005-0000-0000-000038F40000}"/>
    <cellStyle name="Percent 7 2 2 2 13" xfId="34460" xr:uid="{00000000-0005-0000-0000-000039F40000}"/>
    <cellStyle name="Percent 7 2 2 2 14" xfId="36143" xr:uid="{00000000-0005-0000-0000-00003AF40000}"/>
    <cellStyle name="Percent 7 2 2 2 15" xfId="37826" xr:uid="{00000000-0005-0000-0000-00003BF40000}"/>
    <cellStyle name="Percent 7 2 2 2 16" xfId="39509" xr:uid="{00000000-0005-0000-0000-00003CF40000}"/>
    <cellStyle name="Percent 7 2 2 2 17" xfId="41192" xr:uid="{00000000-0005-0000-0000-00003DF40000}"/>
    <cellStyle name="Percent 7 2 2 2 18" xfId="42875" xr:uid="{00000000-0005-0000-0000-00003EF40000}"/>
    <cellStyle name="Percent 7 2 2 2 19" xfId="44558" xr:uid="{00000000-0005-0000-0000-00003FF40000}"/>
    <cellStyle name="Percent 7 2 2 2 2" xfId="2479" xr:uid="{00000000-0005-0000-0000-000040F40000}"/>
    <cellStyle name="Percent 7 2 2 2 2 2" xfId="17628" xr:uid="{00000000-0005-0000-0000-000041F40000}"/>
    <cellStyle name="Percent 7 2 2 2 20" xfId="46241" xr:uid="{00000000-0005-0000-0000-000042F40000}"/>
    <cellStyle name="Percent 7 2 2 2 21" xfId="47924" xr:uid="{00000000-0005-0000-0000-000043F40000}"/>
    <cellStyle name="Percent 7 2 2 2 22" xfId="49607" xr:uid="{00000000-0005-0000-0000-000044F40000}"/>
    <cellStyle name="Percent 7 2 2 2 23" xfId="51290" xr:uid="{00000000-0005-0000-0000-000045F40000}"/>
    <cellStyle name="Percent 7 2 2 2 24" xfId="52973" xr:uid="{00000000-0005-0000-0000-000046F40000}"/>
    <cellStyle name="Percent 7 2 2 2 25" xfId="54656" xr:uid="{00000000-0005-0000-0000-000047F40000}"/>
    <cellStyle name="Percent 7 2 2 2 26" xfId="56339" xr:uid="{00000000-0005-0000-0000-000048F40000}"/>
    <cellStyle name="Percent 7 2 2 2 27" xfId="58022" xr:uid="{00000000-0005-0000-0000-000049F40000}"/>
    <cellStyle name="Percent 7 2 2 2 28" xfId="59705" xr:uid="{00000000-0005-0000-0000-00004AF40000}"/>
    <cellStyle name="Percent 7 2 2 2 29" xfId="61388" xr:uid="{00000000-0005-0000-0000-00004BF40000}"/>
    <cellStyle name="Percent 7 2 2 2 3" xfId="4163" xr:uid="{00000000-0005-0000-0000-00004CF40000}"/>
    <cellStyle name="Percent 7 2 2 2 3 2" xfId="19312" xr:uid="{00000000-0005-0000-0000-00004DF40000}"/>
    <cellStyle name="Percent 7 2 2 2 30" xfId="63071" xr:uid="{00000000-0005-0000-0000-00004EF40000}"/>
    <cellStyle name="Percent 7 2 2 2 4" xfId="5846" xr:uid="{00000000-0005-0000-0000-00004FF40000}"/>
    <cellStyle name="Percent 7 2 2 2 4 2" xfId="20995" xr:uid="{00000000-0005-0000-0000-000050F40000}"/>
    <cellStyle name="Percent 7 2 2 2 5" xfId="7529" xr:uid="{00000000-0005-0000-0000-000051F40000}"/>
    <cellStyle name="Percent 7 2 2 2 5 2" xfId="22678" xr:uid="{00000000-0005-0000-0000-000052F40000}"/>
    <cellStyle name="Percent 7 2 2 2 6" xfId="9212" xr:uid="{00000000-0005-0000-0000-000053F40000}"/>
    <cellStyle name="Percent 7 2 2 2 6 2" xfId="24361" xr:uid="{00000000-0005-0000-0000-000054F40000}"/>
    <cellStyle name="Percent 7 2 2 2 7" xfId="10895" xr:uid="{00000000-0005-0000-0000-000055F40000}"/>
    <cellStyle name="Percent 7 2 2 2 7 2" xfId="26044" xr:uid="{00000000-0005-0000-0000-000056F40000}"/>
    <cellStyle name="Percent 7 2 2 2 8" xfId="12579" xr:uid="{00000000-0005-0000-0000-000057F40000}"/>
    <cellStyle name="Percent 7 2 2 2 8 2" xfId="27728" xr:uid="{00000000-0005-0000-0000-000058F40000}"/>
    <cellStyle name="Percent 7 2 2 2 9" xfId="14262" xr:uid="{00000000-0005-0000-0000-000059F40000}"/>
    <cellStyle name="Percent 7 2 2 2 9 2" xfId="29411" xr:uid="{00000000-0005-0000-0000-00005AF40000}"/>
    <cellStyle name="Percent 7 2 2 20" xfId="40772" xr:uid="{00000000-0005-0000-0000-00005BF40000}"/>
    <cellStyle name="Percent 7 2 2 21" xfId="42455" xr:uid="{00000000-0005-0000-0000-00005CF40000}"/>
    <cellStyle name="Percent 7 2 2 22" xfId="44138" xr:uid="{00000000-0005-0000-0000-00005DF40000}"/>
    <cellStyle name="Percent 7 2 2 23" xfId="45821" xr:uid="{00000000-0005-0000-0000-00005EF40000}"/>
    <cellStyle name="Percent 7 2 2 24" xfId="47504" xr:uid="{00000000-0005-0000-0000-00005FF40000}"/>
    <cellStyle name="Percent 7 2 2 25" xfId="49187" xr:uid="{00000000-0005-0000-0000-000060F40000}"/>
    <cellStyle name="Percent 7 2 2 26" xfId="50870" xr:uid="{00000000-0005-0000-0000-000061F40000}"/>
    <cellStyle name="Percent 7 2 2 27" xfId="52553" xr:uid="{00000000-0005-0000-0000-000062F40000}"/>
    <cellStyle name="Percent 7 2 2 28" xfId="54236" xr:uid="{00000000-0005-0000-0000-000063F40000}"/>
    <cellStyle name="Percent 7 2 2 29" xfId="55919" xr:uid="{00000000-0005-0000-0000-000064F40000}"/>
    <cellStyle name="Percent 7 2 2 3" xfId="1217" xr:uid="{00000000-0005-0000-0000-000065F40000}"/>
    <cellStyle name="Percent 7 2 2 3 10" xfId="16366" xr:uid="{00000000-0005-0000-0000-000066F40000}"/>
    <cellStyle name="Percent 7 2 2 3 11" xfId="31515" xr:uid="{00000000-0005-0000-0000-000067F40000}"/>
    <cellStyle name="Percent 7 2 2 3 12" xfId="33198" xr:uid="{00000000-0005-0000-0000-000068F40000}"/>
    <cellStyle name="Percent 7 2 2 3 13" xfId="34881" xr:uid="{00000000-0005-0000-0000-000069F40000}"/>
    <cellStyle name="Percent 7 2 2 3 14" xfId="36564" xr:uid="{00000000-0005-0000-0000-00006AF40000}"/>
    <cellStyle name="Percent 7 2 2 3 15" xfId="38247" xr:uid="{00000000-0005-0000-0000-00006BF40000}"/>
    <cellStyle name="Percent 7 2 2 3 16" xfId="39930" xr:uid="{00000000-0005-0000-0000-00006CF40000}"/>
    <cellStyle name="Percent 7 2 2 3 17" xfId="41613" xr:uid="{00000000-0005-0000-0000-00006DF40000}"/>
    <cellStyle name="Percent 7 2 2 3 18" xfId="43296" xr:uid="{00000000-0005-0000-0000-00006EF40000}"/>
    <cellStyle name="Percent 7 2 2 3 19" xfId="44979" xr:uid="{00000000-0005-0000-0000-00006FF40000}"/>
    <cellStyle name="Percent 7 2 2 3 2" xfId="2900" xr:uid="{00000000-0005-0000-0000-000070F40000}"/>
    <cellStyle name="Percent 7 2 2 3 2 2" xfId="18049" xr:uid="{00000000-0005-0000-0000-000071F40000}"/>
    <cellStyle name="Percent 7 2 2 3 20" xfId="46662" xr:uid="{00000000-0005-0000-0000-000072F40000}"/>
    <cellStyle name="Percent 7 2 2 3 21" xfId="48345" xr:uid="{00000000-0005-0000-0000-000073F40000}"/>
    <cellStyle name="Percent 7 2 2 3 22" xfId="50028" xr:uid="{00000000-0005-0000-0000-000074F40000}"/>
    <cellStyle name="Percent 7 2 2 3 23" xfId="51711" xr:uid="{00000000-0005-0000-0000-000075F40000}"/>
    <cellStyle name="Percent 7 2 2 3 24" xfId="53394" xr:uid="{00000000-0005-0000-0000-000076F40000}"/>
    <cellStyle name="Percent 7 2 2 3 25" xfId="55077" xr:uid="{00000000-0005-0000-0000-000077F40000}"/>
    <cellStyle name="Percent 7 2 2 3 26" xfId="56760" xr:uid="{00000000-0005-0000-0000-000078F40000}"/>
    <cellStyle name="Percent 7 2 2 3 27" xfId="58443" xr:uid="{00000000-0005-0000-0000-000079F40000}"/>
    <cellStyle name="Percent 7 2 2 3 28" xfId="60126" xr:uid="{00000000-0005-0000-0000-00007AF40000}"/>
    <cellStyle name="Percent 7 2 2 3 29" xfId="61809" xr:uid="{00000000-0005-0000-0000-00007BF40000}"/>
    <cellStyle name="Percent 7 2 2 3 3" xfId="4584" xr:uid="{00000000-0005-0000-0000-00007CF40000}"/>
    <cellStyle name="Percent 7 2 2 3 3 2" xfId="19733" xr:uid="{00000000-0005-0000-0000-00007DF40000}"/>
    <cellStyle name="Percent 7 2 2 3 30" xfId="63492" xr:uid="{00000000-0005-0000-0000-00007EF40000}"/>
    <cellStyle name="Percent 7 2 2 3 4" xfId="6267" xr:uid="{00000000-0005-0000-0000-00007FF40000}"/>
    <cellStyle name="Percent 7 2 2 3 4 2" xfId="21416" xr:uid="{00000000-0005-0000-0000-000080F40000}"/>
    <cellStyle name="Percent 7 2 2 3 5" xfId="7950" xr:uid="{00000000-0005-0000-0000-000081F40000}"/>
    <cellStyle name="Percent 7 2 2 3 5 2" xfId="23099" xr:uid="{00000000-0005-0000-0000-000082F40000}"/>
    <cellStyle name="Percent 7 2 2 3 6" xfId="9633" xr:uid="{00000000-0005-0000-0000-000083F40000}"/>
    <cellStyle name="Percent 7 2 2 3 6 2" xfId="24782" xr:uid="{00000000-0005-0000-0000-000084F40000}"/>
    <cellStyle name="Percent 7 2 2 3 7" xfId="11316" xr:uid="{00000000-0005-0000-0000-000085F40000}"/>
    <cellStyle name="Percent 7 2 2 3 7 2" xfId="26465" xr:uid="{00000000-0005-0000-0000-000086F40000}"/>
    <cellStyle name="Percent 7 2 2 3 8" xfId="13000" xr:uid="{00000000-0005-0000-0000-000087F40000}"/>
    <cellStyle name="Percent 7 2 2 3 8 2" xfId="28149" xr:uid="{00000000-0005-0000-0000-000088F40000}"/>
    <cellStyle name="Percent 7 2 2 3 9" xfId="14683" xr:uid="{00000000-0005-0000-0000-000089F40000}"/>
    <cellStyle name="Percent 7 2 2 3 9 2" xfId="29832" xr:uid="{00000000-0005-0000-0000-00008AF40000}"/>
    <cellStyle name="Percent 7 2 2 30" xfId="57602" xr:uid="{00000000-0005-0000-0000-00008BF40000}"/>
    <cellStyle name="Percent 7 2 2 31" xfId="59285" xr:uid="{00000000-0005-0000-0000-00008CF40000}"/>
    <cellStyle name="Percent 7 2 2 32" xfId="60968" xr:uid="{00000000-0005-0000-0000-00008DF40000}"/>
    <cellStyle name="Percent 7 2 2 33" xfId="62651" xr:uid="{00000000-0005-0000-0000-00008EF40000}"/>
    <cellStyle name="Percent 7 2 2 4" xfId="1638" xr:uid="{00000000-0005-0000-0000-00008FF40000}"/>
    <cellStyle name="Percent 7 2 2 4 10" xfId="16787" xr:uid="{00000000-0005-0000-0000-000090F40000}"/>
    <cellStyle name="Percent 7 2 2 4 11" xfId="31936" xr:uid="{00000000-0005-0000-0000-000091F40000}"/>
    <cellStyle name="Percent 7 2 2 4 12" xfId="33619" xr:uid="{00000000-0005-0000-0000-000092F40000}"/>
    <cellStyle name="Percent 7 2 2 4 13" xfId="35302" xr:uid="{00000000-0005-0000-0000-000093F40000}"/>
    <cellStyle name="Percent 7 2 2 4 14" xfId="36985" xr:uid="{00000000-0005-0000-0000-000094F40000}"/>
    <cellStyle name="Percent 7 2 2 4 15" xfId="38668" xr:uid="{00000000-0005-0000-0000-000095F40000}"/>
    <cellStyle name="Percent 7 2 2 4 16" xfId="40351" xr:uid="{00000000-0005-0000-0000-000096F40000}"/>
    <cellStyle name="Percent 7 2 2 4 17" xfId="42034" xr:uid="{00000000-0005-0000-0000-000097F40000}"/>
    <cellStyle name="Percent 7 2 2 4 18" xfId="43717" xr:uid="{00000000-0005-0000-0000-000098F40000}"/>
    <cellStyle name="Percent 7 2 2 4 19" xfId="45400" xr:uid="{00000000-0005-0000-0000-000099F40000}"/>
    <cellStyle name="Percent 7 2 2 4 2" xfId="3321" xr:uid="{00000000-0005-0000-0000-00009AF40000}"/>
    <cellStyle name="Percent 7 2 2 4 2 2" xfId="18470" xr:uid="{00000000-0005-0000-0000-00009BF40000}"/>
    <cellStyle name="Percent 7 2 2 4 20" xfId="47083" xr:uid="{00000000-0005-0000-0000-00009CF40000}"/>
    <cellStyle name="Percent 7 2 2 4 21" xfId="48766" xr:uid="{00000000-0005-0000-0000-00009DF40000}"/>
    <cellStyle name="Percent 7 2 2 4 22" xfId="50449" xr:uid="{00000000-0005-0000-0000-00009EF40000}"/>
    <cellStyle name="Percent 7 2 2 4 23" xfId="52132" xr:uid="{00000000-0005-0000-0000-00009FF40000}"/>
    <cellStyle name="Percent 7 2 2 4 24" xfId="53815" xr:uid="{00000000-0005-0000-0000-0000A0F40000}"/>
    <cellStyle name="Percent 7 2 2 4 25" xfId="55498" xr:uid="{00000000-0005-0000-0000-0000A1F40000}"/>
    <cellStyle name="Percent 7 2 2 4 26" xfId="57181" xr:uid="{00000000-0005-0000-0000-0000A2F40000}"/>
    <cellStyle name="Percent 7 2 2 4 27" xfId="58864" xr:uid="{00000000-0005-0000-0000-0000A3F40000}"/>
    <cellStyle name="Percent 7 2 2 4 28" xfId="60547" xr:uid="{00000000-0005-0000-0000-0000A4F40000}"/>
    <cellStyle name="Percent 7 2 2 4 29" xfId="62230" xr:uid="{00000000-0005-0000-0000-0000A5F40000}"/>
    <cellStyle name="Percent 7 2 2 4 3" xfId="5005" xr:uid="{00000000-0005-0000-0000-0000A6F40000}"/>
    <cellStyle name="Percent 7 2 2 4 3 2" xfId="20154" xr:uid="{00000000-0005-0000-0000-0000A7F40000}"/>
    <cellStyle name="Percent 7 2 2 4 30" xfId="63913" xr:uid="{00000000-0005-0000-0000-0000A8F40000}"/>
    <cellStyle name="Percent 7 2 2 4 4" xfId="6688" xr:uid="{00000000-0005-0000-0000-0000A9F40000}"/>
    <cellStyle name="Percent 7 2 2 4 4 2" xfId="21837" xr:uid="{00000000-0005-0000-0000-0000AAF40000}"/>
    <cellStyle name="Percent 7 2 2 4 5" xfId="8371" xr:uid="{00000000-0005-0000-0000-0000ABF40000}"/>
    <cellStyle name="Percent 7 2 2 4 5 2" xfId="23520" xr:uid="{00000000-0005-0000-0000-0000ACF40000}"/>
    <cellStyle name="Percent 7 2 2 4 6" xfId="10054" xr:uid="{00000000-0005-0000-0000-0000ADF40000}"/>
    <cellStyle name="Percent 7 2 2 4 6 2" xfId="25203" xr:uid="{00000000-0005-0000-0000-0000AEF40000}"/>
    <cellStyle name="Percent 7 2 2 4 7" xfId="11737" xr:uid="{00000000-0005-0000-0000-0000AFF40000}"/>
    <cellStyle name="Percent 7 2 2 4 7 2" xfId="26886" xr:uid="{00000000-0005-0000-0000-0000B0F40000}"/>
    <cellStyle name="Percent 7 2 2 4 8" xfId="13421" xr:uid="{00000000-0005-0000-0000-0000B1F40000}"/>
    <cellStyle name="Percent 7 2 2 4 8 2" xfId="28570" xr:uid="{00000000-0005-0000-0000-0000B2F40000}"/>
    <cellStyle name="Percent 7 2 2 4 9" xfId="15104" xr:uid="{00000000-0005-0000-0000-0000B3F40000}"/>
    <cellStyle name="Percent 7 2 2 4 9 2" xfId="30253" xr:uid="{00000000-0005-0000-0000-0000B4F40000}"/>
    <cellStyle name="Percent 7 2 2 5" xfId="2059" xr:uid="{00000000-0005-0000-0000-0000B5F40000}"/>
    <cellStyle name="Percent 7 2 2 5 2" xfId="17208" xr:uid="{00000000-0005-0000-0000-0000B6F40000}"/>
    <cellStyle name="Percent 7 2 2 6" xfId="3743" xr:uid="{00000000-0005-0000-0000-0000B7F40000}"/>
    <cellStyle name="Percent 7 2 2 6 2" xfId="18892" xr:uid="{00000000-0005-0000-0000-0000B8F40000}"/>
    <cellStyle name="Percent 7 2 2 7" xfId="5426" xr:uid="{00000000-0005-0000-0000-0000B9F40000}"/>
    <cellStyle name="Percent 7 2 2 7 2" xfId="20575" xr:uid="{00000000-0005-0000-0000-0000BAF40000}"/>
    <cellStyle name="Percent 7 2 2 8" xfId="7109" xr:uid="{00000000-0005-0000-0000-0000BBF40000}"/>
    <cellStyle name="Percent 7 2 2 8 2" xfId="22258" xr:uid="{00000000-0005-0000-0000-0000BCF40000}"/>
    <cellStyle name="Percent 7 2 2 9" xfId="8792" xr:uid="{00000000-0005-0000-0000-0000BDF40000}"/>
    <cellStyle name="Percent 7 2 2 9 2" xfId="23941" xr:uid="{00000000-0005-0000-0000-0000BEF40000}"/>
    <cellStyle name="Percent 7 2 20" xfId="38879" xr:uid="{00000000-0005-0000-0000-0000BFF40000}"/>
    <cellStyle name="Percent 7 2 21" xfId="40562" xr:uid="{00000000-0005-0000-0000-0000C0F40000}"/>
    <cellStyle name="Percent 7 2 22" xfId="42245" xr:uid="{00000000-0005-0000-0000-0000C1F40000}"/>
    <cellStyle name="Percent 7 2 23" xfId="43928" xr:uid="{00000000-0005-0000-0000-0000C2F40000}"/>
    <cellStyle name="Percent 7 2 24" xfId="45611" xr:uid="{00000000-0005-0000-0000-0000C3F40000}"/>
    <cellStyle name="Percent 7 2 25" xfId="47294" xr:uid="{00000000-0005-0000-0000-0000C4F40000}"/>
    <cellStyle name="Percent 7 2 26" xfId="48977" xr:uid="{00000000-0005-0000-0000-0000C5F40000}"/>
    <cellStyle name="Percent 7 2 27" xfId="50660" xr:uid="{00000000-0005-0000-0000-0000C6F40000}"/>
    <cellStyle name="Percent 7 2 28" xfId="52343" xr:uid="{00000000-0005-0000-0000-0000C7F40000}"/>
    <cellStyle name="Percent 7 2 29" xfId="54026" xr:uid="{00000000-0005-0000-0000-0000C8F40000}"/>
    <cellStyle name="Percent 7 2 3" xfId="586" xr:uid="{00000000-0005-0000-0000-0000C9F40000}"/>
    <cellStyle name="Percent 7 2 3 10" xfId="15735" xr:uid="{00000000-0005-0000-0000-0000CAF40000}"/>
    <cellStyle name="Percent 7 2 3 11" xfId="30884" xr:uid="{00000000-0005-0000-0000-0000CBF40000}"/>
    <cellStyle name="Percent 7 2 3 12" xfId="32567" xr:uid="{00000000-0005-0000-0000-0000CCF40000}"/>
    <cellStyle name="Percent 7 2 3 13" xfId="34250" xr:uid="{00000000-0005-0000-0000-0000CDF40000}"/>
    <cellStyle name="Percent 7 2 3 14" xfId="35933" xr:uid="{00000000-0005-0000-0000-0000CEF40000}"/>
    <cellStyle name="Percent 7 2 3 15" xfId="37616" xr:uid="{00000000-0005-0000-0000-0000CFF40000}"/>
    <cellStyle name="Percent 7 2 3 16" xfId="39299" xr:uid="{00000000-0005-0000-0000-0000D0F40000}"/>
    <cellStyle name="Percent 7 2 3 17" xfId="40982" xr:uid="{00000000-0005-0000-0000-0000D1F40000}"/>
    <cellStyle name="Percent 7 2 3 18" xfId="42665" xr:uid="{00000000-0005-0000-0000-0000D2F40000}"/>
    <cellStyle name="Percent 7 2 3 19" xfId="44348" xr:uid="{00000000-0005-0000-0000-0000D3F40000}"/>
    <cellStyle name="Percent 7 2 3 2" xfId="2269" xr:uid="{00000000-0005-0000-0000-0000D4F40000}"/>
    <cellStyle name="Percent 7 2 3 2 2" xfId="17418" xr:uid="{00000000-0005-0000-0000-0000D5F40000}"/>
    <cellStyle name="Percent 7 2 3 20" xfId="46031" xr:uid="{00000000-0005-0000-0000-0000D6F40000}"/>
    <cellStyle name="Percent 7 2 3 21" xfId="47714" xr:uid="{00000000-0005-0000-0000-0000D7F40000}"/>
    <cellStyle name="Percent 7 2 3 22" xfId="49397" xr:uid="{00000000-0005-0000-0000-0000D8F40000}"/>
    <cellStyle name="Percent 7 2 3 23" xfId="51080" xr:uid="{00000000-0005-0000-0000-0000D9F40000}"/>
    <cellStyle name="Percent 7 2 3 24" xfId="52763" xr:uid="{00000000-0005-0000-0000-0000DAF40000}"/>
    <cellStyle name="Percent 7 2 3 25" xfId="54446" xr:uid="{00000000-0005-0000-0000-0000DBF40000}"/>
    <cellStyle name="Percent 7 2 3 26" xfId="56129" xr:uid="{00000000-0005-0000-0000-0000DCF40000}"/>
    <cellStyle name="Percent 7 2 3 27" xfId="57812" xr:uid="{00000000-0005-0000-0000-0000DDF40000}"/>
    <cellStyle name="Percent 7 2 3 28" xfId="59495" xr:uid="{00000000-0005-0000-0000-0000DEF40000}"/>
    <cellStyle name="Percent 7 2 3 29" xfId="61178" xr:uid="{00000000-0005-0000-0000-0000DFF40000}"/>
    <cellStyle name="Percent 7 2 3 3" xfId="3953" xr:uid="{00000000-0005-0000-0000-0000E0F40000}"/>
    <cellStyle name="Percent 7 2 3 3 2" xfId="19102" xr:uid="{00000000-0005-0000-0000-0000E1F40000}"/>
    <cellStyle name="Percent 7 2 3 30" xfId="62861" xr:uid="{00000000-0005-0000-0000-0000E2F40000}"/>
    <cellStyle name="Percent 7 2 3 4" xfId="5636" xr:uid="{00000000-0005-0000-0000-0000E3F40000}"/>
    <cellStyle name="Percent 7 2 3 4 2" xfId="20785" xr:uid="{00000000-0005-0000-0000-0000E4F40000}"/>
    <cellStyle name="Percent 7 2 3 5" xfId="7319" xr:uid="{00000000-0005-0000-0000-0000E5F40000}"/>
    <cellStyle name="Percent 7 2 3 5 2" xfId="22468" xr:uid="{00000000-0005-0000-0000-0000E6F40000}"/>
    <cellStyle name="Percent 7 2 3 6" xfId="9002" xr:uid="{00000000-0005-0000-0000-0000E7F40000}"/>
    <cellStyle name="Percent 7 2 3 6 2" xfId="24151" xr:uid="{00000000-0005-0000-0000-0000E8F40000}"/>
    <cellStyle name="Percent 7 2 3 7" xfId="10685" xr:uid="{00000000-0005-0000-0000-0000E9F40000}"/>
    <cellStyle name="Percent 7 2 3 7 2" xfId="25834" xr:uid="{00000000-0005-0000-0000-0000EAF40000}"/>
    <cellStyle name="Percent 7 2 3 8" xfId="12369" xr:uid="{00000000-0005-0000-0000-0000EBF40000}"/>
    <cellStyle name="Percent 7 2 3 8 2" xfId="27518" xr:uid="{00000000-0005-0000-0000-0000ECF40000}"/>
    <cellStyle name="Percent 7 2 3 9" xfId="14052" xr:uid="{00000000-0005-0000-0000-0000EDF40000}"/>
    <cellStyle name="Percent 7 2 3 9 2" xfId="29201" xr:uid="{00000000-0005-0000-0000-0000EEF40000}"/>
    <cellStyle name="Percent 7 2 30" xfId="55709" xr:uid="{00000000-0005-0000-0000-0000EFF40000}"/>
    <cellStyle name="Percent 7 2 31" xfId="57392" xr:uid="{00000000-0005-0000-0000-0000F0F40000}"/>
    <cellStyle name="Percent 7 2 32" xfId="59075" xr:uid="{00000000-0005-0000-0000-0000F1F40000}"/>
    <cellStyle name="Percent 7 2 33" xfId="60758" xr:uid="{00000000-0005-0000-0000-0000F2F40000}"/>
    <cellStyle name="Percent 7 2 34" xfId="62441" xr:uid="{00000000-0005-0000-0000-0000F3F40000}"/>
    <cellStyle name="Percent 7 2 4" xfId="1007" xr:uid="{00000000-0005-0000-0000-0000F4F40000}"/>
    <cellStyle name="Percent 7 2 4 10" xfId="16156" xr:uid="{00000000-0005-0000-0000-0000F5F40000}"/>
    <cellStyle name="Percent 7 2 4 11" xfId="31305" xr:uid="{00000000-0005-0000-0000-0000F6F40000}"/>
    <cellStyle name="Percent 7 2 4 12" xfId="32988" xr:uid="{00000000-0005-0000-0000-0000F7F40000}"/>
    <cellStyle name="Percent 7 2 4 13" xfId="34671" xr:uid="{00000000-0005-0000-0000-0000F8F40000}"/>
    <cellStyle name="Percent 7 2 4 14" xfId="36354" xr:uid="{00000000-0005-0000-0000-0000F9F40000}"/>
    <cellStyle name="Percent 7 2 4 15" xfId="38037" xr:uid="{00000000-0005-0000-0000-0000FAF40000}"/>
    <cellStyle name="Percent 7 2 4 16" xfId="39720" xr:uid="{00000000-0005-0000-0000-0000FBF40000}"/>
    <cellStyle name="Percent 7 2 4 17" xfId="41403" xr:uid="{00000000-0005-0000-0000-0000FCF40000}"/>
    <cellStyle name="Percent 7 2 4 18" xfId="43086" xr:uid="{00000000-0005-0000-0000-0000FDF40000}"/>
    <cellStyle name="Percent 7 2 4 19" xfId="44769" xr:uid="{00000000-0005-0000-0000-0000FEF40000}"/>
    <cellStyle name="Percent 7 2 4 2" xfId="2690" xr:uid="{00000000-0005-0000-0000-0000FFF40000}"/>
    <cellStyle name="Percent 7 2 4 2 2" xfId="17839" xr:uid="{00000000-0005-0000-0000-000000F50000}"/>
    <cellStyle name="Percent 7 2 4 20" xfId="46452" xr:uid="{00000000-0005-0000-0000-000001F50000}"/>
    <cellStyle name="Percent 7 2 4 21" xfId="48135" xr:uid="{00000000-0005-0000-0000-000002F50000}"/>
    <cellStyle name="Percent 7 2 4 22" xfId="49818" xr:uid="{00000000-0005-0000-0000-000003F50000}"/>
    <cellStyle name="Percent 7 2 4 23" xfId="51501" xr:uid="{00000000-0005-0000-0000-000004F50000}"/>
    <cellStyle name="Percent 7 2 4 24" xfId="53184" xr:uid="{00000000-0005-0000-0000-000005F50000}"/>
    <cellStyle name="Percent 7 2 4 25" xfId="54867" xr:uid="{00000000-0005-0000-0000-000006F50000}"/>
    <cellStyle name="Percent 7 2 4 26" xfId="56550" xr:uid="{00000000-0005-0000-0000-000007F50000}"/>
    <cellStyle name="Percent 7 2 4 27" xfId="58233" xr:uid="{00000000-0005-0000-0000-000008F50000}"/>
    <cellStyle name="Percent 7 2 4 28" xfId="59916" xr:uid="{00000000-0005-0000-0000-000009F50000}"/>
    <cellStyle name="Percent 7 2 4 29" xfId="61599" xr:uid="{00000000-0005-0000-0000-00000AF50000}"/>
    <cellStyle name="Percent 7 2 4 3" xfId="4374" xr:uid="{00000000-0005-0000-0000-00000BF50000}"/>
    <cellStyle name="Percent 7 2 4 3 2" xfId="19523" xr:uid="{00000000-0005-0000-0000-00000CF50000}"/>
    <cellStyle name="Percent 7 2 4 30" xfId="63282" xr:uid="{00000000-0005-0000-0000-00000DF50000}"/>
    <cellStyle name="Percent 7 2 4 4" xfId="6057" xr:uid="{00000000-0005-0000-0000-00000EF50000}"/>
    <cellStyle name="Percent 7 2 4 4 2" xfId="21206" xr:uid="{00000000-0005-0000-0000-00000FF50000}"/>
    <cellStyle name="Percent 7 2 4 5" xfId="7740" xr:uid="{00000000-0005-0000-0000-000010F50000}"/>
    <cellStyle name="Percent 7 2 4 5 2" xfId="22889" xr:uid="{00000000-0005-0000-0000-000011F50000}"/>
    <cellStyle name="Percent 7 2 4 6" xfId="9423" xr:uid="{00000000-0005-0000-0000-000012F50000}"/>
    <cellStyle name="Percent 7 2 4 6 2" xfId="24572" xr:uid="{00000000-0005-0000-0000-000013F50000}"/>
    <cellStyle name="Percent 7 2 4 7" xfId="11106" xr:uid="{00000000-0005-0000-0000-000014F50000}"/>
    <cellStyle name="Percent 7 2 4 7 2" xfId="26255" xr:uid="{00000000-0005-0000-0000-000015F50000}"/>
    <cellStyle name="Percent 7 2 4 8" xfId="12790" xr:uid="{00000000-0005-0000-0000-000016F50000}"/>
    <cellStyle name="Percent 7 2 4 8 2" xfId="27939" xr:uid="{00000000-0005-0000-0000-000017F50000}"/>
    <cellStyle name="Percent 7 2 4 9" xfId="14473" xr:uid="{00000000-0005-0000-0000-000018F50000}"/>
    <cellStyle name="Percent 7 2 4 9 2" xfId="29622" xr:uid="{00000000-0005-0000-0000-000019F50000}"/>
    <cellStyle name="Percent 7 2 5" xfId="1428" xr:uid="{00000000-0005-0000-0000-00001AF50000}"/>
    <cellStyle name="Percent 7 2 5 10" xfId="16577" xr:uid="{00000000-0005-0000-0000-00001BF50000}"/>
    <cellStyle name="Percent 7 2 5 11" xfId="31726" xr:uid="{00000000-0005-0000-0000-00001CF50000}"/>
    <cellStyle name="Percent 7 2 5 12" xfId="33409" xr:uid="{00000000-0005-0000-0000-00001DF50000}"/>
    <cellStyle name="Percent 7 2 5 13" xfId="35092" xr:uid="{00000000-0005-0000-0000-00001EF50000}"/>
    <cellStyle name="Percent 7 2 5 14" xfId="36775" xr:uid="{00000000-0005-0000-0000-00001FF50000}"/>
    <cellStyle name="Percent 7 2 5 15" xfId="38458" xr:uid="{00000000-0005-0000-0000-000020F50000}"/>
    <cellStyle name="Percent 7 2 5 16" xfId="40141" xr:uid="{00000000-0005-0000-0000-000021F50000}"/>
    <cellStyle name="Percent 7 2 5 17" xfId="41824" xr:uid="{00000000-0005-0000-0000-000022F50000}"/>
    <cellStyle name="Percent 7 2 5 18" xfId="43507" xr:uid="{00000000-0005-0000-0000-000023F50000}"/>
    <cellStyle name="Percent 7 2 5 19" xfId="45190" xr:uid="{00000000-0005-0000-0000-000024F50000}"/>
    <cellStyle name="Percent 7 2 5 2" xfId="3111" xr:uid="{00000000-0005-0000-0000-000025F50000}"/>
    <cellStyle name="Percent 7 2 5 2 2" xfId="18260" xr:uid="{00000000-0005-0000-0000-000026F50000}"/>
    <cellStyle name="Percent 7 2 5 20" xfId="46873" xr:uid="{00000000-0005-0000-0000-000027F50000}"/>
    <cellStyle name="Percent 7 2 5 21" xfId="48556" xr:uid="{00000000-0005-0000-0000-000028F50000}"/>
    <cellStyle name="Percent 7 2 5 22" xfId="50239" xr:uid="{00000000-0005-0000-0000-000029F50000}"/>
    <cellStyle name="Percent 7 2 5 23" xfId="51922" xr:uid="{00000000-0005-0000-0000-00002AF50000}"/>
    <cellStyle name="Percent 7 2 5 24" xfId="53605" xr:uid="{00000000-0005-0000-0000-00002BF50000}"/>
    <cellStyle name="Percent 7 2 5 25" xfId="55288" xr:uid="{00000000-0005-0000-0000-00002CF50000}"/>
    <cellStyle name="Percent 7 2 5 26" xfId="56971" xr:uid="{00000000-0005-0000-0000-00002DF50000}"/>
    <cellStyle name="Percent 7 2 5 27" xfId="58654" xr:uid="{00000000-0005-0000-0000-00002EF50000}"/>
    <cellStyle name="Percent 7 2 5 28" xfId="60337" xr:uid="{00000000-0005-0000-0000-00002FF50000}"/>
    <cellStyle name="Percent 7 2 5 29" xfId="62020" xr:uid="{00000000-0005-0000-0000-000030F50000}"/>
    <cellStyle name="Percent 7 2 5 3" xfId="4795" xr:uid="{00000000-0005-0000-0000-000031F50000}"/>
    <cellStyle name="Percent 7 2 5 3 2" xfId="19944" xr:uid="{00000000-0005-0000-0000-000032F50000}"/>
    <cellStyle name="Percent 7 2 5 30" xfId="63703" xr:uid="{00000000-0005-0000-0000-000033F50000}"/>
    <cellStyle name="Percent 7 2 5 4" xfId="6478" xr:uid="{00000000-0005-0000-0000-000034F50000}"/>
    <cellStyle name="Percent 7 2 5 4 2" xfId="21627" xr:uid="{00000000-0005-0000-0000-000035F50000}"/>
    <cellStyle name="Percent 7 2 5 5" xfId="8161" xr:uid="{00000000-0005-0000-0000-000036F50000}"/>
    <cellStyle name="Percent 7 2 5 5 2" xfId="23310" xr:uid="{00000000-0005-0000-0000-000037F50000}"/>
    <cellStyle name="Percent 7 2 5 6" xfId="9844" xr:uid="{00000000-0005-0000-0000-000038F50000}"/>
    <cellStyle name="Percent 7 2 5 6 2" xfId="24993" xr:uid="{00000000-0005-0000-0000-000039F50000}"/>
    <cellStyle name="Percent 7 2 5 7" xfId="11527" xr:uid="{00000000-0005-0000-0000-00003AF50000}"/>
    <cellStyle name="Percent 7 2 5 7 2" xfId="26676" xr:uid="{00000000-0005-0000-0000-00003BF50000}"/>
    <cellStyle name="Percent 7 2 5 8" xfId="13211" xr:uid="{00000000-0005-0000-0000-00003CF50000}"/>
    <cellStyle name="Percent 7 2 5 8 2" xfId="28360" xr:uid="{00000000-0005-0000-0000-00003DF50000}"/>
    <cellStyle name="Percent 7 2 5 9" xfId="14894" xr:uid="{00000000-0005-0000-0000-00003EF50000}"/>
    <cellStyle name="Percent 7 2 5 9 2" xfId="30043" xr:uid="{00000000-0005-0000-0000-00003FF50000}"/>
    <cellStyle name="Percent 7 2 6" xfId="1849" xr:uid="{00000000-0005-0000-0000-000040F50000}"/>
    <cellStyle name="Percent 7 2 6 2" xfId="16998" xr:uid="{00000000-0005-0000-0000-000041F50000}"/>
    <cellStyle name="Percent 7 2 7" xfId="3533" xr:uid="{00000000-0005-0000-0000-000042F50000}"/>
    <cellStyle name="Percent 7 2 7 2" xfId="18682" xr:uid="{00000000-0005-0000-0000-000043F50000}"/>
    <cellStyle name="Percent 7 2 8" xfId="5216" xr:uid="{00000000-0005-0000-0000-000044F50000}"/>
    <cellStyle name="Percent 7 2 8 2" xfId="20365" xr:uid="{00000000-0005-0000-0000-000045F50000}"/>
    <cellStyle name="Percent 7 2 9" xfId="6899" xr:uid="{00000000-0005-0000-0000-000046F50000}"/>
    <cellStyle name="Percent 7 2 9 2" xfId="22048" xr:uid="{00000000-0005-0000-0000-000047F50000}"/>
    <cellStyle name="Percent 7 20" xfId="37091" xr:uid="{00000000-0005-0000-0000-000048F50000}"/>
    <cellStyle name="Percent 7 21" xfId="38774" xr:uid="{00000000-0005-0000-0000-000049F50000}"/>
    <cellStyle name="Percent 7 22" xfId="40457" xr:uid="{00000000-0005-0000-0000-00004AF50000}"/>
    <cellStyle name="Percent 7 23" xfId="42140" xr:uid="{00000000-0005-0000-0000-00004BF50000}"/>
    <cellStyle name="Percent 7 24" xfId="43823" xr:uid="{00000000-0005-0000-0000-00004CF50000}"/>
    <cellStyle name="Percent 7 25" xfId="45506" xr:uid="{00000000-0005-0000-0000-00004DF50000}"/>
    <cellStyle name="Percent 7 26" xfId="47189" xr:uid="{00000000-0005-0000-0000-00004EF50000}"/>
    <cellStyle name="Percent 7 27" xfId="48872" xr:uid="{00000000-0005-0000-0000-00004FF50000}"/>
    <cellStyle name="Percent 7 28" xfId="50555" xr:uid="{00000000-0005-0000-0000-000050F50000}"/>
    <cellStyle name="Percent 7 29" xfId="52238" xr:uid="{00000000-0005-0000-0000-000051F50000}"/>
    <cellStyle name="Percent 7 3" xfId="271" xr:uid="{00000000-0005-0000-0000-000052F50000}"/>
    <cellStyle name="Percent 7 3 10" xfId="10370" xr:uid="{00000000-0005-0000-0000-000053F50000}"/>
    <cellStyle name="Percent 7 3 10 2" xfId="25519" xr:uid="{00000000-0005-0000-0000-000054F50000}"/>
    <cellStyle name="Percent 7 3 11" xfId="12054" xr:uid="{00000000-0005-0000-0000-000055F50000}"/>
    <cellStyle name="Percent 7 3 11 2" xfId="27203" xr:uid="{00000000-0005-0000-0000-000056F50000}"/>
    <cellStyle name="Percent 7 3 12" xfId="13737" xr:uid="{00000000-0005-0000-0000-000057F50000}"/>
    <cellStyle name="Percent 7 3 12 2" xfId="28886" xr:uid="{00000000-0005-0000-0000-000058F50000}"/>
    <cellStyle name="Percent 7 3 13" xfId="15420" xr:uid="{00000000-0005-0000-0000-000059F50000}"/>
    <cellStyle name="Percent 7 3 14" xfId="30569" xr:uid="{00000000-0005-0000-0000-00005AF50000}"/>
    <cellStyle name="Percent 7 3 15" xfId="32252" xr:uid="{00000000-0005-0000-0000-00005BF50000}"/>
    <cellStyle name="Percent 7 3 16" xfId="33935" xr:uid="{00000000-0005-0000-0000-00005CF50000}"/>
    <cellStyle name="Percent 7 3 17" xfId="35618" xr:uid="{00000000-0005-0000-0000-00005DF50000}"/>
    <cellStyle name="Percent 7 3 18" xfId="37301" xr:uid="{00000000-0005-0000-0000-00005EF50000}"/>
    <cellStyle name="Percent 7 3 19" xfId="38984" xr:uid="{00000000-0005-0000-0000-00005FF50000}"/>
    <cellStyle name="Percent 7 3 2" xfId="691" xr:uid="{00000000-0005-0000-0000-000060F50000}"/>
    <cellStyle name="Percent 7 3 2 10" xfId="15840" xr:uid="{00000000-0005-0000-0000-000061F50000}"/>
    <cellStyle name="Percent 7 3 2 11" xfId="30989" xr:uid="{00000000-0005-0000-0000-000062F50000}"/>
    <cellStyle name="Percent 7 3 2 12" xfId="32672" xr:uid="{00000000-0005-0000-0000-000063F50000}"/>
    <cellStyle name="Percent 7 3 2 13" xfId="34355" xr:uid="{00000000-0005-0000-0000-000064F50000}"/>
    <cellStyle name="Percent 7 3 2 14" xfId="36038" xr:uid="{00000000-0005-0000-0000-000065F50000}"/>
    <cellStyle name="Percent 7 3 2 15" xfId="37721" xr:uid="{00000000-0005-0000-0000-000066F50000}"/>
    <cellStyle name="Percent 7 3 2 16" xfId="39404" xr:uid="{00000000-0005-0000-0000-000067F50000}"/>
    <cellStyle name="Percent 7 3 2 17" xfId="41087" xr:uid="{00000000-0005-0000-0000-000068F50000}"/>
    <cellStyle name="Percent 7 3 2 18" xfId="42770" xr:uid="{00000000-0005-0000-0000-000069F50000}"/>
    <cellStyle name="Percent 7 3 2 19" xfId="44453" xr:uid="{00000000-0005-0000-0000-00006AF50000}"/>
    <cellStyle name="Percent 7 3 2 2" xfId="2374" xr:uid="{00000000-0005-0000-0000-00006BF50000}"/>
    <cellStyle name="Percent 7 3 2 2 2" xfId="17523" xr:uid="{00000000-0005-0000-0000-00006CF50000}"/>
    <cellStyle name="Percent 7 3 2 20" xfId="46136" xr:uid="{00000000-0005-0000-0000-00006DF50000}"/>
    <cellStyle name="Percent 7 3 2 21" xfId="47819" xr:uid="{00000000-0005-0000-0000-00006EF50000}"/>
    <cellStyle name="Percent 7 3 2 22" xfId="49502" xr:uid="{00000000-0005-0000-0000-00006FF50000}"/>
    <cellStyle name="Percent 7 3 2 23" xfId="51185" xr:uid="{00000000-0005-0000-0000-000070F50000}"/>
    <cellStyle name="Percent 7 3 2 24" xfId="52868" xr:uid="{00000000-0005-0000-0000-000071F50000}"/>
    <cellStyle name="Percent 7 3 2 25" xfId="54551" xr:uid="{00000000-0005-0000-0000-000072F50000}"/>
    <cellStyle name="Percent 7 3 2 26" xfId="56234" xr:uid="{00000000-0005-0000-0000-000073F50000}"/>
    <cellStyle name="Percent 7 3 2 27" xfId="57917" xr:uid="{00000000-0005-0000-0000-000074F50000}"/>
    <cellStyle name="Percent 7 3 2 28" xfId="59600" xr:uid="{00000000-0005-0000-0000-000075F50000}"/>
    <cellStyle name="Percent 7 3 2 29" xfId="61283" xr:uid="{00000000-0005-0000-0000-000076F50000}"/>
    <cellStyle name="Percent 7 3 2 3" xfId="4058" xr:uid="{00000000-0005-0000-0000-000077F50000}"/>
    <cellStyle name="Percent 7 3 2 3 2" xfId="19207" xr:uid="{00000000-0005-0000-0000-000078F50000}"/>
    <cellStyle name="Percent 7 3 2 30" xfId="62966" xr:uid="{00000000-0005-0000-0000-000079F50000}"/>
    <cellStyle name="Percent 7 3 2 4" xfId="5741" xr:uid="{00000000-0005-0000-0000-00007AF50000}"/>
    <cellStyle name="Percent 7 3 2 4 2" xfId="20890" xr:uid="{00000000-0005-0000-0000-00007BF50000}"/>
    <cellStyle name="Percent 7 3 2 5" xfId="7424" xr:uid="{00000000-0005-0000-0000-00007CF50000}"/>
    <cellStyle name="Percent 7 3 2 5 2" xfId="22573" xr:uid="{00000000-0005-0000-0000-00007DF50000}"/>
    <cellStyle name="Percent 7 3 2 6" xfId="9107" xr:uid="{00000000-0005-0000-0000-00007EF50000}"/>
    <cellStyle name="Percent 7 3 2 6 2" xfId="24256" xr:uid="{00000000-0005-0000-0000-00007FF50000}"/>
    <cellStyle name="Percent 7 3 2 7" xfId="10790" xr:uid="{00000000-0005-0000-0000-000080F50000}"/>
    <cellStyle name="Percent 7 3 2 7 2" xfId="25939" xr:uid="{00000000-0005-0000-0000-000081F50000}"/>
    <cellStyle name="Percent 7 3 2 8" xfId="12474" xr:uid="{00000000-0005-0000-0000-000082F50000}"/>
    <cellStyle name="Percent 7 3 2 8 2" xfId="27623" xr:uid="{00000000-0005-0000-0000-000083F50000}"/>
    <cellStyle name="Percent 7 3 2 9" xfId="14157" xr:uid="{00000000-0005-0000-0000-000084F50000}"/>
    <cellStyle name="Percent 7 3 2 9 2" xfId="29306" xr:uid="{00000000-0005-0000-0000-000085F50000}"/>
    <cellStyle name="Percent 7 3 20" xfId="40667" xr:uid="{00000000-0005-0000-0000-000086F50000}"/>
    <cellStyle name="Percent 7 3 21" xfId="42350" xr:uid="{00000000-0005-0000-0000-000087F50000}"/>
    <cellStyle name="Percent 7 3 22" xfId="44033" xr:uid="{00000000-0005-0000-0000-000088F50000}"/>
    <cellStyle name="Percent 7 3 23" xfId="45716" xr:uid="{00000000-0005-0000-0000-000089F50000}"/>
    <cellStyle name="Percent 7 3 24" xfId="47399" xr:uid="{00000000-0005-0000-0000-00008AF50000}"/>
    <cellStyle name="Percent 7 3 25" xfId="49082" xr:uid="{00000000-0005-0000-0000-00008BF50000}"/>
    <cellStyle name="Percent 7 3 26" xfId="50765" xr:uid="{00000000-0005-0000-0000-00008CF50000}"/>
    <cellStyle name="Percent 7 3 27" xfId="52448" xr:uid="{00000000-0005-0000-0000-00008DF50000}"/>
    <cellStyle name="Percent 7 3 28" xfId="54131" xr:uid="{00000000-0005-0000-0000-00008EF50000}"/>
    <cellStyle name="Percent 7 3 29" xfId="55814" xr:uid="{00000000-0005-0000-0000-00008FF50000}"/>
    <cellStyle name="Percent 7 3 3" xfId="1112" xr:uid="{00000000-0005-0000-0000-000090F50000}"/>
    <cellStyle name="Percent 7 3 3 10" xfId="16261" xr:uid="{00000000-0005-0000-0000-000091F50000}"/>
    <cellStyle name="Percent 7 3 3 11" xfId="31410" xr:uid="{00000000-0005-0000-0000-000092F50000}"/>
    <cellStyle name="Percent 7 3 3 12" xfId="33093" xr:uid="{00000000-0005-0000-0000-000093F50000}"/>
    <cellStyle name="Percent 7 3 3 13" xfId="34776" xr:uid="{00000000-0005-0000-0000-000094F50000}"/>
    <cellStyle name="Percent 7 3 3 14" xfId="36459" xr:uid="{00000000-0005-0000-0000-000095F50000}"/>
    <cellStyle name="Percent 7 3 3 15" xfId="38142" xr:uid="{00000000-0005-0000-0000-000096F50000}"/>
    <cellStyle name="Percent 7 3 3 16" xfId="39825" xr:uid="{00000000-0005-0000-0000-000097F50000}"/>
    <cellStyle name="Percent 7 3 3 17" xfId="41508" xr:uid="{00000000-0005-0000-0000-000098F50000}"/>
    <cellStyle name="Percent 7 3 3 18" xfId="43191" xr:uid="{00000000-0005-0000-0000-000099F50000}"/>
    <cellStyle name="Percent 7 3 3 19" xfId="44874" xr:uid="{00000000-0005-0000-0000-00009AF50000}"/>
    <cellStyle name="Percent 7 3 3 2" xfId="2795" xr:uid="{00000000-0005-0000-0000-00009BF50000}"/>
    <cellStyle name="Percent 7 3 3 2 2" xfId="17944" xr:uid="{00000000-0005-0000-0000-00009CF50000}"/>
    <cellStyle name="Percent 7 3 3 20" xfId="46557" xr:uid="{00000000-0005-0000-0000-00009DF50000}"/>
    <cellStyle name="Percent 7 3 3 21" xfId="48240" xr:uid="{00000000-0005-0000-0000-00009EF50000}"/>
    <cellStyle name="Percent 7 3 3 22" xfId="49923" xr:uid="{00000000-0005-0000-0000-00009FF50000}"/>
    <cellStyle name="Percent 7 3 3 23" xfId="51606" xr:uid="{00000000-0005-0000-0000-0000A0F50000}"/>
    <cellStyle name="Percent 7 3 3 24" xfId="53289" xr:uid="{00000000-0005-0000-0000-0000A1F50000}"/>
    <cellStyle name="Percent 7 3 3 25" xfId="54972" xr:uid="{00000000-0005-0000-0000-0000A2F50000}"/>
    <cellStyle name="Percent 7 3 3 26" xfId="56655" xr:uid="{00000000-0005-0000-0000-0000A3F50000}"/>
    <cellStyle name="Percent 7 3 3 27" xfId="58338" xr:uid="{00000000-0005-0000-0000-0000A4F50000}"/>
    <cellStyle name="Percent 7 3 3 28" xfId="60021" xr:uid="{00000000-0005-0000-0000-0000A5F50000}"/>
    <cellStyle name="Percent 7 3 3 29" xfId="61704" xr:uid="{00000000-0005-0000-0000-0000A6F50000}"/>
    <cellStyle name="Percent 7 3 3 3" xfId="4479" xr:uid="{00000000-0005-0000-0000-0000A7F50000}"/>
    <cellStyle name="Percent 7 3 3 3 2" xfId="19628" xr:uid="{00000000-0005-0000-0000-0000A8F50000}"/>
    <cellStyle name="Percent 7 3 3 30" xfId="63387" xr:uid="{00000000-0005-0000-0000-0000A9F50000}"/>
    <cellStyle name="Percent 7 3 3 4" xfId="6162" xr:uid="{00000000-0005-0000-0000-0000AAF50000}"/>
    <cellStyle name="Percent 7 3 3 4 2" xfId="21311" xr:uid="{00000000-0005-0000-0000-0000ABF50000}"/>
    <cellStyle name="Percent 7 3 3 5" xfId="7845" xr:uid="{00000000-0005-0000-0000-0000ACF50000}"/>
    <cellStyle name="Percent 7 3 3 5 2" xfId="22994" xr:uid="{00000000-0005-0000-0000-0000ADF50000}"/>
    <cellStyle name="Percent 7 3 3 6" xfId="9528" xr:uid="{00000000-0005-0000-0000-0000AEF50000}"/>
    <cellStyle name="Percent 7 3 3 6 2" xfId="24677" xr:uid="{00000000-0005-0000-0000-0000AFF50000}"/>
    <cellStyle name="Percent 7 3 3 7" xfId="11211" xr:uid="{00000000-0005-0000-0000-0000B0F50000}"/>
    <cellStyle name="Percent 7 3 3 7 2" xfId="26360" xr:uid="{00000000-0005-0000-0000-0000B1F50000}"/>
    <cellStyle name="Percent 7 3 3 8" xfId="12895" xr:uid="{00000000-0005-0000-0000-0000B2F50000}"/>
    <cellStyle name="Percent 7 3 3 8 2" xfId="28044" xr:uid="{00000000-0005-0000-0000-0000B3F50000}"/>
    <cellStyle name="Percent 7 3 3 9" xfId="14578" xr:uid="{00000000-0005-0000-0000-0000B4F50000}"/>
    <cellStyle name="Percent 7 3 3 9 2" xfId="29727" xr:uid="{00000000-0005-0000-0000-0000B5F50000}"/>
    <cellStyle name="Percent 7 3 30" xfId="57497" xr:uid="{00000000-0005-0000-0000-0000B6F50000}"/>
    <cellStyle name="Percent 7 3 31" xfId="59180" xr:uid="{00000000-0005-0000-0000-0000B7F50000}"/>
    <cellStyle name="Percent 7 3 32" xfId="60863" xr:uid="{00000000-0005-0000-0000-0000B8F50000}"/>
    <cellStyle name="Percent 7 3 33" xfId="62546" xr:uid="{00000000-0005-0000-0000-0000B9F50000}"/>
    <cellStyle name="Percent 7 3 4" xfId="1533" xr:uid="{00000000-0005-0000-0000-0000BAF50000}"/>
    <cellStyle name="Percent 7 3 4 10" xfId="16682" xr:uid="{00000000-0005-0000-0000-0000BBF50000}"/>
    <cellStyle name="Percent 7 3 4 11" xfId="31831" xr:uid="{00000000-0005-0000-0000-0000BCF50000}"/>
    <cellStyle name="Percent 7 3 4 12" xfId="33514" xr:uid="{00000000-0005-0000-0000-0000BDF50000}"/>
    <cellStyle name="Percent 7 3 4 13" xfId="35197" xr:uid="{00000000-0005-0000-0000-0000BEF50000}"/>
    <cellStyle name="Percent 7 3 4 14" xfId="36880" xr:uid="{00000000-0005-0000-0000-0000BFF50000}"/>
    <cellStyle name="Percent 7 3 4 15" xfId="38563" xr:uid="{00000000-0005-0000-0000-0000C0F50000}"/>
    <cellStyle name="Percent 7 3 4 16" xfId="40246" xr:uid="{00000000-0005-0000-0000-0000C1F50000}"/>
    <cellStyle name="Percent 7 3 4 17" xfId="41929" xr:uid="{00000000-0005-0000-0000-0000C2F50000}"/>
    <cellStyle name="Percent 7 3 4 18" xfId="43612" xr:uid="{00000000-0005-0000-0000-0000C3F50000}"/>
    <cellStyle name="Percent 7 3 4 19" xfId="45295" xr:uid="{00000000-0005-0000-0000-0000C4F50000}"/>
    <cellStyle name="Percent 7 3 4 2" xfId="3216" xr:uid="{00000000-0005-0000-0000-0000C5F50000}"/>
    <cellStyle name="Percent 7 3 4 2 2" xfId="18365" xr:uid="{00000000-0005-0000-0000-0000C6F50000}"/>
    <cellStyle name="Percent 7 3 4 20" xfId="46978" xr:uid="{00000000-0005-0000-0000-0000C7F50000}"/>
    <cellStyle name="Percent 7 3 4 21" xfId="48661" xr:uid="{00000000-0005-0000-0000-0000C8F50000}"/>
    <cellStyle name="Percent 7 3 4 22" xfId="50344" xr:uid="{00000000-0005-0000-0000-0000C9F50000}"/>
    <cellStyle name="Percent 7 3 4 23" xfId="52027" xr:uid="{00000000-0005-0000-0000-0000CAF50000}"/>
    <cellStyle name="Percent 7 3 4 24" xfId="53710" xr:uid="{00000000-0005-0000-0000-0000CBF50000}"/>
    <cellStyle name="Percent 7 3 4 25" xfId="55393" xr:uid="{00000000-0005-0000-0000-0000CCF50000}"/>
    <cellStyle name="Percent 7 3 4 26" xfId="57076" xr:uid="{00000000-0005-0000-0000-0000CDF50000}"/>
    <cellStyle name="Percent 7 3 4 27" xfId="58759" xr:uid="{00000000-0005-0000-0000-0000CEF50000}"/>
    <cellStyle name="Percent 7 3 4 28" xfId="60442" xr:uid="{00000000-0005-0000-0000-0000CFF50000}"/>
    <cellStyle name="Percent 7 3 4 29" xfId="62125" xr:uid="{00000000-0005-0000-0000-0000D0F50000}"/>
    <cellStyle name="Percent 7 3 4 3" xfId="4900" xr:uid="{00000000-0005-0000-0000-0000D1F50000}"/>
    <cellStyle name="Percent 7 3 4 3 2" xfId="20049" xr:uid="{00000000-0005-0000-0000-0000D2F50000}"/>
    <cellStyle name="Percent 7 3 4 30" xfId="63808" xr:uid="{00000000-0005-0000-0000-0000D3F50000}"/>
    <cellStyle name="Percent 7 3 4 4" xfId="6583" xr:uid="{00000000-0005-0000-0000-0000D4F50000}"/>
    <cellStyle name="Percent 7 3 4 4 2" xfId="21732" xr:uid="{00000000-0005-0000-0000-0000D5F50000}"/>
    <cellStyle name="Percent 7 3 4 5" xfId="8266" xr:uid="{00000000-0005-0000-0000-0000D6F50000}"/>
    <cellStyle name="Percent 7 3 4 5 2" xfId="23415" xr:uid="{00000000-0005-0000-0000-0000D7F50000}"/>
    <cellStyle name="Percent 7 3 4 6" xfId="9949" xr:uid="{00000000-0005-0000-0000-0000D8F50000}"/>
    <cellStyle name="Percent 7 3 4 6 2" xfId="25098" xr:uid="{00000000-0005-0000-0000-0000D9F50000}"/>
    <cellStyle name="Percent 7 3 4 7" xfId="11632" xr:uid="{00000000-0005-0000-0000-0000DAF50000}"/>
    <cellStyle name="Percent 7 3 4 7 2" xfId="26781" xr:uid="{00000000-0005-0000-0000-0000DBF50000}"/>
    <cellStyle name="Percent 7 3 4 8" xfId="13316" xr:uid="{00000000-0005-0000-0000-0000DCF50000}"/>
    <cellStyle name="Percent 7 3 4 8 2" xfId="28465" xr:uid="{00000000-0005-0000-0000-0000DDF50000}"/>
    <cellStyle name="Percent 7 3 4 9" xfId="14999" xr:uid="{00000000-0005-0000-0000-0000DEF50000}"/>
    <cellStyle name="Percent 7 3 4 9 2" xfId="30148" xr:uid="{00000000-0005-0000-0000-0000DFF50000}"/>
    <cellStyle name="Percent 7 3 5" xfId="1954" xr:uid="{00000000-0005-0000-0000-0000E0F50000}"/>
    <cellStyle name="Percent 7 3 5 2" xfId="17103" xr:uid="{00000000-0005-0000-0000-0000E1F50000}"/>
    <cellStyle name="Percent 7 3 6" xfId="3638" xr:uid="{00000000-0005-0000-0000-0000E2F50000}"/>
    <cellStyle name="Percent 7 3 6 2" xfId="18787" xr:uid="{00000000-0005-0000-0000-0000E3F50000}"/>
    <cellStyle name="Percent 7 3 7" xfId="5321" xr:uid="{00000000-0005-0000-0000-0000E4F50000}"/>
    <cellStyle name="Percent 7 3 7 2" xfId="20470" xr:uid="{00000000-0005-0000-0000-0000E5F50000}"/>
    <cellStyle name="Percent 7 3 8" xfId="7004" xr:uid="{00000000-0005-0000-0000-0000E6F50000}"/>
    <cellStyle name="Percent 7 3 8 2" xfId="22153" xr:uid="{00000000-0005-0000-0000-0000E7F50000}"/>
    <cellStyle name="Percent 7 3 9" xfId="8687" xr:uid="{00000000-0005-0000-0000-0000E8F50000}"/>
    <cellStyle name="Percent 7 3 9 2" xfId="23836" xr:uid="{00000000-0005-0000-0000-0000E9F50000}"/>
    <cellStyle name="Percent 7 30" xfId="53921" xr:uid="{00000000-0005-0000-0000-0000EAF50000}"/>
    <cellStyle name="Percent 7 31" xfId="55604" xr:uid="{00000000-0005-0000-0000-0000EBF50000}"/>
    <cellStyle name="Percent 7 32" xfId="57287" xr:uid="{00000000-0005-0000-0000-0000ECF50000}"/>
    <cellStyle name="Percent 7 33" xfId="58970" xr:uid="{00000000-0005-0000-0000-0000EDF50000}"/>
    <cellStyle name="Percent 7 34" xfId="60653" xr:uid="{00000000-0005-0000-0000-0000EEF50000}"/>
    <cellStyle name="Percent 7 35" xfId="62336" xr:uid="{00000000-0005-0000-0000-0000EFF50000}"/>
    <cellStyle name="Percent 7 4" xfId="481" xr:uid="{00000000-0005-0000-0000-0000F0F50000}"/>
    <cellStyle name="Percent 7 4 10" xfId="15630" xr:uid="{00000000-0005-0000-0000-0000F1F50000}"/>
    <cellStyle name="Percent 7 4 11" xfId="30779" xr:uid="{00000000-0005-0000-0000-0000F2F50000}"/>
    <cellStyle name="Percent 7 4 12" xfId="32462" xr:uid="{00000000-0005-0000-0000-0000F3F50000}"/>
    <cellStyle name="Percent 7 4 13" xfId="34145" xr:uid="{00000000-0005-0000-0000-0000F4F50000}"/>
    <cellStyle name="Percent 7 4 14" xfId="35828" xr:uid="{00000000-0005-0000-0000-0000F5F50000}"/>
    <cellStyle name="Percent 7 4 15" xfId="37511" xr:uid="{00000000-0005-0000-0000-0000F6F50000}"/>
    <cellStyle name="Percent 7 4 16" xfId="39194" xr:uid="{00000000-0005-0000-0000-0000F7F50000}"/>
    <cellStyle name="Percent 7 4 17" xfId="40877" xr:uid="{00000000-0005-0000-0000-0000F8F50000}"/>
    <cellStyle name="Percent 7 4 18" xfId="42560" xr:uid="{00000000-0005-0000-0000-0000F9F50000}"/>
    <cellStyle name="Percent 7 4 19" xfId="44243" xr:uid="{00000000-0005-0000-0000-0000FAF50000}"/>
    <cellStyle name="Percent 7 4 2" xfId="2164" xr:uid="{00000000-0005-0000-0000-0000FBF50000}"/>
    <cellStyle name="Percent 7 4 2 2" xfId="17313" xr:uid="{00000000-0005-0000-0000-0000FCF50000}"/>
    <cellStyle name="Percent 7 4 20" xfId="45926" xr:uid="{00000000-0005-0000-0000-0000FDF50000}"/>
    <cellStyle name="Percent 7 4 21" xfId="47609" xr:uid="{00000000-0005-0000-0000-0000FEF50000}"/>
    <cellStyle name="Percent 7 4 22" xfId="49292" xr:uid="{00000000-0005-0000-0000-0000FFF50000}"/>
    <cellStyle name="Percent 7 4 23" xfId="50975" xr:uid="{00000000-0005-0000-0000-000000F60000}"/>
    <cellStyle name="Percent 7 4 24" xfId="52658" xr:uid="{00000000-0005-0000-0000-000001F60000}"/>
    <cellStyle name="Percent 7 4 25" xfId="54341" xr:uid="{00000000-0005-0000-0000-000002F60000}"/>
    <cellStyle name="Percent 7 4 26" xfId="56024" xr:uid="{00000000-0005-0000-0000-000003F60000}"/>
    <cellStyle name="Percent 7 4 27" xfId="57707" xr:uid="{00000000-0005-0000-0000-000004F60000}"/>
    <cellStyle name="Percent 7 4 28" xfId="59390" xr:uid="{00000000-0005-0000-0000-000005F60000}"/>
    <cellStyle name="Percent 7 4 29" xfId="61073" xr:uid="{00000000-0005-0000-0000-000006F60000}"/>
    <cellStyle name="Percent 7 4 3" xfId="3848" xr:uid="{00000000-0005-0000-0000-000007F60000}"/>
    <cellStyle name="Percent 7 4 3 2" xfId="18997" xr:uid="{00000000-0005-0000-0000-000008F60000}"/>
    <cellStyle name="Percent 7 4 30" xfId="62756" xr:uid="{00000000-0005-0000-0000-000009F60000}"/>
    <cellStyle name="Percent 7 4 4" xfId="5531" xr:uid="{00000000-0005-0000-0000-00000AF60000}"/>
    <cellStyle name="Percent 7 4 4 2" xfId="20680" xr:uid="{00000000-0005-0000-0000-00000BF60000}"/>
    <cellStyle name="Percent 7 4 5" xfId="7214" xr:uid="{00000000-0005-0000-0000-00000CF60000}"/>
    <cellStyle name="Percent 7 4 5 2" xfId="22363" xr:uid="{00000000-0005-0000-0000-00000DF60000}"/>
    <cellStyle name="Percent 7 4 6" xfId="8897" xr:uid="{00000000-0005-0000-0000-00000EF60000}"/>
    <cellStyle name="Percent 7 4 6 2" xfId="24046" xr:uid="{00000000-0005-0000-0000-00000FF60000}"/>
    <cellStyle name="Percent 7 4 7" xfId="10580" xr:uid="{00000000-0005-0000-0000-000010F60000}"/>
    <cellStyle name="Percent 7 4 7 2" xfId="25729" xr:uid="{00000000-0005-0000-0000-000011F60000}"/>
    <cellStyle name="Percent 7 4 8" xfId="12264" xr:uid="{00000000-0005-0000-0000-000012F60000}"/>
    <cellStyle name="Percent 7 4 8 2" xfId="27413" xr:uid="{00000000-0005-0000-0000-000013F60000}"/>
    <cellStyle name="Percent 7 4 9" xfId="13947" xr:uid="{00000000-0005-0000-0000-000014F60000}"/>
    <cellStyle name="Percent 7 4 9 2" xfId="29096" xr:uid="{00000000-0005-0000-0000-000015F60000}"/>
    <cellStyle name="Percent 7 5" xfId="902" xr:uid="{00000000-0005-0000-0000-000016F60000}"/>
    <cellStyle name="Percent 7 5 10" xfId="16051" xr:uid="{00000000-0005-0000-0000-000017F60000}"/>
    <cellStyle name="Percent 7 5 11" xfId="31200" xr:uid="{00000000-0005-0000-0000-000018F60000}"/>
    <cellStyle name="Percent 7 5 12" xfId="32883" xr:uid="{00000000-0005-0000-0000-000019F60000}"/>
    <cellStyle name="Percent 7 5 13" xfId="34566" xr:uid="{00000000-0005-0000-0000-00001AF60000}"/>
    <cellStyle name="Percent 7 5 14" xfId="36249" xr:uid="{00000000-0005-0000-0000-00001BF60000}"/>
    <cellStyle name="Percent 7 5 15" xfId="37932" xr:uid="{00000000-0005-0000-0000-00001CF60000}"/>
    <cellStyle name="Percent 7 5 16" xfId="39615" xr:uid="{00000000-0005-0000-0000-00001DF60000}"/>
    <cellStyle name="Percent 7 5 17" xfId="41298" xr:uid="{00000000-0005-0000-0000-00001EF60000}"/>
    <cellStyle name="Percent 7 5 18" xfId="42981" xr:uid="{00000000-0005-0000-0000-00001FF60000}"/>
    <cellStyle name="Percent 7 5 19" xfId="44664" xr:uid="{00000000-0005-0000-0000-000020F60000}"/>
    <cellStyle name="Percent 7 5 2" xfId="2585" xr:uid="{00000000-0005-0000-0000-000021F60000}"/>
    <cellStyle name="Percent 7 5 2 2" xfId="17734" xr:uid="{00000000-0005-0000-0000-000022F60000}"/>
    <cellStyle name="Percent 7 5 20" xfId="46347" xr:uid="{00000000-0005-0000-0000-000023F60000}"/>
    <cellStyle name="Percent 7 5 21" xfId="48030" xr:uid="{00000000-0005-0000-0000-000024F60000}"/>
    <cellStyle name="Percent 7 5 22" xfId="49713" xr:uid="{00000000-0005-0000-0000-000025F60000}"/>
    <cellStyle name="Percent 7 5 23" xfId="51396" xr:uid="{00000000-0005-0000-0000-000026F60000}"/>
    <cellStyle name="Percent 7 5 24" xfId="53079" xr:uid="{00000000-0005-0000-0000-000027F60000}"/>
    <cellStyle name="Percent 7 5 25" xfId="54762" xr:uid="{00000000-0005-0000-0000-000028F60000}"/>
    <cellStyle name="Percent 7 5 26" xfId="56445" xr:uid="{00000000-0005-0000-0000-000029F60000}"/>
    <cellStyle name="Percent 7 5 27" xfId="58128" xr:uid="{00000000-0005-0000-0000-00002AF60000}"/>
    <cellStyle name="Percent 7 5 28" xfId="59811" xr:uid="{00000000-0005-0000-0000-00002BF60000}"/>
    <cellStyle name="Percent 7 5 29" xfId="61494" xr:uid="{00000000-0005-0000-0000-00002CF60000}"/>
    <cellStyle name="Percent 7 5 3" xfId="4269" xr:uid="{00000000-0005-0000-0000-00002DF60000}"/>
    <cellStyle name="Percent 7 5 3 2" xfId="19418" xr:uid="{00000000-0005-0000-0000-00002EF60000}"/>
    <cellStyle name="Percent 7 5 30" xfId="63177" xr:uid="{00000000-0005-0000-0000-00002FF60000}"/>
    <cellStyle name="Percent 7 5 4" xfId="5952" xr:uid="{00000000-0005-0000-0000-000030F60000}"/>
    <cellStyle name="Percent 7 5 4 2" xfId="21101" xr:uid="{00000000-0005-0000-0000-000031F60000}"/>
    <cellStyle name="Percent 7 5 5" xfId="7635" xr:uid="{00000000-0005-0000-0000-000032F60000}"/>
    <cellStyle name="Percent 7 5 5 2" xfId="22784" xr:uid="{00000000-0005-0000-0000-000033F60000}"/>
    <cellStyle name="Percent 7 5 6" xfId="9318" xr:uid="{00000000-0005-0000-0000-000034F60000}"/>
    <cellStyle name="Percent 7 5 6 2" xfId="24467" xr:uid="{00000000-0005-0000-0000-000035F60000}"/>
    <cellStyle name="Percent 7 5 7" xfId="11001" xr:uid="{00000000-0005-0000-0000-000036F60000}"/>
    <cellStyle name="Percent 7 5 7 2" xfId="26150" xr:uid="{00000000-0005-0000-0000-000037F60000}"/>
    <cellStyle name="Percent 7 5 8" xfId="12685" xr:uid="{00000000-0005-0000-0000-000038F60000}"/>
    <cellStyle name="Percent 7 5 8 2" xfId="27834" xr:uid="{00000000-0005-0000-0000-000039F60000}"/>
    <cellStyle name="Percent 7 5 9" xfId="14368" xr:uid="{00000000-0005-0000-0000-00003AF60000}"/>
    <cellStyle name="Percent 7 5 9 2" xfId="29517" xr:uid="{00000000-0005-0000-0000-00003BF60000}"/>
    <cellStyle name="Percent 7 6" xfId="1323" xr:uid="{00000000-0005-0000-0000-00003CF60000}"/>
    <cellStyle name="Percent 7 6 10" xfId="16472" xr:uid="{00000000-0005-0000-0000-00003DF60000}"/>
    <cellStyle name="Percent 7 6 11" xfId="31621" xr:uid="{00000000-0005-0000-0000-00003EF60000}"/>
    <cellStyle name="Percent 7 6 12" xfId="33304" xr:uid="{00000000-0005-0000-0000-00003FF60000}"/>
    <cellStyle name="Percent 7 6 13" xfId="34987" xr:uid="{00000000-0005-0000-0000-000040F60000}"/>
    <cellStyle name="Percent 7 6 14" xfId="36670" xr:uid="{00000000-0005-0000-0000-000041F60000}"/>
    <cellStyle name="Percent 7 6 15" xfId="38353" xr:uid="{00000000-0005-0000-0000-000042F60000}"/>
    <cellStyle name="Percent 7 6 16" xfId="40036" xr:uid="{00000000-0005-0000-0000-000043F60000}"/>
    <cellStyle name="Percent 7 6 17" xfId="41719" xr:uid="{00000000-0005-0000-0000-000044F60000}"/>
    <cellStyle name="Percent 7 6 18" xfId="43402" xr:uid="{00000000-0005-0000-0000-000045F60000}"/>
    <cellStyle name="Percent 7 6 19" xfId="45085" xr:uid="{00000000-0005-0000-0000-000046F60000}"/>
    <cellStyle name="Percent 7 6 2" xfId="3006" xr:uid="{00000000-0005-0000-0000-000047F60000}"/>
    <cellStyle name="Percent 7 6 2 2" xfId="18155" xr:uid="{00000000-0005-0000-0000-000048F60000}"/>
    <cellStyle name="Percent 7 6 20" xfId="46768" xr:uid="{00000000-0005-0000-0000-000049F60000}"/>
    <cellStyle name="Percent 7 6 21" xfId="48451" xr:uid="{00000000-0005-0000-0000-00004AF60000}"/>
    <cellStyle name="Percent 7 6 22" xfId="50134" xr:uid="{00000000-0005-0000-0000-00004BF60000}"/>
    <cellStyle name="Percent 7 6 23" xfId="51817" xr:uid="{00000000-0005-0000-0000-00004CF60000}"/>
    <cellStyle name="Percent 7 6 24" xfId="53500" xr:uid="{00000000-0005-0000-0000-00004DF60000}"/>
    <cellStyle name="Percent 7 6 25" xfId="55183" xr:uid="{00000000-0005-0000-0000-00004EF60000}"/>
    <cellStyle name="Percent 7 6 26" xfId="56866" xr:uid="{00000000-0005-0000-0000-00004FF60000}"/>
    <cellStyle name="Percent 7 6 27" xfId="58549" xr:uid="{00000000-0005-0000-0000-000050F60000}"/>
    <cellStyle name="Percent 7 6 28" xfId="60232" xr:uid="{00000000-0005-0000-0000-000051F60000}"/>
    <cellStyle name="Percent 7 6 29" xfId="61915" xr:uid="{00000000-0005-0000-0000-000052F60000}"/>
    <cellStyle name="Percent 7 6 3" xfId="4690" xr:uid="{00000000-0005-0000-0000-000053F60000}"/>
    <cellStyle name="Percent 7 6 3 2" xfId="19839" xr:uid="{00000000-0005-0000-0000-000054F60000}"/>
    <cellStyle name="Percent 7 6 30" xfId="63598" xr:uid="{00000000-0005-0000-0000-000055F60000}"/>
    <cellStyle name="Percent 7 6 4" xfId="6373" xr:uid="{00000000-0005-0000-0000-000056F60000}"/>
    <cellStyle name="Percent 7 6 4 2" xfId="21522" xr:uid="{00000000-0005-0000-0000-000057F60000}"/>
    <cellStyle name="Percent 7 6 5" xfId="8056" xr:uid="{00000000-0005-0000-0000-000058F60000}"/>
    <cellStyle name="Percent 7 6 5 2" xfId="23205" xr:uid="{00000000-0005-0000-0000-000059F60000}"/>
    <cellStyle name="Percent 7 6 6" xfId="9739" xr:uid="{00000000-0005-0000-0000-00005AF60000}"/>
    <cellStyle name="Percent 7 6 6 2" xfId="24888" xr:uid="{00000000-0005-0000-0000-00005BF60000}"/>
    <cellStyle name="Percent 7 6 7" xfId="11422" xr:uid="{00000000-0005-0000-0000-00005CF60000}"/>
    <cellStyle name="Percent 7 6 7 2" xfId="26571" xr:uid="{00000000-0005-0000-0000-00005DF60000}"/>
    <cellStyle name="Percent 7 6 8" xfId="13106" xr:uid="{00000000-0005-0000-0000-00005EF60000}"/>
    <cellStyle name="Percent 7 6 8 2" xfId="28255" xr:uid="{00000000-0005-0000-0000-00005FF60000}"/>
    <cellStyle name="Percent 7 6 9" xfId="14789" xr:uid="{00000000-0005-0000-0000-000060F60000}"/>
    <cellStyle name="Percent 7 6 9 2" xfId="29938" xr:uid="{00000000-0005-0000-0000-000061F60000}"/>
    <cellStyle name="Percent 7 7" xfId="1744" xr:uid="{00000000-0005-0000-0000-000062F60000}"/>
    <cellStyle name="Percent 7 7 2" xfId="16893" xr:uid="{00000000-0005-0000-0000-000063F60000}"/>
    <cellStyle name="Percent 7 8" xfId="3428" xr:uid="{00000000-0005-0000-0000-000064F60000}"/>
    <cellStyle name="Percent 7 8 2" xfId="18577" xr:uid="{00000000-0005-0000-0000-000065F60000}"/>
    <cellStyle name="Percent 7 9" xfId="5111" xr:uid="{00000000-0005-0000-0000-000066F60000}"/>
    <cellStyle name="Percent 7 9 2" xfId="20260" xr:uid="{00000000-0005-0000-0000-000067F60000}"/>
    <cellStyle name="Percent 8" xfId="48" xr:uid="{00000000-0005-0000-0000-000068F60000}"/>
    <cellStyle name="Percent 8 10" xfId="6803" xr:uid="{00000000-0005-0000-0000-000069F60000}"/>
    <cellStyle name="Percent 8 10 2" xfId="21952" xr:uid="{00000000-0005-0000-0000-00006AF60000}"/>
    <cellStyle name="Percent 8 11" xfId="8486" xr:uid="{00000000-0005-0000-0000-00006BF60000}"/>
    <cellStyle name="Percent 8 11 2" xfId="23635" xr:uid="{00000000-0005-0000-0000-00006CF60000}"/>
    <cellStyle name="Percent 8 12" xfId="10169" xr:uid="{00000000-0005-0000-0000-00006DF60000}"/>
    <cellStyle name="Percent 8 12 2" xfId="25318" xr:uid="{00000000-0005-0000-0000-00006EF60000}"/>
    <cellStyle name="Percent 8 13" xfId="11853" xr:uid="{00000000-0005-0000-0000-00006FF60000}"/>
    <cellStyle name="Percent 8 13 2" xfId="27002" xr:uid="{00000000-0005-0000-0000-000070F60000}"/>
    <cellStyle name="Percent 8 14" xfId="13536" xr:uid="{00000000-0005-0000-0000-000071F60000}"/>
    <cellStyle name="Percent 8 14 2" xfId="28685" xr:uid="{00000000-0005-0000-0000-000072F60000}"/>
    <cellStyle name="Percent 8 15" xfId="15219" xr:uid="{00000000-0005-0000-0000-000073F60000}"/>
    <cellStyle name="Percent 8 16" xfId="30368" xr:uid="{00000000-0005-0000-0000-000074F60000}"/>
    <cellStyle name="Percent 8 17" xfId="32051" xr:uid="{00000000-0005-0000-0000-000075F60000}"/>
    <cellStyle name="Percent 8 18" xfId="33734" xr:uid="{00000000-0005-0000-0000-000076F60000}"/>
    <cellStyle name="Percent 8 19" xfId="35417" xr:uid="{00000000-0005-0000-0000-000077F60000}"/>
    <cellStyle name="Percent 8 2" xfId="175" xr:uid="{00000000-0005-0000-0000-000078F60000}"/>
    <cellStyle name="Percent 8 2 10" xfId="8591" xr:uid="{00000000-0005-0000-0000-000079F60000}"/>
    <cellStyle name="Percent 8 2 10 2" xfId="23740" xr:uid="{00000000-0005-0000-0000-00007AF60000}"/>
    <cellStyle name="Percent 8 2 11" xfId="10274" xr:uid="{00000000-0005-0000-0000-00007BF60000}"/>
    <cellStyle name="Percent 8 2 11 2" xfId="25423" xr:uid="{00000000-0005-0000-0000-00007CF60000}"/>
    <cellStyle name="Percent 8 2 12" xfId="11958" xr:uid="{00000000-0005-0000-0000-00007DF60000}"/>
    <cellStyle name="Percent 8 2 12 2" xfId="27107" xr:uid="{00000000-0005-0000-0000-00007EF60000}"/>
    <cellStyle name="Percent 8 2 13" xfId="13641" xr:uid="{00000000-0005-0000-0000-00007FF60000}"/>
    <cellStyle name="Percent 8 2 13 2" xfId="28790" xr:uid="{00000000-0005-0000-0000-000080F60000}"/>
    <cellStyle name="Percent 8 2 14" xfId="15324" xr:uid="{00000000-0005-0000-0000-000081F60000}"/>
    <cellStyle name="Percent 8 2 15" xfId="30473" xr:uid="{00000000-0005-0000-0000-000082F60000}"/>
    <cellStyle name="Percent 8 2 16" xfId="32156" xr:uid="{00000000-0005-0000-0000-000083F60000}"/>
    <cellStyle name="Percent 8 2 17" xfId="33839" xr:uid="{00000000-0005-0000-0000-000084F60000}"/>
    <cellStyle name="Percent 8 2 18" xfId="35522" xr:uid="{00000000-0005-0000-0000-000085F60000}"/>
    <cellStyle name="Percent 8 2 19" xfId="37205" xr:uid="{00000000-0005-0000-0000-000086F60000}"/>
    <cellStyle name="Percent 8 2 2" xfId="385" xr:uid="{00000000-0005-0000-0000-000087F60000}"/>
    <cellStyle name="Percent 8 2 2 10" xfId="10484" xr:uid="{00000000-0005-0000-0000-000088F60000}"/>
    <cellStyle name="Percent 8 2 2 10 2" xfId="25633" xr:uid="{00000000-0005-0000-0000-000089F60000}"/>
    <cellStyle name="Percent 8 2 2 11" xfId="12168" xr:uid="{00000000-0005-0000-0000-00008AF60000}"/>
    <cellStyle name="Percent 8 2 2 11 2" xfId="27317" xr:uid="{00000000-0005-0000-0000-00008BF60000}"/>
    <cellStyle name="Percent 8 2 2 12" xfId="13851" xr:uid="{00000000-0005-0000-0000-00008CF60000}"/>
    <cellStyle name="Percent 8 2 2 12 2" xfId="29000" xr:uid="{00000000-0005-0000-0000-00008DF60000}"/>
    <cellStyle name="Percent 8 2 2 13" xfId="15534" xr:uid="{00000000-0005-0000-0000-00008EF60000}"/>
    <cellStyle name="Percent 8 2 2 14" xfId="30683" xr:uid="{00000000-0005-0000-0000-00008FF60000}"/>
    <cellStyle name="Percent 8 2 2 15" xfId="32366" xr:uid="{00000000-0005-0000-0000-000090F60000}"/>
    <cellStyle name="Percent 8 2 2 16" xfId="34049" xr:uid="{00000000-0005-0000-0000-000091F60000}"/>
    <cellStyle name="Percent 8 2 2 17" xfId="35732" xr:uid="{00000000-0005-0000-0000-000092F60000}"/>
    <cellStyle name="Percent 8 2 2 18" xfId="37415" xr:uid="{00000000-0005-0000-0000-000093F60000}"/>
    <cellStyle name="Percent 8 2 2 19" xfId="39098" xr:uid="{00000000-0005-0000-0000-000094F60000}"/>
    <cellStyle name="Percent 8 2 2 2" xfId="805" xr:uid="{00000000-0005-0000-0000-000095F60000}"/>
    <cellStyle name="Percent 8 2 2 2 10" xfId="15954" xr:uid="{00000000-0005-0000-0000-000096F60000}"/>
    <cellStyle name="Percent 8 2 2 2 11" xfId="31103" xr:uid="{00000000-0005-0000-0000-000097F60000}"/>
    <cellStyle name="Percent 8 2 2 2 12" xfId="32786" xr:uid="{00000000-0005-0000-0000-000098F60000}"/>
    <cellStyle name="Percent 8 2 2 2 13" xfId="34469" xr:uid="{00000000-0005-0000-0000-000099F60000}"/>
    <cellStyle name="Percent 8 2 2 2 14" xfId="36152" xr:uid="{00000000-0005-0000-0000-00009AF60000}"/>
    <cellStyle name="Percent 8 2 2 2 15" xfId="37835" xr:uid="{00000000-0005-0000-0000-00009BF60000}"/>
    <cellStyle name="Percent 8 2 2 2 16" xfId="39518" xr:uid="{00000000-0005-0000-0000-00009CF60000}"/>
    <cellStyle name="Percent 8 2 2 2 17" xfId="41201" xr:uid="{00000000-0005-0000-0000-00009DF60000}"/>
    <cellStyle name="Percent 8 2 2 2 18" xfId="42884" xr:uid="{00000000-0005-0000-0000-00009EF60000}"/>
    <cellStyle name="Percent 8 2 2 2 19" xfId="44567" xr:uid="{00000000-0005-0000-0000-00009FF60000}"/>
    <cellStyle name="Percent 8 2 2 2 2" xfId="2488" xr:uid="{00000000-0005-0000-0000-0000A0F60000}"/>
    <cellStyle name="Percent 8 2 2 2 2 2" xfId="17637" xr:uid="{00000000-0005-0000-0000-0000A1F60000}"/>
    <cellStyle name="Percent 8 2 2 2 20" xfId="46250" xr:uid="{00000000-0005-0000-0000-0000A2F60000}"/>
    <cellStyle name="Percent 8 2 2 2 21" xfId="47933" xr:uid="{00000000-0005-0000-0000-0000A3F60000}"/>
    <cellStyle name="Percent 8 2 2 2 22" xfId="49616" xr:uid="{00000000-0005-0000-0000-0000A4F60000}"/>
    <cellStyle name="Percent 8 2 2 2 23" xfId="51299" xr:uid="{00000000-0005-0000-0000-0000A5F60000}"/>
    <cellStyle name="Percent 8 2 2 2 24" xfId="52982" xr:uid="{00000000-0005-0000-0000-0000A6F60000}"/>
    <cellStyle name="Percent 8 2 2 2 25" xfId="54665" xr:uid="{00000000-0005-0000-0000-0000A7F60000}"/>
    <cellStyle name="Percent 8 2 2 2 26" xfId="56348" xr:uid="{00000000-0005-0000-0000-0000A8F60000}"/>
    <cellStyle name="Percent 8 2 2 2 27" xfId="58031" xr:uid="{00000000-0005-0000-0000-0000A9F60000}"/>
    <cellStyle name="Percent 8 2 2 2 28" xfId="59714" xr:uid="{00000000-0005-0000-0000-0000AAF60000}"/>
    <cellStyle name="Percent 8 2 2 2 29" xfId="61397" xr:uid="{00000000-0005-0000-0000-0000ABF60000}"/>
    <cellStyle name="Percent 8 2 2 2 3" xfId="4172" xr:uid="{00000000-0005-0000-0000-0000ACF60000}"/>
    <cellStyle name="Percent 8 2 2 2 3 2" xfId="19321" xr:uid="{00000000-0005-0000-0000-0000ADF60000}"/>
    <cellStyle name="Percent 8 2 2 2 30" xfId="63080" xr:uid="{00000000-0005-0000-0000-0000AEF60000}"/>
    <cellStyle name="Percent 8 2 2 2 4" xfId="5855" xr:uid="{00000000-0005-0000-0000-0000AFF60000}"/>
    <cellStyle name="Percent 8 2 2 2 4 2" xfId="21004" xr:uid="{00000000-0005-0000-0000-0000B0F60000}"/>
    <cellStyle name="Percent 8 2 2 2 5" xfId="7538" xr:uid="{00000000-0005-0000-0000-0000B1F60000}"/>
    <cellStyle name="Percent 8 2 2 2 5 2" xfId="22687" xr:uid="{00000000-0005-0000-0000-0000B2F60000}"/>
    <cellStyle name="Percent 8 2 2 2 6" xfId="9221" xr:uid="{00000000-0005-0000-0000-0000B3F60000}"/>
    <cellStyle name="Percent 8 2 2 2 6 2" xfId="24370" xr:uid="{00000000-0005-0000-0000-0000B4F60000}"/>
    <cellStyle name="Percent 8 2 2 2 7" xfId="10904" xr:uid="{00000000-0005-0000-0000-0000B5F60000}"/>
    <cellStyle name="Percent 8 2 2 2 7 2" xfId="26053" xr:uid="{00000000-0005-0000-0000-0000B6F60000}"/>
    <cellStyle name="Percent 8 2 2 2 8" xfId="12588" xr:uid="{00000000-0005-0000-0000-0000B7F60000}"/>
    <cellStyle name="Percent 8 2 2 2 8 2" xfId="27737" xr:uid="{00000000-0005-0000-0000-0000B8F60000}"/>
    <cellStyle name="Percent 8 2 2 2 9" xfId="14271" xr:uid="{00000000-0005-0000-0000-0000B9F60000}"/>
    <cellStyle name="Percent 8 2 2 2 9 2" xfId="29420" xr:uid="{00000000-0005-0000-0000-0000BAF60000}"/>
    <cellStyle name="Percent 8 2 2 20" xfId="40781" xr:uid="{00000000-0005-0000-0000-0000BBF60000}"/>
    <cellStyle name="Percent 8 2 2 21" xfId="42464" xr:uid="{00000000-0005-0000-0000-0000BCF60000}"/>
    <cellStyle name="Percent 8 2 2 22" xfId="44147" xr:uid="{00000000-0005-0000-0000-0000BDF60000}"/>
    <cellStyle name="Percent 8 2 2 23" xfId="45830" xr:uid="{00000000-0005-0000-0000-0000BEF60000}"/>
    <cellStyle name="Percent 8 2 2 24" xfId="47513" xr:uid="{00000000-0005-0000-0000-0000BFF60000}"/>
    <cellStyle name="Percent 8 2 2 25" xfId="49196" xr:uid="{00000000-0005-0000-0000-0000C0F60000}"/>
    <cellStyle name="Percent 8 2 2 26" xfId="50879" xr:uid="{00000000-0005-0000-0000-0000C1F60000}"/>
    <cellStyle name="Percent 8 2 2 27" xfId="52562" xr:uid="{00000000-0005-0000-0000-0000C2F60000}"/>
    <cellStyle name="Percent 8 2 2 28" xfId="54245" xr:uid="{00000000-0005-0000-0000-0000C3F60000}"/>
    <cellStyle name="Percent 8 2 2 29" xfId="55928" xr:uid="{00000000-0005-0000-0000-0000C4F60000}"/>
    <cellStyle name="Percent 8 2 2 3" xfId="1226" xr:uid="{00000000-0005-0000-0000-0000C5F60000}"/>
    <cellStyle name="Percent 8 2 2 3 10" xfId="16375" xr:uid="{00000000-0005-0000-0000-0000C6F60000}"/>
    <cellStyle name="Percent 8 2 2 3 11" xfId="31524" xr:uid="{00000000-0005-0000-0000-0000C7F60000}"/>
    <cellStyle name="Percent 8 2 2 3 12" xfId="33207" xr:uid="{00000000-0005-0000-0000-0000C8F60000}"/>
    <cellStyle name="Percent 8 2 2 3 13" xfId="34890" xr:uid="{00000000-0005-0000-0000-0000C9F60000}"/>
    <cellStyle name="Percent 8 2 2 3 14" xfId="36573" xr:uid="{00000000-0005-0000-0000-0000CAF60000}"/>
    <cellStyle name="Percent 8 2 2 3 15" xfId="38256" xr:uid="{00000000-0005-0000-0000-0000CBF60000}"/>
    <cellStyle name="Percent 8 2 2 3 16" xfId="39939" xr:uid="{00000000-0005-0000-0000-0000CCF60000}"/>
    <cellStyle name="Percent 8 2 2 3 17" xfId="41622" xr:uid="{00000000-0005-0000-0000-0000CDF60000}"/>
    <cellStyle name="Percent 8 2 2 3 18" xfId="43305" xr:uid="{00000000-0005-0000-0000-0000CEF60000}"/>
    <cellStyle name="Percent 8 2 2 3 19" xfId="44988" xr:uid="{00000000-0005-0000-0000-0000CFF60000}"/>
    <cellStyle name="Percent 8 2 2 3 2" xfId="2909" xr:uid="{00000000-0005-0000-0000-0000D0F60000}"/>
    <cellStyle name="Percent 8 2 2 3 2 2" xfId="18058" xr:uid="{00000000-0005-0000-0000-0000D1F60000}"/>
    <cellStyle name="Percent 8 2 2 3 20" xfId="46671" xr:uid="{00000000-0005-0000-0000-0000D2F60000}"/>
    <cellStyle name="Percent 8 2 2 3 21" xfId="48354" xr:uid="{00000000-0005-0000-0000-0000D3F60000}"/>
    <cellStyle name="Percent 8 2 2 3 22" xfId="50037" xr:uid="{00000000-0005-0000-0000-0000D4F60000}"/>
    <cellStyle name="Percent 8 2 2 3 23" xfId="51720" xr:uid="{00000000-0005-0000-0000-0000D5F60000}"/>
    <cellStyle name="Percent 8 2 2 3 24" xfId="53403" xr:uid="{00000000-0005-0000-0000-0000D6F60000}"/>
    <cellStyle name="Percent 8 2 2 3 25" xfId="55086" xr:uid="{00000000-0005-0000-0000-0000D7F60000}"/>
    <cellStyle name="Percent 8 2 2 3 26" xfId="56769" xr:uid="{00000000-0005-0000-0000-0000D8F60000}"/>
    <cellStyle name="Percent 8 2 2 3 27" xfId="58452" xr:uid="{00000000-0005-0000-0000-0000D9F60000}"/>
    <cellStyle name="Percent 8 2 2 3 28" xfId="60135" xr:uid="{00000000-0005-0000-0000-0000DAF60000}"/>
    <cellStyle name="Percent 8 2 2 3 29" xfId="61818" xr:uid="{00000000-0005-0000-0000-0000DBF60000}"/>
    <cellStyle name="Percent 8 2 2 3 3" xfId="4593" xr:uid="{00000000-0005-0000-0000-0000DCF60000}"/>
    <cellStyle name="Percent 8 2 2 3 3 2" xfId="19742" xr:uid="{00000000-0005-0000-0000-0000DDF60000}"/>
    <cellStyle name="Percent 8 2 2 3 30" xfId="63501" xr:uid="{00000000-0005-0000-0000-0000DEF60000}"/>
    <cellStyle name="Percent 8 2 2 3 4" xfId="6276" xr:uid="{00000000-0005-0000-0000-0000DFF60000}"/>
    <cellStyle name="Percent 8 2 2 3 4 2" xfId="21425" xr:uid="{00000000-0005-0000-0000-0000E0F60000}"/>
    <cellStyle name="Percent 8 2 2 3 5" xfId="7959" xr:uid="{00000000-0005-0000-0000-0000E1F60000}"/>
    <cellStyle name="Percent 8 2 2 3 5 2" xfId="23108" xr:uid="{00000000-0005-0000-0000-0000E2F60000}"/>
    <cellStyle name="Percent 8 2 2 3 6" xfId="9642" xr:uid="{00000000-0005-0000-0000-0000E3F60000}"/>
    <cellStyle name="Percent 8 2 2 3 6 2" xfId="24791" xr:uid="{00000000-0005-0000-0000-0000E4F60000}"/>
    <cellStyle name="Percent 8 2 2 3 7" xfId="11325" xr:uid="{00000000-0005-0000-0000-0000E5F60000}"/>
    <cellStyle name="Percent 8 2 2 3 7 2" xfId="26474" xr:uid="{00000000-0005-0000-0000-0000E6F60000}"/>
    <cellStyle name="Percent 8 2 2 3 8" xfId="13009" xr:uid="{00000000-0005-0000-0000-0000E7F60000}"/>
    <cellStyle name="Percent 8 2 2 3 8 2" xfId="28158" xr:uid="{00000000-0005-0000-0000-0000E8F60000}"/>
    <cellStyle name="Percent 8 2 2 3 9" xfId="14692" xr:uid="{00000000-0005-0000-0000-0000E9F60000}"/>
    <cellStyle name="Percent 8 2 2 3 9 2" xfId="29841" xr:uid="{00000000-0005-0000-0000-0000EAF60000}"/>
    <cellStyle name="Percent 8 2 2 30" xfId="57611" xr:uid="{00000000-0005-0000-0000-0000EBF60000}"/>
    <cellStyle name="Percent 8 2 2 31" xfId="59294" xr:uid="{00000000-0005-0000-0000-0000ECF60000}"/>
    <cellStyle name="Percent 8 2 2 32" xfId="60977" xr:uid="{00000000-0005-0000-0000-0000EDF60000}"/>
    <cellStyle name="Percent 8 2 2 33" xfId="62660" xr:uid="{00000000-0005-0000-0000-0000EEF60000}"/>
    <cellStyle name="Percent 8 2 2 4" xfId="1647" xr:uid="{00000000-0005-0000-0000-0000EFF60000}"/>
    <cellStyle name="Percent 8 2 2 4 10" xfId="16796" xr:uid="{00000000-0005-0000-0000-0000F0F60000}"/>
    <cellStyle name="Percent 8 2 2 4 11" xfId="31945" xr:uid="{00000000-0005-0000-0000-0000F1F60000}"/>
    <cellStyle name="Percent 8 2 2 4 12" xfId="33628" xr:uid="{00000000-0005-0000-0000-0000F2F60000}"/>
    <cellStyle name="Percent 8 2 2 4 13" xfId="35311" xr:uid="{00000000-0005-0000-0000-0000F3F60000}"/>
    <cellStyle name="Percent 8 2 2 4 14" xfId="36994" xr:uid="{00000000-0005-0000-0000-0000F4F60000}"/>
    <cellStyle name="Percent 8 2 2 4 15" xfId="38677" xr:uid="{00000000-0005-0000-0000-0000F5F60000}"/>
    <cellStyle name="Percent 8 2 2 4 16" xfId="40360" xr:uid="{00000000-0005-0000-0000-0000F6F60000}"/>
    <cellStyle name="Percent 8 2 2 4 17" xfId="42043" xr:uid="{00000000-0005-0000-0000-0000F7F60000}"/>
    <cellStyle name="Percent 8 2 2 4 18" xfId="43726" xr:uid="{00000000-0005-0000-0000-0000F8F60000}"/>
    <cellStyle name="Percent 8 2 2 4 19" xfId="45409" xr:uid="{00000000-0005-0000-0000-0000F9F60000}"/>
    <cellStyle name="Percent 8 2 2 4 2" xfId="3330" xr:uid="{00000000-0005-0000-0000-0000FAF60000}"/>
    <cellStyle name="Percent 8 2 2 4 2 2" xfId="18479" xr:uid="{00000000-0005-0000-0000-0000FBF60000}"/>
    <cellStyle name="Percent 8 2 2 4 20" xfId="47092" xr:uid="{00000000-0005-0000-0000-0000FCF60000}"/>
    <cellStyle name="Percent 8 2 2 4 21" xfId="48775" xr:uid="{00000000-0005-0000-0000-0000FDF60000}"/>
    <cellStyle name="Percent 8 2 2 4 22" xfId="50458" xr:uid="{00000000-0005-0000-0000-0000FEF60000}"/>
    <cellStyle name="Percent 8 2 2 4 23" xfId="52141" xr:uid="{00000000-0005-0000-0000-0000FFF60000}"/>
    <cellStyle name="Percent 8 2 2 4 24" xfId="53824" xr:uid="{00000000-0005-0000-0000-000000F70000}"/>
    <cellStyle name="Percent 8 2 2 4 25" xfId="55507" xr:uid="{00000000-0005-0000-0000-000001F70000}"/>
    <cellStyle name="Percent 8 2 2 4 26" xfId="57190" xr:uid="{00000000-0005-0000-0000-000002F70000}"/>
    <cellStyle name="Percent 8 2 2 4 27" xfId="58873" xr:uid="{00000000-0005-0000-0000-000003F70000}"/>
    <cellStyle name="Percent 8 2 2 4 28" xfId="60556" xr:uid="{00000000-0005-0000-0000-000004F70000}"/>
    <cellStyle name="Percent 8 2 2 4 29" xfId="62239" xr:uid="{00000000-0005-0000-0000-000005F70000}"/>
    <cellStyle name="Percent 8 2 2 4 3" xfId="5014" xr:uid="{00000000-0005-0000-0000-000006F70000}"/>
    <cellStyle name="Percent 8 2 2 4 3 2" xfId="20163" xr:uid="{00000000-0005-0000-0000-000007F70000}"/>
    <cellStyle name="Percent 8 2 2 4 30" xfId="63922" xr:uid="{00000000-0005-0000-0000-000008F70000}"/>
    <cellStyle name="Percent 8 2 2 4 4" xfId="6697" xr:uid="{00000000-0005-0000-0000-000009F70000}"/>
    <cellStyle name="Percent 8 2 2 4 4 2" xfId="21846" xr:uid="{00000000-0005-0000-0000-00000AF70000}"/>
    <cellStyle name="Percent 8 2 2 4 5" xfId="8380" xr:uid="{00000000-0005-0000-0000-00000BF70000}"/>
    <cellStyle name="Percent 8 2 2 4 5 2" xfId="23529" xr:uid="{00000000-0005-0000-0000-00000CF70000}"/>
    <cellStyle name="Percent 8 2 2 4 6" xfId="10063" xr:uid="{00000000-0005-0000-0000-00000DF70000}"/>
    <cellStyle name="Percent 8 2 2 4 6 2" xfId="25212" xr:uid="{00000000-0005-0000-0000-00000EF70000}"/>
    <cellStyle name="Percent 8 2 2 4 7" xfId="11746" xr:uid="{00000000-0005-0000-0000-00000FF70000}"/>
    <cellStyle name="Percent 8 2 2 4 7 2" xfId="26895" xr:uid="{00000000-0005-0000-0000-000010F70000}"/>
    <cellStyle name="Percent 8 2 2 4 8" xfId="13430" xr:uid="{00000000-0005-0000-0000-000011F70000}"/>
    <cellStyle name="Percent 8 2 2 4 8 2" xfId="28579" xr:uid="{00000000-0005-0000-0000-000012F70000}"/>
    <cellStyle name="Percent 8 2 2 4 9" xfId="15113" xr:uid="{00000000-0005-0000-0000-000013F70000}"/>
    <cellStyle name="Percent 8 2 2 4 9 2" xfId="30262" xr:uid="{00000000-0005-0000-0000-000014F70000}"/>
    <cellStyle name="Percent 8 2 2 5" xfId="2068" xr:uid="{00000000-0005-0000-0000-000015F70000}"/>
    <cellStyle name="Percent 8 2 2 5 2" xfId="17217" xr:uid="{00000000-0005-0000-0000-000016F70000}"/>
    <cellStyle name="Percent 8 2 2 6" xfId="3752" xr:uid="{00000000-0005-0000-0000-000017F70000}"/>
    <cellStyle name="Percent 8 2 2 6 2" xfId="18901" xr:uid="{00000000-0005-0000-0000-000018F70000}"/>
    <cellStyle name="Percent 8 2 2 7" xfId="5435" xr:uid="{00000000-0005-0000-0000-000019F70000}"/>
    <cellStyle name="Percent 8 2 2 7 2" xfId="20584" xr:uid="{00000000-0005-0000-0000-00001AF70000}"/>
    <cellStyle name="Percent 8 2 2 8" xfId="7118" xr:uid="{00000000-0005-0000-0000-00001BF70000}"/>
    <cellStyle name="Percent 8 2 2 8 2" xfId="22267" xr:uid="{00000000-0005-0000-0000-00001CF70000}"/>
    <cellStyle name="Percent 8 2 2 9" xfId="8801" xr:uid="{00000000-0005-0000-0000-00001DF70000}"/>
    <cellStyle name="Percent 8 2 2 9 2" xfId="23950" xr:uid="{00000000-0005-0000-0000-00001EF70000}"/>
    <cellStyle name="Percent 8 2 20" xfId="38888" xr:uid="{00000000-0005-0000-0000-00001FF70000}"/>
    <cellStyle name="Percent 8 2 21" xfId="40571" xr:uid="{00000000-0005-0000-0000-000020F70000}"/>
    <cellStyle name="Percent 8 2 22" xfId="42254" xr:uid="{00000000-0005-0000-0000-000021F70000}"/>
    <cellStyle name="Percent 8 2 23" xfId="43937" xr:uid="{00000000-0005-0000-0000-000022F70000}"/>
    <cellStyle name="Percent 8 2 24" xfId="45620" xr:uid="{00000000-0005-0000-0000-000023F70000}"/>
    <cellStyle name="Percent 8 2 25" xfId="47303" xr:uid="{00000000-0005-0000-0000-000024F70000}"/>
    <cellStyle name="Percent 8 2 26" xfId="48986" xr:uid="{00000000-0005-0000-0000-000025F70000}"/>
    <cellStyle name="Percent 8 2 27" xfId="50669" xr:uid="{00000000-0005-0000-0000-000026F70000}"/>
    <cellStyle name="Percent 8 2 28" xfId="52352" xr:uid="{00000000-0005-0000-0000-000027F70000}"/>
    <cellStyle name="Percent 8 2 29" xfId="54035" xr:uid="{00000000-0005-0000-0000-000028F70000}"/>
    <cellStyle name="Percent 8 2 3" xfId="595" xr:uid="{00000000-0005-0000-0000-000029F70000}"/>
    <cellStyle name="Percent 8 2 3 10" xfId="15744" xr:uid="{00000000-0005-0000-0000-00002AF70000}"/>
    <cellStyle name="Percent 8 2 3 11" xfId="30893" xr:uid="{00000000-0005-0000-0000-00002BF70000}"/>
    <cellStyle name="Percent 8 2 3 12" xfId="32576" xr:uid="{00000000-0005-0000-0000-00002CF70000}"/>
    <cellStyle name="Percent 8 2 3 13" xfId="34259" xr:uid="{00000000-0005-0000-0000-00002DF70000}"/>
    <cellStyle name="Percent 8 2 3 14" xfId="35942" xr:uid="{00000000-0005-0000-0000-00002EF70000}"/>
    <cellStyle name="Percent 8 2 3 15" xfId="37625" xr:uid="{00000000-0005-0000-0000-00002FF70000}"/>
    <cellStyle name="Percent 8 2 3 16" xfId="39308" xr:uid="{00000000-0005-0000-0000-000030F70000}"/>
    <cellStyle name="Percent 8 2 3 17" xfId="40991" xr:uid="{00000000-0005-0000-0000-000031F70000}"/>
    <cellStyle name="Percent 8 2 3 18" xfId="42674" xr:uid="{00000000-0005-0000-0000-000032F70000}"/>
    <cellStyle name="Percent 8 2 3 19" xfId="44357" xr:uid="{00000000-0005-0000-0000-000033F70000}"/>
    <cellStyle name="Percent 8 2 3 2" xfId="2278" xr:uid="{00000000-0005-0000-0000-000034F70000}"/>
    <cellStyle name="Percent 8 2 3 2 2" xfId="17427" xr:uid="{00000000-0005-0000-0000-000035F70000}"/>
    <cellStyle name="Percent 8 2 3 20" xfId="46040" xr:uid="{00000000-0005-0000-0000-000036F70000}"/>
    <cellStyle name="Percent 8 2 3 21" xfId="47723" xr:uid="{00000000-0005-0000-0000-000037F70000}"/>
    <cellStyle name="Percent 8 2 3 22" xfId="49406" xr:uid="{00000000-0005-0000-0000-000038F70000}"/>
    <cellStyle name="Percent 8 2 3 23" xfId="51089" xr:uid="{00000000-0005-0000-0000-000039F70000}"/>
    <cellStyle name="Percent 8 2 3 24" xfId="52772" xr:uid="{00000000-0005-0000-0000-00003AF70000}"/>
    <cellStyle name="Percent 8 2 3 25" xfId="54455" xr:uid="{00000000-0005-0000-0000-00003BF70000}"/>
    <cellStyle name="Percent 8 2 3 26" xfId="56138" xr:uid="{00000000-0005-0000-0000-00003CF70000}"/>
    <cellStyle name="Percent 8 2 3 27" xfId="57821" xr:uid="{00000000-0005-0000-0000-00003DF70000}"/>
    <cellStyle name="Percent 8 2 3 28" xfId="59504" xr:uid="{00000000-0005-0000-0000-00003EF70000}"/>
    <cellStyle name="Percent 8 2 3 29" xfId="61187" xr:uid="{00000000-0005-0000-0000-00003FF70000}"/>
    <cellStyle name="Percent 8 2 3 3" xfId="3962" xr:uid="{00000000-0005-0000-0000-000040F70000}"/>
    <cellStyle name="Percent 8 2 3 3 2" xfId="19111" xr:uid="{00000000-0005-0000-0000-000041F70000}"/>
    <cellStyle name="Percent 8 2 3 30" xfId="62870" xr:uid="{00000000-0005-0000-0000-000042F70000}"/>
    <cellStyle name="Percent 8 2 3 4" xfId="5645" xr:uid="{00000000-0005-0000-0000-000043F70000}"/>
    <cellStyle name="Percent 8 2 3 4 2" xfId="20794" xr:uid="{00000000-0005-0000-0000-000044F70000}"/>
    <cellStyle name="Percent 8 2 3 5" xfId="7328" xr:uid="{00000000-0005-0000-0000-000045F70000}"/>
    <cellStyle name="Percent 8 2 3 5 2" xfId="22477" xr:uid="{00000000-0005-0000-0000-000046F70000}"/>
    <cellStyle name="Percent 8 2 3 6" xfId="9011" xr:uid="{00000000-0005-0000-0000-000047F70000}"/>
    <cellStyle name="Percent 8 2 3 6 2" xfId="24160" xr:uid="{00000000-0005-0000-0000-000048F70000}"/>
    <cellStyle name="Percent 8 2 3 7" xfId="10694" xr:uid="{00000000-0005-0000-0000-000049F70000}"/>
    <cellStyle name="Percent 8 2 3 7 2" xfId="25843" xr:uid="{00000000-0005-0000-0000-00004AF70000}"/>
    <cellStyle name="Percent 8 2 3 8" xfId="12378" xr:uid="{00000000-0005-0000-0000-00004BF70000}"/>
    <cellStyle name="Percent 8 2 3 8 2" xfId="27527" xr:uid="{00000000-0005-0000-0000-00004CF70000}"/>
    <cellStyle name="Percent 8 2 3 9" xfId="14061" xr:uid="{00000000-0005-0000-0000-00004DF70000}"/>
    <cellStyle name="Percent 8 2 3 9 2" xfId="29210" xr:uid="{00000000-0005-0000-0000-00004EF70000}"/>
    <cellStyle name="Percent 8 2 30" xfId="55718" xr:uid="{00000000-0005-0000-0000-00004FF70000}"/>
    <cellStyle name="Percent 8 2 31" xfId="57401" xr:uid="{00000000-0005-0000-0000-000050F70000}"/>
    <cellStyle name="Percent 8 2 32" xfId="59084" xr:uid="{00000000-0005-0000-0000-000051F70000}"/>
    <cellStyle name="Percent 8 2 33" xfId="60767" xr:uid="{00000000-0005-0000-0000-000052F70000}"/>
    <cellStyle name="Percent 8 2 34" xfId="62450" xr:uid="{00000000-0005-0000-0000-000053F70000}"/>
    <cellStyle name="Percent 8 2 4" xfId="1016" xr:uid="{00000000-0005-0000-0000-000054F70000}"/>
    <cellStyle name="Percent 8 2 4 10" xfId="16165" xr:uid="{00000000-0005-0000-0000-000055F70000}"/>
    <cellStyle name="Percent 8 2 4 11" xfId="31314" xr:uid="{00000000-0005-0000-0000-000056F70000}"/>
    <cellStyle name="Percent 8 2 4 12" xfId="32997" xr:uid="{00000000-0005-0000-0000-000057F70000}"/>
    <cellStyle name="Percent 8 2 4 13" xfId="34680" xr:uid="{00000000-0005-0000-0000-000058F70000}"/>
    <cellStyle name="Percent 8 2 4 14" xfId="36363" xr:uid="{00000000-0005-0000-0000-000059F70000}"/>
    <cellStyle name="Percent 8 2 4 15" xfId="38046" xr:uid="{00000000-0005-0000-0000-00005AF70000}"/>
    <cellStyle name="Percent 8 2 4 16" xfId="39729" xr:uid="{00000000-0005-0000-0000-00005BF70000}"/>
    <cellStyle name="Percent 8 2 4 17" xfId="41412" xr:uid="{00000000-0005-0000-0000-00005CF70000}"/>
    <cellStyle name="Percent 8 2 4 18" xfId="43095" xr:uid="{00000000-0005-0000-0000-00005DF70000}"/>
    <cellStyle name="Percent 8 2 4 19" xfId="44778" xr:uid="{00000000-0005-0000-0000-00005EF70000}"/>
    <cellStyle name="Percent 8 2 4 2" xfId="2699" xr:uid="{00000000-0005-0000-0000-00005FF70000}"/>
    <cellStyle name="Percent 8 2 4 2 2" xfId="17848" xr:uid="{00000000-0005-0000-0000-000060F70000}"/>
    <cellStyle name="Percent 8 2 4 20" xfId="46461" xr:uid="{00000000-0005-0000-0000-000061F70000}"/>
    <cellStyle name="Percent 8 2 4 21" xfId="48144" xr:uid="{00000000-0005-0000-0000-000062F70000}"/>
    <cellStyle name="Percent 8 2 4 22" xfId="49827" xr:uid="{00000000-0005-0000-0000-000063F70000}"/>
    <cellStyle name="Percent 8 2 4 23" xfId="51510" xr:uid="{00000000-0005-0000-0000-000064F70000}"/>
    <cellStyle name="Percent 8 2 4 24" xfId="53193" xr:uid="{00000000-0005-0000-0000-000065F70000}"/>
    <cellStyle name="Percent 8 2 4 25" xfId="54876" xr:uid="{00000000-0005-0000-0000-000066F70000}"/>
    <cellStyle name="Percent 8 2 4 26" xfId="56559" xr:uid="{00000000-0005-0000-0000-000067F70000}"/>
    <cellStyle name="Percent 8 2 4 27" xfId="58242" xr:uid="{00000000-0005-0000-0000-000068F70000}"/>
    <cellStyle name="Percent 8 2 4 28" xfId="59925" xr:uid="{00000000-0005-0000-0000-000069F70000}"/>
    <cellStyle name="Percent 8 2 4 29" xfId="61608" xr:uid="{00000000-0005-0000-0000-00006AF70000}"/>
    <cellStyle name="Percent 8 2 4 3" xfId="4383" xr:uid="{00000000-0005-0000-0000-00006BF70000}"/>
    <cellStyle name="Percent 8 2 4 3 2" xfId="19532" xr:uid="{00000000-0005-0000-0000-00006CF70000}"/>
    <cellStyle name="Percent 8 2 4 30" xfId="63291" xr:uid="{00000000-0005-0000-0000-00006DF70000}"/>
    <cellStyle name="Percent 8 2 4 4" xfId="6066" xr:uid="{00000000-0005-0000-0000-00006EF70000}"/>
    <cellStyle name="Percent 8 2 4 4 2" xfId="21215" xr:uid="{00000000-0005-0000-0000-00006FF70000}"/>
    <cellStyle name="Percent 8 2 4 5" xfId="7749" xr:uid="{00000000-0005-0000-0000-000070F70000}"/>
    <cellStyle name="Percent 8 2 4 5 2" xfId="22898" xr:uid="{00000000-0005-0000-0000-000071F70000}"/>
    <cellStyle name="Percent 8 2 4 6" xfId="9432" xr:uid="{00000000-0005-0000-0000-000072F70000}"/>
    <cellStyle name="Percent 8 2 4 6 2" xfId="24581" xr:uid="{00000000-0005-0000-0000-000073F70000}"/>
    <cellStyle name="Percent 8 2 4 7" xfId="11115" xr:uid="{00000000-0005-0000-0000-000074F70000}"/>
    <cellStyle name="Percent 8 2 4 7 2" xfId="26264" xr:uid="{00000000-0005-0000-0000-000075F70000}"/>
    <cellStyle name="Percent 8 2 4 8" xfId="12799" xr:uid="{00000000-0005-0000-0000-000076F70000}"/>
    <cellStyle name="Percent 8 2 4 8 2" xfId="27948" xr:uid="{00000000-0005-0000-0000-000077F70000}"/>
    <cellStyle name="Percent 8 2 4 9" xfId="14482" xr:uid="{00000000-0005-0000-0000-000078F70000}"/>
    <cellStyle name="Percent 8 2 4 9 2" xfId="29631" xr:uid="{00000000-0005-0000-0000-000079F70000}"/>
    <cellStyle name="Percent 8 2 5" xfId="1437" xr:uid="{00000000-0005-0000-0000-00007AF70000}"/>
    <cellStyle name="Percent 8 2 5 10" xfId="16586" xr:uid="{00000000-0005-0000-0000-00007BF70000}"/>
    <cellStyle name="Percent 8 2 5 11" xfId="31735" xr:uid="{00000000-0005-0000-0000-00007CF70000}"/>
    <cellStyle name="Percent 8 2 5 12" xfId="33418" xr:uid="{00000000-0005-0000-0000-00007DF70000}"/>
    <cellStyle name="Percent 8 2 5 13" xfId="35101" xr:uid="{00000000-0005-0000-0000-00007EF70000}"/>
    <cellStyle name="Percent 8 2 5 14" xfId="36784" xr:uid="{00000000-0005-0000-0000-00007FF70000}"/>
    <cellStyle name="Percent 8 2 5 15" xfId="38467" xr:uid="{00000000-0005-0000-0000-000080F70000}"/>
    <cellStyle name="Percent 8 2 5 16" xfId="40150" xr:uid="{00000000-0005-0000-0000-000081F70000}"/>
    <cellStyle name="Percent 8 2 5 17" xfId="41833" xr:uid="{00000000-0005-0000-0000-000082F70000}"/>
    <cellStyle name="Percent 8 2 5 18" xfId="43516" xr:uid="{00000000-0005-0000-0000-000083F70000}"/>
    <cellStyle name="Percent 8 2 5 19" xfId="45199" xr:uid="{00000000-0005-0000-0000-000084F70000}"/>
    <cellStyle name="Percent 8 2 5 2" xfId="3120" xr:uid="{00000000-0005-0000-0000-000085F70000}"/>
    <cellStyle name="Percent 8 2 5 2 2" xfId="18269" xr:uid="{00000000-0005-0000-0000-000086F70000}"/>
    <cellStyle name="Percent 8 2 5 20" xfId="46882" xr:uid="{00000000-0005-0000-0000-000087F70000}"/>
    <cellStyle name="Percent 8 2 5 21" xfId="48565" xr:uid="{00000000-0005-0000-0000-000088F70000}"/>
    <cellStyle name="Percent 8 2 5 22" xfId="50248" xr:uid="{00000000-0005-0000-0000-000089F70000}"/>
    <cellStyle name="Percent 8 2 5 23" xfId="51931" xr:uid="{00000000-0005-0000-0000-00008AF70000}"/>
    <cellStyle name="Percent 8 2 5 24" xfId="53614" xr:uid="{00000000-0005-0000-0000-00008BF70000}"/>
    <cellStyle name="Percent 8 2 5 25" xfId="55297" xr:uid="{00000000-0005-0000-0000-00008CF70000}"/>
    <cellStyle name="Percent 8 2 5 26" xfId="56980" xr:uid="{00000000-0005-0000-0000-00008DF70000}"/>
    <cellStyle name="Percent 8 2 5 27" xfId="58663" xr:uid="{00000000-0005-0000-0000-00008EF70000}"/>
    <cellStyle name="Percent 8 2 5 28" xfId="60346" xr:uid="{00000000-0005-0000-0000-00008FF70000}"/>
    <cellStyle name="Percent 8 2 5 29" xfId="62029" xr:uid="{00000000-0005-0000-0000-000090F70000}"/>
    <cellStyle name="Percent 8 2 5 3" xfId="4804" xr:uid="{00000000-0005-0000-0000-000091F70000}"/>
    <cellStyle name="Percent 8 2 5 3 2" xfId="19953" xr:uid="{00000000-0005-0000-0000-000092F70000}"/>
    <cellStyle name="Percent 8 2 5 30" xfId="63712" xr:uid="{00000000-0005-0000-0000-000093F70000}"/>
    <cellStyle name="Percent 8 2 5 4" xfId="6487" xr:uid="{00000000-0005-0000-0000-000094F70000}"/>
    <cellStyle name="Percent 8 2 5 4 2" xfId="21636" xr:uid="{00000000-0005-0000-0000-000095F70000}"/>
    <cellStyle name="Percent 8 2 5 5" xfId="8170" xr:uid="{00000000-0005-0000-0000-000096F70000}"/>
    <cellStyle name="Percent 8 2 5 5 2" xfId="23319" xr:uid="{00000000-0005-0000-0000-000097F70000}"/>
    <cellStyle name="Percent 8 2 5 6" xfId="9853" xr:uid="{00000000-0005-0000-0000-000098F70000}"/>
    <cellStyle name="Percent 8 2 5 6 2" xfId="25002" xr:uid="{00000000-0005-0000-0000-000099F70000}"/>
    <cellStyle name="Percent 8 2 5 7" xfId="11536" xr:uid="{00000000-0005-0000-0000-00009AF70000}"/>
    <cellStyle name="Percent 8 2 5 7 2" xfId="26685" xr:uid="{00000000-0005-0000-0000-00009BF70000}"/>
    <cellStyle name="Percent 8 2 5 8" xfId="13220" xr:uid="{00000000-0005-0000-0000-00009CF70000}"/>
    <cellStyle name="Percent 8 2 5 8 2" xfId="28369" xr:uid="{00000000-0005-0000-0000-00009DF70000}"/>
    <cellStyle name="Percent 8 2 5 9" xfId="14903" xr:uid="{00000000-0005-0000-0000-00009EF70000}"/>
    <cellStyle name="Percent 8 2 5 9 2" xfId="30052" xr:uid="{00000000-0005-0000-0000-00009FF70000}"/>
    <cellStyle name="Percent 8 2 6" xfId="1858" xr:uid="{00000000-0005-0000-0000-0000A0F70000}"/>
    <cellStyle name="Percent 8 2 6 2" xfId="17007" xr:uid="{00000000-0005-0000-0000-0000A1F70000}"/>
    <cellStyle name="Percent 8 2 7" xfId="3542" xr:uid="{00000000-0005-0000-0000-0000A2F70000}"/>
    <cellStyle name="Percent 8 2 7 2" xfId="18691" xr:uid="{00000000-0005-0000-0000-0000A3F70000}"/>
    <cellStyle name="Percent 8 2 8" xfId="5225" xr:uid="{00000000-0005-0000-0000-0000A4F70000}"/>
    <cellStyle name="Percent 8 2 8 2" xfId="20374" xr:uid="{00000000-0005-0000-0000-0000A5F70000}"/>
    <cellStyle name="Percent 8 2 9" xfId="6908" xr:uid="{00000000-0005-0000-0000-0000A6F70000}"/>
    <cellStyle name="Percent 8 2 9 2" xfId="22057" xr:uid="{00000000-0005-0000-0000-0000A7F70000}"/>
    <cellStyle name="Percent 8 20" xfId="37100" xr:uid="{00000000-0005-0000-0000-0000A8F70000}"/>
    <cellStyle name="Percent 8 21" xfId="38783" xr:uid="{00000000-0005-0000-0000-0000A9F70000}"/>
    <cellStyle name="Percent 8 22" xfId="40466" xr:uid="{00000000-0005-0000-0000-0000AAF70000}"/>
    <cellStyle name="Percent 8 23" xfId="42149" xr:uid="{00000000-0005-0000-0000-0000ABF70000}"/>
    <cellStyle name="Percent 8 24" xfId="43832" xr:uid="{00000000-0005-0000-0000-0000ACF70000}"/>
    <cellStyle name="Percent 8 25" xfId="45515" xr:uid="{00000000-0005-0000-0000-0000ADF70000}"/>
    <cellStyle name="Percent 8 26" xfId="47198" xr:uid="{00000000-0005-0000-0000-0000AEF70000}"/>
    <cellStyle name="Percent 8 27" xfId="48881" xr:uid="{00000000-0005-0000-0000-0000AFF70000}"/>
    <cellStyle name="Percent 8 28" xfId="50564" xr:uid="{00000000-0005-0000-0000-0000B0F70000}"/>
    <cellStyle name="Percent 8 29" xfId="52247" xr:uid="{00000000-0005-0000-0000-0000B1F70000}"/>
    <cellStyle name="Percent 8 3" xfId="280" xr:uid="{00000000-0005-0000-0000-0000B2F70000}"/>
    <cellStyle name="Percent 8 3 10" xfId="10379" xr:uid="{00000000-0005-0000-0000-0000B3F70000}"/>
    <cellStyle name="Percent 8 3 10 2" xfId="25528" xr:uid="{00000000-0005-0000-0000-0000B4F70000}"/>
    <cellStyle name="Percent 8 3 11" xfId="12063" xr:uid="{00000000-0005-0000-0000-0000B5F70000}"/>
    <cellStyle name="Percent 8 3 11 2" xfId="27212" xr:uid="{00000000-0005-0000-0000-0000B6F70000}"/>
    <cellStyle name="Percent 8 3 12" xfId="13746" xr:uid="{00000000-0005-0000-0000-0000B7F70000}"/>
    <cellStyle name="Percent 8 3 12 2" xfId="28895" xr:uid="{00000000-0005-0000-0000-0000B8F70000}"/>
    <cellStyle name="Percent 8 3 13" xfId="15429" xr:uid="{00000000-0005-0000-0000-0000B9F70000}"/>
    <cellStyle name="Percent 8 3 14" xfId="30578" xr:uid="{00000000-0005-0000-0000-0000BAF70000}"/>
    <cellStyle name="Percent 8 3 15" xfId="32261" xr:uid="{00000000-0005-0000-0000-0000BBF70000}"/>
    <cellStyle name="Percent 8 3 16" xfId="33944" xr:uid="{00000000-0005-0000-0000-0000BCF70000}"/>
    <cellStyle name="Percent 8 3 17" xfId="35627" xr:uid="{00000000-0005-0000-0000-0000BDF70000}"/>
    <cellStyle name="Percent 8 3 18" xfId="37310" xr:uid="{00000000-0005-0000-0000-0000BEF70000}"/>
    <cellStyle name="Percent 8 3 19" xfId="38993" xr:uid="{00000000-0005-0000-0000-0000BFF70000}"/>
    <cellStyle name="Percent 8 3 2" xfId="700" xr:uid="{00000000-0005-0000-0000-0000C0F70000}"/>
    <cellStyle name="Percent 8 3 2 10" xfId="15849" xr:uid="{00000000-0005-0000-0000-0000C1F70000}"/>
    <cellStyle name="Percent 8 3 2 11" xfId="30998" xr:uid="{00000000-0005-0000-0000-0000C2F70000}"/>
    <cellStyle name="Percent 8 3 2 12" xfId="32681" xr:uid="{00000000-0005-0000-0000-0000C3F70000}"/>
    <cellStyle name="Percent 8 3 2 13" xfId="34364" xr:uid="{00000000-0005-0000-0000-0000C4F70000}"/>
    <cellStyle name="Percent 8 3 2 14" xfId="36047" xr:uid="{00000000-0005-0000-0000-0000C5F70000}"/>
    <cellStyle name="Percent 8 3 2 15" xfId="37730" xr:uid="{00000000-0005-0000-0000-0000C6F70000}"/>
    <cellStyle name="Percent 8 3 2 16" xfId="39413" xr:uid="{00000000-0005-0000-0000-0000C7F70000}"/>
    <cellStyle name="Percent 8 3 2 17" xfId="41096" xr:uid="{00000000-0005-0000-0000-0000C8F70000}"/>
    <cellStyle name="Percent 8 3 2 18" xfId="42779" xr:uid="{00000000-0005-0000-0000-0000C9F70000}"/>
    <cellStyle name="Percent 8 3 2 19" xfId="44462" xr:uid="{00000000-0005-0000-0000-0000CAF70000}"/>
    <cellStyle name="Percent 8 3 2 2" xfId="2383" xr:uid="{00000000-0005-0000-0000-0000CBF70000}"/>
    <cellStyle name="Percent 8 3 2 2 2" xfId="17532" xr:uid="{00000000-0005-0000-0000-0000CCF70000}"/>
    <cellStyle name="Percent 8 3 2 20" xfId="46145" xr:uid="{00000000-0005-0000-0000-0000CDF70000}"/>
    <cellStyle name="Percent 8 3 2 21" xfId="47828" xr:uid="{00000000-0005-0000-0000-0000CEF70000}"/>
    <cellStyle name="Percent 8 3 2 22" xfId="49511" xr:uid="{00000000-0005-0000-0000-0000CFF70000}"/>
    <cellStyle name="Percent 8 3 2 23" xfId="51194" xr:uid="{00000000-0005-0000-0000-0000D0F70000}"/>
    <cellStyle name="Percent 8 3 2 24" xfId="52877" xr:uid="{00000000-0005-0000-0000-0000D1F70000}"/>
    <cellStyle name="Percent 8 3 2 25" xfId="54560" xr:uid="{00000000-0005-0000-0000-0000D2F70000}"/>
    <cellStyle name="Percent 8 3 2 26" xfId="56243" xr:uid="{00000000-0005-0000-0000-0000D3F70000}"/>
    <cellStyle name="Percent 8 3 2 27" xfId="57926" xr:uid="{00000000-0005-0000-0000-0000D4F70000}"/>
    <cellStyle name="Percent 8 3 2 28" xfId="59609" xr:uid="{00000000-0005-0000-0000-0000D5F70000}"/>
    <cellStyle name="Percent 8 3 2 29" xfId="61292" xr:uid="{00000000-0005-0000-0000-0000D6F70000}"/>
    <cellStyle name="Percent 8 3 2 3" xfId="4067" xr:uid="{00000000-0005-0000-0000-0000D7F70000}"/>
    <cellStyle name="Percent 8 3 2 3 2" xfId="19216" xr:uid="{00000000-0005-0000-0000-0000D8F70000}"/>
    <cellStyle name="Percent 8 3 2 30" xfId="62975" xr:uid="{00000000-0005-0000-0000-0000D9F70000}"/>
    <cellStyle name="Percent 8 3 2 4" xfId="5750" xr:uid="{00000000-0005-0000-0000-0000DAF70000}"/>
    <cellStyle name="Percent 8 3 2 4 2" xfId="20899" xr:uid="{00000000-0005-0000-0000-0000DBF70000}"/>
    <cellStyle name="Percent 8 3 2 5" xfId="7433" xr:uid="{00000000-0005-0000-0000-0000DCF70000}"/>
    <cellStyle name="Percent 8 3 2 5 2" xfId="22582" xr:uid="{00000000-0005-0000-0000-0000DDF70000}"/>
    <cellStyle name="Percent 8 3 2 6" xfId="9116" xr:uid="{00000000-0005-0000-0000-0000DEF70000}"/>
    <cellStyle name="Percent 8 3 2 6 2" xfId="24265" xr:uid="{00000000-0005-0000-0000-0000DFF70000}"/>
    <cellStyle name="Percent 8 3 2 7" xfId="10799" xr:uid="{00000000-0005-0000-0000-0000E0F70000}"/>
    <cellStyle name="Percent 8 3 2 7 2" xfId="25948" xr:uid="{00000000-0005-0000-0000-0000E1F70000}"/>
    <cellStyle name="Percent 8 3 2 8" xfId="12483" xr:uid="{00000000-0005-0000-0000-0000E2F70000}"/>
    <cellStyle name="Percent 8 3 2 8 2" xfId="27632" xr:uid="{00000000-0005-0000-0000-0000E3F70000}"/>
    <cellStyle name="Percent 8 3 2 9" xfId="14166" xr:uid="{00000000-0005-0000-0000-0000E4F70000}"/>
    <cellStyle name="Percent 8 3 2 9 2" xfId="29315" xr:uid="{00000000-0005-0000-0000-0000E5F70000}"/>
    <cellStyle name="Percent 8 3 20" xfId="40676" xr:uid="{00000000-0005-0000-0000-0000E6F70000}"/>
    <cellStyle name="Percent 8 3 21" xfId="42359" xr:uid="{00000000-0005-0000-0000-0000E7F70000}"/>
    <cellStyle name="Percent 8 3 22" xfId="44042" xr:uid="{00000000-0005-0000-0000-0000E8F70000}"/>
    <cellStyle name="Percent 8 3 23" xfId="45725" xr:uid="{00000000-0005-0000-0000-0000E9F70000}"/>
    <cellStyle name="Percent 8 3 24" xfId="47408" xr:uid="{00000000-0005-0000-0000-0000EAF70000}"/>
    <cellStyle name="Percent 8 3 25" xfId="49091" xr:uid="{00000000-0005-0000-0000-0000EBF70000}"/>
    <cellStyle name="Percent 8 3 26" xfId="50774" xr:uid="{00000000-0005-0000-0000-0000ECF70000}"/>
    <cellStyle name="Percent 8 3 27" xfId="52457" xr:uid="{00000000-0005-0000-0000-0000EDF70000}"/>
    <cellStyle name="Percent 8 3 28" xfId="54140" xr:uid="{00000000-0005-0000-0000-0000EEF70000}"/>
    <cellStyle name="Percent 8 3 29" xfId="55823" xr:uid="{00000000-0005-0000-0000-0000EFF70000}"/>
    <cellStyle name="Percent 8 3 3" xfId="1121" xr:uid="{00000000-0005-0000-0000-0000F0F70000}"/>
    <cellStyle name="Percent 8 3 3 10" xfId="16270" xr:uid="{00000000-0005-0000-0000-0000F1F70000}"/>
    <cellStyle name="Percent 8 3 3 11" xfId="31419" xr:uid="{00000000-0005-0000-0000-0000F2F70000}"/>
    <cellStyle name="Percent 8 3 3 12" xfId="33102" xr:uid="{00000000-0005-0000-0000-0000F3F70000}"/>
    <cellStyle name="Percent 8 3 3 13" xfId="34785" xr:uid="{00000000-0005-0000-0000-0000F4F70000}"/>
    <cellStyle name="Percent 8 3 3 14" xfId="36468" xr:uid="{00000000-0005-0000-0000-0000F5F70000}"/>
    <cellStyle name="Percent 8 3 3 15" xfId="38151" xr:uid="{00000000-0005-0000-0000-0000F6F70000}"/>
    <cellStyle name="Percent 8 3 3 16" xfId="39834" xr:uid="{00000000-0005-0000-0000-0000F7F70000}"/>
    <cellStyle name="Percent 8 3 3 17" xfId="41517" xr:uid="{00000000-0005-0000-0000-0000F8F70000}"/>
    <cellStyle name="Percent 8 3 3 18" xfId="43200" xr:uid="{00000000-0005-0000-0000-0000F9F70000}"/>
    <cellStyle name="Percent 8 3 3 19" xfId="44883" xr:uid="{00000000-0005-0000-0000-0000FAF70000}"/>
    <cellStyle name="Percent 8 3 3 2" xfId="2804" xr:uid="{00000000-0005-0000-0000-0000FBF70000}"/>
    <cellStyle name="Percent 8 3 3 2 2" xfId="17953" xr:uid="{00000000-0005-0000-0000-0000FCF70000}"/>
    <cellStyle name="Percent 8 3 3 20" xfId="46566" xr:uid="{00000000-0005-0000-0000-0000FDF70000}"/>
    <cellStyle name="Percent 8 3 3 21" xfId="48249" xr:uid="{00000000-0005-0000-0000-0000FEF70000}"/>
    <cellStyle name="Percent 8 3 3 22" xfId="49932" xr:uid="{00000000-0005-0000-0000-0000FFF70000}"/>
    <cellStyle name="Percent 8 3 3 23" xfId="51615" xr:uid="{00000000-0005-0000-0000-000000F80000}"/>
    <cellStyle name="Percent 8 3 3 24" xfId="53298" xr:uid="{00000000-0005-0000-0000-000001F80000}"/>
    <cellStyle name="Percent 8 3 3 25" xfId="54981" xr:uid="{00000000-0005-0000-0000-000002F80000}"/>
    <cellStyle name="Percent 8 3 3 26" xfId="56664" xr:uid="{00000000-0005-0000-0000-000003F80000}"/>
    <cellStyle name="Percent 8 3 3 27" xfId="58347" xr:uid="{00000000-0005-0000-0000-000004F80000}"/>
    <cellStyle name="Percent 8 3 3 28" xfId="60030" xr:uid="{00000000-0005-0000-0000-000005F80000}"/>
    <cellStyle name="Percent 8 3 3 29" xfId="61713" xr:uid="{00000000-0005-0000-0000-000006F80000}"/>
    <cellStyle name="Percent 8 3 3 3" xfId="4488" xr:uid="{00000000-0005-0000-0000-000007F80000}"/>
    <cellStyle name="Percent 8 3 3 3 2" xfId="19637" xr:uid="{00000000-0005-0000-0000-000008F80000}"/>
    <cellStyle name="Percent 8 3 3 30" xfId="63396" xr:uid="{00000000-0005-0000-0000-000009F80000}"/>
    <cellStyle name="Percent 8 3 3 4" xfId="6171" xr:uid="{00000000-0005-0000-0000-00000AF80000}"/>
    <cellStyle name="Percent 8 3 3 4 2" xfId="21320" xr:uid="{00000000-0005-0000-0000-00000BF80000}"/>
    <cellStyle name="Percent 8 3 3 5" xfId="7854" xr:uid="{00000000-0005-0000-0000-00000CF80000}"/>
    <cellStyle name="Percent 8 3 3 5 2" xfId="23003" xr:uid="{00000000-0005-0000-0000-00000DF80000}"/>
    <cellStyle name="Percent 8 3 3 6" xfId="9537" xr:uid="{00000000-0005-0000-0000-00000EF80000}"/>
    <cellStyle name="Percent 8 3 3 6 2" xfId="24686" xr:uid="{00000000-0005-0000-0000-00000FF80000}"/>
    <cellStyle name="Percent 8 3 3 7" xfId="11220" xr:uid="{00000000-0005-0000-0000-000010F80000}"/>
    <cellStyle name="Percent 8 3 3 7 2" xfId="26369" xr:uid="{00000000-0005-0000-0000-000011F80000}"/>
    <cellStyle name="Percent 8 3 3 8" xfId="12904" xr:uid="{00000000-0005-0000-0000-000012F80000}"/>
    <cellStyle name="Percent 8 3 3 8 2" xfId="28053" xr:uid="{00000000-0005-0000-0000-000013F80000}"/>
    <cellStyle name="Percent 8 3 3 9" xfId="14587" xr:uid="{00000000-0005-0000-0000-000014F80000}"/>
    <cellStyle name="Percent 8 3 3 9 2" xfId="29736" xr:uid="{00000000-0005-0000-0000-000015F80000}"/>
    <cellStyle name="Percent 8 3 30" xfId="57506" xr:uid="{00000000-0005-0000-0000-000016F80000}"/>
    <cellStyle name="Percent 8 3 31" xfId="59189" xr:uid="{00000000-0005-0000-0000-000017F80000}"/>
    <cellStyle name="Percent 8 3 32" xfId="60872" xr:uid="{00000000-0005-0000-0000-000018F80000}"/>
    <cellStyle name="Percent 8 3 33" xfId="62555" xr:uid="{00000000-0005-0000-0000-000019F80000}"/>
    <cellStyle name="Percent 8 3 4" xfId="1542" xr:uid="{00000000-0005-0000-0000-00001AF80000}"/>
    <cellStyle name="Percent 8 3 4 10" xfId="16691" xr:uid="{00000000-0005-0000-0000-00001BF80000}"/>
    <cellStyle name="Percent 8 3 4 11" xfId="31840" xr:uid="{00000000-0005-0000-0000-00001CF80000}"/>
    <cellStyle name="Percent 8 3 4 12" xfId="33523" xr:uid="{00000000-0005-0000-0000-00001DF80000}"/>
    <cellStyle name="Percent 8 3 4 13" xfId="35206" xr:uid="{00000000-0005-0000-0000-00001EF80000}"/>
    <cellStyle name="Percent 8 3 4 14" xfId="36889" xr:uid="{00000000-0005-0000-0000-00001FF80000}"/>
    <cellStyle name="Percent 8 3 4 15" xfId="38572" xr:uid="{00000000-0005-0000-0000-000020F80000}"/>
    <cellStyle name="Percent 8 3 4 16" xfId="40255" xr:uid="{00000000-0005-0000-0000-000021F80000}"/>
    <cellStyle name="Percent 8 3 4 17" xfId="41938" xr:uid="{00000000-0005-0000-0000-000022F80000}"/>
    <cellStyle name="Percent 8 3 4 18" xfId="43621" xr:uid="{00000000-0005-0000-0000-000023F80000}"/>
    <cellStyle name="Percent 8 3 4 19" xfId="45304" xr:uid="{00000000-0005-0000-0000-000024F80000}"/>
    <cellStyle name="Percent 8 3 4 2" xfId="3225" xr:uid="{00000000-0005-0000-0000-000025F80000}"/>
    <cellStyle name="Percent 8 3 4 2 2" xfId="18374" xr:uid="{00000000-0005-0000-0000-000026F80000}"/>
    <cellStyle name="Percent 8 3 4 20" xfId="46987" xr:uid="{00000000-0005-0000-0000-000027F80000}"/>
    <cellStyle name="Percent 8 3 4 21" xfId="48670" xr:uid="{00000000-0005-0000-0000-000028F80000}"/>
    <cellStyle name="Percent 8 3 4 22" xfId="50353" xr:uid="{00000000-0005-0000-0000-000029F80000}"/>
    <cellStyle name="Percent 8 3 4 23" xfId="52036" xr:uid="{00000000-0005-0000-0000-00002AF80000}"/>
    <cellStyle name="Percent 8 3 4 24" xfId="53719" xr:uid="{00000000-0005-0000-0000-00002BF80000}"/>
    <cellStyle name="Percent 8 3 4 25" xfId="55402" xr:uid="{00000000-0005-0000-0000-00002CF80000}"/>
    <cellStyle name="Percent 8 3 4 26" xfId="57085" xr:uid="{00000000-0005-0000-0000-00002DF80000}"/>
    <cellStyle name="Percent 8 3 4 27" xfId="58768" xr:uid="{00000000-0005-0000-0000-00002EF80000}"/>
    <cellStyle name="Percent 8 3 4 28" xfId="60451" xr:uid="{00000000-0005-0000-0000-00002FF80000}"/>
    <cellStyle name="Percent 8 3 4 29" xfId="62134" xr:uid="{00000000-0005-0000-0000-000030F80000}"/>
    <cellStyle name="Percent 8 3 4 3" xfId="4909" xr:uid="{00000000-0005-0000-0000-000031F80000}"/>
    <cellStyle name="Percent 8 3 4 3 2" xfId="20058" xr:uid="{00000000-0005-0000-0000-000032F80000}"/>
    <cellStyle name="Percent 8 3 4 30" xfId="63817" xr:uid="{00000000-0005-0000-0000-000033F80000}"/>
    <cellStyle name="Percent 8 3 4 4" xfId="6592" xr:uid="{00000000-0005-0000-0000-000034F80000}"/>
    <cellStyle name="Percent 8 3 4 4 2" xfId="21741" xr:uid="{00000000-0005-0000-0000-000035F80000}"/>
    <cellStyle name="Percent 8 3 4 5" xfId="8275" xr:uid="{00000000-0005-0000-0000-000036F80000}"/>
    <cellStyle name="Percent 8 3 4 5 2" xfId="23424" xr:uid="{00000000-0005-0000-0000-000037F80000}"/>
    <cellStyle name="Percent 8 3 4 6" xfId="9958" xr:uid="{00000000-0005-0000-0000-000038F80000}"/>
    <cellStyle name="Percent 8 3 4 6 2" xfId="25107" xr:uid="{00000000-0005-0000-0000-000039F80000}"/>
    <cellStyle name="Percent 8 3 4 7" xfId="11641" xr:uid="{00000000-0005-0000-0000-00003AF80000}"/>
    <cellStyle name="Percent 8 3 4 7 2" xfId="26790" xr:uid="{00000000-0005-0000-0000-00003BF80000}"/>
    <cellStyle name="Percent 8 3 4 8" xfId="13325" xr:uid="{00000000-0005-0000-0000-00003CF80000}"/>
    <cellStyle name="Percent 8 3 4 8 2" xfId="28474" xr:uid="{00000000-0005-0000-0000-00003DF80000}"/>
    <cellStyle name="Percent 8 3 4 9" xfId="15008" xr:uid="{00000000-0005-0000-0000-00003EF80000}"/>
    <cellStyle name="Percent 8 3 4 9 2" xfId="30157" xr:uid="{00000000-0005-0000-0000-00003FF80000}"/>
    <cellStyle name="Percent 8 3 5" xfId="1963" xr:uid="{00000000-0005-0000-0000-000040F80000}"/>
    <cellStyle name="Percent 8 3 5 2" xfId="17112" xr:uid="{00000000-0005-0000-0000-000041F80000}"/>
    <cellStyle name="Percent 8 3 6" xfId="3647" xr:uid="{00000000-0005-0000-0000-000042F80000}"/>
    <cellStyle name="Percent 8 3 6 2" xfId="18796" xr:uid="{00000000-0005-0000-0000-000043F80000}"/>
    <cellStyle name="Percent 8 3 7" xfId="5330" xr:uid="{00000000-0005-0000-0000-000044F80000}"/>
    <cellStyle name="Percent 8 3 7 2" xfId="20479" xr:uid="{00000000-0005-0000-0000-000045F80000}"/>
    <cellStyle name="Percent 8 3 8" xfId="7013" xr:uid="{00000000-0005-0000-0000-000046F80000}"/>
    <cellStyle name="Percent 8 3 8 2" xfId="22162" xr:uid="{00000000-0005-0000-0000-000047F80000}"/>
    <cellStyle name="Percent 8 3 9" xfId="8696" xr:uid="{00000000-0005-0000-0000-000048F80000}"/>
    <cellStyle name="Percent 8 3 9 2" xfId="23845" xr:uid="{00000000-0005-0000-0000-000049F80000}"/>
    <cellStyle name="Percent 8 30" xfId="53930" xr:uid="{00000000-0005-0000-0000-00004AF80000}"/>
    <cellStyle name="Percent 8 31" xfId="55613" xr:uid="{00000000-0005-0000-0000-00004BF80000}"/>
    <cellStyle name="Percent 8 32" xfId="57296" xr:uid="{00000000-0005-0000-0000-00004CF80000}"/>
    <cellStyle name="Percent 8 33" xfId="58979" xr:uid="{00000000-0005-0000-0000-00004DF80000}"/>
    <cellStyle name="Percent 8 34" xfId="60662" xr:uid="{00000000-0005-0000-0000-00004EF80000}"/>
    <cellStyle name="Percent 8 35" xfId="62345" xr:uid="{00000000-0005-0000-0000-00004FF80000}"/>
    <cellStyle name="Percent 8 4" xfId="490" xr:uid="{00000000-0005-0000-0000-000050F80000}"/>
    <cellStyle name="Percent 8 4 10" xfId="15639" xr:uid="{00000000-0005-0000-0000-000051F80000}"/>
    <cellStyle name="Percent 8 4 11" xfId="30788" xr:uid="{00000000-0005-0000-0000-000052F80000}"/>
    <cellStyle name="Percent 8 4 12" xfId="32471" xr:uid="{00000000-0005-0000-0000-000053F80000}"/>
    <cellStyle name="Percent 8 4 13" xfId="34154" xr:uid="{00000000-0005-0000-0000-000054F80000}"/>
    <cellStyle name="Percent 8 4 14" xfId="35837" xr:uid="{00000000-0005-0000-0000-000055F80000}"/>
    <cellStyle name="Percent 8 4 15" xfId="37520" xr:uid="{00000000-0005-0000-0000-000056F80000}"/>
    <cellStyle name="Percent 8 4 16" xfId="39203" xr:uid="{00000000-0005-0000-0000-000057F80000}"/>
    <cellStyle name="Percent 8 4 17" xfId="40886" xr:uid="{00000000-0005-0000-0000-000058F80000}"/>
    <cellStyle name="Percent 8 4 18" xfId="42569" xr:uid="{00000000-0005-0000-0000-000059F80000}"/>
    <cellStyle name="Percent 8 4 19" xfId="44252" xr:uid="{00000000-0005-0000-0000-00005AF80000}"/>
    <cellStyle name="Percent 8 4 2" xfId="2173" xr:uid="{00000000-0005-0000-0000-00005BF80000}"/>
    <cellStyle name="Percent 8 4 2 2" xfId="17322" xr:uid="{00000000-0005-0000-0000-00005CF80000}"/>
    <cellStyle name="Percent 8 4 20" xfId="45935" xr:uid="{00000000-0005-0000-0000-00005DF80000}"/>
    <cellStyle name="Percent 8 4 21" xfId="47618" xr:uid="{00000000-0005-0000-0000-00005EF80000}"/>
    <cellStyle name="Percent 8 4 22" xfId="49301" xr:uid="{00000000-0005-0000-0000-00005FF80000}"/>
    <cellStyle name="Percent 8 4 23" xfId="50984" xr:uid="{00000000-0005-0000-0000-000060F80000}"/>
    <cellStyle name="Percent 8 4 24" xfId="52667" xr:uid="{00000000-0005-0000-0000-000061F80000}"/>
    <cellStyle name="Percent 8 4 25" xfId="54350" xr:uid="{00000000-0005-0000-0000-000062F80000}"/>
    <cellStyle name="Percent 8 4 26" xfId="56033" xr:uid="{00000000-0005-0000-0000-000063F80000}"/>
    <cellStyle name="Percent 8 4 27" xfId="57716" xr:uid="{00000000-0005-0000-0000-000064F80000}"/>
    <cellStyle name="Percent 8 4 28" xfId="59399" xr:uid="{00000000-0005-0000-0000-000065F80000}"/>
    <cellStyle name="Percent 8 4 29" xfId="61082" xr:uid="{00000000-0005-0000-0000-000066F80000}"/>
    <cellStyle name="Percent 8 4 3" xfId="3857" xr:uid="{00000000-0005-0000-0000-000067F80000}"/>
    <cellStyle name="Percent 8 4 3 2" xfId="19006" xr:uid="{00000000-0005-0000-0000-000068F80000}"/>
    <cellStyle name="Percent 8 4 30" xfId="62765" xr:uid="{00000000-0005-0000-0000-000069F80000}"/>
    <cellStyle name="Percent 8 4 4" xfId="5540" xr:uid="{00000000-0005-0000-0000-00006AF80000}"/>
    <cellStyle name="Percent 8 4 4 2" xfId="20689" xr:uid="{00000000-0005-0000-0000-00006BF80000}"/>
    <cellStyle name="Percent 8 4 5" xfId="7223" xr:uid="{00000000-0005-0000-0000-00006CF80000}"/>
    <cellStyle name="Percent 8 4 5 2" xfId="22372" xr:uid="{00000000-0005-0000-0000-00006DF80000}"/>
    <cellStyle name="Percent 8 4 6" xfId="8906" xr:uid="{00000000-0005-0000-0000-00006EF80000}"/>
    <cellStyle name="Percent 8 4 6 2" xfId="24055" xr:uid="{00000000-0005-0000-0000-00006FF80000}"/>
    <cellStyle name="Percent 8 4 7" xfId="10589" xr:uid="{00000000-0005-0000-0000-000070F80000}"/>
    <cellStyle name="Percent 8 4 7 2" xfId="25738" xr:uid="{00000000-0005-0000-0000-000071F80000}"/>
    <cellStyle name="Percent 8 4 8" xfId="12273" xr:uid="{00000000-0005-0000-0000-000072F80000}"/>
    <cellStyle name="Percent 8 4 8 2" xfId="27422" xr:uid="{00000000-0005-0000-0000-000073F80000}"/>
    <cellStyle name="Percent 8 4 9" xfId="13956" xr:uid="{00000000-0005-0000-0000-000074F80000}"/>
    <cellStyle name="Percent 8 4 9 2" xfId="29105" xr:uid="{00000000-0005-0000-0000-000075F80000}"/>
    <cellStyle name="Percent 8 5" xfId="911" xr:uid="{00000000-0005-0000-0000-000076F80000}"/>
    <cellStyle name="Percent 8 5 10" xfId="16060" xr:uid="{00000000-0005-0000-0000-000077F80000}"/>
    <cellStyle name="Percent 8 5 11" xfId="31209" xr:uid="{00000000-0005-0000-0000-000078F80000}"/>
    <cellStyle name="Percent 8 5 12" xfId="32892" xr:uid="{00000000-0005-0000-0000-000079F80000}"/>
    <cellStyle name="Percent 8 5 13" xfId="34575" xr:uid="{00000000-0005-0000-0000-00007AF80000}"/>
    <cellStyle name="Percent 8 5 14" xfId="36258" xr:uid="{00000000-0005-0000-0000-00007BF80000}"/>
    <cellStyle name="Percent 8 5 15" xfId="37941" xr:uid="{00000000-0005-0000-0000-00007CF80000}"/>
    <cellStyle name="Percent 8 5 16" xfId="39624" xr:uid="{00000000-0005-0000-0000-00007DF80000}"/>
    <cellStyle name="Percent 8 5 17" xfId="41307" xr:uid="{00000000-0005-0000-0000-00007EF80000}"/>
    <cellStyle name="Percent 8 5 18" xfId="42990" xr:uid="{00000000-0005-0000-0000-00007FF80000}"/>
    <cellStyle name="Percent 8 5 19" xfId="44673" xr:uid="{00000000-0005-0000-0000-000080F80000}"/>
    <cellStyle name="Percent 8 5 2" xfId="2594" xr:uid="{00000000-0005-0000-0000-000081F80000}"/>
    <cellStyle name="Percent 8 5 2 2" xfId="17743" xr:uid="{00000000-0005-0000-0000-000082F80000}"/>
    <cellStyle name="Percent 8 5 20" xfId="46356" xr:uid="{00000000-0005-0000-0000-000083F80000}"/>
    <cellStyle name="Percent 8 5 21" xfId="48039" xr:uid="{00000000-0005-0000-0000-000084F80000}"/>
    <cellStyle name="Percent 8 5 22" xfId="49722" xr:uid="{00000000-0005-0000-0000-000085F80000}"/>
    <cellStyle name="Percent 8 5 23" xfId="51405" xr:uid="{00000000-0005-0000-0000-000086F80000}"/>
    <cellStyle name="Percent 8 5 24" xfId="53088" xr:uid="{00000000-0005-0000-0000-000087F80000}"/>
    <cellStyle name="Percent 8 5 25" xfId="54771" xr:uid="{00000000-0005-0000-0000-000088F80000}"/>
    <cellStyle name="Percent 8 5 26" xfId="56454" xr:uid="{00000000-0005-0000-0000-000089F80000}"/>
    <cellStyle name="Percent 8 5 27" xfId="58137" xr:uid="{00000000-0005-0000-0000-00008AF80000}"/>
    <cellStyle name="Percent 8 5 28" xfId="59820" xr:uid="{00000000-0005-0000-0000-00008BF80000}"/>
    <cellStyle name="Percent 8 5 29" xfId="61503" xr:uid="{00000000-0005-0000-0000-00008CF80000}"/>
    <cellStyle name="Percent 8 5 3" xfId="4278" xr:uid="{00000000-0005-0000-0000-00008DF80000}"/>
    <cellStyle name="Percent 8 5 3 2" xfId="19427" xr:uid="{00000000-0005-0000-0000-00008EF80000}"/>
    <cellStyle name="Percent 8 5 30" xfId="63186" xr:uid="{00000000-0005-0000-0000-00008FF80000}"/>
    <cellStyle name="Percent 8 5 4" xfId="5961" xr:uid="{00000000-0005-0000-0000-000090F80000}"/>
    <cellStyle name="Percent 8 5 4 2" xfId="21110" xr:uid="{00000000-0005-0000-0000-000091F80000}"/>
    <cellStyle name="Percent 8 5 5" xfId="7644" xr:uid="{00000000-0005-0000-0000-000092F80000}"/>
    <cellStyle name="Percent 8 5 5 2" xfId="22793" xr:uid="{00000000-0005-0000-0000-000093F80000}"/>
    <cellStyle name="Percent 8 5 6" xfId="9327" xr:uid="{00000000-0005-0000-0000-000094F80000}"/>
    <cellStyle name="Percent 8 5 6 2" xfId="24476" xr:uid="{00000000-0005-0000-0000-000095F80000}"/>
    <cellStyle name="Percent 8 5 7" xfId="11010" xr:uid="{00000000-0005-0000-0000-000096F80000}"/>
    <cellStyle name="Percent 8 5 7 2" xfId="26159" xr:uid="{00000000-0005-0000-0000-000097F80000}"/>
    <cellStyle name="Percent 8 5 8" xfId="12694" xr:uid="{00000000-0005-0000-0000-000098F80000}"/>
    <cellStyle name="Percent 8 5 8 2" xfId="27843" xr:uid="{00000000-0005-0000-0000-000099F80000}"/>
    <cellStyle name="Percent 8 5 9" xfId="14377" xr:uid="{00000000-0005-0000-0000-00009AF80000}"/>
    <cellStyle name="Percent 8 5 9 2" xfId="29526" xr:uid="{00000000-0005-0000-0000-00009BF80000}"/>
    <cellStyle name="Percent 8 6" xfId="1332" xr:uid="{00000000-0005-0000-0000-00009CF80000}"/>
    <cellStyle name="Percent 8 6 10" xfId="16481" xr:uid="{00000000-0005-0000-0000-00009DF80000}"/>
    <cellStyle name="Percent 8 6 11" xfId="31630" xr:uid="{00000000-0005-0000-0000-00009EF80000}"/>
    <cellStyle name="Percent 8 6 12" xfId="33313" xr:uid="{00000000-0005-0000-0000-00009FF80000}"/>
    <cellStyle name="Percent 8 6 13" xfId="34996" xr:uid="{00000000-0005-0000-0000-0000A0F80000}"/>
    <cellStyle name="Percent 8 6 14" xfId="36679" xr:uid="{00000000-0005-0000-0000-0000A1F80000}"/>
    <cellStyle name="Percent 8 6 15" xfId="38362" xr:uid="{00000000-0005-0000-0000-0000A2F80000}"/>
    <cellStyle name="Percent 8 6 16" xfId="40045" xr:uid="{00000000-0005-0000-0000-0000A3F80000}"/>
    <cellStyle name="Percent 8 6 17" xfId="41728" xr:uid="{00000000-0005-0000-0000-0000A4F80000}"/>
    <cellStyle name="Percent 8 6 18" xfId="43411" xr:uid="{00000000-0005-0000-0000-0000A5F80000}"/>
    <cellStyle name="Percent 8 6 19" xfId="45094" xr:uid="{00000000-0005-0000-0000-0000A6F80000}"/>
    <cellStyle name="Percent 8 6 2" xfId="3015" xr:uid="{00000000-0005-0000-0000-0000A7F80000}"/>
    <cellStyle name="Percent 8 6 2 2" xfId="18164" xr:uid="{00000000-0005-0000-0000-0000A8F80000}"/>
    <cellStyle name="Percent 8 6 20" xfId="46777" xr:uid="{00000000-0005-0000-0000-0000A9F80000}"/>
    <cellStyle name="Percent 8 6 21" xfId="48460" xr:uid="{00000000-0005-0000-0000-0000AAF80000}"/>
    <cellStyle name="Percent 8 6 22" xfId="50143" xr:uid="{00000000-0005-0000-0000-0000ABF80000}"/>
    <cellStyle name="Percent 8 6 23" xfId="51826" xr:uid="{00000000-0005-0000-0000-0000ACF80000}"/>
    <cellStyle name="Percent 8 6 24" xfId="53509" xr:uid="{00000000-0005-0000-0000-0000ADF80000}"/>
    <cellStyle name="Percent 8 6 25" xfId="55192" xr:uid="{00000000-0005-0000-0000-0000AEF80000}"/>
    <cellStyle name="Percent 8 6 26" xfId="56875" xr:uid="{00000000-0005-0000-0000-0000AFF80000}"/>
    <cellStyle name="Percent 8 6 27" xfId="58558" xr:uid="{00000000-0005-0000-0000-0000B0F80000}"/>
    <cellStyle name="Percent 8 6 28" xfId="60241" xr:uid="{00000000-0005-0000-0000-0000B1F80000}"/>
    <cellStyle name="Percent 8 6 29" xfId="61924" xr:uid="{00000000-0005-0000-0000-0000B2F80000}"/>
    <cellStyle name="Percent 8 6 3" xfId="4699" xr:uid="{00000000-0005-0000-0000-0000B3F80000}"/>
    <cellStyle name="Percent 8 6 3 2" xfId="19848" xr:uid="{00000000-0005-0000-0000-0000B4F80000}"/>
    <cellStyle name="Percent 8 6 30" xfId="63607" xr:uid="{00000000-0005-0000-0000-0000B5F80000}"/>
    <cellStyle name="Percent 8 6 4" xfId="6382" xr:uid="{00000000-0005-0000-0000-0000B6F80000}"/>
    <cellStyle name="Percent 8 6 4 2" xfId="21531" xr:uid="{00000000-0005-0000-0000-0000B7F80000}"/>
    <cellStyle name="Percent 8 6 5" xfId="8065" xr:uid="{00000000-0005-0000-0000-0000B8F80000}"/>
    <cellStyle name="Percent 8 6 5 2" xfId="23214" xr:uid="{00000000-0005-0000-0000-0000B9F80000}"/>
    <cellStyle name="Percent 8 6 6" xfId="9748" xr:uid="{00000000-0005-0000-0000-0000BAF80000}"/>
    <cellStyle name="Percent 8 6 6 2" xfId="24897" xr:uid="{00000000-0005-0000-0000-0000BBF80000}"/>
    <cellStyle name="Percent 8 6 7" xfId="11431" xr:uid="{00000000-0005-0000-0000-0000BCF80000}"/>
    <cellStyle name="Percent 8 6 7 2" xfId="26580" xr:uid="{00000000-0005-0000-0000-0000BDF80000}"/>
    <cellStyle name="Percent 8 6 8" xfId="13115" xr:uid="{00000000-0005-0000-0000-0000BEF80000}"/>
    <cellStyle name="Percent 8 6 8 2" xfId="28264" xr:uid="{00000000-0005-0000-0000-0000BFF80000}"/>
    <cellStyle name="Percent 8 6 9" xfId="14798" xr:uid="{00000000-0005-0000-0000-0000C0F80000}"/>
    <cellStyle name="Percent 8 6 9 2" xfId="29947" xr:uid="{00000000-0005-0000-0000-0000C1F80000}"/>
    <cellStyle name="Percent 8 7" xfId="1753" xr:uid="{00000000-0005-0000-0000-0000C2F80000}"/>
    <cellStyle name="Percent 8 7 2" xfId="16902" xr:uid="{00000000-0005-0000-0000-0000C3F80000}"/>
    <cellStyle name="Percent 8 8" xfId="3437" xr:uid="{00000000-0005-0000-0000-0000C4F80000}"/>
    <cellStyle name="Percent 8 8 2" xfId="18586" xr:uid="{00000000-0005-0000-0000-0000C5F80000}"/>
    <cellStyle name="Percent 8 9" xfId="5120" xr:uid="{00000000-0005-0000-0000-0000C6F80000}"/>
    <cellStyle name="Percent 8 9 2" xfId="20269" xr:uid="{00000000-0005-0000-0000-0000C7F80000}"/>
    <cellStyle name="Percent 9" xfId="137" xr:uid="{00000000-0005-0000-0000-0000C8F80000}"/>
    <cellStyle name="Percent 9 10" xfId="8553" xr:uid="{00000000-0005-0000-0000-0000C9F80000}"/>
    <cellStyle name="Percent 9 10 2" xfId="23702" xr:uid="{00000000-0005-0000-0000-0000CAF80000}"/>
    <cellStyle name="Percent 9 11" xfId="10236" xr:uid="{00000000-0005-0000-0000-0000CBF80000}"/>
    <cellStyle name="Percent 9 11 2" xfId="25385" xr:uid="{00000000-0005-0000-0000-0000CCF80000}"/>
    <cellStyle name="Percent 9 12" xfId="11920" xr:uid="{00000000-0005-0000-0000-0000CDF80000}"/>
    <cellStyle name="Percent 9 12 2" xfId="27069" xr:uid="{00000000-0005-0000-0000-0000CEF80000}"/>
    <cellStyle name="Percent 9 13" xfId="13603" xr:uid="{00000000-0005-0000-0000-0000CFF80000}"/>
    <cellStyle name="Percent 9 13 2" xfId="28752" xr:uid="{00000000-0005-0000-0000-0000D0F80000}"/>
    <cellStyle name="Percent 9 14" xfId="15286" xr:uid="{00000000-0005-0000-0000-0000D1F80000}"/>
    <cellStyle name="Percent 9 15" xfId="30435" xr:uid="{00000000-0005-0000-0000-0000D2F80000}"/>
    <cellStyle name="Percent 9 16" xfId="32118" xr:uid="{00000000-0005-0000-0000-0000D3F80000}"/>
    <cellStyle name="Percent 9 17" xfId="33801" xr:uid="{00000000-0005-0000-0000-0000D4F80000}"/>
    <cellStyle name="Percent 9 18" xfId="35484" xr:uid="{00000000-0005-0000-0000-0000D5F80000}"/>
    <cellStyle name="Percent 9 19" xfId="37167" xr:uid="{00000000-0005-0000-0000-0000D6F80000}"/>
    <cellStyle name="Percent 9 2" xfId="347" xr:uid="{00000000-0005-0000-0000-0000D7F80000}"/>
    <cellStyle name="Percent 9 2 10" xfId="10446" xr:uid="{00000000-0005-0000-0000-0000D8F80000}"/>
    <cellStyle name="Percent 9 2 10 2" xfId="25595" xr:uid="{00000000-0005-0000-0000-0000D9F80000}"/>
    <cellStyle name="Percent 9 2 11" xfId="12130" xr:uid="{00000000-0005-0000-0000-0000DAF80000}"/>
    <cellStyle name="Percent 9 2 11 2" xfId="27279" xr:uid="{00000000-0005-0000-0000-0000DBF80000}"/>
    <cellStyle name="Percent 9 2 12" xfId="13813" xr:uid="{00000000-0005-0000-0000-0000DCF80000}"/>
    <cellStyle name="Percent 9 2 12 2" xfId="28962" xr:uid="{00000000-0005-0000-0000-0000DDF80000}"/>
    <cellStyle name="Percent 9 2 13" xfId="15496" xr:uid="{00000000-0005-0000-0000-0000DEF80000}"/>
    <cellStyle name="Percent 9 2 14" xfId="30645" xr:uid="{00000000-0005-0000-0000-0000DFF80000}"/>
    <cellStyle name="Percent 9 2 15" xfId="32328" xr:uid="{00000000-0005-0000-0000-0000E0F80000}"/>
    <cellStyle name="Percent 9 2 16" xfId="34011" xr:uid="{00000000-0005-0000-0000-0000E1F80000}"/>
    <cellStyle name="Percent 9 2 17" xfId="35694" xr:uid="{00000000-0005-0000-0000-0000E2F80000}"/>
    <cellStyle name="Percent 9 2 18" xfId="37377" xr:uid="{00000000-0005-0000-0000-0000E3F80000}"/>
    <cellStyle name="Percent 9 2 19" xfId="39060" xr:uid="{00000000-0005-0000-0000-0000E4F80000}"/>
    <cellStyle name="Percent 9 2 2" xfId="767" xr:uid="{00000000-0005-0000-0000-0000E5F80000}"/>
    <cellStyle name="Percent 9 2 2 10" xfId="15916" xr:uid="{00000000-0005-0000-0000-0000E6F80000}"/>
    <cellStyle name="Percent 9 2 2 11" xfId="31065" xr:uid="{00000000-0005-0000-0000-0000E7F80000}"/>
    <cellStyle name="Percent 9 2 2 12" xfId="32748" xr:uid="{00000000-0005-0000-0000-0000E8F80000}"/>
    <cellStyle name="Percent 9 2 2 13" xfId="34431" xr:uid="{00000000-0005-0000-0000-0000E9F80000}"/>
    <cellStyle name="Percent 9 2 2 14" xfId="36114" xr:uid="{00000000-0005-0000-0000-0000EAF80000}"/>
    <cellStyle name="Percent 9 2 2 15" xfId="37797" xr:uid="{00000000-0005-0000-0000-0000EBF80000}"/>
    <cellStyle name="Percent 9 2 2 16" xfId="39480" xr:uid="{00000000-0005-0000-0000-0000ECF80000}"/>
    <cellStyle name="Percent 9 2 2 17" xfId="41163" xr:uid="{00000000-0005-0000-0000-0000EDF80000}"/>
    <cellStyle name="Percent 9 2 2 18" xfId="42846" xr:uid="{00000000-0005-0000-0000-0000EEF80000}"/>
    <cellStyle name="Percent 9 2 2 19" xfId="44529" xr:uid="{00000000-0005-0000-0000-0000EFF80000}"/>
    <cellStyle name="Percent 9 2 2 2" xfId="2450" xr:uid="{00000000-0005-0000-0000-0000F0F80000}"/>
    <cellStyle name="Percent 9 2 2 2 2" xfId="17599" xr:uid="{00000000-0005-0000-0000-0000F1F80000}"/>
    <cellStyle name="Percent 9 2 2 20" xfId="46212" xr:uid="{00000000-0005-0000-0000-0000F2F80000}"/>
    <cellStyle name="Percent 9 2 2 21" xfId="47895" xr:uid="{00000000-0005-0000-0000-0000F3F80000}"/>
    <cellStyle name="Percent 9 2 2 22" xfId="49578" xr:uid="{00000000-0005-0000-0000-0000F4F80000}"/>
    <cellStyle name="Percent 9 2 2 23" xfId="51261" xr:uid="{00000000-0005-0000-0000-0000F5F80000}"/>
    <cellStyle name="Percent 9 2 2 24" xfId="52944" xr:uid="{00000000-0005-0000-0000-0000F6F80000}"/>
    <cellStyle name="Percent 9 2 2 25" xfId="54627" xr:uid="{00000000-0005-0000-0000-0000F7F80000}"/>
    <cellStyle name="Percent 9 2 2 26" xfId="56310" xr:uid="{00000000-0005-0000-0000-0000F8F80000}"/>
    <cellStyle name="Percent 9 2 2 27" xfId="57993" xr:uid="{00000000-0005-0000-0000-0000F9F80000}"/>
    <cellStyle name="Percent 9 2 2 28" xfId="59676" xr:uid="{00000000-0005-0000-0000-0000FAF80000}"/>
    <cellStyle name="Percent 9 2 2 29" xfId="61359" xr:uid="{00000000-0005-0000-0000-0000FBF80000}"/>
    <cellStyle name="Percent 9 2 2 3" xfId="4134" xr:uid="{00000000-0005-0000-0000-0000FCF80000}"/>
    <cellStyle name="Percent 9 2 2 3 2" xfId="19283" xr:uid="{00000000-0005-0000-0000-0000FDF80000}"/>
    <cellStyle name="Percent 9 2 2 30" xfId="63042" xr:uid="{00000000-0005-0000-0000-0000FEF80000}"/>
    <cellStyle name="Percent 9 2 2 4" xfId="5817" xr:uid="{00000000-0005-0000-0000-0000FFF80000}"/>
    <cellStyle name="Percent 9 2 2 4 2" xfId="20966" xr:uid="{00000000-0005-0000-0000-000000F90000}"/>
    <cellStyle name="Percent 9 2 2 5" xfId="7500" xr:uid="{00000000-0005-0000-0000-000001F90000}"/>
    <cellStyle name="Percent 9 2 2 5 2" xfId="22649" xr:uid="{00000000-0005-0000-0000-000002F90000}"/>
    <cellStyle name="Percent 9 2 2 6" xfId="9183" xr:uid="{00000000-0005-0000-0000-000003F90000}"/>
    <cellStyle name="Percent 9 2 2 6 2" xfId="24332" xr:uid="{00000000-0005-0000-0000-000004F90000}"/>
    <cellStyle name="Percent 9 2 2 7" xfId="10866" xr:uid="{00000000-0005-0000-0000-000005F90000}"/>
    <cellStyle name="Percent 9 2 2 7 2" xfId="26015" xr:uid="{00000000-0005-0000-0000-000006F90000}"/>
    <cellStyle name="Percent 9 2 2 8" xfId="12550" xr:uid="{00000000-0005-0000-0000-000007F90000}"/>
    <cellStyle name="Percent 9 2 2 8 2" xfId="27699" xr:uid="{00000000-0005-0000-0000-000008F90000}"/>
    <cellStyle name="Percent 9 2 2 9" xfId="14233" xr:uid="{00000000-0005-0000-0000-000009F90000}"/>
    <cellStyle name="Percent 9 2 2 9 2" xfId="29382" xr:uid="{00000000-0005-0000-0000-00000AF90000}"/>
    <cellStyle name="Percent 9 2 20" xfId="40743" xr:uid="{00000000-0005-0000-0000-00000BF90000}"/>
    <cellStyle name="Percent 9 2 21" xfId="42426" xr:uid="{00000000-0005-0000-0000-00000CF90000}"/>
    <cellStyle name="Percent 9 2 22" xfId="44109" xr:uid="{00000000-0005-0000-0000-00000DF90000}"/>
    <cellStyle name="Percent 9 2 23" xfId="45792" xr:uid="{00000000-0005-0000-0000-00000EF90000}"/>
    <cellStyle name="Percent 9 2 24" xfId="47475" xr:uid="{00000000-0005-0000-0000-00000FF90000}"/>
    <cellStyle name="Percent 9 2 25" xfId="49158" xr:uid="{00000000-0005-0000-0000-000010F90000}"/>
    <cellStyle name="Percent 9 2 26" xfId="50841" xr:uid="{00000000-0005-0000-0000-000011F90000}"/>
    <cellStyle name="Percent 9 2 27" xfId="52524" xr:uid="{00000000-0005-0000-0000-000012F90000}"/>
    <cellStyle name="Percent 9 2 28" xfId="54207" xr:uid="{00000000-0005-0000-0000-000013F90000}"/>
    <cellStyle name="Percent 9 2 29" xfId="55890" xr:uid="{00000000-0005-0000-0000-000014F90000}"/>
    <cellStyle name="Percent 9 2 3" xfId="1188" xr:uid="{00000000-0005-0000-0000-000015F90000}"/>
    <cellStyle name="Percent 9 2 3 10" xfId="16337" xr:uid="{00000000-0005-0000-0000-000016F90000}"/>
    <cellStyle name="Percent 9 2 3 11" xfId="31486" xr:uid="{00000000-0005-0000-0000-000017F90000}"/>
    <cellStyle name="Percent 9 2 3 12" xfId="33169" xr:uid="{00000000-0005-0000-0000-000018F90000}"/>
    <cellStyle name="Percent 9 2 3 13" xfId="34852" xr:uid="{00000000-0005-0000-0000-000019F90000}"/>
    <cellStyle name="Percent 9 2 3 14" xfId="36535" xr:uid="{00000000-0005-0000-0000-00001AF90000}"/>
    <cellStyle name="Percent 9 2 3 15" xfId="38218" xr:uid="{00000000-0005-0000-0000-00001BF90000}"/>
    <cellStyle name="Percent 9 2 3 16" xfId="39901" xr:uid="{00000000-0005-0000-0000-00001CF90000}"/>
    <cellStyle name="Percent 9 2 3 17" xfId="41584" xr:uid="{00000000-0005-0000-0000-00001DF90000}"/>
    <cellStyle name="Percent 9 2 3 18" xfId="43267" xr:uid="{00000000-0005-0000-0000-00001EF90000}"/>
    <cellStyle name="Percent 9 2 3 19" xfId="44950" xr:uid="{00000000-0005-0000-0000-00001FF90000}"/>
    <cellStyle name="Percent 9 2 3 2" xfId="2871" xr:uid="{00000000-0005-0000-0000-000020F90000}"/>
    <cellStyle name="Percent 9 2 3 2 2" xfId="18020" xr:uid="{00000000-0005-0000-0000-000021F90000}"/>
    <cellStyle name="Percent 9 2 3 20" xfId="46633" xr:uid="{00000000-0005-0000-0000-000022F90000}"/>
    <cellStyle name="Percent 9 2 3 21" xfId="48316" xr:uid="{00000000-0005-0000-0000-000023F90000}"/>
    <cellStyle name="Percent 9 2 3 22" xfId="49999" xr:uid="{00000000-0005-0000-0000-000024F90000}"/>
    <cellStyle name="Percent 9 2 3 23" xfId="51682" xr:uid="{00000000-0005-0000-0000-000025F90000}"/>
    <cellStyle name="Percent 9 2 3 24" xfId="53365" xr:uid="{00000000-0005-0000-0000-000026F90000}"/>
    <cellStyle name="Percent 9 2 3 25" xfId="55048" xr:uid="{00000000-0005-0000-0000-000027F90000}"/>
    <cellStyle name="Percent 9 2 3 26" xfId="56731" xr:uid="{00000000-0005-0000-0000-000028F90000}"/>
    <cellStyle name="Percent 9 2 3 27" xfId="58414" xr:uid="{00000000-0005-0000-0000-000029F90000}"/>
    <cellStyle name="Percent 9 2 3 28" xfId="60097" xr:uid="{00000000-0005-0000-0000-00002AF90000}"/>
    <cellStyle name="Percent 9 2 3 29" xfId="61780" xr:uid="{00000000-0005-0000-0000-00002BF90000}"/>
    <cellStyle name="Percent 9 2 3 3" xfId="4555" xr:uid="{00000000-0005-0000-0000-00002CF90000}"/>
    <cellStyle name="Percent 9 2 3 3 2" xfId="19704" xr:uid="{00000000-0005-0000-0000-00002DF90000}"/>
    <cellStyle name="Percent 9 2 3 30" xfId="63463" xr:uid="{00000000-0005-0000-0000-00002EF90000}"/>
    <cellStyle name="Percent 9 2 3 4" xfId="6238" xr:uid="{00000000-0005-0000-0000-00002FF90000}"/>
    <cellStyle name="Percent 9 2 3 4 2" xfId="21387" xr:uid="{00000000-0005-0000-0000-000030F90000}"/>
    <cellStyle name="Percent 9 2 3 5" xfId="7921" xr:uid="{00000000-0005-0000-0000-000031F90000}"/>
    <cellStyle name="Percent 9 2 3 5 2" xfId="23070" xr:uid="{00000000-0005-0000-0000-000032F90000}"/>
    <cellStyle name="Percent 9 2 3 6" xfId="9604" xr:uid="{00000000-0005-0000-0000-000033F90000}"/>
    <cellStyle name="Percent 9 2 3 6 2" xfId="24753" xr:uid="{00000000-0005-0000-0000-000034F90000}"/>
    <cellStyle name="Percent 9 2 3 7" xfId="11287" xr:uid="{00000000-0005-0000-0000-000035F90000}"/>
    <cellStyle name="Percent 9 2 3 7 2" xfId="26436" xr:uid="{00000000-0005-0000-0000-000036F90000}"/>
    <cellStyle name="Percent 9 2 3 8" xfId="12971" xr:uid="{00000000-0005-0000-0000-000037F90000}"/>
    <cellStyle name="Percent 9 2 3 8 2" xfId="28120" xr:uid="{00000000-0005-0000-0000-000038F90000}"/>
    <cellStyle name="Percent 9 2 3 9" xfId="14654" xr:uid="{00000000-0005-0000-0000-000039F90000}"/>
    <cellStyle name="Percent 9 2 3 9 2" xfId="29803" xr:uid="{00000000-0005-0000-0000-00003AF90000}"/>
    <cellStyle name="Percent 9 2 30" xfId="57573" xr:uid="{00000000-0005-0000-0000-00003BF90000}"/>
    <cellStyle name="Percent 9 2 31" xfId="59256" xr:uid="{00000000-0005-0000-0000-00003CF90000}"/>
    <cellStyle name="Percent 9 2 32" xfId="60939" xr:uid="{00000000-0005-0000-0000-00003DF90000}"/>
    <cellStyle name="Percent 9 2 33" xfId="62622" xr:uid="{00000000-0005-0000-0000-00003EF90000}"/>
    <cellStyle name="Percent 9 2 4" xfId="1609" xr:uid="{00000000-0005-0000-0000-00003FF90000}"/>
    <cellStyle name="Percent 9 2 4 10" xfId="16758" xr:uid="{00000000-0005-0000-0000-000040F90000}"/>
    <cellStyle name="Percent 9 2 4 11" xfId="31907" xr:uid="{00000000-0005-0000-0000-000041F90000}"/>
    <cellStyle name="Percent 9 2 4 12" xfId="33590" xr:uid="{00000000-0005-0000-0000-000042F90000}"/>
    <cellStyle name="Percent 9 2 4 13" xfId="35273" xr:uid="{00000000-0005-0000-0000-000043F90000}"/>
    <cellStyle name="Percent 9 2 4 14" xfId="36956" xr:uid="{00000000-0005-0000-0000-000044F90000}"/>
    <cellStyle name="Percent 9 2 4 15" xfId="38639" xr:uid="{00000000-0005-0000-0000-000045F90000}"/>
    <cellStyle name="Percent 9 2 4 16" xfId="40322" xr:uid="{00000000-0005-0000-0000-000046F90000}"/>
    <cellStyle name="Percent 9 2 4 17" xfId="42005" xr:uid="{00000000-0005-0000-0000-000047F90000}"/>
    <cellStyle name="Percent 9 2 4 18" xfId="43688" xr:uid="{00000000-0005-0000-0000-000048F90000}"/>
    <cellStyle name="Percent 9 2 4 19" xfId="45371" xr:uid="{00000000-0005-0000-0000-000049F90000}"/>
    <cellStyle name="Percent 9 2 4 2" xfId="3292" xr:uid="{00000000-0005-0000-0000-00004AF90000}"/>
    <cellStyle name="Percent 9 2 4 2 2" xfId="18441" xr:uid="{00000000-0005-0000-0000-00004BF90000}"/>
    <cellStyle name="Percent 9 2 4 20" xfId="47054" xr:uid="{00000000-0005-0000-0000-00004CF90000}"/>
    <cellStyle name="Percent 9 2 4 21" xfId="48737" xr:uid="{00000000-0005-0000-0000-00004DF90000}"/>
    <cellStyle name="Percent 9 2 4 22" xfId="50420" xr:uid="{00000000-0005-0000-0000-00004EF90000}"/>
    <cellStyle name="Percent 9 2 4 23" xfId="52103" xr:uid="{00000000-0005-0000-0000-00004FF90000}"/>
    <cellStyle name="Percent 9 2 4 24" xfId="53786" xr:uid="{00000000-0005-0000-0000-000050F90000}"/>
    <cellStyle name="Percent 9 2 4 25" xfId="55469" xr:uid="{00000000-0005-0000-0000-000051F90000}"/>
    <cellStyle name="Percent 9 2 4 26" xfId="57152" xr:uid="{00000000-0005-0000-0000-000052F90000}"/>
    <cellStyle name="Percent 9 2 4 27" xfId="58835" xr:uid="{00000000-0005-0000-0000-000053F90000}"/>
    <cellStyle name="Percent 9 2 4 28" xfId="60518" xr:uid="{00000000-0005-0000-0000-000054F90000}"/>
    <cellStyle name="Percent 9 2 4 29" xfId="62201" xr:uid="{00000000-0005-0000-0000-000055F90000}"/>
    <cellStyle name="Percent 9 2 4 3" xfId="4976" xr:uid="{00000000-0005-0000-0000-000056F90000}"/>
    <cellStyle name="Percent 9 2 4 3 2" xfId="20125" xr:uid="{00000000-0005-0000-0000-000057F90000}"/>
    <cellStyle name="Percent 9 2 4 30" xfId="63884" xr:uid="{00000000-0005-0000-0000-000058F90000}"/>
    <cellStyle name="Percent 9 2 4 4" xfId="6659" xr:uid="{00000000-0005-0000-0000-000059F90000}"/>
    <cellStyle name="Percent 9 2 4 4 2" xfId="21808" xr:uid="{00000000-0005-0000-0000-00005AF90000}"/>
    <cellStyle name="Percent 9 2 4 5" xfId="8342" xr:uid="{00000000-0005-0000-0000-00005BF90000}"/>
    <cellStyle name="Percent 9 2 4 5 2" xfId="23491" xr:uid="{00000000-0005-0000-0000-00005CF90000}"/>
    <cellStyle name="Percent 9 2 4 6" xfId="10025" xr:uid="{00000000-0005-0000-0000-00005DF90000}"/>
    <cellStyle name="Percent 9 2 4 6 2" xfId="25174" xr:uid="{00000000-0005-0000-0000-00005EF90000}"/>
    <cellStyle name="Percent 9 2 4 7" xfId="11708" xr:uid="{00000000-0005-0000-0000-00005FF90000}"/>
    <cellStyle name="Percent 9 2 4 7 2" xfId="26857" xr:uid="{00000000-0005-0000-0000-000060F90000}"/>
    <cellStyle name="Percent 9 2 4 8" xfId="13392" xr:uid="{00000000-0005-0000-0000-000061F90000}"/>
    <cellStyle name="Percent 9 2 4 8 2" xfId="28541" xr:uid="{00000000-0005-0000-0000-000062F90000}"/>
    <cellStyle name="Percent 9 2 4 9" xfId="15075" xr:uid="{00000000-0005-0000-0000-000063F90000}"/>
    <cellStyle name="Percent 9 2 4 9 2" xfId="30224" xr:uid="{00000000-0005-0000-0000-000064F90000}"/>
    <cellStyle name="Percent 9 2 5" xfId="2030" xr:uid="{00000000-0005-0000-0000-000065F90000}"/>
    <cellStyle name="Percent 9 2 5 2" xfId="17179" xr:uid="{00000000-0005-0000-0000-000066F90000}"/>
    <cellStyle name="Percent 9 2 6" xfId="3714" xr:uid="{00000000-0005-0000-0000-000067F90000}"/>
    <cellStyle name="Percent 9 2 6 2" xfId="18863" xr:uid="{00000000-0005-0000-0000-000068F90000}"/>
    <cellStyle name="Percent 9 2 7" xfId="5397" xr:uid="{00000000-0005-0000-0000-000069F90000}"/>
    <cellStyle name="Percent 9 2 7 2" xfId="20546" xr:uid="{00000000-0005-0000-0000-00006AF90000}"/>
    <cellStyle name="Percent 9 2 8" xfId="7080" xr:uid="{00000000-0005-0000-0000-00006BF90000}"/>
    <cellStyle name="Percent 9 2 8 2" xfId="22229" xr:uid="{00000000-0005-0000-0000-00006CF90000}"/>
    <cellStyle name="Percent 9 2 9" xfId="8763" xr:uid="{00000000-0005-0000-0000-00006DF90000}"/>
    <cellStyle name="Percent 9 2 9 2" xfId="23912" xr:uid="{00000000-0005-0000-0000-00006EF90000}"/>
    <cellStyle name="Percent 9 20" xfId="38850" xr:uid="{00000000-0005-0000-0000-00006FF90000}"/>
    <cellStyle name="Percent 9 21" xfId="40533" xr:uid="{00000000-0005-0000-0000-000070F90000}"/>
    <cellStyle name="Percent 9 22" xfId="42216" xr:uid="{00000000-0005-0000-0000-000071F90000}"/>
    <cellStyle name="Percent 9 23" xfId="43899" xr:uid="{00000000-0005-0000-0000-000072F90000}"/>
    <cellStyle name="Percent 9 24" xfId="45582" xr:uid="{00000000-0005-0000-0000-000073F90000}"/>
    <cellStyle name="Percent 9 25" xfId="47265" xr:uid="{00000000-0005-0000-0000-000074F90000}"/>
    <cellStyle name="Percent 9 26" xfId="48948" xr:uid="{00000000-0005-0000-0000-000075F90000}"/>
    <cellStyle name="Percent 9 27" xfId="50631" xr:uid="{00000000-0005-0000-0000-000076F90000}"/>
    <cellStyle name="Percent 9 28" xfId="52314" xr:uid="{00000000-0005-0000-0000-000077F90000}"/>
    <cellStyle name="Percent 9 29" xfId="53997" xr:uid="{00000000-0005-0000-0000-000078F90000}"/>
    <cellStyle name="Percent 9 3" xfId="557" xr:uid="{00000000-0005-0000-0000-000079F90000}"/>
    <cellStyle name="Percent 9 3 10" xfId="15706" xr:uid="{00000000-0005-0000-0000-00007AF90000}"/>
    <cellStyle name="Percent 9 3 11" xfId="30855" xr:uid="{00000000-0005-0000-0000-00007BF90000}"/>
    <cellStyle name="Percent 9 3 12" xfId="32538" xr:uid="{00000000-0005-0000-0000-00007CF90000}"/>
    <cellStyle name="Percent 9 3 13" xfId="34221" xr:uid="{00000000-0005-0000-0000-00007DF90000}"/>
    <cellStyle name="Percent 9 3 14" xfId="35904" xr:uid="{00000000-0005-0000-0000-00007EF90000}"/>
    <cellStyle name="Percent 9 3 15" xfId="37587" xr:uid="{00000000-0005-0000-0000-00007FF90000}"/>
    <cellStyle name="Percent 9 3 16" xfId="39270" xr:uid="{00000000-0005-0000-0000-000080F90000}"/>
    <cellStyle name="Percent 9 3 17" xfId="40953" xr:uid="{00000000-0005-0000-0000-000081F90000}"/>
    <cellStyle name="Percent 9 3 18" xfId="42636" xr:uid="{00000000-0005-0000-0000-000082F90000}"/>
    <cellStyle name="Percent 9 3 19" xfId="44319" xr:uid="{00000000-0005-0000-0000-000083F90000}"/>
    <cellStyle name="Percent 9 3 2" xfId="2240" xr:uid="{00000000-0005-0000-0000-000084F90000}"/>
    <cellStyle name="Percent 9 3 2 2" xfId="17389" xr:uid="{00000000-0005-0000-0000-000085F90000}"/>
    <cellStyle name="Percent 9 3 20" xfId="46002" xr:uid="{00000000-0005-0000-0000-000086F90000}"/>
    <cellStyle name="Percent 9 3 21" xfId="47685" xr:uid="{00000000-0005-0000-0000-000087F90000}"/>
    <cellStyle name="Percent 9 3 22" xfId="49368" xr:uid="{00000000-0005-0000-0000-000088F90000}"/>
    <cellStyle name="Percent 9 3 23" xfId="51051" xr:uid="{00000000-0005-0000-0000-000089F90000}"/>
    <cellStyle name="Percent 9 3 24" xfId="52734" xr:uid="{00000000-0005-0000-0000-00008AF90000}"/>
    <cellStyle name="Percent 9 3 25" xfId="54417" xr:uid="{00000000-0005-0000-0000-00008BF90000}"/>
    <cellStyle name="Percent 9 3 26" xfId="56100" xr:uid="{00000000-0005-0000-0000-00008CF90000}"/>
    <cellStyle name="Percent 9 3 27" xfId="57783" xr:uid="{00000000-0005-0000-0000-00008DF90000}"/>
    <cellStyle name="Percent 9 3 28" xfId="59466" xr:uid="{00000000-0005-0000-0000-00008EF90000}"/>
    <cellStyle name="Percent 9 3 29" xfId="61149" xr:uid="{00000000-0005-0000-0000-00008FF90000}"/>
    <cellStyle name="Percent 9 3 3" xfId="3924" xr:uid="{00000000-0005-0000-0000-000090F90000}"/>
    <cellStyle name="Percent 9 3 3 2" xfId="19073" xr:uid="{00000000-0005-0000-0000-000091F90000}"/>
    <cellStyle name="Percent 9 3 30" xfId="62832" xr:uid="{00000000-0005-0000-0000-000092F90000}"/>
    <cellStyle name="Percent 9 3 4" xfId="5607" xr:uid="{00000000-0005-0000-0000-000093F90000}"/>
    <cellStyle name="Percent 9 3 4 2" xfId="20756" xr:uid="{00000000-0005-0000-0000-000094F90000}"/>
    <cellStyle name="Percent 9 3 5" xfId="7290" xr:uid="{00000000-0005-0000-0000-000095F90000}"/>
    <cellStyle name="Percent 9 3 5 2" xfId="22439" xr:uid="{00000000-0005-0000-0000-000096F90000}"/>
    <cellStyle name="Percent 9 3 6" xfId="8973" xr:uid="{00000000-0005-0000-0000-000097F90000}"/>
    <cellStyle name="Percent 9 3 6 2" xfId="24122" xr:uid="{00000000-0005-0000-0000-000098F90000}"/>
    <cellStyle name="Percent 9 3 7" xfId="10656" xr:uid="{00000000-0005-0000-0000-000099F90000}"/>
    <cellStyle name="Percent 9 3 7 2" xfId="25805" xr:uid="{00000000-0005-0000-0000-00009AF90000}"/>
    <cellStyle name="Percent 9 3 8" xfId="12340" xr:uid="{00000000-0005-0000-0000-00009BF90000}"/>
    <cellStyle name="Percent 9 3 8 2" xfId="27489" xr:uid="{00000000-0005-0000-0000-00009CF90000}"/>
    <cellStyle name="Percent 9 3 9" xfId="14023" xr:uid="{00000000-0005-0000-0000-00009DF90000}"/>
    <cellStyle name="Percent 9 3 9 2" xfId="29172" xr:uid="{00000000-0005-0000-0000-00009EF90000}"/>
    <cellStyle name="Percent 9 30" xfId="55680" xr:uid="{00000000-0005-0000-0000-00009FF90000}"/>
    <cellStyle name="Percent 9 31" xfId="57363" xr:uid="{00000000-0005-0000-0000-0000A0F90000}"/>
    <cellStyle name="Percent 9 32" xfId="59046" xr:uid="{00000000-0005-0000-0000-0000A1F90000}"/>
    <cellStyle name="Percent 9 33" xfId="60729" xr:uid="{00000000-0005-0000-0000-0000A2F90000}"/>
    <cellStyle name="Percent 9 34" xfId="62412" xr:uid="{00000000-0005-0000-0000-0000A3F90000}"/>
    <cellStyle name="Percent 9 4" xfId="978" xr:uid="{00000000-0005-0000-0000-0000A4F90000}"/>
    <cellStyle name="Percent 9 4 10" xfId="16127" xr:uid="{00000000-0005-0000-0000-0000A5F90000}"/>
    <cellStyle name="Percent 9 4 11" xfId="31276" xr:uid="{00000000-0005-0000-0000-0000A6F90000}"/>
    <cellStyle name="Percent 9 4 12" xfId="32959" xr:uid="{00000000-0005-0000-0000-0000A7F90000}"/>
    <cellStyle name="Percent 9 4 13" xfId="34642" xr:uid="{00000000-0005-0000-0000-0000A8F90000}"/>
    <cellStyle name="Percent 9 4 14" xfId="36325" xr:uid="{00000000-0005-0000-0000-0000A9F90000}"/>
    <cellStyle name="Percent 9 4 15" xfId="38008" xr:uid="{00000000-0005-0000-0000-0000AAF90000}"/>
    <cellStyle name="Percent 9 4 16" xfId="39691" xr:uid="{00000000-0005-0000-0000-0000ABF90000}"/>
    <cellStyle name="Percent 9 4 17" xfId="41374" xr:uid="{00000000-0005-0000-0000-0000ACF90000}"/>
    <cellStyle name="Percent 9 4 18" xfId="43057" xr:uid="{00000000-0005-0000-0000-0000ADF90000}"/>
    <cellStyle name="Percent 9 4 19" xfId="44740" xr:uid="{00000000-0005-0000-0000-0000AEF90000}"/>
    <cellStyle name="Percent 9 4 2" xfId="2661" xr:uid="{00000000-0005-0000-0000-0000AFF90000}"/>
    <cellStyle name="Percent 9 4 2 2" xfId="17810" xr:uid="{00000000-0005-0000-0000-0000B0F90000}"/>
    <cellStyle name="Percent 9 4 20" xfId="46423" xr:uid="{00000000-0005-0000-0000-0000B1F90000}"/>
    <cellStyle name="Percent 9 4 21" xfId="48106" xr:uid="{00000000-0005-0000-0000-0000B2F90000}"/>
    <cellStyle name="Percent 9 4 22" xfId="49789" xr:uid="{00000000-0005-0000-0000-0000B3F90000}"/>
    <cellStyle name="Percent 9 4 23" xfId="51472" xr:uid="{00000000-0005-0000-0000-0000B4F90000}"/>
    <cellStyle name="Percent 9 4 24" xfId="53155" xr:uid="{00000000-0005-0000-0000-0000B5F90000}"/>
    <cellStyle name="Percent 9 4 25" xfId="54838" xr:uid="{00000000-0005-0000-0000-0000B6F90000}"/>
    <cellStyle name="Percent 9 4 26" xfId="56521" xr:uid="{00000000-0005-0000-0000-0000B7F90000}"/>
    <cellStyle name="Percent 9 4 27" xfId="58204" xr:uid="{00000000-0005-0000-0000-0000B8F90000}"/>
    <cellStyle name="Percent 9 4 28" xfId="59887" xr:uid="{00000000-0005-0000-0000-0000B9F90000}"/>
    <cellStyle name="Percent 9 4 29" xfId="61570" xr:uid="{00000000-0005-0000-0000-0000BAF90000}"/>
    <cellStyle name="Percent 9 4 3" xfId="4345" xr:uid="{00000000-0005-0000-0000-0000BBF90000}"/>
    <cellStyle name="Percent 9 4 3 2" xfId="19494" xr:uid="{00000000-0005-0000-0000-0000BCF90000}"/>
    <cellStyle name="Percent 9 4 30" xfId="63253" xr:uid="{00000000-0005-0000-0000-0000BDF90000}"/>
    <cellStyle name="Percent 9 4 4" xfId="6028" xr:uid="{00000000-0005-0000-0000-0000BEF90000}"/>
    <cellStyle name="Percent 9 4 4 2" xfId="21177" xr:uid="{00000000-0005-0000-0000-0000BFF90000}"/>
    <cellStyle name="Percent 9 4 5" xfId="7711" xr:uid="{00000000-0005-0000-0000-0000C0F90000}"/>
    <cellStyle name="Percent 9 4 5 2" xfId="22860" xr:uid="{00000000-0005-0000-0000-0000C1F90000}"/>
    <cellStyle name="Percent 9 4 6" xfId="9394" xr:uid="{00000000-0005-0000-0000-0000C2F90000}"/>
    <cellStyle name="Percent 9 4 6 2" xfId="24543" xr:uid="{00000000-0005-0000-0000-0000C3F90000}"/>
    <cellStyle name="Percent 9 4 7" xfId="11077" xr:uid="{00000000-0005-0000-0000-0000C4F90000}"/>
    <cellStyle name="Percent 9 4 7 2" xfId="26226" xr:uid="{00000000-0005-0000-0000-0000C5F90000}"/>
    <cellStyle name="Percent 9 4 8" xfId="12761" xr:uid="{00000000-0005-0000-0000-0000C6F90000}"/>
    <cellStyle name="Percent 9 4 8 2" xfId="27910" xr:uid="{00000000-0005-0000-0000-0000C7F90000}"/>
    <cellStyle name="Percent 9 4 9" xfId="14444" xr:uid="{00000000-0005-0000-0000-0000C8F90000}"/>
    <cellStyle name="Percent 9 4 9 2" xfId="29593" xr:uid="{00000000-0005-0000-0000-0000C9F90000}"/>
    <cellStyle name="Percent 9 5" xfId="1399" xr:uid="{00000000-0005-0000-0000-0000CAF90000}"/>
    <cellStyle name="Percent 9 5 10" xfId="16548" xr:uid="{00000000-0005-0000-0000-0000CBF90000}"/>
    <cellStyle name="Percent 9 5 11" xfId="31697" xr:uid="{00000000-0005-0000-0000-0000CCF90000}"/>
    <cellStyle name="Percent 9 5 12" xfId="33380" xr:uid="{00000000-0005-0000-0000-0000CDF90000}"/>
    <cellStyle name="Percent 9 5 13" xfId="35063" xr:uid="{00000000-0005-0000-0000-0000CEF90000}"/>
    <cellStyle name="Percent 9 5 14" xfId="36746" xr:uid="{00000000-0005-0000-0000-0000CFF90000}"/>
    <cellStyle name="Percent 9 5 15" xfId="38429" xr:uid="{00000000-0005-0000-0000-0000D0F90000}"/>
    <cellStyle name="Percent 9 5 16" xfId="40112" xr:uid="{00000000-0005-0000-0000-0000D1F90000}"/>
    <cellStyle name="Percent 9 5 17" xfId="41795" xr:uid="{00000000-0005-0000-0000-0000D2F90000}"/>
    <cellStyle name="Percent 9 5 18" xfId="43478" xr:uid="{00000000-0005-0000-0000-0000D3F90000}"/>
    <cellStyle name="Percent 9 5 19" xfId="45161" xr:uid="{00000000-0005-0000-0000-0000D4F90000}"/>
    <cellStyle name="Percent 9 5 2" xfId="3082" xr:uid="{00000000-0005-0000-0000-0000D5F90000}"/>
    <cellStyle name="Percent 9 5 2 2" xfId="18231" xr:uid="{00000000-0005-0000-0000-0000D6F90000}"/>
    <cellStyle name="Percent 9 5 20" xfId="46844" xr:uid="{00000000-0005-0000-0000-0000D7F90000}"/>
    <cellStyle name="Percent 9 5 21" xfId="48527" xr:uid="{00000000-0005-0000-0000-0000D8F90000}"/>
    <cellStyle name="Percent 9 5 22" xfId="50210" xr:uid="{00000000-0005-0000-0000-0000D9F90000}"/>
    <cellStyle name="Percent 9 5 23" xfId="51893" xr:uid="{00000000-0005-0000-0000-0000DAF90000}"/>
    <cellStyle name="Percent 9 5 24" xfId="53576" xr:uid="{00000000-0005-0000-0000-0000DBF90000}"/>
    <cellStyle name="Percent 9 5 25" xfId="55259" xr:uid="{00000000-0005-0000-0000-0000DCF90000}"/>
    <cellStyle name="Percent 9 5 26" xfId="56942" xr:uid="{00000000-0005-0000-0000-0000DDF90000}"/>
    <cellStyle name="Percent 9 5 27" xfId="58625" xr:uid="{00000000-0005-0000-0000-0000DEF90000}"/>
    <cellStyle name="Percent 9 5 28" xfId="60308" xr:uid="{00000000-0005-0000-0000-0000DFF90000}"/>
    <cellStyle name="Percent 9 5 29" xfId="61991" xr:uid="{00000000-0005-0000-0000-0000E0F90000}"/>
    <cellStyle name="Percent 9 5 3" xfId="4766" xr:uid="{00000000-0005-0000-0000-0000E1F90000}"/>
    <cellStyle name="Percent 9 5 3 2" xfId="19915" xr:uid="{00000000-0005-0000-0000-0000E2F90000}"/>
    <cellStyle name="Percent 9 5 30" xfId="63674" xr:uid="{00000000-0005-0000-0000-0000E3F90000}"/>
    <cellStyle name="Percent 9 5 4" xfId="6449" xr:uid="{00000000-0005-0000-0000-0000E4F90000}"/>
    <cellStyle name="Percent 9 5 4 2" xfId="21598" xr:uid="{00000000-0005-0000-0000-0000E5F90000}"/>
    <cellStyle name="Percent 9 5 5" xfId="8132" xr:uid="{00000000-0005-0000-0000-0000E6F90000}"/>
    <cellStyle name="Percent 9 5 5 2" xfId="23281" xr:uid="{00000000-0005-0000-0000-0000E7F90000}"/>
    <cellStyle name="Percent 9 5 6" xfId="9815" xr:uid="{00000000-0005-0000-0000-0000E8F90000}"/>
    <cellStyle name="Percent 9 5 6 2" xfId="24964" xr:uid="{00000000-0005-0000-0000-0000E9F90000}"/>
    <cellStyle name="Percent 9 5 7" xfId="11498" xr:uid="{00000000-0005-0000-0000-0000EAF90000}"/>
    <cellStyle name="Percent 9 5 7 2" xfId="26647" xr:uid="{00000000-0005-0000-0000-0000EBF90000}"/>
    <cellStyle name="Percent 9 5 8" xfId="13182" xr:uid="{00000000-0005-0000-0000-0000ECF90000}"/>
    <cellStyle name="Percent 9 5 8 2" xfId="28331" xr:uid="{00000000-0005-0000-0000-0000EDF90000}"/>
    <cellStyle name="Percent 9 5 9" xfId="14865" xr:uid="{00000000-0005-0000-0000-0000EEF90000}"/>
    <cellStyle name="Percent 9 5 9 2" xfId="30014" xr:uid="{00000000-0005-0000-0000-0000EFF90000}"/>
    <cellStyle name="Percent 9 6" xfId="1820" xr:uid="{00000000-0005-0000-0000-0000F0F90000}"/>
    <cellStyle name="Percent 9 6 2" xfId="16969" xr:uid="{00000000-0005-0000-0000-0000F1F90000}"/>
    <cellStyle name="Percent 9 7" xfId="3504" xr:uid="{00000000-0005-0000-0000-0000F2F90000}"/>
    <cellStyle name="Percent 9 7 2" xfId="18653" xr:uid="{00000000-0005-0000-0000-0000F3F90000}"/>
    <cellStyle name="Percent 9 8" xfId="5187" xr:uid="{00000000-0005-0000-0000-0000F4F90000}"/>
    <cellStyle name="Percent 9 8 2" xfId="20336" xr:uid="{00000000-0005-0000-0000-0000F5F90000}"/>
    <cellStyle name="Percent 9 9" xfId="6870" xr:uid="{00000000-0005-0000-0000-0000F6F90000}"/>
    <cellStyle name="Percent 9 9 2" xfId="22019" xr:uid="{00000000-0005-0000-0000-0000F7F90000}"/>
    <cellStyle name="Title" xfId="54" builtinId="15" customBuiltin="1"/>
    <cellStyle name="Total" xfId="69" builtinId="25" customBuiltin="1"/>
    <cellStyle name="Warning Text" xfId="67" builtinId="11" customBuiltin="1"/>
  </cellStyles>
  <dxfs count="394">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0000"/>
        </patternFill>
      </fill>
    </dxf>
    <dxf>
      <fill>
        <patternFill patternType="solid">
          <bgColor theme="5" tint="0.59996337778862885"/>
        </patternFill>
      </fill>
    </dxf>
    <dxf>
      <fill>
        <patternFill patternType="solid">
          <bgColor theme="9" tint="0.59996337778862885"/>
        </patternFill>
      </fill>
    </dxf>
    <dxf>
      <font>
        <b/>
        <i val="0"/>
        <strike val="0"/>
        <condense val="0"/>
        <extend val="0"/>
        <outline val="0"/>
        <shadow val="0"/>
        <u val="none"/>
        <vertAlign val="baseline"/>
        <sz val="11"/>
        <color theme="0"/>
        <name val="Calibri"/>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scheme val="minor"/>
      </font>
      <numFmt numFmtId="14" formatCode="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numFmt numFmtId="165"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5"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2" formatCode="0.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numFmt numFmtId="165" formatCode="0.0"/>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border>
    </dxf>
    <dxf>
      <numFmt numFmtId="14" formatCode="0.00%"/>
      <fill>
        <patternFill patternType="none">
          <fgColor indexed="64"/>
          <bgColor auto="1"/>
        </patternFill>
      </fill>
      <alignment horizontal="center" vertical="center" textRotation="0" wrapText="0" indent="0" justifyLastLine="0" shrinkToFit="0" readingOrder="0"/>
    </dxf>
    <dxf>
      <numFmt numFmtId="14" formatCode="0.00%"/>
      <fill>
        <patternFill patternType="none">
          <fgColor indexed="64"/>
          <bgColor auto="1"/>
        </patternFill>
      </fill>
      <alignment horizontal="center" vertical="center" textRotation="0" wrapText="0" indent="0" justifyLastLine="0" shrinkToFit="0" readingOrder="0"/>
    </dxf>
    <dxf>
      <numFmt numFmtId="14" formatCode="0.00%"/>
      <fill>
        <patternFill patternType="none">
          <fgColor indexed="64"/>
          <bgColor auto="1"/>
        </patternFill>
      </fill>
      <alignment horizontal="center" vertical="center" textRotation="0" wrapText="0" indent="0" justifyLastLine="0" shrinkToFit="0" readingOrder="0"/>
    </dxf>
    <dxf>
      <numFmt numFmtId="1" formatCode="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numFmt numFmtId="165"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 formatCode="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numFmt numFmtId="165"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numFmt numFmtId="165"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numFmt numFmtId="22" formatCode="mmm/yy"/>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numFmt numFmtId="22" formatCode="mmm/yy"/>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numFmt numFmtId="22" formatCode="mmm/yy"/>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scheme val="minor"/>
      </font>
      <fill>
        <patternFill patternType="none">
          <fgColor indexed="64"/>
          <bgColor auto="1"/>
        </patternFill>
      </fill>
      <alignment horizontal="center" vertical="center"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scheme val="minor"/>
      </font>
      <fill>
        <patternFill patternType="none">
          <fgColor indexed="64"/>
          <bgColor auto="1"/>
        </patternFill>
      </fill>
      <alignment horizontal="center" vertical="center" textRotation="0" wrapText="1"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72" formatCode="[$-409]d\-mmm\-yy;@"/>
      <alignment horizontal="center" vertical="bottom" textRotation="0" wrapText="0" indent="0" justifyLastLine="0" shrinkToFit="0" readingOrder="0"/>
    </dxf>
    <dxf>
      <numFmt numFmtId="172" formatCode="[$-409]d\-mmm\-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4" formatCode="0.00%"/>
    </dxf>
    <dxf>
      <numFmt numFmtId="0" formatCode="General"/>
    </dxf>
    <dxf>
      <font>
        <b val="0"/>
        <i val="0"/>
        <strike val="0"/>
        <condense val="0"/>
        <extend val="0"/>
        <outline val="0"/>
        <shadow val="0"/>
        <u val="none"/>
        <vertAlign val="baseline"/>
        <sz val="11"/>
        <color theme="1"/>
        <name val="Calibri"/>
        <charset val="134"/>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charset val="134"/>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charset val="134"/>
        <scheme val="minor"/>
      </font>
      <alignment horizontal="center" vertical="bottom" textRotation="0" wrapText="0" indent="0" justifyLastLine="0" shrinkToFit="0" readingOrder="0"/>
    </dxf>
    <dxf>
      <fill>
        <patternFill patternType="none"/>
      </fill>
      <alignment horizontal="center"/>
    </dxf>
    <dxf>
      <alignment horizontal="center"/>
    </dxf>
    <dxf>
      <numFmt numFmtId="2" formatCode="0.00"/>
    </dxf>
    <dxf>
      <numFmt numFmtId="2" formatCode="0.00"/>
    </dxf>
    <dxf>
      <numFmt numFmtId="2" formatCode="0.00"/>
    </dxf>
    <dxf>
      <numFmt numFmtId="25" formatCode="hh:mm"/>
    </dxf>
    <dxf>
      <numFmt numFmtId="25" formatCode="hh:mm"/>
    </dxf>
    <dxf>
      <numFmt numFmtId="25" formatCode="hh:mm"/>
    </dxf>
    <dxf>
      <numFmt numFmtId="166" formatCode="0.0%"/>
      <fill>
        <patternFill patternType="none"/>
      </fill>
      <alignment horizontal="center"/>
    </dxf>
    <dxf>
      <numFmt numFmtId="0" formatCode="General"/>
      <fill>
        <patternFill patternType="none"/>
      </fill>
    </dxf>
    <dxf>
      <numFmt numFmtId="0" formatCode="General"/>
      <fill>
        <patternFill patternType="none"/>
      </fill>
    </dxf>
    <dxf>
      <fill>
        <patternFill patternType="solid">
          <fgColor theme="9" tint="0.59999389629810485"/>
          <bgColor theme="9" tint="0.59999389629810485"/>
        </patternFill>
      </fill>
      <alignment horizontal="center" vertical="center"/>
      <border>
        <left/>
        <right style="thin">
          <color theme="0"/>
        </right>
        <top style="thin">
          <color theme="0"/>
        </top>
        <bottom style="thin">
          <color theme="0"/>
        </bottom>
      </border>
    </dxf>
    <dxf>
      <numFmt numFmtId="22" formatCode="mmm/yy"/>
      <alignment horizontal="center" vertical="center" textRotation="0" wrapText="0" indent="0" justifyLastLine="0" shrinkToFit="0" readingOrder="0"/>
    </dxf>
    <dxf>
      <fill>
        <patternFill patternType="solid">
          <fgColor theme="9" tint="0.59999389629810485"/>
          <bgColor theme="9" tint="0.59999389629810485"/>
        </patternFill>
      </fill>
      <alignment horizontal="center" vertical="center"/>
      <border>
        <left/>
        <right style="thin">
          <color theme="0"/>
        </right>
        <top style="thin">
          <color theme="0"/>
        </top>
        <bottom style="thin">
          <color theme="0"/>
        </bottom>
      </border>
    </dxf>
    <dxf>
      <fill>
        <patternFill patternType="solid">
          <fgColor theme="9" tint="0.59999389629810485"/>
          <bgColor theme="9" tint="0.59999389629810485"/>
        </patternFill>
      </fill>
      <alignment horizontal="center" vertical="center"/>
      <border>
        <left/>
        <right style="thin">
          <color theme="0"/>
        </right>
        <top style="thin">
          <color theme="0"/>
        </top>
        <bottom style="thin">
          <color theme="0"/>
        </bottom>
      </border>
    </dxf>
    <dxf>
      <fill>
        <patternFill patternType="solid">
          <fgColor theme="9" tint="0.59999389629810485"/>
          <bgColor theme="9" tint="0.59999389629810485"/>
        </patternFill>
      </fill>
      <alignment horizontal="center" vertical="center"/>
      <border>
        <left/>
        <right style="thin">
          <color theme="0"/>
        </right>
        <top style="thin">
          <color theme="0"/>
        </top>
        <bottom style="thin">
          <color theme="0"/>
        </bottom>
      </border>
    </dxf>
    <dxf>
      <fill>
        <patternFill patternType="solid">
          <fgColor theme="9" tint="0.59999389629810485"/>
          <bgColor theme="9" tint="0.59999389629810485"/>
        </patternFill>
      </fill>
      <alignment horizontal="center" vertical="center"/>
      <border>
        <left/>
        <right style="thin">
          <color theme="0"/>
        </right>
        <top style="thin">
          <color theme="0"/>
        </top>
        <bottom style="thin">
          <color theme="0"/>
        </bottom>
      </border>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fill>
        <patternFill patternType="none"/>
      </fill>
      <alignment horizontal="center"/>
    </dxf>
    <dxf>
      <alignment horizontal="center"/>
    </dxf>
    <dxf>
      <numFmt numFmtId="2" formatCode="0.00"/>
    </dxf>
    <dxf>
      <numFmt numFmtId="2" formatCode="0.00"/>
    </dxf>
    <dxf>
      <numFmt numFmtId="2" formatCode="0.00"/>
    </dxf>
    <dxf>
      <numFmt numFmtId="25" formatCode="hh:mm"/>
    </dxf>
    <dxf>
      <numFmt numFmtId="25" formatCode="hh:mm"/>
    </dxf>
    <dxf>
      <numFmt numFmtId="25" formatCode="hh:mm"/>
    </dxf>
    <dxf>
      <numFmt numFmtId="166" formatCode="0.0%"/>
      <fill>
        <patternFill patternType="none"/>
      </fill>
      <alignment horizontal="center"/>
    </dxf>
    <dxf>
      <numFmt numFmtId="0" formatCode="General"/>
      <fill>
        <patternFill patternType="none"/>
      </fill>
      <alignment horizontal="center"/>
    </dxf>
    <dxf>
      <numFmt numFmtId="0" formatCode="General"/>
      <fill>
        <patternFill patternType="none"/>
      </fill>
      <alignment horizontal="center"/>
    </dxf>
    <dxf>
      <fill>
        <patternFill patternType="solid">
          <fgColor theme="9" tint="0.59999389629810485"/>
          <bgColor theme="9" tint="0.59999389629810485"/>
        </patternFill>
      </fill>
      <alignment horizontal="center" vertical="center"/>
      <border>
        <left/>
        <right style="thin">
          <color theme="0"/>
        </right>
        <top style="thin">
          <color theme="0"/>
        </top>
        <bottom style="thin">
          <color theme="0"/>
        </bottom>
      </border>
    </dxf>
    <dxf>
      <numFmt numFmtId="22" formatCode="mmm/yy"/>
      <alignment horizontal="center" vertical="center" textRotation="0" wrapText="0" indent="0" justifyLastLine="0" shrinkToFit="0" readingOrder="0"/>
    </dxf>
    <dxf>
      <fill>
        <patternFill patternType="solid">
          <fgColor theme="9" tint="0.59999389629810485"/>
          <bgColor theme="9" tint="0.59999389629810485"/>
        </patternFill>
      </fill>
      <alignment horizontal="center" vertical="center"/>
      <border>
        <left/>
        <right style="thin">
          <color theme="0"/>
        </right>
        <top style="thin">
          <color theme="0"/>
        </top>
        <bottom style="thin">
          <color theme="0"/>
        </bottom>
      </border>
    </dxf>
    <dxf>
      <fill>
        <patternFill patternType="solid">
          <fgColor theme="9" tint="0.59999389629810485"/>
          <bgColor theme="9" tint="0.59999389629810485"/>
        </patternFill>
      </fill>
      <alignment horizontal="center" vertical="center"/>
      <border>
        <left/>
        <right style="thin">
          <color theme="0"/>
        </right>
        <top style="thin">
          <color theme="0"/>
        </top>
        <bottom style="thin">
          <color theme="0"/>
        </bottom>
      </border>
    </dxf>
    <dxf>
      <fill>
        <patternFill patternType="solid">
          <fgColor theme="9" tint="0.59999389629810485"/>
          <bgColor theme="9" tint="0.59999389629810485"/>
        </patternFill>
      </fill>
      <alignment horizontal="center" vertical="center"/>
      <border>
        <left/>
        <right style="thin">
          <color theme="0"/>
        </right>
        <top style="thin">
          <color theme="0"/>
        </top>
        <bottom style="thin">
          <color theme="0"/>
        </bottom>
      </border>
    </dxf>
    <dxf>
      <fill>
        <patternFill patternType="solid">
          <fgColor theme="9" tint="0.59999389629810485"/>
          <bgColor theme="9" tint="0.59999389629810485"/>
        </patternFill>
      </fill>
      <alignment horizontal="center" vertical="center"/>
      <border>
        <left/>
        <right style="thin">
          <color theme="0"/>
        </right>
        <top style="thin">
          <color theme="0"/>
        </top>
        <bottom style="thin">
          <color theme="0"/>
        </bottom>
      </border>
    </dxf>
    <dxf>
      <numFmt numFmtId="0" formatCode="General"/>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Calibri"/>
        <scheme val="minor"/>
      </font>
      <numFmt numFmtId="22" formatCode="mmm/yy"/>
      <fill>
        <patternFill patternType="solid">
          <fgColor theme="9" tint="0.79998168889431442"/>
          <bgColor theme="9" tint="0.79998168889431442"/>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numFmt numFmtId="1" formatCode="0"/>
      <fill>
        <patternFill patternType="solid">
          <fgColor theme="9" tint="0.79998168889431442"/>
          <bgColor theme="9" tint="0.79998168889431442"/>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numFmt numFmtId="20" formatCode="dd/mmm/yy"/>
      <fill>
        <patternFill patternType="solid">
          <fgColor theme="9" tint="0.79998168889431442"/>
          <bgColor theme="9" tint="0.79998168889431442"/>
        </patternFill>
      </fill>
      <alignment horizontal="center" vertical="center" textRotation="0" wrapText="0" indent="0" justifyLastLine="0" shrinkToFit="0" readingOrder="0"/>
      <border diagonalUp="0" diagonalDown="0" outline="0">
        <left/>
        <right style="thin">
          <color theme="0"/>
        </right>
        <top style="thin">
          <color theme="0"/>
        </top>
        <bottom style="thin">
          <color theme="0"/>
        </bottom>
      </border>
    </dxf>
    <dxf>
      <border outline="0">
        <top style="thin">
          <color theme="0"/>
        </top>
      </border>
    </dxf>
    <dxf>
      <border outline="0">
        <left style="dotted">
          <color auto="1"/>
        </left>
        <top style="dotted">
          <color auto="1"/>
        </top>
        <bottom style="thin">
          <color theme="0"/>
        </bottom>
      </border>
    </dxf>
    <dxf>
      <numFmt numFmtId="0" formatCode="General"/>
      <alignment horizontal="center" vertical="center" textRotation="0" indent="0" justifyLastLine="0" shrinkToFit="0" readingOrder="0"/>
    </dxf>
    <dxf>
      <border outline="0">
        <bottom style="dotted">
          <color auto="1"/>
        </bottom>
      </border>
    </dxf>
    <dxf>
      <font>
        <b/>
        <i val="0"/>
        <strike val="0"/>
        <condense val="0"/>
        <extend val="0"/>
        <outline val="0"/>
        <shadow val="0"/>
        <u val="none"/>
        <vertAlign val="baseline"/>
        <sz val="9"/>
        <color theme="0"/>
        <name val="Calibri"/>
        <scheme val="minor"/>
      </font>
      <numFmt numFmtId="0" formatCode="General"/>
      <fill>
        <patternFill patternType="solid">
          <fgColor indexed="64"/>
          <bgColor theme="9"/>
        </patternFill>
      </fill>
      <alignment horizontal="center" vertical="center" textRotation="0" wrapText="1" indent="0" justifyLastLine="0" shrinkToFit="0" readingOrder="0"/>
      <border diagonalUp="0" diagonalDown="0" outline="0">
        <left style="dotted">
          <color auto="1"/>
        </left>
        <right style="dotted">
          <color auto="1"/>
        </right>
        <top/>
        <bottom/>
      </border>
    </dxf>
    <dxf>
      <alignment horizontal="center" vertical="bottom" textRotation="0" wrapText="0" indent="0" justifyLastLine="0" shrinkToFit="0" readingOrder="0"/>
    </dxf>
    <dxf>
      <alignment horizontal="center" textRotation="0" indent="0" justifyLastLine="0" shrinkToFit="0" readingOrder="0"/>
    </dxf>
    <dxf>
      <alignment horizontal="center" vertical="bottom" textRotation="0" wrapText="0" indent="0" justifyLastLine="0" shrinkToFit="0" readingOrder="0"/>
    </dxf>
    <dxf>
      <fill>
        <patternFill patternType="none"/>
      </fill>
      <alignment horizontal="center"/>
    </dxf>
    <dxf>
      <font>
        <b val="0"/>
        <i val="0"/>
        <strike val="0"/>
        <condense val="0"/>
        <extend val="0"/>
        <outline val="0"/>
        <shadow val="0"/>
        <u val="none"/>
        <vertAlign val="baseline"/>
        <sz val="11"/>
        <color theme="1"/>
        <name val="Calibri"/>
        <charset val="134"/>
        <scheme val="minor"/>
      </font>
      <fill>
        <patternFill patternType="none">
          <fgColor indexed="64"/>
          <bgColor indexed="65"/>
        </patternFill>
      </fill>
      <alignment horizontal="center" vertical="bottom" textRotation="0" wrapText="0" indent="0" justifyLastLine="0" shrinkToFit="0" readingOrder="0"/>
    </dxf>
    <dxf>
      <numFmt numFmtId="35" formatCode="_ * #,##0.00_ ;_ * \-#,##0.00_ ;_ * &quot;-&quot;??_ ;_ @_ "/>
      <fill>
        <patternFill patternType="none"/>
      </fill>
      <alignment horizontal="center"/>
    </dxf>
    <dxf>
      <alignment horizontal="center"/>
    </dxf>
    <dxf>
      <numFmt numFmtId="2" formatCode="0.00"/>
    </dxf>
    <dxf>
      <numFmt numFmtId="2" formatCode="0.00"/>
    </dxf>
    <dxf>
      <numFmt numFmtId="2" formatCode="0.00"/>
    </dxf>
    <dxf>
      <font>
        <strike val="0"/>
        <u val="none"/>
        <name val="Calibri"/>
        <scheme val="none"/>
      </font>
      <numFmt numFmtId="25" formatCode="hh:mm"/>
      <alignment horizontal="center"/>
    </dxf>
    <dxf>
      <font>
        <strike val="0"/>
        <u val="none"/>
        <name val="Calibri"/>
        <scheme val="none"/>
      </font>
      <numFmt numFmtId="25" formatCode="hh:mm"/>
      <alignment horizontal="center"/>
    </dxf>
    <dxf>
      <font>
        <strike val="0"/>
        <u val="none"/>
        <name val="Calibri"/>
        <scheme val="none"/>
      </font>
      <numFmt numFmtId="25" formatCode="hh:mm"/>
      <alignment horizontal="center"/>
    </dxf>
    <dxf>
      <alignment horizontal="center" vertical="center"/>
    </dxf>
    <dxf>
      <fill>
        <patternFill patternType="none"/>
      </fill>
      <alignment horizontal="center"/>
    </dxf>
    <dxf>
      <numFmt numFmtId="0" formatCode="General"/>
      <fill>
        <patternFill patternType="none"/>
      </fill>
    </dxf>
    <dxf>
      <numFmt numFmtId="0" formatCode="General"/>
      <fill>
        <patternFill patternType="none"/>
      </fill>
    </dxf>
    <dxf>
      <fill>
        <patternFill patternType="solid">
          <fgColor theme="9" tint="0.59999389629810485"/>
          <bgColor theme="9" tint="0.59999389629810485"/>
        </patternFill>
      </fill>
      <alignment horizontal="center" vertical="center"/>
      <border>
        <left/>
        <right style="thin">
          <color theme="0"/>
        </right>
        <top style="thin">
          <color theme="0"/>
        </top>
        <bottom style="thin">
          <color theme="0"/>
        </bottom>
      </border>
    </dxf>
    <dxf>
      <numFmt numFmtId="22" formatCode="mmm/yy"/>
      <alignment horizontal="center" vertical="center" textRotation="0" wrapText="0" indent="0" justifyLastLine="0" shrinkToFit="0" readingOrder="0"/>
    </dxf>
    <dxf>
      <fill>
        <patternFill patternType="solid">
          <fgColor theme="9" tint="0.59999389629810485"/>
          <bgColor theme="9" tint="0.59999389629810485"/>
        </patternFill>
      </fill>
      <alignment horizontal="center" vertical="center"/>
      <border>
        <left/>
        <right style="thin">
          <color theme="0"/>
        </right>
        <top style="thin">
          <color theme="0"/>
        </top>
        <bottom style="thin">
          <color theme="0"/>
        </bottom>
      </border>
    </dxf>
    <dxf>
      <fill>
        <patternFill patternType="solid">
          <fgColor theme="9" tint="0.59999389629810485"/>
          <bgColor theme="9" tint="0.59999389629810485"/>
        </patternFill>
      </fill>
      <alignment horizontal="center" vertical="center"/>
      <border>
        <left/>
        <right style="thin">
          <color theme="0"/>
        </right>
        <top style="thin">
          <color theme="0"/>
        </top>
        <bottom style="thin">
          <color theme="0"/>
        </bottom>
      </border>
    </dxf>
    <dxf>
      <numFmt numFmtId="1" formatCode="0"/>
      <fill>
        <patternFill patternType="solid">
          <fgColor theme="9" tint="0.59999389629810485"/>
          <bgColor theme="9" tint="0.59999389629810485"/>
        </patternFill>
      </fill>
      <alignment horizontal="center" vertical="center"/>
      <border>
        <left/>
        <right style="thin">
          <color theme="0"/>
        </right>
        <top style="thin">
          <color theme="0"/>
        </top>
        <bottom style="thin">
          <color theme="0"/>
        </bottom>
      </border>
    </dxf>
    <dxf>
      <fill>
        <patternFill patternType="solid">
          <fgColor theme="9" tint="0.59999389629810485"/>
          <bgColor theme="9" tint="0.59999389629810485"/>
        </patternFill>
      </fill>
      <alignment horizontal="center" vertical="center"/>
      <border>
        <left/>
        <right/>
        <top style="thin">
          <color theme="0"/>
        </top>
        <bottom style="thin">
          <color theme="0"/>
        </bottom>
      </border>
    </dxf>
    <dxf>
      <alignment horizontal="center" vertical="center" textRotation="0" wrapText="1" indent="0" justifyLastLine="0" shrinkToFit="0" readingOrder="0"/>
    </dxf>
    <dxf>
      <font>
        <b val="0"/>
        <i val="0"/>
        <strike val="0"/>
        <u val="none"/>
        <sz val="11"/>
        <color auto="1"/>
        <name val="Calibri"/>
        <scheme val="none"/>
      </font>
      <numFmt numFmtId="35" formatCode="_ * #,##0.00_ ;_ * \-#,##0.00_ ;_ * &quot;-&quot;??_ ;_ @_ "/>
      <fill>
        <patternFill patternType="none"/>
      </fill>
      <alignment horizontal="center"/>
    </dxf>
    <dxf>
      <font>
        <b val="0"/>
        <i val="0"/>
        <strike val="0"/>
        <u val="none"/>
        <sz val="11"/>
        <color auto="1"/>
        <name val="Calibri"/>
        <scheme val="none"/>
      </font>
      <numFmt numFmtId="0" formatCode="General"/>
      <fill>
        <patternFill patternType="none"/>
      </fill>
      <alignment horizontal="center"/>
    </dxf>
    <dxf>
      <font>
        <b val="0"/>
        <i val="0"/>
        <strike val="0"/>
        <u val="none"/>
        <sz val="11"/>
        <color auto="1"/>
        <name val="Calibri"/>
        <scheme val="none"/>
      </font>
      <fill>
        <patternFill patternType="none"/>
      </fill>
      <alignment horizontal="center"/>
    </dxf>
    <dxf>
      <font>
        <b val="0"/>
        <i val="0"/>
        <strike val="0"/>
        <u val="none"/>
        <sz val="11"/>
        <color auto="1"/>
        <name val="Calibri"/>
        <scheme val="none"/>
      </font>
      <numFmt numFmtId="2" formatCode="0.00"/>
      <fill>
        <patternFill patternType="none"/>
      </fill>
      <alignment horizontal="center"/>
    </dxf>
    <dxf>
      <font>
        <b val="0"/>
        <i val="0"/>
        <strike val="0"/>
        <u val="none"/>
        <sz val="11"/>
        <color auto="1"/>
        <name val="Calibri"/>
        <scheme val="none"/>
      </font>
      <numFmt numFmtId="14" formatCode="0.00%"/>
      <fill>
        <patternFill patternType="none"/>
      </fill>
      <alignment horizontal="center"/>
    </dxf>
    <dxf>
      <font>
        <b val="0"/>
        <i val="0"/>
        <strike val="0"/>
        <u val="none"/>
        <sz val="11"/>
        <color auto="1"/>
        <name val="Calibri"/>
        <scheme val="none"/>
      </font>
      <fill>
        <patternFill patternType="none"/>
      </fill>
      <alignment horizontal="center"/>
    </dxf>
    <dxf>
      <font>
        <b val="0"/>
        <i val="0"/>
        <strike val="0"/>
        <u val="none"/>
        <sz val="11"/>
        <color auto="1"/>
        <name val="Calibri"/>
        <scheme val="none"/>
      </font>
      <numFmt numFmtId="165" formatCode="0.0"/>
      <fill>
        <patternFill patternType="none"/>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4" formatCode="0.00%"/>
      <fill>
        <patternFill patternType="none"/>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none"/>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none"/>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none"/>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none"/>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none"/>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none"/>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none"/>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none"/>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none"/>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none"/>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none"/>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none"/>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none"/>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none"/>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none"/>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none"/>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none"/>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none"/>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2" formatCode="0.00"/>
      <fill>
        <patternFill patternType="none"/>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4" formatCode="0.00%"/>
      <fill>
        <patternFill patternType="solid">
          <bgColor theme="7"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4" formatCode="0.00%"/>
      <fill>
        <patternFill patternType="solid">
          <bgColor theme="7"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4" formatCode="0.00%"/>
      <fill>
        <patternFill patternType="solid">
          <bgColor theme="7"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4" formatCode="0.00%"/>
      <fill>
        <patternFill patternType="solid">
          <bgColor theme="7"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4" formatCode="0.00%"/>
      <fill>
        <patternFill patternType="solid">
          <bgColor theme="7"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4" formatCode="0.00%"/>
      <fill>
        <patternFill patternType="solid">
          <bgColor theme="7"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4" formatCode="0.00%"/>
      <fill>
        <patternFill patternType="solid">
          <bgColor theme="7"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4" formatCode="0.00%"/>
      <fill>
        <patternFill patternType="solid">
          <bgColor theme="7"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4" formatCode="0.00%"/>
      <fill>
        <patternFill patternType="solid">
          <bgColor theme="7"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4" formatCode="0.00%"/>
      <fill>
        <patternFill patternType="solid">
          <bgColor theme="7"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4" formatCode="0.00%"/>
      <fill>
        <patternFill patternType="solid">
          <bgColor theme="7"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4" formatCode="0.00%"/>
      <fill>
        <patternFill patternType="solid">
          <bgColor theme="7"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4" formatCode="0.00%"/>
      <fill>
        <patternFill patternType="solid">
          <bgColor theme="7"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4" formatCode="0.00%"/>
      <fill>
        <patternFill patternType="solid">
          <bgColor theme="7"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4" formatCode="0.00%"/>
      <fill>
        <patternFill patternType="solid">
          <bgColor theme="7"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7"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4" formatCode="0.00%"/>
      <fill>
        <patternFill patternType="solid">
          <bgColor theme="7"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65" formatCode="0.0"/>
      <fill>
        <patternFill patternType="solid">
          <bgColor theme="8" tint="0.79995117038483843"/>
        </patternFill>
      </fill>
      <alignment horizontal="center"/>
      <border>
        <left/>
        <right/>
        <top style="thin">
          <color theme="2" tint="-9.9917600024414813E-2"/>
        </top>
        <bottom style="thin">
          <color theme="2" tint="-9.9917600024414813E-2"/>
        </bottom>
      </border>
    </dxf>
    <dxf>
      <font>
        <b val="0"/>
        <i val="0"/>
        <strike val="0"/>
        <u val="none"/>
        <sz val="11"/>
        <color auto="1"/>
        <name val="Calibri"/>
        <scheme val="none"/>
      </font>
      <numFmt numFmtId="165" formatCode="0.0"/>
      <fill>
        <patternFill patternType="solid">
          <bgColor theme="0"/>
        </patternFill>
      </fill>
      <alignment horizontal="center"/>
      <border>
        <left/>
        <right/>
        <top style="thin">
          <color theme="2" tint="-9.9917600024414813E-2"/>
        </top>
        <bottom style="thin">
          <color theme="2" tint="-9.9917600024414813E-2"/>
        </bottom>
      </border>
    </dxf>
    <dxf>
      <font>
        <b val="0"/>
        <i val="0"/>
        <strike val="0"/>
        <condense val="0"/>
        <extend val="0"/>
        <outline val="0"/>
        <shadow val="0"/>
        <u val="none"/>
        <vertAlign val="baseline"/>
        <sz val="11"/>
        <color auto="1"/>
        <name val="Calibri"/>
        <family val="2"/>
        <scheme val="none"/>
      </font>
      <numFmt numFmtId="168" formatCode="_ * #,##0.0_ ;_ * \-#,##0.0_ ;_ * &quot;-&quot;??_ ;_ @_ "/>
      <fill>
        <patternFill patternType="solid">
          <fgColor indexed="64"/>
          <bgColor theme="0"/>
        </patternFill>
      </fill>
      <alignment horizontal="center" vertical="bottom" textRotation="0" wrapText="0" indent="0" justifyLastLine="0" shrinkToFit="0" readingOrder="0"/>
    </dxf>
    <dxf>
      <font>
        <b val="0"/>
        <i val="0"/>
        <strike val="0"/>
        <u val="none"/>
        <sz val="11"/>
        <color auto="1"/>
        <name val="Calibri"/>
        <scheme val="none"/>
      </font>
      <numFmt numFmtId="168" formatCode="_ * #,##0.0_ ;_ * \-#,##0.0_ ;_ * &quot;-&quot;??_ ;_ @_ "/>
      <fill>
        <patternFill patternType="solid">
          <bgColor theme="0"/>
        </patternFill>
      </fill>
      <alignment horizontal="center"/>
      <border>
        <left/>
        <right/>
        <top/>
        <bottom style="thin">
          <color theme="2" tint="-9.9917600024414813E-2"/>
        </bottom>
      </border>
    </dxf>
    <dxf>
      <font>
        <b val="0"/>
        <i val="0"/>
        <strike val="0"/>
        <u val="none"/>
        <sz val="11"/>
        <color auto="1"/>
        <name val="Calibri"/>
        <scheme val="none"/>
      </font>
      <numFmt numFmtId="168" formatCode="_ * #,##0.0_ ;_ * \-#,##0.0_ ;_ * &quot;-&quot;??_ ;_ @_ "/>
      <fill>
        <patternFill patternType="solid">
          <bgColor theme="0"/>
        </patternFill>
      </fill>
      <alignment horizontal="center"/>
      <border>
        <left/>
        <right style="thin">
          <color theme="2" tint="-9.9917600024414813E-2"/>
        </right>
        <top/>
        <bottom style="thin">
          <color theme="2" tint="-9.9917600024414813E-2"/>
        </bottom>
      </border>
    </dxf>
    <dxf>
      <font>
        <b val="0"/>
        <i val="0"/>
        <strike val="0"/>
        <u val="none"/>
        <sz val="11"/>
        <color auto="1"/>
        <name val="Calibri"/>
        <scheme val="none"/>
      </font>
      <numFmt numFmtId="168" formatCode="_ * #,##0.0_ ;_ * \-#,##0.0_ ;_ * &quot;-&quot;??_ ;_ @_ "/>
      <fill>
        <patternFill patternType="solid">
          <bgColor theme="0"/>
        </patternFill>
      </fill>
      <alignment horizontal="center"/>
      <border>
        <left/>
        <right style="thin">
          <color theme="2" tint="-9.9917600024414813E-2"/>
        </right>
        <top/>
        <bottom style="thin">
          <color theme="2" tint="-9.9917600024414813E-2"/>
        </bottom>
      </border>
    </dxf>
    <dxf>
      <font>
        <b val="0"/>
        <i val="0"/>
        <strike val="0"/>
        <u val="none"/>
        <sz val="11"/>
        <color auto="1"/>
        <name val="Calibri"/>
        <scheme val="none"/>
      </font>
      <numFmt numFmtId="168" formatCode="_ * #,##0.0_ ;_ * \-#,##0.0_ ;_ * &quot;-&quot;??_ ;_ @_ "/>
      <fill>
        <patternFill patternType="solid">
          <bgColor theme="0"/>
        </patternFill>
      </fill>
      <alignment horizontal="center"/>
      <border>
        <left style="thin">
          <color theme="2" tint="-9.9917600024414813E-2"/>
        </left>
        <right style="thin">
          <color theme="2" tint="-9.9917600024414813E-2"/>
        </right>
        <top/>
        <bottom style="thin">
          <color theme="2" tint="-9.9917600024414813E-2"/>
        </bottom>
      </border>
    </dxf>
    <dxf>
      <font>
        <b val="0"/>
        <i val="0"/>
        <strike val="0"/>
        <u val="none"/>
        <sz val="11"/>
        <color auto="1"/>
        <name val="Calibri"/>
        <scheme val="none"/>
      </font>
      <numFmt numFmtId="167" formatCode="_ * #,##0_ ;_ * \-#,##0_ ;_ * &quot;-&quot;??_ ;_ @_ "/>
      <fill>
        <patternFill patternType="solid">
          <bgColor theme="0"/>
        </patternFill>
      </fill>
      <alignment horizontal="center"/>
      <border>
        <left/>
        <right style="thin">
          <color theme="2" tint="-9.9917600024414813E-2"/>
        </right>
        <top style="thin">
          <color theme="2" tint="-9.9917600024414813E-2"/>
        </top>
        <bottom style="thin">
          <color theme="2" tint="-9.9917600024414813E-2"/>
        </bottom>
      </border>
    </dxf>
    <dxf>
      <font>
        <b val="0"/>
        <i val="0"/>
        <strike val="0"/>
        <condense val="0"/>
        <extend val="0"/>
        <outline val="0"/>
        <shadow val="0"/>
        <u val="none"/>
        <vertAlign val="baseline"/>
        <sz val="11"/>
        <color auto="1"/>
        <name val="Calibri"/>
        <scheme val="none"/>
      </font>
      <numFmt numFmtId="167" formatCode="_ * #,##0_ ;_ * \-#,##0_ ;_ * &quot;-&quot;??_ ;_ @_ "/>
      <fill>
        <patternFill patternType="solid">
          <fgColor indexed="64"/>
          <bgColor theme="0"/>
        </patternFill>
      </fill>
      <alignment horizontal="center" vertical="bottom" textRotation="0" wrapText="0" indent="0" justifyLastLine="0" shrinkToFit="0" readingOrder="0"/>
      <border diagonalUp="0" diagonalDown="0">
        <left/>
        <right style="thin">
          <color theme="2" tint="-9.9917600024414813E-2"/>
        </right>
        <top style="thin">
          <color theme="2" tint="-9.9917600024414813E-2"/>
        </top>
        <bottom style="thin">
          <color theme="2" tint="-9.9917600024414813E-2"/>
        </bottom>
        <vertical/>
        <horizontal/>
      </border>
    </dxf>
    <dxf>
      <font>
        <b val="0"/>
        <i val="0"/>
        <strike val="0"/>
        <u val="none"/>
        <sz val="11"/>
        <color auto="1"/>
        <name val="Calibri"/>
        <scheme val="none"/>
      </font>
      <numFmt numFmtId="167" formatCode="_ * #,##0_ ;_ * \-#,##0_ ;_ * &quot;-&quot;??_ ;_ @_ "/>
      <fill>
        <patternFill patternType="solid">
          <bgColor theme="0"/>
        </patternFill>
      </fill>
      <alignment horizontal="center"/>
      <border>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67" formatCode="_ * #,##0_ ;_ * \-#,##0_ ;_ * &quot;-&quot;??_ ;_ @_ "/>
      <fill>
        <patternFill patternType="solid">
          <bgColor theme="0"/>
        </patternFill>
      </fill>
      <alignment horizontal="center"/>
      <border>
        <left/>
        <right style="thin">
          <color theme="2" tint="-9.9917600024414813E-2"/>
        </right>
        <top/>
        <bottom style="thin">
          <color theme="2" tint="-9.9917600024414813E-2"/>
        </bottom>
      </border>
    </dxf>
    <dxf>
      <font>
        <b val="0"/>
        <i val="0"/>
        <strike val="0"/>
        <u val="none"/>
        <sz val="11"/>
        <color auto="1"/>
        <name val="Calibri"/>
        <scheme val="none"/>
      </font>
      <numFmt numFmtId="167" formatCode="_ * #,##0_ ;_ * \-#,##0_ ;_ * &quot;-&quot;??_ ;_ @_ "/>
      <fill>
        <patternFill patternType="solid">
          <bgColor theme="0"/>
        </patternFill>
      </fill>
      <alignment horizontal="center"/>
      <border>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67" formatCode="_ * #,##0_ ;_ * \-#,##0_ ;_ * &quot;-&quot;??_ ;_ @_ "/>
      <fill>
        <patternFill patternType="solid">
          <bgColor theme="0"/>
        </patternFill>
      </fill>
      <alignment horizontal="center"/>
      <border>
        <left style="thin">
          <color theme="2" tint="-9.9917600024414813E-2"/>
        </left>
        <right style="thin">
          <color theme="2" tint="-9.9917600024414813E-2"/>
        </right>
        <top/>
        <bottom style="thin">
          <color theme="2" tint="-9.9917600024414813E-2"/>
        </bottom>
      </border>
    </dxf>
    <dxf>
      <font>
        <b val="0"/>
        <i val="0"/>
        <strike val="0"/>
        <u val="none"/>
        <sz val="11"/>
        <color auto="1"/>
        <name val="Calibri"/>
        <scheme val="none"/>
      </font>
      <numFmt numFmtId="1" formatCode="0"/>
      <fill>
        <patternFill patternType="solid">
          <bgColor theme="8"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8"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8"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8"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8"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8"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8"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8"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8"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8"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8"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8"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8"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8"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8"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8"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8"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8"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8"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8"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8"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8"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8"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9"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9"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9"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9"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9"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9"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9"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9"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9"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9"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9"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9"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9"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9"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9"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9"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9"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9"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9"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9"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9"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9"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1"/>
        <color auto="1"/>
        <name val="Calibri"/>
        <scheme val="none"/>
      </font>
      <numFmt numFmtId="1" formatCode="0"/>
      <fill>
        <patternFill patternType="solid">
          <bgColor theme="9" tint="0.79995117038483843"/>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0"/>
        <color auto="1"/>
        <name val="Palatino Linotype"/>
        <scheme val="none"/>
      </font>
      <numFmt numFmtId="173" formatCode="[$-F400]h:mm:ss\ AM/PM"/>
      <fill>
        <patternFill patternType="solid">
          <bgColor theme="7" tint="0.79995117038483843"/>
        </patternFill>
      </fill>
      <alignment horizontal="center" vertic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0"/>
        <color auto="1"/>
        <name val="Palatino Linotype"/>
        <scheme val="none"/>
      </font>
      <numFmt numFmtId="173" formatCode="[$-F400]h:mm:ss\ AM/PM"/>
      <fill>
        <patternFill patternType="solid">
          <bgColor theme="7" tint="0.79995117038483843"/>
        </patternFill>
      </fill>
      <alignment horizontal="center" vertical="center"/>
      <border>
        <left style="thin">
          <color theme="2" tint="-9.9917600024414813E-2"/>
        </left>
        <right style="thin">
          <color theme="2" tint="-9.9917600024414813E-2"/>
        </right>
        <top style="thin">
          <color theme="2" tint="-9.9917600024414813E-2"/>
        </top>
        <bottom style="thin">
          <color theme="2" tint="-9.9917600024414813E-2"/>
        </bottom>
      </border>
    </dxf>
    <dxf>
      <font>
        <b val="0"/>
        <i val="0"/>
        <strike val="0"/>
        <u val="none"/>
        <sz val="10"/>
        <color auto="1"/>
        <name val="Palatino Linotype"/>
        <scheme val="none"/>
      </font>
      <numFmt numFmtId="172" formatCode="[$-409]d\-mmm\-yy;@"/>
      <fill>
        <patternFill patternType="solid">
          <bgColor theme="7" tint="0.79995117038483843"/>
        </patternFill>
      </fill>
      <alignment horizontal="center" vertical="center"/>
      <border>
        <left style="thin">
          <color theme="2" tint="-9.9917600024414813E-2"/>
        </left>
        <right style="thin">
          <color theme="2" tint="-9.9917600024414813E-2"/>
        </right>
        <top style="thin">
          <color theme="2" tint="-9.9917600024414813E-2"/>
        </top>
        <bottom style="thin">
          <color theme="2" tint="-9.9917600024414813E-2"/>
        </bottom>
      </border>
    </dxf>
    <dxf>
      <font>
        <strike val="0"/>
        <u val="none"/>
        <color auto="1"/>
      </font>
      <fill>
        <patternFill patternType="solid">
          <bgColor theme="0"/>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strike val="0"/>
        <u val="none"/>
        <color auto="1"/>
      </font>
      <numFmt numFmtId="171" formatCode="[$-409]mmm/yy;@"/>
      <fill>
        <patternFill patternType="solid">
          <bgColor theme="0"/>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strike val="0"/>
        <u val="none"/>
        <color auto="1"/>
      </font>
      <fill>
        <patternFill patternType="solid">
          <bgColor theme="0"/>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font>
        <strike val="0"/>
        <u val="none"/>
        <color auto="1"/>
      </font>
      <fill>
        <patternFill patternType="solid">
          <bgColor theme="0"/>
        </patternFill>
      </fill>
      <alignment horizontal="center"/>
      <border>
        <left style="thin">
          <color theme="2" tint="-9.9917600024414813E-2"/>
        </left>
        <right style="thin">
          <color theme="2" tint="-9.9917600024414813E-2"/>
        </right>
        <top style="thin">
          <color theme="2" tint="-9.9917600024414813E-2"/>
        </top>
        <bottom style="thin">
          <color theme="2" tint="-9.9917600024414813E-2"/>
        </bottom>
      </border>
    </dxf>
    <dxf>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theme="9"/>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theme="9"/>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numFmt numFmtId="14" formatCode="0.00%"/>
      <fill>
        <patternFill patternType="none">
          <fgColor theme="9"/>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numFmt numFmtId="14" formatCode="0.00%"/>
      <fill>
        <patternFill patternType="none">
          <fgColor theme="9"/>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numFmt numFmtId="14" formatCode="0.00%"/>
      <fill>
        <patternFill patternType="none">
          <fgColor theme="9"/>
          <bgColor auto="1"/>
        </patternFill>
      </fill>
      <alignment horizontal="center" vertical="center" textRotation="0" wrapText="0" indent="0" justifyLastLine="0" shrinkToFit="0" readingOrder="0"/>
      <border diagonalUp="0" diagonalDown="0" outline="0">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3" formatCode="0%"/>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scheme val="minor"/>
      </font>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0" formatCode="General"/>
      <fill>
        <patternFill patternType="none">
          <fgColor theme="9"/>
          <bgColor auto="1"/>
        </patternFill>
      </fill>
      <alignment horizontal="center" vertical="center" textRotation="0" wrapText="0" indent="0" justifyLastLine="0" shrinkToFit="0" readingOrder="0"/>
      <border diagonalUp="0" diagonalDown="0" outline="0">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4" formatCode="0.00%"/>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4" formatCode="0.00%"/>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numFmt numFmtId="14" formatCode="0.00%"/>
      <fill>
        <patternFill patternType="none">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numFmt numFmtId="14" formatCode="0.00%"/>
      <fill>
        <patternFill patternType="none">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 formatCode="0"/>
      <fill>
        <patternFill patternType="none">
          <fgColor theme="9"/>
          <bgColor auto="1"/>
        </patternFill>
      </fill>
      <alignment horizontal="center" vertical="center" textRotation="0" wrapText="0" indent="0" justifyLastLine="0" shrinkToFit="0" readingOrder="0"/>
      <border diagonalUp="0" diagonalDown="0">
        <left/>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65" formatCode="0.0"/>
      <fill>
        <patternFill patternType="none">
          <fgColor theme="9"/>
          <bgColor auto="1"/>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0" formatCode="General"/>
      <fill>
        <patternFill patternType="none">
          <fgColor theme="9"/>
          <bgColor auto="1"/>
        </patternFill>
      </fill>
      <alignment horizontal="center" vertical="center" textRotation="0" wrapText="0" indent="0" justifyLastLine="0" shrinkToFit="0" readingOrder="0"/>
      <border diagonalUp="0" diagonalDown="0" outline="0">
        <left/>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 formatCode="0"/>
      <fill>
        <patternFill patternType="none">
          <fgColor theme="9"/>
          <bgColor auto="1"/>
        </patternFill>
      </fill>
      <alignment horizontal="center" vertical="center" textRotation="0" wrapText="0" indent="0" justifyLastLine="0" shrinkToFit="0" readingOrder="0"/>
      <border diagonalUp="0" diagonalDown="0" outline="0">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70" formatCode="0.000"/>
      <fill>
        <patternFill patternType="none">
          <fgColor theme="9"/>
          <bgColor auto="1"/>
        </patternFill>
      </fill>
      <alignment horizontal="center" vertical="center" textRotation="0" wrapText="0" indent="0" justifyLastLine="0" shrinkToFit="0" readingOrder="0"/>
      <border diagonalUp="0" diagonalDown="0">
        <left style="dotted">
          <color auto="1"/>
        </left>
        <right/>
        <top style="dotted">
          <color auto="1"/>
        </top>
        <bottom/>
      </border>
    </dxf>
    <dxf>
      <font>
        <b/>
        <i val="0"/>
        <strike val="0"/>
        <condense val="0"/>
        <extend val="0"/>
        <outline val="0"/>
        <shadow val="0"/>
        <u val="none"/>
        <vertAlign val="baseline"/>
        <sz val="11"/>
        <color theme="0"/>
        <name val="Calibri"/>
        <scheme val="minor"/>
      </font>
      <numFmt numFmtId="0" formatCode="General"/>
      <fill>
        <patternFill patternType="none">
          <fgColor theme="9"/>
          <bgColor auto="1"/>
        </patternFill>
      </fill>
      <alignment horizontal="center" vertical="center" textRotation="0" wrapText="0" indent="0" justifyLastLine="0" shrinkToFit="0" readingOrder="0"/>
      <border diagonalUp="0" diagonalDown="0">
        <left style="dotted">
          <color auto="1"/>
        </left>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0" formatCode="General"/>
      <fill>
        <patternFill patternType="none">
          <fgColor theme="9"/>
          <bgColor auto="1"/>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4" formatCode="0.00%"/>
      <fill>
        <patternFill patternType="none">
          <fgColor theme="9"/>
          <bgColor auto="1"/>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66" formatCode="0.0%"/>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none"/>
      </font>
      <numFmt numFmtId="14" formatCode="0.00%"/>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none">
          <fgColor theme="9"/>
          <bgColor auto="1"/>
        </patternFill>
      </fill>
      <alignment horizontal="center" vertical="center" textRotation="0" wrapText="0" indent="0" justifyLastLine="0" shrinkToFit="0" readingOrder="0"/>
      <border diagonalUp="0" diagonalDown="0" outline="0">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66" formatCode="0.0%"/>
      <fill>
        <patternFill patternType="none">
          <fgColor theme="9"/>
          <bgColor auto="1"/>
        </patternFill>
      </fill>
      <alignment horizontal="center" vertical="center" textRotation="0" wrapText="0" indent="0" justifyLastLine="0" shrinkToFit="0" readingOrder="0"/>
      <border diagonalUp="0" diagonalDown="0" outline="0">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4" formatCode="0.00%"/>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none"/>
      </font>
      <numFmt numFmtId="166" formatCode="0.0%"/>
      <fill>
        <patternFill patternType="none">
          <fgColor theme="9"/>
          <bgColor auto="1"/>
        </patternFill>
      </fill>
      <alignment horizontal="center" vertical="center" textRotation="0" wrapText="0" indent="0" justifyLastLine="0" shrinkToFit="0" readingOrder="0"/>
      <border diagonalUp="0" diagonalDown="0" outline="0">
        <left/>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66" formatCode="0.0%"/>
      <fill>
        <patternFill patternType="none">
          <fgColor theme="9"/>
          <bgColor auto="1"/>
        </patternFill>
      </fill>
      <alignment horizontal="center" vertical="center" textRotation="0" wrapText="0" indent="0" justifyLastLine="0" shrinkToFit="0" readingOrder="0"/>
      <border diagonalUp="0" diagonalDown="0" outline="0">
        <left/>
        <right/>
        <top style="dotted">
          <color auto="1"/>
        </top>
        <bottom/>
      </border>
    </dxf>
    <dxf>
      <font>
        <b/>
        <i val="0"/>
        <strike val="0"/>
        <condense val="0"/>
        <extend val="0"/>
        <outline val="0"/>
        <shadow val="0"/>
        <u val="none"/>
        <vertAlign val="baseline"/>
        <sz val="11"/>
        <color theme="0"/>
        <name val="Calibri"/>
        <scheme val="minor"/>
      </font>
      <numFmt numFmtId="14" formatCode="0.00%"/>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66" formatCode="0.0%"/>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scheme val="minor"/>
      </font>
      <numFmt numFmtId="165" formatCode="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65" formatCode="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65" formatCode="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2" formatCode="0.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65" formatCode="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65" formatCode="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65" formatCode="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65" formatCode="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numFmt numFmtId="2" formatCode="0.00"/>
      <fill>
        <patternFill patternType="none">
          <fgColor indexed="64"/>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9"/>
        <color theme="0"/>
        <name val="Calibri"/>
        <scheme val="minor"/>
      </font>
      <numFmt numFmtId="0" formatCode="General"/>
      <fill>
        <patternFill patternType="solid">
          <fgColor indexed="64"/>
          <bgColor theme="9"/>
        </patternFill>
      </fill>
      <alignment horizontal="center" vertical="center" textRotation="0" wrapText="0" indent="0" justifyLastLine="0" shrinkToFit="0" readingOrder="0"/>
      <border diagonalUp="0" diagonalDown="0" outline="0">
        <left style="dotted">
          <color auto="1"/>
        </left>
        <right/>
        <top style="dotted">
          <color auto="1"/>
        </top>
        <bottom/>
      </border>
      <protection locked="1" hidden="0"/>
    </dxf>
    <dxf>
      <font>
        <b/>
        <i val="0"/>
        <strike val="0"/>
        <condense val="0"/>
        <extend val="0"/>
        <outline val="0"/>
        <shadow val="0"/>
        <u val="none"/>
        <vertAlign val="baseline"/>
        <sz val="9"/>
        <color theme="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9"/>
        <color theme="0"/>
        <name val="Calibri"/>
        <scheme val="minor"/>
      </font>
      <numFmt numFmtId="22" formatCode="mmm/yy"/>
      <fill>
        <patternFill patternType="solid">
          <fgColor indexed="64"/>
          <bgColor theme="9"/>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protection locked="1" hidden="0"/>
    </dxf>
    <dxf>
      <font>
        <b/>
        <i val="0"/>
        <strike val="0"/>
        <condense val="0"/>
        <extend val="0"/>
        <outline val="0"/>
        <shadow val="0"/>
        <u val="none"/>
        <vertAlign val="baseline"/>
        <sz val="9"/>
        <color theme="0"/>
        <name val="Calibri"/>
        <scheme val="minor"/>
      </font>
      <numFmt numFmtId="22" formatCode="mmm/yy"/>
      <fill>
        <patternFill patternType="none">
          <fgColor indexed="64"/>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9"/>
        <color theme="0"/>
        <name val="Calibri"/>
        <scheme val="minor"/>
      </font>
      <numFmt numFmtId="0" formatCode="General"/>
      <fill>
        <patternFill patternType="solid">
          <fgColor indexed="64"/>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protection locked="1" hidden="0"/>
    </dxf>
    <dxf>
      <font>
        <b/>
        <i val="0"/>
        <strike val="0"/>
        <condense val="0"/>
        <extend val="0"/>
        <outline val="0"/>
        <shadow val="0"/>
        <u val="none"/>
        <vertAlign val="baseline"/>
        <sz val="9"/>
        <color theme="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9"/>
        <color theme="0"/>
        <name val="Calibri"/>
        <scheme val="minor"/>
      </font>
      <numFmt numFmtId="0" formatCode="General"/>
      <fill>
        <patternFill patternType="solid">
          <fgColor indexed="64"/>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protection locked="1" hidden="0"/>
    </dxf>
    <dxf>
      <font>
        <b/>
        <i val="0"/>
        <strike val="0"/>
        <condense val="0"/>
        <extend val="0"/>
        <outline val="0"/>
        <shadow val="0"/>
        <u val="none"/>
        <vertAlign val="baseline"/>
        <sz val="9"/>
        <color theme="0"/>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9"/>
        <color theme="0"/>
        <name val="Calibri"/>
        <scheme val="minor"/>
      </font>
      <numFmt numFmtId="169" formatCode="[$-409]d/mmm/yy;@"/>
      <fill>
        <patternFill patternType="solid">
          <fgColor indexed="64"/>
          <bgColor theme="9"/>
        </patternFill>
      </fill>
      <alignment horizontal="center" vertical="bottom" textRotation="0" wrapText="0" indent="0" justifyLastLine="0" shrinkToFit="0" readingOrder="0"/>
      <border diagonalUp="0" diagonalDown="0" outline="0">
        <left/>
        <right style="dotted">
          <color auto="1"/>
        </right>
        <top style="dotted">
          <color auto="1"/>
        </top>
        <bottom/>
      </border>
      <protection locked="1" hidden="0"/>
    </dxf>
    <dxf>
      <font>
        <b/>
        <i val="0"/>
        <strike val="0"/>
        <condense val="0"/>
        <extend val="0"/>
        <outline val="0"/>
        <shadow val="0"/>
        <u val="none"/>
        <vertAlign val="baseline"/>
        <sz val="9"/>
        <color theme="0"/>
        <name val="Calibri"/>
        <scheme val="minor"/>
      </font>
      <numFmt numFmtId="20" formatCode="dd/mmm/yy"/>
      <fill>
        <patternFill patternType="none">
          <fgColor indexed="64"/>
          <bgColor auto="1"/>
        </patternFill>
      </fill>
      <alignment horizontal="center" vertical="center" textRotation="0" wrapText="0" indent="0" justifyLastLine="0" shrinkToFit="0" readingOrder="0"/>
      <border diagonalUp="0" diagonalDown="0" outline="0">
        <left/>
        <right style="dotted">
          <color auto="1"/>
        </right>
        <top style="dotted">
          <color auto="1"/>
        </top>
        <bottom/>
      </border>
    </dxf>
    <dxf>
      <border outline="0">
        <top style="dotted">
          <color auto="1"/>
        </top>
      </border>
    </dxf>
    <dxf>
      <alignment horizontal="center" vertical="center" textRotation="0" wrapText="0" indent="0" justifyLastLine="0" shrinkToFit="0" readingOrder="0"/>
    </dxf>
    <dxf>
      <border outline="0">
        <left style="dotted">
          <color auto="1"/>
        </left>
        <right style="dotted">
          <color auto="1"/>
        </right>
        <top style="dotted">
          <color auto="1"/>
        </top>
        <bottom style="dotted">
          <color auto="1"/>
        </bottom>
      </border>
    </dxf>
    <dxf>
      <font>
        <b/>
        <i val="0"/>
        <strike val="0"/>
        <condense val="0"/>
        <extend val="0"/>
        <outline val="0"/>
        <shadow val="0"/>
        <u val="none"/>
        <vertAlign val="baseline"/>
        <sz val="11"/>
        <color theme="0"/>
        <name val="Calibri"/>
        <scheme val="minor"/>
      </font>
      <fill>
        <patternFill patternType="none">
          <fgColor theme="9"/>
          <bgColor auto="1"/>
        </patternFill>
      </fill>
      <alignment horizontal="center" vertical="center" textRotation="0" wrapText="0" indent="0" justifyLastLine="0" shrinkToFit="0" readingOrder="0"/>
    </dxf>
    <dxf>
      <border outline="0">
        <bottom style="dotted">
          <color auto="1"/>
        </bottom>
      </border>
    </dxf>
    <dxf>
      <font>
        <b/>
        <i val="0"/>
        <strike val="0"/>
        <condense val="0"/>
        <extend val="0"/>
        <outline val="0"/>
        <shadow val="0"/>
        <u val="none"/>
        <vertAlign val="baseline"/>
        <sz val="11"/>
        <color theme="0"/>
        <name val="Calibri"/>
        <scheme val="minor"/>
      </font>
      <fill>
        <patternFill patternType="none">
          <fgColor theme="9"/>
          <bgColor auto="1"/>
        </patternFill>
      </fill>
      <alignment horizontal="center" vertical="center" textRotation="0" wrapText="1" indent="0" justifyLastLine="0" shrinkToFit="0" readingOrder="0"/>
      <border diagonalUp="0" diagonalDown="0" outline="0">
        <left style="dotted">
          <color auto="1"/>
        </left>
        <right style="dotted">
          <color auto="1"/>
        </right>
        <top/>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font>
        <sz val="12"/>
      </font>
    </dxf>
    <dxf>
      <font>
        <sz val="1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'Basic Data'!$AE$4</c:f>
              <c:strCache>
                <c:ptCount val="1"/>
                <c:pt idx="0">
                  <c:v>Energy (MWh)</c:v>
                </c:pt>
              </c:strCache>
            </c:strRef>
          </c:tx>
          <c:spPr>
            <a:solidFill>
              <a:schemeClr val="accent1"/>
            </a:solidFill>
            <a:ln>
              <a:noFill/>
            </a:ln>
            <a:effectLst/>
          </c:spPr>
          <c:invertIfNegative val="0"/>
          <c:cat>
            <c:numRef>
              <c:f>'Basic Data'!$AF$3:$AL$3</c:f>
              <c:numCache>
                <c:formatCode>d\-mmm\-yy</c:formatCode>
                <c:ptCount val="7"/>
                <c:pt idx="0">
                  <c:v>45857</c:v>
                </c:pt>
                <c:pt idx="1">
                  <c:v>45856</c:v>
                </c:pt>
                <c:pt idx="2">
                  <c:v>45855</c:v>
                </c:pt>
                <c:pt idx="3">
                  <c:v>45854</c:v>
                </c:pt>
                <c:pt idx="4">
                  <c:v>45853</c:v>
                </c:pt>
                <c:pt idx="5">
                  <c:v>45852</c:v>
                </c:pt>
                <c:pt idx="6">
                  <c:v>45851</c:v>
                </c:pt>
              </c:numCache>
            </c:numRef>
          </c:cat>
          <c:val>
            <c:numRef>
              <c:f>'Basic Data'!$AF$4:$AL$4</c:f>
              <c:numCache>
                <c:formatCode>_ * #,##0.0_ ;_ * \-#,##0.0_ ;_ * "-"??_ ;_ @_ </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7BD8-4A4D-AF14-D5A81BB0DAD9}"/>
            </c:ext>
          </c:extLst>
        </c:ser>
        <c:dLbls>
          <c:showLegendKey val="0"/>
          <c:showVal val="0"/>
          <c:showCatName val="0"/>
          <c:showSerName val="0"/>
          <c:showPercent val="0"/>
          <c:showBubbleSize val="0"/>
        </c:dLbls>
        <c:gapWidth val="150"/>
        <c:axId val="209675008"/>
        <c:axId val="209676928"/>
      </c:barChart>
      <c:lineChart>
        <c:grouping val="standard"/>
        <c:varyColors val="0"/>
        <c:ser>
          <c:idx val="1"/>
          <c:order val="1"/>
          <c:tx>
            <c:strRef>
              <c:f>'Basic Data'!$AE$5</c:f>
              <c:strCache>
                <c:ptCount val="1"/>
                <c:pt idx="0">
                  <c:v>Wind (m/s)</c:v>
                </c:pt>
              </c:strCache>
            </c:strRef>
          </c:tx>
          <c:spPr>
            <a:ln w="28575" cap="rnd">
              <a:solidFill>
                <a:schemeClr val="accent2"/>
              </a:solidFill>
              <a:round/>
            </a:ln>
            <a:effectLst/>
          </c:spPr>
          <c:marker>
            <c:symbol val="circle"/>
            <c:size val="8"/>
            <c:spPr>
              <a:solidFill>
                <a:schemeClr val="accent2"/>
              </a:solidFill>
              <a:ln w="9525">
                <a:solidFill>
                  <a:schemeClr val="accent2"/>
                </a:solidFill>
              </a:ln>
              <a:effectLst/>
            </c:spPr>
          </c:marker>
          <c:cat>
            <c:numRef>
              <c:f>'Basic Data'!$AF$3:$AL$3</c:f>
              <c:numCache>
                <c:formatCode>d\-mmm\-yy</c:formatCode>
                <c:ptCount val="7"/>
                <c:pt idx="0">
                  <c:v>45857</c:v>
                </c:pt>
                <c:pt idx="1">
                  <c:v>45856</c:v>
                </c:pt>
                <c:pt idx="2">
                  <c:v>45855</c:v>
                </c:pt>
                <c:pt idx="3">
                  <c:v>45854</c:v>
                </c:pt>
                <c:pt idx="4">
                  <c:v>45853</c:v>
                </c:pt>
                <c:pt idx="5">
                  <c:v>45852</c:v>
                </c:pt>
                <c:pt idx="6">
                  <c:v>45851</c:v>
                </c:pt>
              </c:numCache>
            </c:numRef>
          </c:cat>
          <c:val>
            <c:numRef>
              <c:f>'Basic Data'!$AF$5:$AL$5</c:f>
              <c:numCache>
                <c:formatCode>_ * #,##0.0_ ;_ * \-#,##0.0_ ;_ * "-"??_ ;_ @_ </c:formatCode>
                <c:ptCount val="7"/>
                <c:pt idx="0">
                  <c:v>0</c:v>
                </c:pt>
                <c:pt idx="1">
                  <c:v>0</c:v>
                </c:pt>
                <c:pt idx="2">
                  <c:v>0</c:v>
                </c:pt>
                <c:pt idx="3">
                  <c:v>0</c:v>
                </c:pt>
                <c:pt idx="4">
                  <c:v>0</c:v>
                </c:pt>
                <c:pt idx="5">
                  <c:v>0</c:v>
                </c:pt>
                <c:pt idx="6">
                  <c:v>0</c:v>
                </c:pt>
              </c:numCache>
            </c:numRef>
          </c:val>
          <c:smooth val="1"/>
          <c:extLst>
            <c:ext xmlns:c16="http://schemas.microsoft.com/office/drawing/2014/chart" uri="{C3380CC4-5D6E-409C-BE32-E72D297353CC}">
              <c16:uniqueId val="{00000001-7BD8-4A4D-AF14-D5A81BB0DAD9}"/>
            </c:ext>
          </c:extLst>
        </c:ser>
        <c:dLbls>
          <c:showLegendKey val="0"/>
          <c:showVal val="0"/>
          <c:showCatName val="0"/>
          <c:showSerName val="0"/>
          <c:showPercent val="0"/>
          <c:showBubbleSize val="0"/>
        </c:dLbls>
        <c:marker val="1"/>
        <c:smooth val="0"/>
        <c:axId val="209683200"/>
        <c:axId val="209684736"/>
      </c:lineChart>
      <c:dateAx>
        <c:axId val="209675008"/>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09676928"/>
        <c:crosses val="autoZero"/>
        <c:auto val="1"/>
        <c:lblOffset val="100"/>
        <c:baseTimeUnit val="days"/>
      </c:dateAx>
      <c:valAx>
        <c:axId val="209676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GB"/>
                  <a:t>Energy (MWh)</a:t>
                </a:r>
              </a:p>
            </c:rich>
          </c:tx>
          <c:overlay val="0"/>
          <c:spPr>
            <a:noFill/>
            <a:ln>
              <a:noFill/>
            </a:ln>
            <a:effectLst/>
          </c:spPr>
        </c:title>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09675008"/>
        <c:crosses val="autoZero"/>
        <c:crossBetween val="between"/>
      </c:valAx>
      <c:dateAx>
        <c:axId val="209683200"/>
        <c:scaling>
          <c:orientation val="minMax"/>
        </c:scaling>
        <c:delete val="1"/>
        <c:axPos val="b"/>
        <c:numFmt formatCode="d\-mmm\-yy" sourceLinked="1"/>
        <c:majorTickMark val="out"/>
        <c:minorTickMark val="none"/>
        <c:tickLblPos val="nextTo"/>
        <c:crossAx val="209684736"/>
        <c:crosses val="autoZero"/>
        <c:auto val="1"/>
        <c:lblOffset val="100"/>
        <c:baseTimeUnit val="days"/>
      </c:dateAx>
      <c:valAx>
        <c:axId val="209684736"/>
        <c:scaling>
          <c:orientation val="minMax"/>
        </c:scaling>
        <c:delete val="0"/>
        <c:axPos val="r"/>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GB"/>
                  <a:t>Wind Speed (m/s)</a:t>
                </a:r>
              </a:p>
            </c:rich>
          </c:tx>
          <c:overlay val="0"/>
          <c:spPr>
            <a:noFill/>
            <a:ln>
              <a:noFill/>
            </a:ln>
            <a:effectLst/>
          </c:spPr>
        </c:title>
        <c:numFmt formatCode="_ * #,##0.0_ ;_ * \-#,##0.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09683200"/>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000000000000022" l="0.70000000000000018" r="0.70000000000000018" t="0.75000000000000022" header="0.3000000000000001" footer="0.300000000000000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[DGR_CEPPL_Wind.xlsx]Analytics!PivotTable1</c:name>
    <c:fmtId val="2"/>
  </c:pivotSource>
  <c:chart>
    <c:autoTitleDeleted val="1"/>
    <c:pivotFmts>
      <c:pivotFmt>
        <c:idx val="0"/>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1">
              <a:lumMod val="60000"/>
            </a:schemeClr>
          </a:solidFill>
          <a:ln w="19050">
            <a:solidFill>
              <a:schemeClr val="lt1"/>
            </a:solidFill>
          </a:ln>
          <a:effectLst/>
        </c:spPr>
      </c:pivotFmt>
      <c:pivotFmt>
        <c:idx val="8"/>
        <c:spPr>
          <a:solidFill>
            <a:schemeClr val="accent2">
              <a:lumMod val="60000"/>
            </a:schemeClr>
          </a:solidFill>
          <a:ln w="19050">
            <a:solidFill>
              <a:schemeClr val="lt1"/>
            </a:solidFill>
          </a:ln>
          <a:effectLst/>
        </c:spPr>
      </c:pivotFmt>
      <c:pivotFmt>
        <c:idx val="9"/>
        <c:spPr>
          <a:solidFill>
            <a:schemeClr val="accent3">
              <a:lumMod val="60000"/>
            </a:schemeClr>
          </a:solidFill>
          <a:ln w="19050">
            <a:solidFill>
              <a:schemeClr val="lt1"/>
            </a:solidFill>
          </a:ln>
          <a:effectLst/>
        </c:spPr>
      </c:pivotFmt>
      <c:pivotFmt>
        <c:idx val="10"/>
        <c:spPr>
          <a:solidFill>
            <a:schemeClr val="accent4">
              <a:lumMod val="60000"/>
            </a:schemeClr>
          </a:solidFill>
          <a:ln w="19050">
            <a:solidFill>
              <a:schemeClr val="lt1"/>
            </a:solidFill>
          </a:ln>
          <a:effectLst/>
        </c:spPr>
      </c:pivotFmt>
      <c:pivotFmt>
        <c:idx val="11"/>
        <c:marker>
          <c:symbol val="none"/>
        </c:marker>
        <c:dLbl>
          <c:idx val="0"/>
          <c:delete val="1"/>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3"/>
          </a:solidFill>
          <a:ln w="19050">
            <a:solidFill>
              <a:schemeClr val="lt1"/>
            </a:solidFill>
          </a:ln>
          <a:effectLst/>
        </c:spPr>
      </c:pivotFmt>
      <c:pivotFmt>
        <c:idx val="15"/>
        <c:spPr>
          <a:solidFill>
            <a:schemeClr val="accent4"/>
          </a:solidFill>
          <a:ln w="19050">
            <a:solidFill>
              <a:schemeClr val="lt1"/>
            </a:solidFill>
          </a:ln>
          <a:effectLst/>
        </c:spPr>
      </c:pivotFmt>
      <c:pivotFmt>
        <c:idx val="16"/>
        <c:spPr>
          <a:solidFill>
            <a:schemeClr val="accent5"/>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1">
              <a:lumMod val="60000"/>
            </a:schemeClr>
          </a:solidFill>
          <a:ln w="19050">
            <a:solidFill>
              <a:schemeClr val="lt1"/>
            </a:solidFill>
          </a:ln>
          <a:effectLst/>
        </c:spPr>
      </c:pivotFmt>
      <c:pivotFmt>
        <c:idx val="19"/>
        <c:spPr>
          <a:solidFill>
            <a:schemeClr val="accent2">
              <a:lumMod val="60000"/>
            </a:schemeClr>
          </a:solidFill>
          <a:ln w="19050">
            <a:solidFill>
              <a:schemeClr val="lt1"/>
            </a:solidFill>
          </a:ln>
          <a:effectLst/>
        </c:spPr>
      </c:pivotFmt>
      <c:pivotFmt>
        <c:idx val="20"/>
        <c:spPr>
          <a:solidFill>
            <a:schemeClr val="accent3">
              <a:lumMod val="60000"/>
            </a:schemeClr>
          </a:solidFill>
          <a:ln w="19050">
            <a:solidFill>
              <a:schemeClr val="lt1"/>
            </a:solidFill>
          </a:ln>
          <a:effectLst/>
        </c:spPr>
      </c:pivotFmt>
      <c:pivotFmt>
        <c:idx val="21"/>
        <c:spPr>
          <a:solidFill>
            <a:schemeClr val="accent4">
              <a:lumMod val="60000"/>
            </a:schemeClr>
          </a:solidFill>
          <a:ln w="19050">
            <a:solidFill>
              <a:schemeClr val="lt1"/>
            </a:solidFill>
          </a:ln>
          <a:effectLst/>
        </c:spPr>
      </c:pivotFmt>
    </c:pivotFmts>
    <c:plotArea>
      <c:layout/>
      <c:doughnutChart>
        <c:varyColors val="1"/>
        <c:ser>
          <c:idx val="0"/>
          <c:order val="0"/>
          <c:tx>
            <c:strRef>
              <c:f>Analytics!$B$47</c:f>
              <c:strCache>
                <c:ptCount val="1"/>
                <c:pt idx="0">
                  <c:v>Sum of Breakdown Time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E1-44EE-8F7B-B9C49824440A}"/>
              </c:ext>
            </c:extLst>
          </c:dPt>
          <c:dPt>
            <c:idx val="1"/>
            <c:bubble3D val="0"/>
            <c:extLst>
              <c:ext xmlns:c16="http://schemas.microsoft.com/office/drawing/2014/chart" uri="{C3380CC4-5D6E-409C-BE32-E72D297353CC}">
                <c16:uniqueId val="{00000003-49E1-44EE-8F7B-B9C49824440A}"/>
              </c:ext>
            </c:extLst>
          </c:dPt>
          <c:dPt>
            <c:idx val="2"/>
            <c:bubble3D val="0"/>
            <c:extLst>
              <c:ext xmlns:c16="http://schemas.microsoft.com/office/drawing/2014/chart" uri="{C3380CC4-5D6E-409C-BE32-E72D297353CC}">
                <c16:uniqueId val="{00000005-49E1-44EE-8F7B-B9C49824440A}"/>
              </c:ext>
            </c:extLst>
          </c:dPt>
          <c:dPt>
            <c:idx val="3"/>
            <c:bubble3D val="0"/>
            <c:extLst>
              <c:ext xmlns:c16="http://schemas.microsoft.com/office/drawing/2014/chart" uri="{C3380CC4-5D6E-409C-BE32-E72D297353CC}">
                <c16:uniqueId val="{00000007-49E1-44EE-8F7B-B9C49824440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9E1-44EE-8F7B-B9C49824440A}"/>
              </c:ext>
            </c:extLst>
          </c:dPt>
          <c:dPt>
            <c:idx val="5"/>
            <c:bubble3D val="0"/>
            <c:extLst>
              <c:ext xmlns:c16="http://schemas.microsoft.com/office/drawing/2014/chart" uri="{C3380CC4-5D6E-409C-BE32-E72D297353CC}">
                <c16:uniqueId val="{0000000B-49E1-44EE-8F7B-B9C49824440A}"/>
              </c:ext>
            </c:extLst>
          </c:dPt>
          <c:dPt>
            <c:idx val="6"/>
            <c:bubble3D val="0"/>
            <c:extLst>
              <c:ext xmlns:c16="http://schemas.microsoft.com/office/drawing/2014/chart" uri="{C3380CC4-5D6E-409C-BE32-E72D297353CC}">
                <c16:uniqueId val="{0000000D-49E1-44EE-8F7B-B9C49824440A}"/>
              </c:ext>
            </c:extLst>
          </c:dPt>
          <c:dPt>
            <c:idx val="7"/>
            <c:bubble3D val="0"/>
            <c:spPr>
              <a:solidFill>
                <a:schemeClr val="accent4"/>
              </a:solidFill>
              <a:ln w="19050">
                <a:solidFill>
                  <a:schemeClr val="lt1"/>
                </a:solidFill>
              </a:ln>
              <a:effectLst/>
            </c:spPr>
            <c:extLst>
              <c:ext xmlns:c16="http://schemas.microsoft.com/office/drawing/2014/chart" uri="{C3380CC4-5D6E-409C-BE32-E72D297353CC}">
                <c16:uniqueId val="{0000000F-49E1-44EE-8F7B-B9C49824440A}"/>
              </c:ext>
            </c:extLst>
          </c:dPt>
          <c:dPt>
            <c:idx val="8"/>
            <c:bubble3D val="0"/>
            <c:extLst>
              <c:ext xmlns:c16="http://schemas.microsoft.com/office/drawing/2014/chart" uri="{C3380CC4-5D6E-409C-BE32-E72D297353CC}">
                <c16:uniqueId val="{00000011-49E1-44EE-8F7B-B9C49824440A}"/>
              </c:ext>
            </c:extLst>
          </c:dPt>
          <c:dPt>
            <c:idx val="9"/>
            <c:bubble3D val="0"/>
            <c:extLst>
              <c:ext xmlns:c16="http://schemas.microsoft.com/office/drawing/2014/chart" uri="{C3380CC4-5D6E-409C-BE32-E72D297353CC}">
                <c16:uniqueId val="{00000013-49E1-44EE-8F7B-B9C49824440A}"/>
              </c:ext>
            </c:extLst>
          </c:dPt>
          <c:dPt>
            <c:idx val="3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E-C795-4342-809F-9E001D7D09C5}"/>
              </c:ext>
            </c:extLst>
          </c:dPt>
          <c:dPt>
            <c:idx val="5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0-C795-4342-809F-9E001D7D09C5}"/>
              </c:ext>
            </c:extLst>
          </c:dPt>
          <c:dPt>
            <c:idx val="5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2-C795-4342-809F-9E001D7D09C5}"/>
              </c:ext>
            </c:extLst>
          </c:dPt>
          <c:dPt>
            <c:idx val="62"/>
            <c:bubble3D val="0"/>
            <c:spPr>
              <a:solidFill>
                <a:schemeClr val="accent2"/>
              </a:solidFill>
              <a:ln w="19050">
                <a:solidFill>
                  <a:schemeClr val="lt1"/>
                </a:solidFill>
              </a:ln>
              <a:effectLst/>
            </c:spPr>
            <c:extLst>
              <c:ext xmlns:c16="http://schemas.microsoft.com/office/drawing/2014/chart" uri="{C3380CC4-5D6E-409C-BE32-E72D297353CC}">
                <c16:uniqueId val="{00000014-C795-4342-809F-9E001D7D09C5}"/>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6-C795-4342-809F-9E001D7D09C5}"/>
              </c:ext>
            </c:extLst>
          </c:dPt>
          <c:dPt>
            <c:idx val="196"/>
            <c:bubble3D val="0"/>
            <c:spPr>
              <a:solidFill>
                <a:schemeClr val="accent3"/>
              </a:solidFill>
              <a:ln w="19050">
                <a:solidFill>
                  <a:schemeClr val="lt1"/>
                </a:solidFill>
              </a:ln>
              <a:effectLst/>
            </c:spPr>
            <c:extLst>
              <c:ext xmlns:c16="http://schemas.microsoft.com/office/drawing/2014/chart" uri="{C3380CC4-5D6E-409C-BE32-E72D297353CC}">
                <c16:uniqueId val="{00000018-C795-4342-809F-9E001D7D09C5}"/>
              </c:ext>
            </c:extLst>
          </c:dPt>
          <c:dPt>
            <c:idx val="201"/>
            <c:bubble3D val="0"/>
            <c:spPr>
              <a:solidFill>
                <a:schemeClr val="accent6"/>
              </a:solidFill>
              <a:ln w="19050">
                <a:solidFill>
                  <a:schemeClr val="lt1"/>
                </a:solidFill>
              </a:ln>
              <a:effectLst/>
            </c:spPr>
            <c:extLst>
              <c:ext xmlns:c16="http://schemas.microsoft.com/office/drawing/2014/chart" uri="{C3380CC4-5D6E-409C-BE32-E72D297353CC}">
                <c16:uniqueId val="{0000001A-C795-4342-809F-9E001D7D09C5}"/>
              </c:ext>
            </c:extLst>
          </c:dPt>
          <c:cat>
            <c:strRef>
              <c:f>Analytics!$A$48:$A$251</c:f>
              <c:strCache>
                <c:ptCount val="203"/>
                <c:pt idx="0">
                  <c:v>Pause pressed on keyboard</c:v>
                </c:pt>
                <c:pt idx="1">
                  <c:v>Arc light detected</c:v>
                </c:pt>
                <c:pt idx="2">
                  <c:v>Pause over RCS __0</c:v>
                </c:pt>
                <c:pt idx="3">
                  <c:v>Manual Stop</c:v>
                </c:pt>
                <c:pt idx="4">
                  <c:v>ExEx low voltage L_: ___V</c:v>
                </c:pt>
                <c:pt idx="5">
                  <c:v>New SERVICE state: _, ____</c:v>
                </c:pt>
                <c:pt idx="6">
                  <c:v>YawUntwistCCW: Code__,_______°</c:v>
                </c:pt>
                <c:pt idx="7">
                  <c:v>UPS Error</c:v>
                </c:pt>
                <c:pt idx="8">
                  <c:v>High temp. Gen bearing _:___°C</c:v>
                </c:pt>
                <c:pt idx="9">
                  <c:v>GeneratorBreakerFBResponse</c:v>
                </c:pt>
                <c:pt idx="10">
                  <c:v>Manually stop</c:v>
                </c:pt>
                <c:pt idx="11">
                  <c:v>YawUntwistCW: Code__,_______°</c:v>
                </c:pt>
                <c:pt idx="12">
                  <c:v>Yaw System Stopped</c:v>
                </c:pt>
                <c:pt idx="13">
                  <c:v>Low voltage L_: ___ V</c:v>
                </c:pt>
                <c:pt idx="14">
                  <c:v>ArcNetReconfigMaxLimit      10</c:v>
                </c:pt>
                <c:pt idx="15">
                  <c:v>Manual stopped</c:v>
                </c:pt>
                <c:pt idx="16">
                  <c:v>Prop Valve B Status Fault</c:v>
                </c:pt>
                <c:pt idx="17">
                  <c:v>SyncVoltMeasurementMismatch</c:v>
                </c:pt>
                <c:pt idx="18">
                  <c:v>Yaw to cable twist</c:v>
                </c:pt>
                <c:pt idx="19">
                  <c:v>Pitch pos C meas. signal fault</c:v>
                </c:pt>
                <c:pt idx="20">
                  <c:v>BladeCEdgePeakLoad: ___.__ kNm</c:v>
                </c:pt>
                <c:pt idx="21">
                  <c:v>Not available </c:v>
                </c:pt>
                <c:pt idx="22">
                  <c:v>Thermoerror Waterpump</c:v>
                </c:pt>
                <c:pt idx="23">
                  <c:v>Tow. acc. X Fault:__.__ m/s^2</c:v>
                </c:pt>
                <c:pt idx="24">
                  <c:v>SignalError-PAUSE _____,_____</c:v>
                </c:pt>
                <c:pt idx="25">
                  <c:v>ArcNetReconfigMaxLimit________</c:v>
                </c:pt>
                <c:pt idx="26">
                  <c:v>Estop button activated</c:v>
                </c:pt>
                <c:pt idx="27">
                  <c:v>YawSignals Invalid</c:v>
                </c:pt>
                <c:pt idx="28">
                  <c:v>Grid Converter CB Open</c:v>
                </c:pt>
                <c:pt idx="29">
                  <c:v> Low oil Hydraulics</c:v>
                </c:pt>
                <c:pt idx="30">
                  <c:v>High temp gear bearing</c:v>
                </c:pt>
                <c:pt idx="31">
                  <c:v>TripHVButtonActivated__</c:v>
                </c:pt>
                <c:pt idx="32">
                  <c:v>Extr low Voltage</c:v>
                </c:pt>
                <c:pt idx="33">
                  <c:v>Ch hardware error C0</c:v>
                </c:pt>
                <c:pt idx="34">
                  <c:v>Pitch pos B meas. signal fault</c:v>
                </c:pt>
                <c:pt idx="35">
                  <c:v>Ch hardware error C_</c:v>
                </c:pt>
                <c:pt idx="36">
                  <c:v>VibrShockAct X _.__Y _.__m/s^2</c:v>
                </c:pt>
                <c:pt idx="37">
                  <c:v> Extr. low voltage L3</c:v>
                </c:pt>
                <c:pt idx="38">
                  <c:v>SafetySystem Reset Required</c:v>
                </c:pt>
                <c:pt idx="39">
                  <c:v>High temp. Gen bearing 1: 95Â°C</c:v>
                </c:pt>
                <c:pt idx="40">
                  <c:v>GeneratorBreakerUnexpectedFb</c:v>
                </c:pt>
                <c:pt idx="41">
                  <c:v>OutOfMemory</c:v>
                </c:pt>
                <c:pt idx="42">
                  <c:v>Grid inv. HW error L_</c:v>
                </c:pt>
                <c:pt idx="43">
                  <c:v>Signal Error</c:v>
                </c:pt>
                <c:pt idx="44">
                  <c:v>ExEx low voltage L3:   1V</c:v>
                </c:pt>
                <c:pt idx="45">
                  <c:v>Gear box bear c temp differ </c:v>
                </c:pt>
                <c:pt idx="46">
                  <c:v>Yaw motor thermo error</c:v>
                </c:pt>
                <c:pt idx="47">
                  <c:v>Leak current 2004A</c:v>
                </c:pt>
                <c:pt idx="48">
                  <c:v>GenBreakerOpen,US12___UL12___</c:v>
                </c:pt>
                <c:pt idx="49">
                  <c:v>Frequency error 1</c:v>
                </c:pt>
                <c:pt idx="50">
                  <c:v>SafetySystem Hub Pending</c:v>
                </c:pt>
                <c:pt idx="51">
                  <c:v>GeneratorBreakerTripped</c:v>
                </c:pt>
                <c:pt idx="52">
                  <c:v>Pitch pos A meas. signal fault</c:v>
                </c:pt>
                <c:pt idx="53">
                  <c:v>SafetySystem Hub Error</c:v>
                </c:pt>
                <c:pt idx="54">
                  <c:v>Leakage Current</c:v>
                </c:pt>
                <c:pt idx="55">
                  <c:v>Pitch valves test active</c:v>
                </c:pt>
                <c:pt idx="56">
                  <c:v>Yaw To Cable Twist Reset</c:v>
                </c:pt>
                <c:pt idx="57">
                  <c:v>Pause over RCS 13</c:v>
                </c:pt>
                <c:pt idx="58">
                  <c:v>Internal sublogic error</c:v>
                </c:pt>
                <c:pt idx="59">
                  <c:v>HubSafty HydrPres  Low DBlk</c:v>
                </c:pt>
                <c:pt idx="60">
                  <c:v>Frequency error 1: ___.__ Hz</c:v>
                </c:pt>
                <c:pt idx="61">
                  <c:v>Low voltage L3:   2 V</c:v>
                </c:pt>
                <c:pt idx="62">
                  <c:v>Overtemp charging DC, ____V</c:v>
                </c:pt>
                <c:pt idx="63">
                  <c:v>ExEx low voltage L2:   1V</c:v>
                </c:pt>
                <c:pt idx="64">
                  <c:v>YawUntwistCCW: Code 6</c:v>
                </c:pt>
                <c:pt idx="65">
                  <c:v>HubSafetySystem Batt.Level Err</c:v>
                </c:pt>
                <c:pt idx="66">
                  <c:v>Yaw To Nacelle Position Reset</c:v>
                </c:pt>
                <c:pt idx="67">
                  <c:v>GearOilTempLow ___°C</c:v>
                </c:pt>
                <c:pt idx="68">
                  <c:v>Ambient temperature high: __°C</c:v>
                </c:pt>
                <c:pt idx="69">
                  <c:v>HubSafty HydrPres Low BldA</c:v>
                </c:pt>
                <c:pt idx="70">
                  <c:v>StatorFilter Thermo Fault</c:v>
                </c:pt>
                <c:pt idx="71">
                  <c:v>Pitch C too low: __._° &lt; __._°</c:v>
                </c:pt>
                <c:pt idx="72">
                  <c:v>BladeBEdgePeakLoad: ___.__ kNm</c:v>
                </c:pt>
                <c:pt idx="73">
                  <c:v>pitch pos Cmeans signal fault</c:v>
                </c:pt>
                <c:pt idx="74">
                  <c:v>HydrOilExtremeHighTemp_____°C</c:v>
                </c:pt>
                <c:pt idx="75">
                  <c:v>YawUntwistCCW: Code 6,    540Â°</c:v>
                </c:pt>
                <c:pt idx="76">
                  <c:v>Ch High res. load C_ Load:___%</c:v>
                </c:pt>
                <c:pt idx="77">
                  <c:v>RotorTachSpdSigErr._____,_____</c:v>
                </c:pt>
                <c:pt idx="78">
                  <c:v>Pitch A BL unlock alarm N= ___</c:v>
                </c:pt>
                <c:pt idx="79">
                  <c:v>RT AGO2Sta.Cyc. Count_,____V</c:v>
                </c:pt>
                <c:pt idx="80">
                  <c:v>YawToCableTwistResetNotAvail</c:v>
                </c:pt>
                <c:pt idx="81">
                  <c:v>Blade load sensor Fault detucted</c:v>
                </c:pt>
                <c:pt idx="82">
                  <c:v>PitAPFBsensorunavailable</c:v>
                </c:pt>
                <c:pt idx="83">
                  <c:v>Gear HSBearB Temp:___°C</c:v>
                </c:pt>
                <c:pt idx="84">
                  <c:v>Pitch accu. test active</c:v>
                </c:pt>
                <c:pt idx="85">
                  <c:v>EMC valves test active</c:v>
                </c:pt>
                <c:pt idx="86">
                  <c:v>Ext. low DC voltage  ____V</c:v>
                </c:pt>
                <c:pt idx="87">
                  <c:v>ArcNetReconfigMaxLimit      11</c:v>
                </c:pt>
                <c:pt idx="88">
                  <c:v>Hub BallValve B Open</c:v>
                </c:pt>
                <c:pt idx="89">
                  <c:v>HubSafty HydrPres Draind-BldC</c:v>
                </c:pt>
                <c:pt idx="90">
                  <c:v>Hub BallValve C Open</c:v>
                </c:pt>
                <c:pt idx="91">
                  <c:v>Pause over RCS 14</c:v>
                </c:pt>
                <c:pt idx="92">
                  <c:v>PitchB pos:__._° vel:___._°/s</c:v>
                </c:pt>
                <c:pt idx="93">
                  <c:v>Frequency error 1:   0.56 Hz</c:v>
                </c:pt>
                <c:pt idx="94">
                  <c:v>Low voltage L3:   1 V</c:v>
                </c:pt>
                <c:pt idx="95">
                  <c:v>ExtHighIRotorInv phase: _</c:v>
                </c:pt>
                <c:pt idx="96">
                  <c:v>Rotor:__._RPM, Gen.:____._ RPM</c:v>
                </c:pt>
                <c:pt idx="97">
                  <c:v>PrevCabTwCode:_ CabTwCode:_</c:v>
                </c:pt>
                <c:pt idx="98">
                  <c:v>Hub panel 24V supply missing warning inspection</c:v>
                </c:pt>
                <c:pt idx="99">
                  <c:v>HubSafetyOptiStopConfig.Err __</c:v>
                </c:pt>
                <c:pt idx="100">
                  <c:v>Auto reclosing RTOP inspection</c:v>
                </c:pt>
                <c:pt idx="101">
                  <c:v>SupplyError: Min    2V phase2</c:v>
                </c:pt>
                <c:pt idx="102">
                  <c:v>Ext. High cur. Grid inv. L_</c:v>
                </c:pt>
                <c:pt idx="103">
                  <c:v>Extreme yawerror __._m/s___._°</c:v>
                </c:pt>
                <c:pt idx="104">
                  <c:v>UDC Discharge Failed</c:v>
                </c:pt>
                <c:pt idx="105">
                  <c:v>High cur.grid inv. L1:2158A</c:v>
                </c:pt>
                <c:pt idx="106">
                  <c:v>GenerLubrErr:MissLubrTime___s</c:v>
                </c:pt>
                <c:pt idx="107">
                  <c:v>ExEx low voltage L1:   2V</c:v>
                </c:pt>
                <c:pt idx="108">
                  <c:v>BrakeHotLowBrakePressure  0bar</c:v>
                </c:pt>
                <c:pt idx="109">
                  <c:v>Pause over RCS 12</c:v>
                </c:pt>
                <c:pt idx="110">
                  <c:v>High windspeed: __._ m/s</c:v>
                </c:pt>
                <c:pt idx="111">
                  <c:v>Gear HSBearA Temp:___°C</c:v>
                </c:pt>
                <c:pt idx="112">
                  <c:v>Extreme yawerror</c:v>
                </c:pt>
                <c:pt idx="113">
                  <c:v>High cur.grid inv. L_:____A</c:v>
                </c:pt>
                <c:pt idx="114">
                  <c:v>SupplyError: Min    1V phase1</c:v>
                </c:pt>
                <c:pt idx="115">
                  <c:v>Ext. low DC voltage   469V</c:v>
                </c:pt>
                <c:pt idx="116">
                  <c:v>Thermoerror Int.Gen.Fan F___A</c:v>
                </c:pt>
                <c:pt idx="117">
                  <c:v>Safety System Fault</c:v>
                </c:pt>
                <c:pt idx="118">
                  <c:v>Too many auto-restarts:   83</c:v>
                </c:pt>
                <c:pt idx="119">
                  <c:v>Too many auto-restarts:  116</c:v>
                </c:pt>
                <c:pt idx="120">
                  <c:v>Ext. High cur. Grid inv. L1</c:v>
                </c:pt>
                <c:pt idx="121">
                  <c:v>MainShaftSigError._____,_____</c:v>
                </c:pt>
                <c:pt idx="122">
                  <c:v>YawUntwistCCW: Code 6,    561Â°</c:v>
                </c:pt>
                <c:pt idx="123">
                  <c:v>GearOilInletPressLow 3.4 bar</c:v>
                </c:pt>
                <c:pt idx="124">
                  <c:v>Too many auto-restarts:   80</c:v>
                </c:pt>
                <c:pt idx="125">
                  <c:v>HubSafty HydrPres Low BldC</c:v>
                </c:pt>
                <c:pt idx="126">
                  <c:v>YawUntwistCCW: Code 5</c:v>
                </c:pt>
                <c:pt idx="127">
                  <c:v>Too many auto-restarts: 5470</c:v>
                </c:pt>
                <c:pt idx="128">
                  <c:v>SupplyError: Min    2V phase3</c:v>
                </c:pt>
                <c:pt idx="129">
                  <c:v>PowerSupplyLowFreq: Min___ Hz</c:v>
                </c:pt>
                <c:pt idx="130">
                  <c:v>YawUntwistCW: Code 3</c:v>
                </c:pt>
                <c:pt idx="131">
                  <c:v>WatchdogReboot</c:v>
                </c:pt>
                <c:pt idx="132">
                  <c:v>Low voltage L3:   3 V</c:v>
                </c:pt>
                <c:pt idx="133">
                  <c:v>Frequency error 3:   0.47 Hz</c:v>
                </c:pt>
                <c:pt idx="134">
                  <c:v>Error on all wind sensors</c:v>
                </c:pt>
                <c:pt idx="135">
                  <c:v>DC Undervoltage: ____V</c:v>
                </c:pt>
                <c:pt idx="136">
                  <c:v>SaftySystem Nacelle Comm Err.</c:v>
                </c:pt>
                <c:pt idx="137">
                  <c:v>Brake Low Pressure and Hot</c:v>
                </c:pt>
                <c:pt idx="138">
                  <c:v>YawUntwistCCW: Code 6,    550Â°</c:v>
                </c:pt>
                <c:pt idx="139">
                  <c:v>YawUntwistCCW: Code 7,    517Â°</c:v>
                </c:pt>
                <c:pt idx="140">
                  <c:v>YawUntwistCCW: Code 7,    112Â°</c:v>
                </c:pt>
                <c:pt idx="141">
                  <c:v>GridInverterContactorFBError</c:v>
                </c:pt>
                <c:pt idx="142">
                  <c:v>ArcNetReconfigMaxLimit      12</c:v>
                </c:pt>
                <c:pt idx="143">
                  <c:v>YawUntwistCCW: Code 6,    546Â°</c:v>
                </c:pt>
                <c:pt idx="144">
                  <c:v>YawUntwistCCW: Code 7</c:v>
                </c:pt>
                <c:pt idx="145">
                  <c:v>RT Dip exc.lim.:___%:_____e-2s</c:v>
                </c:pt>
                <c:pt idx="146">
                  <c:v>Blade loads calib. Active</c:v>
                </c:pt>
                <c:pt idx="147">
                  <c:v>YawUntwistCCW: Code 6,    717Â°</c:v>
                </c:pt>
                <c:pt idx="148">
                  <c:v>Yaw To Nac Pos Reset Not Allwd</c:v>
                </c:pt>
                <c:pt idx="149">
                  <c:v>Incorrect Error Code</c:v>
                </c:pt>
                <c:pt idx="150">
                  <c:v>No space in Warning Log</c:v>
                </c:pt>
                <c:pt idx="151">
                  <c:v>Generator FB no response</c:v>
                </c:pt>
                <c:pt idx="152">
                  <c:v>YawUntwistCCW: Code 6,    564Â°</c:v>
                </c:pt>
                <c:pt idx="153">
                  <c:v>YawUntwistCCW: Code 6,    619Â°</c:v>
                </c:pt>
                <c:pt idx="154">
                  <c:v>Frequency error 1:   0.44 Hz</c:v>
                </c:pt>
                <c:pt idx="155">
                  <c:v>YawUntwistCCW: Code 5,    540Â°</c:v>
                </c:pt>
                <c:pt idx="156">
                  <c:v>Generator Bearing  Temp 1 high 95 degree</c:v>
                </c:pt>
                <c:pt idx="157">
                  <c:v>PtchValCErr,VeloctyC___._mm/s</c:v>
                </c:pt>
                <c:pt idx="158">
                  <c:v>YawUntwistCCW: Code 6,    626Â°</c:v>
                </c:pt>
                <c:pt idx="159">
                  <c:v>ExEx low voltage L3:   2V</c:v>
                </c:pt>
                <c:pt idx="160">
                  <c:v>YawUntwistCCW: Code 6,    547Â°</c:v>
                </c:pt>
                <c:pt idx="161">
                  <c:v>PowerSupplyLowFreq: Min 47 Hz</c:v>
                </c:pt>
                <c:pt idx="162">
                  <c:v>YawUntwistCCW: Code 6,    573Â°</c:v>
                </c:pt>
                <c:pt idx="163">
                  <c:v>YawUntwistCCW: Code 6,    557Â°</c:v>
                </c:pt>
                <c:pt idx="164">
                  <c:v>YawUntwistCCW: Code 6,    555Â°</c:v>
                </c:pt>
                <c:pt idx="165">
                  <c:v> Prop Valve C Status Fault </c:v>
                </c:pt>
                <c:pt idx="166">
                  <c:v>Extr. low voltage L_: ___V</c:v>
                </c:pt>
                <c:pt idx="167">
                  <c:v>Pitch C ref:__._°, Act.:__._°</c:v>
                </c:pt>
                <c:pt idx="168">
                  <c:v>DODP Leak Failure</c:v>
                </c:pt>
                <c:pt idx="169">
                  <c:v>ExEx low voltage L2:   4V</c:v>
                </c:pt>
                <c:pt idx="170">
                  <c:v>Frequency error 3:   0.54 Hz</c:v>
                </c:pt>
                <c:pt idx="171">
                  <c:v>Remote Reboot</c:v>
                </c:pt>
                <c:pt idx="172">
                  <c:v>HubSafetySystem Speed Err.:_</c:v>
                </c:pt>
                <c:pt idx="173">
                  <c:v>HydrMainPressLow:____bar____°C</c:v>
                </c:pt>
                <c:pt idx="174">
                  <c:v>Max. Yaw error: ___._°</c:v>
                </c:pt>
                <c:pt idx="175">
                  <c:v>HighIStrikesorber </c:v>
                </c:pt>
                <c:pt idx="176">
                  <c:v>GearOilInletPressLow 1.1 bar</c:v>
                </c:pt>
                <c:pt idx="177">
                  <c:v>EMC Valves Unexpected Open</c:v>
                </c:pt>
                <c:pt idx="178">
                  <c:v>HydPressOscBlBFilt2,   8.3bar</c:v>
                </c:pt>
                <c:pt idx="179">
                  <c:v>Max generator RPM: ____._ RPM</c:v>
                </c:pt>
                <c:pt idx="180">
                  <c:v>Slip:____ above limits _</c:v>
                </c:pt>
                <c:pt idx="181">
                  <c:v>Tow. acc. X, Alarm:__.__ m/s^2</c:v>
                </c:pt>
                <c:pt idx="182">
                  <c:v>ExEx low voltage L3</c:v>
                </c:pt>
                <c:pt idx="183">
                  <c:v> Blade loads calib. Active</c:v>
                </c:pt>
                <c:pt idx="184">
                  <c:v>High cur.rotor inv. L_:____A</c:v>
                </c:pt>
                <c:pt idx="185">
                  <c:v>Pitch C BL unlock alarm N= ___</c:v>
                </c:pt>
                <c:pt idx="186">
                  <c:v>HydPressOscBlAFilt3,  15.0bar</c:v>
                </c:pt>
                <c:pt idx="187">
                  <c:v>Generator Disc timeout</c:v>
                </c:pt>
                <c:pt idx="188">
                  <c:v>Tow. acc. X, Alarm: 0.24 m/s^2</c:v>
                </c:pt>
                <c:pt idx="189">
                  <c:v>Asym.currL1:____A,Others:____A</c:v>
                </c:pt>
                <c:pt idx="190">
                  <c:v>Extreme yawerror 15.4m/s 45.0Â°</c:v>
                </c:pt>
                <c:pt idx="191">
                  <c:v>Turbine OK</c:v>
                </c:pt>
                <c:pt idx="192">
                  <c:v>Yaw system stopped </c:v>
                </c:pt>
                <c:pt idx="193">
                  <c:v>Gen Stator CB Open</c:v>
                </c:pt>
                <c:pt idx="194">
                  <c:v>Pitch valves test acitve</c:v>
                </c:pt>
                <c:pt idx="195">
                  <c:v>Ext. High I sum Grd inv.</c:v>
                </c:pt>
                <c:pt idx="196">
                  <c:v>Prop Valve A Status Fault</c:v>
                </c:pt>
                <c:pt idx="197">
                  <c:v>GenSpd:__._RPM, Ref:____._ RPM</c:v>
                </c:pt>
                <c:pt idx="198">
                  <c:v>Prop Valve C Status Fault</c:v>
                </c:pt>
                <c:pt idx="199">
                  <c:v>Low oil-level, hydraulic</c:v>
                </c:pt>
                <c:pt idx="200">
                  <c:v>Ext. High I sum Rotinv.ChanX</c:v>
                </c:pt>
                <c:pt idx="201">
                  <c:v>HVCB Unknown Trip Reason</c:v>
                </c:pt>
                <c:pt idx="202">
                  <c:v>HubSafetySystem Batt.Charg.Err</c:v>
                </c:pt>
              </c:strCache>
            </c:strRef>
          </c:cat>
          <c:val>
            <c:numRef>
              <c:f>Analytics!$B$48:$B$251</c:f>
              <c:numCache>
                <c:formatCode>General</c:formatCode>
                <c:ptCount val="203"/>
                <c:pt idx="0">
                  <c:v>1364.985833333305</c:v>
                </c:pt>
                <c:pt idx="1">
                  <c:v>1029.7419444443085</c:v>
                </c:pt>
                <c:pt idx="2">
                  <c:v>615.25833333325761</c:v>
                </c:pt>
                <c:pt idx="3">
                  <c:v>315.71666666666658</c:v>
                </c:pt>
                <c:pt idx="4">
                  <c:v>293.93194444430162</c:v>
                </c:pt>
                <c:pt idx="5">
                  <c:v>250.41194444442772</c:v>
                </c:pt>
                <c:pt idx="6">
                  <c:v>226.07833333358178</c:v>
                </c:pt>
                <c:pt idx="7">
                  <c:v>178.98083333297762</c:v>
                </c:pt>
                <c:pt idx="8">
                  <c:v>144.16444444444443</c:v>
                </c:pt>
                <c:pt idx="9">
                  <c:v>61.165555555474327</c:v>
                </c:pt>
                <c:pt idx="10">
                  <c:v>59.394444444002346</c:v>
                </c:pt>
                <c:pt idx="11">
                  <c:v>55.336666666526753</c:v>
                </c:pt>
                <c:pt idx="12">
                  <c:v>53.451944444679846</c:v>
                </c:pt>
                <c:pt idx="13">
                  <c:v>48.433333333333479</c:v>
                </c:pt>
                <c:pt idx="14">
                  <c:v>45.03333333333336</c:v>
                </c:pt>
                <c:pt idx="15">
                  <c:v>43.739722222222191</c:v>
                </c:pt>
                <c:pt idx="16">
                  <c:v>37.128611111073404</c:v>
                </c:pt>
                <c:pt idx="17">
                  <c:v>34.430277777777825</c:v>
                </c:pt>
                <c:pt idx="18">
                  <c:v>34.200000000000209</c:v>
                </c:pt>
                <c:pt idx="19">
                  <c:v>33.35</c:v>
                </c:pt>
                <c:pt idx="20">
                  <c:v>29.151944444444442</c:v>
                </c:pt>
                <c:pt idx="21">
                  <c:v>28.366666666666703</c:v>
                </c:pt>
                <c:pt idx="22">
                  <c:v>27.250000000000021</c:v>
                </c:pt>
                <c:pt idx="23">
                  <c:v>25.916666666666664</c:v>
                </c:pt>
                <c:pt idx="24">
                  <c:v>25.730277777758893</c:v>
                </c:pt>
                <c:pt idx="25">
                  <c:v>24.866666666666802</c:v>
                </c:pt>
                <c:pt idx="26">
                  <c:v>24.633333333333336</c:v>
                </c:pt>
                <c:pt idx="27">
                  <c:v>22.238611111010496</c:v>
                </c:pt>
                <c:pt idx="28">
                  <c:v>20.949999999999996</c:v>
                </c:pt>
                <c:pt idx="29">
                  <c:v>20.716666666666683</c:v>
                </c:pt>
                <c:pt idx="30">
                  <c:v>20.1666666666667</c:v>
                </c:pt>
                <c:pt idx="31">
                  <c:v>19.912777777931986</c:v>
                </c:pt>
                <c:pt idx="32">
                  <c:v>17.25</c:v>
                </c:pt>
                <c:pt idx="33">
                  <c:v>16.951111112390976</c:v>
                </c:pt>
                <c:pt idx="34">
                  <c:v>16.819444444414941</c:v>
                </c:pt>
                <c:pt idx="35">
                  <c:v>16.279722222298549</c:v>
                </c:pt>
                <c:pt idx="36">
                  <c:v>15.865555555555551</c:v>
                </c:pt>
                <c:pt idx="37">
                  <c:v>15.566666666666663</c:v>
                </c:pt>
                <c:pt idx="38">
                  <c:v>15.416666666666664</c:v>
                </c:pt>
                <c:pt idx="39">
                  <c:v>14.426111111111108</c:v>
                </c:pt>
                <c:pt idx="40">
                  <c:v>13.690277777777776</c:v>
                </c:pt>
                <c:pt idx="41">
                  <c:v>13.366666666666678</c:v>
                </c:pt>
                <c:pt idx="42">
                  <c:v>12.900000000000002</c:v>
                </c:pt>
                <c:pt idx="43">
                  <c:v>12.583333333333343</c:v>
                </c:pt>
                <c:pt idx="44">
                  <c:v>12.433333333333476</c:v>
                </c:pt>
                <c:pt idx="45">
                  <c:v>12.283333333333328</c:v>
                </c:pt>
                <c:pt idx="46">
                  <c:v>12.033333333333314</c:v>
                </c:pt>
                <c:pt idx="47">
                  <c:v>11.950000000000008</c:v>
                </c:pt>
                <c:pt idx="48">
                  <c:v>11.933333333333358</c:v>
                </c:pt>
                <c:pt idx="49">
                  <c:v>11.333055555555553</c:v>
                </c:pt>
                <c:pt idx="50">
                  <c:v>11.016666666666666</c:v>
                </c:pt>
                <c:pt idx="51">
                  <c:v>10.602222222222212</c:v>
                </c:pt>
                <c:pt idx="52">
                  <c:v>10.549999999999997</c:v>
                </c:pt>
                <c:pt idx="53">
                  <c:v>10.541666666731341</c:v>
                </c:pt>
                <c:pt idx="54">
                  <c:v>10.39999999999999</c:v>
                </c:pt>
                <c:pt idx="55">
                  <c:v>8.8711111097397986</c:v>
                </c:pt>
                <c:pt idx="56">
                  <c:v>8.7974999999001504</c:v>
                </c:pt>
                <c:pt idx="57">
                  <c:v>8.7024999992339502</c:v>
                </c:pt>
                <c:pt idx="58">
                  <c:v>8.6147222221370008</c:v>
                </c:pt>
                <c:pt idx="59">
                  <c:v>8.3663888888783013</c:v>
                </c:pt>
                <c:pt idx="60">
                  <c:v>7.9611111111007791</c:v>
                </c:pt>
                <c:pt idx="61">
                  <c:v>7.1425000000000116</c:v>
                </c:pt>
                <c:pt idx="62">
                  <c:v>6.1166666666666636</c:v>
                </c:pt>
                <c:pt idx="63">
                  <c:v>5.9499999999999726</c:v>
                </c:pt>
                <c:pt idx="64">
                  <c:v>5.7666666666665733</c:v>
                </c:pt>
                <c:pt idx="65">
                  <c:v>5.7500000000000009</c:v>
                </c:pt>
                <c:pt idx="66">
                  <c:v>5.5888888888932886</c:v>
                </c:pt>
                <c:pt idx="67">
                  <c:v>5.5558333334668228</c:v>
                </c:pt>
                <c:pt idx="68">
                  <c:v>5.306111111111111</c:v>
                </c:pt>
                <c:pt idx="69">
                  <c:v>5.0272222222222309</c:v>
                </c:pt>
                <c:pt idx="70">
                  <c:v>4.9166666666666661</c:v>
                </c:pt>
                <c:pt idx="71">
                  <c:v>4.7500000000000053</c:v>
                </c:pt>
                <c:pt idx="72">
                  <c:v>4.5166666666666559</c:v>
                </c:pt>
                <c:pt idx="73">
                  <c:v>4.3999999999999924</c:v>
                </c:pt>
                <c:pt idx="74">
                  <c:v>4.2999999999999989</c:v>
                </c:pt>
                <c:pt idx="75">
                  <c:v>4.0841666666666532</c:v>
                </c:pt>
                <c:pt idx="76">
                  <c:v>4.0761111112466537</c:v>
                </c:pt>
                <c:pt idx="77">
                  <c:v>3.9666666666666668</c:v>
                </c:pt>
                <c:pt idx="78">
                  <c:v>3.8444444443176797</c:v>
                </c:pt>
                <c:pt idx="79">
                  <c:v>3.7077777777565712</c:v>
                </c:pt>
                <c:pt idx="80">
                  <c:v>3.6833333333333629</c:v>
                </c:pt>
                <c:pt idx="81">
                  <c:v>3.466666666666681</c:v>
                </c:pt>
                <c:pt idx="82">
                  <c:v>3.4466666666666885</c:v>
                </c:pt>
                <c:pt idx="83">
                  <c:v>3.2833333333333337</c:v>
                </c:pt>
                <c:pt idx="84">
                  <c:v>3.1847222242439535</c:v>
                </c:pt>
                <c:pt idx="85">
                  <c:v>3.1802777780726812</c:v>
                </c:pt>
                <c:pt idx="86">
                  <c:v>3.1775000000005313</c:v>
                </c:pt>
                <c:pt idx="87">
                  <c:v>3.1388888888889142</c:v>
                </c:pt>
                <c:pt idx="88">
                  <c:v>3.0833333333333517</c:v>
                </c:pt>
                <c:pt idx="89">
                  <c:v>3.0761111111111115</c:v>
                </c:pt>
                <c:pt idx="90">
                  <c:v>3.0702777777777772</c:v>
                </c:pt>
                <c:pt idx="91">
                  <c:v>3.0127777776215225</c:v>
                </c:pt>
                <c:pt idx="92">
                  <c:v>3.0083333333333346</c:v>
                </c:pt>
                <c:pt idx="93">
                  <c:v>2.9500000000000122</c:v>
                </c:pt>
                <c:pt idx="94">
                  <c:v>2.8961111111110993</c:v>
                </c:pt>
                <c:pt idx="95">
                  <c:v>2.8905555554851872</c:v>
                </c:pt>
                <c:pt idx="96">
                  <c:v>2.8513888888994816</c:v>
                </c:pt>
                <c:pt idx="97">
                  <c:v>2.8266666665831064</c:v>
                </c:pt>
                <c:pt idx="98">
                  <c:v>2.7833333333333501</c:v>
                </c:pt>
                <c:pt idx="99">
                  <c:v>2.6333333333333337</c:v>
                </c:pt>
                <c:pt idx="100">
                  <c:v>2.616666666666672</c:v>
                </c:pt>
                <c:pt idx="101">
                  <c:v>2.533333333333339</c:v>
                </c:pt>
                <c:pt idx="102">
                  <c:v>2.4127777779358439</c:v>
                </c:pt>
                <c:pt idx="103">
                  <c:v>2.3922222223650307</c:v>
                </c:pt>
                <c:pt idx="104">
                  <c:v>2.3833333333333315</c:v>
                </c:pt>
                <c:pt idx="105">
                  <c:v>2.3166666666666673</c:v>
                </c:pt>
                <c:pt idx="106">
                  <c:v>2.316666666666666</c:v>
                </c:pt>
                <c:pt idx="107">
                  <c:v>2.2000000000000055</c:v>
                </c:pt>
                <c:pt idx="108">
                  <c:v>2.1538888888889014</c:v>
                </c:pt>
                <c:pt idx="109">
                  <c:v>2.0650000009336509</c:v>
                </c:pt>
                <c:pt idx="110">
                  <c:v>2.0413888888433576</c:v>
                </c:pt>
                <c:pt idx="111">
                  <c:v>1.9999999999999996</c:v>
                </c:pt>
                <c:pt idx="112">
                  <c:v>1.999999999999988</c:v>
                </c:pt>
                <c:pt idx="113">
                  <c:v>1.9499999999999986</c:v>
                </c:pt>
                <c:pt idx="114">
                  <c:v>1.9455555555555355</c:v>
                </c:pt>
                <c:pt idx="115">
                  <c:v>1.8666666666666707</c:v>
                </c:pt>
                <c:pt idx="116">
                  <c:v>1.7902777777578915</c:v>
                </c:pt>
                <c:pt idx="117">
                  <c:v>1.7666666666666684</c:v>
                </c:pt>
                <c:pt idx="118">
                  <c:v>1.7311111111111197</c:v>
                </c:pt>
                <c:pt idx="119">
                  <c:v>1.6666666666666794</c:v>
                </c:pt>
                <c:pt idx="120">
                  <c:v>1.5333333333333359</c:v>
                </c:pt>
                <c:pt idx="121">
                  <c:v>1.4333333333333309</c:v>
                </c:pt>
                <c:pt idx="122">
                  <c:v>1.300000000000006</c:v>
                </c:pt>
                <c:pt idx="123">
                  <c:v>1.2666666666666728</c:v>
                </c:pt>
                <c:pt idx="124">
                  <c:v>1.1483333333333263</c:v>
                </c:pt>
                <c:pt idx="125">
                  <c:v>1.1224999999999992</c:v>
                </c:pt>
                <c:pt idx="126">
                  <c:v>1.116666666666696</c:v>
                </c:pt>
                <c:pt idx="127">
                  <c:v>1.1119444444444335</c:v>
                </c:pt>
                <c:pt idx="128">
                  <c:v>1.1000000000000147</c:v>
                </c:pt>
                <c:pt idx="129">
                  <c:v>1.0999999999999988</c:v>
                </c:pt>
                <c:pt idx="130">
                  <c:v>1.0999999999999908</c:v>
                </c:pt>
                <c:pt idx="131">
                  <c:v>1.0666666666666602</c:v>
                </c:pt>
                <c:pt idx="132">
                  <c:v>1.0347222222222223</c:v>
                </c:pt>
                <c:pt idx="133">
                  <c:v>0.98333333333332984</c:v>
                </c:pt>
                <c:pt idx="134">
                  <c:v>0.97888888900581872</c:v>
                </c:pt>
                <c:pt idx="135">
                  <c:v>0.9313888888573274</c:v>
                </c:pt>
                <c:pt idx="136">
                  <c:v>0.84999999999999964</c:v>
                </c:pt>
                <c:pt idx="137">
                  <c:v>0.83333333333332771</c:v>
                </c:pt>
                <c:pt idx="138">
                  <c:v>0.81972222222220736</c:v>
                </c:pt>
                <c:pt idx="139">
                  <c:v>0.76722222222220848</c:v>
                </c:pt>
                <c:pt idx="140">
                  <c:v>0.75</c:v>
                </c:pt>
                <c:pt idx="141">
                  <c:v>0.73333333333334405</c:v>
                </c:pt>
                <c:pt idx="142">
                  <c:v>0.71666666666666634</c:v>
                </c:pt>
                <c:pt idx="143">
                  <c:v>0.71416666666664141</c:v>
                </c:pt>
                <c:pt idx="144">
                  <c:v>0.66666666666664831</c:v>
                </c:pt>
                <c:pt idx="145">
                  <c:v>0.65000000000000036</c:v>
                </c:pt>
                <c:pt idx="146">
                  <c:v>0.55305555525131433</c:v>
                </c:pt>
                <c:pt idx="147">
                  <c:v>0.54999999999998472</c:v>
                </c:pt>
                <c:pt idx="148">
                  <c:v>0.51666666666667416</c:v>
                </c:pt>
                <c:pt idx="149">
                  <c:v>0.50055555570094512</c:v>
                </c:pt>
                <c:pt idx="150">
                  <c:v>0.49999999999999956</c:v>
                </c:pt>
                <c:pt idx="151">
                  <c:v>0.49999999999999156</c:v>
                </c:pt>
                <c:pt idx="152">
                  <c:v>0.46666666666667966</c:v>
                </c:pt>
                <c:pt idx="153">
                  <c:v>0.46666666666665435</c:v>
                </c:pt>
                <c:pt idx="154">
                  <c:v>0.4500000000000024</c:v>
                </c:pt>
                <c:pt idx="155">
                  <c:v>0.4499999999999984</c:v>
                </c:pt>
                <c:pt idx="156">
                  <c:v>0.43333333333334512</c:v>
                </c:pt>
                <c:pt idx="157">
                  <c:v>0.43333333333332913</c:v>
                </c:pt>
                <c:pt idx="158">
                  <c:v>0.43333333333331847</c:v>
                </c:pt>
                <c:pt idx="159">
                  <c:v>0.40000000000000657</c:v>
                </c:pt>
                <c:pt idx="160">
                  <c:v>0.38333333333332931</c:v>
                </c:pt>
                <c:pt idx="161">
                  <c:v>0.37000000000000988</c:v>
                </c:pt>
                <c:pt idx="162">
                  <c:v>0.3694444444444307</c:v>
                </c:pt>
                <c:pt idx="163">
                  <c:v>0.36666666666667336</c:v>
                </c:pt>
                <c:pt idx="164">
                  <c:v>0.36305555555555991</c:v>
                </c:pt>
                <c:pt idx="165">
                  <c:v>0.33333333333333481</c:v>
                </c:pt>
                <c:pt idx="166">
                  <c:v>0.26666666666666705</c:v>
                </c:pt>
                <c:pt idx="167">
                  <c:v>0.25361111111111123</c:v>
                </c:pt>
                <c:pt idx="168">
                  <c:v>0.25000000000000178</c:v>
                </c:pt>
                <c:pt idx="169">
                  <c:v>0.20000000000000162</c:v>
                </c:pt>
                <c:pt idx="170">
                  <c:v>0.20000000000000162</c:v>
                </c:pt>
                <c:pt idx="171">
                  <c:v>0.17222222222222339</c:v>
                </c:pt>
                <c:pt idx="172">
                  <c:v>0.17194444448687118</c:v>
                </c:pt>
                <c:pt idx="173">
                  <c:v>0.15722222222222104</c:v>
                </c:pt>
                <c:pt idx="174">
                  <c:v>0.15694444444444411</c:v>
                </c:pt>
                <c:pt idx="175">
                  <c:v>0.1500000000000008</c:v>
                </c:pt>
                <c:pt idx="176">
                  <c:v>0.14194444322492927</c:v>
                </c:pt>
                <c:pt idx="177">
                  <c:v>0.13694444444444365</c:v>
                </c:pt>
                <c:pt idx="178">
                  <c:v>0.13333333333333286</c:v>
                </c:pt>
                <c:pt idx="179">
                  <c:v>0.11722222220851108</c:v>
                </c:pt>
                <c:pt idx="180">
                  <c:v>0.10027777777777924</c:v>
                </c:pt>
                <c:pt idx="181">
                  <c:v>8.3888888888902891E-2</c:v>
                </c:pt>
                <c:pt idx="182">
                  <c:v>8.3333333333351689E-2</c:v>
                </c:pt>
                <c:pt idx="183">
                  <c:v>8.3333333333327708E-2</c:v>
                </c:pt>
                <c:pt idx="184">
                  <c:v>6.9444444444446751E-2</c:v>
                </c:pt>
                <c:pt idx="185">
                  <c:v>3.4999999974388629E-2</c:v>
                </c:pt>
                <c:pt idx="186">
                  <c:v>3.3333333333335879E-2</c:v>
                </c:pt>
                <c:pt idx="187">
                  <c:v>3.3333333333335879E-2</c:v>
                </c:pt>
                <c:pt idx="188">
                  <c:v>3.3333333333335879E-2</c:v>
                </c:pt>
                <c:pt idx="189">
                  <c:v>1.6666666666666607E-2</c:v>
                </c:pt>
                <c:pt idx="190">
                  <c:v>1.6666666666655949E-2</c:v>
                </c:pt>
                <c:pt idx="192">
                  <c:v>-5.3833333333333195</c:v>
                </c:pt>
                <c:pt idx="193">
                  <c:v>#N/A</c:v>
                </c:pt>
                <c:pt idx="194">
                  <c:v>#N/A</c:v>
                </c:pt>
                <c:pt idx="195">
                  <c:v>#N/A</c:v>
                </c:pt>
                <c:pt idx="196">
                  <c:v>#N/A</c:v>
                </c:pt>
                <c:pt idx="197">
                  <c:v>#N/A</c:v>
                </c:pt>
                <c:pt idx="198">
                  <c:v>#N/A</c:v>
                </c:pt>
                <c:pt idx="199">
                  <c:v>#N/A</c:v>
                </c:pt>
                <c:pt idx="200">
                  <c:v>#N/A</c:v>
                </c:pt>
                <c:pt idx="201">
                  <c:v>#N/A</c:v>
                </c:pt>
                <c:pt idx="202">
                  <c:v>#N/A</c:v>
                </c:pt>
              </c:numCache>
            </c:numRef>
          </c:val>
          <c:extLst>
            <c:ext xmlns:c16="http://schemas.microsoft.com/office/drawing/2014/chart" uri="{C3380CC4-5D6E-409C-BE32-E72D297353CC}">
              <c16:uniqueId val="{00000014-49E1-44EE-8F7B-B9C49824440A}"/>
            </c:ext>
          </c:extLst>
        </c:ser>
        <c:ser>
          <c:idx val="1"/>
          <c:order val="1"/>
          <c:tx>
            <c:strRef>
              <c:f>Analytics!$C$47</c:f>
              <c:strCache>
                <c:ptCount val="1"/>
                <c:pt idx="0">
                  <c:v>Count of Error Text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6-49E1-44EE-8F7B-B9C49824440A}"/>
              </c:ext>
            </c:extLst>
          </c:dPt>
          <c:dPt>
            <c:idx val="1"/>
            <c:bubble3D val="0"/>
            <c:extLst>
              <c:ext xmlns:c16="http://schemas.microsoft.com/office/drawing/2014/chart" uri="{C3380CC4-5D6E-409C-BE32-E72D297353CC}">
                <c16:uniqueId val="{00000018-49E1-44EE-8F7B-B9C49824440A}"/>
              </c:ext>
            </c:extLst>
          </c:dPt>
          <c:dPt>
            <c:idx val="2"/>
            <c:bubble3D val="0"/>
            <c:extLst>
              <c:ext xmlns:c16="http://schemas.microsoft.com/office/drawing/2014/chart" uri="{C3380CC4-5D6E-409C-BE32-E72D297353CC}">
                <c16:uniqueId val="{0000001A-49E1-44EE-8F7B-B9C49824440A}"/>
              </c:ext>
            </c:extLst>
          </c:dPt>
          <c:dPt>
            <c:idx val="3"/>
            <c:bubble3D val="0"/>
            <c:extLst>
              <c:ext xmlns:c16="http://schemas.microsoft.com/office/drawing/2014/chart" uri="{C3380CC4-5D6E-409C-BE32-E72D297353CC}">
                <c16:uniqueId val="{0000001C-49E1-44EE-8F7B-B9C49824440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E-49E1-44EE-8F7B-B9C49824440A}"/>
              </c:ext>
            </c:extLst>
          </c:dPt>
          <c:dPt>
            <c:idx val="5"/>
            <c:bubble3D val="0"/>
            <c:extLst>
              <c:ext xmlns:c16="http://schemas.microsoft.com/office/drawing/2014/chart" uri="{C3380CC4-5D6E-409C-BE32-E72D297353CC}">
                <c16:uniqueId val="{00000020-49E1-44EE-8F7B-B9C49824440A}"/>
              </c:ext>
            </c:extLst>
          </c:dPt>
          <c:dPt>
            <c:idx val="6"/>
            <c:bubble3D val="0"/>
            <c:extLst>
              <c:ext xmlns:c16="http://schemas.microsoft.com/office/drawing/2014/chart" uri="{C3380CC4-5D6E-409C-BE32-E72D297353CC}">
                <c16:uniqueId val="{00000022-49E1-44EE-8F7B-B9C49824440A}"/>
              </c:ext>
            </c:extLst>
          </c:dPt>
          <c:dPt>
            <c:idx val="7"/>
            <c:bubble3D val="0"/>
            <c:spPr>
              <a:solidFill>
                <a:schemeClr val="accent4"/>
              </a:solidFill>
              <a:ln w="19050">
                <a:solidFill>
                  <a:schemeClr val="lt1"/>
                </a:solidFill>
              </a:ln>
              <a:effectLst/>
            </c:spPr>
            <c:extLst>
              <c:ext xmlns:c16="http://schemas.microsoft.com/office/drawing/2014/chart" uri="{C3380CC4-5D6E-409C-BE32-E72D297353CC}">
                <c16:uniqueId val="{00000024-49E1-44EE-8F7B-B9C49824440A}"/>
              </c:ext>
            </c:extLst>
          </c:dPt>
          <c:dPt>
            <c:idx val="8"/>
            <c:bubble3D val="0"/>
            <c:extLst>
              <c:ext xmlns:c16="http://schemas.microsoft.com/office/drawing/2014/chart" uri="{C3380CC4-5D6E-409C-BE32-E72D297353CC}">
                <c16:uniqueId val="{00000026-49E1-44EE-8F7B-B9C49824440A}"/>
              </c:ext>
            </c:extLst>
          </c:dPt>
          <c:dPt>
            <c:idx val="9"/>
            <c:bubble3D val="0"/>
            <c:extLst>
              <c:ext xmlns:c16="http://schemas.microsoft.com/office/drawing/2014/chart" uri="{C3380CC4-5D6E-409C-BE32-E72D297353CC}">
                <c16:uniqueId val="{00000028-49E1-44EE-8F7B-B9C49824440A}"/>
              </c:ext>
            </c:extLst>
          </c:dPt>
          <c:dPt>
            <c:idx val="3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9-C795-4342-809F-9E001D7D09C5}"/>
              </c:ext>
            </c:extLst>
          </c:dPt>
          <c:dPt>
            <c:idx val="5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B-C795-4342-809F-9E001D7D09C5}"/>
              </c:ext>
            </c:extLst>
          </c:dPt>
          <c:dPt>
            <c:idx val="5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D-C795-4342-809F-9E001D7D09C5}"/>
              </c:ext>
            </c:extLst>
          </c:dPt>
          <c:dPt>
            <c:idx val="62"/>
            <c:bubble3D val="0"/>
            <c:spPr>
              <a:solidFill>
                <a:schemeClr val="accent2"/>
              </a:solidFill>
              <a:ln w="19050">
                <a:solidFill>
                  <a:schemeClr val="lt1"/>
                </a:solidFill>
              </a:ln>
              <a:effectLst/>
            </c:spPr>
            <c:extLst>
              <c:ext xmlns:c16="http://schemas.microsoft.com/office/drawing/2014/chart" uri="{C3380CC4-5D6E-409C-BE32-E72D297353CC}">
                <c16:uniqueId val="{0000002F-C795-4342-809F-9E001D7D09C5}"/>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1-C795-4342-809F-9E001D7D09C5}"/>
              </c:ext>
            </c:extLst>
          </c:dPt>
          <c:dPt>
            <c:idx val="196"/>
            <c:bubble3D val="0"/>
            <c:spPr>
              <a:solidFill>
                <a:schemeClr val="accent3"/>
              </a:solidFill>
              <a:ln w="19050">
                <a:solidFill>
                  <a:schemeClr val="lt1"/>
                </a:solidFill>
              </a:ln>
              <a:effectLst/>
            </c:spPr>
            <c:extLst>
              <c:ext xmlns:c16="http://schemas.microsoft.com/office/drawing/2014/chart" uri="{C3380CC4-5D6E-409C-BE32-E72D297353CC}">
                <c16:uniqueId val="{00000033-C795-4342-809F-9E001D7D09C5}"/>
              </c:ext>
            </c:extLst>
          </c:dPt>
          <c:dPt>
            <c:idx val="201"/>
            <c:bubble3D val="0"/>
            <c:spPr>
              <a:solidFill>
                <a:schemeClr val="accent6"/>
              </a:solidFill>
              <a:ln w="19050">
                <a:solidFill>
                  <a:schemeClr val="lt1"/>
                </a:solidFill>
              </a:ln>
              <a:effectLst/>
            </c:spPr>
            <c:extLst>
              <c:ext xmlns:c16="http://schemas.microsoft.com/office/drawing/2014/chart" uri="{C3380CC4-5D6E-409C-BE32-E72D297353CC}">
                <c16:uniqueId val="{00000035-C795-4342-809F-9E001D7D09C5}"/>
              </c:ext>
            </c:extLst>
          </c:dPt>
          <c:cat>
            <c:strRef>
              <c:f>Analytics!$A$48:$A$251</c:f>
              <c:strCache>
                <c:ptCount val="203"/>
                <c:pt idx="0">
                  <c:v>Pause pressed on keyboard</c:v>
                </c:pt>
                <c:pt idx="1">
                  <c:v>Arc light detected</c:v>
                </c:pt>
                <c:pt idx="2">
                  <c:v>Pause over RCS __0</c:v>
                </c:pt>
                <c:pt idx="3">
                  <c:v>Manual Stop</c:v>
                </c:pt>
                <c:pt idx="4">
                  <c:v>ExEx low voltage L_: ___V</c:v>
                </c:pt>
                <c:pt idx="5">
                  <c:v>New SERVICE state: _, ____</c:v>
                </c:pt>
                <c:pt idx="6">
                  <c:v>YawUntwistCCW: Code__,_______°</c:v>
                </c:pt>
                <c:pt idx="7">
                  <c:v>UPS Error</c:v>
                </c:pt>
                <c:pt idx="8">
                  <c:v>High temp. Gen bearing _:___°C</c:v>
                </c:pt>
                <c:pt idx="9">
                  <c:v>GeneratorBreakerFBResponse</c:v>
                </c:pt>
                <c:pt idx="10">
                  <c:v>Manually stop</c:v>
                </c:pt>
                <c:pt idx="11">
                  <c:v>YawUntwistCW: Code__,_______°</c:v>
                </c:pt>
                <c:pt idx="12">
                  <c:v>Yaw System Stopped</c:v>
                </c:pt>
                <c:pt idx="13">
                  <c:v>Low voltage L_: ___ V</c:v>
                </c:pt>
                <c:pt idx="14">
                  <c:v>ArcNetReconfigMaxLimit      10</c:v>
                </c:pt>
                <c:pt idx="15">
                  <c:v>Manual stopped</c:v>
                </c:pt>
                <c:pt idx="16">
                  <c:v>Prop Valve B Status Fault</c:v>
                </c:pt>
                <c:pt idx="17">
                  <c:v>SyncVoltMeasurementMismatch</c:v>
                </c:pt>
                <c:pt idx="18">
                  <c:v>Yaw to cable twist</c:v>
                </c:pt>
                <c:pt idx="19">
                  <c:v>Pitch pos C meas. signal fault</c:v>
                </c:pt>
                <c:pt idx="20">
                  <c:v>BladeCEdgePeakLoad: ___.__ kNm</c:v>
                </c:pt>
                <c:pt idx="21">
                  <c:v>Not available </c:v>
                </c:pt>
                <c:pt idx="22">
                  <c:v>Thermoerror Waterpump</c:v>
                </c:pt>
                <c:pt idx="23">
                  <c:v>Tow. acc. X Fault:__.__ m/s^2</c:v>
                </c:pt>
                <c:pt idx="24">
                  <c:v>SignalError-PAUSE _____,_____</c:v>
                </c:pt>
                <c:pt idx="25">
                  <c:v>ArcNetReconfigMaxLimit________</c:v>
                </c:pt>
                <c:pt idx="26">
                  <c:v>Estop button activated</c:v>
                </c:pt>
                <c:pt idx="27">
                  <c:v>YawSignals Invalid</c:v>
                </c:pt>
                <c:pt idx="28">
                  <c:v>Grid Converter CB Open</c:v>
                </c:pt>
                <c:pt idx="29">
                  <c:v> Low oil Hydraulics</c:v>
                </c:pt>
                <c:pt idx="30">
                  <c:v>High temp gear bearing</c:v>
                </c:pt>
                <c:pt idx="31">
                  <c:v>TripHVButtonActivated__</c:v>
                </c:pt>
                <c:pt idx="32">
                  <c:v>Extr low Voltage</c:v>
                </c:pt>
                <c:pt idx="33">
                  <c:v>Ch hardware error C0</c:v>
                </c:pt>
                <c:pt idx="34">
                  <c:v>Pitch pos B meas. signal fault</c:v>
                </c:pt>
                <c:pt idx="35">
                  <c:v>Ch hardware error C_</c:v>
                </c:pt>
                <c:pt idx="36">
                  <c:v>VibrShockAct X _.__Y _.__m/s^2</c:v>
                </c:pt>
                <c:pt idx="37">
                  <c:v> Extr. low voltage L3</c:v>
                </c:pt>
                <c:pt idx="38">
                  <c:v>SafetySystem Reset Required</c:v>
                </c:pt>
                <c:pt idx="39">
                  <c:v>High temp. Gen bearing 1: 95Â°C</c:v>
                </c:pt>
                <c:pt idx="40">
                  <c:v>GeneratorBreakerUnexpectedFb</c:v>
                </c:pt>
                <c:pt idx="41">
                  <c:v>OutOfMemory</c:v>
                </c:pt>
                <c:pt idx="42">
                  <c:v>Grid inv. HW error L_</c:v>
                </c:pt>
                <c:pt idx="43">
                  <c:v>Signal Error</c:v>
                </c:pt>
                <c:pt idx="44">
                  <c:v>ExEx low voltage L3:   1V</c:v>
                </c:pt>
                <c:pt idx="45">
                  <c:v>Gear box bear c temp differ </c:v>
                </c:pt>
                <c:pt idx="46">
                  <c:v>Yaw motor thermo error</c:v>
                </c:pt>
                <c:pt idx="47">
                  <c:v>Leak current 2004A</c:v>
                </c:pt>
                <c:pt idx="48">
                  <c:v>GenBreakerOpen,US12___UL12___</c:v>
                </c:pt>
                <c:pt idx="49">
                  <c:v>Frequency error 1</c:v>
                </c:pt>
                <c:pt idx="50">
                  <c:v>SafetySystem Hub Pending</c:v>
                </c:pt>
                <c:pt idx="51">
                  <c:v>GeneratorBreakerTripped</c:v>
                </c:pt>
                <c:pt idx="52">
                  <c:v>Pitch pos A meas. signal fault</c:v>
                </c:pt>
                <c:pt idx="53">
                  <c:v>SafetySystem Hub Error</c:v>
                </c:pt>
                <c:pt idx="54">
                  <c:v>Leakage Current</c:v>
                </c:pt>
                <c:pt idx="55">
                  <c:v>Pitch valves test active</c:v>
                </c:pt>
                <c:pt idx="56">
                  <c:v>Yaw To Cable Twist Reset</c:v>
                </c:pt>
                <c:pt idx="57">
                  <c:v>Pause over RCS 13</c:v>
                </c:pt>
                <c:pt idx="58">
                  <c:v>Internal sublogic error</c:v>
                </c:pt>
                <c:pt idx="59">
                  <c:v>HubSafty HydrPres  Low DBlk</c:v>
                </c:pt>
                <c:pt idx="60">
                  <c:v>Frequency error 1: ___.__ Hz</c:v>
                </c:pt>
                <c:pt idx="61">
                  <c:v>Low voltage L3:   2 V</c:v>
                </c:pt>
                <c:pt idx="62">
                  <c:v>Overtemp charging DC, ____V</c:v>
                </c:pt>
                <c:pt idx="63">
                  <c:v>ExEx low voltage L2:   1V</c:v>
                </c:pt>
                <c:pt idx="64">
                  <c:v>YawUntwistCCW: Code 6</c:v>
                </c:pt>
                <c:pt idx="65">
                  <c:v>HubSafetySystem Batt.Level Err</c:v>
                </c:pt>
                <c:pt idx="66">
                  <c:v>Yaw To Nacelle Position Reset</c:v>
                </c:pt>
                <c:pt idx="67">
                  <c:v>GearOilTempLow ___°C</c:v>
                </c:pt>
                <c:pt idx="68">
                  <c:v>Ambient temperature high: __°C</c:v>
                </c:pt>
                <c:pt idx="69">
                  <c:v>HubSafty HydrPres Low BldA</c:v>
                </c:pt>
                <c:pt idx="70">
                  <c:v>StatorFilter Thermo Fault</c:v>
                </c:pt>
                <c:pt idx="71">
                  <c:v>Pitch C too low: __._° &lt; __._°</c:v>
                </c:pt>
                <c:pt idx="72">
                  <c:v>BladeBEdgePeakLoad: ___.__ kNm</c:v>
                </c:pt>
                <c:pt idx="73">
                  <c:v>pitch pos Cmeans signal fault</c:v>
                </c:pt>
                <c:pt idx="74">
                  <c:v>HydrOilExtremeHighTemp_____°C</c:v>
                </c:pt>
                <c:pt idx="75">
                  <c:v>YawUntwistCCW: Code 6,    540Â°</c:v>
                </c:pt>
                <c:pt idx="76">
                  <c:v>Ch High res. load C_ Load:___%</c:v>
                </c:pt>
                <c:pt idx="77">
                  <c:v>RotorTachSpdSigErr._____,_____</c:v>
                </c:pt>
                <c:pt idx="78">
                  <c:v>Pitch A BL unlock alarm N= ___</c:v>
                </c:pt>
                <c:pt idx="79">
                  <c:v>RT AGO2Sta.Cyc. Count_,____V</c:v>
                </c:pt>
                <c:pt idx="80">
                  <c:v>YawToCableTwistResetNotAvail</c:v>
                </c:pt>
                <c:pt idx="81">
                  <c:v>Blade load sensor Fault detucted</c:v>
                </c:pt>
                <c:pt idx="82">
                  <c:v>PitAPFBsensorunavailable</c:v>
                </c:pt>
                <c:pt idx="83">
                  <c:v>Gear HSBearB Temp:___°C</c:v>
                </c:pt>
                <c:pt idx="84">
                  <c:v>Pitch accu. test active</c:v>
                </c:pt>
                <c:pt idx="85">
                  <c:v>EMC valves test active</c:v>
                </c:pt>
                <c:pt idx="86">
                  <c:v>Ext. low DC voltage  ____V</c:v>
                </c:pt>
                <c:pt idx="87">
                  <c:v>ArcNetReconfigMaxLimit      11</c:v>
                </c:pt>
                <c:pt idx="88">
                  <c:v>Hub BallValve B Open</c:v>
                </c:pt>
                <c:pt idx="89">
                  <c:v>HubSafty HydrPres Draind-BldC</c:v>
                </c:pt>
                <c:pt idx="90">
                  <c:v>Hub BallValve C Open</c:v>
                </c:pt>
                <c:pt idx="91">
                  <c:v>Pause over RCS 14</c:v>
                </c:pt>
                <c:pt idx="92">
                  <c:v>PitchB pos:__._° vel:___._°/s</c:v>
                </c:pt>
                <c:pt idx="93">
                  <c:v>Frequency error 1:   0.56 Hz</c:v>
                </c:pt>
                <c:pt idx="94">
                  <c:v>Low voltage L3:   1 V</c:v>
                </c:pt>
                <c:pt idx="95">
                  <c:v>ExtHighIRotorInv phase: _</c:v>
                </c:pt>
                <c:pt idx="96">
                  <c:v>Rotor:__._RPM, Gen.:____._ RPM</c:v>
                </c:pt>
                <c:pt idx="97">
                  <c:v>PrevCabTwCode:_ CabTwCode:_</c:v>
                </c:pt>
                <c:pt idx="98">
                  <c:v>Hub panel 24V supply missing warning inspection</c:v>
                </c:pt>
                <c:pt idx="99">
                  <c:v>HubSafetyOptiStopConfig.Err __</c:v>
                </c:pt>
                <c:pt idx="100">
                  <c:v>Auto reclosing RTOP inspection</c:v>
                </c:pt>
                <c:pt idx="101">
                  <c:v>SupplyError: Min    2V phase2</c:v>
                </c:pt>
                <c:pt idx="102">
                  <c:v>Ext. High cur. Grid inv. L_</c:v>
                </c:pt>
                <c:pt idx="103">
                  <c:v>Extreme yawerror __._m/s___._°</c:v>
                </c:pt>
                <c:pt idx="104">
                  <c:v>UDC Discharge Failed</c:v>
                </c:pt>
                <c:pt idx="105">
                  <c:v>High cur.grid inv. L1:2158A</c:v>
                </c:pt>
                <c:pt idx="106">
                  <c:v>GenerLubrErr:MissLubrTime___s</c:v>
                </c:pt>
                <c:pt idx="107">
                  <c:v>ExEx low voltage L1:   2V</c:v>
                </c:pt>
                <c:pt idx="108">
                  <c:v>BrakeHotLowBrakePressure  0bar</c:v>
                </c:pt>
                <c:pt idx="109">
                  <c:v>Pause over RCS 12</c:v>
                </c:pt>
                <c:pt idx="110">
                  <c:v>High windspeed: __._ m/s</c:v>
                </c:pt>
                <c:pt idx="111">
                  <c:v>Gear HSBearA Temp:___°C</c:v>
                </c:pt>
                <c:pt idx="112">
                  <c:v>Extreme yawerror</c:v>
                </c:pt>
                <c:pt idx="113">
                  <c:v>High cur.grid inv. L_:____A</c:v>
                </c:pt>
                <c:pt idx="114">
                  <c:v>SupplyError: Min    1V phase1</c:v>
                </c:pt>
                <c:pt idx="115">
                  <c:v>Ext. low DC voltage   469V</c:v>
                </c:pt>
                <c:pt idx="116">
                  <c:v>Thermoerror Int.Gen.Fan F___A</c:v>
                </c:pt>
                <c:pt idx="117">
                  <c:v>Safety System Fault</c:v>
                </c:pt>
                <c:pt idx="118">
                  <c:v>Too many auto-restarts:   83</c:v>
                </c:pt>
                <c:pt idx="119">
                  <c:v>Too many auto-restarts:  116</c:v>
                </c:pt>
                <c:pt idx="120">
                  <c:v>Ext. High cur. Grid inv. L1</c:v>
                </c:pt>
                <c:pt idx="121">
                  <c:v>MainShaftSigError._____,_____</c:v>
                </c:pt>
                <c:pt idx="122">
                  <c:v>YawUntwistCCW: Code 6,    561Â°</c:v>
                </c:pt>
                <c:pt idx="123">
                  <c:v>GearOilInletPressLow 3.4 bar</c:v>
                </c:pt>
                <c:pt idx="124">
                  <c:v>Too many auto-restarts:   80</c:v>
                </c:pt>
                <c:pt idx="125">
                  <c:v>HubSafty HydrPres Low BldC</c:v>
                </c:pt>
                <c:pt idx="126">
                  <c:v>YawUntwistCCW: Code 5</c:v>
                </c:pt>
                <c:pt idx="127">
                  <c:v>Too many auto-restarts: 5470</c:v>
                </c:pt>
                <c:pt idx="128">
                  <c:v>SupplyError: Min    2V phase3</c:v>
                </c:pt>
                <c:pt idx="129">
                  <c:v>PowerSupplyLowFreq: Min___ Hz</c:v>
                </c:pt>
                <c:pt idx="130">
                  <c:v>YawUntwistCW: Code 3</c:v>
                </c:pt>
                <c:pt idx="131">
                  <c:v>WatchdogReboot</c:v>
                </c:pt>
                <c:pt idx="132">
                  <c:v>Low voltage L3:   3 V</c:v>
                </c:pt>
                <c:pt idx="133">
                  <c:v>Frequency error 3:   0.47 Hz</c:v>
                </c:pt>
                <c:pt idx="134">
                  <c:v>Error on all wind sensors</c:v>
                </c:pt>
                <c:pt idx="135">
                  <c:v>DC Undervoltage: ____V</c:v>
                </c:pt>
                <c:pt idx="136">
                  <c:v>SaftySystem Nacelle Comm Err.</c:v>
                </c:pt>
                <c:pt idx="137">
                  <c:v>Brake Low Pressure and Hot</c:v>
                </c:pt>
                <c:pt idx="138">
                  <c:v>YawUntwistCCW: Code 6,    550Â°</c:v>
                </c:pt>
                <c:pt idx="139">
                  <c:v>YawUntwistCCW: Code 7,    517Â°</c:v>
                </c:pt>
                <c:pt idx="140">
                  <c:v>YawUntwistCCW: Code 7,    112Â°</c:v>
                </c:pt>
                <c:pt idx="141">
                  <c:v>GridInverterContactorFBError</c:v>
                </c:pt>
                <c:pt idx="142">
                  <c:v>ArcNetReconfigMaxLimit      12</c:v>
                </c:pt>
                <c:pt idx="143">
                  <c:v>YawUntwistCCW: Code 6,    546Â°</c:v>
                </c:pt>
                <c:pt idx="144">
                  <c:v>YawUntwistCCW: Code 7</c:v>
                </c:pt>
                <c:pt idx="145">
                  <c:v>RT Dip exc.lim.:___%:_____e-2s</c:v>
                </c:pt>
                <c:pt idx="146">
                  <c:v>Blade loads calib. Active</c:v>
                </c:pt>
                <c:pt idx="147">
                  <c:v>YawUntwistCCW: Code 6,    717Â°</c:v>
                </c:pt>
                <c:pt idx="148">
                  <c:v>Yaw To Nac Pos Reset Not Allwd</c:v>
                </c:pt>
                <c:pt idx="149">
                  <c:v>Incorrect Error Code</c:v>
                </c:pt>
                <c:pt idx="150">
                  <c:v>No space in Warning Log</c:v>
                </c:pt>
                <c:pt idx="151">
                  <c:v>Generator FB no response</c:v>
                </c:pt>
                <c:pt idx="152">
                  <c:v>YawUntwistCCW: Code 6,    564Â°</c:v>
                </c:pt>
                <c:pt idx="153">
                  <c:v>YawUntwistCCW: Code 6,    619Â°</c:v>
                </c:pt>
                <c:pt idx="154">
                  <c:v>Frequency error 1:   0.44 Hz</c:v>
                </c:pt>
                <c:pt idx="155">
                  <c:v>YawUntwistCCW: Code 5,    540Â°</c:v>
                </c:pt>
                <c:pt idx="156">
                  <c:v>Generator Bearing  Temp 1 high 95 degree</c:v>
                </c:pt>
                <c:pt idx="157">
                  <c:v>PtchValCErr,VeloctyC___._mm/s</c:v>
                </c:pt>
                <c:pt idx="158">
                  <c:v>YawUntwistCCW: Code 6,    626Â°</c:v>
                </c:pt>
                <c:pt idx="159">
                  <c:v>ExEx low voltage L3:   2V</c:v>
                </c:pt>
                <c:pt idx="160">
                  <c:v>YawUntwistCCW: Code 6,    547Â°</c:v>
                </c:pt>
                <c:pt idx="161">
                  <c:v>PowerSupplyLowFreq: Min 47 Hz</c:v>
                </c:pt>
                <c:pt idx="162">
                  <c:v>YawUntwistCCW: Code 6,    573Â°</c:v>
                </c:pt>
                <c:pt idx="163">
                  <c:v>YawUntwistCCW: Code 6,    557Â°</c:v>
                </c:pt>
                <c:pt idx="164">
                  <c:v>YawUntwistCCW: Code 6,    555Â°</c:v>
                </c:pt>
                <c:pt idx="165">
                  <c:v> Prop Valve C Status Fault </c:v>
                </c:pt>
                <c:pt idx="166">
                  <c:v>Extr. low voltage L_: ___V</c:v>
                </c:pt>
                <c:pt idx="167">
                  <c:v>Pitch C ref:__._°, Act.:__._°</c:v>
                </c:pt>
                <c:pt idx="168">
                  <c:v>DODP Leak Failure</c:v>
                </c:pt>
                <c:pt idx="169">
                  <c:v>ExEx low voltage L2:   4V</c:v>
                </c:pt>
                <c:pt idx="170">
                  <c:v>Frequency error 3:   0.54 Hz</c:v>
                </c:pt>
                <c:pt idx="171">
                  <c:v>Remote Reboot</c:v>
                </c:pt>
                <c:pt idx="172">
                  <c:v>HubSafetySystem Speed Err.:_</c:v>
                </c:pt>
                <c:pt idx="173">
                  <c:v>HydrMainPressLow:____bar____°C</c:v>
                </c:pt>
                <c:pt idx="174">
                  <c:v>Max. Yaw error: ___._°</c:v>
                </c:pt>
                <c:pt idx="175">
                  <c:v>HighIStrikesorber </c:v>
                </c:pt>
                <c:pt idx="176">
                  <c:v>GearOilInletPressLow 1.1 bar</c:v>
                </c:pt>
                <c:pt idx="177">
                  <c:v>EMC Valves Unexpected Open</c:v>
                </c:pt>
                <c:pt idx="178">
                  <c:v>HydPressOscBlBFilt2,   8.3bar</c:v>
                </c:pt>
                <c:pt idx="179">
                  <c:v>Max generator RPM: ____._ RPM</c:v>
                </c:pt>
                <c:pt idx="180">
                  <c:v>Slip:____ above limits _</c:v>
                </c:pt>
                <c:pt idx="181">
                  <c:v>Tow. acc. X, Alarm:__.__ m/s^2</c:v>
                </c:pt>
                <c:pt idx="182">
                  <c:v>ExEx low voltage L3</c:v>
                </c:pt>
                <c:pt idx="183">
                  <c:v> Blade loads calib. Active</c:v>
                </c:pt>
                <c:pt idx="184">
                  <c:v>High cur.rotor inv. L_:____A</c:v>
                </c:pt>
                <c:pt idx="185">
                  <c:v>Pitch C BL unlock alarm N= ___</c:v>
                </c:pt>
                <c:pt idx="186">
                  <c:v>HydPressOscBlAFilt3,  15.0bar</c:v>
                </c:pt>
                <c:pt idx="187">
                  <c:v>Generator Disc timeout</c:v>
                </c:pt>
                <c:pt idx="188">
                  <c:v>Tow. acc. X, Alarm: 0.24 m/s^2</c:v>
                </c:pt>
                <c:pt idx="189">
                  <c:v>Asym.currL1:____A,Others:____A</c:v>
                </c:pt>
                <c:pt idx="190">
                  <c:v>Extreme yawerror 15.4m/s 45.0Â°</c:v>
                </c:pt>
                <c:pt idx="191">
                  <c:v>Turbine OK</c:v>
                </c:pt>
                <c:pt idx="192">
                  <c:v>Yaw system stopped </c:v>
                </c:pt>
                <c:pt idx="193">
                  <c:v>Gen Stator CB Open</c:v>
                </c:pt>
                <c:pt idx="194">
                  <c:v>Pitch valves test acitve</c:v>
                </c:pt>
                <c:pt idx="195">
                  <c:v>Ext. High I sum Grd inv.</c:v>
                </c:pt>
                <c:pt idx="196">
                  <c:v>Prop Valve A Status Fault</c:v>
                </c:pt>
                <c:pt idx="197">
                  <c:v>GenSpd:__._RPM, Ref:____._ RPM</c:v>
                </c:pt>
                <c:pt idx="198">
                  <c:v>Prop Valve C Status Fault</c:v>
                </c:pt>
                <c:pt idx="199">
                  <c:v>Low oil-level, hydraulic</c:v>
                </c:pt>
                <c:pt idx="200">
                  <c:v>Ext. High I sum Rotinv.ChanX</c:v>
                </c:pt>
                <c:pt idx="201">
                  <c:v>HVCB Unknown Trip Reason</c:v>
                </c:pt>
                <c:pt idx="202">
                  <c:v>HubSafetySystem Batt.Charg.Err</c:v>
                </c:pt>
              </c:strCache>
            </c:strRef>
          </c:cat>
          <c:val>
            <c:numRef>
              <c:f>Analytics!$C$48:$C$251</c:f>
              <c:numCache>
                <c:formatCode>General</c:formatCode>
                <c:ptCount val="203"/>
                <c:pt idx="0">
                  <c:v>354</c:v>
                </c:pt>
                <c:pt idx="1">
                  <c:v>49</c:v>
                </c:pt>
                <c:pt idx="2">
                  <c:v>139</c:v>
                </c:pt>
                <c:pt idx="3">
                  <c:v>101</c:v>
                </c:pt>
                <c:pt idx="4">
                  <c:v>95</c:v>
                </c:pt>
                <c:pt idx="5">
                  <c:v>15</c:v>
                </c:pt>
                <c:pt idx="6">
                  <c:v>615</c:v>
                </c:pt>
                <c:pt idx="7">
                  <c:v>114</c:v>
                </c:pt>
                <c:pt idx="8">
                  <c:v>19</c:v>
                </c:pt>
                <c:pt idx="9">
                  <c:v>29</c:v>
                </c:pt>
                <c:pt idx="10">
                  <c:v>20</c:v>
                </c:pt>
                <c:pt idx="11">
                  <c:v>144</c:v>
                </c:pt>
                <c:pt idx="12">
                  <c:v>31</c:v>
                </c:pt>
                <c:pt idx="13">
                  <c:v>26</c:v>
                </c:pt>
                <c:pt idx="14">
                  <c:v>4</c:v>
                </c:pt>
                <c:pt idx="15">
                  <c:v>12</c:v>
                </c:pt>
                <c:pt idx="16">
                  <c:v>84</c:v>
                </c:pt>
                <c:pt idx="17">
                  <c:v>13</c:v>
                </c:pt>
                <c:pt idx="18">
                  <c:v>82</c:v>
                </c:pt>
                <c:pt idx="19">
                  <c:v>26</c:v>
                </c:pt>
                <c:pt idx="20">
                  <c:v>18</c:v>
                </c:pt>
                <c:pt idx="21">
                  <c:v>3</c:v>
                </c:pt>
                <c:pt idx="22">
                  <c:v>13</c:v>
                </c:pt>
                <c:pt idx="23">
                  <c:v>3</c:v>
                </c:pt>
                <c:pt idx="24">
                  <c:v>16</c:v>
                </c:pt>
                <c:pt idx="25">
                  <c:v>21</c:v>
                </c:pt>
                <c:pt idx="26">
                  <c:v>2</c:v>
                </c:pt>
                <c:pt idx="27">
                  <c:v>51</c:v>
                </c:pt>
                <c:pt idx="28">
                  <c:v>4</c:v>
                </c:pt>
                <c:pt idx="29">
                  <c:v>2</c:v>
                </c:pt>
                <c:pt idx="30">
                  <c:v>5</c:v>
                </c:pt>
                <c:pt idx="31">
                  <c:v>14</c:v>
                </c:pt>
                <c:pt idx="32">
                  <c:v>2</c:v>
                </c:pt>
                <c:pt idx="33">
                  <c:v>24</c:v>
                </c:pt>
                <c:pt idx="34">
                  <c:v>14</c:v>
                </c:pt>
                <c:pt idx="35">
                  <c:v>32</c:v>
                </c:pt>
                <c:pt idx="36">
                  <c:v>8</c:v>
                </c:pt>
                <c:pt idx="37">
                  <c:v>3</c:v>
                </c:pt>
                <c:pt idx="38">
                  <c:v>8</c:v>
                </c:pt>
                <c:pt idx="39">
                  <c:v>3</c:v>
                </c:pt>
                <c:pt idx="40">
                  <c:v>8</c:v>
                </c:pt>
                <c:pt idx="41">
                  <c:v>14</c:v>
                </c:pt>
                <c:pt idx="42">
                  <c:v>4</c:v>
                </c:pt>
                <c:pt idx="43">
                  <c:v>4</c:v>
                </c:pt>
                <c:pt idx="44">
                  <c:v>34</c:v>
                </c:pt>
                <c:pt idx="45">
                  <c:v>2</c:v>
                </c:pt>
                <c:pt idx="46">
                  <c:v>2</c:v>
                </c:pt>
                <c:pt idx="47">
                  <c:v>1</c:v>
                </c:pt>
                <c:pt idx="48">
                  <c:v>8</c:v>
                </c:pt>
                <c:pt idx="49">
                  <c:v>2</c:v>
                </c:pt>
                <c:pt idx="50">
                  <c:v>4</c:v>
                </c:pt>
                <c:pt idx="51">
                  <c:v>5</c:v>
                </c:pt>
                <c:pt idx="52">
                  <c:v>3</c:v>
                </c:pt>
                <c:pt idx="53">
                  <c:v>2</c:v>
                </c:pt>
                <c:pt idx="54">
                  <c:v>4</c:v>
                </c:pt>
                <c:pt idx="55">
                  <c:v>54</c:v>
                </c:pt>
                <c:pt idx="56">
                  <c:v>30</c:v>
                </c:pt>
                <c:pt idx="57">
                  <c:v>6</c:v>
                </c:pt>
                <c:pt idx="58">
                  <c:v>35</c:v>
                </c:pt>
                <c:pt idx="59">
                  <c:v>83</c:v>
                </c:pt>
                <c:pt idx="60">
                  <c:v>8</c:v>
                </c:pt>
                <c:pt idx="61">
                  <c:v>5</c:v>
                </c:pt>
                <c:pt idx="62">
                  <c:v>1</c:v>
                </c:pt>
                <c:pt idx="63">
                  <c:v>15</c:v>
                </c:pt>
                <c:pt idx="64">
                  <c:v>15</c:v>
                </c:pt>
                <c:pt idx="65">
                  <c:v>3</c:v>
                </c:pt>
                <c:pt idx="66">
                  <c:v>17</c:v>
                </c:pt>
                <c:pt idx="67">
                  <c:v>3</c:v>
                </c:pt>
                <c:pt idx="68">
                  <c:v>8</c:v>
                </c:pt>
                <c:pt idx="69">
                  <c:v>3</c:v>
                </c:pt>
                <c:pt idx="70">
                  <c:v>1</c:v>
                </c:pt>
                <c:pt idx="71">
                  <c:v>8</c:v>
                </c:pt>
                <c:pt idx="72">
                  <c:v>1</c:v>
                </c:pt>
                <c:pt idx="73">
                  <c:v>1</c:v>
                </c:pt>
                <c:pt idx="74">
                  <c:v>2</c:v>
                </c:pt>
                <c:pt idx="75">
                  <c:v>10</c:v>
                </c:pt>
                <c:pt idx="76">
                  <c:v>7</c:v>
                </c:pt>
                <c:pt idx="77">
                  <c:v>1</c:v>
                </c:pt>
                <c:pt idx="78">
                  <c:v>6</c:v>
                </c:pt>
                <c:pt idx="79">
                  <c:v>3</c:v>
                </c:pt>
                <c:pt idx="80">
                  <c:v>7</c:v>
                </c:pt>
                <c:pt idx="81">
                  <c:v>1</c:v>
                </c:pt>
                <c:pt idx="82">
                  <c:v>1</c:v>
                </c:pt>
                <c:pt idx="83">
                  <c:v>2</c:v>
                </c:pt>
                <c:pt idx="84">
                  <c:v>50</c:v>
                </c:pt>
                <c:pt idx="85">
                  <c:v>9</c:v>
                </c:pt>
                <c:pt idx="86">
                  <c:v>3</c:v>
                </c:pt>
                <c:pt idx="87">
                  <c:v>4</c:v>
                </c:pt>
                <c:pt idx="88">
                  <c:v>1</c:v>
                </c:pt>
                <c:pt idx="89">
                  <c:v>2</c:v>
                </c:pt>
                <c:pt idx="90">
                  <c:v>1</c:v>
                </c:pt>
                <c:pt idx="91">
                  <c:v>1</c:v>
                </c:pt>
                <c:pt idx="92">
                  <c:v>3</c:v>
                </c:pt>
                <c:pt idx="93">
                  <c:v>7</c:v>
                </c:pt>
                <c:pt idx="94">
                  <c:v>4</c:v>
                </c:pt>
                <c:pt idx="95">
                  <c:v>10</c:v>
                </c:pt>
                <c:pt idx="96">
                  <c:v>23</c:v>
                </c:pt>
                <c:pt idx="97">
                  <c:v>5</c:v>
                </c:pt>
                <c:pt idx="98">
                  <c:v>2</c:v>
                </c:pt>
                <c:pt idx="99">
                  <c:v>2</c:v>
                </c:pt>
                <c:pt idx="100">
                  <c:v>1</c:v>
                </c:pt>
                <c:pt idx="101">
                  <c:v>1</c:v>
                </c:pt>
                <c:pt idx="102">
                  <c:v>2</c:v>
                </c:pt>
                <c:pt idx="103">
                  <c:v>40</c:v>
                </c:pt>
                <c:pt idx="104">
                  <c:v>5</c:v>
                </c:pt>
                <c:pt idx="105">
                  <c:v>1</c:v>
                </c:pt>
                <c:pt idx="106">
                  <c:v>2</c:v>
                </c:pt>
                <c:pt idx="107">
                  <c:v>2</c:v>
                </c:pt>
                <c:pt idx="108">
                  <c:v>1</c:v>
                </c:pt>
                <c:pt idx="109">
                  <c:v>2</c:v>
                </c:pt>
                <c:pt idx="110">
                  <c:v>8</c:v>
                </c:pt>
                <c:pt idx="111">
                  <c:v>2</c:v>
                </c:pt>
                <c:pt idx="112">
                  <c:v>7</c:v>
                </c:pt>
                <c:pt idx="113">
                  <c:v>4</c:v>
                </c:pt>
                <c:pt idx="114">
                  <c:v>1</c:v>
                </c:pt>
                <c:pt idx="115">
                  <c:v>1</c:v>
                </c:pt>
                <c:pt idx="116">
                  <c:v>6</c:v>
                </c:pt>
                <c:pt idx="117">
                  <c:v>1</c:v>
                </c:pt>
                <c:pt idx="118">
                  <c:v>1</c:v>
                </c:pt>
                <c:pt idx="119">
                  <c:v>1</c:v>
                </c:pt>
                <c:pt idx="120">
                  <c:v>1</c:v>
                </c:pt>
                <c:pt idx="121">
                  <c:v>1</c:v>
                </c:pt>
                <c:pt idx="122">
                  <c:v>3</c:v>
                </c:pt>
                <c:pt idx="123">
                  <c:v>1</c:v>
                </c:pt>
                <c:pt idx="124">
                  <c:v>1</c:v>
                </c:pt>
                <c:pt idx="125">
                  <c:v>3</c:v>
                </c:pt>
                <c:pt idx="126">
                  <c:v>3</c:v>
                </c:pt>
                <c:pt idx="127">
                  <c:v>1</c:v>
                </c:pt>
                <c:pt idx="128">
                  <c:v>1</c:v>
                </c:pt>
                <c:pt idx="129">
                  <c:v>5</c:v>
                </c:pt>
                <c:pt idx="130">
                  <c:v>3</c:v>
                </c:pt>
                <c:pt idx="131">
                  <c:v>3</c:v>
                </c:pt>
                <c:pt idx="132">
                  <c:v>1</c:v>
                </c:pt>
                <c:pt idx="133">
                  <c:v>1</c:v>
                </c:pt>
                <c:pt idx="134">
                  <c:v>4</c:v>
                </c:pt>
                <c:pt idx="135">
                  <c:v>1</c:v>
                </c:pt>
                <c:pt idx="136">
                  <c:v>1</c:v>
                </c:pt>
                <c:pt idx="137">
                  <c:v>1</c:v>
                </c:pt>
                <c:pt idx="138">
                  <c:v>2</c:v>
                </c:pt>
                <c:pt idx="139">
                  <c:v>1</c:v>
                </c:pt>
                <c:pt idx="140">
                  <c:v>1</c:v>
                </c:pt>
                <c:pt idx="141">
                  <c:v>2</c:v>
                </c:pt>
                <c:pt idx="142">
                  <c:v>1</c:v>
                </c:pt>
                <c:pt idx="143">
                  <c:v>2</c:v>
                </c:pt>
                <c:pt idx="144">
                  <c:v>1</c:v>
                </c:pt>
                <c:pt idx="145">
                  <c:v>1</c:v>
                </c:pt>
                <c:pt idx="146">
                  <c:v>4</c:v>
                </c:pt>
                <c:pt idx="147">
                  <c:v>1</c:v>
                </c:pt>
                <c:pt idx="148">
                  <c:v>2</c:v>
                </c:pt>
                <c:pt idx="149">
                  <c:v>8</c:v>
                </c:pt>
                <c:pt idx="150">
                  <c:v>1</c:v>
                </c:pt>
                <c:pt idx="151">
                  <c:v>1</c:v>
                </c:pt>
                <c:pt idx="152">
                  <c:v>1</c:v>
                </c:pt>
                <c:pt idx="153">
                  <c:v>1</c:v>
                </c:pt>
                <c:pt idx="154">
                  <c:v>1</c:v>
                </c:pt>
                <c:pt idx="155">
                  <c:v>1</c:v>
                </c:pt>
                <c:pt idx="156">
                  <c:v>1</c:v>
                </c:pt>
                <c:pt idx="157">
                  <c:v>1</c:v>
                </c:pt>
                <c:pt idx="158">
                  <c:v>1</c:v>
                </c:pt>
                <c:pt idx="159">
                  <c:v>2</c:v>
                </c:pt>
                <c:pt idx="160">
                  <c:v>1</c:v>
                </c:pt>
                <c:pt idx="161">
                  <c:v>1</c:v>
                </c:pt>
                <c:pt idx="162">
                  <c:v>1</c:v>
                </c:pt>
                <c:pt idx="163">
                  <c:v>1</c:v>
                </c:pt>
                <c:pt idx="164">
                  <c:v>1</c:v>
                </c:pt>
                <c:pt idx="165">
                  <c:v>1</c:v>
                </c:pt>
                <c:pt idx="166">
                  <c:v>2</c:v>
                </c:pt>
                <c:pt idx="167">
                  <c:v>2</c:v>
                </c:pt>
                <c:pt idx="168">
                  <c:v>8</c:v>
                </c:pt>
                <c:pt idx="169">
                  <c:v>1</c:v>
                </c:pt>
                <c:pt idx="170">
                  <c:v>1</c:v>
                </c:pt>
                <c:pt idx="171">
                  <c:v>1</c:v>
                </c:pt>
                <c:pt idx="172">
                  <c:v>2</c:v>
                </c:pt>
                <c:pt idx="173">
                  <c:v>1</c:v>
                </c:pt>
                <c:pt idx="174">
                  <c:v>8</c:v>
                </c:pt>
                <c:pt idx="175">
                  <c:v>1</c:v>
                </c:pt>
                <c:pt idx="176">
                  <c:v>1</c:v>
                </c:pt>
                <c:pt idx="177">
                  <c:v>1</c:v>
                </c:pt>
                <c:pt idx="178">
                  <c:v>1</c:v>
                </c:pt>
                <c:pt idx="179">
                  <c:v>1</c:v>
                </c:pt>
                <c:pt idx="180">
                  <c:v>1</c:v>
                </c:pt>
                <c:pt idx="181">
                  <c:v>2</c:v>
                </c:pt>
                <c:pt idx="182">
                  <c:v>1</c:v>
                </c:pt>
                <c:pt idx="183">
                  <c:v>1</c:v>
                </c:pt>
                <c:pt idx="184">
                  <c:v>2</c:v>
                </c:pt>
                <c:pt idx="185">
                  <c:v>1</c:v>
                </c:pt>
                <c:pt idx="186">
                  <c:v>1</c:v>
                </c:pt>
                <c:pt idx="187">
                  <c:v>1</c:v>
                </c:pt>
                <c:pt idx="188">
                  <c:v>1</c:v>
                </c:pt>
                <c:pt idx="189">
                  <c:v>1</c:v>
                </c:pt>
                <c:pt idx="190">
                  <c:v>1</c:v>
                </c:pt>
                <c:pt idx="191">
                  <c:v>1</c:v>
                </c:pt>
                <c:pt idx="192">
                  <c:v>1</c:v>
                </c:pt>
                <c:pt idx="193">
                  <c:v>114</c:v>
                </c:pt>
                <c:pt idx="194">
                  <c:v>123</c:v>
                </c:pt>
                <c:pt idx="195">
                  <c:v>160</c:v>
                </c:pt>
                <c:pt idx="196">
                  <c:v>38</c:v>
                </c:pt>
                <c:pt idx="197">
                  <c:v>3</c:v>
                </c:pt>
                <c:pt idx="198">
                  <c:v>93</c:v>
                </c:pt>
                <c:pt idx="199">
                  <c:v>6</c:v>
                </c:pt>
                <c:pt idx="200">
                  <c:v>18</c:v>
                </c:pt>
                <c:pt idx="201">
                  <c:v>54</c:v>
                </c:pt>
                <c:pt idx="202">
                  <c:v>102</c:v>
                </c:pt>
              </c:numCache>
            </c:numRef>
          </c:val>
          <c:extLst>
            <c:ext xmlns:c16="http://schemas.microsoft.com/office/drawing/2014/chart" uri="{C3380CC4-5D6E-409C-BE32-E72D297353CC}">
              <c16:uniqueId val="{00000029-49E1-44EE-8F7B-B9C49824440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000000000000022" l="0.70000000000000018" r="0.70000000000000018" t="0.75000000000000022" header="0.3000000000000001" footer="0.3000000000000001"/>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11</xdr:col>
      <xdr:colOff>0</xdr:colOff>
      <xdr:row>14</xdr:row>
      <xdr:rowOff>38100</xdr:rowOff>
    </xdr:from>
    <xdr:to>
      <xdr:col>17</xdr:col>
      <xdr:colOff>257175</xdr:colOff>
      <xdr:row>27</xdr:row>
      <xdr:rowOff>25400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105481</xdr:colOff>
      <xdr:row>44</xdr:row>
      <xdr:rowOff>9416</xdr:rowOff>
    </xdr:from>
    <xdr:to>
      <xdr:col>10</xdr:col>
      <xdr:colOff>25354</xdr:colOff>
      <xdr:row>56</xdr:row>
      <xdr:rowOff>105228</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136072</xdr:colOff>
      <xdr:row>56</xdr:row>
      <xdr:rowOff>103414</xdr:rowOff>
    </xdr:from>
    <xdr:to>
      <xdr:col>12</xdr:col>
      <xdr:colOff>110671</xdr:colOff>
      <xdr:row>61</xdr:row>
      <xdr:rowOff>78012</xdr:rowOff>
    </xdr:to>
    <xdr:sp macro="" textlink="">
      <xdr:nvSpPr>
        <xdr:cNvPr id="3" name="Rectangle 2">
          <a:extLst>
            <a:ext uri="{FF2B5EF4-FFF2-40B4-BE49-F238E27FC236}">
              <a16:creationId xmlns:a16="http://schemas.microsoft.com/office/drawing/2014/main" id="{00000000-0008-0000-0300-000003000000}"/>
            </a:ext>
          </a:extLst>
        </xdr:cNvPr>
        <xdr:cNvSpPr>
          <a:spLocks noTextEdit="1"/>
        </xdr:cNvSpPr>
      </xdr:nvSpPr>
      <xdr:spPr>
        <a:xfrm>
          <a:off x="11108690" y="9904095"/>
          <a:ext cx="1593850" cy="97472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xdr:clientData/>
  </xdr:twoCellAnchor>
  <xdr:twoCellAnchor editAs="oneCell">
    <xdr:from>
      <xdr:col>10</xdr:col>
      <xdr:colOff>123372</xdr:colOff>
      <xdr:row>52</xdr:row>
      <xdr:rowOff>188686</xdr:rowOff>
    </xdr:from>
    <xdr:to>
      <xdr:col>12</xdr:col>
      <xdr:colOff>97971</xdr:colOff>
      <xdr:row>56</xdr:row>
      <xdr:rowOff>27214</xdr:rowOff>
    </xdr:to>
    <xdr:sp macro="" textlink="">
      <xdr:nvSpPr>
        <xdr:cNvPr id="4" name="Rectangle 3">
          <a:extLst>
            <a:ext uri="{FF2B5EF4-FFF2-40B4-BE49-F238E27FC236}">
              <a16:creationId xmlns:a16="http://schemas.microsoft.com/office/drawing/2014/main" id="{00000000-0008-0000-0300-000004000000}"/>
            </a:ext>
          </a:extLst>
        </xdr:cNvPr>
        <xdr:cNvSpPr>
          <a:spLocks noTextEdit="1"/>
        </xdr:cNvSpPr>
      </xdr:nvSpPr>
      <xdr:spPr>
        <a:xfrm>
          <a:off x="11095990" y="9189720"/>
          <a:ext cx="1593850" cy="63817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xdr:clientData/>
  </xdr:twoCellAnchor>
  <xdr:twoCellAnchor editAs="oneCell">
    <xdr:from>
      <xdr:col>10</xdr:col>
      <xdr:colOff>110672</xdr:colOff>
      <xdr:row>48</xdr:row>
      <xdr:rowOff>163286</xdr:rowOff>
    </xdr:from>
    <xdr:to>
      <xdr:col>12</xdr:col>
      <xdr:colOff>97971</xdr:colOff>
      <xdr:row>52</xdr:row>
      <xdr:rowOff>128816</xdr:rowOff>
    </xdr:to>
    <xdr:sp macro="" textlink="">
      <xdr:nvSpPr>
        <xdr:cNvPr id="5" name="Rectangle 4">
          <a:extLst>
            <a:ext uri="{FF2B5EF4-FFF2-40B4-BE49-F238E27FC236}">
              <a16:creationId xmlns:a16="http://schemas.microsoft.com/office/drawing/2014/main" id="{00000000-0008-0000-0300-000005000000}"/>
            </a:ext>
          </a:extLst>
        </xdr:cNvPr>
        <xdr:cNvSpPr>
          <a:spLocks noTextEdit="1"/>
        </xdr:cNvSpPr>
      </xdr:nvSpPr>
      <xdr:spPr>
        <a:xfrm>
          <a:off x="11083290" y="8364220"/>
          <a:ext cx="1606550" cy="76517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xdr:clientData/>
  </xdr:twoCellAnchor>
  <xdr:twoCellAnchor editAs="oneCell">
    <xdr:from>
      <xdr:col>10</xdr:col>
      <xdr:colOff>123372</xdr:colOff>
      <xdr:row>61</xdr:row>
      <xdr:rowOff>116114</xdr:rowOff>
    </xdr:from>
    <xdr:to>
      <xdr:col>12</xdr:col>
      <xdr:colOff>97971</xdr:colOff>
      <xdr:row>79</xdr:row>
      <xdr:rowOff>14514</xdr:rowOff>
    </xdr:to>
    <xdr:sp macro="" textlink="">
      <xdr:nvSpPr>
        <xdr:cNvPr id="7" name="Rectangle 6">
          <a:extLst>
            <a:ext uri="{FF2B5EF4-FFF2-40B4-BE49-F238E27FC236}">
              <a16:creationId xmlns:a16="http://schemas.microsoft.com/office/drawing/2014/main" id="{00000000-0008-0000-0300-000007000000}"/>
            </a:ext>
          </a:extLst>
        </xdr:cNvPr>
        <xdr:cNvSpPr>
          <a:spLocks noTextEdit="1"/>
        </xdr:cNvSpPr>
      </xdr:nvSpPr>
      <xdr:spPr>
        <a:xfrm>
          <a:off x="11095990" y="10916920"/>
          <a:ext cx="1593850" cy="349885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xdr:clientData/>
  </xdr:twoCellAnchor>
  <xdr:twoCellAnchor editAs="oneCell">
    <xdr:from>
      <xdr:col>14</xdr:col>
      <xdr:colOff>123372</xdr:colOff>
      <xdr:row>44</xdr:row>
      <xdr:rowOff>52614</xdr:rowOff>
    </xdr:from>
    <xdr:to>
      <xdr:col>16</xdr:col>
      <xdr:colOff>3176</xdr:colOff>
      <xdr:row>61</xdr:row>
      <xdr:rowOff>90714</xdr:rowOff>
    </xdr:to>
    <xdr:sp macro="" textlink="">
      <xdr:nvSpPr>
        <xdr:cNvPr id="8" name="Rectangle 7">
          <a:extLst>
            <a:ext uri="{FF2B5EF4-FFF2-40B4-BE49-F238E27FC236}">
              <a16:creationId xmlns:a16="http://schemas.microsoft.com/office/drawing/2014/main" id="{00000000-0008-0000-0300-000008000000}"/>
            </a:ext>
          </a:extLst>
        </xdr:cNvPr>
        <xdr:cNvSpPr>
          <a:spLocks noTextEdit="1"/>
        </xdr:cNvSpPr>
      </xdr:nvSpPr>
      <xdr:spPr>
        <a:xfrm>
          <a:off x="14334490" y="7110095"/>
          <a:ext cx="1632585" cy="378142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xdr:clientData/>
  </xdr:twoCellAnchor>
  <xdr:twoCellAnchor editAs="oneCell">
    <xdr:from>
      <xdr:col>14</xdr:col>
      <xdr:colOff>136072</xdr:colOff>
      <xdr:row>61</xdr:row>
      <xdr:rowOff>163287</xdr:rowOff>
    </xdr:from>
    <xdr:to>
      <xdr:col>15</xdr:col>
      <xdr:colOff>949326</xdr:colOff>
      <xdr:row>70</xdr:row>
      <xdr:rowOff>39915</xdr:rowOff>
    </xdr:to>
    <xdr:sp macro="" textlink="">
      <xdr:nvSpPr>
        <xdr:cNvPr id="9" name="Rectangle 8">
          <a:extLst>
            <a:ext uri="{FF2B5EF4-FFF2-40B4-BE49-F238E27FC236}">
              <a16:creationId xmlns:a16="http://schemas.microsoft.com/office/drawing/2014/main" id="{00000000-0008-0000-0300-000009000000}"/>
            </a:ext>
          </a:extLst>
        </xdr:cNvPr>
        <xdr:cNvSpPr>
          <a:spLocks noTextEdit="1"/>
        </xdr:cNvSpPr>
      </xdr:nvSpPr>
      <xdr:spPr>
        <a:xfrm>
          <a:off x="14347190" y="10964545"/>
          <a:ext cx="1613535" cy="16764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xdr:clientData/>
  </xdr:twoCellAnchor>
  <xdr:twoCellAnchor editAs="oneCell">
    <xdr:from>
      <xdr:col>14</xdr:col>
      <xdr:colOff>136072</xdr:colOff>
      <xdr:row>70</xdr:row>
      <xdr:rowOff>141515</xdr:rowOff>
    </xdr:from>
    <xdr:to>
      <xdr:col>15</xdr:col>
      <xdr:colOff>949326</xdr:colOff>
      <xdr:row>79</xdr:row>
      <xdr:rowOff>65314</xdr:rowOff>
    </xdr:to>
    <xdr:sp macro="" textlink="">
      <xdr:nvSpPr>
        <xdr:cNvPr id="10" name="Rectangle 9">
          <a:extLst>
            <a:ext uri="{FF2B5EF4-FFF2-40B4-BE49-F238E27FC236}">
              <a16:creationId xmlns:a16="http://schemas.microsoft.com/office/drawing/2014/main" id="{00000000-0008-0000-0300-00000A000000}"/>
            </a:ext>
          </a:extLst>
        </xdr:cNvPr>
        <xdr:cNvSpPr>
          <a:spLocks noTextEdit="1"/>
        </xdr:cNvSpPr>
      </xdr:nvSpPr>
      <xdr:spPr>
        <a:xfrm>
          <a:off x="14347190" y="12742545"/>
          <a:ext cx="1613535" cy="172402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xdr:clientData/>
  </xdr:twoCellAnchor>
  <xdr:twoCellAnchor editAs="oneCell">
    <xdr:from>
      <xdr:col>12</xdr:col>
      <xdr:colOff>123371</xdr:colOff>
      <xdr:row>44</xdr:row>
      <xdr:rowOff>39914</xdr:rowOff>
    </xdr:from>
    <xdr:to>
      <xdr:col>14</xdr:col>
      <xdr:colOff>97972</xdr:colOff>
      <xdr:row>79</xdr:row>
      <xdr:rowOff>65314</xdr:rowOff>
    </xdr:to>
    <xdr:sp macro="" textlink="">
      <xdr:nvSpPr>
        <xdr:cNvPr id="11" name="Rectangle 10">
          <a:extLst>
            <a:ext uri="{FF2B5EF4-FFF2-40B4-BE49-F238E27FC236}">
              <a16:creationId xmlns:a16="http://schemas.microsoft.com/office/drawing/2014/main" id="{00000000-0008-0000-0300-00000B000000}"/>
            </a:ext>
          </a:extLst>
        </xdr:cNvPr>
        <xdr:cNvSpPr>
          <a:spLocks noTextEdit="1"/>
        </xdr:cNvSpPr>
      </xdr:nvSpPr>
      <xdr:spPr>
        <a:xfrm>
          <a:off x="12715240" y="7097395"/>
          <a:ext cx="1593850" cy="736917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xdr:clientData/>
  </xdr:twoCellAnchor>
  <xdr:twoCellAnchor editAs="oneCell">
    <xdr:from>
      <xdr:col>10</xdr:col>
      <xdr:colOff>97972</xdr:colOff>
      <xdr:row>44</xdr:row>
      <xdr:rowOff>39915</xdr:rowOff>
    </xdr:from>
    <xdr:to>
      <xdr:col>12</xdr:col>
      <xdr:colOff>85271</xdr:colOff>
      <xdr:row>48</xdr:row>
      <xdr:rowOff>78016</xdr:rowOff>
    </xdr:to>
    <xdr:sp macro="" textlink="">
      <xdr:nvSpPr>
        <xdr:cNvPr id="12" name="Rectangle 11">
          <a:extLst>
            <a:ext uri="{FF2B5EF4-FFF2-40B4-BE49-F238E27FC236}">
              <a16:creationId xmlns:a16="http://schemas.microsoft.com/office/drawing/2014/main" id="{00000000-0008-0000-0300-00000C000000}"/>
            </a:ext>
          </a:extLst>
        </xdr:cNvPr>
        <xdr:cNvSpPr>
          <a:spLocks noTextEdit="1"/>
        </xdr:cNvSpPr>
      </xdr:nvSpPr>
      <xdr:spPr>
        <a:xfrm>
          <a:off x="11070590" y="7097395"/>
          <a:ext cx="1606550" cy="11811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yclic_kudligi\Downloads\DGR_CEPPL_Wind%20(12)%20(3).xlsx" TargetMode="External"/><Relationship Id="rId1" Type="http://schemas.openxmlformats.org/officeDocument/2006/relationships/externalLinkPath" Target="/Users/cyclic_kudligi/Downloads/DGR_CEPPL_Wind%20(12)%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2Summary"/>
      <sheetName val="AnnualKPI"/>
      <sheetName val="MonthlyKPI"/>
      <sheetName val="Analytics"/>
      <sheetName val="Daily KPI"/>
      <sheetName val="Input_Raw"/>
      <sheetName val="WTG_BD"/>
      <sheetName val="WTG Reactive Power"/>
      <sheetName val="IGA_BD"/>
      <sheetName val="Grid_BD"/>
      <sheetName val="PM"/>
      <sheetName val="Modelling New"/>
      <sheetName val="Basic Data"/>
      <sheetName val="DGR_CEPPL_Wind (12) (3)"/>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sheetData sheetId="1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an Kumar" refreshedDate="45758.451134374998" createdVersion="8" refreshedVersion="8" minRefreshableVersion="3" recordCount="3703" xr:uid="{00000000-000A-0000-FFFF-FFFF01000000}">
  <cacheSource type="worksheet">
    <worksheetSource name="WTG_BD"/>
  </cacheSource>
  <cacheFields count="25">
    <cacheField name="Sr. No." numFmtId="0">
      <sharedItems containsSemiMixedTypes="0" containsString="0" containsNumber="1" containsInteger="1" minValue="1" maxValue="3703"/>
    </cacheField>
    <cacheField name="Finacial Year" numFmtId="0">
      <sharedItems containsSemiMixedTypes="0" containsString="0" containsNumber="1" containsInteger="1" minValue="1900" maxValue="2026"/>
    </cacheField>
    <cacheField name="Calender Year" numFmtId="0">
      <sharedItems containsString="0" containsBlank="1" containsNumber="1" containsInteger="1" minValue="2023" maxValue="2025"/>
    </cacheField>
    <cacheField name="Operating Year" numFmtId="0">
      <sharedItems containsBlank="1"/>
    </cacheField>
    <cacheField name="Date" numFmtId="15">
      <sharedItems containsNonDate="0" containsDate="1" containsString="0" containsBlank="1" minDate="2023-03-08T00:00:00" maxDate="2025-04-11T00:00:00"/>
    </cacheField>
    <cacheField name="Affected WTG" numFmtId="0">
      <sharedItems containsBlank="1"/>
    </cacheField>
    <cacheField name="SPV" numFmtId="0">
      <sharedItems containsBlank="1"/>
    </cacheField>
    <cacheField name="Concumaer" numFmtId="0">
      <sharedItems containsBlank="1"/>
    </cacheField>
    <cacheField name="Plant Equivalent Weightage" numFmtId="166">
      <sharedItems containsBlank="1" containsMixedTypes="1" containsNumber="1" minValue="4.2999999999999997E-2" maxValue="4.3478260869565223E-2"/>
    </cacheField>
    <cacheField name="Error Code" numFmtId="0">
      <sharedItems containsBlank="1" containsMixedTypes="1" containsNumber="1" containsInteger="1" minValue="30" maxValue="6295"/>
    </cacheField>
    <cacheField name="Error Text" numFmtId="0">
      <sharedItems containsBlank="1" count="204">
        <s v="Yaw motor thermo error"/>
        <s v="Brake Low Pressure and Hot"/>
        <s v="Manual Stop"/>
        <s v="Yaw system stopped "/>
        <s v="Signal Error"/>
        <s v="Leakage Current"/>
        <s v="Gear box bear c temp differ "/>
        <s v="YawUntwistCW: Code 3"/>
        <s v="Hub panel 24V supply missing warning inspection"/>
        <s v="Auto reclosing RTOP inspection"/>
        <s v="YawUntwistCCW: Code 6"/>
        <s v="YawUntwistCCW: Code 5"/>
        <s v="Frequency error 1"/>
        <s v="Estop button activated"/>
        <s v="YawUntwistCCW: Code 7"/>
        <s v="Generator Bearing  Temp 1 high 95 degree"/>
        <s v="Extr low Voltage"/>
        <s v="High temp gear bearing"/>
        <s v="Yaw to cable twist"/>
        <s v="Generator FB no response"/>
        <s v=" Prop Valve C Status Fault "/>
        <s v="Yaw System Stopped"/>
        <s v="HydPressOscBlAFilt3,  15.0bar"/>
        <s v="Blade load sensor Fault detucted"/>
        <s v="ExEx low voltage L3"/>
        <s v="Blade loads calib. Active"/>
        <s v="Extreme yawerror"/>
        <s v=" Blade loads calib. Active"/>
        <s v=" Low oil Hydraulics"/>
        <s v=" Extr. low voltage L3"/>
        <s v="HighIStrikesorber "/>
        <s v="Frequency error 3:   0.47 Hz"/>
        <s v="Pitch valves test acitve"/>
        <s v="Pitch valves test active"/>
        <s v="GeneratorBreakerFBResponse"/>
        <s v="YawUntwistCCW: Code__,_______°"/>
        <s v="SyncVoltMeasurementMismatch"/>
        <s v="ArcNetReconfigMaxLimit      10"/>
        <s v="Tow. acc. X, Alarm: 0.24 m/s^2"/>
        <s v="Extreme yawerror 15.4m/s 45.0Â°"/>
        <s v="HVCB Unknown Trip Reason"/>
        <s v="EMC valves test active"/>
        <s v="GeneratorBreakerUnexpectedFb"/>
        <s v="High temp. Gen bearing 1: 95Â°C"/>
        <s v="Internal sublogic error"/>
        <s v="YawUntwistCCW: Code 6,    561Â°"/>
        <s v="Yaw To Nacelle Position Reset"/>
        <s v="Yaw To Cable Twist Reset"/>
        <s v="YawUntwistCCW: Code 6,    540Â°"/>
        <s v="Prop Valve A Status Fault"/>
        <s v="YawUntwistCCW: Code 6,    557Â°"/>
        <s v="Ext. low DC voltage   469V"/>
        <s v="Low voltage L3:   2 V"/>
        <s v="YawUntwistCCW: Code 6,    564Â°"/>
        <s v="Prop Valve C Status Fault"/>
        <s v="YawUntwistCCW: Code 6,    550Â°"/>
        <s v="YawUntwistCCW: Code 6,    573Â°"/>
        <s v="YawUntwistCCW: Code 6,    546Â°"/>
        <s v="PitAPFBsensorunavailable"/>
        <s v="YawUntwistCCW: Code 7,    517Â°"/>
        <s v="YawUntwistCCW: Code 6,    555Â°"/>
        <s v="ExEx low voltage L2:   1V"/>
        <s v="GearOilInletPressLow 3.4 bar"/>
        <s v="Leak current 2004A"/>
        <s v="YawUntwistCCW: Code 6,    547Â°"/>
        <s v="YawUntwistCCW: Code 5,    540Â°"/>
        <s v="YawUntwistCCW: Code 6,    626Â°"/>
        <s v="YawUntwistCCW: Code 6,    717Â°"/>
        <s v="YawUntwistCCW: Code 7,    112Â°"/>
        <s v="YawUntwistCCW: Code 6,    619Â°"/>
        <s v="Ch hardware error C0"/>
        <s v="Ext. High cur. Grid inv. L1"/>
        <s v="ExEx low voltage L3:   1V"/>
        <s v="Not available "/>
        <s v="ExEx low voltage L3:   2V"/>
        <s v="Pause over RCS 13"/>
        <s v="YawToCableTwistResetNotAvail"/>
        <s v="Thermoerror Waterpump"/>
        <s v="Grid Converter CB Open"/>
        <s v="Manually stop"/>
        <s v="SupplyError: Min    2V phase3"/>
        <s v="High cur.grid inv. L1:2158A"/>
        <s v="SupplyError: Min    2V phase2"/>
        <s v="ExEx low voltage L1:   2V"/>
        <s v="Yaw To Nac Pos Reset Not Allwd"/>
        <s v="Frequency error 1:   0.56 Hz"/>
        <s v="Frequency error 1:   0.44 Hz"/>
        <s v="ExEx low voltage L2:   4V"/>
        <s v="Frequency error 3:   0.54 Hz"/>
        <s v="Pause over RCS 12"/>
        <s v="GearOilInletPressLow 1.1 bar"/>
        <s v="Pitch accu. test active"/>
        <s v="Pause over RCS 14"/>
        <s v="Gen Stator CB Open"/>
        <s v="Low oil-level, hydraulic"/>
        <s v="Too many auto-restarts:  116"/>
        <s v="Too many auto-restarts: 5470"/>
        <s v="Low voltage L3:   1 V"/>
        <s v="BrakeHotLowBrakePressure  0bar"/>
        <s v="Manual stopped"/>
        <s v="Pause pressed on keyboard"/>
        <s v="YawSignals Invalid"/>
        <s v="pitch pos Cmeans signal fault"/>
        <s v="ArcNetReconfigMaxLimit      12"/>
        <s v="ArcNetReconfigMaxLimit      11"/>
        <s v="Pitch pos A meas. signal fault"/>
        <s v="Low voltage L3:   3 V"/>
        <s v="SupplyError: Min    1V phase1"/>
        <s v="Too many auto-restarts:   80"/>
        <s v="PowerSupplyLowFreq: Min 47 Hz"/>
        <s v="Too many auto-restarts:   83"/>
        <s v="Pitch pos C meas. signal fault"/>
        <s v="Low voltage L_: ___ V"/>
        <s v="ArcNetReconfigMaxLimit________"/>
        <s v="Prop Valve B Status Fault"/>
        <s v="TripHVButtonActivated__"/>
        <s v="GenBreakerOpen,US12___UL12___"/>
        <s v="Thermoerror Int.Gen.Fan F___A"/>
        <s v="BladeBEdgePeakLoad: ___.__ kNm"/>
        <s v="Pitch pos B meas. signal fault"/>
        <s v="ExEx low voltage L_: ___V"/>
        <s v="Ch hardware error C_"/>
        <s v="GridInverterContactorFBError"/>
        <s v="Ext. low DC voltage  ____V"/>
        <s v="UPS Error"/>
        <s v="Overtemp charging DC, ____V"/>
        <s v="HubSafty HydrPres  Low DBlk"/>
        <s v="Ext. High I sum Grd inv."/>
        <s v="HubSafty HydrPres Low BldA"/>
        <s v="Ext. High cur. Grid inv. L_"/>
        <s v="GeneratorBreakerTripped"/>
        <s v="Frequency error 1: ___.__ Hz"/>
        <s v="Rotor:__._RPM, Gen.:____._ RPM"/>
        <s v="Tow. acc. X, Alarm:__.__ m/s^2"/>
        <s v="Ch High res. load C_ Load:___%"/>
        <s v="VibrShockAct X _.__Y _.__m/s^2"/>
        <s v="Ext. High I sum Rotinv.ChanX"/>
        <s v="High cur.rotor inv. L_:____A"/>
        <s v="Pitch C too low: __._° &lt; __._°"/>
        <s v="WatchdogReboot"/>
        <s v="Error on all wind sensors"/>
        <s v="PowerSupplyLowFreq: Min___ Hz"/>
        <s v="OutOfMemory"/>
        <s v="YawUntwistCW: Code__,_______°"/>
        <s v="Generator Disc timeout"/>
        <s v="RT AGO2Sta.Cyc. Count_,____V"/>
        <s v="Hub BallValve B Open"/>
        <s v="HubSafetySystem Batt.Charg.Err"/>
        <s v="High temp. Gen bearing _:___°C"/>
        <s v="Pause over RCS __0"/>
        <s v="PtchValCErr,VeloctyC___._mm/s"/>
        <s v="DODP Leak Failure"/>
        <s v="ExtHighIRotorInv phase: _"/>
        <s v="MainShaftSigError._____,_____"/>
        <s v="HydrMainPressLow:____bar____°C"/>
        <s v="Remote Reboot"/>
        <s v="HubSafty HydrPres Draind-BldC"/>
        <s v="SignalError-PAUSE _____,_____"/>
        <s v="New SERVICE state: _, ____"/>
        <s v="Incorrect Error Code"/>
        <s v="SafetySystem Reset Required"/>
        <s v="BladeCEdgePeakLoad: ___.__ kNm"/>
        <s v="Grid inv. HW error L_"/>
        <s v="UDC Discharge Failed"/>
        <s v="PrevCabTwCode:_ CabTwCode:_"/>
        <s v="Extreme yawerror __._m/s___._°"/>
        <s v="GenerLubrErr:MissLubrTime___s"/>
        <s v="Slip:____ above limits _"/>
        <s v="GearOilTempLow ___°C"/>
        <s v="SafetySystem Hub Pending"/>
        <s v="Ambient temperature high: __°C"/>
        <s v="HubSafty HydrPres Low BldC"/>
        <s v="Hub BallValve C Open"/>
        <s v="SafetySystem Hub Error"/>
        <s v="Pitch C ref:__._°, Act.:__._°"/>
        <s v="Max. Yaw error: ___._°"/>
        <s v="PitchB pos:__._° vel:___._°/s"/>
        <s v="High windspeed: __._ m/s"/>
        <s v="EMC Valves Unexpected Open"/>
        <s v="Asym.currL1:____A,Others:____A"/>
        <s v="HydrOilExtremeHighTemp_____°C"/>
        <s v="HubSafetySystem Speed Err.:_"/>
        <s v="High cur.grid inv. L_:____A"/>
        <s v="GenSpd:__._RPM, Ref:____._ RPM"/>
        <s v="Extr. low voltage L_: ___V"/>
        <s v="Max generator RPM: ____._ RPM"/>
        <s v="Arc light detected"/>
        <s v="No space in Warning Log"/>
        <s v="RT Dip exc.lim.:___%:_____e-2s"/>
        <s v="DC Undervoltage: ____V"/>
        <s v="Pitch A BL unlock alarm N= ___"/>
        <s v="Pitch C BL unlock alarm N= ___"/>
        <s v="Tow. acc. X Fault:__.__ m/s^2"/>
        <s v="HydPressOscBlBFilt2,   8.3bar"/>
        <s v="StatorFilter Thermo Fault"/>
        <s v="Safety System Fault"/>
        <s v="HubSafetyOptiStopConfig.Err __"/>
        <s v="RotorTachSpdSigErr._____,_____"/>
        <s v="SaftySystem Nacelle Comm Err."/>
        <s v="Gear HSBearB Temp:___°C"/>
        <s v="HubSafetySystem Batt.Level Err"/>
        <s v="Gear HSBearA Temp:___°C"/>
        <s v="Turbine OK"/>
        <m u="1"/>
      </sharedItems>
    </cacheField>
    <cacheField name="Breakdown Description" numFmtId="0">
      <sharedItems containsBlank="1"/>
    </cacheField>
    <cacheField name="Stopage Type" numFmtId="0">
      <sharedItems containsBlank="1"/>
    </cacheField>
    <cacheField name="Fault Start TimeStamp" numFmtId="0">
      <sharedItems containsNonDate="0" containsDate="1" containsString="0" containsBlank="1" minDate="1899-12-30T00:00:00" maxDate="2025-01-23T19:47:32"/>
    </cacheField>
    <cacheField name="Work Start TimeStamp" numFmtId="0">
      <sharedItems containsNonDate="0" containsDate="1" containsString="0" containsBlank="1" minDate="1899-12-30T00:00:00" maxDate="2025-01-23T19:47:32"/>
    </cacheField>
    <cacheField name="Fault Clearance time" numFmtId="0">
      <sharedItems containsNonDate="0" containsDate="1" containsString="0" containsBlank="1" minDate="1899-12-30T00:00:00" maxDate="2025-01-23T20:06:37"/>
    </cacheField>
    <cacheField name="Response Time" numFmtId="0">
      <sharedItems containsDate="1" containsBlank="1" containsMixedTypes="1" minDate="1899-12-31T00:00:00" maxDate="1899-12-30T00:00:00"/>
    </cacheField>
    <cacheField name="Resolution Time" numFmtId="0">
      <sharedItems containsBlank="1" containsMixedTypes="1" containsNumber="1" minValue="-23.6" maxValue="43.396666668006219"/>
    </cacheField>
    <cacheField name="Breakdown Time" numFmtId="0">
      <sharedItems containsBlank="1" containsMixedTypes="1" containsNumber="1" minValue="-23.6" maxValue="43.396666668006219"/>
    </cacheField>
    <cacheField name="Action taken" numFmtId="0">
      <sharedItems containsBlank="1" longText="1"/>
    </cacheField>
    <cacheField name="Status" numFmtId="0">
      <sharedItems containsBlank="1"/>
    </cacheField>
    <cacheField name="Plant Equivalent breakdown" numFmtId="43">
      <sharedItems containsBlank="1" containsMixedTypes="1" containsNumber="1" minValue="-1.0260869565217394" maxValue="1.8868115942611403"/>
    </cacheField>
    <cacheField name="Paired WTG for Enegy based MA" numFmtId="0">
      <sharedItems containsString="0" containsBlank="1" containsNumber="1" minValue="0.86850000000000005" maxValue="100"/>
    </cacheField>
    <cacheField name="Estimated Energy Loss (MWh)" numFmtId="0">
      <sharedItems containsString="0" containsBlank="1" containsNumber="1" minValue="-0.11" maxValue="3340"/>
    </cacheField>
    <cacheField name="Column1"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03">
  <r>
    <n v="1"/>
    <n v="2023"/>
    <n v="2023"/>
    <s v="Year_1"/>
    <d v="2023-03-11T00:00:00"/>
    <s v="KUD12"/>
    <s v="O2R1"/>
    <s v="KSIPL"/>
    <n v="4.3478260869565223E-2"/>
    <m/>
    <x v="0"/>
    <s v="Thermometer Malfunction"/>
    <m/>
    <d v="1899-12-30T13:46:00"/>
    <d v="1899-12-30T19:00:00"/>
    <d v="1899-12-30T19:58:00"/>
    <n v="5.2333333333333441"/>
    <n v="0.96666666666664991"/>
    <n v="6.199999999999994"/>
    <s v="Reset Error"/>
    <s v="Close"/>
    <n v="0.26956521739130412"/>
    <m/>
    <m/>
    <m/>
  </r>
  <r>
    <n v="2"/>
    <n v="2023"/>
    <n v="2023"/>
    <s v="Year_1"/>
    <d v="2023-03-10T00:00:00"/>
    <s v="KUD13"/>
    <s v="O2R1"/>
    <s v="KSIPL"/>
    <n v="4.3478260869565223E-2"/>
    <m/>
    <x v="1"/>
    <s v="Break Oil Leakage"/>
    <m/>
    <d v="1899-12-30T18:40:00"/>
    <d v="1899-12-30T19:00:00"/>
    <d v="1899-12-30T19:30:00"/>
    <n v="0.33333333333333481"/>
    <n v="0.49999999999999289"/>
    <n v="0.83333333333332771"/>
    <s v="Reset Error"/>
    <s v="Close"/>
    <n v="3.6231884057970773E-2"/>
    <m/>
    <m/>
    <m/>
  </r>
  <r>
    <n v="3"/>
    <n v="2023"/>
    <n v="2023"/>
    <s v="Year_1"/>
    <d v="2023-03-09T00:00:00"/>
    <s v="KUD12"/>
    <s v="O2R1"/>
    <s v="KSIPL"/>
    <n v="4.3478260869565223E-2"/>
    <m/>
    <x v="0"/>
    <s v="Thermometer Malfunction"/>
    <m/>
    <d v="1899-12-30T12:00:00"/>
    <d v="1899-12-30T17:00:00"/>
    <d v="1899-12-30T17:50:00"/>
    <n v="4.9999999999999929"/>
    <n v="0.83333333333332771"/>
    <n v="5.8333333333333206"/>
    <s v="Reset Error"/>
    <s v="Close"/>
    <n v="0.25362318840579656"/>
    <m/>
    <m/>
    <m/>
  </r>
  <r>
    <n v="4"/>
    <n v="2023"/>
    <n v="2023"/>
    <s v="Year_1"/>
    <d v="2023-03-08T00:00:00"/>
    <s v="KUD19"/>
    <s v="O2R1"/>
    <s v="KSIPL"/>
    <n v="4.3478260869565223E-2"/>
    <m/>
    <x v="2"/>
    <s v="Manual Stop for Waranning Rectification"/>
    <m/>
    <d v="1899-12-30T11:30:00"/>
    <d v="1899-12-30T11:35:00"/>
    <d v="1899-12-30T15:30:00"/>
    <n v="8.3333333333327708E-2"/>
    <n v="3.9166666666666567"/>
    <n v="3.9999999999999845"/>
    <s v="Start"/>
    <s v="Close"/>
    <n v="0.17391304347826023"/>
    <m/>
    <m/>
    <m/>
  </r>
  <r>
    <n v="5"/>
    <n v="2023"/>
    <n v="2023"/>
    <s v="Year_1"/>
    <d v="2023-03-08T00:00:00"/>
    <s v="KUD19"/>
    <s v="O2R1"/>
    <s v="KSIPL"/>
    <n v="4.3478260869565223E-2"/>
    <m/>
    <x v="2"/>
    <s v="Manual Stop for Waranning Rectification"/>
    <m/>
    <d v="1899-12-30T17:30:00"/>
    <d v="1899-12-30T17:35:00"/>
    <d v="1899-12-30T19:30:00"/>
    <n v="8.3333333333327708E-2"/>
    <n v="1.9166666666666652"/>
    <n v="1.9999999999999929"/>
    <s v="Start"/>
    <s v="Close"/>
    <n v="8.6956521739130141E-2"/>
    <m/>
    <m/>
    <m/>
  </r>
  <r>
    <n v="6"/>
    <n v="2023"/>
    <n v="2023"/>
    <s v="Year_1"/>
    <d v="2023-03-14T00:00:00"/>
    <s v="KUD12"/>
    <s v="O2R1"/>
    <s v="KSIPL"/>
    <n v="4.3478260869565223E-2"/>
    <m/>
    <x v="3"/>
    <s v="Yaw system error"/>
    <m/>
    <d v="1899-12-30T17:22:00"/>
    <d v="1899-12-30T17:30:00"/>
    <d v="1899-12-30T11:59:00"/>
    <n v="0.13333333333334352"/>
    <n v="-5.5166666666666631"/>
    <n v="-5.3833333333333195"/>
    <s v="Start"/>
    <s v="Close"/>
    <n v="-0.23405797101449219"/>
    <m/>
    <m/>
    <m/>
  </r>
  <r>
    <n v="7"/>
    <n v="2023"/>
    <n v="2023"/>
    <s v="Year_1"/>
    <d v="2023-03-23T00:00:00"/>
    <s v="KUD13"/>
    <s v="O2R1"/>
    <s v="KSIPL"/>
    <n v="4.3478260869565223E-2"/>
    <m/>
    <x v="2"/>
    <s v="Manual Stop for ladder Rectification"/>
    <m/>
    <d v="1899-12-30T11:40:00"/>
    <d v="1899-12-30T11:45:00"/>
    <d v="1899-12-30T15:40:00"/>
    <n v="8.3333333333327708E-2"/>
    <n v="3.9166666666666807"/>
    <n v="4.0000000000000089"/>
    <s v="Ladder fixed"/>
    <s v="Close"/>
    <n v="0.17391304347826128"/>
    <m/>
    <m/>
    <m/>
  </r>
  <r>
    <n v="8"/>
    <n v="2023"/>
    <n v="2023"/>
    <s v="Year_1"/>
    <d v="2023-03-26T00:00:00"/>
    <s v="KUD15"/>
    <s v="O2R1"/>
    <s v="KSIPL"/>
    <n v="4.3478260869565223E-2"/>
    <m/>
    <x v="4"/>
    <s v="CAN Comm Failure"/>
    <m/>
    <d v="1899-12-30T12:00:00"/>
    <d v="1899-12-30T12:05:00"/>
    <d v="1899-12-30T14:35:00"/>
    <n v="8.3333333333327708E-2"/>
    <n v="2.5000000000000071"/>
    <n v="2.5833333333333348"/>
    <s v="CAN Module replaced"/>
    <s v="Close"/>
    <n v="0.11231884057971023"/>
    <m/>
    <m/>
    <m/>
  </r>
  <r>
    <n v="9"/>
    <n v="2023"/>
    <n v="2023"/>
    <s v="Year_1"/>
    <d v="2023-03-26T00:00:00"/>
    <s v="KUD14"/>
    <s v="O2R1"/>
    <s v="KSIPL"/>
    <n v="4.3478260869565223E-2"/>
    <m/>
    <x v="4"/>
    <s v="CAN Comm Failure"/>
    <m/>
    <d v="1899-12-30T21:00:00"/>
    <d v="1899-12-30T21:05:00"/>
    <d v="1899-12-30T22:00:00"/>
    <n v="8.3333333333327708E-2"/>
    <n v="0.9166666666666794"/>
    <n v="1.0000000000000071"/>
    <s v="CAN Module replaced"/>
    <s v="Close"/>
    <n v="4.3478260869565535E-2"/>
    <m/>
    <m/>
    <m/>
  </r>
  <r>
    <n v="10"/>
    <n v="2023"/>
    <n v="2023"/>
    <s v="Year_1"/>
    <d v="2023-03-27T00:00:00"/>
    <s v="KUD14"/>
    <s v="O2R1"/>
    <s v="KSIPL"/>
    <n v="4.3478260869565223E-2"/>
    <m/>
    <x v="4"/>
    <s v="CAN Comm Failure"/>
    <m/>
    <d v="1899-12-30T17:20:00"/>
    <d v="1899-12-30T17:30:00"/>
    <d v="1899-12-30T23:50:00"/>
    <n v="0.1666666666666794"/>
    <n v="6.3333333333333135"/>
    <n v="6.4999999999999929"/>
    <s v="CAN Module replaced"/>
    <s v="Close"/>
    <n v="0.28260869565217361"/>
    <m/>
    <m/>
    <m/>
  </r>
  <r>
    <n v="11"/>
    <n v="2023"/>
    <n v="2023"/>
    <s v="Year_1"/>
    <d v="2023-03-27T00:00:00"/>
    <s v="KUD16"/>
    <s v="O2R2"/>
    <s v="SIL"/>
    <n v="4.3478260869565223E-2"/>
    <m/>
    <x v="5"/>
    <s v="Leakage Current"/>
    <m/>
    <d v="1899-12-30T14:30:00"/>
    <d v="1899-12-30T14:35:00"/>
    <d v="1899-12-30T17:30:00"/>
    <n v="8.3333333333327708E-2"/>
    <n v="2.9166666666666723"/>
    <n v="3"/>
    <s v="Current Ct &amp; Converter section checked &amp; tigtness done."/>
    <s v="Close"/>
    <n v="0.13043478260869568"/>
    <m/>
    <m/>
    <m/>
  </r>
  <r>
    <n v="12"/>
    <n v="2023"/>
    <n v="2023"/>
    <s v="Year_1"/>
    <d v="2023-03-28T00:00:00"/>
    <s v="KUD01"/>
    <s v="O2R1"/>
    <s v="KSIPL"/>
    <n v="4.3478260869565223E-2"/>
    <m/>
    <x v="4"/>
    <s v="CAN Comm Failure"/>
    <m/>
    <d v="1899-12-30T19:10:00"/>
    <d v="1899-12-30T19:15:00"/>
    <d v="1899-12-30T21:40:00"/>
    <n v="8.3333333333327708E-2"/>
    <n v="2.4166666666666794"/>
    <n v="2.5000000000000071"/>
    <s v="CAN Module replaced"/>
    <s v="Close"/>
    <n v="0.10869565217391337"/>
    <m/>
    <m/>
    <m/>
  </r>
  <r>
    <n v="13"/>
    <n v="2023"/>
    <n v="2023"/>
    <s v="Year_1"/>
    <d v="2023-03-29T00:00:00"/>
    <s v="KUD16"/>
    <s v="O2R2"/>
    <s v="SIL"/>
    <n v="4.3478260869565223E-2"/>
    <m/>
    <x v="5"/>
    <s v="Leakage Current"/>
    <m/>
    <d v="1899-12-30T04:30:00"/>
    <d v="1899-12-30T04:35:00"/>
    <d v="1899-12-30T06:30:00"/>
    <n v="8.3333333333327708E-2"/>
    <n v="1.9166666666666639"/>
    <n v="1.9999999999999916"/>
    <s v="Auto reset"/>
    <s v="Close"/>
    <n v="8.6956521739130085E-2"/>
    <m/>
    <m/>
    <m/>
  </r>
  <r>
    <n v="14"/>
    <n v="2023"/>
    <n v="2023"/>
    <s v="Year_1"/>
    <d v="2023-03-29T00:00:00"/>
    <s v="KUD16"/>
    <s v="O2R2"/>
    <s v="SIL"/>
    <n v="4.3478260869565223E-2"/>
    <m/>
    <x v="5"/>
    <s v="Leakage Current"/>
    <m/>
    <d v="1899-12-30T10:20:00"/>
    <d v="1899-12-30T10:30:00"/>
    <d v="1899-12-30T12:20:00"/>
    <n v="0.16666666666665542"/>
    <n v="1.8333333333333348"/>
    <n v="1.9999999999999902"/>
    <s v="Tru card repalcement &amp; Converter section checked &amp; tigtness done."/>
    <s v="Close"/>
    <n v="8.6956521739130016E-2"/>
    <m/>
    <m/>
    <m/>
  </r>
  <r>
    <n v="15"/>
    <n v="2023"/>
    <n v="2023"/>
    <s v="Year_1"/>
    <d v="2023-03-29T00:00:00"/>
    <s v="KUD01"/>
    <s v="O2R1"/>
    <s v="KSIPL"/>
    <n v="4.3478260869565223E-2"/>
    <m/>
    <x v="6"/>
    <s v="Gear box bear c temp differ "/>
    <m/>
    <d v="1899-12-30T21:15:00"/>
    <d v="1899-12-30T21:20:00"/>
    <d v="1899-12-30T23:25:00"/>
    <n v="8.3333333333327708E-2"/>
    <n v="2.0833333333333446"/>
    <n v="2.1666666666666723"/>
    <s v="Auto reset"/>
    <s v="Close"/>
    <n v="9.4202898550724889E-2"/>
    <m/>
    <m/>
    <m/>
  </r>
  <r>
    <n v="16"/>
    <n v="2023"/>
    <n v="2023"/>
    <s v="Year_1"/>
    <d v="2023-03-30T00:00:00"/>
    <s v="KUD01"/>
    <s v="O2R1"/>
    <s v="KSIPL"/>
    <n v="4.3478260869565223E-2"/>
    <m/>
    <x v="6"/>
    <s v="Gear box bear c temp differ "/>
    <m/>
    <d v="1899-12-30T02:03:00"/>
    <d v="1899-12-30T10:03:00"/>
    <d v="1899-12-30T12:10:00"/>
    <n v="8"/>
    <n v="2.1166666666666551"/>
    <n v="10.116666666666655"/>
    <s v="PT-100 failure replaced same"/>
    <s v="Close"/>
    <n v="0.43985507246376765"/>
    <m/>
    <m/>
    <m/>
  </r>
  <r>
    <n v="17"/>
    <n v="2023"/>
    <n v="2023"/>
    <s v="Year_1"/>
    <d v="2023-03-30T00:00:00"/>
    <s v="KUD16"/>
    <s v="O2R2"/>
    <s v="SIL"/>
    <n v="4.3478260869565223E-2"/>
    <m/>
    <x v="5"/>
    <s v="Leakage Current"/>
    <m/>
    <d v="1899-12-30T08:34:00"/>
    <d v="1899-12-30T08:40:00"/>
    <d v="1899-12-30T11:58:00"/>
    <n v="0.10000000000000764"/>
    <n v="3.3000000000000003"/>
    <n v="3.4000000000000079"/>
    <s v="VBC Board changed"/>
    <s v="Close"/>
    <n v="0.14782608695652211"/>
    <m/>
    <m/>
    <m/>
  </r>
  <r>
    <n v="18"/>
    <n v="2024"/>
    <n v="2023"/>
    <s v="Year_1"/>
    <d v="2023-04-03T00:00:00"/>
    <s v="KUD11"/>
    <s v="O2R1"/>
    <s v="KSIPL"/>
    <n v="4.3478260869565223E-2"/>
    <m/>
    <x v="7"/>
    <s v="YawUntwistCW: Code 3"/>
    <m/>
    <d v="1899-12-30T04:50:00"/>
    <d v="1899-12-30T04:50:00"/>
    <d v="1899-12-30T05:11:00"/>
    <n v="0"/>
    <n v="0.3499999999999921"/>
    <n v="0.3499999999999921"/>
    <s v="Auto reset"/>
    <s v="Close"/>
    <n v="1.5217391304347485E-2"/>
    <m/>
    <m/>
    <m/>
  </r>
  <r>
    <n v="19"/>
    <n v="2024"/>
    <n v="2023"/>
    <s v="Year_1"/>
    <d v="2023-04-03T00:00:00"/>
    <s v="KUD12"/>
    <s v="O2R1"/>
    <s v="KSIPL"/>
    <n v="4.3478260869565223E-2"/>
    <m/>
    <x v="8"/>
    <s v="Hub panel 24V supply missing warning inspection"/>
    <m/>
    <d v="1899-12-30T16:57:00"/>
    <d v="1899-12-30T16:57:00"/>
    <d v="1899-12-30T18:42:00"/>
    <n v="0"/>
    <n v="1.7500000000000071"/>
    <n v="1.7500000000000071"/>
    <s v="Hub panel 24V supply missing warning inspection done"/>
    <s v="Close"/>
    <n v="7.6086956521739454E-2"/>
    <m/>
    <m/>
    <m/>
  </r>
  <r>
    <n v="20"/>
    <n v="2024"/>
    <n v="2023"/>
    <s v="Year_1"/>
    <d v="2023-04-03T00:00:00"/>
    <s v="KUD20"/>
    <s v="O2R1"/>
    <s v="KSIPL"/>
    <n v="4.3478260869565223E-2"/>
    <m/>
    <x v="9"/>
    <s v="Auto reclosing RTOP inspection"/>
    <m/>
    <d v="1899-12-30T11:35:00"/>
    <d v="1899-12-30T11:35:00"/>
    <d v="1899-12-30T14:12:00"/>
    <n v="0"/>
    <n v="2.616666666666672"/>
    <n v="2.616666666666672"/>
    <s v="Auto reclosing RTOP inspection done"/>
    <s v="Close"/>
    <n v="0.11376811594202924"/>
    <m/>
    <m/>
    <m/>
  </r>
  <r>
    <n v="21"/>
    <n v="2024"/>
    <n v="2023"/>
    <s v="Year_1"/>
    <d v="2023-04-03T00:00:00"/>
    <s v="KUD01"/>
    <s v="O2R1"/>
    <s v="KSIPL"/>
    <n v="4.3478260869565223E-2"/>
    <m/>
    <x v="7"/>
    <s v="YawUntwistCW: Code 3"/>
    <m/>
    <d v="1899-12-30T05:34:00"/>
    <d v="1899-12-30T05:34:00"/>
    <d v="1899-12-30T05:55:00"/>
    <n v="0"/>
    <n v="0.35000000000001608"/>
    <n v="0.35000000000001608"/>
    <s v="Auto reset"/>
    <s v="Close"/>
    <n v="1.5217391304348528E-2"/>
    <m/>
    <m/>
    <m/>
  </r>
  <r>
    <n v="22"/>
    <n v="2024"/>
    <n v="2023"/>
    <s v="Year_1"/>
    <d v="2023-04-03T00:00:00"/>
    <s v="KUD03"/>
    <s v="O2R1"/>
    <s v="KSIPL"/>
    <n v="4.3478260869565223E-2"/>
    <m/>
    <x v="10"/>
    <s v="YawUntwistCCW: Code 6"/>
    <m/>
    <d v="1899-12-30T03:18:00"/>
    <d v="1899-12-30T03:18:00"/>
    <d v="1899-12-30T03:41:00"/>
    <n v="0"/>
    <n v="0.38333333333332797"/>
    <n v="0.38333333333332797"/>
    <s v="Auto reset"/>
    <s v="Close"/>
    <n v="1.6666666666666437E-2"/>
    <m/>
    <m/>
    <m/>
  </r>
  <r>
    <n v="23"/>
    <n v="2024"/>
    <n v="2023"/>
    <s v="Year_1"/>
    <d v="2023-04-04T00:00:00"/>
    <s v="KUD11"/>
    <s v="O2R1"/>
    <s v="KSIPL"/>
    <n v="4.3478260869565223E-2"/>
    <m/>
    <x v="10"/>
    <s v="YawUntwistCCW: Code 6"/>
    <m/>
    <d v="1899-12-30T13:18:00"/>
    <d v="1899-12-30T13:18:00"/>
    <d v="1899-12-30T13:42:00"/>
    <n v="0"/>
    <n v="0.39999999999998259"/>
    <n v="0.39999999999998259"/>
    <s v="Auto reset"/>
    <s v="Close"/>
    <n v="1.7391304347825331E-2"/>
    <m/>
    <m/>
    <m/>
  </r>
  <r>
    <n v="24"/>
    <n v="2024"/>
    <n v="2023"/>
    <s v="Year_1"/>
    <d v="2023-04-04T00:00:00"/>
    <s v="KUD12"/>
    <s v="O2R1"/>
    <s v="KSIPL"/>
    <n v="4.3478260869565223E-2"/>
    <m/>
    <x v="11"/>
    <s v="YawUntwistCCW: Code 5"/>
    <m/>
    <d v="1899-12-30T14:16:00"/>
    <d v="1899-12-30T14:16:00"/>
    <d v="1899-12-30T14:37:00"/>
    <n v="0"/>
    <n v="0.35000000000001474"/>
    <n v="0.35000000000001474"/>
    <s v="Auto reset"/>
    <s v="Close"/>
    <n v="1.5217391304348469E-2"/>
    <m/>
    <m/>
    <m/>
  </r>
  <r>
    <n v="25"/>
    <n v="2024"/>
    <n v="2023"/>
    <s v="Year_1"/>
    <d v="2023-04-04T00:00:00"/>
    <s v="KUD03"/>
    <s v="O2R1"/>
    <s v="KSIPL"/>
    <n v="4.3478260869565223E-2"/>
    <m/>
    <x v="12"/>
    <s v="Frequency error 1"/>
    <m/>
    <d v="1899-12-30T19:40:00"/>
    <d v="1899-12-30T19:40:00"/>
    <d v="1899-12-30T23:59:59"/>
    <n v="0"/>
    <n v="4.3330555555555437"/>
    <n v="4.3330555555555437"/>
    <s v="Inspection WIP"/>
    <s v="Open"/>
    <n v="0.18839371980676278"/>
    <m/>
    <m/>
    <m/>
  </r>
  <r>
    <n v="26"/>
    <n v="2024"/>
    <n v="2023"/>
    <s v="Year_1"/>
    <d v="2023-04-04T00:00:00"/>
    <s v="KUD20"/>
    <s v="O2R1"/>
    <s v="KSIPL"/>
    <n v="4.3478260869565223E-2"/>
    <m/>
    <x v="10"/>
    <s v="YawUntwistCCW: Code 6"/>
    <m/>
    <d v="1899-12-30T10:21:00"/>
    <d v="1899-12-30T10:21:00"/>
    <d v="1899-12-30T10:41:00"/>
    <n v="0"/>
    <n v="0.33333333333333481"/>
    <n v="0.33333333333333481"/>
    <s v="Auto reset"/>
    <s v="Close"/>
    <n v="1.4492753623188472E-2"/>
    <m/>
    <m/>
    <m/>
  </r>
  <r>
    <n v="27"/>
    <n v="2024"/>
    <n v="2023"/>
    <s v="Year_1"/>
    <d v="2023-04-04T00:00:00"/>
    <s v="KUD01"/>
    <s v="O2R1"/>
    <s v="KSIPL"/>
    <n v="4.3478260869565223E-2"/>
    <m/>
    <x v="10"/>
    <s v="YawUntwistCCW: Code 6"/>
    <m/>
    <d v="1899-12-30T16:12:00"/>
    <d v="1899-12-30T16:12:00"/>
    <d v="1899-12-30T16:33:00"/>
    <n v="0"/>
    <n v="0.34999999999999076"/>
    <n v="0.34999999999999076"/>
    <s v="Auto reset"/>
    <s v="Close"/>
    <n v="1.5217391304347426E-2"/>
    <m/>
    <m/>
    <m/>
  </r>
  <r>
    <n v="28"/>
    <n v="2024"/>
    <n v="2023"/>
    <s v="Year_1"/>
    <d v="2023-04-04T00:00:00"/>
    <s v="KUD14"/>
    <s v="O2R1"/>
    <s v="KSIPL"/>
    <n v="4.3478260869565223E-2"/>
    <m/>
    <x v="7"/>
    <s v="YawUntwistCW: Code 3"/>
    <m/>
    <d v="1899-12-30T16:25:00"/>
    <d v="1899-12-30T16:25:00"/>
    <d v="1899-12-30T16:49:00"/>
    <n v="0"/>
    <n v="0.39999999999998259"/>
    <n v="0.39999999999998259"/>
    <s v="Auto reset"/>
    <s v="Close"/>
    <n v="1.7391304347825331E-2"/>
    <m/>
    <m/>
    <m/>
  </r>
  <r>
    <n v="29"/>
    <n v="2024"/>
    <n v="2023"/>
    <s v="Year_1"/>
    <d v="2023-04-04T00:00:00"/>
    <s v="KUD15"/>
    <s v="O2R1"/>
    <s v="KSIPL"/>
    <n v="4.3478260869565223E-2"/>
    <m/>
    <x v="2"/>
    <s v="Service Audit"/>
    <m/>
    <d v="1899-12-30T16:02:00"/>
    <d v="1899-12-30T16:02:00"/>
    <d v="1899-12-30T18:27:00"/>
    <n v="0"/>
    <n v="2.4166666666666581"/>
    <n v="2.4166666666666581"/>
    <s v="Service audit done"/>
    <s v="Close"/>
    <n v="0.10507246376811558"/>
    <m/>
    <m/>
    <m/>
  </r>
  <r>
    <n v="30"/>
    <n v="2024"/>
    <n v="2023"/>
    <s v="Year_1"/>
    <d v="2023-04-05T00:00:00"/>
    <s v="KUD12"/>
    <s v="O2R1"/>
    <s v="KSIPL"/>
    <n v="4.3478260869565223E-2"/>
    <m/>
    <x v="10"/>
    <s v="YawUntwistCCW: Code 6"/>
    <m/>
    <d v="1899-12-30T02:28:00"/>
    <d v="1899-12-30T02:28:00"/>
    <d v="1899-12-30T03:04:00"/>
    <n v="0"/>
    <n v="0.59999999999999987"/>
    <n v="0.59999999999999987"/>
    <s v="Auto reset"/>
    <s v="Close"/>
    <n v="2.6086956521739129E-2"/>
    <m/>
    <m/>
    <m/>
  </r>
  <r>
    <n v="31"/>
    <n v="2024"/>
    <n v="2023"/>
    <s v="Year_1"/>
    <d v="2023-04-05T00:00:00"/>
    <s v="KUD13"/>
    <s v="O2R1"/>
    <s v="KSIPL"/>
    <n v="4.3478260869565223E-2"/>
    <m/>
    <x v="10"/>
    <s v="YawUntwistCCW: Code 6"/>
    <m/>
    <d v="1899-12-30T10:09:00"/>
    <d v="1899-12-30T10:09:00"/>
    <d v="1899-12-30T10:31:00"/>
    <n v="0"/>
    <n v="0.36666666666664804"/>
    <n v="0.36666666666664804"/>
    <s v="Auto reset"/>
    <s v="Close"/>
    <n v="1.5942028985506437E-2"/>
    <m/>
    <m/>
    <m/>
  </r>
  <r>
    <n v="32"/>
    <n v="2024"/>
    <n v="2023"/>
    <s v="Year_1"/>
    <d v="2023-04-05T00:00:00"/>
    <s v="KUD01"/>
    <s v="O2R1"/>
    <s v="KSIPL"/>
    <n v="4.3478260869565223E-2"/>
    <m/>
    <x v="2"/>
    <s v="Service Audit"/>
    <m/>
    <d v="1899-12-30T11:03:00"/>
    <d v="1899-12-30T11:03:00"/>
    <d v="1899-12-30T17:36:00"/>
    <n v="0"/>
    <n v="6.5499999999999829"/>
    <n v="6.5499999999999829"/>
    <s v="Service audit done"/>
    <s v="Close"/>
    <n v="0.28478260869565147"/>
    <m/>
    <m/>
    <m/>
  </r>
  <r>
    <n v="33"/>
    <n v="2024"/>
    <n v="2023"/>
    <s v="Year_1"/>
    <d v="2023-04-05T00:00:00"/>
    <s v="KUD03"/>
    <s v="O2R1"/>
    <s v="KSIPL"/>
    <n v="4.3478260869565223E-2"/>
    <m/>
    <x v="12"/>
    <s v="Frequency error 1"/>
    <m/>
    <d v="1899-12-30T00:00:00"/>
    <d v="1899-12-30T00:00:00"/>
    <d v="1899-12-30T07:00:00"/>
    <n v="0"/>
    <n v="7.0000000000000089"/>
    <n v="7.0000000000000089"/>
    <s v="Inspection done &amp; reset"/>
    <s v="Close"/>
    <n v="0.30434782608695693"/>
    <m/>
    <m/>
    <m/>
  </r>
  <r>
    <n v="34"/>
    <n v="2024"/>
    <n v="2023"/>
    <s v="Year_1"/>
    <d v="2023-04-05T00:00:00"/>
    <s v="KUD15"/>
    <s v="O2R1"/>
    <s v="KSIPL"/>
    <n v="4.3478260869565223E-2"/>
    <m/>
    <x v="10"/>
    <s v="YawUntwistCCW: Code 6"/>
    <m/>
    <d v="1899-12-30T06:07:00"/>
    <d v="1899-12-30T06:07:00"/>
    <d v="1899-12-30T06:27:00"/>
    <n v="0"/>
    <n v="0.33333333333333615"/>
    <n v="0.33333333333333615"/>
    <s v="Auto reset"/>
    <s v="Close"/>
    <n v="1.4492753623188529E-2"/>
    <m/>
    <m/>
    <m/>
  </r>
  <r>
    <n v="35"/>
    <n v="2024"/>
    <n v="2023"/>
    <s v="Year_1"/>
    <d v="2023-04-06T00:00:00"/>
    <s v="KUD10"/>
    <s v="O2R1"/>
    <s v="KSIPL"/>
    <n v="4.3478260869565223E-2"/>
    <m/>
    <x v="2"/>
    <s v="Service Audit"/>
    <m/>
    <d v="1899-12-30T11:36:00"/>
    <d v="1899-12-30T11:36:00"/>
    <d v="1899-12-30T12:27:00"/>
    <n v="0"/>
    <n v="0.85000000000000897"/>
    <n v="0.85000000000000897"/>
    <s v="Service audit done"/>
    <s v="Close"/>
    <n v="3.6956521739130832E-2"/>
    <m/>
    <m/>
    <m/>
  </r>
  <r>
    <n v="36"/>
    <n v="2024"/>
    <n v="2023"/>
    <s v="Year_1"/>
    <d v="2023-04-06T00:00:00"/>
    <s v="KUD17"/>
    <s v="O2R2"/>
    <s v="SIL"/>
    <n v="4.3478260869565223E-2"/>
    <m/>
    <x v="2"/>
    <s v="Service Audit"/>
    <m/>
    <d v="1899-12-30T11:00:00"/>
    <d v="1899-12-30T11:00:00"/>
    <d v="1899-12-30T18:51:00"/>
    <n v="0"/>
    <n v="7.8500000000000156"/>
    <n v="7.8500000000000156"/>
    <s v="Service audit done"/>
    <s v="Close"/>
    <n v="0.34130434782608771"/>
    <m/>
    <m/>
    <m/>
  </r>
  <r>
    <n v="37"/>
    <n v="2024"/>
    <n v="2023"/>
    <s v="Year_1"/>
    <d v="2023-04-06T00:00:00"/>
    <s v="KUD13"/>
    <s v="O2R1"/>
    <s v="KSIPL"/>
    <n v="4.3478260869565223E-2"/>
    <m/>
    <x v="2"/>
    <s v="Service Audit"/>
    <m/>
    <d v="1899-12-30T11:36:00"/>
    <d v="1899-12-30T11:36:00"/>
    <d v="1899-12-30T12:37:00"/>
    <n v="0"/>
    <n v="1.0166666666666644"/>
    <n v="1.0166666666666644"/>
    <s v="Service audit done"/>
    <s v="Close"/>
    <n v="4.4202898550724547E-2"/>
    <m/>
    <m/>
    <m/>
  </r>
  <r>
    <n v="38"/>
    <n v="2024"/>
    <n v="2023"/>
    <s v="Year_1"/>
    <d v="2023-04-06T00:00:00"/>
    <s v="KUD13"/>
    <s v="O2R1"/>
    <s v="KSIPL"/>
    <n v="4.3478260869565223E-2"/>
    <m/>
    <x v="13"/>
    <s v="Estop button activated"/>
    <m/>
    <d v="1899-12-30T22:21:00"/>
    <d v="1899-12-30T22:21:00"/>
    <d v="1899-12-30T23:59:00"/>
    <n v="0"/>
    <n v="1.6333333333333435"/>
    <n v="1.6333333333333435"/>
    <s v="T/S WIP"/>
    <s v="Open"/>
    <n v="7.1014492753623634E-2"/>
    <m/>
    <m/>
    <m/>
  </r>
  <r>
    <n v="39"/>
    <n v="2024"/>
    <n v="2023"/>
    <s v="Year_1"/>
    <d v="2023-04-06T00:00:00"/>
    <s v="KUD12"/>
    <s v="O2R1"/>
    <s v="KSIPL"/>
    <n v="4.3478260869565223E-2"/>
    <m/>
    <x v="11"/>
    <s v="YawUntwistCCW: Code 5"/>
    <m/>
    <d v="1899-12-30T17:34:00"/>
    <d v="1899-12-30T17:34:00"/>
    <d v="1899-12-30T17:54:00"/>
    <n v="0"/>
    <n v="0.33333333333333748"/>
    <n v="0.33333333333333748"/>
    <s v="Auto reset"/>
    <s v="Close"/>
    <n v="1.4492753623188588E-2"/>
    <m/>
    <m/>
    <m/>
  </r>
  <r>
    <n v="40"/>
    <n v="2024"/>
    <n v="2023"/>
    <s v="Year_1"/>
    <d v="2023-04-06T00:00:00"/>
    <s v="KUD01"/>
    <s v="O2R1"/>
    <s v="KSIPL"/>
    <n v="4.3478260869565223E-2"/>
    <m/>
    <x v="11"/>
    <s v="YawUntwistCCW: Code 5"/>
    <m/>
    <d v="1899-12-30T11:45:00"/>
    <d v="1899-12-30T11:45:00"/>
    <d v="1899-12-30T12:11:00"/>
    <n v="0"/>
    <n v="0.43333333333334378"/>
    <n v="0.43333333333334378"/>
    <s v="Auto reset"/>
    <s v="Close"/>
    <n v="1.8840579710145383E-2"/>
    <m/>
    <m/>
    <m/>
  </r>
  <r>
    <n v="41"/>
    <n v="2024"/>
    <n v="2023"/>
    <s v="Year_1"/>
    <d v="2023-04-07T00:00:00"/>
    <s v="KUD11"/>
    <s v="O2R1"/>
    <s v="KSIPL"/>
    <n v="4.3478260869565223E-2"/>
    <m/>
    <x v="10"/>
    <s v="YawUntwistCCW: Code 6"/>
    <m/>
    <d v="1899-12-30T08:46:00"/>
    <d v="1899-12-30T08:46:00"/>
    <d v="1899-12-30T09:07:00"/>
    <n v="0"/>
    <n v="0.3499999999999921"/>
    <n v="0.3499999999999921"/>
    <s v="Auto reset"/>
    <s v="Close"/>
    <n v="1.5217391304347485E-2"/>
    <m/>
    <m/>
    <m/>
  </r>
  <r>
    <n v="42"/>
    <n v="2024"/>
    <n v="2023"/>
    <s v="Year_1"/>
    <d v="2023-04-07T00:00:00"/>
    <s v="KUD13"/>
    <s v="O2R1"/>
    <s v="KSIPL"/>
    <n v="4.3478260869565223E-2"/>
    <m/>
    <x v="13"/>
    <s v="Estop button activated"/>
    <m/>
    <d v="1899-12-30T00:00:00"/>
    <d v="1899-12-30T00:00:00"/>
    <d v="1899-12-30T23:00:00"/>
    <n v="0"/>
    <n v="22.999999999999993"/>
    <n v="22.999999999999993"/>
    <s v="Troubleshoot done "/>
    <s v="Close"/>
    <n v="0.99999999999999978"/>
    <m/>
    <m/>
    <m/>
  </r>
  <r>
    <n v="43"/>
    <n v="2024"/>
    <n v="2023"/>
    <s v="Year_1"/>
    <d v="2023-04-07T00:00:00"/>
    <s v="KUD19"/>
    <s v="O2R1"/>
    <s v="KSIPL"/>
    <n v="4.3478260869565223E-2"/>
    <m/>
    <x v="10"/>
    <s v="YawUntwistCCW: Code 6"/>
    <m/>
    <d v="1899-12-30T10:11:00"/>
    <d v="1899-12-30T10:11:00"/>
    <d v="1899-12-30T10:37:00"/>
    <n v="0"/>
    <n v="0.4333333333333198"/>
    <n v="0.4333333333333198"/>
    <s v="Auto reset"/>
    <s v="Close"/>
    <n v="1.8840579710144342E-2"/>
    <m/>
    <m/>
    <m/>
  </r>
  <r>
    <n v="44"/>
    <n v="2024"/>
    <n v="2023"/>
    <s v="Year_1"/>
    <d v="2023-04-07T00:00:00"/>
    <s v="KUD01"/>
    <s v="O2R1"/>
    <s v="KSIPL"/>
    <n v="4.3478260869565223E-2"/>
    <m/>
    <x v="10"/>
    <s v="YawUntwistCCW: Code 6"/>
    <m/>
    <d v="1899-12-30T09:29:00"/>
    <d v="1899-12-30T09:29:00"/>
    <d v="1899-12-30T09:51:00"/>
    <n v="0"/>
    <n v="0.36666666666667203"/>
    <n v="0.36666666666667203"/>
    <s v="Auto reset"/>
    <s v="Close"/>
    <n v="1.5942028985507482E-2"/>
    <m/>
    <m/>
    <m/>
  </r>
  <r>
    <n v="45"/>
    <n v="2024"/>
    <n v="2023"/>
    <s v="Year_1"/>
    <d v="2023-04-07T00:00:00"/>
    <s v="KUD03"/>
    <s v="O2R1"/>
    <s v="KSIPL"/>
    <n v="4.3478260869565223E-2"/>
    <m/>
    <x v="2"/>
    <s v="Service Audit"/>
    <m/>
    <d v="1899-12-30T11:06:00"/>
    <d v="1899-12-30T11:06:00"/>
    <d v="1899-12-30T13:50:00"/>
    <n v="0"/>
    <n v="2.7333333333333343"/>
    <n v="2.7333333333333343"/>
    <s v="Service audit done"/>
    <s v="Close"/>
    <n v="0.11884057971014499"/>
    <m/>
    <m/>
    <m/>
  </r>
  <r>
    <n v="46"/>
    <n v="2024"/>
    <n v="2023"/>
    <s v="Year_1"/>
    <d v="2023-04-07T00:00:00"/>
    <s v="KUD14"/>
    <s v="O2R1"/>
    <s v="KSIPL"/>
    <n v="4.3478260869565223E-2"/>
    <m/>
    <x v="14"/>
    <s v="YawUntwistCCW: Code 7"/>
    <m/>
    <d v="1899-12-30T08:48:00"/>
    <d v="1899-12-30T08:48:00"/>
    <d v="1899-12-30T09:28:00"/>
    <n v="0"/>
    <n v="0.66666666666664831"/>
    <n v="0.66666666666664831"/>
    <s v="Auto reset"/>
    <s v="Close"/>
    <n v="2.8985507246376017E-2"/>
    <m/>
    <m/>
    <m/>
  </r>
  <r>
    <n v="47"/>
    <n v="2024"/>
    <n v="2023"/>
    <s v="Year_1"/>
    <d v="2023-04-07T00:00:00"/>
    <s v="KUD14"/>
    <s v="O2R1"/>
    <s v="KSIPL"/>
    <n v="4.3478260869565223E-2"/>
    <m/>
    <x v="2"/>
    <s v="Service Audit"/>
    <m/>
    <d v="1899-12-30T14:20:00"/>
    <d v="1899-12-30T14:20:00"/>
    <d v="1899-12-30T16:28:00"/>
    <n v="0"/>
    <n v="2.1333333333333364"/>
    <n v="2.1333333333333364"/>
    <s v="Service audit done"/>
    <s v="Close"/>
    <n v="9.2753623188405937E-2"/>
    <m/>
    <m/>
    <m/>
  </r>
  <r>
    <n v="48"/>
    <n v="2024"/>
    <n v="2023"/>
    <s v="Year_1"/>
    <d v="2023-04-07T00:00:00"/>
    <s v="KUD15"/>
    <s v="O2R1"/>
    <s v="KSIPL"/>
    <n v="4.3478260869565223E-2"/>
    <m/>
    <x v="10"/>
    <s v="YawUntwistCCW: Code 6"/>
    <m/>
    <d v="1899-12-30T09:26:00"/>
    <d v="1899-12-30T09:26:00"/>
    <d v="1899-12-30T09:46:00"/>
    <n v="0"/>
    <n v="0.33333333333331217"/>
    <n v="0.33333333333331217"/>
    <s v="Auto reset"/>
    <s v="Close"/>
    <n v="1.4492753623187487E-2"/>
    <m/>
    <m/>
    <m/>
  </r>
  <r>
    <n v="49"/>
    <n v="2024"/>
    <n v="2023"/>
    <s v="Year_1"/>
    <d v="2023-04-07T00:00:00"/>
    <s v="KUD17"/>
    <s v="O2R2"/>
    <s v="SIL"/>
    <n v="4.3478260869565223E-2"/>
    <m/>
    <x v="10"/>
    <s v="YawUntwistCCW: Code 6"/>
    <m/>
    <d v="1899-12-30T09:34:00"/>
    <d v="1899-12-30T09:34:00"/>
    <d v="1899-12-30T09:57:00"/>
    <n v="0"/>
    <n v="0.38333333333332797"/>
    <n v="0.38333333333332797"/>
    <s v="Auto reset"/>
    <s v="Close"/>
    <n v="1.6666666666666437E-2"/>
    <m/>
    <m/>
    <m/>
  </r>
  <r>
    <n v="50"/>
    <n v="2024"/>
    <n v="2023"/>
    <s v="Year_1"/>
    <d v="2023-04-08T00:00:00"/>
    <s v="KUD13"/>
    <s v="O2R1"/>
    <s v="KSIPL"/>
    <n v="4.3478260869565223E-2"/>
    <m/>
    <x v="10"/>
    <s v="YawUntwistCCW: Code 6"/>
    <m/>
    <d v="1899-12-30T09:37:00"/>
    <d v="1899-12-30T09:37:00"/>
    <d v="1899-12-30T09:57:00"/>
    <n v="0"/>
    <n v="0.33333333333333615"/>
    <n v="0.33333333333333615"/>
    <s v="Auto reset"/>
    <s v="Close"/>
    <n v="1.4492753623188529E-2"/>
    <m/>
    <m/>
    <m/>
  </r>
  <r>
    <n v="51"/>
    <n v="2024"/>
    <n v="2023"/>
    <s v="Year_1"/>
    <d v="2023-04-08T00:00:00"/>
    <s v="KUD01"/>
    <s v="O2R1"/>
    <s v="KSIPL"/>
    <n v="4.3478260869565223E-2"/>
    <m/>
    <x v="10"/>
    <s v="YawUntwistCCW: Code 6"/>
    <m/>
    <d v="1899-12-30T08:26:00"/>
    <d v="1899-12-30T08:26:00"/>
    <d v="1899-12-30T08:52:00"/>
    <n v="0"/>
    <n v="0.43333333333332114"/>
    <n v="0.43333333333332114"/>
    <s v="Auto reset"/>
    <s v="Close"/>
    <n v="1.8840579710144401E-2"/>
    <m/>
    <m/>
    <m/>
  </r>
  <r>
    <n v="52"/>
    <n v="2024"/>
    <n v="2023"/>
    <s v="Year_1"/>
    <d v="2023-04-08T00:00:00"/>
    <s v="KUD01"/>
    <s v="O2R1"/>
    <s v="KSIPL"/>
    <n v="4.3478260869565223E-2"/>
    <m/>
    <x v="2"/>
    <s v="Service puch points Closure"/>
    <m/>
    <d v="1899-12-30T10:55:00"/>
    <d v="1899-12-30T10:55:00"/>
    <d v="1899-12-30T17:40:00"/>
    <n v="0"/>
    <n v="6.7500000000000018"/>
    <n v="6.7500000000000018"/>
    <s v="Service puch points Closure"/>
    <s v="Close"/>
    <n v="0.29347826086956535"/>
    <m/>
    <m/>
    <m/>
  </r>
  <r>
    <n v="53"/>
    <n v="2024"/>
    <n v="2023"/>
    <s v="Year_1"/>
    <d v="2023-04-08T00:00:00"/>
    <s v="KUD17"/>
    <s v="O2R2"/>
    <s v="SIL"/>
    <n v="4.3478260869565223E-2"/>
    <m/>
    <x v="10"/>
    <s v="YawUntwistCCW: Code 6"/>
    <m/>
    <d v="1899-12-30T08:56:00"/>
    <d v="1899-12-30T08:56:00"/>
    <d v="1899-12-30T09:18:00"/>
    <n v="0"/>
    <n v="0.36666666666667203"/>
    <n v="0.36666666666667203"/>
    <s v="Auto reset"/>
    <s v="Close"/>
    <n v="1.5942028985507482E-2"/>
    <m/>
    <m/>
    <m/>
  </r>
  <r>
    <n v="54"/>
    <n v="2024"/>
    <n v="2023"/>
    <s v="Year_1"/>
    <d v="2023-04-09T00:00:00"/>
    <s v="KUD03"/>
    <s v="O2R1"/>
    <s v="KSIPL"/>
    <n v="4.3478260869565223E-2"/>
    <m/>
    <x v="15"/>
    <s v="Generator Bearing  Temp 1 high 95 degree"/>
    <m/>
    <d v="1899-12-30T23:33:00"/>
    <d v="1899-12-30T23:33:00"/>
    <d v="1899-12-30T23:59:00"/>
    <n v="0"/>
    <n v="0.43333333333334512"/>
    <n v="0.43333333333334512"/>
    <s v="Auto reset"/>
    <s v="Close"/>
    <n v="1.8840579710145442E-2"/>
    <m/>
    <m/>
    <m/>
  </r>
  <r>
    <n v="55"/>
    <n v="2024"/>
    <n v="2023"/>
    <s v="Year_1"/>
    <d v="2023-04-09T00:00:00"/>
    <s v="KUD20"/>
    <s v="O2R1"/>
    <s v="KSIPL"/>
    <n v="4.3478260869565223E-2"/>
    <m/>
    <x v="16"/>
    <s v="Extr low Voltage"/>
    <m/>
    <d v="1899-12-30T00:00:00"/>
    <d v="1899-12-30T00:00:00"/>
    <d v="1899-12-30T09:00:00"/>
    <n v="0"/>
    <n v="9"/>
    <n v="9"/>
    <s v="Troubleshoot done "/>
    <s v="Close"/>
    <n v="0.39130434782608703"/>
    <m/>
    <m/>
    <m/>
  </r>
  <r>
    <n v="56"/>
    <n v="2024"/>
    <n v="2023"/>
    <s v="Year_1"/>
    <d v="2023-04-09T00:00:00"/>
    <s v="KUD14"/>
    <s v="O2R1"/>
    <s v="KSIPL"/>
    <n v="4.3478260869565223E-2"/>
    <m/>
    <x v="16"/>
    <s v="Extr low Voltage"/>
    <m/>
    <d v="1899-12-30T00:00:00"/>
    <d v="1899-12-30T00:00:00"/>
    <d v="1899-12-30T08:15:00"/>
    <n v="0"/>
    <n v="8.25"/>
    <n v="8.25"/>
    <s v="Troubleshoot done "/>
    <s v="Close"/>
    <n v="0.35869565217391308"/>
    <m/>
    <m/>
    <m/>
  </r>
  <r>
    <n v="57"/>
    <n v="2024"/>
    <n v="2023"/>
    <s v="Year_1"/>
    <d v="2023-04-10T00:00:00"/>
    <s v="KUD03"/>
    <s v="O2R1"/>
    <s v="KSIPL"/>
    <n v="4.3478260869565223E-2"/>
    <m/>
    <x v="17"/>
    <s v="High temp gear bearing"/>
    <m/>
    <d v="1899-12-30T00:00:00"/>
    <d v="1899-12-30T00:00:00"/>
    <d v="1899-12-30T07:00:00"/>
    <n v="0"/>
    <n v="7.0000000000000089"/>
    <n v="7.0000000000000089"/>
    <s v="Auto reset"/>
    <s v="Open"/>
    <n v="0.30434782608695693"/>
    <m/>
    <m/>
    <m/>
  </r>
  <r>
    <n v="58"/>
    <n v="2024"/>
    <n v="2023"/>
    <s v="Year_1"/>
    <d v="2023-04-10T00:00:00"/>
    <s v="KUD03"/>
    <s v="O2R1"/>
    <s v="KSIPL"/>
    <n v="4.3478260869565223E-2"/>
    <m/>
    <x v="2"/>
    <s v="Service audit punch point closing work"/>
    <m/>
    <d v="1899-12-30T11:25:00"/>
    <d v="1899-12-30T11:25:00"/>
    <d v="1899-12-30T14:03:00"/>
    <n v="0"/>
    <n v="2.6333333333333533"/>
    <n v="2.6333333333333533"/>
    <s v="Service puch points Closure"/>
    <s v="Close"/>
    <n v="0.11449275362318929"/>
    <m/>
    <m/>
    <m/>
  </r>
  <r>
    <n v="59"/>
    <n v="2024"/>
    <n v="2023"/>
    <s v="Year_1"/>
    <d v="2023-04-10T00:00:00"/>
    <s v="KUD15"/>
    <s v="O2R1"/>
    <s v="KSIPL"/>
    <n v="4.3478260869565223E-2"/>
    <m/>
    <x v="2"/>
    <s v="Service audit punch point closing work"/>
    <m/>
    <d v="1899-12-30T11:29:00"/>
    <d v="1899-12-30T11:29:00"/>
    <d v="1899-12-30T17:24:00"/>
    <n v="0"/>
    <n v="5.9166666666666714"/>
    <n v="5.9166666666666714"/>
    <s v="Service puch points Closure"/>
    <s v="Close"/>
    <n v="0.25724637681159446"/>
    <m/>
    <m/>
    <m/>
  </r>
  <r>
    <n v="60"/>
    <n v="2024"/>
    <n v="2023"/>
    <s v="Year_1"/>
    <d v="2023-04-11T00:00:00"/>
    <s v="KUD10"/>
    <s v="O2R1"/>
    <s v="KSIPL"/>
    <n v="4.3478260869565223E-2"/>
    <m/>
    <x v="2"/>
    <s v="Service audit punch point closing work"/>
    <m/>
    <d v="1899-12-30T10:46:00"/>
    <d v="1899-12-30T10:46:00"/>
    <d v="1899-12-30T12:46:00"/>
    <n v="0"/>
    <n v="1.9999999999999916"/>
    <n v="1.9999999999999916"/>
    <s v="Service puch points Closure"/>
    <s v="Close"/>
    <n v="8.6956521739130085E-2"/>
    <m/>
    <m/>
    <m/>
  </r>
  <r>
    <n v="61"/>
    <n v="2024"/>
    <n v="2023"/>
    <s v="Year_1"/>
    <d v="2023-04-11T00:00:00"/>
    <s v="KUD16"/>
    <s v="O2R2"/>
    <s v="SIL"/>
    <n v="4.3478260869565223E-2"/>
    <m/>
    <x v="2"/>
    <s v="Service audit punch point closing work"/>
    <m/>
    <d v="1899-12-30T11:08:00"/>
    <d v="1899-12-30T11:08:00"/>
    <d v="1899-12-30T17:17:00"/>
    <n v="0"/>
    <n v="6.1499999999999995"/>
    <n v="6.1499999999999995"/>
    <s v="Service puch points Closure"/>
    <s v="Close"/>
    <n v="0.2673913043478261"/>
    <m/>
    <m/>
    <m/>
  </r>
  <r>
    <n v="62"/>
    <n v="2024"/>
    <n v="2023"/>
    <s v="Year_1"/>
    <d v="2023-04-11T00:00:00"/>
    <s v="KUD15"/>
    <s v="O2R1"/>
    <s v="KSIPL"/>
    <n v="4.3478260869565223E-2"/>
    <m/>
    <x v="18"/>
    <s v="Yaw to cable twist"/>
    <m/>
    <d v="1899-12-30T02:57:00"/>
    <d v="1899-12-30T02:57:00"/>
    <d v="1899-12-30T03:01:00"/>
    <n v="0"/>
    <n v="6.6666666666648111E-2"/>
    <n v="6.6666666666648111E-2"/>
    <s v="Auto reset"/>
    <s v="Close"/>
    <n v="2.898550724636875E-3"/>
    <m/>
    <m/>
    <m/>
  </r>
  <r>
    <n v="63"/>
    <n v="2024"/>
    <n v="2023"/>
    <s v="Year_1"/>
    <d v="2023-04-12T00:00:00"/>
    <s v="KUD01"/>
    <s v="O2R1"/>
    <s v="KSIPL"/>
    <n v="4.3478260869565223E-2"/>
    <m/>
    <x v="2"/>
    <s v="Service Re audit"/>
    <m/>
    <d v="1899-12-30T14:52:00"/>
    <d v="1899-12-30T14:52:00"/>
    <d v="1899-12-30T16:44:00"/>
    <n v="0"/>
    <n v="1.8666666666666707"/>
    <n v="1.8666666666666707"/>
    <s v="Service Re audit done"/>
    <s v="Close"/>
    <n v="8.1159420289855261E-2"/>
    <m/>
    <m/>
    <m/>
  </r>
  <r>
    <n v="64"/>
    <n v="2024"/>
    <n v="2023"/>
    <s v="Year_1"/>
    <d v="2023-04-12T00:00:00"/>
    <s v="KUD15"/>
    <s v="O2R1"/>
    <s v="KSIPL"/>
    <n v="4.3478260869565223E-2"/>
    <m/>
    <x v="2"/>
    <s v="Service Re audit"/>
    <m/>
    <d v="1899-12-30T11:37:00"/>
    <d v="1899-12-30T11:37:00"/>
    <d v="1899-12-30T13:27:00"/>
    <n v="0"/>
    <n v="1.8333333333333361"/>
    <n v="1.8333333333333361"/>
    <s v="Service Re audit done"/>
    <s v="Close"/>
    <n v="7.9710144927536364E-2"/>
    <m/>
    <m/>
    <m/>
  </r>
  <r>
    <n v="65"/>
    <n v="2024"/>
    <n v="2023"/>
    <s v="Year_1"/>
    <d v="2023-04-12T00:00:00"/>
    <s v="KUD16"/>
    <s v="O2R2"/>
    <s v="SIL"/>
    <n v="4.3478260869565223E-2"/>
    <m/>
    <x v="19"/>
    <s v="Generator FB no response"/>
    <m/>
    <d v="1899-12-30T09:00:00"/>
    <d v="1899-12-30T09:00:00"/>
    <d v="1899-12-30T09:30:00"/>
    <n v="0"/>
    <n v="0.49999999999999156"/>
    <n v="0.49999999999999156"/>
    <s v="Auto reset"/>
    <s v="Close"/>
    <n v="2.1739130434782244E-2"/>
    <m/>
    <m/>
    <m/>
  </r>
  <r>
    <n v="66"/>
    <n v="2024"/>
    <n v="2023"/>
    <s v="Year_1"/>
    <d v="2023-04-12T00:00:00"/>
    <s v="KUD17"/>
    <s v="O2R2"/>
    <s v="SIL"/>
    <n v="4.3478260869565223E-2"/>
    <m/>
    <x v="2"/>
    <s v="Service punch point closing work "/>
    <m/>
    <d v="1899-12-30T09:30:00"/>
    <d v="1899-12-30T09:30:00"/>
    <d v="1899-12-30T18:30:00"/>
    <n v="0"/>
    <n v="9.0000000000000018"/>
    <n v="9.0000000000000018"/>
    <s v="Service punch point closing work "/>
    <s v="Close"/>
    <n v="0.39130434782608708"/>
    <m/>
    <m/>
    <m/>
  </r>
  <r>
    <n v="67"/>
    <n v="2024"/>
    <n v="2023"/>
    <s v="Year_1"/>
    <d v="2023-04-12T00:00:00"/>
    <s v="KUD16"/>
    <s v="O2R2"/>
    <s v="SIL"/>
    <n v="4.3478260869565223E-2"/>
    <m/>
    <x v="2"/>
    <s v="33kv Line stay wire removal work "/>
    <m/>
    <d v="1899-12-30T15:42:00"/>
    <d v="1899-12-30T15:42:00"/>
    <d v="1899-12-30T17:15:00"/>
    <n v="0"/>
    <n v="1.5499999999999918"/>
    <n v="1.5499999999999918"/>
    <s v="33kv Line stay wire removal work done"/>
    <s v="Close"/>
    <n v="6.739130434782574E-2"/>
    <m/>
    <m/>
    <m/>
  </r>
  <r>
    <n v="68"/>
    <n v="2024"/>
    <n v="2023"/>
    <s v="Year_1"/>
    <d v="2023-04-13T00:00:00"/>
    <s v="KUD03"/>
    <s v="O2R1"/>
    <s v="KSIPL"/>
    <n v="4.3478260869565223E-2"/>
    <m/>
    <x v="2"/>
    <s v="Service punch point closing work "/>
    <m/>
    <d v="1899-12-30T11:16:00"/>
    <d v="1899-12-30T11:16:00"/>
    <d v="1899-12-30T17:57:00"/>
    <n v="0"/>
    <n v="6.6833333333333522"/>
    <n v="6.6833333333333522"/>
    <s v="Service puch points Closure"/>
    <s v="Close"/>
    <n v="0.29057971014492839"/>
    <m/>
    <m/>
    <m/>
  </r>
  <r>
    <n v="69"/>
    <n v="2024"/>
    <n v="2023"/>
    <s v="Year_1"/>
    <d v="2023-04-13T00:00:00"/>
    <s v="KUD16"/>
    <s v="O2R2"/>
    <s v="SIL"/>
    <n v="4.3478260869565223E-2"/>
    <m/>
    <x v="2"/>
    <s v="Service Re audit"/>
    <m/>
    <d v="1899-12-30T11:25:00"/>
    <d v="1899-12-30T11:25:00"/>
    <d v="1899-12-30T15:09:00"/>
    <n v="0"/>
    <n v="3.7333333333333441"/>
    <n v="3.7333333333333441"/>
    <s v="Service Re audit done"/>
    <s v="Close"/>
    <n v="0.16231884057971063"/>
    <m/>
    <m/>
    <m/>
  </r>
  <r>
    <n v="70"/>
    <n v="2024"/>
    <n v="2023"/>
    <s v="Year_1"/>
    <d v="2023-04-13T00:00:00"/>
    <s v="KUD19"/>
    <s v="O2R1"/>
    <s v="KSIPL"/>
    <n v="4.3478260869565223E-2"/>
    <m/>
    <x v="2"/>
    <s v="CMS inspection work"/>
    <m/>
    <d v="1899-12-30T12:07:00"/>
    <d v="1899-12-30T12:07:00"/>
    <d v="1899-12-30T14:09:00"/>
    <n v="0"/>
    <n v="2.0333333333333288"/>
    <n v="2.0333333333333288"/>
    <s v="CMS inspection done"/>
    <s v="Close"/>
    <n v="8.8405797101449093E-2"/>
    <m/>
    <m/>
    <m/>
  </r>
  <r>
    <n v="71"/>
    <n v="2024"/>
    <n v="2023"/>
    <s v="Year_1"/>
    <d v="2023-04-13T00:00:00"/>
    <s v="KUD20"/>
    <s v="O2R1"/>
    <s v="KSIPL"/>
    <n v="4.3478260869565223E-2"/>
    <m/>
    <x v="2"/>
    <s v="CMS inspection work"/>
    <m/>
    <d v="1899-12-30T14:21:00"/>
    <d v="1899-12-30T14:21:00"/>
    <d v="1899-12-30T15:12:00"/>
    <n v="0"/>
    <n v="0.84999999999998366"/>
    <n v="0.84999999999998366"/>
    <s v="CMS inspection done"/>
    <s v="Close"/>
    <n v="3.6956521739129729E-2"/>
    <m/>
    <m/>
    <m/>
  </r>
  <r>
    <n v="72"/>
    <n v="2024"/>
    <n v="2023"/>
    <s v="Year_1"/>
    <d v="2023-04-14T00:00:00"/>
    <s v="KUD12"/>
    <s v="O2R1"/>
    <s v="KSIPL"/>
    <n v="4.3478260869565223E-2"/>
    <m/>
    <x v="18"/>
    <s v="Yaw to cable twist"/>
    <m/>
    <d v="1899-12-30T11:35:00"/>
    <d v="1899-12-30T11:35:00"/>
    <d v="1899-12-30T12:02:00"/>
    <n v="0"/>
    <n v="0.44999999999999973"/>
    <n v="0.44999999999999973"/>
    <s v="Auto reset"/>
    <s v="Close"/>
    <n v="1.9565217391304339E-2"/>
    <m/>
    <m/>
    <m/>
  </r>
  <r>
    <n v="73"/>
    <n v="2024"/>
    <n v="2023"/>
    <s v="Year_1"/>
    <d v="2023-04-14T00:00:00"/>
    <s v="KUD13"/>
    <s v="O2R1"/>
    <s v="KSIPL"/>
    <n v="4.3478260869565223E-2"/>
    <m/>
    <x v="18"/>
    <s v="Yaw to cable twist"/>
    <m/>
    <d v="1899-12-30T13:16:00"/>
    <d v="1899-12-30T13:16:00"/>
    <d v="1899-12-30T13:22:00"/>
    <n v="0"/>
    <n v="9.9999999999983658E-2"/>
    <n v="9.9999999999983658E-2"/>
    <s v="Auto reset"/>
    <s v="Close"/>
    <n v="4.3478260869558114E-3"/>
    <m/>
    <m/>
    <m/>
  </r>
  <r>
    <n v="74"/>
    <n v="2024"/>
    <n v="2023"/>
    <s v="Year_1"/>
    <d v="2023-04-14T00:00:00"/>
    <s v="KUD19"/>
    <s v="O2R1"/>
    <s v="KSIPL"/>
    <n v="4.3478260869565223E-2"/>
    <m/>
    <x v="18"/>
    <s v="Yaw to cable twist"/>
    <m/>
    <d v="1899-12-30T12:22:00"/>
    <d v="1899-12-30T12:22:00"/>
    <d v="1899-12-30T12:45:00"/>
    <n v="0"/>
    <n v="0.38333333333332931"/>
    <n v="0.38333333333332931"/>
    <s v="Auto reset"/>
    <s v="Close"/>
    <n v="1.6666666666666493E-2"/>
    <m/>
    <m/>
    <m/>
  </r>
  <r>
    <n v="75"/>
    <n v="2024"/>
    <n v="2023"/>
    <s v="Year_1"/>
    <d v="2023-04-14T00:00:00"/>
    <s v="KUD03"/>
    <s v="O2R1"/>
    <s v="KSIPL"/>
    <n v="4.3478260869565223E-2"/>
    <m/>
    <x v="18"/>
    <s v="Yaw to cable twist"/>
    <m/>
    <d v="1899-12-30T11:12:00"/>
    <d v="1899-12-30T11:12:00"/>
    <d v="1899-12-30T11:32:00"/>
    <n v="0"/>
    <n v="0.33333333333333615"/>
    <n v="0.33333333333333615"/>
    <s v="Auto reset"/>
    <s v="Close"/>
    <n v="1.4492753623188529E-2"/>
    <m/>
    <m/>
    <m/>
  </r>
  <r>
    <n v="76"/>
    <n v="2024"/>
    <n v="2023"/>
    <s v="Year_1"/>
    <d v="2023-04-14T00:00:00"/>
    <s v="KUD16"/>
    <s v="O2R2"/>
    <s v="SIL"/>
    <n v="4.3478260869565223E-2"/>
    <m/>
    <x v="18"/>
    <s v="Yaw to cable twist"/>
    <m/>
    <d v="1899-12-30T08:45:00"/>
    <d v="1899-12-30T08:45:00"/>
    <d v="1899-12-30T09:14:00"/>
    <n v="0"/>
    <n v="0.48333333333333695"/>
    <n v="0.48333333333333695"/>
    <s v="Auto reset"/>
    <s v="Close"/>
    <n v="2.1014492753623347E-2"/>
    <m/>
    <m/>
    <m/>
  </r>
  <r>
    <n v="77"/>
    <n v="2024"/>
    <n v="2023"/>
    <s v="Year_1"/>
    <d v="2023-04-14T00:00:00"/>
    <s v="KUD17"/>
    <s v="O2R2"/>
    <s v="SIL"/>
    <n v="4.3478260869565223E-2"/>
    <m/>
    <x v="2"/>
    <s v="Service Audit"/>
    <m/>
    <d v="1899-12-30T10:44:00"/>
    <d v="1899-12-30T10:44:00"/>
    <d v="1899-12-30T16:52:00"/>
    <n v="0"/>
    <n v="6.1333333333333417"/>
    <n v="6.1333333333333417"/>
    <s v="Service audit done"/>
    <s v="Close"/>
    <n v="0.26666666666666705"/>
    <m/>
    <m/>
    <m/>
  </r>
  <r>
    <n v="78"/>
    <n v="2024"/>
    <n v="2023"/>
    <s v="Year_1"/>
    <d v="2023-04-15T00:00:00"/>
    <s v="KUD10"/>
    <s v="O2R1"/>
    <s v="KSIPL"/>
    <n v="4.3478260869565223E-2"/>
    <m/>
    <x v="18"/>
    <s v="Yaw to cable twist"/>
    <m/>
    <d v="1899-12-30T06:51:00"/>
    <d v="1899-12-30T06:51:00"/>
    <d v="1899-12-30T07:12:00"/>
    <n v="0"/>
    <n v="0.3499999999999921"/>
    <n v="0.3499999999999921"/>
    <s v="Auto reset"/>
    <s v="Close"/>
    <n v="1.5217391304347485E-2"/>
    <m/>
    <m/>
    <m/>
  </r>
  <r>
    <n v="79"/>
    <n v="2024"/>
    <n v="2023"/>
    <s v="Year_1"/>
    <d v="2023-04-15T00:00:00"/>
    <s v="KUD11"/>
    <s v="O2R1"/>
    <s v="KSIPL"/>
    <n v="4.3478260869565223E-2"/>
    <m/>
    <x v="18"/>
    <s v="Yaw to cable twist"/>
    <m/>
    <d v="1899-12-30T07:51:00"/>
    <d v="1899-12-30T07:51:00"/>
    <d v="1899-12-30T08:21:00"/>
    <n v="0"/>
    <n v="0.50000000000001554"/>
    <n v="0.50000000000001554"/>
    <s v="Auto reset"/>
    <s v="Close"/>
    <n v="2.1739130434783288E-2"/>
    <m/>
    <m/>
    <m/>
  </r>
  <r>
    <n v="80"/>
    <n v="2024"/>
    <n v="2023"/>
    <s v="Year_1"/>
    <d v="2023-04-15T00:00:00"/>
    <s v="KUD11"/>
    <s v="O2R1"/>
    <s v="KSIPL"/>
    <n v="4.3478260869565223E-2"/>
    <m/>
    <x v="20"/>
    <s v=" Prop Valve C Status Fault "/>
    <m/>
    <d v="1899-12-30T13:30:00"/>
    <d v="1899-12-30T13:30:00"/>
    <d v="1899-12-30T13:50:00"/>
    <n v="0"/>
    <n v="0.33333333333333481"/>
    <n v="0.33333333333333481"/>
    <s v="Manual reset"/>
    <s v="Close"/>
    <n v="1.4492753623188472E-2"/>
    <m/>
    <m/>
    <m/>
  </r>
  <r>
    <n v="81"/>
    <n v="2024"/>
    <n v="2023"/>
    <s v="Year_1"/>
    <d v="2023-04-15T00:00:00"/>
    <s v="KUD01"/>
    <s v="O2R1"/>
    <s v="KSIPL"/>
    <n v="4.3478260869565223E-2"/>
    <m/>
    <x v="18"/>
    <s v="Yaw to cable twist"/>
    <m/>
    <d v="1899-12-30T13:19:00"/>
    <d v="1899-12-30T13:19:00"/>
    <d v="1899-12-30T13:43:00"/>
    <n v="0"/>
    <n v="0.40000000000000657"/>
    <n v="0.40000000000000657"/>
    <s v="Auto reset"/>
    <s v="Close"/>
    <n v="1.7391304347826375E-2"/>
    <m/>
    <m/>
    <m/>
  </r>
  <r>
    <n v="82"/>
    <n v="2024"/>
    <n v="2023"/>
    <s v="Year_1"/>
    <d v="2023-04-15T00:00:00"/>
    <s v="KUD03"/>
    <s v="O2R1"/>
    <s v="KSIPL"/>
    <n v="4.3478260869565223E-2"/>
    <m/>
    <x v="2"/>
    <s v="Service Re audit"/>
    <m/>
    <d v="1899-12-30T11:10:00"/>
    <d v="1899-12-30T11:10:00"/>
    <d v="1899-12-30T15:35:00"/>
    <n v="0"/>
    <n v="4.4166666666666723"/>
    <n v="4.4166666666666723"/>
    <s v="Service Re audit done"/>
    <s v="Close"/>
    <n v="0.19202898550724665"/>
    <m/>
    <m/>
    <m/>
  </r>
  <r>
    <n v="83"/>
    <n v="2024"/>
    <n v="2023"/>
    <s v="Year_1"/>
    <d v="2023-04-15T00:00:00"/>
    <s v="KUD14"/>
    <s v="O2R1"/>
    <s v="KSIPL"/>
    <n v="4.3478260869565223E-2"/>
    <m/>
    <x v="2"/>
    <s v="Yaw claw inspection"/>
    <m/>
    <d v="1899-12-30T11:34:00"/>
    <d v="1899-12-30T11:34:00"/>
    <d v="1899-12-30T14:51:00"/>
    <n v="0"/>
    <n v="3.2833333333333443"/>
    <n v="3.2833333333333443"/>
    <s v="Yaw claw inspection done"/>
    <s v="Close"/>
    <n v="0.14275362318840629"/>
    <m/>
    <m/>
    <m/>
  </r>
  <r>
    <n v="84"/>
    <n v="2024"/>
    <n v="2023"/>
    <s v="Year_1"/>
    <d v="2023-04-16T00:00:00"/>
    <s v="KUD10"/>
    <s v="O2R1"/>
    <s v="KSIPL"/>
    <n v="4.3478260869565223E-2"/>
    <m/>
    <x v="18"/>
    <s v="Yaw to cable twist"/>
    <m/>
    <d v="1899-12-30T10:56:00"/>
    <d v="1899-12-30T10:56:00"/>
    <d v="1899-12-30T11:17:00"/>
    <n v="0"/>
    <n v="0.3499999999999921"/>
    <n v="0.3499999999999921"/>
    <s v="Auto reset"/>
    <s v="Close"/>
    <n v="1.5217391304347485E-2"/>
    <m/>
    <m/>
    <m/>
  </r>
  <r>
    <n v="85"/>
    <n v="2024"/>
    <n v="2023"/>
    <s v="Year_1"/>
    <d v="2023-04-16T00:00:00"/>
    <s v="KUD12"/>
    <s v="O2R1"/>
    <s v="KSIPL"/>
    <n v="4.3478260869565223E-2"/>
    <m/>
    <x v="18"/>
    <s v="Yaw to cable twist"/>
    <m/>
    <d v="1899-12-30T12:41:00"/>
    <d v="1899-12-30T12:41:00"/>
    <d v="1899-12-30T13:11:00"/>
    <n v="0"/>
    <n v="0.50000000000001688"/>
    <n v="0.50000000000001688"/>
    <s v="Auto reset"/>
    <s v="Close"/>
    <n v="2.1739130434783344E-2"/>
    <m/>
    <m/>
    <m/>
  </r>
  <r>
    <n v="86"/>
    <n v="2024"/>
    <n v="2023"/>
    <s v="Year_1"/>
    <d v="2023-04-16T00:00:00"/>
    <s v="KUD13"/>
    <s v="O2R1"/>
    <s v="KSIPL"/>
    <n v="4.3478260869565223E-2"/>
    <m/>
    <x v="18"/>
    <s v="Yaw to cable twist"/>
    <m/>
    <d v="1899-12-30T07:04:00"/>
    <d v="1899-12-30T07:04:00"/>
    <d v="1899-12-30T07:33:00"/>
    <n v="0"/>
    <n v="0.48333333333333561"/>
    <n v="0.48333333333333561"/>
    <s v="Auto reset"/>
    <s v="Close"/>
    <n v="2.1014492753623291E-2"/>
    <m/>
    <m/>
    <m/>
  </r>
  <r>
    <n v="87"/>
    <n v="2024"/>
    <n v="2023"/>
    <s v="Year_1"/>
    <d v="2023-04-16T00:00:00"/>
    <s v="KUD19"/>
    <s v="O2R1"/>
    <s v="KSIPL"/>
    <n v="4.3478260869565223E-2"/>
    <m/>
    <x v="21"/>
    <s v="Yaw System Stopped"/>
    <m/>
    <d v="1899-12-30T14:01:00"/>
    <d v="1899-12-30T14:01:00"/>
    <d v="1899-12-30T14:08:00"/>
    <n v="0"/>
    <n v="0.11666666666666359"/>
    <n v="0.11666666666666359"/>
    <s v="Auto reset"/>
    <s v="Close"/>
    <n v="5.072463768115809E-3"/>
    <m/>
    <m/>
    <m/>
  </r>
  <r>
    <n v="88"/>
    <n v="2024"/>
    <n v="2023"/>
    <s v="Year_1"/>
    <d v="2023-04-16T00:00:00"/>
    <s v="KUD14"/>
    <s v="O2R1"/>
    <s v="KSIPL"/>
    <n v="4.3478260869565223E-2"/>
    <m/>
    <x v="18"/>
    <s v="Yaw to cable twist"/>
    <m/>
    <d v="1899-12-30T07:07:00"/>
    <d v="1899-12-30T07:07:00"/>
    <d v="1899-12-30T07:38:00"/>
    <n v="0"/>
    <n v="0.51666666666667149"/>
    <n v="0.51666666666667149"/>
    <s v="Auto reset"/>
    <s v="Close"/>
    <n v="2.246376811594224E-2"/>
    <m/>
    <m/>
    <m/>
  </r>
  <r>
    <n v="89"/>
    <n v="2024"/>
    <n v="2023"/>
    <s v="Year_1"/>
    <d v="2023-04-16T00:00:00"/>
    <s v="KUD14"/>
    <s v="O2R1"/>
    <s v="KSIPL"/>
    <n v="4.3478260869565223E-2"/>
    <m/>
    <x v="18"/>
    <s v="Yaw to cable twist"/>
    <m/>
    <d v="1899-12-30T14:45:00"/>
    <d v="1899-12-30T14:45:00"/>
    <d v="1899-12-30T15:18:00"/>
    <n v="0"/>
    <n v="0.55000000000000604"/>
    <n v="0.55000000000000604"/>
    <s v="Auto reset"/>
    <s v="Close"/>
    <n v="2.3913043478261134E-2"/>
    <m/>
    <m/>
    <m/>
  </r>
  <r>
    <n v="90"/>
    <n v="2024"/>
    <n v="2023"/>
    <s v="Year_1"/>
    <d v="2023-04-16T00:00:00"/>
    <s v="KUD15"/>
    <s v="O2R1"/>
    <s v="KSIPL"/>
    <n v="4.3478260869565223E-2"/>
    <m/>
    <x v="18"/>
    <s v="Yaw to cable twist"/>
    <m/>
    <d v="1899-12-30T11:19:00"/>
    <d v="1899-12-30T11:19:00"/>
    <d v="1899-12-30T11:40:00"/>
    <n v="0"/>
    <n v="0.3499999999999921"/>
    <n v="0.3499999999999921"/>
    <s v="Auto reset"/>
    <s v="Close"/>
    <n v="1.5217391304347485E-2"/>
    <m/>
    <m/>
    <m/>
  </r>
  <r>
    <n v="91"/>
    <n v="2024"/>
    <n v="2023"/>
    <s v="Year_1"/>
    <d v="2023-04-17T00:00:00"/>
    <s v="KUD10"/>
    <s v="O2R1"/>
    <s v="KSIPL"/>
    <n v="4.3478260869565223E-2"/>
    <m/>
    <x v="22"/>
    <s v="HydPressOscBlAFilt3,  15.0bar"/>
    <m/>
    <d v="1899-12-30T14:39:00"/>
    <d v="1899-12-30T14:39:00"/>
    <d v="1899-12-30T14:41:00"/>
    <n v="0"/>
    <n v="3.3333333333335879E-2"/>
    <n v="3.3333333333335879E-2"/>
    <s v="Auto reset"/>
    <s v="Close"/>
    <n v="1.4492753623189514E-3"/>
    <m/>
    <m/>
    <m/>
  </r>
  <r>
    <n v="92"/>
    <n v="2024"/>
    <n v="2023"/>
    <s v="Year_1"/>
    <d v="2023-04-17T00:00:00"/>
    <s v="KUD03"/>
    <s v="O2R1"/>
    <s v="KSIPL"/>
    <n v="4.3478260869565223E-2"/>
    <m/>
    <x v="18"/>
    <s v="Yaw to cable twist"/>
    <m/>
    <d v="1899-12-30T08:44:00"/>
    <d v="1899-12-30T08:44:00"/>
    <d v="1899-12-30T09:03:00"/>
    <n v="0"/>
    <n v="0.31666666666665622"/>
    <n v="0.31666666666665622"/>
    <s v="Auto reset"/>
    <s v="Close"/>
    <n v="1.3768115942028532E-2"/>
    <m/>
    <m/>
    <m/>
  </r>
  <r>
    <n v="93"/>
    <n v="2024"/>
    <n v="2023"/>
    <s v="Year_1"/>
    <d v="2023-04-17T00:00:00"/>
    <s v="KUD14"/>
    <s v="O2R1"/>
    <s v="KSIPL"/>
    <n v="4.3478260869565223E-2"/>
    <m/>
    <x v="2"/>
    <s v="Service Audit"/>
    <m/>
    <d v="1899-12-30T10:43:00"/>
    <d v="1899-12-30T10:43:00"/>
    <d v="1899-12-30T13:09:00"/>
    <n v="0"/>
    <n v="2.4333333333333367"/>
    <n v="2.4333333333333367"/>
    <s v="Service audit done"/>
    <s v="Close"/>
    <n v="0.10579710144927552"/>
    <m/>
    <m/>
    <m/>
  </r>
  <r>
    <n v="94"/>
    <n v="2024"/>
    <n v="2023"/>
    <s v="Year_1"/>
    <d v="2023-04-17T00:00:00"/>
    <s v="KUD15"/>
    <s v="O2R1"/>
    <s v="KSIPL"/>
    <n v="4.3478260869565223E-2"/>
    <m/>
    <x v="17"/>
    <s v="High temp gear bearing"/>
    <m/>
    <d v="1899-12-30T22:58:00"/>
    <d v="1899-12-30T22:58:00"/>
    <d v="1899-12-30T23:59:00"/>
    <n v="0"/>
    <n v="1.016666666666687"/>
    <n v="1.016666666666687"/>
    <s v="T/S WIP"/>
    <s v="Open"/>
    <n v="4.4202898550725532E-2"/>
    <m/>
    <m/>
    <m/>
  </r>
  <r>
    <n v="95"/>
    <n v="2024"/>
    <n v="2023"/>
    <s v="Year_1"/>
    <d v="2023-04-17T00:00:00"/>
    <s v="KUD17"/>
    <s v="O2R2"/>
    <s v="SIL"/>
    <n v="4.3478260869565223E-2"/>
    <m/>
    <x v="18"/>
    <s v="Yaw to cable twist"/>
    <m/>
    <d v="1899-12-30T11:21:00"/>
    <d v="1899-12-30T11:21:00"/>
    <d v="1899-12-30T11:43:00"/>
    <n v="0"/>
    <n v="0.36666666666664804"/>
    <n v="0.36666666666664804"/>
    <s v="Auto reset"/>
    <s v="Close"/>
    <n v="1.5942028985506437E-2"/>
    <m/>
    <m/>
    <m/>
  </r>
  <r>
    <n v="96"/>
    <n v="2024"/>
    <n v="2023"/>
    <s v="Year_1"/>
    <d v="2023-04-18T00:00:00"/>
    <s v="KUD14"/>
    <s v="O2R1"/>
    <s v="KSIPL"/>
    <n v="4.3478260869565223E-2"/>
    <m/>
    <x v="18"/>
    <s v="Yaw to cable twist"/>
    <m/>
    <d v="1899-12-30T08:12:00"/>
    <d v="1899-12-30T08:12:00"/>
    <d v="1899-12-30T08:44:00"/>
    <n v="0"/>
    <n v="0.53333333333332744"/>
    <n v="0.53333333333332744"/>
    <s v="Auto reset"/>
    <s v="Close"/>
    <n v="2.3188405797101196E-2"/>
    <m/>
    <m/>
    <m/>
  </r>
  <r>
    <n v="97"/>
    <n v="2024"/>
    <n v="2023"/>
    <s v="Year_1"/>
    <d v="2023-04-18T00:00:00"/>
    <s v="KUD15"/>
    <s v="O2R1"/>
    <s v="KSIPL"/>
    <n v="4.3478260869565223E-2"/>
    <m/>
    <x v="17"/>
    <s v="High temp gear bearing"/>
    <m/>
    <d v="1899-12-30T00:00:00"/>
    <d v="1899-12-30T00:00:00"/>
    <d v="1899-12-30T03:40:00"/>
    <n v="0"/>
    <n v="3.6666666666666723"/>
    <n v="3.6666666666666723"/>
    <s v="Auto reset"/>
    <s v="Close"/>
    <n v="0.15942028985507273"/>
    <m/>
    <m/>
    <m/>
  </r>
  <r>
    <n v="98"/>
    <n v="2024"/>
    <n v="2023"/>
    <s v="Year_1"/>
    <d v="2023-04-18T00:00:00"/>
    <s v="KUD15"/>
    <s v="O2R1"/>
    <s v="KSIPL"/>
    <n v="4.3478260869565223E-2"/>
    <m/>
    <x v="2"/>
    <s v="Generator Bearing Temp high Troubleshooting "/>
    <m/>
    <d v="1899-12-30T11:24:00"/>
    <d v="1899-12-30T11:24:00"/>
    <d v="1899-12-30T12:34:00"/>
    <n v="0"/>
    <n v="1.1666666666666652"/>
    <n v="1.1666666666666652"/>
    <s v="Troubleshoot done "/>
    <s v="Close"/>
    <n v="5.0724637681159361E-2"/>
    <m/>
    <m/>
    <m/>
  </r>
  <r>
    <n v="99"/>
    <n v="2024"/>
    <n v="2023"/>
    <s v="Year_1"/>
    <d v="2023-04-19T00:00:00"/>
    <s v="KUD10"/>
    <s v="O2R1"/>
    <s v="KSIPL"/>
    <n v="4.3478260869565223E-2"/>
    <m/>
    <x v="2"/>
    <s v="CMS inspection work"/>
    <m/>
    <d v="1899-12-30T11:34:00"/>
    <d v="1899-12-30T11:34:00"/>
    <d v="1899-12-30T11:53:00"/>
    <n v="0"/>
    <n v="0.3166666666666802"/>
    <n v="0.3166666666666802"/>
    <s v="CMS inspection done"/>
    <s v="Close"/>
    <n v="1.3768115942029575E-2"/>
    <m/>
    <m/>
    <m/>
  </r>
  <r>
    <n v="100"/>
    <n v="2024"/>
    <n v="2023"/>
    <s v="Year_1"/>
    <d v="2023-04-20T00:00:00"/>
    <s v="KUD10"/>
    <s v="O2R1"/>
    <s v="KSIPL"/>
    <n v="4.3478260869565223E-2"/>
    <m/>
    <x v="18"/>
    <s v="Yaw to cable twist"/>
    <m/>
    <d v="1899-12-30T10:22:00"/>
    <d v="1899-12-30T10:22:00"/>
    <d v="1899-12-30T10:54:00"/>
    <n v="0"/>
    <n v="0.53333333333335142"/>
    <n v="0.53333333333335142"/>
    <s v="Auto reset"/>
    <s v="Close"/>
    <n v="2.3188405797102237E-2"/>
    <m/>
    <m/>
    <m/>
  </r>
  <r>
    <n v="101"/>
    <n v="2024"/>
    <n v="2023"/>
    <s v="Year_1"/>
    <d v="2023-04-20T00:00:00"/>
    <s v="KUD01"/>
    <s v="O2R1"/>
    <s v="KSIPL"/>
    <n v="4.3478260869565223E-2"/>
    <m/>
    <x v="23"/>
    <s v="Blade load sensor Fault detucted"/>
    <m/>
    <d v="1899-12-30T11:58:00"/>
    <d v="1899-12-30T11:58:00"/>
    <d v="1899-12-30T15:26:00"/>
    <n v="0"/>
    <n v="3.466666666666681"/>
    <n v="3.466666666666681"/>
    <s v="CT 6050 replaced"/>
    <s v="Close"/>
    <n v="0.15072463768116007"/>
    <m/>
    <m/>
    <m/>
  </r>
  <r>
    <n v="102"/>
    <n v="2024"/>
    <n v="2023"/>
    <s v="Year_1"/>
    <d v="2023-04-20T00:00:00"/>
    <s v="KUD01"/>
    <s v="O2R1"/>
    <s v="KSIPL"/>
    <n v="4.3478260869565223E-2"/>
    <m/>
    <x v="18"/>
    <s v="Yaw to cable twist"/>
    <m/>
    <d v="1899-12-30T10:15:00"/>
    <d v="1899-12-30T10:15:00"/>
    <d v="1899-12-30T10:45:00"/>
    <n v="0"/>
    <n v="0.50000000000001688"/>
    <n v="0.50000000000001688"/>
    <s v="Auto reset"/>
    <s v="Close"/>
    <n v="2.1739130434783344E-2"/>
    <m/>
    <m/>
    <m/>
  </r>
  <r>
    <n v="103"/>
    <n v="2024"/>
    <n v="2023"/>
    <s v="Year_1"/>
    <d v="2023-04-20T00:00:00"/>
    <s v="KUD03"/>
    <s v="O2R1"/>
    <s v="KSIPL"/>
    <n v="4.3478260869565223E-2"/>
    <m/>
    <x v="18"/>
    <s v="Yaw to cable twist"/>
    <m/>
    <d v="1899-12-30T10:58:00"/>
    <d v="1899-12-30T10:58:00"/>
    <d v="1899-12-30T11:18:00"/>
    <n v="0"/>
    <n v="0.33333333333333615"/>
    <n v="0.33333333333333615"/>
    <s v="Auto reset"/>
    <s v="Close"/>
    <n v="1.4492753623188529E-2"/>
    <m/>
    <m/>
    <m/>
  </r>
  <r>
    <n v="104"/>
    <n v="2024"/>
    <n v="2023"/>
    <s v="Year_1"/>
    <d v="2023-04-20T00:00:00"/>
    <s v="KUD20"/>
    <s v="O2R1"/>
    <s v="KSIPL"/>
    <n v="4.3478260869565223E-2"/>
    <m/>
    <x v="2"/>
    <s v="Blade inspection "/>
    <m/>
    <d v="1899-12-30T14:30:00"/>
    <d v="1899-12-30T14:30:00"/>
    <d v="1899-12-30T15:00:00"/>
    <n v="0"/>
    <n v="0.49999999999999289"/>
    <n v="0.49999999999999289"/>
    <s v="Blade inspection done"/>
    <s v="Close"/>
    <n v="2.1739130434782303E-2"/>
    <m/>
    <m/>
    <m/>
  </r>
  <r>
    <n v="105"/>
    <n v="2024"/>
    <n v="2023"/>
    <s v="Year_1"/>
    <d v="2023-04-21T00:00:00"/>
    <s v="KUD10"/>
    <s v="O2R1"/>
    <s v="KSIPL"/>
    <n v="4.3478260869565223E-2"/>
    <m/>
    <x v="2"/>
    <s v="Service punch point closing work "/>
    <m/>
    <d v="1899-12-30T11:21:00"/>
    <d v="1899-12-30T11:21:00"/>
    <d v="1899-12-30T15:03:00"/>
    <n v="0"/>
    <n v="3.6999999999999842"/>
    <n v="3.6999999999999842"/>
    <s v="Service puch points Closure"/>
    <s v="Close"/>
    <n v="0.16086956521739063"/>
    <m/>
    <m/>
    <m/>
  </r>
  <r>
    <n v="106"/>
    <n v="2024"/>
    <n v="2023"/>
    <s v="Year_1"/>
    <d v="2023-04-21T00:00:00"/>
    <s v="KUD10"/>
    <s v="O2R1"/>
    <s v="KSIPL"/>
    <n v="4.3478260869565223E-2"/>
    <m/>
    <x v="18"/>
    <s v="Yaw to cable twist"/>
    <m/>
    <d v="1899-12-30T20:00:00"/>
    <d v="1899-12-30T20:00:00"/>
    <d v="1899-12-30T20:45:00"/>
    <n v="0"/>
    <n v="0.75"/>
    <n v="0.75"/>
    <s v="Auto reset"/>
    <s v="Close"/>
    <n v="3.2608695652173919E-2"/>
    <m/>
    <m/>
    <m/>
  </r>
  <r>
    <n v="107"/>
    <n v="2024"/>
    <n v="2023"/>
    <s v="Year_1"/>
    <d v="2023-04-21T00:00:00"/>
    <s v="KUD03"/>
    <s v="O2R1"/>
    <s v="KSIPL"/>
    <n v="4.3478260869565223E-2"/>
    <m/>
    <x v="2"/>
    <s v="CT/PT installation for PCVT test"/>
    <m/>
    <d v="1899-12-30T08:03:00"/>
    <d v="1899-12-30T08:03:00"/>
    <d v="1899-12-30T21:15:00"/>
    <n v="0"/>
    <n v="13.200000000000001"/>
    <n v="13.200000000000001"/>
    <s v="CT/PT Installation done"/>
    <s v="Close"/>
    <n v="0.573913043478261"/>
    <m/>
    <m/>
    <m/>
  </r>
  <r>
    <n v="108"/>
    <n v="2024"/>
    <n v="2023"/>
    <s v="Year_1"/>
    <d v="2023-04-21T00:00:00"/>
    <s v="KUD14"/>
    <s v="O2R1"/>
    <s v="KSIPL"/>
    <n v="4.3478260869565223E-2"/>
    <m/>
    <x v="2"/>
    <s v="Generator lubrication warning "/>
    <m/>
    <d v="1899-12-30T11:17:00"/>
    <d v="1899-12-30T11:17:00"/>
    <d v="1899-12-30T13:23:00"/>
    <n v="0"/>
    <n v="2.1000000000000005"/>
    <n v="2.1000000000000005"/>
    <s v="Troubleshoot done "/>
    <s v="Close"/>
    <n v="9.1304347826086998E-2"/>
    <m/>
    <m/>
    <m/>
  </r>
  <r>
    <n v="109"/>
    <n v="2024"/>
    <n v="2023"/>
    <s v="Year_1"/>
    <d v="2023-04-21T00:00:00"/>
    <s v="KUD17"/>
    <s v="O2R2"/>
    <s v="SIL"/>
    <n v="4.3478260869565223E-2"/>
    <m/>
    <x v="2"/>
    <s v="Nacelle hatch open/close error"/>
    <m/>
    <d v="1899-12-30T16:00:00"/>
    <d v="1899-12-30T16:00:00"/>
    <d v="1899-12-30T18:30:00"/>
    <n v="0"/>
    <n v="2.4999999999999858"/>
    <n v="2.4999999999999858"/>
    <s v="Troubleshoot done "/>
    <s v="Close"/>
    <n v="0.10869565217391244"/>
    <m/>
    <m/>
    <m/>
  </r>
  <r>
    <n v="110"/>
    <n v="2024"/>
    <n v="2023"/>
    <s v="Year_1"/>
    <d v="2023-04-21T00:00:00"/>
    <s v="KUD16"/>
    <s v="O2R2"/>
    <s v="SIL"/>
    <n v="4.3478260869565223E-2"/>
    <m/>
    <x v="24"/>
    <s v="ExEx low voltage L3"/>
    <m/>
    <d v="1899-12-30T12:37:00"/>
    <d v="1899-12-30T12:37:00"/>
    <d v="1899-12-30T12:42:00"/>
    <n v="0"/>
    <n v="8.3333333333351689E-2"/>
    <n v="8.3333333333351689E-2"/>
    <s v="Auto reset"/>
    <s v="Close"/>
    <n v="3.6231884057978999E-3"/>
    <m/>
    <m/>
    <m/>
  </r>
  <r>
    <n v="111"/>
    <n v="2024"/>
    <n v="2023"/>
    <s v="Year_1"/>
    <d v="2023-04-22T00:00:00"/>
    <s v="KUD20"/>
    <s v="O2R1"/>
    <s v="KSIPL"/>
    <n v="4.3478260869565223E-2"/>
    <m/>
    <x v="2"/>
    <s v="Service punch point closing work "/>
    <m/>
    <d v="1899-12-30T10:04:00"/>
    <d v="1899-12-30T10:04:00"/>
    <d v="1899-12-30T12:14:00"/>
    <n v="0"/>
    <n v="2.166666666666671"/>
    <n v="2.166666666666671"/>
    <s v="Service puch points Closure"/>
    <s v="Close"/>
    <n v="9.4202898550724834E-2"/>
    <m/>
    <m/>
    <m/>
  </r>
  <r>
    <n v="112"/>
    <n v="2024"/>
    <n v="2023"/>
    <s v="Year_1"/>
    <d v="2023-04-22T00:00:00"/>
    <s v="KUD20"/>
    <s v="O2R1"/>
    <s v="KSIPL"/>
    <n v="4.3478260869565223E-2"/>
    <m/>
    <x v="18"/>
    <s v="Yaw to cable twist"/>
    <m/>
    <d v="1899-12-30T14:45:00"/>
    <d v="1899-12-30T14:45:00"/>
    <d v="1899-12-30T15:06:00"/>
    <n v="0"/>
    <n v="0.35000000000001474"/>
    <n v="0.35000000000001474"/>
    <s v="Auto reset"/>
    <s v="Close"/>
    <n v="1.5217391304348469E-2"/>
    <m/>
    <m/>
    <m/>
  </r>
  <r>
    <n v="113"/>
    <n v="2024"/>
    <n v="2023"/>
    <s v="Year_1"/>
    <d v="2023-04-22T00:00:00"/>
    <s v="KUD01"/>
    <s v="O2R1"/>
    <s v="KSIPL"/>
    <n v="4.3478260869565223E-2"/>
    <m/>
    <x v="17"/>
    <s v="High temp gear bearing"/>
    <m/>
    <d v="1899-12-30T22:00:00"/>
    <d v="1899-12-30T22:00:00"/>
    <d v="1899-12-30T23:59:00"/>
    <n v="0"/>
    <n v="1.9833333333333369"/>
    <n v="1.9833333333333369"/>
    <s v="T/S WIP"/>
    <s v="Open"/>
    <n v="8.6231884057971178E-2"/>
    <m/>
    <m/>
    <m/>
  </r>
  <r>
    <n v="114"/>
    <n v="2024"/>
    <n v="2023"/>
    <s v="Year_1"/>
    <d v="2023-04-22T00:00:00"/>
    <s v="KUD03"/>
    <s v="O2R1"/>
    <s v="KSIPL"/>
    <n v="4.3478260869565223E-2"/>
    <m/>
    <x v="2"/>
    <s v="CT/PT installation for PCVT test"/>
    <m/>
    <d v="1899-12-30T09:00:00"/>
    <d v="1899-12-30T09:00:00"/>
    <d v="1899-12-30T13:30:00"/>
    <n v="0"/>
    <n v="4.5"/>
    <n v="4.5"/>
    <s v="CT/PT Installation done"/>
    <s v="Close"/>
    <n v="0.19565217391304351"/>
    <m/>
    <m/>
    <m/>
  </r>
  <r>
    <n v="115"/>
    <n v="2024"/>
    <n v="2023"/>
    <s v="Year_1"/>
    <d v="2023-04-22T00:00:00"/>
    <s v="KUD17"/>
    <s v="O2R2"/>
    <s v="SIL"/>
    <n v="4.3478260869565223E-2"/>
    <m/>
    <x v="2"/>
    <s v="Service punch point closing work "/>
    <m/>
    <d v="1899-12-30T12:45:00"/>
    <d v="1899-12-30T12:45:00"/>
    <d v="1899-12-30T13:49:00"/>
    <n v="0"/>
    <n v="1.0666666666666549"/>
    <n v="1.0666666666666549"/>
    <s v="Service puch points Closure"/>
    <s v="Close"/>
    <n v="4.6376811594202393E-2"/>
    <m/>
    <m/>
    <m/>
  </r>
  <r>
    <n v="116"/>
    <n v="2024"/>
    <n v="2023"/>
    <s v="Year_1"/>
    <d v="2023-04-23T00:00:00"/>
    <s v="KUD11"/>
    <s v="O2R1"/>
    <s v="KSIPL"/>
    <n v="4.3478260869565223E-2"/>
    <m/>
    <x v="18"/>
    <s v="Yaw to cable twist"/>
    <m/>
    <d v="1899-12-30T14:59:00"/>
    <d v="1899-12-30T14:59:00"/>
    <d v="1899-12-30T15:32:00"/>
    <n v="0"/>
    <n v="0.54999999999998472"/>
    <n v="0.54999999999998472"/>
    <s v="Auto reset"/>
    <s v="Close"/>
    <n v="2.3913043478260208E-2"/>
    <m/>
    <m/>
    <m/>
  </r>
  <r>
    <n v="117"/>
    <n v="2024"/>
    <n v="2023"/>
    <s v="Year_1"/>
    <d v="2023-04-23T00:00:00"/>
    <s v="KUD01"/>
    <s v="O2R1"/>
    <s v="KSIPL"/>
    <n v="4.3478260869565223E-2"/>
    <m/>
    <x v="17"/>
    <s v="High temp gear bearing"/>
    <m/>
    <d v="1899-12-30T00:00:00"/>
    <d v="1899-12-30T00:00:00"/>
    <d v="1899-12-30T06:30:00"/>
    <n v="0"/>
    <n v="6.4999999999999911"/>
    <n v="6.4999999999999911"/>
    <s v="Auto reset"/>
    <s v="Close"/>
    <n v="0.28260869565217356"/>
    <m/>
    <m/>
    <m/>
  </r>
  <r>
    <n v="118"/>
    <n v="2024"/>
    <n v="2023"/>
    <s v="Year_1"/>
    <d v="2023-04-23T00:00:00"/>
    <s v="KUD01"/>
    <s v="O2R1"/>
    <s v="KSIPL"/>
    <n v="4.3478260869565223E-2"/>
    <m/>
    <x v="2"/>
    <s v="High temp gear bearing"/>
    <m/>
    <d v="1899-12-30T09:17:00"/>
    <d v="1899-12-30T09:17:00"/>
    <d v="1899-12-30T11:12:00"/>
    <n v="0"/>
    <n v="1.9166666666666639"/>
    <n v="1.9166666666666639"/>
    <s v="Troubleshoot done "/>
    <s v="Close"/>
    <n v="8.3333333333333218E-2"/>
    <m/>
    <m/>
    <m/>
  </r>
  <r>
    <n v="119"/>
    <n v="2024"/>
    <n v="2023"/>
    <s v="Year_1"/>
    <d v="2023-04-23T00:00:00"/>
    <s v="KUD03"/>
    <s v="O2R1"/>
    <s v="KSIPL"/>
    <n v="4.3478260869565223E-2"/>
    <m/>
    <x v="2"/>
    <s v="PT/CT installation for PCVT test"/>
    <m/>
    <d v="1899-12-30T12:39:00"/>
    <d v="1899-12-30T12:39:00"/>
    <d v="1899-12-30T14:58:00"/>
    <n v="0"/>
    <n v="2.3166666666666718"/>
    <n v="2.3166666666666718"/>
    <s v="CT/PT Installation done"/>
    <s v="Close"/>
    <n v="0.10072463768115965"/>
    <m/>
    <m/>
    <m/>
  </r>
  <r>
    <n v="120"/>
    <n v="2024"/>
    <n v="2023"/>
    <s v="Year_1"/>
    <d v="2023-04-23T00:00:00"/>
    <s v="KUD17"/>
    <s v="O2R2"/>
    <s v="SIL"/>
    <n v="4.3478260869565223E-2"/>
    <m/>
    <x v="25"/>
    <s v="Blade loads calib. Active"/>
    <m/>
    <d v="1899-12-30T04:30:00"/>
    <d v="1899-12-30T04:30:00"/>
    <d v="1899-12-30T04:34:00"/>
    <n v="0"/>
    <n v="6.6666666666671759E-2"/>
    <n v="6.6666666666671759E-2"/>
    <s v="Auto reset"/>
    <s v="Close"/>
    <n v="2.8985507246379028E-3"/>
    <m/>
    <m/>
    <m/>
  </r>
  <r>
    <n v="121"/>
    <n v="2024"/>
    <n v="2023"/>
    <s v="Year_1"/>
    <d v="2023-04-24T00:00:00"/>
    <s v="KUD10"/>
    <s v="O2R1"/>
    <s v="KSIPL"/>
    <n v="4.3478260869565223E-2"/>
    <m/>
    <x v="2"/>
    <s v="Service Re audit"/>
    <m/>
    <d v="1899-12-30T12:24:00"/>
    <d v="1899-12-30T12:24:00"/>
    <d v="1899-12-30T13:26:00"/>
    <n v="0"/>
    <n v="1.033333333333319"/>
    <n v="1.033333333333319"/>
    <s v="Service Re audit done"/>
    <s v="Close"/>
    <n v="4.492753623188344E-2"/>
    <m/>
    <m/>
    <m/>
  </r>
  <r>
    <n v="122"/>
    <n v="2024"/>
    <n v="2023"/>
    <s v="Year_1"/>
    <d v="2023-04-24T00:00:00"/>
    <s v="KUD12"/>
    <s v="O2R1"/>
    <s v="KSIPL"/>
    <n v="4.3478260869565223E-2"/>
    <m/>
    <x v="18"/>
    <s v="Yaw to cable twist"/>
    <m/>
    <d v="1899-12-30T05:42:00"/>
    <d v="1899-12-30T05:42:00"/>
    <d v="1899-12-30T06:02:00"/>
    <n v="0"/>
    <n v="0.33333333333333615"/>
    <n v="0.33333333333333615"/>
    <s v="Auto reset"/>
    <s v="Close"/>
    <n v="1.4492753623188529E-2"/>
    <m/>
    <m/>
    <m/>
  </r>
  <r>
    <n v="123"/>
    <n v="2024"/>
    <n v="2023"/>
    <s v="Year_1"/>
    <d v="2023-04-24T00:00:00"/>
    <s v="KUD13"/>
    <s v="O2R1"/>
    <s v="KSIPL"/>
    <n v="4.3478260869565223E-2"/>
    <m/>
    <x v="18"/>
    <s v="Yaw to cable twist"/>
    <m/>
    <d v="1899-12-30T11:59:00"/>
    <d v="1899-12-30T11:59:00"/>
    <d v="1899-12-30T12:20:00"/>
    <n v="0"/>
    <n v="0.34999999999999076"/>
    <n v="0.34999999999999076"/>
    <s v="Auto reset"/>
    <s v="Close"/>
    <n v="1.5217391304347426E-2"/>
    <m/>
    <m/>
    <m/>
  </r>
  <r>
    <n v="124"/>
    <n v="2024"/>
    <n v="2023"/>
    <s v="Year_1"/>
    <d v="2023-04-24T00:00:00"/>
    <s v="KUD13"/>
    <s v="O2R1"/>
    <s v="KSIPL"/>
    <n v="4.3478260869565223E-2"/>
    <m/>
    <x v="18"/>
    <s v="Yaw to cable twist"/>
    <m/>
    <d v="1899-12-30T13:19:00"/>
    <d v="1899-12-30T13:19:00"/>
    <d v="1899-12-30T13:39:00"/>
    <n v="0"/>
    <n v="0.33333333333333481"/>
    <n v="0.33333333333333481"/>
    <s v="Auto reset"/>
    <s v="Close"/>
    <n v="1.4492753623188472E-2"/>
    <m/>
    <m/>
    <m/>
  </r>
  <r>
    <n v="125"/>
    <n v="2024"/>
    <n v="2023"/>
    <s v="Year_1"/>
    <d v="2023-04-24T00:00:00"/>
    <s v="KUD13"/>
    <s v="O2R1"/>
    <s v="KSIPL"/>
    <n v="4.3478260869565223E-2"/>
    <m/>
    <x v="18"/>
    <s v="Yaw to cable twist"/>
    <m/>
    <d v="1899-12-30T21:26:00"/>
    <d v="1899-12-30T21:26:00"/>
    <d v="1899-12-30T21:56:00"/>
    <n v="0"/>
    <n v="0.49999999999999023"/>
    <n v="0.49999999999999023"/>
    <s v="Auto reset"/>
    <s v="Close"/>
    <n v="2.1739130434782188E-2"/>
    <m/>
    <m/>
    <m/>
  </r>
  <r>
    <n v="126"/>
    <n v="2024"/>
    <n v="2023"/>
    <s v="Year_1"/>
    <d v="2023-04-24T00:00:00"/>
    <s v="KUD19"/>
    <s v="O2R1"/>
    <s v="KSIPL"/>
    <n v="4.3478260869565223E-2"/>
    <m/>
    <x v="18"/>
    <s v="Yaw to cable twist"/>
    <m/>
    <d v="1899-12-30T10:05:00"/>
    <d v="1899-12-30T10:05:00"/>
    <d v="1899-12-30T10:27:00"/>
    <n v="0"/>
    <n v="0.36666666666667203"/>
    <n v="0.36666666666667203"/>
    <s v="Auto reset"/>
    <s v="Close"/>
    <n v="1.5942028985507482E-2"/>
    <m/>
    <m/>
    <m/>
  </r>
  <r>
    <n v="127"/>
    <n v="2024"/>
    <n v="2023"/>
    <s v="Year_1"/>
    <d v="2023-04-24T00:00:00"/>
    <s v="KUD19"/>
    <s v="O2R1"/>
    <s v="KSIPL"/>
    <n v="4.3478260869565223E-2"/>
    <m/>
    <x v="2"/>
    <s v="Service Re audit"/>
    <m/>
    <d v="1899-12-30T13:45:00"/>
    <d v="1899-12-30T13:45:00"/>
    <d v="1899-12-30T14:37:00"/>
    <n v="0"/>
    <n v="0.86666666666666359"/>
    <n v="0.86666666666666359"/>
    <s v="Service Re audit done"/>
    <s v="Close"/>
    <n v="3.7681159420289725E-2"/>
    <m/>
    <m/>
    <m/>
  </r>
  <r>
    <n v="128"/>
    <n v="2024"/>
    <n v="2023"/>
    <s v="Year_1"/>
    <d v="2023-04-24T00:00:00"/>
    <s v="KUD20"/>
    <s v="O2R1"/>
    <s v="KSIPL"/>
    <n v="4.3478260869565223E-2"/>
    <m/>
    <x v="2"/>
    <s v="Service Re audit"/>
    <m/>
    <d v="1899-12-30T16:25:00"/>
    <d v="1899-12-30T16:25:00"/>
    <d v="1899-12-30T17:12:00"/>
    <n v="0"/>
    <n v="0.78333333333333588"/>
    <n v="0.78333333333333588"/>
    <s v="Service Re audit done"/>
    <s v="Close"/>
    <n v="3.4057971014492872E-2"/>
    <m/>
    <m/>
    <m/>
  </r>
  <r>
    <n v="129"/>
    <n v="2024"/>
    <n v="2023"/>
    <s v="Year_1"/>
    <d v="2023-04-24T00:00:00"/>
    <s v="KUD01"/>
    <s v="O2R1"/>
    <s v="KSIPL"/>
    <n v="4.3478260869565223E-2"/>
    <m/>
    <x v="18"/>
    <s v="Yaw to cable twist"/>
    <m/>
    <d v="1899-12-30T11:47:00"/>
    <d v="1899-12-30T11:47:00"/>
    <d v="1899-12-30T12:07:00"/>
    <n v="0"/>
    <n v="0.33333333333333615"/>
    <n v="0.33333333333333615"/>
    <s v="Auto reset"/>
    <s v="Close"/>
    <n v="1.4492753623188529E-2"/>
    <m/>
    <m/>
    <m/>
  </r>
  <r>
    <n v="130"/>
    <n v="2024"/>
    <n v="2023"/>
    <s v="Year_1"/>
    <d v="2023-04-24T00:00:00"/>
    <s v="KUD03"/>
    <s v="O2R1"/>
    <s v="KSIPL"/>
    <n v="4.3478260869565223E-2"/>
    <m/>
    <x v="2"/>
    <s v="Ampient temperature warnig inspection"/>
    <m/>
    <d v="1899-12-30T16:14:00"/>
    <d v="1899-12-30T16:14:00"/>
    <d v="1899-12-30T16:48:00"/>
    <n v="0"/>
    <n v="0.56666666666666199"/>
    <n v="0.56666666666666199"/>
    <s v="Inspection done rectification pending"/>
    <s v="Close"/>
    <n v="2.463768115942009E-2"/>
    <m/>
    <m/>
    <m/>
  </r>
  <r>
    <n v="131"/>
    <n v="2024"/>
    <n v="2023"/>
    <s v="Year_1"/>
    <d v="2023-04-25T00:00:00"/>
    <s v="KUD10"/>
    <s v="O2R1"/>
    <s v="KSIPL"/>
    <n v="4.3478260869565223E-2"/>
    <m/>
    <x v="18"/>
    <s v="Yaw to cable twist"/>
    <m/>
    <d v="1899-12-30T14:57:00"/>
    <d v="1899-12-30T14:57:00"/>
    <d v="1899-12-30T15:18:00"/>
    <n v="0"/>
    <n v="0.34999999999999076"/>
    <n v="0.34999999999999076"/>
    <s v="Auto reset"/>
    <s v="Close"/>
    <n v="1.5217391304347426E-2"/>
    <m/>
    <m/>
    <m/>
  </r>
  <r>
    <n v="132"/>
    <n v="2024"/>
    <n v="2023"/>
    <s v="Year_1"/>
    <d v="2023-04-25T00:00:00"/>
    <s v="KUD12"/>
    <s v="O2R1"/>
    <s v="KSIPL"/>
    <n v="4.3478260869565223E-2"/>
    <m/>
    <x v="18"/>
    <s v="Yaw to cable twist"/>
    <m/>
    <d v="1899-12-30T15:54:00"/>
    <d v="1899-12-30T15:54:00"/>
    <d v="1899-12-30T16:17:00"/>
    <n v="0"/>
    <n v="0.38333333333332931"/>
    <n v="0.38333333333332931"/>
    <s v="Auto reset"/>
    <s v="Close"/>
    <n v="1.6666666666666493E-2"/>
    <m/>
    <m/>
    <m/>
  </r>
  <r>
    <n v="133"/>
    <n v="2024"/>
    <n v="2023"/>
    <s v="Year_1"/>
    <d v="2023-04-25T00:00:00"/>
    <s v="KUD19"/>
    <s v="O2R1"/>
    <s v="KSIPL"/>
    <n v="4.3478260869565223E-2"/>
    <m/>
    <x v="26"/>
    <s v="Extreme yawerror"/>
    <m/>
    <d v="1899-12-30T00:22:00"/>
    <d v="1899-12-30T00:22:00"/>
    <d v="1899-12-30T00:54:00"/>
    <n v="0"/>
    <n v="0.53333333333333277"/>
    <n v="0.53333333333333277"/>
    <s v="Auto reset"/>
    <s v="Close"/>
    <n v="2.3188405797101429E-2"/>
    <m/>
    <m/>
    <m/>
  </r>
  <r>
    <n v="134"/>
    <n v="2024"/>
    <n v="2023"/>
    <s v="Year_1"/>
    <d v="2023-04-25T00:00:00"/>
    <s v="KUD16"/>
    <s v="O2R2"/>
    <s v="SIL"/>
    <n v="4.3478260869565223E-2"/>
    <m/>
    <x v="18"/>
    <s v="Yaw to cable twist"/>
    <m/>
    <d v="1899-12-30T14:10:00"/>
    <d v="1899-12-30T14:10:00"/>
    <d v="1899-12-30T14:36:00"/>
    <n v="0"/>
    <n v="0.43333333333331847"/>
    <n v="0.43333333333331847"/>
    <s v="Auto reset"/>
    <s v="Close"/>
    <n v="1.8840579710144283E-2"/>
    <m/>
    <m/>
    <m/>
  </r>
  <r>
    <n v="135"/>
    <n v="2024"/>
    <n v="2023"/>
    <s v="Year_1"/>
    <d v="2023-04-25T00:00:00"/>
    <s v="KUD17"/>
    <s v="O2R2"/>
    <s v="SIL"/>
    <n v="4.3478260869565223E-2"/>
    <m/>
    <x v="26"/>
    <s v="Extreme yawerror"/>
    <m/>
    <d v="1899-12-30T00:23:00"/>
    <d v="1899-12-30T00:23:00"/>
    <d v="1899-12-30T00:33:00"/>
    <n v="0"/>
    <n v="0.16666666666666799"/>
    <n v="0.16666666666666799"/>
    <s v="Auto reset"/>
    <s v="Close"/>
    <n v="7.2463768115942611E-3"/>
    <m/>
    <m/>
    <m/>
  </r>
  <r>
    <n v="136"/>
    <n v="2024"/>
    <n v="2023"/>
    <s v="Year_1"/>
    <d v="2023-04-26T00:00:00"/>
    <s v="KUD01"/>
    <s v="O2R1"/>
    <s v="KSIPL"/>
    <n v="4.3478260869565223E-2"/>
    <m/>
    <x v="18"/>
    <s v="Yaw to cable twist"/>
    <m/>
    <d v="1899-12-30T08:27:00"/>
    <d v="1899-12-30T08:27:00"/>
    <d v="1899-12-30T08:47:00"/>
    <n v="0"/>
    <n v="0.33333333333333481"/>
    <n v="0.33333333333333481"/>
    <s v="Auto reset"/>
    <s v="Close"/>
    <n v="1.4492753623188472E-2"/>
    <m/>
    <m/>
    <m/>
  </r>
  <r>
    <n v="137"/>
    <n v="2024"/>
    <n v="2023"/>
    <s v="Year_1"/>
    <d v="2023-04-26T00:00:00"/>
    <s v="KUD16"/>
    <s v="O2R2"/>
    <s v="SIL"/>
    <n v="4.3478260869565223E-2"/>
    <m/>
    <x v="18"/>
    <s v="Yaw to cable twist"/>
    <m/>
    <d v="1899-12-30T08:54:00"/>
    <d v="1899-12-30T08:54:00"/>
    <d v="1899-12-30T09:04:00"/>
    <n v="0"/>
    <n v="0.1666666666666794"/>
    <n v="0.1666666666666794"/>
    <s v="Auto reset"/>
    <s v="Close"/>
    <n v="7.2463768115947572E-3"/>
    <m/>
    <m/>
    <m/>
  </r>
  <r>
    <n v="138"/>
    <n v="2024"/>
    <n v="2023"/>
    <s v="Year_1"/>
    <d v="2023-04-26T00:00:00"/>
    <s v="KUD17"/>
    <s v="O2R2"/>
    <s v="SIL"/>
    <n v="4.3478260869565223E-2"/>
    <m/>
    <x v="18"/>
    <s v="Yaw to cable twist"/>
    <m/>
    <d v="1899-12-30T08:55:00"/>
    <d v="1899-12-30T08:55:00"/>
    <d v="1899-12-30T09:15:00"/>
    <n v="0"/>
    <n v="0.33333333333333615"/>
    <n v="0.33333333333333615"/>
    <s v="Auto reset"/>
    <s v="Close"/>
    <n v="1.4492753623188529E-2"/>
    <m/>
    <m/>
    <m/>
  </r>
  <r>
    <n v="139"/>
    <n v="2024"/>
    <n v="2023"/>
    <s v="Year_1"/>
    <d v="2023-04-27T00:00:00"/>
    <s v="KUD19"/>
    <s v="O2R1"/>
    <s v="KSIPL"/>
    <n v="4.3478260869565223E-2"/>
    <m/>
    <x v="18"/>
    <s v="Yaw to cable twist"/>
    <m/>
    <d v="1899-12-30T10:31:00"/>
    <d v="1899-12-30T10:31:00"/>
    <d v="1899-12-30T10:52:00"/>
    <n v="0"/>
    <n v="0.35000000000001608"/>
    <n v="0.35000000000001608"/>
    <s v="Auto reset"/>
    <s v="Close"/>
    <n v="1.5217391304348528E-2"/>
    <m/>
    <m/>
    <m/>
  </r>
  <r>
    <n v="140"/>
    <n v="2024"/>
    <n v="2023"/>
    <s v="Year_1"/>
    <d v="2023-04-27T00:00:00"/>
    <s v="KUD01"/>
    <s v="O2R1"/>
    <s v="KSIPL"/>
    <n v="4.3478260869565223E-2"/>
    <m/>
    <x v="18"/>
    <s v="Yaw to cable twist"/>
    <m/>
    <d v="1899-12-30T08:54:00"/>
    <d v="1899-12-30T08:54:00"/>
    <d v="1899-12-30T09:17:00"/>
    <n v="0"/>
    <n v="0.38333333333335196"/>
    <n v="0.38333333333335196"/>
    <s v="Auto reset"/>
    <s v="Close"/>
    <n v="1.6666666666667478E-2"/>
    <m/>
    <m/>
    <m/>
  </r>
  <r>
    <n v="141"/>
    <n v="2024"/>
    <n v="2023"/>
    <s v="Year_1"/>
    <d v="2023-04-27T00:00:00"/>
    <s v="KUD03"/>
    <s v="O2R1"/>
    <s v="KSIPL"/>
    <n v="4.3478260869565223E-2"/>
    <m/>
    <x v="18"/>
    <s v="Yaw to cable twist"/>
    <m/>
    <d v="1899-12-30T07:22:00"/>
    <d v="1899-12-30T07:22:00"/>
    <d v="1899-12-30T07:52:00"/>
    <n v="0"/>
    <n v="0.50000000000001554"/>
    <n v="0.50000000000001554"/>
    <s v="Auto reset"/>
    <s v="Close"/>
    <n v="2.1739130434783288E-2"/>
    <m/>
    <m/>
    <m/>
  </r>
  <r>
    <n v="142"/>
    <n v="2024"/>
    <n v="2023"/>
    <s v="Year_1"/>
    <d v="2023-04-27T00:00:00"/>
    <s v="KUD03"/>
    <s v="O2R1"/>
    <s v="KSIPL"/>
    <n v="4.3478260869565223E-2"/>
    <m/>
    <x v="2"/>
    <s v="Service Re audit"/>
    <m/>
    <d v="1899-12-30T14:50:00"/>
    <d v="1899-12-30T14:50:00"/>
    <d v="1899-12-30T17:15:00"/>
    <n v="0"/>
    <n v="2.4166666666666554"/>
    <n v="2.4166666666666554"/>
    <s v="Service Re audit done"/>
    <s v="Close"/>
    <n v="0.10507246376811546"/>
    <m/>
    <m/>
    <m/>
  </r>
  <r>
    <n v="143"/>
    <n v="2024"/>
    <n v="2023"/>
    <s v="Year_1"/>
    <d v="2023-04-27T00:00:00"/>
    <s v="KUD03"/>
    <s v="O2R1"/>
    <s v="KSIPL"/>
    <n v="4.3478260869565223E-2"/>
    <m/>
    <x v="2"/>
    <s v="Software update"/>
    <m/>
    <d v="1899-12-30T22:55:00"/>
    <d v="1899-12-30T22:55:00"/>
    <d v="1899-12-30T23:58:00"/>
    <n v="0"/>
    <n v="1.0499999999999989"/>
    <n v="1.0499999999999989"/>
    <s v="Software updation done"/>
    <s v="Close"/>
    <n v="4.5652173913043437E-2"/>
    <m/>
    <m/>
    <m/>
  </r>
  <r>
    <n v="144"/>
    <n v="2024"/>
    <n v="2023"/>
    <s v="Year_1"/>
    <d v="2023-04-27T00:00:00"/>
    <s v="KUD16"/>
    <s v="O2R2"/>
    <s v="SIL"/>
    <n v="4.3478260869565223E-2"/>
    <m/>
    <x v="18"/>
    <s v="Yaw to cable twist"/>
    <m/>
    <d v="1899-12-30T13:09:00"/>
    <d v="1899-12-30T13:09:00"/>
    <d v="1899-12-30T13:30:00"/>
    <n v="0"/>
    <n v="0.34999999999999076"/>
    <n v="0.34999999999999076"/>
    <s v="Auto reset"/>
    <s v="Close"/>
    <n v="1.5217391304347426E-2"/>
    <m/>
    <m/>
    <m/>
  </r>
  <r>
    <n v="145"/>
    <n v="2024"/>
    <n v="2023"/>
    <s v="Year_1"/>
    <d v="2023-04-27T00:00:00"/>
    <s v="KUD16"/>
    <s v="O2R2"/>
    <s v="SIL"/>
    <n v="4.3478260869565223E-2"/>
    <m/>
    <x v="8"/>
    <s v="Hub panel 24V supply missing warning inspection"/>
    <m/>
    <d v="1899-12-30T11:51:00"/>
    <d v="1899-12-30T11:51:00"/>
    <d v="1899-12-30T12:53:00"/>
    <n v="0"/>
    <n v="1.033333333333343"/>
    <n v="1.033333333333343"/>
    <s v="Hub panel 24V supply missing warning inspection done"/>
    <s v="Close"/>
    <n v="4.4927536231884481E-2"/>
    <m/>
    <m/>
    <m/>
  </r>
  <r>
    <n v="146"/>
    <n v="2024"/>
    <n v="2023"/>
    <s v="Year_1"/>
    <d v="2023-04-27T00:00:00"/>
    <s v="KUD17"/>
    <s v="O2R2"/>
    <s v="SIL"/>
    <n v="4.3478260869565223E-2"/>
    <m/>
    <x v="18"/>
    <s v="Yaw to cable twist"/>
    <m/>
    <d v="1899-12-30T10:32:00"/>
    <d v="1899-12-30T10:32:00"/>
    <d v="1899-12-30T10:55:00"/>
    <n v="0"/>
    <n v="0.38333333333332797"/>
    <n v="0.38333333333332797"/>
    <s v="Auto reset"/>
    <s v="Close"/>
    <n v="1.6666666666666437E-2"/>
    <m/>
    <m/>
    <m/>
  </r>
  <r>
    <n v="147"/>
    <n v="2024"/>
    <n v="2023"/>
    <s v="Year_1"/>
    <d v="2023-04-27T00:00:00"/>
    <s v="KUD17"/>
    <s v="O2R2"/>
    <s v="SIL"/>
    <n v="4.3478260869565223E-2"/>
    <m/>
    <x v="2"/>
    <s v="Service Re audit"/>
    <m/>
    <d v="1899-12-30T12:04:00"/>
    <d v="1899-12-30T12:04:00"/>
    <d v="1899-12-30T13:08:00"/>
    <n v="0"/>
    <n v="1.0666666666666575"/>
    <n v="1.0666666666666575"/>
    <s v="Service Re audit done"/>
    <s v="Close"/>
    <n v="4.6376811594202511E-2"/>
    <m/>
    <m/>
    <m/>
  </r>
  <r>
    <n v="148"/>
    <n v="2024"/>
    <n v="2023"/>
    <s v="Year_1"/>
    <d v="2023-04-28T00:00:00"/>
    <s v="KUD10"/>
    <s v="O2R1"/>
    <s v="KSIPL"/>
    <n v="4.3478260869565223E-2"/>
    <m/>
    <x v="2"/>
    <s v="Software update"/>
    <m/>
    <d v="1899-12-30T17:09:00"/>
    <d v="1899-12-30T17:09:00"/>
    <d v="1899-12-30T17:53:00"/>
    <n v="0"/>
    <n v="0.73333333333334405"/>
    <n v="0.73333333333334405"/>
    <s v="Software updation done"/>
    <s v="Close"/>
    <n v="3.1884057971014963E-2"/>
    <m/>
    <m/>
    <m/>
  </r>
  <r>
    <n v="149"/>
    <n v="2024"/>
    <n v="2023"/>
    <s v="Year_1"/>
    <d v="2023-04-28T00:00:00"/>
    <s v="KUD12"/>
    <s v="O2R1"/>
    <s v="KSIPL"/>
    <n v="4.3478260869565223E-2"/>
    <m/>
    <x v="2"/>
    <s v="Software update"/>
    <m/>
    <d v="1899-12-30T17:50:00"/>
    <d v="1899-12-30T17:50:00"/>
    <d v="1899-12-30T18:35:00"/>
    <n v="0"/>
    <n v="0.75"/>
    <n v="0.75"/>
    <s v="Software updation done"/>
    <s v="Close"/>
    <n v="3.2608695652173919E-2"/>
    <m/>
    <m/>
    <m/>
  </r>
  <r>
    <n v="150"/>
    <n v="2024"/>
    <n v="2023"/>
    <s v="Year_1"/>
    <d v="2023-04-28T00:00:00"/>
    <s v="KUD13"/>
    <s v="O2R1"/>
    <s v="KSIPL"/>
    <n v="4.3478260869565223E-2"/>
    <m/>
    <x v="2"/>
    <s v="Software update"/>
    <m/>
    <d v="1899-12-30T16:54:00"/>
    <d v="1899-12-30T16:54:00"/>
    <d v="1899-12-30T17:38:00"/>
    <n v="0"/>
    <n v="0.73333333333332007"/>
    <n v="0.73333333333332007"/>
    <s v="Software updation done"/>
    <s v="Close"/>
    <n v="3.1884057971013922E-2"/>
    <m/>
    <m/>
    <m/>
  </r>
  <r>
    <n v="151"/>
    <n v="2024"/>
    <n v="2023"/>
    <s v="Year_1"/>
    <d v="2023-04-28T00:00:00"/>
    <s v="KUD19"/>
    <s v="O2R1"/>
    <s v="KSIPL"/>
    <n v="4.3478260869565223E-2"/>
    <m/>
    <x v="2"/>
    <s v="Software update"/>
    <m/>
    <d v="1899-12-30T13:19:00"/>
    <d v="1899-12-30T13:19:00"/>
    <d v="1899-12-30T14:02:00"/>
    <n v="0"/>
    <n v="0.71666666666666412"/>
    <n v="0.71666666666666412"/>
    <s v="Software updation done"/>
    <s v="Close"/>
    <n v="3.1159420289854967E-2"/>
    <m/>
    <m/>
    <m/>
  </r>
  <r>
    <n v="152"/>
    <n v="2024"/>
    <n v="2023"/>
    <s v="Year_1"/>
    <d v="2023-04-28T00:00:00"/>
    <s v="KUD20"/>
    <s v="O2R1"/>
    <s v="KSIPL"/>
    <n v="4.3478260869565223E-2"/>
    <m/>
    <x v="2"/>
    <s v="Software update"/>
    <m/>
    <d v="1899-12-30T13:24:00"/>
    <d v="1899-12-30T13:24:00"/>
    <d v="1899-12-30T14:08:00"/>
    <n v="0"/>
    <n v="0.73333333333334405"/>
    <n v="0.73333333333334405"/>
    <s v="Software updation done"/>
    <s v="Close"/>
    <n v="3.1884057971014963E-2"/>
    <m/>
    <m/>
    <m/>
  </r>
  <r>
    <n v="153"/>
    <n v="2024"/>
    <n v="2023"/>
    <s v="Year_1"/>
    <d v="2023-04-28T00:00:00"/>
    <s v="KUD01"/>
    <s v="O2R1"/>
    <s v="KSIPL"/>
    <n v="4.3478260869565223E-2"/>
    <m/>
    <x v="2"/>
    <s v="Software update"/>
    <m/>
    <d v="1899-12-30T12:02:00"/>
    <d v="1899-12-30T12:02:00"/>
    <d v="1899-12-30T12:44:00"/>
    <n v="0"/>
    <n v="0.70000000000000817"/>
    <n v="0.70000000000000817"/>
    <s v="Software updation done"/>
    <s v="Close"/>
    <n v="3.0434782608696011E-2"/>
    <m/>
    <m/>
    <m/>
  </r>
  <r>
    <n v="154"/>
    <n v="2024"/>
    <n v="2023"/>
    <s v="Year_1"/>
    <d v="2023-04-28T00:00:00"/>
    <s v="KUD14"/>
    <s v="O2R1"/>
    <s v="KSIPL"/>
    <n v="4.3478260869565223E-2"/>
    <m/>
    <x v="2"/>
    <s v="Software update"/>
    <m/>
    <d v="1899-12-30T15:58:00"/>
    <d v="1899-12-30T15:58:00"/>
    <d v="1899-12-30T16:41:00"/>
    <n v="0"/>
    <n v="0.71666666666666412"/>
    <n v="0.71666666666666412"/>
    <s v="Software updation done"/>
    <s v="Close"/>
    <n v="3.1159420289854967E-2"/>
    <m/>
    <m/>
    <m/>
  </r>
  <r>
    <n v="155"/>
    <n v="2024"/>
    <n v="2023"/>
    <s v="Year_1"/>
    <d v="2023-04-28T00:00:00"/>
    <s v="KUD15"/>
    <s v="O2R1"/>
    <s v="KSIPL"/>
    <n v="4.3478260869565223E-2"/>
    <m/>
    <x v="2"/>
    <s v="Software update"/>
    <m/>
    <d v="1899-12-30T11:49:00"/>
    <d v="1899-12-30T11:49:00"/>
    <d v="1899-12-30T12:32:00"/>
    <n v="0"/>
    <n v="0.71666666666666412"/>
    <n v="0.71666666666666412"/>
    <s v="Software updation done"/>
    <s v="Close"/>
    <n v="3.1159420289854967E-2"/>
    <m/>
    <m/>
    <m/>
  </r>
  <r>
    <n v="156"/>
    <n v="2024"/>
    <n v="2023"/>
    <s v="Year_1"/>
    <d v="2023-04-28T00:00:00"/>
    <s v="KUD16"/>
    <s v="O2R2"/>
    <s v="SIL"/>
    <n v="4.3478260869565223E-2"/>
    <m/>
    <x v="2"/>
    <s v="Software update"/>
    <m/>
    <d v="1899-12-30T10:37:00"/>
    <d v="1899-12-30T10:37:00"/>
    <d v="1899-12-30T11:32:00"/>
    <n v="0"/>
    <n v="0.91666666666668073"/>
    <n v="0.91666666666668073"/>
    <s v="Software updation done"/>
    <s v="Close"/>
    <n v="3.985507246376873E-2"/>
    <m/>
    <m/>
    <m/>
  </r>
  <r>
    <n v="157"/>
    <n v="2024"/>
    <n v="2023"/>
    <s v="Year_1"/>
    <d v="2023-04-28T00:00:00"/>
    <s v="KUD17"/>
    <s v="O2R2"/>
    <s v="SIL"/>
    <n v="4.3478260869565223E-2"/>
    <m/>
    <x v="2"/>
    <s v="Software update"/>
    <m/>
    <d v="1899-12-30T10:51:00"/>
    <d v="1899-12-30T10:51:00"/>
    <d v="1899-12-30T11:38:00"/>
    <n v="0"/>
    <n v="0.78333333333333588"/>
    <n v="0.78333333333333588"/>
    <s v="Software updation done"/>
    <s v="Close"/>
    <n v="3.4057971014492872E-2"/>
    <m/>
    <m/>
    <m/>
  </r>
  <r>
    <n v="158"/>
    <n v="2024"/>
    <n v="2023"/>
    <s v="Year_1"/>
    <d v="2023-04-28T00:00:00"/>
    <s v="KUD12"/>
    <s v="O2R1"/>
    <s v="KSIPL"/>
    <n v="4.3478260869565223E-2"/>
    <m/>
    <x v="26"/>
    <s v="Extreme yawerror"/>
    <m/>
    <d v="1899-12-30T21:18:00"/>
    <d v="1899-12-30T21:18:00"/>
    <d v="1899-12-30T21:22:00"/>
    <n v="0"/>
    <n v="6.6666666666671759E-2"/>
    <n v="6.6666666666671759E-2"/>
    <s v="Auto reset"/>
    <s v="Close"/>
    <n v="2.8985507246379028E-3"/>
    <m/>
    <m/>
    <m/>
  </r>
  <r>
    <n v="159"/>
    <n v="2024"/>
    <n v="2023"/>
    <s v="Year_1"/>
    <d v="2023-04-28T00:00:00"/>
    <s v="KUD13"/>
    <s v="O2R1"/>
    <s v="KSIPL"/>
    <n v="4.3478260869565223E-2"/>
    <m/>
    <x v="26"/>
    <s v="Extreme yawerror"/>
    <m/>
    <d v="1899-12-30T21:16:00"/>
    <d v="1899-12-30T21:16:00"/>
    <d v="1899-12-30T21:21:00"/>
    <n v="0"/>
    <n v="8.3333333333327708E-2"/>
    <n v="8.3333333333327708E-2"/>
    <s v="Auto reset"/>
    <s v="Close"/>
    <n v="3.6231884057968573E-3"/>
    <m/>
    <m/>
    <m/>
  </r>
  <r>
    <n v="160"/>
    <n v="2024"/>
    <n v="2023"/>
    <s v="Year_1"/>
    <d v="2023-04-28T00:00:00"/>
    <s v="KUD01"/>
    <s v="O2R1"/>
    <s v="KSIPL"/>
    <n v="4.3478260869565223E-2"/>
    <m/>
    <x v="26"/>
    <s v="Extreme yawerror"/>
    <m/>
    <d v="1899-12-30T21:13:00"/>
    <d v="1899-12-30T21:13:00"/>
    <d v="1899-12-30T21:36:00"/>
    <n v="0"/>
    <n v="0.38333333333332931"/>
    <n v="0.38333333333332931"/>
    <s v="Auto reset"/>
    <s v="Close"/>
    <n v="1.6666666666666493E-2"/>
    <m/>
    <m/>
    <m/>
  </r>
  <r>
    <n v="161"/>
    <n v="2024"/>
    <n v="2023"/>
    <s v="Year_1"/>
    <d v="2023-04-28T00:00:00"/>
    <s v="KUD03"/>
    <s v="O2R1"/>
    <s v="KSIPL"/>
    <n v="4.3478260869565223E-2"/>
    <m/>
    <x v="26"/>
    <s v="Extreme yawerror"/>
    <m/>
    <d v="1899-12-30T21:13:00"/>
    <d v="1899-12-30T21:13:00"/>
    <d v="1899-12-30T21:36:00"/>
    <n v="0"/>
    <n v="0.38333333333332931"/>
    <n v="0.38333333333332931"/>
    <s v="Auto reset"/>
    <s v="Close"/>
    <n v="1.6666666666666493E-2"/>
    <m/>
    <m/>
    <m/>
  </r>
  <r>
    <n v="162"/>
    <n v="2024"/>
    <n v="2023"/>
    <s v="Year_1"/>
    <d v="2023-04-28T00:00:00"/>
    <s v="KUD16"/>
    <s v="O2R2"/>
    <s v="SIL"/>
    <n v="4.3478260869565223E-2"/>
    <m/>
    <x v="26"/>
    <s v="Extreme yawerror"/>
    <m/>
    <d v="1899-12-30T12:45:00"/>
    <d v="1899-12-30T12:45:00"/>
    <d v="1899-12-30T13:08:00"/>
    <n v="0"/>
    <n v="0.38333333333332931"/>
    <n v="0.38333333333332931"/>
    <s v="Auto reset"/>
    <s v="Close"/>
    <n v="1.6666666666666493E-2"/>
    <m/>
    <m/>
    <m/>
  </r>
  <r>
    <n v="163"/>
    <n v="2024"/>
    <n v="2023"/>
    <s v="Year_1"/>
    <d v="2023-04-28T00:00:00"/>
    <s v="KUD01"/>
    <s v="O2R1"/>
    <s v="KSIPL"/>
    <n v="4.3478260869565223E-2"/>
    <m/>
    <x v="27"/>
    <s v=" Blade loads calib. Active"/>
    <m/>
    <d v="1899-12-30T20:45:00"/>
    <d v="1899-12-30T20:45:00"/>
    <d v="1899-12-30T20:50:00"/>
    <n v="0"/>
    <n v="8.3333333333327708E-2"/>
    <n v="8.3333333333327708E-2"/>
    <s v="Auto reset"/>
    <s v="Close"/>
    <n v="3.6231884057968573E-3"/>
    <m/>
    <m/>
    <m/>
  </r>
  <r>
    <n v="164"/>
    <n v="2024"/>
    <n v="2023"/>
    <s v="Year_1"/>
    <d v="2023-04-29T00:00:00"/>
    <s v="KUD15"/>
    <s v="O2R1"/>
    <s v="KSIPL"/>
    <n v="4.3478260869565223E-2"/>
    <m/>
    <x v="28"/>
    <s v=" Low oil Hydraulics"/>
    <m/>
    <d v="1899-12-30T18:20:00"/>
    <d v="1899-12-30T18:20:00"/>
    <d v="1899-12-30T23:59:00"/>
    <n v="0"/>
    <n v="5.6500000000000092"/>
    <n v="5.6500000000000092"/>
    <s v="T/S WIP"/>
    <s v="Open"/>
    <n v="0.24565217391304392"/>
    <m/>
    <m/>
    <m/>
  </r>
  <r>
    <n v="165"/>
    <n v="2024"/>
    <n v="2023"/>
    <s v="Year_1"/>
    <d v="2023-04-30T00:00:00"/>
    <s v="KUD10"/>
    <s v="O2R1"/>
    <s v="KSIPL"/>
    <n v="4.3478260869565223E-2"/>
    <m/>
    <x v="18"/>
    <s v="Yaw to cable twist"/>
    <m/>
    <d v="1899-12-30T07:39:00"/>
    <d v="1899-12-30T07:39:00"/>
    <d v="1899-12-30T08:13:00"/>
    <n v="0"/>
    <n v="0.56666666666666465"/>
    <n v="0.56666666666666465"/>
    <s v="Auto reset"/>
    <s v="Close"/>
    <n v="2.4637681159420204E-2"/>
    <m/>
    <m/>
    <m/>
  </r>
  <r>
    <n v="166"/>
    <n v="2024"/>
    <n v="2023"/>
    <s v="Year_1"/>
    <d v="2023-04-30T00:00:00"/>
    <s v="KUD19"/>
    <s v="O2R1"/>
    <s v="KSIPL"/>
    <n v="4.3478260869565223E-2"/>
    <m/>
    <x v="18"/>
    <s v="Yaw to cable twist"/>
    <m/>
    <d v="1899-12-30T08:12:00"/>
    <d v="1899-12-30T08:12:00"/>
    <d v="1899-12-30T08:44:00"/>
    <n v="0"/>
    <n v="0.53333333333332744"/>
    <n v="0.53333333333332744"/>
    <s v="Auto reset"/>
    <s v="Close"/>
    <n v="2.3188405797101196E-2"/>
    <m/>
    <m/>
    <m/>
  </r>
  <r>
    <n v="167"/>
    <n v="2024"/>
    <n v="2023"/>
    <s v="Year_1"/>
    <d v="2023-04-30T00:00:00"/>
    <s v="KUD14"/>
    <s v="O2R1"/>
    <s v="KSIPL"/>
    <n v="4.3478260869565223E-2"/>
    <m/>
    <x v="18"/>
    <s v="Yaw to cable twist"/>
    <m/>
    <d v="1899-12-30T07:49:00"/>
    <d v="1899-12-30T07:49:00"/>
    <d v="1899-12-30T08:15:00"/>
    <n v="0"/>
    <n v="0.43333333333334378"/>
    <n v="0.43333333333334378"/>
    <s v="Auto reset"/>
    <s v="Close"/>
    <n v="1.8840579710145383E-2"/>
    <m/>
    <m/>
    <m/>
  </r>
  <r>
    <n v="168"/>
    <n v="2024"/>
    <n v="2023"/>
    <s v="Year_1"/>
    <d v="2023-04-30T00:00:00"/>
    <s v="KUD15"/>
    <s v="O2R1"/>
    <s v="KSIPL"/>
    <n v="4.3478260869565223E-2"/>
    <m/>
    <x v="28"/>
    <s v=" Low oil Hydraulics"/>
    <m/>
    <d v="1899-12-30T00:00:00"/>
    <d v="1899-12-30T00:00:00"/>
    <d v="1899-12-30T15:04:00"/>
    <n v="0"/>
    <n v="15.066666666666672"/>
    <n v="15.066666666666672"/>
    <s v="Troubleshoot done "/>
    <s v="Close"/>
    <n v="0.65507246376811623"/>
    <m/>
    <m/>
    <m/>
  </r>
  <r>
    <n v="169"/>
    <n v="2024"/>
    <n v="2023"/>
    <s v="Year_1"/>
    <d v="2023-04-30T00:00:00"/>
    <s v="KUD16"/>
    <s v="O2R2"/>
    <s v="SIL"/>
    <n v="4.3478260869565223E-2"/>
    <m/>
    <x v="18"/>
    <s v="Yaw to cable twist"/>
    <m/>
    <d v="1899-12-30T08:47:00"/>
    <d v="1899-12-30T08:47:00"/>
    <d v="1899-12-30T09:16:00"/>
    <n v="0"/>
    <n v="0.48333333333333695"/>
    <n v="0.48333333333333695"/>
    <s v="Auto reset"/>
    <s v="Close"/>
    <n v="2.1014492753623347E-2"/>
    <m/>
    <m/>
    <m/>
  </r>
  <r>
    <n v="170"/>
    <n v="2024"/>
    <n v="2023"/>
    <s v="Year_1"/>
    <d v="2023-04-30T00:00:00"/>
    <s v="KUD16"/>
    <s v="O2R2"/>
    <s v="SIL"/>
    <n v="4.3478260869565223E-2"/>
    <m/>
    <x v="29"/>
    <s v=" Extr. low voltage L3"/>
    <m/>
    <d v="1899-12-30T21:09:00"/>
    <d v="1899-12-30T21:09:00"/>
    <d v="1899-12-30T22:50:00"/>
    <n v="0"/>
    <n v="1.6833333333333353"/>
    <n v="1.6833333333333353"/>
    <s v="Troubleshoot done "/>
    <s v="Close"/>
    <n v="7.3188405797101549E-2"/>
    <m/>
    <m/>
    <m/>
  </r>
  <r>
    <n v="171"/>
    <n v="2024"/>
    <n v="2023"/>
    <s v="Year_1"/>
    <d v="2023-05-01T00:00:00"/>
    <s v="KUD12"/>
    <s v="O2R1"/>
    <s v="KSIPL"/>
    <n v="4.3478260869565223E-2"/>
    <m/>
    <x v="18"/>
    <s v="Yaw to cable twist"/>
    <m/>
    <d v="1899-12-30T18:25:00"/>
    <d v="1899-12-30T18:25:00"/>
    <d v="1899-12-30T18:51:00"/>
    <n v="0"/>
    <n v="0.43333333333334245"/>
    <n v="0.43333333333334245"/>
    <s v="Auto reset"/>
    <s v="Close"/>
    <n v="1.8840579710145328E-2"/>
    <m/>
    <m/>
    <m/>
  </r>
  <r>
    <n v="172"/>
    <n v="2024"/>
    <n v="2023"/>
    <s v="Year_1"/>
    <d v="2023-05-01T00:00:00"/>
    <s v="KUD20"/>
    <s v="O2R1"/>
    <s v="KSIPL"/>
    <n v="4.3478260869565223E-2"/>
    <m/>
    <x v="18"/>
    <s v="Yaw to cable twist"/>
    <m/>
    <d v="1899-12-30T09:43:00"/>
    <d v="1899-12-30T09:43:00"/>
    <d v="1899-12-30T10:05:00"/>
    <n v="0"/>
    <n v="0.36666666666667203"/>
    <n v="0.36666666666667203"/>
    <s v="Auto reset"/>
    <s v="Close"/>
    <n v="1.5942028985507482E-2"/>
    <m/>
    <m/>
    <m/>
  </r>
  <r>
    <n v="173"/>
    <n v="2024"/>
    <n v="2023"/>
    <s v="Year_1"/>
    <d v="2023-05-01T00:00:00"/>
    <s v="KUD01"/>
    <s v="O2R1"/>
    <s v="KSIPL"/>
    <n v="4.3478260869565223E-2"/>
    <m/>
    <x v="18"/>
    <s v="Yaw to cable twist"/>
    <m/>
    <d v="1899-12-30T09:15:00"/>
    <d v="1899-12-30T09:15:00"/>
    <d v="1899-12-30T09:36:00"/>
    <n v="0"/>
    <n v="0.3499999999999921"/>
    <n v="0.3499999999999921"/>
    <s v="Auto reset"/>
    <s v="Close"/>
    <n v="1.5217391304347485E-2"/>
    <m/>
    <m/>
    <m/>
  </r>
  <r>
    <n v="174"/>
    <n v="2024"/>
    <n v="2023"/>
    <s v="Year_1"/>
    <d v="2023-05-01T00:00:00"/>
    <s v="KUD15"/>
    <s v="O2R1"/>
    <s v="KSIPL"/>
    <n v="4.3478260869565223E-2"/>
    <m/>
    <x v="18"/>
    <s v="Yaw to cable twist"/>
    <m/>
    <d v="1899-12-30T22:26:00"/>
    <d v="1899-12-30T22:26:00"/>
    <d v="1899-12-30T22:54:00"/>
    <n v="0"/>
    <n v="0.466666666666681"/>
    <n v="0.466666666666681"/>
    <s v="Auto reset"/>
    <s v="Close"/>
    <n v="2.0289855072464395E-2"/>
    <m/>
    <m/>
    <m/>
  </r>
  <r>
    <n v="175"/>
    <n v="2024"/>
    <n v="2023"/>
    <s v="Year_1"/>
    <d v="2023-05-02T00:00:00"/>
    <s v="KUD10"/>
    <s v="O2R1"/>
    <s v="KSIPL"/>
    <n v="4.3478260869565223E-2"/>
    <m/>
    <x v="2"/>
    <s v="Blade &amp; trafo inspection"/>
    <m/>
    <d v="1899-12-30T11:50:00"/>
    <d v="1899-12-30T11:50:00"/>
    <d v="1899-12-30T14:18:00"/>
    <n v="0"/>
    <n v="2.4666666666666472"/>
    <n v="2.4666666666666472"/>
    <s v="Blade &amp; trafo inspection done"/>
    <s v="Close"/>
    <n v="0.10724637681159337"/>
    <m/>
    <m/>
    <m/>
  </r>
  <r>
    <n v="176"/>
    <n v="2024"/>
    <n v="2023"/>
    <s v="Year_1"/>
    <d v="2023-05-02T00:00:00"/>
    <s v="KUD11"/>
    <s v="O2R1"/>
    <s v="KSIPL"/>
    <n v="4.3478260869565223E-2"/>
    <m/>
    <x v="2"/>
    <s v="Blade &amp; trafo inspection"/>
    <m/>
    <d v="1899-12-30T10:20:00"/>
    <d v="1899-12-30T10:20:00"/>
    <d v="1899-12-30T11:20:00"/>
    <n v="0"/>
    <n v="0.99999999999998312"/>
    <n v="0.99999999999998312"/>
    <s v="Blade &amp; trafo inspection done"/>
    <s v="Close"/>
    <n v="4.3478260869564488E-2"/>
    <m/>
    <m/>
    <m/>
  </r>
  <r>
    <n v="177"/>
    <n v="2024"/>
    <n v="2023"/>
    <s v="Year_1"/>
    <d v="2023-05-02T00:00:00"/>
    <s v="KUD12"/>
    <s v="O2R1"/>
    <s v="KSIPL"/>
    <n v="4.3478260869565223E-2"/>
    <m/>
    <x v="2"/>
    <s v="Blade &amp; trafo inspection"/>
    <m/>
    <d v="1899-12-30T08:01:00"/>
    <d v="1899-12-30T08:01:00"/>
    <d v="1899-12-30T11:41:00"/>
    <n v="0"/>
    <n v="3.6666666666666723"/>
    <n v="3.6666666666666723"/>
    <s v="Blade &amp; trafo inspection done"/>
    <s v="Close"/>
    <n v="0.15942028985507273"/>
    <m/>
    <m/>
    <m/>
  </r>
  <r>
    <n v="178"/>
    <n v="2024"/>
    <n v="2023"/>
    <s v="Year_1"/>
    <d v="2023-05-02T00:00:00"/>
    <s v="KUD13"/>
    <s v="O2R1"/>
    <s v="KSIPL"/>
    <n v="4.3478260869565223E-2"/>
    <m/>
    <x v="2"/>
    <s v="Blade &amp; trafo inspection"/>
    <m/>
    <d v="1899-12-30T08:54:00"/>
    <d v="1899-12-30T08:54:00"/>
    <d v="1899-12-30T11:08:00"/>
    <n v="0"/>
    <n v="2.2333333333333441"/>
    <n v="2.2333333333333441"/>
    <s v="Blade &amp; trafo inspection done"/>
    <s v="Close"/>
    <n v="9.7101449275362794E-2"/>
    <m/>
    <m/>
    <m/>
  </r>
  <r>
    <n v="179"/>
    <n v="2024"/>
    <n v="2023"/>
    <s v="Year_1"/>
    <d v="2023-05-02T00:00:00"/>
    <s v="KUD19"/>
    <s v="O2R1"/>
    <s v="KSIPL"/>
    <n v="4.3478260869565223E-2"/>
    <m/>
    <x v="2"/>
    <s v="Blade &amp; trafo inspection"/>
    <m/>
    <d v="1899-12-30T13:27:00"/>
    <d v="1899-12-30T13:27:00"/>
    <d v="1899-12-30T14:42:00"/>
    <n v="0"/>
    <n v="1.2499999999999929"/>
    <n v="1.2499999999999929"/>
    <s v="Blade &amp; trafo inspection done"/>
    <s v="Close"/>
    <n v="5.4347826086956222E-2"/>
    <m/>
    <m/>
    <m/>
  </r>
  <r>
    <n v="180"/>
    <n v="2024"/>
    <n v="2023"/>
    <s v="Year_1"/>
    <d v="2023-05-02T00:00:00"/>
    <s v="KUD20"/>
    <s v="O2R1"/>
    <s v="KSIPL"/>
    <n v="4.3478260869565223E-2"/>
    <m/>
    <x v="2"/>
    <s v="RTOP inspection"/>
    <m/>
    <d v="1899-12-30T11:48:00"/>
    <d v="1899-12-30T11:48:00"/>
    <d v="1899-12-30T16:40:00"/>
    <n v="0"/>
    <n v="4.8666666666666725"/>
    <n v="4.8666666666666725"/>
    <s v="RTOP inspection done"/>
    <s v="Close"/>
    <n v="0.21159420289855099"/>
    <m/>
    <m/>
    <m/>
  </r>
  <r>
    <n v="181"/>
    <n v="2024"/>
    <n v="2023"/>
    <s v="Year_1"/>
    <d v="2023-05-02T00:00:00"/>
    <s v="KUD13"/>
    <s v="O2R1"/>
    <s v="KSIPL"/>
    <n v="4.3478260869565223E-2"/>
    <m/>
    <x v="18"/>
    <s v="Yaw to cable twist"/>
    <m/>
    <d v="1899-12-30T00:35:00"/>
    <d v="1899-12-30T00:35:00"/>
    <d v="1899-12-30T01:03:00"/>
    <n v="0"/>
    <n v="0.46666666666666551"/>
    <n v="0.46666666666666551"/>
    <s v="Auto reset"/>
    <s v="Close"/>
    <n v="2.0289855072463722E-2"/>
    <m/>
    <m/>
    <m/>
  </r>
  <r>
    <n v="182"/>
    <n v="2024"/>
    <n v="2023"/>
    <s v="Year_1"/>
    <d v="2023-05-02T00:00:00"/>
    <s v="KUD19"/>
    <s v="O2R1"/>
    <s v="KSIPL"/>
    <n v="4.3478260869565223E-2"/>
    <m/>
    <x v="2"/>
    <s v="Earth pit welding work"/>
    <m/>
    <d v="1899-12-30T12:25:00"/>
    <d v="1899-12-30T12:25:00"/>
    <d v="1899-12-30T13:00:00"/>
    <n v="0"/>
    <n v="0.58333333333334192"/>
    <n v="0.58333333333334192"/>
    <s v="Earth pit welding work done"/>
    <s v="Close"/>
    <n v="2.5362318840580086E-2"/>
    <m/>
    <m/>
    <m/>
  </r>
  <r>
    <n v="183"/>
    <n v="2024"/>
    <n v="2023"/>
    <s v="Year_1"/>
    <d v="2023-05-02T00:00:00"/>
    <s v="KUD19"/>
    <s v="O2R1"/>
    <s v="KSIPL"/>
    <n v="4.3478260869565223E-2"/>
    <m/>
    <x v="18"/>
    <s v="Yaw to cable twist"/>
    <m/>
    <d v="1899-12-30T16:03:00"/>
    <d v="1899-12-30T16:03:00"/>
    <d v="1899-12-30T16:26:00"/>
    <n v="0"/>
    <n v="0.38333333333332931"/>
    <n v="0.38333333333332931"/>
    <s v="Auto reset"/>
    <s v="Close"/>
    <n v="1.6666666666666493E-2"/>
    <m/>
    <m/>
    <m/>
  </r>
  <r>
    <n v="184"/>
    <n v="2024"/>
    <n v="2023"/>
    <s v="Year_1"/>
    <d v="2023-05-02T00:00:00"/>
    <s v="KUD01"/>
    <s v="O2R1"/>
    <s v="KSIPL"/>
    <n v="4.3478260869565223E-2"/>
    <m/>
    <x v="18"/>
    <s v="Yaw to cable twist"/>
    <m/>
    <d v="1899-12-30T14:29:00"/>
    <d v="1899-12-30T14:29:00"/>
    <d v="1899-12-30T14:50:00"/>
    <n v="0"/>
    <n v="0.35000000000001741"/>
    <n v="0.35000000000001741"/>
    <s v="Auto reset"/>
    <s v="Close"/>
    <n v="1.5217391304348585E-2"/>
    <m/>
    <m/>
    <m/>
  </r>
  <r>
    <n v="185"/>
    <n v="2024"/>
    <n v="2023"/>
    <s v="Year_1"/>
    <d v="2023-05-02T00:00:00"/>
    <s v="KUD14"/>
    <s v="O2R1"/>
    <s v="KSIPL"/>
    <n v="4.3478260869565223E-2"/>
    <m/>
    <x v="18"/>
    <s v="Yaw to cable twist"/>
    <m/>
    <d v="1899-12-30T00:34:00"/>
    <d v="1899-12-30T00:34:00"/>
    <d v="1899-12-30T00:55:00"/>
    <n v="0"/>
    <n v="0.3499999999999992"/>
    <n v="0.3499999999999992"/>
    <s v="Auto reset"/>
    <s v="Close"/>
    <n v="1.5217391304347794E-2"/>
    <m/>
    <m/>
    <m/>
  </r>
  <r>
    <n v="186"/>
    <n v="2024"/>
    <n v="2023"/>
    <s v="Year_1"/>
    <d v="2023-05-02T00:00:00"/>
    <s v="KUD16"/>
    <s v="O2R2"/>
    <s v="SIL"/>
    <n v="4.3478260869565223E-2"/>
    <m/>
    <x v="18"/>
    <s v="Yaw to cable twist"/>
    <m/>
    <d v="1899-12-30T13:46:00"/>
    <d v="1899-12-30T13:46:00"/>
    <d v="1899-12-30T14:07:00"/>
    <n v="0"/>
    <n v="0.34999999999999343"/>
    <n v="0.34999999999999343"/>
    <s v="Auto reset"/>
    <s v="Close"/>
    <n v="1.5217391304347542E-2"/>
    <m/>
    <m/>
    <m/>
  </r>
  <r>
    <n v="187"/>
    <n v="2024"/>
    <n v="2023"/>
    <s v="Year_1"/>
    <d v="2023-05-02T00:00:00"/>
    <s v="KUD17"/>
    <s v="O2R2"/>
    <s v="SIL"/>
    <n v="4.3478260869565223E-2"/>
    <m/>
    <x v="18"/>
    <s v="Yaw to cable twist"/>
    <m/>
    <d v="1899-12-30T16:03:00"/>
    <d v="1899-12-30T16:03:00"/>
    <d v="1899-12-30T16:26:00"/>
    <n v="0"/>
    <n v="0.38333333333332931"/>
    <n v="0.38333333333332931"/>
    <s v="Auto reset"/>
    <s v="Close"/>
    <n v="1.6666666666666493E-2"/>
    <m/>
    <m/>
    <m/>
  </r>
  <r>
    <n v="188"/>
    <n v="2024"/>
    <n v="2023"/>
    <s v="Year_1"/>
    <d v="2023-05-03T00:00:00"/>
    <s v="KUD03"/>
    <s v="O2R1"/>
    <s v="KSIPL"/>
    <n v="4.3478260869565223E-2"/>
    <m/>
    <x v="18"/>
    <s v="Yaw to cable twist"/>
    <m/>
    <d v="1899-12-30T15:39:00"/>
    <d v="1899-12-30T15:39:00"/>
    <d v="1899-12-30T16:09:00"/>
    <n v="0"/>
    <n v="0.50000000000001688"/>
    <n v="0.50000000000001688"/>
    <s v="Auto reset"/>
    <s v="Close"/>
    <n v="2.1739130434783344E-2"/>
    <m/>
    <m/>
    <m/>
  </r>
  <r>
    <n v="189"/>
    <n v="2024"/>
    <n v="2023"/>
    <s v="Year_1"/>
    <d v="2023-05-03T00:00:00"/>
    <s v="KUD14"/>
    <s v="O2R1"/>
    <s v="KSIPL"/>
    <n v="4.3478260869565223E-2"/>
    <m/>
    <x v="18"/>
    <s v="Yaw to cable twist"/>
    <m/>
    <d v="1899-12-30T15:10:00"/>
    <d v="1899-12-30T15:10:00"/>
    <d v="1899-12-30T15:43:00"/>
    <n v="0"/>
    <n v="0.5500000000000087"/>
    <n v="0.5500000000000087"/>
    <s v="Auto reset"/>
    <s v="Close"/>
    <n v="2.3913043478261252E-2"/>
    <m/>
    <m/>
    <m/>
  </r>
  <r>
    <n v="190"/>
    <n v="2024"/>
    <n v="2023"/>
    <s v="Year_1"/>
    <d v="2023-05-03T00:00:00"/>
    <s v="KUD20"/>
    <s v="O2R1"/>
    <s v="KSIPL"/>
    <n v="4.3478260869565223E-2"/>
    <m/>
    <x v="2"/>
    <s v="RTOP inspection"/>
    <m/>
    <d v="1899-12-30T10:05:00"/>
    <d v="1899-12-30T10:05:00"/>
    <d v="1899-12-30T15:51:00"/>
    <n v="0"/>
    <n v="5.766666666666671"/>
    <n v="5.766666666666671"/>
    <s v="RTOP inspection done"/>
    <s v="Close"/>
    <n v="0.25072463768115966"/>
    <m/>
    <m/>
    <m/>
  </r>
  <r>
    <n v="191"/>
    <n v="2024"/>
    <n v="2023"/>
    <s v="Year_1"/>
    <d v="2023-05-03T00:00:00"/>
    <s v="KUD20"/>
    <s v="O2R1"/>
    <s v="KSIPL"/>
    <n v="4.3478260869565223E-2"/>
    <m/>
    <x v="2"/>
    <s v="RTOP inspection"/>
    <m/>
    <d v="1899-12-30T17:05:00"/>
    <d v="1899-12-30T17:05:00"/>
    <d v="1899-12-30T17:29:00"/>
    <n v="0"/>
    <n v="0.40000000000000657"/>
    <n v="0.40000000000000657"/>
    <s v="RTOP inspection done"/>
    <s v="Close"/>
    <n v="1.7391304347826375E-2"/>
    <m/>
    <m/>
    <m/>
  </r>
  <r>
    <n v="192"/>
    <n v="2024"/>
    <n v="2023"/>
    <s v="Year_1"/>
    <d v="2023-05-04T00:00:00"/>
    <s v="KUD01"/>
    <s v="O2R1"/>
    <s v="KSIPL"/>
    <n v="4.3478260869565223E-2"/>
    <m/>
    <x v="18"/>
    <s v="Yaw to cable twist"/>
    <m/>
    <d v="1899-12-30T11:43:00"/>
    <d v="1899-12-30T11:43:00"/>
    <d v="1899-12-30T12:04:00"/>
    <n v="0"/>
    <n v="0.35000000000001608"/>
    <n v="0.35000000000001608"/>
    <s v="Auto reset"/>
    <s v="Close"/>
    <n v="1.5217391304348528E-2"/>
    <m/>
    <m/>
    <m/>
  </r>
  <r>
    <n v="193"/>
    <n v="2024"/>
    <n v="2023"/>
    <s v="Year_1"/>
    <d v="2023-05-04T00:00:00"/>
    <s v="KUD13"/>
    <s v="O2R1"/>
    <s v="KSIPL"/>
    <n v="4.3478260869565223E-2"/>
    <m/>
    <x v="30"/>
    <s v="HighIStrikesorber "/>
    <m/>
    <d v="1899-12-30T10:17:00"/>
    <d v="1899-12-30T10:17:00"/>
    <d v="1899-12-30T10:26:00"/>
    <n v="0"/>
    <n v="0.1500000000000008"/>
    <n v="0.1500000000000008"/>
    <s v="Auto reset"/>
    <s v="Close"/>
    <n v="6.5217391304348178E-3"/>
    <m/>
    <m/>
    <m/>
  </r>
  <r>
    <n v="194"/>
    <n v="2024"/>
    <n v="2023"/>
    <s v="Year_1"/>
    <d v="2023-05-04T00:00:00"/>
    <s v="KUD10"/>
    <s v="O2R1"/>
    <s v="KSIPL"/>
    <n v="4.3478260869565223E-2"/>
    <m/>
    <x v="18"/>
    <s v="Yaw to cable twist"/>
    <m/>
    <d v="1899-12-30T11:01:00"/>
    <d v="1899-12-30T11:01:00"/>
    <d v="1899-12-30T11:23:00"/>
    <n v="0"/>
    <n v="0.36666666666667203"/>
    <n v="0.36666666666667203"/>
    <s v="Auto reset"/>
    <s v="Close"/>
    <n v="1.5942028985507482E-2"/>
    <m/>
    <m/>
    <m/>
  </r>
  <r>
    <n v="195"/>
    <n v="2024"/>
    <n v="2023"/>
    <s v="Year_1"/>
    <d v="2023-05-04T00:00:00"/>
    <s v="KUD15"/>
    <s v="O2R1"/>
    <s v="KSIPL"/>
    <n v="4.3478260869565223E-2"/>
    <m/>
    <x v="18"/>
    <s v="Yaw to cable twist"/>
    <m/>
    <d v="1899-12-30T12:07:00"/>
    <d v="1899-12-30T12:07:00"/>
    <d v="1899-12-30T12:31:00"/>
    <n v="0"/>
    <n v="0.40000000000000924"/>
    <n v="0.40000000000000924"/>
    <s v="Auto reset"/>
    <s v="Close"/>
    <n v="1.739130434782649E-2"/>
    <m/>
    <m/>
    <m/>
  </r>
  <r>
    <n v="196"/>
    <n v="2024"/>
    <n v="2023"/>
    <s v="Year_1"/>
    <d v="2023-05-04T00:00:00"/>
    <s v="KUD16"/>
    <s v="O2R2"/>
    <s v="SIL"/>
    <n v="4.3478260869565223E-2"/>
    <m/>
    <x v="18"/>
    <s v="Yaw to cable twist"/>
    <m/>
    <d v="1899-12-30T22:35:00"/>
    <d v="1899-12-30T22:35:00"/>
    <d v="1899-12-30T22:56:00"/>
    <n v="0"/>
    <n v="0.35000000000001741"/>
    <n v="0.35000000000001741"/>
    <s v="Auto reset"/>
    <s v="Close"/>
    <n v="1.5217391304348585E-2"/>
    <m/>
    <m/>
    <m/>
  </r>
  <r>
    <n v="197"/>
    <n v="2024"/>
    <n v="2023"/>
    <s v="Year_1"/>
    <d v="2023-05-04T00:00:00"/>
    <s v="KUD17"/>
    <s v="O2R2"/>
    <s v="SIL"/>
    <n v="4.3478260869565223E-2"/>
    <m/>
    <x v="18"/>
    <s v="Yaw to cable twist"/>
    <m/>
    <d v="1899-12-30T11:20:00"/>
    <d v="1899-12-30T11:20:00"/>
    <d v="1899-12-30T11:43:00"/>
    <n v="0"/>
    <n v="0.38333333333332797"/>
    <n v="0.38333333333332797"/>
    <s v="Auto reset"/>
    <s v="Close"/>
    <n v="1.6666666666666437E-2"/>
    <m/>
    <m/>
    <m/>
  </r>
  <r>
    <n v="198"/>
    <n v="2024"/>
    <n v="2023"/>
    <s v="Year_1"/>
    <d v="2023-05-04T00:00:00"/>
    <s v="KUD19"/>
    <s v="O2R1"/>
    <s v="KSIPL"/>
    <n v="4.3478260869565223E-2"/>
    <m/>
    <x v="18"/>
    <s v="Yaw to cable twist"/>
    <m/>
    <d v="1899-12-30T12:07:00"/>
    <d v="1899-12-30T12:07:00"/>
    <d v="1899-12-30T12:31:00"/>
    <n v="0"/>
    <n v="0.40000000000000924"/>
    <n v="0.40000000000000924"/>
    <s v="Auto reset"/>
    <s v="Close"/>
    <n v="1.739130434782649E-2"/>
    <m/>
    <m/>
    <m/>
  </r>
  <r>
    <n v="199"/>
    <n v="2024"/>
    <n v="2023"/>
    <s v="Year_1"/>
    <d v="2023-05-04T00:00:00"/>
    <s v="KUD19"/>
    <s v="O2R1"/>
    <s v="KSIPL"/>
    <n v="4.3478260869565223E-2"/>
    <m/>
    <x v="18"/>
    <s v="Yaw to cable twist"/>
    <m/>
    <d v="1899-12-30T14:35:00"/>
    <d v="1899-12-30T14:35:00"/>
    <d v="1899-12-30T15:08:00"/>
    <n v="0"/>
    <n v="0.5500000000000087"/>
    <n v="0.5500000000000087"/>
    <s v="Auto reset"/>
    <s v="Close"/>
    <n v="2.3913043478261252E-2"/>
    <m/>
    <m/>
    <m/>
  </r>
  <r>
    <n v="200"/>
    <n v="2024"/>
    <n v="2023"/>
    <s v="Year_1"/>
    <d v="2023-05-04T00:00:00"/>
    <s v="KUD20"/>
    <s v="O2R1"/>
    <s v="KSIPL"/>
    <n v="4.3478260869565223E-2"/>
    <m/>
    <x v="18"/>
    <s v="Yaw to cable twist"/>
    <m/>
    <d v="1899-12-30T22:40:00"/>
    <d v="1899-12-30T22:40:00"/>
    <d v="1899-12-30T23:05:00"/>
    <n v="0"/>
    <n v="0.41666666666664121"/>
    <n v="0.41666666666664121"/>
    <s v="Auto reset"/>
    <s v="Close"/>
    <n v="1.8115942028984401E-2"/>
    <m/>
    <m/>
    <m/>
  </r>
  <r>
    <n v="201"/>
    <n v="2024"/>
    <n v="2023"/>
    <s v="Year_1"/>
    <d v="2023-05-04T00:00:00"/>
    <s v="KUD12"/>
    <s v="O2R1"/>
    <s v="KSIPL"/>
    <n v="4.3478260869565223E-2"/>
    <m/>
    <x v="18"/>
    <s v="Yaw to cable twist"/>
    <m/>
    <d v="1899-12-30T22:35:00"/>
    <d v="1899-12-30T22:35:00"/>
    <d v="1899-12-30T22:57:00"/>
    <n v="0"/>
    <n v="0.36666666666667336"/>
    <n v="0.36666666666667336"/>
    <s v="Auto reset"/>
    <s v="Close"/>
    <n v="1.5942028985507541E-2"/>
    <m/>
    <m/>
    <m/>
  </r>
  <r>
    <n v="202"/>
    <n v="2024"/>
    <n v="2023"/>
    <s v="Year_1"/>
    <d v="2023-05-04T00:00:00"/>
    <s v="KUD16"/>
    <s v="O2R2"/>
    <s v="SIL"/>
    <n v="4.3478260869565223E-2"/>
    <m/>
    <x v="2"/>
    <s v="DP Isolator punch point closing work"/>
    <m/>
    <d v="1899-12-30T11:32:00"/>
    <d v="1899-12-30T11:32:00"/>
    <d v="1899-12-30T13:52:00"/>
    <n v="0"/>
    <n v="2.3333333333333264"/>
    <n v="2.3333333333333264"/>
    <s v="Punch point closure"/>
    <s v="Close"/>
    <n v="0.10144927536231856"/>
    <m/>
    <m/>
    <m/>
  </r>
  <r>
    <n v="203"/>
    <n v="2024"/>
    <n v="2023"/>
    <s v="Year_1"/>
    <d v="2023-05-04T00:00:00"/>
    <s v="KUD20"/>
    <s v="O2R1"/>
    <s v="KSIPL"/>
    <n v="4.3478260869565223E-2"/>
    <m/>
    <x v="2"/>
    <s v="DP Isolator punch point closing work"/>
    <m/>
    <d v="1899-12-30T17:39:00"/>
    <d v="1899-12-30T17:39:00"/>
    <d v="1899-12-30T18:33:00"/>
    <n v="0"/>
    <n v="0.89999999999999947"/>
    <n v="0.89999999999999947"/>
    <s v="Punch point closure"/>
    <s v="Close"/>
    <n v="3.9130434782608678E-2"/>
    <m/>
    <m/>
    <m/>
  </r>
  <r>
    <n v="204"/>
    <n v="2024"/>
    <n v="2023"/>
    <s v="Year_1"/>
    <d v="2023-05-05T00:00:00"/>
    <s v="KUD14"/>
    <s v="O2R1"/>
    <s v="KSIPL"/>
    <n v="4.3478260869565223E-2"/>
    <m/>
    <x v="18"/>
    <s v="Yaw to cable twist"/>
    <m/>
    <d v="1899-12-30T08:49:00"/>
    <d v="1899-12-30T08:49:00"/>
    <d v="1899-12-30T09:19:00"/>
    <n v="0"/>
    <n v="0.49999999999999156"/>
    <n v="0.49999999999999156"/>
    <s v="Auto reset"/>
    <s v="Close"/>
    <n v="2.1739130434782244E-2"/>
    <m/>
    <m/>
    <m/>
  </r>
  <r>
    <n v="205"/>
    <n v="2024"/>
    <n v="2023"/>
    <s v="Year_1"/>
    <d v="2023-05-05T00:00:00"/>
    <s v="KUD14"/>
    <s v="O2R1"/>
    <s v="KSIPL"/>
    <n v="4.3478260869565223E-2"/>
    <m/>
    <x v="29"/>
    <s v=" Extr. low voltage L3"/>
    <m/>
    <d v="1899-12-30T18:15:00"/>
    <d v="1899-12-30T18:15:00"/>
    <d v="1899-12-30T23:59:00"/>
    <n v="0"/>
    <n v="5.7333333333333369"/>
    <n v="5.7333333333333369"/>
    <s v="Troubleshoot WIP"/>
    <s v="Open"/>
    <n v="0.24927536231884076"/>
    <m/>
    <m/>
    <m/>
  </r>
  <r>
    <n v="206"/>
    <n v="2024"/>
    <n v="2023"/>
    <s v="Year_1"/>
    <d v="2023-05-05T00:00:00"/>
    <s v="KUD20"/>
    <s v="O2R1"/>
    <s v="KSIPL"/>
    <n v="4.3478260869565223E-2"/>
    <m/>
    <x v="2"/>
    <s v="Blade &amp; trafo inspection"/>
    <m/>
    <d v="1899-12-30T10:27:00"/>
    <d v="1899-12-30T10:27:00"/>
    <d v="1899-12-30T11:00:00"/>
    <n v="0"/>
    <n v="0.54999999999998339"/>
    <n v="0.54999999999998339"/>
    <s v="Blade &amp; trafo inspection done"/>
    <s v="Close"/>
    <n v="2.3913043478260152E-2"/>
    <m/>
    <m/>
    <m/>
  </r>
  <r>
    <n v="207"/>
    <n v="2024"/>
    <n v="2023"/>
    <s v="Year_1"/>
    <d v="2023-05-05T00:00:00"/>
    <s v="KUD20"/>
    <s v="O2R1"/>
    <s v="KSIPL"/>
    <n v="4.3478260869565223E-2"/>
    <m/>
    <x v="31"/>
    <s v="Frequency error 3:   0.47 Hz"/>
    <m/>
    <d v="1899-12-30T20:30:00"/>
    <d v="1899-12-30T20:30:00"/>
    <d v="1899-12-30T21:29:00"/>
    <n v="0"/>
    <n v="0.98333333333332984"/>
    <n v="0.98333333333332984"/>
    <s v="Troubleshoot done "/>
    <s v="Close"/>
    <n v="4.275362318840565E-2"/>
    <m/>
    <m/>
    <m/>
  </r>
  <r>
    <n v="208"/>
    <n v="2024"/>
    <n v="2023"/>
    <s v="Year_1"/>
    <d v="2023-05-06T00:00:00"/>
    <s v="KUD01"/>
    <s v="O2R1"/>
    <s v="KSIPL"/>
    <n v="4.3478260869565223E-2"/>
    <m/>
    <x v="2"/>
    <s v="Blade &amp; trafo inspection"/>
    <m/>
    <d v="1899-12-30T11:20:00"/>
    <d v="1899-12-30T11:20:00"/>
    <d v="1899-12-30T12:59:00"/>
    <n v="0"/>
    <n v="1.6499999999999995"/>
    <n v="1.6499999999999995"/>
    <s v="Blade &amp; trafo inspection done"/>
    <s v="Close"/>
    <n v="7.1739130434782597E-2"/>
    <m/>
    <m/>
    <m/>
  </r>
  <r>
    <n v="209"/>
    <n v="2024"/>
    <n v="2023"/>
    <s v="Year_1"/>
    <d v="2023-05-06T00:00:00"/>
    <s v="KUD01"/>
    <s v="O2R1"/>
    <s v="KSIPL"/>
    <n v="4.3478260869565223E-2"/>
    <m/>
    <x v="2"/>
    <s v="Connectivity issue "/>
    <m/>
    <d v="1899-12-30T19:29:00"/>
    <d v="1899-12-30T19:29:00"/>
    <d v="1899-12-30T20:29:00"/>
    <n v="0"/>
    <n v="0.99999999999998312"/>
    <n v="0.99999999999998312"/>
    <s v="Connectivity issue resolved after reset the Scada server"/>
    <s v="Close"/>
    <n v="4.3478260869564488E-2"/>
    <m/>
    <m/>
    <m/>
  </r>
  <r>
    <n v="210"/>
    <n v="2024"/>
    <n v="2023"/>
    <s v="Year_1"/>
    <d v="2023-05-06T00:00:00"/>
    <s v="KUD10"/>
    <s v="O2R1"/>
    <s v="KSIPL"/>
    <n v="4.3478260869565223E-2"/>
    <m/>
    <x v="2"/>
    <s v="Connectivity issue "/>
    <m/>
    <d v="1899-12-30T19:29:00"/>
    <d v="1899-12-30T19:29:00"/>
    <d v="1899-12-30T20:29:00"/>
    <n v="0"/>
    <n v="0.99999999999998312"/>
    <n v="0.99999999999998312"/>
    <s v="Connectivity issue resolved after reset the Scada server"/>
    <s v="Close"/>
    <n v="4.3478260869564488E-2"/>
    <m/>
    <m/>
    <m/>
  </r>
  <r>
    <n v="211"/>
    <n v="2024"/>
    <n v="2023"/>
    <s v="Year_1"/>
    <d v="2023-05-06T00:00:00"/>
    <s v="KUD11"/>
    <s v="O2R1"/>
    <s v="KSIPL"/>
    <n v="4.3478260869565223E-2"/>
    <m/>
    <x v="2"/>
    <s v="Connectivity issue "/>
    <m/>
    <d v="1899-12-30T19:29:00"/>
    <d v="1899-12-30T19:29:00"/>
    <d v="1899-12-30T20:35:00"/>
    <n v="0"/>
    <n v="1.0999999999999908"/>
    <n v="1.0999999999999908"/>
    <s v="Connectivity issue resolved after reset the Scada server"/>
    <s v="Close"/>
    <n v="4.7826086956521345E-2"/>
    <m/>
    <m/>
    <m/>
  </r>
  <r>
    <n v="212"/>
    <n v="2024"/>
    <n v="2023"/>
    <s v="Year_1"/>
    <d v="2023-05-06T00:00:00"/>
    <s v="KUD12"/>
    <s v="O2R1"/>
    <s v="KSIPL"/>
    <n v="4.3478260869565223E-2"/>
    <m/>
    <x v="2"/>
    <s v="Connectivity issue "/>
    <m/>
    <d v="1899-12-30T19:29:00"/>
    <d v="1899-12-30T19:29:00"/>
    <d v="1899-12-30T20:32:00"/>
    <n v="0"/>
    <n v="1.0499999999999989"/>
    <n v="1.0499999999999989"/>
    <s v="Connectivity issue resolved after reset the Scada server"/>
    <s v="Close"/>
    <n v="4.5652173913043437E-2"/>
    <m/>
    <m/>
    <m/>
  </r>
  <r>
    <n v="213"/>
    <n v="2024"/>
    <n v="2023"/>
    <s v="Year_1"/>
    <d v="2023-05-06T00:00:00"/>
    <s v="KUD13"/>
    <s v="O2R1"/>
    <s v="KSIPL"/>
    <n v="4.3478260869565223E-2"/>
    <m/>
    <x v="2"/>
    <s v="Connectivity issue "/>
    <m/>
    <d v="1899-12-30T19:29:00"/>
    <d v="1899-12-30T19:29:00"/>
    <d v="1899-12-30T20:31:00"/>
    <n v="0"/>
    <n v="1.033333333333319"/>
    <n v="1.033333333333319"/>
    <s v="Connectivity issue resolved after reset the Scada server"/>
    <s v="Close"/>
    <n v="4.492753623188344E-2"/>
    <m/>
    <m/>
    <m/>
  </r>
  <r>
    <n v="214"/>
    <n v="2024"/>
    <n v="2023"/>
    <s v="Year_1"/>
    <d v="2023-05-06T00:00:00"/>
    <s v="KUD14"/>
    <s v="O2R1"/>
    <s v="KSIPL"/>
    <n v="4.3478260869565223E-2"/>
    <m/>
    <x v="2"/>
    <s v="Connectivity issue "/>
    <m/>
    <d v="1899-12-30T19:29:00"/>
    <d v="1899-12-30T19:29:00"/>
    <d v="1899-12-30T20:32:00"/>
    <n v="0"/>
    <n v="1.0499999999999989"/>
    <n v="1.0499999999999989"/>
    <s v="Connectivity issue resolved after reset the Scada server"/>
    <s v="Close"/>
    <n v="4.5652173913043437E-2"/>
    <m/>
    <m/>
    <m/>
  </r>
  <r>
    <n v="215"/>
    <n v="2024"/>
    <n v="2023"/>
    <s v="Year_1"/>
    <d v="2023-05-06T00:00:00"/>
    <s v="KUD15"/>
    <s v="O2R1"/>
    <s v="KSIPL"/>
    <n v="4.3478260869565223E-2"/>
    <m/>
    <x v="2"/>
    <s v="Connectivity issue "/>
    <m/>
    <d v="1899-12-30T19:29:00"/>
    <d v="1899-12-30T19:29:00"/>
    <d v="1899-12-30T20:31:00"/>
    <n v="0"/>
    <n v="1.033333333333319"/>
    <n v="1.033333333333319"/>
    <s v="Connectivity issue resolved after reset the Scada server"/>
    <s v="Close"/>
    <n v="4.492753623188344E-2"/>
    <m/>
    <m/>
    <m/>
  </r>
  <r>
    <n v="216"/>
    <n v="2024"/>
    <n v="2023"/>
    <s v="Year_1"/>
    <d v="2023-05-06T00:00:00"/>
    <s v="KUD19"/>
    <s v="O2R1"/>
    <s v="KSIPL"/>
    <n v="4.3478260869565223E-2"/>
    <m/>
    <x v="2"/>
    <s v="Connectivity issue "/>
    <m/>
    <d v="1899-12-30T19:29:00"/>
    <d v="1899-12-30T19:29:00"/>
    <d v="1899-12-30T20:32:00"/>
    <n v="0"/>
    <n v="1.0499999999999989"/>
    <n v="1.0499999999999989"/>
    <s v="Connectivity issue resolved after reset the Scada server"/>
    <s v="Close"/>
    <n v="4.5652173913043437E-2"/>
    <m/>
    <m/>
    <m/>
  </r>
  <r>
    <n v="217"/>
    <n v="2024"/>
    <n v="2023"/>
    <s v="Year_1"/>
    <d v="2023-05-06T00:00:00"/>
    <s v="KUD20"/>
    <s v="O2R1"/>
    <s v="KSIPL"/>
    <n v="4.3478260869565223E-2"/>
    <m/>
    <x v="2"/>
    <s v="Connectivity issue "/>
    <m/>
    <d v="1899-12-30T19:29:00"/>
    <d v="1899-12-30T19:29:00"/>
    <d v="1899-12-30T20:02:00"/>
    <n v="0"/>
    <n v="0.54999999999998472"/>
    <n v="0.54999999999998472"/>
    <s v="Connectivity issue resolved after reset the Scada server"/>
    <s v="Close"/>
    <n v="2.3913043478260208E-2"/>
    <m/>
    <m/>
    <m/>
  </r>
  <r>
    <n v="218"/>
    <n v="2024"/>
    <n v="2023"/>
    <s v="Year_1"/>
    <d v="2023-05-06T00:00:00"/>
    <s v="KUD11"/>
    <s v="O2R1"/>
    <s v="KSIPL"/>
    <n v="4.3478260869565223E-2"/>
    <m/>
    <x v="2"/>
    <s v="Blade external  inspection"/>
    <m/>
    <d v="1899-12-30T13:33:00"/>
    <d v="1899-12-30T13:33:00"/>
    <d v="1899-12-30T14:01:00"/>
    <n v="0"/>
    <n v="0.466666666666681"/>
    <n v="0.466666666666681"/>
    <s v="Blade external  inspection done"/>
    <s v="Close"/>
    <n v="2.0289855072464395E-2"/>
    <m/>
    <m/>
    <m/>
  </r>
  <r>
    <n v="219"/>
    <n v="2024"/>
    <n v="2023"/>
    <s v="Year_1"/>
    <d v="2023-05-06T00:00:00"/>
    <s v="KUD14"/>
    <s v="O2R1"/>
    <s v="KSIPL"/>
    <n v="4.3478260869565223E-2"/>
    <m/>
    <x v="29"/>
    <s v=" Extr. low voltage L3"/>
    <m/>
    <d v="1899-12-30T00:00:00"/>
    <d v="1899-12-30T00:00:00"/>
    <d v="1899-12-30T08:09:00"/>
    <n v="0"/>
    <n v="8.1499999999999915"/>
    <n v="8.1499999999999915"/>
    <s v="Due to yard isolator was not closed correctly L2 voltage was 344v hydraulic pump motor not picking up so after closing of switch wtg restored."/>
    <s v="Close"/>
    <n v="0.3543478260869562"/>
    <m/>
    <m/>
    <m/>
  </r>
  <r>
    <n v="220"/>
    <n v="2024"/>
    <n v="2023"/>
    <s v="Year_1"/>
    <d v="2023-05-09T00:00:00"/>
    <s v="KUD01"/>
    <s v="O2R1"/>
    <s v="KSIPL"/>
    <n v="4.3478260869565223E-2"/>
    <n v="6293"/>
    <x v="32"/>
    <s v="Pitch valves test active"/>
    <m/>
    <d v="1899-12-30T16:22:00"/>
    <d v="1899-12-30T16:22:00"/>
    <d v="1899-12-30T16:25:00"/>
    <n v="0"/>
    <n v="5.000000000001581E-2"/>
    <n v="5.000000000001581E-2"/>
    <s v="Auto reset"/>
    <s v="Close"/>
    <n v="2.1739130434789487E-3"/>
    <m/>
    <m/>
    <m/>
  </r>
  <r>
    <n v="221"/>
    <n v="2024"/>
    <n v="2023"/>
    <s v="Year_1"/>
    <d v="2023-05-09T00:00:00"/>
    <s v="KUD03"/>
    <s v="O2R1"/>
    <s v="KSIPL"/>
    <n v="4.3478260869565223E-2"/>
    <n v="6293"/>
    <x v="33"/>
    <s v="Pitch valves test active"/>
    <m/>
    <d v="1899-12-30T16:22:00"/>
    <d v="1899-12-30T16:22:00"/>
    <d v="1899-12-30T16:33:00"/>
    <n v="0"/>
    <n v="0.18333333333333535"/>
    <n v="0.18333333333333535"/>
    <s v="Auto reset"/>
    <s v="Close"/>
    <n v="7.9710144927537113E-3"/>
    <m/>
    <m/>
    <m/>
  </r>
  <r>
    <n v="222"/>
    <n v="2024"/>
    <n v="2023"/>
    <s v="Year_1"/>
    <d v="2023-05-09T00:00:00"/>
    <s v="KUD10"/>
    <s v="O2R1"/>
    <s v="KSIPL"/>
    <n v="4.3478260869565223E-2"/>
    <n v="6294"/>
    <x v="33"/>
    <s v="Pitch valves test active"/>
    <m/>
    <d v="1899-12-30T16:22:00"/>
    <d v="1899-12-30T16:22:00"/>
    <d v="1899-12-30T16:24:00"/>
    <n v="0"/>
    <n v="3.3333333333335879E-2"/>
    <n v="3.3333333333335879E-2"/>
    <s v="Auto reset"/>
    <s v="Close"/>
    <n v="1.4492753623189514E-3"/>
    <m/>
    <m/>
    <m/>
  </r>
  <r>
    <n v="223"/>
    <n v="2024"/>
    <n v="2023"/>
    <s v="Year_1"/>
    <d v="2023-05-09T00:00:00"/>
    <s v="KUD11"/>
    <s v="O2R1"/>
    <s v="KSIPL"/>
    <n v="4.3478260869565223E-2"/>
    <n v="6293"/>
    <x v="33"/>
    <s v="Pitch valves test active"/>
    <m/>
    <d v="1899-12-30T16:22:00"/>
    <d v="1899-12-30T16:22:00"/>
    <d v="1899-12-30T16:25:00"/>
    <n v="0"/>
    <n v="5.000000000001581E-2"/>
    <n v="5.000000000001581E-2"/>
    <s v="Auto reset"/>
    <s v="Close"/>
    <n v="2.1739130434789487E-3"/>
    <m/>
    <m/>
    <m/>
  </r>
  <r>
    <n v="224"/>
    <n v="2024"/>
    <n v="2023"/>
    <s v="Year_1"/>
    <d v="2023-05-09T00:00:00"/>
    <s v="KUD12"/>
    <s v="O2R1"/>
    <s v="KSIPL"/>
    <n v="4.3478260869565223E-2"/>
    <n v="6294"/>
    <x v="33"/>
    <s v="Pitch valves test active"/>
    <m/>
    <d v="1899-12-30T16:22:00"/>
    <d v="1899-12-30T16:22:00"/>
    <d v="1899-12-30T16:26:00"/>
    <n v="0"/>
    <n v="6.6666666666671759E-2"/>
    <n v="6.6666666666671759E-2"/>
    <s v="Auto reset"/>
    <s v="Close"/>
    <n v="2.8985507246379028E-3"/>
    <m/>
    <m/>
    <m/>
  </r>
  <r>
    <n v="225"/>
    <n v="2024"/>
    <n v="2023"/>
    <s v="Year_1"/>
    <d v="2023-05-09T00:00:00"/>
    <s v="KUD13"/>
    <s v="O2R1"/>
    <s v="KSIPL"/>
    <n v="4.3478260869565223E-2"/>
    <n v="6293"/>
    <x v="33"/>
    <s v="Pitch valves test active"/>
    <m/>
    <d v="1899-12-30T16:22:00"/>
    <d v="1899-12-30T16:22:00"/>
    <d v="1899-12-30T16:33:00"/>
    <n v="0"/>
    <n v="0.18333333333333535"/>
    <n v="0.18333333333333535"/>
    <s v="Auto reset"/>
    <s v="Close"/>
    <n v="7.9710144927537113E-3"/>
    <m/>
    <m/>
    <m/>
  </r>
  <r>
    <n v="226"/>
    <n v="2024"/>
    <n v="2023"/>
    <s v="Year_1"/>
    <d v="2023-05-09T00:00:00"/>
    <s v="KUD14"/>
    <s v="O2R1"/>
    <s v="KSIPL"/>
    <n v="4.3478260869565223E-2"/>
    <n v="6294"/>
    <x v="33"/>
    <s v="Pitch valves test active"/>
    <m/>
    <d v="1899-12-30T16:22:00"/>
    <d v="1899-12-30T16:22:00"/>
    <d v="1899-12-30T16:34:00"/>
    <n v="0"/>
    <n v="0.20000000000001528"/>
    <n v="0.20000000000001528"/>
    <s v="Auto reset"/>
    <s v="Close"/>
    <n v="8.695652173913708E-3"/>
    <m/>
    <m/>
    <m/>
  </r>
  <r>
    <n v="227"/>
    <n v="2024"/>
    <n v="2023"/>
    <s v="Year_1"/>
    <d v="2023-05-09T00:00:00"/>
    <s v="KUD19"/>
    <s v="O2R1"/>
    <s v="KSIPL"/>
    <n v="4.3478260869565223E-2"/>
    <n v="6295"/>
    <x v="33"/>
    <s v="Pitch valves test active"/>
    <m/>
    <d v="1899-12-30T16:22:00"/>
    <d v="1899-12-30T16:22:00"/>
    <d v="1899-12-30T16:35:00"/>
    <n v="0"/>
    <n v="0.21666666666667123"/>
    <n v="0.21666666666667123"/>
    <s v="Auto reset"/>
    <s v="Close"/>
    <n v="9.4202898550726638E-3"/>
    <m/>
    <m/>
    <m/>
  </r>
  <r>
    <n v="228"/>
    <n v="2024"/>
    <n v="2023"/>
    <s v="Year_1"/>
    <d v="2023-05-09T00:00:00"/>
    <s v="KUD03"/>
    <s v="O2R1"/>
    <s v="KSIPL"/>
    <n v="4.3478260869565223E-2"/>
    <n v="3273"/>
    <x v="18"/>
    <s v="Yaw to cable twist"/>
    <m/>
    <d v="1899-12-30T20:20:00"/>
    <d v="1899-12-30T20:20:00"/>
    <d v="1899-12-30T20:44:00"/>
    <n v="0"/>
    <n v="0.40000000000000924"/>
    <n v="0.40000000000000924"/>
    <s v="Auto reset"/>
    <s v="Close"/>
    <n v="1.739130434782649E-2"/>
    <m/>
    <m/>
    <m/>
  </r>
  <r>
    <n v="229"/>
    <n v="2024"/>
    <n v="2023"/>
    <s v="Year_1"/>
    <d v="2023-05-09T00:00:00"/>
    <s v="KUD13"/>
    <s v="O2R1"/>
    <s v="KSIPL"/>
    <n v="4.3478260869565223E-2"/>
    <n v="3273"/>
    <x v="18"/>
    <s v="Yaw to cable twist"/>
    <m/>
    <d v="1899-12-30T20:15:00"/>
    <d v="1899-12-30T20:15:00"/>
    <d v="1899-12-30T20:41:00"/>
    <n v="0"/>
    <n v="0.43333333333334512"/>
    <n v="0.43333333333334512"/>
    <s v="Auto reset"/>
    <s v="Close"/>
    <n v="1.8840579710145442E-2"/>
    <m/>
    <m/>
    <m/>
  </r>
  <r>
    <n v="230"/>
    <n v="2024"/>
    <n v="2023"/>
    <s v="Year_1"/>
    <d v="2023-05-09T00:00:00"/>
    <s v="KUD20"/>
    <s v="O2R1"/>
    <s v="KSIPL"/>
    <n v="4.3478260869565223E-2"/>
    <n v="3273"/>
    <x v="18"/>
    <s v="Yaw to cable twist"/>
    <m/>
    <d v="1899-12-30T20:15:00"/>
    <d v="1899-12-30T20:20:00"/>
    <d v="1899-12-30T20:44:00"/>
    <n v="8.3333333333327708E-2"/>
    <n v="0.40000000000000924"/>
    <n v="0.48333333333333695"/>
    <s v="Auto reset"/>
    <s v="Close"/>
    <n v="2.1014492753623347E-2"/>
    <m/>
    <m/>
    <m/>
  </r>
  <r>
    <n v="231"/>
    <n v="2024"/>
    <n v="2023"/>
    <s v="Year_1"/>
    <d v="2023-05-09T00:00:00"/>
    <s v="KUD17"/>
    <s v="O2R2"/>
    <s v="SIL"/>
    <n v="4.3478260869565223E-2"/>
    <n v="3273"/>
    <x v="18"/>
    <s v="Yaw to cable twist"/>
    <m/>
    <d v="1899-12-30T15:03:00"/>
    <d v="1899-12-30T15:03:00"/>
    <d v="1899-12-30T15:31:00"/>
    <n v="0"/>
    <n v="0.466666666666681"/>
    <n v="0.466666666666681"/>
    <s v="Auto reset"/>
    <s v="Close"/>
    <n v="2.0289855072464395E-2"/>
    <m/>
    <m/>
    <m/>
  </r>
  <r>
    <n v="232"/>
    <n v="2024"/>
    <n v="2023"/>
    <s v="Year_1"/>
    <d v="2023-05-09T00:00:00"/>
    <s v="KUD15"/>
    <s v="O2R1"/>
    <s v="KSIPL"/>
    <n v="4.3478260869565223E-2"/>
    <n v="900"/>
    <x v="2"/>
    <s v="Tranfo And blade external inspection."/>
    <m/>
    <d v="1899-12-30T09:36:00"/>
    <d v="1899-12-30T09:36:00"/>
    <d v="1899-12-30T12:13:00"/>
    <n v="0"/>
    <n v="2.6166666666666707"/>
    <n v="2.6166666666666707"/>
    <s v="Blade &amp; trafo inspection done"/>
    <s v="Close"/>
    <n v="0.11376811594202918"/>
    <m/>
    <m/>
    <m/>
  </r>
  <r>
    <n v="233"/>
    <n v="2024"/>
    <n v="2023"/>
    <s v="Year_1"/>
    <d v="2023-05-09T00:00:00"/>
    <s v="KUD15"/>
    <s v="O2R1"/>
    <s v="KSIPL"/>
    <n v="4.3478260869565223E-2"/>
    <n v="5470"/>
    <x v="34"/>
    <s v="GeneratorBreakerFBResponse"/>
    <m/>
    <d v="1899-12-30T12:13:00"/>
    <d v="1899-12-30T12:13:00"/>
    <d v="1899-12-30T23:59:00"/>
    <n v="0"/>
    <n v="11.766666666666673"/>
    <n v="11.766666666666673"/>
    <s v="trouble shooting  under process delay due to heavy  lightning ."/>
    <s v="Open"/>
    <n v="0.51159420289855106"/>
    <m/>
    <m/>
    <m/>
  </r>
  <r>
    <n v="234"/>
    <n v="2024"/>
    <n v="2023"/>
    <s v="Year_1"/>
    <d v="2023-05-09T00:00:00"/>
    <s v="KUD17"/>
    <s v="O2R2"/>
    <s v="SIL"/>
    <n v="4.3478260869565223E-2"/>
    <n v="900"/>
    <x v="2"/>
    <s v="WTG stopped due to Transfo Inspection"/>
    <m/>
    <d v="1899-12-30T08:12:00"/>
    <d v="1899-12-30T08:12:00"/>
    <d v="1899-12-30T09:10:00"/>
    <n v="0"/>
    <n v="0.96666666666664725"/>
    <n v="0.96666666666664725"/>
    <s v="WTG Trafo inspection done"/>
    <s v="Close"/>
    <n v="4.2028985507245535E-2"/>
    <m/>
    <m/>
    <m/>
  </r>
  <r>
    <n v="235"/>
    <n v="2024"/>
    <n v="2023"/>
    <s v="Year_1"/>
    <d v="2023-05-10T00:00:00"/>
    <s v="KUD10"/>
    <s v="O2R1"/>
    <s v="KSIPL"/>
    <n v="4.3478260869565223E-2"/>
    <n v="3273"/>
    <x v="35"/>
    <s v="Yaw to cable twist"/>
    <m/>
    <d v="1899-12-30T13:35:00"/>
    <d v="1899-12-30T13:35:00"/>
    <d v="1899-12-30T14:06:00"/>
    <n v="0"/>
    <n v="0.51666666666667282"/>
    <n v="0.51666666666667282"/>
    <s v="Auto reset"/>
    <s v="Close"/>
    <n v="2.2463768115942299E-2"/>
    <m/>
    <m/>
    <m/>
  </r>
  <r>
    <n v="236"/>
    <n v="2024"/>
    <n v="2023"/>
    <s v="Year_1"/>
    <d v="2023-05-10T00:00:00"/>
    <s v="KUD11"/>
    <s v="O2R1"/>
    <s v="KSIPL"/>
    <n v="4.3478260869565223E-2"/>
    <n v="3273"/>
    <x v="18"/>
    <s v="Yaw to cable twist"/>
    <m/>
    <d v="1899-12-30T12:20:00"/>
    <d v="1899-12-30T12:20:00"/>
    <d v="1899-12-30T12:49:00"/>
    <n v="0"/>
    <n v="0.48333333333333695"/>
    <n v="0.48333333333333695"/>
    <s v="Auto reset"/>
    <s v="Close"/>
    <n v="2.1014492753623347E-2"/>
    <m/>
    <m/>
    <m/>
  </r>
  <r>
    <n v="237"/>
    <n v="2024"/>
    <n v="2023"/>
    <s v="Year_1"/>
    <d v="2023-05-10T00:00:00"/>
    <s v="KUD12"/>
    <s v="O2R1"/>
    <s v="KSIPL"/>
    <n v="4.3478260869565223E-2"/>
    <n v="3273"/>
    <x v="18"/>
    <s v="Yaw to cable twist"/>
    <m/>
    <d v="1899-12-30T13:06:00"/>
    <d v="1899-12-30T13:06:00"/>
    <d v="1899-12-30T13:34:00"/>
    <n v="0"/>
    <n v="0.466666666666681"/>
    <n v="0.466666666666681"/>
    <s v="Auto reset"/>
    <s v="Close"/>
    <n v="2.0289855072464395E-2"/>
    <m/>
    <m/>
    <m/>
  </r>
  <r>
    <n v="238"/>
    <n v="2024"/>
    <n v="2023"/>
    <s v="Year_1"/>
    <d v="2023-05-10T00:00:00"/>
    <s v="KUD15"/>
    <s v="O2R1"/>
    <s v="KSIPL"/>
    <n v="4.3478260869565223E-2"/>
    <n v="5470"/>
    <x v="34"/>
    <s v="GeneratorBreakerFBResponse"/>
    <m/>
    <d v="1899-12-30T00:00:00"/>
    <d v="1899-12-30T00:00:00"/>
    <d v="1899-12-30T00:11:00"/>
    <n v="0"/>
    <n v="0.18333333333333338"/>
    <n v="0.18333333333333338"/>
    <s v="Replaced  new EKIP card"/>
    <s v="Close"/>
    <n v="7.9710144927536263E-3"/>
    <m/>
    <m/>
    <m/>
  </r>
  <r>
    <n v="239"/>
    <n v="2024"/>
    <n v="2023"/>
    <s v="Year_1"/>
    <d v="2023-05-10T00:00:00"/>
    <s v="KUD15"/>
    <s v="O2R1"/>
    <s v="KSIPL"/>
    <n v="4.3478260869565223E-2"/>
    <n v="6293"/>
    <x v="33"/>
    <s v="Pitch valves test active"/>
    <m/>
    <d v="1899-12-30T15:35:00"/>
    <d v="1899-12-30T15:35:00"/>
    <d v="1899-12-30T15:45:00"/>
    <n v="0"/>
    <n v="0.16666666666665542"/>
    <n v="0.16666666666665542"/>
    <s v="Auto reset"/>
    <s v="Close"/>
    <n v="7.2463768115937147E-3"/>
    <m/>
    <m/>
    <m/>
  </r>
  <r>
    <n v="240"/>
    <n v="2024"/>
    <n v="2023"/>
    <s v="Year_1"/>
    <d v="2023-05-10T00:00:00"/>
    <s v="KUD15"/>
    <s v="O2R1"/>
    <s v="KSIPL"/>
    <n v="4.3478260869565223E-2"/>
    <n v="5685"/>
    <x v="36"/>
    <s v="SyncVoltMeasurementMismatch"/>
    <m/>
    <d v="1899-12-30T15:59:00"/>
    <d v="1899-12-30T15:59:00"/>
    <d v="1899-12-30T20:21:00"/>
    <n v="0"/>
    <n v="4.3666666666666805"/>
    <n v="4.3666666666666805"/>
    <s v="Related Feedback connection loose condition and we correct it ( delay due to lightning )"/>
    <s v="Close"/>
    <n v="0.18985507246376873"/>
    <m/>
    <m/>
    <m/>
  </r>
  <r>
    <n v="241"/>
    <n v="2024"/>
    <n v="2023"/>
    <s v="Year_1"/>
    <d v="2023-05-10T00:00:00"/>
    <s v="KUD16"/>
    <s v="O2R2"/>
    <s v="SIL"/>
    <n v="4.3478260869565223E-2"/>
    <n v="3273"/>
    <x v="18"/>
    <s v="Yaw to cable twist"/>
    <m/>
    <d v="1899-12-30T15:14:00"/>
    <d v="1899-12-30T15:14:00"/>
    <d v="1899-12-30T15:35:00"/>
    <n v="0"/>
    <n v="0.35000000000001741"/>
    <n v="0.35000000000001741"/>
    <s v="Auto reset"/>
    <s v="Close"/>
    <n v="1.5217391304348585E-2"/>
    <m/>
    <m/>
    <m/>
  </r>
  <r>
    <n v="242"/>
    <n v="2024"/>
    <n v="2023"/>
    <s v="Year_1"/>
    <d v="2023-05-10T00:00:00"/>
    <s v="KUD19"/>
    <s v="O2R1"/>
    <s v="KSIPL"/>
    <n v="4.3478260869565223E-2"/>
    <n v="3274"/>
    <x v="18"/>
    <s v="Yaw to cable twist"/>
    <m/>
    <d v="1899-12-30T15:47:00"/>
    <d v="1899-12-30T15:47:00"/>
    <d v="1899-12-30T16:08:00"/>
    <n v="0"/>
    <n v="0.34999999999999343"/>
    <n v="0.34999999999999343"/>
    <s v="Auto reset"/>
    <s v="Close"/>
    <n v="1.5217391304347542E-2"/>
    <m/>
    <m/>
    <m/>
  </r>
  <r>
    <n v="243"/>
    <n v="2024"/>
    <n v="2023"/>
    <s v="Year_1"/>
    <d v="2023-05-11T00:00:00"/>
    <s v="KUD10"/>
    <s v="O2R1"/>
    <s v="KSIPL"/>
    <n v="4.3478260869565223E-2"/>
    <n v="900"/>
    <x v="2"/>
    <s v="WTG stop for A-service"/>
    <m/>
    <d v="1899-12-30T12:21:00"/>
    <d v="1899-12-30T12:21:00"/>
    <d v="1899-12-30T17:59:00"/>
    <n v="0"/>
    <n v="5.6333333333333533"/>
    <n v="5.6333333333333533"/>
    <s v="A-Service done"/>
    <s v="Close"/>
    <n v="0.24492753623188496"/>
    <m/>
    <m/>
    <m/>
  </r>
  <r>
    <n v="244"/>
    <n v="2024"/>
    <n v="2023"/>
    <s v="Year_1"/>
    <d v="2023-05-11T00:00:00"/>
    <s v="KUD13"/>
    <s v="O2R1"/>
    <s v="KSIPL"/>
    <n v="4.3478260869565223E-2"/>
    <n v="3273"/>
    <x v="18"/>
    <s v="Yaw to cable twist"/>
    <m/>
    <d v="1899-12-30T15:30:00"/>
    <d v="1899-12-30T15:30:00"/>
    <d v="1899-12-30T15:53:00"/>
    <n v="0"/>
    <n v="0.38333333333335062"/>
    <n v="0.38333333333335062"/>
    <s v="Auto reset"/>
    <s v="Close"/>
    <n v="1.6666666666667419E-2"/>
    <m/>
    <m/>
    <m/>
  </r>
  <r>
    <n v="245"/>
    <n v="2024"/>
    <n v="2023"/>
    <s v="Year_1"/>
    <d v="2023-05-11T00:00:00"/>
    <s v="KUD16"/>
    <s v="O2R2"/>
    <s v="SIL"/>
    <n v="4.3478260869565223E-2"/>
    <n v="3024"/>
    <x v="37"/>
    <s v="ArcNetReconfigMaxLimit      10"/>
    <m/>
    <d v="1899-12-30T17:42:00"/>
    <d v="1899-12-30T17:42:00"/>
    <d v="1899-12-30T19:38:00"/>
    <n v="0"/>
    <n v="1.9333333333333425"/>
    <n v="1.9333333333333425"/>
    <s v="Hard Reboot and Restore the WTG"/>
    <s v="Close"/>
    <n v="8.4057971014493166E-2"/>
    <m/>
    <m/>
    <m/>
  </r>
  <r>
    <n v="246"/>
    <n v="2024"/>
    <n v="2023"/>
    <s v="Year_1"/>
    <d v="2023-05-11T00:00:00"/>
    <s v="KUD16"/>
    <s v="O2R2"/>
    <s v="SIL"/>
    <n v="4.3478260869565223E-2"/>
    <n v="6293"/>
    <x v="33"/>
    <s v="Pitch valves test active"/>
    <m/>
    <d v="1899-12-30T19:39:00"/>
    <d v="1899-12-30T19:39:00"/>
    <d v="1899-12-30T19:45:00"/>
    <n v="0"/>
    <n v="0.10000000000000764"/>
    <n v="0.10000000000000764"/>
    <s v="Auto reset"/>
    <s v="Close"/>
    <n v="4.347826086956854E-3"/>
    <m/>
    <m/>
    <m/>
  </r>
  <r>
    <n v="247"/>
    <n v="2024"/>
    <n v="2023"/>
    <s v="Year_1"/>
    <d v="2023-05-11T00:00:00"/>
    <s v="KUD16"/>
    <s v="O2R2"/>
    <s v="SIL"/>
    <n v="4.3478260869565223E-2"/>
    <n v="3273"/>
    <x v="18"/>
    <s v="Yaw to cable twist"/>
    <m/>
    <d v="1899-12-30T21:27:00"/>
    <d v="1899-12-30T21:27:00"/>
    <d v="1899-12-30T21:58:00"/>
    <n v="0"/>
    <n v="0.51666666666667016"/>
    <n v="0.51666666666667016"/>
    <s v="Auto reset"/>
    <s v="Close"/>
    <n v="2.2463768115942185E-2"/>
    <m/>
    <m/>
    <m/>
  </r>
  <r>
    <n v="248"/>
    <n v="2024"/>
    <n v="2023"/>
    <s v="Year_1"/>
    <d v="2023-05-11T00:00:00"/>
    <s v="KUD16"/>
    <s v="O2R2"/>
    <s v="SIL"/>
    <n v="4.3478260869565223E-2"/>
    <n v="3024"/>
    <x v="37"/>
    <s v="ArcNetReconfigMaxLimit      10"/>
    <m/>
    <d v="1899-12-30T23:53:00"/>
    <d v="1899-12-30T23:53:00"/>
    <d v="1899-12-30T23:59:00"/>
    <n v="0"/>
    <n v="0.10000000000000764"/>
    <n v="0.10000000000000764"/>
    <s v="Troubleshoot WIP"/>
    <s v="Open"/>
    <n v="4.347826086956854E-3"/>
    <m/>
    <m/>
    <m/>
  </r>
  <r>
    <n v="249"/>
    <n v="2024"/>
    <n v="2023"/>
    <s v="Year_1"/>
    <d v="2023-05-11T00:00:00"/>
    <s v="KUD17"/>
    <s v="O2R2"/>
    <s v="SIL"/>
    <n v="4.3478260869565223E-2"/>
    <n v="3273"/>
    <x v="18"/>
    <s v="Yaw to cable twist"/>
    <m/>
    <d v="1899-12-30T21:28:00"/>
    <d v="1899-12-30T21:28:00"/>
    <d v="1899-12-30T21:59:00"/>
    <n v="0"/>
    <n v="0.51666666666667016"/>
    <n v="0.51666666666667016"/>
    <s v="Auto reset"/>
    <s v="Close"/>
    <n v="2.2463768115942185E-2"/>
    <m/>
    <m/>
    <m/>
  </r>
  <r>
    <n v="250"/>
    <n v="2024"/>
    <n v="2023"/>
    <s v="Year_1"/>
    <d v="2023-05-11T00:00:00"/>
    <s v="KUD19"/>
    <s v="O2R1"/>
    <s v="KSIPL"/>
    <n v="4.3478260869565223E-2"/>
    <n v="3273"/>
    <x v="38"/>
    <s v="Tow. acc. X, Alarm: 0.24 m/s^2"/>
    <m/>
    <d v="1899-12-30T17:15:00"/>
    <d v="1899-12-30T17:15:00"/>
    <d v="1899-12-30T17:17:00"/>
    <n v="0"/>
    <n v="3.3333333333335879E-2"/>
    <n v="3.3333333333335879E-2"/>
    <s v="Auto reset"/>
    <s v="Close"/>
    <n v="1.4492753623189514E-3"/>
    <m/>
    <m/>
    <m/>
  </r>
  <r>
    <n v="251"/>
    <n v="2024"/>
    <n v="2023"/>
    <s v="Year_1"/>
    <d v="2023-05-11T00:00:00"/>
    <s v="KUD20"/>
    <s v="O2R1"/>
    <s v="KSIPL"/>
    <n v="4.3478260869565223E-2"/>
    <n v="3273"/>
    <x v="18"/>
    <s v="Yaw to cable twist"/>
    <m/>
    <d v="1899-12-30T15:22:00"/>
    <d v="1899-12-30T15:22:00"/>
    <d v="1899-12-30T15:51:00"/>
    <n v="0"/>
    <n v="0.48333333333333695"/>
    <n v="0.48333333333333695"/>
    <s v="Auto reset"/>
    <s v="Close"/>
    <n v="2.1014492753623347E-2"/>
    <m/>
    <m/>
    <m/>
  </r>
  <r>
    <n v="252"/>
    <n v="2024"/>
    <n v="2023"/>
    <s v="Year_1"/>
    <d v="2023-05-11T00:00:00"/>
    <s v="KUD20"/>
    <s v="O2R1"/>
    <s v="KSIPL"/>
    <n v="4.3478260869565223E-2"/>
    <n v="356"/>
    <x v="39"/>
    <s v="Extreme yawerror 15.4m/s 45.0Â°"/>
    <m/>
    <d v="1899-12-30T17:12:00"/>
    <d v="1899-12-30T17:12:00"/>
    <d v="1899-12-30T17:13:00"/>
    <n v="0"/>
    <n v="1.6666666666655949E-2"/>
    <n v="1.6666666666655949E-2"/>
    <s v="Auto reset"/>
    <s v="Close"/>
    <n v="7.2463768115895442E-4"/>
    <m/>
    <m/>
    <m/>
  </r>
  <r>
    <n v="253"/>
    <n v="2024"/>
    <n v="2023"/>
    <s v="Year_1"/>
    <d v="2023-05-12T00:00:00"/>
    <s v="KUD11"/>
    <s v="O2R1"/>
    <s v="KSIPL"/>
    <n v="4.3478260869565223E-2"/>
    <n v="3273"/>
    <x v="18"/>
    <s v="Yaw to cable twist"/>
    <m/>
    <d v="1899-12-30T13:46:00"/>
    <d v="1899-12-30T13:46:00"/>
    <d v="1899-12-30T14:08:00"/>
    <n v="0"/>
    <n v="0.36666666666667336"/>
    <n v="0.36666666666667336"/>
    <s v="Auto reset"/>
    <s v="Close"/>
    <n v="1.5942028985507541E-2"/>
    <m/>
    <m/>
    <m/>
  </r>
  <r>
    <n v="254"/>
    <n v="2024"/>
    <n v="2023"/>
    <s v="Year_1"/>
    <d v="2023-05-12T00:00:00"/>
    <s v="KUD15"/>
    <s v="O2R1"/>
    <s v="KSIPL"/>
    <n v="4.3478260869565223E-2"/>
    <n v="5685"/>
    <x v="36"/>
    <s v="SyncVoltMeasurementMismatch"/>
    <m/>
    <d v="1899-12-30T12:14:00"/>
    <d v="1899-12-30T12:14:00"/>
    <d v="1899-12-30T20:28:00"/>
    <n v="0"/>
    <n v="8.2333333333333449"/>
    <n v="8.2333333333333449"/>
    <s v="WTG hard reboot and restart "/>
    <s v="Close"/>
    <n v="0.3579710144927542"/>
    <m/>
    <m/>
    <m/>
  </r>
  <r>
    <n v="255"/>
    <n v="2024"/>
    <n v="2023"/>
    <s v="Year_1"/>
    <d v="2023-05-12T00:00:00"/>
    <s v="KUD19"/>
    <s v="O2R1"/>
    <s v="KSIPL"/>
    <n v="4.3478260869565223E-2"/>
    <n v="4239"/>
    <x v="40"/>
    <s v="HVCB Unknown Trip Reason"/>
    <m/>
    <d v="1899-12-30T18:11:00"/>
    <d v="1899-12-30T18:11:00"/>
    <d v="1899-12-30T19:53:00"/>
    <n v="0"/>
    <n v="1.699999999999994"/>
    <n v="1.699999999999994"/>
    <s v="SWG charged"/>
    <s v="Close"/>
    <n v="7.3913043478260623E-2"/>
    <m/>
    <m/>
    <m/>
  </r>
  <r>
    <n v="256"/>
    <n v="2024"/>
    <n v="2023"/>
    <s v="Year_1"/>
    <d v="2023-05-12T00:00:00"/>
    <s v="KUD16"/>
    <s v="O2R2"/>
    <s v="SIL"/>
    <n v="4.3478260869565223E-2"/>
    <n v="3024"/>
    <x v="37"/>
    <s v="ArcNetReconfigMaxLimit      10"/>
    <m/>
    <d v="1899-12-30T00:00:00"/>
    <d v="1899-12-30T00:00:00"/>
    <d v="1899-12-30T23:59:00"/>
    <n v="0"/>
    <n v="23.983333333333345"/>
    <n v="23.983333333333345"/>
    <s v="Troubleshoot WIP"/>
    <s v="Open"/>
    <n v="1.0427536231884065"/>
    <m/>
    <m/>
    <m/>
  </r>
  <r>
    <n v="257"/>
    <n v="2024"/>
    <n v="2023"/>
    <s v="Year_1"/>
    <d v="2023-05-13T00:00:00"/>
    <s v="KUD16"/>
    <s v="O2R2"/>
    <s v="SIL"/>
    <n v="4.3478260869565223E-2"/>
    <n v="127"/>
    <x v="37"/>
    <s v="ArcNetReconfigMaxLimit      10"/>
    <m/>
    <d v="1899-12-30T00:00:00"/>
    <d v="1899-12-30T00:00:00"/>
    <d v="1899-12-30T19:01:00"/>
    <n v="0"/>
    <n v="19.016666666666662"/>
    <n v="19.016666666666662"/>
    <s v="Gound Controller replaced "/>
    <s v="Close"/>
    <n v="0.82681159420289851"/>
    <m/>
    <m/>
    <m/>
  </r>
  <r>
    <n v="258"/>
    <n v="2024"/>
    <n v="2023"/>
    <s v="Year_1"/>
    <d v="2023-05-13T00:00:00"/>
    <s v="KUD16"/>
    <s v="O2R2"/>
    <s v="SIL"/>
    <n v="4.3478260869565223E-2"/>
    <n v="6284"/>
    <x v="41"/>
    <s v="EMC valves test active"/>
    <m/>
    <d v="1899-12-30T19:57:00"/>
    <d v="1899-12-30T19:57:00"/>
    <d v="1899-12-30T20:02:00"/>
    <n v="0"/>
    <n v="8.3333333333327708E-2"/>
    <n v="8.3333333333327708E-2"/>
    <s v="Auto reset"/>
    <s v="Close"/>
    <n v="3.6231884057968573E-3"/>
    <m/>
    <m/>
    <m/>
  </r>
  <r>
    <n v="259"/>
    <n v="2024"/>
    <n v="2023"/>
    <s v="Year_1"/>
    <d v="2023-05-13T00:00:00"/>
    <s v="KUD17"/>
    <s v="O2R2"/>
    <s v="SIL"/>
    <n v="4.3478260869565223E-2"/>
    <n v="5472"/>
    <x v="42"/>
    <s v="GeneratorBreakerUnexpectedFb"/>
    <m/>
    <d v="1899-12-30T19:16:00"/>
    <d v="1899-12-30T19:16:00"/>
    <d v="1899-12-30T19:48:00"/>
    <n v="0"/>
    <n v="0.53333333333332611"/>
    <n v="0.53333333333332611"/>
    <s v="Troubleshoot WIP"/>
    <s v="Open"/>
    <n v="2.3188405797101137E-2"/>
    <m/>
    <m/>
    <m/>
  </r>
  <r>
    <n v="260"/>
    <n v="2024"/>
    <n v="2023"/>
    <s v="Year_1"/>
    <d v="2023-05-13T00:00:00"/>
    <s v="KUD17"/>
    <s v="O2R2"/>
    <s v="SIL"/>
    <n v="4.3478260869565223E-2"/>
    <n v="5473"/>
    <x v="42"/>
    <s v="GeneratorBreakerUnexpectedFb"/>
    <m/>
    <d v="1899-12-30T19:57:00"/>
    <d v="1899-12-30T19:57:00"/>
    <d v="1899-12-30T23:59:00"/>
    <n v="0"/>
    <n v="4.033333333333343"/>
    <n v="4.033333333333343"/>
    <s v="Troubleshoot WIP"/>
    <s v="Open"/>
    <n v="0.17536231884058015"/>
    <m/>
    <m/>
    <m/>
  </r>
  <r>
    <n v="261"/>
    <n v="2024"/>
    <n v="2023"/>
    <s v="Year_1"/>
    <d v="2023-05-13T00:00:00"/>
    <s v="KUD19"/>
    <s v="O2R1"/>
    <s v="KSIPL"/>
    <n v="4.3478260869565223E-2"/>
    <n v="151"/>
    <x v="43"/>
    <s v="High temp. Gen bearing 1: 95Â°C"/>
    <m/>
    <d v="1899-12-30T10:47:00"/>
    <d v="1899-12-30T10:47:00"/>
    <d v="1899-12-30T16:40:00"/>
    <n v="0"/>
    <n v="5.8833333333333346"/>
    <n v="5.8833333333333346"/>
    <s v="Generator MCCB replaced "/>
    <s v="Close"/>
    <n v="0.25579710144927548"/>
    <m/>
    <m/>
    <m/>
  </r>
  <r>
    <n v="262"/>
    <n v="2024"/>
    <n v="2023"/>
    <s v="Year_1"/>
    <d v="2023-05-14T00:00:00"/>
    <s v="KUD14"/>
    <s v="O2R1"/>
    <s v="KSIPL"/>
    <n v="4.3478260869565223E-2"/>
    <n v="3273"/>
    <x v="18"/>
    <s v="Yaw to cable twist"/>
    <m/>
    <d v="1899-12-30T16:30:00"/>
    <d v="1899-12-30T16:30:00"/>
    <d v="1899-12-30T17:15:00"/>
    <n v="0"/>
    <n v="0.75"/>
    <n v="0.75"/>
    <s v="Auto reset"/>
    <s v="Close"/>
    <n v="3.2608695652173919E-2"/>
    <m/>
    <m/>
    <m/>
  </r>
  <r>
    <n v="263"/>
    <n v="2024"/>
    <n v="2023"/>
    <s v="Year_1"/>
    <d v="2023-05-14T00:00:00"/>
    <s v="KUD17"/>
    <s v="O2R2"/>
    <s v="SIL"/>
    <n v="4.3478260869565223E-2"/>
    <n v="5473"/>
    <x v="42"/>
    <s v="GeneratorBreakerUnexpectedFb"/>
    <m/>
    <d v="1899-12-30T00:00:00"/>
    <d v="1899-12-30T00:00:00"/>
    <d v="1899-12-30T01:15:00"/>
    <n v="0"/>
    <n v="1.2499999999999991"/>
    <n v="1.2499999999999991"/>
    <s v="Acb gen coil fb conn tightness done"/>
    <s v="Close"/>
    <n v="5.4347826086956492E-2"/>
    <m/>
    <m/>
    <m/>
  </r>
  <r>
    <n v="264"/>
    <n v="2024"/>
    <n v="2023"/>
    <s v="Year_1"/>
    <d v="2023-05-15T00:00:00"/>
    <s v="KUD10"/>
    <s v="O2R1"/>
    <s v="KSIPL"/>
    <n v="4.3478260869565223E-2"/>
    <n v="900"/>
    <x v="2"/>
    <s v="3 month service "/>
    <m/>
    <d v="1899-12-30T11:24:00"/>
    <d v="1899-12-30T11:24:00"/>
    <d v="1899-12-30T18:04:00"/>
    <n v="0"/>
    <n v="6.6666666666666723"/>
    <n v="6.6666666666666723"/>
    <s v="3 month service done"/>
    <s v="Close"/>
    <n v="0.2898550724637684"/>
    <m/>
    <m/>
    <m/>
  </r>
  <r>
    <n v="265"/>
    <n v="2024"/>
    <n v="2023"/>
    <s v="Year_1"/>
    <d v="2023-05-15T00:00:00"/>
    <s v="KUD16"/>
    <s v="O2R2"/>
    <s v="SIL"/>
    <n v="4.3478260869565223E-2"/>
    <n v="202"/>
    <x v="40"/>
    <s v="HVCB Unknown Trip Reason"/>
    <m/>
    <d v="1899-12-30T19:02:00"/>
    <d v="1899-12-30T19:02:00"/>
    <d v="1899-12-30T21:04:00"/>
    <n v="0"/>
    <n v="2.0333333333333288"/>
    <n v="2.0333333333333288"/>
    <s v="SWG charged"/>
    <s v="Close"/>
    <n v="8.8405797101449093E-2"/>
    <m/>
    <m/>
    <m/>
  </r>
  <r>
    <n v="266"/>
    <n v="2024"/>
    <n v="2023"/>
    <s v="Year_1"/>
    <d v="2023-05-15T00:00:00"/>
    <s v="KUD17"/>
    <s v="O2R2"/>
    <s v="SIL"/>
    <n v="4.3478260869565223E-2"/>
    <n v="30"/>
    <x v="44"/>
    <s v="Internal sublogic error"/>
    <m/>
    <d v="1899-12-30T19:02:00"/>
    <d v="1899-12-30T19:02:00"/>
    <d v="1899-12-30T19:26:00"/>
    <n v="0"/>
    <n v="0.39999999999998526"/>
    <n v="0.39999999999998526"/>
    <s v="Manual reset"/>
    <s v="Close"/>
    <n v="1.7391304347825449E-2"/>
    <m/>
    <m/>
    <m/>
  </r>
  <r>
    <n v="267"/>
    <n v="2024"/>
    <n v="2023"/>
    <s v="Year_1"/>
    <d v="2023-05-16T00:00:00"/>
    <s v="KUD11"/>
    <s v="O2R1"/>
    <s v="KSIPL"/>
    <n v="4.3478260869565223E-2"/>
    <n v="900"/>
    <x v="2"/>
    <s v="WTG stop for A-service"/>
    <m/>
    <d v="1899-12-30T09:37:00"/>
    <d v="1899-12-30T09:37:00"/>
    <d v="1899-12-30T17:33:00"/>
    <n v="0"/>
    <n v="7.9333333333333425"/>
    <n v="7.9333333333333425"/>
    <s v="A-Service done"/>
    <s v="Close"/>
    <n v="0.34492753623188449"/>
    <m/>
    <m/>
    <m/>
  </r>
  <r>
    <n v="268"/>
    <n v="2024"/>
    <n v="2023"/>
    <s v="Year_1"/>
    <d v="2023-05-16T00:00:00"/>
    <s v="KUD01"/>
    <s v="O2R1"/>
    <s v="KSIPL"/>
    <n v="4.3478260869565223E-2"/>
    <n v="3273"/>
    <x v="18"/>
    <s v="Yaw to cable twist"/>
    <m/>
    <d v="1899-12-30T13:58:00"/>
    <d v="1899-12-30T13:58:00"/>
    <d v="1899-12-30T14:26:00"/>
    <n v="0"/>
    <n v="0.46666666666667833"/>
    <n v="0.46666666666667833"/>
    <s v="Auto reset"/>
    <s v="Close"/>
    <n v="2.0289855072464277E-2"/>
    <m/>
    <m/>
    <m/>
  </r>
  <r>
    <n v="269"/>
    <n v="2024"/>
    <n v="2023"/>
    <s v="Year_1"/>
    <d v="2023-05-17T00:00:00"/>
    <s v="KUD10"/>
    <s v="O2R1"/>
    <s v="KSIPL"/>
    <n v="4.3478260869565223E-2"/>
    <n v="3273"/>
    <x v="45"/>
    <s v="YawUntwistCCW: Code 6, "/>
    <m/>
    <d v="1899-12-30T17:18:00"/>
    <d v="1899-12-30T17:18:00"/>
    <d v="1899-12-30T17:38:00"/>
    <n v="0"/>
    <n v="0.33333333333333748"/>
    <n v="0.33333333333333748"/>
    <s v="Auto reset"/>
    <s v="Close"/>
    <n v="1.4492753623188588E-2"/>
    <m/>
    <m/>
    <m/>
  </r>
  <r>
    <n v="270"/>
    <n v="2024"/>
    <n v="2023"/>
    <s v="Year_1"/>
    <d v="2023-05-17T00:00:00"/>
    <s v="KUD11"/>
    <s v="O2R1"/>
    <s v="KSIPL"/>
    <n v="4.3478260869565223E-2"/>
    <n v="900"/>
    <x v="2"/>
    <s v="WTG stop for A-service"/>
    <m/>
    <d v="1899-12-30T10:09:00"/>
    <d v="1899-12-30T10:09:00"/>
    <d v="1899-12-30T17:09:00"/>
    <n v="0"/>
    <n v="6.999999999999984"/>
    <n v="6.999999999999984"/>
    <s v="A-Service done"/>
    <s v="Close"/>
    <n v="0.30434782608695587"/>
    <m/>
    <m/>
    <m/>
  </r>
  <r>
    <n v="271"/>
    <n v="2024"/>
    <n v="2023"/>
    <s v="Year_1"/>
    <d v="2023-05-17T00:00:00"/>
    <s v="KUD12"/>
    <s v="O2R1"/>
    <s v="KSIPL"/>
    <n v="4.3478260869565223E-2"/>
    <n v="3273"/>
    <x v="45"/>
    <s v="YawUntwistCCW: Code 6, "/>
    <m/>
    <d v="1899-12-30T19:58:00"/>
    <d v="1899-12-30T19:58:00"/>
    <d v="1899-12-30T20:27:00"/>
    <n v="0"/>
    <n v="0.48333333333333428"/>
    <n v="0.48333333333333428"/>
    <s v="Auto reset"/>
    <s v="Close"/>
    <n v="2.1014492753623232E-2"/>
    <m/>
    <m/>
    <m/>
  </r>
  <r>
    <n v="272"/>
    <n v="2024"/>
    <n v="2023"/>
    <s v="Year_1"/>
    <d v="2023-05-17T00:00:00"/>
    <s v="KUD13"/>
    <s v="O2R1"/>
    <s v="KSIPL"/>
    <n v="4.3478260869565223E-2"/>
    <n v="3273"/>
    <x v="45"/>
    <s v="YawUntwistCCW: Code 6, "/>
    <m/>
    <d v="1899-12-30T20:02:00"/>
    <d v="1899-12-30T20:02:00"/>
    <d v="1899-12-30T20:31:00"/>
    <n v="0"/>
    <n v="0.48333333333333428"/>
    <n v="0.48333333333333428"/>
    <s v="Auto reset"/>
    <s v="Close"/>
    <n v="2.1014492753623232E-2"/>
    <m/>
    <m/>
    <m/>
  </r>
  <r>
    <n v="273"/>
    <n v="2024"/>
    <n v="2023"/>
    <s v="Year_1"/>
    <d v="2023-05-17T00:00:00"/>
    <s v="KUD16"/>
    <s v="O2R2"/>
    <s v="SIL"/>
    <n v="4.3478260869565223E-2"/>
    <n v="3296"/>
    <x v="46"/>
    <s v="Yaw To Nacelle Position Reset"/>
    <m/>
    <d v="1899-12-30T13:10:00"/>
    <d v="1899-12-30T13:10:00"/>
    <d v="1899-12-30T13:11:00"/>
    <n v="0"/>
    <n v="1.666666666667993E-2"/>
    <n v="1.666666666667993E-2"/>
    <s v="Auto reset"/>
    <s v="Close"/>
    <n v="7.2463768115999709E-4"/>
    <m/>
    <m/>
    <m/>
  </r>
  <r>
    <n v="274"/>
    <n v="2024"/>
    <n v="2023"/>
    <s v="Year_1"/>
    <d v="2023-05-17T00:00:00"/>
    <s v="KUD17"/>
    <s v="O2R2"/>
    <s v="SIL"/>
    <n v="4.3478260869565223E-2"/>
    <n v="3298"/>
    <x v="47"/>
    <s v="Yaw To Cable Twist Reset"/>
    <m/>
    <d v="1899-12-30T17:54:00"/>
    <d v="1899-12-30T17:54:00"/>
    <d v="1899-12-30T17:58:00"/>
    <n v="0"/>
    <n v="6.6666666666671759E-2"/>
    <n v="6.6666666666671759E-2"/>
    <s v="Auto reset"/>
    <s v="Close"/>
    <n v="2.8985507246379028E-3"/>
    <m/>
    <m/>
    <m/>
  </r>
  <r>
    <n v="275"/>
    <n v="2024"/>
    <n v="2023"/>
    <s v="Year_1"/>
    <d v="2023-05-18T00:00:00"/>
    <s v="KUD11"/>
    <s v="O2R1"/>
    <s v="KSIPL"/>
    <n v="4.3478260869565223E-2"/>
    <n v="900"/>
    <x v="2"/>
    <s v="WTG stop for A-service"/>
    <m/>
    <d v="1899-12-30T09:45:00"/>
    <d v="1899-12-30T09:45:00"/>
    <d v="1899-12-30T17:37:00"/>
    <n v="0"/>
    <n v="7.8666666666666707"/>
    <n v="7.8666666666666707"/>
    <s v="A-Service done"/>
    <s v="Close"/>
    <n v="0.34202898550724659"/>
    <m/>
    <m/>
    <m/>
  </r>
  <r>
    <n v="276"/>
    <n v="2024"/>
    <n v="2023"/>
    <s v="Year_1"/>
    <d v="2023-05-18T00:00:00"/>
    <s v="KUD20"/>
    <s v="O2R1"/>
    <s v="KSIPL"/>
    <n v="4.3478260869565223E-2"/>
    <n v="3273"/>
    <x v="48"/>
    <s v="Yaw to cable twist"/>
    <m/>
    <d v="1899-12-30T15:20:00"/>
    <d v="1899-12-30T15:20:00"/>
    <d v="1899-12-30T15:45:00"/>
    <n v="0"/>
    <n v="0.41666666666666519"/>
    <n v="0.41666666666666519"/>
    <s v="Auto reset"/>
    <s v="Close"/>
    <n v="1.8115942028985445E-2"/>
    <m/>
    <m/>
    <m/>
  </r>
  <r>
    <n v="277"/>
    <n v="2024"/>
    <n v="2023"/>
    <s v="Year_1"/>
    <d v="2023-05-19T00:00:00"/>
    <s v="KUD12"/>
    <s v="O2R1"/>
    <s v="KSIPL"/>
    <n v="4.3478260869565223E-2"/>
    <n v="900"/>
    <x v="2"/>
    <s v="WTG stop for A-service"/>
    <m/>
    <d v="1899-12-30T09:52:00"/>
    <d v="1899-12-30T09:52:00"/>
    <d v="1899-12-30T17:26:00"/>
    <n v="0"/>
    <n v="7.5666666666666718"/>
    <n v="7.5666666666666718"/>
    <s v="A-Service done"/>
    <s v="Close"/>
    <n v="0.3289855072463771"/>
    <m/>
    <m/>
    <m/>
  </r>
  <r>
    <n v="278"/>
    <n v="2024"/>
    <n v="2023"/>
    <s v="Year_1"/>
    <d v="2023-05-19T00:00:00"/>
    <s v="KUD15"/>
    <s v="O2R1"/>
    <s v="KSIPL"/>
    <n v="4.3478260869565223E-2"/>
    <n v="3633"/>
    <x v="21"/>
    <s v="Yaw System Stopped"/>
    <m/>
    <d v="1899-12-30T15:44:00"/>
    <d v="1899-12-30T15:44:00"/>
    <d v="1899-12-30T18:56:00"/>
    <n v="0"/>
    <n v="3.1999999999999913"/>
    <n v="3.1999999999999913"/>
    <s v="Auto reset"/>
    <s v="Close"/>
    <n v="0.13913043478260834"/>
    <m/>
    <m/>
    <m/>
  </r>
  <r>
    <n v="279"/>
    <n v="2024"/>
    <n v="2023"/>
    <s v="Year_1"/>
    <d v="2023-05-20T00:00:00"/>
    <s v="KUD11"/>
    <s v="O2R1"/>
    <s v="KSIPL"/>
    <n v="4.3478260869565223E-2"/>
    <n v="5195"/>
    <x v="49"/>
    <s v="Prop Valve A Status Fault"/>
    <m/>
    <d v="1899-12-30T04:47:00"/>
    <d v="1899-12-30T04:47:00"/>
    <d v="1899-12-30T04:55:00"/>
    <n v="0"/>
    <n v="0.13333333333331954"/>
    <n v="0.13333333333331954"/>
    <s v="Auto reset"/>
    <s v="Close"/>
    <n v="5.797101449274763E-3"/>
    <m/>
    <m/>
    <m/>
  </r>
  <r>
    <n v="280"/>
    <n v="2024"/>
    <n v="2023"/>
    <s v="Year_1"/>
    <d v="2023-05-20T00:00:00"/>
    <s v="KUD12"/>
    <s v="O2R1"/>
    <s v="KSIPL"/>
    <n v="4.3478260869565223E-2"/>
    <n v="900"/>
    <x v="2"/>
    <s v="WTG stop for A-service"/>
    <m/>
    <d v="1899-12-30T09:15:00"/>
    <d v="1899-12-30T09:15:00"/>
    <d v="1899-12-30T17:13:00"/>
    <n v="0"/>
    <n v="7.9666666666666561"/>
    <n v="7.9666666666666561"/>
    <s v="A-Service done"/>
    <s v="Close"/>
    <n v="0.34637681159420247"/>
    <m/>
    <m/>
    <m/>
  </r>
  <r>
    <n v="281"/>
    <n v="2024"/>
    <n v="2023"/>
    <s v="Year_1"/>
    <d v="2023-05-20T00:00:00"/>
    <s v="KUD15"/>
    <s v="O2R1"/>
    <s v="KSIPL"/>
    <n v="4.3478260869565223E-2"/>
    <n v="3633"/>
    <x v="21"/>
    <s v="Yaw System Stopped"/>
    <m/>
    <d v="1899-12-30T16:00:00"/>
    <d v="1899-12-30T16:00:00"/>
    <d v="1899-12-30T20:41:00"/>
    <n v="0"/>
    <n v="4.683333333333338"/>
    <n v="4.683333333333338"/>
    <s v="MCB Replaced"/>
    <s v="Close"/>
    <n v="0.20362318840579732"/>
    <m/>
    <m/>
    <m/>
  </r>
  <r>
    <n v="282"/>
    <n v="2024"/>
    <n v="2023"/>
    <s v="Year_1"/>
    <d v="2023-05-20T00:00:00"/>
    <s v="KUD16"/>
    <s v="O2R2"/>
    <s v="SIL"/>
    <n v="4.3478260869565223E-2"/>
    <n v="3273"/>
    <x v="50"/>
    <s v="YawUntwistCCW: Code 6"/>
    <m/>
    <d v="1899-12-30T15:13:00"/>
    <d v="1899-12-30T15:13:00"/>
    <d v="1899-12-30T15:35:00"/>
    <n v="0"/>
    <n v="0.36666666666667336"/>
    <n v="0.36666666666667336"/>
    <s v="Auto reset"/>
    <s v="Close"/>
    <n v="1.5942028985507541E-2"/>
    <m/>
    <m/>
    <m/>
  </r>
  <r>
    <n v="283"/>
    <n v="2024"/>
    <n v="2023"/>
    <s v="Year_1"/>
    <d v="2023-05-21T00:00:00"/>
    <s v="KUD14"/>
    <s v="O2R1"/>
    <s v="KSIPL"/>
    <n v="4.3478260869565223E-2"/>
    <n v="332"/>
    <x v="51"/>
    <s v="Ext. low DC voltage   469V"/>
    <m/>
    <d v="1899-12-30T16:21:00"/>
    <d v="1899-12-30T16:21:00"/>
    <d v="1899-12-30T18:13:00"/>
    <n v="0"/>
    <n v="1.8666666666666707"/>
    <n v="1.8666666666666707"/>
    <s v="SWG charged"/>
    <s v="Close"/>
    <n v="8.1159420289855261E-2"/>
    <m/>
    <m/>
    <m/>
  </r>
  <r>
    <n v="284"/>
    <n v="2024"/>
    <n v="2023"/>
    <s v="Year_1"/>
    <d v="2023-05-21T00:00:00"/>
    <s v="KUD13"/>
    <s v="O2R1"/>
    <s v="KSIPL"/>
    <n v="4.3478260869565223E-2"/>
    <n v="135"/>
    <x v="52"/>
    <s v="Low voltage L3:   2 V"/>
    <m/>
    <d v="1899-12-30T16:21:00"/>
    <d v="1899-12-30T16:21:00"/>
    <d v="1899-12-30T17:00:00"/>
    <n v="0"/>
    <n v="0.64999999999999236"/>
    <n v="0.64999999999999236"/>
    <s v="SWG charged"/>
    <s v="Close"/>
    <n v="2.8260869565217062E-2"/>
    <m/>
    <m/>
    <m/>
  </r>
  <r>
    <n v="285"/>
    <n v="2024"/>
    <n v="2023"/>
    <s v="Year_1"/>
    <d v="2023-05-22T00:00:00"/>
    <s v="KUD10"/>
    <s v="O2R1"/>
    <s v="KSIPL"/>
    <n v="4.3478260869565223E-2"/>
    <n v="3273"/>
    <x v="53"/>
    <s v="YawUntwistCCW: Code 6"/>
    <m/>
    <d v="1899-12-30T10:49:00"/>
    <d v="1899-12-30T10:49:00"/>
    <d v="1899-12-30T11:17:00"/>
    <n v="0"/>
    <n v="0.46666666666667966"/>
    <n v="0.46666666666667966"/>
    <s v="Auto reset"/>
    <s v="Close"/>
    <n v="2.0289855072464336E-2"/>
    <m/>
    <m/>
    <m/>
  </r>
  <r>
    <n v="286"/>
    <n v="2024"/>
    <n v="2023"/>
    <s v="Year_1"/>
    <d v="2023-05-22T00:00:00"/>
    <s v="KUD11"/>
    <s v="O2R1"/>
    <s v="KSIPL"/>
    <n v="4.3478260869565223E-2"/>
    <n v="5197"/>
    <x v="54"/>
    <s v="Prop Valve C Status Fault"/>
    <m/>
    <d v="1899-12-30T09:04:00"/>
    <d v="1899-12-30T09:04:00"/>
    <d v="1899-12-30T11:06:00"/>
    <n v="0"/>
    <n v="2.0333333333333288"/>
    <n v="2.0333333333333288"/>
    <s v="Encoder Changed"/>
    <s v="Close"/>
    <n v="8.8405797101449093E-2"/>
    <m/>
    <m/>
    <m/>
  </r>
  <r>
    <n v="287"/>
    <n v="2024"/>
    <n v="2023"/>
    <s v="Year_1"/>
    <d v="2023-05-22T00:00:00"/>
    <s v="KUD11"/>
    <s v="O2R1"/>
    <s v="KSIPL"/>
    <n v="4.3478260869565223E-2"/>
    <n v="5197"/>
    <x v="54"/>
    <s v="Prop Valve C Status Fault"/>
    <m/>
    <d v="1899-12-30T11:16:00"/>
    <d v="1899-12-30T11:16:00"/>
    <d v="1899-12-30T21:56:00"/>
    <n v="0"/>
    <n v="10.666666666666679"/>
    <n v="10.666666666666679"/>
    <s v="Encoder Changed"/>
    <s v="Close"/>
    <n v="0.46376811594202955"/>
    <m/>
    <m/>
    <m/>
  </r>
  <r>
    <n v="288"/>
    <n v="2024"/>
    <n v="2023"/>
    <s v="Year_1"/>
    <d v="2023-05-22T00:00:00"/>
    <s v="KUD11"/>
    <s v="O2R1"/>
    <s v="KSIPL"/>
    <n v="4.3478260869565223E-2"/>
    <n v="6284"/>
    <x v="41"/>
    <s v="EMC valves test active"/>
    <m/>
    <d v="1899-12-30T21:59:06"/>
    <d v="1899-12-30T21:59:06"/>
    <d v="1899-12-30T23:59:59"/>
    <n v="0"/>
    <n v="2.0147222222222156"/>
    <n v="2.0147222222222156"/>
    <s v="Trouble shoot work in progress"/>
    <s v="Open"/>
    <n v="8.7596618357487652E-2"/>
    <m/>
    <m/>
    <m/>
  </r>
  <r>
    <n v="289"/>
    <n v="2024"/>
    <n v="2023"/>
    <s v="Year_1"/>
    <d v="2023-05-22T00:00:00"/>
    <s v="KUD15"/>
    <s v="O2R1"/>
    <s v="KSIPL"/>
    <n v="4.3478260869565223E-2"/>
    <n v="3273"/>
    <x v="55"/>
    <s v="YawUntwistCCW: Code 6,    550Â°"/>
    <m/>
    <d v="1899-12-30T10:52:15"/>
    <d v="1899-12-30T10:52:15"/>
    <d v="1899-12-30T11:20:00"/>
    <n v="0"/>
    <n v="0.46249999999999236"/>
    <n v="0.46249999999999236"/>
    <s v="Auto reset"/>
    <s v="Close"/>
    <n v="2.0108695652173585E-2"/>
    <m/>
    <m/>
    <m/>
  </r>
  <r>
    <n v="290"/>
    <n v="2024"/>
    <n v="2023"/>
    <s v="Year_1"/>
    <d v="2023-05-22T00:00:00"/>
    <s v="KUD17"/>
    <s v="O2R2"/>
    <s v="SIL"/>
    <n v="4.3478260869565223E-2"/>
    <n v="3273"/>
    <x v="56"/>
    <s v="YawUntwistCCW: Code 6,    573Â°"/>
    <m/>
    <d v="1899-12-30T11:43:32"/>
    <d v="1899-12-30T11:43:32"/>
    <d v="1899-12-30T12:05:42"/>
    <n v="0"/>
    <n v="0.3694444444444307"/>
    <n v="0.3694444444444307"/>
    <s v="Auto reset"/>
    <s v="Close"/>
    <n v="1.6062801932366554E-2"/>
    <m/>
    <m/>
    <m/>
  </r>
  <r>
    <n v="291"/>
    <n v="2024"/>
    <n v="2023"/>
    <s v="Year_1"/>
    <d v="2023-05-22T00:00:00"/>
    <s v="KUD19"/>
    <s v="O2R1"/>
    <s v="KSIPL"/>
    <n v="4.3478260869565223E-2"/>
    <n v="3273"/>
    <x v="57"/>
    <s v="YawUntwistCCW: Code 6,    546Â°"/>
    <m/>
    <d v="1899-12-30T11:45:04"/>
    <d v="1899-12-30T11:45:04"/>
    <d v="1899-12-30T12:05:55"/>
    <n v="0"/>
    <n v="0.34749999999998371"/>
    <n v="0.34749999999998371"/>
    <s v="Auto reset"/>
    <s v="Close"/>
    <n v="1.5108695652173206E-2"/>
    <m/>
    <m/>
    <m/>
  </r>
  <r>
    <n v="292"/>
    <n v="2024"/>
    <n v="2023"/>
    <s v="Year_1"/>
    <d v="2023-05-22T00:00:00"/>
    <s v="KUD20"/>
    <s v="O2R1"/>
    <s v="KSIPL"/>
    <n v="4.3478260869565223E-2"/>
    <n v="3273"/>
    <x v="55"/>
    <s v="YawUntwistCCW: Code 6,    550Â°"/>
    <m/>
    <d v="1899-12-30T11:52:34"/>
    <d v="1899-12-30T11:52:34"/>
    <d v="1899-12-30T12:14:00"/>
    <n v="0"/>
    <n v="0.357222222222215"/>
    <n v="0.357222222222215"/>
    <s v="Auto reset"/>
    <s v="Close"/>
    <n v="1.5531400966183263E-2"/>
    <m/>
    <m/>
    <m/>
  </r>
  <r>
    <n v="293"/>
    <n v="2024"/>
    <n v="2023"/>
    <s v="Year_1"/>
    <d v="2023-05-23T00:00:00"/>
    <s v="KUD11"/>
    <s v="O2R1"/>
    <s v="KSIPL"/>
    <n v="4.3478260869565223E-2"/>
    <n v="5195"/>
    <x v="49"/>
    <s v="Prop Valve A Status Fault"/>
    <m/>
    <d v="1899-12-30T00:00:00"/>
    <d v="1899-12-30T00:23:00"/>
    <d v="1899-12-30T16:28:00"/>
    <n v="0.3833333333333328"/>
    <n v="16.083333333333332"/>
    <n v="16.466666666666665"/>
    <s v="Module Replaced"/>
    <s v="Close"/>
    <n v="0.71594202898550729"/>
    <m/>
    <m/>
    <m/>
  </r>
  <r>
    <n v="294"/>
    <n v="2024"/>
    <n v="2023"/>
    <s v="Year_1"/>
    <d v="2023-05-23T00:00:00"/>
    <s v="KUD11"/>
    <s v="O2R1"/>
    <s v="KSIPL"/>
    <n v="4.3478260869565223E-2"/>
    <n v="3848"/>
    <x v="58"/>
    <s v="PitAPFBsensorunavailable"/>
    <m/>
    <d v="1899-12-30T20:32:12"/>
    <d v="1899-12-30T20:32:12"/>
    <d v="1899-12-30T23:59:00"/>
    <n v="0"/>
    <n v="3.4466666666666885"/>
    <n v="3.4466666666666885"/>
    <s v="Trouble shooting  under process."/>
    <s v="Open"/>
    <n v="0.14985507246376908"/>
    <m/>
    <m/>
    <m/>
  </r>
  <r>
    <n v="295"/>
    <n v="2024"/>
    <n v="2023"/>
    <s v="Year_1"/>
    <d v="2023-05-23T00:00:00"/>
    <s v="KUD01"/>
    <s v="O2R1"/>
    <s v="KSIPL"/>
    <n v="4.3478260869565223E-2"/>
    <n v="3273"/>
    <x v="48"/>
    <s v="YawUntwistCCW: Code 6,    540Â°"/>
    <m/>
    <d v="1899-12-30T11:47:00"/>
    <d v="1899-12-30T11:47:00"/>
    <d v="1899-12-30T12:10:00"/>
    <n v="0"/>
    <n v="0.38333333333332797"/>
    <n v="0.38333333333332797"/>
    <s v="Auto reset"/>
    <s v="Close"/>
    <n v="1.6666666666666437E-2"/>
    <m/>
    <m/>
    <m/>
  </r>
  <r>
    <n v="296"/>
    <n v="2024"/>
    <n v="2023"/>
    <s v="Year_1"/>
    <d v="2023-05-23T00:00:00"/>
    <s v="KUD10"/>
    <s v="O2R1"/>
    <s v="KSIPL"/>
    <n v="4.3478260869565223E-2"/>
    <n v="3273"/>
    <x v="48"/>
    <s v="YawUntwistCCW: Code 6,    540Â°"/>
    <m/>
    <d v="1899-12-30T12:29:00"/>
    <d v="1899-12-30T12:29:00"/>
    <d v="1899-12-30T12:51:00"/>
    <n v="0"/>
    <n v="0.36666666666667069"/>
    <n v="0.36666666666667069"/>
    <s v="Auto reset"/>
    <s v="Close"/>
    <n v="1.5942028985507423E-2"/>
    <m/>
    <m/>
    <m/>
  </r>
  <r>
    <n v="297"/>
    <n v="2024"/>
    <n v="2023"/>
    <s v="Year_1"/>
    <d v="2023-05-23T00:00:00"/>
    <s v="KUD13"/>
    <s v="O2R1"/>
    <s v="KSIPL"/>
    <n v="4.3478260869565223E-2"/>
    <n v="3273"/>
    <x v="48"/>
    <s v="YawUntwistCCW: Code 6,    540Â°"/>
    <m/>
    <d v="1899-12-30T15:02:42"/>
    <d v="1899-12-30T15:02:42"/>
    <d v="1899-12-30T15:26:45"/>
    <n v="0"/>
    <n v="0.40083333333333737"/>
    <n v="0.40083333333333737"/>
    <s v="Auto reset"/>
    <s v="Close"/>
    <n v="1.7427536231884234E-2"/>
    <m/>
    <m/>
    <m/>
  </r>
  <r>
    <n v="298"/>
    <n v="2024"/>
    <n v="2023"/>
    <s v="Year_1"/>
    <d v="2023-05-23T00:00:00"/>
    <s v="KUD14"/>
    <s v="O2R1"/>
    <s v="KSIPL"/>
    <n v="4.3478260869565223E-2"/>
    <n v="3273"/>
    <x v="59"/>
    <s v="YawUntwistCCW: Code 7,    517Â°"/>
    <m/>
    <d v="1899-12-30T10:44:08"/>
    <d v="1899-12-30T10:44:08"/>
    <d v="1899-12-30T11:30:10"/>
    <n v="0"/>
    <n v="0.76722222222220848"/>
    <n v="0.76722222222220848"/>
    <s v="Auto reset"/>
    <s v="Close"/>
    <n v="3.3357487922704723E-2"/>
    <m/>
    <m/>
    <m/>
  </r>
  <r>
    <n v="299"/>
    <n v="2024"/>
    <n v="2023"/>
    <s v="Year_1"/>
    <d v="2023-05-23T00:00:00"/>
    <s v="KUD15"/>
    <s v="O2R1"/>
    <s v="KSIPL"/>
    <n v="4.3478260869565223E-2"/>
    <n v="3273"/>
    <x v="60"/>
    <s v="YawUntwistCCW: Code 6,    555Â°"/>
    <m/>
    <d v="1899-12-30T12:18:18"/>
    <d v="1899-12-30T12:18:18"/>
    <d v="1899-12-30T12:40:05"/>
    <n v="0"/>
    <n v="0.36305555555555991"/>
    <n v="0.36305555555555991"/>
    <s v="Auto reset"/>
    <s v="Close"/>
    <n v="1.5785024154589562E-2"/>
    <m/>
    <m/>
    <m/>
  </r>
  <r>
    <n v="300"/>
    <n v="2024"/>
    <n v="2023"/>
    <s v="Year_1"/>
    <d v="2023-05-23T00:00:00"/>
    <s v="KUD16"/>
    <s v="O2R2"/>
    <s v="SIL"/>
    <n v="4.3478260869565223E-2"/>
    <n v="4239"/>
    <x v="40"/>
    <s v="HVCB Unknown Trip Reason"/>
    <m/>
    <d v="1899-12-30T13:30:47"/>
    <d v="1899-12-30T13:30:47"/>
    <d v="1899-12-30T15:28:36"/>
    <n v="0"/>
    <n v="1.9636111111111187"/>
    <n v="1.9636111111111187"/>
    <s v="CB Charged"/>
    <s v="Close"/>
    <n v="8.537439613526604E-2"/>
    <m/>
    <m/>
    <m/>
  </r>
  <r>
    <n v="301"/>
    <n v="2024"/>
    <n v="2023"/>
    <s v="Year_1"/>
    <d v="2023-05-24T00:00:00"/>
    <s v="KUD11"/>
    <s v="O2R1"/>
    <s v="KSIPL"/>
    <n v="4.3478260869565223E-2"/>
    <n v="5197"/>
    <x v="54"/>
    <s v="Prop Valve C Status Fault"/>
    <m/>
    <d v="1899-12-30T00:00:00"/>
    <d v="1899-12-30T00:00:00"/>
    <d v="1899-12-30T21:40:00"/>
    <n v="0"/>
    <n v="21.666666666666671"/>
    <n v="21.666666666666671"/>
    <s v="Cables,Proportional Valve Changed"/>
    <s v="Close"/>
    <n v="0.94202898550724667"/>
    <m/>
    <m/>
    <m/>
  </r>
  <r>
    <n v="302"/>
    <n v="2024"/>
    <n v="2023"/>
    <s v="Year_1"/>
    <d v="2023-05-25T00:00:00"/>
    <s v="KUD13"/>
    <s v="O2R1"/>
    <s v="KSIPL"/>
    <n v="4.3478260869565223E-2"/>
    <n v="900"/>
    <x v="2"/>
    <s v="WTG stop for A-service"/>
    <m/>
    <d v="1899-12-30T10:09:00"/>
    <d v="1899-12-30T10:09:00"/>
    <d v="1899-12-30T17:50:00"/>
    <n v="0"/>
    <n v="7.6833333333333123"/>
    <n v="7.6833333333333123"/>
    <s v="A-service day-1 completed."/>
    <s v="Close"/>
    <n v="0.33405797101449186"/>
    <m/>
    <m/>
    <m/>
  </r>
  <r>
    <n v="303"/>
    <n v="2024"/>
    <n v="2023"/>
    <s v="Year_1"/>
    <d v="2023-05-25T00:00:00"/>
    <s v="KUD11"/>
    <s v="O2R1"/>
    <s v="KSIPL"/>
    <n v="4.3478260869565223E-2"/>
    <n v="5472"/>
    <x v="42"/>
    <s v="GeneratorBreakerUnexpectedFb"/>
    <m/>
    <d v="1899-12-30T23:46:00"/>
    <d v="1899-12-30T23:46:00"/>
    <d v="1899-12-30T23:59:00"/>
    <n v="0"/>
    <n v="0.21666666666667123"/>
    <n v="0.21666666666667123"/>
    <s v="After feeder restored the alarm was occurred so we checked ACB feedback connection upto controller found normal found that malfunction in ACB under voltage coil so we removed fixed again looped a cable to check the normal operation found ok so we restored the wtg."/>
    <s v="Close"/>
    <n v="9.4202898550726638E-3"/>
    <m/>
    <m/>
    <m/>
  </r>
  <r>
    <n v="304"/>
    <n v="2024"/>
    <n v="2023"/>
    <s v="Year_1"/>
    <d v="2023-05-26T00:00:00"/>
    <s v="KUD01"/>
    <s v="O2R1"/>
    <s v="KSIPL"/>
    <n v="4.3478260869565223E-2"/>
    <n v="315"/>
    <x v="61"/>
    <s v="ExEx low voltage L2:   1V"/>
    <m/>
    <d v="1899-12-30T03:40:00"/>
    <d v="1899-12-30T03:40:00"/>
    <d v="1899-12-30T03:49:00"/>
    <n v="0"/>
    <n v="0.14999999999999947"/>
    <n v="0.14999999999999947"/>
    <s v="After feeder charge SWG auto charged."/>
    <s v="Close"/>
    <n v="6.5217391304347606E-3"/>
    <m/>
    <m/>
    <m/>
  </r>
  <r>
    <n v="305"/>
    <n v="2024"/>
    <n v="2023"/>
    <s v="Year_1"/>
    <d v="2023-05-26T00:00:00"/>
    <s v="KUD10"/>
    <s v="O2R1"/>
    <s v="KSIPL"/>
    <n v="4.3478260869565223E-2"/>
    <n v="315"/>
    <x v="61"/>
    <s v="ExEx low voltage L2:   1V"/>
    <m/>
    <d v="1899-12-30T03:40:00"/>
    <d v="1899-12-30T03:40:00"/>
    <d v="1899-12-30T03:49:00"/>
    <n v="0"/>
    <n v="0.14999999999999947"/>
    <n v="0.14999999999999947"/>
    <s v="After feeder charge SWG auto charged."/>
    <s v="Close"/>
    <n v="6.5217391304347606E-3"/>
    <m/>
    <m/>
    <m/>
  </r>
  <r>
    <n v="306"/>
    <n v="2024"/>
    <n v="2023"/>
    <s v="Year_1"/>
    <d v="2023-05-26T00:00:00"/>
    <s v="KUD11"/>
    <s v="O2R1"/>
    <s v="KSIPL"/>
    <n v="4.3478260869565223E-2"/>
    <n v="315"/>
    <x v="61"/>
    <s v="ExEx low voltage L2:   1V"/>
    <m/>
    <d v="1899-12-30T03:40:00"/>
    <d v="1899-12-30T03:40:00"/>
    <d v="1899-12-30T03:53:00"/>
    <n v="0"/>
    <n v="0.21666666666667189"/>
    <n v="0.21666666666667189"/>
    <s v="After feeder charge SWG auto charged."/>
    <s v="Close"/>
    <n v="9.4202898550726916E-3"/>
    <m/>
    <m/>
    <m/>
  </r>
  <r>
    <n v="307"/>
    <n v="2024"/>
    <n v="2023"/>
    <s v="Year_1"/>
    <d v="2023-05-26T00:00:00"/>
    <s v="KUD11"/>
    <s v="O2R1"/>
    <s v="KSIPL"/>
    <n v="4.3478260869565223E-2"/>
    <n v="6293"/>
    <x v="33"/>
    <s v="Pitch valves test active"/>
    <m/>
    <d v="1899-12-30T03:53:00"/>
    <d v="1899-12-30T03:53:00"/>
    <d v="1899-12-30T04:01:00"/>
    <n v="0"/>
    <n v="0.13333333333331954"/>
    <n v="0.13333333333331954"/>
    <s v="Auto reset"/>
    <s v="Close"/>
    <n v="5.797101449274763E-3"/>
    <m/>
    <m/>
    <m/>
  </r>
  <r>
    <n v="308"/>
    <n v="2024"/>
    <n v="2023"/>
    <s v="Year_1"/>
    <d v="2023-05-26T00:00:00"/>
    <s v="KUD12"/>
    <s v="O2R1"/>
    <s v="KSIPL"/>
    <n v="4.3478260869565223E-2"/>
    <n v="315"/>
    <x v="61"/>
    <s v="ExEx low voltage L2:   1V"/>
    <m/>
    <d v="1899-12-30T03:40:00"/>
    <d v="1899-12-30T03:40:00"/>
    <d v="1899-12-30T03:50:00"/>
    <n v="0"/>
    <n v="0.16666666666665542"/>
    <n v="0.16666666666665542"/>
    <s v="After feeder charge SWG auto charged."/>
    <s v="Close"/>
    <n v="7.2463768115937147E-3"/>
    <m/>
    <m/>
    <m/>
  </r>
  <r>
    <n v="309"/>
    <n v="2024"/>
    <n v="2023"/>
    <s v="Year_1"/>
    <d v="2023-05-26T00:00:00"/>
    <s v="KUD13"/>
    <s v="O2R1"/>
    <s v="KSIPL"/>
    <n v="4.3478260869565223E-2"/>
    <n v="315"/>
    <x v="61"/>
    <s v="ExEx low voltage L2:   1V"/>
    <m/>
    <d v="1899-12-30T03:40:00"/>
    <d v="1899-12-30T03:40:00"/>
    <d v="1899-12-30T03:51:00"/>
    <n v="0"/>
    <n v="0.18333333333333601"/>
    <n v="0.18333333333333601"/>
    <s v="After feeder charge SWG auto charged."/>
    <s v="Close"/>
    <n v="7.9710144927537408E-3"/>
    <m/>
    <m/>
    <m/>
  </r>
  <r>
    <n v="310"/>
    <n v="2024"/>
    <n v="2023"/>
    <s v="Year_1"/>
    <d v="2023-05-26T00:00:00"/>
    <s v="KUD14"/>
    <s v="O2R1"/>
    <s v="KSIPL"/>
    <n v="4.3478260869565223E-2"/>
    <n v="315"/>
    <x v="61"/>
    <s v="ExEx low voltage L2:   1V"/>
    <m/>
    <d v="1899-12-30T03:40:00"/>
    <d v="1899-12-30T03:40:00"/>
    <d v="1899-12-30T05:46:00"/>
    <n v="0"/>
    <n v="2.0999999999999996"/>
    <n v="2.0999999999999996"/>
    <s v="After feeder charge SWG manually charged."/>
    <s v="Close"/>
    <n v="9.1304347826086957E-2"/>
    <m/>
    <m/>
    <m/>
  </r>
  <r>
    <n v="311"/>
    <n v="2024"/>
    <n v="2023"/>
    <s v="Year_1"/>
    <d v="2023-05-26T00:00:00"/>
    <s v="KUD15"/>
    <s v="O2R1"/>
    <s v="KSIPL"/>
    <n v="4.3478260869565223E-2"/>
    <n v="315"/>
    <x v="61"/>
    <s v="ExEx low voltage L2:   1V"/>
    <m/>
    <d v="1899-12-30T03:40:00"/>
    <d v="1899-12-30T03:40:00"/>
    <d v="1899-12-30T03:50:00"/>
    <n v="0"/>
    <n v="0.16666666666665542"/>
    <n v="0.16666666666665542"/>
    <s v="After feeder charge SWG auto charged."/>
    <s v="Close"/>
    <n v="7.2463768115937147E-3"/>
    <m/>
    <m/>
    <m/>
  </r>
  <r>
    <n v="312"/>
    <n v="2024"/>
    <n v="2023"/>
    <s v="Year_1"/>
    <d v="2023-05-26T00:00:00"/>
    <s v="KUD16"/>
    <s v="O2R2"/>
    <s v="SIL"/>
    <n v="4.3478260869565223E-2"/>
    <n v="4239"/>
    <x v="40"/>
    <s v="HVCB Unknown Trip Reason"/>
    <m/>
    <d v="1899-12-30T00:00:00"/>
    <d v="1899-12-30T00:00:00"/>
    <d v="1899-12-30T01:12:00"/>
    <n v="0"/>
    <n v="1.2000000000000002"/>
    <n v="1.2000000000000002"/>
    <s v="After feeder restored wtg under error manually resetted."/>
    <s v="Close"/>
    <n v="5.2173913043478279E-2"/>
    <m/>
    <m/>
    <m/>
  </r>
  <r>
    <n v="313"/>
    <n v="2024"/>
    <n v="2023"/>
    <s v="Year_1"/>
    <d v="2023-05-26T00:00:00"/>
    <s v="KUD17"/>
    <s v="O2R2"/>
    <s v="SIL"/>
    <n v="4.3478260869565223E-2"/>
    <n v="5472"/>
    <x v="42"/>
    <s v="GeneratorBreakerUnexpectedFb"/>
    <m/>
    <d v="1899-12-30T00:00:00"/>
    <d v="1899-12-30T00:30:00"/>
    <d v="1899-12-30T03:21:00"/>
    <n v="0.49999999999999922"/>
    <n v="2.849999999999993"/>
    <n v="3.3499999999999921"/>
    <s v="After feeder restored the alarm was occurred so we checked ACB feedback connection upto controller found normal found that malfunction in ACB under voltage coil so we removed fixed again looped a cable to check the normal operation found ok so we restored the wtg."/>
    <s v="Close"/>
    <n v="0.14565217391304316"/>
    <m/>
    <m/>
    <m/>
  </r>
  <r>
    <n v="314"/>
    <n v="2024"/>
    <n v="2023"/>
    <s v="Year_1"/>
    <d v="2023-05-26T00:00:00"/>
    <s v="KUD19"/>
    <s v="O2R1"/>
    <s v="KSIPL"/>
    <n v="4.3478260869565223E-2"/>
    <n v="315"/>
    <x v="61"/>
    <s v="ExEx low voltage L2:   1V"/>
    <m/>
    <d v="1899-12-30T03:40:00"/>
    <d v="1899-12-30T03:40:00"/>
    <d v="1899-12-30T03:50:00"/>
    <n v="0"/>
    <n v="0.16666666666665542"/>
    <n v="0.16666666666665542"/>
    <s v="After feeder charge SWG auto charged."/>
    <s v="Close"/>
    <n v="7.2463768115937147E-3"/>
    <m/>
    <m/>
    <m/>
  </r>
  <r>
    <n v="315"/>
    <n v="2024"/>
    <n v="2023"/>
    <s v="Year_1"/>
    <d v="2023-05-26T00:00:00"/>
    <s v="KUD20"/>
    <s v="O2R1"/>
    <s v="KSIPL"/>
    <n v="4.3478260869565223E-2"/>
    <n v="315"/>
    <x v="61"/>
    <s v="ExEx low voltage L2:   1V"/>
    <m/>
    <d v="1899-12-30T03:40:00"/>
    <d v="1899-12-30T04:30:00"/>
    <d v="1899-12-30T05:10:00"/>
    <n v="0.83333333333332771"/>
    <n v="0.66666666666667229"/>
    <n v="1.5"/>
    <s v="After feeder restored wtg under error manually charged."/>
    <s v="Close"/>
    <n v="6.5217391304347838E-2"/>
    <m/>
    <m/>
    <m/>
  </r>
  <r>
    <n v="316"/>
    <n v="2024"/>
    <n v="2023"/>
    <s v="Year_1"/>
    <d v="2023-05-26T00:00:00"/>
    <s v="KUD13"/>
    <s v="O2R1"/>
    <s v="KSIPL"/>
    <n v="4.3478260869565223E-2"/>
    <n v="900"/>
    <x v="2"/>
    <s v="WTG stop for A-service"/>
    <m/>
    <d v="1899-12-30T09:50:00"/>
    <d v="1899-12-30T09:50:00"/>
    <d v="1899-12-30T13:14:00"/>
    <n v="0"/>
    <n v="3.4000000000000092"/>
    <n v="3.4000000000000092"/>
    <s v="A-service day-2 completed."/>
    <s v="Close"/>
    <n v="0.14782608695652216"/>
    <m/>
    <m/>
    <m/>
  </r>
  <r>
    <n v="317"/>
    <n v="2024"/>
    <n v="2023"/>
    <s v="Year_1"/>
    <d v="2023-05-27T00:00:00"/>
    <s v="KUD13"/>
    <s v="O2R1"/>
    <s v="KSIPL"/>
    <n v="4.3478260869565223E-2"/>
    <n v="900"/>
    <x v="2"/>
    <s v="WTG stop for A-service"/>
    <m/>
    <d v="1899-12-30T09:18:00"/>
    <d v="1899-12-30T09:18:00"/>
    <d v="1899-12-30T16:50:00"/>
    <n v="0"/>
    <n v="7.533333333333335"/>
    <n v="7.533333333333335"/>
    <s v="A-service day-3 completed."/>
    <s v="Close"/>
    <n v="0.32753623188405806"/>
    <m/>
    <m/>
    <m/>
  </r>
  <r>
    <n v="318"/>
    <n v="2024"/>
    <n v="2023"/>
    <s v="Year_1"/>
    <d v="2023-05-27T00:00:00"/>
    <s v="KUD16"/>
    <s v="O2R2"/>
    <s v="SIL"/>
    <n v="4.3478260869565223E-2"/>
    <n v="3551"/>
    <x v="62"/>
    <s v="GearOilInletPressLow 3.4 bar"/>
    <m/>
    <d v="1899-12-30T22:44:00"/>
    <d v="1899-12-30T22:44:00"/>
    <d v="1899-12-31T00:00:00"/>
    <n v="0"/>
    <n v="1.2666666666666728"/>
    <n v="1.2666666666666728"/>
    <s v="Troubleshooting works is on."/>
    <s v="Open"/>
    <n v="5.5072463768116219E-2"/>
    <m/>
    <m/>
    <m/>
  </r>
  <r>
    <n v="319"/>
    <n v="2024"/>
    <n v="2023"/>
    <s v="Year_1"/>
    <d v="2023-05-28T00:00:00"/>
    <s v="KUD16"/>
    <s v="O2R2"/>
    <s v="SIL"/>
    <n v="4.3478260869565223E-2"/>
    <n v="132"/>
    <x v="63"/>
    <s v="Leak current 2004A"/>
    <m/>
    <d v="1899-12-30T00:00:00"/>
    <d v="1899-12-30T00:00:00"/>
    <d v="1899-12-30T11:57:00"/>
    <n v="0"/>
    <n v="11.950000000000008"/>
    <n v="11.950000000000008"/>
    <s v="Alarm occurred a normal operation time so we checked connection between Breaker connection to controller feedback, CT connections CT &amp; Tru card observed that cables &amp; CT are ok condition and the malfuntion was observed in VPC module was so we replaced &amp; restored the wtg."/>
    <s v="Close"/>
    <n v="0.51956521739130479"/>
    <m/>
    <m/>
    <m/>
  </r>
  <r>
    <n v="320"/>
    <n v="2024"/>
    <n v="2023"/>
    <s v="Year_1"/>
    <d v="2023-05-28T00:00:00"/>
    <s v="KUD16"/>
    <s v="O2R2"/>
    <s v="SIL"/>
    <n v="4.3478260869565223E-2"/>
    <n v="3298"/>
    <x v="47"/>
    <s v="Yaw To Cable Twist Reset"/>
    <m/>
    <d v="1899-12-30T12:11:00"/>
    <d v="1899-12-30T12:11:00"/>
    <d v="1899-12-30T12:47:00"/>
    <n v="0"/>
    <n v="0.60000000000000053"/>
    <n v="0.60000000000000053"/>
    <s v="Auto reset"/>
    <s v="Close"/>
    <n v="2.6086956521739157E-2"/>
    <m/>
    <m/>
    <m/>
  </r>
  <r>
    <n v="321"/>
    <n v="2024"/>
    <n v="2023"/>
    <s v="Year_1"/>
    <d v="2023-05-29T00:00:00"/>
    <s v="KUD10"/>
    <s v="O2R1"/>
    <s v="KSIPL"/>
    <n v="4.3478260869565223E-2"/>
    <n v="3273"/>
    <x v="48"/>
    <s v="YawUntwistCCW: Code 6,    540Â°"/>
    <m/>
    <d v="1899-12-30T03:15:00"/>
    <d v="1899-12-30T03:15:00"/>
    <d v="1899-12-30T03:36:00"/>
    <n v="0"/>
    <n v="0.3499999999999921"/>
    <n v="0.3499999999999921"/>
    <s v="Auto reset"/>
    <s v="Close"/>
    <n v="1.5217391304347485E-2"/>
    <m/>
    <m/>
    <m/>
  </r>
  <r>
    <n v="322"/>
    <n v="2024"/>
    <n v="2023"/>
    <s v="Year_1"/>
    <d v="2023-05-29T00:00:00"/>
    <s v="KUD10"/>
    <s v="O2R1"/>
    <s v="KSIPL"/>
    <n v="4.3478260869565223E-2"/>
    <n v="900"/>
    <x v="2"/>
    <s v="Manual stop"/>
    <m/>
    <d v="1899-12-30T12:17:00"/>
    <d v="1899-12-30T12:17:00"/>
    <d v="1899-12-30T18:01:00"/>
    <n v="0"/>
    <n v="5.733333333333313"/>
    <n v="5.733333333333313"/>
    <s v="Paused for Generator alighnment work."/>
    <s v="Close"/>
    <n v="0.24927536231883973"/>
    <m/>
    <m/>
    <m/>
  </r>
  <r>
    <n v="323"/>
    <n v="2024"/>
    <n v="2023"/>
    <s v="Year_1"/>
    <d v="2023-05-30T00:00:00"/>
    <s v="KUD01"/>
    <s v="O2R1"/>
    <s v="KSIPL"/>
    <n v="4.3478260869565223E-2"/>
    <n v="3273"/>
    <x v="64"/>
    <s v="YawUntwistCCW: Code 6,    547Â°"/>
    <m/>
    <d v="1899-12-30T17:31:00"/>
    <d v="1899-12-30T17:31:00"/>
    <d v="1899-12-30T17:54:00"/>
    <n v="0"/>
    <n v="0.38333333333332931"/>
    <n v="0.38333333333332931"/>
    <s v="Auto reset"/>
    <s v="Close"/>
    <n v="1.6666666666666493E-2"/>
    <m/>
    <m/>
    <m/>
  </r>
  <r>
    <n v="324"/>
    <n v="2024"/>
    <n v="2023"/>
    <s v="Year_1"/>
    <d v="2023-05-30T00:00:00"/>
    <s v="KUD10"/>
    <s v="O2R1"/>
    <s v="KSIPL"/>
    <n v="4.3478260869565223E-2"/>
    <n v="3273"/>
    <x v="57"/>
    <s v="YawUntwistCCW: Code 6,    546Â°"/>
    <m/>
    <d v="1899-12-30T02:14:00"/>
    <d v="1899-12-30T02:14:00"/>
    <d v="1899-12-30T02:36:00"/>
    <n v="0"/>
    <n v="0.3666666666666577"/>
    <n v="0.3666666666666577"/>
    <s v="Auto reset"/>
    <s v="Close"/>
    <n v="1.5942028985506857E-2"/>
    <m/>
    <m/>
    <m/>
  </r>
  <r>
    <n v="325"/>
    <n v="2024"/>
    <n v="2023"/>
    <s v="Year_1"/>
    <d v="2023-05-30T00:00:00"/>
    <s v="KUD11"/>
    <s v="O2R1"/>
    <s v="KSIPL"/>
    <n v="4.3478260869565223E-2"/>
    <n v="3273"/>
    <x v="48"/>
    <s v="YawUntwistCCW: Code 6,    540Â°"/>
    <m/>
    <d v="1899-12-30T01:51:00"/>
    <d v="1899-12-30T01:51:00"/>
    <d v="1899-12-30T02:21:00"/>
    <n v="0"/>
    <n v="0.50000000000000155"/>
    <n v="0.50000000000000155"/>
    <s v="Auto reset"/>
    <s v="Close"/>
    <n v="2.1739130434782677E-2"/>
    <m/>
    <m/>
    <m/>
  </r>
  <r>
    <n v="326"/>
    <n v="2024"/>
    <n v="2023"/>
    <s v="Year_1"/>
    <d v="2023-05-30T00:00:00"/>
    <s v="KUD11"/>
    <s v="O2R1"/>
    <s v="KSIPL"/>
    <n v="4.3478260869565223E-2"/>
    <n v="3273"/>
    <x v="48"/>
    <s v="YawUntwistCCW: Code 6,    540Â°"/>
    <m/>
    <d v="1899-12-30T09:41:00"/>
    <d v="1899-12-30T09:41:00"/>
    <d v="1899-12-30T10:06:00"/>
    <n v="0"/>
    <n v="0.41666666666666385"/>
    <n v="0.41666666666666385"/>
    <s v="Auto reset"/>
    <s v="Close"/>
    <n v="1.8115942028985386E-2"/>
    <m/>
    <m/>
    <m/>
  </r>
  <r>
    <n v="327"/>
    <n v="2024"/>
    <n v="2023"/>
    <s v="Year_1"/>
    <d v="2023-05-30T00:00:00"/>
    <s v="KUD20"/>
    <s v="O2R1"/>
    <s v="KSIPL"/>
    <n v="4.3478260869565223E-2"/>
    <n v="3273"/>
    <x v="48"/>
    <s v="YawUntwistCCW: Code 6,    540Â°"/>
    <m/>
    <d v="1899-12-30T01:52:00"/>
    <d v="1899-12-30T01:52:00"/>
    <d v="1899-12-30T02:19:00"/>
    <n v="0"/>
    <n v="0.44999999999999973"/>
    <n v="0.44999999999999973"/>
    <s v="Auto reset"/>
    <s v="Close"/>
    <n v="1.9565217391304339E-2"/>
    <m/>
    <m/>
    <m/>
  </r>
  <r>
    <n v="328"/>
    <n v="2024"/>
    <n v="2023"/>
    <s v="Year_1"/>
    <d v="2023-05-30T00:00:00"/>
    <s v="KUD20"/>
    <s v="O2R1"/>
    <s v="KSIPL"/>
    <n v="4.3478260869565223E-2"/>
    <n v="3273"/>
    <x v="48"/>
    <s v="YawUntwistCCW: Code 6,    540Â°"/>
    <m/>
    <d v="1899-12-30T15:05:00"/>
    <d v="1899-12-30T15:05:00"/>
    <d v="1899-12-30T15:30:00"/>
    <n v="0"/>
    <n v="0.41666666666666519"/>
    <n v="0.41666666666666519"/>
    <s v="Auto reset"/>
    <s v="Close"/>
    <n v="1.8115942028985445E-2"/>
    <m/>
    <m/>
    <m/>
  </r>
  <r>
    <n v="329"/>
    <n v="2024"/>
    <n v="2023"/>
    <s v="Year_1"/>
    <d v="2023-05-30T00:00:00"/>
    <s v="KUD19"/>
    <s v="O2R1"/>
    <s v="KSIPL"/>
    <n v="4.3478260869565223E-2"/>
    <n v="900"/>
    <x v="2"/>
    <s v="Manual stop"/>
    <m/>
    <d v="1899-12-30T10:15:00"/>
    <d v="1899-12-30T10:15:00"/>
    <d v="1899-12-30T17:36:00"/>
    <n v="0"/>
    <n v="7.35"/>
    <n v="7.35"/>
    <s v="A-service day-1 completed."/>
    <s v="Close"/>
    <n v="0.31956521739130439"/>
    <m/>
    <m/>
    <m/>
  </r>
  <r>
    <n v="330"/>
    <n v="2024"/>
    <n v="2023"/>
    <s v="Year_1"/>
    <d v="2023-05-31T00:00:00"/>
    <s v="KUD01"/>
    <s v="O2R1"/>
    <s v="KSIPL"/>
    <n v="4.3478260869565223E-2"/>
    <n v="3273"/>
    <x v="48"/>
    <s v="YawUntwistCCW: Code 6,    540Â°"/>
    <m/>
    <d v="1899-12-30T22:03:00"/>
    <d v="1899-12-30T22:03:00"/>
    <d v="1899-12-30T22:26:00"/>
    <n v="0"/>
    <n v="0.38333333333332931"/>
    <n v="0.38333333333332931"/>
    <s v="Auto reset"/>
    <s v="Close"/>
    <n v="1.6666666666666493E-2"/>
    <m/>
    <m/>
    <m/>
  </r>
  <r>
    <n v="331"/>
    <n v="2024"/>
    <n v="2023"/>
    <s v="Year_1"/>
    <d v="2023-05-31T00:00:00"/>
    <s v="KUD03"/>
    <s v="O2R1"/>
    <s v="KSIPL"/>
    <n v="4.3478260869565223E-2"/>
    <n v="3273"/>
    <x v="65"/>
    <s v="YawUntwistCCW: Code 5,    540Â°"/>
    <m/>
    <d v="1899-12-30T19:22:00"/>
    <d v="1899-12-30T19:22:00"/>
    <d v="1899-12-30T19:49:00"/>
    <n v="0"/>
    <n v="0.4499999999999984"/>
    <n v="0.4499999999999984"/>
    <s v="Auto reset"/>
    <s v="Close"/>
    <n v="1.956521739130428E-2"/>
    <m/>
    <m/>
    <m/>
  </r>
  <r>
    <n v="332"/>
    <n v="2024"/>
    <n v="2023"/>
    <s v="Year_1"/>
    <d v="2023-05-31T00:00:00"/>
    <s v="KUD10"/>
    <s v="O2R1"/>
    <s v="KSIPL"/>
    <n v="4.3478260869565223E-2"/>
    <n v="3273"/>
    <x v="66"/>
    <s v="YawUntwistCCW: Code 6,    626Â°"/>
    <m/>
    <d v="1899-12-30T19:16:00"/>
    <d v="1899-12-30T19:16:00"/>
    <d v="1899-12-30T19:42:00"/>
    <n v="0"/>
    <n v="0.43333333333331847"/>
    <n v="0.43333333333331847"/>
    <s v="Auto reset"/>
    <s v="Close"/>
    <n v="1.8840579710144283E-2"/>
    <m/>
    <m/>
    <m/>
  </r>
  <r>
    <n v="333"/>
    <n v="2024"/>
    <n v="2023"/>
    <s v="Year_1"/>
    <d v="2023-05-31T00:00:00"/>
    <s v="KUD14"/>
    <s v="O2R1"/>
    <s v="KSIPL"/>
    <n v="4.3478260869565223E-2"/>
    <n v="3273"/>
    <x v="67"/>
    <s v="YawUntwistCCW: Code 6,    717Â°"/>
    <m/>
    <d v="1899-12-30T22:02:00"/>
    <d v="1899-12-30T22:02:00"/>
    <d v="1899-12-30T22:35:00"/>
    <n v="0"/>
    <n v="0.54999999999998472"/>
    <n v="0.54999999999998472"/>
    <s v="Auto reset"/>
    <s v="Close"/>
    <n v="2.3913043478260208E-2"/>
    <m/>
    <m/>
    <m/>
  </r>
  <r>
    <n v="334"/>
    <n v="2024"/>
    <n v="2023"/>
    <s v="Year_1"/>
    <d v="2023-05-31T00:00:00"/>
    <s v="KUD15"/>
    <s v="O2R1"/>
    <s v="KSIPL"/>
    <n v="4.3478260869565223E-2"/>
    <n v="3273"/>
    <x v="68"/>
    <s v="YawUntwistCCW: Code 7,    112Â°"/>
    <m/>
    <d v="1899-12-30T19:42:00"/>
    <d v="1899-12-30T19:42:00"/>
    <d v="1899-12-30T20:27:00"/>
    <n v="0"/>
    <n v="0.75"/>
    <n v="0.75"/>
    <s v="Auto reset"/>
    <s v="Close"/>
    <n v="3.2608695652173919E-2"/>
    <m/>
    <m/>
    <m/>
  </r>
  <r>
    <n v="335"/>
    <n v="2024"/>
    <n v="2023"/>
    <s v="Year_1"/>
    <d v="2023-05-31T00:00:00"/>
    <s v="KUD19"/>
    <s v="O2R1"/>
    <s v="KSIPL"/>
    <n v="4.3478260869565223E-2"/>
    <n v="900"/>
    <x v="2"/>
    <s v="Manual stop"/>
    <m/>
    <d v="1899-12-30T10:37:00"/>
    <d v="1899-12-30T10:37:00"/>
    <d v="1899-12-30T17:49:00"/>
    <n v="0"/>
    <n v="7.2000000000000011"/>
    <n v="7.2000000000000011"/>
    <s v="A-service day-2 completed."/>
    <s v="Close"/>
    <n v="0.31304347826086965"/>
    <m/>
    <m/>
    <m/>
  </r>
  <r>
    <n v="336"/>
    <n v="2024"/>
    <n v="2023"/>
    <s v="Year_1"/>
    <d v="2023-05-31T00:00:00"/>
    <s v="KUD19"/>
    <s v="O2R1"/>
    <s v="KSIPL"/>
    <n v="4.3478260869565223E-2"/>
    <n v="3273"/>
    <x v="69"/>
    <s v="YawUntwistCCW: Code 6,    619Â°"/>
    <m/>
    <d v="1899-12-30T19:18:00"/>
    <d v="1899-12-30T19:18:00"/>
    <d v="1899-12-30T19:46:00"/>
    <n v="0"/>
    <n v="0.46666666666665435"/>
    <n v="0.46666666666665435"/>
    <s v="Auto reset"/>
    <s v="Close"/>
    <n v="2.0289855072463236E-2"/>
    <m/>
    <m/>
    <m/>
  </r>
  <r>
    <n v="337"/>
    <n v="2024"/>
    <n v="2023"/>
    <s v="Year_1"/>
    <d v="2023-06-01T00:00:00"/>
    <s v="KUD01"/>
    <s v="O2R1"/>
    <s v="KSIPL"/>
    <n v="4.3478260869565223E-2"/>
    <n v="315"/>
    <x v="61"/>
    <s v="ExEx low voltage L2:   1V"/>
    <m/>
    <d v="1899-12-30T01:12:00"/>
    <d v="1899-12-30T01:12:00"/>
    <d v="1899-12-30T01:24:00"/>
    <n v="0"/>
    <n v="0.19999999999999912"/>
    <n v="0.19999999999999912"/>
    <s v="After Grid resumed SWG auto charged."/>
    <s v="Close"/>
    <n v="8.6956521739130072E-3"/>
    <m/>
    <m/>
    <m/>
  </r>
  <r>
    <n v="338"/>
    <n v="2024"/>
    <n v="2023"/>
    <s v="Year_1"/>
    <d v="2023-06-01T00:00:00"/>
    <s v="KUD03"/>
    <s v="O2R1"/>
    <s v="KSIPL"/>
    <n v="4.3478260869565223E-2"/>
    <n v="315"/>
    <x v="61"/>
    <s v="ExEx low voltage L2:   1V"/>
    <m/>
    <d v="1899-12-30T01:12:00"/>
    <d v="1899-12-30T01:12:00"/>
    <d v="1899-12-30T01:23:00"/>
    <n v="0"/>
    <n v="0.18333333333333351"/>
    <n v="0.18333333333333351"/>
    <s v="After Grid resumed SWG auto charged."/>
    <s v="Close"/>
    <n v="7.9710144927536315E-3"/>
    <m/>
    <m/>
    <m/>
  </r>
  <r>
    <n v="339"/>
    <n v="2024"/>
    <n v="2023"/>
    <s v="Year_1"/>
    <d v="2023-06-01T00:00:00"/>
    <s v="KUD10"/>
    <s v="O2R1"/>
    <s v="KSIPL"/>
    <n v="4.3478260869565223E-2"/>
    <n v="315"/>
    <x v="61"/>
    <s v="ExEx low voltage L2:   1V"/>
    <m/>
    <d v="1899-12-30T01:12:00"/>
    <d v="1899-12-30T01:12:00"/>
    <d v="1899-12-30T01:23:00"/>
    <n v="0"/>
    <n v="0.18333333333333351"/>
    <n v="0.18333333333333351"/>
    <s v="After Grid resumed SWG auto charged."/>
    <s v="Close"/>
    <n v="7.9710144927536315E-3"/>
    <m/>
    <m/>
    <m/>
  </r>
  <r>
    <n v="340"/>
    <n v="2024"/>
    <n v="2023"/>
    <s v="Year_1"/>
    <d v="2023-06-01T00:00:00"/>
    <s v="KUD13"/>
    <s v="O2R1"/>
    <s v="KSIPL"/>
    <n v="4.3478260869565223E-2"/>
    <n v="315"/>
    <x v="61"/>
    <s v="ExEx low voltage L2:   1V"/>
    <m/>
    <d v="1899-12-30T01:12:00"/>
    <d v="1899-12-30T01:12:00"/>
    <d v="1899-12-30T01:23:00"/>
    <n v="0"/>
    <n v="0.18333333333333351"/>
    <n v="0.18333333333333351"/>
    <s v="After Grid resumed SWG auto charged."/>
    <s v="Close"/>
    <n v="7.9710144927536315E-3"/>
    <m/>
    <m/>
    <m/>
  </r>
  <r>
    <n v="341"/>
    <n v="2024"/>
    <n v="2023"/>
    <s v="Year_1"/>
    <d v="2023-06-01T00:00:00"/>
    <s v="KUD15"/>
    <s v="O2R1"/>
    <s v="KSIPL"/>
    <n v="4.3478260869565223E-2"/>
    <n v="315"/>
    <x v="61"/>
    <s v="ExEx low voltage L2:   1V"/>
    <m/>
    <d v="1899-12-30T01:12:00"/>
    <d v="1899-12-30T01:12:00"/>
    <d v="1899-12-30T01:25:00"/>
    <n v="0"/>
    <n v="0.21666666666666706"/>
    <n v="0.21666666666666706"/>
    <s v="After Grid resumed SWG auto charged."/>
    <s v="Close"/>
    <n v="9.4202898550724817E-3"/>
    <m/>
    <m/>
    <m/>
  </r>
  <r>
    <n v="342"/>
    <n v="2024"/>
    <n v="2023"/>
    <s v="Year_1"/>
    <d v="2023-06-01T00:00:00"/>
    <s v="KUD16"/>
    <s v="O2R2"/>
    <s v="SIL"/>
    <n v="4.3478260869565223E-2"/>
    <n v="707"/>
    <x v="70"/>
    <s v="Ch hardware error C0"/>
    <m/>
    <d v="1899-12-30T01:12:00"/>
    <d v="1899-12-30T01:12:00"/>
    <d v="1899-12-30T04:32:00"/>
    <n v="0"/>
    <n v="3.3333333333333361"/>
    <n v="3.3333333333333361"/>
    <s v="After Grid resumed UPS battery low condition so we replaced and restored the wtg."/>
    <s v="Close"/>
    <n v="0.1449275362318842"/>
    <m/>
    <m/>
    <m/>
  </r>
  <r>
    <n v="343"/>
    <n v="2024"/>
    <n v="2023"/>
    <s v="Year_1"/>
    <d v="2023-06-01T00:00:00"/>
    <s v="KUD17"/>
    <s v="O2R2"/>
    <s v="SIL"/>
    <n v="4.3478260869565223E-2"/>
    <n v="315"/>
    <x v="61"/>
    <s v="ExEx low voltage L2:   1V"/>
    <m/>
    <d v="1899-12-30T01:12:00"/>
    <d v="1899-12-30T01:12:00"/>
    <d v="1899-12-30T01:23:00"/>
    <n v="0"/>
    <n v="0.18333333333333351"/>
    <n v="0.18333333333333351"/>
    <s v="After Grid resumed SWG auto charged."/>
    <s v="Close"/>
    <n v="7.9710144927536315E-3"/>
    <m/>
    <m/>
    <m/>
  </r>
  <r>
    <n v="344"/>
    <n v="2024"/>
    <n v="2023"/>
    <s v="Year_1"/>
    <d v="2023-06-01T00:00:00"/>
    <s v="KUD20"/>
    <s v="O2R1"/>
    <s v="KSIPL"/>
    <n v="4.3478260869565223E-2"/>
    <n v="336"/>
    <x v="71"/>
    <s v="Ext. High cur. Grid inv. L1"/>
    <m/>
    <d v="1899-12-30T01:12:00"/>
    <d v="1899-12-30T01:12:00"/>
    <d v="1899-12-30T02:44:00"/>
    <n v="0"/>
    <n v="1.5333333333333359"/>
    <n v="1.5333333333333359"/>
    <s v="After Grid resumed UPS was off so we charged the ups and restored the wtg."/>
    <s v="Close"/>
    <n v="6.6666666666666791E-2"/>
    <m/>
    <m/>
    <m/>
  </r>
  <r>
    <n v="345"/>
    <n v="2024"/>
    <n v="2023"/>
    <s v="Year_1"/>
    <d v="2023-06-01T00:00:00"/>
    <s v="KUD01"/>
    <s v="O2R1"/>
    <s v="KSIPL"/>
    <n v="4.3478260869565223E-2"/>
    <n v="315"/>
    <x v="72"/>
    <s v="ExEx low voltage L3:   1V"/>
    <m/>
    <d v="1899-12-30T17:00:00"/>
    <d v="1899-12-30T17:00:00"/>
    <d v="1899-12-30T17:09:00"/>
    <n v="0"/>
    <n v="0.14999999999999947"/>
    <n v="0.14999999999999947"/>
    <s v="After Grid resumed SWG auto charged."/>
    <s v="Close"/>
    <n v="6.5217391304347606E-3"/>
    <m/>
    <m/>
    <m/>
  </r>
  <r>
    <n v="346"/>
    <n v="2024"/>
    <n v="2023"/>
    <s v="Year_1"/>
    <d v="2023-06-01T00:00:00"/>
    <s v="KUD03"/>
    <s v="O2R1"/>
    <s v="KSIPL"/>
    <n v="4.3478260869565223E-2"/>
    <n v="315"/>
    <x v="72"/>
    <s v="ExEx low voltage L3:   1V"/>
    <m/>
    <d v="1899-12-30T17:00:00"/>
    <d v="1899-12-30T17:00:00"/>
    <d v="1899-12-30T17:09:00"/>
    <n v="0"/>
    <n v="0.14999999999999947"/>
    <n v="0.14999999999999947"/>
    <s v="After Grid resumed SWG auto charged."/>
    <s v="Close"/>
    <n v="6.5217391304347606E-3"/>
    <m/>
    <m/>
    <m/>
  </r>
  <r>
    <n v="347"/>
    <n v="2024"/>
    <n v="2023"/>
    <s v="Year_1"/>
    <d v="2023-06-01T00:00:00"/>
    <s v="KUD10"/>
    <s v="O2R1"/>
    <s v="KSIPL"/>
    <n v="4.3478260869565223E-2"/>
    <n v="315"/>
    <x v="72"/>
    <s v="ExEx low voltage L3:   1V"/>
    <m/>
    <d v="1899-12-30T17:00:00"/>
    <d v="1899-12-30T17:00:00"/>
    <d v="1899-12-30T17:09:00"/>
    <n v="0"/>
    <n v="0.14999999999999947"/>
    <n v="0.14999999999999947"/>
    <s v="After Grid resumed SWG auto charged."/>
    <s v="Close"/>
    <n v="6.5217391304347606E-3"/>
    <m/>
    <m/>
    <m/>
  </r>
  <r>
    <n v="348"/>
    <n v="2024"/>
    <n v="2023"/>
    <s v="Year_1"/>
    <d v="2023-06-01T00:00:00"/>
    <s v="KUD11"/>
    <s v="O2R1"/>
    <s v="KSIPL"/>
    <n v="4.3478260869565223E-2"/>
    <n v="315"/>
    <x v="72"/>
    <s v="ExEx low voltage L3:   1V"/>
    <m/>
    <d v="1899-12-30T17:00:00"/>
    <d v="1899-12-30T17:00:00"/>
    <d v="1899-12-30T17:09:00"/>
    <n v="0"/>
    <n v="0.14999999999999947"/>
    <n v="0.14999999999999947"/>
    <s v="After Grid resumed SWG auto charged."/>
    <s v="Close"/>
    <n v="6.5217391304347606E-3"/>
    <m/>
    <m/>
    <m/>
  </r>
  <r>
    <n v="349"/>
    <n v="2024"/>
    <n v="2023"/>
    <s v="Year_1"/>
    <d v="2023-06-01T00:00:00"/>
    <s v="KUD11"/>
    <s v="O2R1"/>
    <s v="KSIPL"/>
    <n v="4.3478260869565223E-2"/>
    <n v="3298"/>
    <x v="47"/>
    <s v="Yaw To Cable Twist Reset"/>
    <m/>
    <d v="1899-12-30T17:09:00"/>
    <d v="1899-12-30T17:09:00"/>
    <d v="1899-12-30T17:34:00"/>
    <n v="0"/>
    <n v="0.41666666666666252"/>
    <n v="0.41666666666666252"/>
    <s v="Auto reset"/>
    <s v="Close"/>
    <n v="1.8115942028985331E-2"/>
    <m/>
    <m/>
    <m/>
  </r>
  <r>
    <n v="350"/>
    <n v="2024"/>
    <n v="2023"/>
    <s v="Year_1"/>
    <d v="2023-06-01T00:00:00"/>
    <s v="KUD12"/>
    <s v="O2R1"/>
    <s v="KSIPL"/>
    <n v="4.3478260869565223E-2"/>
    <n v="315"/>
    <x v="72"/>
    <s v="ExEx low voltage L3:   1V"/>
    <m/>
    <d v="1899-12-30T17:00:00"/>
    <d v="1899-12-30T17:00:00"/>
    <d v="1899-12-30T17:11:00"/>
    <n v="0"/>
    <n v="0.18333333333333535"/>
    <n v="0.18333333333333535"/>
    <s v="After Grid resumed SWG auto charged."/>
    <s v="Close"/>
    <n v="7.9710144927537113E-3"/>
    <m/>
    <m/>
    <m/>
  </r>
  <r>
    <n v="351"/>
    <n v="2024"/>
    <n v="2023"/>
    <s v="Year_1"/>
    <d v="2023-06-01T00:00:00"/>
    <s v="KUD13"/>
    <s v="O2R1"/>
    <s v="KSIPL"/>
    <n v="4.3478260869565223E-2"/>
    <n v="315"/>
    <x v="72"/>
    <s v="ExEx low voltage L3:   1V"/>
    <m/>
    <d v="1899-12-30T17:00:00"/>
    <d v="1899-12-30T17:00:00"/>
    <d v="1899-12-30T17:09:00"/>
    <n v="0"/>
    <n v="0.14999999999999947"/>
    <n v="0.14999999999999947"/>
    <s v="After Grid resumed SWG auto charged."/>
    <s v="Close"/>
    <n v="6.5217391304347606E-3"/>
    <m/>
    <m/>
    <m/>
  </r>
  <r>
    <n v="352"/>
    <n v="2024"/>
    <n v="2023"/>
    <s v="Year_1"/>
    <d v="2023-06-01T00:00:00"/>
    <s v="KUD14"/>
    <s v="O2R1"/>
    <s v="KSIPL"/>
    <n v="4.3478260869565223E-2"/>
    <n v="315"/>
    <x v="72"/>
    <s v="ExEx low voltage L3:   1V"/>
    <m/>
    <d v="1899-12-30T17:00:00"/>
    <d v="1899-12-30T17:00:00"/>
    <d v="1899-12-30T17:12:00"/>
    <n v="0"/>
    <n v="0.20000000000001528"/>
    <n v="0.20000000000001528"/>
    <s v="After Grid resumed SWG auto charged."/>
    <s v="Close"/>
    <n v="8.695652173913708E-3"/>
    <m/>
    <m/>
    <m/>
  </r>
  <r>
    <n v="353"/>
    <n v="2024"/>
    <n v="2023"/>
    <s v="Year_1"/>
    <d v="2023-06-01T00:00:00"/>
    <s v="KUD15"/>
    <s v="O2R1"/>
    <s v="KSIPL"/>
    <n v="4.3478260869565223E-2"/>
    <n v="315"/>
    <x v="72"/>
    <s v="ExEx low voltage L3:   1V"/>
    <m/>
    <d v="1899-12-30T17:00:00"/>
    <d v="1899-12-30T17:00:00"/>
    <d v="1899-12-30T17:10:00"/>
    <n v="0"/>
    <n v="0.1666666666666794"/>
    <n v="0.1666666666666794"/>
    <s v="After Grid resumed SWG auto charged."/>
    <s v="Close"/>
    <n v="7.2463768115947572E-3"/>
    <m/>
    <m/>
    <m/>
  </r>
  <r>
    <n v="354"/>
    <n v="2024"/>
    <n v="2023"/>
    <s v="Year_1"/>
    <d v="2023-06-01T00:00:00"/>
    <s v="KUD16"/>
    <s v="O2R2"/>
    <s v="SIL"/>
    <n v="4.3478260869565223E-2"/>
    <n v="315"/>
    <x v="72"/>
    <s v="ExEx low voltage L3:   1V"/>
    <m/>
    <d v="1899-12-30T17:00:00"/>
    <d v="1899-12-30T17:00:00"/>
    <d v="1899-12-30T17:11:00"/>
    <n v="0"/>
    <n v="0.18333333333333535"/>
    <n v="0.18333333333333535"/>
    <s v="After Grid resumed SWG auto charged."/>
    <s v="Close"/>
    <n v="7.9710144927537113E-3"/>
    <m/>
    <m/>
    <m/>
  </r>
  <r>
    <n v="355"/>
    <n v="2024"/>
    <n v="2023"/>
    <s v="Year_1"/>
    <d v="2023-06-01T00:00:00"/>
    <s v="KUD16"/>
    <s v="O2R2"/>
    <s v="SIL"/>
    <n v="4.3478260869565223E-2"/>
    <n v="6293"/>
    <x v="33"/>
    <s v="Pitch valves test active"/>
    <m/>
    <d v="1899-12-30T17:11:00"/>
    <d v="1899-12-30T17:11:00"/>
    <d v="1899-12-30T17:20:00"/>
    <n v="0"/>
    <n v="0.14999999999999947"/>
    <n v="0.14999999999999947"/>
    <s v="Auto reset"/>
    <s v="Close"/>
    <n v="6.5217391304347606E-3"/>
    <m/>
    <m/>
    <m/>
  </r>
  <r>
    <n v="356"/>
    <n v="2024"/>
    <n v="2023"/>
    <s v="Year_1"/>
    <d v="2023-06-01T00:00:00"/>
    <s v="KUD17"/>
    <s v="O2R2"/>
    <s v="SIL"/>
    <n v="4.3478260869565223E-2"/>
    <n v="315"/>
    <x v="72"/>
    <s v="ExEx low voltage L3:   1V"/>
    <m/>
    <d v="1899-12-30T17:00:00"/>
    <d v="1899-12-30T17:00:00"/>
    <d v="1899-12-30T17:10:00"/>
    <n v="0"/>
    <n v="0.1666666666666794"/>
    <n v="0.1666666666666794"/>
    <s v="After Grid resumed SWG auto charged."/>
    <s v="Close"/>
    <n v="7.2463768115947572E-3"/>
    <m/>
    <m/>
    <m/>
  </r>
  <r>
    <n v="357"/>
    <n v="2024"/>
    <n v="2023"/>
    <s v="Year_1"/>
    <d v="2023-06-01T00:00:00"/>
    <s v="KUD19"/>
    <s v="O2R1"/>
    <s v="KSIPL"/>
    <n v="4.3478260869565223E-2"/>
    <n v="315"/>
    <x v="72"/>
    <s v="ExEx low voltage L3:   1V"/>
    <m/>
    <d v="1899-12-30T17:00:00"/>
    <d v="1899-12-30T17:00:00"/>
    <d v="1899-12-30T17:10:00"/>
    <n v="0"/>
    <n v="0.1666666666666794"/>
    <n v="0.1666666666666794"/>
    <s v="After Grid resumed SWG auto charged."/>
    <s v="Close"/>
    <n v="7.2463768115947572E-3"/>
    <m/>
    <m/>
    <m/>
  </r>
  <r>
    <n v="358"/>
    <n v="2024"/>
    <n v="2023"/>
    <s v="Year_1"/>
    <d v="2023-06-01T00:00:00"/>
    <s v="KUD19"/>
    <s v="O2R1"/>
    <s v="KSIPL"/>
    <n v="4.3478260869565223E-2"/>
    <n v="6293"/>
    <x v="33"/>
    <s v="Pitch valves test active"/>
    <m/>
    <d v="1899-12-30T17:10:00"/>
    <d v="1899-12-30T17:10:00"/>
    <d v="1899-12-30T17:22:00"/>
    <n v="0"/>
    <n v="0.1999999999999913"/>
    <n v="0.1999999999999913"/>
    <s v="Auto reset"/>
    <s v="Close"/>
    <n v="8.6956521739126654E-3"/>
    <m/>
    <m/>
    <m/>
  </r>
  <r>
    <n v="359"/>
    <n v="2024"/>
    <n v="2023"/>
    <s v="Year_1"/>
    <d v="2023-06-01T00:00:00"/>
    <s v="KUD20"/>
    <s v="O2R1"/>
    <s v="KSIPL"/>
    <n v="4.3478260869565223E-2"/>
    <n v="315"/>
    <x v="72"/>
    <s v="ExEx low voltage L3:   1V"/>
    <m/>
    <d v="1899-12-30T17:00:00"/>
    <d v="1899-12-30T17:00:00"/>
    <d v="1899-12-30T17:06:00"/>
    <n v="0"/>
    <n v="0.10000000000000764"/>
    <n v="0.10000000000000764"/>
    <s v="After Grid resumed SWG auto charged."/>
    <s v="Close"/>
    <n v="4.347826086956854E-3"/>
    <m/>
    <m/>
    <m/>
  </r>
  <r>
    <n v="360"/>
    <n v="2024"/>
    <n v="2023"/>
    <s v="Year_1"/>
    <d v="2023-06-01T00:00:00"/>
    <s v="KUD08"/>
    <s v="O2R3"/>
    <s v="JK"/>
    <n v="4.3478260869565223E-2"/>
    <s v="NA "/>
    <x v="73"/>
    <s v="Not available "/>
    <m/>
    <d v="1899-12-30T12:30:00"/>
    <d v="1899-12-30T23:59:00"/>
    <d v="1899-12-30T23:59:00"/>
    <n v="11.483333333333352"/>
    <n v="0"/>
    <n v="11.483333333333352"/>
    <s v="Troubleshoot WIP"/>
    <s v="Open"/>
    <n v="0.49927536231884145"/>
    <m/>
    <m/>
    <m/>
  </r>
  <r>
    <n v="361"/>
    <n v="2024"/>
    <n v="2023"/>
    <s v="Year_1"/>
    <d v="2023-06-01T00:00:00"/>
    <s v="KUD05"/>
    <s v="O2R3"/>
    <s v="JK"/>
    <n v="4.3478260869565223E-2"/>
    <s v="NA "/>
    <x v="73"/>
    <s v="Not available "/>
    <m/>
    <d v="1899-12-30T12:30:00"/>
    <d v="1899-12-30T23:59:00"/>
    <d v="1899-12-30T23:59:00"/>
    <n v="11.483333333333352"/>
    <n v="0"/>
    <n v="11.483333333333352"/>
    <s v="Troubleshoot WIP"/>
    <s v="Open"/>
    <n v="0.49927536231884145"/>
    <m/>
    <m/>
    <m/>
  </r>
  <r>
    <n v="362"/>
    <n v="2024"/>
    <n v="2023"/>
    <s v="Year_1"/>
    <d v="2023-06-01T00:00:00"/>
    <s v="KUD04"/>
    <s v="O2R3"/>
    <s v="JK"/>
    <n v="4.3478260869565223E-2"/>
    <s v="NA "/>
    <x v="73"/>
    <s v="Not available "/>
    <m/>
    <d v="1899-12-30T17:00:00"/>
    <d v="1899-12-30T17:00:00"/>
    <d v="1899-12-30T22:24:00"/>
    <n v="0"/>
    <n v="5.3999999999999995"/>
    <n v="5.3999999999999995"/>
    <s v="Troubleshoot done "/>
    <s v="Open"/>
    <n v="0.23478260869565218"/>
    <m/>
    <m/>
    <m/>
  </r>
  <r>
    <n v="363"/>
    <n v="2024"/>
    <n v="2023"/>
    <s v="Year_1"/>
    <d v="2023-06-02T00:00:00"/>
    <s v="KUD16"/>
    <s v="O2R2"/>
    <s v="SIL"/>
    <n v="4.3478260869565223E-2"/>
    <n v="315"/>
    <x v="74"/>
    <s v="ExEx low voltage L3:   2V"/>
    <m/>
    <d v="1899-12-30T08:29:00"/>
    <d v="1899-12-30T08:29:00"/>
    <d v="1899-12-30T08:40:00"/>
    <n v="0"/>
    <n v="0.18333333333333535"/>
    <n v="0.18333333333333535"/>
    <s v="After Grid resumed SWG auto charged."/>
    <s v="Close"/>
    <n v="7.9710144927537113E-3"/>
    <m/>
    <m/>
    <m/>
  </r>
  <r>
    <n v="364"/>
    <n v="2024"/>
    <n v="2023"/>
    <s v="Year_1"/>
    <d v="2023-06-02T00:00:00"/>
    <s v="KUD17"/>
    <s v="O2R2"/>
    <s v="SIL"/>
    <n v="4.3478260869565223E-2"/>
    <n v="315"/>
    <x v="74"/>
    <s v="ExEx low voltage L3:   2V"/>
    <m/>
    <d v="1899-12-30T08:29:00"/>
    <d v="1899-12-30T08:29:00"/>
    <d v="1899-12-30T08:42:00"/>
    <n v="0"/>
    <n v="0.21666666666667123"/>
    <n v="0.21666666666667123"/>
    <s v="After Grid resumed SWG auto charged."/>
    <s v="Close"/>
    <n v="9.4202898550726638E-3"/>
    <m/>
    <m/>
    <m/>
  </r>
  <r>
    <n v="365"/>
    <n v="2024"/>
    <n v="2023"/>
    <s v="Year_1"/>
    <d v="2023-06-02T00:00:00"/>
    <s v="KUD19"/>
    <s v="O2R1"/>
    <s v="KSIPL"/>
    <n v="4.3478260869565223E-2"/>
    <n v="900"/>
    <x v="2"/>
    <s v="Manual stop"/>
    <m/>
    <d v="1899-12-30T10:01:00"/>
    <d v="1899-12-30T10:01:00"/>
    <d v="1899-12-30T16:44:00"/>
    <n v="0"/>
    <n v="6.7166666666666632"/>
    <n v="6.7166666666666632"/>
    <s v="A-service completed."/>
    <s v="Close"/>
    <n v="0.29202898550724626"/>
    <m/>
    <m/>
    <m/>
  </r>
  <r>
    <n v="366"/>
    <n v="2024"/>
    <n v="2023"/>
    <s v="Year_1"/>
    <d v="2023-06-03T00:00:00"/>
    <s v="KUD12"/>
    <s v="O2R1"/>
    <s v="KSIPL"/>
    <n v="4.3478260869565223E-2"/>
    <n v="900"/>
    <x v="2"/>
    <s v="Manual stop"/>
    <m/>
    <d v="1899-12-30T11:06:00"/>
    <d v="1899-12-30T11:06:00"/>
    <d v="1899-12-30T15:47:00"/>
    <n v="0"/>
    <n v="4.6833333333333353"/>
    <n v="4.6833333333333353"/>
    <s v="Paused for Generator alighnment work."/>
    <s v="Close"/>
    <n v="0.20362318840579721"/>
    <m/>
    <m/>
    <m/>
  </r>
  <r>
    <n v="367"/>
    <n v="2024"/>
    <n v="2023"/>
    <s v="Year_1"/>
    <d v="2023-06-03T00:00:00"/>
    <s v="KUD16"/>
    <s v="O2R2"/>
    <s v="SIL"/>
    <n v="4.3478260869565223E-2"/>
    <n v="315"/>
    <x v="72"/>
    <s v="ExEx low voltage L3:   1V"/>
    <m/>
    <d v="1899-12-30T13:05:00"/>
    <d v="1899-12-30T13:05:00"/>
    <d v="1899-12-30T15:25:00"/>
    <n v="0"/>
    <n v="2.3333333333333304"/>
    <n v="2.3333333333333304"/>
    <s v="After Grid resumed SWG Manual charged."/>
    <s v="Close"/>
    <n v="0.10144927536231872"/>
    <m/>
    <m/>
    <m/>
  </r>
  <r>
    <n v="368"/>
    <n v="2024"/>
    <n v="2023"/>
    <s v="Year_1"/>
    <d v="2023-06-03T00:00:00"/>
    <s v="KUD17"/>
    <s v="O2R2"/>
    <s v="SIL"/>
    <n v="4.3478260869565223E-2"/>
    <n v="315"/>
    <x v="72"/>
    <s v="ExEx low voltage L3:   1V"/>
    <m/>
    <d v="1899-12-30T13:05:00"/>
    <d v="1899-12-30T13:05:00"/>
    <d v="1899-12-30T13:40:00"/>
    <n v="0"/>
    <n v="0.5833333333333206"/>
    <n v="0.5833333333333206"/>
    <s v="After Grid resumed SWG auto charged."/>
    <s v="Close"/>
    <n v="2.536231884057916E-2"/>
    <m/>
    <m/>
    <m/>
  </r>
  <r>
    <n v="369"/>
    <n v="2024"/>
    <n v="2023"/>
    <s v="Year_1"/>
    <d v="2023-06-03T00:00:00"/>
    <s v="KUD16"/>
    <s v="O2R2"/>
    <s v="SIL"/>
    <n v="4.3478260869565223E-2"/>
    <n v="315"/>
    <x v="72"/>
    <s v="ExEx low voltage L3:   1V"/>
    <m/>
    <d v="1899-12-30T23:23:00"/>
    <d v="1899-12-30T23:23:00"/>
    <d v="1899-12-30T23:36:00"/>
    <n v="0"/>
    <n v="0.21666666666664725"/>
    <n v="0.21666666666664725"/>
    <s v="After Grid resumed SWG auto charged."/>
    <s v="Close"/>
    <n v="9.4202898550716212E-3"/>
    <m/>
    <m/>
    <m/>
  </r>
  <r>
    <n v="370"/>
    <n v="2024"/>
    <n v="2023"/>
    <s v="Year_1"/>
    <d v="2023-06-03T00:00:00"/>
    <s v="KUD17"/>
    <s v="O2R2"/>
    <s v="SIL"/>
    <n v="4.3478260869565223E-2"/>
    <n v="315"/>
    <x v="72"/>
    <s v="ExEx low voltage L3:   1V"/>
    <m/>
    <d v="1899-12-30T23:23:00"/>
    <d v="1899-12-30T23:23:00"/>
    <d v="1899-12-30T23:35:00"/>
    <n v="0"/>
    <n v="0.1999999999999913"/>
    <n v="0.1999999999999913"/>
    <s v="After Grid resumed SWG auto charged."/>
    <s v="Close"/>
    <n v="8.6956521739126654E-3"/>
    <m/>
    <m/>
    <m/>
  </r>
  <r>
    <n v="371"/>
    <n v="2024"/>
    <n v="2023"/>
    <s v="Year_1"/>
    <d v="2023-06-04T00:00:00"/>
    <s v="KUD16"/>
    <s v="O2R2"/>
    <s v="SIL"/>
    <n v="4.3478260869565223E-2"/>
    <n v="315"/>
    <x v="72"/>
    <s v="ExEx low voltage L3:   1V"/>
    <m/>
    <d v="1899-12-30T00:00:00"/>
    <d v="1899-12-30T00:00:00"/>
    <d v="1899-12-30T00:19:00"/>
    <n v="0"/>
    <n v="0.3166666666666656"/>
    <n v="0.3166666666666656"/>
    <s v="After Grid resumed SWG auto charged."/>
    <s v="Close"/>
    <n v="1.376811594202894E-2"/>
    <m/>
    <m/>
    <m/>
  </r>
  <r>
    <n v="372"/>
    <n v="2024"/>
    <n v="2023"/>
    <s v="Year_1"/>
    <d v="2023-06-04T00:00:00"/>
    <s v="KUD17"/>
    <s v="O2R2"/>
    <s v="SIL"/>
    <n v="4.3478260869565223E-2"/>
    <n v="315"/>
    <x v="72"/>
    <s v="ExEx low voltage L3:   1V"/>
    <m/>
    <d v="1899-12-30T00:00:00"/>
    <d v="1899-12-30T00:00:00"/>
    <d v="1899-12-30T00:12:00"/>
    <n v="0"/>
    <n v="0.1999999999999999"/>
    <n v="0.1999999999999999"/>
    <s v="After Grid resumed SWG auto charged."/>
    <s v="Close"/>
    <n v="8.6956521739130401E-3"/>
    <m/>
    <m/>
    <m/>
  </r>
  <r>
    <n v="373"/>
    <n v="2024"/>
    <n v="2023"/>
    <s v="Year_1"/>
    <d v="2023-06-04T00:00:00"/>
    <s v="KUD01"/>
    <s v="O2R1"/>
    <s v="KSIPL"/>
    <n v="4.3478260869565223E-2"/>
    <n v="309"/>
    <x v="75"/>
    <s v="Pause over RCS 13"/>
    <m/>
    <d v="1899-12-30T21:24:00"/>
    <d v="1899-12-30T21:24:00"/>
    <d v="1899-12-30T21:38:00"/>
    <n v="0"/>
    <n v="0.23333333333332718"/>
    <n v="0.23333333333332718"/>
    <s v="After Grid resumed SWG auto charged."/>
    <s v="Close"/>
    <n v="1.0144927536231618E-2"/>
    <m/>
    <m/>
    <m/>
  </r>
  <r>
    <n v="374"/>
    <n v="2024"/>
    <n v="2023"/>
    <s v="Year_1"/>
    <d v="2023-06-04T00:00:00"/>
    <s v="KUD13"/>
    <s v="O2R1"/>
    <s v="KSIPL"/>
    <n v="4.3478260869565223E-2"/>
    <n v="6293"/>
    <x v="33"/>
    <s v="Pitch valves test active"/>
    <m/>
    <d v="1899-12-30T21:41:00"/>
    <d v="1899-12-30T21:41:00"/>
    <d v="1899-12-30T21:51:00"/>
    <n v="0"/>
    <n v="0.1666666666666794"/>
    <n v="0.1666666666666794"/>
    <s v="Auto reset"/>
    <s v="Close"/>
    <n v="7.2463768115947572E-3"/>
    <m/>
    <m/>
    <m/>
  </r>
  <r>
    <n v="375"/>
    <n v="2024"/>
    <n v="2023"/>
    <s v="Year_1"/>
    <d v="2023-06-04T00:00:00"/>
    <s v="KUD15"/>
    <s v="O2R1"/>
    <s v="KSIPL"/>
    <n v="4.3478260869565223E-2"/>
    <n v="6293"/>
    <x v="33"/>
    <s v="Pitch valves test active"/>
    <m/>
    <d v="1899-12-30T21:43:00"/>
    <d v="1899-12-30T21:43:00"/>
    <d v="1899-12-30T21:52:00"/>
    <n v="0"/>
    <n v="0.14999999999999947"/>
    <n v="0.14999999999999947"/>
    <s v="Auto reset"/>
    <s v="Close"/>
    <n v="6.5217391304347606E-3"/>
    <m/>
    <m/>
    <m/>
  </r>
  <r>
    <n v="376"/>
    <n v="2024"/>
    <n v="2023"/>
    <s v="Year_1"/>
    <d v="2023-06-04T00:00:00"/>
    <s v="KUD16"/>
    <s v="O2R2"/>
    <s v="SIL"/>
    <n v="4.3478260869565223E-2"/>
    <n v="309"/>
    <x v="75"/>
    <s v="Pause over RCS 13"/>
    <m/>
    <d v="1899-12-30T21:24:00"/>
    <d v="1899-12-30T21:24:00"/>
    <d v="1899-12-30T23:09:00"/>
    <n v="0"/>
    <n v="1.7499999999999831"/>
    <n v="1.7499999999999831"/>
    <s v="After Grid resumed SWG Manual charged."/>
    <s v="Close"/>
    <n v="7.6086956521738414E-2"/>
    <m/>
    <m/>
    <m/>
  </r>
  <r>
    <n v="377"/>
    <n v="2024"/>
    <n v="2023"/>
    <s v="Year_1"/>
    <d v="2023-06-04T00:00:00"/>
    <s v="KUD16"/>
    <s v="O2R2"/>
    <s v="SIL"/>
    <n v="4.3478260869565223E-2"/>
    <n v="6293"/>
    <x v="33"/>
    <s v="Pitch valves test active"/>
    <m/>
    <d v="1899-12-30T23:09:00"/>
    <d v="1899-12-30T23:09:00"/>
    <d v="1899-12-30T23:19:00"/>
    <n v="0"/>
    <n v="0.1666666666666794"/>
    <n v="0.1666666666666794"/>
    <s v="Auto reset"/>
    <s v="Close"/>
    <n v="7.2463768115947572E-3"/>
    <m/>
    <m/>
    <m/>
  </r>
  <r>
    <n v="378"/>
    <n v="2024"/>
    <n v="2023"/>
    <s v="Year_1"/>
    <d v="2023-06-04T00:00:00"/>
    <s v="KUD17"/>
    <s v="O2R2"/>
    <s v="SIL"/>
    <n v="4.3478260869565223E-2"/>
    <n v="309"/>
    <x v="75"/>
    <s v="Pause over RCS 13"/>
    <m/>
    <d v="1899-12-30T21:24:00"/>
    <d v="1899-12-30T21:24:00"/>
    <d v="1899-12-30T23:28:00"/>
    <n v="0"/>
    <n v="2.066666666666662"/>
    <n v="2.066666666666662"/>
    <s v="After Grid resumed SWG Manual charged."/>
    <s v="Close"/>
    <n v="8.9855072463767921E-2"/>
    <m/>
    <m/>
    <m/>
  </r>
  <r>
    <n v="379"/>
    <n v="2024"/>
    <n v="2023"/>
    <s v="Year_1"/>
    <d v="2023-06-04T00:00:00"/>
    <s v="KUD20"/>
    <s v="O2R1"/>
    <s v="KSIPL"/>
    <n v="4.3478260869565223E-2"/>
    <n v="309"/>
    <x v="75"/>
    <s v="Pause over RCS 13"/>
    <m/>
    <d v="1899-12-30T21:24:00"/>
    <d v="1899-12-30T21:24:00"/>
    <d v="1899-12-30T22:30:00"/>
    <n v="0"/>
    <n v="1.0999999999999908"/>
    <n v="1.0999999999999908"/>
    <s v=" UPS off condition manually charged and restored the wtg"/>
    <s v="Close"/>
    <n v="4.7826086956521345E-2"/>
    <m/>
    <m/>
    <m/>
  </r>
  <r>
    <n v="380"/>
    <n v="2024"/>
    <n v="2023"/>
    <s v="Year_1"/>
    <d v="2023-06-05T00:00:00"/>
    <s v="KUD01"/>
    <s v="O2R1"/>
    <s v="KSIPL"/>
    <n v="4.3478260869565223E-2"/>
    <n v="900"/>
    <x v="2"/>
    <s v="Manual stop"/>
    <m/>
    <d v="1899-12-30T14:50:00"/>
    <d v="1899-12-30T14:50:00"/>
    <d v="1899-12-30T17:42:00"/>
    <n v="0"/>
    <n v="2.8666666666666565"/>
    <n v="2.8666666666666565"/>
    <s v="A-service day -1 completed."/>
    <s v="Close"/>
    <n v="0.12463768115941987"/>
    <m/>
    <m/>
    <m/>
  </r>
  <r>
    <n v="381"/>
    <n v="2024"/>
    <n v="2023"/>
    <s v="Year_1"/>
    <d v="2023-06-05T00:00:00"/>
    <s v="KUD01"/>
    <s v="O2R1"/>
    <s v="KSIPL"/>
    <n v="4.3478260869565223E-2"/>
    <n v="315"/>
    <x v="72"/>
    <s v="ExEx low voltage L3:   1V"/>
    <m/>
    <d v="1899-12-30T21:35:00"/>
    <d v="1899-12-30T21:35:00"/>
    <d v="1899-12-30T21:44:00"/>
    <n v="0"/>
    <n v="0.15000000000002345"/>
    <n v="0.15000000000002345"/>
    <s v="After Grid resumed SWG auto charged."/>
    <s v="Close"/>
    <n v="6.5217391304358031E-3"/>
    <m/>
    <m/>
    <m/>
  </r>
  <r>
    <n v="382"/>
    <n v="2024"/>
    <n v="2023"/>
    <s v="Year_1"/>
    <d v="2023-06-05T00:00:00"/>
    <s v="KUD03"/>
    <s v="O2R1"/>
    <s v="KSIPL"/>
    <n v="4.3478260869565223E-2"/>
    <n v="315"/>
    <x v="72"/>
    <s v="ExEx low voltage L3:   1V"/>
    <m/>
    <d v="1899-12-30T21:35:00"/>
    <d v="1899-12-30T21:35:00"/>
    <d v="1899-12-30T21:49:00"/>
    <n v="0"/>
    <n v="0.23333333333335116"/>
    <n v="0.23333333333335116"/>
    <s v="After Grid resumed SWG auto charged."/>
    <s v="Close"/>
    <n v="1.014492753623266E-2"/>
    <m/>
    <m/>
    <m/>
  </r>
  <r>
    <n v="383"/>
    <n v="2024"/>
    <n v="2023"/>
    <s v="Year_1"/>
    <d v="2023-06-05T00:00:00"/>
    <s v="KUD03"/>
    <s v="O2R1"/>
    <s v="KSIPL"/>
    <n v="4.3478260869565223E-2"/>
    <n v="6293"/>
    <x v="33"/>
    <s v="Pitch valves test active"/>
    <m/>
    <d v="1899-12-30T21:49:00"/>
    <d v="1899-12-30T21:49:00"/>
    <d v="1899-12-30T21:56:00"/>
    <n v="0"/>
    <n v="0.11666666666666359"/>
    <n v="0.11666666666666359"/>
    <s v="Auto reset"/>
    <s v="Close"/>
    <n v="5.072463768115809E-3"/>
    <m/>
    <m/>
    <m/>
  </r>
  <r>
    <n v="384"/>
    <n v="2024"/>
    <n v="2023"/>
    <s v="Year_1"/>
    <d v="2023-06-05T00:00:00"/>
    <s v="KUD10"/>
    <s v="O2R1"/>
    <s v="KSIPL"/>
    <n v="4.3478260869565223E-2"/>
    <n v="315"/>
    <x v="72"/>
    <s v="ExEx low voltage L3:   1V"/>
    <m/>
    <d v="1899-12-30T21:35:00"/>
    <d v="1899-12-30T21:35:00"/>
    <d v="1899-12-30T21:46:00"/>
    <n v="0"/>
    <n v="0.18333333333333535"/>
    <n v="0.18333333333333535"/>
    <s v="After Grid resumed SWG auto charged."/>
    <s v="Close"/>
    <n v="7.9710144927537113E-3"/>
    <m/>
    <m/>
    <m/>
  </r>
  <r>
    <n v="385"/>
    <n v="2024"/>
    <n v="2023"/>
    <s v="Year_1"/>
    <d v="2023-06-05T00:00:00"/>
    <s v="KUD11"/>
    <s v="O2R1"/>
    <s v="KSIPL"/>
    <n v="4.3478260869565223E-2"/>
    <n v="315"/>
    <x v="72"/>
    <s v="ExEx low voltage L3:   1V"/>
    <m/>
    <d v="1899-12-30T21:35:00"/>
    <d v="1899-12-30T21:35:00"/>
    <d v="1899-12-30T21:47:00"/>
    <n v="0"/>
    <n v="0.20000000000001528"/>
    <n v="0.20000000000001528"/>
    <s v="After Grid resumed SWG auto charged."/>
    <s v="Close"/>
    <n v="8.695652173913708E-3"/>
    <m/>
    <m/>
    <m/>
  </r>
  <r>
    <n v="386"/>
    <n v="2024"/>
    <n v="2023"/>
    <s v="Year_1"/>
    <d v="2023-06-05T00:00:00"/>
    <s v="KUD11"/>
    <s v="O2R1"/>
    <s v="KSIPL"/>
    <n v="4.3478260869565223E-2"/>
    <n v="6293"/>
    <x v="33"/>
    <s v="Pitch valves test active"/>
    <m/>
    <d v="1899-12-30T21:47:00"/>
    <d v="1899-12-30T21:47:00"/>
    <d v="1899-12-30T21:55:00"/>
    <n v="0"/>
    <n v="0.13333333333334352"/>
    <n v="0.13333333333334352"/>
    <s v="Auto reset"/>
    <s v="Close"/>
    <n v="5.7971014492758056E-3"/>
    <m/>
    <m/>
    <m/>
  </r>
  <r>
    <n v="387"/>
    <n v="2024"/>
    <n v="2023"/>
    <s v="Year_1"/>
    <d v="2023-06-05T00:00:00"/>
    <s v="KUD12"/>
    <s v="O2R1"/>
    <s v="KSIPL"/>
    <n v="4.3478260869565223E-2"/>
    <n v="315"/>
    <x v="72"/>
    <s v="ExEx low voltage L3:   1V"/>
    <m/>
    <d v="1899-12-30T21:35:00"/>
    <d v="1899-12-30T21:35:00"/>
    <d v="1899-12-30T21:46:00"/>
    <n v="0"/>
    <n v="0.18333333333333535"/>
    <n v="0.18333333333333535"/>
    <s v="After Grid resumed SWG auto charged."/>
    <s v="Close"/>
    <n v="7.9710144927537113E-3"/>
    <m/>
    <m/>
    <m/>
  </r>
  <r>
    <n v="388"/>
    <n v="2024"/>
    <n v="2023"/>
    <s v="Year_1"/>
    <d v="2023-06-05T00:00:00"/>
    <s v="KUD12"/>
    <s v="O2R1"/>
    <s v="KSIPL"/>
    <n v="4.3478260869565223E-2"/>
    <n v="6293"/>
    <x v="33"/>
    <s v="Pitch valves test active"/>
    <m/>
    <d v="1899-12-30T21:46:00"/>
    <d v="1899-12-30T21:46:00"/>
    <d v="1899-12-30T21:56:00"/>
    <n v="0"/>
    <n v="0.1666666666666794"/>
    <n v="0.1666666666666794"/>
    <s v="Auto reset"/>
    <s v="Close"/>
    <n v="7.2463768115947572E-3"/>
    <m/>
    <m/>
    <m/>
  </r>
  <r>
    <n v="389"/>
    <n v="2024"/>
    <n v="2023"/>
    <s v="Year_1"/>
    <d v="2023-06-05T00:00:00"/>
    <s v="KUD13"/>
    <s v="O2R1"/>
    <s v="KSIPL"/>
    <n v="4.3478260869565223E-2"/>
    <n v="315"/>
    <x v="72"/>
    <s v="ExEx low voltage L3:   1V"/>
    <m/>
    <d v="1899-12-30T21:35:00"/>
    <d v="1899-12-30T21:35:00"/>
    <d v="1899-12-30T21:44:00"/>
    <n v="0"/>
    <n v="0.15000000000002345"/>
    <n v="0.15000000000002345"/>
    <s v="After Grid resumed SWG auto charged."/>
    <s v="Close"/>
    <n v="6.5217391304358031E-3"/>
    <m/>
    <m/>
    <m/>
  </r>
  <r>
    <n v="390"/>
    <n v="2024"/>
    <n v="2023"/>
    <s v="Year_1"/>
    <d v="2023-06-05T00:00:00"/>
    <s v="KUD14"/>
    <s v="O2R1"/>
    <s v="KSIPL"/>
    <n v="4.3478260869565223E-2"/>
    <n v="315"/>
    <x v="72"/>
    <s v="ExEx low voltage L3:   1V"/>
    <m/>
    <d v="1899-12-30T21:35:00"/>
    <d v="1899-12-30T21:35:00"/>
    <d v="1899-12-30T21:46:00"/>
    <n v="0"/>
    <n v="0.18333333333333535"/>
    <n v="0.18333333333333535"/>
    <s v="After Grid resumed SWG auto charged."/>
    <s v="Close"/>
    <n v="7.9710144927537113E-3"/>
    <m/>
    <m/>
    <m/>
  </r>
  <r>
    <n v="391"/>
    <n v="2024"/>
    <n v="2023"/>
    <s v="Year_1"/>
    <d v="2023-06-05T00:00:00"/>
    <s v="KUD14"/>
    <s v="O2R1"/>
    <s v="KSIPL"/>
    <n v="4.3478260869565223E-2"/>
    <n v="6293"/>
    <x v="33"/>
    <s v="Pitch valves test active"/>
    <m/>
    <d v="1899-12-30T21:46:00"/>
    <d v="1899-12-30T21:46:00"/>
    <d v="1899-12-30T21:55:00"/>
    <n v="0"/>
    <n v="0.15000000000002345"/>
    <n v="0.15000000000002345"/>
    <s v="Auto reset"/>
    <s v="Close"/>
    <n v="6.5217391304358031E-3"/>
    <m/>
    <m/>
    <m/>
  </r>
  <r>
    <n v="392"/>
    <n v="2024"/>
    <n v="2023"/>
    <s v="Year_1"/>
    <d v="2023-06-05T00:00:00"/>
    <s v="KUD14"/>
    <s v="O2R1"/>
    <s v="KSIPL"/>
    <n v="4.3478260869565223E-2"/>
    <n v="3270"/>
    <x v="76"/>
    <s v="YawToCableTwistResetNotAvail"/>
    <m/>
    <d v="1899-12-30T21:57:00"/>
    <d v="1899-12-30T21:57:00"/>
    <d v="1899-12-30T22:30:00"/>
    <n v="0"/>
    <n v="0.5500000000000087"/>
    <n v="0.5500000000000087"/>
    <s v="Auto reset"/>
    <s v="Close"/>
    <n v="2.3913043478261252E-2"/>
    <m/>
    <m/>
    <m/>
  </r>
  <r>
    <n v="393"/>
    <n v="2024"/>
    <n v="2023"/>
    <s v="Year_1"/>
    <d v="2023-06-05T00:00:00"/>
    <s v="KUD15"/>
    <s v="O2R1"/>
    <s v="KSIPL"/>
    <n v="4.3478260869565223E-2"/>
    <n v="900"/>
    <x v="2"/>
    <s v="Manual stop"/>
    <m/>
    <d v="1899-12-30T16:17:00"/>
    <d v="1899-12-30T16:17:00"/>
    <d v="1899-12-30T16:55:00"/>
    <n v="0"/>
    <n v="0.63333333333333641"/>
    <n v="0.63333333333333641"/>
    <s v="Paused for preventive check."/>
    <s v="Close"/>
    <n v="2.7536231884058109E-2"/>
    <m/>
    <m/>
    <m/>
  </r>
  <r>
    <n v="394"/>
    <n v="2024"/>
    <n v="2023"/>
    <s v="Year_1"/>
    <d v="2023-06-05T00:00:00"/>
    <s v="KUD15"/>
    <s v="O2R1"/>
    <s v="KSIPL"/>
    <n v="4.3478260869565223E-2"/>
    <n v="315"/>
    <x v="72"/>
    <s v="ExEx low voltage L3:   1V"/>
    <m/>
    <d v="1899-12-30T21:35:00"/>
    <d v="1899-12-30T21:35:00"/>
    <d v="1899-12-30T21:47:00"/>
    <n v="0"/>
    <n v="0.20000000000001528"/>
    <n v="0.20000000000001528"/>
    <s v="After Grid resumed SWG auto charged."/>
    <s v="Close"/>
    <n v="8.695652173913708E-3"/>
    <m/>
    <m/>
    <m/>
  </r>
  <r>
    <n v="395"/>
    <n v="2024"/>
    <n v="2023"/>
    <s v="Year_1"/>
    <d v="2023-06-05T00:00:00"/>
    <s v="KUD15"/>
    <s v="O2R1"/>
    <s v="KSIPL"/>
    <n v="4.3478260869565223E-2"/>
    <n v="6293"/>
    <x v="33"/>
    <s v="Pitch valves test active"/>
    <m/>
    <d v="1899-12-30T21:47:00"/>
    <d v="1899-12-30T21:47:00"/>
    <d v="1899-12-30T21:56:00"/>
    <n v="0"/>
    <n v="0.14999999999999947"/>
    <n v="0.14999999999999947"/>
    <s v="Auto reset"/>
    <s v="Close"/>
    <n v="6.5217391304347606E-3"/>
    <m/>
    <m/>
    <m/>
  </r>
  <r>
    <n v="396"/>
    <n v="2024"/>
    <n v="2023"/>
    <s v="Year_1"/>
    <d v="2023-06-05T00:00:00"/>
    <s v="KUD19"/>
    <s v="O2R1"/>
    <s v="KSIPL"/>
    <n v="4.3478260869565223E-2"/>
    <n v="315"/>
    <x v="72"/>
    <s v="ExEx low voltage L3:   1V"/>
    <m/>
    <d v="1899-12-30T21:35:00"/>
    <d v="1899-12-30T21:35:00"/>
    <d v="1899-12-30T21:57:00"/>
    <n v="0"/>
    <n v="0.36666666666667069"/>
    <n v="0.36666666666667069"/>
    <s v="After Grid resumed SWG auto charged."/>
    <s v="Close"/>
    <n v="1.5942028985507423E-2"/>
    <m/>
    <m/>
    <m/>
  </r>
  <r>
    <n v="397"/>
    <n v="2024"/>
    <n v="2023"/>
    <s v="Year_1"/>
    <d v="2023-06-05T00:00:00"/>
    <s v="KUD20"/>
    <s v="O2R1"/>
    <s v="KSIPL"/>
    <n v="4.3478260869565223E-2"/>
    <n v="315"/>
    <x v="72"/>
    <s v="ExEx low voltage L3:   1V"/>
    <m/>
    <d v="1899-12-30T21:35:00"/>
    <d v="1899-12-30T21:35:00"/>
    <d v="1899-12-30T22:37:00"/>
    <n v="0"/>
    <n v="1.033333333333343"/>
    <n v="1.033333333333343"/>
    <s v="After Grid resumed SWG auto charged."/>
    <s v="Close"/>
    <n v="4.4927536231884481E-2"/>
    <m/>
    <m/>
    <m/>
  </r>
  <r>
    <n v="398"/>
    <n v="2024"/>
    <n v="2023"/>
    <s v="Year_1"/>
    <d v="2023-06-05T00:00:00"/>
    <s v="KUD16"/>
    <s v="O2R2"/>
    <s v="SIL"/>
    <n v="4.3478260869565223E-2"/>
    <n v="315"/>
    <x v="72"/>
    <s v="ExEx low voltage L3:   1V"/>
    <m/>
    <d v="1899-12-30T08:45:00"/>
    <d v="1899-12-30T08:45:00"/>
    <d v="1899-12-30T08:56:00"/>
    <n v="0"/>
    <n v="0.18333333333333668"/>
    <n v="0.18333333333333668"/>
    <s v="After Grid resumed SWG auto charged."/>
    <s v="Close"/>
    <n v="7.9710144927537703E-3"/>
    <m/>
    <m/>
    <m/>
  </r>
  <r>
    <n v="399"/>
    <n v="2024"/>
    <n v="2023"/>
    <s v="Year_1"/>
    <d v="2023-06-05T00:00:00"/>
    <s v="KUD17"/>
    <s v="O2R2"/>
    <s v="SIL"/>
    <n v="4.3478260869565223E-2"/>
    <n v="315"/>
    <x v="72"/>
    <s v="ExEx low voltage L3:   1V"/>
    <m/>
    <d v="1899-12-30T08:45:00"/>
    <d v="1899-12-30T08:45:00"/>
    <d v="1899-12-30T08:57:00"/>
    <n v="0"/>
    <n v="0.20000000000001661"/>
    <n v="0.20000000000001661"/>
    <s v="After Grid resumed SWG auto charged."/>
    <s v="Close"/>
    <n v="8.695652173913767E-3"/>
    <m/>
    <m/>
    <m/>
  </r>
  <r>
    <n v="400"/>
    <n v="2024"/>
    <n v="2023"/>
    <s v="Year_1"/>
    <d v="2023-06-05T00:00:00"/>
    <s v="KUD17"/>
    <s v="O2R2"/>
    <s v="SIL"/>
    <n v="4.3478260869565223E-2"/>
    <n v="6293"/>
    <x v="33"/>
    <s v="Pitch valves test active"/>
    <m/>
    <d v="1899-12-30T08:57:00"/>
    <d v="1899-12-30T08:57:00"/>
    <d v="1899-12-30T09:06:00"/>
    <n v="0"/>
    <n v="0.14999999999999947"/>
    <n v="0.14999999999999947"/>
    <s v="Auto reset"/>
    <s v="Close"/>
    <n v="6.5217391304347606E-3"/>
    <m/>
    <m/>
    <m/>
  </r>
  <r>
    <n v="401"/>
    <n v="2024"/>
    <n v="2023"/>
    <s v="Year_1"/>
    <d v="2023-06-05T00:00:00"/>
    <s v="KUD17"/>
    <s v="O2R2"/>
    <s v="SIL"/>
    <n v="4.3478260869565223E-2"/>
    <n v="315"/>
    <x v="72"/>
    <s v="ExEx low voltage L3:   1V"/>
    <m/>
    <d v="1899-12-30T15:15:00"/>
    <d v="1899-12-30T15:15:00"/>
    <d v="1899-12-30T15:24:00"/>
    <n v="0"/>
    <n v="0.15000000000000213"/>
    <n v="0.15000000000000213"/>
    <s v="After Grid resumed SWG auto charged."/>
    <s v="Close"/>
    <n v="6.5217391304348759E-3"/>
    <m/>
    <m/>
    <m/>
  </r>
  <r>
    <n v="402"/>
    <n v="2024"/>
    <n v="2023"/>
    <s v="Year_1"/>
    <d v="2023-06-05T00:00:00"/>
    <s v="KUD16"/>
    <s v="O2R2"/>
    <s v="SIL"/>
    <n v="4.3478260869565223E-2"/>
    <n v="315"/>
    <x v="72"/>
    <s v="ExEx low voltage L3:   1V"/>
    <m/>
    <d v="1899-12-30T18:00:00"/>
    <d v="1899-12-30T18:00:00"/>
    <d v="1899-12-30T18:18:00"/>
    <n v="0"/>
    <n v="0.29999999999999893"/>
    <n v="0.29999999999999893"/>
    <s v="After Grid resumed SWG manually charged."/>
    <s v="Close"/>
    <n v="1.3043478260869521E-2"/>
    <m/>
    <m/>
    <m/>
  </r>
  <r>
    <n v="403"/>
    <n v="2024"/>
    <n v="2023"/>
    <s v="Year_1"/>
    <d v="2023-06-05T00:00:00"/>
    <s v="KUD16"/>
    <s v="O2R2"/>
    <s v="SIL"/>
    <n v="4.3478260869565223E-2"/>
    <n v="315"/>
    <x v="72"/>
    <s v="ExEx low voltage L3:   1V"/>
    <m/>
    <d v="1899-12-30T21:15:00"/>
    <d v="1899-12-30T21:15:00"/>
    <d v="1899-12-30T23:59:00"/>
    <n v="0"/>
    <n v="2.7333333333333369"/>
    <n v="2.7333333333333369"/>
    <s v="Troubleshoot WIP"/>
    <s v="Close"/>
    <n v="0.1188405797101451"/>
    <m/>
    <m/>
    <m/>
  </r>
  <r>
    <n v="404"/>
    <n v="2024"/>
    <n v="2023"/>
    <s v="Year_1"/>
    <d v="2023-06-05T00:00:00"/>
    <s v="KUD17"/>
    <s v="O2R2"/>
    <s v="SIL"/>
    <n v="4.3478260869565223E-2"/>
    <n v="315"/>
    <x v="72"/>
    <s v="ExEx low voltage L3:   1V"/>
    <m/>
    <d v="1899-12-30T21:15:00"/>
    <d v="1899-12-30T21:15:00"/>
    <d v="1899-12-30T21:28:00"/>
    <n v="0"/>
    <n v="0.21666666666664991"/>
    <n v="0.21666666666664991"/>
    <s v="After Grid resumed SWG auto charged."/>
    <s v="Close"/>
    <n v="9.4202898550717357E-3"/>
    <m/>
    <m/>
    <m/>
  </r>
  <r>
    <n v="405"/>
    <n v="2024"/>
    <n v="2023"/>
    <s v="Year_1"/>
    <d v="2023-06-06T00:00:00"/>
    <s v="KUD01"/>
    <s v="O2R1"/>
    <s v="KSIPL"/>
    <n v="4.3478260869565223E-2"/>
    <n v="900"/>
    <x v="2"/>
    <s v="Manual stop"/>
    <m/>
    <d v="1899-12-30T10:46:00"/>
    <d v="1899-12-30T10:46:00"/>
    <d v="1899-12-30T17:42:00"/>
    <n v="0"/>
    <n v="6.9333333333333371"/>
    <n v="6.9333333333333371"/>
    <s v="Schedule Service-A WIP"/>
    <s v="Close"/>
    <n v="0.30144927536231902"/>
    <m/>
    <m/>
    <m/>
  </r>
  <r>
    <n v="406"/>
    <n v="2024"/>
    <n v="2023"/>
    <s v="Year_1"/>
    <d v="2023-06-06T00:00:00"/>
    <s v="KUD15"/>
    <s v="O2R1"/>
    <s v="KSIPL"/>
    <n v="4.3478260869565223E-2"/>
    <n v="987"/>
    <x v="77"/>
    <s v="Thermoerror Waterpump"/>
    <m/>
    <d v="1899-12-30T22:06:00"/>
    <d v="1899-12-30T22:06:00"/>
    <d v="1899-12-30T23:37:00"/>
    <n v="0"/>
    <n v="1.5166666666666799"/>
    <n v="1.5166666666666799"/>
    <s v="Contactor malfunctioned, rewired again , Turbine under observation."/>
    <s v="Close"/>
    <n v="6.5942028985507828E-2"/>
    <m/>
    <m/>
    <m/>
  </r>
  <r>
    <n v="407"/>
    <n v="2024"/>
    <n v="2023"/>
    <s v="Year_1"/>
    <d v="2023-06-06T00:00:00"/>
    <s v="KUD16"/>
    <s v="O2R2"/>
    <s v="SIL"/>
    <n v="4.3478260869565223E-2"/>
    <n v="4234"/>
    <x v="78"/>
    <s v="Grid Converter CB Open"/>
    <m/>
    <d v="1899-12-30T00:00:00"/>
    <d v="1899-12-30T00:00:00"/>
    <d v="1899-12-30T10:53:00"/>
    <n v="0"/>
    <n v="10.883333333333328"/>
    <n v="10.883333333333328"/>
    <s v="UPS Battery Drained, Replaced and CB Charged"/>
    <s v="Close"/>
    <n v="0.47318840579710125"/>
    <m/>
    <m/>
    <m/>
  </r>
  <r>
    <n v="408"/>
    <n v="2024"/>
    <n v="2023"/>
    <s v="Year_1"/>
    <d v="2023-06-07T00:00:00"/>
    <s v="KUD01"/>
    <s v="O2R1"/>
    <s v="KSIPL"/>
    <n v="4.3478260869565223E-2"/>
    <n v="900"/>
    <x v="2"/>
    <s v="Manual stop"/>
    <m/>
    <d v="1899-12-30T10:06:00"/>
    <d v="1899-12-30T10:06:00"/>
    <d v="1899-12-30T17:18:00"/>
    <n v="0"/>
    <n v="7.1999999999999993"/>
    <n v="7.1999999999999993"/>
    <s v="Schedule Service-A "/>
    <s v="Close"/>
    <n v="0.31304347826086959"/>
    <m/>
    <m/>
    <m/>
  </r>
  <r>
    <n v="409"/>
    <n v="2024"/>
    <n v="2023"/>
    <s v="Year_1"/>
    <d v="2023-06-07T00:00:00"/>
    <s v="KUD11"/>
    <s v="O2R1"/>
    <s v="KSIPL"/>
    <n v="4.3478260869565223E-2"/>
    <n v="900"/>
    <x v="2"/>
    <s v="Manual stop"/>
    <m/>
    <d v="1899-12-30T11:24:00"/>
    <d v="1899-12-30T11:24:00"/>
    <d v="1899-12-30T16:25:00"/>
    <n v="0"/>
    <n v="5.0166666666666728"/>
    <n v="5.0166666666666728"/>
    <s v="Preventive check."/>
    <s v="Close"/>
    <n v="0.21811594202898579"/>
    <m/>
    <m/>
    <m/>
  </r>
  <r>
    <n v="410"/>
    <n v="2024"/>
    <n v="2023"/>
    <s v="Year_1"/>
    <d v="2023-06-07T00:00:00"/>
    <s v="KUD15"/>
    <s v="O2R1"/>
    <s v="KSIPL"/>
    <n v="4.3478260869565223E-2"/>
    <n v="987"/>
    <x v="77"/>
    <s v="Thermoerror Waterpump"/>
    <m/>
    <d v="1899-12-30T00:00:00"/>
    <d v="1899-12-30T00:00:00"/>
    <d v="1899-12-30T01:15:00"/>
    <n v="0"/>
    <n v="1.2499999999999991"/>
    <n v="1.2499999999999991"/>
    <s v="Contactor malfunctioned, rewired again , Turbine under observation."/>
    <s v="Close"/>
    <n v="5.4347826086956492E-2"/>
    <m/>
    <m/>
    <m/>
  </r>
  <r>
    <n v="411"/>
    <n v="2024"/>
    <n v="2023"/>
    <s v="Year_1"/>
    <d v="2023-06-07T00:00:00"/>
    <s v="KUD15"/>
    <s v="O2R1"/>
    <s v="KSIPL"/>
    <n v="4.3478260869565223E-2"/>
    <n v="987"/>
    <x v="77"/>
    <s v="Thermoerror Waterpump"/>
    <m/>
    <d v="1899-12-30T09:39:00"/>
    <d v="1899-12-30T09:39:00"/>
    <d v="1899-12-30T09:52:00"/>
    <n v="0"/>
    <n v="0.21666666666667123"/>
    <n v="0.21666666666667123"/>
    <s v="Auto reset"/>
    <s v="Close"/>
    <n v="9.4202898550726638E-3"/>
    <m/>
    <m/>
    <m/>
  </r>
  <r>
    <n v="412"/>
    <n v="2024"/>
    <n v="2023"/>
    <s v="Year_1"/>
    <d v="2023-06-07T00:00:00"/>
    <s v="KUD15"/>
    <s v="O2R1"/>
    <s v="KSIPL"/>
    <n v="4.3478260869565223E-2"/>
    <n v="6293"/>
    <x v="33"/>
    <s v="Pitch valves test active"/>
    <m/>
    <d v="1899-12-30T09:52:00"/>
    <d v="1899-12-30T09:52:00"/>
    <d v="1899-12-30T09:59:00"/>
    <n v="0"/>
    <n v="0.11666666666666492"/>
    <n v="0.11666666666666492"/>
    <s v="Auto reset"/>
    <s v="Close"/>
    <n v="5.0724637681158671E-3"/>
    <m/>
    <m/>
    <m/>
  </r>
  <r>
    <n v="413"/>
    <n v="2024"/>
    <n v="2023"/>
    <s v="Year_1"/>
    <d v="2023-06-08T00:00:00"/>
    <s v="KUD02"/>
    <s v="O2R3"/>
    <s v="JK"/>
    <n v="4.3478260869565223E-2"/>
    <n v="151"/>
    <x v="43"/>
    <s v="High temp. Gen bearing 1: 95Â°C"/>
    <m/>
    <d v="1899-12-30T19:38:00"/>
    <d v="1899-12-30T19:38:00"/>
    <d v="1899-12-30T23:59:00"/>
    <n v="0"/>
    <n v="4.3500000000000005"/>
    <n v="4.3500000000000005"/>
    <m/>
    <s v="Open"/>
    <n v="0.18913043478260874"/>
    <m/>
    <m/>
    <m/>
  </r>
  <r>
    <n v="414"/>
    <n v="2024"/>
    <n v="2023"/>
    <s v="Year_1"/>
    <d v="2023-06-08T00:00:00"/>
    <s v="KUD06"/>
    <s v="O2R3"/>
    <s v="JK"/>
    <n v="4.3478260869565223E-2"/>
    <n v="900"/>
    <x v="79"/>
    <s v="Manually stop"/>
    <m/>
    <d v="1899-12-30T12:22:00"/>
    <d v="1899-12-30T12:22:00"/>
    <d v="1899-12-30T15:40:00"/>
    <n v="0"/>
    <n v="3.3000000000000016"/>
    <n v="3.3000000000000016"/>
    <m/>
    <s v="Close"/>
    <n v="0.14347826086956531"/>
    <m/>
    <m/>
    <m/>
  </r>
  <r>
    <n v="415"/>
    <n v="2024"/>
    <n v="2023"/>
    <s v="Year_1"/>
    <d v="2023-06-08T00:00:00"/>
    <s v="KUD16"/>
    <s v="O2R2"/>
    <s v="SIL"/>
    <n v="4.3478260869565223E-2"/>
    <n v="900"/>
    <x v="79"/>
    <s v="Manually stop"/>
    <m/>
    <d v="1899-12-30T12:47:00"/>
    <d v="1899-12-30T12:47:00"/>
    <d v="1899-12-30T14:39:00"/>
    <n v="0"/>
    <n v="1.8666666666666734"/>
    <n v="1.8666666666666734"/>
    <s v="Preventive Check for HSS Speed Sensor , connections checked and restored."/>
    <s v="Close"/>
    <n v="8.1159420289855372E-2"/>
    <m/>
    <m/>
    <m/>
  </r>
  <r>
    <n v="416"/>
    <n v="2024"/>
    <n v="2023"/>
    <s v="Year_1"/>
    <d v="2023-06-08T00:00:00"/>
    <s v="KUD16"/>
    <s v="O2R2"/>
    <s v="SIL"/>
    <n v="4.3478260869565223E-2"/>
    <n v="4239"/>
    <x v="40"/>
    <s v="HVCB Unknown Trip Reason"/>
    <m/>
    <d v="1899-12-30T22:25:00"/>
    <d v="1899-12-30T22:25:00"/>
    <d v="1899-12-30T23:59:00"/>
    <n v="0"/>
    <n v="1.5666666666666718"/>
    <n v="1.5666666666666718"/>
    <s v="SWG Charged"/>
    <s v="Close"/>
    <n v="6.8115942028985743E-2"/>
    <m/>
    <m/>
    <m/>
  </r>
  <r>
    <n v="417"/>
    <n v="2024"/>
    <n v="2023"/>
    <s v="Year_1"/>
    <d v="2023-06-08T00:00:00"/>
    <s v="KUD17"/>
    <s v="O2R2"/>
    <s v="SIL"/>
    <n v="4.3478260869565223E-2"/>
    <n v="2956"/>
    <x v="80"/>
    <s v="SupplyError: Min    2V phase3"/>
    <m/>
    <d v="1899-12-30T22:53:00"/>
    <d v="1899-12-30T22:53:00"/>
    <d v="1899-12-30T23:59:00"/>
    <n v="0"/>
    <n v="1.1000000000000147"/>
    <n v="1.1000000000000147"/>
    <s v="SWG Charged"/>
    <s v="Close"/>
    <n v="4.7826086956522386E-2"/>
    <m/>
    <m/>
    <m/>
  </r>
  <r>
    <n v="418"/>
    <n v="2024"/>
    <n v="2023"/>
    <s v="Year_1"/>
    <d v="2023-06-08T00:00:00"/>
    <s v="KUD18"/>
    <s v="O2R4"/>
    <s v="SGDCIPL"/>
    <n v="4.3478260869565223E-2"/>
    <n v="900"/>
    <x v="79"/>
    <s v="Manually stop"/>
    <m/>
    <d v="1899-12-30T12:13:00"/>
    <d v="1899-12-30T12:13:00"/>
    <d v="1899-12-30T12:55:00"/>
    <n v="0"/>
    <n v="0.69999999999998419"/>
    <n v="0.69999999999998419"/>
    <m/>
    <s v="Close"/>
    <n v="3.043478260869497E-2"/>
    <m/>
    <m/>
    <m/>
  </r>
  <r>
    <n v="419"/>
    <n v="2024"/>
    <n v="2023"/>
    <s v="Year_1"/>
    <d v="2023-06-08T00:00:00"/>
    <s v="KUD19"/>
    <s v="O2R1"/>
    <s v="KSIPL"/>
    <n v="4.3478260869565223E-2"/>
    <n v="900"/>
    <x v="79"/>
    <s v="Manually stop"/>
    <m/>
    <d v="1899-12-30T09:47:00"/>
    <d v="1899-12-30T09:47:00"/>
    <d v="1899-12-30T14:03:00"/>
    <n v="0"/>
    <n v="4.2666666666666728"/>
    <n v="4.2666666666666728"/>
    <s v="Preventive Check for Dip Stick"/>
    <s v="Close"/>
    <n v="0.18550724637681187"/>
    <m/>
    <m/>
    <m/>
  </r>
  <r>
    <n v="420"/>
    <n v="2024"/>
    <n v="2023"/>
    <s v="Year_1"/>
    <d v="2023-06-08T00:00:00"/>
    <s v="KUD13"/>
    <s v="O2R1"/>
    <s v="KSIPL"/>
    <n v="4.3478260869565223E-2"/>
    <n v="900"/>
    <x v="79"/>
    <s v="Manually stop"/>
    <m/>
    <d v="1899-12-30T09:52:00"/>
    <d v="1899-12-30T09:52:00"/>
    <d v="1899-12-30T11:29:00"/>
    <n v="0"/>
    <n v="1.6166666666666649"/>
    <n v="1.6166666666666649"/>
    <s v="DDAU Configuartion Completed"/>
    <s v="Close"/>
    <n v="7.02898550724637E-2"/>
    <m/>
    <m/>
    <m/>
  </r>
  <r>
    <n v="421"/>
    <n v="2024"/>
    <n v="2023"/>
    <s v="Year_1"/>
    <d v="2023-06-09T00:00:00"/>
    <s v="KUD02"/>
    <s v="O2R3"/>
    <s v="JK"/>
    <n v="4.3478260869565223E-2"/>
    <n v="334"/>
    <x v="81"/>
    <s v="High cur.grid inv. L1:2158A"/>
    <m/>
    <d v="1899-12-30T00:50:00"/>
    <d v="1899-12-30T00:50:00"/>
    <d v="1899-12-30T03:09:00"/>
    <n v="0"/>
    <n v="2.3166666666666673"/>
    <n v="2.3166666666666673"/>
    <s v="SWG charged"/>
    <s v="Close"/>
    <n v="0.10072463768115947"/>
    <m/>
    <m/>
    <m/>
  </r>
  <r>
    <n v="422"/>
    <n v="2024"/>
    <n v="2023"/>
    <s v="Year_1"/>
    <d v="2023-06-09T00:00:00"/>
    <s v="KUD04"/>
    <s v="O2R3"/>
    <s v="JK"/>
    <n v="4.3478260869565223E-2"/>
    <n v="2956"/>
    <x v="82"/>
    <s v="SupplyError: Min    2V phase2"/>
    <m/>
    <d v="1899-12-30T00:50:00"/>
    <d v="1899-12-30T00:50:00"/>
    <d v="1899-12-30T03:22:00"/>
    <n v="0"/>
    <n v="2.533333333333339"/>
    <n v="2.533333333333339"/>
    <s v="SWG charged"/>
    <s v="Close"/>
    <n v="0.11014492753623215"/>
    <m/>
    <m/>
    <m/>
  </r>
  <r>
    <n v="423"/>
    <n v="2024"/>
    <n v="2023"/>
    <s v="Year_1"/>
    <d v="2023-06-09T00:00:00"/>
    <s v="KUD03"/>
    <s v="O2R1"/>
    <s v="KSIPL"/>
    <n v="4.3478260869565223E-2"/>
    <n v="315"/>
    <x v="83"/>
    <s v="ExEx low voltage L1:   2V"/>
    <m/>
    <d v="1899-12-30T00:46:00"/>
    <d v="1899-12-30T00:46:00"/>
    <d v="1899-12-30T01:13:00"/>
    <n v="0"/>
    <n v="0.4500000000000024"/>
    <n v="0.4500000000000024"/>
    <s v="manual reset in remote"/>
    <s v="Close"/>
    <n v="1.9565217391304453E-2"/>
    <m/>
    <m/>
    <m/>
  </r>
  <r>
    <n v="424"/>
    <n v="2024"/>
    <n v="2023"/>
    <s v="Year_1"/>
    <d v="2023-06-09T00:00:00"/>
    <s v="KUD03"/>
    <s v="O2R1"/>
    <s v="KSIPL"/>
    <n v="4.3478260869565223E-2"/>
    <n v="3632"/>
    <x v="84"/>
    <s v="Yaw To Nac Pos Reset Not Allwd"/>
    <m/>
    <d v="1899-12-30T16:04:00"/>
    <d v="1899-12-30T16:04:00"/>
    <d v="1899-12-30T16:13:00"/>
    <n v="0"/>
    <n v="0.15000000000000213"/>
    <n v="0.15000000000000213"/>
    <s v="manual reset in remote"/>
    <s v="Close"/>
    <n v="6.5217391304348759E-3"/>
    <m/>
    <m/>
    <m/>
  </r>
  <r>
    <n v="425"/>
    <n v="2024"/>
    <n v="2023"/>
    <s v="Year_1"/>
    <d v="2023-06-09T00:00:00"/>
    <s v="KUD06"/>
    <s v="O2R3"/>
    <s v="JK"/>
    <n v="4.3478260869565223E-2"/>
    <n v="6293"/>
    <x v="33"/>
    <s v="Pitch valves test active"/>
    <m/>
    <d v="1899-12-30T01:42:00"/>
    <d v="1899-12-30T01:42:00"/>
    <d v="1899-12-30T02:08:00"/>
    <n v="0"/>
    <n v="0.43333333333333446"/>
    <n v="0.43333333333333446"/>
    <s v="Manual reset"/>
    <s v="Close"/>
    <n v="1.8840579710144977E-2"/>
    <m/>
    <m/>
    <m/>
  </r>
  <r>
    <n v="426"/>
    <n v="2024"/>
    <n v="2023"/>
    <s v="Year_1"/>
    <d v="2023-06-09T00:00:00"/>
    <s v="KUD09"/>
    <s v="O2R3"/>
    <s v="JK"/>
    <n v="4.3478260869565223E-2"/>
    <n v="202"/>
    <x v="83"/>
    <s v="ExEx low voltage L1:   2V"/>
    <m/>
    <d v="1899-12-30T00:50:00"/>
    <d v="1899-12-30T00:50:00"/>
    <d v="1899-12-30T02:35:00"/>
    <n v="0"/>
    <n v="1.7500000000000031"/>
    <n v="1.7500000000000031"/>
    <s v="SWG charged"/>
    <s v="Close"/>
    <n v="7.6086956521739274E-2"/>
    <m/>
    <m/>
    <m/>
  </r>
  <r>
    <n v="427"/>
    <n v="2024"/>
    <n v="2023"/>
    <s v="Year_1"/>
    <d v="2023-06-09T00:00:00"/>
    <s v="KUD18"/>
    <s v="O2R4"/>
    <s v="SGDCIPL"/>
    <n v="4.3478260869565223E-2"/>
    <n v="202"/>
    <x v="85"/>
    <s v="Frequency error 1:   0.56 Hz"/>
    <m/>
    <d v="1899-12-30T00:50:00"/>
    <d v="1899-12-30T00:50:00"/>
    <d v="1899-12-30T02:35:00"/>
    <n v="0"/>
    <n v="1.7500000000000031"/>
    <n v="1.7500000000000031"/>
    <s v="SWG charged"/>
    <s v="Close"/>
    <n v="7.6086956521739274E-2"/>
    <m/>
    <m/>
    <m/>
  </r>
  <r>
    <n v="428"/>
    <n v="2024"/>
    <n v="2023"/>
    <s v="Year_1"/>
    <d v="2023-06-09T00:00:00"/>
    <s v="KUD18"/>
    <s v="O2R4"/>
    <s v="SGDCIPL"/>
    <n v="4.3478260869565223E-2"/>
    <n v="6293"/>
    <x v="33"/>
    <s v="Pitch valves test active"/>
    <m/>
    <d v="1899-12-30T00:46:00"/>
    <d v="1899-12-30T00:46:00"/>
    <d v="1899-12-30T01:13:00"/>
    <n v="0"/>
    <n v="0.4500000000000024"/>
    <n v="0.4500000000000024"/>
    <s v="Auto reset"/>
    <s v="Close"/>
    <n v="1.9565217391304453E-2"/>
    <m/>
    <m/>
    <m/>
  </r>
  <r>
    <n v="429"/>
    <n v="2024"/>
    <n v="2023"/>
    <s v="Year_1"/>
    <d v="2023-06-09T00:00:00"/>
    <s v="KUD06"/>
    <s v="O2R3"/>
    <s v="JK"/>
    <n v="4.3478260869565223E-2"/>
    <n v="900"/>
    <x v="79"/>
    <s v="Manually stop"/>
    <m/>
    <d v="1899-12-30T10:31:00"/>
    <d v="1899-12-30T10:31:00"/>
    <d v="1899-12-30T16:47:00"/>
    <n v="0"/>
    <n v="6.266666666666687"/>
    <n v="6.266666666666687"/>
    <s v="CT 6054 replacement.work."/>
    <s v="Close"/>
    <n v="0.27246376811594297"/>
    <m/>
    <m/>
    <m/>
  </r>
  <r>
    <n v="430"/>
    <n v="2024"/>
    <n v="2023"/>
    <s v="Year_1"/>
    <d v="2023-06-09T00:00:00"/>
    <s v="KUD07"/>
    <s v="O2R3"/>
    <s v="JK"/>
    <n v="4.3478260869565223E-2"/>
    <n v="202"/>
    <x v="86"/>
    <s v="Frequency error 1:   0.44 Hz"/>
    <m/>
    <d v="1899-12-30T00:46:00"/>
    <d v="1899-12-30T00:46:00"/>
    <d v="1899-12-30T01:13:00"/>
    <n v="0"/>
    <n v="0.4500000000000024"/>
    <n v="0.4500000000000024"/>
    <s v="Manual reset"/>
    <s v="Close"/>
    <n v="1.9565217391304453E-2"/>
    <m/>
    <m/>
    <m/>
  </r>
  <r>
    <n v="431"/>
    <n v="2024"/>
    <n v="2023"/>
    <s v="Year_1"/>
    <d v="2023-06-09T00:00:00"/>
    <s v="KUD10"/>
    <s v="O2R1"/>
    <s v="KSIPL"/>
    <n v="4.3478260869565223E-2"/>
    <n v="202"/>
    <x v="85"/>
    <s v="Frequency error 1:   0.56 Hz"/>
    <m/>
    <d v="1899-12-30T01:01:00"/>
    <d v="1899-12-30T01:01:00"/>
    <d v="1899-12-30T01:13:00"/>
    <n v="0"/>
    <n v="0.20000000000000162"/>
    <n v="0.20000000000000162"/>
    <s v="Manual reset"/>
    <s v="Close"/>
    <n v="8.6956521739131147E-3"/>
    <m/>
    <m/>
    <m/>
  </r>
  <r>
    <n v="432"/>
    <n v="2024"/>
    <n v="2023"/>
    <s v="Year_1"/>
    <d v="2023-06-09T00:00:00"/>
    <s v="KUD11"/>
    <s v="O2R1"/>
    <s v="KSIPL"/>
    <n v="4.3478260869565223E-2"/>
    <n v="202"/>
    <x v="85"/>
    <s v="Frequency error 1:   0.56 Hz"/>
    <m/>
    <d v="1899-12-30T01:01:00"/>
    <d v="1899-12-30T01:01:00"/>
    <d v="1899-12-30T01:13:00"/>
    <n v="0"/>
    <n v="0.20000000000000162"/>
    <n v="0.20000000000000162"/>
    <s v="Manual reset"/>
    <s v="Close"/>
    <n v="8.6956521739131147E-3"/>
    <m/>
    <m/>
    <m/>
  </r>
  <r>
    <n v="433"/>
    <n v="2024"/>
    <n v="2023"/>
    <s v="Year_1"/>
    <d v="2023-06-09T00:00:00"/>
    <s v="KUD12"/>
    <s v="O2R1"/>
    <s v="KSIPL"/>
    <n v="4.3478260869565223E-2"/>
    <n v="315"/>
    <x v="87"/>
    <s v="ExEx low voltage L2:   4V"/>
    <m/>
    <d v="1899-12-30T01:01:00"/>
    <d v="1899-12-30T01:01:00"/>
    <d v="1899-12-30T01:13:00"/>
    <n v="0"/>
    <n v="0.20000000000000162"/>
    <n v="0.20000000000000162"/>
    <s v="Manual reset"/>
    <s v="Close"/>
    <n v="8.6956521739131147E-3"/>
    <m/>
    <m/>
    <m/>
  </r>
  <r>
    <n v="434"/>
    <n v="2024"/>
    <n v="2023"/>
    <s v="Year_1"/>
    <d v="2023-06-09T00:00:00"/>
    <s v="KUD13"/>
    <s v="O2R1"/>
    <s v="KSIPL"/>
    <n v="4.3478260869565223E-2"/>
    <n v="202"/>
    <x v="85"/>
    <s v="Frequency error 1:   0.56 Hz"/>
    <m/>
    <d v="1899-12-30T01:01:00"/>
    <d v="1899-12-30T01:01:00"/>
    <d v="1899-12-30T01:13:00"/>
    <n v="0"/>
    <n v="0.20000000000000162"/>
    <n v="0.20000000000000162"/>
    <s v="Manual reset"/>
    <s v="Close"/>
    <n v="8.6956521739131147E-3"/>
    <m/>
    <m/>
    <m/>
  </r>
  <r>
    <n v="435"/>
    <n v="2024"/>
    <n v="2023"/>
    <s v="Year_1"/>
    <d v="2023-06-09T00:00:00"/>
    <s v="KUD14"/>
    <s v="O2R1"/>
    <s v="KSIPL"/>
    <n v="4.3478260869565223E-2"/>
    <n v="202"/>
    <x v="85"/>
    <s v="Frequency error 1:   0.56 Hz"/>
    <m/>
    <d v="1899-12-30T01:01:00"/>
    <d v="1899-12-30T01:01:00"/>
    <d v="1899-12-30T01:13:00"/>
    <n v="0"/>
    <n v="0.20000000000000162"/>
    <n v="0.20000000000000162"/>
    <s v="Manual reset"/>
    <s v="Close"/>
    <n v="8.6956521739131147E-3"/>
    <m/>
    <m/>
    <m/>
  </r>
  <r>
    <n v="436"/>
    <n v="2024"/>
    <n v="2023"/>
    <s v="Year_1"/>
    <d v="2023-06-09T00:00:00"/>
    <s v="KUD15"/>
    <s v="O2R1"/>
    <s v="KSIPL"/>
    <n v="4.3478260869565223E-2"/>
    <n v="202"/>
    <x v="85"/>
    <s v="Frequency error 1:   0.56 Hz"/>
    <m/>
    <d v="1899-12-30T01:01:00"/>
    <d v="1899-12-30T01:01:00"/>
    <d v="1899-12-30T01:13:00"/>
    <n v="0"/>
    <n v="0.20000000000000162"/>
    <n v="0.20000000000000162"/>
    <s v="Manual reset"/>
    <s v="Close"/>
    <n v="8.6956521739131147E-3"/>
    <m/>
    <m/>
    <m/>
  </r>
  <r>
    <n v="437"/>
    <n v="2024"/>
    <n v="2023"/>
    <s v="Year_1"/>
    <d v="2023-06-09T00:00:00"/>
    <s v="KUD19"/>
    <s v="O2R1"/>
    <s v="KSIPL"/>
    <n v="4.3478260869565223E-2"/>
    <n v="202"/>
    <x v="85"/>
    <s v="Frequency error 1:   0.56 Hz"/>
    <m/>
    <d v="1899-12-30T01:01:00"/>
    <d v="1899-12-30T01:01:00"/>
    <d v="1899-12-30T01:13:00"/>
    <n v="0"/>
    <n v="0.20000000000000162"/>
    <n v="0.20000000000000162"/>
    <s v="Manual reset"/>
    <s v="Close"/>
    <n v="8.6956521739131147E-3"/>
    <m/>
    <m/>
    <m/>
  </r>
  <r>
    <n v="438"/>
    <n v="2024"/>
    <n v="2023"/>
    <s v="Year_1"/>
    <d v="2023-06-09T00:00:00"/>
    <s v="KUD20"/>
    <s v="O2R1"/>
    <s v="KSIPL"/>
    <n v="4.3478260869565223E-2"/>
    <n v="204"/>
    <x v="88"/>
    <s v="Frequency error 3:   0.54 Hz"/>
    <m/>
    <d v="1899-12-30T01:01:00"/>
    <d v="1899-12-30T01:01:00"/>
    <d v="1899-12-30T01:13:00"/>
    <n v="0"/>
    <n v="0.20000000000000162"/>
    <n v="0.20000000000000162"/>
    <s v="Manual reset"/>
    <s v="Close"/>
    <n v="8.6956521739131147E-3"/>
    <m/>
    <m/>
    <m/>
  </r>
  <r>
    <n v="439"/>
    <n v="2024"/>
    <n v="2023"/>
    <s v="Year_1"/>
    <d v="2023-06-10T00:00:00"/>
    <s v="KUD01"/>
    <s v="O2R1"/>
    <s v="KSIPL"/>
    <n v="4.3478260869565223E-2"/>
    <n v="204"/>
    <x v="70"/>
    <s v="Ch hardware error C0"/>
    <m/>
    <d v="2023-06-10T11:11:21"/>
    <d v="2023-06-10T11:11:21"/>
    <d v="2023-06-10T11:19:11"/>
    <n v="0"/>
    <n v="0.13055555534083396"/>
    <n v="0.13055555534083396"/>
    <s v="manual reset"/>
    <s v="Close"/>
    <n v="5.6763284930797381E-3"/>
    <m/>
    <m/>
    <m/>
  </r>
  <r>
    <n v="440"/>
    <n v="2024"/>
    <n v="2023"/>
    <s v="Year_1"/>
    <d v="2023-06-10T00:00:00"/>
    <s v="KUD04"/>
    <s v="O2R3"/>
    <s v="JK"/>
    <n v="4.3478260869565223E-2"/>
    <n v="900"/>
    <x v="79"/>
    <s v="Manually stop"/>
    <m/>
    <d v="2023-06-10T11:34:14"/>
    <d v="2023-06-10T11:34:14"/>
    <d v="2023-06-10T13:30:36"/>
    <n v="0"/>
    <n v="1.9394444448407739"/>
    <n v="1.9394444448407739"/>
    <s v="OFC cable work "/>
    <s v="Close"/>
    <n v="8.4323671514816276E-2"/>
    <m/>
    <m/>
    <m/>
  </r>
  <r>
    <n v="441"/>
    <n v="2024"/>
    <n v="2023"/>
    <s v="Year_1"/>
    <d v="2023-06-10T00:00:00"/>
    <s v="KUD04"/>
    <s v="O2R3"/>
    <s v="JK"/>
    <n v="4.3478260869565223E-2"/>
    <n v="309"/>
    <x v="89"/>
    <s v="Pause over RCS 12"/>
    <m/>
    <d v="2023-06-10T17:56:59"/>
    <d v="2023-06-10T17:56:59"/>
    <d v="2023-06-10T19:00:08"/>
    <n v="0"/>
    <n v="1.0525000008638017"/>
    <n v="1.0525000008638017"/>
    <s v="OFC cable work "/>
    <s v="Close"/>
    <n v="4.5760869602773993E-2"/>
    <m/>
    <m/>
    <m/>
  </r>
  <r>
    <n v="442"/>
    <n v="2024"/>
    <n v="2023"/>
    <s v="Year_1"/>
    <d v="2023-06-10T00:00:00"/>
    <s v="KUD03"/>
    <s v="O2R1"/>
    <s v="KSIPL"/>
    <n v="4.3478260869565223E-2"/>
    <n v="3551"/>
    <x v="90"/>
    <s v="GearOilInletPressLow 1.1 bar"/>
    <m/>
    <d v="2023-06-10T11:11:21"/>
    <d v="2023-06-10T11:11:21"/>
    <d v="2023-06-10T11:19:52"/>
    <n v="0"/>
    <n v="0.14194444322492927"/>
    <n v="0.14194444322492927"/>
    <s v="manual reset"/>
    <s v="Close"/>
    <n v="6.1714975315186648E-3"/>
    <m/>
    <m/>
    <m/>
  </r>
  <r>
    <n v="443"/>
    <n v="2024"/>
    <n v="2023"/>
    <s v="Year_1"/>
    <d v="2023-06-10T00:00:00"/>
    <s v="KUD05"/>
    <s v="O2R3"/>
    <s v="JK"/>
    <n v="4.3478260869565223E-2"/>
    <n v="309"/>
    <x v="75"/>
    <s v="Pause over RCS 13"/>
    <m/>
    <d v="2023-06-10T11:16:35"/>
    <d v="2023-06-10T11:16:35"/>
    <d v="2023-06-10T13:59:34"/>
    <n v="0"/>
    <n v="2.7163888894720003"/>
    <n v="2.7163888894720003"/>
    <s v="OFC cable work "/>
    <s v="Close"/>
    <n v="0.11810386475965221"/>
    <m/>
    <m/>
    <m/>
  </r>
  <r>
    <n v="444"/>
    <n v="2024"/>
    <n v="2023"/>
    <s v="Year_1"/>
    <d v="2023-06-10T00:00:00"/>
    <s v="KUD05"/>
    <s v="O2R3"/>
    <s v="JK"/>
    <n v="4.3478260869565223E-2"/>
    <n v="707"/>
    <x v="70"/>
    <s v="Ch hardware error C0"/>
    <m/>
    <d v="2023-06-10T12:18:50"/>
    <d v="2023-06-10T12:18:50"/>
    <d v="2023-06-10T12:19:01"/>
    <n v="0"/>
    <n v="3.0555552220903337E-3"/>
    <n v="3.0555552220903337E-3"/>
    <s v="manual reset"/>
    <s v="Close"/>
    <n v="1.3285022704740584E-4"/>
    <m/>
    <m/>
    <m/>
  </r>
  <r>
    <n v="445"/>
    <n v="2024"/>
    <n v="2023"/>
    <s v="Year_1"/>
    <d v="2023-06-10T00:00:00"/>
    <s v="KUD05"/>
    <s v="O2R3"/>
    <s v="JK"/>
    <n v="4.3478260869565223E-2"/>
    <n v="309"/>
    <x v="89"/>
    <s v="Pause over RCS 12"/>
    <m/>
    <d v="2023-06-10T17:56:57"/>
    <d v="2023-06-10T17:56:57"/>
    <d v="2023-06-10T18:57:42"/>
    <n v="0"/>
    <n v="1.0125000000698492"/>
    <n v="1.0125000000698492"/>
    <s v="OFC cable work "/>
    <s v="Close"/>
    <n v="4.402173913347171E-2"/>
    <m/>
    <m/>
    <m/>
  </r>
  <r>
    <n v="446"/>
    <n v="2024"/>
    <n v="2023"/>
    <s v="Year_1"/>
    <d v="2023-06-10T00:00:00"/>
    <s v="KUD05"/>
    <s v="O2R3"/>
    <s v="JK"/>
    <n v="4.3478260869565223E-2"/>
    <n v="30"/>
    <x v="44"/>
    <s v="Internal sublogic error"/>
    <m/>
    <d v="2023-06-10T18:43:57"/>
    <d v="2023-06-10T18:43:57"/>
    <d v="2023-06-10T18:46:58"/>
    <n v="0"/>
    <n v="5.0277777656447142E-2"/>
    <n v="5.0277777656447142E-2"/>
    <s v="manual reset"/>
    <s v="Close"/>
    <n v="2.1859903328890064E-3"/>
    <m/>
    <m/>
    <m/>
  </r>
  <r>
    <n v="447"/>
    <n v="2024"/>
    <n v="2023"/>
    <s v="Year_1"/>
    <d v="2023-06-10T00:00:00"/>
    <s v="KUD06"/>
    <s v="O2R3"/>
    <s v="JK"/>
    <n v="4.3478260869565223E-2"/>
    <n v="6285"/>
    <x v="25"/>
    <s v="Blade loads calib. Active"/>
    <m/>
    <d v="2023-06-10T00:47:15"/>
    <d v="2023-06-10T00:47:15"/>
    <d v="2023-06-10T00:55:09"/>
    <n v="0"/>
    <n v="0.13166666636243463"/>
    <n v="0.13166666636243463"/>
    <s v="manual reset"/>
    <s v="Close"/>
    <n v="5.724637667931941E-3"/>
    <m/>
    <m/>
    <m/>
  </r>
  <r>
    <n v="448"/>
    <n v="2024"/>
    <n v="2023"/>
    <s v="Year_1"/>
    <d v="2023-06-10T00:00:00"/>
    <s v="KUD06"/>
    <s v="O2R3"/>
    <s v="JK"/>
    <n v="4.3478260869565223E-2"/>
    <n v="6293"/>
    <x v="33"/>
    <s v="Pitch valves test active"/>
    <m/>
    <d v="2023-06-10T11:34:14"/>
    <d v="2023-06-10T11:34:14"/>
    <d v="2023-06-10T11:41:21"/>
    <n v="0"/>
    <n v="0.11861111054895446"/>
    <n v="0.11861111054895446"/>
    <s v="manual reset"/>
    <s v="Close"/>
    <n v="5.1570048064762813E-3"/>
    <m/>
    <m/>
    <m/>
  </r>
  <r>
    <n v="449"/>
    <n v="2024"/>
    <n v="2023"/>
    <s v="Year_1"/>
    <d v="2023-06-10T00:00:00"/>
    <s v="KUD06"/>
    <s v="O2R3"/>
    <s v="JK"/>
    <n v="4.3478260869565223E-2"/>
    <n v="3633"/>
    <x v="21"/>
    <s v="Yaw System Stopped"/>
    <m/>
    <d v="2023-06-10T14:02:47"/>
    <d v="2023-06-10T14:02:47"/>
    <d v="2023-06-10T14:04:47"/>
    <n v="0"/>
    <n v="3.3333333616610616E-2"/>
    <n v="3.3333333616610616E-2"/>
    <s v="manual reset"/>
    <s v="Close"/>
    <n v="1.4492753746352444E-3"/>
    <m/>
    <m/>
    <m/>
  </r>
  <r>
    <n v="450"/>
    <n v="2024"/>
    <n v="2023"/>
    <s v="Year_1"/>
    <d v="2023-06-10T00:00:00"/>
    <s v="KUD07"/>
    <s v="O2R3"/>
    <s v="JK"/>
    <n v="4.3478260869565223E-2"/>
    <n v="6293"/>
    <x v="33"/>
    <s v="Pitch valves test active"/>
    <m/>
    <d v="2023-06-10T11:33:44"/>
    <d v="2023-06-10T11:33:44"/>
    <d v="2023-06-10T11:41:33"/>
    <n v="0"/>
    <n v="0.13027777679963037"/>
    <n v="0.13027777679963037"/>
    <s v="Auto reset"/>
    <s v="Close"/>
    <n v="5.6642511652013217E-3"/>
    <m/>
    <m/>
    <m/>
  </r>
  <r>
    <n v="451"/>
    <n v="2024"/>
    <n v="2023"/>
    <s v="Year_1"/>
    <d v="2023-06-10T00:00:00"/>
    <s v="KUD08"/>
    <s v="O2R3"/>
    <s v="JK"/>
    <n v="4.3478260869565223E-2"/>
    <n v="202"/>
    <x v="40"/>
    <s v="HVCB Unknown Trip Reason"/>
    <m/>
    <d v="2023-06-09T00:00:10"/>
    <d v="2023-06-09T00:00:10"/>
    <d v="2023-06-10T19:23:58"/>
    <n v="0"/>
    <n v="43.396666668006219"/>
    <n v="43.396666668006219"/>
    <s v="KUD08 SWG to HT yard power cable replacemnt work"/>
    <s v="Close"/>
    <n v="1.8868115942611403"/>
    <m/>
    <m/>
    <m/>
  </r>
  <r>
    <n v="452"/>
    <n v="2024"/>
    <n v="2023"/>
    <s v="Year_1"/>
    <d v="2023-06-10T00:00:00"/>
    <s v="KUD09"/>
    <s v="O2R3"/>
    <s v="JK"/>
    <n v="4.3478260869565223E-2"/>
    <n v="309"/>
    <x v="75"/>
    <s v="Pause over RCS 13"/>
    <m/>
    <d v="2023-06-10T11:34:14"/>
    <d v="2023-06-10T11:34:14"/>
    <d v="2023-06-10T12:24:24"/>
    <n v="0"/>
    <n v="0.83611110976198688"/>
    <n v="0.83611110976198688"/>
    <s v="OFC cable work "/>
    <s v="Close"/>
    <n v="3.6352656946173345E-2"/>
    <m/>
    <m/>
    <m/>
  </r>
  <r>
    <n v="453"/>
    <n v="2024"/>
    <n v="2023"/>
    <s v="Year_1"/>
    <d v="2023-06-10T00:00:00"/>
    <s v="KUD09"/>
    <s v="O2R3"/>
    <s v="JK"/>
    <n v="4.3478260869565223E-2"/>
    <n v="6293"/>
    <x v="33"/>
    <s v="Pitch valves test active"/>
    <m/>
    <d v="2023-06-10T12:27:00"/>
    <d v="2023-06-10T12:27:00"/>
    <d v="2023-06-10T12:33:51"/>
    <n v="0"/>
    <n v="0.11416666558943689"/>
    <n v="0.11416666558943689"/>
    <s v="Auto reset"/>
    <s v="Close"/>
    <n v="4.9637680691059522E-3"/>
    <m/>
    <m/>
    <m/>
  </r>
  <r>
    <n v="454"/>
    <n v="2024"/>
    <n v="2023"/>
    <s v="Year_1"/>
    <d v="2023-06-10T00:00:00"/>
    <s v="KUD09"/>
    <s v="O2R3"/>
    <s v="JK"/>
    <n v="4.3478260869565223E-2"/>
    <n v="6290"/>
    <x v="91"/>
    <s v="Pitch accu. test active"/>
    <m/>
    <d v="2023-06-10T15:37:50"/>
    <d v="2023-06-10T15:37:50"/>
    <d v="2023-06-10T15:42:54"/>
    <n v="0"/>
    <n v="8.4444446372799575E-2"/>
    <n v="8.4444446372799575E-2"/>
    <s v="Auto reset"/>
    <s v="Close"/>
    <n v="3.6714976683825907E-3"/>
    <m/>
    <m/>
    <m/>
  </r>
  <r>
    <n v="455"/>
    <n v="2024"/>
    <n v="2023"/>
    <s v="Year_1"/>
    <d v="2023-06-10T00:00:00"/>
    <s v="KUD09"/>
    <s v="O2R3"/>
    <s v="JK"/>
    <n v="4.3478260869565223E-2"/>
    <n v="309"/>
    <x v="92"/>
    <s v="Pause over RCS 14"/>
    <m/>
    <d v="2023-06-10T16:42:06"/>
    <d v="2023-06-10T16:42:06"/>
    <d v="2023-06-10T19:42:52"/>
    <n v="0"/>
    <n v="3.0127777776215225"/>
    <n v="3.0127777776215225"/>
    <s v="OFC cable work "/>
    <s v="Close"/>
    <n v="0.13099033815745753"/>
    <m/>
    <m/>
    <m/>
  </r>
  <r>
    <n v="456"/>
    <n v="2024"/>
    <n v="2023"/>
    <s v="Year_1"/>
    <d v="2023-06-10T00:00:00"/>
    <s v="KUD12"/>
    <s v="O2R1"/>
    <s v="KSIPL"/>
    <n v="4.3478260869565223E-2"/>
    <n v="6284"/>
    <x v="41"/>
    <s v="EMC valves test active"/>
    <m/>
    <d v="2023-06-10T11:11:11"/>
    <d v="2023-06-10T11:11:11"/>
    <d v="2023-06-10T11:32:13"/>
    <n v="0"/>
    <n v="0.35055555595317855"/>
    <n v="0.35055555595317855"/>
    <s v="Auto reset"/>
    <s v="Close"/>
    <n v="1.5241545911007764E-2"/>
    <m/>
    <m/>
    <m/>
  </r>
  <r>
    <n v="457"/>
    <n v="2024"/>
    <n v="2023"/>
    <s v="Year_1"/>
    <d v="2023-06-10T00:00:00"/>
    <s v="KUD13"/>
    <s v="O2R1"/>
    <s v="KSIPL"/>
    <n v="4.3478260869565223E-2"/>
    <n v="900"/>
    <x v="79"/>
    <s v="Manually stop"/>
    <m/>
    <d v="2023-06-10T11:32:05"/>
    <d v="2023-06-10T11:32:05"/>
    <d v="2023-06-10T12:29:08"/>
    <n v="0"/>
    <n v="0.95083333452930674"/>
    <n v="0.95083333452930674"/>
    <s v="HSS sensor replacement work"/>
    <s v="Close"/>
    <n v="4.1340579762143774E-2"/>
    <m/>
    <m/>
    <m/>
  </r>
  <r>
    <n v="458"/>
    <n v="2024"/>
    <n v="2023"/>
    <s v="Year_1"/>
    <d v="2023-06-10T00:00:00"/>
    <s v="KUD14"/>
    <s v="O2R1"/>
    <s v="KSIPL"/>
    <n v="4.3478260869565223E-2"/>
    <n v="707"/>
    <x v="70"/>
    <s v="Ch hardware error C0"/>
    <m/>
    <d v="2023-06-10T11:11:11"/>
    <d v="2023-06-10T11:11:11"/>
    <d v="2023-06-10T11:20:26"/>
    <n v="0"/>
    <n v="0.15416666638338938"/>
    <n v="0.15416666638338938"/>
    <s v="manual reset"/>
    <s v="Close"/>
    <n v="6.7028985384082352E-3"/>
    <m/>
    <m/>
    <m/>
  </r>
  <r>
    <n v="459"/>
    <n v="2024"/>
    <n v="2023"/>
    <s v="Year_1"/>
    <d v="2023-06-10T00:00:00"/>
    <s v="KUD15"/>
    <s v="O2R1"/>
    <s v="KSIPL"/>
    <n v="4.3478260869565223E-2"/>
    <n v="900"/>
    <x v="79"/>
    <s v="Manually stop"/>
    <m/>
    <d v="2023-06-10T00:00:52"/>
    <d v="2023-06-10T00:21:52"/>
    <d v="2023-06-10T02:31:53"/>
    <n v="0.34999999922001734"/>
    <n v="2.1669444431900047"/>
    <n v="2.516944442410022"/>
    <s v="Replaced 610-04-Q4 contractor"/>
    <s v="Close"/>
    <n v="0.10943236706130532"/>
    <m/>
    <m/>
    <m/>
  </r>
  <r>
    <n v="460"/>
    <n v="2024"/>
    <n v="2023"/>
    <s v="Year_1"/>
    <d v="2023-06-10T00:00:00"/>
    <s v="KUD15"/>
    <s v="O2R1"/>
    <s v="KSIPL"/>
    <n v="4.3478260869565223E-2"/>
    <n v="707"/>
    <x v="70"/>
    <s v="Ch hardware error C0"/>
    <m/>
    <d v="2023-06-10T11:20:34"/>
    <d v="2023-06-10T11:20:34"/>
    <d v="2023-06-10T11:20:45"/>
    <n v="0"/>
    <n v="3.0555576668120921E-3"/>
    <n v="3.0555576668120921E-3"/>
    <s v="manual reset"/>
    <s v="Close"/>
    <n v="1.328503333396562E-4"/>
    <m/>
    <m/>
    <m/>
  </r>
  <r>
    <n v="461"/>
    <n v="2024"/>
    <n v="2023"/>
    <s v="Year_1"/>
    <d v="2023-06-10T00:00:00"/>
    <s v="KUD16"/>
    <s v="O2R2"/>
    <s v="SIL"/>
    <n v="4.3478260869565223E-2"/>
    <n v="4235"/>
    <x v="93"/>
    <s v="Gen Stator CB Open"/>
    <m/>
    <d v="2023-06-10T11:39:50"/>
    <d v="2023-06-10T11:39:50"/>
    <d v="2023-06-10T11:45:20"/>
    <n v="0"/>
    <n v="9.1666665568482131E-2"/>
    <n v="9.1666665568482131E-2"/>
    <s v="manual reset"/>
    <s v="Close"/>
    <n v="3.985507198629658E-3"/>
    <m/>
    <m/>
    <m/>
  </r>
  <r>
    <n v="462"/>
    <n v="2024"/>
    <n v="2023"/>
    <s v="Year_1"/>
    <d v="2023-06-10T00:00:00"/>
    <s v="KUD16"/>
    <s v="O2R2"/>
    <s v="SIL"/>
    <n v="4.3478260869565223E-2"/>
    <n v="6293"/>
    <x v="33"/>
    <s v="Pitch valves test active"/>
    <m/>
    <d v="2023-06-10T11:45:20"/>
    <d v="2023-06-10T11:45:20"/>
    <d v="2023-06-10T11:51:42"/>
    <n v="0"/>
    <n v="0.10611111129401252"/>
    <n v="0.10611111129401252"/>
    <s v="Auto reset"/>
    <s v="Close"/>
    <n v="4.6135265780005447E-3"/>
    <m/>
    <m/>
    <m/>
  </r>
  <r>
    <n v="463"/>
    <n v="2024"/>
    <n v="2023"/>
    <s v="Year_1"/>
    <d v="2023-06-10T00:00:00"/>
    <s v="KUD18"/>
    <s v="O2R4"/>
    <s v="SGDCIPL"/>
    <n v="4.3478260869565223E-2"/>
    <n v="6293"/>
    <x v="33"/>
    <s v="Pitch valves test active"/>
    <m/>
    <d v="2023-06-10T11:32:30"/>
    <d v="2023-06-10T11:32:30"/>
    <d v="2023-06-10T11:39:54"/>
    <n v="0"/>
    <n v="0.12333333352580667"/>
    <n v="0.12333333352580667"/>
    <s v="Auto reset"/>
    <s v="Close"/>
    <n v="5.3623188489481163E-3"/>
    <m/>
    <m/>
    <m/>
  </r>
  <r>
    <n v="464"/>
    <n v="2024"/>
    <n v="2023"/>
    <s v="Year_1"/>
    <d v="2023-06-10T00:00:00"/>
    <s v="KUD20"/>
    <s v="O2R1"/>
    <s v="KSIPL"/>
    <n v="4.3478260869565223E-2"/>
    <n v="6293"/>
    <x v="33"/>
    <s v="Pitch valves test active"/>
    <m/>
    <d v="2023-06-10T11:12:32"/>
    <d v="2023-06-10T11:12:32"/>
    <d v="2023-06-10T11:19:53"/>
    <n v="0"/>
    <n v="0.12250000087078661"/>
    <n v="0.12250000087078661"/>
    <s v="Auto reset"/>
    <s v="Close"/>
    <n v="5.3260869943820271E-3"/>
    <m/>
    <m/>
    <m/>
  </r>
  <r>
    <n v="465"/>
    <n v="2024"/>
    <n v="2023"/>
    <s v="Year_1"/>
    <d v="2023-06-11T00:00:00"/>
    <s v="KUD21"/>
    <s v="O2R3"/>
    <s v="JK"/>
    <n v="4.3478260869565223E-2"/>
    <n v="5195"/>
    <x v="49"/>
    <s v="Prop Valve A Status Fault"/>
    <m/>
    <d v="1899-12-30T00:00:00"/>
    <d v="1899-12-30T00:00:00"/>
    <d v="1899-12-30T09:22:00"/>
    <n v="0"/>
    <n v="9.3666666666666725"/>
    <n v="9.3666666666666725"/>
    <s v="Troubleshoot done "/>
    <s v="Close"/>
    <n v="0.40724637681159453"/>
    <m/>
    <m/>
    <m/>
  </r>
  <r>
    <n v="466"/>
    <n v="2024"/>
    <n v="2023"/>
    <s v="Year_1"/>
    <d v="2023-06-12T00:00:00"/>
    <s v="KUD03"/>
    <s v="O2R1"/>
    <s v="KSIPL"/>
    <n v="4.3478260869565223E-2"/>
    <n v="900"/>
    <x v="79"/>
    <s v="Manual Stop for A Service "/>
    <m/>
    <d v="1899-12-30T09:25:00"/>
    <d v="1899-12-30T09:25:00"/>
    <d v="1899-12-30T17:45:00"/>
    <n v="0"/>
    <n v="8.3333333333333286"/>
    <n v="8.3333333333333286"/>
    <s v="A- service Day -01 work activity done ."/>
    <s v="Close"/>
    <n v="0.36231884057970998"/>
    <m/>
    <m/>
    <m/>
  </r>
  <r>
    <n v="467"/>
    <n v="2024"/>
    <n v="2023"/>
    <s v="Year_1"/>
    <d v="2023-06-12T00:00:00"/>
    <s v="KUD01"/>
    <s v="O2R1"/>
    <s v="KSIPL"/>
    <n v="4.3478260869565223E-2"/>
    <n v="900"/>
    <x v="79"/>
    <s v="Manual Stop for Ground controller "/>
    <m/>
    <d v="1899-12-30T10:22:00"/>
    <d v="1899-12-30T10:22:00"/>
    <d v="1899-12-30T10:50:00"/>
    <n v="0"/>
    <n v="0.46666666666667966"/>
    <n v="0.46666666666667966"/>
    <s v="Ground controller time setting done"/>
    <s v="Close"/>
    <n v="2.0289855072464336E-2"/>
    <m/>
    <m/>
    <m/>
  </r>
  <r>
    <n v="468"/>
    <n v="2024"/>
    <n v="2023"/>
    <s v="Year_1"/>
    <d v="2023-06-13T00:00:00"/>
    <s v="KUD03"/>
    <s v="O2R1"/>
    <s v="KSIPL"/>
    <n v="4.3478260869565223E-2"/>
    <n v="3298"/>
    <x v="47"/>
    <s v="WTG stop due to warning"/>
    <m/>
    <d v="1899-12-30T04:03:49"/>
    <d v="1899-12-30T04:03:49"/>
    <d v="1899-12-30T04:12:06"/>
    <n v="0"/>
    <n v="0.13805555555553606"/>
    <n v="0.13805555555553606"/>
    <s v="manual reset "/>
    <s v="Close"/>
    <n v="6.0024154589363513E-3"/>
    <m/>
    <m/>
    <m/>
  </r>
  <r>
    <n v="469"/>
    <n v="2024"/>
    <n v="2023"/>
    <s v="Year_1"/>
    <d v="2023-06-13T00:00:00"/>
    <s v="KUD03"/>
    <s v="O2R1"/>
    <s v="KSIPL"/>
    <n v="4.3478260869565223E-2"/>
    <n v="900"/>
    <x v="79"/>
    <s v="WTG manual stop for A-service "/>
    <m/>
    <d v="1899-12-30T09:39:22"/>
    <d v="1899-12-30T09:39:22"/>
    <d v="1899-12-30T16:53:05"/>
    <n v="0"/>
    <n v="7.2286111111111211"/>
    <n v="7.2286111111111211"/>
    <s v="A- service Day -02 work activity done ."/>
    <s v="Close"/>
    <n v="0.31428743961352706"/>
    <m/>
    <m/>
    <m/>
  </r>
  <r>
    <n v="470"/>
    <n v="2024"/>
    <n v="2023"/>
    <s v="Year_1"/>
    <d v="2023-06-13T00:00:00"/>
    <s v="KUD05"/>
    <s v="O2R3"/>
    <s v="JK"/>
    <n v="4.3478260869565223E-2"/>
    <n v="900"/>
    <x v="79"/>
    <s v="WTG stop for CMS configration  "/>
    <m/>
    <d v="1899-12-30T10:16:59"/>
    <d v="1899-12-30T10:16:59"/>
    <d v="1899-12-30T10:42:46"/>
    <n v="0"/>
    <n v="0.42972222222223166"/>
    <n v="0.42972222222223166"/>
    <s v="CMS configuration done "/>
    <s v="Close"/>
    <n v="1.8683574879227467E-2"/>
    <m/>
    <m/>
    <m/>
  </r>
  <r>
    <n v="471"/>
    <n v="2024"/>
    <n v="2023"/>
    <s v="Year_1"/>
    <d v="2023-06-13T00:00:00"/>
    <s v="KUD05"/>
    <s v="O2R3"/>
    <s v="JK"/>
    <n v="4.3478260869565223E-2"/>
    <n v="6285"/>
    <x v="25"/>
    <s v="WTG stop due to warning"/>
    <m/>
    <d v="1899-12-30T23:36:47"/>
    <d v="1899-12-30T23:36:47"/>
    <d v="1899-12-30T23:54:46"/>
    <n v="0"/>
    <n v="0.29972222222222467"/>
    <n v="0.29972222222222467"/>
    <s v="manual reset "/>
    <s v="Close"/>
    <n v="1.3031400966183684E-2"/>
    <m/>
    <m/>
    <m/>
  </r>
  <r>
    <n v="472"/>
    <n v="2024"/>
    <n v="2023"/>
    <s v="Year_1"/>
    <d v="2023-06-13T00:00:00"/>
    <s v="KUD22"/>
    <s v="O2R3"/>
    <s v="JK"/>
    <n v="4.3478260869565223E-2"/>
    <n v="165"/>
    <x v="94"/>
    <s v="Low oil-level, hydraulic"/>
    <m/>
    <d v="1899-12-30T11:27:03"/>
    <d v="1899-12-30T11:27:03"/>
    <d v="1899-12-30T13:51:23"/>
    <n v="0"/>
    <n v="2.4055555555555435"/>
    <n v="2.4055555555555435"/>
    <s v="Gear oil sensor replaced "/>
    <s v="Close"/>
    <n v="0.10458937198067582"/>
    <m/>
    <m/>
    <m/>
  </r>
  <r>
    <n v="473"/>
    <n v="2024"/>
    <n v="2023"/>
    <s v="Year_1"/>
    <d v="2023-06-13T00:00:00"/>
    <s v="KUD23"/>
    <s v="O2R3"/>
    <s v="JK"/>
    <n v="4.3478260869565223E-2"/>
    <n v="900"/>
    <x v="79"/>
    <s v="WTG stop for CMS configuration  "/>
    <m/>
    <d v="1899-12-30T11:04:44"/>
    <d v="1899-12-30T11:04:44"/>
    <d v="1899-12-30T11:31:17"/>
    <n v="0"/>
    <n v="0.44249999999999989"/>
    <n v="0.44249999999999989"/>
    <s v="CMS configuration done "/>
    <s v="Close"/>
    <n v="1.9239130434782606E-2"/>
    <m/>
    <m/>
    <m/>
  </r>
  <r>
    <n v="474"/>
    <n v="2024"/>
    <n v="2023"/>
    <s v="Year_1"/>
    <d v="2023-06-14T00:00:00"/>
    <s v="KUD02"/>
    <s v="O2R3"/>
    <s v="JK"/>
    <n v="4.3478260869565223E-2"/>
    <n v="6293"/>
    <x v="33"/>
    <s v="Test function after the feeder charge"/>
    <m/>
    <d v="1899-12-30T16:15:16"/>
    <d v="1899-12-30T16:15:16"/>
    <d v="1899-12-30T16:23:16"/>
    <n v="0"/>
    <n v="0.13333333333331954"/>
    <n v="0.13333333333331954"/>
    <s v="Auto reset"/>
    <s v="Close"/>
    <n v="5.797101449274763E-3"/>
    <m/>
    <m/>
    <m/>
  </r>
  <r>
    <n v="475"/>
    <n v="2024"/>
    <n v="2023"/>
    <s v="Year_1"/>
    <d v="2023-06-14T00:00:00"/>
    <s v="KUD02"/>
    <s v="O2R3"/>
    <s v="JK"/>
    <n v="4.3478260869565223E-2"/>
    <n v="100"/>
    <x v="95"/>
    <s v="WTG stop due to warning"/>
    <m/>
    <d v="1899-12-30T16:23:16"/>
    <d v="1899-12-30T16:23:16"/>
    <d v="1899-12-30T18:03:16"/>
    <n v="0"/>
    <n v="1.6666666666666794"/>
    <n v="1.6666666666666794"/>
    <s v="Hard Reboot and Restore the WTG"/>
    <s v="Close"/>
    <n v="7.2463768115942587E-2"/>
    <m/>
    <m/>
    <m/>
  </r>
  <r>
    <n v="476"/>
    <n v="2024"/>
    <n v="2023"/>
    <s v="Year_1"/>
    <d v="2023-06-14T00:00:00"/>
    <s v="KUD04"/>
    <s v="O2R3"/>
    <s v="JK"/>
    <n v="4.3478260869565223E-2"/>
    <n v="6290"/>
    <x v="91"/>
    <s v="Test function after the feeder charge"/>
    <m/>
    <d v="1899-12-30T16:15:16"/>
    <d v="1899-12-30T16:15:16"/>
    <d v="1899-12-30T16:21:55"/>
    <n v="0"/>
    <n v="0.11083333333332135"/>
    <n v="0.11083333333332135"/>
    <s v="Auto reset"/>
    <s v="Close"/>
    <n v="4.8188405797096245E-3"/>
    <m/>
    <m/>
    <m/>
  </r>
  <r>
    <n v="477"/>
    <n v="2024"/>
    <n v="2023"/>
    <s v="Year_1"/>
    <d v="2023-06-14T00:00:00"/>
    <s v="KUD05"/>
    <s v="O2R3"/>
    <s v="JK"/>
    <n v="4.3478260869565223E-2"/>
    <n v="6285"/>
    <x v="25"/>
    <s v="WTG stop due to warning"/>
    <m/>
    <d v="1899-12-30T07:54:52"/>
    <d v="1899-12-30T07:54:52"/>
    <d v="1899-12-30T07:58:10"/>
    <n v="0"/>
    <n v="5.4999999999983284E-2"/>
    <n v="5.4999999999983284E-2"/>
    <s v="maual reset"/>
    <s v="Close"/>
    <n v="2.3913043478253604E-3"/>
    <m/>
    <m/>
    <m/>
  </r>
  <r>
    <n v="478"/>
    <n v="2024"/>
    <n v="2023"/>
    <s v="Year_1"/>
    <d v="2023-06-14T00:00:00"/>
    <s v="KUD05"/>
    <s v="O2R3"/>
    <s v="JK"/>
    <n v="4.3478260869565223E-2"/>
    <n v="100"/>
    <x v="96"/>
    <s v="WTG stop due to warning"/>
    <m/>
    <d v="1899-12-30T16:15:07"/>
    <d v="1899-12-30T16:15:07"/>
    <d v="1899-12-30T17:21:50"/>
    <n v="0"/>
    <n v="1.1119444444444335"/>
    <n v="1.1119444444444335"/>
    <s v="Hard Reboot and Restore the WTG"/>
    <s v="Close"/>
    <n v="4.8345410628018858E-2"/>
    <m/>
    <m/>
    <m/>
  </r>
  <r>
    <n v="479"/>
    <n v="2024"/>
    <n v="2023"/>
    <s v="Year_1"/>
    <d v="2023-06-14T00:00:00"/>
    <s v="KUD06"/>
    <s v="O2R3"/>
    <s v="JK"/>
    <n v="4.3478260869565223E-2"/>
    <n v="6293"/>
    <x v="33"/>
    <s v="Test function after the feeder charge"/>
    <m/>
    <d v="1899-12-30T16:14:59"/>
    <d v="1899-12-30T16:14:59"/>
    <d v="1899-12-30T16:23:08"/>
    <n v="0"/>
    <n v="0.13583333333332792"/>
    <n v="0.13583333333332792"/>
    <s v="Auto reset"/>
    <s v="Close"/>
    <n v="5.905797101449041E-3"/>
    <m/>
    <m/>
    <m/>
  </r>
  <r>
    <n v="480"/>
    <n v="2024"/>
    <n v="2023"/>
    <s v="Year_1"/>
    <d v="2023-06-14T00:00:00"/>
    <s v="KUD07"/>
    <s v="O2R3"/>
    <s v="JK"/>
    <n v="4.3478260869565223E-2"/>
    <n v="900"/>
    <x v="79"/>
    <s v="Oil sample collection work"/>
    <m/>
    <d v="1899-12-30T12:38:52"/>
    <d v="1899-12-30T12:38:52"/>
    <d v="1899-12-30T14:08:00"/>
    <n v="0"/>
    <n v="1.4855555555555515"/>
    <n v="1.4855555555555515"/>
    <s v="Oil sample collected"/>
    <s v="Close"/>
    <n v="6.4589371980676158E-2"/>
    <m/>
    <m/>
    <m/>
  </r>
  <r>
    <n v="481"/>
    <n v="2024"/>
    <n v="2023"/>
    <s v="Year_1"/>
    <d v="2023-06-14T00:00:00"/>
    <s v="KUD09"/>
    <s v="O2R3"/>
    <s v="JK"/>
    <n v="4.3478260869565223E-2"/>
    <n v="900"/>
    <x v="79"/>
    <s v="WTG stop for CMS configration  "/>
    <m/>
    <d v="1899-12-30T10:40:31"/>
    <d v="1899-12-30T10:40:31"/>
    <d v="1899-12-30T11:07:31"/>
    <n v="0"/>
    <n v="0.44999999999999973"/>
    <n v="0.44999999999999973"/>
    <s v="CMS configuration done "/>
    <s v="Close"/>
    <n v="1.9565217391304339E-2"/>
    <m/>
    <m/>
    <m/>
  </r>
  <r>
    <n v="482"/>
    <n v="2024"/>
    <n v="2023"/>
    <s v="Year_1"/>
    <d v="2023-06-14T00:00:00"/>
    <s v="KUD09"/>
    <s v="O2R3"/>
    <s v="JK"/>
    <n v="4.3478260869565223E-2"/>
    <n v="6293"/>
    <x v="33"/>
    <s v="Test function after the feeder charge"/>
    <m/>
    <d v="1899-12-30T16:15:31"/>
    <d v="1899-12-30T16:15:31"/>
    <d v="1899-12-30T16:25:19"/>
    <n v="0"/>
    <n v="0.1633333333333189"/>
    <n v="0.1633333333333189"/>
    <s v="Auto reset"/>
    <s v="Close"/>
    <n v="7.1014492753616919E-3"/>
    <m/>
    <m/>
    <m/>
  </r>
  <r>
    <n v="483"/>
    <n v="2024"/>
    <n v="2023"/>
    <s v="Year_1"/>
    <d v="2023-06-14T00:00:00"/>
    <s v="KUD15"/>
    <s v="O2R1"/>
    <s v="KSIPL"/>
    <n v="4.3478260869565223E-2"/>
    <n v="900"/>
    <x v="79"/>
    <s v="Manual Stop for A Service "/>
    <m/>
    <d v="1899-12-30T09:20:50"/>
    <d v="1899-12-30T09:20:50"/>
    <d v="1899-12-30T17:10:02"/>
    <n v="0"/>
    <n v="7.8199999999999914"/>
    <n v="7.8199999999999914"/>
    <s v="A- service Day -01 work activity done ."/>
    <s v="Close"/>
    <n v="0.33999999999999969"/>
    <m/>
    <m/>
    <m/>
  </r>
  <r>
    <n v="484"/>
    <n v="2024"/>
    <n v="2023"/>
    <s v="Year_1"/>
    <d v="2023-06-14T00:00:00"/>
    <s v="KUD16"/>
    <s v="O2R2"/>
    <s v="SIL"/>
    <n v="4.3478260869565223E-2"/>
    <n v="6293"/>
    <x v="33"/>
    <s v="Test function after the feeder charge"/>
    <m/>
    <d v="1899-12-30T16:15:02"/>
    <d v="1899-12-30T16:15:02"/>
    <d v="1899-12-30T16:33:47"/>
    <n v="0"/>
    <n v="0.31250000000001688"/>
    <n v="0.31250000000001688"/>
    <s v="Auto reset"/>
    <s v="Close"/>
    <n v="1.3586956521739866E-2"/>
    <m/>
    <m/>
    <m/>
  </r>
  <r>
    <n v="485"/>
    <n v="2024"/>
    <n v="2023"/>
    <s v="Year_1"/>
    <d v="2023-06-14T00:00:00"/>
    <s v="KUD18"/>
    <s v="O2R4"/>
    <s v="SGDCIPL"/>
    <n v="4.3478260869565223E-2"/>
    <n v="900"/>
    <x v="79"/>
    <s v="WTG stop for CMS configration  "/>
    <m/>
    <d v="1899-12-30T11:30:20"/>
    <d v="1899-12-30T11:30:20"/>
    <d v="1899-12-30T12:06:11"/>
    <n v="0"/>
    <n v="0.59749999999999082"/>
    <n v="0.59749999999999082"/>
    <s v="CMS configuration done "/>
    <s v="Close"/>
    <n v="2.5978260869564822E-2"/>
    <m/>
    <m/>
    <m/>
  </r>
  <r>
    <n v="486"/>
    <n v="2024"/>
    <n v="2023"/>
    <s v="Year_1"/>
    <d v="2023-06-14T00:00:00"/>
    <s v="KUD18"/>
    <s v="O2R4"/>
    <s v="SGDCIPL"/>
    <n v="4.3478260869565223E-2"/>
    <n v="6293"/>
    <x v="33"/>
    <s v="Test function after the feeder charge"/>
    <m/>
    <d v="1899-12-30T16:14:05"/>
    <d v="1899-12-30T16:14:05"/>
    <d v="1899-12-30T16:21:38"/>
    <n v="0"/>
    <n v="0.12583333333334501"/>
    <n v="0.12583333333334501"/>
    <s v="Auto reset"/>
    <s v="Close"/>
    <n v="5.4710144927541315E-3"/>
    <m/>
    <m/>
    <m/>
  </r>
  <r>
    <n v="487"/>
    <n v="2024"/>
    <n v="2023"/>
    <s v="Year_1"/>
    <d v="2023-06-14T00:00:00"/>
    <s v="KUD21"/>
    <s v="O2R3"/>
    <s v="JK"/>
    <n v="4.3478260869565223E-2"/>
    <n v="6293"/>
    <x v="33"/>
    <s v="Test function after the feeder charge"/>
    <m/>
    <d v="1899-12-30T16:14:33"/>
    <d v="1899-12-30T16:14:33"/>
    <d v="1899-12-30T16:35:20"/>
    <n v="0"/>
    <n v="0.34638888888890396"/>
    <n v="0.34638888888890396"/>
    <s v="Auto reset"/>
    <s v="Close"/>
    <n v="1.5060386473430609E-2"/>
    <m/>
    <m/>
    <m/>
  </r>
  <r>
    <n v="488"/>
    <n v="2024"/>
    <n v="2023"/>
    <s v="Year_1"/>
    <d v="2023-06-14T00:00:00"/>
    <s v="KUD22"/>
    <s v="O2R3"/>
    <s v="JK"/>
    <n v="4.3478260869565223E-2"/>
    <n v="6293"/>
    <x v="33"/>
    <s v="Test function after the feeder charge"/>
    <m/>
    <d v="1899-12-30T16:15:00"/>
    <d v="1899-12-30T16:15:00"/>
    <d v="1899-12-30T16:21:03"/>
    <n v="0"/>
    <n v="0.10083333333333577"/>
    <n v="0.10083333333333577"/>
    <s v="Auto reset"/>
    <s v="Close"/>
    <n v="4.3840579710145997E-3"/>
    <m/>
    <m/>
    <m/>
  </r>
  <r>
    <n v="489"/>
    <n v="2024"/>
    <n v="2023"/>
    <s v="Year_1"/>
    <d v="2023-06-14T00:00:00"/>
    <s v="KUD22"/>
    <s v="O2R3"/>
    <s v="JK"/>
    <n v="4.3478260869565223E-2"/>
    <n v="151"/>
    <x v="43"/>
    <s v="WTG stop due to warning"/>
    <m/>
    <d v="1899-12-30T18:22:02"/>
    <d v="1899-12-30T18:22:02"/>
    <d v="1899-12-30T22:33:36"/>
    <n v="0"/>
    <n v="4.1927777777777742"/>
    <n v="4.1927777777777742"/>
    <s v="Gen contractor replaced ."/>
    <s v="Close"/>
    <n v="0.18229468599033802"/>
    <m/>
    <m/>
    <m/>
  </r>
  <r>
    <n v="490"/>
    <n v="2024"/>
    <n v="2023"/>
    <s v="Year_1"/>
    <d v="2023-06-14T00:00:00"/>
    <s v="KUD23"/>
    <s v="O2R3"/>
    <s v="JK"/>
    <n v="4.3478260869565223E-2"/>
    <n v="6293"/>
    <x v="33"/>
    <s v="Test function after the feeder charge"/>
    <m/>
    <d v="1899-12-30T16:16:50"/>
    <d v="1899-12-30T16:16:50"/>
    <d v="1899-12-30T16:22:17"/>
    <n v="0"/>
    <n v="9.0833333333352861E-2"/>
    <n v="9.0833333333352861E-2"/>
    <s v="Auto reset"/>
    <s v="Close"/>
    <n v="3.9492753623196902E-3"/>
    <m/>
    <m/>
    <m/>
  </r>
  <r>
    <n v="491"/>
    <n v="2024"/>
    <n v="2023"/>
    <s v="Year_1"/>
    <d v="2023-06-14T00:00:00"/>
    <s v="KUD07"/>
    <s v="O2R3"/>
    <s v="JK"/>
    <n v="4.3478260869565223E-2"/>
    <n v="900"/>
    <x v="79"/>
    <s v="Parameter upgradation"/>
    <m/>
    <d v="1899-12-30T15:20:00"/>
    <d v="1899-12-30T15:20:00"/>
    <d v="1899-12-30T16:20:00"/>
    <n v="0"/>
    <n v="0.99999999999998579"/>
    <n v="0.99999999999998579"/>
    <s v="Parameter upgradation done"/>
    <s v="Close"/>
    <n v="4.3478260869564606E-2"/>
    <m/>
    <m/>
    <m/>
  </r>
  <r>
    <n v="492"/>
    <n v="2024"/>
    <n v="2023"/>
    <s v="Year_1"/>
    <d v="2023-06-15T00:00:00"/>
    <s v="KUD15"/>
    <s v="O2R1"/>
    <s v="KSIPL"/>
    <n v="4.3478260869565223E-2"/>
    <n v="900"/>
    <x v="79"/>
    <s v="Manual Stop for A Service "/>
    <m/>
    <d v="1899-12-30T09:30:00"/>
    <d v="1899-12-30T09:30:00"/>
    <d v="1899-12-30T17:13:00"/>
    <n v="0"/>
    <n v="7.7166666666666721"/>
    <n v="7.7166666666666721"/>
    <s v="A- service Day -02 work activity done ."/>
    <s v="Close"/>
    <n v="0.3355072463768119"/>
    <m/>
    <m/>
    <m/>
  </r>
  <r>
    <n v="493"/>
    <n v="2024"/>
    <n v="2023"/>
    <s v="Year_1"/>
    <d v="2023-06-16T00:00:00"/>
    <s v="KUD01"/>
    <s v="O2R1"/>
    <s v="KSIPL"/>
    <n v="4.3478260869565223E-2"/>
    <n v="4235"/>
    <x v="93"/>
    <s v="after the feeder charge warning occurred"/>
    <m/>
    <d v="1899-12-30T17:02:12"/>
    <d v="1899-12-30T17:02:12"/>
    <d v="1899-12-30T17:40:41"/>
    <n v="0"/>
    <n v="0.64138888888888612"/>
    <n v="0.64138888888888612"/>
    <s v="Warning acknowledgement done delay due to connectivity loss"/>
    <s v="Close"/>
    <n v="2.7886473429951573E-2"/>
    <m/>
    <m/>
    <m/>
  </r>
  <r>
    <n v="494"/>
    <n v="2024"/>
    <n v="2023"/>
    <s v="Year_1"/>
    <d v="2023-06-16T00:00:00"/>
    <s v="KUD01"/>
    <s v="O2R1"/>
    <s v="KSIPL"/>
    <n v="4.3478260869565223E-2"/>
    <n v="6293"/>
    <x v="33"/>
    <s v="Test function after the feeder charge"/>
    <m/>
    <d v="1899-12-30T17:40:41"/>
    <d v="1899-12-30T17:40:41"/>
    <d v="1899-12-30T17:49:18"/>
    <n v="0"/>
    <n v="0.14361111111110336"/>
    <n v="0.14361111111110336"/>
    <s v="Auto reset"/>
    <s v="Close"/>
    <n v="6.2439613526566688E-3"/>
    <m/>
    <m/>
    <m/>
  </r>
  <r>
    <n v="495"/>
    <n v="2024"/>
    <n v="2023"/>
    <s v="Year_1"/>
    <d v="2023-06-16T00:00:00"/>
    <s v="KUD02"/>
    <s v="O2R3"/>
    <s v="JK"/>
    <n v="4.3478260869565223E-2"/>
    <n v="707"/>
    <x v="70"/>
    <s v="after the feeder charge warning occurred"/>
    <m/>
    <d v="1899-12-30T17:02:12"/>
    <d v="1899-12-30T17:02:12"/>
    <d v="1899-12-30T18:12:19"/>
    <n v="0"/>
    <n v="1.1686111111111197"/>
    <n v="1.1686111111111197"/>
    <s v="Warning acknowledgement done delay due to connectivity loss"/>
    <s v="Close"/>
    <n v="5.0809178743961736E-2"/>
    <m/>
    <m/>
    <m/>
  </r>
  <r>
    <n v="496"/>
    <n v="2024"/>
    <n v="2023"/>
    <s v="Year_1"/>
    <d v="2023-06-16T00:00:00"/>
    <s v="KUD02"/>
    <s v="O2R3"/>
    <s v="JK"/>
    <n v="4.3478260869565223E-2"/>
    <n v="4235"/>
    <x v="33"/>
    <s v="Test function after the feeder charge"/>
    <m/>
    <d v="1899-12-30T18:12:19"/>
    <d v="1899-12-30T18:12:19"/>
    <d v="1899-12-30T18:21:43"/>
    <n v="0"/>
    <n v="0.15666666666666984"/>
    <n v="0.15666666666666984"/>
    <s v="Auto reset"/>
    <s v="Close"/>
    <n v="6.8115942028986898E-3"/>
    <m/>
    <m/>
    <m/>
  </r>
  <r>
    <n v="497"/>
    <n v="2024"/>
    <n v="2023"/>
    <s v="Year_1"/>
    <d v="2023-06-16T00:00:00"/>
    <s v="KUD04"/>
    <s v="O2R3"/>
    <s v="JK"/>
    <n v="4.3478260869565223E-2"/>
    <n v="707"/>
    <x v="70"/>
    <s v="after the feeder charge warning occurred"/>
    <m/>
    <d v="1899-12-30T17:02:12"/>
    <d v="1899-12-30T17:02:12"/>
    <d v="1899-12-30T18:12:19"/>
    <n v="0"/>
    <n v="1.1686111111111197"/>
    <n v="1.1686111111111197"/>
    <s v="Warning acknowledgement done delay due to connectivity loss"/>
    <s v="Close"/>
    <n v="5.0809178743961736E-2"/>
    <m/>
    <m/>
    <m/>
  </r>
  <r>
    <n v="498"/>
    <n v="2024"/>
    <n v="2023"/>
    <s v="Year_1"/>
    <d v="2023-06-16T00:00:00"/>
    <s v="KUD05"/>
    <s v="O2R3"/>
    <s v="JK"/>
    <n v="4.3478260869565223E-2"/>
    <n v="707"/>
    <x v="70"/>
    <s v="after the feeder charge warning occurred"/>
    <m/>
    <d v="1899-12-30T17:02:12"/>
    <d v="1899-12-30T17:02:12"/>
    <d v="1899-12-30T18:12:05"/>
    <n v="0"/>
    <n v="1.164722222222232"/>
    <n v="1.164722222222232"/>
    <s v="Warning acknowledgement done delay due to connectivity loss"/>
    <s v="Close"/>
    <n v="5.0640096618357916E-2"/>
    <m/>
    <m/>
    <m/>
  </r>
  <r>
    <n v="499"/>
    <n v="2024"/>
    <n v="2023"/>
    <s v="Year_1"/>
    <d v="2023-06-16T00:00:00"/>
    <s v="KUD05"/>
    <s v="O2R3"/>
    <s v="JK"/>
    <n v="4.3478260869565223E-2"/>
    <n v="6293"/>
    <x v="33"/>
    <s v="Test function after the feeder charge"/>
    <m/>
    <d v="1899-12-30T18:12:49"/>
    <d v="1899-12-30T18:12:49"/>
    <d v="1899-12-30T18:21:13"/>
    <n v="0"/>
    <n v="0.13999999999999257"/>
    <n v="0.13999999999999257"/>
    <s v="Auto reset"/>
    <s v="Close"/>
    <n v="6.0869565217388085E-3"/>
    <m/>
    <m/>
    <m/>
  </r>
  <r>
    <n v="500"/>
    <n v="2024"/>
    <n v="2023"/>
    <s v="Year_1"/>
    <d v="2023-06-16T00:00:00"/>
    <s v="KUD06"/>
    <s v="O2R3"/>
    <s v="JK"/>
    <n v="4.3478260869565223E-2"/>
    <n v="6293"/>
    <x v="33"/>
    <s v="Test function after the feeder charge"/>
    <m/>
    <d v="1899-12-30T17:02:12"/>
    <d v="1899-12-30T17:02:12"/>
    <d v="1899-12-30T17:14:25"/>
    <n v="0"/>
    <n v="0.20361111111110208"/>
    <n v="0.20361111111110208"/>
    <s v="Auto reset"/>
    <s v="Close"/>
    <n v="8.8526570048305265E-3"/>
    <m/>
    <m/>
    <m/>
  </r>
  <r>
    <n v="501"/>
    <n v="2024"/>
    <n v="2023"/>
    <s v="Year_1"/>
    <d v="2023-06-16T00:00:00"/>
    <s v="KUD08"/>
    <s v="O2R3"/>
    <s v="JK"/>
    <n v="4.3478260869565223E-2"/>
    <n v="135"/>
    <x v="97"/>
    <s v="SWG not charged after the feeder restored"/>
    <m/>
    <d v="1899-12-30T17:42:40"/>
    <d v="1899-12-30T17:42:40"/>
    <d v="1899-12-30T17:45:01"/>
    <n v="0"/>
    <n v="3.9166666666654137E-2"/>
    <n v="3.9166666666654137E-2"/>
    <s v="SWG charged"/>
    <s v="Close"/>
    <n v="1.7028985507240931E-3"/>
    <m/>
    <m/>
    <m/>
  </r>
  <r>
    <n v="502"/>
    <n v="2024"/>
    <n v="2023"/>
    <s v="Year_1"/>
    <d v="2023-06-16T00:00:00"/>
    <s v="KUD09"/>
    <s v="O2R3"/>
    <s v="JK"/>
    <n v="4.3478260869565223E-2"/>
    <n v="707"/>
    <x v="70"/>
    <s v="after the feeder charge warning occurred"/>
    <m/>
    <d v="1899-12-30T17:42:40"/>
    <d v="1899-12-30T17:42:40"/>
    <d v="1899-12-30T18:12:27"/>
    <n v="0"/>
    <n v="0.49638888888887944"/>
    <n v="0.49638888888887944"/>
    <s v="Warning acknowledgement done delay due to connectivity loss"/>
    <s v="Close"/>
    <n v="2.1582125603864327E-2"/>
    <m/>
    <m/>
    <m/>
  </r>
  <r>
    <n v="503"/>
    <n v="2024"/>
    <n v="2023"/>
    <s v="Year_1"/>
    <d v="2023-06-16T00:00:00"/>
    <s v="KUD10"/>
    <s v="O2R1"/>
    <s v="KSIPL"/>
    <n v="4.3478260869565223E-2"/>
    <n v="707"/>
    <x v="70"/>
    <s v="after the feeder charge warning occurred"/>
    <m/>
    <d v="1899-12-30T17:02:12"/>
    <d v="1899-12-30T17:02:12"/>
    <d v="1899-12-30T17:38:27"/>
    <n v="0"/>
    <n v="0.60416666666666252"/>
    <n v="0.60416666666666252"/>
    <s v="Warning acknowledgement done delay due to connectivity loss"/>
    <s v="Close"/>
    <n v="2.6268115942028807E-2"/>
    <m/>
    <m/>
    <m/>
  </r>
  <r>
    <n v="504"/>
    <n v="2024"/>
    <n v="2023"/>
    <s v="Year_1"/>
    <d v="2023-06-16T00:00:00"/>
    <s v="KUD11"/>
    <s v="O2R1"/>
    <s v="KSIPL"/>
    <n v="4.3478260869565223E-2"/>
    <n v="707"/>
    <x v="70"/>
    <s v="after the feeder charge warning occurred"/>
    <m/>
    <d v="1899-12-30T17:02:12"/>
    <d v="1899-12-30T17:02:12"/>
    <d v="1899-12-30T17:42:21"/>
    <n v="0"/>
    <n v="0.66916666666667801"/>
    <n v="0.66916666666667801"/>
    <s v="Warning acknowledgement done delay due to connectivity loss"/>
    <s v="Close"/>
    <n v="2.9094202898551223E-2"/>
    <m/>
    <m/>
    <m/>
  </r>
  <r>
    <n v="505"/>
    <n v="2024"/>
    <n v="2023"/>
    <s v="Year_1"/>
    <d v="2023-06-16T00:00:00"/>
    <s v="KUD12"/>
    <s v="O2R1"/>
    <s v="KSIPL"/>
    <n v="4.3478260869565223E-2"/>
    <n v="707"/>
    <x v="70"/>
    <s v="after the feeder charge warning occurred"/>
    <m/>
    <d v="1899-12-30T17:02:12"/>
    <d v="1899-12-30T17:02:12"/>
    <d v="1899-12-30T17:42:21"/>
    <n v="0"/>
    <n v="0.66916666666667801"/>
    <n v="0.66916666666667801"/>
    <s v="Warning acknowledgement done delay due to connectivity loss"/>
    <s v="Close"/>
    <n v="2.9094202898551223E-2"/>
    <m/>
    <m/>
    <m/>
  </r>
  <r>
    <n v="506"/>
    <n v="2024"/>
    <n v="2023"/>
    <s v="Year_1"/>
    <d v="2023-06-16T00:00:00"/>
    <s v="KUD12"/>
    <s v="O2R1"/>
    <s v="KSIPL"/>
    <n v="4.3478260869565223E-2"/>
    <n v="6293"/>
    <x v="33"/>
    <s v="Test function after the feeder charge"/>
    <m/>
    <d v="1899-12-30T17:42:21"/>
    <d v="1899-12-30T17:42:21"/>
    <d v="1899-12-30T17:47:15"/>
    <n v="0"/>
    <n v="8.1666666666647458E-2"/>
    <n v="8.1666666666647458E-2"/>
    <s v="Auto reset"/>
    <s v="Close"/>
    <n v="3.5507246376803247E-3"/>
    <m/>
    <m/>
    <m/>
  </r>
  <r>
    <n v="507"/>
    <n v="2024"/>
    <n v="2023"/>
    <s v="Year_1"/>
    <d v="2023-06-16T00:00:00"/>
    <s v="KUD13"/>
    <s v="O2R1"/>
    <s v="KSIPL"/>
    <n v="4.3478260869565223E-2"/>
    <n v="707"/>
    <x v="70"/>
    <s v="after the feeder charge warning occurred"/>
    <m/>
    <d v="1899-12-30T17:02:12"/>
    <d v="1899-12-30T17:02:12"/>
    <d v="1899-12-30T17:42:21"/>
    <n v="0"/>
    <n v="0.66916666666667801"/>
    <n v="0.66916666666667801"/>
    <s v="Warning acknowledgement done delay due to connectivity loss"/>
    <s v="Close"/>
    <n v="2.9094202898551223E-2"/>
    <m/>
    <m/>
    <m/>
  </r>
  <r>
    <n v="508"/>
    <n v="2024"/>
    <n v="2023"/>
    <s v="Year_1"/>
    <d v="2023-06-16T00:00:00"/>
    <s v="KUD14"/>
    <s v="O2R1"/>
    <s v="KSIPL"/>
    <n v="4.3478260869565223E-2"/>
    <n v="707"/>
    <x v="70"/>
    <s v="after the feeder charge warning occurred"/>
    <m/>
    <d v="1899-12-30T17:02:12"/>
    <d v="1899-12-30T17:02:12"/>
    <d v="1899-12-30T17:42:44"/>
    <n v="0"/>
    <n v="0.67555555555555014"/>
    <n v="0.67555555555555014"/>
    <s v="Warning acknowledgement done delay due to connectivity loss"/>
    <s v="Close"/>
    <n v="2.937198067632827E-2"/>
    <m/>
    <m/>
    <m/>
  </r>
  <r>
    <n v="509"/>
    <n v="2024"/>
    <n v="2023"/>
    <s v="Year_1"/>
    <d v="2023-06-16T00:00:00"/>
    <s v="KUD16"/>
    <s v="O2R2"/>
    <s v="SIL"/>
    <n v="4.3478260869565223E-2"/>
    <n v="30"/>
    <x v="44"/>
    <s v="after the feeder charge warning occurred"/>
    <m/>
    <d v="1899-12-30T17:02:12"/>
    <d v="1899-12-30T17:02:12"/>
    <d v="1899-12-30T18:11:13"/>
    <n v="0"/>
    <n v="1.1502777777777835"/>
    <n v="1.1502777777777835"/>
    <s v="Warning acknowledgement done delay due to connectivity loss"/>
    <s v="Close"/>
    <n v="5.0012077294686243E-2"/>
    <m/>
    <m/>
    <m/>
  </r>
  <r>
    <n v="510"/>
    <n v="2024"/>
    <n v="2023"/>
    <s v="Year_1"/>
    <d v="2023-06-16T00:00:00"/>
    <s v="KUD17"/>
    <s v="O2R2"/>
    <s v="SIL"/>
    <n v="4.3478260869565223E-2"/>
    <n v="707"/>
    <x v="70"/>
    <s v="after the feeder charge warning occurred"/>
    <m/>
    <d v="1899-12-30T17:02:12"/>
    <d v="1899-12-30T17:02:12"/>
    <d v="1899-12-30T18:12:15"/>
    <n v="0"/>
    <n v="1.1674999999999907"/>
    <n v="1.1674999999999907"/>
    <s v="Warning acknowledgement done delay due to connectivity loss"/>
    <s v="Close"/>
    <n v="5.0760869565216991E-2"/>
    <m/>
    <m/>
    <m/>
  </r>
  <r>
    <n v="511"/>
    <n v="2024"/>
    <n v="2023"/>
    <s v="Year_1"/>
    <d v="2023-06-16T00:00:00"/>
    <s v="KUD18"/>
    <s v="O2R4"/>
    <s v="SGDCIPL"/>
    <n v="4.3478260869565223E-2"/>
    <n v="135"/>
    <x v="97"/>
    <s v="SWG not charged after the feeder restored"/>
    <m/>
    <d v="1899-12-30T17:02:12"/>
    <d v="1899-12-30T17:02:12"/>
    <d v="1899-12-30T18:17:41"/>
    <n v="0"/>
    <n v="1.2580555555555666"/>
    <n v="1.2580555555555666"/>
    <s v="SWG charged"/>
    <s v="Close"/>
    <n v="5.4698067632850726E-2"/>
    <m/>
    <m/>
    <m/>
  </r>
  <r>
    <n v="512"/>
    <n v="2024"/>
    <n v="2023"/>
    <s v="Year_1"/>
    <d v="2023-06-16T00:00:00"/>
    <s v="KUD20"/>
    <s v="O2R1"/>
    <s v="KSIPL"/>
    <n v="4.3478260869565223E-2"/>
    <n v="135"/>
    <x v="97"/>
    <s v="SWG not charged after the feeder restored"/>
    <m/>
    <d v="1899-12-30T17:02:12"/>
    <d v="1899-12-30T17:02:12"/>
    <d v="1899-12-30T17:47:11"/>
    <n v="0"/>
    <n v="0.74972222222222307"/>
    <n v="0.74972222222222307"/>
    <s v="SWG charged"/>
    <s v="Close"/>
    <n v="3.2596618357487964E-2"/>
    <m/>
    <m/>
    <m/>
  </r>
  <r>
    <n v="513"/>
    <n v="2024"/>
    <n v="2023"/>
    <s v="Year_1"/>
    <d v="2023-06-16T00:00:00"/>
    <s v="KUD21"/>
    <s v="O2R3"/>
    <s v="JK"/>
    <n v="4.3478260869565223E-2"/>
    <n v="2877"/>
    <x v="98"/>
    <s v="WTG stop due to warning code 2877"/>
    <m/>
    <d v="1899-12-30T17:02:12"/>
    <d v="1899-12-30T17:02:12"/>
    <d v="1899-12-30T19:11:26"/>
    <n v="0"/>
    <n v="2.1538888888889014"/>
    <n v="2.1538888888889014"/>
    <s v="Thermistor relay replaced"/>
    <s v="Close"/>
    <n v="9.3647342995169636E-2"/>
    <m/>
    <m/>
    <m/>
  </r>
  <r>
    <n v="514"/>
    <n v="2024"/>
    <n v="2023"/>
    <s v="Year_1"/>
    <d v="2023-06-16T00:00:00"/>
    <s v="KUD22"/>
    <s v="O2R3"/>
    <s v="JK"/>
    <n v="4.3478260869565223E-2"/>
    <n v="707"/>
    <x v="70"/>
    <s v="after the feeder charge warning occurred"/>
    <m/>
    <d v="1899-12-30T17:02:12"/>
    <d v="1899-12-30T17:02:12"/>
    <d v="1899-12-30T18:12:42"/>
    <n v="0"/>
    <n v="1.1749999999999918"/>
    <n v="1.1749999999999918"/>
    <s v="Warning acknowledgement done delay due to connectivity loss"/>
    <s v="Close"/>
    <n v="5.108695652173878E-2"/>
    <m/>
    <m/>
    <m/>
  </r>
  <r>
    <n v="515"/>
    <n v="2024"/>
    <n v="2023"/>
    <s v="Year_1"/>
    <d v="2023-06-16T00:00:00"/>
    <s v="KUD23"/>
    <s v="O2R3"/>
    <s v="JK"/>
    <n v="4.3478260869565223E-2"/>
    <n v="707"/>
    <x v="70"/>
    <s v="after the feeder charge warning occurred"/>
    <m/>
    <d v="1899-12-30T17:02:12"/>
    <d v="1899-12-30T17:02:12"/>
    <d v="1899-12-30T18:13:26"/>
    <n v="0"/>
    <n v="1.1872222222222302"/>
    <n v="1.1872222222222302"/>
    <s v="Warning acknowledgement done delay due to connectivity loss"/>
    <s v="Close"/>
    <n v="5.161835748792306E-2"/>
    <m/>
    <m/>
    <m/>
  </r>
  <r>
    <n v="516"/>
    <n v="2024"/>
    <n v="2023"/>
    <s v="Year_1"/>
    <d v="2023-06-17T00:00:00"/>
    <s v="KUD16"/>
    <s v="O2R2"/>
    <s v="SIL"/>
    <n v="4.3478260869565223E-2"/>
    <n v="900"/>
    <x v="99"/>
    <s v="Manual Stop for A Service "/>
    <m/>
    <d v="1899-12-30T09:09:00"/>
    <d v="1899-12-30T09:09:00"/>
    <d v="1899-12-30T16:51:00"/>
    <n v="0"/>
    <n v="7.6999999999999913"/>
    <n v="7.6999999999999913"/>
    <s v="A- service Day -01 work activity done ."/>
    <s v="Close"/>
    <n v="0.33478260869565185"/>
    <m/>
    <m/>
    <m/>
  </r>
  <r>
    <n v="517"/>
    <n v="2024"/>
    <n v="2023"/>
    <s v="Year_1"/>
    <d v="2023-06-17T00:00:00"/>
    <s v="KUD21"/>
    <s v="O2R3"/>
    <s v="JK"/>
    <n v="4.3478260869565223E-2"/>
    <n v="30"/>
    <x v="44"/>
    <s v="after the feeder charge warning occurred"/>
    <m/>
    <d v="1899-12-30T18:14:00"/>
    <d v="1899-12-30T18:14:00"/>
    <d v="1899-12-30T18:19:00"/>
    <n v="0"/>
    <n v="8.3333333333327708E-2"/>
    <n v="8.3333333333327708E-2"/>
    <s v="maual reset"/>
    <s v="Close"/>
    <n v="3.6231884057968573E-3"/>
    <m/>
    <m/>
    <m/>
  </r>
  <r>
    <n v="518"/>
    <n v="2024"/>
    <n v="2023"/>
    <s v="Year_1"/>
    <d v="2023-06-19T00:00:00"/>
    <s v="KUD16"/>
    <s v="O2R2"/>
    <s v="SIL"/>
    <n v="4.3478260869565223E-2"/>
    <n v="900"/>
    <x v="99"/>
    <s v="Manual Stop for A Service "/>
    <m/>
    <d v="1899-12-30T09:38:00"/>
    <d v="1899-12-30T09:38:00"/>
    <d v="1899-12-30T17:17:00"/>
    <n v="0"/>
    <n v="7.6499999999999995"/>
    <n v="7.6499999999999995"/>
    <s v="A- service Day -02 work activity done ."/>
    <s v="Close"/>
    <n v="0.33260869565217394"/>
    <m/>
    <m/>
    <m/>
  </r>
  <r>
    <n v="519"/>
    <n v="2024"/>
    <n v="2023"/>
    <s v="Year_1"/>
    <d v="2023-06-20T00:00:00"/>
    <s v="KUD05"/>
    <s v="O2R3"/>
    <s v="JK"/>
    <n v="4.3478260869565223E-2"/>
    <n v="900"/>
    <x v="99"/>
    <s v="WTG stop for CMS configration  "/>
    <m/>
    <d v="1899-12-30T11:24:00"/>
    <d v="1899-12-30T11:24:00"/>
    <d v="1899-12-30T13:07:00"/>
    <n v="0"/>
    <n v="1.7166666666666712"/>
    <n v="1.7166666666666712"/>
    <s v="CMS configuration done "/>
    <s v="Close"/>
    <n v="7.4637681159420502E-2"/>
    <m/>
    <m/>
    <m/>
  </r>
  <r>
    <n v="520"/>
    <n v="2024"/>
    <n v="2023"/>
    <s v="Year_1"/>
    <d v="2023-06-20T00:00:00"/>
    <s v="KUD22"/>
    <s v="O2R3"/>
    <s v="JK"/>
    <n v="4.3478260869565223E-2"/>
    <n v="900"/>
    <x v="99"/>
    <s v="WTG stop for CMS configration  "/>
    <m/>
    <d v="1899-12-30T15:30:00"/>
    <d v="1899-12-30T15:30:00"/>
    <d v="1899-12-30T16:16:00"/>
    <n v="0"/>
    <n v="0.76666666666667993"/>
    <n v="0.76666666666667993"/>
    <s v="CMS configuration done "/>
    <s v="Close"/>
    <n v="3.3333333333333916E-2"/>
    <m/>
    <m/>
    <m/>
  </r>
  <r>
    <n v="521"/>
    <n v="2024"/>
    <n v="2023"/>
    <s v="Year_1"/>
    <d v="2023-06-20T00:00:00"/>
    <s v="KUD08"/>
    <s v="O2R3"/>
    <s v="JK"/>
    <n v="4.3478260869565223E-2"/>
    <n v="900"/>
    <x v="99"/>
    <s v="WTG stop for service audit "/>
    <m/>
    <d v="1899-12-30T15:42:00"/>
    <d v="1899-12-30T15:42:00"/>
    <d v="1899-12-30T19:03:00"/>
    <n v="0"/>
    <n v="3.3499999999999908"/>
    <n v="3.3499999999999908"/>
    <s v="Service audit done"/>
    <s v="Close"/>
    <n v="0.14565217391304311"/>
    <m/>
    <m/>
    <m/>
  </r>
  <r>
    <n v="522"/>
    <n v="2024"/>
    <n v="2023"/>
    <s v="Year_1"/>
    <d v="2023-06-20T00:00:00"/>
    <s v="KUD23"/>
    <s v="O2R3"/>
    <s v="JK"/>
    <n v="4.3478260869565223E-2"/>
    <n v="900"/>
    <x v="99"/>
    <s v="WTG stop for CMS configration  "/>
    <m/>
    <d v="1899-12-30T16:26:00"/>
    <d v="1899-12-30T16:26:00"/>
    <d v="1899-12-30T17:17:00"/>
    <n v="0"/>
    <n v="0.85000000000000764"/>
    <n v="0.85000000000000764"/>
    <s v="CMS configuration done "/>
    <s v="Close"/>
    <n v="3.695652173913077E-2"/>
    <m/>
    <m/>
    <m/>
  </r>
  <r>
    <n v="523"/>
    <n v="2024"/>
    <n v="2023"/>
    <s v="Year_1"/>
    <d v="2023-06-21T00:00:00"/>
    <s v="KUD01"/>
    <s v="O2R1"/>
    <s v="KSIPL"/>
    <n v="4.3478260869565223E-2"/>
    <n v="4235"/>
    <x v="93"/>
    <s v="Test function after the feeder charge"/>
    <m/>
    <d v="1899-12-30T12:17:00"/>
    <d v="1899-12-30T12:17:00"/>
    <d v="1899-12-30T12:28:31"/>
    <n v="0"/>
    <n v="0.19194444444444159"/>
    <n v="0.19194444444444159"/>
    <s v="Auto reset"/>
    <s v="Close"/>
    <n v="8.3454106280192002E-3"/>
    <m/>
    <m/>
    <m/>
  </r>
  <r>
    <n v="524"/>
    <n v="2024"/>
    <n v="2023"/>
    <s v="Year_1"/>
    <d v="2023-06-21T00:00:00"/>
    <s v="KUD01"/>
    <s v="O2R1"/>
    <s v="KSIPL"/>
    <n v="4.3478260869565223E-2"/>
    <n v="6293"/>
    <x v="33"/>
    <s v="Test function after the feeder charge"/>
    <m/>
    <d v="1899-12-30T12:28:31"/>
    <d v="1899-12-30T12:28:31"/>
    <d v="1899-12-30T12:35:15"/>
    <n v="0"/>
    <n v="0.11222222222222467"/>
    <n v="0.11222222222222467"/>
    <s v="Auto reset"/>
    <s v="Close"/>
    <n v="4.8792270531402039E-3"/>
    <m/>
    <m/>
    <m/>
  </r>
  <r>
    <n v="525"/>
    <n v="2024"/>
    <n v="2023"/>
    <s v="Year_1"/>
    <d v="2023-06-21T00:00:00"/>
    <s v="KUD03"/>
    <s v="O2R1"/>
    <s v="KSIPL"/>
    <n v="4.3478260869565223E-2"/>
    <n v="6293"/>
    <x v="33"/>
    <s v="Test function after the feeder charge"/>
    <m/>
    <d v="1899-12-30T12:17:00"/>
    <d v="1899-12-30T12:17:00"/>
    <d v="1899-12-30T12:25:37"/>
    <n v="0"/>
    <n v="0.14361111111110603"/>
    <n v="0.14361111111110603"/>
    <s v="Auto reset"/>
    <s v="Close"/>
    <n v="6.243961352656785E-3"/>
    <m/>
    <m/>
    <m/>
  </r>
  <r>
    <n v="526"/>
    <n v="2024"/>
    <n v="2023"/>
    <s v="Year_1"/>
    <d v="2023-06-21T00:00:00"/>
    <s v="KUD07"/>
    <s v="O2R3"/>
    <s v="JK"/>
    <n v="4.3478260869565223E-2"/>
    <n v="900"/>
    <x v="99"/>
    <s v="WTG stop for service audit "/>
    <m/>
    <d v="1899-12-30T11:20:32"/>
    <d v="1899-12-30T11:20:32"/>
    <d v="1899-12-30T14:13:06"/>
    <n v="0"/>
    <n v="2.8761111111111122"/>
    <n v="2.8761111111111122"/>
    <s v="Service audit done"/>
    <s v="Close"/>
    <n v="0.12504830917874402"/>
    <m/>
    <m/>
    <m/>
  </r>
  <r>
    <n v="527"/>
    <n v="2024"/>
    <n v="2023"/>
    <s v="Year_1"/>
    <d v="2023-06-21T00:00:00"/>
    <s v="KUD08"/>
    <s v="O2R3"/>
    <s v="JK"/>
    <n v="4.3478260869565223E-2"/>
    <n v="6293"/>
    <x v="33"/>
    <s v="Test function after the feeder charge"/>
    <m/>
    <d v="1899-12-30T12:17:00"/>
    <d v="1899-12-30T12:17:00"/>
    <d v="1899-12-30T12:35:39"/>
    <n v="0"/>
    <n v="0.31083333333331264"/>
    <n v="0.31083333333331264"/>
    <s v="Auto reset"/>
    <s v="Close"/>
    <n v="1.3514492753622291E-2"/>
    <m/>
    <m/>
    <m/>
  </r>
  <r>
    <n v="528"/>
    <n v="2024"/>
    <n v="2023"/>
    <s v="Year_1"/>
    <d v="2023-06-21T00:00:00"/>
    <s v="KUD09"/>
    <s v="O2R3"/>
    <s v="JK"/>
    <n v="4.3478260869565223E-2"/>
    <n v="900"/>
    <x v="99"/>
    <s v="WTG for audit verification"/>
    <m/>
    <d v="1899-12-30T10:34:10"/>
    <d v="1899-12-30T10:34:10"/>
    <d v="1899-12-30T11:20:39"/>
    <n v="0"/>
    <n v="0.77472222222220832"/>
    <n v="0.77472222222220832"/>
    <s v="Service audit done"/>
    <s v="Close"/>
    <n v="3.3683574879226456E-2"/>
    <m/>
    <m/>
    <m/>
  </r>
  <r>
    <n v="529"/>
    <n v="2024"/>
    <n v="2023"/>
    <s v="Year_1"/>
    <d v="2023-06-21T00:00:00"/>
    <s v="KUD10"/>
    <s v="O2R1"/>
    <s v="KSIPL"/>
    <n v="4.3478260869565223E-2"/>
    <n v="707"/>
    <x v="70"/>
    <s v="WTG stop due to warning"/>
    <m/>
    <d v="1899-12-30T12:17:40"/>
    <d v="1899-12-30T12:17:40"/>
    <d v="1899-12-30T12:26:43"/>
    <n v="0"/>
    <n v="0.15083333333333027"/>
    <n v="0.15083333333333027"/>
    <s v="maual reset"/>
    <s v="Close"/>
    <n v="6.5579710144926208E-3"/>
    <m/>
    <m/>
    <m/>
  </r>
  <r>
    <n v="530"/>
    <n v="2024"/>
    <n v="2023"/>
    <s v="Year_1"/>
    <d v="2023-06-21T00:00:00"/>
    <s v="KUD11"/>
    <s v="O2R1"/>
    <s v="KSIPL"/>
    <n v="4.3478260869565223E-2"/>
    <n v="6293"/>
    <x v="33"/>
    <s v="Test function after the feeder charge"/>
    <m/>
    <d v="1899-12-30T12:17:41"/>
    <d v="1899-12-30T12:17:41"/>
    <d v="1899-12-30T12:27:28"/>
    <n v="0"/>
    <n v="0.16305555555554463"/>
    <n v="0.16305555555554463"/>
    <s v="Auto reset"/>
    <s v="Close"/>
    <n v="7.0893719806758545E-3"/>
    <m/>
    <m/>
    <m/>
  </r>
  <r>
    <n v="531"/>
    <n v="2024"/>
    <n v="2023"/>
    <s v="Year_1"/>
    <d v="2023-06-21T00:00:00"/>
    <s v="KUD12"/>
    <s v="O2R1"/>
    <s v="KSIPL"/>
    <n v="4.3478260869565223E-2"/>
    <n v="6293"/>
    <x v="33"/>
    <s v="Test function after the feeder charge"/>
    <m/>
    <d v="1899-12-30T12:18:14"/>
    <d v="1899-12-30T12:18:14"/>
    <d v="1899-12-30T12:27:24"/>
    <n v="0"/>
    <n v="0.15277777777778212"/>
    <n v="0.15277777777778212"/>
    <s v="Auto reset"/>
    <s v="Close"/>
    <n v="6.642512077294876E-3"/>
    <m/>
    <m/>
    <m/>
  </r>
  <r>
    <n v="532"/>
    <n v="2024"/>
    <n v="2023"/>
    <s v="Year_1"/>
    <d v="2023-06-21T00:00:00"/>
    <s v="KUD14"/>
    <s v="O2R1"/>
    <s v="KSIPL"/>
    <n v="4.3478260869565223E-2"/>
    <n v="4239"/>
    <x v="40"/>
    <s v="SWG not charged after the feeder restored"/>
    <m/>
    <d v="1899-12-30T12:17:00"/>
    <d v="1899-12-30T12:17:00"/>
    <d v="1899-12-30T13:23:04"/>
    <n v="0"/>
    <n v="1.1011111111110958"/>
    <n v="1.1011111111110958"/>
    <s v="SWG charged"/>
    <s v="Close"/>
    <n v="4.7874396135265042E-2"/>
    <m/>
    <m/>
    <m/>
  </r>
  <r>
    <n v="533"/>
    <n v="2024"/>
    <n v="2023"/>
    <s v="Year_1"/>
    <d v="2023-06-21T00:00:00"/>
    <s v="KUD15"/>
    <s v="O2R1"/>
    <s v="KSIPL"/>
    <n v="4.3478260869565223E-2"/>
    <n v="6293"/>
    <x v="33"/>
    <s v="Test function after the feeder charge"/>
    <m/>
    <d v="1899-12-30T12:17:25"/>
    <d v="1899-12-30T12:17:25"/>
    <d v="1899-12-30T12:27:25"/>
    <n v="0"/>
    <n v="0.1666666666666794"/>
    <n v="0.1666666666666794"/>
    <s v="Auto reset"/>
    <s v="Close"/>
    <n v="7.2463768115947572E-3"/>
    <m/>
    <m/>
    <m/>
  </r>
  <r>
    <n v="534"/>
    <n v="2024"/>
    <n v="2023"/>
    <s v="Year_1"/>
    <d v="2023-06-21T00:00:00"/>
    <s v="KUD20"/>
    <s v="O2R1"/>
    <s v="KSIPL"/>
    <n v="4.3478260869565223E-2"/>
    <n v="6293"/>
    <x v="33"/>
    <s v="Test function after the feeder charge"/>
    <m/>
    <d v="1899-12-30T12:17:24"/>
    <d v="1899-12-30T12:17:24"/>
    <d v="1899-12-30T12:24:45"/>
    <n v="0"/>
    <n v="0.12250000000000849"/>
    <n v="0.12250000000000849"/>
    <s v="Auto reset"/>
    <s v="Close"/>
    <n v="5.3260869565221088E-3"/>
    <m/>
    <m/>
    <m/>
  </r>
  <r>
    <n v="535"/>
    <n v="2024"/>
    <n v="2023"/>
    <s v="Year_1"/>
    <d v="2023-06-21T00:00:00"/>
    <s v="KUD21"/>
    <s v="O2R3"/>
    <s v="JK"/>
    <n v="4.3478260869565223E-2"/>
    <n v="900"/>
    <x v="99"/>
    <s v="WTG stop for Re-service audit "/>
    <m/>
    <d v="1899-12-30T16:12:28"/>
    <d v="1899-12-30T16:12:28"/>
    <d v="1899-12-30T18:15:29"/>
    <n v="0"/>
    <n v="2.050277777777783"/>
    <n v="2.050277777777783"/>
    <s v="Service Re-audit done"/>
    <s v="Close"/>
    <n v="8.9142512077294928E-2"/>
    <m/>
    <m/>
    <m/>
  </r>
  <r>
    <n v="536"/>
    <n v="2024"/>
    <n v="2023"/>
    <s v="Year_1"/>
    <d v="2023-06-21T00:00:00"/>
    <s v="KUD22"/>
    <s v="O2R3"/>
    <s v="JK"/>
    <n v="4.3478260869565223E-2"/>
    <n v="900"/>
    <x v="99"/>
    <s v="WTG stop for Re-service audit "/>
    <m/>
    <d v="1899-12-30T09:48:46"/>
    <d v="1899-12-30T09:48:46"/>
    <d v="1899-12-30T12:39:05"/>
    <n v="0"/>
    <n v="2.8386111111111116"/>
    <n v="2.8386111111111116"/>
    <s v="Service Re-audit done"/>
    <s v="Close"/>
    <n v="0.1234178743961353"/>
    <m/>
    <m/>
    <m/>
  </r>
  <r>
    <n v="537"/>
    <n v="2024"/>
    <n v="2023"/>
    <s v="Year_1"/>
    <d v="2023-06-22T00:00:00"/>
    <s v="KUD20"/>
    <s v="O2R1"/>
    <s v="KSIPL"/>
    <n v="4.3478260869565223E-2"/>
    <n v="900"/>
    <x v="99"/>
    <s v="Manual Stop for A Service "/>
    <m/>
    <d v="1899-12-30T10:02:00"/>
    <d v="1899-12-30T10:02:00"/>
    <d v="1899-12-30T19:13:00"/>
    <n v="0"/>
    <n v="9.1833333333333123"/>
    <n v="9.1833333333333123"/>
    <s v="A- service work activity done ."/>
    <s v="Close"/>
    <n v="0.3992753623188397"/>
    <m/>
    <m/>
    <m/>
  </r>
  <r>
    <n v="538"/>
    <n v="2024"/>
    <n v="2023"/>
    <s v="Year_1"/>
    <d v="2023-06-22T00:00:00"/>
    <s v="KUD07"/>
    <s v="O2R3"/>
    <s v="JK"/>
    <n v="4.3478260869565223E-2"/>
    <n v="900"/>
    <x v="99"/>
    <s v="WTG stop for service audit closing"/>
    <m/>
    <d v="1899-12-30T11:04:00"/>
    <d v="1899-12-30T11:04:00"/>
    <d v="1899-12-30T15:03:00"/>
    <n v="0"/>
    <n v="3.9833333333333272"/>
    <n v="3.9833333333333272"/>
    <s v="service audit point closing"/>
    <s v="Close"/>
    <n v="0.17318840579710121"/>
    <m/>
    <m/>
    <m/>
  </r>
  <r>
    <n v="539"/>
    <n v="2024"/>
    <n v="2023"/>
    <s v="Year_1"/>
    <d v="2023-06-23T00:00:00"/>
    <s v="KUD09"/>
    <s v="O2R3"/>
    <s v="JK"/>
    <n v="4.3478260869565223E-2"/>
    <n v="900"/>
    <x v="100"/>
    <s v="WTG stop for Re-service audit "/>
    <m/>
    <d v="1899-12-30T09:42:00"/>
    <d v="1899-12-30T09:42:00"/>
    <d v="1899-12-30T13:20:00"/>
    <n v="0"/>
    <n v="3.6333333333333364"/>
    <n v="3.6333333333333364"/>
    <s v="Service Re-audit done"/>
    <s v="Close"/>
    <n v="0.15797101449275378"/>
    <m/>
    <m/>
    <m/>
  </r>
  <r>
    <n v="540"/>
    <n v="2024"/>
    <n v="2023"/>
    <s v="Year_1"/>
    <d v="2023-06-23T00:00:00"/>
    <s v="KUD08"/>
    <s v="O2R3"/>
    <s v="JK"/>
    <n v="4.3478260869565223E-2"/>
    <n v="900"/>
    <x v="100"/>
    <s v="WTG stop for service audit closing"/>
    <m/>
    <d v="1899-12-30T10:34:00"/>
    <d v="1899-12-30T10:34:00"/>
    <d v="1899-12-30T14:54:00"/>
    <n v="0"/>
    <n v="4.3333333333333206"/>
    <n v="4.3333333333333206"/>
    <s v="service audit point closing"/>
    <s v="Close"/>
    <n v="0.18840579710144875"/>
    <m/>
    <m/>
    <m/>
  </r>
  <r>
    <n v="541"/>
    <n v="2024"/>
    <n v="2023"/>
    <s v="Year_1"/>
    <d v="2023-06-24T00:00:00"/>
    <s v="KUD14"/>
    <s v="O2R1"/>
    <s v="KSIPL"/>
    <n v="4.3478260869565223E-2"/>
    <n v="900"/>
    <x v="100"/>
    <s v="Manual Stop for A Service "/>
    <m/>
    <d v="1899-12-30T09:43:00"/>
    <d v="1899-12-30T09:43:00"/>
    <d v="1899-12-30T18:55:00"/>
    <n v="0"/>
    <n v="9.2000000000000153"/>
    <n v="9.2000000000000153"/>
    <s v="A- service work  done ."/>
    <s v="Close"/>
    <n v="0.40000000000000074"/>
    <m/>
    <m/>
    <m/>
  </r>
  <r>
    <n v="542"/>
    <n v="2024"/>
    <n v="2023"/>
    <s v="Year_1"/>
    <d v="2023-06-24T00:00:00"/>
    <s v="KUD22"/>
    <s v="O2R3"/>
    <s v="JK"/>
    <n v="4.3478260869565223E-2"/>
    <n v="5197"/>
    <x v="54"/>
    <s v="WTG stop due to warning"/>
    <m/>
    <d v="1899-12-30T09:40:00"/>
    <d v="1899-12-30T09:40:00"/>
    <d v="1899-12-30T13:50:00"/>
    <n v="0"/>
    <n v="4.1666666666666625"/>
    <n v="4.1666666666666625"/>
    <s v="PROV valve replaced."/>
    <s v="Close"/>
    <n v="0.18115942028985491"/>
    <m/>
    <m/>
    <m/>
  </r>
  <r>
    <n v="543"/>
    <n v="2024"/>
    <n v="2023"/>
    <s v="Year_1"/>
    <d v="2023-06-26T00:00:00"/>
    <s v="KUD04"/>
    <s v="O2R3"/>
    <s v="JK"/>
    <n v="4.3478260869565223E-2"/>
    <n v="900"/>
    <x v="100"/>
    <s v="WTG stop for Re-service audit "/>
    <m/>
    <d v="1899-12-30T09:24:00"/>
    <d v="1899-12-30T09:24:00"/>
    <d v="1899-12-30T14:02:00"/>
    <n v="0"/>
    <n v="4.6333333333333204"/>
    <n v="4.6333333333333204"/>
    <s v="Service Re-audit done"/>
    <s v="Close"/>
    <n v="0.2014492753623183"/>
    <m/>
    <m/>
    <m/>
  </r>
  <r>
    <n v="544"/>
    <n v="2024"/>
    <n v="2023"/>
    <s v="Year_1"/>
    <d v="2023-06-26T00:00:00"/>
    <s v="KUD05"/>
    <s v="O2R3"/>
    <s v="JK"/>
    <n v="4.3478260869565223E-2"/>
    <n v="900"/>
    <x v="100"/>
    <s v="WTG stop for Re-service audit "/>
    <m/>
    <d v="1899-12-30T15:37:00"/>
    <d v="1899-12-30T15:37:00"/>
    <d v="1899-12-30T18:24:00"/>
    <n v="0"/>
    <n v="2.7833333333333528"/>
    <n v="2.7833333333333528"/>
    <s v="Service Re-audit done"/>
    <s v="Close"/>
    <n v="0.12101449275362405"/>
    <m/>
    <m/>
    <m/>
  </r>
  <r>
    <n v="545"/>
    <n v="2024"/>
    <n v="2023"/>
    <s v="Year_1"/>
    <d v="2023-06-27T00:00:00"/>
    <s v="KUD18"/>
    <s v="O2R4"/>
    <s v="SGDCIPL"/>
    <n v="4.3478260869565223E-2"/>
    <n v="900"/>
    <x v="100"/>
    <s v="WTG stop for Re-service audit "/>
    <m/>
    <d v="1899-12-30T10:15:00"/>
    <d v="1899-12-30T10:15:00"/>
    <d v="1899-12-30T12:58:00"/>
    <n v="0"/>
    <n v="2.7166666666666797"/>
    <n v="2.7166666666666797"/>
    <s v="Service Re-audit done"/>
    <s v="Close"/>
    <n v="0.11811594202898609"/>
    <m/>
    <m/>
    <m/>
  </r>
  <r>
    <n v="546"/>
    <n v="2024"/>
    <n v="2023"/>
    <s v="Year_1"/>
    <d v="2023-06-27T00:00:00"/>
    <s v="KUD08"/>
    <s v="O2R3"/>
    <s v="JK"/>
    <n v="4.3478260869565223E-2"/>
    <n v="900"/>
    <x v="100"/>
    <s v="WTG stop for Re-service audit "/>
    <m/>
    <d v="1899-12-30T13:32:00"/>
    <d v="1899-12-30T13:32:00"/>
    <d v="1899-12-30T15:40:00"/>
    <n v="0"/>
    <n v="2.1333333333333364"/>
    <n v="2.1333333333333364"/>
    <s v="Service Re-audit done"/>
    <s v="Close"/>
    <n v="9.2753623188405937E-2"/>
    <m/>
    <m/>
    <m/>
  </r>
  <r>
    <n v="547"/>
    <n v="2024"/>
    <n v="2023"/>
    <s v="Year_1"/>
    <d v="2023-06-28T00:00:00"/>
    <s v="KUD06"/>
    <s v="O2R3"/>
    <s v="JK"/>
    <n v="4.3478260869565223E-2"/>
    <n v="900"/>
    <x v="100"/>
    <s v="WTG stop for Re-service audit "/>
    <m/>
    <d v="1899-12-30T10:40:00"/>
    <d v="1899-12-30T10:40:00"/>
    <d v="1899-12-30T13:40:00"/>
    <n v="0"/>
    <n v="3"/>
    <n v="3"/>
    <s v="Service Re-audit done"/>
    <s v="Close"/>
    <n v="0.13043478260869568"/>
    <m/>
    <m/>
    <m/>
  </r>
  <r>
    <n v="548"/>
    <n v="2024"/>
    <n v="2023"/>
    <s v="Year_1"/>
    <d v="2023-06-28T00:00:00"/>
    <s v="KUD07"/>
    <s v="O2R3"/>
    <s v="JK"/>
    <n v="4.3478260869565223E-2"/>
    <n v="900"/>
    <x v="100"/>
    <s v="WTG stop for Re-service audit "/>
    <m/>
    <d v="1899-12-30T13:50:00"/>
    <d v="1899-12-30T13:50:00"/>
    <d v="1899-12-30T15:03:00"/>
    <n v="0"/>
    <n v="1.216666666666657"/>
    <n v="1.216666666666657"/>
    <s v="Service Re-audit done"/>
    <s v="Close"/>
    <n v="5.2898550724637269E-2"/>
    <m/>
    <m/>
    <m/>
  </r>
  <r>
    <n v="549"/>
    <n v="2024"/>
    <n v="2023"/>
    <s v="Year_1"/>
    <d v="2023-06-29T00:00:00"/>
    <s v="KUD23"/>
    <s v="O2R3"/>
    <s v="JK"/>
    <n v="4.3478260869565223E-2"/>
    <n v="900"/>
    <x v="100"/>
    <s v="WTG stop for Re-service audit "/>
    <m/>
    <d v="1899-12-30T10:27:00"/>
    <d v="1899-12-30T10:27:00"/>
    <d v="1899-12-30T13:34:00"/>
    <n v="0"/>
    <n v="3.1166666666666636"/>
    <n v="3.1166666666666636"/>
    <s v="Service Re-audit done"/>
    <s v="Close"/>
    <n v="0.13550724637681147"/>
    <m/>
    <m/>
    <m/>
  </r>
  <r>
    <n v="550"/>
    <n v="2024"/>
    <n v="2023"/>
    <s v="Year_1"/>
    <d v="2023-06-29T00:00:00"/>
    <s v="KUD08"/>
    <s v="O2R3"/>
    <s v="JK"/>
    <n v="4.3478260869565223E-2"/>
    <n v="900"/>
    <x v="100"/>
    <s v="WTG stop for Re-service audit "/>
    <m/>
    <d v="1899-12-30T15:35:00"/>
    <d v="1899-12-30T15:35:00"/>
    <d v="1899-12-30T16:40:00"/>
    <n v="0"/>
    <n v="1.0833333333333348"/>
    <n v="1.0833333333333348"/>
    <s v="Service Re-audit done"/>
    <s v="Close"/>
    <n v="4.7101449275362389E-2"/>
    <m/>
    <m/>
    <m/>
  </r>
  <r>
    <n v="551"/>
    <n v="2024"/>
    <n v="2023"/>
    <s v="Year_1"/>
    <d v="2023-06-30T00:00:00"/>
    <s v="KUD11"/>
    <s v="O2R1"/>
    <s v="KSIPL"/>
    <n v="4.3478260869565223E-2"/>
    <n v="5470"/>
    <x v="34"/>
    <s v="after the feeder charge alarm occurred"/>
    <m/>
    <d v="1899-12-30T18:48:00"/>
    <d v="1899-12-30T18:48:00"/>
    <d v="1899-12-30T20:33:00"/>
    <n v="0"/>
    <n v="1.7500000000000071"/>
    <n v="1.7500000000000071"/>
    <s v="troubleshooting done "/>
    <s v="Close"/>
    <n v="7.6086956521739454E-2"/>
    <m/>
    <m/>
    <m/>
  </r>
  <r>
    <n v="552"/>
    <n v="2024"/>
    <n v="2023"/>
    <s v="Year_1"/>
    <d v="2023-06-30T00:00:00"/>
    <s v="KUD15"/>
    <s v="O2R1"/>
    <s v="KSIPL"/>
    <n v="4.3478260869565223E-2"/>
    <n v="5470"/>
    <x v="34"/>
    <s v="after the feeder charge alarm occurred"/>
    <m/>
    <d v="1899-12-30T18:48:00"/>
    <d v="1899-12-30T18:48:00"/>
    <d v="1899-12-30T20:16:00"/>
    <n v="0"/>
    <n v="1.4666666666666641"/>
    <n v="1.4666666666666641"/>
    <s v="troubleshooting done "/>
    <s v="Close"/>
    <n v="6.3768115942028886E-2"/>
    <m/>
    <m/>
    <m/>
  </r>
  <r>
    <n v="553"/>
    <n v="2024"/>
    <n v="2023"/>
    <s v="Year_1"/>
    <d v="2023-06-30T00:00:00"/>
    <s v="KUD14"/>
    <s v="O2R1"/>
    <s v="KSIPL"/>
    <n v="4.3478260869565223E-2"/>
    <n v="4239"/>
    <x v="40"/>
    <s v="SWG not charged after the feeder restored"/>
    <m/>
    <d v="1899-12-30T18:48:00"/>
    <d v="1899-12-30T18:48:00"/>
    <d v="1899-12-30T21:47:00"/>
    <n v="0"/>
    <n v="2.9833333333333441"/>
    <n v="2.9833333333333441"/>
    <s v="SWG charged"/>
    <s v="Close"/>
    <n v="0.12971014492753671"/>
    <m/>
    <m/>
    <m/>
  </r>
  <r>
    <n v="554"/>
    <n v="2024"/>
    <n v="2023"/>
    <s v="Year_1"/>
    <d v="2023-07-01T00:00:00"/>
    <s v="KUD20"/>
    <s v="O2R1"/>
    <s v="KSIPL"/>
    <n v="4.3478260869565223E-2"/>
    <n v="900"/>
    <x v="100"/>
    <s v="WTG stop for generator alignment work"/>
    <m/>
    <d v="1899-12-30T09:37:00"/>
    <d v="1899-12-30T09:37:00"/>
    <d v="1899-12-30T15:44:00"/>
    <n v="0"/>
    <n v="6.1166666666666876"/>
    <n v="6.1166666666666876"/>
    <s v="Generator alignment work done"/>
    <s v="Close"/>
    <n v="0.26594202898550817"/>
    <m/>
    <m/>
    <m/>
  </r>
  <r>
    <n v="555"/>
    <n v="2024"/>
    <n v="2023"/>
    <s v="Year_1"/>
    <d v="2023-07-02T00:00:00"/>
    <s v="KUD02"/>
    <s v="O2R3"/>
    <s v="JK"/>
    <n v="4.3478260869565223E-2"/>
    <n v="3209"/>
    <x v="101"/>
    <s v="WTG stop due to alarm"/>
    <m/>
    <d v="1899-12-30T02:25:00"/>
    <d v="1899-12-30T02:25:00"/>
    <d v="1899-12-30T08:10:00"/>
    <n v="0"/>
    <n v="5.750000000000016"/>
    <n v="5.750000000000016"/>
    <s v="Yaw sensor setting done"/>
    <s v="Close"/>
    <n v="0.25000000000000072"/>
    <m/>
    <m/>
    <m/>
  </r>
  <r>
    <n v="556"/>
    <n v="2024"/>
    <n v="2023"/>
    <s v="Year_1"/>
    <d v="2023-07-02T00:00:00"/>
    <s v="KUD22"/>
    <s v="O2R3"/>
    <s v="JK"/>
    <n v="4.3478260869565223E-2"/>
    <n v="5069"/>
    <x v="102"/>
    <s v="WTG stop due to alarm"/>
    <m/>
    <d v="1899-12-30T09:36:00"/>
    <d v="1899-12-30T09:36:00"/>
    <d v="1899-12-30T14:00:00"/>
    <n v="0"/>
    <n v="4.3999999999999924"/>
    <n v="4.3999999999999924"/>
    <s v="prop valve changed"/>
    <s v="Close"/>
    <n v="0.19130434782608666"/>
    <m/>
    <m/>
    <m/>
  </r>
  <r>
    <n v="557"/>
    <n v="2024"/>
    <n v="2023"/>
    <s v="Year_1"/>
    <d v="2023-07-03T00:00:00"/>
    <s v="KUD02"/>
    <s v="O2R3"/>
    <s v="JK"/>
    <n v="4.3478260869565223E-2"/>
    <n v="6293"/>
    <x v="33"/>
    <s v="Test function after the feeder charge"/>
    <m/>
    <d v="1899-12-30T00:43:00"/>
    <d v="1899-12-30T00:43:00"/>
    <d v="1899-12-30T01:02:00"/>
    <n v="0"/>
    <n v="0.31666666666666798"/>
    <n v="0.31666666666666798"/>
    <s v="Auto reset"/>
    <s v="Close"/>
    <n v="1.3768115942029044E-2"/>
    <m/>
    <m/>
    <m/>
  </r>
  <r>
    <n v="558"/>
    <n v="2024"/>
    <n v="2023"/>
    <s v="Year_1"/>
    <d v="2023-07-03T00:00:00"/>
    <s v="KUD04"/>
    <s v="O2R3"/>
    <s v="JK"/>
    <n v="4.3478260869565223E-2"/>
    <n v="3024"/>
    <x v="103"/>
    <s v="after the feeder charge warning occurred"/>
    <m/>
    <d v="1899-12-30T00:43:00"/>
    <d v="1899-12-30T00:43:00"/>
    <d v="1899-12-30T01:26:00"/>
    <n v="0"/>
    <n v="0.71666666666666634"/>
    <n v="0.71666666666666634"/>
    <s v="maual reset delay due to communication issue"/>
    <s v="Close"/>
    <n v="3.1159420289855064E-2"/>
    <m/>
    <m/>
    <m/>
  </r>
  <r>
    <n v="559"/>
    <n v="2024"/>
    <n v="2023"/>
    <s v="Year_1"/>
    <d v="2023-07-03T00:00:00"/>
    <s v="KUD04"/>
    <s v="O2R3"/>
    <s v="JK"/>
    <n v="4.3478260869565223E-2"/>
    <n v="3298"/>
    <x v="47"/>
    <s v="WTG stop due to alarm"/>
    <m/>
    <d v="1899-12-30T16:13:00"/>
    <d v="1899-12-30T16:13:00"/>
    <d v="1899-12-30T16:18:00"/>
    <n v="0"/>
    <n v="8.3333333333351689E-2"/>
    <n v="8.3333333333351689E-2"/>
    <s v="maual reset"/>
    <s v="Close"/>
    <n v="3.6231884057978999E-3"/>
    <m/>
    <m/>
    <m/>
  </r>
  <r>
    <n v="560"/>
    <n v="2024"/>
    <n v="2023"/>
    <s v="Year_1"/>
    <d v="2023-07-03T00:00:00"/>
    <s v="KUD04"/>
    <s v="O2R3"/>
    <s v="JK"/>
    <n v="4.3478260869565223E-2"/>
    <n v="3024"/>
    <x v="104"/>
    <s v="after the feeder charge warning occurred"/>
    <m/>
    <d v="1899-12-30T18:14:00"/>
    <d v="1899-12-30T18:14:00"/>
    <d v="1899-12-30T18:24:00"/>
    <n v="0"/>
    <n v="0.16666666666668206"/>
    <n v="0.16666666666668206"/>
    <s v="maual reset"/>
    <s v="Close"/>
    <n v="7.2463768115948735E-3"/>
    <m/>
    <m/>
    <m/>
  </r>
  <r>
    <n v="561"/>
    <n v="2024"/>
    <n v="2023"/>
    <s v="Year_1"/>
    <d v="2023-07-03T00:00:00"/>
    <s v="KUD06"/>
    <s v="O2R3"/>
    <s v="JK"/>
    <n v="4.3478260869565223E-2"/>
    <n v="6293"/>
    <x v="33"/>
    <s v="Test function after the feeder charge"/>
    <m/>
    <d v="1899-12-30T18:15:00"/>
    <d v="1899-12-30T18:15:00"/>
    <d v="1899-12-30T18:21:00"/>
    <n v="0"/>
    <n v="9.9999999999983658E-2"/>
    <n v="9.9999999999983658E-2"/>
    <s v="Auto reset"/>
    <s v="Close"/>
    <n v="4.3478260869558114E-3"/>
    <m/>
    <m/>
    <m/>
  </r>
  <r>
    <n v="562"/>
    <n v="2024"/>
    <n v="2023"/>
    <s v="Year_1"/>
    <d v="2023-07-03T00:00:00"/>
    <s v="KUD07"/>
    <s v="O2R3"/>
    <s v="JK"/>
    <n v="4.3478260869565223E-2"/>
    <n v="6293"/>
    <x v="33"/>
    <s v="Test function after the feeder charge"/>
    <m/>
    <d v="1899-12-30T00:45:00"/>
    <d v="1899-12-30T00:45:00"/>
    <d v="1899-12-30T00:52:00"/>
    <n v="0"/>
    <n v="0.11666666666666642"/>
    <n v="0.11666666666666642"/>
    <s v="Auto reset"/>
    <s v="Close"/>
    <n v="5.0724637681159321E-3"/>
    <m/>
    <m/>
    <m/>
  </r>
  <r>
    <n v="563"/>
    <n v="2024"/>
    <n v="2023"/>
    <s v="Year_1"/>
    <d v="2023-07-03T00:00:00"/>
    <s v="KUD09"/>
    <s v="O2R3"/>
    <s v="JK"/>
    <n v="4.3478260869565223E-2"/>
    <n v="6293"/>
    <x v="33"/>
    <s v="Test function after the feeder charge"/>
    <m/>
    <d v="1899-12-30T00:43:00"/>
    <d v="1899-12-30T00:43:00"/>
    <d v="1899-12-30T01:00:00"/>
    <n v="0"/>
    <n v="0.28333333333333444"/>
    <n v="0.28333333333333444"/>
    <s v="Auto reset"/>
    <s v="Close"/>
    <n v="1.2318840579710194E-2"/>
    <m/>
    <m/>
    <m/>
  </r>
  <r>
    <n v="564"/>
    <n v="2024"/>
    <n v="2023"/>
    <s v="Year_1"/>
    <d v="2023-07-03T00:00:00"/>
    <s v="KUD14"/>
    <s v="O2R1"/>
    <s v="KSIPL"/>
    <n v="4.3478260869565223E-2"/>
    <n v="3296"/>
    <x v="46"/>
    <s v="WTG stop due to alarm"/>
    <m/>
    <d v="1899-12-30T15:48:00"/>
    <d v="1899-12-30T15:48:00"/>
    <d v="1899-12-30T16:04:00"/>
    <n v="0"/>
    <n v="0.26666666666666305"/>
    <n v="0.26666666666666305"/>
    <s v="Auto reset"/>
    <s v="Close"/>
    <n v="1.1594202898550569E-2"/>
    <m/>
    <m/>
    <m/>
  </r>
  <r>
    <n v="565"/>
    <n v="2024"/>
    <n v="2023"/>
    <s v="Year_1"/>
    <d v="2023-07-03T00:00:00"/>
    <s v="KUD15"/>
    <s v="O2R1"/>
    <s v="KSIPL"/>
    <n v="4.3478260869565223E-2"/>
    <n v="5685"/>
    <x v="36"/>
    <s v="WTG stop due to alarm"/>
    <m/>
    <d v="1899-12-30T16:04:00"/>
    <d v="1899-12-30T16:04:00"/>
    <d v="1899-12-30T16:21:00"/>
    <n v="0"/>
    <n v="0.28333333333334565"/>
    <n v="0.28333333333334565"/>
    <s v="maual rest"/>
    <s v="Close"/>
    <n v="1.2318840579710682E-2"/>
    <m/>
    <m/>
    <m/>
  </r>
  <r>
    <n v="566"/>
    <n v="2024"/>
    <n v="2023"/>
    <s v="Year_1"/>
    <d v="2023-07-03T00:00:00"/>
    <s v="KUD18"/>
    <s v="O2R4"/>
    <s v="SGDCIPL"/>
    <n v="4.3478260869565223E-2"/>
    <n v="6290"/>
    <x v="91"/>
    <s v="Test function after the feeder charge"/>
    <m/>
    <d v="1899-12-30T00:43:00"/>
    <d v="1899-12-30T00:43:00"/>
    <d v="1899-12-30T00:48:00"/>
    <n v="0"/>
    <n v="8.3333333333332787E-2"/>
    <n v="8.3333333333332787E-2"/>
    <s v="Auto reset"/>
    <s v="Close"/>
    <n v="3.6231884057970781E-3"/>
    <m/>
    <m/>
    <m/>
  </r>
  <r>
    <n v="567"/>
    <n v="2024"/>
    <n v="2023"/>
    <s v="Year_1"/>
    <d v="2023-07-03T00:00:00"/>
    <s v="KUD22"/>
    <s v="O2R3"/>
    <s v="JK"/>
    <n v="4.3478260869565223E-2"/>
    <n v="3298"/>
    <x v="47"/>
    <s v="after the feeder charge warning occurred"/>
    <m/>
    <d v="1899-12-30T00:45:00"/>
    <d v="1899-12-30T00:45:00"/>
    <d v="1899-12-30T01:04:00"/>
    <n v="0"/>
    <n v="0.31666666666666554"/>
    <n v="0.31666666666666554"/>
    <s v="maual reset"/>
    <s v="Close"/>
    <n v="1.3768115942028938E-2"/>
    <m/>
    <m/>
    <m/>
  </r>
  <r>
    <n v="568"/>
    <n v="2024"/>
    <n v="2023"/>
    <s v="Year_1"/>
    <d v="2023-07-03T00:00:00"/>
    <s v="KUD23"/>
    <s v="O2R3"/>
    <s v="JK"/>
    <n v="4.3478260869565223E-2"/>
    <n v="6290"/>
    <x v="105"/>
    <s v="after the feeder charge warning occurred"/>
    <m/>
    <d v="1899-12-30T00:45:00"/>
    <d v="1899-12-30T00:45:00"/>
    <d v="1899-12-30T02:11:00"/>
    <n v="0"/>
    <n v="1.4333333333333329"/>
    <n v="1.4333333333333329"/>
    <s v="hard reboot and restored the WTG."/>
    <s v="Close"/>
    <n v="6.2318840579710134E-2"/>
    <m/>
    <m/>
    <m/>
  </r>
  <r>
    <n v="569"/>
    <n v="2024"/>
    <n v="2023"/>
    <s v="Year_1"/>
    <d v="2023-07-04T00:00:00"/>
    <s v="KUD02"/>
    <s v="O2R3"/>
    <s v="JK"/>
    <n v="4.3478260869565223E-2"/>
    <n v="900"/>
    <x v="100"/>
    <s v="WTG stop for CMS not  connected warning  checking purpose "/>
    <m/>
    <d v="1899-12-30T13:30:11"/>
    <d v="1899-12-30T13:30:11"/>
    <d v="1899-12-30T14:49:00"/>
    <n v="0"/>
    <n v="1.3136111111111051"/>
    <n v="1.3136111111111051"/>
    <s v="CMS configuration done "/>
    <s v="Close"/>
    <n v="5.7113526570048055E-2"/>
    <m/>
    <m/>
    <m/>
  </r>
  <r>
    <n v="570"/>
    <n v="2024"/>
    <n v="2023"/>
    <s v="Year_1"/>
    <d v="2023-07-04T00:00:00"/>
    <s v="KUD02"/>
    <s v="O2R3"/>
    <s v="JK"/>
    <n v="4.3478260869565223E-2"/>
    <n v="6284"/>
    <x v="41"/>
    <s v="Test function after the feeder charge"/>
    <m/>
    <d v="1899-12-30T20:48:06"/>
    <d v="1899-12-30T20:48:06"/>
    <d v="1899-12-30T20:58:09"/>
    <n v="0"/>
    <n v="0.16750000000000753"/>
    <n v="0.16750000000000753"/>
    <s v="Auto reset"/>
    <s v="Close"/>
    <n v="7.2826086956525021E-3"/>
    <m/>
    <m/>
    <m/>
  </r>
  <r>
    <n v="571"/>
    <n v="2024"/>
    <n v="2023"/>
    <s v="Year_1"/>
    <d v="2023-07-04T00:00:00"/>
    <s v="KUD04"/>
    <s v="O2R3"/>
    <s v="JK"/>
    <n v="4.3478260869565223E-2"/>
    <n v="3024"/>
    <x v="104"/>
    <s v="after the feeder charge warning occurred"/>
    <m/>
    <d v="1899-12-30T20:48:06"/>
    <d v="1899-12-30T20:48:06"/>
    <d v="1899-12-30T22:00:42"/>
    <n v="0"/>
    <n v="1.210000000000008"/>
    <n v="1.210000000000008"/>
    <s v="maual reset delay due to communication issue"/>
    <s v="Close"/>
    <n v="5.2608695652174263E-2"/>
    <m/>
    <m/>
    <m/>
  </r>
  <r>
    <n v="572"/>
    <n v="2024"/>
    <n v="2023"/>
    <s v="Year_1"/>
    <d v="2023-07-04T00:00:00"/>
    <s v="KUD03"/>
    <s v="O2R1"/>
    <s v="KSIPL"/>
    <n v="4.3478260869565223E-2"/>
    <n v="6284"/>
    <x v="41"/>
    <s v="Test function after the feeder charge"/>
    <m/>
    <d v="1899-12-30T20:48:06"/>
    <d v="1899-12-30T20:48:06"/>
    <d v="1899-12-30T20:58:09"/>
    <n v="0"/>
    <n v="0.16750000000000753"/>
    <n v="0.16750000000000753"/>
    <s v="Auto reset"/>
    <s v="Close"/>
    <n v="7.2826086956525021E-3"/>
    <m/>
    <m/>
    <m/>
  </r>
  <r>
    <n v="573"/>
    <n v="2024"/>
    <n v="2023"/>
    <s v="Year_1"/>
    <d v="2023-07-04T00:00:00"/>
    <s v="KUD05"/>
    <s v="O2R3"/>
    <s v="JK"/>
    <n v="4.3478260869565223E-2"/>
    <n v="6284"/>
    <x v="41"/>
    <s v="Test function after the feeder charge"/>
    <m/>
    <d v="1899-12-30T20:48:43"/>
    <d v="1899-12-30T20:48:43"/>
    <d v="1899-12-30T20:58:00"/>
    <n v="0"/>
    <n v="0.15472222222221532"/>
    <n v="0.15472222222221532"/>
    <s v="Auto reset"/>
    <s v="Close"/>
    <n v="6.7270531400963193E-3"/>
    <m/>
    <m/>
    <m/>
  </r>
  <r>
    <n v="574"/>
    <n v="2024"/>
    <n v="2023"/>
    <s v="Year_1"/>
    <d v="2023-07-04T00:00:00"/>
    <s v="KUD08"/>
    <s v="O2R3"/>
    <s v="JK"/>
    <n v="4.3478260869565223E-2"/>
    <n v="135"/>
    <x v="106"/>
    <s v="after the feeder charge alarm occurred"/>
    <m/>
    <d v="1899-12-30T20:48:55"/>
    <d v="1899-12-30T20:48:55"/>
    <d v="1899-12-30T21:51:00"/>
    <n v="0"/>
    <n v="1.0347222222222223"/>
    <n v="1.0347222222222223"/>
    <s v="SWG charged"/>
    <s v="Close"/>
    <n v="4.4987922705314022E-2"/>
    <m/>
    <m/>
    <m/>
  </r>
  <r>
    <n v="575"/>
    <n v="2024"/>
    <n v="2023"/>
    <s v="Year_1"/>
    <d v="2023-07-04T00:00:00"/>
    <s v="KUD09"/>
    <s v="O2R3"/>
    <s v="JK"/>
    <n v="4.3478260869565223E-2"/>
    <n v="900"/>
    <x v="100"/>
    <s v="WTG stop for CMS not  connected warning  checking purpose "/>
    <m/>
    <d v="1899-12-30T16:34:55"/>
    <d v="1899-12-30T16:34:55"/>
    <d v="1899-12-30T17:49:57"/>
    <n v="0"/>
    <n v="1.2505555555555441"/>
    <n v="1.2505555555555441"/>
    <s v="CMS configuration done "/>
    <s v="Close"/>
    <n v="5.4371980676328015E-2"/>
    <m/>
    <m/>
    <m/>
  </r>
  <r>
    <n v="576"/>
    <n v="2024"/>
    <n v="2023"/>
    <s v="Year_1"/>
    <d v="2023-07-04T00:00:00"/>
    <s v="KUD15"/>
    <s v="O2R1"/>
    <s v="KSIPL"/>
    <n v="4.3478260869565223E-2"/>
    <n v="5470"/>
    <x v="34"/>
    <s v="after the feeder charge alarm occurred"/>
    <m/>
    <d v="1899-12-30T20:49:36"/>
    <d v="1899-12-30T20:49:36"/>
    <d v="1899-12-30T21:53:24"/>
    <n v="0"/>
    <n v="1.063333333333321"/>
    <n v="1.063333333333321"/>
    <s v="maual reset delay due to communication issue"/>
    <s v="Close"/>
    <n v="4.6231884057970483E-2"/>
    <m/>
    <m/>
    <m/>
  </r>
  <r>
    <n v="577"/>
    <n v="2024"/>
    <n v="2023"/>
    <s v="Year_1"/>
    <d v="2023-07-04T00:00:00"/>
    <s v="KUD16"/>
    <s v="O2R2"/>
    <s v="SIL"/>
    <n v="4.3478260869565223E-2"/>
    <n v="6284"/>
    <x v="41"/>
    <s v="Test function after the feeder charge"/>
    <m/>
    <d v="1899-12-30T17:44:37"/>
    <d v="1899-12-30T17:44:37"/>
    <d v="1899-12-30T17:49:40"/>
    <n v="0"/>
    <n v="8.4166666666655843E-2"/>
    <n v="8.4166666666655843E-2"/>
    <s v="Auto reset"/>
    <s v="Close"/>
    <n v="3.6594202898546022E-3"/>
    <m/>
    <m/>
    <m/>
  </r>
  <r>
    <n v="578"/>
    <n v="2024"/>
    <n v="2023"/>
    <s v="Year_1"/>
    <d v="2023-07-04T00:00:00"/>
    <s v="KUD17"/>
    <s v="O2R2"/>
    <s v="SIL"/>
    <n v="4.3478260869565223E-2"/>
    <n v="6290"/>
    <x v="91"/>
    <s v="Test function after the feeder charge"/>
    <m/>
    <d v="1899-12-30T17:52:41"/>
    <d v="1899-12-30T17:52:41"/>
    <d v="1899-12-30T18:00:22"/>
    <n v="0"/>
    <n v="0.12805555555555248"/>
    <n v="0.12805555555555248"/>
    <s v="Auto reset"/>
    <s v="Close"/>
    <n v="5.5676328502414132E-3"/>
    <m/>
    <m/>
    <m/>
  </r>
  <r>
    <n v="579"/>
    <n v="2024"/>
    <n v="2023"/>
    <s v="Year_1"/>
    <d v="2023-07-04T00:00:00"/>
    <s v="KUD17"/>
    <s v="O2R2"/>
    <s v="SIL"/>
    <n v="4.3478260869565223E-2"/>
    <n v="6284"/>
    <x v="41"/>
    <s v="Test function after the feeder charge"/>
    <m/>
    <d v="1899-12-30T20:48:32"/>
    <d v="1899-12-30T20:48:32"/>
    <d v="1899-12-30T20:57:32"/>
    <n v="0"/>
    <n v="0.14999999999999947"/>
    <n v="0.14999999999999947"/>
    <s v="Auto reset"/>
    <s v="Close"/>
    <n v="6.5217391304347606E-3"/>
    <m/>
    <m/>
    <m/>
  </r>
  <r>
    <n v="580"/>
    <n v="2024"/>
    <n v="2023"/>
    <s v="Year_1"/>
    <d v="2023-07-04T00:00:00"/>
    <s v="KUD18"/>
    <s v="O2R4"/>
    <s v="SGDCIPL"/>
    <n v="4.3478260869565223E-2"/>
    <n v="135"/>
    <x v="97"/>
    <s v="after the feeder charge alarm occurred"/>
    <m/>
    <d v="1899-12-30T20:48:32"/>
    <d v="1899-12-30T20:48:32"/>
    <d v="1899-12-30T21:39:29"/>
    <n v="0"/>
    <n v="0.84916666666665552"/>
    <n v="0.84916666666665552"/>
    <s v="SWG charged"/>
    <s v="Close"/>
    <n v="3.6920289855071987E-2"/>
    <m/>
    <m/>
    <m/>
  </r>
  <r>
    <n v="581"/>
    <n v="2024"/>
    <n v="2023"/>
    <s v="Year_1"/>
    <d v="2023-07-04T00:00:00"/>
    <s v="KUD20"/>
    <s v="O2R1"/>
    <s v="KSIPL"/>
    <n v="4.3478260869565223E-2"/>
    <n v="2956"/>
    <x v="107"/>
    <s v="after the feeder charge alarm occurred"/>
    <m/>
    <d v="1899-12-30T19:42:45"/>
    <d v="1899-12-30T19:42:45"/>
    <d v="1899-12-30T21:39:29"/>
    <n v="0"/>
    <n v="1.9455555555555355"/>
    <n v="1.9455555555555355"/>
    <s v="SWG charged"/>
    <s v="Close"/>
    <n v="8.4589371980675468E-2"/>
    <m/>
    <m/>
    <m/>
  </r>
  <r>
    <n v="582"/>
    <n v="2024"/>
    <n v="2023"/>
    <s v="Year_1"/>
    <d v="2023-07-04T00:00:00"/>
    <s v="KUD21"/>
    <s v="O2R3"/>
    <s v="JK"/>
    <n v="4.3478260869565223E-2"/>
    <n v="100"/>
    <x v="108"/>
    <s v="after the feeder charge warning occurred"/>
    <m/>
    <d v="1899-12-30T20:48:32"/>
    <d v="1899-12-30T20:48:32"/>
    <d v="1899-12-30T21:57:26"/>
    <n v="0"/>
    <n v="1.1483333333333263"/>
    <n v="1.1483333333333263"/>
    <s v="maual reset delay due to communication issue"/>
    <s v="Close"/>
    <n v="4.9927536231883757E-2"/>
    <m/>
    <m/>
    <m/>
  </r>
  <r>
    <n v="583"/>
    <n v="2024"/>
    <n v="2023"/>
    <s v="Year_1"/>
    <d v="2023-07-05T00:00:00"/>
    <s v="KUD01"/>
    <s v="O2R1"/>
    <s v="KSIPL"/>
    <n v="4.3478260869565223E-2"/>
    <n v="30"/>
    <x v="44"/>
    <s v="Internal sublogic error"/>
    <m/>
    <d v="1899-12-30T19:03:06"/>
    <d v="1899-12-30T19:03:06"/>
    <d v="1899-12-30T19:29:28"/>
    <n v="0"/>
    <n v="0.43944444444446429"/>
    <n v="0.43944444444446429"/>
    <s v="maual reset delay due to communication issue"/>
    <s v="Close"/>
    <n v="1.9106280193237582E-2"/>
    <m/>
    <m/>
    <m/>
  </r>
  <r>
    <n v="584"/>
    <n v="2024"/>
    <n v="2023"/>
    <s v="Year_1"/>
    <d v="2023-07-05T00:00:00"/>
    <s v="KUD04"/>
    <s v="O2R3"/>
    <s v="JK"/>
    <n v="4.3478260869565223E-2"/>
    <n v="3024"/>
    <x v="104"/>
    <s v="ArcNetReconfigMaxLimit      11"/>
    <m/>
    <d v="1899-12-30T13:33:04"/>
    <d v="1899-12-30T13:33:04"/>
    <d v="1899-12-30T14:09:16"/>
    <n v="0"/>
    <n v="0.60333333333333439"/>
    <n v="0.60333333333333439"/>
    <s v="maual reset delay due to communication issue"/>
    <s v="Close"/>
    <n v="2.6231884057971062E-2"/>
    <m/>
    <m/>
    <m/>
  </r>
  <r>
    <n v="585"/>
    <n v="2024"/>
    <n v="2023"/>
    <s v="Year_1"/>
    <d v="2023-07-05T00:00:00"/>
    <s v="KUD03"/>
    <s v="O2R1"/>
    <s v="KSIPL"/>
    <n v="4.3478260869565223E-2"/>
    <n v="707"/>
    <x v="70"/>
    <s v="Ch hardware error C0"/>
    <m/>
    <d v="1899-12-30T19:03:06"/>
    <d v="1899-12-30T19:03:06"/>
    <d v="1899-12-30T19:30:38"/>
    <n v="0"/>
    <n v="0.45888888888890556"/>
    <n v="0.45888888888890556"/>
    <s v="maual reset delay due to communication issue"/>
    <s v="Close"/>
    <n v="1.9951690821256765E-2"/>
    <m/>
    <m/>
    <m/>
  </r>
  <r>
    <n v="586"/>
    <n v="2024"/>
    <n v="2023"/>
    <s v="Year_1"/>
    <d v="2023-07-05T00:00:00"/>
    <s v="KUD08"/>
    <s v="O2R3"/>
    <s v="JK"/>
    <n v="4.3478260869565223E-2"/>
    <n v="135"/>
    <x v="52"/>
    <s v="Low voltage L3:   2 V"/>
    <m/>
    <d v="1899-12-30T10:33:24"/>
    <d v="1899-12-30T10:33:24"/>
    <d v="1899-12-30T14:22:43"/>
    <n v="0"/>
    <n v="3.8219444444444401"/>
    <n v="3.8219444444444401"/>
    <s v="SWG charged"/>
    <s v="Close"/>
    <n v="0.16617149758454089"/>
    <m/>
    <m/>
    <m/>
  </r>
  <r>
    <n v="587"/>
    <n v="2024"/>
    <n v="2023"/>
    <s v="Year_1"/>
    <d v="2023-07-05T00:00:00"/>
    <s v="KUD08"/>
    <s v="O2R3"/>
    <s v="JK"/>
    <n v="4.3478260869565223E-2"/>
    <n v="2953"/>
    <x v="109"/>
    <s v="PowerSupplyLowFreq: Min 47 Hz"/>
    <m/>
    <d v="1899-12-30T19:03:06"/>
    <d v="1899-12-30T19:03:06"/>
    <d v="1899-12-30T19:25:18"/>
    <n v="0"/>
    <n v="0.37000000000000988"/>
    <n v="0.37000000000000988"/>
    <s v="SWG charged"/>
    <s v="Close"/>
    <n v="1.6086956521739561E-2"/>
    <m/>
    <m/>
    <m/>
  </r>
  <r>
    <n v="588"/>
    <n v="2024"/>
    <n v="2023"/>
    <s v="Year_1"/>
    <d v="2023-07-05T00:00:00"/>
    <s v="KUD10"/>
    <s v="O2R1"/>
    <s v="KSIPL"/>
    <n v="4.3478260869565223E-2"/>
    <n v="30"/>
    <x v="44"/>
    <s v="Internal sublogic error"/>
    <m/>
    <d v="1899-12-30T19:03:06"/>
    <d v="1899-12-30T19:03:06"/>
    <d v="1899-12-30T19:30:29"/>
    <n v="0"/>
    <n v="0.45638888888889717"/>
    <n v="0.45638888888889717"/>
    <s v="maual reset delay due to communication issue"/>
    <s v="Close"/>
    <n v="1.984299516908249E-2"/>
    <m/>
    <m/>
    <m/>
  </r>
  <r>
    <n v="589"/>
    <n v="2024"/>
    <n v="2023"/>
    <s v="Year_1"/>
    <d v="2023-07-05T00:00:00"/>
    <s v="KUD11"/>
    <s v="O2R1"/>
    <s v="KSIPL"/>
    <n v="4.3478260869565223E-2"/>
    <n v="707"/>
    <x v="70"/>
    <s v="Ch hardware error C0"/>
    <m/>
    <d v="1899-12-30T19:03:06"/>
    <d v="1899-12-30T19:03:06"/>
    <d v="1899-12-30T19:31:24"/>
    <n v="0"/>
    <n v="0.47166666666667378"/>
    <n v="0.47166666666667378"/>
    <s v="maual reset delay due to communication issue"/>
    <s v="Close"/>
    <n v="2.0507246376811908E-2"/>
    <m/>
    <m/>
    <m/>
  </r>
  <r>
    <n v="590"/>
    <n v="2024"/>
    <n v="2023"/>
    <s v="Year_1"/>
    <d v="2023-07-05T00:00:00"/>
    <s v="KUD12"/>
    <s v="O2R1"/>
    <s v="KSIPL"/>
    <n v="4.3478260869565223E-2"/>
    <n v="707"/>
    <x v="70"/>
    <s v="Ch hardware error C0"/>
    <m/>
    <d v="1899-12-30T19:03:06"/>
    <d v="1899-12-30T19:03:06"/>
    <d v="1899-12-30T19:31:58"/>
    <n v="0"/>
    <n v="0.48111111111112947"/>
    <n v="0.48111111111112947"/>
    <s v="maual reset delay due to communication issue"/>
    <s v="Close"/>
    <n v="2.0917874396136068E-2"/>
    <m/>
    <m/>
    <m/>
  </r>
  <r>
    <n v="591"/>
    <n v="2024"/>
    <n v="2023"/>
    <s v="Year_1"/>
    <d v="2023-07-05T00:00:00"/>
    <s v="KUD13"/>
    <s v="O2R1"/>
    <s v="KSIPL"/>
    <n v="4.3478260869565223E-2"/>
    <n v="707"/>
    <x v="70"/>
    <s v="Ch hardware error C0"/>
    <m/>
    <d v="1899-12-30T19:03:06"/>
    <d v="1899-12-30T19:03:06"/>
    <d v="1899-12-30T19:30:17"/>
    <n v="0"/>
    <n v="0.45305555555556065"/>
    <n v="0.45305555555556065"/>
    <s v="maual reset delay due to communication issue"/>
    <s v="Close"/>
    <n v="1.9698067632850466E-2"/>
    <m/>
    <m/>
    <m/>
  </r>
  <r>
    <n v="592"/>
    <n v="2024"/>
    <n v="2023"/>
    <s v="Year_1"/>
    <d v="2023-07-05T00:00:00"/>
    <s v="KUD14"/>
    <s v="O2R1"/>
    <s v="KSIPL"/>
    <n v="4.3478260869565223E-2"/>
    <n v="707"/>
    <x v="70"/>
    <s v="Ch hardware error C0"/>
    <m/>
    <d v="1899-12-30T19:03:06"/>
    <d v="1899-12-30T19:03:06"/>
    <d v="1899-12-30T19:31:24"/>
    <n v="0"/>
    <n v="0.47166666666667378"/>
    <n v="0.47166666666667378"/>
    <s v="maual reset delay due to communication issue"/>
    <s v="Close"/>
    <n v="2.0507246376811908E-2"/>
    <m/>
    <m/>
    <m/>
  </r>
  <r>
    <n v="593"/>
    <n v="2024"/>
    <n v="2023"/>
    <s v="Year_1"/>
    <d v="2023-07-05T00:00:00"/>
    <s v="KUD15"/>
    <s v="O2R1"/>
    <s v="KSIPL"/>
    <n v="4.3478260869565223E-2"/>
    <n v="5470"/>
    <x v="34"/>
    <s v="GeneratorBreakerFBResponse"/>
    <m/>
    <d v="1899-12-30T13:33:04"/>
    <d v="1899-12-30T13:33:04"/>
    <d v="1899-12-30T14:46:03"/>
    <n v="0"/>
    <n v="1.2163888888888801"/>
    <n v="1.2163888888888801"/>
    <s v="maual reset delay due to communication issue"/>
    <s v="Close"/>
    <n v="5.2886473429951314E-2"/>
    <m/>
    <m/>
    <m/>
  </r>
  <r>
    <n v="594"/>
    <n v="2024"/>
    <n v="2023"/>
    <s v="Year_1"/>
    <d v="2023-07-05T00:00:00"/>
    <s v="KUD15"/>
    <s v="O2R1"/>
    <s v="KSIPL"/>
    <n v="4.3478260869565223E-2"/>
    <n v="5470"/>
    <x v="34"/>
    <s v="GeneratorBreakerFBResponse"/>
    <m/>
    <d v="1899-12-30T19:03:06"/>
    <d v="1899-12-30T19:03:06"/>
    <d v="1899-12-30T19:42:52"/>
    <n v="0"/>
    <n v="0.66277777777778457"/>
    <n v="0.66277777777778457"/>
    <s v="maual reset delay due to communication issue"/>
    <s v="Close"/>
    <n v="2.8816425120773245E-2"/>
    <m/>
    <m/>
    <m/>
  </r>
  <r>
    <n v="595"/>
    <n v="2024"/>
    <n v="2023"/>
    <s v="Year_1"/>
    <d v="2023-07-05T00:00:00"/>
    <s v="KUD16"/>
    <s v="O2R2"/>
    <s v="SIL"/>
    <n v="4.3478260869565223E-2"/>
    <n v="4239"/>
    <x v="40"/>
    <s v="HVCB Unknown Trip Reason"/>
    <m/>
    <d v="1899-12-30T19:03:06"/>
    <d v="1899-12-30T19:03:06"/>
    <d v="1899-12-30T20:47:38"/>
    <n v="0"/>
    <n v="1.7422222222222317"/>
    <n v="1.7422222222222317"/>
    <s v="SWG charged"/>
    <s v="Close"/>
    <n v="7.5748792270531828E-2"/>
    <m/>
    <m/>
    <m/>
  </r>
  <r>
    <n v="596"/>
    <n v="2024"/>
    <n v="2023"/>
    <s v="Year_1"/>
    <d v="2023-07-05T00:00:00"/>
    <s v="KUD18"/>
    <s v="O2R4"/>
    <s v="SGDCIPL"/>
    <n v="4.3478260869565223E-2"/>
    <n v="135"/>
    <x v="52"/>
    <s v="Low voltage L3:   2 V"/>
    <m/>
    <d v="1899-12-30T12:37:10"/>
    <d v="1899-12-30T12:37:10"/>
    <d v="1899-12-30T14:11:01"/>
    <n v="0"/>
    <n v="1.564166666666666"/>
    <n v="1.564166666666666"/>
    <s v="maual reset delay due to communication issue"/>
    <s v="Close"/>
    <n v="6.8007246376811575E-2"/>
    <m/>
    <m/>
    <m/>
  </r>
  <r>
    <n v="597"/>
    <n v="2024"/>
    <n v="2023"/>
    <s v="Year_1"/>
    <d v="2023-07-05T00:00:00"/>
    <s v="KUD20"/>
    <s v="O2R1"/>
    <s v="KSIPL"/>
    <n v="4.3478260869565223E-2"/>
    <n v="707"/>
    <x v="70"/>
    <s v="Ch hardware error C0"/>
    <m/>
    <d v="1899-12-30T13:42:46"/>
    <d v="1899-12-30T13:42:46"/>
    <d v="1899-12-30T13:44:14"/>
    <n v="0"/>
    <n v="2.444444444443139E-2"/>
    <n v="2.444444444443139E-2"/>
    <s v="SWG charged"/>
    <s v="Close"/>
    <n v="1.0628019323665823E-3"/>
    <m/>
    <m/>
    <m/>
  </r>
  <r>
    <n v="598"/>
    <n v="2024"/>
    <n v="2023"/>
    <s v="Year_1"/>
    <d v="2023-07-05T00:00:00"/>
    <s v="KUD20"/>
    <s v="O2R1"/>
    <s v="KSIPL"/>
    <n v="4.3478260869565223E-2"/>
    <n v="900"/>
    <x v="52"/>
    <s v="Low voltage L3:   2 V"/>
    <m/>
    <d v="1899-12-30T19:03:06"/>
    <d v="1899-12-30T19:03:06"/>
    <d v="1899-12-30T19:31:29"/>
    <n v="0"/>
    <n v="0.4730555555555771"/>
    <n v="0.4730555555555771"/>
    <s v="SWG charged"/>
    <s v="Close"/>
    <n v="2.0567632850242486E-2"/>
    <m/>
    <m/>
    <m/>
  </r>
  <r>
    <n v="599"/>
    <n v="2024"/>
    <n v="2023"/>
    <s v="Year_1"/>
    <d v="2023-07-05T00:00:00"/>
    <s v="KUD21"/>
    <s v="O2R3"/>
    <s v="JK"/>
    <n v="4.3478260869565223E-2"/>
    <n v="100"/>
    <x v="110"/>
    <s v="Too many auto-restarts:   83"/>
    <m/>
    <d v="1899-12-30T19:03:06"/>
    <d v="1899-12-30T19:03:06"/>
    <d v="1899-12-30T20:46:58"/>
    <n v="0"/>
    <n v="1.7311111111111197"/>
    <n v="1.7311111111111197"/>
    <s v="hard reboot and restored the WTG."/>
    <s v="Close"/>
    <n v="7.5265700483092168E-2"/>
    <m/>
    <m/>
    <m/>
  </r>
  <r>
    <n v="600"/>
    <n v="2024"/>
    <n v="2023"/>
    <s v="Year_1"/>
    <d v="2023-07-05T00:00:00"/>
    <s v="KUD23"/>
    <s v="O2R3"/>
    <s v="JK"/>
    <n v="4.3478260869565223E-2"/>
    <n v="900"/>
    <x v="100"/>
    <s v="WTG stop for CMS not  connected warning  checking purpose "/>
    <m/>
    <d v="1899-12-30T11:58:44"/>
    <d v="1899-12-30T11:58:44"/>
    <d v="1899-12-30T12:35:55"/>
    <n v="0"/>
    <n v="0.61972222222224138"/>
    <n v="0.61972222222224138"/>
    <s v="CMS configuration done "/>
    <s v="Close"/>
    <n v="2.6944444444445281E-2"/>
    <m/>
    <m/>
    <m/>
  </r>
  <r>
    <n v="601"/>
    <n v="2024"/>
    <n v="2023"/>
    <s v="Year_1"/>
    <d v="2023-07-05T00:00:00"/>
    <s v="KUD23"/>
    <s v="O2R3"/>
    <s v="JK"/>
    <n v="4.3478260869565223E-2"/>
    <n v="900"/>
    <x v="100"/>
    <s v="WTG stop for CMS not  connected warning  checking purpose "/>
    <m/>
    <d v="1899-12-30T13:33:04"/>
    <d v="1899-12-30T13:33:04"/>
    <d v="1899-12-30T14:28:55"/>
    <n v="0"/>
    <n v="0.93083333333332696"/>
    <n v="0.93083333333332696"/>
    <s v="CMS configuration done "/>
    <s v="Close"/>
    <n v="4.0471014492753352E-2"/>
    <m/>
    <m/>
    <m/>
  </r>
  <r>
    <n v="602"/>
    <n v="2024"/>
    <n v="2023"/>
    <s v="Year_1"/>
    <d v="2023-07-05T00:00:00"/>
    <s v="KUD04"/>
    <s v="O2R3"/>
    <s v="JK"/>
    <n v="4.3478260869565223E-2"/>
    <n v="3024"/>
    <x v="104"/>
    <s v="ArcNetReconfigMaxLimit      11"/>
    <m/>
    <d v="1899-12-30T19:03:06"/>
    <d v="1899-12-30T19:03:06"/>
    <d v="1899-12-30T20:12:38"/>
    <n v="0"/>
    <n v="1.1588888888888897"/>
    <n v="1.1588888888888897"/>
    <s v="SWG charged"/>
    <s v="Close"/>
    <n v="5.0386473429951735E-2"/>
    <m/>
    <m/>
    <m/>
  </r>
  <r>
    <n v="603"/>
    <n v="2024"/>
    <n v="2023"/>
    <s v="Year_1"/>
    <d v="2023-07-06T00:00:00"/>
    <s v="KUD15"/>
    <s v="O2R1"/>
    <s v="KSIPL"/>
    <n v="4.3478260869565223E-2"/>
    <n v="5470"/>
    <x v="34"/>
    <s v="GeneratorBreakerFBResponse"/>
    <m/>
    <d v="1899-12-30T05:24:00"/>
    <d v="1899-12-30T05:24:00"/>
    <d v="1899-12-30T06:58:00"/>
    <n v="0"/>
    <n v="1.5666666666666724"/>
    <n v="1.5666666666666724"/>
    <s v="maual reset delay due to communication issue"/>
    <s v="Close"/>
    <n v="6.8115942028985771E-2"/>
    <m/>
    <m/>
    <m/>
  </r>
  <r>
    <n v="604"/>
    <n v="2024"/>
    <n v="2023"/>
    <s v="Year_1"/>
    <d v="2023-07-06T00:00:00"/>
    <s v="KUD15"/>
    <s v="O2R1"/>
    <s v="KSIPL"/>
    <n v="4.3478260869565223E-2"/>
    <n v="5470"/>
    <x v="34"/>
    <s v="GeneratorBreakerFBResponse"/>
    <m/>
    <d v="1899-12-30T07:12:54"/>
    <d v="1899-12-30T07:12:54"/>
    <d v="1899-12-30T07:55:00"/>
    <n v="0"/>
    <n v="0.70166666666666444"/>
    <n v="0.70166666666666444"/>
    <s v="hard reboot and restored the WTG."/>
    <s v="Close"/>
    <n v="3.05072463768115E-2"/>
    <m/>
    <m/>
    <m/>
  </r>
  <r>
    <n v="605"/>
    <n v="2024"/>
    <n v="2023"/>
    <s v="Year_1"/>
    <d v="2023-07-06T00:00:00"/>
    <s v="KUD15"/>
    <s v="O2R1"/>
    <s v="KSIPL"/>
    <n v="4.3478260869565223E-2"/>
    <n v="5470"/>
    <x v="34"/>
    <s v="GeneratorBreakerFBResponse"/>
    <m/>
    <d v="1899-12-30T18:42:09"/>
    <d v="1899-12-30T18:42:09"/>
    <d v="1899-12-30T20:14:00"/>
    <n v="0"/>
    <n v="1.5308333333333515"/>
    <n v="1.5308333333333515"/>
    <s v="hard reboot and restored the WTG."/>
    <s v="Close"/>
    <n v="6.6557971014493553E-2"/>
    <m/>
    <m/>
    <m/>
  </r>
  <r>
    <n v="606"/>
    <n v="2024"/>
    <n v="2023"/>
    <s v="Year_1"/>
    <d v="2023-07-07T00:00:00"/>
    <s v="KUD14"/>
    <s v="O2R1"/>
    <s v="KSIPL"/>
    <n v="4.3478260869565223E-2"/>
    <n v="900"/>
    <x v="52"/>
    <s v="Low voltage L3:   2 V"/>
    <m/>
    <d v="1899-12-30T14:00:00"/>
    <d v="1899-12-30T14:00:00"/>
    <d v="1899-12-30T14:38:00"/>
    <n v="0"/>
    <n v="0.63333333333333641"/>
    <n v="0.63333333333333641"/>
    <s v="SWG charged"/>
    <s v="Close"/>
    <n v="2.7536231884058109E-2"/>
    <m/>
    <m/>
    <m/>
  </r>
  <r>
    <n v="607"/>
    <n v="2024"/>
    <n v="2023"/>
    <s v="Year_1"/>
    <d v="2023-07-08T00:00:00"/>
    <s v="KUD17"/>
    <s v="O2R2"/>
    <s v="SIL"/>
    <n v="4.3478260869565223E-2"/>
    <n v="900"/>
    <x v="100"/>
    <s v="Manual Stop for A Service "/>
    <m/>
    <d v="1899-12-30T10:53:00"/>
    <d v="1899-12-30T10:53:00"/>
    <d v="1899-12-30T17:46:00"/>
    <n v="0"/>
    <n v="6.8833333333333453"/>
    <n v="6.8833333333333453"/>
    <s v="A service done"/>
    <s v="Close"/>
    <n v="0.29927536231884116"/>
    <m/>
    <m/>
    <m/>
  </r>
  <r>
    <n v="608"/>
    <n v="2024"/>
    <n v="2023"/>
    <s v="Year_1"/>
    <d v="2023-07-08T00:00:00"/>
    <s v="KUD01"/>
    <s v="O2R1"/>
    <s v="KSIPL"/>
    <n v="4.3478260869565223E-2"/>
    <n v="3270"/>
    <x v="47"/>
    <s v="north pole sensor not allowed to yawing of nacelle"/>
    <m/>
    <d v="1899-12-30T19:37:00"/>
    <d v="1899-12-30T19:37:00"/>
    <d v="1899-12-30T19:58:00"/>
    <n v="0"/>
    <n v="0.34999999999999343"/>
    <n v="0.34999999999999343"/>
    <s v="remote reset done"/>
    <s v="Close"/>
    <n v="1.5217391304347542E-2"/>
    <m/>
    <m/>
    <m/>
  </r>
  <r>
    <n v="609"/>
    <n v="2024"/>
    <n v="2023"/>
    <s v="Year_1"/>
    <d v="2023-07-09T00:00:00"/>
    <s v="KUD17"/>
    <s v="O2R2"/>
    <s v="SIL"/>
    <n v="4.3478260869565223E-2"/>
    <n v="900"/>
    <x v="100"/>
    <s v="Manual Stop for A Service "/>
    <m/>
    <d v="1899-12-30T09:29:00"/>
    <d v="1899-12-30T09:29:00"/>
    <d v="1899-12-30T16:40:00"/>
    <n v="0"/>
    <n v="7.1833333333333442"/>
    <n v="7.1833333333333442"/>
    <s v="A service done"/>
    <s v="Close"/>
    <n v="0.31231884057971065"/>
    <m/>
    <m/>
    <m/>
  </r>
  <r>
    <n v="610"/>
    <n v="2024"/>
    <n v="2023"/>
    <s v="Year_1"/>
    <d v="2023-07-11T00:00:00"/>
    <s v="KUD02"/>
    <s v="O2R3"/>
    <s v="JK"/>
    <n v="4.3478260869565223E-2"/>
    <n v="900"/>
    <x v="100"/>
    <s v="CMS commnication work"/>
    <m/>
    <d v="1899-12-30T12:03:00"/>
    <d v="1899-12-30T12:03:00"/>
    <d v="1899-12-30T15:04:00"/>
    <n v="0"/>
    <n v="3.0166666666666799"/>
    <n v="3.0166666666666799"/>
    <s v="CMS configuration done "/>
    <s v="Close"/>
    <n v="0.13115942028985567"/>
    <m/>
    <m/>
    <m/>
  </r>
  <r>
    <n v="611"/>
    <n v="2024"/>
    <n v="2023"/>
    <s v="Year_1"/>
    <d v="2023-07-13T00:00:00"/>
    <s v="KUD01"/>
    <s v="O2R1"/>
    <s v="KSIPL"/>
    <n v="4.3478260869565223E-2"/>
    <n v="900"/>
    <x v="100"/>
    <s v="WTG stop for VTM alert"/>
    <m/>
    <d v="1899-12-30T15:43:00"/>
    <d v="1899-12-30T15:43:00"/>
    <d v="1899-12-30T17:20:00"/>
    <n v="0"/>
    <n v="1.6166666666666636"/>
    <n v="1.6166666666666636"/>
    <s v="VTM alert rectify done"/>
    <s v="Close"/>
    <n v="7.0289855072463645E-2"/>
    <m/>
    <m/>
    <m/>
  </r>
  <r>
    <n v="612"/>
    <n v="2024"/>
    <n v="2023"/>
    <s v="Year_1"/>
    <d v="2023-07-13T00:00:00"/>
    <s v="KUD23"/>
    <s v="O2R3"/>
    <s v="JK"/>
    <n v="4.3478260869565223E-2"/>
    <n v="5069"/>
    <x v="111"/>
    <s v="WTG stop due to alarm"/>
    <m/>
    <d v="1899-12-30T17:35:00"/>
    <d v="1899-12-30T17:35:00"/>
    <d v="1899-12-30T21:48:00"/>
    <n v="0"/>
    <n v="4.216666666666657"/>
    <n v="4.216666666666657"/>
    <s v="all feedback connection checked  found load sensor connection loose and we corrected connection and restore the WTG."/>
    <s v="Close"/>
    <n v="0.18333333333333293"/>
    <m/>
    <m/>
    <m/>
  </r>
  <r>
    <n v="613"/>
    <n v="2024"/>
    <n v="2023"/>
    <s v="Year_1"/>
    <d v="2023-07-13T00:00:00"/>
    <s v="KUD06"/>
    <s v="O2R3"/>
    <s v="JK"/>
    <n v="4.3478260869565223E-2"/>
    <n v="3270"/>
    <x v="76"/>
    <s v="north pole sensor not allowed to yawing of nacelle"/>
    <m/>
    <d v="1899-12-30T17:20:00"/>
    <d v="1899-12-30T17:20:00"/>
    <d v="1899-12-30T17:32:00"/>
    <n v="0"/>
    <n v="0.20000000000001528"/>
    <n v="0.20000000000001528"/>
    <s v="remote reset done"/>
    <s v="Close"/>
    <n v="8.695652173913708E-3"/>
    <m/>
    <m/>
    <m/>
  </r>
  <r>
    <n v="614"/>
    <n v="2024"/>
    <n v="2023"/>
    <s v="Year_1"/>
    <d v="2023-07-14T00:00:00"/>
    <s v="KUD04"/>
    <s v="O2R3"/>
    <s v="JK"/>
    <n v="4.3478260869565223E-2"/>
    <n v="30"/>
    <x v="44"/>
    <s v="Internal subLogic error"/>
    <m/>
    <d v="1899-12-30T05:50:00"/>
    <d v="1899-12-30T05:50:00"/>
    <d v="1899-12-30T06:22:00"/>
    <n v="0"/>
    <n v="0.53333333333332811"/>
    <n v="0.53333333333332811"/>
    <s v="remote reset done"/>
    <s v="Close"/>
    <n v="2.3188405797101224E-2"/>
    <m/>
    <m/>
    <m/>
  </r>
  <r>
    <n v="615"/>
    <n v="2024"/>
    <n v="2023"/>
    <s v="Year_1"/>
    <d v="2023-07-15T00:00:00"/>
    <s v="KUD23"/>
    <s v="O2R3"/>
    <s v="JK"/>
    <n v="4.3478260869565223E-2"/>
    <n v="5195"/>
    <x v="49"/>
    <s v="WTG stop due to alarm"/>
    <m/>
    <d v="1899-12-30T14:21:00"/>
    <d v="1899-12-30T14:21:00"/>
    <d v="1899-12-30T15:04:00"/>
    <n v="0"/>
    <n v="0.71666666666666412"/>
    <n v="0.71666666666666412"/>
    <s v="remote reset done"/>
    <s v="Close"/>
    <n v="3.1159420289854967E-2"/>
    <m/>
    <m/>
    <m/>
  </r>
  <r>
    <n v="616"/>
    <n v="2024"/>
    <n v="2023"/>
    <s v="Year_1"/>
    <d v="2023-07-15T00:00:00"/>
    <s v="KUD23"/>
    <s v="O2R3"/>
    <s v="JK"/>
    <n v="4.3478260869565223E-2"/>
    <n v="900"/>
    <x v="100"/>
    <s v="manual stop for trouble shooting "/>
    <m/>
    <d v="1899-12-30T17:50:00"/>
    <d v="1899-12-30T17:50:00"/>
    <d v="1899-12-30T18:25:00"/>
    <n v="0"/>
    <n v="0.58333333333334458"/>
    <n v="0.58333333333334458"/>
    <s v="Blade load calibration test done and rstore the wtg."/>
    <s v="Close"/>
    <n v="2.5362318840580201E-2"/>
    <m/>
    <m/>
    <m/>
  </r>
  <r>
    <n v="617"/>
    <n v="2024"/>
    <n v="2023"/>
    <s v="Year_1"/>
    <d v="2023-07-16T00:00:00"/>
    <s v="KUD15"/>
    <s v="O2R1"/>
    <s v="KSIPL"/>
    <n v="4.3478260869565223E-2"/>
    <n v="5470"/>
    <x v="34"/>
    <s v="GeneratorBreakerFBResponse"/>
    <m/>
    <d v="1899-12-30T15:22:00"/>
    <d v="1899-12-30T15:22:00"/>
    <d v="1899-12-30T18:51:00"/>
    <n v="0"/>
    <n v="3.4833333333333369"/>
    <n v="3.4833333333333369"/>
    <s v="EKIP controller replaced new one."/>
    <s v="Close"/>
    <n v="0.15144927536231903"/>
    <m/>
    <m/>
    <m/>
  </r>
  <r>
    <n v="618"/>
    <n v="2024"/>
    <n v="2023"/>
    <s v="Year_1"/>
    <d v="2023-07-17T00:00:00"/>
    <s v="KUD08"/>
    <s v="O2R3"/>
    <s v="JK"/>
    <n v="4.3478260869565223E-2"/>
    <n v="135"/>
    <x v="112"/>
    <s v="Low voltage L3:   2 V"/>
    <m/>
    <d v="1899-12-30T13:48:00"/>
    <d v="1899-12-30T13:48:00"/>
    <d v="1899-12-30T14:23:00"/>
    <n v="0"/>
    <n v="0.58333333333334458"/>
    <n v="0.58333333333334458"/>
    <s v="SWG charged"/>
    <s v="Close"/>
    <n v="2.5362318840580201E-2"/>
    <m/>
    <m/>
    <m/>
  </r>
  <r>
    <n v="619"/>
    <n v="2024"/>
    <n v="2023"/>
    <s v="Year_1"/>
    <d v="2023-07-17T00:00:00"/>
    <s v="KUD05"/>
    <s v="O2R3"/>
    <s v="JK"/>
    <n v="4.3478260869565223E-2"/>
    <n v="135"/>
    <x v="112"/>
    <s v="Low voltage L3:   2 V"/>
    <m/>
    <d v="1899-12-30T14:56:00"/>
    <d v="1899-12-30T14:56:00"/>
    <d v="1899-12-30T15:09:00"/>
    <n v="0"/>
    <n v="0.21666666666667123"/>
    <n v="0.21666666666667123"/>
    <s v="SWG charged"/>
    <s v="Close"/>
    <n v="9.4202898550726638E-3"/>
    <m/>
    <m/>
    <m/>
  </r>
  <r>
    <n v="620"/>
    <n v="2024"/>
    <n v="2023"/>
    <s v="Year_1"/>
    <d v="2023-07-17T00:00:00"/>
    <s v="KUD14"/>
    <s v="O2R1"/>
    <s v="KSIPL"/>
    <n v="4.3478260869565223E-2"/>
    <n v="4239"/>
    <x v="40"/>
    <s v="HVCB Unknown Trip Reason"/>
    <m/>
    <d v="1899-12-30T12:40:00"/>
    <d v="1899-12-30T12:40:00"/>
    <d v="1899-12-30T17:35:00"/>
    <n v="0"/>
    <n v="4.9166666666666625"/>
    <n v="4.9166666666666625"/>
    <s v="foung loose connection in hub panel and ground controller software updated."/>
    <s v="Close"/>
    <n v="0.21376811594202882"/>
    <m/>
    <m/>
    <m/>
  </r>
  <r>
    <n v="621"/>
    <n v="2024"/>
    <n v="2023"/>
    <s v="Year_1"/>
    <d v="2023-07-17T00:00:00"/>
    <s v="KUD05"/>
    <s v="O2R3"/>
    <s v="JK"/>
    <n v="4.3478260869565223E-2"/>
    <n v="3270"/>
    <x v="76"/>
    <s v="Yaw To Cable Twist Reset"/>
    <m/>
    <d v="1899-12-30T09:23:00"/>
    <d v="1899-12-30T09:23:00"/>
    <d v="1899-12-30T10:03:00"/>
    <n v="0"/>
    <n v="0.66666666666667229"/>
    <n v="0.66666666666667229"/>
    <s v="remote reset done"/>
    <s v="Close"/>
    <n v="2.8985507246377058E-2"/>
    <m/>
    <m/>
    <m/>
  </r>
  <r>
    <n v="622"/>
    <n v="2024"/>
    <n v="2023"/>
    <s v="Year_1"/>
    <d v="2023-07-18T00:00:00"/>
    <s v="KUD14"/>
    <s v="O2R1"/>
    <s v="KSIPL"/>
    <n v="4.3478260869565223E-2"/>
    <n v="135"/>
    <x v="112"/>
    <s v="SWG not charged after the feeder restored "/>
    <m/>
    <d v="1899-12-30T02:06:00"/>
    <d v="1899-12-30T02:06:00"/>
    <d v="1899-12-30T04:56:00"/>
    <n v="0"/>
    <n v="2.8333333333333437"/>
    <n v="2.8333333333333437"/>
    <s v="SWG charged"/>
    <s v="Close"/>
    <n v="0.12318840579710191"/>
    <m/>
    <m/>
    <m/>
  </r>
  <r>
    <n v="623"/>
    <n v="2024"/>
    <n v="2023"/>
    <s v="Year_1"/>
    <d v="2023-07-18T00:00:00"/>
    <s v="KUD14"/>
    <s v="O2R1"/>
    <s v="KSIPL"/>
    <n v="4.3478260869565223E-2"/>
    <n v="135"/>
    <x v="112"/>
    <s v="SWG not charged after the feeder restored "/>
    <m/>
    <d v="1899-12-30T12:37:00"/>
    <d v="1899-12-30T13:37:00"/>
    <d v="1899-12-30T15:03:00"/>
    <n v="1.0000000000000071"/>
    <n v="1.4333333333333282"/>
    <n v="2.4333333333333353"/>
    <s v="SWG breaker settings checked and restored"/>
    <s v="Close"/>
    <n v="0.10579710144927547"/>
    <m/>
    <m/>
    <m/>
  </r>
  <r>
    <n v="624"/>
    <n v="2024"/>
    <n v="2023"/>
    <s v="Year_1"/>
    <d v="2023-07-18T00:00:00"/>
    <s v="KUD18"/>
    <s v="O2R4"/>
    <s v="SGDCIPL"/>
    <n v="4.3478260869565223E-2"/>
    <n v="135"/>
    <x v="112"/>
    <s v="After feeder charged no communication"/>
    <m/>
    <d v="1899-12-30T08:08:00"/>
    <d v="1899-12-30T08:08:00"/>
    <d v="1899-12-30T09:24:00"/>
    <n v="0"/>
    <n v="1.2666666666666715"/>
    <n v="1.2666666666666715"/>
    <s v="Manually start the location"/>
    <s v="Close"/>
    <n v="5.5072463768116156E-2"/>
    <m/>
    <m/>
    <m/>
  </r>
  <r>
    <n v="625"/>
    <n v="2024"/>
    <n v="2023"/>
    <s v="Year_1"/>
    <d v="2023-07-18T00:00:00"/>
    <s v="KUD21"/>
    <s v="O2R3"/>
    <s v="JK"/>
    <n v="4.3478260869565223E-2"/>
    <n v="135"/>
    <x v="112"/>
    <s v="After feeder charged no communication"/>
    <m/>
    <d v="1899-12-30T08:08:00"/>
    <d v="1899-12-30T08:08:00"/>
    <d v="1899-12-30T09:11:00"/>
    <n v="0"/>
    <n v="1.0499999999999989"/>
    <n v="1.0499999999999989"/>
    <s v="Manually start the location"/>
    <s v="Close"/>
    <n v="4.5652173913043437E-2"/>
    <m/>
    <m/>
    <m/>
  </r>
  <r>
    <n v="626"/>
    <n v="2024"/>
    <n v="2023"/>
    <s v="Year_1"/>
    <d v="2023-07-18T00:00:00"/>
    <s v="KUD02"/>
    <s v="O2R3"/>
    <s v="JK"/>
    <n v="4.3478260869565223E-2"/>
    <n v="5472"/>
    <x v="42"/>
    <s v="After feeder charged  Generator breaker open condition "/>
    <m/>
    <d v="1899-12-30T18:25:00"/>
    <d v="1899-12-30T18:25:00"/>
    <d v="1899-12-30T20:33:00"/>
    <n v="0"/>
    <n v="2.1333333333333337"/>
    <n v="2.1333333333333337"/>
    <s v="checked generator breaker coil and restored"/>
    <s v="Close"/>
    <n v="9.2753623188405826E-2"/>
    <m/>
    <m/>
    <m/>
  </r>
  <r>
    <n v="627"/>
    <n v="2024"/>
    <n v="2023"/>
    <s v="Year_1"/>
    <d v="2023-07-18T00:00:00"/>
    <s v="KUD08"/>
    <s v="O2R3"/>
    <s v="JK"/>
    <n v="4.3478260869565223E-2"/>
    <n v="135"/>
    <x v="112"/>
    <s v="SWG not charged after the feeder restored "/>
    <m/>
    <d v="1899-12-30T19:03:00"/>
    <d v="1899-12-30T19:03:00"/>
    <d v="1899-12-30T23:33:00"/>
    <n v="0"/>
    <n v="4.5"/>
    <n v="4.5"/>
    <s v="UPS Battery Drained, Replaced and UPS  230V connection checked found losse connection, Tightened done.CB Charged and restored."/>
    <s v="Close"/>
    <n v="0.19565217391304351"/>
    <m/>
    <m/>
    <m/>
  </r>
  <r>
    <n v="628"/>
    <n v="2024"/>
    <n v="2023"/>
    <s v="Year_1"/>
    <d v="2023-07-18T00:00:00"/>
    <s v="KUD20"/>
    <s v="O2R1"/>
    <s v="KSIPL"/>
    <n v="4.3478260869565223E-2"/>
    <n v="135"/>
    <x v="112"/>
    <s v="SWG not charged after the feeder restored "/>
    <m/>
    <d v="1899-12-30T16:10:00"/>
    <d v="1899-12-30T16:10:00"/>
    <d v="1899-12-30T18:10:00"/>
    <n v="0"/>
    <n v="2.0000000000000142"/>
    <n v="2.0000000000000142"/>
    <s v="No communication "/>
    <s v="Open"/>
    <n v="8.6956521739131071E-2"/>
    <m/>
    <m/>
    <m/>
  </r>
  <r>
    <n v="629"/>
    <n v="2024"/>
    <n v="2023"/>
    <s v="Year_1"/>
    <d v="2023-07-18T00:00:00"/>
    <s v="KUD20"/>
    <s v="O2R1"/>
    <s v="KSIPL"/>
    <n v="4.3478260869565223E-2"/>
    <n v="135"/>
    <x v="112"/>
    <s v="SWG not charged after the feeder restored "/>
    <m/>
    <d v="1899-12-30T19:03:00"/>
    <d v="1899-12-30T19:03:00"/>
    <d v="1899-12-30T19:19:00"/>
    <n v="0"/>
    <n v="0.26666666666666572"/>
    <n v="0.26666666666666572"/>
    <s v="SWG Charged"/>
    <s v="Close"/>
    <n v="1.1594202898550685E-2"/>
    <m/>
    <m/>
    <m/>
  </r>
  <r>
    <n v="630"/>
    <n v="2024"/>
    <n v="2023"/>
    <s v="Year_1"/>
    <d v="2023-07-19T00:00:00"/>
    <s v="KUD04"/>
    <s v="O2R3"/>
    <s v="JK"/>
    <n v="4.3478260869565223E-2"/>
    <n v="3024"/>
    <x v="113"/>
    <s v="No communication"/>
    <m/>
    <d v="1899-12-30T16:58:00"/>
    <d v="1899-12-30T16:58:00"/>
    <d v="1899-12-30T18:47:00"/>
    <n v="0"/>
    <n v="1.8166666666666789"/>
    <n v="1.8166666666666789"/>
    <s v="After feeder charge no communication so manual reset done"/>
    <s v="Close"/>
    <n v="7.8985507246377346E-2"/>
    <m/>
    <m/>
    <m/>
  </r>
  <r>
    <n v="631"/>
    <n v="2024"/>
    <n v="2023"/>
    <s v="Year_1"/>
    <d v="2023-07-19T00:00:00"/>
    <s v="KUD08"/>
    <s v="O2R3"/>
    <s v="JK"/>
    <n v="4.3478260869565223E-2"/>
    <n v="135"/>
    <x v="112"/>
    <s v="Low voltage L3:   2 V"/>
    <m/>
    <d v="1899-12-30T16:58:00"/>
    <d v="1899-12-30T16:58:00"/>
    <d v="1899-12-30T20:55:00"/>
    <n v="0"/>
    <n v="3.9500000000000153"/>
    <n v="3.9500000000000153"/>
    <s v="After feeder charge SWG not charge and UPS battery interchanged then restored"/>
    <s v="Close"/>
    <n v="0.17173913043478328"/>
    <m/>
    <m/>
    <m/>
  </r>
  <r>
    <n v="632"/>
    <n v="2024"/>
    <n v="2023"/>
    <s v="Year_1"/>
    <d v="2023-07-19T00:00:00"/>
    <s v="KUD23"/>
    <s v="O2R3"/>
    <s v="JK"/>
    <n v="4.3478260869565223E-2"/>
    <n v="5196"/>
    <x v="114"/>
    <s v="No communication"/>
    <m/>
    <d v="1899-12-30T16:58:00"/>
    <d v="1899-12-30T16:58:00"/>
    <d v="1899-12-30T18:49:00"/>
    <n v="0"/>
    <n v="1.8500000000000147"/>
    <n v="1.8500000000000147"/>
    <s v="After feeder charge no communication so manual reset done"/>
    <s v="Close"/>
    <n v="8.0434782608696298E-2"/>
    <m/>
    <m/>
    <m/>
  </r>
  <r>
    <n v="633"/>
    <n v="2024"/>
    <n v="2023"/>
    <s v="Year_1"/>
    <d v="2023-07-19T00:00:00"/>
    <s v="KUD14"/>
    <s v="O2R1"/>
    <s v="KSIPL"/>
    <n v="4.3478260869565223E-2"/>
    <n v="3024"/>
    <x v="113"/>
    <s v="No communication"/>
    <m/>
    <d v="1899-12-30T16:58:00"/>
    <d v="1899-12-30T16:58:00"/>
    <d v="1899-12-30T19:00:00"/>
    <n v="0"/>
    <n v="2.0333333333333501"/>
    <n v="2.0333333333333501"/>
    <s v="After feeder charge no communication so manual reset done"/>
    <s v="Close"/>
    <n v="8.8405797101450009E-2"/>
    <m/>
    <m/>
    <m/>
  </r>
  <r>
    <n v="634"/>
    <n v="2024"/>
    <n v="2023"/>
    <s v="Year_1"/>
    <d v="2023-07-19T00:00:00"/>
    <s v="KUD16"/>
    <s v="O2R2"/>
    <s v="SIL"/>
    <n v="4.3478260869565223E-2"/>
    <n v="4239"/>
    <x v="40"/>
    <s v="HVCB Unknown Trip Reason"/>
    <m/>
    <d v="1899-12-30T16:58:00"/>
    <d v="1899-12-30T16:58:00"/>
    <d v="1899-12-30T19:32:00"/>
    <n v="0"/>
    <n v="2.5666666666666789"/>
    <n v="2.5666666666666789"/>
    <s v="After feeder charge no communication so manual reset done"/>
    <s v="Close"/>
    <n v="0.11159420289855126"/>
    <m/>
    <m/>
    <m/>
  </r>
  <r>
    <n v="635"/>
    <n v="2024"/>
    <n v="2023"/>
    <s v="Year_1"/>
    <d v="2023-07-19T00:00:00"/>
    <s v="KUD20"/>
    <s v="O2R1"/>
    <s v="KSIPL"/>
    <n v="4.3478260869565223E-2"/>
    <n v="135"/>
    <x v="112"/>
    <s v="Low voltage L3:   2 V"/>
    <m/>
    <d v="1899-12-30T16:58:00"/>
    <d v="1899-12-30T16:58:00"/>
    <d v="1899-12-30T18:33:00"/>
    <n v="0"/>
    <n v="1.5833333333333517"/>
    <n v="1.5833333333333517"/>
    <s v="SWG charged"/>
    <s v="Close"/>
    <n v="6.8840579710145733E-2"/>
    <m/>
    <m/>
    <m/>
  </r>
  <r>
    <n v="636"/>
    <n v="2024"/>
    <n v="2023"/>
    <s v="Year_1"/>
    <d v="2023-07-20T00:00:00"/>
    <s v="KUD15"/>
    <s v="O2R1"/>
    <s v="KSIPL"/>
    <n v="4.3478260869565223E-2"/>
    <n v="4235"/>
    <x v="93"/>
    <s v="Gen Stator CB Open"/>
    <m/>
    <d v="1899-12-30T13:41:00"/>
    <d v="1899-12-30T13:41:00"/>
    <d v="1899-12-30T13:57:00"/>
    <n v="0"/>
    <n v="0.26666666666666572"/>
    <n v="0.26666666666666572"/>
    <s v="Auto reset"/>
    <s v="Close"/>
    <n v="1.1594202898550685E-2"/>
    <m/>
    <m/>
    <m/>
  </r>
  <r>
    <n v="637"/>
    <n v="2024"/>
    <n v="2023"/>
    <s v="Year_1"/>
    <d v="2023-07-20T00:00:00"/>
    <s v="KUD23"/>
    <s v="O2R3"/>
    <s v="JK"/>
    <n v="4.3478260869565223E-2"/>
    <n v="900"/>
    <x v="100"/>
    <s v="Derating error checking "/>
    <m/>
    <d v="1899-12-30T11:47:00"/>
    <d v="1899-12-30T11:47:00"/>
    <d v="1899-12-30T15:15:00"/>
    <n v="0"/>
    <n v="3.4666666666666797"/>
    <n v="3.4666666666666797"/>
    <s v="Check the blade load sensor and all connection are normal condition then restored"/>
    <s v="Close"/>
    <n v="0.15072463768116001"/>
    <m/>
    <m/>
    <m/>
  </r>
  <r>
    <n v="638"/>
    <n v="2024"/>
    <n v="2023"/>
    <s v="Year_1"/>
    <d v="2023-07-21T00:00:00"/>
    <s v="KUD04"/>
    <s v="O2R3"/>
    <s v="JK"/>
    <n v="4.3478260869565223E-2"/>
    <n v="3024"/>
    <x v="113"/>
    <s v="ArcNetReconfigMaxLimit      17"/>
    <m/>
    <d v="1899-12-30T07:40:00"/>
    <d v="1899-12-30T07:40:00"/>
    <d v="1899-12-30T08:41:00"/>
    <n v="0"/>
    <n v="1.0166666666666884"/>
    <n v="1.0166666666666884"/>
    <s v="After feeder charged no communication so manual reset done"/>
    <s v="Close"/>
    <n v="4.4202898550725588E-2"/>
    <m/>
    <m/>
    <m/>
  </r>
  <r>
    <n v="639"/>
    <n v="2024"/>
    <n v="2023"/>
    <s v="Year_1"/>
    <d v="2023-07-21T00:00:00"/>
    <s v="KUD04"/>
    <s v="O2R3"/>
    <s v="JK"/>
    <n v="4.3478260869565223E-2"/>
    <n v="3024"/>
    <x v="113"/>
    <s v="ArcNetReconfigMaxLimit      17"/>
    <m/>
    <d v="1899-12-30T19:33:00"/>
    <d v="1899-12-30T19:33:00"/>
    <d v="1899-12-30T20:01:00"/>
    <n v="0"/>
    <n v="0.466666666666681"/>
    <n v="0.466666666666681"/>
    <s v="After feeder charged no communication so manual reset done"/>
    <s v="Close"/>
    <n v="2.0289855072464395E-2"/>
    <m/>
    <m/>
    <m/>
  </r>
  <r>
    <n v="640"/>
    <n v="2024"/>
    <n v="2023"/>
    <s v="Year_1"/>
    <d v="2023-07-21T00:00:00"/>
    <s v="KUD04"/>
    <s v="O2R3"/>
    <s v="JK"/>
    <n v="4.3478260869565223E-2"/>
    <n v="3024"/>
    <x v="113"/>
    <s v="ArcNetReconfigMaxLimit      17"/>
    <m/>
    <d v="1899-12-30T23:35:00"/>
    <d v="1899-12-30T23:35:00"/>
    <d v="1899-12-31T00:00:00"/>
    <n v="0"/>
    <n v="0.41666666666666519"/>
    <n v="0.41666666666666519"/>
    <s v="After feeder charged no communication so manual reset done"/>
    <s v="Open"/>
    <n v="1.8115942028985445E-2"/>
    <m/>
    <m/>
    <m/>
  </r>
  <r>
    <n v="641"/>
    <n v="2024"/>
    <n v="2023"/>
    <s v="Year_1"/>
    <d v="2023-07-21T00:00:00"/>
    <s v="KUD16"/>
    <s v="O2R2"/>
    <s v="SIL"/>
    <n v="4.3478260869565223E-2"/>
    <n v="3742"/>
    <x v="115"/>
    <s v="TripHVButtonActivated 1"/>
    <m/>
    <d v="1899-12-30T07:40:00"/>
    <d v="1899-12-30T07:40:00"/>
    <d v="1899-12-30T08:34:00"/>
    <n v="0"/>
    <n v="0.9000000000000008"/>
    <n v="0.9000000000000008"/>
    <s v="After feeder charged no communication so manual reset done"/>
    <s v="Close"/>
    <n v="3.9130434782608733E-2"/>
    <m/>
    <m/>
    <m/>
  </r>
  <r>
    <n v="642"/>
    <n v="2024"/>
    <n v="2023"/>
    <s v="Year_1"/>
    <d v="2023-07-21T00:00:00"/>
    <s v="KUD18"/>
    <s v="O2R4"/>
    <s v="SGDCIPL"/>
    <n v="4.3478260869565223E-2"/>
    <n v="135"/>
    <x v="112"/>
    <s v="ExEx low voltage L3:   2V"/>
    <m/>
    <d v="1899-12-30T07:40:00"/>
    <d v="1899-12-30T07:40:00"/>
    <d v="1899-12-30T08:46:00"/>
    <n v="0"/>
    <n v="1.1000000000000161"/>
    <n v="1.1000000000000161"/>
    <s v="After feeder charged no communication so manual reset done"/>
    <s v="Close"/>
    <n v="4.7826086956522441E-2"/>
    <m/>
    <m/>
    <m/>
  </r>
  <r>
    <n v="643"/>
    <n v="2024"/>
    <n v="2023"/>
    <s v="Year_1"/>
    <d v="2023-07-21T00:00:00"/>
    <s v="KUD18"/>
    <s v="O2R4"/>
    <s v="SGDCIPL"/>
    <n v="4.3478260869565223E-2"/>
    <n v="135"/>
    <x v="112"/>
    <s v="ExEx low voltage L3:   2V"/>
    <m/>
    <d v="1899-12-30T19:33:00"/>
    <d v="1899-12-30T19:33:00"/>
    <d v="1899-12-30T20:08:00"/>
    <n v="0"/>
    <n v="0.58333333333334458"/>
    <n v="0.58333333333334458"/>
    <s v="SWG charged"/>
    <s v="Close"/>
    <n v="2.5362318840580201E-2"/>
    <m/>
    <m/>
    <m/>
  </r>
  <r>
    <n v="644"/>
    <n v="2024"/>
    <n v="2023"/>
    <s v="Year_1"/>
    <d v="2023-07-21T00:00:00"/>
    <s v="KUD18"/>
    <s v="O2R4"/>
    <s v="SGDCIPL"/>
    <n v="4.3478260869565223E-2"/>
    <n v="135"/>
    <x v="112"/>
    <s v="ExEx low voltage L3:   2V"/>
    <m/>
    <d v="1899-12-30T23:35:00"/>
    <d v="1899-12-30T23:35:00"/>
    <d v="1899-12-31T00:00:00"/>
    <n v="0"/>
    <n v="0.41666666666666519"/>
    <n v="0.41666666666666519"/>
    <s v="SWG charged"/>
    <s v="Open"/>
    <n v="1.8115942028985445E-2"/>
    <m/>
    <m/>
    <m/>
  </r>
  <r>
    <n v="645"/>
    <n v="2024"/>
    <n v="2023"/>
    <s v="Year_1"/>
    <d v="2023-07-22T00:00:00"/>
    <s v="KUD04"/>
    <s v="O2R3"/>
    <s v="JK"/>
    <n v="4.3478260869565223E-2"/>
    <n v="3024"/>
    <x v="113"/>
    <s v="ArcNetReconfigMaxLimit      17"/>
    <m/>
    <d v="1899-12-30T00:00:00"/>
    <d v="1899-12-30T00:00:00"/>
    <d v="1899-12-30T00:07:00"/>
    <n v="0"/>
    <n v="0.11666666666666664"/>
    <n v="0.11666666666666664"/>
    <s v="After feeder charged no communication so manual reset done"/>
    <s v="Close"/>
    <n v="5.0724637681159417E-3"/>
    <m/>
    <m/>
    <m/>
  </r>
  <r>
    <n v="646"/>
    <n v="2024"/>
    <n v="2023"/>
    <s v="Year_1"/>
    <d v="2023-07-22T00:00:00"/>
    <s v="KUD18"/>
    <s v="O2R4"/>
    <s v="SGDCIPL"/>
    <n v="4.3478260869565223E-2"/>
    <n v="135"/>
    <x v="112"/>
    <s v="ExEx low voltage L3:   2V"/>
    <m/>
    <d v="1899-12-30T00:00:00"/>
    <d v="1899-12-30T00:00:00"/>
    <d v="1899-12-30T00:11:00"/>
    <n v="0"/>
    <n v="0.18333333333333338"/>
    <n v="0.18333333333333338"/>
    <s v="SWG charged"/>
    <s v="Close"/>
    <n v="7.9710144927536263E-3"/>
    <m/>
    <m/>
    <m/>
  </r>
  <r>
    <n v="647"/>
    <n v="2024"/>
    <n v="2023"/>
    <s v="Year_1"/>
    <d v="2023-07-22T00:00:00"/>
    <s v="KUD12"/>
    <s v="O2R1"/>
    <s v="KSIPL"/>
    <n v="4.3478260869565223E-2"/>
    <n v="3661"/>
    <x v="116"/>
    <s v="GenBreaker open"/>
    <m/>
    <d v="1899-12-30T09:03:00"/>
    <d v="1899-12-30T09:03:00"/>
    <d v="1899-12-30T09:30:00"/>
    <n v="0"/>
    <n v="0.44999999999999973"/>
    <n v="0.44999999999999973"/>
    <s v="Auto reset"/>
    <s v="Close"/>
    <n v="1.9565217391304339E-2"/>
    <m/>
    <m/>
    <m/>
  </r>
  <r>
    <n v="648"/>
    <n v="2024"/>
    <n v="2023"/>
    <s v="Year_1"/>
    <d v="2023-07-22T00:00:00"/>
    <s v="KUD04"/>
    <s v="O2R3"/>
    <s v="JK"/>
    <n v="4.3478260869565223E-2"/>
    <n v="3024"/>
    <x v="113"/>
    <s v="ArcNetReconfigMaxLimit      17"/>
    <m/>
    <d v="1899-12-30T14:52:00"/>
    <d v="1899-12-30T14:52:00"/>
    <d v="1899-12-30T15:15:00"/>
    <n v="0"/>
    <n v="0.38333333333335062"/>
    <n v="0.38333333333335062"/>
    <s v="After feeder charge no communication "/>
    <s v="Close"/>
    <n v="1.6666666666667419E-2"/>
    <m/>
    <m/>
    <m/>
  </r>
  <r>
    <n v="649"/>
    <n v="2024"/>
    <n v="2023"/>
    <s v="Year_1"/>
    <d v="2023-07-22T00:00:00"/>
    <s v="KUD18"/>
    <s v="O2R4"/>
    <s v="SGDCIPL"/>
    <n v="4.3478260869565223E-2"/>
    <n v="135"/>
    <x v="112"/>
    <s v="ExEx low voltage L3:   2V"/>
    <m/>
    <d v="1899-12-30T14:52:00"/>
    <d v="1899-12-30T14:52:00"/>
    <d v="1899-12-30T15:15:00"/>
    <n v="0"/>
    <n v="0.38333333333335062"/>
    <n v="0.38333333333335062"/>
    <s v="After feeder charge no communication "/>
    <s v="Close"/>
    <n v="1.6666666666667419E-2"/>
    <m/>
    <m/>
    <m/>
  </r>
  <r>
    <n v="650"/>
    <n v="2024"/>
    <n v="2023"/>
    <s v="Year_1"/>
    <d v="2023-07-22T00:00:00"/>
    <s v="KUD16"/>
    <s v="O2R2"/>
    <s v="SIL"/>
    <n v="4.3478260869565223E-2"/>
    <n v="135"/>
    <x v="112"/>
    <s v="ExEx low voltage L3:   2V"/>
    <m/>
    <d v="1899-12-30T14:52:00"/>
    <d v="1899-12-30T14:52:00"/>
    <d v="1899-12-30T15:15:00"/>
    <n v="0"/>
    <n v="0.38333333333335062"/>
    <n v="0.38333333333335062"/>
    <s v="After feeder charge no communication "/>
    <s v="Close"/>
    <n v="1.6666666666667419E-2"/>
    <m/>
    <m/>
    <m/>
  </r>
  <r>
    <n v="651"/>
    <n v="2024"/>
    <n v="2023"/>
    <s v="Year_1"/>
    <d v="2023-07-22T00:00:00"/>
    <s v="KUD18"/>
    <s v="O2R4"/>
    <s v="SGDCIPL"/>
    <n v="4.3478260869565223E-2"/>
    <n v="135"/>
    <x v="112"/>
    <s v="ExEx low voltage L3:   2V"/>
    <m/>
    <d v="1899-12-30T17:25:00"/>
    <d v="1899-12-30T17:25:00"/>
    <d v="1899-12-30T17:58:00"/>
    <n v="0"/>
    <n v="0.54999999999998472"/>
    <n v="0.54999999999998472"/>
    <s v="SWG charged"/>
    <s v="Close"/>
    <n v="2.3913043478260208E-2"/>
    <m/>
    <m/>
    <m/>
  </r>
  <r>
    <n v="652"/>
    <n v="2024"/>
    <n v="2023"/>
    <s v="Year_1"/>
    <d v="2023-07-22T00:00:00"/>
    <s v="KUD16"/>
    <s v="O2R2"/>
    <s v="SIL"/>
    <n v="4.3478260869565223E-2"/>
    <n v="135"/>
    <x v="112"/>
    <s v="ExEx low voltage L3:   2V"/>
    <m/>
    <d v="1899-12-30T17:25:00"/>
    <d v="1899-12-30T17:25:00"/>
    <d v="1899-12-30T20:59:00"/>
    <n v="0"/>
    <n v="3.5666666666666647"/>
    <n v="3.5666666666666647"/>
    <s v="After feeder charge UPS battery low so change the UPS battery and restored"/>
    <s v="Close"/>
    <n v="0.15507246376811587"/>
    <m/>
    <m/>
    <m/>
  </r>
  <r>
    <n v="653"/>
    <n v="2024"/>
    <n v="2023"/>
    <s v="Year_1"/>
    <d v="2023-07-22T00:00:00"/>
    <s v="KUD04"/>
    <s v="O2R3"/>
    <s v="JK"/>
    <n v="4.3478260869565223E-2"/>
    <n v="3024"/>
    <x v="113"/>
    <s v="ArcNetReconfigMaxLimit      17"/>
    <m/>
    <d v="1899-12-30T17:25:00"/>
    <d v="1899-12-30T17:25:00"/>
    <d v="1899-12-30T17:51:00"/>
    <n v="0"/>
    <n v="0.43333333333332114"/>
    <n v="0.43333333333332114"/>
    <s v="After feeder charged no communication so manual reset done"/>
    <s v="Close"/>
    <n v="1.8840579710144401E-2"/>
    <m/>
    <m/>
    <m/>
  </r>
  <r>
    <n v="654"/>
    <n v="2024"/>
    <n v="2023"/>
    <s v="Year_1"/>
    <d v="2023-07-23T00:00:00"/>
    <s v="KUD12"/>
    <s v="O2R1"/>
    <s v="KSIPL"/>
    <n v="4.3478260869565223E-2"/>
    <n v="3270"/>
    <x v="76"/>
    <s v="Yaw To Nac Pos Reset Not Allwd"/>
    <m/>
    <d v="1899-12-30T17:02:00"/>
    <d v="1899-12-30T17:02:00"/>
    <d v="1899-12-30T17:20:00"/>
    <n v="0"/>
    <n v="0.29999999999999893"/>
    <n v="0.29999999999999893"/>
    <s v="reset done"/>
    <s v="Close"/>
    <n v="1.3043478260869521E-2"/>
    <m/>
    <m/>
    <m/>
  </r>
  <r>
    <n v="655"/>
    <n v="2024"/>
    <n v="2023"/>
    <s v="Year_1"/>
    <d v="2023-07-23T00:00:00"/>
    <s v="KUD14"/>
    <s v="O2R1"/>
    <s v="KSIPL"/>
    <n v="4.3478260869565223E-2"/>
    <n v="3024"/>
    <x v="113"/>
    <s v="ArcNetReconfigMaxLimit    3287"/>
    <m/>
    <d v="1899-12-30T18:51:00"/>
    <d v="1899-12-30T18:51:00"/>
    <d v="1899-12-30T19:08:00"/>
    <n v="0"/>
    <n v="0.28333333333332167"/>
    <n v="0.28333333333332167"/>
    <s v="After feeder charge error occur and reset done"/>
    <s v="Close"/>
    <n v="1.2318840579709639E-2"/>
    <m/>
    <m/>
    <m/>
  </r>
  <r>
    <n v="656"/>
    <n v="2024"/>
    <n v="2023"/>
    <s v="Year_1"/>
    <d v="2023-07-24T00:00:00"/>
    <s v="KUD09"/>
    <s v="O2R3"/>
    <s v="JK"/>
    <n v="4.3478260869565223E-2"/>
    <n v="3632"/>
    <x v="84"/>
    <s v="Yaw To Nac Pos Reset Not Allwd"/>
    <m/>
    <d v="1899-12-30T10:40:00"/>
    <d v="1899-12-30T10:40:00"/>
    <d v="1899-12-30T11:02:00"/>
    <n v="0"/>
    <n v="0.36666666666667203"/>
    <n v="0.36666666666667203"/>
    <s v="reset done"/>
    <s v="Close"/>
    <n v="1.5942028985507482E-2"/>
    <m/>
    <m/>
    <m/>
  </r>
  <r>
    <n v="657"/>
    <n v="2024"/>
    <n v="2023"/>
    <s v="Year_1"/>
    <d v="2023-07-24T00:00:00"/>
    <s v="KUD05"/>
    <s v="O2R3"/>
    <s v="JK"/>
    <n v="4.3478260869565223E-2"/>
    <n v="5196"/>
    <x v="114"/>
    <s v="Prop Valve B Status Fault"/>
    <m/>
    <d v="1899-12-30T20:17:00"/>
    <d v="1899-12-30T20:17:00"/>
    <d v="1899-12-30T23:59:00"/>
    <n v="0"/>
    <n v="3.7000000000000082"/>
    <n v="3.7000000000000082"/>
    <s v="work in progess"/>
    <s v="Open"/>
    <n v="0.16086956521739168"/>
    <m/>
    <m/>
    <m/>
  </r>
  <r>
    <n v="658"/>
    <n v="2024"/>
    <n v="2023"/>
    <s v="Year_1"/>
    <d v="2023-07-25T00:00:00"/>
    <s v="KUD01"/>
    <s v="O2R1"/>
    <s v="KSIPL"/>
    <n v="4.3478260869565223E-2"/>
    <n v="900"/>
    <x v="100"/>
    <s v="manual stop for geaxbox inspection"/>
    <m/>
    <d v="1899-12-30T10:28:00"/>
    <d v="1899-12-30T10:28:00"/>
    <d v="1899-12-30T18:28:00"/>
    <n v="0"/>
    <n v="7.9999999999999929"/>
    <n v="7.9999999999999929"/>
    <s v="Gearbox inspection done"/>
    <s v="Close"/>
    <n v="0.34782608695652145"/>
    <m/>
    <m/>
    <m/>
  </r>
  <r>
    <n v="659"/>
    <n v="2024"/>
    <n v="2023"/>
    <s v="Year_1"/>
    <d v="2023-07-25T00:00:00"/>
    <s v="KUD05"/>
    <s v="O2R3"/>
    <s v="JK"/>
    <n v="4.3478260869565223E-2"/>
    <n v="5196"/>
    <x v="114"/>
    <s v="Prop Valve B Status Fault"/>
    <m/>
    <d v="1899-12-30T00:00:00"/>
    <d v="1899-12-30T00:00:00"/>
    <d v="1899-12-30T02:42:00"/>
    <n v="0"/>
    <n v="2.7"/>
    <n v="2.7"/>
    <s v="PROV valve replaced."/>
    <s v="Close"/>
    <n v="0.11739130434782612"/>
    <m/>
    <m/>
    <m/>
  </r>
  <r>
    <n v="660"/>
    <n v="2024"/>
    <n v="2023"/>
    <s v="Year_1"/>
    <d v="2023-07-25T00:00:00"/>
    <s v="KUD08"/>
    <s v="O2R3"/>
    <s v="JK"/>
    <n v="4.3478260869565223E-2"/>
    <n v="135"/>
    <x v="112"/>
    <s v="ExEx low voltage L3:   2V"/>
    <m/>
    <d v="1899-12-30T07:59:00"/>
    <d v="1899-12-30T07:59:00"/>
    <d v="1899-12-30T14:21:00"/>
    <n v="0"/>
    <n v="6.3666666666666725"/>
    <n v="6.3666666666666725"/>
    <s v="RTOP Trouble shooting done found cable interchanged in battery box panel."/>
    <s v="Close"/>
    <n v="0.27681159420289886"/>
    <m/>
    <m/>
    <m/>
  </r>
  <r>
    <n v="661"/>
    <n v="2024"/>
    <n v="2023"/>
    <s v="Year_1"/>
    <d v="2023-07-25T00:00:00"/>
    <s v="KUD16"/>
    <s v="O2R2"/>
    <s v="SIL"/>
    <n v="4.3478260869565223E-2"/>
    <n v="135"/>
    <x v="112"/>
    <s v="ExEx low voltage L3:   2V"/>
    <m/>
    <d v="1899-12-30T18:38:00"/>
    <d v="1899-12-30T18:38:00"/>
    <d v="1899-12-30T20:01:00"/>
    <n v="0"/>
    <n v="1.3833333333333364"/>
    <n v="1.3833333333333364"/>
    <s v="SWG charged"/>
    <s v="Close"/>
    <n v="6.0144927536232025E-2"/>
    <m/>
    <m/>
    <m/>
  </r>
  <r>
    <n v="662"/>
    <n v="2024"/>
    <n v="2023"/>
    <s v="Year_1"/>
    <d v="2023-07-25T00:00:00"/>
    <s v="KUD18"/>
    <s v="O2R4"/>
    <s v="SGDCIPL"/>
    <n v="4.3478260869565223E-2"/>
    <n v="900"/>
    <x v="100"/>
    <s v="manual stop for RTOP trouble shooting."/>
    <m/>
    <d v="1899-12-30T16:34:00"/>
    <d v="1899-12-30T16:34:00"/>
    <d v="1899-12-30T16:55:00"/>
    <n v="0"/>
    <n v="0.34999999999999343"/>
    <n v="0.34999999999999343"/>
    <s v="RTOP Trouble shooting done found cable interchanged in ++01 panel."/>
    <s v="Close"/>
    <n v="1.5217391304347542E-2"/>
    <m/>
    <m/>
    <m/>
  </r>
  <r>
    <n v="663"/>
    <n v="2024"/>
    <n v="2023"/>
    <s v="Year_1"/>
    <d v="2023-07-25T00:00:00"/>
    <s v="KUD19"/>
    <s v="O2R1"/>
    <s v="KSIPL"/>
    <n v="4.3478260869565223E-2"/>
    <n v="135"/>
    <x v="112"/>
    <s v="ExEx low voltage L3:   2V"/>
    <m/>
    <d v="1899-12-30T07:59:00"/>
    <d v="1899-12-30T07:59:00"/>
    <d v="1899-12-30T09:05:00"/>
    <n v="0"/>
    <n v="1.0999999999999921"/>
    <n v="1.0999999999999921"/>
    <s v="SWG charged"/>
    <s v="Close"/>
    <n v="4.7826086956521401E-2"/>
    <m/>
    <m/>
    <m/>
  </r>
  <r>
    <n v="664"/>
    <n v="2024"/>
    <n v="2023"/>
    <s v="Year_1"/>
    <d v="2023-07-26T00:00:00"/>
    <s v="KUD15"/>
    <s v="O2R1"/>
    <s v="KSIPL"/>
    <n v="4.3478260869565223E-2"/>
    <n v="900"/>
    <x v="100"/>
    <s v="manual stop for geaxbox inspection"/>
    <m/>
    <d v="1899-12-30T15:41:00"/>
    <d v="1899-12-30T15:41:00"/>
    <d v="1899-12-30T18:58:00"/>
    <n v="0"/>
    <n v="3.283333333333343"/>
    <n v="3.283333333333343"/>
    <s v="Gearbox inspection done"/>
    <s v="Close"/>
    <n v="0.14275362318840623"/>
    <m/>
    <m/>
    <m/>
  </r>
  <r>
    <n v="665"/>
    <n v="2024"/>
    <n v="2023"/>
    <s v="Year_1"/>
    <d v="2023-07-26T00:00:00"/>
    <s v="KUD16"/>
    <s v="O2R2"/>
    <s v="SIL"/>
    <n v="4.3478260869565223E-2"/>
    <n v="900"/>
    <x v="100"/>
    <s v="manual stop for geaxbox inspection"/>
    <m/>
    <d v="1899-12-30T09:01:00"/>
    <d v="1899-12-30T09:01:00"/>
    <d v="1899-12-30T12:45:00"/>
    <n v="0"/>
    <n v="3.7333333333333441"/>
    <n v="3.7333333333333441"/>
    <s v="Gearbox inspection done"/>
    <s v="Close"/>
    <n v="0.16231884057971063"/>
    <m/>
    <m/>
    <m/>
  </r>
  <r>
    <n v="666"/>
    <n v="2024"/>
    <n v="2023"/>
    <s v="Year_1"/>
    <d v="2023-07-26T00:00:00"/>
    <s v="KUD16"/>
    <s v="O2R2"/>
    <s v="SIL"/>
    <n v="4.3478260869565223E-2"/>
    <n v="135"/>
    <x v="112"/>
    <s v="ExEx low voltage L3:   2V"/>
    <m/>
    <d v="1899-12-30T06:02:00"/>
    <d v="1899-12-30T06:02:00"/>
    <d v="1899-12-30T07:32:00"/>
    <n v="0"/>
    <n v="1.5"/>
    <n v="1.5"/>
    <s v="SWG charged"/>
    <s v="Close"/>
    <n v="6.5217391304347838E-2"/>
    <m/>
    <m/>
    <m/>
  </r>
  <r>
    <n v="667"/>
    <n v="2024"/>
    <n v="2023"/>
    <s v="Year_1"/>
    <d v="2023-07-26T00:00:00"/>
    <s v="KUD14"/>
    <s v="O2R1"/>
    <s v="KSIPL"/>
    <n v="4.3478260869565223E-2"/>
    <n v="3024"/>
    <x v="113"/>
    <s v="ArcNetReconfigMaxLimit    3287"/>
    <m/>
    <d v="1899-12-30T10:01:00"/>
    <d v="1899-12-30T10:01:00"/>
    <d v="1899-12-30T10:18:00"/>
    <n v="0"/>
    <n v="0.28333333333334298"/>
    <n v="0.28333333333334298"/>
    <s v="reset done"/>
    <s v="Close"/>
    <n v="1.2318840579710567E-2"/>
    <m/>
    <m/>
    <m/>
  </r>
  <r>
    <n v="668"/>
    <n v="2024"/>
    <n v="2023"/>
    <s v="Year_1"/>
    <d v="2023-07-26T00:00:00"/>
    <s v="KUD20"/>
    <s v="O2R1"/>
    <s v="KSIPL"/>
    <n v="4.3478260869565223E-2"/>
    <n v="135"/>
    <x v="112"/>
    <s v="ExEx low voltage L3:   2V"/>
    <m/>
    <d v="1899-12-30T10:01:00"/>
    <d v="1899-12-30T10:01:00"/>
    <d v="1899-12-30T12:09:00"/>
    <n v="0"/>
    <n v="2.1333333333333351"/>
    <n v="2.1333333333333351"/>
    <s v="RTOP Trouble shooting done ."/>
    <s v="Close"/>
    <n v="9.2753623188405881E-2"/>
    <m/>
    <m/>
    <m/>
  </r>
  <r>
    <n v="669"/>
    <n v="2024"/>
    <n v="2023"/>
    <s v="Year_1"/>
    <d v="2023-07-26T00:00:00"/>
    <s v="KUD23"/>
    <s v="O2R3"/>
    <s v="JK"/>
    <n v="4.3478260869565223E-2"/>
    <n v="5069"/>
    <x v="111"/>
    <s v="Pitch pos C meas. signal fault"/>
    <m/>
    <d v="1899-12-30T06:02:00"/>
    <d v="1899-12-30T06:02:00"/>
    <d v="1899-12-30T08:01:00"/>
    <n v="0"/>
    <n v="1.9833333333333356"/>
    <n v="1.9833333333333356"/>
    <s v="hard reboot and restored the WTG."/>
    <s v="Close"/>
    <n v="8.6231884057971123E-2"/>
    <m/>
    <m/>
    <m/>
  </r>
  <r>
    <n v="670"/>
    <n v="2024"/>
    <n v="2023"/>
    <s v="Year_1"/>
    <d v="2023-07-26T00:00:00"/>
    <s v="KUD16"/>
    <s v="O2R2"/>
    <s v="SIL"/>
    <n v="4.3478260869565223E-2"/>
    <n v="135"/>
    <x v="112"/>
    <s v="ExEx low voltage L3:   2V"/>
    <m/>
    <d v="1899-12-30T14:54:00"/>
    <d v="1899-12-30T14:54:00"/>
    <d v="1899-12-30T19:35:00"/>
    <n v="0"/>
    <n v="4.6833333333333353"/>
    <n v="4.6833333333333353"/>
    <s v="ABB Breaker auto closing issue corrected "/>
    <s v="Close"/>
    <n v="0.20362318840579721"/>
    <m/>
    <m/>
    <m/>
  </r>
  <r>
    <n v="671"/>
    <n v="2024"/>
    <n v="2023"/>
    <s v="Year_1"/>
    <d v="2023-07-27T00:00:00"/>
    <s v="KUD20"/>
    <s v="O2R1"/>
    <s v="KSIPL"/>
    <n v="4.3478260869565223E-2"/>
    <n v="900"/>
    <x v="100"/>
    <s v="manual stop for geaxbox inspection"/>
    <m/>
    <d v="1899-12-30T09:52:00"/>
    <d v="1899-12-30T09:52:00"/>
    <d v="1899-12-30T14:26:00"/>
    <n v="0"/>
    <n v="4.5666666666666718"/>
    <n v="4.5666666666666718"/>
    <s v="Gearbox inspection done"/>
    <s v="Close"/>
    <n v="0.19855072463768142"/>
    <m/>
    <m/>
    <m/>
  </r>
  <r>
    <n v="672"/>
    <n v="2024"/>
    <n v="2023"/>
    <s v="Year_1"/>
    <d v="2023-07-27T00:00:00"/>
    <s v="KUD15"/>
    <s v="O2R1"/>
    <s v="KSIPL"/>
    <n v="4.3478260869565223E-2"/>
    <n v="217"/>
    <x v="117"/>
    <s v="Thermoerror Int.Gen.Fan F515A"/>
    <m/>
    <d v="1899-12-30T15:55:00"/>
    <d v="1899-12-30T15:55:00"/>
    <d v="1899-12-30T16:09:00"/>
    <n v="0"/>
    <n v="0.23333333333335382"/>
    <n v="0.23333333333335382"/>
    <s v="reset done"/>
    <s v="Close"/>
    <n v="1.0144927536232777E-2"/>
    <m/>
    <m/>
    <m/>
  </r>
  <r>
    <n v="673"/>
    <n v="2024"/>
    <n v="2023"/>
    <s v="Year_1"/>
    <d v="2023-07-27T00:00:00"/>
    <s v="KUD20"/>
    <s v="O2R1"/>
    <s v="KSIPL"/>
    <n v="4.3478260869565223E-2"/>
    <n v="5069"/>
    <x v="111"/>
    <s v="Pitch pos C meas. signal fault"/>
    <m/>
    <d v="1899-12-30T15:55:00"/>
    <d v="1899-12-30T15:55:00"/>
    <d v="1899-12-30T16:09:00"/>
    <n v="0"/>
    <n v="0.23333333333335382"/>
    <n v="0.23333333333335382"/>
    <s v="reset done"/>
    <s v="Close"/>
    <n v="1.0144927536232777E-2"/>
    <m/>
    <m/>
    <m/>
  </r>
  <r>
    <n v="674"/>
    <n v="2024"/>
    <n v="2023"/>
    <s v="Year_1"/>
    <d v="2023-07-27T00:00:00"/>
    <s v="KUD14"/>
    <s v="O2R1"/>
    <s v="KSIPL"/>
    <n v="4.3478260869565223E-2"/>
    <n v="900"/>
    <x v="100"/>
    <s v="manual stop for geaxbox inspection"/>
    <s v="Manual Stop"/>
    <d v="1899-12-30T15:39:00"/>
    <d v="1899-12-30T15:39:00"/>
    <d v="1899-12-30T15:47:00"/>
    <n v="0"/>
    <n v="0.13333333333334352"/>
    <n v="0.13333333333334352"/>
    <s v="work in process delay due to feeder trip"/>
    <s v="Close"/>
    <n v="5.7971014492758056E-3"/>
    <m/>
    <m/>
    <m/>
  </r>
  <r>
    <n v="675"/>
    <n v="2024"/>
    <n v="2023"/>
    <s v="Year_1"/>
    <d v="2023-07-27T00:00:00"/>
    <s v="KUD14"/>
    <s v="O2R1"/>
    <s v="KSIPL"/>
    <n v="4.3478260869565223E-2"/>
    <n v="900"/>
    <x v="100"/>
    <s v="manual stop for geaxbox inspection"/>
    <s v="Manual Stop"/>
    <d v="1899-12-30T15:57:00"/>
    <d v="1899-12-30T15:57:00"/>
    <d v="1899-12-30T20:20:00"/>
    <n v="0"/>
    <n v="4.3833333333333364"/>
    <n v="4.3833333333333364"/>
    <s v="Gearbox inspection done"/>
    <s v="Close"/>
    <n v="0.19057971014492769"/>
    <m/>
    <m/>
    <m/>
  </r>
  <r>
    <n v="676"/>
    <n v="2024"/>
    <n v="2023"/>
    <s v="Year_1"/>
    <d v="2023-07-28T00:00:00"/>
    <s v="KUD03"/>
    <s v="O2R1"/>
    <s v="KSIPL"/>
    <n v="4.3478260869565223E-2"/>
    <n v="900"/>
    <x v="100"/>
    <s v="manual stop for geaxbox inspection"/>
    <s v="Manual Stop"/>
    <d v="1899-12-30T09:54:00"/>
    <d v="1899-12-30T09:54:00"/>
    <d v="1899-12-30T13:27:00"/>
    <n v="0"/>
    <n v="3.5500000000000087"/>
    <n v="3.5500000000000087"/>
    <s v="Gearbox inspection done"/>
    <s v="Close"/>
    <n v="0.15434782608695691"/>
    <m/>
    <m/>
    <m/>
  </r>
  <r>
    <n v="677"/>
    <n v="2024"/>
    <n v="2023"/>
    <s v="Year_1"/>
    <d v="2023-07-28T00:00:00"/>
    <s v="KUD17"/>
    <s v="O2R2"/>
    <s v="SIL"/>
    <n v="4.3478260869565223E-2"/>
    <n v="900"/>
    <x v="100"/>
    <s v="manual stop for geaxbox inspection"/>
    <s v="Manual Stop"/>
    <d v="1899-12-30T15:17:00"/>
    <d v="1899-12-30T15:17:00"/>
    <d v="1899-12-30T18:02:00"/>
    <n v="0"/>
    <n v="2.7499999999999929"/>
    <n v="2.7499999999999929"/>
    <s v="Gearbox inspection done"/>
    <s v="Close"/>
    <n v="0.11956521739130406"/>
    <m/>
    <m/>
    <m/>
  </r>
  <r>
    <n v="678"/>
    <n v="2024"/>
    <n v="2023"/>
    <s v="Year_1"/>
    <d v="2023-07-28T00:00:00"/>
    <s v="KUD07"/>
    <s v="O2R3"/>
    <s v="JK"/>
    <n v="4.3478260869565223E-2"/>
    <n v="3270"/>
    <x v="76"/>
    <s v="YawToCableTwistResetNotAvail"/>
    <s v="Breakdown"/>
    <d v="1899-12-30T15:57:00"/>
    <d v="1899-12-30T15:57:00"/>
    <d v="1899-12-30T16:21:00"/>
    <n v="0"/>
    <n v="0.40000000000000924"/>
    <n v="0.40000000000000924"/>
    <s v="reset done"/>
    <s v="Close"/>
    <n v="1.739130434782649E-2"/>
    <m/>
    <m/>
    <m/>
  </r>
  <r>
    <n v="679"/>
    <n v="2024"/>
    <n v="2023"/>
    <s v="Year_1"/>
    <d v="2023-07-29T00:00:00"/>
    <s v="KUD01"/>
    <s v="O2R1"/>
    <s v="KSIPL"/>
    <n v="4.3478260869565223E-2"/>
    <n v="4559"/>
    <x v="118"/>
    <s v="BladeBEdgePeakLoad:   0.00 kNm"/>
    <s v="Breakdown"/>
    <d v="1899-12-30T14:39:00"/>
    <d v="1899-12-30T14:39:00"/>
    <d v="1899-12-30T19:10:00"/>
    <n v="0"/>
    <n v="4.5166666666666559"/>
    <n v="4.5166666666666559"/>
    <s v="CT3220 module replaced new one"/>
    <s v="Close"/>
    <n v="0.19637681159420245"/>
    <m/>
    <m/>
    <m/>
  </r>
  <r>
    <n v="680"/>
    <n v="2024"/>
    <n v="2023"/>
    <s v="Year_1"/>
    <d v="2023-07-29T00:00:00"/>
    <s v="KUD20"/>
    <s v="O2R1"/>
    <s v="KSIPL"/>
    <n v="4.3478260869565223E-2"/>
    <n v="5068"/>
    <x v="119"/>
    <s v="Pitch pos B meas. signal fault"/>
    <s v="Breakdown"/>
    <d v="1899-12-30T15:42:00"/>
    <d v="1899-12-30T15:42:00"/>
    <d v="1899-12-30T15:53:00"/>
    <n v="0"/>
    <n v="0.18333333333333535"/>
    <n v="0.18333333333333535"/>
    <s v="reset done"/>
    <s v="Close"/>
    <n v="7.9710144927537113E-3"/>
    <m/>
    <m/>
    <m/>
  </r>
  <r>
    <n v="681"/>
    <n v="2024"/>
    <n v="2023"/>
    <s v="Year_1"/>
    <d v="2023-07-30T00:00:00"/>
    <s v="KUD20"/>
    <s v="O2R1"/>
    <s v="KSIPL"/>
    <n v="4.3478260869565223E-2"/>
    <n v="5068"/>
    <x v="119"/>
    <s v="Pitch pos B meas. signal fault"/>
    <s v="Breakdown"/>
    <d v="1899-12-30T19:38:00"/>
    <d v="1899-12-30T19:38:00"/>
    <d v="1899-12-30T20:50:00"/>
    <n v="0"/>
    <n v="1.1999999999999771"/>
    <n v="1.1999999999999771"/>
    <s v="Manual Reboot and restore the wtg."/>
    <s v="Close"/>
    <n v="5.2173913043477273E-2"/>
    <m/>
    <m/>
    <m/>
  </r>
  <r>
    <n v="682"/>
    <n v="2024"/>
    <n v="2023"/>
    <s v="Year_1"/>
    <d v="2023-07-31T00:00:00"/>
    <s v="KUD19"/>
    <s v="O2R1"/>
    <s v="KSIPL"/>
    <n v="4.3478260869565223E-2"/>
    <n v="217"/>
    <x v="117"/>
    <s v="Thermoerror Int.Gen.Fan F515A"/>
    <s v="Breakdown"/>
    <d v="1899-12-30T07:24:00"/>
    <d v="1899-12-30T07:24:00"/>
    <d v="1899-12-30T07:48:00"/>
    <n v="0"/>
    <n v="0.4000000000000079"/>
    <n v="0.4000000000000079"/>
    <s v="reset done"/>
    <s v="Close"/>
    <n v="1.7391304347826434E-2"/>
    <m/>
    <m/>
    <m/>
  </r>
  <r>
    <n v="683"/>
    <n v="2024"/>
    <n v="2023"/>
    <s v="Year_1"/>
    <d v="2023-07-31T00:00:00"/>
    <s v="KUD20"/>
    <s v="O2R1"/>
    <s v="KSIPL"/>
    <n v="4.3478260869565223E-2"/>
    <n v="5069"/>
    <x v="111"/>
    <s v="Pitch pos C meas. signal fault"/>
    <s v="Breakdown"/>
    <d v="1899-12-30T18:20:00"/>
    <d v="1899-12-30T18:20:00"/>
    <d v="1899-12-30T18:43:00"/>
    <n v="0"/>
    <n v="0.38333333333332931"/>
    <n v="0.38333333333332931"/>
    <s v="reset done"/>
    <s v="Close"/>
    <n v="1.6666666666666493E-2"/>
    <m/>
    <m/>
    <m/>
  </r>
  <r>
    <n v="684"/>
    <n v="2024"/>
    <n v="2023"/>
    <s v="Year_1"/>
    <d v="2023-07-31T00:00:00"/>
    <s v="KUD20"/>
    <s v="O2R1"/>
    <s v="KSIPL"/>
    <n v="4.3478260869565223E-2"/>
    <n v="5068"/>
    <x v="119"/>
    <s v="Pitch pos B meas. signal fault"/>
    <s v="Breakdown"/>
    <d v="1899-12-30T20:20:00"/>
    <d v="1899-12-30T20:20:00"/>
    <d v="1899-12-30T23:16:00"/>
    <n v="0"/>
    <n v="2.9333333333333282"/>
    <n v="2.9333333333333282"/>
    <s v="PROV valve replaced."/>
    <s v="Close"/>
    <n v="0.12753623188405777"/>
    <m/>
    <m/>
    <m/>
  </r>
  <r>
    <n v="685"/>
    <n v="2024"/>
    <n v="2023"/>
    <s v="Year_1"/>
    <d v="2023-08-01T00:00:00"/>
    <s v="KUD16"/>
    <s v="O2R2"/>
    <s v="SIL"/>
    <n v="4.3478260869565223E-2"/>
    <n v="5195"/>
    <x v="49"/>
    <s v="Prop Valve A Status Fault"/>
    <s v="Breakdown"/>
    <d v="1899-12-30T01:35:00"/>
    <d v="1899-12-30T01:35:00"/>
    <d v="1899-12-30T01:58:00"/>
    <n v="0"/>
    <n v="0.38333333333333297"/>
    <n v="0.38333333333333297"/>
    <s v="Manual Reboot and restore the wtg."/>
    <s v="Close"/>
    <n v="1.6666666666666653E-2"/>
    <m/>
    <m/>
    <m/>
  </r>
  <r>
    <n v="686"/>
    <n v="2024"/>
    <n v="2023"/>
    <s v="Year_1"/>
    <d v="2023-08-01T00:00:00"/>
    <s v="KUD16"/>
    <s v="O2R2"/>
    <s v="SIL"/>
    <n v="4.3478260869565223E-2"/>
    <n v="5197"/>
    <x v="54"/>
    <s v="Prop Valve C Status Fault"/>
    <s v="Breakdown"/>
    <d v="1899-12-30T02:19:00"/>
    <d v="1899-12-30T02:19:00"/>
    <d v="1899-12-30T04:29:00"/>
    <n v="0"/>
    <n v="2.1666666666666767"/>
    <n v="2.1666666666666767"/>
    <s v="Manual Reboot and restore the wtg."/>
    <s v="Close"/>
    <n v="9.4202898550725084E-2"/>
    <m/>
    <m/>
    <m/>
  </r>
  <r>
    <n v="687"/>
    <n v="2024"/>
    <n v="2023"/>
    <s v="Year_1"/>
    <d v="2023-08-01T00:00:00"/>
    <s v="KUD16"/>
    <s v="O2R2"/>
    <s v="SIL"/>
    <n v="4.3478260869565223E-2"/>
    <n v="5068"/>
    <x v="119"/>
    <s v="Pitch pos B meas. signal fault"/>
    <s v="Breakdown"/>
    <d v="1899-12-30T07:31:00"/>
    <d v="1899-12-30T07:31:00"/>
    <d v="1899-12-30T08:04:00"/>
    <n v="0"/>
    <n v="0.5500000000000087"/>
    <n v="0.5500000000000087"/>
    <s v="Manual Reboot and restore the wtg."/>
    <s v="Close"/>
    <n v="2.3913043478261252E-2"/>
    <m/>
    <m/>
    <m/>
  </r>
  <r>
    <n v="688"/>
    <n v="2024"/>
    <n v="2023"/>
    <s v="Year_1"/>
    <d v="2023-08-01T00:00:00"/>
    <s v="KUD16"/>
    <s v="O2R2"/>
    <s v="SIL"/>
    <n v="4.3478260869565223E-2"/>
    <n v="5196"/>
    <x v="114"/>
    <s v="Prop Valve B Status Fault"/>
    <s v="Breakdown"/>
    <d v="1899-12-30T08:34:00"/>
    <d v="1899-12-30T08:34:00"/>
    <d v="1899-12-30T08:47:00"/>
    <n v="0"/>
    <n v="0.21666666666667123"/>
    <n v="0.21666666666667123"/>
    <s v="reset done"/>
    <s v="Close"/>
    <n v="9.4202898550726638E-3"/>
    <m/>
    <m/>
    <m/>
  </r>
  <r>
    <n v="689"/>
    <n v="2024"/>
    <n v="2023"/>
    <s v="Year_1"/>
    <d v="2023-08-01T00:00:00"/>
    <s v="KUD16"/>
    <s v="O2R2"/>
    <s v="SIL"/>
    <n v="4.3478260869565223E-2"/>
    <n v="900"/>
    <x v="100"/>
    <s v="Pause pressed on keyboard"/>
    <s v="Breakdown"/>
    <d v="1899-12-30T10:28:00"/>
    <d v="1899-12-30T10:28:00"/>
    <d v="1899-12-30T12:15:00"/>
    <n v="0"/>
    <n v="1.783333333333343"/>
    <n v="1.783333333333343"/>
    <s v="PROV valve replaced in blade B"/>
    <s v="Close"/>
    <n v="7.7536231884058407E-2"/>
    <m/>
    <m/>
    <m/>
  </r>
  <r>
    <n v="690"/>
    <n v="2024"/>
    <n v="2023"/>
    <s v="Year_1"/>
    <d v="2023-08-01T00:00:00"/>
    <s v="KUD16"/>
    <s v="O2R2"/>
    <s v="SIL"/>
    <n v="4.3478260869565223E-2"/>
    <n v="5195"/>
    <x v="49"/>
    <s v="Prop Valve A Status Fault"/>
    <s v="Breakdown"/>
    <d v="1899-12-30T20:31:00"/>
    <d v="1899-12-30T20:31:00"/>
    <d v="1899-12-30T23:59:00"/>
    <n v="0"/>
    <n v="3.466666666666681"/>
    <n v="3.466666666666681"/>
    <s v="work in process"/>
    <s v="Open"/>
    <n v="0.15072463768116007"/>
    <m/>
    <m/>
    <m/>
  </r>
  <r>
    <n v="691"/>
    <n v="2024"/>
    <n v="2023"/>
    <s v="Year_1"/>
    <d v="2023-08-02T00:00:00"/>
    <s v="KUD16"/>
    <s v="O2R2"/>
    <s v="SIL"/>
    <n v="4.3478260869565223E-2"/>
    <n v="5195"/>
    <x v="49"/>
    <s v="Prop Valve A Status Fault"/>
    <s v="Breakdown"/>
    <d v="1899-12-30T00:00:00"/>
    <d v="1899-12-30T00:00:00"/>
    <d v="1899-12-30T01:23:00"/>
    <n v="0"/>
    <n v="1.3833333333333335"/>
    <n v="1.3833333333333335"/>
    <s v="prov valve replaced in blade A"/>
    <s v="Close"/>
    <n v="6.01449275362319E-2"/>
    <m/>
    <m/>
    <m/>
  </r>
  <r>
    <n v="692"/>
    <n v="2024"/>
    <n v="2023"/>
    <s v="Year_1"/>
    <d v="2023-08-03T00:00:00"/>
    <s v="KUD14"/>
    <s v="O2R1"/>
    <s v="KSIPL"/>
    <n v="4.3478260869565223E-2"/>
    <n v="3024"/>
    <x v="113"/>
    <s v="ArcNetReconfigMaxLimit    3287"/>
    <s v="Breakdown"/>
    <d v="1899-12-30T02:36:00"/>
    <d v="1899-12-30T02:36:00"/>
    <d v="1899-12-30T02:44:00"/>
    <n v="0"/>
    <n v="0.13333333333334385"/>
    <n v="0.13333333333334385"/>
    <s v="reset done"/>
    <s v="Close"/>
    <n v="5.7971014492758204E-3"/>
    <m/>
    <m/>
    <m/>
  </r>
  <r>
    <n v="693"/>
    <n v="2024"/>
    <n v="2023"/>
    <s v="Year_1"/>
    <d v="2023-08-03T00:00:00"/>
    <s v="KUD14"/>
    <s v="O2R1"/>
    <s v="KSIPL"/>
    <n v="4.3478260869565223E-2"/>
    <n v="3024"/>
    <x v="113"/>
    <s v="ArcNetReconfigMaxLimit    3287"/>
    <s v="Breakdown"/>
    <d v="1899-12-30T13:04:00"/>
    <d v="1899-12-30T13:04:00"/>
    <d v="1899-12-30T13:24:00"/>
    <n v="0"/>
    <n v="0.33333333333333748"/>
    <n v="0.33333333333333748"/>
    <s v="reset done"/>
    <s v="Close"/>
    <n v="1.4492753623188588E-2"/>
    <m/>
    <m/>
    <m/>
  </r>
  <r>
    <n v="694"/>
    <n v="2024"/>
    <n v="2023"/>
    <s v="Year_1"/>
    <d v="2023-08-03T00:00:00"/>
    <s v="KUD04"/>
    <s v="O2R3"/>
    <s v="JK"/>
    <n v="4.3478260869565223E-2"/>
    <n v="3024"/>
    <x v="113"/>
    <s v="ArcNetReconfigMaxLimit    3287"/>
    <s v="Breakdown"/>
    <d v="1899-12-30T13:04:00"/>
    <d v="1899-12-30T13:04:00"/>
    <d v="1899-12-30T13:26:00"/>
    <n v="0"/>
    <n v="0.36666666666667336"/>
    <n v="0.36666666666667336"/>
    <s v="reset done"/>
    <s v="Close"/>
    <n v="1.5942028985507541E-2"/>
    <m/>
    <m/>
    <m/>
  </r>
  <r>
    <n v="695"/>
    <n v="2024"/>
    <n v="2023"/>
    <s v="Year_1"/>
    <d v="2023-08-03T00:00:00"/>
    <s v="KUD23"/>
    <s v="O2R3"/>
    <s v="JK"/>
    <n v="4.3478260869565223E-2"/>
    <n v="5195"/>
    <x v="49"/>
    <s v="Prop Valve A Status Fault"/>
    <s v="Breakdown"/>
    <d v="1899-12-30T13:04:00"/>
    <d v="1899-12-30T13:04:00"/>
    <d v="1899-12-30T13:31:00"/>
    <n v="0"/>
    <n v="0.45000000000000107"/>
    <n v="0.45000000000000107"/>
    <s v="reset done"/>
    <s v="Close"/>
    <n v="1.9565217391304398E-2"/>
    <m/>
    <m/>
    <m/>
  </r>
  <r>
    <n v="696"/>
    <n v="2024"/>
    <n v="2023"/>
    <s v="Year_1"/>
    <d v="2023-08-03T00:00:00"/>
    <s v="KUD23"/>
    <s v="O2R3"/>
    <s v="JK"/>
    <n v="4.3478260869565223E-2"/>
    <n v="3298"/>
    <x v="47"/>
    <s v="Yaw To Cable Twist Reset"/>
    <s v="Breakdown"/>
    <d v="1899-12-30T13:04:00"/>
    <d v="1899-12-30T13:04:00"/>
    <d v="1899-12-30T13:43:00"/>
    <n v="0"/>
    <n v="0.65000000000001634"/>
    <n v="0.65000000000001634"/>
    <s v="reset done"/>
    <s v="Close"/>
    <n v="2.8260869565218106E-2"/>
    <m/>
    <m/>
    <m/>
  </r>
  <r>
    <n v="697"/>
    <n v="2024"/>
    <n v="2023"/>
    <s v="Year_1"/>
    <d v="2023-08-03T00:00:00"/>
    <s v="KUD16"/>
    <s v="O2R2"/>
    <s v="SIL"/>
    <n v="4.3478260869565223E-2"/>
    <n v="135"/>
    <x v="112"/>
    <s v="ExEx low voltage L3:   2V"/>
    <s v="Breakdown"/>
    <d v="1899-12-30T13:04:00"/>
    <d v="1899-12-30T13:04:00"/>
    <d v="1899-12-30T16:29:00"/>
    <n v="0"/>
    <n v="3.4166666666666892"/>
    <n v="3.4166666666666892"/>
    <s v="ups Battery Replaced and SWG charged"/>
    <s v="Close"/>
    <n v="0.14855072463768215"/>
    <m/>
    <m/>
    <m/>
  </r>
  <r>
    <n v="698"/>
    <n v="2024"/>
    <n v="2023"/>
    <s v="Year_1"/>
    <d v="2023-08-04T00:00:00"/>
    <s v="KUD16"/>
    <s v="O2R2"/>
    <s v="SIL"/>
    <n v="4.3478260869565223E-2"/>
    <n v="315"/>
    <x v="120"/>
    <s v="ExEx low voltage L3:   2V"/>
    <s v="Breakdown"/>
    <d v="1899-12-30T09:09:00"/>
    <d v="1899-12-30T09:09:00"/>
    <d v="1899-12-30T11:39:00"/>
    <n v="0"/>
    <n v="2.5000000000000084"/>
    <n v="2.5000000000000084"/>
    <s v="SWG charged"/>
    <s v="Close"/>
    <n v="0.10869565217391343"/>
    <m/>
    <m/>
    <m/>
  </r>
  <r>
    <n v="699"/>
    <n v="2024"/>
    <n v="2023"/>
    <s v="Year_1"/>
    <d v="2023-08-04T00:00:00"/>
    <s v="KUD04"/>
    <s v="O2R3"/>
    <s v="JK"/>
    <n v="4.3478260869565223E-2"/>
    <n v="707"/>
    <x v="121"/>
    <s v="Ch hardware error C0"/>
    <s v="Breakdown"/>
    <d v="1899-12-30T11:44:00"/>
    <d v="1899-12-30T11:44:00"/>
    <d v="1899-12-30T11:51:00"/>
    <n v="0"/>
    <n v="0.11666666666666492"/>
    <n v="0.11666666666666492"/>
    <s v="reset done"/>
    <s v="Close"/>
    <n v="5.0724637681158671E-3"/>
    <m/>
    <m/>
    <m/>
  </r>
  <r>
    <n v="700"/>
    <n v="2024"/>
    <n v="2023"/>
    <s v="Year_1"/>
    <d v="2023-08-08T00:00:00"/>
    <s v="KUD02"/>
    <s v="O2R3"/>
    <s v="JK"/>
    <n v="4.3478260869565223E-2"/>
    <n v="3209"/>
    <x v="101"/>
    <s v="YawSignals Invalid"/>
    <s v="Breakdown"/>
    <d v="1899-12-30T13:44:00"/>
    <d v="1899-12-30T13:44:00"/>
    <d v="1899-12-30T13:47:00"/>
    <n v="0"/>
    <n v="5.000000000001581E-2"/>
    <n v="5.000000000001581E-2"/>
    <s v="reset done"/>
    <s v="Close"/>
    <n v="2.1739130434789487E-3"/>
    <m/>
    <m/>
    <m/>
  </r>
  <r>
    <n v="701"/>
    <n v="2024"/>
    <n v="2023"/>
    <s v="Year_1"/>
    <d v="2023-08-08T00:00:00"/>
    <s v="KUD14"/>
    <s v="O2R1"/>
    <s v="KSIPL"/>
    <n v="4.3478260869565223E-2"/>
    <n v="3024"/>
    <x v="113"/>
    <s v="ArcNetReconfigMaxLimit    3287"/>
    <s v="Breakdown"/>
    <d v="1899-12-30T13:06:00"/>
    <d v="1899-12-30T13:06:00"/>
    <d v="1899-12-30T13:23:00"/>
    <n v="0"/>
    <n v="0.28333333333334565"/>
    <n v="0.28333333333334565"/>
    <s v="reset done"/>
    <s v="Close"/>
    <n v="1.2318840579710682E-2"/>
    <m/>
    <m/>
    <m/>
  </r>
  <r>
    <n v="702"/>
    <n v="2024"/>
    <n v="2023"/>
    <s v="Year_1"/>
    <d v="2023-08-08T00:00:00"/>
    <s v="KUD14"/>
    <s v="O2R1"/>
    <s v="KSIPL"/>
    <n v="4.3478260869565223E-2"/>
    <n v="3296"/>
    <x v="46"/>
    <s v="Yaw To Nacelle Position Reset"/>
    <s v="Breakdown"/>
    <d v="1899-12-30T20:42:00"/>
    <d v="1899-12-30T20:42:00"/>
    <d v="1899-12-30T20:47:00"/>
    <n v="0"/>
    <n v="8.3333333333327708E-2"/>
    <n v="8.3333333333327708E-2"/>
    <s v="reset done"/>
    <s v="Close"/>
    <n v="3.6231884057968573E-3"/>
    <m/>
    <m/>
    <m/>
  </r>
  <r>
    <n v="703"/>
    <n v="2024"/>
    <n v="2023"/>
    <s v="Year_1"/>
    <d v="2023-08-09T00:00:00"/>
    <s v="KUD04"/>
    <s v="O2R3"/>
    <s v="JK"/>
    <n v="4.3478260869565223E-2"/>
    <n v="3024"/>
    <x v="113"/>
    <s v="ArcNetReconfigMaxLimit    3287"/>
    <s v="Breakdown"/>
    <d v="1899-12-30T21:19:00"/>
    <d v="1899-12-30T21:19:00"/>
    <d v="1899-12-30T21:46:00"/>
    <n v="0"/>
    <n v="0.45000000000000107"/>
    <n v="0.45000000000000107"/>
    <s v="reset done"/>
    <s v="Close"/>
    <n v="1.9565217391304398E-2"/>
    <m/>
    <m/>
    <m/>
  </r>
  <r>
    <n v="704"/>
    <n v="2024"/>
    <n v="2023"/>
    <s v="Year_1"/>
    <d v="2023-08-09T00:00:00"/>
    <s v="KUD12"/>
    <s v="O2R1"/>
    <s v="KSIPL"/>
    <n v="4.3478260869565223E-2"/>
    <n v="4624"/>
    <x v="122"/>
    <s v="GridInverterContactorFBError"/>
    <s v="Breakdown"/>
    <d v="1899-12-30T17:40:00"/>
    <d v="1899-12-30T17:40:00"/>
    <d v="1899-12-30T18:08:00"/>
    <n v="0"/>
    <n v="0.46666666666667833"/>
    <n v="0.46666666666667833"/>
    <s v="reset done"/>
    <s v="Close"/>
    <n v="2.0289855072464277E-2"/>
    <m/>
    <m/>
    <m/>
  </r>
  <r>
    <n v="705"/>
    <n v="2024"/>
    <n v="2023"/>
    <s v="Year_1"/>
    <d v="2023-08-09T00:00:00"/>
    <s v="KUD12"/>
    <s v="O2R1"/>
    <s v="KSIPL"/>
    <n v="4.3478260869565223E-2"/>
    <n v="4624"/>
    <x v="122"/>
    <s v="GridInverterContactorFBError"/>
    <s v="Breakdown"/>
    <d v="1899-12-30T21:19:00"/>
    <d v="1899-12-30T21:19:00"/>
    <d v="1899-12-30T21:35:00"/>
    <n v="0"/>
    <n v="0.26666666666666572"/>
    <n v="0.26666666666666572"/>
    <s v="reset done"/>
    <s v="Close"/>
    <n v="1.1594202898550685E-2"/>
    <m/>
    <m/>
    <m/>
  </r>
  <r>
    <n v="706"/>
    <n v="2024"/>
    <n v="2023"/>
    <s v="Year_1"/>
    <d v="2023-08-09T00:00:00"/>
    <s v="KUD14"/>
    <s v="O2R1"/>
    <s v="KSIPL"/>
    <n v="4.3478260869565223E-2"/>
    <n v="3024"/>
    <x v="113"/>
    <s v="ArcNetReconfigMaxLimit    3287"/>
    <s v="Breakdown"/>
    <d v="1899-12-30T21:19:00"/>
    <d v="1899-12-30T21:19:00"/>
    <d v="1899-12-30T21:40:00"/>
    <n v="0"/>
    <n v="0.35000000000001741"/>
    <n v="0.35000000000001741"/>
    <s v="reset done"/>
    <s v="Close"/>
    <n v="1.5217391304348585E-2"/>
    <m/>
    <m/>
    <m/>
  </r>
  <r>
    <n v="707"/>
    <n v="2024"/>
    <n v="2023"/>
    <s v="Year_1"/>
    <d v="2023-08-09T00:00:00"/>
    <s v="KUD16"/>
    <s v="O2R2"/>
    <s v="SIL"/>
    <n v="4.3478260869565223E-2"/>
    <n v="332"/>
    <x v="123"/>
    <s v="Ext. low DC voltage   463V"/>
    <s v="Breakdown"/>
    <d v="1899-12-30T21:19:00"/>
    <d v="1899-12-30T21:19:00"/>
    <d v="1899-12-30T22:41:00"/>
    <n v="0"/>
    <n v="1.3666666666666805"/>
    <n v="1.3666666666666805"/>
    <s v="After feeder charge SWG not charged so check the connection and SWG charge done"/>
    <s v="Close"/>
    <n v="5.9420289855073069E-2"/>
    <m/>
    <m/>
    <m/>
  </r>
  <r>
    <n v="708"/>
    <n v="2024"/>
    <n v="2023"/>
    <s v="Year_1"/>
    <d v="2023-08-09T00:00:00"/>
    <s v="KUD23"/>
    <s v="O2R3"/>
    <s v="JK"/>
    <n v="4.3478260869565223E-2"/>
    <n v="5196"/>
    <x v="114"/>
    <s v="Prop Valve B Status Fault"/>
    <s v="Breakdown"/>
    <d v="1899-12-30T21:19:00"/>
    <d v="1899-12-30T21:19:00"/>
    <d v="1899-12-30T23:17:00"/>
    <n v="0"/>
    <n v="1.966666666666681"/>
    <n v="1.966666666666681"/>
    <s v="After feeder charge error will occur and UPS reboot done"/>
    <s v="Close"/>
    <n v="8.5507246376812229E-2"/>
    <m/>
    <m/>
    <m/>
  </r>
  <r>
    <n v="709"/>
    <n v="2024"/>
    <n v="2023"/>
    <s v="Year_1"/>
    <d v="2023-08-10T00:00:00"/>
    <s v="KUD15"/>
    <s v="O2R1"/>
    <s v="KSIPL"/>
    <n v="4.3478260869565223E-2"/>
    <n v="707"/>
    <x v="121"/>
    <s v="Ch hardware error C0"/>
    <s v="Breakdown"/>
    <d v="1899-12-30T06:55:00"/>
    <d v="1899-12-30T06:55:00"/>
    <d v="1899-12-30T07:07:00"/>
    <n v="0"/>
    <n v="0.20000000000001661"/>
    <n v="0.20000000000001661"/>
    <s v="reset done"/>
    <s v="Close"/>
    <n v="8.695652173913767E-3"/>
    <m/>
    <m/>
    <m/>
  </r>
  <r>
    <n v="710"/>
    <n v="2024"/>
    <n v="2023"/>
    <s v="Year_1"/>
    <d v="2023-08-10T00:00:00"/>
    <s v="KUD19"/>
    <s v="O2R1"/>
    <s v="KSIPL"/>
    <n v="4.3478260869565223E-2"/>
    <n v="217"/>
    <x v="117"/>
    <s v="Thermoerror Int.Gen.Fan F513A"/>
    <s v="Breakdown"/>
    <d v="1899-12-30T06:55:00"/>
    <d v="1899-12-30T06:55:00"/>
    <d v="1899-12-30T07:10:00"/>
    <n v="0"/>
    <n v="0.25000000000000844"/>
    <n v="0.25000000000000844"/>
    <s v="reset done"/>
    <s v="Close"/>
    <n v="1.0869565217391672E-2"/>
    <m/>
    <m/>
    <m/>
  </r>
  <r>
    <n v="711"/>
    <n v="2024"/>
    <n v="2023"/>
    <s v="Year_1"/>
    <d v="2023-08-11T00:00:00"/>
    <s v="KUD04"/>
    <s v="O2R3"/>
    <s v="JK"/>
    <n v="4.3478260869565223E-2"/>
    <n v="30"/>
    <x v="44"/>
    <s v="Internal sublogic error"/>
    <s v="Breakdown"/>
    <d v="1899-12-30T13:54:00"/>
    <d v="1899-12-30T13:54:00"/>
    <d v="1899-12-30T14:46:00"/>
    <n v="0"/>
    <n v="0.86666666666666359"/>
    <n v="0.86666666666666359"/>
    <s v="reset done"/>
    <s v="Close"/>
    <n v="3.7681159420289725E-2"/>
    <m/>
    <m/>
    <m/>
  </r>
  <r>
    <n v="712"/>
    <n v="2024"/>
    <n v="2023"/>
    <s v="Year_1"/>
    <d v="2023-08-11T00:00:00"/>
    <s v="KUD05"/>
    <s v="O2R3"/>
    <s v="JK"/>
    <n v="4.3478260869565223E-2"/>
    <n v="2676"/>
    <x v="124"/>
    <s v="UPS Error"/>
    <s v="Breakdown"/>
    <d v="1899-12-30T13:54:00"/>
    <d v="1899-12-30T13:54:00"/>
    <d v="1899-12-30T15:44:00"/>
    <n v="0"/>
    <n v="1.8333333333333348"/>
    <n v="1.8333333333333348"/>
    <s v="SWG charged"/>
    <s v="Close"/>
    <n v="7.9710144927536308E-2"/>
    <m/>
    <m/>
    <m/>
  </r>
  <r>
    <n v="713"/>
    <n v="2024"/>
    <n v="2023"/>
    <s v="Year_1"/>
    <d v="2023-08-11T00:00:00"/>
    <s v="KUD12"/>
    <s v="O2R1"/>
    <s v="KSIPL"/>
    <n v="4.3478260869565223E-2"/>
    <n v="337"/>
    <x v="125"/>
    <s v="Overtemp charging DC,    1V"/>
    <s v="Breakdown"/>
    <d v="1899-12-30T13:54:00"/>
    <d v="1899-12-30T13:54:00"/>
    <d v="1899-12-30T20:01:00"/>
    <n v="0"/>
    <n v="6.1166666666666636"/>
    <n v="6.1166666666666636"/>
    <s v="Check all related connection and found in -405-24-F1"/>
    <s v="Close"/>
    <n v="0.26594202898550717"/>
    <m/>
    <m/>
    <m/>
  </r>
  <r>
    <n v="714"/>
    <n v="2024"/>
    <n v="2023"/>
    <s v="Year_1"/>
    <d v="2023-08-11T00:00:00"/>
    <s v="KUD16"/>
    <s v="O2R2"/>
    <s v="SIL"/>
    <n v="4.3478260869565223E-2"/>
    <n v="4239"/>
    <x v="40"/>
    <s v="HVCB Unknown Trip Reason"/>
    <s v="Breakdown"/>
    <d v="1899-12-30T13:54:00"/>
    <d v="1899-12-30T13:54:00"/>
    <d v="1899-12-30T15:08:00"/>
    <n v="0"/>
    <n v="1.2333333333333343"/>
    <n v="1.2333333333333343"/>
    <s v="SWG charged"/>
    <s v="Close"/>
    <n v="5.3623188405797148E-2"/>
    <m/>
    <m/>
    <m/>
  </r>
  <r>
    <n v="715"/>
    <n v="2024"/>
    <n v="2023"/>
    <s v="Year_1"/>
    <d v="2023-08-11T00:00:00"/>
    <s v="KUD23"/>
    <s v="O2R3"/>
    <s v="JK"/>
    <n v="4.3478260869565223E-2"/>
    <n v="5195"/>
    <x v="49"/>
    <s v="Prop Valve A Status Fault"/>
    <s v="Breakdown"/>
    <d v="1899-12-30T13:54:00"/>
    <d v="1899-12-30T13:54:00"/>
    <d v="1899-12-30T19:18:00"/>
    <n v="0"/>
    <n v="5.3999999999999995"/>
    <n v="5.3999999999999995"/>
    <s v="prov valve replaced"/>
    <s v="Close"/>
    <n v="0.23478260869565218"/>
    <m/>
    <m/>
    <m/>
  </r>
  <r>
    <n v="716"/>
    <n v="2024"/>
    <n v="2023"/>
    <s v="Year_1"/>
    <d v="2023-08-14T00:00:00"/>
    <s v="KUD05"/>
    <s v="O2R3"/>
    <s v="JK"/>
    <n v="4.3478260869565223E-2"/>
    <n v="4519"/>
    <x v="126"/>
    <s v="HubSafty HydrPres  Low DBlk"/>
    <s v="Breakdown"/>
    <d v="1899-12-30T17:55:00"/>
    <d v="1899-12-30T17:55:00"/>
    <d v="1899-12-30T18:06:00"/>
    <n v="0"/>
    <n v="0.18333333333333535"/>
    <n v="0.18333333333333535"/>
    <s v="reset done"/>
    <s v="Close"/>
    <n v="7.9710144927537113E-3"/>
    <m/>
    <m/>
    <m/>
  </r>
  <r>
    <n v="717"/>
    <n v="2024"/>
    <n v="2023"/>
    <s v="Year_1"/>
    <d v="2023-08-15T00:00:00"/>
    <s v="KUD15"/>
    <s v="O2R1"/>
    <s v="KSIPL"/>
    <n v="4.3478260869565223E-2"/>
    <n v="707"/>
    <x v="121"/>
    <s v="Ch hardware error C0"/>
    <s v="Breakdown"/>
    <d v="1899-12-30T09:27:00"/>
    <d v="1899-12-30T09:27:00"/>
    <d v="1899-12-30T09:40:00"/>
    <n v="0"/>
    <n v="0.21666666666667256"/>
    <n v="0.21666666666667256"/>
    <s v="reset done"/>
    <s v="Close"/>
    <n v="9.4202898550727211E-3"/>
    <m/>
    <m/>
    <m/>
  </r>
  <r>
    <n v="718"/>
    <n v="2024"/>
    <n v="2023"/>
    <s v="Year_1"/>
    <d v="2023-08-16T00:00:00"/>
    <s v="KUD04"/>
    <s v="O2R3"/>
    <s v="JK"/>
    <n v="4.3478260869565223E-2"/>
    <n v="315"/>
    <x v="120"/>
    <s v="ExEx low voltage L3:   2V"/>
    <s v="Breakdown"/>
    <d v="1899-12-30T11:08:00"/>
    <d v="1899-12-30T11:08:00"/>
    <d v="1899-12-30T12:53:00"/>
    <n v="0"/>
    <n v="1.7500000000000071"/>
    <n v="1.7500000000000071"/>
    <s v="SWG charged"/>
    <s v="Close"/>
    <n v="7.6086956521739454E-2"/>
    <m/>
    <m/>
    <m/>
  </r>
  <r>
    <n v="719"/>
    <n v="2024"/>
    <n v="2023"/>
    <s v="Year_1"/>
    <d v="2023-08-17T00:00:00"/>
    <s v="KUD05"/>
    <s v="O2R3"/>
    <s v="JK"/>
    <n v="4.3478260869565223E-2"/>
    <n v="900"/>
    <x v="100"/>
    <s v="M/S for A service Day1 "/>
    <s v="Manual Stop"/>
    <d v="1899-12-30T09:13:00"/>
    <d v="1899-12-30T09:13:00"/>
    <d v="1899-12-30T16:55:00"/>
    <n v="0"/>
    <n v="7.6999999999999922"/>
    <n v="7.6999999999999922"/>
    <s v="A service Day 1 work done"/>
    <s v="Close"/>
    <n v="0.33478260869565185"/>
    <m/>
    <m/>
    <m/>
  </r>
  <r>
    <n v="720"/>
    <n v="2024"/>
    <n v="2023"/>
    <s v="Year_1"/>
    <d v="2023-08-18T00:00:00"/>
    <s v="KUD16"/>
    <s v="O2R2"/>
    <s v="SIL"/>
    <n v="4.3478260869565223E-2"/>
    <n v="707"/>
    <x v="121"/>
    <s v="Ch hardware error C0"/>
    <s v="Breakdown"/>
    <d v="1899-12-30T10:29:00"/>
    <d v="1899-12-30T10:29:00"/>
    <d v="1899-12-30T11:13:00"/>
    <n v="0"/>
    <n v="0.73333333333332007"/>
    <n v="0.73333333333332007"/>
    <s v="After feeder charge SWG not charged so check the connection and SWG charge done"/>
    <s v="Close"/>
    <n v="3.1884057971013922E-2"/>
    <m/>
    <m/>
    <m/>
  </r>
  <r>
    <n v="721"/>
    <n v="2024"/>
    <n v="2023"/>
    <s v="Year_1"/>
    <d v="2023-08-18T00:00:00"/>
    <s v="KUD04"/>
    <s v="O2R3"/>
    <s v="JK"/>
    <n v="4.3478260869565223E-2"/>
    <n v="3024"/>
    <x v="113"/>
    <s v="ArcNetReconfigMaxLimit    3287"/>
    <s v="Breakdown"/>
    <d v="1899-12-30T13:04:00"/>
    <d v="1899-12-30T13:04:00"/>
    <d v="1899-12-30T18:02:00"/>
    <n v="0"/>
    <n v="4.966666666666681"/>
    <n v="4.966666666666681"/>
    <s v="After feeder charge error occur and Troubleshooting done and restored"/>
    <s v="Close"/>
    <n v="0.21594202898550791"/>
    <m/>
    <m/>
    <m/>
  </r>
  <r>
    <n v="722"/>
    <n v="2024"/>
    <n v="2023"/>
    <s v="Year_1"/>
    <d v="2023-08-18T00:00:00"/>
    <s v="KUD18"/>
    <s v="O2R4"/>
    <s v="SGDCIPL"/>
    <n v="4.3478260869565223E-2"/>
    <n v="5470"/>
    <x v="34"/>
    <s v="GeneratorBreakerFBResponse"/>
    <s v="Breakdown"/>
    <d v="1899-12-30T16:34:00"/>
    <d v="1899-12-30T16:34:00"/>
    <d v="1899-12-30T17:40:00"/>
    <n v="0"/>
    <n v="1.0999999999999934"/>
    <n v="1.0999999999999934"/>
    <s v="Work under process"/>
    <s v="Open"/>
    <n v="4.7826086956521463E-2"/>
    <m/>
    <m/>
    <m/>
  </r>
  <r>
    <n v="723"/>
    <n v="2024"/>
    <n v="2023"/>
    <s v="Year_1"/>
    <d v="2023-08-18T00:00:00"/>
    <s v="KUD18"/>
    <s v="O2R4"/>
    <s v="SGDCIPL"/>
    <n v="4.3478260869565223E-2"/>
    <n v="5470"/>
    <x v="34"/>
    <s v="GeneratorBreakerFBResponse"/>
    <s v="ROW"/>
    <d v="1899-12-30T17:40:00"/>
    <d v="1899-12-30T17:40:00"/>
    <d v="1899-12-31T00:00:00"/>
    <n v="0"/>
    <n v="6.3333333333333348"/>
    <n v="6.3333333333333348"/>
    <s v="ROW issue "/>
    <s v="Open"/>
    <n v="0"/>
    <m/>
    <m/>
    <m/>
  </r>
  <r>
    <n v="724"/>
    <n v="2024"/>
    <n v="2023"/>
    <s v="Year_1"/>
    <d v="2023-08-19T00:00:00"/>
    <s v="KUD18"/>
    <s v="O2R4"/>
    <s v="SGDCIPL"/>
    <n v="4.3478260869565223E-2"/>
    <n v="5470"/>
    <x v="34"/>
    <s v="GeneratorBreakerFBResponse"/>
    <s v="Breakdown"/>
    <d v="1899-12-30T00:00:00"/>
    <d v="1899-12-30T00:00:00"/>
    <d v="1899-12-30T00:47:00"/>
    <n v="0"/>
    <n v="0.78333333333333355"/>
    <n v="0.78333333333333355"/>
    <s v="After feeder charge error occur and Troubleshooting done and restored"/>
    <s v="Close"/>
    <n v="3.4057971014492767E-2"/>
    <m/>
    <m/>
    <m/>
  </r>
  <r>
    <n v="725"/>
    <n v="2024"/>
    <n v="2023"/>
    <s v="Year_1"/>
    <d v="2023-08-19T00:00:00"/>
    <s v="KUD05"/>
    <s v="O2R3"/>
    <s v="JK"/>
    <n v="4.3478260869565223E-2"/>
    <n v="900"/>
    <x v="100"/>
    <s v="M/S for A service Day2 "/>
    <s v="Manual Stop"/>
    <d v="1899-12-30T09:34:00"/>
    <d v="1899-12-30T09:34:00"/>
    <d v="1899-12-30T17:15:00"/>
    <n v="0"/>
    <n v="7.6833333333333353"/>
    <n v="7.6833333333333353"/>
    <s v="A service Day 2 work done"/>
    <s v="Close"/>
    <n v="0.33405797101449286"/>
    <m/>
    <m/>
    <m/>
  </r>
  <r>
    <n v="726"/>
    <n v="2024"/>
    <n v="2023"/>
    <s v="Year_1"/>
    <d v="2023-08-21T00:00:00"/>
    <s v="KUD04"/>
    <s v="O2R3"/>
    <s v="JK"/>
    <n v="4.3478260869565223E-2"/>
    <n v="900"/>
    <x v="100"/>
    <s v="M/S for A service Day1 "/>
    <s v="Manual Stop"/>
    <d v="1899-12-30T09:02:00"/>
    <d v="1899-12-30T09:02:00"/>
    <d v="1899-12-30T17:10:00"/>
    <n v="0"/>
    <n v="8.1333333333333364"/>
    <n v="8.1333333333333364"/>
    <s v="A service Day 1 work done"/>
    <s v="Close"/>
    <n v="0.35362318840579726"/>
    <m/>
    <m/>
    <m/>
  </r>
  <r>
    <n v="727"/>
    <n v="2024"/>
    <n v="2023"/>
    <s v="Year_1"/>
    <d v="2023-08-22T00:00:00"/>
    <s v="KUD04"/>
    <s v="O2R3"/>
    <s v="JK"/>
    <n v="4.3478260869565223E-2"/>
    <n v="900"/>
    <x v="100"/>
    <s v="M/S for A service Day2 "/>
    <s v="Manual Stop"/>
    <d v="1899-12-30T09:04:00"/>
    <d v="1899-12-30T09:04:00"/>
    <d v="1899-12-30T20:17:00"/>
    <n v="0"/>
    <n v="11.216666666666665"/>
    <n v="11.216666666666665"/>
    <s v="A service Day 2 work done"/>
    <s v="Close"/>
    <n v="0.48768115942028983"/>
    <m/>
    <m/>
    <m/>
  </r>
  <r>
    <n v="728"/>
    <n v="2024"/>
    <n v="2023"/>
    <s v="Year_1"/>
    <d v="2023-08-22T00:00:00"/>
    <s v="KUD12"/>
    <s v="O2R1"/>
    <s v="KSIPL"/>
    <n v="4.3478260869565223E-2"/>
    <n v="900"/>
    <x v="100"/>
    <s v="CMS alert inspection purpose"/>
    <s v="Manual Stop"/>
    <d v="1899-12-30T11:49:00"/>
    <d v="1899-12-30T11:49:00"/>
    <d v="1899-12-30T15:06:00"/>
    <n v="0"/>
    <n v="3.283333333333343"/>
    <n v="3.283333333333343"/>
    <s v="CMS inspection done"/>
    <s v="Close"/>
    <n v="0.14275362318840623"/>
    <m/>
    <m/>
    <m/>
  </r>
  <r>
    <n v="729"/>
    <n v="2024"/>
    <n v="2023"/>
    <s v="Year_1"/>
    <d v="2023-08-22T00:00:00"/>
    <s v="KUD01"/>
    <s v="O2R1"/>
    <s v="KSIPL"/>
    <n v="4.3478260869565223E-2"/>
    <n v="450"/>
    <x v="127"/>
    <s v="Ext. High I sum Grd inv."/>
    <s v="Breakdown"/>
    <d v="1899-12-30T20:37:00"/>
    <d v="1899-12-30T20:37:00"/>
    <d v="1899-12-30T20:39:00"/>
    <n v="0"/>
    <n v="3.3333333333338544E-2"/>
    <n v="3.3333333333338544E-2"/>
    <s v="reset done"/>
    <s v="Close"/>
    <n v="1.4492753623190674E-3"/>
    <m/>
    <m/>
    <m/>
  </r>
  <r>
    <n v="730"/>
    <n v="2024"/>
    <n v="2023"/>
    <s v="Year_1"/>
    <d v="2023-08-23T00:00:00"/>
    <s v="KUD06"/>
    <s v="O2R3"/>
    <s v="JK"/>
    <n v="4.3478260869565223E-2"/>
    <n v="900"/>
    <x v="100"/>
    <s v="M/S for A service Day1 "/>
    <s v="Manual Stop"/>
    <d v="1899-12-30T09:57:00"/>
    <d v="1899-12-30T09:57:00"/>
    <d v="1899-12-30T16:53:00"/>
    <n v="0"/>
    <n v="6.9333333333333371"/>
    <n v="6.9333333333333371"/>
    <s v="A service Day 1 work done"/>
    <s v="Close"/>
    <n v="0.30144927536231902"/>
    <m/>
    <m/>
    <m/>
  </r>
  <r>
    <n v="731"/>
    <n v="2024"/>
    <n v="2023"/>
    <s v="Year_1"/>
    <d v="2023-08-23T00:00:00"/>
    <s v="KUD04"/>
    <s v="O2R3"/>
    <s v="JK"/>
    <n v="4.3478260869565223E-2"/>
    <n v="4516"/>
    <x v="128"/>
    <s v="HubSafty HydrPres Low BldA"/>
    <s v="Breakdown"/>
    <d v="1899-12-30T11:40:00"/>
    <d v="1899-12-30T11:40:00"/>
    <d v="1899-12-30T11:53:00"/>
    <n v="0"/>
    <n v="0.21666666666667256"/>
    <n v="0.21666666666667256"/>
    <s v="reset done"/>
    <s v="Close"/>
    <n v="9.4202898550727211E-3"/>
    <m/>
    <m/>
    <m/>
  </r>
  <r>
    <n v="732"/>
    <n v="2024"/>
    <n v="2023"/>
    <s v="Year_1"/>
    <d v="2023-08-24T00:00:00"/>
    <s v="KUD06"/>
    <s v="O2R3"/>
    <s v="JK"/>
    <n v="4.3478260869565223E-2"/>
    <n v="900"/>
    <x v="100"/>
    <s v="M/S for A service Day2 "/>
    <s v="Manual Stop"/>
    <d v="1899-12-30T09:19:00"/>
    <d v="1899-12-30T09:19:00"/>
    <d v="1899-12-30T17:00:00"/>
    <n v="0"/>
    <n v="7.6833333333333371"/>
    <n v="7.6833333333333371"/>
    <s v="A service Day 2 work done"/>
    <s v="Close"/>
    <n v="0.33405797101449297"/>
    <m/>
    <m/>
    <m/>
  </r>
  <r>
    <n v="733"/>
    <n v="2024"/>
    <n v="2023"/>
    <s v="Year_1"/>
    <d v="2023-08-24T00:00:00"/>
    <s v="KUD09"/>
    <s v="O2R3"/>
    <s v="JK"/>
    <n v="4.3478260869565223E-2"/>
    <n v="3270"/>
    <x v="76"/>
    <s v="YawToCableTwistResetNotAvail"/>
    <s v="Breakdown"/>
    <d v="1899-12-30T11:24:00"/>
    <d v="1899-12-30T11:24:00"/>
    <d v="1899-12-30T12:21:00"/>
    <n v="0"/>
    <n v="0.9499999999999913"/>
    <n v="0.9499999999999913"/>
    <s v="remote reset done"/>
    <s v="Close"/>
    <n v="4.1304347826086586E-2"/>
    <m/>
    <m/>
    <m/>
  </r>
  <r>
    <n v="734"/>
    <n v="2024"/>
    <n v="2023"/>
    <s v="Year_1"/>
    <d v="2023-08-24T00:00:00"/>
    <s v="KUD05"/>
    <s v="O2R3"/>
    <s v="JK"/>
    <n v="4.3478260869565223E-2"/>
    <n v="900"/>
    <x v="100"/>
    <s v="CMS alert inspection purpose"/>
    <s v="Manual Stop"/>
    <d v="1899-12-30T12:19:00"/>
    <d v="1899-12-30T12:19:00"/>
    <d v="1899-12-30T14:08:00"/>
    <n v="0"/>
    <n v="1.8166666666666815"/>
    <n v="1.8166666666666815"/>
    <s v="CMS alert inspection done"/>
    <s v="Close"/>
    <n v="7.898550724637747E-2"/>
    <m/>
    <m/>
    <m/>
  </r>
  <r>
    <n v="735"/>
    <n v="2024"/>
    <n v="2023"/>
    <s v="Year_1"/>
    <d v="2023-08-25T00:00:00"/>
    <s v="KUD05"/>
    <s v="O2R3"/>
    <s v="JK"/>
    <n v="4.3478260869565223E-2"/>
    <n v="3633"/>
    <x v="21"/>
    <s v="Yaw System Stopped"/>
    <s v="Breakdown"/>
    <d v="1899-12-30T08:22:00"/>
    <d v="1899-12-30T08:22:00"/>
    <d v="1899-12-30T16:18:00"/>
    <n v="0"/>
    <n v="7.9333333333333451"/>
    <n v="7.9333333333333451"/>
    <s v="Checked all yaw motor connection and replaced PLIZ replay in Nacelle control panel"/>
    <s v="Close"/>
    <n v="0.3449275362318846"/>
    <m/>
    <m/>
    <m/>
  </r>
  <r>
    <n v="736"/>
    <n v="2024"/>
    <n v="2023"/>
    <s v="Year_1"/>
    <d v="2023-08-25T00:00:00"/>
    <s v="KUD02"/>
    <s v="O2R3"/>
    <s v="JK"/>
    <n v="4.3478260869565223E-2"/>
    <n v="900"/>
    <x v="100"/>
    <s v="M/S for A service Day1 "/>
    <s v="Manual Stop"/>
    <d v="1899-12-30T09:17:00"/>
    <d v="1899-12-30T09:17:00"/>
    <d v="1899-12-30T18:22:00"/>
    <n v="0"/>
    <n v="9.0833333333333268"/>
    <n v="9.0833333333333268"/>
    <s v="A service Day 1 work done"/>
    <s v="Close"/>
    <n v="0.39492753623188381"/>
    <m/>
    <m/>
    <m/>
  </r>
  <r>
    <n v="737"/>
    <n v="2024"/>
    <n v="2023"/>
    <s v="Year_1"/>
    <d v="2023-08-25T00:00:00"/>
    <s v="KUD05"/>
    <s v="O2R3"/>
    <s v="JK"/>
    <n v="4.3478260869565223E-2"/>
    <n v="900"/>
    <x v="100"/>
    <s v="M/S for ROW issue"/>
    <s v="ROW"/>
    <d v="1899-12-30T16:26:00"/>
    <d v="1899-12-30T16:26:00"/>
    <d v="1899-12-30T17:10:00"/>
    <n v="0"/>
    <n v="0.73333333333334405"/>
    <n v="0.73333333333334405"/>
    <s v="M/S for ROW issue"/>
    <s v="Close"/>
    <n v="0"/>
    <m/>
    <m/>
    <m/>
  </r>
  <r>
    <n v="738"/>
    <n v="2024"/>
    <n v="2023"/>
    <s v="Year_1"/>
    <d v="2023-08-26T00:00:00"/>
    <s v="KUD02"/>
    <s v="O2R3"/>
    <s v="JK"/>
    <n v="4.3478260869565223E-2"/>
    <n v="900"/>
    <x v="100"/>
    <s v="M/S for A service Day2 "/>
    <s v="Manual Stop"/>
    <d v="1899-12-30T09:30:00"/>
    <d v="1899-12-30T09:30:00"/>
    <d v="1899-12-30T16:52:00"/>
    <n v="0"/>
    <n v="7.3666666666666796"/>
    <n v="7.3666666666666796"/>
    <s v="A service Day 2 work done"/>
    <s v="Close"/>
    <n v="0.32028985507246438"/>
    <m/>
    <m/>
    <m/>
  </r>
  <r>
    <n v="739"/>
    <n v="2024"/>
    <n v="2023"/>
    <s v="Year_1"/>
    <d v="2023-08-26T00:00:00"/>
    <s v="KUD16"/>
    <s v="O2R2"/>
    <s v="SIL"/>
    <n v="4.3478260869565223E-2"/>
    <n v="315"/>
    <x v="120"/>
    <s v="ExEx low voltage L3:   2V"/>
    <s v="Breakdown"/>
    <d v="1899-12-30T06:40:00"/>
    <d v="1899-12-30T06:40:00"/>
    <d v="1899-12-30T08:16:00"/>
    <n v="0"/>
    <n v="1.5999999999999837"/>
    <n v="1.5999999999999837"/>
    <s v="SWG charged"/>
    <s v="Close"/>
    <n v="6.9565217391303641E-2"/>
    <m/>
    <m/>
    <m/>
  </r>
  <r>
    <n v="740"/>
    <n v="2024"/>
    <n v="2023"/>
    <s v="Year_1"/>
    <d v="2023-08-28T00:00:00"/>
    <s v="KUD09"/>
    <s v="O2R3"/>
    <s v="JK"/>
    <n v="4.3478260869565223E-2"/>
    <n v="900"/>
    <x v="100"/>
    <s v="M/S for A service Day1 "/>
    <s v="Manual Stop"/>
    <d v="1899-12-30T10:30:00"/>
    <d v="1899-12-30T10:30:00"/>
    <d v="1899-12-30T18:03:00"/>
    <n v="0"/>
    <n v="7.5499999999999918"/>
    <n v="7.5499999999999918"/>
    <s v="A service Day 1 work done"/>
    <s v="Close"/>
    <n v="0.32826086956521711"/>
    <m/>
    <m/>
    <m/>
  </r>
  <r>
    <n v="741"/>
    <n v="2024"/>
    <n v="2023"/>
    <s v="Year_1"/>
    <d v="2023-08-29T00:00:00"/>
    <s v="KUD09"/>
    <s v="O2R3"/>
    <s v="JK"/>
    <n v="4.3478260869565223E-2"/>
    <n v="900"/>
    <x v="100"/>
    <s v="M/S for A service Day2 "/>
    <s v="Manual Stop"/>
    <d v="1899-12-30T09:19:00"/>
    <d v="1899-12-30T09:19:00"/>
    <d v="1899-12-30T17:42:00"/>
    <n v="0"/>
    <n v="8.3833333333333453"/>
    <n v="8.3833333333333453"/>
    <s v="A service Day 2 work done"/>
    <s v="Close"/>
    <n v="0.36449275362318895"/>
    <m/>
    <m/>
    <m/>
  </r>
  <r>
    <n v="742"/>
    <n v="2024"/>
    <n v="2023"/>
    <s v="Year_1"/>
    <d v="2023-08-29T00:00:00"/>
    <s v="KUD04"/>
    <s v="O2R3"/>
    <s v="JK"/>
    <n v="4.3478260869565223E-2"/>
    <n v="900"/>
    <x v="100"/>
    <s v="M/S for Software Updates "/>
    <s v="Manual Stop"/>
    <d v="1899-12-30T15:08:00"/>
    <d v="1899-12-30T15:08:00"/>
    <d v="1899-12-30T17:02:00"/>
    <n v="0"/>
    <n v="1.8999999999999853"/>
    <n v="1.8999999999999853"/>
    <s v="Software updation done"/>
    <s v="Close"/>
    <n v="8.2608695652173283E-2"/>
    <m/>
    <m/>
    <m/>
  </r>
  <r>
    <n v="743"/>
    <n v="2024"/>
    <n v="2023"/>
    <s v="Year_1"/>
    <d v="2023-08-30T00:00:00"/>
    <s v="KUD23"/>
    <s v="O2R3"/>
    <s v="JK"/>
    <n v="4.3478260869565223E-2"/>
    <n v="900"/>
    <x v="100"/>
    <s v="M/S for A service Day1 "/>
    <s v="Manual Stop"/>
    <d v="1899-12-30T09:11:00"/>
    <d v="1899-12-30T09:11:00"/>
    <d v="1899-12-30T17:14:00"/>
    <n v="0"/>
    <n v="8.0500000000000078"/>
    <n v="8.0500000000000078"/>
    <s v="A service Day 1 work done"/>
    <s v="Close"/>
    <n v="0.35000000000000037"/>
    <m/>
    <m/>
    <m/>
  </r>
  <r>
    <n v="744"/>
    <n v="2024"/>
    <n v="2023"/>
    <s v="Year_1"/>
    <d v="2023-08-30T00:00:00"/>
    <s v="KUD16"/>
    <s v="O2R2"/>
    <s v="SIL"/>
    <n v="4.3478260869565223E-2"/>
    <n v="900"/>
    <x v="100"/>
    <s v="HVCB Unknown Trip Reason"/>
    <s v="Breakdown"/>
    <d v="1899-12-30T12:35:00"/>
    <d v="1899-12-30T12:35:00"/>
    <d v="1899-12-30T13:22:00"/>
    <n v="0"/>
    <n v="0.7833333333333119"/>
    <n v="0.7833333333333119"/>
    <s v="SWG charged"/>
    <s v="Close"/>
    <n v="3.4057971014491824E-2"/>
    <m/>
    <m/>
    <m/>
  </r>
  <r>
    <n v="745"/>
    <n v="2024"/>
    <n v="2023"/>
    <s v="Year_1"/>
    <d v="2023-08-31T00:00:00"/>
    <s v="KUD23"/>
    <s v="O2R3"/>
    <s v="JK"/>
    <n v="4.3478260869565223E-2"/>
    <n v="900"/>
    <x v="100"/>
    <s v="M/S for A service Day2 "/>
    <s v="Manual Stop"/>
    <d v="1899-12-30T09:21:00"/>
    <d v="1899-12-30T09:21:00"/>
    <d v="1899-12-30T18:30:00"/>
    <n v="0"/>
    <n v="9.15"/>
    <n v="9.15"/>
    <s v="A service Day 2 work done"/>
    <s v="Close"/>
    <n v="0.39782608695652183"/>
    <m/>
    <m/>
    <m/>
  </r>
  <r>
    <n v="746"/>
    <n v="2024"/>
    <n v="2023"/>
    <s v="Year_1"/>
    <d v="2023-09-01T00:00:00"/>
    <s v="KUD21"/>
    <s v="O2R3"/>
    <s v="JK"/>
    <n v="4.3478260869565223E-2"/>
    <n v="900"/>
    <x v="100"/>
    <s v="M/S for A service Day1 "/>
    <s v="Manual Stop"/>
    <d v="1899-12-30T09:18:00"/>
    <d v="1899-12-30T09:18:00"/>
    <d v="1899-12-30T17:38:00"/>
    <n v="0"/>
    <n v="8.3333333333333286"/>
    <n v="8.3333333333333286"/>
    <s v="A service Day 1 work done"/>
    <s v="Close"/>
    <n v="0.36231884057970998"/>
    <m/>
    <m/>
    <m/>
  </r>
  <r>
    <n v="747"/>
    <n v="2024"/>
    <n v="2023"/>
    <s v="Year_1"/>
    <d v="2023-09-02T00:00:00"/>
    <s v="KUD21"/>
    <s v="O2R3"/>
    <s v="JK"/>
    <n v="4.3478260869565223E-2"/>
    <n v="900"/>
    <x v="100"/>
    <s v="M/S for A service Day2 "/>
    <s v="Manual Stop"/>
    <d v="1899-12-30T10:02:00"/>
    <d v="1899-12-30T10:02:00"/>
    <d v="1899-12-30T16:58:00"/>
    <n v="0"/>
    <n v="6.9333333333333123"/>
    <n v="6.9333333333333123"/>
    <s v="A service Day 2 work done"/>
    <s v="Close"/>
    <n v="0.30144927536231797"/>
    <m/>
    <m/>
    <m/>
  </r>
  <r>
    <n v="748"/>
    <n v="2024"/>
    <n v="2023"/>
    <s v="Year_1"/>
    <d v="2023-09-03T00:00:00"/>
    <s v="KUD02"/>
    <s v="O2R3"/>
    <s v="JK"/>
    <n v="4.3478260869565223E-2"/>
    <n v="4519"/>
    <x v="126"/>
    <s v="HubSafty HydrPres  Low DBlk"/>
    <s v="Breakdown"/>
    <d v="1899-12-30T08:03:00"/>
    <d v="1899-12-30T08:03:00"/>
    <d v="1899-12-30T08:20:00"/>
    <n v="0"/>
    <n v="0.28333333333332034"/>
    <n v="0.28333333333332034"/>
    <s v="reset done"/>
    <s v="Close"/>
    <n v="1.2318840579709582E-2"/>
    <m/>
    <m/>
    <m/>
  </r>
  <r>
    <n v="749"/>
    <n v="2024"/>
    <n v="2023"/>
    <s v="Year_1"/>
    <d v="2023-09-03T00:00:00"/>
    <s v="KUD04"/>
    <s v="O2R3"/>
    <s v="JK"/>
    <n v="4.3478260869565223E-2"/>
    <n v="4519"/>
    <x v="126"/>
    <s v="HubSafty HydrPres  Low DBlk"/>
    <s v="Breakdown"/>
    <d v="1899-12-30T08:03:00"/>
    <d v="1899-12-30T08:03:00"/>
    <d v="1899-12-30T08:26:00"/>
    <n v="0"/>
    <n v="0.38333333333332797"/>
    <n v="0.38333333333332797"/>
    <s v="reset done"/>
    <s v="Close"/>
    <n v="1.6666666666666437E-2"/>
    <m/>
    <m/>
    <m/>
  </r>
  <r>
    <n v="750"/>
    <n v="2024"/>
    <n v="2023"/>
    <s v="Year_1"/>
    <d v="2023-09-03T00:00:00"/>
    <s v="KUD05"/>
    <s v="O2R3"/>
    <s v="JK"/>
    <n v="4.3478260869565223E-2"/>
    <n v="4519"/>
    <x v="126"/>
    <s v="HubSafty HydrPres  Low DBlk"/>
    <s v="Breakdown"/>
    <d v="1899-12-30T08:03:00"/>
    <d v="1899-12-30T08:03:00"/>
    <d v="1899-12-30T08:21:00"/>
    <n v="0"/>
    <n v="0.30000000000000027"/>
    <n v="0.30000000000000027"/>
    <s v="reset done"/>
    <s v="Close"/>
    <n v="1.3043478260869578E-2"/>
    <m/>
    <m/>
    <m/>
  </r>
  <r>
    <n v="751"/>
    <n v="2024"/>
    <n v="2023"/>
    <s v="Year_1"/>
    <d v="2023-09-03T00:00:00"/>
    <s v="KUD06"/>
    <s v="O2R3"/>
    <s v="JK"/>
    <n v="4.3478260869565223E-2"/>
    <n v="4519"/>
    <x v="126"/>
    <s v="HubSafty HydrPres  Low DBlk"/>
    <s v="Breakdown"/>
    <d v="1899-12-30T08:03:00"/>
    <d v="1899-12-30T08:03:00"/>
    <d v="1899-12-30T08:21:00"/>
    <n v="0"/>
    <n v="0.30000000000000027"/>
    <n v="0.30000000000000027"/>
    <s v="reset done"/>
    <s v="Close"/>
    <n v="1.3043478260869578E-2"/>
    <m/>
    <m/>
    <m/>
  </r>
  <r>
    <n v="752"/>
    <n v="2024"/>
    <n v="2023"/>
    <s v="Year_1"/>
    <d v="2023-09-03T00:00:00"/>
    <s v="KUD09"/>
    <s v="O2R3"/>
    <s v="JK"/>
    <n v="4.3478260869565223E-2"/>
    <n v="4519"/>
    <x v="126"/>
    <s v="HubSafty HydrPres  Low DBlk"/>
    <s v="Breakdown"/>
    <d v="1899-12-30T08:03:00"/>
    <d v="1899-12-30T08:03:00"/>
    <d v="1899-12-30T08:20:00"/>
    <n v="0"/>
    <n v="0.28333333333332034"/>
    <n v="0.28333333333332034"/>
    <s v="reset done"/>
    <s v="Close"/>
    <n v="1.2318840579709582E-2"/>
    <m/>
    <m/>
    <m/>
  </r>
  <r>
    <n v="753"/>
    <n v="2024"/>
    <n v="2023"/>
    <s v="Year_1"/>
    <d v="2023-09-03T00:00:00"/>
    <s v="KUD16"/>
    <s v="O2R2"/>
    <s v="SIL"/>
    <n v="4.3478260869565223E-2"/>
    <n v="4239"/>
    <x v="40"/>
    <s v="HVCB Unknown Trip Reason"/>
    <s v="Breakdown"/>
    <d v="1899-12-30T08:03:00"/>
    <d v="1899-12-30T08:03:00"/>
    <d v="1899-12-30T09:03:00"/>
    <n v="0"/>
    <n v="0.99999999999998446"/>
    <n v="0.99999999999998446"/>
    <s v="SWG charged"/>
    <s v="Close"/>
    <n v="4.347826086956455E-2"/>
    <m/>
    <m/>
    <m/>
  </r>
  <r>
    <n v="754"/>
    <n v="2024"/>
    <n v="2023"/>
    <s v="Year_1"/>
    <d v="2023-09-03T00:00:00"/>
    <s v="KUD21"/>
    <s v="O2R3"/>
    <s v="JK"/>
    <n v="4.3478260869565223E-2"/>
    <n v="4519"/>
    <x v="126"/>
    <s v="HubSafty HydrPres  Low DBlk"/>
    <s v="Breakdown"/>
    <d v="1899-12-30T08:03:00"/>
    <d v="1899-12-30T08:03:00"/>
    <d v="1899-12-30T08:22:00"/>
    <n v="0"/>
    <n v="0.31666666666665622"/>
    <n v="0.31666666666665622"/>
    <s v="reset done"/>
    <s v="Close"/>
    <n v="1.3768115942028532E-2"/>
    <m/>
    <m/>
    <m/>
  </r>
  <r>
    <n v="755"/>
    <n v="2024"/>
    <n v="2023"/>
    <s v="Year_1"/>
    <d v="2023-09-03T00:00:00"/>
    <s v="KUD23"/>
    <s v="O2R3"/>
    <s v="JK"/>
    <n v="4.3478260869565223E-2"/>
    <n v="4519"/>
    <x v="126"/>
    <s v="HubSafty HydrPres  Low DBlk"/>
    <s v="Breakdown"/>
    <d v="1899-12-30T08:03:00"/>
    <d v="1899-12-30T08:03:00"/>
    <d v="1899-12-30T08:20:00"/>
    <n v="0"/>
    <n v="0.28333333333332034"/>
    <n v="0.28333333333332034"/>
    <s v="reset done"/>
    <s v="Close"/>
    <n v="1.2318840579709582E-2"/>
    <m/>
    <m/>
    <m/>
  </r>
  <r>
    <n v="756"/>
    <n v="2024"/>
    <n v="2023"/>
    <s v="Year_1"/>
    <d v="2023-09-04T00:00:00"/>
    <s v="KUD22"/>
    <s v="O2R3"/>
    <s v="JK"/>
    <n v="4.3478260869565223E-2"/>
    <n v="900"/>
    <x v="100"/>
    <s v="M/S for A service Day1 "/>
    <s v="Manual Stop"/>
    <d v="1899-12-30T10:26:00"/>
    <d v="1899-12-30T10:26:00"/>
    <d v="1899-12-30T17:18:00"/>
    <n v="0"/>
    <n v="6.8666666666666636"/>
    <n v="6.8666666666666636"/>
    <s v="A service Day 1 work done"/>
    <s v="Close"/>
    <n v="0.29855072463768106"/>
    <m/>
    <m/>
    <m/>
  </r>
  <r>
    <n v="757"/>
    <n v="2024"/>
    <n v="2023"/>
    <s v="Year_1"/>
    <d v="2023-09-05T00:00:00"/>
    <s v="KUD23"/>
    <s v="O2R3"/>
    <s v="JK"/>
    <n v="4.3478260869565223E-2"/>
    <n v="900"/>
    <x v="100"/>
    <s v="M/S for A service Day2 "/>
    <s v="Manual Stop"/>
    <d v="1899-12-30T09:21:00"/>
    <d v="1899-12-30T09:21:00"/>
    <d v="1899-12-30T16:50:00"/>
    <n v="0"/>
    <n v="7.4833333333333432"/>
    <n v="7.4833333333333432"/>
    <s v="A service Day 2 work done"/>
    <s v="Close"/>
    <n v="0.3253623188405802"/>
    <m/>
    <m/>
    <m/>
  </r>
  <r>
    <n v="758"/>
    <n v="2024"/>
    <n v="2023"/>
    <s v="Year_1"/>
    <d v="2023-09-06T00:00:00"/>
    <s v="KUD18"/>
    <s v="O2R4"/>
    <s v="SGDCIPL"/>
    <n v="4.3478260869565223E-2"/>
    <n v="900"/>
    <x v="100"/>
    <s v="M/S for A service Day1 "/>
    <s v="Manual Stop"/>
    <d v="1899-12-30T09:43:00"/>
    <d v="1899-12-30T09:43:00"/>
    <d v="1899-12-30T16:51:00"/>
    <n v="0"/>
    <n v="7.1333333333333266"/>
    <n v="7.1333333333333266"/>
    <s v="A service Day 1 work done"/>
    <s v="Close"/>
    <n v="0.31014492753623163"/>
    <m/>
    <m/>
    <m/>
  </r>
  <r>
    <n v="759"/>
    <n v="2024"/>
    <n v="2023"/>
    <s v="Year_1"/>
    <d v="2023-09-06T00:00:00"/>
    <s v="KUD20"/>
    <s v="O2R1"/>
    <s v="KSIPL"/>
    <n v="4.3478260869565223E-2"/>
    <n v="900"/>
    <x v="100"/>
    <s v="M/S for Status signal warning"/>
    <s v="Manual Stop"/>
    <d v="1899-12-30T09:52:00"/>
    <d v="1899-12-30T09:52:00"/>
    <d v="1899-12-30T11:34:00"/>
    <n v="0"/>
    <n v="1.6999999999999926"/>
    <n v="1.6999999999999926"/>
    <s v="Trouble shooting Done."/>
    <s v="Close"/>
    <n v="7.3913043478260554E-2"/>
    <m/>
    <m/>
    <m/>
  </r>
  <r>
    <n v="760"/>
    <n v="2024"/>
    <n v="2023"/>
    <s v="Year_1"/>
    <d v="2023-09-07T00:00:00"/>
    <s v="KUD18"/>
    <s v="O2R4"/>
    <s v="SGDCIPL"/>
    <n v="4.3478260869565223E-2"/>
    <n v="900"/>
    <x v="100"/>
    <s v="M/S for A service Day2 "/>
    <s v="Manual Stop"/>
    <d v="1899-12-30T09:10:00"/>
    <d v="1899-12-30T09:10:00"/>
    <d v="1899-12-30T19:36:00"/>
    <n v="0"/>
    <n v="10.433333333333351"/>
    <n v="10.433333333333351"/>
    <s v="A service Day 1 work done"/>
    <s v="Close"/>
    <n v="0.45362318840579796"/>
    <m/>
    <m/>
    <m/>
  </r>
  <r>
    <n v="761"/>
    <n v="2024"/>
    <n v="2023"/>
    <s v="Year_1"/>
    <d v="2023-09-07T00:00:00"/>
    <s v="KUD20"/>
    <s v="O2R1"/>
    <s v="KSIPL"/>
    <n v="4.3478260869565223E-2"/>
    <n v="336"/>
    <x v="129"/>
    <s v="Ext. High cur. Grid inv. L1"/>
    <s v="Breakdown"/>
    <d v="1899-12-30T17:57:00"/>
    <d v="1899-12-30T17:57:00"/>
    <d v="1899-12-30T18:42:00"/>
    <n v="0"/>
    <n v="0.75"/>
    <n v="0.75"/>
    <s v="All feedback connection checked  found ok and restore the WTG."/>
    <s v="Close"/>
    <n v="3.2608695652173919E-2"/>
    <m/>
    <m/>
    <m/>
  </r>
  <r>
    <n v="762"/>
    <n v="2024"/>
    <n v="2023"/>
    <s v="Year_1"/>
    <d v="2023-09-08T00:00:00"/>
    <s v="KUD18"/>
    <s v="O2R4"/>
    <s v="SGDCIPL"/>
    <n v="4.3478260869565223E-2"/>
    <n v="900"/>
    <x v="100"/>
    <s v="M/S for pilot pressure issues"/>
    <s v="Manual Stop"/>
    <d v="1899-12-30T11:45:00"/>
    <d v="1899-12-30T11:45:00"/>
    <d v="1899-12-30T16:44:00"/>
    <n v="0"/>
    <n v="4.9833333333333361"/>
    <n v="4.9833333333333361"/>
    <s v="Replaced New Hose pipe from Main  Mainfold to Blade C Mainfold"/>
    <s v="Close"/>
    <n v="0.21666666666666681"/>
    <m/>
    <m/>
    <m/>
  </r>
  <r>
    <n v="763"/>
    <n v="2024"/>
    <n v="2023"/>
    <s v="Year_1"/>
    <d v="2023-09-08T00:00:00"/>
    <s v="KUD01"/>
    <s v="O2R1"/>
    <s v="KSIPL"/>
    <n v="4.3478260869565223E-2"/>
    <n v="5471"/>
    <x v="130"/>
    <s v="GeneratorBreakerTripped"/>
    <s v="Breakdown"/>
    <d v="1899-12-30T15:47:00"/>
    <d v="1899-12-30T15:47:00"/>
    <d v="1899-12-30T17:52:00"/>
    <n v="0"/>
    <n v="2.0833333333333206"/>
    <n v="2.0833333333333206"/>
    <s v="Generator TU reset done and Restore the WTG ."/>
    <s v="Close"/>
    <n v="9.0579710144926995E-2"/>
    <m/>
    <m/>
    <m/>
  </r>
  <r>
    <n v="764"/>
    <n v="2024"/>
    <n v="2023"/>
    <s v="Year_1"/>
    <d v="2023-09-08T00:00:00"/>
    <s v="KUD10"/>
    <s v="O2R1"/>
    <s v="KSIPL"/>
    <n v="4.3478260869565223E-2"/>
    <n v="5471"/>
    <x v="130"/>
    <s v="GeneratorBreakerTripped"/>
    <s v="ROW"/>
    <d v="1899-12-30T15:47:00"/>
    <d v="1899-12-30T15:47:00"/>
    <d v="1899-12-30T17:37:00"/>
    <n v="0"/>
    <n v="1.8333333333333348"/>
    <n v="1.8333333333333348"/>
    <s v="Generator TU reset done and Restore the WTG ."/>
    <s v="Close"/>
    <n v="0"/>
    <m/>
    <m/>
    <m/>
  </r>
  <r>
    <n v="765"/>
    <n v="2024"/>
    <n v="2023"/>
    <s v="Year_1"/>
    <d v="2023-09-08T00:00:00"/>
    <s v="KUD15"/>
    <s v="O2R1"/>
    <s v="KSIPL"/>
    <n v="4.3478260869565223E-2"/>
    <n v="5471"/>
    <x v="130"/>
    <s v="GeneratorBreakerTripped"/>
    <s v="Breakdown"/>
    <d v="1899-12-30T15:47:00"/>
    <d v="1899-12-30T15:47:00"/>
    <d v="1899-12-30T17:59:00"/>
    <n v="0"/>
    <n v="2.2000000000000082"/>
    <n v="2.2000000000000082"/>
    <s v="Generator TU reset done and Restore the WTG ."/>
    <s v="Close"/>
    <n v="9.5652173913043842E-2"/>
    <m/>
    <m/>
    <m/>
  </r>
  <r>
    <n v="766"/>
    <n v="2024"/>
    <n v="2023"/>
    <s v="Year_1"/>
    <d v="2023-09-08T00:00:00"/>
    <s v="KUD10"/>
    <s v="O2R1"/>
    <s v="KSIPL"/>
    <n v="4.3478260869565223E-2"/>
    <n v="5471"/>
    <x v="130"/>
    <s v="GeneratorBreakerTripped"/>
    <s v="Breakdown"/>
    <d v="1899-12-30T17:37:00"/>
    <d v="1899-12-30T17:37:00"/>
    <d v="1899-12-30T19:37:00"/>
    <n v="0"/>
    <n v="1.9999999999999929"/>
    <n v="1.9999999999999929"/>
    <s v="Checked all related feedback connection after restore the WTG"/>
    <s v="Close"/>
    <n v="8.6956521739130141E-2"/>
    <m/>
    <m/>
    <m/>
  </r>
  <r>
    <n v="767"/>
    <n v="2024"/>
    <n v="2023"/>
    <s v="Year_1"/>
    <d v="2023-09-09T00:00:00"/>
    <s v="KUD16"/>
    <s v="O2R2"/>
    <s v="SIL"/>
    <n v="4.3478260869565223E-2"/>
    <n v="4239"/>
    <x v="40"/>
    <s v="HVCB Unknown Trip Reason"/>
    <s v="Breakdown"/>
    <d v="1899-12-30T11:03:00"/>
    <d v="1899-12-30T11:03:00"/>
    <d v="1899-12-30T12:20:00"/>
    <n v="0"/>
    <n v="1.2833333333333274"/>
    <n v="1.2833333333333274"/>
    <s v="SWG charged"/>
    <s v="Close"/>
    <n v="5.5797101449275112E-2"/>
    <m/>
    <m/>
    <m/>
  </r>
  <r>
    <n v="768"/>
    <n v="2024"/>
    <n v="2023"/>
    <s v="Year_1"/>
    <d v="2023-09-09T00:00:00"/>
    <s v="KUD18"/>
    <s v="O2R4"/>
    <s v="SGDCIPL"/>
    <n v="4.3478260869565223E-2"/>
    <n v="315"/>
    <x v="120"/>
    <s v="ExEx low voltage L3:   2V"/>
    <s v="Breakdown"/>
    <d v="1899-12-30T11:03:00"/>
    <d v="1899-12-30T11:03:00"/>
    <d v="1899-12-30T12:25:00"/>
    <n v="0"/>
    <n v="1.3666666666666578"/>
    <n v="1.3666666666666578"/>
    <s v="SWG charged"/>
    <s v="Close"/>
    <n v="5.9420289855072084E-2"/>
    <m/>
    <m/>
    <m/>
  </r>
  <r>
    <n v="769"/>
    <n v="2024"/>
    <n v="2023"/>
    <s v="Year_1"/>
    <d v="2023-09-12T00:00:00"/>
    <s v="KUD03"/>
    <s v="O2R1"/>
    <s v="KSIPL"/>
    <n v="4.3478260869565223E-2"/>
    <n v="900"/>
    <x v="100"/>
    <s v="M/S for coolent oil level low warning"/>
    <s v="Manual Stop"/>
    <d v="1899-12-30T10:30:00"/>
    <d v="1899-12-30T10:30:00"/>
    <d v="1899-12-30T11:29:00"/>
    <n v="0"/>
    <n v="0.98333333333332851"/>
    <n v="0.98333333333332851"/>
    <s v="Coolent oil filled and restore the wtg."/>
    <s v="Close"/>
    <n v="4.2753623188405594E-2"/>
    <m/>
    <m/>
    <m/>
  </r>
  <r>
    <n v="770"/>
    <n v="2024"/>
    <n v="2023"/>
    <s v="Year_1"/>
    <d v="2023-09-12T00:00:00"/>
    <s v="KUD17"/>
    <s v="O2R2"/>
    <s v="SIL"/>
    <n v="4.3478260869565223E-2"/>
    <n v="900"/>
    <x v="100"/>
    <s v="M/S for coolent oil level low warning"/>
    <s v="Manual Stop"/>
    <d v="1899-12-30T10:42:00"/>
    <d v="1899-12-30T10:42:00"/>
    <d v="1899-12-30T12:58:00"/>
    <n v="0"/>
    <n v="2.2666666666666786"/>
    <n v="2.2666666666666786"/>
    <s v="Coolent oil filled and restore the wtg."/>
    <s v="Close"/>
    <n v="9.8550724637681691E-2"/>
    <m/>
    <m/>
    <m/>
  </r>
  <r>
    <n v="771"/>
    <n v="2024"/>
    <n v="2023"/>
    <s v="Year_1"/>
    <d v="2023-09-14T00:00:00"/>
    <s v="KUD08"/>
    <s v="O2R3"/>
    <s v="JK"/>
    <n v="4.3478260869565223E-2"/>
    <n v="3209"/>
    <x v="101"/>
    <s v="YawSignals Invalid"/>
    <s v="Breakdown"/>
    <d v="1899-12-30T13:46:00"/>
    <d v="1899-12-30T13:46:00"/>
    <d v="1899-12-30T14:09:00"/>
    <n v="0"/>
    <n v="0.38333333333332931"/>
    <n v="0.38333333333332931"/>
    <s v="reset done"/>
    <s v="Close"/>
    <n v="1.6666666666666493E-2"/>
    <m/>
    <m/>
    <m/>
  </r>
  <r>
    <n v="772"/>
    <n v="2024"/>
    <n v="2023"/>
    <s v="Year_1"/>
    <d v="2023-09-18T00:00:00"/>
    <s v="KUD16"/>
    <s v="O2R2"/>
    <s v="SIL"/>
    <n v="4.3478260869565223E-2"/>
    <n v="202"/>
    <x v="131"/>
    <s v="Frequency error 1:   0.56 Hz"/>
    <s v="Breakdown"/>
    <d v="1899-12-30T09:40:00"/>
    <d v="1899-12-30T09:40:00"/>
    <d v="1899-12-30T09:58:00"/>
    <n v="0"/>
    <n v="0.30000000000000027"/>
    <n v="0.30000000000000027"/>
    <s v="reset done"/>
    <s v="Close"/>
    <n v="1.3043478260869578E-2"/>
    <m/>
    <m/>
    <m/>
  </r>
  <r>
    <n v="773"/>
    <n v="2024"/>
    <n v="2023"/>
    <s v="Year_1"/>
    <d v="2023-09-18T00:00:00"/>
    <s v="KUD01"/>
    <s v="O2R1"/>
    <s v="KSIPL"/>
    <n v="4.3478260869565223E-2"/>
    <n v="5195"/>
    <x v="49"/>
    <s v="Prop Valve A Status Fault"/>
    <s v="Breakdown"/>
    <d v="1899-12-30T22:38:00"/>
    <d v="1899-12-30T22:38:00"/>
    <d v="1899-12-30T23:09:00"/>
    <n v="0"/>
    <n v="0.51666666666664884"/>
    <n v="0.51666666666664884"/>
    <s v="reset done"/>
    <s v="Close"/>
    <n v="2.2463768115941259E-2"/>
    <m/>
    <m/>
    <m/>
  </r>
  <r>
    <n v="774"/>
    <n v="2024"/>
    <n v="2023"/>
    <s v="Year_1"/>
    <d v="2023-09-19T00:00:00"/>
    <s v="KUD09"/>
    <s v="O2R3"/>
    <s v="JK"/>
    <n v="4.3478260869565223E-2"/>
    <n v="4519"/>
    <x v="126"/>
    <s v="HubSafty HydrPres  Low DBlk"/>
    <s v="Breakdown"/>
    <d v="1899-12-30T08:18:00"/>
    <d v="1899-12-30T08:18:00"/>
    <d v="1899-12-30T08:31:00"/>
    <n v="0"/>
    <n v="0.21666666666667256"/>
    <n v="0.21666666666667256"/>
    <s v="reset done"/>
    <s v="Close"/>
    <n v="9.4202898550727211E-3"/>
    <m/>
    <m/>
    <m/>
  </r>
  <r>
    <n v="775"/>
    <n v="2024"/>
    <n v="2023"/>
    <s v="Year_1"/>
    <d v="2023-09-19T00:00:00"/>
    <s v="KUD13"/>
    <s v="O2R1"/>
    <s v="KSIPL"/>
    <n v="4.3478260869565223E-2"/>
    <n v="900"/>
    <x v="100"/>
    <s v="Pause pressed on keyboard"/>
    <s v="Manual Stop"/>
    <d v="1899-12-30T13:38:00"/>
    <d v="1899-12-30T13:38:00"/>
    <d v="1899-12-30T13:54:00"/>
    <n v="0"/>
    <n v="0.26666666666666572"/>
    <n v="0.26666666666666572"/>
    <s v="Manual reboot done due to communiction purpose"/>
    <s v="Close"/>
    <n v="1.1594202898550685E-2"/>
    <m/>
    <m/>
    <m/>
  </r>
  <r>
    <n v="776"/>
    <n v="2024"/>
    <n v="2023"/>
    <s v="Year_1"/>
    <d v="2023-09-20T00:00:00"/>
    <s v="KUD01"/>
    <s v="O2R1"/>
    <s v="KSIPL"/>
    <n v="4.3478260869565223E-2"/>
    <n v="450"/>
    <x v="127"/>
    <s v="Ext. High I sum Grd inv."/>
    <s v="Breakdown"/>
    <d v="1899-12-30T13:46:00"/>
    <d v="1899-12-30T13:46:00"/>
    <d v="1899-12-30T14:00:00"/>
    <n v="0"/>
    <n v="0.23333333333332984"/>
    <n v="0.23333333333332984"/>
    <s v="Auto reset"/>
    <s v="Close"/>
    <n v="1.0144927536231734E-2"/>
    <m/>
    <m/>
    <m/>
  </r>
  <r>
    <n v="777"/>
    <n v="2024"/>
    <n v="2023"/>
    <s v="Year_1"/>
    <d v="2023-09-24T00:00:00"/>
    <s v="KUD01"/>
    <s v="O2R1"/>
    <s v="KSIPL"/>
    <n v="4.3478260869565223E-2"/>
    <n v="450"/>
    <x v="127"/>
    <s v="Ext. High I sum Grd inv."/>
    <s v="ROW"/>
    <d v="1899-12-30T06:30:00"/>
    <d v="1899-12-30T06:30:00"/>
    <d v="1899-12-30T23:59:00"/>
    <n v="0"/>
    <n v="17.483333333333356"/>
    <n v="17.483333333333356"/>
    <s v="ROW issue "/>
    <s v="Open"/>
    <n v="0"/>
    <m/>
    <m/>
    <m/>
  </r>
  <r>
    <n v="778"/>
    <n v="2024"/>
    <n v="2023"/>
    <s v="Year_1"/>
    <d v="2023-09-25T00:00:00"/>
    <s v="KUD01"/>
    <s v="O2R1"/>
    <s v="KSIPL"/>
    <n v="4.3478260869565223E-2"/>
    <n v="450"/>
    <x v="127"/>
    <s v="Ext. High I sum Grd inv."/>
    <s v="ROW"/>
    <d v="1899-12-30T00:00:00"/>
    <d v="1899-12-30T00:00:00"/>
    <d v="1899-12-30T23:59:00"/>
    <n v="0"/>
    <n v="23.983333333333345"/>
    <n v="23.983333333333345"/>
    <s v="ROW issue "/>
    <s v="Open"/>
    <n v="0"/>
    <m/>
    <m/>
    <m/>
  </r>
  <r>
    <n v="779"/>
    <n v="2024"/>
    <n v="2023"/>
    <s v="Year_1"/>
    <d v="2023-09-26T00:00:00"/>
    <s v="KUD01"/>
    <s v="O2R1"/>
    <s v="KSIPL"/>
    <n v="4.3478260869565223E-2"/>
    <n v="5195"/>
    <x v="49"/>
    <s v="Prop Valve A Status Fault"/>
    <s v="ROW"/>
    <d v="1899-12-30T00:00:00"/>
    <d v="1899-12-30T00:00:00"/>
    <d v="1899-12-30T10:34:00"/>
    <n v="0"/>
    <n v="10.566666666666672"/>
    <n v="10.566666666666672"/>
    <s v="ROW issue "/>
    <s v="Open"/>
    <n v="0"/>
    <m/>
    <m/>
    <m/>
  </r>
  <r>
    <n v="780"/>
    <n v="2024"/>
    <n v="2023"/>
    <s v="Year_1"/>
    <d v="2023-09-26T00:00:00"/>
    <s v="KUD01"/>
    <s v="O2R1"/>
    <s v="KSIPL"/>
    <n v="4.3478260869565223E-2"/>
    <n v="5195"/>
    <x v="49"/>
    <s v="Prop Valve A Status Fault"/>
    <s v="Breakdown"/>
    <d v="1899-12-30T17:52:00"/>
    <d v="1899-12-30T17:52:00"/>
    <d v="1899-12-30T23:59:00"/>
    <n v="0"/>
    <n v="6.1166666666666876"/>
    <n v="6.1166666666666876"/>
    <s v="WIP"/>
    <s v="Open"/>
    <n v="0.26594202898550817"/>
    <m/>
    <m/>
    <m/>
  </r>
  <r>
    <n v="781"/>
    <n v="2024"/>
    <n v="2023"/>
    <s v="Year_1"/>
    <d v="2023-09-26T00:00:00"/>
    <s v="KUD03"/>
    <s v="O2R1"/>
    <s v="KSIPL"/>
    <n v="4.3478260869565223E-2"/>
    <n v="202"/>
    <x v="131"/>
    <s v="Frequency error 1:   0.56 Hz"/>
    <s v="Breakdown"/>
    <d v="1899-12-30T17:52:00"/>
    <d v="1899-12-30T17:52:00"/>
    <d v="1899-12-30T19:22:00"/>
    <n v="0"/>
    <n v="1.5"/>
    <n v="1.5"/>
    <s v="SWG charged"/>
    <s v="Close"/>
    <n v="6.5217391304347838E-2"/>
    <m/>
    <m/>
    <m/>
  </r>
  <r>
    <n v="782"/>
    <n v="2024"/>
    <n v="2023"/>
    <s v="Year_1"/>
    <d v="2023-09-26T00:00:00"/>
    <s v="KUD04"/>
    <s v="O2R3"/>
    <s v="JK"/>
    <n v="4.3478260869565223E-2"/>
    <n v="202"/>
    <x v="131"/>
    <s v="Frequency error 1:   0.56 Hz"/>
    <s v="Breakdown"/>
    <d v="1899-12-30T17:52:00"/>
    <d v="1899-12-30T17:52:00"/>
    <d v="1899-12-30T19:07:00"/>
    <n v="0"/>
    <n v="1.2500000000000142"/>
    <n v="1.2500000000000142"/>
    <s v="SWG charged"/>
    <s v="Close"/>
    <n v="5.4347826086957145E-2"/>
    <m/>
    <m/>
    <m/>
  </r>
  <r>
    <n v="783"/>
    <n v="2024"/>
    <n v="2023"/>
    <s v="Year_1"/>
    <d v="2023-09-26T00:00:00"/>
    <s v="KUD21"/>
    <s v="O2R3"/>
    <s v="JK"/>
    <n v="4.3478260869565223E-2"/>
    <n v="4519"/>
    <x v="126"/>
    <s v="HubSafty HydrPres  Low DBlk"/>
    <s v="Breakdown"/>
    <d v="1899-12-30T17:52:00"/>
    <d v="1899-12-30T17:52:00"/>
    <d v="1899-12-30T18:24:00"/>
    <n v="0"/>
    <n v="0.53333333333335275"/>
    <n v="0.53333333333335275"/>
    <s v="reset done"/>
    <s v="Close"/>
    <n v="2.3188405797102296E-2"/>
    <m/>
    <m/>
    <m/>
  </r>
  <r>
    <n v="784"/>
    <n v="2024"/>
    <n v="2023"/>
    <s v="Year_1"/>
    <d v="2023-09-26T00:00:00"/>
    <s v="KUD22"/>
    <s v="O2R3"/>
    <s v="JK"/>
    <n v="4.3478260869565223E-2"/>
    <n v="4519"/>
    <x v="126"/>
    <s v="HubSafty HydrPres  Low DBlk"/>
    <s v="Breakdown"/>
    <d v="1899-12-30T17:52:00"/>
    <d v="1899-12-30T17:52:00"/>
    <d v="1899-12-30T18:24:00"/>
    <n v="0"/>
    <n v="0.53333333333335275"/>
    <n v="0.53333333333335275"/>
    <s v="reset done"/>
    <s v="Close"/>
    <n v="2.3188405797102296E-2"/>
    <m/>
    <m/>
    <m/>
  </r>
  <r>
    <n v="785"/>
    <n v="2024"/>
    <n v="2023"/>
    <s v="Year_1"/>
    <d v="2023-09-26T00:00:00"/>
    <s v="KUD23"/>
    <s v="O2R3"/>
    <s v="JK"/>
    <n v="4.3478260869565223E-2"/>
    <n v="4519"/>
    <x v="126"/>
    <s v="HubSafty HydrPres  Low DBlk"/>
    <s v="Breakdown"/>
    <d v="1899-12-30T17:52:00"/>
    <d v="1899-12-30T17:52:00"/>
    <d v="1899-12-30T18:25:00"/>
    <n v="0"/>
    <n v="0.5500000000000087"/>
    <n v="0.5500000000000087"/>
    <s v="reset done"/>
    <s v="Close"/>
    <n v="2.3913043478261252E-2"/>
    <m/>
    <m/>
    <m/>
  </r>
  <r>
    <n v="786"/>
    <n v="2024"/>
    <n v="2023"/>
    <s v="Year_1"/>
    <d v="2023-09-26T00:00:00"/>
    <s v="KUD08"/>
    <s v="O2R3"/>
    <s v="JK"/>
    <n v="4.3478260869565223E-2"/>
    <n v="900"/>
    <x v="100"/>
    <s v="M/S Stop for Service overdue"/>
    <s v="Manual Stop"/>
    <d v="1899-12-30T17:52:00"/>
    <d v="1899-12-30T17:52:00"/>
    <d v="1899-12-30T23:59:00"/>
    <n v="0"/>
    <n v="6.1166666666666876"/>
    <n v="6.1166666666666876"/>
    <s v="M/S Service Overdue"/>
    <s v="Open"/>
    <n v="0.26594202898550817"/>
    <m/>
    <m/>
    <m/>
  </r>
  <r>
    <n v="787"/>
    <n v="2024"/>
    <n v="2023"/>
    <s v="Year_1"/>
    <d v="2023-09-27T00:00:00"/>
    <s v="KUD07"/>
    <s v="O2R3"/>
    <s v="JK"/>
    <n v="4.3478260869565223E-2"/>
    <n v="900"/>
    <x v="100"/>
    <s v="M/S Stop for 3 month A service Day1"/>
    <s v="Manual Stop"/>
    <d v="1899-12-30T06:51:00"/>
    <d v="1899-12-30T06:51:00"/>
    <d v="1899-12-30T16:30:00"/>
    <n v="0"/>
    <n v="9.6499999999999915"/>
    <n v="9.6499999999999915"/>
    <s v="3 month A  service Day1 done"/>
    <s v="Close"/>
    <n v="0.41956521739130404"/>
    <m/>
    <m/>
    <m/>
  </r>
  <r>
    <n v="788"/>
    <n v="2024"/>
    <n v="2023"/>
    <s v="Year_1"/>
    <d v="2023-09-27T00:00:00"/>
    <s v="KUD08"/>
    <s v="O2R3"/>
    <s v="JK"/>
    <n v="4.3478260869565223E-2"/>
    <n v="900"/>
    <x v="100"/>
    <s v="M/S Stop for Service overdue"/>
    <s v="Manual Stop"/>
    <d v="1899-12-30T00:00:00"/>
    <d v="1899-12-30T00:00:00"/>
    <d v="1899-12-30T19:57:00"/>
    <n v="0"/>
    <n v="19.950000000000003"/>
    <n v="19.950000000000003"/>
    <s v="Inspection done because of service overdue"/>
    <s v="Close"/>
    <n v="0.8673913043478263"/>
    <m/>
    <m/>
    <m/>
  </r>
  <r>
    <n v="789"/>
    <n v="2024"/>
    <n v="2023"/>
    <s v="Year_1"/>
    <d v="2023-09-28T00:00:00"/>
    <s v="KUD08"/>
    <s v="O2R3"/>
    <s v="JK"/>
    <n v="4.3478260869565223E-2"/>
    <n v="900"/>
    <x v="100"/>
    <s v="M/S Stop for 3 month A service Day1"/>
    <s v="Manual Stop"/>
    <d v="1899-12-30T09:17:00"/>
    <d v="1899-12-30T09:17:00"/>
    <d v="1899-12-30T17:18:00"/>
    <n v="0"/>
    <n v="8.016666666666648"/>
    <n v="8.016666666666648"/>
    <s v="3 month A  service Day1 done"/>
    <s v="Close"/>
    <n v="0.34855072463768039"/>
    <m/>
    <m/>
    <m/>
  </r>
  <r>
    <n v="790"/>
    <n v="2024"/>
    <n v="2023"/>
    <s v="Year_1"/>
    <d v="2023-09-29T00:00:00"/>
    <s v="KUD08"/>
    <s v="O2R3"/>
    <s v="JK"/>
    <n v="4.3478260869565223E-2"/>
    <n v="900"/>
    <x v="100"/>
    <s v="M/S Stop for 3 month A service Day2"/>
    <s v="Manual Stop"/>
    <d v="1899-12-30T09:27:00"/>
    <d v="1899-12-30T09:27:00"/>
    <d v="1899-12-30T17:28:00"/>
    <n v="0"/>
    <n v="8.016666666666671"/>
    <n v="8.016666666666671"/>
    <s v="3 month A  service Day2 done"/>
    <s v="Close"/>
    <n v="0.34855072463768139"/>
    <m/>
    <m/>
    <m/>
  </r>
  <r>
    <n v="791"/>
    <n v="2024"/>
    <n v="2023"/>
    <s v="Year_1"/>
    <d v="2023-09-29T00:00:00"/>
    <s v="KUD01"/>
    <s v="O2R1"/>
    <s v="KSIPL"/>
    <n v="4.3478260869565223E-2"/>
    <n v="3633"/>
    <x v="21"/>
    <s v="Yaw System Stopped"/>
    <s v="Manual Stop"/>
    <d v="1899-12-30T16:16:00"/>
    <d v="1899-12-30T16:16:00"/>
    <d v="1899-12-30T19:58:00"/>
    <n v="0"/>
    <n v="3.6999999999999842"/>
    <n v="3.6999999999999842"/>
    <s v="Checked All reletated connection found 400V Breaker trip condition after we corected and restored the WTG."/>
    <s v="Close"/>
    <n v="0.16086956521739063"/>
    <m/>
    <m/>
    <m/>
  </r>
  <r>
    <n v="792"/>
    <n v="2024"/>
    <n v="2023"/>
    <s v="Year_1"/>
    <d v="2023-09-30T00:00:00"/>
    <s v="KUD07"/>
    <s v="O2R3"/>
    <s v="JK"/>
    <n v="4.3478260869565223E-2"/>
    <n v="900"/>
    <x v="100"/>
    <s v="M/S Stop for 3 month A service Day2"/>
    <s v="Manual Stop"/>
    <d v="1899-12-30T09:45:00"/>
    <d v="1899-12-30T09:45:00"/>
    <d v="1899-12-30T15:51:00"/>
    <n v="0"/>
    <n v="6.1000000000000076"/>
    <n v="6.1000000000000076"/>
    <s v="3 month A  service Day2 done"/>
    <s v="Close"/>
    <n v="0.26521739130434818"/>
    <m/>
    <m/>
    <m/>
  </r>
  <r>
    <n v="793"/>
    <n v="2024"/>
    <n v="2023"/>
    <s v="Year_1"/>
    <d v="2023-10-03T00:00:00"/>
    <s v="KUD11"/>
    <s v="O2R1"/>
    <s v="KSIPL"/>
    <n v="4.3478260869565223E-2"/>
    <n v="900"/>
    <x v="100"/>
    <s v="M/S stop for 6 Month Service."/>
    <s v="Manual Stop"/>
    <d v="1899-12-30T11:08:00"/>
    <d v="1899-12-30T11:08:00"/>
    <d v="1899-12-30T16:23:00"/>
    <n v="0"/>
    <n v="5.25"/>
    <n v="5.25"/>
    <s v="6 Month Service completed."/>
    <s v="Close"/>
    <n v="0.22826086956521743"/>
    <m/>
    <m/>
    <m/>
  </r>
  <r>
    <n v="794"/>
    <n v="2024"/>
    <n v="2023"/>
    <s v="Year_1"/>
    <d v="2023-10-03T00:00:00"/>
    <s v="KUD12"/>
    <s v="O2R1"/>
    <s v="KSIPL"/>
    <n v="4.3478260869565223E-2"/>
    <n v="900"/>
    <x v="100"/>
    <s v="M/S stop for 6 Month Service."/>
    <s v="Manual Stop"/>
    <d v="1899-12-30T15:11:00"/>
    <d v="1899-12-30T15:11:00"/>
    <d v="1899-12-30T21:14:00"/>
    <n v="0"/>
    <n v="6.0499999999999918"/>
    <n v="6.0499999999999918"/>
    <s v="6 Month Service completed."/>
    <s v="Close"/>
    <n v="0.26304347826086927"/>
    <m/>
    <m/>
    <m/>
  </r>
  <r>
    <n v="795"/>
    <n v="2024"/>
    <n v="2023"/>
    <s v="Year_1"/>
    <d v="2023-10-04T00:00:00"/>
    <s v="KUD15"/>
    <s v="O2R1"/>
    <s v="KSIPL"/>
    <n v="4.3478260869565223E-2"/>
    <n v="900"/>
    <x v="100"/>
    <s v="M/S stop for 6 Month Service."/>
    <s v="Manual Stop"/>
    <d v="1899-12-30T07:52:00"/>
    <d v="1899-12-30T07:52:00"/>
    <d v="1899-12-30T12:53:00"/>
    <n v="0"/>
    <n v="5.016666666666671"/>
    <n v="5.016666666666671"/>
    <s v="6 Month Service completed."/>
    <s v="Close"/>
    <n v="0.21811594202898574"/>
    <m/>
    <m/>
    <m/>
  </r>
  <r>
    <n v="796"/>
    <n v="2024"/>
    <n v="2023"/>
    <s v="Year_1"/>
    <d v="2023-10-04T00:00:00"/>
    <s v="KUD16"/>
    <s v="O2R2"/>
    <s v="SIL"/>
    <n v="4.3478260869565223E-2"/>
    <n v="900"/>
    <x v="100"/>
    <s v="M/S stop for 6 Month Service."/>
    <s v="Manual Stop"/>
    <d v="1899-12-30T14:50:00"/>
    <d v="1899-12-30T14:50:00"/>
    <d v="1899-12-30T18:57:00"/>
    <n v="0"/>
    <n v="4.1166666666666467"/>
    <n v="4.1166666666666467"/>
    <s v="6 Month Service completed."/>
    <s v="Close"/>
    <n v="0.17898550724637596"/>
    <m/>
    <m/>
    <m/>
  </r>
  <r>
    <n v="797"/>
    <n v="2024"/>
    <n v="2023"/>
    <s v="Year_1"/>
    <d v="2023-10-05T00:00:00"/>
    <s v="KUD01"/>
    <s v="O2R1"/>
    <s v="KSIPL"/>
    <n v="4.3478260869565223E-2"/>
    <n v="900"/>
    <x v="100"/>
    <s v="M/S stop for 6 Month Service."/>
    <s v="Manual Stop"/>
    <d v="1899-12-30T13:44:00"/>
    <d v="1899-12-30T13:44:00"/>
    <d v="1899-12-30T17:37:00"/>
    <n v="0"/>
    <n v="3.8833333333333435"/>
    <n v="3.8833333333333435"/>
    <s v="6 Month Service completed."/>
    <s v="Close"/>
    <n v="0.16884057971014541"/>
    <m/>
    <m/>
    <m/>
  </r>
  <r>
    <n v="798"/>
    <n v="2024"/>
    <n v="2023"/>
    <s v="Year_1"/>
    <d v="2023-10-05T00:00:00"/>
    <s v="KUD01"/>
    <s v="O2R1"/>
    <s v="KSIPL"/>
    <n v="4.3478260869565223E-2"/>
    <n v="900"/>
    <x v="100"/>
    <s v="M/S stop for 6 Month Service."/>
    <s v="Manual Stop"/>
    <d v="1899-12-30T17:37:00"/>
    <d v="1899-12-30T17:37:00"/>
    <d v="1899-12-30T20:20:00"/>
    <n v="0"/>
    <n v="2.716666666666657"/>
    <n v="2.716666666666657"/>
    <s v="6 Month Service completed."/>
    <s v="Close"/>
    <n v="0.11811594202898511"/>
    <m/>
    <m/>
    <m/>
  </r>
  <r>
    <n v="799"/>
    <n v="2024"/>
    <n v="2023"/>
    <s v="Year_1"/>
    <d v="2023-10-05T00:00:00"/>
    <s v="KUD03"/>
    <s v="O2R1"/>
    <s v="KSIPL"/>
    <n v="4.3478260869565223E-2"/>
    <n v="900"/>
    <x v="100"/>
    <s v="M/S stop for 6 Month Service."/>
    <s v="Manual Stop"/>
    <d v="1899-12-30T08:26:00"/>
    <d v="1899-12-30T08:26:00"/>
    <d v="1899-12-30T14:08:00"/>
    <n v="0"/>
    <n v="5.7000000000000011"/>
    <n v="5.7000000000000011"/>
    <s v="6 Month Service completed."/>
    <s v="Close"/>
    <n v="0.24782608695652181"/>
    <m/>
    <m/>
    <m/>
  </r>
  <r>
    <n v="800"/>
    <n v="2024"/>
    <n v="2023"/>
    <s v="Year_1"/>
    <d v="2023-10-05T00:00:00"/>
    <s v="KUD16"/>
    <s v="O2R2"/>
    <s v="SIL"/>
    <n v="4.3478260869565223E-2"/>
    <n v="450"/>
    <x v="127"/>
    <s v="Ext. High I sum Grd inv."/>
    <s v="Breakdown"/>
    <d v="1899-12-30T18:32:00"/>
    <d v="1899-12-30T18:32:00"/>
    <d v="1899-12-30T21:47:00"/>
    <n v="0"/>
    <n v="3.2500000000000071"/>
    <n v="3.2500000000000071"/>
    <s v="WIP"/>
    <s v="Open"/>
    <n v="0.14130434782608728"/>
    <m/>
    <m/>
    <m/>
  </r>
  <r>
    <n v="801"/>
    <n v="2024"/>
    <n v="2023"/>
    <s v="Year_1"/>
    <d v="2023-10-06T00:00:00"/>
    <s v="KUD19"/>
    <s v="O2R1"/>
    <s v="KSIPL"/>
    <n v="4.3478260869565223E-2"/>
    <n v="900"/>
    <x v="100"/>
    <s v="M/S stop for 6 Month Service."/>
    <s v="Manual Stop"/>
    <d v="1899-12-30T09:50:00"/>
    <d v="1899-12-30T09:50:00"/>
    <d v="1899-12-30T16:28:00"/>
    <n v="0"/>
    <n v="6.6333333333333364"/>
    <n v="6.6333333333333364"/>
    <s v="6 Month Service completed."/>
    <s v="Close"/>
    <n v="0.28840579710144942"/>
    <m/>
    <m/>
    <m/>
  </r>
  <r>
    <n v="802"/>
    <n v="2024"/>
    <n v="2023"/>
    <s v="Year_1"/>
    <d v="2023-10-06T00:00:00"/>
    <s v="KUD09"/>
    <s v="O2R3"/>
    <s v="JK"/>
    <n v="4.3478260869565223E-2"/>
    <n v="900"/>
    <x v="100"/>
    <s v="CMS alert inspection purpose"/>
    <s v="Manual Stop"/>
    <d v="1899-12-30T10:34:00"/>
    <d v="1899-12-30T10:34:00"/>
    <d v="1899-12-30T15:35:00"/>
    <n v="0"/>
    <n v="5.0166666666666728"/>
    <n v="5.0166666666666728"/>
    <s v="Generator alignment work done"/>
    <s v="Close"/>
    <n v="0.21811594202898579"/>
    <m/>
    <m/>
    <m/>
  </r>
  <r>
    <n v="803"/>
    <n v="2024"/>
    <n v="2023"/>
    <s v="Year_1"/>
    <d v="2023-10-06T00:00:00"/>
    <s v="KUD18"/>
    <s v="O2R4"/>
    <s v="SGDCIPL"/>
    <n v="4.3478260869565223E-2"/>
    <n v="3209"/>
    <x v="101"/>
    <s v="YawSignals Invalid"/>
    <s v="Breakdown"/>
    <d v="1899-12-30T21:18:00"/>
    <d v="1899-12-30T21:18:00"/>
    <d v="1899-12-30T22:31:00"/>
    <n v="0"/>
    <n v="1.216666666666657"/>
    <n v="1.216666666666657"/>
    <s v="Manual Reset"/>
    <s v="Close"/>
    <n v="5.2898550724637269E-2"/>
    <m/>
    <m/>
    <m/>
  </r>
  <r>
    <n v="804"/>
    <n v="2024"/>
    <n v="2023"/>
    <s v="Year_1"/>
    <d v="2023-10-06T00:00:00"/>
    <s v="KUD16"/>
    <s v="O2R2"/>
    <s v="SIL"/>
    <n v="4.3478260869565223E-2"/>
    <n v="450"/>
    <x v="127"/>
    <s v="Ext. High I sum Grd inv."/>
    <s v="Breakdown"/>
    <d v="1899-12-30T00:08:00"/>
    <d v="1899-12-30T00:08:00"/>
    <d v="1899-12-30T00:33:00"/>
    <n v="0"/>
    <n v="0.41666666666666735"/>
    <n v="0.41666666666666735"/>
    <s v="SWG charged"/>
    <s v="Close"/>
    <n v="1.8115942028985539E-2"/>
    <m/>
    <m/>
    <m/>
  </r>
  <r>
    <n v="805"/>
    <n v="2024"/>
    <n v="2023"/>
    <s v="Year_1"/>
    <d v="2023-10-07T00:00:00"/>
    <s v="KUD20"/>
    <s v="O2R1"/>
    <s v="KSIPL"/>
    <n v="4.3478260869565223E-2"/>
    <n v="900"/>
    <x v="100"/>
    <s v="M/S stop for 6 Month Service."/>
    <s v="Manual Stop"/>
    <d v="1899-12-30T07:41:00"/>
    <d v="1899-12-30T07:41:00"/>
    <d v="1899-12-30T12:43:00"/>
    <n v="0"/>
    <n v="5.0333333333333288"/>
    <n v="5.0333333333333288"/>
    <s v="6 Month Service completed."/>
    <s v="Close"/>
    <n v="0.21884057971014476"/>
    <m/>
    <m/>
    <m/>
  </r>
  <r>
    <n v="806"/>
    <n v="2024"/>
    <n v="2023"/>
    <s v="Year_1"/>
    <d v="2023-10-07T00:00:00"/>
    <s v="KUD13"/>
    <s v="O2R1"/>
    <s v="KSIPL"/>
    <n v="4.3478260869565223E-2"/>
    <n v="900"/>
    <x v="100"/>
    <s v="M/S stop for 6 Month Service."/>
    <s v="Manual Stop"/>
    <d v="1899-12-30T14:12:00"/>
    <d v="1899-12-30T14:12:00"/>
    <d v="1899-12-30T17:18:00"/>
    <n v="0"/>
    <n v="3.0999999999999837"/>
    <n v="3.0999999999999837"/>
    <s v="6 Month Service completed."/>
    <s v="Close"/>
    <n v="0.13478260869565148"/>
    <m/>
    <m/>
    <m/>
  </r>
  <r>
    <n v="807"/>
    <n v="2024"/>
    <n v="2023"/>
    <s v="Year_1"/>
    <d v="2023-10-08T00:00:00"/>
    <s v="KUD22"/>
    <s v="O2R3"/>
    <s v="JK"/>
    <n v="4.3478260869565223E-2"/>
    <n v="158"/>
    <x v="132"/>
    <s v="Rotor: 1.5RPM, Gen.:-171.6 RPM"/>
    <s v="Breakdown"/>
    <d v="1899-12-30T15:32:00"/>
    <d v="1899-12-30T15:32:00"/>
    <d v="1899-12-30T15:39:00"/>
    <n v="0"/>
    <n v="0.11666666666666359"/>
    <n v="0.11666666666666359"/>
    <s v="Manual Reset"/>
    <s v="Close"/>
    <n v="5.072463768115809E-3"/>
    <m/>
    <m/>
    <m/>
  </r>
  <r>
    <n v="808"/>
    <n v="2024"/>
    <n v="2023"/>
    <s v="Year_1"/>
    <d v="2023-10-09T00:00:00"/>
    <s v="KUD17"/>
    <s v="O2R2"/>
    <s v="SIL"/>
    <n v="4.3478260869565223E-2"/>
    <n v="900"/>
    <x v="100"/>
    <s v="M/S stop for 6 Month Service."/>
    <s v="Manual Stop"/>
    <d v="1899-12-30T12:26:00"/>
    <d v="1899-12-30T12:26:00"/>
    <d v="1899-12-30T16:31:00"/>
    <n v="0"/>
    <n v="4.0833333333333108"/>
    <n v="4.0833333333333108"/>
    <s v="6 Month Service completed."/>
    <s v="Close"/>
    <n v="0.17753623188405701"/>
    <m/>
    <m/>
    <m/>
  </r>
  <r>
    <n v="809"/>
    <n v="2024"/>
    <n v="2023"/>
    <s v="Year_1"/>
    <d v="2023-10-10T00:00:00"/>
    <s v="KUD10"/>
    <s v="O2R1"/>
    <s v="KSIPL"/>
    <n v="4.3478260869565223E-2"/>
    <n v="900"/>
    <x v="100"/>
    <s v="M/S stop for 6 Month Service."/>
    <s v="Manual Stop"/>
    <d v="1899-12-30T11:40:00"/>
    <d v="1899-12-30T11:40:00"/>
    <d v="1899-12-30T15:30:00"/>
    <n v="0"/>
    <n v="3.833333333333329"/>
    <n v="3.833333333333329"/>
    <s v="6 Month Service completed."/>
    <s v="Close"/>
    <n v="0.16666666666666649"/>
    <m/>
    <m/>
    <m/>
  </r>
  <r>
    <n v="810"/>
    <n v="2024"/>
    <n v="2023"/>
    <s v="Year_1"/>
    <d v="2023-10-12T00:00:00"/>
    <s v="KUD14"/>
    <s v="O2R1"/>
    <s v="KSIPL"/>
    <n v="4.3478260869565223E-2"/>
    <n v="900"/>
    <x v="100"/>
    <s v="M/S stop for 6 Month Service."/>
    <s v="Manual Stop"/>
    <d v="1899-12-30T13:21:00"/>
    <d v="1899-12-30T13:21:00"/>
    <d v="1899-12-30T17:20:00"/>
    <n v="0"/>
    <n v="3.9833333333333272"/>
    <n v="3.9833333333333272"/>
    <s v="6 Month Service completed."/>
    <s v="Close"/>
    <n v="0.17318840579710121"/>
    <m/>
    <m/>
    <m/>
  </r>
  <r>
    <n v="811"/>
    <n v="2024"/>
    <n v="2023"/>
    <s v="Year_1"/>
    <d v="2023-10-12T00:00:00"/>
    <s v="KUD14"/>
    <s v="O2R1"/>
    <s v="KSIPL"/>
    <n v="4.3478260869565223E-2"/>
    <n v="900"/>
    <x v="100"/>
    <s v="M/S stop for 6 Month Service."/>
    <s v="ROW"/>
    <d v="1899-12-30T17:20:00"/>
    <d v="1899-12-30T17:20:00"/>
    <d v="1899-12-30T18:54:00"/>
    <n v="0"/>
    <n v="1.5666666666666718"/>
    <n v="1.5666666666666718"/>
    <s v="After completed  6 month service row issue occur  "/>
    <s v="Close"/>
    <n v="0"/>
    <m/>
    <m/>
    <m/>
  </r>
  <r>
    <n v="812"/>
    <n v="2024"/>
    <n v="2023"/>
    <s v="Year_1"/>
    <d v="2023-10-13T00:00:00"/>
    <s v="KUD20"/>
    <s v="O2R1"/>
    <s v="KSIPL"/>
    <n v="4.3478260869565223E-2"/>
    <n v="296"/>
    <x v="133"/>
    <s v="Tow. acc. X, Alarm:__.__ m/s^2"/>
    <s v="Breakdown"/>
    <d v="1899-12-30T11:38:00"/>
    <d v="1899-12-30T11:38:00"/>
    <d v="1899-12-30T11:41:00"/>
    <n v="0"/>
    <n v="5.000000000001581E-2"/>
    <n v="5.000000000001581E-2"/>
    <s v="Auto reset"/>
    <s v="Close"/>
    <n v="2.1739130434789487E-3"/>
    <m/>
    <m/>
    <m/>
  </r>
  <r>
    <n v="813"/>
    <n v="2024"/>
    <n v="2023"/>
    <s v="Year_1"/>
    <d v="2023-10-15T00:00:00"/>
    <s v="KUD01"/>
    <s v="O2R1"/>
    <s v="KSIPL"/>
    <n v="4.3478260869565223E-2"/>
    <n v="450"/>
    <x v="127"/>
    <s v="Ext. High I sum Grd inv."/>
    <s v="Breakdown"/>
    <d v="1899-12-30T05:07:00"/>
    <d v="1899-12-30T05:07:00"/>
    <d v="1899-12-30T05:09:00"/>
    <n v="0"/>
    <n v="3.3333333333335879E-2"/>
    <n v="3.3333333333335879E-2"/>
    <s v="Auto reset"/>
    <s v="Close"/>
    <n v="1.4492753623189514E-3"/>
    <m/>
    <m/>
    <m/>
  </r>
  <r>
    <n v="814"/>
    <n v="2024"/>
    <n v="2023"/>
    <s v="Year_1"/>
    <d v="2023-10-17T00:00:00"/>
    <s v="KUD20"/>
    <s v="O2R1"/>
    <s v="KSIPL"/>
    <n v="4.3478260869565223E-2"/>
    <n v="704"/>
    <x v="134"/>
    <s v="Ch High res. load C_ Load:___%"/>
    <s v="Breakdown"/>
    <d v="1899-12-30T11:08:00"/>
    <d v="1899-12-30T11:08:00"/>
    <d v="1899-12-30T12:10:00"/>
    <n v="0"/>
    <n v="1.033333333333319"/>
    <n v="1.033333333333319"/>
    <s v="Manual reset"/>
    <s v="Close"/>
    <n v="4.492753623188344E-2"/>
    <m/>
    <m/>
    <m/>
  </r>
  <r>
    <n v="815"/>
    <n v="2024"/>
    <n v="2023"/>
    <s v="Year_1"/>
    <d v="2023-10-18T00:00:00"/>
    <s v="KUD19"/>
    <s v="O2R1"/>
    <s v="KSIPL"/>
    <n v="4.3478260869565223E-2"/>
    <n v="900"/>
    <x v="100"/>
    <s v="M/S for repeated error arresting work"/>
    <s v="Manual Stop"/>
    <d v="1899-12-30T15:19:00"/>
    <d v="1899-12-30T15:19:00"/>
    <d v="1899-12-30T16:51:00"/>
    <n v="0"/>
    <n v="1.5333333333333359"/>
    <n v="1.5333333333333359"/>
    <s v="Checked all related feedback connection after restore the WTG"/>
    <s v="Close"/>
    <n v="6.6666666666666791E-2"/>
    <m/>
    <m/>
    <m/>
  </r>
  <r>
    <n v="816"/>
    <n v="2024"/>
    <n v="2023"/>
    <s v="Year_1"/>
    <d v="2023-10-19T00:00:00"/>
    <s v="KUD11"/>
    <s v="O2R1"/>
    <s v="KSIPL"/>
    <n v="4.3478260869565223E-2"/>
    <n v="2890"/>
    <x v="135"/>
    <s v="VibrShockAct X 0.00Y 0.00m/s^2"/>
    <s v="Breakdown"/>
    <d v="1899-12-30T14:30:00"/>
    <d v="1899-12-30T14:30:00"/>
    <d v="1899-12-30T16:30:00"/>
    <n v="0"/>
    <n v="1.9999999999999929"/>
    <n v="1.9999999999999929"/>
    <s v="Checked all related feedback connection after restore the WTG"/>
    <s v="Close"/>
    <n v="8.6956521739130141E-2"/>
    <m/>
    <m/>
    <m/>
  </r>
  <r>
    <n v="817"/>
    <n v="2024"/>
    <n v="2023"/>
    <s v="Year_1"/>
    <d v="2023-10-20T00:00:00"/>
    <s v="KUD01"/>
    <s v="O2R1"/>
    <s v="KSIPL"/>
    <n v="4.3478260869565223E-2"/>
    <n v="453"/>
    <x v="136"/>
    <s v="Ext. High I sum Rotinv.ChanX"/>
    <s v="Breakdown"/>
    <d v="1899-12-30T02:19:00"/>
    <d v="1899-12-30T02:19:00"/>
    <d v="1899-12-30T02:22:00"/>
    <n v="0"/>
    <n v="4.9999999999999156E-2"/>
    <n v="4.9999999999999156E-2"/>
    <s v="Manual Reset"/>
    <s v="Close"/>
    <n v="2.1739130434782245E-3"/>
    <m/>
    <m/>
    <m/>
  </r>
  <r>
    <n v="818"/>
    <n v="2024"/>
    <n v="2023"/>
    <s v="Year_1"/>
    <d v="2023-10-20T00:00:00"/>
    <s v="KUD04"/>
    <s v="O2R3"/>
    <s v="JK"/>
    <n v="4.3478260869565223E-2"/>
    <n v="4519"/>
    <x v="126"/>
    <s v="HubSafty HydrPres  Low DBlk"/>
    <s v="Breakdown"/>
    <d v="1899-12-30T12:46:00"/>
    <d v="1899-12-30T12:46:00"/>
    <d v="1899-12-30T13:04:00"/>
    <n v="0"/>
    <n v="0.29999999999999893"/>
    <n v="0.29999999999999893"/>
    <s v="Manual Reset"/>
    <s v="Close"/>
    <n v="1.3043478260869521E-2"/>
    <m/>
    <m/>
    <m/>
  </r>
  <r>
    <n v="819"/>
    <n v="2024"/>
    <n v="2023"/>
    <s v="Year_1"/>
    <d v="2023-10-20T00:00:00"/>
    <s v="KUD16"/>
    <s v="O2R2"/>
    <s v="SIL"/>
    <n v="4.3478260869565223E-2"/>
    <n v="3742"/>
    <x v="115"/>
    <s v="TripHVButtonActivated__"/>
    <s v="Breakdown"/>
    <d v="1899-12-30T12:46:00"/>
    <d v="1899-12-30T12:46:00"/>
    <d v="1899-12-30T13:00:00"/>
    <n v="0"/>
    <n v="0.23333333333335116"/>
    <n v="0.23333333333335116"/>
    <s v="Manual Reset"/>
    <s v="Close"/>
    <n v="1.014492753623266E-2"/>
    <m/>
    <m/>
    <m/>
  </r>
  <r>
    <n v="820"/>
    <n v="2024"/>
    <n v="2023"/>
    <s v="Year_1"/>
    <d v="2023-10-21T00:00:00"/>
    <s v="KUD19"/>
    <s v="O2R1"/>
    <s v="KSIPL"/>
    <n v="4.3478260869565223E-2"/>
    <n v="900"/>
    <x v="100"/>
    <s v="Generator lubrication pump warning arresting work"/>
    <s v="Breakdown"/>
    <d v="1899-12-30T09:26:00"/>
    <d v="1899-12-30T09:26:00"/>
    <d v="1899-12-30T13:41:00"/>
    <n v="0"/>
    <n v="4.2499999999999911"/>
    <n v="4.2499999999999911"/>
    <s v="Generator lubrication pump warning arrested and restored"/>
    <s v="Close"/>
    <n v="0.1847826086956518"/>
    <m/>
    <m/>
    <m/>
  </r>
  <r>
    <n v="821"/>
    <n v="2024"/>
    <n v="2023"/>
    <s v="Year_1"/>
    <d v="2023-10-22T00:00:00"/>
    <s v="KUD06"/>
    <s v="O2R3"/>
    <s v="JK"/>
    <n v="4.3478260869565223E-2"/>
    <n v="3209"/>
    <x v="101"/>
    <s v="YawSignals Invalid"/>
    <s v="Breakdown"/>
    <d v="1899-12-30T12:30:00"/>
    <d v="1899-12-30T12:30:00"/>
    <d v="1899-12-30T12:52:00"/>
    <n v="0"/>
    <n v="0.36666666666667069"/>
    <n v="0.36666666666667069"/>
    <s v="Manual reset"/>
    <s v="Close"/>
    <n v="1.5942028985507423E-2"/>
    <m/>
    <m/>
    <m/>
  </r>
  <r>
    <n v="822"/>
    <n v="2024"/>
    <n v="2023"/>
    <s v="Year_1"/>
    <d v="2023-10-24T00:00:00"/>
    <s v="KUD01"/>
    <s v="O2R1"/>
    <s v="KSIPL"/>
    <n v="4.3478260869565223E-2"/>
    <n v="333"/>
    <x v="137"/>
    <s v="High cur.rotor inv. L1:2597A"/>
    <s v="Breakdown"/>
    <d v="1899-12-30T22:23:00"/>
    <d v="1899-12-30T22:23:00"/>
    <d v="1899-12-30T22:25:00"/>
    <n v="0"/>
    <n v="3.3333333333335879E-2"/>
    <n v="3.3333333333335879E-2"/>
    <s v="Auto reset"/>
    <s v="Close"/>
    <n v="1.4492753623189514E-3"/>
    <m/>
    <m/>
    <m/>
  </r>
  <r>
    <n v="823"/>
    <n v="2024"/>
    <n v="2023"/>
    <s v="Year_1"/>
    <d v="2023-10-26T00:00:00"/>
    <s v="KUD04"/>
    <s v="O2R3"/>
    <s v="JK"/>
    <n v="4.3478260869565223E-2"/>
    <n v="158"/>
    <x v="132"/>
    <s v="Rotor: 1.9RPM, Gen.:-214.0 RPM"/>
    <s v="Breakdown"/>
    <d v="1899-12-30T12:17:00"/>
    <d v="1899-12-30T12:17:00"/>
    <d v="1899-12-30T12:25:00"/>
    <n v="0"/>
    <n v="0.1333333333333222"/>
    <n v="0.1333333333333222"/>
    <s v="Auto reset"/>
    <s v="Close"/>
    <n v="5.7971014492748793E-3"/>
    <m/>
    <m/>
    <m/>
  </r>
  <r>
    <n v="824"/>
    <n v="2024"/>
    <n v="2023"/>
    <s v="Year_1"/>
    <d v="2023-10-27T00:00:00"/>
    <s v="KUD02"/>
    <s v="O2R3"/>
    <s v="JK"/>
    <n v="4.3478260869565223E-2"/>
    <n v="4500"/>
    <x v="138"/>
    <s v="Pitch C too low: 80.0Â° &lt; 63.1Â°"/>
    <s v="Breakdown"/>
    <d v="1899-12-30T14:11:00"/>
    <d v="1899-12-30T14:11:00"/>
    <d v="1899-12-30T14:21:00"/>
    <n v="0"/>
    <n v="0.1666666666666794"/>
    <n v="0.1666666666666794"/>
    <s v="remote reset done"/>
    <s v="Close"/>
    <n v="7.2463768115947572E-3"/>
    <m/>
    <m/>
    <m/>
  </r>
  <r>
    <n v="825"/>
    <n v="2024"/>
    <n v="2023"/>
    <s v="Year_1"/>
    <d v="2023-10-27T00:00:00"/>
    <s v="KUD16"/>
    <s v="O2R2"/>
    <s v="SIL"/>
    <n v="4.3478260869565223E-2"/>
    <n v="4239"/>
    <x v="40"/>
    <s v="HVCB Unknown Trip Reason"/>
    <s v="Breakdown"/>
    <d v="1899-12-30T14:11:00"/>
    <d v="1899-12-30T14:11:00"/>
    <d v="1899-12-30T14:28:00"/>
    <n v="0"/>
    <n v="0.28333333333334298"/>
    <n v="0.28333333333334298"/>
    <s v="remote reset done"/>
    <s v="Close"/>
    <n v="1.2318840579710567E-2"/>
    <m/>
    <m/>
    <m/>
  </r>
  <r>
    <n v="826"/>
    <n v="2024"/>
    <n v="2023"/>
    <s v="Year_1"/>
    <d v="2023-10-27T00:00:00"/>
    <s v="KUD12"/>
    <s v="O2R1"/>
    <s v="KSIPL"/>
    <n v="4.3478260869565223E-2"/>
    <n v="987"/>
    <x v="77"/>
    <s v="Thermoerror Waterpump"/>
    <s v="Breakdown"/>
    <d v="1899-12-30T14:11:00"/>
    <d v="1899-12-30T14:11:00"/>
    <d v="1899-12-30T17:28:00"/>
    <n v="0"/>
    <n v="3.283333333333343"/>
    <n v="3.283333333333343"/>
    <s v="Checked all related feedback connection after restore the WTG"/>
    <s v="Close"/>
    <n v="0.14275362318840623"/>
    <m/>
    <m/>
    <m/>
  </r>
  <r>
    <n v="827"/>
    <n v="2024"/>
    <n v="2023"/>
    <s v="Year_1"/>
    <d v="2023-10-27T00:00:00"/>
    <s v="KUD06"/>
    <s v="O2R3"/>
    <s v="JK"/>
    <n v="4.3478260869565223E-2"/>
    <n v="3209"/>
    <x v="101"/>
    <s v="YawSignals Invalid"/>
    <s v="Breakdown"/>
    <d v="1899-12-30T15:48:00"/>
    <d v="1899-12-30T15:48:00"/>
    <d v="1899-12-30T16:05:00"/>
    <n v="0"/>
    <n v="0.28333333333334298"/>
    <n v="0.28333333333334298"/>
    <s v="remote reset done"/>
    <s v="Close"/>
    <n v="1.2318840579710567E-2"/>
    <m/>
    <m/>
    <m/>
  </r>
  <r>
    <n v="828"/>
    <n v="2024"/>
    <n v="2023"/>
    <s v="Year_1"/>
    <d v="2023-10-28T00:00:00"/>
    <s v="KUD04"/>
    <s v="O2R3"/>
    <s v="JK"/>
    <n v="4.3478260869565223E-2"/>
    <n v="900"/>
    <x v="100"/>
    <s v="Pause pressed on keyboard"/>
    <s v="Manual Stop"/>
    <d v="1899-12-30T13:12:00"/>
    <d v="1899-12-30T13:12:00"/>
    <d v="1899-12-30T16:17:00"/>
    <n v="0"/>
    <n v="3.0833333333333277"/>
    <n v="3.0833333333333277"/>
    <s v="Generator alignement work done"/>
    <s v="Close"/>
    <n v="0.13405797101449252"/>
    <m/>
    <m/>
    <m/>
  </r>
  <r>
    <n v="829"/>
    <n v="2024"/>
    <n v="2023"/>
    <s v="Year_1"/>
    <d v="2023-10-29T00:00:00"/>
    <s v="KUD01"/>
    <s v="O2R1"/>
    <s v="KSIPL"/>
    <n v="4.3478260869565223E-2"/>
    <n v="450"/>
    <x v="127"/>
    <s v="Ext. High I sum Grd inv."/>
    <s v="Breakdown"/>
    <d v="1899-12-30T04:19:00"/>
    <d v="1899-12-30T04:19:00"/>
    <d v="1899-12-30T04:22:00"/>
    <n v="0"/>
    <n v="4.9999999999991829E-2"/>
    <n v="4.9999999999991829E-2"/>
    <s v="Auto reset"/>
    <s v="Close"/>
    <n v="2.1739130434779057E-3"/>
    <m/>
    <m/>
    <m/>
  </r>
  <r>
    <n v="830"/>
    <n v="2024"/>
    <n v="2023"/>
    <s v="Year_1"/>
    <d v="2023-10-30T00:00:00"/>
    <s v="KUD04"/>
    <s v="O2R3"/>
    <s v="JK"/>
    <n v="4.3478260869565223E-2"/>
    <n v="232"/>
    <x v="139"/>
    <s v="WatchdogReboot"/>
    <s v="Breakdown"/>
    <d v="1899-12-30T17:35:00"/>
    <d v="1899-12-30T17:35:00"/>
    <d v="1899-12-30T17:58:00"/>
    <n v="0"/>
    <n v="0.38333333333332931"/>
    <n v="0.38333333333332931"/>
    <s v="Auto reset"/>
    <s v="Close"/>
    <n v="1.6666666666666493E-2"/>
    <m/>
    <m/>
    <m/>
  </r>
  <r>
    <n v="831"/>
    <n v="2024"/>
    <n v="2023"/>
    <s v="Year_1"/>
    <d v="2023-10-30T00:00:00"/>
    <s v="KUD14"/>
    <s v="O2R1"/>
    <s v="KSIPL"/>
    <n v="4.3478260869565223E-2"/>
    <n v="707"/>
    <x v="121"/>
    <s v="Ch hardware error C0"/>
    <s v="Breakdown"/>
    <d v="1899-12-30T17:35:00"/>
    <d v="1899-12-30T17:35:00"/>
    <d v="1899-12-30T17:46:00"/>
    <n v="0"/>
    <n v="0.18333333333333801"/>
    <n v="0.18333333333333801"/>
    <s v="Auto reset"/>
    <s v="Close"/>
    <n v="7.9710144927538275E-3"/>
    <m/>
    <m/>
    <m/>
  </r>
  <r>
    <n v="832"/>
    <n v="2024"/>
    <n v="2023"/>
    <s v="Year_1"/>
    <d v="2023-10-30T00:00:00"/>
    <s v="KUD16"/>
    <s v="O2R2"/>
    <s v="SIL"/>
    <n v="4.3478260869565223E-2"/>
    <n v="4239"/>
    <x v="40"/>
    <s v="HVCB Unknown Trip Reason"/>
    <s v="Breakdown"/>
    <d v="1899-12-30T17:35:00"/>
    <d v="1899-12-30T17:35:00"/>
    <d v="1899-12-30T17:53:00"/>
    <n v="0"/>
    <n v="0.3000000000000016"/>
    <n v="0.3000000000000016"/>
    <s v="Manual Reset"/>
    <s v="Close"/>
    <n v="1.3043478260869636E-2"/>
    <m/>
    <m/>
    <m/>
  </r>
  <r>
    <n v="833"/>
    <n v="2024"/>
    <n v="2023"/>
    <s v="Year_1"/>
    <d v="2023-10-30T00:00:00"/>
    <s v="KUD19"/>
    <s v="O2R1"/>
    <s v="KSIPL"/>
    <n v="4.3478260869565223E-2"/>
    <n v="707"/>
    <x v="121"/>
    <s v="Ch hardware error C0"/>
    <s v="Breakdown"/>
    <d v="1899-12-30T17:35:00"/>
    <d v="1899-12-30T17:35:00"/>
    <d v="1899-12-30T17:49:00"/>
    <n v="0"/>
    <n v="0.23333333333332984"/>
    <n v="0.23333333333332984"/>
    <s v="Auto reset"/>
    <s v="Close"/>
    <n v="1.0144927536231734E-2"/>
    <m/>
    <m/>
    <m/>
  </r>
  <r>
    <n v="834"/>
    <n v="2024"/>
    <n v="2023"/>
    <s v="Year_1"/>
    <d v="2023-11-03T00:00:00"/>
    <s v="KUD01"/>
    <s v="O2R1"/>
    <s v="KSIPL"/>
    <n v="4.3478260869565223E-2"/>
    <n v="450"/>
    <x v="127"/>
    <s v="Ext. High I sum Grd inv."/>
    <s v="Breakdown"/>
    <d v="1899-12-30T00:33:00"/>
    <d v="1899-12-30T00:33:00"/>
    <d v="1899-12-30T00:35:00"/>
    <n v="0"/>
    <n v="3.3333333333333631E-2"/>
    <n v="3.3333333333333631E-2"/>
    <s v="Auto reset"/>
    <s v="Close"/>
    <n v="1.4492753623188538E-3"/>
    <m/>
    <m/>
    <m/>
  </r>
  <r>
    <n v="835"/>
    <n v="2024"/>
    <n v="2023"/>
    <s v="Year_1"/>
    <d v="2023-11-03T00:00:00"/>
    <s v="KUD11"/>
    <s v="O2R1"/>
    <s v="KSIPL"/>
    <n v="4.3478260869565223E-2"/>
    <n v="900"/>
    <x v="100"/>
    <s v="M/S for CIM 4362 implementation work"/>
    <s v="Breakdown"/>
    <d v="1899-12-30T12:09:00"/>
    <d v="1899-12-30T12:09:00"/>
    <d v="1899-12-30T14:05:00"/>
    <n v="0"/>
    <n v="1.9333333333333451"/>
    <n v="1.9333333333333451"/>
    <s v="M/S for CIM 4362 implementation work done"/>
    <s v="Close"/>
    <n v="8.4057971014493277E-2"/>
    <m/>
    <m/>
    <m/>
  </r>
  <r>
    <n v="836"/>
    <n v="2024"/>
    <n v="2023"/>
    <s v="Year_1"/>
    <d v="2023-11-03T00:00:00"/>
    <s v="KUD12"/>
    <s v="O2R1"/>
    <s v="KSIPL"/>
    <n v="4.3478260869565223E-2"/>
    <n v="900"/>
    <x v="100"/>
    <s v="M/S for CIM 4362 implementation work"/>
    <s v="Breakdown"/>
    <d v="1899-12-30T12:18:00"/>
    <d v="1899-12-30T12:18:00"/>
    <d v="1899-12-30T14:06:00"/>
    <n v="0"/>
    <n v="1.8000000000000016"/>
    <n v="1.8000000000000016"/>
    <s v="M/S for CIM 4362 implementation work done"/>
    <s v="Close"/>
    <n v="7.8260869565217467E-2"/>
    <m/>
    <m/>
    <m/>
  </r>
  <r>
    <n v="837"/>
    <n v="2024"/>
    <n v="2023"/>
    <s v="Year_1"/>
    <d v="2023-11-04T00:00:00"/>
    <s v="KUD01"/>
    <s v="O2R1"/>
    <s v="KSIPL"/>
    <n v="4.3478260869565223E-2"/>
    <n v="900"/>
    <x v="100"/>
    <s v="M/S for CIM 4362 implementation work"/>
    <s v="Manual Stop"/>
    <d v="1899-12-30T11:16:00"/>
    <d v="1899-12-30T11:16:00"/>
    <d v="1899-12-30T12:19:00"/>
    <n v="0"/>
    <n v="1.0499999999999989"/>
    <n v="1.0499999999999989"/>
    <s v="M/S for CIM 4362 implementation work done"/>
    <s v="Close"/>
    <n v="4.5652173913043437E-2"/>
    <m/>
    <m/>
    <m/>
  </r>
  <r>
    <n v="838"/>
    <n v="2024"/>
    <n v="2023"/>
    <s v="Year_1"/>
    <d v="2023-11-04T00:00:00"/>
    <s v="KUD15"/>
    <s v="O2R1"/>
    <s v="KSIPL"/>
    <n v="4.3478260869565223E-2"/>
    <n v="900"/>
    <x v="100"/>
    <s v="M/S for CIM 4362 implementation work"/>
    <s v="Manual Stop"/>
    <d v="1899-12-30T11:33:00"/>
    <d v="1899-12-30T11:33:00"/>
    <d v="1899-12-30T12:35:00"/>
    <n v="0"/>
    <n v="1.0333333333333443"/>
    <n v="1.0333333333333443"/>
    <s v="M/S for CIM 4362 implementation work done"/>
    <s v="Close"/>
    <n v="4.4927536231884543E-2"/>
    <m/>
    <m/>
    <m/>
  </r>
  <r>
    <n v="839"/>
    <n v="2024"/>
    <n v="2023"/>
    <s v="Year_1"/>
    <d v="2023-11-04T00:00:00"/>
    <s v="KUD16"/>
    <s v="O2R2"/>
    <s v="SIL"/>
    <n v="4.3478260869565223E-2"/>
    <n v="900"/>
    <x v="100"/>
    <s v="M/S for CIM 4362 implementation work"/>
    <s v="Manual Stop"/>
    <d v="1899-12-30T14:00:00"/>
    <d v="1899-12-30T14:00:00"/>
    <d v="1899-12-30T14:51:00"/>
    <n v="0"/>
    <n v="0.85000000000000764"/>
    <n v="0.85000000000000764"/>
    <s v="M/S for CIM 4362 implementation work done"/>
    <s v="Close"/>
    <n v="3.695652173913077E-2"/>
    <m/>
    <m/>
    <m/>
  </r>
  <r>
    <n v="840"/>
    <n v="2024"/>
    <n v="2023"/>
    <s v="Year_1"/>
    <d v="2023-11-04T00:00:00"/>
    <s v="KUD11"/>
    <s v="O2R1"/>
    <s v="KSIPL"/>
    <n v="4.3478260869565223E-2"/>
    <n v="3661"/>
    <x v="116"/>
    <s v="GenBreakerOpen,US12 84UL12879"/>
    <s v="Breakdown"/>
    <d v="1899-12-30T23:43:00"/>
    <d v="1899-12-30T23:43:00"/>
    <d v="1899-12-31T00:00:00"/>
    <n v="0"/>
    <n v="0.28333333333334298"/>
    <n v="0.28333333333334298"/>
    <s v="Work under process"/>
    <s v="Open"/>
    <n v="1.2318840579710567E-2"/>
    <m/>
    <m/>
    <m/>
  </r>
  <r>
    <n v="841"/>
    <n v="2024"/>
    <n v="2023"/>
    <s v="Year_1"/>
    <d v="2023-11-05T00:00:00"/>
    <s v="KUD11"/>
    <s v="O2R1"/>
    <s v="KSIPL"/>
    <n v="4.3478260869565223E-2"/>
    <n v="3661"/>
    <x v="116"/>
    <s v="GenBreakerOpen,US12 84UL12880"/>
    <s v="Breakdown"/>
    <d v="1899-12-30T00:00:00"/>
    <d v="1899-12-30T00:00:00"/>
    <d v="1899-12-30T02:01:00"/>
    <n v="0"/>
    <n v="2.0166666666666671"/>
    <n v="2.0166666666666671"/>
    <s v="Trouble shooting Done."/>
    <s v="Close"/>
    <n v="8.7681159420289881E-2"/>
    <m/>
    <m/>
    <m/>
  </r>
  <r>
    <n v="842"/>
    <n v="2024"/>
    <n v="2023"/>
    <s v="Year_1"/>
    <d v="2023-11-06T00:00:00"/>
    <s v="KUD01"/>
    <s v="O2R1"/>
    <s v="KSIPL"/>
    <n v="4.3478260869565223E-2"/>
    <n v="450"/>
    <x v="127"/>
    <s v="Ext. High I sum Grd inv."/>
    <s v="Breakdown"/>
    <d v="1899-12-30T06:49:00"/>
    <d v="1899-12-30T06:49:00"/>
    <d v="1899-12-30T06:52:00"/>
    <n v="0"/>
    <n v="4.9999999999991829E-2"/>
    <n v="4.9999999999991829E-2"/>
    <s v="Auto reset"/>
    <s v="Close"/>
    <n v="2.1739130434779057E-3"/>
    <m/>
    <m/>
    <m/>
  </r>
  <r>
    <n v="843"/>
    <n v="2024"/>
    <n v="2023"/>
    <s v="Year_1"/>
    <d v="2023-11-06T00:00:00"/>
    <s v="KUD03"/>
    <s v="O2R1"/>
    <s v="KSIPL"/>
    <n v="4.3478260869565223E-2"/>
    <n v="900"/>
    <x v="100"/>
    <s v="M/S for CIM 4362 implementation work done"/>
    <s v="Manual Stop"/>
    <d v="1899-12-30T12:16:00"/>
    <d v="1899-12-30T12:16:00"/>
    <d v="1899-12-30T13:22:00"/>
    <n v="0"/>
    <n v="1.0999999999999934"/>
    <n v="1.0999999999999934"/>
    <s v="Secure nacelle fan duct with steel wire connection done"/>
    <s v="Close"/>
    <n v="4.7826086956521463E-2"/>
    <m/>
    <m/>
    <m/>
  </r>
  <r>
    <n v="844"/>
    <n v="2024"/>
    <n v="2023"/>
    <s v="Year_1"/>
    <d v="2023-11-06T00:00:00"/>
    <s v="KUD20"/>
    <s v="O2R1"/>
    <s v="KSIPL"/>
    <n v="4.3478260869565223E-2"/>
    <n v="900"/>
    <x v="100"/>
    <s v="M/S for CIM 4362 implementation work done"/>
    <s v="Manual Stop"/>
    <d v="1899-12-30T15:09:00"/>
    <d v="1899-12-30T15:09:00"/>
    <d v="1899-12-30T16:02:00"/>
    <n v="0"/>
    <n v="0.88333333333334352"/>
    <n v="0.88333333333334352"/>
    <s v="Secure nacelle fan duct with steel wire connection done"/>
    <s v="Close"/>
    <n v="3.8405797101449722E-2"/>
    <m/>
    <m/>
    <m/>
  </r>
  <r>
    <n v="845"/>
    <n v="2024"/>
    <n v="2023"/>
    <s v="Year_1"/>
    <d v="2023-11-06T00:00:00"/>
    <s v="KUD22"/>
    <s v="O2R3"/>
    <s v="JK"/>
    <n v="4.3478260869565223E-2"/>
    <n v="3633"/>
    <x v="21"/>
    <s v="Yaw System Stopped"/>
    <s v="Breakdown"/>
    <d v="1899-12-30T15:11:00"/>
    <d v="1899-12-30T15:11:00"/>
    <d v="1899-12-30T15:33:00"/>
    <n v="0"/>
    <n v="0.36666666666667336"/>
    <n v="0.36666666666667336"/>
    <s v="remote reset done"/>
    <s v="Close"/>
    <n v="1.5942028985507541E-2"/>
    <m/>
    <m/>
    <m/>
  </r>
  <r>
    <n v="846"/>
    <n v="2024"/>
    <n v="2023"/>
    <s v="Year_1"/>
    <d v="2023-11-07T00:00:00"/>
    <s v="KUD10"/>
    <s v="O2R1"/>
    <s v="KSIPL"/>
    <n v="4.3478260869565223E-2"/>
    <n v="900"/>
    <x v="100"/>
    <s v="M/S for CIM 4362 implementation work done"/>
    <s v="Manual Stop"/>
    <d v="1899-12-30T15:05:00"/>
    <d v="1899-12-30T15:05:00"/>
    <d v="1899-12-30T16:32:00"/>
    <n v="0"/>
    <n v="1.4500000000000082"/>
    <n v="1.4500000000000082"/>
    <s v="Secure nacelle fan duct with steel wire connection done"/>
    <s v="Close"/>
    <n v="6.3043478260869923E-2"/>
    <m/>
    <m/>
    <m/>
  </r>
  <r>
    <n v="847"/>
    <n v="2024"/>
    <n v="2023"/>
    <s v="Year_1"/>
    <d v="2023-11-07T00:00:00"/>
    <s v="KUD19"/>
    <s v="O2R1"/>
    <s v="KSIPL"/>
    <n v="4.3478260869565223E-2"/>
    <n v="4239"/>
    <x v="40"/>
    <s v="HVCB Unknown Trip Reason"/>
    <s v="Breakdown"/>
    <d v="1899-12-30T13:19:00"/>
    <d v="1899-12-30T13:19:00"/>
    <d v="1899-12-30T13:26:00"/>
    <n v="0"/>
    <n v="0.11666666666666359"/>
    <n v="0.11666666666666359"/>
    <s v="Auto reset"/>
    <s v="Close"/>
    <n v="5.072463768115809E-3"/>
    <m/>
    <m/>
    <m/>
  </r>
  <r>
    <n v="848"/>
    <n v="2024"/>
    <n v="2023"/>
    <s v="Year_1"/>
    <d v="2023-11-07T00:00:00"/>
    <s v="KUD15"/>
    <s v="O2R1"/>
    <s v="KSIPL"/>
    <n v="4.3478260869565223E-2"/>
    <n v="5685"/>
    <x v="36"/>
    <s v="SyncVoltMeasurementMismatch"/>
    <s v="Breakdown"/>
    <d v="1899-12-30T16:28:00"/>
    <d v="1899-12-30T16:28:00"/>
    <d v="1899-12-30T18:20:00"/>
    <n v="0"/>
    <n v="1.8666666666666707"/>
    <n v="1.8666666666666707"/>
    <s v="Manual reboot done"/>
    <s v="Close"/>
    <n v="8.1159420289855261E-2"/>
    <m/>
    <m/>
    <m/>
  </r>
  <r>
    <n v="849"/>
    <n v="2024"/>
    <n v="2023"/>
    <s v="Year_1"/>
    <d v="2023-11-08T00:00:00"/>
    <s v="KUD02"/>
    <s v="O2R3"/>
    <s v="JK"/>
    <n v="4.3478260869565223E-2"/>
    <n v="176"/>
    <x v="140"/>
    <s v="Error on all wind sensors"/>
    <s v="Breakdown"/>
    <d v="1899-12-30T16:18:00"/>
    <d v="1899-12-30T16:18:00"/>
    <d v="1899-12-30T16:27:00"/>
    <n v="0"/>
    <n v="0.14999999999999947"/>
    <n v="0.14999999999999947"/>
    <s v="Auto reset"/>
    <s v="Close"/>
    <n v="6.5217391304347606E-3"/>
    <m/>
    <m/>
    <m/>
  </r>
  <r>
    <n v="850"/>
    <n v="2024"/>
    <n v="2023"/>
    <s v="Year_1"/>
    <d v="2023-11-08T00:00:00"/>
    <s v="KUD06"/>
    <s v="O2R3"/>
    <s v="JK"/>
    <n v="4.3478260869565223E-2"/>
    <n v="3209"/>
    <x v="101"/>
    <s v="YawSignals Invalid"/>
    <s v="Breakdown"/>
    <d v="1899-12-30T13:52:00"/>
    <d v="1899-12-30T13:52:00"/>
    <d v="1899-12-30T14:02:00"/>
    <n v="0"/>
    <n v="0.16666666666665808"/>
    <n v="0.16666666666665808"/>
    <s v="Manual reset done"/>
    <s v="Close"/>
    <n v="7.2463768115938309E-3"/>
    <m/>
    <m/>
    <m/>
  </r>
  <r>
    <n v="851"/>
    <n v="2024"/>
    <n v="2023"/>
    <s v="Year_1"/>
    <d v="2023-11-09T00:00:00"/>
    <s v="KUD03"/>
    <s v="O2R1"/>
    <s v="KSIPL"/>
    <n v="4.3478260869565223E-2"/>
    <n v="900"/>
    <x v="100"/>
    <s v="M/S for coolent oil level low warning"/>
    <s v="Breakdown"/>
    <d v="1899-12-30T16:27:00"/>
    <d v="1899-12-30T16:27:00"/>
    <d v="1899-12-30T17:35:00"/>
    <n v="0"/>
    <n v="1.1333333333333266"/>
    <n v="1.1333333333333266"/>
    <s v="Coolent oil filled and restore the wtg."/>
    <s v="Close"/>
    <n v="4.9275362318840298E-2"/>
    <m/>
    <m/>
    <m/>
  </r>
  <r>
    <n v="852"/>
    <n v="2024"/>
    <n v="2023"/>
    <s v="Year_1"/>
    <d v="2023-11-10T00:00:00"/>
    <s v="KUD15"/>
    <s v="O2R1"/>
    <s v="KSIPL"/>
    <n v="4.3478260869565223E-2"/>
    <n v="5470"/>
    <x v="34"/>
    <s v="GeneratorBreakerFBResponse"/>
    <s v="Breakdown"/>
    <d v="1899-12-30T09:58:00"/>
    <d v="1899-12-30T09:58:00"/>
    <d v="1899-12-30T13:31:00"/>
    <n v="0"/>
    <n v="3.5499999999999834"/>
    <n v="3.5499999999999834"/>
    <s v="Checked all related feedback connection after restore the WTG"/>
    <s v="Close"/>
    <n v="0.15434782608695582"/>
    <m/>
    <m/>
    <m/>
  </r>
  <r>
    <n v="853"/>
    <n v="2024"/>
    <n v="2023"/>
    <s v="Year_1"/>
    <d v="2023-11-13T00:00:00"/>
    <s v="KUD01"/>
    <s v="O2R1"/>
    <s v="KSIPL"/>
    <n v="4.3478260869565223E-2"/>
    <n v="450"/>
    <x v="127"/>
    <s v="Ext. High I sum Grd inv."/>
    <s v="Breakdown"/>
    <d v="1899-12-30T08:43:00"/>
    <d v="1899-12-30T08:43:00"/>
    <d v="1899-12-30T08:45:00"/>
    <n v="0"/>
    <n v="3.3333333333335879E-2"/>
    <n v="3.3333333333335879E-2"/>
    <s v="Manual reset done"/>
    <s v="Close"/>
    <n v="1.4492753623189514E-3"/>
    <m/>
    <m/>
    <m/>
  </r>
  <r>
    <n v="854"/>
    <n v="2024"/>
    <n v="2023"/>
    <s v="Year_1"/>
    <d v="2023-11-14T00:00:00"/>
    <s v="KUD17"/>
    <s v="O2R2"/>
    <s v="SIL"/>
    <n v="4.3478260869565223E-2"/>
    <n v="900"/>
    <x v="100"/>
    <s v="M/S for CIM 4362 implementation work done"/>
    <s v="Breakdown"/>
    <d v="1899-12-30T12:12:00"/>
    <d v="1899-12-30T12:12:00"/>
    <d v="1899-12-30T14:36:00"/>
    <n v="0"/>
    <n v="2.3999999999999995"/>
    <n v="2.3999999999999995"/>
    <s v="Secure nacelle fan duct with steel wire connection done"/>
    <s v="Close"/>
    <n v="0.10434782608695652"/>
    <m/>
    <m/>
    <m/>
  </r>
  <r>
    <n v="855"/>
    <n v="2024"/>
    <n v="2023"/>
    <s v="Year_1"/>
    <d v="2023-11-15T00:00:00"/>
    <s v="KUD06"/>
    <s v="O2R3"/>
    <s v="JK"/>
    <n v="4.3478260869565223E-2"/>
    <n v="900"/>
    <x v="100"/>
    <s v="M/S stop for 6 Month Service."/>
    <s v="Manual Stop"/>
    <d v="1899-12-30T11:20:00"/>
    <d v="1899-12-30T11:20:00"/>
    <d v="1899-12-30T17:38:00"/>
    <n v="0"/>
    <n v="6.3000000000000016"/>
    <n v="6.3000000000000016"/>
    <s v="6 Month Service completed &amp; Secure nacelle fan duct with steel wire connection done"/>
    <s v="Close"/>
    <n v="0.27391304347826095"/>
    <m/>
    <m/>
    <m/>
  </r>
  <r>
    <n v="856"/>
    <n v="2024"/>
    <n v="2023"/>
    <s v="Year_1"/>
    <d v="2023-11-16T00:00:00"/>
    <s v="KUD07"/>
    <s v="O2R3"/>
    <s v="JK"/>
    <n v="4.3478260869565223E-2"/>
    <n v="900"/>
    <x v="100"/>
    <s v="M/S stop for 6 Month Service."/>
    <s v="Manual Stop"/>
    <d v="1899-12-30T10:06:00"/>
    <d v="1899-12-30T10:06:00"/>
    <d v="1899-12-30T16:39:00"/>
    <n v="0"/>
    <n v="6.5500000000000078"/>
    <n v="6.5500000000000078"/>
    <s v="6 Month Service completed &amp; Secure nacelle fan duct with steel wire connection done"/>
    <s v="Close"/>
    <n v="0.28478260869565253"/>
    <m/>
    <m/>
    <m/>
  </r>
  <r>
    <n v="857"/>
    <n v="2024"/>
    <n v="2023"/>
    <s v="Year_1"/>
    <d v="2023-11-17T00:00:00"/>
    <s v="KUD02"/>
    <s v="O2R3"/>
    <s v="JK"/>
    <n v="4.3478260869565223E-2"/>
    <n v="4519"/>
    <x v="126"/>
    <s v="HubSafty HydrPres  Low DBlk"/>
    <s v="Breakdown"/>
    <d v="1899-12-30T16:48:00"/>
    <d v="1899-12-30T16:48:00"/>
    <d v="1899-12-30T17:04:00"/>
    <n v="0"/>
    <n v="0.26666666666666572"/>
    <n v="0.26666666666666572"/>
    <s v="Manual reset done"/>
    <s v="Close"/>
    <n v="1.1594202898550685E-2"/>
    <m/>
    <m/>
    <m/>
  </r>
  <r>
    <n v="858"/>
    <n v="2024"/>
    <n v="2023"/>
    <s v="Year_1"/>
    <d v="2023-11-17T00:00:00"/>
    <s v="KUD04"/>
    <s v="O2R3"/>
    <s v="JK"/>
    <n v="4.3478260869565223E-2"/>
    <n v="4519"/>
    <x v="126"/>
    <s v="HubSafty HydrPres  Low DBlk"/>
    <s v="Breakdown"/>
    <d v="1899-12-30T16:48:00"/>
    <d v="1899-12-30T16:48:00"/>
    <d v="1899-12-30T17:23:00"/>
    <n v="0"/>
    <n v="0.58333333333334458"/>
    <n v="0.58333333333334458"/>
    <s v="Manual reset done"/>
    <s v="Close"/>
    <n v="2.5362318840580201E-2"/>
    <m/>
    <m/>
    <m/>
  </r>
  <r>
    <n v="859"/>
    <n v="2024"/>
    <n v="2023"/>
    <s v="Year_1"/>
    <d v="2023-11-17T00:00:00"/>
    <s v="KUD05"/>
    <s v="O2R3"/>
    <s v="JK"/>
    <n v="4.3478260869565223E-2"/>
    <n v="4519"/>
    <x v="126"/>
    <s v="HubSafty HydrPres  Low DBlk"/>
    <s v="Breakdown"/>
    <d v="1899-12-30T16:48:00"/>
    <d v="1899-12-30T16:48:00"/>
    <d v="1899-12-30T17:03:00"/>
    <n v="0"/>
    <n v="0.25000000000000977"/>
    <n v="0.25000000000000977"/>
    <s v="Manual reset done"/>
    <s v="Close"/>
    <n v="1.0869565217391731E-2"/>
    <m/>
    <m/>
    <m/>
  </r>
  <r>
    <n v="860"/>
    <n v="2024"/>
    <n v="2023"/>
    <s v="Year_1"/>
    <d v="2023-11-17T00:00:00"/>
    <s v="KUD06"/>
    <s v="O2R3"/>
    <s v="JK"/>
    <n v="4.3478260869565223E-2"/>
    <n v="4519"/>
    <x v="126"/>
    <s v="HubSafty HydrPres  Low DBlk"/>
    <s v="Breakdown"/>
    <d v="1899-12-30T16:48:00"/>
    <d v="1899-12-30T16:48:00"/>
    <d v="1899-12-30T17:04:00"/>
    <n v="0"/>
    <n v="0.26666666666666572"/>
    <n v="0.26666666666666572"/>
    <s v="Manual reset done"/>
    <s v="Close"/>
    <n v="1.1594202898550685E-2"/>
    <m/>
    <m/>
    <m/>
  </r>
  <r>
    <n v="861"/>
    <n v="2024"/>
    <n v="2023"/>
    <s v="Year_1"/>
    <d v="2023-11-17T00:00:00"/>
    <s v="KUD07"/>
    <s v="O2R3"/>
    <s v="JK"/>
    <n v="4.3478260869565223E-2"/>
    <n v="707"/>
    <x v="121"/>
    <s v="Ch hardware error C0"/>
    <s v="Breakdown"/>
    <d v="1899-12-30T16:48:00"/>
    <d v="1899-12-30T16:48:00"/>
    <d v="1899-12-30T17:04:00"/>
    <n v="0"/>
    <n v="0.26666666666666572"/>
    <n v="0.26666666666666572"/>
    <s v="Manual reset done"/>
    <s v="Close"/>
    <n v="1.1594202898550685E-2"/>
    <m/>
    <m/>
    <m/>
  </r>
  <r>
    <n v="862"/>
    <n v="2024"/>
    <n v="2023"/>
    <s v="Year_1"/>
    <d v="2023-11-17T00:00:00"/>
    <s v="KUD08"/>
    <s v="O2R3"/>
    <s v="JK"/>
    <n v="4.3478260869565223E-2"/>
    <n v="900"/>
    <x v="100"/>
    <s v="M/S stop for 6 Month Service."/>
    <s v="Manual Stop"/>
    <d v="1899-12-30T10:46:00"/>
    <d v="1899-12-30T10:46:00"/>
    <d v="1899-12-30T17:02:00"/>
    <n v="0"/>
    <n v="6.2666666666666639"/>
    <n v="6.2666666666666639"/>
    <s v="6 Month Service completed &amp; Secure nacelle fan duct with steel wire connection done"/>
    <s v="Close"/>
    <n v="0.27246376811594197"/>
    <m/>
    <m/>
    <m/>
  </r>
  <r>
    <n v="863"/>
    <n v="2024"/>
    <n v="2023"/>
    <s v="Year_1"/>
    <d v="2023-11-17T00:00:00"/>
    <s v="KUD08"/>
    <s v="O2R3"/>
    <s v="JK"/>
    <n v="4.3478260869565223E-2"/>
    <n v="900"/>
    <x v="100"/>
    <s v="M/S stop for 6 Month Service."/>
    <s v="Manual Stop"/>
    <d v="1899-12-30T16:48:00"/>
    <d v="1899-12-30T16:48:00"/>
    <d v="1899-12-30T18:07:00"/>
    <n v="0"/>
    <n v="1.3166666666666647"/>
    <n v="1.3166666666666647"/>
    <s v="6 Month Service completed &amp; Secure nacelle fan duct with steel wire connection done"/>
    <s v="Close"/>
    <n v="5.724637681159412E-2"/>
    <m/>
    <m/>
    <m/>
  </r>
  <r>
    <n v="864"/>
    <n v="2024"/>
    <n v="2023"/>
    <s v="Year_1"/>
    <d v="2023-11-17T00:00:00"/>
    <s v="KUD09"/>
    <s v="O2R3"/>
    <s v="JK"/>
    <n v="4.3478260869565223E-2"/>
    <n v="4519"/>
    <x v="126"/>
    <s v="HubSafty HydrPres  Low DBlk"/>
    <s v="Breakdown"/>
    <d v="1899-12-30T16:48:00"/>
    <d v="1899-12-30T16:48:00"/>
    <d v="1899-12-30T17:04:00"/>
    <n v="0"/>
    <n v="0.26666666666666572"/>
    <n v="0.26666666666666572"/>
    <s v="Manual reset done"/>
    <s v="Close"/>
    <n v="1.1594202898550685E-2"/>
    <m/>
    <m/>
    <m/>
  </r>
  <r>
    <n v="865"/>
    <n v="2024"/>
    <n v="2023"/>
    <s v="Year_1"/>
    <d v="2023-11-17T00:00:00"/>
    <s v="KUD11"/>
    <s v="O2R1"/>
    <s v="KSIPL"/>
    <n v="4.3478260869565223E-2"/>
    <n v="4239"/>
    <x v="40"/>
    <s v="HVCB Unknown Trip Reason"/>
    <s v="Breakdown"/>
    <d v="1899-12-30T16:48:00"/>
    <d v="1899-12-30T16:48:00"/>
    <d v="1899-12-30T18:00:00"/>
    <n v="0"/>
    <n v="1.2000000000000011"/>
    <n v="1.2000000000000011"/>
    <s v="SWG charged"/>
    <s v="Close"/>
    <n v="5.2173913043478314E-2"/>
    <m/>
    <m/>
    <m/>
  </r>
  <r>
    <n v="866"/>
    <n v="2024"/>
    <n v="2023"/>
    <s v="Year_1"/>
    <d v="2023-11-17T00:00:00"/>
    <s v="KUD12"/>
    <s v="O2R1"/>
    <s v="KSIPL"/>
    <n v="4.3478260869565223E-2"/>
    <n v="2953"/>
    <x v="141"/>
    <s v="PowerSupplyLowFreq: Min 47 Hz"/>
    <s v="Breakdown"/>
    <d v="1899-12-30T16:48:00"/>
    <d v="1899-12-30T16:48:00"/>
    <d v="1899-12-30T17:04:00"/>
    <n v="0"/>
    <n v="0.26666666666666572"/>
    <n v="0.26666666666666572"/>
    <s v="Manual reset done"/>
    <s v="Close"/>
    <n v="1.1594202898550685E-2"/>
    <m/>
    <m/>
    <m/>
  </r>
  <r>
    <n v="867"/>
    <n v="2024"/>
    <n v="2023"/>
    <s v="Year_1"/>
    <d v="2023-11-17T00:00:00"/>
    <s v="KUD14"/>
    <s v="O2R1"/>
    <s v="KSIPL"/>
    <n v="4.3478260869565223E-2"/>
    <n v="2953"/>
    <x v="141"/>
    <s v="PowerSupplyLowFreq: Min 47 Hz"/>
    <s v="Breakdown"/>
    <d v="1899-12-30T16:48:00"/>
    <d v="1899-12-30T16:48:00"/>
    <d v="1899-12-30T17:04:00"/>
    <n v="0"/>
    <n v="0.26666666666666572"/>
    <n v="0.26666666666666572"/>
    <s v="Manual reset done"/>
    <s v="Close"/>
    <n v="1.1594202898550685E-2"/>
    <m/>
    <m/>
    <m/>
  </r>
  <r>
    <n v="868"/>
    <n v="2024"/>
    <n v="2023"/>
    <s v="Year_1"/>
    <d v="2023-11-17T00:00:00"/>
    <s v="KUD15"/>
    <s v="O2R1"/>
    <s v="KSIPL"/>
    <n v="4.3478260869565223E-2"/>
    <n v="2953"/>
    <x v="141"/>
    <s v="PowerSupplyLowFreq: Min 47 Hz"/>
    <s v="Breakdown"/>
    <d v="1899-12-30T16:48:00"/>
    <d v="1899-12-30T16:48:00"/>
    <d v="1899-12-30T17:04:00"/>
    <n v="0"/>
    <n v="0.26666666666666572"/>
    <n v="0.26666666666666572"/>
    <s v="Manual reset done"/>
    <s v="Close"/>
    <n v="1.1594202898550685E-2"/>
    <m/>
    <m/>
    <m/>
  </r>
  <r>
    <n v="869"/>
    <n v="2024"/>
    <n v="2023"/>
    <s v="Year_1"/>
    <d v="2023-11-17T00:00:00"/>
    <s v="KUD16"/>
    <s v="O2R2"/>
    <s v="SIL"/>
    <n v="4.3478260869565223E-2"/>
    <n v="4239"/>
    <x v="40"/>
    <s v="HVCB Unknown Trip Reason"/>
    <s v="Breakdown"/>
    <d v="1899-12-30T16:48:00"/>
    <d v="1899-12-30T16:48:00"/>
    <d v="1899-12-30T18:07:00"/>
    <n v="0"/>
    <n v="1.3166666666666647"/>
    <n v="1.3166666666666647"/>
    <s v="SWG charged"/>
    <s v="Close"/>
    <n v="5.724637681159412E-2"/>
    <m/>
    <m/>
    <m/>
  </r>
  <r>
    <n v="870"/>
    <n v="2024"/>
    <n v="2023"/>
    <s v="Year_1"/>
    <d v="2023-11-17T00:00:00"/>
    <s v="KUD18"/>
    <s v="O2R4"/>
    <s v="SGDCIPL"/>
    <n v="4.3478260869565223E-2"/>
    <n v="4519"/>
    <x v="126"/>
    <s v="HubSafty HydrPres  Low DBlk"/>
    <s v="Breakdown"/>
    <d v="1899-12-30T16:48:00"/>
    <d v="1899-12-30T16:48:00"/>
    <d v="1899-12-30T17:07:00"/>
    <n v="0"/>
    <n v="0.31666666666665755"/>
    <n v="0.31666666666665755"/>
    <s v="Manual reset done"/>
    <s v="Close"/>
    <n v="1.3768115942028591E-2"/>
    <m/>
    <m/>
    <m/>
  </r>
  <r>
    <n v="871"/>
    <n v="2024"/>
    <n v="2023"/>
    <s v="Year_1"/>
    <d v="2023-11-17T00:00:00"/>
    <s v="KUD19"/>
    <s v="O2R1"/>
    <s v="KSIPL"/>
    <n v="4.3478260869565223E-2"/>
    <n v="707"/>
    <x v="121"/>
    <s v="Ch hardware error C0"/>
    <s v="Breakdown"/>
    <d v="1899-12-30T16:48:00"/>
    <d v="1899-12-30T16:48:00"/>
    <d v="1899-12-30T17:04:00"/>
    <n v="0"/>
    <n v="0.26666666666666572"/>
    <n v="0.26666666666666572"/>
    <s v="Manual reset done"/>
    <s v="Close"/>
    <n v="1.1594202898550685E-2"/>
    <m/>
    <m/>
    <m/>
  </r>
  <r>
    <n v="872"/>
    <n v="2024"/>
    <n v="2023"/>
    <s v="Year_1"/>
    <d v="2023-11-17T00:00:00"/>
    <s v="KUD21"/>
    <s v="O2R3"/>
    <s v="JK"/>
    <n v="4.3478260869565223E-2"/>
    <n v="4519"/>
    <x v="126"/>
    <s v="HubSafty HydrPres  Low DBlk"/>
    <s v="Breakdown"/>
    <d v="1899-12-30T16:48:00"/>
    <d v="1899-12-30T16:48:00"/>
    <d v="1899-12-30T17:04:00"/>
    <n v="0"/>
    <n v="0.26666666666666572"/>
    <n v="0.26666666666666572"/>
    <s v="Manual reset done"/>
    <s v="Close"/>
    <n v="1.1594202898550685E-2"/>
    <m/>
    <m/>
    <m/>
  </r>
  <r>
    <n v="873"/>
    <n v="2024"/>
    <n v="2023"/>
    <s v="Year_1"/>
    <d v="2023-11-17T00:00:00"/>
    <s v="KUD22"/>
    <s v="O2R3"/>
    <s v="JK"/>
    <n v="4.3478260869565223E-2"/>
    <n v="4519"/>
    <x v="126"/>
    <s v="HubSafty HydrPres  Low DBlk"/>
    <s v="Breakdown"/>
    <d v="1899-12-30T16:48:00"/>
    <d v="1899-12-30T16:48:00"/>
    <d v="1899-12-30T17:04:00"/>
    <n v="0"/>
    <n v="0.26666666666666572"/>
    <n v="0.26666666666666572"/>
    <s v="Manual reset done"/>
    <s v="Close"/>
    <n v="1.1594202898550685E-2"/>
    <m/>
    <m/>
    <m/>
  </r>
  <r>
    <n v="874"/>
    <n v="2024"/>
    <n v="2023"/>
    <s v="Year_1"/>
    <d v="2023-11-17T00:00:00"/>
    <s v="KUD23"/>
    <s v="O2R3"/>
    <s v="JK"/>
    <n v="4.3478260869565223E-2"/>
    <n v="4519"/>
    <x v="126"/>
    <s v="HubSafty HydrPres  Low DBlk"/>
    <s v="Breakdown"/>
    <d v="1899-12-30T16:48:00"/>
    <d v="1899-12-30T16:48:00"/>
    <d v="1899-12-30T17:04:00"/>
    <d v="1899-12-30T00:00:00"/>
    <n v="0.26666666666666572"/>
    <n v="0.26666666666666572"/>
    <s v="Manual reset done"/>
    <s v="Close"/>
    <n v="1.1594202898550685E-2"/>
    <m/>
    <m/>
    <m/>
  </r>
  <r>
    <n v="875"/>
    <n v="2024"/>
    <n v="2023"/>
    <s v="Year_1"/>
    <d v="2023-11-17T00:00:00"/>
    <s v="KUD04"/>
    <s v="O2R3"/>
    <s v="JK"/>
    <n v="4.3478260869565223E-2"/>
    <n v="707"/>
    <x v="121"/>
    <s v="Ch hardware error C0"/>
    <s v="Breakdown"/>
    <d v="1899-12-30T19:19:00"/>
    <d v="1899-12-30T19:19:00"/>
    <d v="1899-12-30T19:21:00"/>
    <d v="1899-12-30T00:00:00"/>
    <n v="3.3333333333335879E-2"/>
    <n v="3.3333333333335879E-2"/>
    <s v="Manual reset done"/>
    <s v="Close"/>
    <n v="1.4492753623189514E-3"/>
    <m/>
    <m/>
    <m/>
  </r>
  <r>
    <n v="876"/>
    <n v="2024"/>
    <n v="2023"/>
    <s v="Year_1"/>
    <d v="2023-11-18T00:00:00"/>
    <s v="KUD09"/>
    <s v="O2R3"/>
    <s v="JK"/>
    <n v="4.3478260869565223E-2"/>
    <n v="900"/>
    <x v="100"/>
    <s v="M/S stop for 6 Month Service."/>
    <s v="Manual Stop"/>
    <d v="1899-12-30T09:37:00"/>
    <d v="1899-12-30T09:37:00"/>
    <d v="1899-12-30T15:05:00"/>
    <d v="1899-12-30T00:00:00"/>
    <n v="5.4666666666666712"/>
    <n v="5.4666666666666712"/>
    <s v="6 Month Service completed &amp; Secure nacelle fan duct with steel wire connection done"/>
    <s v="Close"/>
    <n v="0.23768115942029008"/>
    <m/>
    <m/>
    <m/>
  </r>
  <r>
    <n v="877"/>
    <n v="2024"/>
    <n v="2023"/>
    <s v="Year_1"/>
    <d v="2023-11-18T00:00:00"/>
    <s v="KUD01"/>
    <s v="O2R1"/>
    <s v="KSIPL"/>
    <n v="4.3478260869565223E-2"/>
    <n v="450"/>
    <x v="127"/>
    <s v="Ext. High I sum Grd inv."/>
    <s v="Breakdown"/>
    <d v="1899-12-30T13:25:00"/>
    <d v="1899-12-30T13:25:00"/>
    <d v="1899-12-30T13:27:00"/>
    <d v="1899-12-30T00:00:00"/>
    <n v="3.3333333333335879E-2"/>
    <n v="3.3333333333335879E-2"/>
    <s v="Manual reset done"/>
    <s v="Close"/>
    <n v="1.4492753623189514E-3"/>
    <m/>
    <m/>
    <m/>
  </r>
  <r>
    <n v="878"/>
    <n v="2024"/>
    <n v="2023"/>
    <s v="Year_1"/>
    <d v="2023-11-18T00:00:00"/>
    <s v="KUD04"/>
    <s v="O2R3"/>
    <s v="JK"/>
    <n v="4.3478260869565223E-2"/>
    <n v="30"/>
    <x v="44"/>
    <s v="Internal sublogic error"/>
    <s v="Breakdown"/>
    <d v="1899-12-30T07:15:00"/>
    <d v="1899-12-30T07:15:00"/>
    <d v="1899-12-30T07:23:00"/>
    <d v="1899-12-30T00:00:00"/>
    <n v="0.13333333333334485"/>
    <n v="0.13333333333334485"/>
    <s v="Manual reset done"/>
    <s v="Close"/>
    <n v="5.7971014492758637E-3"/>
    <m/>
    <m/>
    <m/>
  </r>
  <r>
    <n v="879"/>
    <n v="2024"/>
    <n v="2023"/>
    <s v="Year_1"/>
    <d v="2023-11-18T00:00:00"/>
    <s v="KUD04"/>
    <s v="O2R3"/>
    <s v="JK"/>
    <n v="4.3478260869565223E-2"/>
    <n v="4762"/>
    <x v="142"/>
    <s v="OutOfMemory"/>
    <s v="Breakdown"/>
    <d v="1899-12-30T15:30:00"/>
    <d v="1899-12-30T15:30:00"/>
    <d v="1899-12-30T15:39:00"/>
    <d v="1899-12-30T00:00:00"/>
    <n v="0.14999999999999947"/>
    <n v="0.14999999999999947"/>
    <s v="Manual reset done"/>
    <s v="Close"/>
    <n v="6.5217391304347606E-3"/>
    <m/>
    <m/>
    <m/>
  </r>
  <r>
    <n v="880"/>
    <n v="2024"/>
    <n v="2023"/>
    <s v="Year_1"/>
    <d v="2023-11-19T00:00:00"/>
    <s v="KUD01"/>
    <s v="O2R1"/>
    <s v="KSIPL"/>
    <n v="4.3478260869565223E-2"/>
    <n v="450"/>
    <x v="127"/>
    <s v="Ext. High I sum Grd inv."/>
    <s v="Breakdown"/>
    <d v="1899-12-30T23:47:00"/>
    <d v="1899-12-30T23:47:00"/>
    <d v="1899-12-30T23:49:00"/>
    <d v="1899-12-30T00:00:00"/>
    <n v="3.3333333333335879E-2"/>
    <n v="3.3333333333335879E-2"/>
    <s v="Manual reset done"/>
    <s v="Close"/>
    <n v="1.4492753623189514E-3"/>
    <m/>
    <m/>
    <m/>
  </r>
  <r>
    <n v="881"/>
    <n v="2024"/>
    <n v="2023"/>
    <s v="Year_1"/>
    <d v="2023-11-19T00:00:00"/>
    <s v="KUD04"/>
    <s v="O2R3"/>
    <s v="JK"/>
    <n v="4.3478260869565223E-2"/>
    <n v="4762"/>
    <x v="142"/>
    <s v="OutOfMemory"/>
    <s v="Breakdown"/>
    <d v="1899-12-30T03:14:00"/>
    <d v="1899-12-30T03:14:00"/>
    <d v="1899-12-30T03:42:00"/>
    <d v="1899-12-30T00:00:00"/>
    <n v="0.46666666666668033"/>
    <n v="0.46666666666668033"/>
    <s v="Manual reset done"/>
    <s v="Close"/>
    <n v="2.0289855072464363E-2"/>
    <m/>
    <m/>
    <m/>
  </r>
  <r>
    <n v="882"/>
    <n v="2024"/>
    <n v="2023"/>
    <s v="Year_1"/>
    <d v="2023-11-19T00:00:00"/>
    <s v="KUD04"/>
    <s v="O2R3"/>
    <s v="JK"/>
    <n v="4.3478260869565223E-2"/>
    <n v="4762"/>
    <x v="142"/>
    <s v="OutOfMemory"/>
    <s v="Breakdown"/>
    <d v="1899-12-30T05:03:00"/>
    <d v="1899-12-30T05:03:00"/>
    <d v="1899-12-30T05:12:00"/>
    <d v="1899-12-30T00:00:00"/>
    <n v="0.15000000000000013"/>
    <n v="0.15000000000000013"/>
    <s v="Manual reset done"/>
    <s v="Close"/>
    <n v="6.5217391304347892E-3"/>
    <m/>
    <m/>
    <m/>
  </r>
  <r>
    <n v="883"/>
    <n v="2024"/>
    <n v="2023"/>
    <s v="Year_1"/>
    <d v="2023-11-19T00:00:00"/>
    <s v="KUD04"/>
    <s v="O2R3"/>
    <s v="JK"/>
    <n v="4.3478260869565223E-2"/>
    <n v="4762"/>
    <x v="142"/>
    <s v="OutOfMemory"/>
    <s v="Breakdown"/>
    <d v="1899-12-30T08:18:00"/>
    <d v="1899-12-30T08:18:00"/>
    <d v="1899-12-30T08:28:00"/>
    <d v="1899-12-30T00:00:00"/>
    <n v="0.16666666666668073"/>
    <n v="0.16666666666668073"/>
    <s v="Manual reset done"/>
    <s v="Close"/>
    <n v="7.2463768115948153E-3"/>
    <m/>
    <m/>
    <m/>
  </r>
  <r>
    <n v="884"/>
    <n v="2024"/>
    <n v="2023"/>
    <s v="Year_1"/>
    <d v="2023-11-19T00:00:00"/>
    <s v="KUD04"/>
    <s v="O2R3"/>
    <s v="JK"/>
    <n v="4.3478260869565223E-2"/>
    <n v="4762"/>
    <x v="142"/>
    <s v="OutOfMemory"/>
    <s v="Breakdown"/>
    <d v="1899-12-30T10:50:00"/>
    <d v="1899-12-30T10:50:00"/>
    <d v="1899-12-30T10:59:00"/>
    <d v="1899-12-30T00:00:00"/>
    <n v="0.14999999999999947"/>
    <n v="0.14999999999999947"/>
    <s v="Manual reset done"/>
    <s v="Close"/>
    <n v="6.5217391304347606E-3"/>
    <m/>
    <m/>
    <m/>
  </r>
  <r>
    <n v="885"/>
    <n v="2024"/>
    <n v="2023"/>
    <s v="Year_1"/>
    <d v="2023-11-19T00:00:00"/>
    <s v="KUD04"/>
    <s v="O2R3"/>
    <s v="JK"/>
    <n v="4.3478260869565223E-2"/>
    <n v="4762"/>
    <x v="142"/>
    <s v="OutOfMemory"/>
    <s v="Breakdown"/>
    <d v="1899-12-30T11:08:00"/>
    <d v="1899-12-30T11:08:00"/>
    <d v="1899-12-30T11:25:00"/>
    <d v="1899-12-30T00:00:00"/>
    <n v="0.283333333333319"/>
    <n v="0.283333333333319"/>
    <s v="Manual reset done"/>
    <s v="Close"/>
    <n v="1.2318840579709523E-2"/>
    <m/>
    <m/>
    <m/>
  </r>
  <r>
    <n v="886"/>
    <n v="2024"/>
    <n v="2023"/>
    <s v="Year_1"/>
    <d v="2023-11-19T00:00:00"/>
    <s v="KUD04"/>
    <s v="O2R3"/>
    <s v="JK"/>
    <n v="4.3478260869565223E-2"/>
    <n v="4762"/>
    <x v="142"/>
    <s v="OutOfMemory"/>
    <s v="Breakdown"/>
    <d v="1899-12-30T13:21:00"/>
    <d v="1899-12-30T13:21:00"/>
    <d v="1899-12-30T14:31:00"/>
    <d v="1899-12-30T00:00:00"/>
    <n v="1.1666666666666625"/>
    <n v="1.1666666666666625"/>
    <s v="Manual reset done"/>
    <s v="Close"/>
    <n v="5.072463768115925E-2"/>
    <m/>
    <m/>
    <m/>
  </r>
  <r>
    <n v="887"/>
    <n v="2024"/>
    <n v="2023"/>
    <s v="Year_1"/>
    <d v="2023-11-19T00:00:00"/>
    <s v="KUD04"/>
    <s v="O2R3"/>
    <s v="JK"/>
    <n v="4.3478260869565223E-2"/>
    <n v="4762"/>
    <x v="142"/>
    <s v="OutOfMemory"/>
    <s v="Breakdown"/>
    <d v="1899-12-30T14:38:00"/>
    <d v="1899-12-30T14:38:00"/>
    <d v="1899-12-30T14:46:00"/>
    <d v="1899-12-30T00:00:00"/>
    <n v="0.13333333333334352"/>
    <n v="0.13333333333334352"/>
    <s v="Manual reset done"/>
    <s v="Close"/>
    <n v="5.7971014492758056E-3"/>
    <m/>
    <m/>
    <m/>
  </r>
  <r>
    <n v="888"/>
    <n v="2024"/>
    <n v="2023"/>
    <s v="Year_1"/>
    <d v="2023-11-19T00:00:00"/>
    <s v="KUD04"/>
    <s v="O2R3"/>
    <s v="JK"/>
    <n v="4.3478260869565223E-2"/>
    <n v="4762"/>
    <x v="142"/>
    <s v="OutOfMemory"/>
    <s v="Breakdown"/>
    <d v="1899-12-30T18:53:00"/>
    <d v="1899-12-30T18:53:00"/>
    <d v="1899-12-30T19:02:00"/>
    <d v="1899-12-30T00:00:00"/>
    <n v="0.14999999999999947"/>
    <n v="0.14999999999999947"/>
    <s v="Manual reset done"/>
    <s v="Close"/>
    <n v="6.5217391304347606E-3"/>
    <m/>
    <m/>
    <m/>
  </r>
  <r>
    <n v="889"/>
    <n v="2024"/>
    <n v="2023"/>
    <s v="Year_1"/>
    <d v="2023-11-19T00:00:00"/>
    <s v="KUD04"/>
    <s v="O2R3"/>
    <s v="JK"/>
    <n v="4.3478260869565223E-2"/>
    <n v="4762"/>
    <x v="142"/>
    <s v="OutOfMemory"/>
    <s v="Breakdown"/>
    <d v="1899-12-30T19:34:00"/>
    <d v="1899-12-30T19:34:00"/>
    <d v="1899-12-30T19:44:00"/>
    <d v="1899-12-30T00:00:00"/>
    <n v="0.16666666666665542"/>
    <n v="0.16666666666665542"/>
    <s v="Manual reset done"/>
    <s v="Close"/>
    <n v="7.2463768115937147E-3"/>
    <m/>
    <m/>
    <m/>
  </r>
  <r>
    <n v="890"/>
    <n v="2024"/>
    <n v="2023"/>
    <s v="Year_1"/>
    <d v="2023-11-19T00:00:00"/>
    <s v="KUD04"/>
    <s v="O2R3"/>
    <s v="JK"/>
    <n v="4.3478260869565223E-2"/>
    <n v="4762"/>
    <x v="142"/>
    <s v="OutOfMemory"/>
    <s v="Breakdown"/>
    <d v="1899-12-30T20:12:00"/>
    <d v="1899-12-30T20:12:00"/>
    <d v="1899-12-30T20:21:00"/>
    <d v="1899-12-30T00:00:00"/>
    <n v="0.14999999999999947"/>
    <n v="0.14999999999999947"/>
    <s v="Manual reset done"/>
    <s v="Close"/>
    <n v="6.5217391304347606E-3"/>
    <m/>
    <m/>
    <m/>
  </r>
  <r>
    <n v="891"/>
    <n v="2024"/>
    <n v="2023"/>
    <s v="Year_1"/>
    <d v="2023-11-20T00:00:00"/>
    <s v="KUD04"/>
    <s v="O2R3"/>
    <s v="JK"/>
    <n v="4.3478260869565223E-2"/>
    <n v="4762"/>
    <x v="142"/>
    <s v="OutOfMemory"/>
    <s v="Breakdown"/>
    <d v="1899-12-30T08:15:00"/>
    <d v="1899-12-30T08:15:00"/>
    <d v="1899-12-30T08:23:00"/>
    <d v="1899-12-30T00:00:00"/>
    <n v="0.13333333333334352"/>
    <n v="0.13333333333334352"/>
    <s v="Manual reset done"/>
    <s v="Close"/>
    <n v="5.7971014492758056E-3"/>
    <m/>
    <m/>
    <m/>
  </r>
  <r>
    <n v="892"/>
    <n v="2024"/>
    <n v="2023"/>
    <s v="Year_1"/>
    <d v="2023-11-20T00:00:00"/>
    <s v="KUD04"/>
    <s v="O2R3"/>
    <s v="JK"/>
    <n v="4.3478260869565223E-2"/>
    <n v="4762"/>
    <x v="142"/>
    <s v="OutOfMemory"/>
    <s v="Breakdown"/>
    <d v="1899-12-30T09:06:00"/>
    <d v="1899-12-30T09:06:00"/>
    <d v="1899-12-30T09:16:00"/>
    <d v="1899-12-30T00:00:00"/>
    <n v="0.16666666666665675"/>
    <n v="0.16666666666665675"/>
    <s v="Manual reset done"/>
    <s v="Close"/>
    <n v="7.2463768115937728E-3"/>
    <m/>
    <m/>
    <m/>
  </r>
  <r>
    <n v="893"/>
    <n v="2024"/>
    <n v="2023"/>
    <s v="Year_1"/>
    <d v="2023-11-20T00:00:00"/>
    <s v="KUD04"/>
    <s v="O2R3"/>
    <s v="JK"/>
    <n v="4.3478260869565223E-2"/>
    <n v="4762"/>
    <x v="142"/>
    <s v="OutOfMemory"/>
    <s v="ROW"/>
    <d v="1899-12-30T10:06:00"/>
    <d v="1899-12-30T10:06:00"/>
    <d v="1899-12-30T20:02:00"/>
    <d v="1899-12-30T00:00:00"/>
    <n v="9.9333333333333371"/>
    <n v="9.9333333333333371"/>
    <s v="M/S stop for repeated error and able to access the turbine due to ROW issue"/>
    <s v="Close"/>
    <n v="0"/>
    <m/>
    <m/>
    <m/>
  </r>
  <r>
    <n v="894"/>
    <n v="2024"/>
    <n v="2023"/>
    <s v="Year_1"/>
    <d v="2023-11-21T00:00:00"/>
    <s v="KUD16"/>
    <s v="O2R2"/>
    <s v="SIL"/>
    <n v="4.3478260869565223E-2"/>
    <n v="3272"/>
    <x v="143"/>
    <s v="YawUntwistCW: Code__,_______°"/>
    <s v="Breakdown"/>
    <d v="1899-12-30T08:29:00"/>
    <d v="1899-12-30T08:29:00"/>
    <d v="1899-12-30T08:50:00"/>
    <d v="1899-12-30T00:00:00"/>
    <n v="0.35000000000001608"/>
    <n v="0.35000000000001608"/>
    <s v="Auto reset"/>
    <s v="Close"/>
    <n v="1.5217391304348528E-2"/>
    <m/>
    <m/>
    <m/>
  </r>
  <r>
    <n v="895"/>
    <n v="2024"/>
    <n v="2023"/>
    <s v="Year_1"/>
    <d v="2023-11-24T00:00:00"/>
    <s v="KUD11"/>
    <s v="O2R1"/>
    <s v="KSIPL"/>
    <n v="4.3478260869565223E-2"/>
    <n v="4239"/>
    <x v="40"/>
    <s v="HVCB Unknown Trip Reason"/>
    <s v="Breakdown"/>
    <d v="1899-12-30T03:36:00"/>
    <d v="1899-12-30T03:36:00"/>
    <d v="1899-12-30T04:04:00"/>
    <d v="1899-12-30T00:00:00"/>
    <n v="0.46666666666665635"/>
    <n v="0.46666666666665635"/>
    <s v="remote reset done"/>
    <s v="Close"/>
    <n v="2.0289855072463323E-2"/>
    <m/>
    <m/>
    <m/>
  </r>
  <r>
    <n v="896"/>
    <n v="2024"/>
    <n v="2023"/>
    <s v="Year_1"/>
    <d v="2023-11-24T00:00:00"/>
    <s v="KUD19"/>
    <s v="O2R1"/>
    <s v="KSIPL"/>
    <n v="4.3478260869565223E-2"/>
    <n v="4239"/>
    <x v="40"/>
    <s v="HVCB Unknown Trip Reason"/>
    <s v="Breakdown"/>
    <d v="1899-12-30T03:36:00"/>
    <d v="1899-12-30T03:36:00"/>
    <d v="1899-12-30T04:05:00"/>
    <d v="1899-12-30T00:00:00"/>
    <n v="0.48333333333333628"/>
    <n v="0.48333333333333628"/>
    <s v="remote reset done"/>
    <s v="Close"/>
    <n v="2.1014492753623319E-2"/>
    <m/>
    <m/>
    <m/>
  </r>
  <r>
    <n v="897"/>
    <n v="2024"/>
    <n v="2023"/>
    <s v="Year_1"/>
    <d v="2023-11-24T00:00:00"/>
    <s v="KUD20"/>
    <s v="O2R1"/>
    <s v="KSIPL"/>
    <n v="4.3478260869565223E-2"/>
    <n v="4235"/>
    <x v="93"/>
    <s v="Gen Stator CB Open"/>
    <s v="Breakdown"/>
    <d v="1899-12-30T03:36:00"/>
    <d v="1899-12-30T03:36:00"/>
    <d v="1899-12-30T03:51:00"/>
    <d v="1899-12-30T00:00:00"/>
    <n v="0.25000000000000844"/>
    <n v="0.25000000000000844"/>
    <s v="Auto reset"/>
    <s v="Close"/>
    <n v="1.0869565217391672E-2"/>
    <m/>
    <m/>
    <m/>
  </r>
  <r>
    <n v="898"/>
    <n v="2024"/>
    <n v="2023"/>
    <s v="Year_1"/>
    <d v="2023-11-27T00:00:00"/>
    <s v="KUD19"/>
    <s v="O2R1"/>
    <s v="KSIPL"/>
    <n v="4.3478260869565223E-2"/>
    <n v="707"/>
    <x v="121"/>
    <s v="Ch hardware error C_"/>
    <s v="Breakdown"/>
    <d v="1899-12-30T05:55:00"/>
    <d v="1899-12-30T05:55:00"/>
    <d v="1899-12-30T06:51:00"/>
    <d v="1899-12-30T00:00:00"/>
    <n v="0.93333333333333535"/>
    <n v="0.93333333333333535"/>
    <s v="remote reset done"/>
    <s v="Close"/>
    <n v="4.057971014492763E-2"/>
    <m/>
    <m/>
    <m/>
  </r>
  <r>
    <n v="899"/>
    <n v="2024"/>
    <n v="2023"/>
    <s v="Year_1"/>
    <d v="2023-12-01T00:00:00"/>
    <s v="KUD04"/>
    <s v="O2R3"/>
    <s v="JK"/>
    <n v="4.3478260869565223E-2"/>
    <n v="900"/>
    <x v="100"/>
    <s v="M/S stop for 6 Month Service."/>
    <s v="Manual Stop"/>
    <d v="1899-12-30T10:16:00"/>
    <d v="1899-12-30T10:16:00"/>
    <d v="1899-12-30T16:00:00"/>
    <d v="1899-12-30T00:00:00"/>
    <n v="5.7333333333333361"/>
    <n v="5.7333333333333361"/>
    <s v="M/S stop for 6 month scheduled service and CIM4362 work"/>
    <s v="Close"/>
    <n v="0.24927536231884073"/>
    <m/>
    <m/>
    <m/>
  </r>
  <r>
    <n v="900"/>
    <n v="2024"/>
    <n v="2023"/>
    <s v="Year_1"/>
    <d v="2023-12-04T00:00:00"/>
    <s v="KUD01"/>
    <s v="O2R1"/>
    <s v="KSIPL"/>
    <n v="4.3478260869565223E-2"/>
    <n v="450"/>
    <x v="127"/>
    <s v="Ext. High I sum Grd inv."/>
    <s v="Breakdown"/>
    <d v="1899-12-30T09:45:00"/>
    <d v="1899-12-30T09:45:00"/>
    <d v="1899-12-30T09:47:00"/>
    <d v="1899-12-30T00:00:00"/>
    <n v="3.3333333333335879E-2"/>
    <n v="3.3333333333335879E-2"/>
    <s v="Auto reset"/>
    <s v="Close"/>
    <n v="1.4492753623189514E-3"/>
    <m/>
    <m/>
    <m/>
  </r>
  <r>
    <n v="901"/>
    <n v="2024"/>
    <n v="2023"/>
    <s v="Year_1"/>
    <d v="2023-12-04T00:00:00"/>
    <s v="KUD06"/>
    <s v="O2R3"/>
    <s v="JK"/>
    <n v="4.3478260869565223E-2"/>
    <n v="3209"/>
    <x v="101"/>
    <s v="YawSignals Invalid"/>
    <s v="Breakdown"/>
    <d v="1899-12-30T12:29:00"/>
    <d v="1899-12-30T12:29:00"/>
    <d v="1899-12-30T12:36:00"/>
    <d v="1899-12-30T00:00:00"/>
    <n v="0.11666666666666359"/>
    <n v="0.11666666666666359"/>
    <s v="Manual reset done"/>
    <s v="Close"/>
    <n v="5.072463768115809E-3"/>
    <m/>
    <m/>
    <m/>
  </r>
  <r>
    <n v="902"/>
    <n v="2024"/>
    <n v="2023"/>
    <s v="Year_1"/>
    <d v="2023-12-05T00:00:00"/>
    <s v="KUD23"/>
    <s v="O2R3"/>
    <s v="JK"/>
    <n v="4.3478260869565223E-2"/>
    <n v="900"/>
    <x v="100"/>
    <s v="M/S stop for 6 Month Service."/>
    <s v="Manual Stop"/>
    <d v="1899-12-30T09:48:00"/>
    <d v="1899-12-30T09:48:00"/>
    <d v="1899-12-30T17:23:00"/>
    <d v="1899-12-30T00:00:00"/>
    <n v="7.5833333333333517"/>
    <n v="7.5833333333333517"/>
    <s v="M/S stop for 6 month scheduled service and CIM4362 work"/>
    <s v="Close"/>
    <n v="0.32971014492753709"/>
    <m/>
    <m/>
    <m/>
  </r>
  <r>
    <n v="903"/>
    <n v="2024"/>
    <n v="2023"/>
    <s v="Year_1"/>
    <d v="2023-12-05T00:00:00"/>
    <s v="KUD19"/>
    <s v="O2R1"/>
    <s v="KSIPL"/>
    <n v="4.3478260869565223E-2"/>
    <n v="900"/>
    <x v="100"/>
    <s v="sideside tower damper sensor error warning arresting work"/>
    <s v="Manual Stop"/>
    <d v="1899-12-30T16:21:00"/>
    <d v="1899-12-30T16:21:00"/>
    <d v="1899-12-30T20:10:00"/>
    <d v="1899-12-30T00:00:00"/>
    <n v="3.8166666666666718"/>
    <n v="3.8166666666666718"/>
    <s v="Checked sensor related connections and any abnormalities found all Ok and checked yaw claw found all ok and restarted the wtg"/>
    <s v="Close"/>
    <n v="0.1659420289855075"/>
    <m/>
    <m/>
    <m/>
  </r>
  <r>
    <n v="904"/>
    <n v="2024"/>
    <n v="2023"/>
    <s v="Year_1"/>
    <d v="2023-12-05T00:00:00"/>
    <s v="KUD01"/>
    <s v="O2R1"/>
    <s v="KSIPL"/>
    <n v="4.3478260869565223E-2"/>
    <n v="3272"/>
    <x v="143"/>
    <s v="YawUntwistCW: Code__,_______°"/>
    <s v="Breakdown"/>
    <d v="1899-12-30T09:10:00"/>
    <d v="1899-12-30T09:10:00"/>
    <d v="1899-12-30T09:31:00"/>
    <d v="1899-12-30T00:00:00"/>
    <n v="0.35000000000001608"/>
    <n v="0.35000000000001608"/>
    <s v="Auto reset"/>
    <s v="Close"/>
    <n v="1.5217391304348528E-2"/>
    <m/>
    <m/>
    <m/>
  </r>
  <r>
    <n v="905"/>
    <n v="2024"/>
    <n v="2023"/>
    <s v="Year_1"/>
    <d v="2023-12-05T00:00:00"/>
    <s v="KUD11"/>
    <s v="O2R1"/>
    <s v="KSIPL"/>
    <n v="4.3478260869565223E-2"/>
    <n v="3272"/>
    <x v="143"/>
    <s v="YawUntwistCW: Code__,_______°"/>
    <s v="Breakdown"/>
    <d v="1899-12-30T01:08:00"/>
    <d v="1899-12-30T01:08:00"/>
    <d v="1899-12-30T01:36:00"/>
    <d v="1899-12-30T00:00:00"/>
    <n v="0.46666666666666784"/>
    <n v="0.46666666666666784"/>
    <s v="Auto reset"/>
    <s v="Close"/>
    <n v="2.0289855072463822E-2"/>
    <m/>
    <m/>
    <m/>
  </r>
  <r>
    <n v="906"/>
    <n v="2024"/>
    <n v="2023"/>
    <s v="Year_1"/>
    <d v="2023-12-05T00:00:00"/>
    <s v="KUD06"/>
    <s v="O2R3"/>
    <s v="JK"/>
    <n v="4.3478260869565223E-2"/>
    <n v="3272"/>
    <x v="143"/>
    <s v="YawUntwistCW: Code__,_______°"/>
    <s v="Breakdown"/>
    <d v="1899-12-30T01:02:00"/>
    <d v="1899-12-30T01:02:00"/>
    <d v="1899-12-30T01:23:00"/>
    <d v="1899-12-30T00:00:00"/>
    <n v="0.34999999999999926"/>
    <n v="0.34999999999999926"/>
    <s v="Auto reset"/>
    <s v="Close"/>
    <n v="1.5217391304347795E-2"/>
    <m/>
    <m/>
    <m/>
  </r>
  <r>
    <n v="907"/>
    <n v="2024"/>
    <n v="2023"/>
    <s v="Year_1"/>
    <d v="2023-12-06T00:00:00"/>
    <s v="KUD02"/>
    <s v="O2R3"/>
    <s v="JK"/>
    <n v="4.3478260869565223E-2"/>
    <n v="4500"/>
    <x v="138"/>
    <s v="Pitch C too low: 80.0Â° &lt; 66.6Â°"/>
    <s v="Breakdown"/>
    <d v="1899-12-30T16:02:00"/>
    <d v="1899-12-30T16:02:00"/>
    <d v="1899-12-30T16:07:00"/>
    <d v="1899-12-30T00:00:00"/>
    <n v="8.3333333333327708E-2"/>
    <n v="8.3333333333327708E-2"/>
    <s v="Manual reset done"/>
    <s v="Close"/>
    <n v="3.6231884057968573E-3"/>
    <m/>
    <m/>
    <m/>
  </r>
  <r>
    <n v="908"/>
    <n v="2024"/>
    <n v="2023"/>
    <s v="Year_1"/>
    <d v="2023-12-06T00:00:00"/>
    <s v="KUD16"/>
    <s v="O2R2"/>
    <s v="SIL"/>
    <n v="4.3478260869565223E-2"/>
    <n v="4239"/>
    <x v="40"/>
    <s v="HVCB Unknown Trip Reason"/>
    <s v="Breakdown"/>
    <d v="1899-12-30T16:02:00"/>
    <d v="1899-12-30T16:02:00"/>
    <d v="1899-12-30T16:22:00"/>
    <d v="1899-12-30T00:00:00"/>
    <n v="0.3333333333333135"/>
    <n v="0.3333333333333135"/>
    <s v="Manual reset done"/>
    <s v="Close"/>
    <n v="1.4492753623187546E-2"/>
    <m/>
    <m/>
    <m/>
  </r>
  <r>
    <n v="909"/>
    <n v="2024"/>
    <n v="2023"/>
    <s v="Year_1"/>
    <d v="2023-12-07T00:00:00"/>
    <s v="KUD05"/>
    <s v="O2R3"/>
    <s v="JK"/>
    <n v="4.3478260869565223E-2"/>
    <n v="900"/>
    <x v="100"/>
    <s v="M/S stop for 6 Month Service."/>
    <s v="Manual Stop"/>
    <d v="1899-12-30T09:47:00"/>
    <d v="1899-12-30T09:47:00"/>
    <d v="1899-12-30T16:45:00"/>
    <d v="1899-12-30T00:00:00"/>
    <n v="6.9666666666666712"/>
    <n v="6.9666666666666712"/>
    <s v="M/S stop for 6 month scheduled service and CIM4362 work"/>
    <s v="Close"/>
    <n v="0.30289855072463789"/>
    <m/>
    <m/>
    <m/>
  </r>
  <r>
    <n v="910"/>
    <n v="2024"/>
    <n v="2023"/>
    <s v="Year_1"/>
    <d v="2023-12-08T00:00:00"/>
    <s v="KUD01"/>
    <s v="O2R1"/>
    <s v="KSIPL"/>
    <n v="4.3478260869565223E-2"/>
    <n v="460"/>
    <x v="144"/>
    <s v="Ext. High I sum Grd inv."/>
    <s v="Breakdown"/>
    <d v="1899-12-30T15:30:00"/>
    <d v="1899-12-30T15:30:00"/>
    <d v="1899-12-30T15:32:00"/>
    <d v="1899-12-30T00:00:00"/>
    <n v="3.3333333333335879E-2"/>
    <n v="3.3333333333335879E-2"/>
    <s v="Auto reset"/>
    <s v="Close"/>
    <n v="1.4492753623189514E-3"/>
    <m/>
    <m/>
    <m/>
  </r>
  <r>
    <n v="911"/>
    <n v="2024"/>
    <n v="2023"/>
    <s v="Year_1"/>
    <d v="2023-12-08T00:00:00"/>
    <s v="KUD13"/>
    <s v="O2R1"/>
    <s v="KSIPL"/>
    <n v="4.3478260869565223E-2"/>
    <n v="900"/>
    <x v="100"/>
    <s v="Pause pressed on keyboard"/>
    <s v="Manual Stop"/>
    <d v="1899-12-30T11:57:00"/>
    <d v="1899-12-30T11:57:00"/>
    <d v="1899-12-30T17:59:00"/>
    <d v="1899-12-30T00:00:00"/>
    <n v="6.0333333333333359"/>
    <n v="6.0333333333333359"/>
    <s v="Paused for GnDe CMS alert inspection work"/>
    <s v="Close"/>
    <n v="0.26231884057971028"/>
    <m/>
    <m/>
    <m/>
  </r>
  <r>
    <n v="912"/>
    <n v="2024"/>
    <n v="2023"/>
    <s v="Year_1"/>
    <d v="2023-12-08T00:00:00"/>
    <s v="KUD15"/>
    <s v="O2R1"/>
    <s v="KSIPL"/>
    <n v="4.3478260869565223E-2"/>
    <n v="3661"/>
    <x v="116"/>
    <s v="GenBreakerOpen,US12___UL12___"/>
    <s v="Breakdown"/>
    <d v="1899-12-30T16:30:00"/>
    <d v="1899-12-30T16:30:00"/>
    <d v="1899-12-30T16:56:00"/>
    <d v="1899-12-30T00:00:00"/>
    <n v="0.43333333333334512"/>
    <n v="0.43333333333334512"/>
    <s v="Auto reset"/>
    <s v="Close"/>
    <n v="1.8840579710145442E-2"/>
    <m/>
    <m/>
    <m/>
  </r>
  <r>
    <n v="913"/>
    <n v="2024"/>
    <n v="2023"/>
    <s v="Year_1"/>
    <d v="2023-12-08T00:00:00"/>
    <s v="KUD15"/>
    <s v="O2R1"/>
    <s v="KSIPL"/>
    <n v="4.3478260869565223E-2"/>
    <n v="5685"/>
    <x v="36"/>
    <s v="SyncVoltMeasurementMismatch"/>
    <s v="Breakdown"/>
    <d v="1899-12-30T16:58:00"/>
    <d v="1899-12-30T16:58:00"/>
    <d v="1899-12-30T18:57:00"/>
    <d v="1899-12-30T00:00:00"/>
    <n v="1.9833333333333343"/>
    <n v="1.9833333333333343"/>
    <s v="Hard reboot done in the turbine"/>
    <s v="Close"/>
    <n v="8.6231884057971067E-2"/>
    <m/>
    <m/>
    <m/>
  </r>
  <r>
    <n v="914"/>
    <n v="2024"/>
    <n v="2023"/>
    <s v="Year_1"/>
    <d v="2023-12-08T00:00:00"/>
    <s v="KUD15"/>
    <s v="O2R1"/>
    <s v="KSIPL"/>
    <n v="4.3478260869565223E-2"/>
    <n v="3661"/>
    <x v="116"/>
    <s v="SyncVoltMeasurementMismatch"/>
    <s v="Breakdown"/>
    <d v="1899-12-30T20:28:00"/>
    <d v="1899-12-30T20:28:00"/>
    <d v="1899-12-30T23:59:00"/>
    <d v="1899-12-30T00:00:00"/>
    <n v="3.5166666666666728"/>
    <n v="3.5166666666666728"/>
    <s v="Checked all the circuit related to alarm and Suspected Ture card maulfunctioning replaced the True card turbine is under observation"/>
    <s v="Close"/>
    <n v="0.15289855072463798"/>
    <m/>
    <m/>
    <m/>
  </r>
  <r>
    <n v="915"/>
    <n v="2024"/>
    <n v="2023"/>
    <s v="Year_1"/>
    <d v="2023-12-09T00:00:00"/>
    <s v="KUD15"/>
    <s v="O2R1"/>
    <s v="KSIPL"/>
    <n v="4.3478260869565223E-2"/>
    <n v="900"/>
    <x v="100"/>
    <s v="SyncVoltMeasurementMismatch"/>
    <s v="Breakdown"/>
    <d v="1899-12-30T00:00:00"/>
    <d v="1899-12-30T00:00:00"/>
    <d v="1899-12-30T00:06:00"/>
    <d v="1899-12-30T00:00:00"/>
    <n v="0.10000000000000009"/>
    <n v="0.10000000000000009"/>
    <s v="Checked all the circuit related to alarm and Suspected Ture card maulfunctioning replaced the True card turbine is under observation"/>
    <s v="Close"/>
    <n v="4.3478260869565261E-3"/>
    <m/>
    <m/>
    <m/>
  </r>
  <r>
    <n v="916"/>
    <n v="2024"/>
    <n v="2023"/>
    <s v="Year_1"/>
    <d v="2023-12-09T00:00:00"/>
    <s v="KUD15"/>
    <s v="O2R1"/>
    <s v="KSIPL"/>
    <n v="4.3478260869565223E-2"/>
    <n v="5685"/>
    <x v="36"/>
    <s v="SyncVoltMeasurementMismatch"/>
    <s v="Breakdown"/>
    <d v="1899-12-30T14:13:00"/>
    <d v="1899-12-30T14:13:00"/>
    <d v="1899-12-31T00:00:00"/>
    <d v="1899-12-30T00:00:00"/>
    <n v="9.783333333333335"/>
    <n v="9.783333333333335"/>
    <s v="WIP"/>
    <s v="Open"/>
    <n v="0.42536231884057984"/>
    <m/>
    <m/>
    <m/>
  </r>
  <r>
    <n v="917"/>
    <n v="2024"/>
    <n v="2023"/>
    <s v="Year_1"/>
    <d v="2023-12-10T00:00:00"/>
    <s v="KUD15"/>
    <s v="O2R1"/>
    <s v="KSIPL"/>
    <n v="4.3478260869565223E-2"/>
    <n v="5685"/>
    <x v="36"/>
    <s v="SyncVoltMeasurementMismatch"/>
    <s v="Breakdown"/>
    <d v="1899-12-30T00:00:00"/>
    <d v="1899-12-30T00:00:00"/>
    <d v="1899-12-30T00:10:00"/>
    <d v="1899-12-30T00:00:00"/>
    <n v="0.16666666666666655"/>
    <n v="0.16666666666666655"/>
    <s v="Found VCP board Malfunction so we replaced new VCP board and restored the turbine. "/>
    <s v="Close"/>
    <n v="7.2463768115941986E-3"/>
    <m/>
    <m/>
    <m/>
  </r>
  <r>
    <n v="918"/>
    <n v="2024"/>
    <n v="2023"/>
    <s v="Year_1"/>
    <d v="2023-12-10T00:00:00"/>
    <s v="KUD15"/>
    <s v="O2R1"/>
    <s v="KSIPL"/>
    <n v="4.3478260869565223E-2"/>
    <n v="5685"/>
    <x v="36"/>
    <s v="SyncVoltMeasurementMismatch"/>
    <s v="Breakdown"/>
    <d v="1899-12-30T13:02:00"/>
    <d v="1899-12-30T13:02:00"/>
    <d v="1899-12-30T13:47:00"/>
    <d v="1899-12-30T00:00:00"/>
    <n v="0.75"/>
    <n v="0.75"/>
    <s v="Manual reset done"/>
    <s v="Close"/>
    <n v="3.2608695652173919E-2"/>
    <m/>
    <m/>
    <m/>
  </r>
  <r>
    <n v="919"/>
    <n v="2024"/>
    <n v="2023"/>
    <s v="Year_1"/>
    <d v="2023-12-10T00:00:00"/>
    <s v="KUD15"/>
    <s v="O2R1"/>
    <s v="KSIPL"/>
    <n v="4.3478260869565223E-2"/>
    <n v="5685"/>
    <x v="36"/>
    <s v="SyncVoltMeasurementMismatch"/>
    <s v="Manual Stop"/>
    <d v="1899-12-30T16:31:00"/>
    <d v="1899-12-30T16:31:00"/>
    <d v="1899-12-30T17:45:00"/>
    <d v="1899-12-30T00:00:00"/>
    <n v="1.2333333333333369"/>
    <n v="1.2333333333333369"/>
    <s v="M/S for -400-04-01-04Q1 contractor  malfunctioning so we replced new contractor and run the turbine."/>
    <s v="Close"/>
    <n v="5.3623188405797266E-2"/>
    <m/>
    <m/>
    <m/>
  </r>
  <r>
    <n v="920"/>
    <n v="2024"/>
    <n v="2023"/>
    <s v="Year_1"/>
    <d v="2023-12-13T00:00:00"/>
    <s v="KUD18"/>
    <s v="O2R4"/>
    <s v="SGDCIPL"/>
    <n v="4.3478260869565223E-2"/>
    <n v="900"/>
    <x v="100"/>
    <s v="M/S stop for 6 Month Service."/>
    <s v="Manual Stop"/>
    <d v="1899-12-30T11:13:00"/>
    <d v="1899-12-30T11:13:00"/>
    <d v="1899-12-30T17:23:00"/>
    <d v="1899-12-30T00:00:00"/>
    <n v="6.1666666666666794"/>
    <n v="6.1666666666666794"/>
    <s v="M/S stop for 6 month scheduled service and CIM4362 work"/>
    <s v="Close"/>
    <n v="0.26811594202898609"/>
    <m/>
    <m/>
    <m/>
  </r>
  <r>
    <n v="921"/>
    <n v="2024"/>
    <n v="2023"/>
    <s v="Year_1"/>
    <d v="2023-12-13T00:00:00"/>
    <s v="KUD01"/>
    <s v="O2R1"/>
    <s v="KSIPL"/>
    <n v="4.3478260869565223E-2"/>
    <n v="450"/>
    <x v="127"/>
    <s v="Ext. High I sum Grd inv."/>
    <s v="Breakdown"/>
    <d v="1899-12-30T08:51:00"/>
    <d v="1899-12-30T08:51:00"/>
    <d v="1899-12-30T08:54:00"/>
    <d v="1899-12-30T00:00:00"/>
    <n v="4.9999999999991829E-2"/>
    <n v="4.9999999999991829E-2"/>
    <s v="Auto reset"/>
    <s v="Close"/>
    <n v="2.1739130434779057E-3"/>
    <m/>
    <m/>
    <m/>
  </r>
  <r>
    <n v="922"/>
    <n v="2024"/>
    <n v="2023"/>
    <s v="Year_1"/>
    <d v="2023-12-13T00:00:00"/>
    <s v="KUD22"/>
    <s v="O2R3"/>
    <s v="JK"/>
    <n v="4.3478260869565223E-2"/>
    <n v="4239"/>
    <x v="40"/>
    <s v="HVCB Unknown Trip Reason"/>
    <s v="Breakdown"/>
    <d v="1899-12-30T06:17:00"/>
    <d v="1899-12-30T06:17:00"/>
    <d v="1899-12-30T07:25:00"/>
    <d v="1899-12-30T00:00:00"/>
    <n v="1.133333333333328"/>
    <n v="1.133333333333328"/>
    <s v="remote reset done"/>
    <s v="Close"/>
    <n v="4.9275362318840353E-2"/>
    <m/>
    <m/>
    <m/>
  </r>
  <r>
    <n v="923"/>
    <n v="2024"/>
    <n v="2023"/>
    <s v="Year_1"/>
    <d v="2023-12-13T00:00:00"/>
    <s v="KUD22"/>
    <s v="O2R3"/>
    <s v="JK"/>
    <n v="4.3478260869565223E-2"/>
    <n v="3209"/>
    <x v="101"/>
    <s v="YawSignals Invalid"/>
    <s v="Breakdown"/>
    <d v="1899-12-30T11:34:00"/>
    <d v="1899-12-30T11:34:00"/>
    <d v="1899-12-30T11:37:00"/>
    <d v="1899-12-30T00:00:00"/>
    <n v="5.000000000001581E-2"/>
    <n v="5.000000000001581E-2"/>
    <s v="remote reset done"/>
    <s v="Close"/>
    <n v="2.1739130434789487E-3"/>
    <m/>
    <m/>
    <m/>
  </r>
  <r>
    <n v="924"/>
    <n v="2024"/>
    <n v="2023"/>
    <s v="Year_1"/>
    <d v="2023-12-14T00:00:00"/>
    <s v="KUD22"/>
    <s v="O2R3"/>
    <s v="JK"/>
    <n v="4.3478260869565223E-2"/>
    <n v="4239"/>
    <x v="40"/>
    <s v="HVCB Unknown Trip Reason"/>
    <s v="Breakdown"/>
    <d v="1899-12-30T05:47:00"/>
    <d v="1899-12-30T05:47:00"/>
    <d v="1899-12-30T06:33:00"/>
    <d v="1899-12-30T00:00:00"/>
    <n v="0.76666666666667926"/>
    <n v="0.76666666666667926"/>
    <s v="remote reset done"/>
    <s v="Close"/>
    <n v="3.3333333333333888E-2"/>
    <m/>
    <m/>
    <m/>
  </r>
  <r>
    <n v="925"/>
    <n v="2024"/>
    <n v="2023"/>
    <s v="Year_1"/>
    <d v="2023-12-14T00:00:00"/>
    <s v="KUD04"/>
    <s v="O2R3"/>
    <s v="JK"/>
    <n v="4.3478260869565223E-2"/>
    <n v="837"/>
    <x v="145"/>
    <s v="RT AGO2Sta.Cyc. Count2, 547V"/>
    <s v="Breakdown"/>
    <d v="1899-12-30T16:13:00"/>
    <d v="1899-12-30T16:13:00"/>
    <d v="1899-12-30T16:46:00"/>
    <d v="1899-12-30T00:00:00"/>
    <n v="0.55000000000000604"/>
    <n v="0.55000000000000604"/>
    <s v="Hard reboot done in the turbine"/>
    <s v="Close"/>
    <n v="2.3913043478261134E-2"/>
    <m/>
    <m/>
    <m/>
  </r>
  <r>
    <n v="926"/>
    <n v="2024"/>
    <n v="2023"/>
    <s v="Year_1"/>
    <d v="2023-12-14T00:00:00"/>
    <s v="KUD05"/>
    <s v="O2R3"/>
    <s v="JK"/>
    <n v="4.3478260869565223E-2"/>
    <n v="3659"/>
    <x v="146"/>
    <s v="Hub BallValve B Open"/>
    <s v="Breakdown"/>
    <d v="1899-12-30T16:13:00"/>
    <d v="1899-12-30T16:13:00"/>
    <d v="1899-12-30T19:18:00"/>
    <d v="1899-12-30T00:00:00"/>
    <n v="3.0833333333333517"/>
    <n v="3.0833333333333517"/>
    <s v="Blade B ball valve FB malfunction so check the connection and Hub Pilz rebooted and restore the WTG"/>
    <s v="Close"/>
    <n v="0.13405797101449357"/>
    <m/>
    <m/>
    <m/>
  </r>
  <r>
    <n v="927"/>
    <n v="2024"/>
    <n v="2023"/>
    <s v="Year_1"/>
    <d v="2023-12-14T00:00:00"/>
    <s v="KUD11"/>
    <s v="O2R1"/>
    <s v="KSIPL"/>
    <n v="4.3478260869565223E-2"/>
    <n v="4239"/>
    <x v="40"/>
    <s v="HVCB Unknown Trip Reason"/>
    <s v="Breakdown"/>
    <d v="1899-12-30T16:13:00"/>
    <d v="1899-12-30T16:13:00"/>
    <d v="1899-12-30T17:05:00"/>
    <d v="1899-12-30T00:00:00"/>
    <n v="0.86666666666666359"/>
    <n v="0.86666666666666359"/>
    <s v="SWG manual charge done and FB connection checked.Nacelle Pilz relay connection also checked and restore the WTG"/>
    <s v="Close"/>
    <n v="3.7681159420289725E-2"/>
    <m/>
    <m/>
    <m/>
  </r>
  <r>
    <n v="928"/>
    <n v="2024"/>
    <n v="2023"/>
    <s v="Year_1"/>
    <d v="2023-12-16T00:00:00"/>
    <s v="KUD10"/>
    <s v="O2R1"/>
    <s v="KSIPL"/>
    <n v="4.3478260869565223E-2"/>
    <n v="5195"/>
    <x v="49"/>
    <s v="Prop Valve A Status Fault"/>
    <s v="Breakdown"/>
    <d v="1899-12-30T01:21:00"/>
    <d v="1899-12-30T01:21:00"/>
    <d v="1899-12-30T01:24:00"/>
    <d v="1899-12-30T00:00:00"/>
    <n v="4.9999999999999156E-2"/>
    <n v="4.9999999999999156E-2"/>
    <s v="remote reset done"/>
    <s v="Close"/>
    <n v="2.1739130434782245E-3"/>
    <m/>
    <m/>
    <m/>
  </r>
  <r>
    <n v="929"/>
    <n v="2024"/>
    <n v="2023"/>
    <s v="Year_1"/>
    <d v="2023-12-16T00:00:00"/>
    <s v="KUD10"/>
    <s v="O2R1"/>
    <s v="KSIPL"/>
    <n v="4.3478260869565223E-2"/>
    <n v="5195"/>
    <x v="49"/>
    <s v="Prop Valve A Status Fault"/>
    <s v="Breakdown"/>
    <d v="1899-12-30T07:49:00"/>
    <d v="1899-12-30T07:49:00"/>
    <d v="1899-12-30T07:51:00"/>
    <d v="1899-12-30T00:00:00"/>
    <n v="3.3333333333335879E-2"/>
    <n v="3.3333333333335879E-2"/>
    <s v="remote reset done"/>
    <s v="Close"/>
    <n v="1.4492753623189514E-3"/>
    <m/>
    <m/>
    <m/>
  </r>
  <r>
    <n v="930"/>
    <n v="2024"/>
    <n v="2023"/>
    <s v="Year_1"/>
    <d v="2023-12-16T00:00:00"/>
    <s v="KUD10"/>
    <s v="O2R1"/>
    <s v="KSIPL"/>
    <n v="4.3478260869565223E-2"/>
    <n v="5195"/>
    <x v="49"/>
    <s v="Prop Valve A Status Fault"/>
    <s v="Breakdown"/>
    <d v="1899-12-30T19:43:00"/>
    <d v="1899-12-30T19:43:00"/>
    <d v="1899-12-30T19:45:00"/>
    <d v="1899-12-30T00:00:00"/>
    <n v="3.3333333333335879E-2"/>
    <n v="3.3333333333335879E-2"/>
    <s v="remote reset done"/>
    <s v="Close"/>
    <n v="1.4492753623189514E-3"/>
    <m/>
    <m/>
    <m/>
  </r>
  <r>
    <n v="931"/>
    <n v="2024"/>
    <n v="2023"/>
    <s v="Year_1"/>
    <d v="2023-12-16T00:00:00"/>
    <s v="KUD10"/>
    <s v="O2R1"/>
    <s v="KSIPL"/>
    <n v="4.3478260869565223E-2"/>
    <n v="5195"/>
    <x v="49"/>
    <s v="Prop Valve A Status Fault"/>
    <s v="Breakdown"/>
    <d v="1899-12-30T20:07:00"/>
    <d v="1899-12-30T20:07:00"/>
    <d v="1899-12-30T20:09:00"/>
    <d v="1899-12-30T00:00:00"/>
    <n v="3.3333333333335879E-2"/>
    <n v="3.3333333333335879E-2"/>
    <s v="remote reset done"/>
    <s v="Close"/>
    <n v="1.4492753623189514E-3"/>
    <m/>
    <m/>
    <m/>
  </r>
  <r>
    <n v="932"/>
    <n v="2024"/>
    <n v="2023"/>
    <s v="Year_1"/>
    <d v="2023-12-16T00:00:00"/>
    <s v="KUD11"/>
    <s v="O2R1"/>
    <s v="KSIPL"/>
    <n v="4.3478260869565223E-2"/>
    <n v="4239"/>
    <x v="40"/>
    <s v="HVCB Unknown Trip Reason"/>
    <s v="Breakdown"/>
    <d v="1899-12-30T15:08:00"/>
    <d v="1899-12-30T15:08:00"/>
    <d v="1899-12-30T16:20:00"/>
    <d v="1899-12-30T00:00:00"/>
    <n v="1.1999999999999771"/>
    <n v="1.1999999999999771"/>
    <s v="in SWG panel Closing coil fixer found loose connection ,after tightened and restorted the WTG."/>
    <s v="Close"/>
    <n v="5.2173913043477273E-2"/>
    <m/>
    <m/>
    <m/>
  </r>
  <r>
    <n v="933"/>
    <n v="2024"/>
    <n v="2023"/>
    <s v="Year_1"/>
    <d v="2023-12-17T00:00:00"/>
    <s v="KUD11"/>
    <s v="O2R1"/>
    <s v="KSIPL"/>
    <n v="4.3478260869565223E-2"/>
    <n v="30"/>
    <x v="44"/>
    <s v="Internal subLogic error"/>
    <s v="Breakdown"/>
    <d v="1899-12-30T15:18:00"/>
    <d v="1899-12-30T15:18:00"/>
    <d v="1899-12-30T15:28:00"/>
    <d v="1899-12-30T00:00:00"/>
    <n v="0.16666666666665808"/>
    <n v="0.16666666666665808"/>
    <s v="remote reset done"/>
    <s v="Close"/>
    <n v="7.2463768115938309E-3"/>
    <m/>
    <m/>
    <m/>
  </r>
  <r>
    <n v="934"/>
    <n v="2024"/>
    <n v="2023"/>
    <s v="Year_1"/>
    <d v="2023-12-17T00:00:00"/>
    <s v="KUD11"/>
    <s v="O2R1"/>
    <s v="KSIPL"/>
    <n v="4.3478260869565223E-2"/>
    <n v="30"/>
    <x v="44"/>
    <s v="Internal subLogic error"/>
    <s v="Breakdown"/>
    <d v="1899-12-30T18:01:00"/>
    <d v="1899-12-30T18:01:00"/>
    <d v="1899-12-30T18:05:00"/>
    <d v="1899-12-30T00:00:00"/>
    <n v="6.6666666666671759E-2"/>
    <n v="6.6666666666671759E-2"/>
    <s v="remote reset done"/>
    <s v="Close"/>
    <n v="2.8985507246379028E-3"/>
    <m/>
    <m/>
    <m/>
  </r>
  <r>
    <n v="935"/>
    <n v="2024"/>
    <n v="2023"/>
    <s v="Year_1"/>
    <d v="2023-12-17T00:00:00"/>
    <s v="KUD12"/>
    <s v="O2R1"/>
    <s v="KSIPL"/>
    <n v="4.3478260869565223E-2"/>
    <n v="30"/>
    <x v="44"/>
    <s v="Internal subLogic error"/>
    <s v="Breakdown"/>
    <d v="1899-12-30T15:18:00"/>
    <d v="1899-12-30T15:18:00"/>
    <d v="1899-12-30T15:25:00"/>
    <d v="1899-12-30T00:00:00"/>
    <n v="0.11666666666666625"/>
    <n v="0.11666666666666625"/>
    <s v="remote reset done"/>
    <s v="Close"/>
    <n v="5.0724637681159243E-3"/>
    <m/>
    <m/>
    <m/>
  </r>
  <r>
    <n v="936"/>
    <n v="2024"/>
    <n v="2023"/>
    <s v="Year_1"/>
    <d v="2023-12-17T00:00:00"/>
    <s v="KUD12"/>
    <s v="O2R1"/>
    <s v="KSIPL"/>
    <n v="4.3478260869565223E-2"/>
    <n v="30"/>
    <x v="44"/>
    <s v="Internal subLogic error"/>
    <s v="Breakdown"/>
    <d v="1899-12-30T18:01:00"/>
    <d v="1899-12-30T18:01:00"/>
    <d v="1899-12-30T18:06:00"/>
    <d v="1899-12-30T00:00:00"/>
    <n v="8.3333333333351689E-2"/>
    <n v="8.3333333333351689E-2"/>
    <s v="remote reset done"/>
    <s v="Close"/>
    <n v="3.6231884057978999E-3"/>
    <m/>
    <m/>
    <m/>
  </r>
  <r>
    <n v="937"/>
    <n v="2024"/>
    <n v="2023"/>
    <s v="Year_1"/>
    <d v="2023-12-17T00:00:00"/>
    <s v="KUD13"/>
    <s v="O2R1"/>
    <s v="KSIPL"/>
    <n v="4.3478260869565223E-2"/>
    <n v="30"/>
    <x v="44"/>
    <s v="Internal subLogic error"/>
    <s v="Breakdown"/>
    <d v="1899-12-30T18:01:00"/>
    <d v="1899-12-30T18:01:00"/>
    <d v="1899-12-30T18:06:00"/>
    <d v="1899-12-30T00:00:00"/>
    <n v="8.3333333333351689E-2"/>
    <n v="8.3333333333351689E-2"/>
    <s v="remote reset done"/>
    <s v="Close"/>
    <n v="3.6231884057978999E-3"/>
    <m/>
    <m/>
    <m/>
  </r>
  <r>
    <n v="938"/>
    <n v="2024"/>
    <n v="2023"/>
    <s v="Year_1"/>
    <d v="2023-12-17T00:00:00"/>
    <s v="KUD14"/>
    <s v="O2R1"/>
    <s v="KSIPL"/>
    <n v="4.3478260869565223E-2"/>
    <n v="30"/>
    <x v="44"/>
    <s v="Internal subLogic error"/>
    <s v="Breakdown"/>
    <d v="1899-12-30T15:18:00"/>
    <d v="1899-12-30T15:18:00"/>
    <d v="1899-12-30T15:34:00"/>
    <d v="1899-12-30T00:00:00"/>
    <n v="0.26666666666666572"/>
    <n v="0.26666666666666572"/>
    <s v="remote reset done"/>
    <s v="Close"/>
    <n v="1.1594202898550685E-2"/>
    <m/>
    <m/>
    <m/>
  </r>
  <r>
    <n v="939"/>
    <n v="2024"/>
    <n v="2023"/>
    <s v="Year_1"/>
    <d v="2023-12-17T00:00:00"/>
    <s v="KUD14"/>
    <s v="O2R1"/>
    <s v="KSIPL"/>
    <n v="4.3478260869565223E-2"/>
    <n v="30"/>
    <x v="44"/>
    <s v="Internal subLogic error"/>
    <s v="Breakdown"/>
    <d v="1899-12-30T18:01:00"/>
    <d v="1899-12-30T18:01:00"/>
    <d v="1899-12-30T18:08:00"/>
    <d v="1899-12-30T00:00:00"/>
    <n v="0.11666666666668757"/>
    <n v="0.11666666666668757"/>
    <s v="remote reset done"/>
    <s v="Close"/>
    <n v="5.0724637681168515E-3"/>
    <m/>
    <m/>
    <m/>
  </r>
  <r>
    <n v="940"/>
    <n v="2024"/>
    <n v="2023"/>
    <s v="Year_1"/>
    <d v="2023-12-17T00:00:00"/>
    <s v="KUD15"/>
    <s v="O2R1"/>
    <s v="KSIPL"/>
    <n v="4.3478260869565223E-2"/>
    <n v="30"/>
    <x v="44"/>
    <s v="Internal subLogic error"/>
    <s v="Breakdown"/>
    <d v="1899-12-30T18:01:00"/>
    <d v="1899-12-30T18:01:00"/>
    <d v="1899-12-30T18:10:00"/>
    <d v="1899-12-30T00:00:00"/>
    <n v="0.15000000000002345"/>
    <n v="0.15000000000002345"/>
    <s v="remote reset done"/>
    <s v="Close"/>
    <n v="6.5217391304358031E-3"/>
    <m/>
    <m/>
    <m/>
  </r>
  <r>
    <n v="941"/>
    <n v="2024"/>
    <n v="2023"/>
    <s v="Year_1"/>
    <d v="2023-12-17T00:00:00"/>
    <s v="KUD19"/>
    <s v="O2R1"/>
    <s v="KSIPL"/>
    <n v="4.3478260869565223E-2"/>
    <n v="30"/>
    <x v="44"/>
    <s v="Internal subLogic error"/>
    <s v="Breakdown"/>
    <d v="1899-12-30T15:18:00"/>
    <d v="1899-12-30T15:18:00"/>
    <d v="1899-12-30T15:26:00"/>
    <d v="1899-12-30T00:00:00"/>
    <n v="0.13333333333334618"/>
    <n v="0.13333333333334618"/>
    <s v="remote reset done"/>
    <s v="Close"/>
    <n v="5.7971014492759218E-3"/>
    <m/>
    <m/>
    <m/>
  </r>
  <r>
    <n v="942"/>
    <n v="2024"/>
    <n v="2023"/>
    <s v="Year_1"/>
    <d v="2023-12-17T00:00:00"/>
    <s v="KUD19"/>
    <s v="O2R1"/>
    <s v="KSIPL"/>
    <n v="4.3478260869565223E-2"/>
    <n v="30"/>
    <x v="44"/>
    <s v="Internal subLogic error"/>
    <s v="Breakdown"/>
    <d v="1899-12-30T18:01:00"/>
    <d v="1899-12-30T18:01:00"/>
    <d v="1899-12-30T18:10:00"/>
    <d v="1899-12-30T00:00:00"/>
    <n v="0.15000000000002345"/>
    <n v="0.15000000000002345"/>
    <s v="remote reset done"/>
    <s v="Close"/>
    <n v="6.5217391304358031E-3"/>
    <m/>
    <m/>
    <m/>
  </r>
  <r>
    <n v="943"/>
    <n v="2024"/>
    <n v="2023"/>
    <s v="Year_1"/>
    <d v="2023-12-17T00:00:00"/>
    <s v="KUD20"/>
    <s v="O2R1"/>
    <s v="KSIPL"/>
    <n v="4.3478260869565223E-2"/>
    <n v="30"/>
    <x v="44"/>
    <s v="Internal subLogic error"/>
    <s v="Breakdown"/>
    <d v="1899-12-30T18:01:00"/>
    <d v="1899-12-30T18:01:00"/>
    <d v="1899-12-30T18:10:00"/>
    <d v="1899-12-30T00:00:00"/>
    <n v="0.15000000000002345"/>
    <n v="0.15000000000002345"/>
    <s v="remote reset done"/>
    <s v="Close"/>
    <n v="6.5217391304358031E-3"/>
    <m/>
    <m/>
    <m/>
  </r>
  <r>
    <n v="944"/>
    <n v="2024"/>
    <n v="2023"/>
    <s v="Year_1"/>
    <d v="2023-12-18T00:00:00"/>
    <s v="KUD01"/>
    <s v="O2R1"/>
    <s v="KSIPL"/>
    <n v="4.3478260869565223E-2"/>
    <n v="450"/>
    <x v="127"/>
    <s v="Ext. High I sum Grd inv."/>
    <s v="Breakdown"/>
    <d v="1899-12-30T08:30:00"/>
    <d v="1899-12-30T08:30:00"/>
    <d v="1899-12-30T08:32:00"/>
    <d v="1899-12-30T00:00:00"/>
    <n v="3.3333333333335879E-2"/>
    <n v="3.3333333333335879E-2"/>
    <s v="Auto reset"/>
    <s v="Close"/>
    <n v="1.4492753623189514E-3"/>
    <m/>
    <m/>
    <m/>
  </r>
  <r>
    <n v="945"/>
    <n v="2024"/>
    <n v="2023"/>
    <s v="Year_1"/>
    <d v="2023-12-18T00:00:00"/>
    <s v="KUD10"/>
    <s v="O2R1"/>
    <s v="KSIPL"/>
    <n v="4.3478260869565223E-2"/>
    <n v="5196"/>
    <x v="114"/>
    <s v="Prop Valve B Status Fault"/>
    <s v="Breakdown"/>
    <d v="1899-12-30T19:05:00"/>
    <d v="1899-12-30T19:05:00"/>
    <d v="1899-12-30T19:07:00"/>
    <d v="1899-12-30T00:00:00"/>
    <n v="3.3333333333335879E-2"/>
    <n v="3.3333333333335879E-2"/>
    <s v="Auto reset"/>
    <s v="Close"/>
    <n v="1.4492753623189514E-3"/>
    <m/>
    <m/>
    <m/>
  </r>
  <r>
    <n v="946"/>
    <n v="2024"/>
    <n v="2023"/>
    <s v="Year_1"/>
    <d v="2023-12-18T00:00:00"/>
    <s v="KUD10"/>
    <s v="O2R1"/>
    <s v="KSIPL"/>
    <n v="4.3478260869565223E-2"/>
    <n v="5197"/>
    <x v="54"/>
    <s v="Prop Valve C Status Fault"/>
    <s v="Breakdown"/>
    <d v="1899-12-30T23:18:00"/>
    <d v="1899-12-30T23:18:00"/>
    <d v="1899-12-30T23:21:00"/>
    <d v="1899-12-30T00:00:00"/>
    <n v="5.000000000001581E-2"/>
    <n v="5.000000000001581E-2"/>
    <s v="Auto reset"/>
    <s v="Close"/>
    <n v="2.1739130434789487E-3"/>
    <m/>
    <m/>
    <m/>
  </r>
  <r>
    <n v="947"/>
    <n v="2024"/>
    <n v="2023"/>
    <s v="Year_1"/>
    <d v="2023-12-19T00:00:00"/>
    <s v="KUD21"/>
    <s v="O2R3"/>
    <s v="JK"/>
    <n v="4.3478260869565223E-2"/>
    <n v="900"/>
    <x v="100"/>
    <s v="M/S stop for 6 Month Service and CIM 4362 implementation work "/>
    <s v="Manual Stop"/>
    <d v="1899-12-30T11:00:00"/>
    <d v="1899-12-30T11:00:00"/>
    <d v="1899-12-30T18:06:00"/>
    <d v="1899-12-30T00:00:00"/>
    <n v="7.1000000000000156"/>
    <n v="7.1000000000000156"/>
    <s v="6 Month Service completed &amp; Secure nacelle fan duct with steel wire connection done"/>
    <s v="Close"/>
    <n v="0.30869565217391376"/>
    <m/>
    <m/>
    <m/>
  </r>
  <r>
    <n v="948"/>
    <n v="2024"/>
    <n v="2023"/>
    <s v="Year_1"/>
    <d v="2023-12-19T00:00:00"/>
    <s v="KUD21"/>
    <s v="O2R3"/>
    <s v="JK"/>
    <n v="4.3478260869565223E-2"/>
    <n v="900"/>
    <x v="100"/>
    <s v="M/S stop for 6 Month Service and CIM 4362 implementation work "/>
    <s v="Manual Stop"/>
    <d v="1899-12-30T18:11:00"/>
    <d v="1899-12-30T18:11:00"/>
    <d v="1899-12-30T18:27:00"/>
    <d v="1899-12-30T00:00:00"/>
    <n v="0.26666666666666572"/>
    <n v="0.26666666666666572"/>
    <s v="6 Month Service completed &amp; Secure nacelle fan duct with steel wire connection done"/>
    <s v="Close"/>
    <n v="1.1594202898550685E-2"/>
    <m/>
    <m/>
    <m/>
  </r>
  <r>
    <n v="949"/>
    <n v="2024"/>
    <n v="2023"/>
    <s v="Year_1"/>
    <d v="2023-12-19T00:00:00"/>
    <s v="KUD22"/>
    <s v="O2R3"/>
    <s v="JK"/>
    <n v="4.3478260869565223E-2"/>
    <n v="5069"/>
    <x v="111"/>
    <s v="Pitch pos C meas. signal fault"/>
    <s v="Breakdown"/>
    <d v="1899-12-30T18:11:00"/>
    <d v="1899-12-30T18:11:00"/>
    <d v="1899-12-30T18:13:00"/>
    <d v="1899-12-30T00:00:00"/>
    <n v="3.3333333333335879E-2"/>
    <n v="3.3333333333335879E-2"/>
    <s v="Auto reset"/>
    <s v="Close"/>
    <n v="1.4492753623189514E-3"/>
    <m/>
    <m/>
    <m/>
  </r>
  <r>
    <n v="950"/>
    <n v="2024"/>
    <n v="2023"/>
    <s v="Year_1"/>
    <d v="2023-12-20T00:00:00"/>
    <s v="KUD20"/>
    <s v="O2R1"/>
    <s v="KSIPL"/>
    <n v="4.3478260869565223E-2"/>
    <n v="900"/>
    <x v="100"/>
    <s v="No communication due to delay for restore the WTG"/>
    <s v="Breakdown"/>
    <d v="1899-12-30T16:09:00"/>
    <d v="1899-12-30T16:09:00"/>
    <d v="1899-12-30T17:07:00"/>
    <d v="1899-12-30T00:00:00"/>
    <n v="0.96666666666664725"/>
    <n v="0.96666666666664725"/>
    <s v="No communication due to Project pending work taken and jumper open in KUD14,KUD19"/>
    <s v="Close"/>
    <n v="4.2028985507245535E-2"/>
    <m/>
    <m/>
    <m/>
  </r>
  <r>
    <n v="951"/>
    <n v="2024"/>
    <n v="2023"/>
    <s v="Year_1"/>
    <d v="2023-12-20T00:00:00"/>
    <s v="KUD12"/>
    <s v="O2R1"/>
    <s v="KSIPL"/>
    <n v="4.3478260869565223E-2"/>
    <n v="900"/>
    <x v="100"/>
    <s v="No communication due to delay for restore the WTG"/>
    <s v="Breakdown"/>
    <d v="1899-12-30T16:09:00"/>
    <d v="1899-12-30T16:09:00"/>
    <d v="1899-12-30T16:46:00"/>
    <d v="1899-12-30T00:00:00"/>
    <n v="0.61666666666665382"/>
    <n v="0.61666666666665382"/>
    <s v="No communication due to Project pending work taken and jumper open in KUD14,KUD19"/>
    <s v="Close"/>
    <n v="2.6811594202897995E-2"/>
    <m/>
    <m/>
    <m/>
  </r>
  <r>
    <n v="952"/>
    <n v="2024"/>
    <n v="2023"/>
    <s v="Year_1"/>
    <d v="2023-12-20T00:00:00"/>
    <s v="KUD10"/>
    <s v="O2R1"/>
    <s v="KSIPL"/>
    <n v="4.3478260869565223E-2"/>
    <n v="5196"/>
    <x v="114"/>
    <s v="Prop Valve B Status Fault"/>
    <s v="Breakdown"/>
    <d v="1899-12-30T20:38:00"/>
    <d v="1899-12-30T20:38:00"/>
    <d v="1899-12-30T20:40:00"/>
    <d v="1899-12-30T00:00:00"/>
    <n v="3.3333333333335879E-2"/>
    <n v="3.3333333333335879E-2"/>
    <s v="Auto reset"/>
    <s v="Close"/>
    <n v="1.4492753623189514E-3"/>
    <m/>
    <m/>
    <m/>
  </r>
  <r>
    <n v="953"/>
    <n v="2024"/>
    <n v="2023"/>
    <s v="Year_1"/>
    <d v="2023-12-20T00:00:00"/>
    <s v="KUD10"/>
    <s v="O2R1"/>
    <s v="KSIPL"/>
    <n v="4.3478260869565223E-2"/>
    <n v="5196"/>
    <x v="114"/>
    <s v="Prop Valve B Status Fault"/>
    <s v="Breakdown"/>
    <d v="1899-12-30T23:12:00"/>
    <d v="1899-12-30T23:12:00"/>
    <d v="1899-12-30T23:14:00"/>
    <d v="1899-12-30T00:00:00"/>
    <n v="3.3333333333335879E-2"/>
    <n v="3.3333333333335879E-2"/>
    <s v="Auto reset"/>
    <s v="Close"/>
    <n v="1.4492753623189514E-3"/>
    <m/>
    <m/>
    <m/>
  </r>
  <r>
    <n v="954"/>
    <n v="2024"/>
    <n v="2023"/>
    <s v="Year_1"/>
    <d v="2023-12-21T00:00:00"/>
    <s v="KUD22"/>
    <s v="O2R3"/>
    <s v="JK"/>
    <n v="4.3478260869565223E-2"/>
    <n v="900"/>
    <x v="100"/>
    <s v="M/S stop for 6 Month Service and CIM 4362 implementation work "/>
    <s v="Manual Stop"/>
    <d v="1899-12-30T10:45:00"/>
    <d v="1899-12-30T10:45:00"/>
    <d v="1899-12-30T18:23:00"/>
    <d v="1899-12-30T00:00:00"/>
    <n v="7.6333333333333204"/>
    <n v="7.6333333333333204"/>
    <s v="6 Month Service completed &amp; Secure nacelle fan duct with steel wire connection done"/>
    <s v="Close"/>
    <n v="0.331884057971014"/>
    <m/>
    <m/>
    <m/>
  </r>
  <r>
    <n v="955"/>
    <n v="2024"/>
    <n v="2023"/>
    <s v="Year_1"/>
    <d v="2023-12-21T00:00:00"/>
    <s v="KUD12"/>
    <s v="O2R1"/>
    <s v="KSIPL"/>
    <n v="4.3478260869565223E-2"/>
    <n v="900"/>
    <x v="100"/>
    <s v="No communication due to delay for restore the WTG"/>
    <s v="Breakdown"/>
    <d v="1899-12-30T11:55:00"/>
    <d v="1899-12-30T11:55:00"/>
    <d v="1899-12-30T13:04:00"/>
    <d v="1899-12-30T00:00:00"/>
    <n v="1.1499999999999826"/>
    <n v="1.1499999999999826"/>
    <s v="Manual restart done.No communication due to Project pending work taken and jumper open in KUD01,KUD10,KUD15"/>
    <s v="Close"/>
    <n v="4.9999999999999246E-2"/>
    <m/>
    <m/>
    <m/>
  </r>
  <r>
    <n v="956"/>
    <n v="2024"/>
    <n v="2023"/>
    <s v="Year_1"/>
    <d v="2023-12-21T00:00:00"/>
    <s v="KUD13"/>
    <s v="O2R1"/>
    <s v="KSIPL"/>
    <n v="4.3478260869565223E-2"/>
    <n v="900"/>
    <x v="100"/>
    <s v="No communication due to delay for restore the WTG"/>
    <s v="Breakdown"/>
    <d v="1899-12-30T11:55:00"/>
    <d v="1899-12-30T11:55:00"/>
    <d v="1899-12-30T13:02:00"/>
    <d v="1899-12-30T00:00:00"/>
    <n v="1.1166666666666707"/>
    <n v="1.1166666666666707"/>
    <s v="Manual restart done.No communication due to Project pending work taken and jumper open in KUD01,KUD10,KUD15"/>
    <s v="Close"/>
    <n v="4.8550724637681342E-2"/>
    <m/>
    <m/>
    <m/>
  </r>
  <r>
    <n v="957"/>
    <n v="2024"/>
    <n v="2023"/>
    <s v="Year_1"/>
    <d v="2023-12-21T00:00:00"/>
    <s v="KUD14"/>
    <s v="O2R1"/>
    <s v="KSIPL"/>
    <n v="4.3478260869565223E-2"/>
    <n v="900"/>
    <x v="100"/>
    <s v="No communication due to delay for restore the WTG"/>
    <s v="Breakdown"/>
    <d v="1899-12-30T11:55:00"/>
    <d v="1899-12-30T11:55:00"/>
    <d v="1899-12-30T13:04:00"/>
    <d v="1899-12-30T00:00:00"/>
    <n v="1.1499999999999826"/>
    <n v="1.1499999999999826"/>
    <s v="Manual restart done.No communication due to Project pending work taken and jumper open in KUD01,KUD10,KUD15"/>
    <s v="Close"/>
    <n v="4.9999999999999246E-2"/>
    <m/>
    <m/>
    <m/>
  </r>
  <r>
    <n v="958"/>
    <n v="2024"/>
    <n v="2023"/>
    <s v="Year_1"/>
    <d v="2023-12-21T00:00:00"/>
    <s v="KUD19"/>
    <s v="O2R1"/>
    <s v="KSIPL"/>
    <n v="4.3478260869565223E-2"/>
    <n v="900"/>
    <x v="100"/>
    <s v="No communication due to delay for restore the WTG"/>
    <s v="Breakdown"/>
    <d v="1899-12-30T11:55:00"/>
    <d v="1899-12-30T11:55:00"/>
    <d v="1899-12-30T13:05:00"/>
    <d v="1899-12-30T00:00:00"/>
    <n v="1.1666666666666625"/>
    <n v="1.1666666666666625"/>
    <s v="Manual restart done.No communication due to Project pending work taken and jumper open in KUD01,KUD10,KUD15"/>
    <s v="Close"/>
    <n v="5.072463768115925E-2"/>
    <m/>
    <m/>
    <m/>
  </r>
  <r>
    <n v="959"/>
    <n v="2024"/>
    <n v="2023"/>
    <s v="Year_1"/>
    <d v="2023-12-21T00:00:00"/>
    <s v="KUD20"/>
    <s v="O2R1"/>
    <s v="KSIPL"/>
    <n v="4.3478260869565223E-2"/>
    <n v="900"/>
    <x v="100"/>
    <s v="No communication due to delay for restore the WTG"/>
    <s v="Breakdown"/>
    <d v="1899-12-30T11:55:00"/>
    <d v="1899-12-30T11:55:00"/>
    <d v="1899-12-30T13:05:00"/>
    <d v="1899-12-30T00:00:00"/>
    <n v="1.1666666666666625"/>
    <n v="1.1666666666666625"/>
    <s v="Manual restart done.No communication due to Project pending work taken and jumper open in KUD01,KUD10,KUD15"/>
    <s v="Close"/>
    <n v="5.072463768115925E-2"/>
    <m/>
    <m/>
    <m/>
  </r>
  <r>
    <n v="960"/>
    <n v="2024"/>
    <n v="2023"/>
    <s v="Year_1"/>
    <d v="2023-12-21T00:00:00"/>
    <s v="KUD10"/>
    <s v="O2R1"/>
    <s v="KSIPL"/>
    <n v="4.3478260869565223E-2"/>
    <n v="5196"/>
    <x v="114"/>
    <s v="Prop Valve B Status Fault"/>
    <s v="Breakdown"/>
    <d v="1899-12-30T22:15:00"/>
    <d v="1899-12-30T22:15:00"/>
    <d v="1899-12-30T22:17:00"/>
    <d v="1899-12-30T00:00:00"/>
    <n v="3.3333333333335879E-2"/>
    <n v="3.3333333333335879E-2"/>
    <s v="Auto reset"/>
    <s v="Close"/>
    <n v="1.4492753623189514E-3"/>
    <m/>
    <m/>
    <m/>
  </r>
  <r>
    <n v="961"/>
    <n v="2024"/>
    <n v="2023"/>
    <s v="Year_1"/>
    <d v="2023-12-21T00:00:00"/>
    <s v="KUD10"/>
    <s v="O2R1"/>
    <s v="KSIPL"/>
    <n v="4.3478260869565223E-2"/>
    <n v="5195"/>
    <x v="49"/>
    <s v="Prop Valve A Status Fault"/>
    <s v="Breakdown"/>
    <d v="1899-12-30T23:24:00"/>
    <d v="1899-12-30T23:24:00"/>
    <d v="1899-12-30T23:26:00"/>
    <d v="1899-12-30T00:00:00"/>
    <n v="3.3333333333335879E-2"/>
    <n v="3.3333333333335879E-2"/>
    <s v="Auto reset"/>
    <s v="Close"/>
    <n v="1.4492753623189514E-3"/>
    <m/>
    <m/>
    <m/>
  </r>
  <r>
    <n v="962"/>
    <n v="2024"/>
    <n v="2023"/>
    <s v="Year_1"/>
    <d v="2023-12-22T00:00:00"/>
    <s v="KUD12"/>
    <s v="O2R1"/>
    <s v="KSIPL"/>
    <n v="4.3478260869565223E-2"/>
    <n v="900"/>
    <x v="100"/>
    <s v="No communication due to delay for restore the WTG"/>
    <s v="Breakdown"/>
    <d v="1899-12-30T13:36:00"/>
    <d v="1899-12-30T13:36:00"/>
    <d v="1899-12-30T14:03:00"/>
    <d v="1899-12-30T00:00:00"/>
    <n v="0.45000000000000107"/>
    <n v="0.45000000000000107"/>
    <s v="Manual restart done.No communication due to Project pending work taken and jumper open in KUD15"/>
    <s v="Close"/>
    <n v="1.9565217391304398E-2"/>
    <m/>
    <m/>
    <m/>
  </r>
  <r>
    <n v="963"/>
    <n v="2024"/>
    <n v="2023"/>
    <s v="Year_1"/>
    <d v="2023-12-22T00:00:00"/>
    <s v="KUD13"/>
    <s v="O2R1"/>
    <s v="KSIPL"/>
    <n v="4.3478260869565223E-2"/>
    <n v="900"/>
    <x v="100"/>
    <s v="No communication due to delay for restore the WTG"/>
    <s v="Breakdown"/>
    <d v="1899-12-30T13:36:00"/>
    <d v="1899-12-30T13:36:00"/>
    <d v="1899-12-30T14:22:00"/>
    <d v="1899-12-30T00:00:00"/>
    <n v="0.76666666666665595"/>
    <n v="0.76666666666665595"/>
    <s v="Manual restart done.No communication due to Project pending work taken and jumper open in KUD15"/>
    <s v="Close"/>
    <n v="3.3333333333332875E-2"/>
    <m/>
    <m/>
    <m/>
  </r>
  <r>
    <n v="964"/>
    <n v="2024"/>
    <n v="2023"/>
    <s v="Year_1"/>
    <d v="2023-12-22T00:00:00"/>
    <s v="KUD14"/>
    <s v="O2R1"/>
    <s v="KSIPL"/>
    <n v="4.3478260869565223E-2"/>
    <n v="900"/>
    <x v="100"/>
    <s v="No communication due to delay for restore the WTG"/>
    <s v="Breakdown"/>
    <d v="1899-12-30T13:36:00"/>
    <d v="1899-12-30T13:36:00"/>
    <d v="1899-12-30T16:26:00"/>
    <d v="1899-12-30T00:00:00"/>
    <n v="2.8333333333333206"/>
    <n v="2.8333333333333206"/>
    <s v="Manual restart done.No communication due to Project pending work taken and jumper open in KUD15"/>
    <s v="Close"/>
    <n v="0.12318840579710091"/>
    <m/>
    <m/>
    <m/>
  </r>
  <r>
    <n v="965"/>
    <n v="2024"/>
    <n v="2023"/>
    <s v="Year_1"/>
    <d v="2023-12-22T00:00:00"/>
    <s v="KUD19"/>
    <s v="O2R1"/>
    <s v="KSIPL"/>
    <n v="4.3478260869565223E-2"/>
    <n v="900"/>
    <x v="100"/>
    <s v="No communication due to delay for restore the WTG"/>
    <s v="Breakdown"/>
    <d v="1899-12-30T13:36:00"/>
    <d v="1899-12-30T13:36:00"/>
    <d v="1899-12-30T15:27:00"/>
    <d v="1899-12-30T00:00:00"/>
    <n v="1.8499999999999934"/>
    <n v="1.8499999999999934"/>
    <s v="Manual restart done.No communication due to Project pending work taken and jumper open in KUD15"/>
    <s v="Close"/>
    <n v="8.0434782608695382E-2"/>
    <m/>
    <m/>
    <m/>
  </r>
  <r>
    <n v="966"/>
    <n v="2024"/>
    <n v="2023"/>
    <s v="Year_1"/>
    <d v="2023-12-22T00:00:00"/>
    <s v="KUD20"/>
    <s v="O2R1"/>
    <s v="KSIPL"/>
    <n v="4.3478260869565223E-2"/>
    <n v="900"/>
    <x v="100"/>
    <s v="No communication due to delay for restore the WTG"/>
    <s v="Breakdown"/>
    <d v="1899-12-30T13:36:00"/>
    <d v="1899-12-30T13:36:00"/>
    <d v="1899-12-30T15:43:00"/>
    <d v="1899-12-30T00:00:00"/>
    <n v="2.1166666666666565"/>
    <n v="2.1166666666666565"/>
    <s v="Manual restart done.No communication due to Project pending work taken and jumper open in KUD15"/>
    <s v="Close"/>
    <n v="9.2028985507245947E-2"/>
    <m/>
    <m/>
    <m/>
  </r>
  <r>
    <n v="967"/>
    <n v="2024"/>
    <n v="2023"/>
    <s v="Year_1"/>
    <d v="2023-12-22T00:00:00"/>
    <s v="KUD11"/>
    <s v="O2R1"/>
    <s v="KSIPL"/>
    <n v="4.3478260869565223E-2"/>
    <n v="3806"/>
    <x v="147"/>
    <s v="HubSafetySystem Batt.Charg.Err"/>
    <s v="Breakdown"/>
    <d v="1899-12-30T17:25:00"/>
    <d v="1899-12-30T17:25:00"/>
    <d v="1899-12-30T17:29:00"/>
    <d v="1899-12-30T00:00:00"/>
    <n v="6.6666666666647778E-2"/>
    <n v="6.6666666666647778E-2"/>
    <s v="Auto reset"/>
    <s v="Close"/>
    <n v="2.8985507246368602E-3"/>
    <m/>
    <m/>
    <m/>
  </r>
  <r>
    <n v="968"/>
    <n v="2024"/>
    <n v="2023"/>
    <s v="Year_1"/>
    <d v="2023-12-23T00:00:00"/>
    <s v="KUD12"/>
    <s v="O2R1"/>
    <s v="KSIPL"/>
    <n v="4.3478260869565223E-2"/>
    <n v="900"/>
    <x v="100"/>
    <s v="No communication due to delay for restore the WTG"/>
    <s v="Breakdown"/>
    <d v="1899-12-30T12:35:00"/>
    <d v="1899-12-30T12:35:00"/>
    <d v="1899-12-30T13:04:00"/>
    <d v="1899-12-30T00:00:00"/>
    <n v="0.48333333333333162"/>
    <n v="0.48333333333333162"/>
    <s v="Manual restart done.No communication due to Project pending work taken and jumper open near KUD19"/>
    <s v="Close"/>
    <n v="2.1014492753623118E-2"/>
    <m/>
    <m/>
    <m/>
  </r>
  <r>
    <n v="969"/>
    <n v="2024"/>
    <n v="2023"/>
    <s v="Year_1"/>
    <d v="2023-12-23T00:00:00"/>
    <s v="KUD20"/>
    <s v="O2R1"/>
    <s v="KSIPL"/>
    <n v="4.3478260869565223E-2"/>
    <n v="900"/>
    <x v="100"/>
    <s v="No communication due to delay for restore the WTG"/>
    <s v="Breakdown"/>
    <d v="1899-12-30T12:35:00"/>
    <d v="1899-12-30T12:35:00"/>
    <d v="1899-12-30T13:10:00"/>
    <d v="1899-12-30T00:00:00"/>
    <n v="0.58333333333333126"/>
    <n v="0.58333333333333126"/>
    <s v="Manual restart done.No communication due to Project pending work taken and jumper open near KUD19"/>
    <s v="Close"/>
    <n v="2.5362318840579625E-2"/>
    <m/>
    <m/>
    <m/>
  </r>
  <r>
    <n v="970"/>
    <n v="2024"/>
    <n v="2023"/>
    <s v="Year_1"/>
    <d v="2023-12-25T00:00:00"/>
    <s v="KUD01"/>
    <s v="O2R1"/>
    <s v="KSIPL"/>
    <n v="4.3478260869565223E-2"/>
    <n v="450"/>
    <x v="127"/>
    <s v="Ext. High I sum Grd inv."/>
    <s v="Breakdown"/>
    <d v="1899-12-30T20:20:00"/>
    <d v="1899-12-30T20:20:00"/>
    <d v="1899-12-30T20:22:00"/>
    <d v="1899-12-30T00:00:00"/>
    <n v="3.3333333333333215E-2"/>
    <n v="3.3333333333333215E-2"/>
    <s v="Auto reset"/>
    <s v="Close"/>
    <n v="1.4492753623188356E-3"/>
    <m/>
    <m/>
    <m/>
  </r>
  <r>
    <n v="971"/>
    <n v="2024"/>
    <n v="2023"/>
    <s v="Year_1"/>
    <d v="2023-12-26T00:00:00"/>
    <s v="KUD15"/>
    <s v="O2R1"/>
    <s v="KSIPL"/>
    <n v="4.3478260869565223E-2"/>
    <n v="900"/>
    <x v="100"/>
    <s v="Manual stop for Generator alignment work "/>
    <s v="Manual Stop"/>
    <d v="1899-12-30T11:09:00"/>
    <d v="1899-12-30T11:09:00"/>
    <d v="1899-12-30T14:21:00"/>
    <d v="1899-12-30T00:00:00"/>
    <n v="3.1999999999999993"/>
    <n v="3.1999999999999993"/>
    <s v="Generator alighnment work done"/>
    <s v="Close"/>
    <n v="0.13913043478260867"/>
    <m/>
    <m/>
    <m/>
  </r>
  <r>
    <n v="972"/>
    <n v="2024"/>
    <n v="2023"/>
    <s v="Year_1"/>
    <d v="2023-12-27T00:00:00"/>
    <s v="KUD16"/>
    <s v="O2R2"/>
    <s v="SIL"/>
    <n v="4.3478260869565223E-2"/>
    <n v="900"/>
    <x v="100"/>
    <s v="Manual stop for Generator alignment work "/>
    <s v="Manual Stop"/>
    <d v="1899-12-30T11:36:00"/>
    <d v="1899-12-30T11:36:00"/>
    <d v="1899-12-30T16:08:00"/>
    <d v="1899-12-30T00:00:00"/>
    <n v="4.5333333333333314"/>
    <n v="4.5333333333333314"/>
    <s v="Generator alighnment work done"/>
    <s v="Close"/>
    <n v="0.19710144927536227"/>
    <m/>
    <m/>
    <m/>
  </r>
  <r>
    <n v="973"/>
    <n v="2024"/>
    <n v="2023"/>
    <s v="Year_1"/>
    <d v="2023-12-28T00:00:00"/>
    <s v="KUD01"/>
    <s v="O2R1"/>
    <s v="KSIPL"/>
    <n v="4.3478260869565223E-2"/>
    <n v="450"/>
    <x v="127"/>
    <s v="Ext. High I sum Grd inv."/>
    <s v="Breakdown"/>
    <d v="1899-12-30T18:12:00"/>
    <d v="1899-12-30T18:12:00"/>
    <d v="1899-12-30T18:15:00"/>
    <d v="1899-12-30T00:00:00"/>
    <n v="4.9999999999999822E-2"/>
    <n v="4.9999999999999822E-2"/>
    <s v="Auto reset"/>
    <s v="Close"/>
    <n v="2.1739130434782535E-3"/>
    <m/>
    <m/>
    <m/>
  </r>
  <r>
    <n v="974"/>
    <n v="2024"/>
    <n v="2023"/>
    <s v="Year_1"/>
    <d v="2023-12-28T00:00:00"/>
    <s v="KUD17"/>
    <s v="O2R2"/>
    <s v="SIL"/>
    <n v="4.3478260869565223E-2"/>
    <n v="151"/>
    <x v="148"/>
    <s v="High temp. Gen bearing 1: 95Â°C"/>
    <s v="Breakdown"/>
    <d v="1899-12-30T23:19:00"/>
    <d v="1899-12-30T23:19:00"/>
    <d v="1899-12-30T23:59:00"/>
    <d v="1899-12-30T00:00:00"/>
    <n v="0.66666666666666696"/>
    <n v="0.66666666666666696"/>
    <s v="Auto reset"/>
    <s v="Open"/>
    <n v="2.8985507246376829E-2"/>
    <m/>
    <m/>
    <m/>
  </r>
  <r>
    <n v="975"/>
    <n v="2024"/>
    <n v="2023"/>
    <s v="Year_1"/>
    <d v="2023-12-29T00:00:00"/>
    <s v="KUD17"/>
    <s v="O2R2"/>
    <s v="SIL"/>
    <n v="4.3478260869565223E-2"/>
    <n v="151"/>
    <x v="148"/>
    <s v="High temp. Gen bearing 1: 95Â°C"/>
    <s v="Breakdown"/>
    <d v="1899-12-30T00:00:00"/>
    <d v="1899-12-30T00:00:00"/>
    <d v="1899-12-30T00:28:00"/>
    <d v="1899-12-30T00:00:00"/>
    <n v="0.46666666666666667"/>
    <n v="0.46666666666666667"/>
    <s v="Auto reset"/>
    <s v="Close"/>
    <n v="2.028985507246377E-2"/>
    <m/>
    <m/>
    <m/>
  </r>
  <r>
    <n v="976"/>
    <n v="2024"/>
    <n v="2023"/>
    <s v="Year_1"/>
    <d v="2023-12-29T00:00:00"/>
    <s v="KUD17"/>
    <s v="O2R2"/>
    <s v="SIL"/>
    <n v="4.3478260869565223E-2"/>
    <n v="151"/>
    <x v="148"/>
    <s v="High temp. Gen bearing 1: 95Â°C"/>
    <s v="Breakdown"/>
    <d v="1899-12-30T01:33:00"/>
    <d v="1899-12-30T01:33:00"/>
    <d v="1899-12-30T07:57:00"/>
    <d v="1899-12-30T00:00:00"/>
    <n v="6.4"/>
    <n v="6.4"/>
    <s v="Trouble shooting carried out found Generator cooling fan not worked and fuse failure condition.New CIM case of  MPCB fixed then restore the wtg. "/>
    <s v="Close"/>
    <n v="0.27826086956521745"/>
    <m/>
    <m/>
    <m/>
  </r>
  <r>
    <n v="977"/>
    <n v="2024"/>
    <n v="2024"/>
    <s v="Year_1"/>
    <d v="2024-01-01T00:00:00"/>
    <s v="KUD01"/>
    <s v="O2R1"/>
    <s v="KSIPL"/>
    <n v="4.3478260869565223E-2"/>
    <n v="450"/>
    <x v="127"/>
    <s v="Ext. High I sum Grd inv."/>
    <s v="Breakdown"/>
    <d v="1899-12-30T05:07:00"/>
    <d v="1899-12-30T05:07:00"/>
    <d v="1899-12-30T05:08:00"/>
    <d v="1899-12-30T00:00:00"/>
    <n v="1.6666666666667274E-2"/>
    <n v="1.6666666666667274E-2"/>
    <s v="Auto reset"/>
    <s v="Close"/>
    <n v="7.2463768115944675E-4"/>
    <m/>
    <m/>
    <m/>
  </r>
  <r>
    <n v="978"/>
    <n v="2024"/>
    <n v="2024"/>
    <s v="Year_1"/>
    <d v="2024-01-01T00:00:00"/>
    <s v="KUD01"/>
    <s v="O2R1"/>
    <s v="KSIPL"/>
    <n v="4.3478260869565223E-2"/>
    <n v="4235"/>
    <x v="93"/>
    <s v="Gen Stator CB Open"/>
    <s v="Breakdown"/>
    <d v="1899-12-30T05:16:00"/>
    <d v="1899-12-30T05:16:00"/>
    <d v="1899-12-30T05:17:00"/>
    <d v="1899-12-30T00:00:00"/>
    <n v="1.6666666666666607E-2"/>
    <n v="1.6666666666666607E-2"/>
    <s v="Auto reset"/>
    <s v="Close"/>
    <n v="7.246376811594178E-4"/>
    <m/>
    <m/>
    <m/>
  </r>
  <r>
    <n v="979"/>
    <n v="2024"/>
    <n v="2024"/>
    <s v="Year_1"/>
    <d v="2024-01-02T00:00:00"/>
    <s v="KUD01"/>
    <s v="O2R1"/>
    <s v="KSIPL"/>
    <n v="4.3478260869565223E-2"/>
    <n v="450"/>
    <x v="127"/>
    <s v="Ext. High I sum Grd inv."/>
    <s v="Breakdown"/>
    <d v="1899-12-30T06:32:00"/>
    <d v="1899-12-30T06:32:00"/>
    <d v="1899-12-30T06:34:00"/>
    <d v="1899-12-30T00:00:00"/>
    <n v="3.3333333333333215E-2"/>
    <n v="3.3333333333333215E-2"/>
    <s v="Auto reset"/>
    <s v="Close"/>
    <n v="1.4492753623188356E-3"/>
    <m/>
    <m/>
    <m/>
  </r>
  <r>
    <n v="980"/>
    <n v="2024"/>
    <n v="2024"/>
    <s v="Year_1"/>
    <d v="2024-01-03T00:00:00"/>
    <s v="KUD10"/>
    <s v="O2R1"/>
    <s v="KSIPL"/>
    <n v="4.3478260869565223E-2"/>
    <n v="5196"/>
    <x v="114"/>
    <s v="Prop Valve B Status Fault"/>
    <s v="Breakdown"/>
    <d v="1899-12-30T17:55:00"/>
    <d v="1899-12-30T17:55:00"/>
    <d v="1899-12-30T17:59:00"/>
    <d v="1899-12-30T00:00:00"/>
    <n v="6.666666666666643E-2"/>
    <n v="6.666666666666643E-2"/>
    <s v="Auto reset"/>
    <s v="Close"/>
    <n v="2.8985507246376712E-3"/>
    <m/>
    <m/>
    <m/>
  </r>
  <r>
    <n v="981"/>
    <n v="2024"/>
    <n v="2024"/>
    <s v="Year_1"/>
    <d v="2024-01-05T00:00:00"/>
    <s v="KUD06"/>
    <s v="O2R3"/>
    <s v="JK"/>
    <n v="4.3478260869565223E-2"/>
    <n v="900"/>
    <x v="100"/>
    <s v="M/S for Blade Inspection work"/>
    <s v="Manual Stop"/>
    <d v="1899-12-30T11:39:00"/>
    <d v="1899-12-30T11:39:00"/>
    <d v="1899-12-30T16:28:00"/>
    <d v="1899-12-30T00:00:00"/>
    <n v="4.8166666666666647"/>
    <n v="4.8166666666666647"/>
    <s v="Blade Internal and external blade inspection done."/>
    <s v="Close"/>
    <n v="0.20942028985507241"/>
    <m/>
    <m/>
    <m/>
  </r>
  <r>
    <n v="982"/>
    <n v="2024"/>
    <n v="2024"/>
    <s v="Year_1"/>
    <d v="2024-01-05T00:00:00"/>
    <s v="KUD01"/>
    <s v="O2R1"/>
    <s v="KSIPL"/>
    <n v="4.3478260869565223E-2"/>
    <n v="450"/>
    <x v="127"/>
    <s v="Ext. High I sum Grd inv."/>
    <s v="Breakdown"/>
    <d v="1899-12-30T05:13:00"/>
    <d v="1899-12-30T05:13:00"/>
    <d v="1899-12-30T05:15:00"/>
    <d v="1899-12-30T00:00:00"/>
    <n v="3.3333333333333215E-2"/>
    <n v="3.3333333333333215E-2"/>
    <s v="Auto reset"/>
    <s v="Close"/>
    <n v="1.4492753623188356E-3"/>
    <m/>
    <m/>
    <m/>
  </r>
  <r>
    <n v="983"/>
    <n v="2024"/>
    <n v="2024"/>
    <s v="Year_1"/>
    <d v="2024-01-05T00:00:00"/>
    <s v="KUD10"/>
    <s v="O2R1"/>
    <s v="KSIPL"/>
    <n v="4.3478260869565223E-2"/>
    <n v="5196"/>
    <x v="114"/>
    <s v="Prop Valve B Status Fault"/>
    <s v="Breakdown"/>
    <d v="1899-12-30T14:41:00"/>
    <d v="1899-12-30T14:41:00"/>
    <d v="1899-12-30T14:45:00"/>
    <d v="1899-12-30T00:00:00"/>
    <n v="6.666666666666643E-2"/>
    <n v="6.666666666666643E-2"/>
    <s v="Auto reset"/>
    <s v="Close"/>
    <n v="2.8985507246376712E-3"/>
    <m/>
    <m/>
    <m/>
  </r>
  <r>
    <n v="984"/>
    <n v="2024"/>
    <n v="2024"/>
    <s v="Year_1"/>
    <d v="2024-01-06T00:00:00"/>
    <s v="KUD07"/>
    <s v="O2R3"/>
    <s v="JK"/>
    <n v="4.3478260869565223E-2"/>
    <n v="900"/>
    <x v="100"/>
    <s v="M/S for Blade Inspection work"/>
    <s v="Manual Stop"/>
    <d v="1899-12-30T11:14:00"/>
    <d v="1899-12-30T11:14:00"/>
    <d v="1899-12-30T15:32:00"/>
    <d v="1899-12-30T00:00:00"/>
    <n v="4.3000000000000025"/>
    <n v="4.3000000000000025"/>
    <s v="Blade Internal and external blade inspection done."/>
    <s v="Close"/>
    <n v="0.18695652173913058"/>
    <m/>
    <m/>
    <m/>
  </r>
  <r>
    <n v="985"/>
    <n v="2024"/>
    <n v="2024"/>
    <s v="Year_1"/>
    <d v="2024-01-06T00:00:00"/>
    <s v="KUD05"/>
    <s v="O2R3"/>
    <s v="JK"/>
    <n v="4.3478260869565223E-2"/>
    <n v="4235"/>
    <x v="93"/>
    <s v="Gen Stator CB Open"/>
    <s v="Breakdown"/>
    <d v="1899-12-30T17:52:00"/>
    <d v="1899-12-30T17:52:00"/>
    <d v="1899-12-30T17:54:00"/>
    <d v="1899-12-30T00:00:00"/>
    <n v="3.333333333333055E-2"/>
    <n v="3.333333333333055E-2"/>
    <s v="Auto reset"/>
    <s v="Close"/>
    <n v="1.4492753623187198E-3"/>
    <m/>
    <m/>
    <m/>
  </r>
  <r>
    <n v="986"/>
    <n v="2024"/>
    <n v="2024"/>
    <s v="Year_1"/>
    <d v="2024-01-06T00:00:00"/>
    <s v="KUD16"/>
    <s v="O2R2"/>
    <s v="SIL"/>
    <n v="4.3478260869565223E-2"/>
    <n v="5196"/>
    <x v="114"/>
    <s v="Prop Valve B Status Fault"/>
    <s v="Breakdown"/>
    <d v="1899-12-30T17:56:00"/>
    <d v="1899-12-30T17:56:00"/>
    <d v="1899-12-30T18:56:00"/>
    <d v="1899-12-30T00:00:00"/>
    <n v="0.99999999999999911"/>
    <n v="0.99999999999999911"/>
    <s v="Remote reboot and reset done"/>
    <s v="Close"/>
    <n v="4.3478260869565181E-2"/>
    <m/>
    <m/>
    <m/>
  </r>
  <r>
    <n v="987"/>
    <n v="2024"/>
    <n v="2024"/>
    <s v="Year_1"/>
    <d v="2024-01-06T00:00:00"/>
    <s v="KUD10"/>
    <s v="O2R1"/>
    <s v="KSIPL"/>
    <n v="4.3478260869565223E-2"/>
    <n v="5196"/>
    <x v="114"/>
    <s v="Prop Valve B Status Fault"/>
    <s v="Breakdown"/>
    <d v="1899-12-30T08:04:00"/>
    <d v="1899-12-30T08:04:00"/>
    <d v="1899-12-30T08:07:00"/>
    <d v="1899-12-30T00:00:00"/>
    <n v="5.0000000000001155E-2"/>
    <n v="5.0000000000001155E-2"/>
    <s v="Auto reset"/>
    <s v="Close"/>
    <n v="2.1739130434783112E-3"/>
    <m/>
    <m/>
    <m/>
  </r>
  <r>
    <n v="988"/>
    <n v="2024"/>
    <n v="2024"/>
    <s v="Year_1"/>
    <d v="2024-01-06T00:00:00"/>
    <s v="KUD10"/>
    <s v="O2R1"/>
    <s v="KSIPL"/>
    <n v="4.3478260869565223E-2"/>
    <n v="5196"/>
    <x v="114"/>
    <s v="Prop Valve B Status Fault"/>
    <s v="Breakdown"/>
    <d v="1899-12-30T14:34:00"/>
    <d v="1899-12-30T14:34:00"/>
    <d v="1899-12-30T14:37:00"/>
    <d v="1899-12-30T00:00:00"/>
    <n v="5.0000000000002487E-2"/>
    <n v="5.0000000000002487E-2"/>
    <s v="Auto reset"/>
    <s v="Close"/>
    <n v="2.1739130434783693E-3"/>
    <m/>
    <m/>
    <m/>
  </r>
  <r>
    <n v="989"/>
    <n v="2024"/>
    <n v="2024"/>
    <s v="Year_1"/>
    <d v="2024-01-06T00:00:00"/>
    <s v="KUD22"/>
    <s v="O2R3"/>
    <s v="JK"/>
    <n v="4.3478260869565223E-2"/>
    <n v="309"/>
    <x v="149"/>
    <s v="Pause over RCS_0"/>
    <s v="Manual Stop"/>
    <d v="1899-12-30T13:50:00"/>
    <d v="1899-12-30T13:50:00"/>
    <d v="1899-12-30T14:10:00"/>
    <d v="1899-12-30T00:00:00"/>
    <n v="0.33333333333333215"/>
    <n v="0.33333333333333215"/>
    <s v="Turbine restoration delayed due to no communication and pathway ROW"/>
    <s v="Close"/>
    <n v="1.4492753623188356E-2"/>
    <m/>
    <m/>
    <m/>
  </r>
  <r>
    <n v="990"/>
    <n v="2024"/>
    <n v="2024"/>
    <s v="Year_1"/>
    <d v="2024-01-06T00:00:00"/>
    <s v="KUD21"/>
    <s v="O2R3"/>
    <s v="JK"/>
    <n v="4.3478260869565223E-2"/>
    <n v="309"/>
    <x v="149"/>
    <s v="Pause over RCS_0"/>
    <s v="Manual Stop"/>
    <d v="1899-12-30T13:50:00"/>
    <d v="1899-12-30T13:50:00"/>
    <d v="1899-12-30T14:35:00"/>
    <d v="1899-12-30T00:00:00"/>
    <n v="0.75"/>
    <n v="0.75"/>
    <s v="Turbine restoration delayed due to no communication and pathway ROW"/>
    <s v="Close"/>
    <n v="3.2608695652173919E-2"/>
    <m/>
    <m/>
    <m/>
  </r>
  <r>
    <n v="991"/>
    <n v="2024"/>
    <n v="2024"/>
    <s v="Year_1"/>
    <d v="2024-01-06T00:00:00"/>
    <s v="KUD23"/>
    <s v="O2R3"/>
    <s v="JK"/>
    <n v="4.3478260869565223E-2"/>
    <n v="309"/>
    <x v="149"/>
    <s v="Pause over RCS_0"/>
    <s v="Manual Stop"/>
    <d v="1899-12-30T13:50:00"/>
    <d v="1899-12-30T13:50:00"/>
    <d v="1899-12-30T13:55:00"/>
    <d v="1899-12-30T00:00:00"/>
    <n v="8.3333333333330373E-2"/>
    <n v="8.3333333333330373E-2"/>
    <s v="Manual start"/>
    <s v="Close"/>
    <n v="3.6231884057969731E-3"/>
    <m/>
    <m/>
    <m/>
  </r>
  <r>
    <n v="992"/>
    <n v="2024"/>
    <n v="2024"/>
    <s v="Year_1"/>
    <d v="2024-01-06T00:00:00"/>
    <s v="KUD17"/>
    <s v="O2R2"/>
    <s v="SIL"/>
    <n v="4.3478260869565223E-2"/>
    <n v="4235"/>
    <x v="93"/>
    <s v="Gen Stator CB Open"/>
    <s v="Breakdown"/>
    <d v="1899-12-30T17:52:00"/>
    <d v="1899-12-30T17:52:00"/>
    <d v="1899-12-30T17:54:00"/>
    <d v="1899-12-30T00:00:00"/>
    <n v="3.333333333333055E-2"/>
    <n v="3.333333333333055E-2"/>
    <s v="Auto reset"/>
    <s v="Close"/>
    <n v="1.4492753623187198E-3"/>
    <m/>
    <m/>
    <m/>
  </r>
  <r>
    <n v="993"/>
    <n v="2024"/>
    <n v="2024"/>
    <s v="Year_1"/>
    <d v="2024-01-08T00:00:00"/>
    <s v="KUD10"/>
    <s v="O2R1"/>
    <s v="KSIPL"/>
    <n v="4.3478260869565223E-2"/>
    <n v="5196"/>
    <x v="114"/>
    <s v="Prop Valve B Status Fault"/>
    <s v="Breakdown"/>
    <d v="1899-12-30T15:51:00"/>
    <d v="1899-12-30T15:51:00"/>
    <d v="1899-12-30T15:54:00"/>
    <d v="1899-12-30T00:00:00"/>
    <n v="4.9999999999999822E-2"/>
    <n v="4.9999999999999822E-2"/>
    <s v="Auto reset"/>
    <s v="Close"/>
    <n v="2.1739130434782535E-3"/>
    <m/>
    <m/>
    <m/>
  </r>
  <r>
    <n v="994"/>
    <n v="2024"/>
    <n v="2024"/>
    <s v="Year_1"/>
    <d v="2024-01-08T00:00:00"/>
    <s v="KUD10"/>
    <s v="O2R1"/>
    <s v="KSIPL"/>
    <n v="4.3478260869565223E-2"/>
    <n v="5196"/>
    <x v="114"/>
    <s v="Prop Valve B Status Fault"/>
    <s v="Breakdown"/>
    <d v="1899-12-30T18:53:00"/>
    <d v="1899-12-30T18:53:00"/>
    <d v="1899-12-30T18:55:00"/>
    <d v="1899-12-30T00:00:00"/>
    <n v="3.3333333333335879E-2"/>
    <n v="3.3333333333335879E-2"/>
    <s v="Auto reset"/>
    <s v="Close"/>
    <n v="1.4492753623189514E-3"/>
    <m/>
    <m/>
    <m/>
  </r>
  <r>
    <n v="995"/>
    <n v="2024"/>
    <n v="2024"/>
    <s v="Year_1"/>
    <d v="2024-01-09T00:00:00"/>
    <s v="KUD10"/>
    <s v="O2R1"/>
    <s v="KSIPL"/>
    <n v="4.3478260869565223E-2"/>
    <n v="5196"/>
    <x v="114"/>
    <s v="Prop Valve B Status Fault"/>
    <s v="Breakdown"/>
    <d v="1899-12-30T06:50:00"/>
    <d v="1899-12-30T06:50:00"/>
    <d v="1899-12-30T06:53:00"/>
    <d v="1899-12-30T00:00:00"/>
    <n v="4.9999999999999822E-2"/>
    <n v="4.9999999999999822E-2"/>
    <s v="Auto reset"/>
    <s v="Close"/>
    <n v="2.1739130434782535E-3"/>
    <m/>
    <m/>
    <m/>
  </r>
  <r>
    <n v="996"/>
    <n v="2024"/>
    <n v="2024"/>
    <s v="Year_1"/>
    <d v="2024-01-09T00:00:00"/>
    <s v="KUD10"/>
    <s v="O2R1"/>
    <s v="KSIPL"/>
    <n v="4.3478260869565223E-2"/>
    <n v="5196"/>
    <x v="114"/>
    <s v="Prop Valve B Status Fault"/>
    <s v="Breakdown"/>
    <d v="1899-12-30T09:31:00"/>
    <d v="1899-12-30T09:31:00"/>
    <d v="1899-12-30T09:33:00"/>
    <d v="1899-12-30T00:00:00"/>
    <n v="3.3333333333333215E-2"/>
    <n v="3.3333333333333215E-2"/>
    <s v="Auto reset"/>
    <s v="Close"/>
    <n v="1.4492753623188356E-3"/>
    <m/>
    <m/>
    <m/>
  </r>
  <r>
    <n v="997"/>
    <n v="2024"/>
    <n v="2024"/>
    <s v="Year_1"/>
    <d v="2024-01-10T00:00:00"/>
    <s v="KUD01"/>
    <s v="O2R1"/>
    <s v="KSIPL"/>
    <n v="4.3478260869565223E-2"/>
    <n v="450"/>
    <x v="127"/>
    <s v="Ext. High I sum Grd inv."/>
    <s v="Breakdown"/>
    <d v="1899-12-30T03:56:00"/>
    <d v="1899-12-30T03:56:00"/>
    <d v="1899-12-30T03:58:00"/>
    <d v="1899-12-30T00:00:00"/>
    <n v="3.3333333333333215E-2"/>
    <n v="3.3333333333333215E-2"/>
    <s v="Auto reset"/>
    <s v="Close"/>
    <n v="1.4492753623188356E-3"/>
    <m/>
    <m/>
    <m/>
  </r>
  <r>
    <n v="998"/>
    <n v="2024"/>
    <n v="2024"/>
    <s v="Year_1"/>
    <d v="2024-01-10T00:00:00"/>
    <s v="KUD10"/>
    <s v="O2R1"/>
    <s v="KSIPL"/>
    <n v="4.3478260869565223E-2"/>
    <n v="5196"/>
    <x v="114"/>
    <s v="Prop Valve B Status Fault"/>
    <s v="Breakdown"/>
    <d v="1899-12-30T08:42:00"/>
    <d v="1899-12-30T08:42:00"/>
    <d v="1899-12-30T08:44:00"/>
    <d v="1899-12-30T00:00:00"/>
    <n v="3.3333333333333215E-2"/>
    <n v="3.3333333333333215E-2"/>
    <s v="Auto reset"/>
    <s v="Close"/>
    <n v="1.4492753623188356E-3"/>
    <m/>
    <m/>
    <m/>
  </r>
  <r>
    <n v="999"/>
    <n v="2024"/>
    <n v="2024"/>
    <s v="Year_1"/>
    <d v="2024-01-10T00:00:00"/>
    <s v="KUD10"/>
    <s v="O2R1"/>
    <s v="KSIPL"/>
    <n v="4.3478260869565223E-2"/>
    <n v="5197"/>
    <x v="54"/>
    <s v="Prop Valve C Status Fault"/>
    <s v="Breakdown"/>
    <d v="1899-12-30T10:31:00"/>
    <d v="1899-12-30T10:31:00"/>
    <d v="1899-12-30T10:33:00"/>
    <d v="1899-12-30T00:00:00"/>
    <n v="3.3333333333333215E-2"/>
    <n v="3.3333333333333215E-2"/>
    <s v="Auto reset"/>
    <s v="Close"/>
    <n v="1.4492753623188356E-3"/>
    <m/>
    <m/>
    <m/>
  </r>
  <r>
    <n v="1000"/>
    <n v="2024"/>
    <n v="2024"/>
    <s v="Year_1"/>
    <d v="2024-01-10T00:00:00"/>
    <s v="KUD10"/>
    <s v="O2R1"/>
    <s v="KSIPL"/>
    <n v="4.3478260869565223E-2"/>
    <n v="5197"/>
    <x v="54"/>
    <s v="Prop Valve C Status Fault"/>
    <s v="Breakdown"/>
    <d v="1899-12-30T20:21:00"/>
    <d v="1899-12-30T20:21:00"/>
    <d v="1899-12-30T20:23:00"/>
    <d v="1899-12-30T00:00:00"/>
    <n v="3.333333333333055E-2"/>
    <n v="3.333333333333055E-2"/>
    <s v="Auto reset"/>
    <s v="Close"/>
    <n v="1.4492753623187198E-3"/>
    <m/>
    <m/>
    <m/>
  </r>
  <r>
    <n v="1001"/>
    <n v="2024"/>
    <n v="2024"/>
    <s v="Year_1"/>
    <d v="2024-01-10T00:00:00"/>
    <s v="KUD10"/>
    <s v="O2R1"/>
    <s v="KSIPL"/>
    <n v="4.3478260869565223E-2"/>
    <n v="900"/>
    <x v="100"/>
    <s v="Manual stop for Blade internal and external inspection work"/>
    <s v="Manual Stop"/>
    <d v="1899-12-30T10:42:00"/>
    <d v="1899-12-30T10:42:00"/>
    <d v="1899-12-30T16:00:00"/>
    <d v="1899-12-30T00:00:00"/>
    <n v="5.3"/>
    <n v="5.3"/>
    <s v="Blade internal and external inspection work done"/>
    <s v="Close"/>
    <n v="0.23043478260869568"/>
    <m/>
    <m/>
    <m/>
  </r>
  <r>
    <n v="1002"/>
    <n v="2024"/>
    <n v="2024"/>
    <s v="Year_1"/>
    <d v="2024-01-11T00:00:00"/>
    <s v="KUD12"/>
    <s v="O2R1"/>
    <s v="KSIPL"/>
    <n v="4.3478260869565223E-2"/>
    <n v="900"/>
    <x v="100"/>
    <s v="Manual stop for Blade internal and external inspection work"/>
    <s v="Manual Stop"/>
    <d v="1899-12-30T14:06:00"/>
    <d v="1899-12-30T14:06:00"/>
    <d v="1899-12-30T17:49:00"/>
    <d v="1899-12-30T00:00:00"/>
    <n v="3.7166666666666668"/>
    <n v="3.7166666666666668"/>
    <s v="Blade internal and external inspection work done"/>
    <s v="Close"/>
    <n v="0.16159420289855075"/>
    <m/>
    <m/>
    <m/>
  </r>
  <r>
    <n v="1003"/>
    <n v="2024"/>
    <n v="2024"/>
    <s v="Year_1"/>
    <d v="2024-01-12T00:00:00"/>
    <s v="KUD08"/>
    <s v="O2R3"/>
    <s v="JK"/>
    <n v="4.3478260869565223E-2"/>
    <n v="900"/>
    <x v="100"/>
    <s v="Manual stop for Blade internal and external inspection work"/>
    <s v="Manual Stop"/>
    <d v="1899-12-30T15:10:00"/>
    <d v="1899-12-30T15:10:00"/>
    <d v="1899-12-30T15:22:00"/>
    <d v="1899-12-30T00:00:00"/>
    <n v="0.20000000000000195"/>
    <n v="0.20000000000000195"/>
    <s v="Blade inspection cancelled due to high wind after that restored the WTG"/>
    <s v="Close"/>
    <n v="8.6956521739131303E-3"/>
    <m/>
    <m/>
    <m/>
  </r>
  <r>
    <n v="1004"/>
    <n v="2024"/>
    <n v="2024"/>
    <s v="Year_1"/>
    <d v="2024-01-13T00:00:00"/>
    <s v="KUD08"/>
    <s v="O2R3"/>
    <s v="JK"/>
    <n v="4.3478260869565223E-2"/>
    <n v="900"/>
    <x v="100"/>
    <s v="Manual stop for Blade internal and external inspection work"/>
    <s v="Manual Stop"/>
    <d v="1899-12-30T11:45:00"/>
    <d v="1899-12-30T11:45:00"/>
    <d v="1899-12-30T16:02:00"/>
    <d v="1899-12-30T00:00:00"/>
    <n v="4.283333333333335"/>
    <n v="4.283333333333335"/>
    <s v="Blade internal and external inspection work done"/>
    <s v="Close"/>
    <n v="0.18623188405797111"/>
    <m/>
    <m/>
    <m/>
  </r>
  <r>
    <n v="1005"/>
    <n v="2024"/>
    <n v="2024"/>
    <s v="Year_1"/>
    <d v="2024-01-13T00:00:00"/>
    <s v="KUD01"/>
    <s v="O2R1"/>
    <s v="KSIPL"/>
    <n v="4.3478260869565223E-2"/>
    <n v="450"/>
    <x v="127"/>
    <s v="Ext. High I sum Grd inv."/>
    <s v="Breakdown"/>
    <d v="1899-12-30T11:15:00"/>
    <d v="1899-12-30T11:15:00"/>
    <d v="1899-12-30T11:27:00"/>
    <d v="1899-12-30T00:00:00"/>
    <n v="0.19999999999999929"/>
    <n v="0.19999999999999929"/>
    <s v="Auto reset"/>
    <s v="Close"/>
    <n v="8.6956521739130141E-3"/>
    <m/>
    <m/>
    <m/>
  </r>
  <r>
    <n v="1006"/>
    <n v="2024"/>
    <n v="2024"/>
    <s v="Year_1"/>
    <d v="2024-01-13T00:00:00"/>
    <s v="KUD10"/>
    <s v="O2R1"/>
    <s v="KSIPL"/>
    <n v="4.3478260869565223E-2"/>
    <n v="5196"/>
    <x v="114"/>
    <s v="Prop Valve B Status Fault"/>
    <s v="Breakdown"/>
    <d v="1899-12-30T06:58:00"/>
    <d v="1899-12-30T06:58:00"/>
    <d v="1899-12-30T07:00:00"/>
    <d v="1899-12-30T00:00:00"/>
    <n v="3.3333333333333215E-2"/>
    <n v="3.3333333333333215E-2"/>
    <s v="Auto reset"/>
    <s v="Close"/>
    <n v="1.4492753623188356E-3"/>
    <m/>
    <m/>
    <m/>
  </r>
  <r>
    <n v="1007"/>
    <n v="2024"/>
    <n v="2024"/>
    <s v="Year_1"/>
    <d v="2024-01-14T00:00:00"/>
    <s v="KUD23"/>
    <s v="O2R3"/>
    <s v="JK"/>
    <n v="4.3478260869565223E-2"/>
    <n v="707"/>
    <x v="121"/>
    <s v="Ch hardware error C0"/>
    <s v="Breakdown"/>
    <d v="1899-12-30T15:55:00"/>
    <d v="1899-12-30T15:55:00"/>
    <d v="1899-12-30T16:01:00"/>
    <d v="1899-12-30T00:00:00"/>
    <n v="9.9999999999999645E-2"/>
    <n v="9.9999999999999645E-2"/>
    <s v="Auto reset"/>
    <s v="Close"/>
    <n v="4.347826086956507E-3"/>
    <m/>
    <m/>
    <m/>
  </r>
  <r>
    <n v="1008"/>
    <n v="2024"/>
    <n v="2024"/>
    <s v="Year_1"/>
    <d v="2024-01-15T00:00:00"/>
    <s v="KUD02"/>
    <s v="O2R3"/>
    <s v="JK"/>
    <n v="4.3478260869565223E-2"/>
    <n v="3122"/>
    <x v="150"/>
    <s v="PtchValCErr,VeloctyC  0.0mm/s"/>
    <s v="Breakdown"/>
    <d v="1899-12-30T18:47:00"/>
    <d v="1899-12-30T18:47:00"/>
    <d v="1899-12-30T19:13:00"/>
    <d v="1899-12-30T00:00:00"/>
    <n v="0.43333333333332913"/>
    <n v="0.43333333333332913"/>
    <s v="Auto reset"/>
    <s v="Close"/>
    <n v="1.8840579710144748E-2"/>
    <m/>
    <m/>
    <m/>
  </r>
  <r>
    <n v="1009"/>
    <n v="2024"/>
    <n v="2024"/>
    <s v="Year_1"/>
    <d v="2024-01-15T00:00:00"/>
    <s v="KUD10"/>
    <s v="O2R1"/>
    <s v="KSIPL"/>
    <n v="4.3478260869565223E-2"/>
    <n v="5196"/>
    <x v="114"/>
    <s v="Prop Valve B Status Fault"/>
    <s v="Breakdown"/>
    <d v="1899-12-30T01:13:00"/>
    <d v="1899-12-30T01:13:00"/>
    <d v="1899-12-30T01:15:00"/>
    <d v="1899-12-30T00:00:00"/>
    <n v="3.3333333333333215E-2"/>
    <n v="3.3333333333333215E-2"/>
    <s v="Auto reset"/>
    <s v="Close"/>
    <n v="1.4492753623188356E-3"/>
    <m/>
    <m/>
    <m/>
  </r>
  <r>
    <n v="1010"/>
    <n v="2024"/>
    <n v="2024"/>
    <s v="Year_1"/>
    <d v="2024-01-15T00:00:00"/>
    <s v="KUD10"/>
    <s v="O2R1"/>
    <s v="KSIPL"/>
    <n v="4.3478260869565223E-2"/>
    <n v="5196"/>
    <x v="114"/>
    <s v="Prop Valve B Status Fault"/>
    <s v="Breakdown"/>
    <d v="1899-12-30T12:25:00"/>
    <d v="1899-12-30T12:25:00"/>
    <d v="1899-12-30T12:27:00"/>
    <d v="1899-12-30T00:00:00"/>
    <n v="3.3333333333333215E-2"/>
    <n v="3.3333333333333215E-2"/>
    <s v="Auto reset"/>
    <s v="Close"/>
    <n v="1.4492753623188356E-3"/>
    <m/>
    <m/>
    <m/>
  </r>
  <r>
    <n v="1011"/>
    <n v="2024"/>
    <n v="2024"/>
    <s v="Year_1"/>
    <d v="2024-01-16T00:00:00"/>
    <s v="KUD11"/>
    <s v="O2R1"/>
    <s v="KSIPL"/>
    <n v="4.3478260869565223E-2"/>
    <n v="900"/>
    <x v="100"/>
    <s v="Manual stop for Blade internal and external inspection work"/>
    <s v="Manual Stop"/>
    <d v="1899-12-30T11:45:00"/>
    <d v="1899-12-30T11:45:00"/>
    <d v="1899-12-30T15:41:00"/>
    <d v="1899-12-30T00:00:00"/>
    <n v="3.933333333333334"/>
    <n v="3.933333333333334"/>
    <s v="Manual stop for Blade internal and external inspection work"/>
    <s v="Close"/>
    <n v="0.17101449275362324"/>
    <m/>
    <m/>
    <m/>
  </r>
  <r>
    <n v="1012"/>
    <n v="2024"/>
    <n v="2024"/>
    <s v="Year_1"/>
    <d v="2024-01-16T00:00:00"/>
    <s v="KUD06"/>
    <s v="O2R3"/>
    <s v="JK"/>
    <n v="4.3478260869565223E-2"/>
    <n v="900"/>
    <x v="100"/>
    <s v="No communicatoin delay for restored after F-2 charging"/>
    <s v="Breakdown"/>
    <d v="1899-12-30T18:06:00"/>
    <d v="1899-12-30T18:06:00"/>
    <d v="1899-12-30T18:16:00"/>
    <d v="1899-12-30T00:00:00"/>
    <n v="0.16666666666666341"/>
    <n v="0.16666666666666341"/>
    <s v="No communicatoin delay for restored after F-2 charging"/>
    <s v="Close"/>
    <n v="7.2463768115940625E-3"/>
    <m/>
    <m/>
    <m/>
  </r>
  <r>
    <n v="1013"/>
    <n v="2024"/>
    <n v="2024"/>
    <s v="Year_1"/>
    <d v="2024-01-16T00:00:00"/>
    <s v="KUD07"/>
    <s v="O2R3"/>
    <s v="JK"/>
    <n v="4.3478260869565223E-2"/>
    <n v="900"/>
    <x v="100"/>
    <s v="No communicatoin delay for restored after F-2 charging"/>
    <s v="Breakdown"/>
    <d v="1899-12-30T18:06:00"/>
    <d v="1899-12-30T18:06:00"/>
    <d v="1899-12-30T18:16:00"/>
    <d v="1899-12-30T00:00:00"/>
    <n v="0.16666666666666341"/>
    <n v="0.16666666666666341"/>
    <s v="No communicatoin delay for restored after F-2 charging"/>
    <s v="Close"/>
    <n v="7.2463768115940625E-3"/>
    <m/>
    <m/>
    <m/>
  </r>
  <r>
    <n v="1014"/>
    <n v="2024"/>
    <n v="2024"/>
    <s v="Year_1"/>
    <d v="2024-01-16T00:00:00"/>
    <s v="KUD16"/>
    <s v="O2R2"/>
    <s v="SIL"/>
    <n v="4.3478260869565223E-2"/>
    <n v="4239"/>
    <x v="40"/>
    <s v="HVCB Unknown Trip Reason"/>
    <s v="Breakdown"/>
    <d v="1899-12-30T18:06:00"/>
    <d v="1899-12-30T18:06:00"/>
    <d v="1899-12-30T18:35:00"/>
    <d v="1899-12-30T00:00:00"/>
    <n v="0.48333333333332895"/>
    <n v="0.48333333333332895"/>
    <s v="Remote reboot and reset done"/>
    <s v="Close"/>
    <n v="2.1014492753623E-2"/>
    <m/>
    <m/>
    <m/>
  </r>
  <r>
    <n v="1015"/>
    <n v="2024"/>
    <n v="2024"/>
    <s v="Year_1"/>
    <d v="2024-01-16T00:00:00"/>
    <s v="KUD01"/>
    <s v="O2R1"/>
    <s v="KSIPL"/>
    <n v="4.3478260869565223E-2"/>
    <n v="450"/>
    <x v="127"/>
    <s v="Ext. High I sum Grd inv."/>
    <s v="Breakdown"/>
    <d v="1899-12-30T18:52:00"/>
    <d v="1899-12-30T18:52:00"/>
    <d v="1899-12-30T18:54:00"/>
    <d v="1899-12-30T00:00:00"/>
    <n v="3.3333333333333215E-2"/>
    <n v="3.3333333333333215E-2"/>
    <s v="Auto reset"/>
    <s v="Close"/>
    <n v="1.4492753623188356E-3"/>
    <m/>
    <m/>
    <m/>
  </r>
  <r>
    <n v="1016"/>
    <n v="2024"/>
    <n v="2024"/>
    <s v="Year_1"/>
    <d v="2024-01-16T00:00:00"/>
    <s v="KUD10"/>
    <s v="O2R1"/>
    <s v="KSIPL"/>
    <n v="4.3478260869565223E-2"/>
    <n v="5197"/>
    <x v="54"/>
    <s v="Prop Valve c Status Fault"/>
    <s v="Breakdown"/>
    <d v="1899-12-30T13:41:00"/>
    <d v="1899-12-30T13:41:00"/>
    <d v="1899-12-30T13:49:00"/>
    <d v="1899-12-30T00:00:00"/>
    <n v="0.13333333333333286"/>
    <n v="0.13333333333333286"/>
    <s v="Auto reset"/>
    <s v="Close"/>
    <n v="5.7971014492753424E-3"/>
    <m/>
    <m/>
    <m/>
  </r>
  <r>
    <n v="1017"/>
    <n v="2024"/>
    <n v="2024"/>
    <s v="Year_1"/>
    <d v="2024-01-16T00:00:00"/>
    <s v="KUD10"/>
    <s v="O2R1"/>
    <s v="KSIPL"/>
    <n v="4.3478260869565223E-2"/>
    <n v="5196"/>
    <x v="114"/>
    <s v="Prop Valve B Status Fault"/>
    <s v="Breakdown"/>
    <d v="1899-12-30T17:04:00"/>
    <d v="1899-12-30T17:04:00"/>
    <d v="1899-12-30T17:06:00"/>
    <d v="1899-12-30T00:00:00"/>
    <n v="3.3333333333333215E-2"/>
    <n v="3.3333333333333215E-2"/>
    <s v="Auto reset"/>
    <s v="Close"/>
    <n v="1.4492753623188356E-3"/>
    <m/>
    <m/>
    <m/>
  </r>
  <r>
    <n v="1018"/>
    <n v="2024"/>
    <n v="2024"/>
    <s v="Year_1"/>
    <d v="2024-01-17T00:00:00"/>
    <s v="KUD10"/>
    <s v="O2R1"/>
    <s v="KSIPL"/>
    <n v="4.3478260869565223E-2"/>
    <n v="5197"/>
    <x v="54"/>
    <s v="Prop Valve c Status Fault"/>
    <s v="Breakdown"/>
    <d v="1899-12-30T15:48:00"/>
    <d v="1899-12-30T15:48:00"/>
    <d v="1899-12-30T15:50:00"/>
    <d v="1899-12-30T00:00:00"/>
    <n v="3.3333333333333215E-2"/>
    <n v="3.3333333333333215E-2"/>
    <s v="Auto reset"/>
    <s v="Close"/>
    <n v="1.4492753623188356E-3"/>
    <m/>
    <m/>
    <m/>
  </r>
  <r>
    <n v="1019"/>
    <n v="2024"/>
    <n v="2024"/>
    <s v="Year_1"/>
    <d v="2024-01-17T00:00:00"/>
    <s v="KUD16"/>
    <s v="O2R2"/>
    <s v="SIL"/>
    <n v="4.3478260869565223E-2"/>
    <n v="4239"/>
    <x v="40"/>
    <s v="HVCB Unknown Trip Reason"/>
    <s v="Breakdown"/>
    <d v="1899-12-30T17:51:00"/>
    <d v="1899-12-30T17:51:00"/>
    <d v="1899-12-30T18:18:00"/>
    <d v="1899-12-30T00:00:00"/>
    <n v="0.45000000000000107"/>
    <n v="0.45000000000000107"/>
    <s v="Remote reboot and reset done"/>
    <s v="Close"/>
    <n v="1.9565217391304398E-2"/>
    <m/>
    <m/>
    <m/>
  </r>
  <r>
    <n v="1020"/>
    <n v="2024"/>
    <n v="2024"/>
    <s v="Year_1"/>
    <d v="2024-01-18T00:00:00"/>
    <s v="KUD05"/>
    <s v="O2R3"/>
    <s v="JK"/>
    <n v="4.3478260869565223E-2"/>
    <n v="3209"/>
    <x v="101"/>
    <s v="YawSignals Invalid"/>
    <s v="Breakdown"/>
    <d v="1899-12-30T04:50:00"/>
    <d v="1899-12-30T04:50:00"/>
    <d v="1899-12-30T06:07:00"/>
    <d v="1899-12-30T00:00:00"/>
    <n v="1.2833333333333334"/>
    <n v="1.2833333333333334"/>
    <s v="Remote reboot and reset done"/>
    <s v="Close"/>
    <n v="5.5797101449275376E-2"/>
    <m/>
    <m/>
    <m/>
  </r>
  <r>
    <n v="1021"/>
    <n v="2024"/>
    <n v="2024"/>
    <s v="Year_1"/>
    <d v="2024-01-18T00:00:00"/>
    <s v="KUD01"/>
    <s v="O2R1"/>
    <s v="KSIPL"/>
    <n v="4.3478260869565223E-2"/>
    <n v="900"/>
    <x v="100"/>
    <s v="Manual stop blade internal and external inspection and CMS alert inspection"/>
    <s v="Manual Stop"/>
    <d v="1899-12-30T12:20:00"/>
    <d v="1899-12-30T12:20:00"/>
    <d v="1899-12-30T18:33:00"/>
    <d v="1899-12-30T00:00:00"/>
    <n v="6.2166666666666659"/>
    <n v="6.2166666666666659"/>
    <s v="Blade internal and external inspection and Generator alignment done"/>
    <s v="Close"/>
    <n v="0.27028985507246378"/>
    <m/>
    <m/>
    <m/>
  </r>
  <r>
    <n v="1022"/>
    <n v="2024"/>
    <n v="2024"/>
    <s v="Year_1"/>
    <d v="2024-01-18T00:00:00"/>
    <s v="KUD22"/>
    <s v="O2R3"/>
    <s v="JK"/>
    <n v="4.3478260869565223E-2"/>
    <n v="3209"/>
    <x v="101"/>
    <s v="YawSignals Invalid"/>
    <s v="Breakdown"/>
    <d v="1899-12-30T10:02:00"/>
    <d v="1899-12-30T10:02:00"/>
    <d v="1899-12-30T10:09:00"/>
    <d v="1899-12-30T00:00:00"/>
    <n v="0.11666666666666625"/>
    <n v="0.11666666666666625"/>
    <s v="Remotr reset done"/>
    <s v="Close"/>
    <n v="5.0724637681159243E-3"/>
    <m/>
    <m/>
    <m/>
  </r>
  <r>
    <n v="1023"/>
    <n v="2024"/>
    <n v="2024"/>
    <s v="Year_1"/>
    <d v="2024-01-18T00:00:00"/>
    <s v="KUD10"/>
    <s v="O2R1"/>
    <s v="KSIPL"/>
    <n v="4.3478260869565223E-2"/>
    <n v="5196"/>
    <x v="114"/>
    <s v="Prop Valve B Status Fault"/>
    <s v="Breakdown"/>
    <d v="1899-12-30T18:24:00"/>
    <d v="1899-12-30T18:24:00"/>
    <d v="1899-12-30T18:26:00"/>
    <d v="1899-12-30T00:00:00"/>
    <n v="3.3333333333335879E-2"/>
    <n v="3.3333333333335879E-2"/>
    <s v="Auto reset"/>
    <s v="Close"/>
    <n v="1.4492753623189514E-3"/>
    <m/>
    <m/>
    <m/>
  </r>
  <r>
    <n v="1024"/>
    <n v="2024"/>
    <n v="2024"/>
    <s v="Year_1"/>
    <d v="2024-01-18T00:00:00"/>
    <s v="KUD04"/>
    <s v="O2R3"/>
    <s v="JK"/>
    <n v="4.3478260869565223E-2"/>
    <n v="900"/>
    <x v="100"/>
    <s v="No communicatoin delay for restored after line charging"/>
    <s v="Manual Stop"/>
    <d v="1899-12-30T14:25:00"/>
    <d v="1899-12-30T14:25:00"/>
    <d v="1899-12-30T15:27:00"/>
    <d v="1899-12-30T00:00:00"/>
    <n v="1.0333333333333323"/>
    <n v="1.0333333333333323"/>
    <s v="Manual start due to No communicatoin delay for restored after line charging"/>
    <s v="Close"/>
    <n v="4.4927536231884023E-2"/>
    <m/>
    <m/>
    <m/>
  </r>
  <r>
    <n v="1025"/>
    <n v="2024"/>
    <n v="2024"/>
    <s v="Year_1"/>
    <d v="2024-01-18T00:00:00"/>
    <s v="KUD05"/>
    <s v="O2R3"/>
    <s v="JK"/>
    <n v="4.3478260869565223E-2"/>
    <n v="900"/>
    <x v="100"/>
    <s v="No communicatoin delay for restored after line charging"/>
    <s v="Manual Stop"/>
    <d v="1899-12-30T14:25:00"/>
    <d v="1899-12-30T14:25:00"/>
    <d v="1899-12-30T15:27:00"/>
    <d v="1899-12-30T00:00:00"/>
    <n v="1.0333333333333323"/>
    <n v="1.0333333333333323"/>
    <s v="Manual start due to No communicatoin delay for restored after line charging"/>
    <s v="Close"/>
    <n v="4.4927536231884023E-2"/>
    <m/>
    <m/>
    <m/>
  </r>
  <r>
    <n v="1026"/>
    <n v="2024"/>
    <n v="2024"/>
    <s v="Year_1"/>
    <d v="2024-01-18T00:00:00"/>
    <s v="KUD09"/>
    <s v="O2R3"/>
    <s v="JK"/>
    <n v="4.3478260869565223E-2"/>
    <n v="900"/>
    <x v="100"/>
    <s v="No communicatoin delay for restored after line charging"/>
    <s v="Manual Stop"/>
    <d v="1899-12-30T14:25:00"/>
    <d v="1899-12-30T14:25:00"/>
    <d v="1899-12-30T15:27:00"/>
    <d v="1899-12-30T00:00:00"/>
    <n v="1.0333333333333323"/>
    <n v="1.0333333333333323"/>
    <s v="Manual start due to No communicatoin delay for restored after line charging"/>
    <s v="Close"/>
    <n v="4.4927536231884023E-2"/>
    <m/>
    <m/>
    <m/>
  </r>
  <r>
    <n v="1027"/>
    <n v="2024"/>
    <n v="2024"/>
    <s v="Year_1"/>
    <d v="2024-01-19T00:00:00"/>
    <s v="KUD10"/>
    <s v="O2R1"/>
    <s v="KSIPL"/>
    <n v="4.3478260869565223E-2"/>
    <n v="5196"/>
    <x v="114"/>
    <s v="Prop Valve B Status Fault"/>
    <s v="Breakdown"/>
    <d v="1899-12-30T10:59:00"/>
    <d v="1899-12-30T10:59:00"/>
    <d v="1899-12-30T11:01:00"/>
    <d v="1899-12-30T00:00:00"/>
    <n v="3.3333333333334547E-2"/>
    <n v="3.3333333333334547E-2"/>
    <s v="Auto reset"/>
    <s v="Close"/>
    <n v="1.4492753623188935E-3"/>
    <m/>
    <m/>
    <m/>
  </r>
  <r>
    <n v="1028"/>
    <n v="2024"/>
    <n v="2024"/>
    <s v="Year_1"/>
    <d v="2024-01-19T00:00:00"/>
    <s v="KUD03"/>
    <s v="O2R1"/>
    <s v="KSIPL"/>
    <n v="4.3478260869565223E-2"/>
    <n v="900"/>
    <x v="100"/>
    <s v="Manual stop blade internal and external inspection and CMS alert inspection"/>
    <s v="Manual Stop"/>
    <d v="1899-12-30T12:25:00"/>
    <d v="1899-12-30T12:25:00"/>
    <d v="1899-12-30T16:38:00"/>
    <d v="1899-12-30T00:00:00"/>
    <n v="4.2166666666666677"/>
    <n v="4.2166666666666677"/>
    <s v="Blade internal and external inspection and Generator alignment done"/>
    <s v="Close"/>
    <n v="0.1833333333333334"/>
    <m/>
    <m/>
    <m/>
  </r>
  <r>
    <n v="1029"/>
    <n v="2024"/>
    <n v="2024"/>
    <s v="Year_1"/>
    <d v="2024-01-19T00:00:00"/>
    <s v="KUD13"/>
    <s v="O2R1"/>
    <s v="KSIPL"/>
    <n v="4.3478260869565223E-2"/>
    <n v="2676"/>
    <x v="124"/>
    <s v="UPS Error"/>
    <s v="Breakdown"/>
    <d v="1899-12-30T12:25:00"/>
    <d v="1899-12-30T12:25:00"/>
    <d v="1899-12-30T14:15:00"/>
    <d v="1899-12-30T00:00:00"/>
    <n v="1.8333333333333348"/>
    <n v="1.8333333333333348"/>
    <s v="After feeder charge Found relay malfunctioning and normalised all system restore the wtg."/>
    <s v="Close"/>
    <n v="7.9710144927536308E-2"/>
    <m/>
    <m/>
    <m/>
  </r>
  <r>
    <n v="1030"/>
    <n v="2024"/>
    <n v="2024"/>
    <s v="Year_1"/>
    <d v="2024-01-19T00:00:00"/>
    <s v="KUD13"/>
    <s v="O2R1"/>
    <s v="KSIPL"/>
    <n v="4.3478260869565223E-2"/>
    <n v="2676"/>
    <x v="124"/>
    <s v="UPS Error"/>
    <s v="Breakdown"/>
    <d v="1899-12-30T17:40:00"/>
    <d v="1899-12-30T17:40:00"/>
    <d v="1899-12-30T23:59:00"/>
    <d v="1899-12-30T00:00:00"/>
    <n v="6.3166666666666655"/>
    <n v="6.3166666666666655"/>
    <s v="After feeder charge Found UPS battery not charging and check the connection.troubleshooting under process"/>
    <s v="Open"/>
    <n v="0.27463768115942028"/>
    <m/>
    <m/>
    <m/>
  </r>
  <r>
    <n v="1031"/>
    <n v="2024"/>
    <n v="2024"/>
    <s v="Year_1"/>
    <d v="2024-01-19T00:00:00"/>
    <s v="KUD12"/>
    <s v="O2R1"/>
    <s v="KSIPL"/>
    <n v="4.3478260869565223E-2"/>
    <n v="987"/>
    <x v="77"/>
    <s v="Thermoerror Waterpump"/>
    <s v="Breakdown"/>
    <d v="1899-12-30T15:39:00"/>
    <d v="1899-12-30T15:39:00"/>
    <d v="1899-12-30T16:33:00"/>
    <d v="1899-12-30T00:00:00"/>
    <n v="0.89999999999999947"/>
    <n v="0.89999999999999947"/>
    <s v="After feeder charge Found conncetion was loosen condition and tighten the connction then  restored the WTG."/>
    <s v="Close"/>
    <n v="3.9130434782608678E-2"/>
    <m/>
    <m/>
    <m/>
  </r>
  <r>
    <n v="1032"/>
    <n v="2024"/>
    <n v="2024"/>
    <s v="Year_1"/>
    <d v="2024-01-19T00:00:00"/>
    <s v="KUD20"/>
    <s v="O2R1"/>
    <s v="KSIPL"/>
    <n v="4.3478260869565223E-2"/>
    <n v="900"/>
    <x v="100"/>
    <s v="No communicatoin delay for restored after feeder charging"/>
    <s v="Breakdown"/>
    <d v="1899-12-30T17:40:00"/>
    <d v="1899-12-30T17:40:00"/>
    <d v="1899-12-30T18:42:00"/>
    <d v="1899-12-30T00:00:00"/>
    <n v="1.0333333333333323"/>
    <n v="1.0333333333333323"/>
    <s v="After feeder charge SWG not charged then manually charge the SWG then  restored the WTG."/>
    <s v="Close"/>
    <n v="4.4927536231884023E-2"/>
    <m/>
    <m/>
    <m/>
  </r>
  <r>
    <n v="1033"/>
    <n v="2024"/>
    <n v="2024"/>
    <s v="Year_1"/>
    <d v="2024-01-20T00:00:00"/>
    <s v="KUD05"/>
    <s v="O2R3"/>
    <s v="JK"/>
    <n v="4.3478260869565223E-2"/>
    <n v="3209"/>
    <x v="101"/>
    <s v="YawSignals Invalid"/>
    <s v="Breakdown"/>
    <d v="1899-12-30T13:01:00"/>
    <d v="1899-12-30T13:01:00"/>
    <d v="1899-12-30T13:10:00"/>
    <d v="1899-12-30T00:00:00"/>
    <n v="0.1499999999999968"/>
    <n v="0.1499999999999968"/>
    <s v="Remote reset done"/>
    <s v="Close"/>
    <n v="6.5217391304346443E-3"/>
    <m/>
    <m/>
    <m/>
  </r>
  <r>
    <n v="1034"/>
    <n v="2024"/>
    <n v="2024"/>
    <s v="Year_1"/>
    <d v="2024-01-20T00:00:00"/>
    <s v="KUD10"/>
    <s v="O2R1"/>
    <s v="KSIPL"/>
    <n v="4.3478260869565223E-2"/>
    <n v="5196"/>
    <x v="114"/>
    <s v="Prop Valve B Status Fault"/>
    <s v="Breakdown"/>
    <d v="1899-12-30T00:07:00"/>
    <d v="1899-12-30T00:07:00"/>
    <d v="1899-12-30T00:09:00"/>
    <d v="1899-12-30T00:00:00"/>
    <n v="3.3333333333333319E-2"/>
    <n v="3.3333333333333319E-2"/>
    <s v="Auto reset"/>
    <s v="Close"/>
    <n v="1.4492753623188402E-3"/>
    <m/>
    <m/>
    <m/>
  </r>
  <r>
    <n v="1035"/>
    <n v="2024"/>
    <n v="2024"/>
    <s v="Year_1"/>
    <d v="2024-01-20T00:00:00"/>
    <s v="KUD10"/>
    <s v="O2R1"/>
    <s v="KSIPL"/>
    <n v="4.3478260869565223E-2"/>
    <n v="5196"/>
    <x v="114"/>
    <s v="Prop Valve B Status Fault"/>
    <s v="Breakdown"/>
    <d v="1899-12-30T02:18:00"/>
    <d v="1899-12-30T02:18:00"/>
    <d v="1899-12-30T02:20:00"/>
    <d v="1899-12-30T00:00:00"/>
    <n v="3.3333333333333548E-2"/>
    <n v="3.3333333333333548E-2"/>
    <s v="Auto reset"/>
    <s v="Close"/>
    <n v="1.4492753623188501E-3"/>
    <m/>
    <m/>
    <m/>
  </r>
  <r>
    <n v="1036"/>
    <n v="2024"/>
    <n v="2024"/>
    <s v="Year_1"/>
    <d v="2024-01-20T00:00:00"/>
    <s v="KUD10"/>
    <s v="O2R1"/>
    <s v="KSIPL"/>
    <n v="4.3478260869565223E-2"/>
    <n v="5196"/>
    <x v="114"/>
    <s v="Prop Valve B Status Fault"/>
    <s v="Breakdown"/>
    <d v="1899-12-30T03:13:00"/>
    <d v="1899-12-30T03:13:00"/>
    <d v="1899-12-30T03:15:00"/>
    <d v="1899-12-30T00:00:00"/>
    <n v="3.3333333333333215E-2"/>
    <n v="3.3333333333333215E-2"/>
    <s v="Auto reset"/>
    <s v="Close"/>
    <n v="1.4492753623188356E-3"/>
    <m/>
    <m/>
    <m/>
  </r>
  <r>
    <n v="1037"/>
    <n v="2024"/>
    <n v="2024"/>
    <s v="Year_1"/>
    <d v="2024-01-20T00:00:00"/>
    <s v="KUD10"/>
    <s v="O2R1"/>
    <s v="KSIPL"/>
    <n v="4.3478260869565223E-2"/>
    <n v="5196"/>
    <x v="114"/>
    <s v="Prop Valve B Status Fault"/>
    <s v="Breakdown"/>
    <d v="1899-12-30T04:05:00"/>
    <d v="1899-12-30T04:05:00"/>
    <d v="1899-12-30T04:07:00"/>
    <d v="1899-12-30T00:00:00"/>
    <n v="3.3333333333333215E-2"/>
    <n v="3.3333333333333215E-2"/>
    <s v="Auto reset"/>
    <s v="Close"/>
    <n v="1.4492753623188356E-3"/>
    <m/>
    <m/>
    <m/>
  </r>
  <r>
    <n v="1038"/>
    <n v="2024"/>
    <n v="2024"/>
    <s v="Year_1"/>
    <d v="2024-01-20T00:00:00"/>
    <s v="KUD10"/>
    <s v="O2R1"/>
    <s v="KSIPL"/>
    <n v="4.3478260869565223E-2"/>
    <n v="5196"/>
    <x v="114"/>
    <s v="Prop Valve B Status Fault"/>
    <s v="Breakdown"/>
    <d v="1899-12-30T06:56:00"/>
    <d v="1899-12-30T06:56:00"/>
    <d v="1899-12-30T06:58:00"/>
    <d v="1899-12-30T00:00:00"/>
    <n v="3.3333333333333215E-2"/>
    <n v="3.3333333333333215E-2"/>
    <s v="Auto reset"/>
    <s v="Close"/>
    <n v="1.4492753623188356E-3"/>
    <m/>
    <m/>
    <m/>
  </r>
  <r>
    <n v="1039"/>
    <n v="2024"/>
    <n v="2024"/>
    <s v="Year_1"/>
    <d v="2024-01-20T00:00:00"/>
    <s v="KUD12"/>
    <s v="O2R1"/>
    <s v="KSIPL"/>
    <n v="4.3478260869565223E-2"/>
    <n v="987"/>
    <x v="77"/>
    <s v="Thermoerror Waterpump"/>
    <s v="Breakdown"/>
    <d v="1899-12-30T13:39:00"/>
    <d v="1899-12-30T13:39:00"/>
    <d v="1899-12-30T13:59:00"/>
    <d v="1899-12-30T00:00:00"/>
    <n v="0.33333333333333215"/>
    <n v="0.33333333333333215"/>
    <s v="Auto reset"/>
    <s v="Close"/>
    <n v="1.4492753623188356E-2"/>
    <m/>
    <m/>
    <m/>
  </r>
  <r>
    <n v="1040"/>
    <n v="2024"/>
    <n v="2024"/>
    <s v="Year_1"/>
    <d v="2024-01-20T00:00:00"/>
    <s v="KUD12"/>
    <s v="O2R1"/>
    <s v="KSIPL"/>
    <n v="4.3478260869565223E-2"/>
    <n v="987"/>
    <x v="77"/>
    <s v="Thermoerror Waterpump"/>
    <s v="Breakdown"/>
    <d v="1899-12-30T16:41:00"/>
    <d v="1899-12-30T16:41:00"/>
    <d v="1899-12-30T20:07:00"/>
    <d v="1899-12-30T00:00:00"/>
    <n v="3.4333333333333345"/>
    <n v="3.4333333333333345"/>
    <s v="Checked all related feedback connection after restore the WTG"/>
    <s v="Close"/>
    <n v="0.14927536231884064"/>
    <m/>
    <m/>
    <m/>
  </r>
  <r>
    <n v="1041"/>
    <n v="2024"/>
    <n v="2024"/>
    <s v="Year_1"/>
    <d v="2024-01-20T00:00:00"/>
    <s v="KUD13"/>
    <s v="O2R1"/>
    <s v="KSIPL"/>
    <n v="4.3478260869565223E-2"/>
    <n v="2676"/>
    <x v="124"/>
    <s v="UPS Error"/>
    <s v="Breakdown"/>
    <d v="1899-12-30T00:00:00"/>
    <d v="1899-12-30T00:00:00"/>
    <d v="1899-12-30T02:31:00"/>
    <d v="1899-12-30T00:00:00"/>
    <n v="2.5166666666666666"/>
    <n v="2.5166666666666666"/>
    <s v="635-02-03-s1 switch failure and 635-02-03-Q8 contractor malfunction so we replaced new one and restore the WTG."/>
    <s v="Close"/>
    <n v="0.10942028985507248"/>
    <m/>
    <m/>
    <m/>
  </r>
  <r>
    <n v="1042"/>
    <n v="2024"/>
    <n v="2024"/>
    <s v="Year_1"/>
    <d v="2024-01-21T00:00:00"/>
    <s v="KUD10"/>
    <s v="O2R1"/>
    <s v="KSIPL"/>
    <n v="4.3478260869565223E-2"/>
    <n v="5196"/>
    <x v="114"/>
    <s v="Prop Valve B Status Fault"/>
    <s v="Breakdown"/>
    <d v="1899-12-30T06:04:00"/>
    <d v="1899-12-30T06:04:00"/>
    <d v="1899-12-30T06:06:00"/>
    <d v="1899-12-30T00:00:00"/>
    <n v="3.3333333333333215E-2"/>
    <n v="3.3333333333333215E-2"/>
    <s v="Auto reset"/>
    <s v="Close"/>
    <n v="1.4492753623188356E-3"/>
    <m/>
    <m/>
    <m/>
  </r>
  <r>
    <n v="1043"/>
    <n v="2024"/>
    <n v="2024"/>
    <s v="Year_1"/>
    <d v="2024-01-21T00:00:00"/>
    <s v="KUD10"/>
    <s v="O2R1"/>
    <s v="KSIPL"/>
    <n v="4.3478260869565223E-2"/>
    <n v="5195"/>
    <x v="49"/>
    <s v="Prop Valve A Status Fault"/>
    <s v="Breakdown"/>
    <d v="1899-12-30T10:07:00"/>
    <d v="1899-12-30T10:07:00"/>
    <d v="1899-12-30T10:10:00"/>
    <d v="1899-12-30T00:00:00"/>
    <n v="4.9999999999999822E-2"/>
    <n v="4.9999999999999822E-2"/>
    <s v="Auto reset"/>
    <s v="Close"/>
    <n v="2.1739130434782535E-3"/>
    <m/>
    <m/>
    <m/>
  </r>
  <r>
    <n v="1044"/>
    <n v="2024"/>
    <n v="2024"/>
    <s v="Year_1"/>
    <d v="2024-01-21T00:00:00"/>
    <s v="KUD04"/>
    <s v="O2R3"/>
    <s v="JK"/>
    <n v="4.3478260869565223E-2"/>
    <n v="232"/>
    <x v="139"/>
    <s v="WatchdogReboot"/>
    <s v="Breakdown"/>
    <d v="1899-12-30T13:50:00"/>
    <d v="1899-12-30T13:50:00"/>
    <d v="1899-12-30T14:12:00"/>
    <d v="1899-12-30T00:00:00"/>
    <n v="0.36666666666666536"/>
    <n v="0.36666666666666536"/>
    <s v="Remote reset done"/>
    <s v="Close"/>
    <n v="1.594202898550719E-2"/>
    <m/>
    <m/>
    <m/>
  </r>
  <r>
    <n v="1045"/>
    <n v="2024"/>
    <n v="2024"/>
    <s v="Year_1"/>
    <d v="2024-01-21T00:00:00"/>
    <s v="KUD20"/>
    <s v="O2R1"/>
    <s v="KSIPL"/>
    <n v="4.3478260869565223E-2"/>
    <n v="3742"/>
    <x v="115"/>
    <s v="TripHVButtonActivated 1"/>
    <s v="Breakdown"/>
    <d v="1899-12-30T16:43:00"/>
    <d v="1899-12-30T16:43:00"/>
    <d v="1899-12-30T17:07:00"/>
    <d v="1899-12-30T00:00:00"/>
    <n v="0.40000000000000124"/>
    <n v="0.40000000000000124"/>
    <s v="Remote reset done"/>
    <s v="Close"/>
    <n v="1.7391304347826143E-2"/>
    <m/>
    <m/>
    <m/>
  </r>
  <r>
    <n v="1046"/>
    <n v="2024"/>
    <n v="2024"/>
    <s v="Year_1"/>
    <d v="2024-01-21T00:00:00"/>
    <s v="KUD12"/>
    <s v="O2R1"/>
    <s v="KSIPL"/>
    <n v="4.3478260869565223E-2"/>
    <n v="315"/>
    <x v="120"/>
    <s v="ExEx low voltage L2:   3V"/>
    <s v="Breakdown"/>
    <d v="1899-12-30T16:43:00"/>
    <d v="1899-12-30T16:43:00"/>
    <d v="1899-12-30T18:45:00"/>
    <d v="1899-12-30T00:00:00"/>
    <n v="2.0333333333333341"/>
    <n v="2.0333333333333341"/>
    <s v="Checked Power panel and TRAFO inspection done after we restore the WTG"/>
    <s v="Close"/>
    <n v="8.8405797101449315E-2"/>
    <m/>
    <m/>
    <m/>
  </r>
  <r>
    <n v="1047"/>
    <n v="2024"/>
    <n v="2024"/>
    <s v="Year_1"/>
    <d v="2024-01-22T00:00:00"/>
    <s v="KUD01"/>
    <s v="O2R1"/>
    <s v="KSIPL"/>
    <n v="4.3478260869565223E-2"/>
    <n v="450"/>
    <x v="127"/>
    <s v="Ext. High I sum Grd inv."/>
    <s v="Breakdown"/>
    <d v="1899-12-30T22:30:00"/>
    <d v="1899-12-30T22:30:00"/>
    <d v="1899-12-30T22:32:00"/>
    <d v="1899-12-30T00:00:00"/>
    <n v="3.3333333333335879E-2"/>
    <n v="3.3333333333335879E-2"/>
    <s v="Auto reset"/>
    <s v="Close"/>
    <n v="1.4492753623189514E-3"/>
    <m/>
    <m/>
    <m/>
  </r>
  <r>
    <n v="1048"/>
    <n v="2024"/>
    <n v="2024"/>
    <s v="Year_1"/>
    <d v="2024-01-22T00:00:00"/>
    <s v="KUD09"/>
    <s v="O2R3"/>
    <s v="JK"/>
    <n v="4.3478260869565223E-2"/>
    <n v="900"/>
    <x v="100"/>
    <s v="Manual stop For blade internal and external inspection"/>
    <s v="Manual Stop"/>
    <d v="1899-12-30T11:47:00"/>
    <d v="1899-12-30T11:47:00"/>
    <d v="1899-12-30T15:45:00"/>
    <d v="1899-12-30T00:00:00"/>
    <n v="3.9666666666666672"/>
    <n v="3.9666666666666672"/>
    <s v="BladeInternal and External  inspection Done"/>
    <s v="Close"/>
    <n v="0.17246376811594208"/>
    <m/>
    <m/>
    <m/>
  </r>
  <r>
    <n v="1049"/>
    <n v="2024"/>
    <n v="2024"/>
    <s v="Year_1"/>
    <d v="2024-01-22T00:00:00"/>
    <s v="KUD10"/>
    <s v="O2R1"/>
    <s v="KSIPL"/>
    <n v="4.3478260869565223E-2"/>
    <n v="5196"/>
    <x v="114"/>
    <s v="Prop Valve B Status Fault"/>
    <s v="Breakdown"/>
    <d v="1899-12-30T04:47:00"/>
    <d v="1899-12-30T04:47:00"/>
    <d v="1899-12-30T04:49:00"/>
    <d v="1899-12-30T00:00:00"/>
    <n v="3.3333333333333215E-2"/>
    <n v="3.3333333333333215E-2"/>
    <s v="Auto reset"/>
    <s v="Close"/>
    <n v="1.4492753623188356E-3"/>
    <m/>
    <m/>
    <m/>
  </r>
  <r>
    <n v="1050"/>
    <n v="2024"/>
    <n v="2024"/>
    <s v="Year_1"/>
    <d v="2024-01-22T00:00:00"/>
    <s v="KUD10"/>
    <s v="O2R1"/>
    <s v="KSIPL"/>
    <n v="4.3478260869565223E-2"/>
    <n v="5196"/>
    <x v="114"/>
    <s v="Prop Valve B Status Fault"/>
    <s v="Breakdown"/>
    <d v="1899-12-30T05:31:00"/>
    <d v="1899-12-30T05:31:00"/>
    <d v="1899-12-30T05:33:00"/>
    <d v="1899-12-30T00:00:00"/>
    <n v="3.3333333333333215E-2"/>
    <n v="3.3333333333333215E-2"/>
    <s v="Auto reset"/>
    <s v="Close"/>
    <n v="1.4492753623188356E-3"/>
    <m/>
    <m/>
    <m/>
  </r>
  <r>
    <n v="1051"/>
    <n v="2024"/>
    <n v="2024"/>
    <s v="Year_1"/>
    <d v="2024-01-22T00:00:00"/>
    <s v="KUD10"/>
    <s v="O2R1"/>
    <s v="KSIPL"/>
    <n v="4.3478260869565223E-2"/>
    <n v="5196"/>
    <x v="114"/>
    <s v="Prop Valve B Status Fault"/>
    <s v="Breakdown"/>
    <d v="1899-12-30T11:24:00"/>
    <d v="1899-12-30T11:24:00"/>
    <d v="1899-12-30T11:26:00"/>
    <d v="1899-12-30T00:00:00"/>
    <n v="3.3333333333333215E-2"/>
    <n v="3.3333333333333215E-2"/>
    <s v="Auto reset"/>
    <s v="Close"/>
    <n v="1.4492753623188356E-3"/>
    <m/>
    <m/>
    <m/>
  </r>
  <r>
    <n v="1052"/>
    <n v="2024"/>
    <n v="2024"/>
    <s v="Year_1"/>
    <d v="2024-01-22T00:00:00"/>
    <s v="KUD10"/>
    <s v="O2R1"/>
    <s v="KSIPL"/>
    <n v="4.3478260869565223E-2"/>
    <n v="5196"/>
    <x v="114"/>
    <s v="Prop Valve B Status Fault"/>
    <s v="Breakdown"/>
    <d v="1899-12-30T12:17:00"/>
    <d v="1899-12-30T12:17:00"/>
    <d v="1899-12-30T12:20:00"/>
    <d v="1899-12-30T00:00:00"/>
    <n v="5.0000000000002487E-2"/>
    <n v="5.0000000000002487E-2"/>
    <s v="Auto reset"/>
    <s v="Close"/>
    <n v="2.1739130434783693E-3"/>
    <m/>
    <m/>
    <m/>
  </r>
  <r>
    <n v="1053"/>
    <n v="2024"/>
    <n v="2024"/>
    <s v="Year_1"/>
    <d v="2024-01-22T00:00:00"/>
    <s v="KUD10"/>
    <s v="O2R1"/>
    <s v="KSIPL"/>
    <n v="4.3478260869565223E-2"/>
    <n v="5196"/>
    <x v="114"/>
    <s v="Prop Valve B Status Fault"/>
    <s v="Breakdown"/>
    <d v="1899-12-30T12:46:00"/>
    <d v="1899-12-30T12:46:00"/>
    <d v="1899-12-30T12:48:00"/>
    <d v="1899-12-30T00:00:00"/>
    <n v="3.3333333333333215E-2"/>
    <n v="3.3333333333333215E-2"/>
    <s v="Auto reset"/>
    <s v="Close"/>
    <n v="1.4492753623188356E-3"/>
    <m/>
    <m/>
    <m/>
  </r>
  <r>
    <n v="1054"/>
    <n v="2024"/>
    <n v="2024"/>
    <s v="Year_1"/>
    <d v="2024-01-22T00:00:00"/>
    <s v="KUD10"/>
    <s v="O2R1"/>
    <s v="KSIPL"/>
    <n v="4.3478260869565223E-2"/>
    <n v="5196"/>
    <x v="114"/>
    <s v="Prop Valve B Status Fault"/>
    <s v="Breakdown"/>
    <d v="1899-12-30T13:13:00"/>
    <d v="1899-12-30T13:13:00"/>
    <d v="1899-12-30T13:16:00"/>
    <d v="1899-12-30T00:00:00"/>
    <n v="4.9999999999999822E-2"/>
    <n v="4.9999999999999822E-2"/>
    <s v="Auto reset"/>
    <s v="Close"/>
    <n v="2.1739130434782535E-3"/>
    <m/>
    <m/>
    <m/>
  </r>
  <r>
    <n v="1055"/>
    <n v="2024"/>
    <n v="2024"/>
    <s v="Year_1"/>
    <d v="2024-01-22T00:00:00"/>
    <s v="KUD10"/>
    <s v="O2R1"/>
    <s v="KSIPL"/>
    <n v="4.3478260869565223E-2"/>
    <n v="5196"/>
    <x v="114"/>
    <s v="Prop Valve B Status Fault"/>
    <s v="Breakdown"/>
    <d v="1899-12-30T19:12:00"/>
    <d v="1899-12-30T19:12:00"/>
    <d v="1899-12-30T19:14:00"/>
    <d v="1899-12-30T00:00:00"/>
    <n v="3.3333333333335879E-2"/>
    <n v="3.3333333333335879E-2"/>
    <s v="Auto reset"/>
    <s v="Close"/>
    <n v="1.4492753623189514E-3"/>
    <m/>
    <m/>
    <m/>
  </r>
  <r>
    <n v="1056"/>
    <n v="2024"/>
    <n v="2024"/>
    <s v="Year_1"/>
    <d v="2024-01-22T00:00:00"/>
    <s v="KUD10"/>
    <s v="O2R1"/>
    <s v="KSIPL"/>
    <n v="4.3478260869565223E-2"/>
    <n v="5196"/>
    <x v="114"/>
    <s v="Prop Valve B Status Fault"/>
    <s v="Breakdown"/>
    <d v="1899-12-30T21:10:00"/>
    <d v="1899-12-30T21:10:00"/>
    <d v="1899-12-30T21:12:00"/>
    <d v="1899-12-30T00:00:00"/>
    <n v="3.333333333333055E-2"/>
    <n v="3.333333333333055E-2"/>
    <s v="Auto reset"/>
    <s v="Close"/>
    <n v="1.4492753623187198E-3"/>
    <m/>
    <m/>
    <m/>
  </r>
  <r>
    <n v="1057"/>
    <n v="2024"/>
    <n v="2024"/>
    <s v="Year_1"/>
    <d v="2024-01-22T00:00:00"/>
    <s v="KUD12"/>
    <s v="O2R1"/>
    <s v="KSIPL"/>
    <n v="4.3478260869565223E-2"/>
    <n v="987"/>
    <x v="77"/>
    <s v="Thermoerror Waterpump"/>
    <s v="Breakdown"/>
    <d v="1899-12-30T20:11:00"/>
    <d v="1899-12-30T20:11:00"/>
    <d v="1899-12-30T20:24:00"/>
    <d v="1899-12-30T00:00:00"/>
    <n v="0.2166666666666659"/>
    <n v="0.2166666666666659"/>
    <s v="Auto reset"/>
    <s v="Close"/>
    <n v="9.4202898550724314E-3"/>
    <m/>
    <m/>
    <m/>
  </r>
  <r>
    <n v="1058"/>
    <n v="2024"/>
    <n v="2024"/>
    <s v="Year_1"/>
    <d v="2024-01-23T00:00:00"/>
    <s v="KUD10"/>
    <s v="O2R1"/>
    <s v="KSIPL"/>
    <n v="4.3478260869565223E-2"/>
    <n v="5195"/>
    <x v="49"/>
    <s v="Prop Valve A Status Fault"/>
    <s v="Breakdown"/>
    <d v="1899-12-30T05:44:00"/>
    <d v="1899-12-30T05:44:00"/>
    <d v="1899-12-30T05:46:00"/>
    <d v="1899-12-30T00:00:00"/>
    <n v="3.3333333333333215E-2"/>
    <n v="3.3333333333333215E-2"/>
    <s v="Auto reset"/>
    <s v="Close"/>
    <n v="1.4492753623188356E-3"/>
    <m/>
    <m/>
    <m/>
  </r>
  <r>
    <n v="1059"/>
    <n v="2024"/>
    <n v="2024"/>
    <s v="Year_1"/>
    <d v="2024-01-23T00:00:00"/>
    <s v="KUD10"/>
    <s v="O2R1"/>
    <s v="KSIPL"/>
    <n v="4.3478260869565223E-2"/>
    <n v="5197"/>
    <x v="54"/>
    <s v="Prop Valve C Status Fault"/>
    <s v="Breakdown"/>
    <d v="1899-12-30T21:11:00"/>
    <d v="1899-12-30T21:11:00"/>
    <d v="1899-12-30T21:15:00"/>
    <d v="1899-12-30T00:00:00"/>
    <n v="6.666666666666643E-2"/>
    <n v="6.666666666666643E-2"/>
    <s v="Auto reset"/>
    <s v="Close"/>
    <n v="2.8985507246376712E-3"/>
    <m/>
    <m/>
    <m/>
  </r>
  <r>
    <n v="1060"/>
    <n v="2024"/>
    <n v="2024"/>
    <s v="Year_1"/>
    <d v="2024-01-23T00:00:00"/>
    <s v="KUD10"/>
    <s v="O2R1"/>
    <s v="KSIPL"/>
    <n v="4.3478260869565223E-2"/>
    <n v="5195"/>
    <x v="49"/>
    <s v="Prop Valve A Status Fault"/>
    <s v="Breakdown"/>
    <d v="1899-12-30T22:17:00"/>
    <d v="1899-12-30T22:17:00"/>
    <d v="1899-12-30T22:19:00"/>
    <d v="1899-12-30T00:00:00"/>
    <n v="3.3333333333333215E-2"/>
    <n v="3.3333333333333215E-2"/>
    <s v="Auto reset"/>
    <s v="Close"/>
    <n v="1.4492753623188356E-3"/>
    <m/>
    <m/>
    <m/>
  </r>
  <r>
    <n v="1061"/>
    <n v="2024"/>
    <n v="2024"/>
    <s v="Year_1"/>
    <d v="2024-01-23T00:00:00"/>
    <s v="KUD12"/>
    <s v="O2R1"/>
    <s v="KSIPL"/>
    <n v="4.3478260869565223E-2"/>
    <n v="987"/>
    <x v="77"/>
    <s v="Thermoerror Waterpump"/>
    <s v="Breakdown"/>
    <d v="1899-12-30T12:30:00"/>
    <d v="1899-12-30T12:30:00"/>
    <d v="1899-12-30T12:44:00"/>
    <d v="1899-12-30T00:00:00"/>
    <n v="0.2333333333333325"/>
    <n v="0.2333333333333325"/>
    <s v="Auto reset"/>
    <s v="Close"/>
    <n v="1.0144927536231849E-2"/>
    <m/>
    <m/>
    <m/>
  </r>
  <r>
    <n v="1062"/>
    <n v="2024"/>
    <n v="2024"/>
    <s v="Year_1"/>
    <d v="2024-01-23T00:00:00"/>
    <s v="KUD12"/>
    <s v="O2R1"/>
    <s v="KSIPL"/>
    <n v="4.3478260869565223E-2"/>
    <n v="987"/>
    <x v="77"/>
    <s v="Thermoerror Waterpump"/>
    <s v="Breakdown"/>
    <d v="1899-12-30T15:11:00"/>
    <d v="1899-12-30T15:11:00"/>
    <d v="1899-12-30T17:18:00"/>
    <d v="1899-12-30T00:00:00"/>
    <n v="2.1166666666666671"/>
    <n v="2.1166666666666671"/>
    <s v="Checked Motor Thermal relay setting and Restore the wtg."/>
    <s v="Close"/>
    <n v="9.2028985507246405E-2"/>
    <m/>
    <m/>
    <m/>
  </r>
  <r>
    <n v="1063"/>
    <n v="2024"/>
    <n v="2024"/>
    <s v="Year_1"/>
    <d v="2024-01-24T00:00:00"/>
    <s v="KUD10"/>
    <s v="O2R1"/>
    <s v="KSIPL"/>
    <n v="4.3478260869565223E-2"/>
    <n v="5196"/>
    <x v="114"/>
    <s v="Prop Valve B Status Fault"/>
    <s v="Breakdown"/>
    <d v="1899-12-30T08:33:00"/>
    <d v="1899-12-30T08:33:00"/>
    <d v="1899-12-30T08:35:00"/>
    <d v="1899-12-30T00:00:00"/>
    <n v="3.3333333333333215E-2"/>
    <n v="3.3333333333333215E-2"/>
    <s v="Auto reset"/>
    <s v="Close"/>
    <n v="1.4492753623188356E-3"/>
    <m/>
    <m/>
    <m/>
  </r>
  <r>
    <n v="1064"/>
    <n v="2024"/>
    <n v="2024"/>
    <s v="Year_1"/>
    <d v="2024-01-24T00:00:00"/>
    <s v="KUD10"/>
    <s v="O2R1"/>
    <s v="KSIPL"/>
    <n v="4.3478260869565223E-2"/>
    <n v="5195"/>
    <x v="49"/>
    <s v="Prop Valve A Status Fault"/>
    <s v="Breakdown"/>
    <d v="1899-12-30T09:29:00"/>
    <d v="1899-12-30T09:29:00"/>
    <d v="1899-12-30T09:31:00"/>
    <d v="1899-12-30T00:00:00"/>
    <n v="3.3333333333334547E-2"/>
    <n v="3.3333333333334547E-2"/>
    <s v="Auto reset"/>
    <s v="Close"/>
    <n v="1.4492753623188935E-3"/>
    <m/>
    <m/>
    <m/>
  </r>
  <r>
    <n v="1065"/>
    <n v="2024"/>
    <n v="2024"/>
    <s v="Year_1"/>
    <d v="2024-01-24T00:00:00"/>
    <s v="KUD10"/>
    <s v="O2R1"/>
    <s v="KSIPL"/>
    <n v="4.3478260869565223E-2"/>
    <n v="5196"/>
    <x v="114"/>
    <s v="Prop Valve B Status Fault"/>
    <s v="Breakdown"/>
    <d v="1899-12-30T11:23:00"/>
    <d v="1899-12-30T11:23:00"/>
    <d v="1899-12-30T11:27:00"/>
    <d v="1899-12-30T00:00:00"/>
    <n v="6.666666666666643E-2"/>
    <n v="6.666666666666643E-2"/>
    <s v="Auto reset"/>
    <s v="Close"/>
    <n v="2.8985507246376712E-3"/>
    <m/>
    <m/>
    <m/>
  </r>
  <r>
    <n v="1066"/>
    <n v="2024"/>
    <n v="2024"/>
    <s v="Year_1"/>
    <d v="2024-01-24T00:00:00"/>
    <s v="KUD19"/>
    <s v="O2R1"/>
    <s v="KSIPL"/>
    <n v="4.3478260869565223E-2"/>
    <n v="900"/>
    <x v="100"/>
    <s v="Manual stop For blade internal and external inspection And Trafo inspection."/>
    <s v="Manual Stop"/>
    <d v="1899-12-30T08:57:00"/>
    <d v="1899-12-30T08:57:00"/>
    <d v="1899-12-30T14:15:00"/>
    <d v="1899-12-30T00:00:00"/>
    <n v="5.3000000000000007"/>
    <n v="5.3000000000000007"/>
    <s v="BladeInternal and External  inspection Done and Trafo inspection also completed."/>
    <s v="Close"/>
    <n v="0.23043478260869571"/>
    <m/>
    <m/>
    <m/>
  </r>
  <r>
    <n v="1067"/>
    <n v="2024"/>
    <n v="2024"/>
    <s v="Year_1"/>
    <d v="2024-01-24T00:00:00"/>
    <s v="KUD18"/>
    <s v="O2R4"/>
    <s v="SGDCIPL"/>
    <n v="4.3478260869565223E-2"/>
    <n v="900"/>
    <x v="100"/>
    <s v="Manual stop For blade internal and external inspection"/>
    <s v="Manual Stop"/>
    <d v="1899-12-30T13:01:00"/>
    <d v="1899-12-30T13:01:00"/>
    <d v="1899-12-30T16:48:00"/>
    <d v="1899-12-30T00:00:00"/>
    <n v="3.7833333333333332"/>
    <n v="3.7833333333333332"/>
    <s v="BladeInternal and External  inspection Done"/>
    <s v="Close"/>
    <n v="0.16449275362318841"/>
    <m/>
    <m/>
    <m/>
  </r>
  <r>
    <n v="1068"/>
    <n v="2024"/>
    <n v="2024"/>
    <s v="Year_1"/>
    <d v="2024-01-25T00:00:00"/>
    <s v="KUD10"/>
    <s v="O2R1"/>
    <s v="KSIPL"/>
    <n v="4.3478260869565223E-2"/>
    <n v="5196"/>
    <x v="114"/>
    <s v="Prop Valve B Status Fault"/>
    <s v="Breakdown"/>
    <d v="1899-12-30T08:59:00"/>
    <d v="1899-12-30T08:59:00"/>
    <d v="1899-12-30T09:01:00"/>
    <d v="1899-12-30T00:00:00"/>
    <n v="3.3333333333335879E-2"/>
    <n v="3.3333333333335879E-2"/>
    <s v="Auto reset"/>
    <s v="Close"/>
    <n v="1.4492753623189514E-3"/>
    <m/>
    <m/>
    <m/>
  </r>
  <r>
    <n v="1069"/>
    <n v="2024"/>
    <n v="2024"/>
    <s v="Year_1"/>
    <d v="2024-01-25T00:00:00"/>
    <s v="KUD10"/>
    <s v="O2R1"/>
    <s v="KSIPL"/>
    <n v="4.3478260869565223E-2"/>
    <n v="5196"/>
    <x v="114"/>
    <s v="Prop Valve B Status Fault"/>
    <s v="Breakdown"/>
    <d v="1899-12-30T11:24:00"/>
    <d v="1899-12-30T11:24:00"/>
    <d v="1899-12-30T11:28:00"/>
    <d v="1899-12-30T00:00:00"/>
    <n v="6.666666666666643E-2"/>
    <n v="6.666666666666643E-2"/>
    <s v="Auto reset"/>
    <s v="Close"/>
    <n v="2.8985507246376712E-3"/>
    <m/>
    <m/>
    <m/>
  </r>
  <r>
    <n v="1070"/>
    <n v="2024"/>
    <n v="2024"/>
    <s v="Year_1"/>
    <d v="2024-01-25T00:00:00"/>
    <s v="KUD10"/>
    <s v="O2R1"/>
    <s v="KSIPL"/>
    <n v="4.3478260869565223E-2"/>
    <n v="5195"/>
    <x v="49"/>
    <s v="Prop Valve A Status Fault"/>
    <s v="Breakdown"/>
    <d v="1899-12-30T13:46:00"/>
    <d v="1899-12-30T13:46:00"/>
    <d v="1899-12-30T13:53:00"/>
    <d v="1899-12-30T00:00:00"/>
    <n v="0.11666666666666359"/>
    <n v="0.11666666666666359"/>
    <s v="Auto reset"/>
    <s v="Close"/>
    <n v="5.072463768115809E-3"/>
    <m/>
    <m/>
    <m/>
  </r>
  <r>
    <n v="1071"/>
    <n v="2024"/>
    <n v="2024"/>
    <s v="Year_1"/>
    <d v="2024-01-25T00:00:00"/>
    <s v="KUD10"/>
    <s v="O2R1"/>
    <s v="KSIPL"/>
    <n v="4.3478260869565223E-2"/>
    <n v="5196"/>
    <x v="114"/>
    <s v="Prop Valve B Status Fault"/>
    <s v="Breakdown"/>
    <d v="1899-12-30T15:27:00"/>
    <d v="1899-12-30T15:27:00"/>
    <d v="1899-12-30T15:29:00"/>
    <d v="1899-12-30T00:00:00"/>
    <n v="3.3333333333333215E-2"/>
    <n v="3.3333333333333215E-2"/>
    <s v="Auto reset"/>
    <s v="Close"/>
    <n v="1.4492753623188356E-3"/>
    <m/>
    <m/>
    <m/>
  </r>
  <r>
    <n v="1072"/>
    <n v="2024"/>
    <n v="2024"/>
    <s v="Year_1"/>
    <d v="2024-01-25T00:00:00"/>
    <s v="KUD10"/>
    <s v="O2R1"/>
    <s v="KSIPL"/>
    <n v="4.3478260869565223E-2"/>
    <n v="5196"/>
    <x v="114"/>
    <s v="Prop Valve B Status Fault"/>
    <s v="Breakdown"/>
    <d v="1899-12-30T17:06:00"/>
    <d v="1899-12-30T17:06:00"/>
    <d v="1899-12-30T17:11:00"/>
    <d v="1899-12-30T00:00:00"/>
    <n v="8.3333333333333037E-2"/>
    <n v="8.3333333333333037E-2"/>
    <s v="Auto reset"/>
    <s v="Close"/>
    <n v="3.6231884057970889E-3"/>
    <m/>
    <m/>
    <m/>
  </r>
  <r>
    <n v="1073"/>
    <n v="2024"/>
    <n v="2024"/>
    <s v="Year_1"/>
    <d v="2024-01-25T00:00:00"/>
    <s v="KUD10"/>
    <s v="O2R1"/>
    <s v="KSIPL"/>
    <n v="4.3478260869565223E-2"/>
    <n v="5196"/>
    <x v="114"/>
    <s v="Prop Valve B Status Fault"/>
    <s v="Breakdown"/>
    <d v="1899-12-30T23:15:00"/>
    <d v="1899-12-30T23:15:00"/>
    <d v="1899-12-30T23:17:00"/>
    <d v="1899-12-30T00:00:00"/>
    <n v="3.3333333333335879E-2"/>
    <n v="3.3333333333335879E-2"/>
    <s v="Auto reset"/>
    <s v="Close"/>
    <n v="1.4492753623189514E-3"/>
    <m/>
    <m/>
    <m/>
  </r>
  <r>
    <n v="1074"/>
    <n v="2024"/>
    <n v="2024"/>
    <s v="Year_1"/>
    <d v="2024-01-25T00:00:00"/>
    <s v="KUD13"/>
    <s v="O2R1"/>
    <s v="KSIPL"/>
    <n v="4.3478260869565223E-2"/>
    <n v="900"/>
    <x v="100"/>
    <s v="Manual stop For blade internal and external inspection and pending point closing "/>
    <s v="Manual Stop"/>
    <d v="1899-12-30T08:33:00"/>
    <d v="1899-12-30T08:33:00"/>
    <d v="1899-12-30T16:28:00"/>
    <d v="1899-12-30T00:00:00"/>
    <n v="7.9166666666666643"/>
    <n v="7.9166666666666643"/>
    <s v="BladeInternal and External  inspection Done and pending point closing done"/>
    <s v="Close"/>
    <n v="0.34420289855072456"/>
    <m/>
    <m/>
    <m/>
  </r>
  <r>
    <n v="1075"/>
    <n v="2024"/>
    <n v="2024"/>
    <s v="Year_1"/>
    <d v="2024-01-26T00:00:00"/>
    <s v="KUD01"/>
    <s v="O2R1"/>
    <s v="KSIPL"/>
    <n v="4.3478260869565223E-2"/>
    <n v="450"/>
    <x v="127"/>
    <s v="Ext. High I sum Grd inv."/>
    <s v="Breakdown"/>
    <d v="1899-12-30T07:08:00"/>
    <d v="1899-12-30T07:08:00"/>
    <d v="1899-12-30T07:10:00"/>
    <d v="1899-12-30T00:00:00"/>
    <n v="3.3333333333333215E-2"/>
    <n v="3.3333333333333215E-2"/>
    <s v="Auto reset"/>
    <s v="Close"/>
    <n v="1.4492753623188356E-3"/>
    <m/>
    <m/>
    <m/>
  </r>
  <r>
    <n v="1076"/>
    <n v="2024"/>
    <n v="2024"/>
    <s v="Year_1"/>
    <d v="2024-01-26T00:00:00"/>
    <s v="KUD10"/>
    <s v="O2R1"/>
    <s v="KSIPL"/>
    <n v="4.3478260869565223E-2"/>
    <n v="5196"/>
    <x v="114"/>
    <s v="Prop Valve B Status Fault"/>
    <s v="Breakdown"/>
    <d v="1899-12-30T05:14:00"/>
    <d v="1899-12-30T05:14:00"/>
    <d v="1899-12-30T05:17:00"/>
    <d v="1899-12-30T00:00:00"/>
    <n v="4.9999999999999822E-2"/>
    <n v="4.9999999999999822E-2"/>
    <s v="Auto reset"/>
    <s v="Close"/>
    <n v="2.1739130434782535E-3"/>
    <m/>
    <m/>
    <m/>
  </r>
  <r>
    <n v="1077"/>
    <n v="2024"/>
    <n v="2024"/>
    <s v="Year_1"/>
    <d v="2024-01-26T00:00:00"/>
    <s v="KUD10"/>
    <s v="O2R1"/>
    <s v="KSIPL"/>
    <n v="4.3478260869565223E-2"/>
    <n v="5196"/>
    <x v="114"/>
    <s v="Prop Valve B Status Fault"/>
    <s v="Breakdown"/>
    <d v="1899-12-30T06:47:00"/>
    <d v="1899-12-30T06:47:00"/>
    <d v="1899-12-30T06:49:00"/>
    <d v="1899-12-30T00:00:00"/>
    <n v="3.3333333333333215E-2"/>
    <n v="3.3333333333333215E-2"/>
    <s v="Auto reset"/>
    <s v="Close"/>
    <n v="1.4492753623188356E-3"/>
    <m/>
    <m/>
    <m/>
  </r>
  <r>
    <n v="1078"/>
    <n v="2024"/>
    <n v="2024"/>
    <s v="Year_1"/>
    <d v="2024-01-26T00:00:00"/>
    <s v="KUD10"/>
    <s v="O2R1"/>
    <s v="KSIPL"/>
    <n v="4.3478260869565223E-2"/>
    <n v="5196"/>
    <x v="114"/>
    <s v="Prop Valve B Status Fault"/>
    <s v="Breakdown"/>
    <d v="1899-12-30T08:38:00"/>
    <d v="1899-12-30T08:38:00"/>
    <d v="1899-12-30T08:40:00"/>
    <d v="1899-12-30T00:00:00"/>
    <n v="3.3333333333333215E-2"/>
    <n v="3.3333333333333215E-2"/>
    <s v="Auto reset"/>
    <s v="Close"/>
    <n v="1.4492753623188356E-3"/>
    <m/>
    <m/>
    <m/>
  </r>
  <r>
    <n v="1079"/>
    <n v="2024"/>
    <n v="2024"/>
    <s v="Year_1"/>
    <d v="2024-01-26T00:00:00"/>
    <s v="KUD10"/>
    <s v="O2R1"/>
    <s v="KSIPL"/>
    <n v="4.3478260869565223E-2"/>
    <n v="5196"/>
    <x v="114"/>
    <s v="Prop Valve B Status Fault"/>
    <s v="Breakdown"/>
    <d v="1899-12-30T09:32:00"/>
    <d v="1899-12-30T09:32:00"/>
    <d v="1899-12-30T09:35:00"/>
    <d v="1899-12-30T00:00:00"/>
    <n v="5.0000000000001155E-2"/>
    <n v="5.0000000000001155E-2"/>
    <s v="Auto reset"/>
    <s v="Close"/>
    <n v="2.1739130434783112E-3"/>
    <m/>
    <m/>
    <m/>
  </r>
  <r>
    <n v="1080"/>
    <n v="2024"/>
    <n v="2024"/>
    <s v="Year_1"/>
    <d v="2024-01-26T00:00:00"/>
    <s v="KUD10"/>
    <s v="O2R1"/>
    <s v="KSIPL"/>
    <n v="4.3478260869565223E-2"/>
    <n v="5196"/>
    <x v="114"/>
    <s v="Prop Valve B Status Fault"/>
    <s v="Breakdown"/>
    <d v="1899-12-30T18:01:00"/>
    <d v="1899-12-30T18:01:00"/>
    <d v="1899-12-30T21:55:00"/>
    <d v="1899-12-30T00:00:00"/>
    <n v="3.9000000000000021"/>
    <n v="3.9000000000000021"/>
    <s v="Checked All related Cables found ok,Proportional Valve got malfunction so we  Changed new proportional valve. after restore the WTG."/>
    <s v="Close"/>
    <n v="0.16956521739130445"/>
    <m/>
    <m/>
    <m/>
  </r>
  <r>
    <n v="1081"/>
    <n v="2024"/>
    <n v="2024"/>
    <s v="Year_1"/>
    <d v="2024-01-27T00:00:00"/>
    <s v="KUD04"/>
    <s v="O2R3"/>
    <s v="JK"/>
    <n v="4.3478260869565223E-2"/>
    <n v="900"/>
    <x v="100"/>
    <s v="Manual stop For blade internal and external inspection"/>
    <s v="Manual Stop"/>
    <d v="1899-12-30T11:21:00"/>
    <d v="1899-12-30T11:21:00"/>
    <d v="1899-12-30T14:47:00"/>
    <d v="1899-12-30T00:00:00"/>
    <n v="3.4333333333333345"/>
    <n v="3.4333333333333345"/>
    <s v="BladeInternal and External  inspection Done"/>
    <s v="Close"/>
    <n v="0.14927536231884064"/>
    <m/>
    <m/>
    <m/>
  </r>
  <r>
    <n v="1082"/>
    <n v="2024"/>
    <n v="2024"/>
    <s v="Year_1"/>
    <d v="2024-01-27T00:00:00"/>
    <s v="KUD10"/>
    <s v="O2R1"/>
    <s v="KSIPL"/>
    <n v="4.3478260869565223E-2"/>
    <n v="5197"/>
    <x v="54"/>
    <s v="Prop Valve C Status Fault"/>
    <s v="Breakdown"/>
    <d v="1899-12-30T01:52:00"/>
    <d v="1899-12-30T01:52:00"/>
    <d v="1899-12-30T01:57:00"/>
    <d v="1899-12-30T00:00:00"/>
    <n v="8.333333333333337E-2"/>
    <n v="8.333333333333337E-2"/>
    <s v="Auto reset"/>
    <s v="Close"/>
    <n v="3.6231884057971037E-3"/>
    <m/>
    <m/>
    <m/>
  </r>
  <r>
    <n v="1083"/>
    <n v="2024"/>
    <n v="2024"/>
    <s v="Year_1"/>
    <d v="2024-01-27T00:00:00"/>
    <s v="KUD10"/>
    <s v="O2R1"/>
    <s v="KSIPL"/>
    <n v="4.3478260869565223E-2"/>
    <n v="5197"/>
    <x v="54"/>
    <s v="Prop Valve C Status Fault"/>
    <s v="Breakdown"/>
    <d v="1899-12-30T09:41:00"/>
    <d v="1899-12-30T09:41:00"/>
    <d v="1899-12-30T09:43:00"/>
    <d v="1899-12-30T00:00:00"/>
    <n v="3.3333333333333215E-2"/>
    <n v="3.3333333333333215E-2"/>
    <s v="Auto reset"/>
    <s v="Close"/>
    <n v="1.4492753623188356E-3"/>
    <m/>
    <m/>
    <m/>
  </r>
  <r>
    <n v="1084"/>
    <n v="2024"/>
    <n v="2024"/>
    <s v="Year_1"/>
    <d v="2024-01-27T00:00:00"/>
    <s v="KUD10"/>
    <s v="O2R1"/>
    <s v="KSIPL"/>
    <n v="4.3478260869565223E-2"/>
    <n v="5197"/>
    <x v="54"/>
    <s v="Prop Valve C Status Fault"/>
    <s v="Breakdown"/>
    <d v="1899-12-30T10:19:00"/>
    <d v="1899-12-30T10:19:00"/>
    <d v="1899-12-30T10:21:00"/>
    <d v="1899-12-30T00:00:00"/>
    <n v="3.3333333333333215E-2"/>
    <n v="3.3333333333333215E-2"/>
    <s v="Auto reset"/>
    <s v="Close"/>
    <n v="1.4492753623188356E-3"/>
    <m/>
    <m/>
    <m/>
  </r>
  <r>
    <n v="1085"/>
    <n v="2024"/>
    <n v="2024"/>
    <s v="Year_1"/>
    <d v="2024-01-27T00:00:00"/>
    <s v="KUD10"/>
    <s v="O2R1"/>
    <s v="KSIPL"/>
    <n v="4.3478260869565223E-2"/>
    <n v="5197"/>
    <x v="54"/>
    <s v="Prop Valve C Status Fault"/>
    <s v="Breakdown"/>
    <d v="1899-12-30T11:18:00"/>
    <d v="1899-12-30T11:18:00"/>
    <d v="1899-12-30T11:20:00"/>
    <d v="1899-12-30T00:00:00"/>
    <n v="3.3333333333333215E-2"/>
    <n v="3.3333333333333215E-2"/>
    <s v="Auto reset"/>
    <s v="Close"/>
    <n v="1.4492753623188356E-3"/>
    <m/>
    <m/>
    <m/>
  </r>
  <r>
    <n v="1086"/>
    <n v="2024"/>
    <n v="2024"/>
    <s v="Year_1"/>
    <d v="2024-01-27T00:00:00"/>
    <s v="KUD10"/>
    <s v="O2R1"/>
    <s v="KSIPL"/>
    <n v="4.3478260869565223E-2"/>
    <n v="5195"/>
    <x v="49"/>
    <s v="Prop Valve A Status Fault"/>
    <s v="Breakdown"/>
    <d v="1899-12-30T12:30:00"/>
    <d v="1899-12-30T12:30:00"/>
    <d v="1899-12-30T12:33:00"/>
    <d v="1899-12-30T00:00:00"/>
    <n v="4.9999999999999822E-2"/>
    <n v="4.9999999999999822E-2"/>
    <s v="Auto reset"/>
    <s v="Close"/>
    <n v="2.1739130434782535E-3"/>
    <m/>
    <m/>
    <m/>
  </r>
  <r>
    <n v="1087"/>
    <n v="2024"/>
    <n v="2024"/>
    <s v="Year_1"/>
    <d v="2024-01-27T00:00:00"/>
    <s v="KUD10"/>
    <s v="O2R1"/>
    <s v="KSIPL"/>
    <n v="4.3478260869565223E-2"/>
    <n v="5197"/>
    <x v="54"/>
    <s v="Prop Valve C Status Fault"/>
    <s v="Breakdown"/>
    <d v="1899-12-30T14:52:00"/>
    <d v="1899-12-30T14:52:00"/>
    <d v="1899-12-30T14:54:00"/>
    <d v="1899-12-30T00:00:00"/>
    <n v="3.3333333333333215E-2"/>
    <n v="3.3333333333333215E-2"/>
    <s v="Auto reset"/>
    <s v="Close"/>
    <n v="1.4492753623188356E-3"/>
    <m/>
    <m/>
    <m/>
  </r>
  <r>
    <n v="1088"/>
    <n v="2024"/>
    <n v="2024"/>
    <s v="Year_1"/>
    <d v="2024-01-27T00:00:00"/>
    <s v="KUD10"/>
    <s v="O2R1"/>
    <s v="KSIPL"/>
    <n v="4.3478260869565223E-2"/>
    <n v="5197"/>
    <x v="54"/>
    <s v="Prop Valve C Status Fault"/>
    <s v="Breakdown"/>
    <d v="1899-12-30T15:31:00"/>
    <d v="1899-12-30T15:31:00"/>
    <d v="1899-12-30T15:33:00"/>
    <d v="1899-12-30T00:00:00"/>
    <n v="3.3333333333333215E-2"/>
    <n v="3.3333333333333215E-2"/>
    <s v="Auto reset"/>
    <s v="Close"/>
    <n v="1.4492753623188356E-3"/>
    <m/>
    <m/>
    <m/>
  </r>
  <r>
    <n v="1089"/>
    <n v="2024"/>
    <n v="2024"/>
    <s v="Year_1"/>
    <d v="2024-01-27T00:00:00"/>
    <s v="KUD10"/>
    <s v="O2R1"/>
    <s v="KSIPL"/>
    <n v="4.3478260869565223E-2"/>
    <n v="5197"/>
    <x v="54"/>
    <s v="Prop Valve C Status Fault"/>
    <s v="Breakdown"/>
    <d v="1899-12-30T16:17:00"/>
    <d v="1899-12-30T16:17:00"/>
    <d v="1899-12-30T16:20:00"/>
    <d v="1899-12-30T00:00:00"/>
    <n v="4.9999999999997158E-2"/>
    <n v="4.9999999999997158E-2"/>
    <s v="Auto reset"/>
    <s v="Close"/>
    <n v="2.1739130434781377E-3"/>
    <m/>
    <m/>
    <m/>
  </r>
  <r>
    <n v="1090"/>
    <n v="2024"/>
    <n v="2024"/>
    <s v="Year_1"/>
    <d v="2024-01-27T00:00:00"/>
    <s v="KUD10"/>
    <s v="O2R1"/>
    <s v="KSIPL"/>
    <n v="4.3478260869565223E-2"/>
    <n v="5195"/>
    <x v="49"/>
    <s v="Prop Valve A Status Fault"/>
    <s v="Breakdown"/>
    <d v="1899-12-30T17:41:00"/>
    <d v="1899-12-30T17:41:00"/>
    <d v="1899-12-30T17:44:00"/>
    <d v="1899-12-30T00:00:00"/>
    <n v="4.9999999999999822E-2"/>
    <n v="4.9999999999999822E-2"/>
    <s v="Auto reset"/>
    <s v="Close"/>
    <n v="2.1739130434782535E-3"/>
    <m/>
    <m/>
    <m/>
  </r>
  <r>
    <n v="1091"/>
    <n v="2024"/>
    <n v="2024"/>
    <s v="Year_1"/>
    <d v="2024-01-27T00:00:00"/>
    <s v="KUD10"/>
    <s v="O2R1"/>
    <s v="KSIPL"/>
    <n v="4.3478260869565223E-2"/>
    <n v="5197"/>
    <x v="54"/>
    <s v="Prop Valve C Status Fault"/>
    <s v="Breakdown"/>
    <d v="1899-12-30T18:12:00"/>
    <d v="1899-12-30T18:12:00"/>
    <d v="1899-12-30T18:14:00"/>
    <d v="1899-12-30T00:00:00"/>
    <n v="3.3333333333335879E-2"/>
    <n v="3.3333333333335879E-2"/>
    <s v="Auto reset"/>
    <s v="Close"/>
    <n v="1.4492753623189514E-3"/>
    <m/>
    <m/>
    <m/>
  </r>
  <r>
    <n v="1092"/>
    <n v="2024"/>
    <n v="2024"/>
    <s v="Year_1"/>
    <d v="2024-01-27T00:00:00"/>
    <s v="KUD10"/>
    <s v="O2R1"/>
    <s v="KSIPL"/>
    <n v="4.3478260869565223E-2"/>
    <n v="5195"/>
    <x v="49"/>
    <s v="Prop Valve A Status Fault"/>
    <s v="Breakdown"/>
    <d v="1899-12-30T18:36:00"/>
    <d v="1899-12-30T18:36:00"/>
    <d v="1899-12-30T18:44:00"/>
    <d v="1899-12-30T00:00:00"/>
    <n v="0.13333333333333286"/>
    <n v="0.13333333333333286"/>
    <s v="Auto reset"/>
    <s v="Close"/>
    <n v="5.7971014492753424E-3"/>
    <m/>
    <m/>
    <m/>
  </r>
  <r>
    <n v="1093"/>
    <n v="2024"/>
    <n v="2024"/>
    <s v="Year_1"/>
    <d v="2024-01-27T00:00:00"/>
    <s v="KUD10"/>
    <s v="O2R1"/>
    <s v="KSIPL"/>
    <n v="4.3478260869565223E-2"/>
    <n v="5195"/>
    <x v="49"/>
    <s v="Prop Valve A Status Fault"/>
    <s v="Breakdown"/>
    <d v="1899-12-30T19:31:00"/>
    <d v="1899-12-30T19:31:00"/>
    <d v="1899-12-30T19:42:00"/>
    <d v="1899-12-30T00:00:00"/>
    <n v="0.18333333333333268"/>
    <n v="0.18333333333333268"/>
    <s v="Auto reset"/>
    <s v="Close"/>
    <n v="7.9710144927535951E-3"/>
    <m/>
    <m/>
    <m/>
  </r>
  <r>
    <n v="1094"/>
    <n v="2024"/>
    <n v="2024"/>
    <s v="Year_1"/>
    <d v="2024-01-27T00:00:00"/>
    <s v="KUD10"/>
    <s v="O2R1"/>
    <s v="KSIPL"/>
    <n v="4.3478260869565223E-2"/>
    <n v="5197"/>
    <x v="54"/>
    <s v="Prop Valve C Status Fault"/>
    <s v="Breakdown"/>
    <d v="1899-12-30T20:31:00"/>
    <d v="1899-12-30T20:31:00"/>
    <d v="1899-12-30T23:59:00"/>
    <d v="1899-12-30T00:00:00"/>
    <n v="3.4666666666666677"/>
    <n v="3.4666666666666677"/>
    <s v="Trouble shooting working in process"/>
    <s v="Open"/>
    <n v="0.15072463768115948"/>
    <m/>
    <m/>
    <m/>
  </r>
  <r>
    <n v="1095"/>
    <n v="2024"/>
    <n v="2024"/>
    <s v="Year_1"/>
    <d v="2024-01-28T00:00:00"/>
    <s v="KUD10"/>
    <s v="O2R1"/>
    <s v="KSIPL"/>
    <n v="4.3478260869565223E-2"/>
    <n v="5197"/>
    <x v="54"/>
    <s v="Prop Valve C Status Fault"/>
    <s v="Breakdown"/>
    <d v="1899-12-30T00:00:00"/>
    <d v="1899-12-30T00:00:00"/>
    <d v="1899-12-30T01:09:00"/>
    <d v="1899-12-30T00:00:00"/>
    <n v="1.1499999999999999"/>
    <n v="1.1499999999999999"/>
    <s v="Prov Valve chaged in Blade B to Blade C after we take the Trail Run."/>
    <s v="Open"/>
    <n v="0.05"/>
    <m/>
    <m/>
    <m/>
  </r>
  <r>
    <n v="1096"/>
    <n v="2024"/>
    <n v="2024"/>
    <s v="Year_1"/>
    <d v="2024-01-28T00:00:00"/>
    <s v="KUD10"/>
    <s v="O2R1"/>
    <s v="KSIPL"/>
    <n v="4.3478260869565223E-2"/>
    <n v="5197"/>
    <x v="54"/>
    <s v="Prop Valve C Status Fault"/>
    <s v="Breakdown"/>
    <d v="1899-12-30T02:20:00"/>
    <d v="1899-12-30T02:20:00"/>
    <d v="1899-12-30T04:36:00"/>
    <d v="1899-12-30T00:00:00"/>
    <n v="2.2666666666666662"/>
    <n v="2.2666666666666662"/>
    <s v="Checked All related connection found  Supply Cable insulation got demaged due to share edge cable replaced new cable and restored the WTG. "/>
    <s v="Close"/>
    <n v="9.855072463768115E-2"/>
    <m/>
    <m/>
    <m/>
  </r>
  <r>
    <n v="1097"/>
    <n v="2024"/>
    <n v="2024"/>
    <s v="Year_1"/>
    <d v="2024-01-28T00:00:00"/>
    <s v="KUD01"/>
    <s v="O2R1"/>
    <s v="KSIPL"/>
    <n v="4.3478260869565223E-2"/>
    <n v="450"/>
    <x v="127"/>
    <s v="Ext. High I sum Grd inv."/>
    <s v="Breakdown"/>
    <d v="1899-12-30T22:07:00"/>
    <d v="1899-12-30T22:07:00"/>
    <d v="1899-12-30T22:09:00"/>
    <d v="1899-12-30T00:00:00"/>
    <n v="3.333333333333055E-2"/>
    <n v="3.333333333333055E-2"/>
    <s v="Auto reset"/>
    <s v="Close"/>
    <n v="1.4492753623187198E-3"/>
    <m/>
    <m/>
    <m/>
  </r>
  <r>
    <n v="1098"/>
    <n v="2024"/>
    <n v="2024"/>
    <s v="Year_1"/>
    <d v="2024-01-28T00:00:00"/>
    <s v="KUD12"/>
    <s v="O2R1"/>
    <s v="KSIPL"/>
    <n v="4.3478260869565223E-2"/>
    <n v="2676"/>
    <x v="124"/>
    <s v="UPS Error"/>
    <s v="Breakdown"/>
    <d v="1899-12-30T10:00:00"/>
    <d v="1899-12-30T10:00:00"/>
    <d v="1899-12-30T10:06:00"/>
    <d v="1899-12-30T00:00:00"/>
    <n v="9.9999999999999645E-2"/>
    <n v="9.9999999999999645E-2"/>
    <s v="Auto reset"/>
    <s v="Close"/>
    <n v="4.347826086956507E-3"/>
    <m/>
    <m/>
    <m/>
  </r>
  <r>
    <n v="1099"/>
    <n v="2024"/>
    <n v="2024"/>
    <s v="Year_1"/>
    <d v="2024-01-28T00:00:00"/>
    <s v="KUD19"/>
    <s v="O2R1"/>
    <s v="KSIPL"/>
    <n v="4.3478260869565223E-2"/>
    <n v="315"/>
    <x v="120"/>
    <s v="ExEx low voltage L2:   2V"/>
    <s v="Breakdown"/>
    <d v="1899-12-30T10:00:00"/>
    <d v="1899-12-30T10:00:00"/>
    <d v="1899-12-30T10:46:00"/>
    <d v="1899-12-30T00:00:00"/>
    <n v="0.76666666666666661"/>
    <n v="0.76666666666666661"/>
    <s v="SWG charged and restored the WTG."/>
    <s v="Close"/>
    <n v="3.3333333333333333E-2"/>
    <m/>
    <m/>
    <m/>
  </r>
  <r>
    <n v="1100"/>
    <n v="2024"/>
    <n v="2024"/>
    <s v="Year_1"/>
    <d v="2024-01-29T00:00:00"/>
    <s v="KUD07"/>
    <s v="O2R3"/>
    <s v="JK"/>
    <n v="4.3478260869565223E-2"/>
    <n v="5197"/>
    <x v="54"/>
    <s v="Prop Valve C Status Fault"/>
    <s v="Breakdown"/>
    <d v="1899-12-30T06:58:00"/>
    <d v="1899-12-30T06:58:00"/>
    <d v="1899-12-30T11:29:00"/>
    <d v="1899-12-30T00:00:00"/>
    <n v="4.5166666666666657"/>
    <n v="4.5166666666666657"/>
    <s v="Checked all related connection found Prov valve status In Error Mode so replaced new Prov valve in blade C and restored the WTG."/>
    <s v="Close"/>
    <n v="0.19637681159420289"/>
    <m/>
    <m/>
    <m/>
  </r>
  <r>
    <n v="1101"/>
    <n v="2024"/>
    <n v="2024"/>
    <s v="Year_1"/>
    <d v="2024-01-29T00:00:00"/>
    <s v="KUD15"/>
    <s v="O2R1"/>
    <s v="KSIPL"/>
    <n v="4.3478260869565223E-2"/>
    <n v="900"/>
    <x v="100"/>
    <s v="Manual stop For blade internal and external inspection"/>
    <s v="Manual Stop"/>
    <d v="1899-12-30T12:23:00"/>
    <d v="1899-12-30T12:23:00"/>
    <d v="1899-12-30T16:31:00"/>
    <d v="1899-12-30T00:00:00"/>
    <n v="4.1333333333333346"/>
    <n v="4.1333333333333346"/>
    <s v="BladeInternal and External  inspection Done"/>
    <s v="Close"/>
    <n v="0.17971014492753631"/>
    <m/>
    <m/>
    <m/>
  </r>
  <r>
    <n v="1102"/>
    <n v="2024"/>
    <n v="2024"/>
    <s v="Year_1"/>
    <d v="2024-01-29T00:00:00"/>
    <s v="KUD16"/>
    <s v="O2R2"/>
    <s v="SIL"/>
    <n v="4.3478260869565223E-2"/>
    <n v="900"/>
    <x v="100"/>
    <s v="Manual stop For blade internal and external inspection"/>
    <s v="Manual Stop"/>
    <d v="1899-12-30T12:46:00"/>
    <d v="1899-12-30T12:46:00"/>
    <d v="1899-12-30T17:00:00"/>
    <d v="1899-12-30T00:00:00"/>
    <n v="4.2333333333333343"/>
    <n v="4.2333333333333343"/>
    <s v="BladeInternal and External  inspection Done"/>
    <s v="Close"/>
    <n v="0.18405797101449281"/>
    <m/>
    <m/>
    <m/>
  </r>
  <r>
    <n v="1103"/>
    <n v="2024"/>
    <n v="2024"/>
    <s v="Year_1"/>
    <d v="2024-01-30T00:00:00"/>
    <s v="KUD23"/>
    <s v="O2R3"/>
    <s v="JK"/>
    <n v="4.3478260869565223E-2"/>
    <n v="900"/>
    <x v="100"/>
    <s v="Manual stop For blade internal and external inspection"/>
    <s v="Manual Stop"/>
    <d v="1899-12-30T06:19:00"/>
    <d v="1899-12-30T06:19:00"/>
    <d v="1899-12-30T09:21:00"/>
    <d v="1899-12-30T00:00:00"/>
    <n v="3.0333333333333332"/>
    <n v="3.0333333333333332"/>
    <s v="BladeInternal and External  inspection Done"/>
    <s v="Close"/>
    <n v="0.13188405797101452"/>
    <m/>
    <m/>
    <m/>
  </r>
  <r>
    <n v="1104"/>
    <n v="2024"/>
    <n v="2024"/>
    <s v="Year_1"/>
    <d v="2024-01-30T00:00:00"/>
    <s v="KUD16"/>
    <s v="O2R2"/>
    <s v="SIL"/>
    <n v="4.3478260869565223E-2"/>
    <n v="3742"/>
    <x v="115"/>
    <s v="TripHVButtonActivated 1"/>
    <s v="Breakdown"/>
    <d v="1899-12-30T17:46:00"/>
    <d v="1899-12-30T17:46:00"/>
    <d v="1899-12-30T17:57:00"/>
    <d v="1899-12-30T00:00:00"/>
    <n v="0.18333333333333535"/>
    <n v="0.18333333333333535"/>
    <s v="Remote reboot and reset done"/>
    <s v="Close"/>
    <n v="7.9710144927537113E-3"/>
    <m/>
    <m/>
    <m/>
  </r>
  <r>
    <n v="1105"/>
    <n v="2024"/>
    <n v="2024"/>
    <s v="Year_1"/>
    <d v="2024-01-30T00:00:00"/>
    <s v="KUD15"/>
    <s v="O2R1"/>
    <s v="KSIPL"/>
    <n v="4.3478260869565223E-2"/>
    <n v="3298"/>
    <x v="47"/>
    <s v="Yaw To Cable Twist Reset"/>
    <s v="Breakdown"/>
    <d v="1899-12-30T17:46:00"/>
    <d v="1899-12-30T17:46:00"/>
    <d v="1899-12-30T18:09:00"/>
    <d v="1899-12-30T00:00:00"/>
    <n v="0.38333333333333464"/>
    <n v="0.38333333333333464"/>
    <s v="Remote reset done"/>
    <s v="Close"/>
    <n v="1.6666666666666725E-2"/>
    <m/>
    <m/>
    <m/>
  </r>
  <r>
    <n v="1106"/>
    <n v="2024"/>
    <n v="2024"/>
    <s v="Year_1"/>
    <d v="2024-01-31T00:00:00"/>
    <s v="KUD18"/>
    <s v="O2R4"/>
    <s v="SGDCIPL"/>
    <n v="4.3478260869565223E-2"/>
    <n v="3209"/>
    <x v="101"/>
    <s v="YawSignals Invalid"/>
    <s v="Breakdown"/>
    <d v="1899-12-30T01:57:00"/>
    <d v="1899-12-30T01:57:00"/>
    <d v="1899-12-30T02:14:00"/>
    <d v="1899-12-30T00:00:00"/>
    <n v="0.28333333333333333"/>
    <n v="0.28333333333333333"/>
    <s v="Auto reset"/>
    <s v="Close"/>
    <n v="1.2318840579710146E-2"/>
    <m/>
    <m/>
    <m/>
  </r>
  <r>
    <n v="1107"/>
    <n v="2024"/>
    <n v="2024"/>
    <s v="Year_1"/>
    <d v="2024-01-31T00:00:00"/>
    <s v="KUD01"/>
    <s v="O2R1"/>
    <s v="KSIPL"/>
    <n v="4.3478260869565223E-2"/>
    <n v="450"/>
    <x v="127"/>
    <s v="Ext. High I sum Grd inv."/>
    <s v="Breakdown"/>
    <d v="1899-12-30T09:55:00"/>
    <d v="1899-12-30T09:55:00"/>
    <d v="1899-12-30T09:58:00"/>
    <d v="1899-12-30T00:00:00"/>
    <n v="5.0000000000001155E-2"/>
    <n v="5.0000000000001155E-2"/>
    <s v="Remote reset done"/>
    <s v="Close"/>
    <n v="2.1739130434783112E-3"/>
    <m/>
    <m/>
    <m/>
  </r>
  <r>
    <n v="1108"/>
    <n v="2024"/>
    <n v="2024"/>
    <s v="Year_1"/>
    <d v="2024-01-31T00:00:00"/>
    <s v="KUD12"/>
    <s v="O2R1"/>
    <s v="KSIPL"/>
    <n v="4.3478260869565223E-2"/>
    <n v="2676"/>
    <x v="124"/>
    <s v="UPS Error"/>
    <s v="Breakdown"/>
    <d v="1899-12-30T17:55:00"/>
    <d v="1899-12-30T17:55:00"/>
    <d v="1899-12-30T19:06:00"/>
    <d v="1899-12-30T00:00:00"/>
    <n v="1.1833333333333345"/>
    <n v="1.1833333333333345"/>
    <s v="Checked UPS battery feedback connection and all are normal then reboot after restored."/>
    <s v="Close"/>
    <n v="5.1449275362318893E-2"/>
    <m/>
    <m/>
    <m/>
  </r>
  <r>
    <n v="1109"/>
    <n v="2024"/>
    <n v="2024"/>
    <s v="Year_1"/>
    <d v="2024-01-31T00:00:00"/>
    <s v="KUD16"/>
    <s v="O2R2"/>
    <s v="SIL"/>
    <n v="4.3478260869565223E-2"/>
    <n v="5067"/>
    <x v="105"/>
    <s v="Pitch pos A meas. signal fault"/>
    <s v="Breakdown"/>
    <d v="1899-12-30T17:55:00"/>
    <d v="1899-12-30T17:55:00"/>
    <d v="1899-12-30T18:08:00"/>
    <d v="1899-12-30T00:00:00"/>
    <n v="0.2166666666666659"/>
    <n v="0.2166666666666659"/>
    <s v="Remote reset done"/>
    <s v="Close"/>
    <n v="9.4202898550724314E-3"/>
    <m/>
    <m/>
    <m/>
  </r>
  <r>
    <n v="1110"/>
    <n v="2024"/>
    <n v="2024"/>
    <s v="Year_1"/>
    <d v="2024-01-31T00:00:00"/>
    <s v="KUD18"/>
    <s v="O2R4"/>
    <s v="SGDCIPL"/>
    <n v="4.3478260869565223E-2"/>
    <n v="3209"/>
    <x v="101"/>
    <s v="YawSignals Invalid"/>
    <s v="Breakdown"/>
    <d v="1899-12-30T17:55:00"/>
    <d v="1899-12-30T17:55:00"/>
    <d v="1899-12-30T17:58:00"/>
    <d v="1899-12-30T00:00:00"/>
    <n v="4.9999999999997158E-2"/>
    <n v="4.9999999999997158E-2"/>
    <s v="Remote reset done"/>
    <s v="Close"/>
    <n v="2.1739130434781377E-3"/>
    <m/>
    <m/>
    <m/>
  </r>
  <r>
    <n v="1111"/>
    <n v="2024"/>
    <n v="2024"/>
    <s v="Year_1"/>
    <d v="2024-02-01T00:00:00"/>
    <s v="KUD11"/>
    <s v="O2R1"/>
    <s v="KSIPL"/>
    <n v="4.3478260869565223E-2"/>
    <n v="2890"/>
    <x v="135"/>
    <s v="VibrShockAct X 0.05Y 0.06m/s^2"/>
    <s v="Breakdown"/>
    <d v="1899-12-30T06:29:00"/>
    <d v="1899-12-30T06:29:00"/>
    <d v="1899-12-30T09:49:00"/>
    <d v="1899-12-30T00:00:00"/>
    <n v="3.3333333333333335"/>
    <n v="3.3333333333333335"/>
    <s v="Checked sensor related connections and Pilz relay malfunctioning then reboot after restarted the wtg"/>
    <s v="Close"/>
    <n v="0.14492753623188409"/>
    <m/>
    <m/>
    <m/>
  </r>
  <r>
    <n v="1112"/>
    <n v="2024"/>
    <n v="2024"/>
    <s v="Year_1"/>
    <d v="2024-02-01T00:00:00"/>
    <s v="KUD02"/>
    <s v="O2R3"/>
    <s v="JK"/>
    <n v="4.3478260869565223E-2"/>
    <n v="4516"/>
    <x v="128"/>
    <s v="HubSafty HydrPres Low BldA"/>
    <s v="Breakdown"/>
    <d v="1899-12-30T10:17:00"/>
    <d v="1899-12-30T10:17:00"/>
    <d v="1899-12-30T10:22:00"/>
    <d v="1899-12-30T00:00:00"/>
    <n v="8.333333333333437E-2"/>
    <n v="8.333333333333437E-2"/>
    <s v="Remote reset done"/>
    <s v="Close"/>
    <n v="3.623188405797147E-3"/>
    <m/>
    <m/>
    <m/>
  </r>
  <r>
    <n v="1113"/>
    <n v="2024"/>
    <n v="2024"/>
    <s v="Year_1"/>
    <d v="2024-02-01T00:00:00"/>
    <s v="KUD04"/>
    <s v="O2R3"/>
    <s v="JK"/>
    <n v="4.3478260869565223E-2"/>
    <n v="707"/>
    <x v="121"/>
    <s v="Ch hardware error C0"/>
    <s v="Breakdown"/>
    <d v="1899-12-30T16:32:00"/>
    <d v="1899-12-30T16:32:00"/>
    <d v="1899-12-30T16:46:00"/>
    <d v="1899-12-30T00:00:00"/>
    <n v="0.23333333333332984"/>
    <n v="0.23333333333332984"/>
    <s v="Remote reset done"/>
    <s v="Close"/>
    <n v="1.0144927536231734E-2"/>
    <m/>
    <m/>
    <m/>
  </r>
  <r>
    <n v="1114"/>
    <n v="2024"/>
    <n v="2024"/>
    <s v="Year_1"/>
    <d v="2024-02-01T00:00:00"/>
    <s v="KUD16"/>
    <s v="O2R2"/>
    <s v="SIL"/>
    <n v="4.3478260869565223E-2"/>
    <n v="4239"/>
    <x v="40"/>
    <s v="HVCB Unknown Trip Reason"/>
    <s v="Breakdown"/>
    <d v="1899-12-30T16:32:00"/>
    <d v="1899-12-30T16:32:00"/>
    <d v="1899-12-30T16:36:00"/>
    <d v="1899-12-30T00:00:00"/>
    <n v="6.666666666666643E-2"/>
    <n v="6.666666666666643E-2"/>
    <s v="Remote reset done"/>
    <s v="Close"/>
    <n v="2.8985507246376712E-3"/>
    <m/>
    <m/>
    <m/>
  </r>
  <r>
    <n v="1115"/>
    <n v="2024"/>
    <n v="2024"/>
    <s v="Year_1"/>
    <d v="2024-02-01T00:00:00"/>
    <s v="KUD22"/>
    <s v="O2R3"/>
    <s v="JK"/>
    <n v="4.3478260869565223E-2"/>
    <n v="3209"/>
    <x v="101"/>
    <s v="YawSignals Invalid"/>
    <s v="Breakdown"/>
    <d v="1899-12-30T12:05:00"/>
    <d v="1899-12-30T12:05:00"/>
    <d v="1899-12-30T12:25:00"/>
    <d v="1899-12-30T00:00:00"/>
    <n v="0.33333333333333215"/>
    <n v="0.33333333333333215"/>
    <s v="Remote reset done"/>
    <s v="Close"/>
    <n v="1.4492753623188356E-2"/>
    <m/>
    <m/>
    <m/>
  </r>
  <r>
    <n v="1116"/>
    <n v="2024"/>
    <n v="2024"/>
    <s v="Year_1"/>
    <d v="2024-02-01T00:00:00"/>
    <s v="KUD05"/>
    <s v="O2R3"/>
    <s v="JK"/>
    <n v="4.3478260869565223E-2"/>
    <n v="3209"/>
    <x v="101"/>
    <s v="YawSignals Invalid"/>
    <s v="Breakdown"/>
    <d v="1899-12-30T11:53:00"/>
    <d v="1899-12-30T11:53:00"/>
    <d v="1899-12-30T12:23:00"/>
    <d v="1899-12-30T00:00:00"/>
    <n v="0.49999999999999956"/>
    <n v="0.49999999999999956"/>
    <s v="Remote reset done"/>
    <s v="Close"/>
    <n v="2.1739130434782591E-2"/>
    <m/>
    <m/>
    <m/>
  </r>
  <r>
    <n v="1117"/>
    <n v="2024"/>
    <n v="2024"/>
    <s v="Year_1"/>
    <d v="2024-02-02T00:00:00"/>
    <s v="KUD02"/>
    <s v="O2R3"/>
    <s v="JK"/>
    <n v="4.3478260869565223E-2"/>
    <n v="2890"/>
    <x v="135"/>
    <s v="VibrShockAct X 0.06Y 0.17m/s^2"/>
    <s v="Breakdown"/>
    <d v="1899-12-30T22:26:00"/>
    <d v="1899-12-30T22:26:00"/>
    <d v="1899-12-31T00:00:00"/>
    <d v="1899-12-30T00:00:00"/>
    <n v="1.5666666666666664"/>
    <n v="1.5666666666666664"/>
    <s v="Troubleshooting carried out work under process"/>
    <s v="Open"/>
    <n v="6.8115942028985507E-2"/>
    <m/>
    <m/>
    <m/>
  </r>
  <r>
    <n v="1118"/>
    <n v="2024"/>
    <n v="2024"/>
    <s v="Year_1"/>
    <d v="2024-02-02T00:00:00"/>
    <s v="KUD06"/>
    <s v="O2R3"/>
    <s v="JK"/>
    <n v="4.3478260869565223E-2"/>
    <n v="900"/>
    <x v="100"/>
    <s v="Manual stop for N2 gas refilling work"/>
    <s v="Manual Stop"/>
    <d v="1899-12-30T11:09:00"/>
    <d v="1899-12-30T11:09:00"/>
    <d v="1899-12-30T14:43:00"/>
    <d v="1899-12-30T00:00:00"/>
    <n v="3.5666666666666673"/>
    <n v="3.5666666666666673"/>
    <s v="Manual stop for N2 gas refilling work done"/>
    <s v="Close"/>
    <n v="0.15507246376811598"/>
    <m/>
    <m/>
    <m/>
  </r>
  <r>
    <n v="1119"/>
    <n v="2024"/>
    <n v="2024"/>
    <s v="Year_1"/>
    <d v="2024-02-02T00:00:00"/>
    <s v="KUD07"/>
    <s v="O2R3"/>
    <s v="JK"/>
    <n v="4.3478260869565223E-2"/>
    <n v="900"/>
    <x v="100"/>
    <s v="Manual stop for N2 gas refilling work"/>
    <s v="Manual Stop"/>
    <d v="1899-12-30T15:06:00"/>
    <d v="1899-12-30T15:06:00"/>
    <d v="1899-12-30T17:59:00"/>
    <d v="1899-12-30T00:00:00"/>
    <n v="2.8833333333333337"/>
    <n v="2.8833333333333337"/>
    <s v="Manual stop for N2 gas refilling work done"/>
    <s v="Close"/>
    <n v="0.12536231884057975"/>
    <m/>
    <m/>
    <m/>
  </r>
  <r>
    <n v="1120"/>
    <n v="2024"/>
    <n v="2024"/>
    <s v="Year_1"/>
    <d v="2024-02-03T00:00:00"/>
    <s v="KUD02"/>
    <s v="O2R3"/>
    <s v="JK"/>
    <n v="4.3478260869565223E-2"/>
    <n v="2890"/>
    <x v="135"/>
    <s v="VibrShockAct X 0.05Y 0.06m/s^2"/>
    <s v="Breakdown"/>
    <d v="1899-12-30T00:00:00"/>
    <d v="1899-12-30T00:00:00"/>
    <d v="1899-12-30T01:26:00"/>
    <d v="1899-12-30T00:00:00"/>
    <n v="1.4333333333333333"/>
    <n v="1.4333333333333333"/>
    <s v="Troubleshooting carried out and checked sensor cables all are normal condition then restored the WTG"/>
    <s v="Close"/>
    <n v="6.2318840579710155E-2"/>
    <m/>
    <m/>
    <m/>
  </r>
  <r>
    <n v="1121"/>
    <n v="2024"/>
    <n v="2024"/>
    <s v="Year_1"/>
    <d v="2024-02-03T00:00:00"/>
    <s v="KUD01"/>
    <s v="O2R1"/>
    <s v="KSIPL"/>
    <n v="4.3478260869565223E-2"/>
    <n v="450"/>
    <x v="127"/>
    <s v="Ext. High I sum Grd inv."/>
    <s v="Breakdown"/>
    <d v="1899-12-30T21:01:00"/>
    <d v="1899-12-30T21:01:00"/>
    <d v="1899-12-30T21:03:00"/>
    <d v="1899-12-30T00:00:00"/>
    <n v="3.3333333333333215E-2"/>
    <n v="3.3333333333333215E-2"/>
    <s v="Auto reset"/>
    <s v="Close"/>
    <n v="1.4492753623188356E-3"/>
    <m/>
    <m/>
    <m/>
  </r>
  <r>
    <n v="1122"/>
    <n v="2024"/>
    <n v="2024"/>
    <s v="Year_1"/>
    <d v="2024-02-03T00:00:00"/>
    <s v="KUD12"/>
    <s v="O2R1"/>
    <s v="KSIPL"/>
    <n v="4.3478260869565223E-2"/>
    <n v="987"/>
    <x v="77"/>
    <s v="Thermoerror Waterpump"/>
    <s v="Breakdown"/>
    <d v="1899-12-30T15:04:00"/>
    <d v="1899-12-30T15:04:00"/>
    <d v="1899-12-30T23:20:00"/>
    <d v="1899-12-30T00:00:00"/>
    <n v="8.2666666666666657"/>
    <n v="8.2666666666666657"/>
    <s v="Troubleshooting carried out found main supply voltage missing then cheked MPCB connector damaged then replaced new connector then restored"/>
    <s v="Close"/>
    <n v="0.35942028985507246"/>
    <m/>
    <m/>
    <m/>
  </r>
  <r>
    <n v="1123"/>
    <n v="2024"/>
    <n v="2024"/>
    <s v="Year_1"/>
    <d v="2024-02-03T00:00:00"/>
    <s v="KUD16"/>
    <s v="O2R2"/>
    <s v="SIL"/>
    <n v="4.3478260869565223E-2"/>
    <n v="707"/>
    <x v="121"/>
    <s v="Ch hardware error C_"/>
    <s v="Breakdown"/>
    <d v="1899-12-30T14:45:00"/>
    <d v="1899-12-30T14:45:00"/>
    <d v="1899-12-30T14:52:00"/>
    <d v="1899-12-30T00:00:00"/>
    <n v="0.11666666666666625"/>
    <n v="0.11666666666666625"/>
    <s v="Remote reset done"/>
    <s v="Close"/>
    <n v="5.0724637681159243E-3"/>
    <m/>
    <m/>
    <m/>
  </r>
  <r>
    <n v="1124"/>
    <n v="2024"/>
    <n v="2024"/>
    <s v="Year_1"/>
    <d v="2024-02-05T00:00:00"/>
    <s v="KUD02"/>
    <s v="O2R3"/>
    <s v="JK"/>
    <n v="4.3478260869565223E-2"/>
    <n v="900"/>
    <x v="100"/>
    <s v="Manual stop for Blade inspection and N2 gas refilling work"/>
    <s v="Manual Stop"/>
    <d v="1899-12-30T12:08:00"/>
    <d v="1899-12-30T12:08:00"/>
    <d v="1899-12-30T17:55:00"/>
    <d v="1899-12-30T00:00:00"/>
    <n v="5.7833333333333341"/>
    <n v="5.7833333333333341"/>
    <s v="Manual stop for Blade inspection and N2 gas refilling work done"/>
    <s v="Close"/>
    <n v="0.25144927536231892"/>
    <m/>
    <m/>
    <m/>
  </r>
  <r>
    <n v="1125"/>
    <n v="2024"/>
    <n v="2024"/>
    <s v="Year_1"/>
    <d v="2024-02-06T00:00:00"/>
    <s v="KUD19"/>
    <s v="O2R1"/>
    <s v="KSIPL"/>
    <n v="4.3478260869565223E-2"/>
    <n v="900"/>
    <x v="100"/>
    <s v="Yaw claw spring package replacement work"/>
    <s v="Manual Stop"/>
    <d v="1899-12-30T09:04:00"/>
    <d v="1899-12-30T09:04:00"/>
    <d v="1899-12-30T21:14:00"/>
    <d v="1899-12-30T00:00:00"/>
    <n v="12.166666666666668"/>
    <n v="12.166666666666668"/>
    <s v="Yaw claw spring package replacement work done"/>
    <s v="Close"/>
    <n v="0.52898550724637694"/>
    <m/>
    <m/>
    <m/>
  </r>
  <r>
    <n v="1126"/>
    <n v="2024"/>
    <n v="2024"/>
    <s v="Year_1"/>
    <d v="2024-02-06T00:00:00"/>
    <s v="KUD23"/>
    <s v="O2R3"/>
    <s v="JK"/>
    <n v="4.3478260869565223E-2"/>
    <n v="3329"/>
    <x v="151"/>
    <s v="DODP Leak Failure"/>
    <s v="Breakdown"/>
    <d v="1899-12-30T23:05:00"/>
    <d v="1899-12-30T23:05:00"/>
    <d v="1899-12-30T23:10:00"/>
    <d v="1899-12-30T00:00:00"/>
    <n v="8.3333333333335702E-2"/>
    <n v="8.3333333333335702E-2"/>
    <s v="Auto reset"/>
    <s v="Close"/>
    <n v="3.6231884057972047E-3"/>
    <m/>
    <m/>
    <m/>
  </r>
  <r>
    <n v="1127"/>
    <n v="2024"/>
    <n v="2024"/>
    <s v="Year_1"/>
    <d v="2024-02-07T00:00:00"/>
    <s v="KUD01"/>
    <s v="O2R1"/>
    <s v="KSIPL"/>
    <n v="4.3478260869565223E-2"/>
    <n v="450"/>
    <x v="127"/>
    <s v="Ext. High I sum Grd inv."/>
    <s v="Breakdown"/>
    <d v="1899-12-30T02:06:00"/>
    <d v="1899-12-30T02:06:00"/>
    <d v="1899-12-30T02:08:00"/>
    <d v="1899-12-30T00:00:00"/>
    <n v="3.3333333333333215E-2"/>
    <n v="3.3333333333333215E-2"/>
    <s v="Auto reset"/>
    <s v="Close"/>
    <n v="1.4492753623188356E-3"/>
    <m/>
    <m/>
    <m/>
  </r>
  <r>
    <n v="1128"/>
    <n v="2024"/>
    <n v="2024"/>
    <s v="Year_1"/>
    <d v="2024-02-07T00:00:00"/>
    <s v="KUD08"/>
    <s v="O2R3"/>
    <s v="JK"/>
    <n v="4.3478260869565223E-2"/>
    <n v="900"/>
    <x v="100"/>
    <s v="Manual stop for N2 gas refilling work"/>
    <s v="Manual Stop"/>
    <d v="1899-12-30T11:21:00"/>
    <d v="1899-12-30T11:21:00"/>
    <d v="1899-12-30T14:11:00"/>
    <d v="1899-12-30T00:00:00"/>
    <n v="2.8333333333333339"/>
    <n v="2.8333333333333339"/>
    <s v="Manual stop for N2 gas refilling work done"/>
    <s v="Close"/>
    <n v="0.1231884057971015"/>
    <m/>
    <m/>
    <m/>
  </r>
  <r>
    <n v="1129"/>
    <n v="2024"/>
    <n v="2024"/>
    <s v="Year_1"/>
    <d v="2024-02-07T00:00:00"/>
    <s v="KUD09"/>
    <s v="O2R3"/>
    <s v="JK"/>
    <n v="4.3478260869565223E-2"/>
    <n v="900"/>
    <x v="100"/>
    <s v="Manual stop for N2 gas refilling work"/>
    <s v="Manual Stop"/>
    <d v="1899-12-30T14:57:00"/>
    <d v="1899-12-30T14:57:00"/>
    <d v="1899-12-30T17:38:00"/>
    <d v="1899-12-30T00:00:00"/>
    <n v="2.6833333333333318"/>
    <n v="2.6833333333333318"/>
    <s v="Manual stop for N2 gas refilling work done"/>
    <s v="Close"/>
    <n v="0.11666666666666661"/>
    <m/>
    <m/>
    <m/>
  </r>
  <r>
    <n v="1130"/>
    <n v="2024"/>
    <n v="2024"/>
    <s v="Year_1"/>
    <d v="2024-02-08T00:00:00"/>
    <s v="KUD05"/>
    <s v="O2R3"/>
    <s v="JK"/>
    <n v="4.3478260869565223E-2"/>
    <n v="3633"/>
    <x v="21"/>
    <s v="Yaw System Stopped"/>
    <s v="Breakdown"/>
    <d v="1899-12-30T08:22:00"/>
    <d v="1899-12-30T08:22:00"/>
    <d v="1899-12-30T09:22:00"/>
    <d v="1899-12-30T00:00:00"/>
    <n v="0.99999999999999911"/>
    <n v="0.99999999999999911"/>
    <s v="Remote reset done"/>
    <s v="Close"/>
    <n v="4.3478260869565181E-2"/>
    <m/>
    <m/>
    <m/>
  </r>
  <r>
    <n v="1131"/>
    <n v="2024"/>
    <n v="2024"/>
    <s v="Year_1"/>
    <d v="2024-02-08T00:00:00"/>
    <s v="KUD11"/>
    <s v="O2R1"/>
    <s v="KSIPL"/>
    <n v="4.3478260869565223E-2"/>
    <n v="900"/>
    <x v="100"/>
    <s v="Manual stop for N2 gas refilling work"/>
    <s v="Manual Stop"/>
    <d v="1899-12-30T12:51:00"/>
    <d v="1899-12-30T12:51:00"/>
    <d v="1899-12-30T15:22:00"/>
    <d v="1899-12-30T00:00:00"/>
    <n v="2.5166666666666684"/>
    <n v="2.5166666666666684"/>
    <s v="Manual stop for N2 gas refilling work done"/>
    <s v="Close"/>
    <n v="0.10942028985507256"/>
    <m/>
    <m/>
    <m/>
  </r>
  <r>
    <n v="1132"/>
    <n v="2024"/>
    <n v="2024"/>
    <s v="Year_1"/>
    <d v="2024-02-08T00:00:00"/>
    <s v="KUD13"/>
    <s v="O2R1"/>
    <s v="KSIPL"/>
    <n v="4.3478260869565223E-2"/>
    <n v="900"/>
    <x v="100"/>
    <s v="Manual stop for N2 gas refilling work"/>
    <s v="Manual Stop"/>
    <d v="1899-12-30T16:06:00"/>
    <d v="1899-12-30T16:06:00"/>
    <d v="1899-12-30T18:22:00"/>
    <d v="1899-12-30T00:00:00"/>
    <n v="2.2666666666666666"/>
    <n v="2.2666666666666666"/>
    <s v="Manual stop for N2 gas refilling work done"/>
    <s v="Close"/>
    <n v="9.8550724637681164E-2"/>
    <m/>
    <m/>
    <m/>
  </r>
  <r>
    <n v="1133"/>
    <n v="2024"/>
    <n v="2024"/>
    <s v="Year_1"/>
    <d v="2024-02-08T00:00:00"/>
    <s v="KUD18"/>
    <s v="O2R4"/>
    <s v="SGDCIPL"/>
    <n v="4.3478260869565223E-2"/>
    <n v="3209"/>
    <x v="101"/>
    <s v="YawSignals Invalid"/>
    <s v="Breakdown"/>
    <d v="1899-12-30T08:18:00"/>
    <d v="1899-12-30T08:18:00"/>
    <d v="1899-12-30T08:52:00"/>
    <d v="1899-12-30T00:00:00"/>
    <n v="0.56666666666666599"/>
    <n v="0.56666666666666599"/>
    <s v="Remote reset done"/>
    <s v="Close"/>
    <n v="2.4637681159420263E-2"/>
    <m/>
    <m/>
    <m/>
  </r>
  <r>
    <n v="1134"/>
    <n v="2024"/>
    <n v="2024"/>
    <s v="Year_1"/>
    <d v="2024-02-08T00:00:00"/>
    <s v="KUD22"/>
    <s v="O2R3"/>
    <s v="JK"/>
    <n v="4.3478260869565223E-2"/>
    <n v="3209"/>
    <x v="101"/>
    <s v="YawSignals Invalid"/>
    <s v="Breakdown"/>
    <d v="1899-12-30T08:22:00"/>
    <d v="1899-12-30T08:22:00"/>
    <d v="1899-12-30T08:55:00"/>
    <d v="1899-12-30T00:00:00"/>
    <n v="0.54999999999999805"/>
    <n v="0.54999999999999805"/>
    <s v="Remote reset done"/>
    <s v="Close"/>
    <n v="2.3913043478260787E-2"/>
    <m/>
    <m/>
    <m/>
  </r>
  <r>
    <n v="1135"/>
    <n v="2024"/>
    <n v="2024"/>
    <s v="Year_1"/>
    <d v="2024-02-09T00:00:00"/>
    <s v="KUD01"/>
    <s v="O2R1"/>
    <s v="KSIPL"/>
    <n v="4.3478260869565223E-2"/>
    <n v="450"/>
    <x v="127"/>
    <s v="Ext. High I sum Grd inv."/>
    <s v="Breakdown"/>
    <d v="1899-12-30T15:01:00"/>
    <d v="1899-12-30T15:01:00"/>
    <d v="1899-12-30T15:03:00"/>
    <d v="1899-12-30T00:00:00"/>
    <n v="3.3333333333333215E-2"/>
    <n v="3.3333333333333215E-2"/>
    <s v="Auto reset"/>
    <s v="Close"/>
    <n v="1.4492753623188356E-3"/>
    <m/>
    <m/>
    <m/>
  </r>
  <r>
    <n v="1136"/>
    <n v="2024"/>
    <n v="2024"/>
    <s v="Year_1"/>
    <d v="2024-02-09T00:00:00"/>
    <s v="KUD02"/>
    <s v="O2R3"/>
    <s v="JK"/>
    <n v="4.3478260869565223E-2"/>
    <n v="3329"/>
    <x v="151"/>
    <s v="DODP Leak Failure"/>
    <s v="Breakdown"/>
    <d v="1899-12-30T10:47:00"/>
    <d v="1899-12-30T10:47:00"/>
    <d v="1899-12-30T10:50:00"/>
    <d v="1899-12-30T00:00:00"/>
    <n v="4.9999999999999822E-2"/>
    <n v="4.9999999999999822E-2"/>
    <s v="Auto reset"/>
    <s v="Close"/>
    <n v="2.1739130434782535E-3"/>
    <m/>
    <m/>
    <m/>
  </r>
  <r>
    <n v="1137"/>
    <n v="2024"/>
    <n v="2024"/>
    <s v="Year_1"/>
    <d v="2024-02-09T00:00:00"/>
    <s v="KUD12"/>
    <s v="O2R1"/>
    <s v="KSIPL"/>
    <n v="4.3478260869565223E-2"/>
    <n v="900"/>
    <x v="100"/>
    <s v="Manual stop for Yaw claw spring package replacement work"/>
    <s v="Manual Stop"/>
    <d v="1899-12-30T07:22:00"/>
    <d v="1899-12-30T07:22:00"/>
    <d v="1899-12-30T14:18:00"/>
    <d v="1899-12-30T00:00:00"/>
    <n v="6.9333333333333336"/>
    <n v="6.9333333333333336"/>
    <s v="Manual stop for Yaw claw spring package replacement work done"/>
    <s v="Close"/>
    <n v="0.30144927536231891"/>
    <m/>
    <m/>
    <m/>
  </r>
  <r>
    <n v="1138"/>
    <n v="2024"/>
    <n v="2024"/>
    <s v="Year_1"/>
    <d v="2024-02-12T00:00:00"/>
    <s v="KUD01"/>
    <s v="O2R1"/>
    <s v="KSIPL"/>
    <n v="4.3478260869565223E-2"/>
    <n v="453"/>
    <x v="136"/>
    <s v="Ext. High I Sum RoInv.ChanX"/>
    <s v="Breakdown"/>
    <d v="1899-12-30T08:36:00"/>
    <d v="1899-12-30T08:36:00"/>
    <d v="1899-12-30T08:37:00"/>
    <d v="1899-12-30T00:00:00"/>
    <n v="1.6666666666666607E-2"/>
    <n v="1.6666666666666607E-2"/>
    <s v="Auto reset"/>
    <s v="Close"/>
    <n v="7.246376811594178E-4"/>
    <m/>
    <m/>
    <m/>
  </r>
  <r>
    <n v="1139"/>
    <n v="2024"/>
    <n v="2024"/>
    <s v="Year_1"/>
    <d v="2024-02-12T00:00:00"/>
    <s v="KUD04"/>
    <s v="O2R3"/>
    <s v="JK"/>
    <n v="4.3478260869565223E-2"/>
    <n v="900"/>
    <x v="100"/>
    <s v="Manual stop for N2 gas refilling work"/>
    <s v="Manual Stop"/>
    <d v="1899-12-30T10:52:00"/>
    <d v="1899-12-30T10:52:00"/>
    <d v="1899-12-30T12:59:00"/>
    <d v="1899-12-30T00:00:00"/>
    <n v="2.1166666666666658"/>
    <n v="2.1166666666666658"/>
    <s v="Manual stop for N2 gas refilling work done"/>
    <s v="Close"/>
    <n v="9.202898550724635E-2"/>
    <m/>
    <m/>
    <m/>
  </r>
  <r>
    <n v="1140"/>
    <n v="2024"/>
    <n v="2024"/>
    <s v="Year_1"/>
    <d v="2024-02-12T00:00:00"/>
    <s v="KUD20"/>
    <s v="O2R1"/>
    <s v="KSIPL"/>
    <n v="4.3478260869565223E-2"/>
    <n v="900"/>
    <x v="100"/>
    <s v="Manual stop for N2 gas refilling work"/>
    <s v="Manual Stop"/>
    <d v="1899-12-30T14:01:00"/>
    <d v="1899-12-30T14:01:00"/>
    <d v="1899-12-30T16:13:00"/>
    <d v="1899-12-30T00:00:00"/>
    <n v="2.1999999999999975"/>
    <n v="2.1999999999999975"/>
    <s v="Manual stop for N2 gas refilling work done"/>
    <s v="Close"/>
    <n v="9.5652173913043384E-2"/>
    <m/>
    <m/>
    <m/>
  </r>
  <r>
    <n v="1141"/>
    <n v="2024"/>
    <n v="2024"/>
    <s v="Year_1"/>
    <d v="2024-02-13T00:00:00"/>
    <s v="KUD21"/>
    <s v="O2R3"/>
    <s v="JK"/>
    <n v="4.3478260869565223E-2"/>
    <n v="900"/>
    <x v="100"/>
    <s v="Manual stop for N2 gas refilling &amp; CMS alert work"/>
    <s v="ROW"/>
    <d v="1899-12-30T13:24:00"/>
    <d v="1899-12-30T13:24:00"/>
    <d v="1899-12-30T14:53:00"/>
    <d v="1899-12-30T00:00:00"/>
    <n v="1.4833333333333334"/>
    <n v="1.4833333333333334"/>
    <s v="Turbine stopped due to ROW by land owner"/>
    <s v="Close"/>
    <n v="0"/>
    <m/>
    <m/>
    <m/>
  </r>
  <r>
    <n v="1142"/>
    <n v="2024"/>
    <n v="2024"/>
    <s v="Year_1"/>
    <d v="2024-02-13T00:00:00"/>
    <s v="KUD21"/>
    <s v="O2R3"/>
    <s v="JK"/>
    <n v="4.3478260869565223E-2"/>
    <n v="900"/>
    <x v="100"/>
    <s v="Manual stop for N2 gas refilling &amp; CMS alert work"/>
    <s v="Manual Stop"/>
    <d v="1899-12-30T14:53:00"/>
    <d v="1899-12-30T14:53:00"/>
    <d v="1899-12-30T20:48:00"/>
    <d v="1899-12-30T00:00:00"/>
    <n v="5.916666666666667"/>
    <n v="5.916666666666667"/>
    <s v="Manual stop for N2 gas refilling and CMS alert inspection work done"/>
    <s v="Close"/>
    <n v="0.25724637681159424"/>
    <m/>
    <m/>
    <m/>
  </r>
  <r>
    <n v="1143"/>
    <n v="2024"/>
    <n v="2024"/>
    <s v="Year_1"/>
    <d v="2024-02-14T00:00:00"/>
    <s v="KUD11"/>
    <s v="O2R1"/>
    <s v="KSIPL"/>
    <n v="4.3478260869565223E-2"/>
    <n v="335"/>
    <x v="152"/>
    <s v="ExtHighIRotorInv phase: _"/>
    <s v="Breakdown"/>
    <d v="2024-02-14T07:14:19"/>
    <d v="2024-02-14T07:14:19"/>
    <d v="2024-02-14T07:16:54"/>
    <d v="1899-12-30T00:00:00"/>
    <n v="4.305555549217388E-2"/>
    <n v="4.305555549217388E-2"/>
    <s v="Auto reset"/>
    <s v="Close"/>
    <n v="1.8719806735727777E-3"/>
    <m/>
    <m/>
    <m/>
  </r>
  <r>
    <n v="1144"/>
    <n v="2024"/>
    <n v="2024"/>
    <s v="Year_1"/>
    <d v="2024-02-14T00:00:00"/>
    <s v="KUD11"/>
    <s v="O2R1"/>
    <s v="KSIPL"/>
    <n v="4.3478260869565223E-2"/>
    <n v="4235"/>
    <x v="93"/>
    <s v="Gen Stator CB Open"/>
    <s v="Breakdown"/>
    <d v="2024-02-14T07:24:35"/>
    <d v="2024-02-14T07:24:35"/>
    <d v="2024-02-14T07:26:19"/>
    <d v="1899-12-30T00:00:00"/>
    <n v="2.8888888831716031E-2"/>
    <n v="2.8888888831716031E-2"/>
    <s v="Auto reset"/>
    <s v="Close"/>
    <n v="1.256038644857219E-3"/>
    <m/>
    <m/>
    <m/>
  </r>
  <r>
    <n v="1145"/>
    <n v="2024"/>
    <n v="2024"/>
    <s v="Year_1"/>
    <d v="2024-02-14T00:00:00"/>
    <s v="KUD15"/>
    <s v="O2R1"/>
    <s v="KSIPL"/>
    <n v="4.3478260869565223E-2"/>
    <n v="900"/>
    <x v="100"/>
    <s v="Manual stop for N2 gas refilling work"/>
    <s v="Manual Stop"/>
    <d v="2024-02-14T11:14:59"/>
    <d v="2024-02-14T11:14:59"/>
    <d v="2024-02-14T14:04:15"/>
    <d v="1899-12-30T00:00:00"/>
    <n v="2.8211111112032086"/>
    <n v="2.8211111112032086"/>
    <s v="Manual stop for N2 gas refilling work done"/>
    <s v="Close"/>
    <n v="0.12265700483492213"/>
    <n v="100"/>
    <n v="1090"/>
    <m/>
  </r>
  <r>
    <n v="1146"/>
    <n v="2024"/>
    <n v="2024"/>
    <s v="Year_1"/>
    <d v="2024-02-14T00:00:00"/>
    <s v="KUD16"/>
    <s v="O2R2"/>
    <s v="SIL"/>
    <n v="4.3478260869565223E-2"/>
    <n v="900"/>
    <x v="100"/>
    <s v="Manual stop for N2 gas refilling work"/>
    <s v="Manual Stop"/>
    <d v="2024-02-14T14:51:07"/>
    <d v="2024-02-14T14:51:07"/>
    <d v="2024-02-14T17:13:50"/>
    <d v="1899-12-30T00:00:00"/>
    <n v="2.3786111111403443"/>
    <n v="2.3786111111403443"/>
    <s v="Manual stop for N2 gas refilling work done"/>
    <s v="Close"/>
    <n v="0.10341787439740628"/>
    <n v="100"/>
    <n v="710"/>
    <m/>
  </r>
  <r>
    <n v="1147"/>
    <n v="2024"/>
    <n v="2024"/>
    <s v="Year_1"/>
    <d v="2024-02-15T00:00:00"/>
    <s v="KUD16"/>
    <s v="O2R2"/>
    <s v="SIL"/>
    <n v="4.3478260869565223E-2"/>
    <n v="900"/>
    <x v="100"/>
    <s v="Remote stop for warning Tyc Load sensor status B Error &quot; warning rectification work"/>
    <s v="Breakdown"/>
    <d v="1899-12-30T11:21:00"/>
    <d v="1899-12-30T11:21:00"/>
    <d v="1899-12-30T12:00:00"/>
    <d v="1899-12-30T00:00:00"/>
    <n v="0.65000000000000036"/>
    <n v="0.65000000000000036"/>
    <s v="Remote reboot and reset done"/>
    <s v="Close"/>
    <n v="2.8260869565217412E-2"/>
    <n v="100"/>
    <n v="480"/>
    <m/>
  </r>
  <r>
    <n v="1148"/>
    <n v="2024"/>
    <n v="2024"/>
    <s v="Year_1"/>
    <d v="2024-02-15T00:00:00"/>
    <s v="KUD01"/>
    <s v="O2R1"/>
    <s v="KSIPL"/>
    <n v="4.3478260869565223E-2"/>
    <n v="453"/>
    <x v="136"/>
    <s v="Ext. High I Sum RoInv.ChanX"/>
    <s v="Breakdown"/>
    <d v="1899-12-30T05:13:00"/>
    <d v="1899-12-30T05:13:00"/>
    <d v="1899-12-30T05:14:00"/>
    <d v="1899-12-30T00:00:00"/>
    <n v="1.6666666666666607E-2"/>
    <n v="1.6666666666666607E-2"/>
    <s v="Auto reset"/>
    <s v="Close"/>
    <n v="7.246376811594178E-4"/>
    <n v="100"/>
    <n v="60"/>
    <m/>
  </r>
  <r>
    <n v="1149"/>
    <n v="2024"/>
    <n v="2024"/>
    <s v="Year_1"/>
    <d v="2024-02-16T00:00:00"/>
    <s v="KUD11"/>
    <s v="O2R1"/>
    <s v="KSIPL"/>
    <n v="4.3478260869565223E-2"/>
    <n v="3806"/>
    <x v="147"/>
    <s v="HubSafetySystem Batt.Charg.Err"/>
    <s v="Breakdown"/>
    <d v="2024-02-16T11:30:00"/>
    <d v="2024-02-16T11:30:00"/>
    <d v="2024-02-16T12:00:43"/>
    <d v="1899-12-30T00:00:00"/>
    <n v="0.5119444445008412"/>
    <n v="0.5119444445008412"/>
    <s v="Auto reset"/>
    <s v="Close"/>
    <n v="2.2258454108732229E-2"/>
    <n v="99.06"/>
    <n v="670"/>
    <m/>
  </r>
  <r>
    <n v="1150"/>
    <n v="2024"/>
    <n v="2024"/>
    <s v="Year_1"/>
    <d v="2024-02-16T00:00:00"/>
    <s v="KUD12"/>
    <s v="O2R1"/>
    <s v="KSIPL"/>
    <n v="4.3478260869565223E-2"/>
    <n v="2676"/>
    <x v="124"/>
    <s v="UPS Error"/>
    <s v="Breakdown"/>
    <d v="2024-02-16T12:00:00"/>
    <d v="2024-02-16T12:00:00"/>
    <d v="2024-02-16T12:21:04"/>
    <d v="1899-12-30T00:00:00"/>
    <n v="0.35111111111473292"/>
    <n v="0.35111111111473292"/>
    <s v="Turbine reseted manually"/>
    <s v="Close"/>
    <n v="1.526570048324926E-2"/>
    <n v="98.1"/>
    <n v="320"/>
    <m/>
  </r>
  <r>
    <n v="1151"/>
    <n v="2024"/>
    <n v="2024"/>
    <s v="Year_1"/>
    <d v="2024-02-16T00:00:00"/>
    <s v="KUD02"/>
    <s v="O2R3"/>
    <s v="JK"/>
    <n v="4.3478260869565223E-2"/>
    <n v="5470"/>
    <x v="34"/>
    <s v="GeneratorBreakerFBResponse"/>
    <s v="Breakdown"/>
    <d v="2024-02-16T11:30:34"/>
    <d v="2024-02-16T11:30:34"/>
    <d v="2024-02-16T15:30:00"/>
    <d v="1899-12-30T00:00:00"/>
    <n v="3.9905555555596948"/>
    <n v="3.9905555555596948"/>
    <s v="Auto reset"/>
    <s v="Close"/>
    <n v="0.17350241545911718"/>
    <m/>
    <m/>
    <m/>
  </r>
  <r>
    <n v="1152"/>
    <n v="2024"/>
    <n v="2024"/>
    <s v="Year_1"/>
    <d v="2024-02-16T00:00:00"/>
    <s v="KUD02"/>
    <s v="O2R3"/>
    <s v="JK"/>
    <n v="4.3478260869565223E-2"/>
    <n v="5470"/>
    <x v="34"/>
    <s v="Remote stopped for Gen Feedback response Fault troubleshooting Work"/>
    <s v="Breakdown"/>
    <d v="2024-02-16T15:30:00"/>
    <d v="2024-02-16T15:30:00"/>
    <d v="2024-02-16T15:49:50"/>
    <d v="1899-12-30T00:00:00"/>
    <n v="0.33055555546889082"/>
    <n v="0.33055555546889082"/>
    <s v="Gen Under Voltage coil replaced"/>
    <s v="Close"/>
    <n v="1.4371980672560472E-2"/>
    <n v="100"/>
    <n v="3230"/>
    <m/>
  </r>
  <r>
    <n v="1153"/>
    <n v="2024"/>
    <n v="2024"/>
    <s v="Year_1"/>
    <d v="2024-02-16T00:00:00"/>
    <s v="KUD04"/>
    <s v="O2R3"/>
    <s v="JK"/>
    <n v="4.3478260869565223E-2"/>
    <n v="707"/>
    <x v="121"/>
    <s v="Sevice key for Ch hardware error C troubleshooting Work"/>
    <s v="Breakdown"/>
    <d v="2024-02-16T11:30:00"/>
    <d v="2024-02-16T11:30:00"/>
    <d v="2024-02-16T15:00:27"/>
    <d v="1899-12-30T00:00:00"/>
    <n v="3.5075000000651926"/>
    <n v="3.5075000000651926"/>
    <s v="VMP ground controller replaced with new one"/>
    <s v="Close"/>
    <n v="0.15250000000283448"/>
    <n v="100"/>
    <n v="3340"/>
    <m/>
  </r>
  <r>
    <n v="1154"/>
    <n v="2024"/>
    <n v="2024"/>
    <s v="Year_1"/>
    <d v="2024-02-16T00:00:00"/>
    <s v="KUD10"/>
    <s v="O2R1"/>
    <s v="KSIPL"/>
    <n v="4.3478260869565223E-2"/>
    <n v="4235"/>
    <x v="93"/>
    <s v="Gen Stator CB Open"/>
    <s v="Breakdown"/>
    <d v="2024-02-16T10:42:24"/>
    <d v="2024-02-16T10:42:24"/>
    <d v="2024-02-16T10:50:00"/>
    <d v="1899-12-30T00:00:00"/>
    <n v="0.12666666676523164"/>
    <n v="0.12666666676523164"/>
    <s v="Auto reset"/>
    <s v="Close"/>
    <n v="5.5072463810970284E-3"/>
    <n v="100"/>
    <n v="210"/>
    <m/>
  </r>
  <r>
    <n v="1155"/>
    <n v="2024"/>
    <n v="2024"/>
    <s v="Year_1"/>
    <d v="2024-02-16T00:00:00"/>
    <s v="KUD13"/>
    <s v="O2R1"/>
    <s v="KSIPL"/>
    <n v="4.3478260869565223E-2"/>
    <n v="4235"/>
    <x v="93"/>
    <s v="Gen Stator CB Open"/>
    <s v="Breakdown"/>
    <d v="2024-02-16T10:40:37"/>
    <d v="2024-02-16T10:40:37"/>
    <d v="2024-02-16T10:50:00"/>
    <d v="1899-12-30T00:00:00"/>
    <n v="0.15638888895045966"/>
    <n v="0.15638888895045966"/>
    <s v="Auto reset"/>
    <s v="Close"/>
    <n v="6.7995169108895515E-3"/>
    <n v="99.06"/>
    <n v="300"/>
    <m/>
  </r>
  <r>
    <n v="1156"/>
    <n v="2024"/>
    <n v="2024"/>
    <s v="Year_1"/>
    <d v="2024-02-18T00:00:00"/>
    <s v="KUD01"/>
    <s v="O2R1"/>
    <s v="KSIPL"/>
    <n v="4.3478260869565223E-2"/>
    <n v="450"/>
    <x v="127"/>
    <s v="Ext. High I sum Grd inv."/>
    <s v="Breakdown"/>
    <d v="2024-02-18T18:54:17"/>
    <d v="2024-02-18T18:54:17"/>
    <d v="2024-02-18T19:00:00"/>
    <d v="1899-12-30T00:00:00"/>
    <n v="9.5277777698356658E-2"/>
    <n v="9.5277777698356658E-2"/>
    <s v="Auto reset"/>
    <s v="Close"/>
    <n v="4.1425120738415944E-3"/>
    <n v="100"/>
    <n v="60"/>
    <m/>
  </r>
  <r>
    <n v="1157"/>
    <n v="2024"/>
    <n v="2024"/>
    <s v="Year_1"/>
    <d v="2024-02-19T00:00:00"/>
    <s v="KUD12"/>
    <s v="O2R1"/>
    <s v="KSIPL"/>
    <n v="4.3478260869565223E-2"/>
    <n v="30"/>
    <x v="44"/>
    <s v="Internal subLogic error"/>
    <s v="Breakdown"/>
    <d v="2024-02-19T09:39:00"/>
    <d v="2024-02-19T09:39:00"/>
    <d v="2024-02-19T09:40:00"/>
    <d v="1899-12-30T00:00:00"/>
    <n v="1.6666666720993817E-2"/>
    <n v="1.6666666720993817E-2"/>
    <s v="Remote reset"/>
    <s v="Close"/>
    <n v="7.2463768352147042E-4"/>
    <n v="100"/>
    <n v="20"/>
    <m/>
  </r>
  <r>
    <n v="1158"/>
    <n v="2024"/>
    <n v="2024"/>
    <s v="Year_1"/>
    <d v="2024-02-19T00:00:00"/>
    <s v="KUD19"/>
    <s v="O2R1"/>
    <s v="KSIPL"/>
    <n v="4.3478260869565223E-2"/>
    <n v="900"/>
    <x v="100"/>
    <s v="Pause pressed on keyboard"/>
    <s v="Breakdown"/>
    <d v="2024-02-19T11:09:53"/>
    <d v="2024-02-19T11:09:53"/>
    <d v="2024-02-19T14:05:42"/>
    <d v="1899-12-30T00:00:00"/>
    <n v="2.9302777777193114"/>
    <n v="2.9302777777193114"/>
    <s v="Paused for VTM &amp; Pitch accumulator recharging work"/>
    <s v="Close"/>
    <n v="0.12740338163997009"/>
    <n v="99.5"/>
    <n v="840"/>
    <m/>
  </r>
  <r>
    <n v="1159"/>
    <n v="2024"/>
    <n v="2024"/>
    <s v="Year_1"/>
    <d v="2024-02-19T00:00:00"/>
    <s v="KUD05"/>
    <s v="O2R3"/>
    <s v="JK"/>
    <n v="4.3478260869565223E-2"/>
    <n v="3209"/>
    <x v="101"/>
    <s v="YawSignals Invalid"/>
    <s v="Breakdown"/>
    <d v="2024-02-19T02:29:30"/>
    <d v="2024-02-19T02:29:30"/>
    <d v="2024-02-19T02:55:39"/>
    <d v="1899-12-30T00:00:00"/>
    <n v="0.43583333340939134"/>
    <n v="0.43583333340939134"/>
    <s v="Remote reset"/>
    <s v="Close"/>
    <n v="1.8949275365625712E-2"/>
    <n v="100"/>
    <n v="70"/>
    <m/>
  </r>
  <r>
    <n v="1160"/>
    <n v="2024"/>
    <n v="2024"/>
    <s v="Year_1"/>
    <d v="2024-02-19T00:00:00"/>
    <s v="KUD22"/>
    <s v="O2R3"/>
    <s v="JK"/>
    <n v="4.3478260869565223E-2"/>
    <n v="3209"/>
    <x v="101"/>
    <s v="YawSignals Invalid"/>
    <s v="Breakdown"/>
    <d v="2024-02-19T16:13:07"/>
    <d v="2024-02-19T16:13:07"/>
    <d v="2024-02-19T16:51:10"/>
    <d v="1899-12-30T00:00:00"/>
    <n v="0.63416666665580124"/>
    <n v="0.63416666665580124"/>
    <s v="Remote reset"/>
    <s v="Close"/>
    <n v="2.7572463767643534E-2"/>
    <n v="100"/>
    <n v="20"/>
    <m/>
  </r>
  <r>
    <n v="1161"/>
    <n v="2024"/>
    <n v="2024"/>
    <s v="Year_1"/>
    <d v="2024-02-20T00:00:00"/>
    <s v="KUD18"/>
    <s v="O2R4"/>
    <s v="SGDCIPL"/>
    <n v="4.3478260869565223E-2"/>
    <n v="900"/>
    <x v="100"/>
    <s v="Pause pressed on keyboard"/>
    <s v="Manual Stop"/>
    <d v="1899-12-30T12:18:00"/>
    <d v="1899-12-30T12:18:00"/>
    <d v="1899-12-30T14:07:00"/>
    <d v="1899-12-30T00:00:00"/>
    <n v="1.8166666666666655"/>
    <n v="1.8166666666666655"/>
    <s v="Paused for Pitch accumulator recharging work"/>
    <s v="Close"/>
    <n v="7.8985507246376777E-2"/>
    <n v="100"/>
    <n v="20"/>
    <m/>
  </r>
  <r>
    <n v="1162"/>
    <n v="2024"/>
    <n v="2024"/>
    <s v="Year_1"/>
    <d v="2024-02-20T00:00:00"/>
    <s v="KUD22"/>
    <s v="O2R3"/>
    <s v="JK"/>
    <n v="4.3478260869565223E-2"/>
    <n v="900"/>
    <x v="100"/>
    <s v="Pause pressed on keyboard"/>
    <s v="Manual Stop"/>
    <d v="1899-12-30T12:16:00"/>
    <d v="1899-12-30T12:16:00"/>
    <d v="1899-12-30T17:30:00"/>
    <d v="1899-12-30T00:00:00"/>
    <n v="5.2333333333333307"/>
    <n v="5.2333333333333307"/>
    <s v="Paused for Blade inspection and N2 recharging work"/>
    <s v="Close"/>
    <n v="0.22753623188405789"/>
    <n v="100"/>
    <n v="120"/>
    <m/>
  </r>
  <r>
    <n v="1163"/>
    <n v="2024"/>
    <n v="2024"/>
    <s v="Year_1"/>
    <d v="2024-02-21T00:00:00"/>
    <s v="KUD09"/>
    <s v="O2R3"/>
    <s v="JK"/>
    <n v="4.3478260869565223E-2"/>
    <n v="176"/>
    <x v="140"/>
    <s v="Error on all wind sensors"/>
    <s v="Breakdown"/>
    <d v="2024-02-21T20:57:37"/>
    <d v="2024-02-21T20:57:37"/>
    <d v="2024-02-21T21:05:59"/>
    <d v="1899-12-30T00:00:00"/>
    <n v="0.13944444456137717"/>
    <n v="0.13944444456137717"/>
    <s v="Auto reset"/>
    <s v="Close"/>
    <n v="6.0628019374511823E-3"/>
    <n v="100"/>
    <n v="0"/>
    <m/>
  </r>
  <r>
    <n v="1164"/>
    <n v="2024"/>
    <n v="2024"/>
    <s v="Year_1"/>
    <d v="2024-02-21T00:00:00"/>
    <s v="KUD21"/>
    <s v="O2R3"/>
    <s v="JK"/>
    <n v="4.3478260869565223E-2"/>
    <n v="900"/>
    <x v="100"/>
    <s v="Pause pressed on keyboard"/>
    <s v="Manual Stop"/>
    <d v="2024-02-21T09:32:02"/>
    <d v="2024-02-21T09:32:02"/>
    <d v="2024-02-21T12:54:37"/>
    <d v="1899-12-30T00:00:00"/>
    <n v="3.3763888888643123"/>
    <n v="3.3763888888643123"/>
    <s v="Paused for Blade inspection"/>
    <s v="Close"/>
    <n v="0.14679951690714405"/>
    <n v="100"/>
    <n v="990"/>
    <m/>
  </r>
  <r>
    <n v="1165"/>
    <n v="2024"/>
    <n v="2024"/>
    <s v="Year_1"/>
    <d v="2024-02-21T00:00:00"/>
    <s v="KUD23"/>
    <s v="O2R3"/>
    <s v="JK"/>
    <n v="4.3478260869565223E-2"/>
    <n v="900"/>
    <x v="100"/>
    <s v="Pause pressed on keyboard"/>
    <s v="Manual Stop"/>
    <d v="2024-02-21T14:22:55"/>
    <d v="2024-02-21T14:22:55"/>
    <d v="2024-02-21T16:18:27"/>
    <d v="1899-12-30T00:00:00"/>
    <n v="1.9255555556737818"/>
    <n v="1.9255555556737818"/>
    <s v="Paused for N2 recharging work"/>
    <s v="Close"/>
    <n v="8.3719806768425303E-2"/>
    <n v="100"/>
    <n v="180"/>
    <m/>
  </r>
  <r>
    <n v="1166"/>
    <n v="2024"/>
    <n v="2024"/>
    <s v="Year_1"/>
    <d v="2024-02-22T00:00:00"/>
    <s v="KUD01"/>
    <s v="O2R1"/>
    <s v="KSIPL"/>
    <n v="4.3478260869565223E-2"/>
    <n v="450"/>
    <x v="127"/>
    <s v="Ext. High I sum Grd inv."/>
    <s v="Breakdown"/>
    <d v="1899-12-30T07:23:00"/>
    <d v="1899-12-30T07:23:00"/>
    <d v="1899-12-30T07:25:00"/>
    <d v="1899-12-30T00:00:00"/>
    <n v="3.3333333333333215E-2"/>
    <n v="3.3333333333333215E-2"/>
    <s v="Auto reset"/>
    <s v="Close"/>
    <n v="1.4492753623188356E-3"/>
    <m/>
    <m/>
    <m/>
  </r>
  <r>
    <n v="1167"/>
    <n v="2024"/>
    <n v="2024"/>
    <s v="Year_1"/>
    <d v="2024-02-22T00:00:00"/>
    <s v="KUD01"/>
    <s v="O2R1"/>
    <s v="KSIPL"/>
    <n v="4.3478260869565223E-2"/>
    <n v="900"/>
    <x v="100"/>
    <s v="Pause pressed on keyboard"/>
    <s v="Manual Stop"/>
    <d v="1899-12-30T11:56:00"/>
    <d v="1899-12-30T11:56:00"/>
    <d v="1899-12-30T15:27:00"/>
    <d v="1899-12-30T00:00:00"/>
    <n v="3.5166666666666648"/>
    <n v="3.5166666666666648"/>
    <s v="Paused for N2 recharging and repeated error arresting purpose"/>
    <s v="Close"/>
    <n v="0.15289855072463762"/>
    <m/>
    <m/>
    <m/>
  </r>
  <r>
    <n v="1168"/>
    <n v="2024"/>
    <n v="2024"/>
    <s v="Year_1"/>
    <d v="2024-02-22T00:00:00"/>
    <s v="KUD01"/>
    <s v="O2R1"/>
    <s v="KSIPL"/>
    <n v="4.3478260869565223E-2"/>
    <n v="900"/>
    <x v="100"/>
    <s v="Pause pressed on keyboard"/>
    <s v="Manual Stop"/>
    <d v="1899-12-30T18:29:00"/>
    <d v="1899-12-30T18:29:00"/>
    <d v="1899-12-30T20:40:00"/>
    <d v="1899-12-30T00:00:00"/>
    <n v="2.1833333333333336"/>
    <n v="2.1833333333333336"/>
    <s v="Paused for N2 recharging and repeated error arresting purpose work done"/>
    <s v="Close"/>
    <n v="9.4927536231884074E-2"/>
    <m/>
    <m/>
    <m/>
  </r>
  <r>
    <n v="1169"/>
    <n v="2024"/>
    <n v="2024"/>
    <s v="Year_1"/>
    <d v="2024-02-22T00:00:00"/>
    <s v="KUD12"/>
    <s v="O2R1"/>
    <s v="KSIPL"/>
    <n v="4.3478260869565223E-2"/>
    <n v="900"/>
    <x v="100"/>
    <s v="Pause pressed on keyboard"/>
    <s v="Breakdown"/>
    <d v="1899-12-30T18:29:00"/>
    <d v="1899-12-30T18:29:00"/>
    <d v="1899-12-30T19:38:00"/>
    <d v="1899-12-30T00:00:00"/>
    <n v="1.1499999999999986"/>
    <n v="1.1499999999999986"/>
    <s v="After feeder charge no communication and SWG manually charhed then restored"/>
    <s v="Close"/>
    <n v="4.9999999999999947E-2"/>
    <m/>
    <m/>
    <m/>
  </r>
  <r>
    <n v="1170"/>
    <n v="2024"/>
    <n v="2024"/>
    <s v="Year_1"/>
    <d v="2024-02-22T00:00:00"/>
    <s v="KUD10"/>
    <s v="O2R1"/>
    <s v="KSIPL"/>
    <n v="4.3478260869565223E-2"/>
    <n v="900"/>
    <x v="100"/>
    <s v="After grid resupmtion, WTG Manulally started at location due to communication issue"/>
    <s v="Manual Stop"/>
    <d v="1899-12-30T18:29:00"/>
    <d v="1899-12-30T18:29:00"/>
    <d v="1899-12-30T19:34:00"/>
    <d v="1899-12-30T00:00:00"/>
    <n v="1.0833333333333321"/>
    <n v="1.0833333333333321"/>
    <s v="After grid resupmtion, WTG Manulally started at location due to communication issue"/>
    <s v="Close"/>
    <n v="4.7101449275362271E-2"/>
    <m/>
    <m/>
    <m/>
  </r>
  <r>
    <n v="1171"/>
    <n v="2024"/>
    <n v="2024"/>
    <s v="Year_1"/>
    <d v="2024-02-22T00:00:00"/>
    <s v="KUD11"/>
    <s v="O2R1"/>
    <s v="KSIPL"/>
    <n v="4.3478260869565223E-2"/>
    <n v="900"/>
    <x v="100"/>
    <s v="After grid resupmtion, WTG Manulally started at location due to communication issue"/>
    <s v="Manual Stop"/>
    <d v="1899-12-30T18:29:00"/>
    <d v="1899-12-30T18:29:00"/>
    <d v="1899-12-30T19:35:00"/>
    <d v="1899-12-30T00:00:00"/>
    <n v="1.0999999999999988"/>
    <n v="1.0999999999999988"/>
    <s v="After grid resupmtion, WTG Manulally started at location due to communication issue"/>
    <s v="Close"/>
    <n v="4.7826086956521692E-2"/>
    <m/>
    <m/>
    <m/>
  </r>
  <r>
    <n v="1172"/>
    <n v="2024"/>
    <n v="2024"/>
    <s v="Year_1"/>
    <d v="2024-02-22T00:00:00"/>
    <s v="KUD14"/>
    <s v="O2R1"/>
    <s v="KSIPL"/>
    <n v="4.3478260869565223E-2"/>
    <n v="900"/>
    <x v="100"/>
    <s v="After grid resupmtion, WTG Manulally started at location due to communication issue"/>
    <s v="Manual Stop"/>
    <d v="1899-12-30T18:29:00"/>
    <d v="1899-12-30T18:29:00"/>
    <d v="1899-12-30T19:35:00"/>
    <d v="1899-12-30T00:00:00"/>
    <n v="1.0999999999999988"/>
    <n v="1.0999999999999988"/>
    <s v="After grid resupmtion, WTG Manulally started at location due to communication issue"/>
    <s v="Close"/>
    <n v="4.7826086956521692E-2"/>
    <m/>
    <m/>
    <m/>
  </r>
  <r>
    <n v="1173"/>
    <n v="2024"/>
    <n v="2024"/>
    <s v="Year_1"/>
    <d v="2024-02-22T00:00:00"/>
    <s v="KUD20"/>
    <s v="O2R1"/>
    <s v="KSIPL"/>
    <n v="4.3478260869565223E-2"/>
    <n v="900"/>
    <x v="100"/>
    <s v="After grid resupmtion, WTG Manulally started at location due to communication issue"/>
    <s v="Manual Stop"/>
    <d v="1899-12-30T18:29:00"/>
    <d v="1899-12-30T18:29:00"/>
    <d v="1899-12-30T19:34:00"/>
    <d v="1899-12-30T00:00:00"/>
    <n v="1.0833333333333321"/>
    <n v="1.0833333333333321"/>
    <s v="After grid resupmtion, WTG Manulally started at location due to communication issue"/>
    <s v="Close"/>
    <n v="4.7101449275362271E-2"/>
    <m/>
    <m/>
    <m/>
  </r>
  <r>
    <n v="1174"/>
    <n v="2024"/>
    <n v="2024"/>
    <s v="Year_1"/>
    <d v="2024-02-22T00:00:00"/>
    <s v="KUD15"/>
    <s v="O2R1"/>
    <s v="KSIPL"/>
    <n v="4.3478260869565223E-2"/>
    <n v="900"/>
    <x v="100"/>
    <s v="After grid resupmtion, WTG Manulally started at location due to communication issue"/>
    <s v="Manual Stop"/>
    <d v="1899-12-30T18:29:00"/>
    <d v="1899-12-30T18:29:00"/>
    <d v="1899-12-30T19:36:00"/>
    <d v="1899-12-30T00:00:00"/>
    <n v="1.116666666666668"/>
    <n v="1.116666666666668"/>
    <s v="After grid resupmtion, WTG Manulally started at location due to communication issue"/>
    <s v="Close"/>
    <n v="4.8550724637681224E-2"/>
    <m/>
    <m/>
    <m/>
  </r>
  <r>
    <n v="1175"/>
    <n v="2024"/>
    <n v="2024"/>
    <s v="Year_1"/>
    <d v="2024-02-23T00:00:00"/>
    <s v="KUD03"/>
    <s v="O2R1"/>
    <s v="KSIPL"/>
    <n v="4.3478260869565223E-2"/>
    <n v="900"/>
    <x v="100"/>
    <s v="Pause pressed on keyboard"/>
    <s v="Manual Stop"/>
    <d v="1899-12-30T12:18:00"/>
    <d v="1899-12-30T12:18:00"/>
    <d v="1899-12-30T14:41:00"/>
    <d v="1899-12-30T00:00:00"/>
    <n v="2.3833333333333329"/>
    <n v="2.3833333333333329"/>
    <s v="Paused for N2 recharging work"/>
    <s v="Close"/>
    <n v="0.1036231884057971"/>
    <m/>
    <m/>
    <m/>
  </r>
  <r>
    <n v="1176"/>
    <n v="2024"/>
    <n v="2024"/>
    <s v="Year_1"/>
    <d v="2024-02-23T00:00:00"/>
    <s v="KUD12"/>
    <s v="O2R1"/>
    <s v="KSIPL"/>
    <n v="4.3478260869565223E-2"/>
    <n v="2676"/>
    <x v="124"/>
    <s v="UPS Error"/>
    <s v="Breakdown"/>
    <d v="1899-12-30T12:18:00"/>
    <d v="1899-12-30T12:18:00"/>
    <d v="1899-12-30T13:04:00"/>
    <d v="1899-12-30T00:00:00"/>
    <n v="0.76666666666666394"/>
    <n v="0.76666666666666394"/>
    <s v="After feeder chargerd error occur and UPS manual charged then restored"/>
    <s v="Close"/>
    <n v="3.3333333333333222E-2"/>
    <m/>
    <m/>
    <m/>
  </r>
  <r>
    <n v="1177"/>
    <n v="2024"/>
    <n v="2024"/>
    <s v="Year_1"/>
    <d v="2024-02-23T00:00:00"/>
    <s v="KUD12"/>
    <s v="O2R1"/>
    <s v="KSIPL"/>
    <n v="4.3478260869565223E-2"/>
    <n v="900"/>
    <x v="100"/>
    <s v="Pause pressed on keyboard"/>
    <s v="Manual Stop"/>
    <d v="1899-12-30T15:38:00"/>
    <d v="1899-12-30T15:38:00"/>
    <d v="1899-12-30T17:52:00"/>
    <d v="1899-12-30T00:00:00"/>
    <n v="2.2333333333333334"/>
    <n v="2.2333333333333334"/>
    <s v="Paused for N2 recharging work"/>
    <s v="Close"/>
    <n v="9.7101449275362336E-2"/>
    <m/>
    <m/>
    <m/>
  </r>
  <r>
    <n v="1178"/>
    <n v="2024"/>
    <n v="2024"/>
    <s v="Year_1"/>
    <d v="2024-02-23T00:00:00"/>
    <s v="KUD01"/>
    <s v="O2R1"/>
    <s v="KSIPL"/>
    <n v="4.3478260869565223E-2"/>
    <n v="3209"/>
    <x v="101"/>
    <s v="YawSignals Invalid"/>
    <s v="Breakdown"/>
    <d v="1899-12-30T12:18:00"/>
    <d v="1899-12-30T12:18:00"/>
    <d v="1899-12-30T12:43:00"/>
    <d v="1899-12-30T00:00:00"/>
    <n v="0.41666666666666519"/>
    <n v="0.41666666666666519"/>
    <s v="Remote reset"/>
    <s v="Close"/>
    <n v="1.8115942028985445E-2"/>
    <m/>
    <m/>
    <m/>
  </r>
  <r>
    <n v="1179"/>
    <n v="2024"/>
    <n v="2024"/>
    <s v="Year_1"/>
    <d v="2024-02-23T00:00:00"/>
    <s v="KUD02"/>
    <s v="O2R3"/>
    <s v="JK"/>
    <n v="4.3478260869565223E-2"/>
    <n v="3742"/>
    <x v="115"/>
    <s v="TripHVButtonActivated 1"/>
    <s v="Breakdown"/>
    <d v="1899-12-30T12:18:00"/>
    <d v="1899-12-30T12:18:00"/>
    <d v="1899-12-30T12:31:00"/>
    <d v="1899-12-30T00:00:00"/>
    <n v="0.2166666666666659"/>
    <n v="0.2166666666666659"/>
    <s v="Remote reset"/>
    <s v="Close"/>
    <n v="9.4202898550724314E-3"/>
    <m/>
    <m/>
    <m/>
  </r>
  <r>
    <n v="1180"/>
    <n v="2024"/>
    <n v="2024"/>
    <s v="Year_1"/>
    <d v="2024-02-23T00:00:00"/>
    <s v="KUD05"/>
    <s v="O2R3"/>
    <s v="JK"/>
    <n v="4.3478260869565223E-2"/>
    <n v="3633"/>
    <x v="21"/>
    <s v="Yaw System Stopped"/>
    <s v="Breakdown"/>
    <d v="1899-12-30T22:40:00"/>
    <d v="1899-12-30T22:40:00"/>
    <d v="1899-12-30T23:38:00"/>
    <d v="1899-12-30T00:00:00"/>
    <n v="0.96666666666666323"/>
    <n v="0.96666666666666323"/>
    <s v="Remote reset"/>
    <s v="Close"/>
    <n v="4.2028985507246236E-2"/>
    <m/>
    <m/>
    <m/>
  </r>
  <r>
    <n v="1181"/>
    <n v="2024"/>
    <n v="2024"/>
    <s v="Year_1"/>
    <d v="2024-02-23T00:00:00"/>
    <s v="KUD16"/>
    <s v="O2R2"/>
    <s v="SIL"/>
    <n v="4.3478260869565223E-2"/>
    <n v="3742"/>
    <x v="115"/>
    <s v="TripHVButtonActivated 1"/>
    <s v="Breakdown"/>
    <d v="1899-12-30T12:18:00"/>
    <d v="1899-12-30T12:18:00"/>
    <d v="1899-12-30T12:30:00"/>
    <d v="1899-12-30T00:00:00"/>
    <n v="0.19999999999999929"/>
    <n v="0.19999999999999929"/>
    <s v="Auto reset"/>
    <s v="Close"/>
    <n v="8.6956521739130141E-3"/>
    <m/>
    <m/>
    <m/>
  </r>
  <r>
    <n v="1182"/>
    <n v="2024"/>
    <n v="2024"/>
    <s v="Year_1"/>
    <d v="2024-02-23T00:00:00"/>
    <s v="KUD18"/>
    <s v="O2R4"/>
    <s v="SGDCIPL"/>
    <n v="4.3478260869565223E-2"/>
    <n v="3209"/>
    <x v="101"/>
    <s v="YawSignals Invalid"/>
    <s v="Breakdown"/>
    <d v="1899-12-30T12:18:00"/>
    <d v="1899-12-30T12:18:00"/>
    <d v="1899-12-30T12:38:00"/>
    <d v="1899-12-30T00:00:00"/>
    <n v="0.33333333333333215"/>
    <n v="0.33333333333333215"/>
    <s v="Remote reset"/>
    <s v="Close"/>
    <n v="1.4492753623188356E-2"/>
    <m/>
    <m/>
    <m/>
  </r>
  <r>
    <n v="1183"/>
    <n v="2024"/>
    <n v="2024"/>
    <s v="Year_1"/>
    <d v="2024-02-23T00:00:00"/>
    <s v="KUD03"/>
    <s v="O2R1"/>
    <s v="KSIPL"/>
    <n v="4.3478260869565223E-2"/>
    <n v="900"/>
    <x v="100"/>
    <s v="Pause pressed on keyboard"/>
    <s v="Manual Stop"/>
    <d v="1899-12-30T11:19:00"/>
    <d v="1899-12-30T11:19:00"/>
    <d v="1899-12-30T11:23:00"/>
    <d v="1899-12-30T00:00:00"/>
    <n v="6.666666666666643E-2"/>
    <n v="6.666666666666643E-2"/>
    <s v="Paused for N2 recharging work"/>
    <s v="Close"/>
    <n v="2.8985507246376712E-3"/>
    <m/>
    <m/>
    <m/>
  </r>
  <r>
    <n v="1184"/>
    <n v="2024"/>
    <n v="2024"/>
    <s v="Year_1"/>
    <d v="2024-02-25T00:00:00"/>
    <s v="KUD22"/>
    <s v="O2R3"/>
    <s v="JK"/>
    <n v="4.3478260869565223E-2"/>
    <n v="3209"/>
    <x v="101"/>
    <s v="YawSignals Invalid"/>
    <s v="Breakdown"/>
    <d v="1899-12-30T12:27:00"/>
    <d v="1899-12-30T12:27:00"/>
    <d v="1899-12-30T12:57:00"/>
    <d v="1899-12-30T00:00:00"/>
    <n v="0.50000000000000089"/>
    <n v="0.50000000000000089"/>
    <s v="Remote reset"/>
    <s v="Close"/>
    <n v="2.173913043478265E-2"/>
    <m/>
    <m/>
    <m/>
  </r>
  <r>
    <n v="1185"/>
    <n v="2024"/>
    <n v="2024"/>
    <s v="Year_1"/>
    <d v="2024-02-25T00:00:00"/>
    <s v="KUD23"/>
    <s v="O2R3"/>
    <s v="JK"/>
    <n v="4.3478260869565223E-2"/>
    <n v="3209"/>
    <x v="101"/>
    <s v="YawSignals Invalid"/>
    <s v="Breakdown"/>
    <d v="1899-12-30T16:00:00"/>
    <d v="1899-12-30T16:00:00"/>
    <d v="1899-12-30T17:19:00"/>
    <d v="1899-12-30T00:00:00"/>
    <n v="1.3166666666666673"/>
    <n v="1.3166666666666673"/>
    <s v="Remote reset"/>
    <s v="Close"/>
    <n v="5.7246376811594238E-2"/>
    <m/>
    <m/>
    <m/>
  </r>
  <r>
    <n v="1186"/>
    <n v="2024"/>
    <n v="2024"/>
    <s v="Year_1"/>
    <d v="2024-02-27T00:00:00"/>
    <s v="KUD01"/>
    <s v="O2R1"/>
    <s v="KSIPL"/>
    <n v="4.3478260869565223E-2"/>
    <n v="450"/>
    <x v="127"/>
    <s v="Ext. High I sum Grd inv."/>
    <s v="Breakdown"/>
    <d v="1899-12-30T12:25:00"/>
    <d v="1899-12-30T12:25:00"/>
    <d v="1899-12-30T12:28:00"/>
    <d v="1899-12-30T00:00:00"/>
    <n v="5.0000000000002487E-2"/>
    <n v="5.0000000000002487E-2"/>
    <s v="Remote reset"/>
    <s v="Close"/>
    <n v="2.1739130434783693E-3"/>
    <m/>
    <m/>
    <m/>
  </r>
  <r>
    <n v="1187"/>
    <n v="2024"/>
    <n v="2024"/>
    <s v="Year_1"/>
    <d v="2024-02-27T00:00:00"/>
    <s v="KUD21"/>
    <s v="O2R3"/>
    <s v="JK"/>
    <n v="4.3478260869565223E-2"/>
    <n v="3209"/>
    <x v="101"/>
    <s v="YawSignals Invalid"/>
    <s v="Breakdown"/>
    <d v="1899-12-30T13:58:00"/>
    <d v="1899-12-30T13:58:00"/>
    <d v="1899-12-30T14:26:00"/>
    <d v="1899-12-30T00:00:00"/>
    <n v="0.46666666666666501"/>
    <n v="0.46666666666666501"/>
    <s v="Remote reset"/>
    <s v="Close"/>
    <n v="2.0289855072463697E-2"/>
    <m/>
    <m/>
    <m/>
  </r>
  <r>
    <n v="1188"/>
    <n v="2024"/>
    <n v="2024"/>
    <s v="Year_1"/>
    <d v="2024-02-28T00:00:00"/>
    <s v="KUD17"/>
    <s v="O2R2"/>
    <s v="SIL"/>
    <n v="4.3478260869565223E-2"/>
    <n v="900"/>
    <x v="100"/>
    <s v="Pause pressed on keyboard"/>
    <s v="Manual Stop"/>
    <d v="1899-12-30T11:51:00"/>
    <d v="1899-12-30T11:51:00"/>
    <d v="1899-12-30T17:53:00"/>
    <d v="1899-12-30T00:00:00"/>
    <n v="6.033333333333335"/>
    <n v="6.033333333333335"/>
    <s v="Manual stop for Blade internal and external inspection done. N2 recharging work done."/>
    <s v="Close"/>
    <n v="0.26231884057971028"/>
    <m/>
    <m/>
    <m/>
  </r>
  <r>
    <n v="1189"/>
    <n v="2024"/>
    <n v="2024"/>
    <s v="Year_1"/>
    <d v="2024-03-01T00:00:00"/>
    <s v="KUD04"/>
    <s v="O2R3"/>
    <s v="JK"/>
    <n v="4.3478260869565223E-2"/>
    <n v="900"/>
    <x v="100"/>
    <s v="Pause pressed on keyboard"/>
    <s v="Manual Stop"/>
    <d v="1899-12-30T12:20:00"/>
    <d v="1899-12-30T12:20:00"/>
    <d v="1899-12-30T17:13:00"/>
    <d v="1899-12-30T00:00:00"/>
    <n v="4.8833333333333293"/>
    <n v="4.8833333333333293"/>
    <s v="VTM alert inspection done"/>
    <s v="Close"/>
    <n v="0.21231884057971001"/>
    <m/>
    <m/>
    <m/>
  </r>
  <r>
    <n v="1190"/>
    <n v="2024"/>
    <n v="2024"/>
    <s v="Year_1"/>
    <d v="2024-03-02T00:00:00"/>
    <s v="KUD01"/>
    <s v="O2R1"/>
    <s v="KSIPL"/>
    <n v="4.3478260869565223E-2"/>
    <n v="450"/>
    <x v="127"/>
    <s v="Ext. High I sum Grd inv."/>
    <s v="Breakdown"/>
    <d v="1899-12-30T10:14:00"/>
    <d v="1899-12-30T10:14:00"/>
    <d v="1899-12-30T10:21:00"/>
    <d v="1899-12-30T00:00:00"/>
    <n v="0.11666666666666625"/>
    <n v="0.11666666666666625"/>
    <s v="Auto reset"/>
    <s v="Close"/>
    <n v="5.0724637681159243E-3"/>
    <m/>
    <m/>
    <m/>
  </r>
  <r>
    <n v="1191"/>
    <n v="2024"/>
    <n v="2024"/>
    <s v="Year_1"/>
    <d v="2024-03-02T00:00:00"/>
    <s v="KUD03"/>
    <s v="O2R1"/>
    <s v="KSIPL"/>
    <n v="4.3478260869565223E-2"/>
    <n v="3273"/>
    <x v="35"/>
    <s v="YawUntwistCCW: Code 5,    540Â°"/>
    <s v="Breakdown"/>
    <d v="1899-12-30T16:40:00"/>
    <d v="1899-12-30T16:40:00"/>
    <d v="1899-12-30T17:01:00"/>
    <d v="1899-12-30T00:00:00"/>
    <n v="0.34999999999999609"/>
    <n v="0.34999999999999609"/>
    <s v="Turbine self cable Twist release"/>
    <s v="Close"/>
    <n v="1.5217391304347658E-2"/>
    <m/>
    <m/>
    <m/>
  </r>
  <r>
    <n v="1192"/>
    <n v="2024"/>
    <n v="2024"/>
    <s v="Year_1"/>
    <d v="2024-03-02T00:00:00"/>
    <s v="KUD17"/>
    <s v="O2R2"/>
    <s v="SIL"/>
    <n v="4.3478260869565223E-2"/>
    <n v="3272"/>
    <x v="143"/>
    <s v="YawUntwistCW: Code 3,-000540Â°"/>
    <s v="Breakdown"/>
    <d v="1899-12-30T14:32:00"/>
    <d v="1899-12-30T14:32:00"/>
    <d v="1899-12-30T14:52:00"/>
    <d v="1899-12-30T00:00:00"/>
    <n v="0.33333333333333481"/>
    <n v="0.33333333333333481"/>
    <s v="Turbine self cable Twist release"/>
    <s v="Close"/>
    <n v="1.4492753623188472E-2"/>
    <m/>
    <m/>
    <m/>
  </r>
  <r>
    <n v="1193"/>
    <n v="2024"/>
    <n v="2024"/>
    <s v="Year_1"/>
    <d v="2024-03-02T00:00:00"/>
    <s v="KUD04"/>
    <s v="O2R3"/>
    <s v="JK"/>
    <n v="4.3478260869565223E-2"/>
    <n v="4914"/>
    <x v="153"/>
    <s v="MainBearSigError. 4471,-0273"/>
    <s v="Breakdown"/>
    <d v="1899-12-30T17:47:00"/>
    <d v="1899-12-30T17:47:00"/>
    <d v="1899-12-30T19:13:00"/>
    <d v="1899-12-30T00:00:00"/>
    <n v="1.4333333333333309"/>
    <n v="1.4333333333333309"/>
    <s v="Manual hard reboot done"/>
    <s v="Close"/>
    <n v="6.2318840579710044E-2"/>
    <m/>
    <m/>
    <m/>
  </r>
  <r>
    <n v="1194"/>
    <n v="2024"/>
    <n v="2024"/>
    <s v="Year_1"/>
    <d v="2024-03-02T00:00:00"/>
    <s v="KUD22"/>
    <s v="O2R3"/>
    <s v="JK"/>
    <n v="4.3478260869565223E-2"/>
    <n v="3209"/>
    <x v="101"/>
    <s v="YawSignals Invalid"/>
    <s v="Breakdown"/>
    <d v="1899-12-30T07:27:00"/>
    <d v="1899-12-30T07:27:00"/>
    <d v="1899-12-30T07:34:00"/>
    <d v="1899-12-30T00:00:00"/>
    <n v="0.11666666666666625"/>
    <n v="0.11666666666666625"/>
    <s v="Auto reset"/>
    <s v="Close"/>
    <n v="5.0724637681159243E-3"/>
    <m/>
    <m/>
    <m/>
  </r>
  <r>
    <n v="1195"/>
    <n v="2024"/>
    <n v="2024"/>
    <s v="Year_1"/>
    <d v="2024-03-03T00:00:00"/>
    <s v="KUD01"/>
    <s v="O2R1"/>
    <s v="KSIPL"/>
    <n v="4.3478260869565223E-2"/>
    <n v="450"/>
    <x v="127"/>
    <s v="Ext. High I sum Grd inv."/>
    <s v="Breakdown"/>
    <d v="1899-12-30T06:45:00"/>
    <d v="1899-12-30T06:45:00"/>
    <d v="1899-12-30T06:54:00"/>
    <d v="1899-12-30T00:00:00"/>
    <n v="0.1500000000000008"/>
    <n v="0.1500000000000008"/>
    <s v="Turbine self cable Twist release"/>
    <s v="Close"/>
    <n v="6.5217391304348178E-3"/>
    <m/>
    <m/>
    <m/>
  </r>
  <r>
    <n v="1196"/>
    <n v="2024"/>
    <n v="2024"/>
    <s v="Year_1"/>
    <d v="2024-03-03T00:00:00"/>
    <s v="KUD22"/>
    <s v="O2R3"/>
    <s v="JK"/>
    <n v="4.3478260869565223E-2"/>
    <n v="3273"/>
    <x v="35"/>
    <s v="YawUntwistCCW: Code 6,    558Â°"/>
    <s v="Breakdown"/>
    <d v="1899-12-30T12:16:00"/>
    <d v="1899-12-30T12:16:00"/>
    <d v="1899-12-30T12:37:00"/>
    <d v="1899-12-30T00:00:00"/>
    <n v="0.34999999999999876"/>
    <n v="0.34999999999999876"/>
    <s v="Turbine self cable Twist release"/>
    <s v="Close"/>
    <n v="1.5217391304347775E-2"/>
    <m/>
    <m/>
    <m/>
  </r>
  <r>
    <n v="1197"/>
    <n v="2024"/>
    <n v="2024"/>
    <s v="Year_1"/>
    <d v="2024-03-03T00:00:00"/>
    <s v="KUD05"/>
    <s v="O2R3"/>
    <s v="JK"/>
    <n v="4.3478260869565223E-2"/>
    <n v="3273"/>
    <x v="35"/>
    <s v="YawUntwistCW: Code 2,-000579Â°"/>
    <s v="Breakdown"/>
    <d v="1899-12-30T17:25:00"/>
    <d v="1899-12-30T17:25:00"/>
    <d v="1899-12-30T17:48:00"/>
    <d v="1899-12-30T00:00:00"/>
    <n v="0.38333333333333197"/>
    <n v="0.38333333333333197"/>
    <s v="Turbine self cable Twist release"/>
    <s v="Close"/>
    <n v="1.6666666666666611E-2"/>
    <m/>
    <m/>
    <m/>
  </r>
  <r>
    <n v="1198"/>
    <n v="2024"/>
    <n v="2024"/>
    <s v="Year_1"/>
    <d v="2024-03-03T00:00:00"/>
    <s v="KUD07"/>
    <s v="O2R3"/>
    <s v="JK"/>
    <n v="4.3478260869565223E-2"/>
    <n v="3273"/>
    <x v="35"/>
    <s v="YawUntwistCCW: Code 6,    550Â°"/>
    <s v="Breakdown"/>
    <d v="1899-12-30T12:07:00"/>
    <d v="1899-12-30T12:07:00"/>
    <d v="1899-12-30T12:31:00"/>
    <d v="1899-12-30T00:00:00"/>
    <n v="0.40000000000000124"/>
    <n v="0.40000000000000124"/>
    <s v="Turbine self cable Twist release"/>
    <s v="Close"/>
    <n v="1.7391304347826143E-2"/>
    <m/>
    <m/>
    <m/>
  </r>
  <r>
    <n v="1199"/>
    <n v="2024"/>
    <n v="2024"/>
    <s v="Year_1"/>
    <d v="2024-03-03T00:00:00"/>
    <s v="KUD10"/>
    <s v="O2R1"/>
    <s v="KSIPL"/>
    <n v="4.3478260869565223E-2"/>
    <n v="3273"/>
    <x v="35"/>
    <s v="YawUntwistCCW: Code 6,    540Â°"/>
    <s v="Breakdown"/>
    <d v="1899-12-30T13:20:00"/>
    <d v="1899-12-30T13:20:00"/>
    <d v="1899-12-30T13:41:00"/>
    <d v="1899-12-30T00:00:00"/>
    <n v="0.34999999999999876"/>
    <n v="0.34999999999999876"/>
    <s v="Turbine self cable Twist release"/>
    <s v="Close"/>
    <n v="1.5217391304347775E-2"/>
    <m/>
    <m/>
    <m/>
  </r>
  <r>
    <n v="1200"/>
    <n v="2024"/>
    <n v="2024"/>
    <s v="Year_1"/>
    <d v="2024-03-03T00:00:00"/>
    <s v="KUD15"/>
    <s v="O2R1"/>
    <s v="KSIPL"/>
    <n v="4.3478260869565223E-2"/>
    <n v="3273"/>
    <x v="35"/>
    <s v="YawUntwistCCW: Code 6,    540Â°"/>
    <s v="Breakdown"/>
    <d v="1899-12-30T22:57:00"/>
    <d v="1899-12-30T22:57:00"/>
    <d v="1899-12-30T23:26:00"/>
    <d v="1899-12-30T00:00:00"/>
    <n v="0.48333333333333428"/>
    <n v="0.48333333333333428"/>
    <s v="Turbine self cable Twist release"/>
    <s v="Close"/>
    <n v="2.1014492753623232E-2"/>
    <m/>
    <m/>
    <m/>
  </r>
  <r>
    <n v="1201"/>
    <n v="2024"/>
    <n v="2024"/>
    <s v="Year_1"/>
    <d v="2024-03-03T00:00:00"/>
    <s v="KUD16"/>
    <s v="O2R2"/>
    <s v="SIL"/>
    <n v="4.3478260869565223E-2"/>
    <n v="3273"/>
    <x v="35"/>
    <s v="YawUntwistCCW: Code 6,    556Â°"/>
    <s v="Breakdown"/>
    <d v="1899-12-30T15:01:00"/>
    <d v="1899-12-30T15:01:00"/>
    <d v="1899-12-30T15:25:00"/>
    <d v="1899-12-30T00:00:00"/>
    <n v="0.39999999999999858"/>
    <n v="0.39999999999999858"/>
    <s v="Turbine self cable Twist release"/>
    <s v="Close"/>
    <n v="1.7391304347826028E-2"/>
    <m/>
    <m/>
    <m/>
  </r>
  <r>
    <n v="1202"/>
    <n v="2024"/>
    <n v="2024"/>
    <s v="Year_1"/>
    <d v="2024-03-03T00:00:00"/>
    <s v="KUD14"/>
    <s v="O2R1"/>
    <s v="KSIPL"/>
    <n v="4.3478260869565223E-2"/>
    <n v="3273"/>
    <x v="35"/>
    <s v="YawUntwistCCW: Code 6,    567Â°"/>
    <s v="Breakdown"/>
    <d v="1899-12-30T16:01:00"/>
    <d v="1899-12-30T16:01:00"/>
    <d v="1899-12-30T16:24:00"/>
    <d v="1899-12-30T00:00:00"/>
    <n v="0.38333333333333197"/>
    <n v="0.38333333333333197"/>
    <s v="Turbine self cable Twist release"/>
    <s v="Close"/>
    <n v="1.6666666666666611E-2"/>
    <m/>
    <m/>
    <m/>
  </r>
  <r>
    <n v="1203"/>
    <n v="2024"/>
    <n v="2024"/>
    <s v="Year_1"/>
    <d v="2024-03-03T00:00:00"/>
    <s v="KUD14"/>
    <s v="O2R1"/>
    <s v="KSIPL"/>
    <n v="4.3478260869565223E-2"/>
    <n v="3273"/>
    <x v="35"/>
    <s v="YawUntwistCCW: Code 6,    540Â°"/>
    <s v="Breakdown"/>
    <d v="1899-12-30T13:42:00"/>
    <d v="1899-12-30T13:42:00"/>
    <d v="1899-12-30T14:11:00"/>
    <d v="1899-12-30T00:00:00"/>
    <n v="0.48333333333333428"/>
    <n v="0.48333333333333428"/>
    <s v="Turbine self cable Twist release"/>
    <s v="Close"/>
    <n v="2.1014492753623232E-2"/>
    <m/>
    <m/>
    <m/>
  </r>
  <r>
    <n v="1204"/>
    <n v="2024"/>
    <n v="2024"/>
    <s v="Year_1"/>
    <d v="2024-03-04T00:00:00"/>
    <s v="KUD01"/>
    <s v="O2R1"/>
    <s v="KSIPL"/>
    <n v="4.3478260869565223E-2"/>
    <n v="450"/>
    <x v="127"/>
    <s v="Ext. High I sum Grd inv."/>
    <s v="Breakdown"/>
    <d v="1899-12-30T01:11:00"/>
    <d v="1899-12-30T01:11:00"/>
    <d v="1899-12-30T01:20:00"/>
    <d v="1899-12-30T00:00:00"/>
    <n v="0.14999999999999997"/>
    <n v="0.14999999999999997"/>
    <s v="Auto reset"/>
    <s v="Close"/>
    <n v="6.5217391304347823E-3"/>
    <m/>
    <m/>
    <m/>
  </r>
  <r>
    <n v="1205"/>
    <n v="2024"/>
    <n v="2024"/>
    <s v="Year_1"/>
    <d v="2024-03-04T00:00:00"/>
    <s v="KUD04"/>
    <s v="O2R3"/>
    <s v="JK"/>
    <n v="4.3478260869565223E-2"/>
    <n v="3272"/>
    <x v="143"/>
    <s v="YawUntwistCW: Code 2,-000573Â°"/>
    <s v="Breakdown"/>
    <d v="1899-12-30T15:11:00"/>
    <d v="1899-12-30T15:11:00"/>
    <d v="1899-12-30T15:35:00"/>
    <d v="1899-12-30T00:00:00"/>
    <n v="0.40000000000000124"/>
    <n v="0.40000000000000124"/>
    <s v="Turbine self cable Twist release"/>
    <s v="Close"/>
    <n v="1.7391304347826143E-2"/>
    <m/>
    <m/>
    <m/>
  </r>
  <r>
    <n v="1206"/>
    <n v="2024"/>
    <n v="2024"/>
    <s v="Year_1"/>
    <d v="2024-03-04T00:00:00"/>
    <s v="KUD05"/>
    <s v="O2R3"/>
    <s v="JK"/>
    <n v="4.3478260869565223E-2"/>
    <n v="900"/>
    <x v="100"/>
    <s v="Manual stop for Blade inspection and N2 gas refilling work"/>
    <s v="ROW"/>
    <d v="1899-12-30T13:54:00"/>
    <d v="1899-12-30T13:54:00"/>
    <d v="1899-12-30T18:28:00"/>
    <d v="1899-12-30T00:00:00"/>
    <n v="4.5666666666666638"/>
    <n v="4.5666666666666638"/>
    <s v="Work stopped  due to ROW "/>
    <s v="Close"/>
    <n v="0"/>
    <m/>
    <m/>
    <m/>
  </r>
  <r>
    <n v="1207"/>
    <n v="2024"/>
    <n v="2024"/>
    <s v="Year_1"/>
    <d v="2024-03-04T00:00:00"/>
    <s v="KUD09"/>
    <s v="O2R3"/>
    <s v="JK"/>
    <n v="4.3478260869565223E-2"/>
    <n v="3273"/>
    <x v="35"/>
    <s v="YawUntwistCCW: Code 5,    545Â°"/>
    <s v="Breakdown"/>
    <d v="1899-12-30T14:59:00"/>
    <d v="1899-12-30T14:59:00"/>
    <d v="1899-12-30T15:23:00"/>
    <d v="1899-12-30T00:00:00"/>
    <n v="0.39999999999999858"/>
    <n v="0.39999999999999858"/>
    <s v="Turbine self cable Twist release"/>
    <s v="Close"/>
    <n v="1.7391304347826028E-2"/>
    <m/>
    <m/>
    <m/>
  </r>
  <r>
    <n v="1208"/>
    <n v="2024"/>
    <n v="2024"/>
    <s v="Year_1"/>
    <d v="2024-03-04T00:00:00"/>
    <s v="KUD16"/>
    <s v="O2R2"/>
    <s v="SIL"/>
    <n v="4.3478260869565223E-2"/>
    <n v="3298"/>
    <x v="47"/>
    <s v="Yaw To Cable Twist Reset"/>
    <s v="Breakdown"/>
    <d v="1899-12-30T14:36:00"/>
    <d v="1899-12-30T14:36:00"/>
    <d v="1899-12-30T14:39:00"/>
    <d v="1899-12-30T00:00:00"/>
    <n v="5.0000000000002487E-2"/>
    <n v="5.0000000000002487E-2"/>
    <s v="Turbine self cable Twist release"/>
    <s v="Close"/>
    <n v="2.1739130434783693E-3"/>
    <m/>
    <m/>
    <m/>
  </r>
  <r>
    <n v="1209"/>
    <n v="2024"/>
    <n v="2024"/>
    <s v="Year_1"/>
    <d v="2024-03-05T00:00:00"/>
    <s v="KUD02"/>
    <s v="O2R3"/>
    <s v="JK"/>
    <n v="4.3478260869565223E-2"/>
    <n v="3273"/>
    <x v="35"/>
    <s v="YawUntwistCCW: Code 5,    540Â°"/>
    <s v="Breakdown"/>
    <d v="1899-12-30T21:46:33"/>
    <d v="1899-12-30T21:46:33"/>
    <d v="1899-12-30T22:14:04"/>
    <d v="1899-12-30T00:00:00"/>
    <n v="0.45861111111111263"/>
    <n v="0.45861111111111263"/>
    <s v="Turbine self cable Twist release"/>
    <s v="Close"/>
    <n v="1.9939613526570116E-2"/>
    <m/>
    <m/>
    <m/>
  </r>
  <r>
    <n v="1210"/>
    <n v="2024"/>
    <n v="2024"/>
    <s v="Year_1"/>
    <d v="2024-03-05T00:00:00"/>
    <s v="KUD12"/>
    <s v="O2R1"/>
    <s v="KSIPL"/>
    <n v="4.3478260869565223E-2"/>
    <n v="3272"/>
    <x v="143"/>
    <s v="YawUntwistCW: Code 3,-000540Â°"/>
    <s v="Breakdown"/>
    <d v="1899-12-30T13:21:09"/>
    <d v="1899-12-30T13:21:09"/>
    <d v="1899-12-30T13:41:31"/>
    <d v="1899-12-30T00:00:00"/>
    <n v="0.33944444444444333"/>
    <n v="0.33944444444444333"/>
    <s v="Turbine self cable Twist release"/>
    <s v="Close"/>
    <n v="1.4758454106280147E-2"/>
    <m/>
    <m/>
    <m/>
  </r>
  <r>
    <n v="1211"/>
    <n v="2024"/>
    <n v="2024"/>
    <s v="Year_1"/>
    <d v="2024-03-05T00:00:00"/>
    <s v="KUD19"/>
    <s v="O2R1"/>
    <s v="KSIPL"/>
    <n v="4.3478260869565223E-2"/>
    <n v="3272"/>
    <x v="143"/>
    <s v="YawUntwistCW: Code 3,-000540Â°"/>
    <s v="Breakdown"/>
    <d v="1899-12-30T16:28:58"/>
    <d v="1899-12-30T16:28:58"/>
    <d v="1899-12-30T16:50:40"/>
    <d v="1899-12-30T00:00:00"/>
    <n v="0.36166666666666725"/>
    <n v="0.36166666666666725"/>
    <s v="Turbine self cable Twist release"/>
    <s v="Close"/>
    <n v="1.5724637681159448E-2"/>
    <m/>
    <m/>
    <m/>
  </r>
  <r>
    <n v="1212"/>
    <n v="2024"/>
    <n v="2024"/>
    <s v="Year_1"/>
    <d v="2024-03-05T00:00:00"/>
    <s v="KUD20"/>
    <s v="O2R1"/>
    <s v="KSIPL"/>
    <n v="4.3478260869565223E-2"/>
    <n v="3272"/>
    <x v="143"/>
    <s v="YawUntwistCW: Code 2,-000641Â°"/>
    <s v="Breakdown"/>
    <d v="1899-12-30T01:39:36"/>
    <d v="1899-12-30T01:39:36"/>
    <d v="1899-12-30T02:06:06"/>
    <d v="1899-12-30T00:00:00"/>
    <n v="0.44166666666666676"/>
    <n v="0.44166666666666676"/>
    <s v="Turbine self cable Twist release"/>
    <s v="Close"/>
    <n v="1.9202898550724646E-2"/>
    <m/>
    <m/>
    <m/>
  </r>
  <r>
    <n v="1213"/>
    <n v="2024"/>
    <n v="2024"/>
    <s v="Year_1"/>
    <d v="2024-03-05T00:00:00"/>
    <s v="KUD20"/>
    <s v="O2R1"/>
    <s v="KSIPL"/>
    <n v="4.3478260869565223E-2"/>
    <n v="3273"/>
    <x v="35"/>
    <s v="YawUntwistCCW: Code 6,    883Â°"/>
    <s v="Breakdown"/>
    <d v="1899-12-30T23:18:52"/>
    <d v="1899-12-30T23:18:52"/>
    <d v="1899-12-30T23:53:22"/>
    <d v="1899-12-30T00:00:00"/>
    <n v="0.57499999999999929"/>
    <n v="0.57499999999999929"/>
    <s v="Turbine self cable Twist release"/>
    <s v="Close"/>
    <n v="2.4999999999999974E-2"/>
    <m/>
    <m/>
    <m/>
  </r>
  <r>
    <n v="1214"/>
    <n v="2024"/>
    <n v="2024"/>
    <s v="Year_1"/>
    <d v="2024-03-05T00:00:00"/>
    <s v="KUD21"/>
    <s v="O2R3"/>
    <s v="JK"/>
    <n v="4.3478260869565223E-2"/>
    <n v="3272"/>
    <x v="143"/>
    <s v="YawUntwistCW: Code 3,-000571Â°"/>
    <s v="Breakdown"/>
    <d v="1899-12-30T17:39:42"/>
    <d v="1899-12-30T17:39:42"/>
    <d v="1899-12-30T18:02:53"/>
    <d v="1899-12-30T00:00:00"/>
    <n v="0.38638888888888889"/>
    <n v="0.38638888888888889"/>
    <s v="Turbine self cable Twist release"/>
    <s v="Close"/>
    <n v="1.6799516908212561E-2"/>
    <m/>
    <m/>
    <m/>
  </r>
  <r>
    <n v="1215"/>
    <n v="2024"/>
    <n v="2024"/>
    <s v="Year_1"/>
    <d v="2024-03-05T00:00:00"/>
    <s v="KUD22"/>
    <s v="O2R3"/>
    <s v="JK"/>
    <n v="4.3478260869565223E-2"/>
    <n v="3272"/>
    <x v="143"/>
    <s v="YawUntwistCW: Code 3,-000540Â°"/>
    <s v="Breakdown"/>
    <d v="1899-12-30T12:50:27"/>
    <d v="1899-12-30T12:50:27"/>
    <d v="1899-12-30T13:16:34"/>
    <d v="1899-12-30T00:00:00"/>
    <n v="0.43527777777777565"/>
    <n v="0.43527777777777565"/>
    <s v="Turbine self cable Twist release"/>
    <s v="Close"/>
    <n v="1.8925120772946769E-2"/>
    <m/>
    <m/>
    <m/>
  </r>
  <r>
    <n v="1216"/>
    <n v="2024"/>
    <n v="2024"/>
    <s v="Year_1"/>
    <d v="2024-03-06T00:00:00"/>
    <s v="KUD01"/>
    <s v="O2R1"/>
    <s v="KSIPL"/>
    <n v="4.3478260869565223E-2"/>
    <n v="900"/>
    <x v="100"/>
    <s v="Pause pressed on keyboard"/>
    <s v="Manual Stop"/>
    <d v="1899-12-30T13:16:48"/>
    <d v="1899-12-30T13:16:48"/>
    <d v="1899-12-30T20:06:26"/>
    <d v="1899-12-30T00:00:00"/>
    <n v="6.8272222222222219"/>
    <n v="6.8272222222222219"/>
    <s v="Manual stop for repeated error arresting purpose and found Generator slipring insulator failure condition so replaced then restord the WTG"/>
    <s v="Close"/>
    <n v="0.29683574879227054"/>
    <m/>
    <m/>
    <m/>
  </r>
  <r>
    <n v="1217"/>
    <n v="2024"/>
    <n v="2024"/>
    <s v="Year_1"/>
    <d v="2024-03-06T00:00:00"/>
    <s v="KUD06"/>
    <s v="O2R3"/>
    <s v="JK"/>
    <n v="4.3478260869565223E-2"/>
    <n v="3273"/>
    <x v="35"/>
    <s v="YawUntwistCCW: Code 6,    556Â°"/>
    <s v="Breakdown"/>
    <d v="1899-12-30T13:40:53"/>
    <d v="1899-12-30T13:40:53"/>
    <d v="1899-12-30T14:07:04"/>
    <d v="1899-12-30T00:00:00"/>
    <n v="0.43638888888888872"/>
    <n v="0.43638888888888872"/>
    <s v="Turbine self cable Twist release"/>
    <s v="Close"/>
    <n v="1.8973429951690816E-2"/>
    <m/>
    <m/>
    <m/>
  </r>
  <r>
    <n v="1218"/>
    <n v="2024"/>
    <n v="2024"/>
    <s v="Year_1"/>
    <d v="2024-03-06T00:00:00"/>
    <s v="KUD10"/>
    <s v="O2R1"/>
    <s v="KSIPL"/>
    <n v="4.3478260869565223E-2"/>
    <n v="3273"/>
    <x v="35"/>
    <s v="YawUntwistCCW: Code 6,    540Â°"/>
    <s v="Breakdown"/>
    <d v="1899-12-30T16:29:37"/>
    <d v="1899-12-30T16:29:37"/>
    <d v="1899-12-30T16:52:28"/>
    <d v="1899-12-30T00:00:00"/>
    <n v="0.38083333333333158"/>
    <n v="0.38083333333333158"/>
    <s v="Turbine self cable Twist release"/>
    <s v="Close"/>
    <n v="1.6557971014492679E-2"/>
    <m/>
    <m/>
    <m/>
  </r>
  <r>
    <n v="1219"/>
    <n v="2024"/>
    <n v="2024"/>
    <s v="Year_1"/>
    <d v="2024-03-06T00:00:00"/>
    <s v="KUD15"/>
    <s v="O2R1"/>
    <s v="KSIPL"/>
    <n v="4.3478260869565223E-2"/>
    <n v="3273"/>
    <x v="35"/>
    <s v="YawUntwistCCW: Code 6,    540Â°"/>
    <s v="Breakdown"/>
    <d v="1899-12-30T17:17:04"/>
    <d v="1899-12-30T17:17:04"/>
    <d v="1899-12-30T17:39:09"/>
    <d v="1899-12-30T00:00:00"/>
    <n v="0.36805555555555536"/>
    <n v="0.36805555555555536"/>
    <s v="Turbine self cable Twist release"/>
    <s v="Close"/>
    <n v="1.6002415458937193E-2"/>
    <m/>
    <m/>
    <m/>
  </r>
  <r>
    <n v="1220"/>
    <n v="2024"/>
    <n v="2024"/>
    <s v="Year_1"/>
    <d v="2024-03-06T00:00:00"/>
    <s v="KUD22"/>
    <s v="O2R3"/>
    <s v="JK"/>
    <n v="4.3478260869565223E-2"/>
    <n v="3273"/>
    <x v="35"/>
    <s v="YawUntwistCCW: Code 6,    569Â°"/>
    <s v="Breakdown"/>
    <d v="1899-12-30T13:07:53"/>
    <d v="1899-12-30T13:07:53"/>
    <d v="1899-12-30T13:33:53"/>
    <d v="1899-12-30T00:00:00"/>
    <n v="0.43333333333333446"/>
    <n v="0.43333333333333446"/>
    <s v="Turbine self cable Twist release"/>
    <s v="Close"/>
    <n v="1.8840579710144977E-2"/>
    <m/>
    <m/>
    <m/>
  </r>
  <r>
    <n v="1221"/>
    <n v="2024"/>
    <n v="2024"/>
    <s v="Year_1"/>
    <d v="2024-03-06T00:00:00"/>
    <s v="KUD23"/>
    <s v="O2R3"/>
    <s v="JK"/>
    <n v="4.3478260869565223E-2"/>
    <n v="3273"/>
    <x v="35"/>
    <s v="YawUntwistCCW: Code 6,    556Â°"/>
    <s v="Breakdown"/>
    <d v="1899-12-30T14:02:35"/>
    <d v="1899-12-30T14:02:35"/>
    <d v="1899-12-30T14:25:35"/>
    <d v="1899-12-30T00:00:00"/>
    <n v="0.38333333333333197"/>
    <n v="0.38333333333333197"/>
    <s v="Turbine self cable Twist release"/>
    <s v="Close"/>
    <n v="1.6666666666666611E-2"/>
    <m/>
    <m/>
    <m/>
  </r>
  <r>
    <n v="1222"/>
    <n v="2024"/>
    <n v="2024"/>
    <s v="Year_1"/>
    <d v="2024-03-07T00:00:00"/>
    <s v="KUD01"/>
    <s v="O2R1"/>
    <s v="KSIPL"/>
    <n v="4.3478260869565223E-2"/>
    <n v="3273"/>
    <x v="35"/>
    <s v="YawUntwistCCW: Code 6,    540Â°"/>
    <s v="Breakdown"/>
    <d v="1899-12-30T09:50:49"/>
    <d v="1899-12-30T09:50:49"/>
    <d v="1899-12-30T10:17:14"/>
    <d v="1899-12-30T00:00:00"/>
    <n v="0.44027777777777777"/>
    <n v="0.44027777777777777"/>
    <s v="Turbine self cable Twist release"/>
    <s v="Close"/>
    <n v="1.9142512077294688E-2"/>
    <m/>
    <m/>
    <m/>
  </r>
  <r>
    <n v="1223"/>
    <n v="2024"/>
    <n v="2024"/>
    <s v="Year_1"/>
    <d v="2024-03-07T00:00:00"/>
    <s v="KUD01"/>
    <s v="O2R1"/>
    <s v="KSIPL"/>
    <n v="4.3478260869565223E-2"/>
    <n v="450"/>
    <x v="127"/>
    <s v="Ext. High I sum Grd inv."/>
    <s v="Breakdown"/>
    <d v="1899-12-30T12:42:47"/>
    <d v="1899-12-30T12:42:47"/>
    <d v="1899-12-30T12:45:27"/>
    <d v="1899-12-30T00:00:00"/>
    <n v="4.4444444444445175E-2"/>
    <n v="4.4444444444445175E-2"/>
    <s v="Auto reset"/>
    <s v="Close"/>
    <n v="1.9323671497584861E-3"/>
    <m/>
    <m/>
    <m/>
  </r>
  <r>
    <n v="1224"/>
    <n v="2024"/>
    <n v="2024"/>
    <s v="Year_1"/>
    <d v="2024-03-07T00:00:00"/>
    <s v="KUD01"/>
    <s v="O2R1"/>
    <s v="KSIPL"/>
    <n v="4.3478260869565223E-2"/>
    <n v="3273"/>
    <x v="35"/>
    <s v="YawUntwistCCW: Code 6,    571Â°"/>
    <s v="Breakdown"/>
    <d v="1899-12-30T15:32:29"/>
    <d v="1899-12-30T15:32:29"/>
    <d v="1899-12-30T15:59:26"/>
    <d v="1899-12-30T00:00:00"/>
    <n v="0.4491666666666676"/>
    <n v="0.4491666666666676"/>
    <s v="Turbine self cable Twist release"/>
    <s v="Close"/>
    <n v="1.9528985507246421E-2"/>
    <m/>
    <m/>
    <m/>
  </r>
  <r>
    <n v="1225"/>
    <n v="2024"/>
    <n v="2024"/>
    <s v="Year_1"/>
    <d v="2024-03-07T00:00:00"/>
    <s v="KUD04"/>
    <s v="O2R3"/>
    <s v="JK"/>
    <n v="4.3478260869565223E-2"/>
    <n v="3273"/>
    <x v="35"/>
    <s v="YawUntwistCCW: Code 5,    540Â°"/>
    <s v="Breakdown"/>
    <d v="1899-12-30T22:31:30"/>
    <d v="1899-12-30T22:31:30"/>
    <d v="1899-12-30T22:51:37"/>
    <d v="1899-12-30T00:00:00"/>
    <n v="0.33527777777777601"/>
    <n v="0.33527777777777601"/>
    <s v="Turbine self cable Twist release"/>
    <s v="Close"/>
    <n v="1.4577294685990264E-2"/>
    <m/>
    <m/>
    <m/>
  </r>
  <r>
    <n v="1226"/>
    <n v="2024"/>
    <n v="2024"/>
    <s v="Year_1"/>
    <d v="2024-03-07T00:00:00"/>
    <s v="KUD08"/>
    <s v="O2R3"/>
    <s v="JK"/>
    <n v="4.3478260869565223E-2"/>
    <n v="3273"/>
    <x v="35"/>
    <s v="YawUntwistCCW: Code 6,    540Â°"/>
    <s v="Breakdown"/>
    <d v="1899-12-30T14:58:53"/>
    <d v="1899-12-30T14:58:53"/>
    <d v="1899-12-30T15:18:56"/>
    <d v="1899-12-30T00:00:00"/>
    <n v="0.33416666666666561"/>
    <n v="0.33416666666666561"/>
    <s v="Turbine self cable Twist release"/>
    <s v="Close"/>
    <n v="1.4528985507246333E-2"/>
    <m/>
    <m/>
    <m/>
  </r>
  <r>
    <n v="1227"/>
    <n v="2024"/>
    <n v="2024"/>
    <s v="Year_1"/>
    <d v="2024-03-07T00:00:00"/>
    <s v="KUD19"/>
    <s v="O2R1"/>
    <s v="KSIPL"/>
    <n v="4.3478260869565223E-2"/>
    <n v="3273"/>
    <x v="35"/>
    <s v="YawUntwistCCW: Code 6,    540Â°"/>
    <s v="Breakdown"/>
    <d v="1899-12-30T22:35:04"/>
    <d v="1899-12-30T22:35:04"/>
    <d v="1899-12-30T22:54:57"/>
    <d v="1899-12-30T00:00:00"/>
    <n v="0.33138888888889095"/>
    <n v="0.33138888888889095"/>
    <s v="Turbine self cable Twist release"/>
    <s v="Close"/>
    <n v="1.4408212560386565E-2"/>
    <m/>
    <m/>
    <m/>
  </r>
  <r>
    <n v="1228"/>
    <n v="2024"/>
    <n v="2024"/>
    <s v="Year_1"/>
    <d v="2024-03-07T00:00:00"/>
    <s v="KUD21"/>
    <s v="O2R3"/>
    <s v="JK"/>
    <n v="4.3478260869565223E-2"/>
    <n v="3273"/>
    <x v="35"/>
    <s v="YawUntwistCCW: Code 6,    540Â°"/>
    <s v="Breakdown"/>
    <d v="1899-12-30T14:39:04"/>
    <d v="1899-12-30T14:39:04"/>
    <d v="1899-12-30T14:59:14"/>
    <d v="1899-12-30T00:00:00"/>
    <n v="0.33611111111110947"/>
    <n v="0.33611111111110947"/>
    <s v="Turbine self cable Twist release"/>
    <s v="Close"/>
    <n v="1.4613526570048239E-2"/>
    <m/>
    <m/>
    <m/>
  </r>
  <r>
    <n v="1229"/>
    <n v="2024"/>
    <n v="2024"/>
    <s v="Year_1"/>
    <d v="2024-03-08T00:00:00"/>
    <s v="KUD01"/>
    <s v="O2R1"/>
    <s v="KSIPL"/>
    <n v="4.3478260869565223E-2"/>
    <n v="335"/>
    <x v="152"/>
    <s v="ExtHighIRotorInv phase: 1"/>
    <s v="Breakdown"/>
    <d v="1899-12-30T02:11:56"/>
    <d v="1899-12-30T02:11:56"/>
    <d v="1899-12-30T02:20:49"/>
    <d v="1899-12-30T00:00:00"/>
    <n v="0.14805555555555561"/>
    <n v="0.14805555555555561"/>
    <s v="Auto reset"/>
    <s v="Close"/>
    <n v="6.4371980676328532E-3"/>
    <m/>
    <m/>
    <m/>
  </r>
  <r>
    <n v="1230"/>
    <n v="2024"/>
    <n v="2024"/>
    <s v="Year_1"/>
    <d v="2024-03-08T00:00:00"/>
    <s v="KUD02"/>
    <s v="O2R3"/>
    <s v="JK"/>
    <n v="4.3478260869565223E-2"/>
    <n v="3273"/>
    <x v="35"/>
    <s v="YawUntwistCCW: Code 5,    545Â°"/>
    <s v="Breakdown"/>
    <d v="1899-12-30T11:57:07"/>
    <d v="1899-12-30T11:57:07"/>
    <d v="1899-12-30T12:22:31"/>
    <d v="1899-12-30T00:00:00"/>
    <n v="0.4233333333333329"/>
    <n v="0.4233333333333329"/>
    <s v="Turbine self cable Twist release"/>
    <s v="Close"/>
    <n v="1.840579710144926E-2"/>
    <m/>
    <m/>
    <m/>
  </r>
  <r>
    <n v="1231"/>
    <n v="2024"/>
    <n v="2024"/>
    <s v="Year_1"/>
    <d v="2024-03-08T00:00:00"/>
    <s v="KUD03"/>
    <s v="O2R1"/>
    <s v="KSIPL"/>
    <n v="4.3478260869565223E-2"/>
    <n v="3272"/>
    <x v="143"/>
    <s v="YawUntwistCW: Code 2,-000667Â°"/>
    <s v="Breakdown"/>
    <d v="1899-12-30T14:22:13"/>
    <d v="1899-12-30T14:22:13"/>
    <d v="1899-12-30T14:47:33"/>
    <d v="1899-12-30T00:00:00"/>
    <n v="0.4222222222222225"/>
    <n v="0.4222222222222225"/>
    <s v="Turbine self cable Twist release"/>
    <s v="Close"/>
    <n v="1.8357487922705328E-2"/>
    <m/>
    <m/>
    <m/>
  </r>
  <r>
    <n v="1232"/>
    <n v="2024"/>
    <n v="2024"/>
    <s v="Year_1"/>
    <d v="2024-03-08T00:00:00"/>
    <s v="KUD09"/>
    <s v="O2R3"/>
    <s v="JK"/>
    <n v="4.3478260869565223E-2"/>
    <n v="158"/>
    <x v="132"/>
    <s v="Rotor: 2.2RPM, Gen.:-247.7 RPM"/>
    <s v="Breakdown"/>
    <d v="1899-12-30T22:31:10"/>
    <d v="1899-12-30T22:31:10"/>
    <d v="1899-12-30T22:39:36"/>
    <d v="1899-12-30T00:00:00"/>
    <n v="0.1405555555555571"/>
    <n v="0.1405555555555571"/>
    <s v="Auto reset"/>
    <s v="Close"/>
    <n v="6.1111111111111791E-3"/>
    <m/>
    <m/>
    <m/>
  </r>
  <r>
    <n v="1233"/>
    <n v="2024"/>
    <n v="2024"/>
    <s v="Year_1"/>
    <d v="2024-03-08T00:00:00"/>
    <s v="KUD15"/>
    <s v="O2R1"/>
    <s v="KSIPL"/>
    <n v="4.3478260869565223E-2"/>
    <n v="3633"/>
    <x v="21"/>
    <s v="Yaw System Stopped"/>
    <s v="Breakdown"/>
    <d v="1899-12-30T16:32:29"/>
    <d v="1899-12-30T16:32:29"/>
    <d v="1899-12-30T17:23:37"/>
    <d v="1899-12-30T00:00:00"/>
    <n v="0.8522222222222231"/>
    <n v="0.8522222222222231"/>
    <s v="Remote reboot and reset done"/>
    <s v="Close"/>
    <n v="3.7053140096618399E-2"/>
    <m/>
    <m/>
    <m/>
  </r>
  <r>
    <n v="1234"/>
    <n v="2024"/>
    <n v="2024"/>
    <s v="Year_1"/>
    <d v="2024-03-08T00:00:00"/>
    <s v="KUD20"/>
    <s v="O2R1"/>
    <s v="KSIPL"/>
    <n v="4.3478260869565223E-2"/>
    <n v="900"/>
    <x v="100"/>
    <s v="Pause pressed on keyboard"/>
    <s v="Manual Stop"/>
    <d v="1899-12-30T16:27:35"/>
    <d v="1899-12-30T16:27:35"/>
    <d v="1899-12-30T17:02:23"/>
    <d v="1899-12-30T00:00:00"/>
    <n v="0.58000000000000007"/>
    <n v="0.58000000000000007"/>
    <s v="Manual stop for Blade inspection done"/>
    <s v="Close"/>
    <n v="2.5217391304347834E-2"/>
    <m/>
    <m/>
    <m/>
  </r>
  <r>
    <n v="1235"/>
    <n v="2024"/>
    <n v="2024"/>
    <s v="Year_1"/>
    <d v="2024-03-09T00:00:00"/>
    <s v="KUD10"/>
    <s v="O2R1"/>
    <s v="KSIPL"/>
    <n v="4.3478260869565223E-2"/>
    <n v="3273"/>
    <x v="35"/>
    <s v="YawUntwistCCW: Code 6,    605Â°"/>
    <s v="Breakdown"/>
    <d v="1899-12-30T13:26:00"/>
    <d v="1899-12-30T13:26:00"/>
    <d v="1899-12-30T13:50:25"/>
    <d v="1899-12-30T00:00:00"/>
    <n v="0.40694444444444322"/>
    <n v="0.40694444444444322"/>
    <s v="Turbine self cable Twist release"/>
    <s v="Close"/>
    <n v="1.7693236714975795E-2"/>
    <n v="100"/>
    <n v="0"/>
    <m/>
  </r>
  <r>
    <n v="1236"/>
    <n v="2024"/>
    <n v="2024"/>
    <s v="Year_1"/>
    <d v="2024-03-09T00:00:00"/>
    <s v="KUD19"/>
    <s v="O2R1"/>
    <s v="KSIPL"/>
    <n v="4.3478260869565223E-2"/>
    <n v="3633"/>
    <x v="21"/>
    <s v="Yaw System Stopped"/>
    <s v="Breakdown"/>
    <d v="1899-12-30T16:47:58"/>
    <d v="1899-12-30T16:47:58"/>
    <d v="1899-12-30T16:50:00"/>
    <d v="1899-12-30T00:00:00"/>
    <n v="3.3888888888887081E-2"/>
    <n v="3.3888888888887081E-2"/>
    <s v="Remote reset"/>
    <s v="Close"/>
    <n v="1.4734299516907428E-3"/>
    <n v="100"/>
    <n v="0"/>
    <m/>
  </r>
  <r>
    <n v="1237"/>
    <n v="2024"/>
    <n v="2024"/>
    <s v="Year_1"/>
    <d v="2024-03-09T00:00:00"/>
    <s v="KUD19"/>
    <s v="O2R1"/>
    <s v="KSIPL"/>
    <n v="4.3478260869565223E-2"/>
    <n v="6293"/>
    <x v="32"/>
    <s v="Pitch valves test active"/>
    <s v="Breakdown"/>
    <d v="1899-12-30T16:50:48"/>
    <d v="1899-12-30T16:50:48"/>
    <d v="1899-12-30T17:00:00"/>
    <d v="1899-12-30T00:00:00"/>
    <n v="0.15333333333333332"/>
    <n v="0.15333333333333332"/>
    <s v="Turbine Self test"/>
    <s v="Close"/>
    <n v="6.6666666666666671E-3"/>
    <n v="100"/>
    <n v="0"/>
    <m/>
  </r>
  <r>
    <n v="1238"/>
    <n v="2024"/>
    <n v="2024"/>
    <s v="Year_1"/>
    <d v="2024-03-09T00:00:00"/>
    <s v="KUD19"/>
    <s v="O2R1"/>
    <s v="KSIPL"/>
    <n v="4.3478260869565223E-2"/>
    <n v="6290"/>
    <x v="91"/>
    <s v="Pitch accu. test active"/>
    <s v="Breakdown"/>
    <d v="1899-12-30T17:00:00"/>
    <d v="1899-12-30T17:00:00"/>
    <d v="1899-12-30T17:10:00"/>
    <d v="1899-12-30T00:00:00"/>
    <n v="0.16666666666666607"/>
    <n v="0.16666666666666607"/>
    <s v="Turbine Self test"/>
    <s v="Close"/>
    <n v="7.2463768115941778E-3"/>
    <n v="100"/>
    <n v="0"/>
    <m/>
  </r>
  <r>
    <n v="1239"/>
    <n v="2024"/>
    <n v="2024"/>
    <s v="Year_1"/>
    <d v="2024-03-09T00:00:00"/>
    <s v="KUD19"/>
    <s v="O2R1"/>
    <s v="KSIPL"/>
    <n v="4.3478260869565223E-2"/>
    <n v="3003"/>
    <x v="154"/>
    <s v="HydrMainPressLow: 210bar  41Â°C"/>
    <s v="Breakdown"/>
    <d v="1899-12-30T17:10:34"/>
    <d v="1899-12-30T17:10:34"/>
    <d v="1899-12-30T17:20:00"/>
    <d v="1899-12-30T00:00:00"/>
    <n v="0.15722222222222104"/>
    <n v="0.15722222222222104"/>
    <s v="Remote reset"/>
    <s v="Close"/>
    <n v="6.835748792270481E-3"/>
    <n v="100"/>
    <n v="0"/>
    <m/>
  </r>
  <r>
    <n v="1240"/>
    <n v="2024"/>
    <n v="2024"/>
    <s v="Year_1"/>
    <d v="2024-03-09T00:00:00"/>
    <s v="KUD19"/>
    <s v="O2R1"/>
    <s v="KSIPL"/>
    <n v="4.3478260869565223E-2"/>
    <n v="3272"/>
    <x v="143"/>
    <s v="YawUntwistCW: Code 3,      0Â°"/>
    <s v="Breakdown"/>
    <d v="1899-12-30T17:20:10"/>
    <d v="1899-12-30T17:20:10"/>
    <d v="1899-12-30T17:30:00"/>
    <d v="1899-12-30T00:00:00"/>
    <n v="0.16388888888888875"/>
    <n v="0.16388888888888875"/>
    <s v="Turbine self cable Twist release"/>
    <s v="Close"/>
    <n v="7.125603864734294E-3"/>
    <n v="100"/>
    <n v="0"/>
    <m/>
  </r>
  <r>
    <n v="1241"/>
    <n v="2024"/>
    <n v="2024"/>
    <s v="Year_1"/>
    <d v="2024-03-09T00:00:00"/>
    <s v="KUD19"/>
    <s v="O2R1"/>
    <s v="KSIPL"/>
    <n v="4.3478260869565223E-2"/>
    <n v="604"/>
    <x v="155"/>
    <s v="Remote Reboot"/>
    <s v="Breakdown"/>
    <d v="1899-12-30T17:30:00"/>
    <d v="1899-12-30T17:30:00"/>
    <d v="1899-12-30T17:40:20"/>
    <d v="1899-12-30T00:00:00"/>
    <n v="0.17222222222222339"/>
    <n v="0.17222222222222339"/>
    <s v="Remote reboot and reset done"/>
    <s v="Close"/>
    <n v="7.4879227053140616E-3"/>
    <n v="100"/>
    <n v="0"/>
    <m/>
  </r>
  <r>
    <n v="1242"/>
    <n v="2024"/>
    <n v="2024"/>
    <s v="Year_1"/>
    <d v="2024-03-09T00:00:00"/>
    <s v="KUD05"/>
    <s v="O2R3"/>
    <s v="JK"/>
    <n v="4.3478260869565223E-2"/>
    <n v="3272"/>
    <x v="143"/>
    <s v="YawUntwistCW: Code 2,      0Â°"/>
    <s v="Breakdown"/>
    <d v="1899-12-30T23:54:25"/>
    <d v="1899-12-30T23:54:25"/>
    <d v="1899-12-30T23:59:00"/>
    <d v="1899-12-30T00:00:00"/>
    <n v="7.6388888888888395E-2"/>
    <n v="7.6388888888888395E-2"/>
    <s v="Turbine self cable Twist release"/>
    <s v="Close"/>
    <n v="3.3212560386473222E-3"/>
    <n v="100"/>
    <n v="0"/>
    <m/>
  </r>
  <r>
    <n v="1243"/>
    <n v="2024"/>
    <n v="2024"/>
    <s v="Year_1"/>
    <d v="2024-03-09T00:00:00"/>
    <s v="KUD16"/>
    <s v="O2R2"/>
    <s v="SIL"/>
    <n v="4.3478260869565223E-2"/>
    <n v="3273"/>
    <x v="35"/>
    <s v="YawUntwistCCW: Code 7,    124Â°"/>
    <s v="Breakdown"/>
    <d v="1899-12-30T15:36:53"/>
    <d v="1899-12-30T15:36:53"/>
    <d v="1899-12-30T16:21:02"/>
    <d v="1899-12-30T00:00:00"/>
    <n v="0.73583333333333112"/>
    <n v="0.73583333333333112"/>
    <s v="Turbine self cable Twist release"/>
    <s v="Close"/>
    <n v="3.1992753623188312E-2"/>
    <n v="100"/>
    <n v="0"/>
    <m/>
  </r>
  <r>
    <n v="1244"/>
    <n v="2024"/>
    <n v="2024"/>
    <s v="Year_1"/>
    <d v="2024-03-09T00:00:00"/>
    <s v="KUD17"/>
    <s v="O2R2"/>
    <s v="SIL"/>
    <n v="4.3478260869565223E-2"/>
    <n v="3273"/>
    <x v="35"/>
    <s v="YawUntwistCCW: Code 6,    540Â°"/>
    <s v="Breakdown"/>
    <d v="1899-12-30T13:00:00"/>
    <d v="1899-12-30T13:00:00"/>
    <d v="1899-12-30T13:21:50"/>
    <d v="1899-12-30T00:00:00"/>
    <n v="0.3638888888888907"/>
    <n v="0.3638888888888907"/>
    <s v="Turbine self cable Twist release"/>
    <s v="Close"/>
    <n v="1.5821256038647424E-2"/>
    <n v="100"/>
    <n v="0"/>
    <m/>
  </r>
  <r>
    <n v="1245"/>
    <n v="2024"/>
    <n v="2024"/>
    <s v="Year_1"/>
    <d v="2024-03-09T00:00:00"/>
    <s v="KUD18"/>
    <s v="O2R4"/>
    <s v="SGDCIPL"/>
    <n v="4.3478260869565223E-2"/>
    <n v="3273"/>
    <x v="35"/>
    <s v="YawUntwistCCW: Code 6,    548Â°"/>
    <s v="Breakdown"/>
    <d v="1899-12-30T12:41:00"/>
    <d v="1899-12-30T12:41:00"/>
    <d v="1899-12-30T13:03:28"/>
    <d v="1899-12-30T00:00:00"/>
    <n v="0.37444444444444347"/>
    <n v="0.37444444444444347"/>
    <s v="Turbine self cable Twist release"/>
    <s v="Close"/>
    <n v="1.6280193236714934E-2"/>
    <n v="100"/>
    <n v="0"/>
    <m/>
  </r>
  <r>
    <n v="1246"/>
    <n v="2024"/>
    <n v="2024"/>
    <s v="Year_1"/>
    <d v="2024-03-09T00:00:00"/>
    <s v="KUD21"/>
    <s v="O2R3"/>
    <s v="JK"/>
    <n v="4.3478260869565223E-2"/>
    <n v="3272"/>
    <x v="143"/>
    <s v="YawUntwistCW: Code 3,      0Â°"/>
    <s v="Breakdown"/>
    <d v="1899-12-30T14:50:21"/>
    <d v="1899-12-30T14:50:21"/>
    <d v="1899-12-30T15:10:54"/>
    <d v="1899-12-30T00:00:00"/>
    <n v="0.34250000000000025"/>
    <n v="0.34250000000000025"/>
    <s v="Turbine self cable Twist release"/>
    <s v="Close"/>
    <n v="1.4891304347826101E-2"/>
    <n v="100"/>
    <n v="0"/>
    <m/>
  </r>
  <r>
    <n v="1247"/>
    <n v="2024"/>
    <n v="2024"/>
    <s v="Year_1"/>
    <d v="2024-03-09T00:00:00"/>
    <s v="KUD22"/>
    <s v="O2R3"/>
    <s v="JK"/>
    <n v="4.3478260869565223E-2"/>
    <n v="3273"/>
    <x v="35"/>
    <s v="YawUntwistCCW: Code 6,    544Â°"/>
    <s v="Breakdown"/>
    <d v="1899-12-30T05:58:17"/>
    <d v="1899-12-30T05:58:17"/>
    <d v="1899-12-30T06:19:14"/>
    <d v="1899-12-30T00:00:00"/>
    <n v="0.34916666666666729"/>
    <n v="0.34916666666666729"/>
    <s v="Turbine self cable Twist release"/>
    <s v="Close"/>
    <n v="1.5181159420289884E-2"/>
    <n v="100"/>
    <n v="0"/>
    <m/>
  </r>
  <r>
    <n v="1248"/>
    <n v="2024"/>
    <n v="2024"/>
    <s v="Year_1"/>
    <d v="2024-03-09T00:00:00"/>
    <s v="KUD23"/>
    <s v="O2R3"/>
    <s v="JK"/>
    <n v="4.3478260869565223E-2"/>
    <n v="3272"/>
    <x v="143"/>
    <s v="YawUntwistCW: Code 3,      0Â°"/>
    <s v="Breakdown"/>
    <d v="1899-12-30T23:52:13"/>
    <d v="1899-12-30T23:52:13"/>
    <d v="1899-12-30T23:59:00"/>
    <d v="1899-12-30T00:00:00"/>
    <n v="0.11305555555555546"/>
    <n v="0.11305555555555546"/>
    <s v="Turbine self cable Twist release"/>
    <s v="Close"/>
    <n v="4.9154589371980641E-3"/>
    <n v="100"/>
    <n v="0"/>
    <m/>
  </r>
  <r>
    <n v="1249"/>
    <n v="2024"/>
    <n v="2024"/>
    <s v="Year_1"/>
    <d v="2024-03-10T00:00:00"/>
    <s v="KUD01"/>
    <s v="O2R1"/>
    <s v="KSIPL"/>
    <n v="4.3478260869565223E-2"/>
    <n v="450"/>
    <x v="127"/>
    <s v="Ext. High I sum Grd inv."/>
    <s v="Breakdown"/>
    <d v="1899-12-30T22:09:07"/>
    <d v="1899-12-30T22:09:07"/>
    <d v="1899-12-30T22:17:24"/>
    <d v="1899-12-30T00:00:00"/>
    <n v="0.13805555555555404"/>
    <n v="0.13805555555555404"/>
    <s v="Auto reset"/>
    <s v="Close"/>
    <n v="6.0024154589371327E-3"/>
    <n v="100"/>
    <n v="60"/>
    <m/>
  </r>
  <r>
    <n v="1250"/>
    <n v="2024"/>
    <n v="2024"/>
    <s v="Year_1"/>
    <d v="2024-03-10T00:00:00"/>
    <s v="KUD05"/>
    <s v="O2R3"/>
    <s v="JK"/>
    <n v="4.3478260869565223E-2"/>
    <n v="3272"/>
    <x v="143"/>
    <s v="YawUntwistCW: Code 2,      0Â°"/>
    <s v="Breakdown"/>
    <d v="1899-12-30T00:11:59"/>
    <d v="1899-12-30T00:11:59"/>
    <d v="1899-12-30T00:20:00"/>
    <d v="1899-12-30T00:00:00"/>
    <n v="0.13361111111111107"/>
    <n v="0.13361111111111107"/>
    <s v="Turbine self cable Twist release"/>
    <s v="Close"/>
    <n v="5.8091787439613516E-3"/>
    <n v="100"/>
    <n v="0"/>
    <m/>
  </r>
  <r>
    <n v="1251"/>
    <n v="2024"/>
    <n v="2024"/>
    <s v="Year_1"/>
    <d v="2024-03-10T00:00:00"/>
    <s v="KUD17"/>
    <s v="O2R2"/>
    <s v="SIL"/>
    <n v="4.3478260869565223E-2"/>
    <n v="3272"/>
    <x v="143"/>
    <s v="YawUntwistCW: Code 3,      0Â°"/>
    <s v="Breakdown"/>
    <d v="1899-12-30T19:30:50"/>
    <d v="1899-12-30T19:30:50"/>
    <d v="1899-12-30T19:50:49"/>
    <d v="1899-12-30T00:00:00"/>
    <n v="0.33305555555555522"/>
    <n v="0.33305555555555522"/>
    <s v="Turbine self cable Twist release"/>
    <s v="Close"/>
    <n v="1.4480676328502402E-2"/>
    <n v="100"/>
    <n v="0"/>
    <m/>
  </r>
  <r>
    <n v="1252"/>
    <n v="2024"/>
    <n v="2024"/>
    <s v="Year_1"/>
    <d v="2024-03-10T00:00:00"/>
    <s v="KUD23"/>
    <s v="O2R3"/>
    <s v="JK"/>
    <n v="4.3478260869565223E-2"/>
    <n v="3272"/>
    <x v="143"/>
    <s v="YawUntwistCW: Code 3,      0Â°"/>
    <s v="Breakdown"/>
    <d v="1899-12-30T00:14:20"/>
    <d v="1899-12-30T00:14:20"/>
    <d v="1899-12-30T00:20:00"/>
    <d v="1899-12-30T00:00:00"/>
    <n v="9.4444444444444414E-2"/>
    <n v="9.4444444444444414E-2"/>
    <s v="Turbine self cable Twist release"/>
    <s v="Close"/>
    <n v="4.1062801932367143E-3"/>
    <n v="100"/>
    <n v="0"/>
    <m/>
  </r>
  <r>
    <n v="1253"/>
    <n v="2024"/>
    <n v="2024"/>
    <s v="Year_1"/>
    <d v="2024-03-12T00:00:00"/>
    <s v="KUD01"/>
    <s v="O2R1"/>
    <s v="KSIPL"/>
    <n v="4.3478260869565223E-2"/>
    <n v="450"/>
    <x v="127"/>
    <s v="Ext. High I sum Grd inv."/>
    <s v="Breakdown"/>
    <d v="1899-12-30T21:39:27"/>
    <d v="1899-12-30T21:39:27"/>
    <d v="1899-12-30T21:47:56"/>
    <d v="1899-12-30T00:00:00"/>
    <n v="0.14138888888889056"/>
    <n v="0.14138888888889056"/>
    <s v="Auto reset"/>
    <s v="Close"/>
    <n v="6.1473429951691555E-3"/>
    <n v="100"/>
    <n v="250"/>
    <m/>
  </r>
  <r>
    <n v="1254"/>
    <n v="2024"/>
    <n v="2024"/>
    <s v="Year_1"/>
    <d v="2024-03-12T00:00:00"/>
    <s v="KUD11"/>
    <s v="O2R1"/>
    <s v="KSIPL"/>
    <n v="4.3478260869565223E-2"/>
    <n v="900"/>
    <x v="100"/>
    <s v="Pause pressed on keyboard"/>
    <s v="Manual Stop"/>
    <d v="1899-12-30T12:32:20"/>
    <d v="1899-12-30T12:32:20"/>
    <d v="1899-12-30T17:25:05"/>
    <d v="1899-12-30T00:00:00"/>
    <n v="4.8791666666666647"/>
    <n v="4.8791666666666647"/>
    <s v="Paused for Gearbox endoscopic inspection work"/>
    <s v="Close"/>
    <n v="0.21213768115942022"/>
    <n v="100"/>
    <n v="10"/>
    <m/>
  </r>
  <r>
    <n v="1255"/>
    <n v="2024"/>
    <n v="2024"/>
    <s v="Year_1"/>
    <d v="2024-03-12T00:00:00"/>
    <s v="KUD12"/>
    <s v="O2R1"/>
    <s v="KSIPL"/>
    <n v="4.3478260869565223E-2"/>
    <n v="3272"/>
    <x v="143"/>
    <s v="YawUntwistCW: Code 3,      0Â°"/>
    <s v="Breakdown"/>
    <d v="1899-12-30T20:42:45"/>
    <d v="1899-12-30T20:42:45"/>
    <d v="1899-12-30T21:02:38"/>
    <d v="1899-12-30T00:00:00"/>
    <n v="0.33138888888889362"/>
    <n v="0.33138888888889362"/>
    <s v="Turbine self cable Twist release"/>
    <s v="Close"/>
    <n v="1.4408212560386682E-2"/>
    <n v="100"/>
    <n v="0"/>
    <m/>
  </r>
  <r>
    <n v="1256"/>
    <n v="2024"/>
    <n v="2024"/>
    <s v="Year_1"/>
    <d v="2024-03-12T00:00:00"/>
    <s v="KUD19"/>
    <s v="O2R1"/>
    <s v="KSIPL"/>
    <n v="4.3478260869565223E-2"/>
    <n v="3272"/>
    <x v="143"/>
    <s v="YawUntwistCW: Code 3,      0Â°"/>
    <s v="Breakdown"/>
    <d v="1899-12-30T14:19:38"/>
    <d v="1899-12-30T14:19:38"/>
    <d v="1899-12-30T14:39:55"/>
    <d v="1899-12-30T00:00:00"/>
    <n v="0.338055555555556"/>
    <n v="0.338055555555556"/>
    <s v="Turbine self cable Twist release"/>
    <s v="Close"/>
    <n v="1.4698067632850262E-2"/>
    <n v="100"/>
    <n v="0"/>
    <m/>
  </r>
  <r>
    <n v="1257"/>
    <n v="2024"/>
    <n v="2024"/>
    <s v="Year_1"/>
    <d v="2024-03-12T00:00:00"/>
    <s v="KUD19"/>
    <s v="O2R1"/>
    <s v="KSIPL"/>
    <n v="4.3478260869565223E-2"/>
    <n v="3272"/>
    <x v="143"/>
    <s v="YawUntwistCW: Code 3,      0Â°"/>
    <s v="Breakdown"/>
    <d v="1899-12-30T20:52:56"/>
    <d v="1899-12-30T20:52:56"/>
    <d v="1899-12-30T21:14:39"/>
    <d v="1899-12-30T00:00:00"/>
    <n v="0.36194444444444684"/>
    <n v="0.36194444444444684"/>
    <s v="Turbine self cable Twist release"/>
    <s v="Close"/>
    <n v="1.5736714975845518E-2"/>
    <n v="100"/>
    <n v="0"/>
    <m/>
  </r>
  <r>
    <n v="1258"/>
    <n v="2024"/>
    <n v="2024"/>
    <s v="Year_1"/>
    <d v="2024-03-12T00:00:00"/>
    <s v="KUD02"/>
    <s v="O2R3"/>
    <s v="JK"/>
    <n v="4.3478260869565223E-2"/>
    <n v="4516"/>
    <x v="128"/>
    <s v="HubSafty HydrPres Low BldA"/>
    <s v="Breakdown"/>
    <d v="1899-12-30T16:30:00"/>
    <d v="1899-12-30T16:30:00"/>
    <d v="1899-12-30T21:13:38"/>
    <d v="1899-12-30T00:00:00"/>
    <n v="4.727222222222224"/>
    <n v="4.727222222222224"/>
    <s v="Turbine Stopped Due to Lightbox Battery drained / Battery interchanged and charged the turbine"/>
    <s v="Close"/>
    <n v="0.20553140096618369"/>
    <n v="100"/>
    <n v="70"/>
    <m/>
  </r>
  <r>
    <n v="1259"/>
    <n v="2024"/>
    <n v="2024"/>
    <s v="Year_1"/>
    <d v="2024-03-12T00:00:00"/>
    <s v="KUD04"/>
    <s v="O2R3"/>
    <s v="JK"/>
    <n v="4.3478260869565223E-2"/>
    <n v="4514"/>
    <x v="156"/>
    <s v="MainBearSigError. 4471,    0"/>
    <s v="Breakdown"/>
    <d v="1899-12-30T17:10:40"/>
    <d v="1899-12-30T17:10:40"/>
    <d v="1899-12-30T19:36:39"/>
    <d v="1899-12-30T00:00:00"/>
    <n v="2.4330555555555557"/>
    <n v="2.4330555555555557"/>
    <s v="Remote reset"/>
    <s v="Close"/>
    <n v="0.10578502415458939"/>
    <n v="100"/>
    <n v="10"/>
    <m/>
  </r>
  <r>
    <n v="1260"/>
    <n v="2024"/>
    <n v="2024"/>
    <s v="Year_1"/>
    <d v="2024-03-12T00:00:00"/>
    <s v="KUD04"/>
    <s v="O2R3"/>
    <s v="JK"/>
    <n v="4.3478260869565223E-2"/>
    <n v="4514"/>
    <x v="156"/>
    <s v="MainBearSigError. 4471,    0"/>
    <s v="Breakdown"/>
    <d v="1899-12-30T19:53:18"/>
    <d v="1899-12-30T19:53:18"/>
    <d v="1899-12-30T20:31:53"/>
    <d v="1899-12-30T00:00:00"/>
    <n v="0.64305555555555571"/>
    <n v="0.64305555555555571"/>
    <s v="Remote reset"/>
    <s v="Close"/>
    <n v="2.7958937198067642E-2"/>
    <n v="100"/>
    <n v="0"/>
    <m/>
  </r>
  <r>
    <n v="1261"/>
    <n v="2024"/>
    <n v="2024"/>
    <s v="Year_1"/>
    <d v="2024-03-12T00:00:00"/>
    <s v="KUD04"/>
    <s v="O2R3"/>
    <s v="JK"/>
    <n v="4.3478260869565223E-2"/>
    <n v="3272"/>
    <x v="143"/>
    <s v="YawUntwistCW: Code 3,      0Â°"/>
    <s v="Breakdown"/>
    <d v="1899-12-30T20:40:00"/>
    <d v="1899-12-30T20:40:00"/>
    <d v="1899-12-30T20:58:55"/>
    <d v="1899-12-30T00:00:00"/>
    <n v="0.31527777777777555"/>
    <n v="0.31527777777777555"/>
    <s v="Turbine self cable Twist release"/>
    <s v="Close"/>
    <n v="1.3707729468598939E-2"/>
    <n v="100"/>
    <n v="0"/>
    <m/>
  </r>
  <r>
    <n v="1262"/>
    <n v="2024"/>
    <n v="2024"/>
    <s v="Year_1"/>
    <d v="2024-03-12T00:00:00"/>
    <s v="KUD06"/>
    <s v="O2R3"/>
    <s v="JK"/>
    <n v="4.3478260869565223E-2"/>
    <n v="3272"/>
    <x v="143"/>
    <s v="YawUntwistCW: Code 3,      0Â°"/>
    <s v="Breakdown"/>
    <d v="1899-12-30T20:49:02"/>
    <d v="1899-12-30T20:49:02"/>
    <d v="1899-12-30T21:10:51"/>
    <d v="1899-12-30T00:00:00"/>
    <n v="0.36361111111110844"/>
    <n v="0.36361111111110844"/>
    <s v="Turbine self cable Twist release"/>
    <s v="Close"/>
    <n v="1.580917874396124E-2"/>
    <n v="100"/>
    <n v="0"/>
    <m/>
  </r>
  <r>
    <n v="1263"/>
    <n v="2024"/>
    <n v="2024"/>
    <s v="Year_1"/>
    <d v="2024-03-12T00:00:00"/>
    <s v="KUD07"/>
    <s v="O2R3"/>
    <s v="JK"/>
    <n v="4.3478260869565223E-2"/>
    <n v="3273"/>
    <x v="35"/>
    <s v="YawUntwistCCW: Code 6,    644Â°"/>
    <s v="Breakdown"/>
    <d v="1899-12-30T15:48:02"/>
    <d v="1899-12-30T15:48:02"/>
    <d v="1899-12-30T16:17:38"/>
    <d v="1899-12-30T00:00:00"/>
    <n v="0.49333333333333318"/>
    <n v="0.49333333333333318"/>
    <s v="Turbine self cable Twist release"/>
    <s v="Close"/>
    <n v="2.1449275362318838E-2"/>
    <n v="100"/>
    <n v="0"/>
    <m/>
  </r>
  <r>
    <n v="1264"/>
    <n v="2024"/>
    <n v="2024"/>
    <s v="Year_1"/>
    <d v="2024-03-12T00:00:00"/>
    <s v="KUD09"/>
    <s v="O2R3"/>
    <s v="JK"/>
    <n v="4.3478260869565223E-2"/>
    <n v="3272"/>
    <x v="143"/>
    <s v="YawUntwistCW: Code 3,      0Â°"/>
    <s v="Breakdown"/>
    <d v="1899-12-30T20:45:53"/>
    <d v="1899-12-30T20:45:53"/>
    <d v="1899-12-30T21:05:54"/>
    <d v="1899-12-30T00:00:00"/>
    <n v="0.33361111111111175"/>
    <n v="0.33361111111111175"/>
    <s v="Turbine self cable Twist release"/>
    <s v="Close"/>
    <n v="1.4504830917874426E-2"/>
    <n v="100"/>
    <n v="0"/>
    <m/>
  </r>
  <r>
    <n v="1265"/>
    <n v="2024"/>
    <n v="2024"/>
    <s v="Year_1"/>
    <d v="2024-03-12T00:00:00"/>
    <s v="KUD18"/>
    <s v="O2R4"/>
    <s v="SGDCIPL"/>
    <n v="4.3478260869565223E-2"/>
    <n v="3272"/>
    <x v="143"/>
    <s v="YawUntwistCW: Code 3,      0Â°"/>
    <s v="Breakdown"/>
    <d v="1899-12-30T20:51:42"/>
    <d v="1899-12-30T20:51:42"/>
    <d v="1899-12-30T21:13:51"/>
    <d v="1899-12-30T00:00:00"/>
    <n v="0.36916666666666309"/>
    <n v="0.36916666666666309"/>
    <s v="Turbine self cable Twist release"/>
    <s v="Close"/>
    <n v="1.6050724637681008E-2"/>
    <n v="100"/>
    <n v="0"/>
    <m/>
  </r>
  <r>
    <n v="1266"/>
    <n v="2024"/>
    <n v="2024"/>
    <s v="Year_1"/>
    <d v="2024-03-12T00:00:00"/>
    <s v="KUD21"/>
    <s v="O2R3"/>
    <s v="JK"/>
    <n v="4.3478260869565223E-2"/>
    <n v="3273"/>
    <x v="35"/>
    <s v="YawUntwistCCW: Code 6,    540Â°"/>
    <s v="Breakdown"/>
    <d v="1899-12-30T15:54:01"/>
    <d v="1899-12-30T15:54:01"/>
    <d v="1899-12-30T16:17:30"/>
    <d v="1899-12-30T00:00:00"/>
    <n v="0.39138888888889234"/>
    <n v="0.39138888888889234"/>
    <s v="Turbine self cable Twist release"/>
    <s v="Close"/>
    <n v="1.7016908212560539E-2"/>
    <n v="100"/>
    <n v="0"/>
    <m/>
  </r>
  <r>
    <n v="1267"/>
    <n v="2024"/>
    <n v="2024"/>
    <s v="Year_1"/>
    <d v="2024-03-12T00:00:00"/>
    <s v="KUD22"/>
    <s v="O2R3"/>
    <s v="JK"/>
    <n v="4.3478260869565223E-2"/>
    <n v="707"/>
    <x v="121"/>
    <s v="Ch hardware error C0"/>
    <s v="Breakdown"/>
    <d v="1899-12-30T18:50:00"/>
    <d v="1899-12-30T18:50:00"/>
    <d v="1899-12-30T20:50:00"/>
    <d v="1899-12-30T00:00:00"/>
    <n v="1.9999999999999982"/>
    <n v="1.9999999999999982"/>
    <s v="Turbine Stopped Due to Lightbox Battery drained / Battery interchanged and charged the turbine"/>
    <s v="Close"/>
    <n v="8.6956521739130363E-2"/>
    <n v="100"/>
    <n v="120"/>
    <m/>
  </r>
  <r>
    <n v="1268"/>
    <n v="2024"/>
    <n v="2024"/>
    <s v="Year_1"/>
    <d v="2024-03-13T00:00:00"/>
    <s v="KUD01"/>
    <s v="O2R1"/>
    <s v="KSIPL"/>
    <n v="4.3478260869565223E-2"/>
    <n v="900"/>
    <x v="100"/>
    <s v="Pause pressed on keyboard"/>
    <s v="Manual Stop"/>
    <d v="1899-12-30T14:05:00"/>
    <d v="1899-12-30T14:05:00"/>
    <d v="1899-12-30T23:59:00"/>
    <d v="1899-12-30T00:00:00"/>
    <n v="9.8999999999999986"/>
    <n v="9.8999999999999986"/>
    <s v="Manual stop for repeated error arresting purpose and IGBT interchanged after that coolant water pressure not develop. Now troubleshooting work under process "/>
    <s v="Open"/>
    <n v="0.43043478260869567"/>
    <n v="100"/>
    <m/>
    <m/>
  </r>
  <r>
    <n v="1269"/>
    <n v="2024"/>
    <n v="2024"/>
    <s v="Year_1"/>
    <d v="2024-03-13T00:00:00"/>
    <s v="KUD04"/>
    <s v="O2R3"/>
    <s v="JK"/>
    <n v="4.3478260869565223E-2"/>
    <n v="900"/>
    <x v="100"/>
    <s v="Pause pressed on keyboard"/>
    <s v="Manual Stop"/>
    <d v="1899-12-30T12:31:00"/>
    <d v="1899-12-30T12:31:00"/>
    <d v="1899-12-30T13:16:00"/>
    <d v="1899-12-30T00:00:00"/>
    <n v="0.75"/>
    <n v="0.75"/>
    <s v="Manual stop repeated error arresting purpose and CT6061 interchanged after wtg restored"/>
    <s v="Close"/>
    <n v="3.2608695652173919E-2"/>
    <n v="100"/>
    <m/>
    <m/>
  </r>
  <r>
    <n v="1270"/>
    <n v="2024"/>
    <n v="2024"/>
    <s v="Year_1"/>
    <d v="2024-03-13T00:00:00"/>
    <s v="KUD04"/>
    <s v="O2R3"/>
    <s v="JK"/>
    <n v="4.3478260869565223E-2"/>
    <n v="693"/>
    <x v="157"/>
    <s v="SignalError-PAUSE  2124,    4"/>
    <s v="Breakdown"/>
    <d v="1899-12-30T13:52:00"/>
    <d v="1899-12-30T13:52:00"/>
    <d v="1899-12-30T20:35:00"/>
    <d v="1899-12-30T00:00:00"/>
    <n v="6.7166666666666641"/>
    <n v="6.7166666666666641"/>
    <s v="Troubleshooting carried out CT6061 failure so replaced to new one"/>
    <s v="Close"/>
    <n v="0.29202898550724632"/>
    <n v="100"/>
    <m/>
    <m/>
  </r>
  <r>
    <n v="1271"/>
    <n v="2024"/>
    <n v="2024"/>
    <s v="Year_1"/>
    <d v="2024-03-13T00:00:00"/>
    <s v="KUD05"/>
    <s v="O2R3"/>
    <s v="JK"/>
    <n v="4.3478260869565223E-2"/>
    <n v="3272"/>
    <x v="143"/>
    <s v="YawUntwistCW: Code 2,-000590Â°"/>
    <s v="Breakdown"/>
    <d v="1899-12-30T14:06:00"/>
    <d v="1899-12-30T14:06:00"/>
    <d v="1899-12-30T14:35:00"/>
    <d v="1899-12-30T00:00:00"/>
    <n v="0.48333333333333428"/>
    <n v="0.48333333333333428"/>
    <s v="Turbine self cable Twist release"/>
    <s v="Close"/>
    <n v="2.1014492753623232E-2"/>
    <n v="100"/>
    <m/>
    <m/>
  </r>
  <r>
    <n v="1272"/>
    <n v="2024"/>
    <n v="2024"/>
    <s v="Year_1"/>
    <d v="2024-03-13T00:00:00"/>
    <s v="KUD22"/>
    <s v="O2R3"/>
    <s v="JK"/>
    <n v="4.3478260869565223E-2"/>
    <n v="3272"/>
    <x v="143"/>
    <s v="YawUntwistCW: Code 3,-000612Â°"/>
    <s v="Breakdown"/>
    <d v="1899-12-30T06:15:00"/>
    <d v="1899-12-30T06:15:00"/>
    <d v="1899-12-30T06:44:00"/>
    <d v="1899-12-30T00:00:00"/>
    <n v="0.48333333333333295"/>
    <n v="0.48333333333333295"/>
    <s v="Turbine self cable Twist release"/>
    <s v="Close"/>
    <n v="2.1014492753623173E-2"/>
    <n v="100"/>
    <m/>
    <m/>
  </r>
  <r>
    <n v="1273"/>
    <n v="2024"/>
    <n v="2024"/>
    <s v="Year_1"/>
    <d v="2024-03-13T00:00:00"/>
    <s v="KUD23"/>
    <s v="O2R3"/>
    <s v="JK"/>
    <n v="4.3478260869565223E-2"/>
    <n v="3272"/>
    <x v="143"/>
    <s v="YawUntwistCW: Code 2,-000629Â°"/>
    <s v="Breakdown"/>
    <d v="1899-12-30T04:51:00"/>
    <d v="1899-12-30T04:51:00"/>
    <d v="1899-12-30T05:19:00"/>
    <d v="1899-12-30T00:00:00"/>
    <n v="0.46666666666666701"/>
    <n v="0.46666666666666701"/>
    <s v="Turbine self cable Twist release"/>
    <s v="Close"/>
    <n v="2.0289855072463784E-2"/>
    <n v="100"/>
    <m/>
    <m/>
  </r>
  <r>
    <n v="1274"/>
    <n v="2024"/>
    <n v="2024"/>
    <s v="Year_1"/>
    <d v="2024-03-14T00:00:00"/>
    <s v="KUD01"/>
    <s v="O2R1"/>
    <s v="KSIPL"/>
    <n v="4.3478260869565223E-2"/>
    <n v="900"/>
    <x v="100"/>
    <s v="Pause pressed on keyboard"/>
    <s v="Breakdown"/>
    <d v="1899-12-30T00:00:00"/>
    <d v="1899-12-30T00:00:00"/>
    <d v="1899-12-30T11:22:00"/>
    <d v="1899-12-30T00:00:00"/>
    <n v="11.366666666666667"/>
    <n v="11.366666666666667"/>
    <s v="Manual stop for repeated error arresting purpose and IGBT interchanged after that coolant water pressure not develop. After troubleshooting pressure developed then restored the machine"/>
    <s v="Close"/>
    <n v="0.49420289855072475"/>
    <n v="100"/>
    <m/>
    <m/>
  </r>
  <r>
    <n v="1275"/>
    <n v="2024"/>
    <n v="2024"/>
    <s v="Year_1"/>
    <d v="2024-03-14T00:00:00"/>
    <s v="KUD03"/>
    <s v="O2R1"/>
    <s v="KSIPL"/>
    <n v="4.3478260869565223E-2"/>
    <n v="3273"/>
    <x v="35"/>
    <s v="YawUntwistCCW: Code 6,    686Â°"/>
    <s v="Breakdown"/>
    <d v="1899-12-30T15:08:00"/>
    <d v="1899-12-30T15:08:00"/>
    <d v="1899-12-30T15:37:00"/>
    <d v="1899-12-30T00:00:00"/>
    <n v="0.48333333333333428"/>
    <n v="0.48333333333333428"/>
    <s v="Turbine self cable Twist release"/>
    <s v="Close"/>
    <n v="2.1014492753623232E-2"/>
    <n v="100"/>
    <m/>
    <m/>
  </r>
  <r>
    <n v="1276"/>
    <n v="2024"/>
    <n v="2024"/>
    <s v="Year_1"/>
    <d v="2024-03-14T00:00:00"/>
    <s v="KUD13"/>
    <s v="O2R1"/>
    <s v="KSIPL"/>
    <n v="4.3478260869565223E-2"/>
    <n v="3272"/>
    <x v="143"/>
    <s v="YawUntwistCW: Code 3,-000540Â°"/>
    <s v="Breakdown"/>
    <d v="1899-12-30T14:14:00"/>
    <d v="1899-12-30T14:14:00"/>
    <d v="1899-12-30T14:36:00"/>
    <d v="1899-12-30T00:00:00"/>
    <n v="0.36666666666666536"/>
    <n v="0.36666666666666536"/>
    <s v="Turbine self cable Twist release"/>
    <s v="Close"/>
    <n v="1.594202898550719E-2"/>
    <n v="100"/>
    <m/>
    <m/>
  </r>
  <r>
    <n v="1277"/>
    <n v="2024"/>
    <n v="2024"/>
    <s v="Year_1"/>
    <d v="2024-03-15T00:00:00"/>
    <s v="KUD01"/>
    <s v="O2R1"/>
    <s v="KSIPL"/>
    <n v="4.3478260869565223E-2"/>
    <n v="450"/>
    <x v="127"/>
    <s v="Ext. High I sum Grd inv."/>
    <s v="Breakdown"/>
    <d v="1899-12-30T22:38:00"/>
    <d v="1899-12-30T22:38:00"/>
    <d v="1899-12-30T22:47:00"/>
    <d v="1899-12-30T00:00:00"/>
    <n v="0.15000000000000213"/>
    <n v="0.15000000000000213"/>
    <s v="Auto reset"/>
    <s v="Close"/>
    <n v="6.5217391304348759E-3"/>
    <m/>
    <m/>
    <m/>
  </r>
  <r>
    <n v="1278"/>
    <n v="2024"/>
    <n v="2024"/>
    <s v="Year_1"/>
    <d v="2024-03-15T00:00:00"/>
    <s v="KUD04"/>
    <s v="O2R3"/>
    <s v="JK"/>
    <n v="4.3478260869565223E-2"/>
    <n v="3272"/>
    <x v="143"/>
    <s v="YawUntwistCW: Code 3,-000540Â°"/>
    <s v="Breakdown"/>
    <d v="1899-12-30T16:14:00"/>
    <d v="1899-12-30T16:14:00"/>
    <d v="1899-12-30T16:38:00"/>
    <d v="1899-12-30T00:00:00"/>
    <n v="0.39999999999999858"/>
    <n v="0.39999999999999858"/>
    <s v="Turbine self cable Twist release"/>
    <s v="Close"/>
    <n v="1.7391304347826028E-2"/>
    <m/>
    <m/>
    <m/>
  </r>
  <r>
    <n v="1279"/>
    <n v="2024"/>
    <n v="2024"/>
    <s v="Year_1"/>
    <d v="2024-03-15T00:00:00"/>
    <s v="KUD09"/>
    <s v="O2R3"/>
    <s v="JK"/>
    <n v="4.3478260869565223E-2"/>
    <n v="3272"/>
    <x v="143"/>
    <s v="YawUntwistCW: Code 3,-000540Â°"/>
    <s v="Breakdown"/>
    <d v="1899-12-30T15:36:00"/>
    <d v="1899-12-30T15:36:00"/>
    <d v="1899-12-30T15:58:00"/>
    <d v="1899-12-30T00:00:00"/>
    <n v="0.36666666666666536"/>
    <n v="0.36666666666666536"/>
    <s v="Turbine self cable Twist release"/>
    <s v="Close"/>
    <n v="1.594202898550719E-2"/>
    <m/>
    <m/>
    <m/>
  </r>
  <r>
    <n v="1280"/>
    <n v="2024"/>
    <n v="2024"/>
    <s v="Year_1"/>
    <d v="2024-03-15T00:00:00"/>
    <s v="KUD13"/>
    <s v="O2R1"/>
    <s v="KSIPL"/>
    <n v="4.3478260869565223E-2"/>
    <n v="3273"/>
    <x v="35"/>
    <s v="YawUntwistCCW: Code 6,    540Â°"/>
    <s v="Breakdown"/>
    <d v="1899-12-30T15:21:00"/>
    <d v="1899-12-30T15:21:00"/>
    <d v="1899-12-30T15:41:00"/>
    <d v="1899-12-30T00:00:00"/>
    <n v="0.33333333333333481"/>
    <n v="0.33333333333333481"/>
    <s v="Turbine self cable Twist release"/>
    <s v="Close"/>
    <n v="1.4492753623188472E-2"/>
    <m/>
    <m/>
    <m/>
  </r>
  <r>
    <n v="1281"/>
    <n v="2024"/>
    <n v="2024"/>
    <s v="Year_1"/>
    <d v="2024-03-15T00:00:00"/>
    <s v="KUD14"/>
    <s v="O2R1"/>
    <s v="KSIPL"/>
    <n v="4.3478260869565223E-2"/>
    <n v="3272"/>
    <x v="143"/>
    <s v="YawUntwistCW: Code 3,-000540Â°"/>
    <s v="Breakdown"/>
    <d v="1899-12-30T14:46:00"/>
    <d v="1899-12-30T14:46:00"/>
    <d v="1899-12-30T15:06:00"/>
    <d v="1899-12-30T00:00:00"/>
    <n v="0.33333333333333215"/>
    <n v="0.33333333333333215"/>
    <s v="Turbine self cable Twist release"/>
    <s v="Close"/>
    <n v="1.4492753623188356E-2"/>
    <m/>
    <m/>
    <m/>
  </r>
  <r>
    <n v="1282"/>
    <n v="2024"/>
    <n v="2024"/>
    <s v="Year_1"/>
    <d v="2024-03-15T00:00:00"/>
    <s v="KUD19"/>
    <s v="O2R1"/>
    <s v="KSIPL"/>
    <n v="4.3478260869565223E-2"/>
    <n v="3633"/>
    <x v="21"/>
    <s v="Yaw System Stopped"/>
    <s v="Breakdown"/>
    <d v="1899-12-30T16:53:00"/>
    <d v="1899-12-30T16:53:00"/>
    <d v="1899-12-30T17:02:00"/>
    <d v="1899-12-30T00:00:00"/>
    <n v="0.15000000000000213"/>
    <n v="0.15000000000000213"/>
    <s v="Auto reset"/>
    <s v="Close"/>
    <n v="6.5217391304348759E-3"/>
    <m/>
    <m/>
    <m/>
  </r>
  <r>
    <n v="1283"/>
    <n v="2024"/>
    <n v="2024"/>
    <s v="Year_1"/>
    <d v="2024-03-15T00:00:00"/>
    <s v="KUD22"/>
    <s v="O2R3"/>
    <s v="JK"/>
    <n v="4.3478260869565223E-2"/>
    <n v="3273"/>
    <x v="35"/>
    <s v="YawUntwistCCW: Code 6,    540Â°"/>
    <s v="Breakdown"/>
    <d v="1899-12-30T22:03:00"/>
    <d v="1899-12-30T22:03:00"/>
    <d v="1899-12-30T22:29:00"/>
    <d v="1899-12-30T00:00:00"/>
    <n v="0.43333333333333179"/>
    <n v="0.43333333333333179"/>
    <s v="Turbine self cable Twist release"/>
    <s v="Close"/>
    <n v="1.8840579710144863E-2"/>
    <m/>
    <m/>
    <m/>
  </r>
  <r>
    <n v="1284"/>
    <n v="2024"/>
    <n v="2024"/>
    <s v="Year_1"/>
    <d v="2024-03-16T00:00:00"/>
    <s v="KUD11"/>
    <s v="O2R1"/>
    <s v="KSIPL"/>
    <n v="4.3478260869565223E-2"/>
    <n v="450"/>
    <x v="127"/>
    <s v="Ext. High I sum Grd inv."/>
    <s v="Breakdown"/>
    <d v="1899-12-30T15:25:00"/>
    <d v="1899-12-30T15:25:00"/>
    <d v="1899-12-30T15:40:00"/>
    <d v="1899-12-30T00:00:00"/>
    <n v="0.25000000000000178"/>
    <n v="0.25000000000000178"/>
    <s v="Auto reset"/>
    <s v="Close"/>
    <n v="1.0869565217391384E-2"/>
    <m/>
    <m/>
    <m/>
  </r>
  <r>
    <n v="1285"/>
    <n v="2024"/>
    <n v="2024"/>
    <s v="Year_1"/>
    <d v="2024-03-16T00:00:00"/>
    <s v="KUD12"/>
    <s v="O2R1"/>
    <s v="KSIPL"/>
    <n v="4.3478260869565223E-2"/>
    <n v="3272"/>
    <x v="143"/>
    <s v="YawUntwistCW: Code 2,-000637Â°"/>
    <s v="Breakdown"/>
    <d v="1899-12-30T15:16:00"/>
    <d v="1899-12-30T15:16:00"/>
    <d v="1899-12-30T15:44:00"/>
    <d v="1899-12-30T00:00:00"/>
    <n v="0.46666666666666501"/>
    <n v="0.46666666666666501"/>
    <s v="Turbine self cable Twist release"/>
    <s v="Close"/>
    <n v="2.0289855072463697E-2"/>
    <m/>
    <m/>
    <m/>
  </r>
  <r>
    <n v="1286"/>
    <n v="2024"/>
    <n v="2024"/>
    <s v="Year_1"/>
    <d v="2024-03-16T00:00:00"/>
    <s v="KUD23"/>
    <s v="O2R3"/>
    <s v="JK"/>
    <n v="4.3478260869565223E-2"/>
    <n v="3298"/>
    <x v="47"/>
    <s v="Yaw To Cable Twist Reset"/>
    <s v="Breakdown"/>
    <d v="1899-12-30T16:49:00"/>
    <d v="1899-12-30T16:49:00"/>
    <d v="1899-12-30T16:53:00"/>
    <d v="1899-12-30T00:00:00"/>
    <n v="6.666666666666643E-2"/>
    <n v="6.666666666666643E-2"/>
    <s v="Auto reset"/>
    <s v="Close"/>
    <n v="2.8985507246376712E-3"/>
    <m/>
    <m/>
    <m/>
  </r>
  <r>
    <n v="1287"/>
    <n v="2024"/>
    <n v="2024"/>
    <s v="Year_1"/>
    <d v="2024-03-17T00:00:00"/>
    <s v="KUD01"/>
    <s v="O2R1"/>
    <s v="KSIPL"/>
    <n v="4.3478260869565223E-2"/>
    <n v="3272"/>
    <x v="143"/>
    <s v="YawUntwistCW: Code 2,      0Â°"/>
    <m/>
    <d v="2024-03-17T14:52:30"/>
    <d v="2024-03-17T14:52:30"/>
    <d v="2024-03-17T15:26:05"/>
    <d v="1899-12-30T00:00:00"/>
    <n v="0.55972222227137536"/>
    <n v="0.55972222227137536"/>
    <s v="Turbine self cable Twist release"/>
    <s v="Close"/>
    <n v="2.4335748794407627E-2"/>
    <m/>
    <m/>
    <m/>
  </r>
  <r>
    <n v="1288"/>
    <n v="2024"/>
    <n v="2024"/>
    <s v="Year_1"/>
    <d v="2024-03-17T00:00:00"/>
    <s v="KUD12"/>
    <s v="O2R1"/>
    <s v="KSIPL"/>
    <n v="4.3478260869565223E-2"/>
    <n v="3273"/>
    <x v="35"/>
    <s v="YawUntwistCCW: Code 6,    626Â°"/>
    <m/>
    <d v="2024-03-17T16:53:51"/>
    <d v="2024-03-17T16:53:51"/>
    <d v="2024-03-17T17:22:03"/>
    <d v="1899-12-30T00:00:00"/>
    <n v="0.47000000003026798"/>
    <n v="0.47000000003026798"/>
    <s v="Turbine self cable Twist release"/>
    <s v="Close"/>
    <n v="2.0434782610011654E-2"/>
    <m/>
    <m/>
    <m/>
  </r>
  <r>
    <n v="1289"/>
    <n v="2024"/>
    <n v="2024"/>
    <s v="Year_1"/>
    <d v="2024-03-17T00:00:00"/>
    <s v="KUD04"/>
    <s v="O2R3"/>
    <s v="JK"/>
    <n v="4.3478260869565223E-2"/>
    <n v="693"/>
    <x v="157"/>
    <s v="SignalError-PAUSE  2289,    3"/>
    <s v="Breakdown"/>
    <d v="2024-03-17T07:09:57"/>
    <d v="2024-03-17T07:09:57"/>
    <d v="2024-03-17T07:20:51"/>
    <d v="1899-12-30T00:00:00"/>
    <n v="0.18166666670003906"/>
    <n v="0.18166666670003906"/>
    <s v="Auto reset"/>
    <s v="Close"/>
    <n v="7.8985507260886552E-3"/>
    <m/>
    <m/>
    <m/>
  </r>
  <r>
    <n v="1290"/>
    <n v="2024"/>
    <n v="2024"/>
    <s v="Year_1"/>
    <d v="2024-03-17T00:00:00"/>
    <s v="KUD04"/>
    <s v="O2R3"/>
    <s v="JK"/>
    <n v="4.3478260869565223E-2"/>
    <n v="693"/>
    <x v="157"/>
    <s v="SignalError-PAUSE  2289,    3"/>
    <s v="Breakdown"/>
    <d v="2024-03-17T09:08:26"/>
    <d v="2024-03-17T09:08:26"/>
    <d v="2024-03-17T09:19:09"/>
    <d v="1899-12-30T00:00:00"/>
    <n v="0.17861111112870276"/>
    <n v="0.17861111112870276"/>
    <s v="Auto reset"/>
    <s v="Close"/>
    <n v="7.7657004838566426E-3"/>
    <m/>
    <m/>
    <m/>
  </r>
  <r>
    <n v="1291"/>
    <n v="2024"/>
    <n v="2024"/>
    <s v="Year_1"/>
    <d v="2024-03-17T00:00:00"/>
    <s v="KUD04"/>
    <s v="O2R3"/>
    <s v="JK"/>
    <n v="4.3478260869565223E-2"/>
    <n v="3298"/>
    <x v="47"/>
    <s v="Yaw To Cable Twist Reset"/>
    <m/>
    <d v="2024-03-17T13:18:42"/>
    <d v="2024-03-17T13:18:42"/>
    <d v="2024-03-17T13:20:00"/>
    <d v="1899-12-30T00:00:00"/>
    <n v="2.1666666667442769E-2"/>
    <n v="2.1666666667442769E-2"/>
    <s v="Turbine self cable Twist release"/>
    <s v="Close"/>
    <n v="9.420289855409901E-4"/>
    <m/>
    <m/>
    <m/>
  </r>
  <r>
    <n v="1292"/>
    <n v="2024"/>
    <n v="2024"/>
    <s v="Year_1"/>
    <d v="2024-03-17T00:00:00"/>
    <s v="KUD05"/>
    <s v="O2R3"/>
    <s v="JK"/>
    <n v="4.3478260869565223E-2"/>
    <n v="3272"/>
    <x v="143"/>
    <s v="YawUntwistCW: Code 2,      0Â°"/>
    <m/>
    <d v="2024-03-17T15:57:36"/>
    <d v="2024-03-17T15:57:36"/>
    <d v="2024-03-17T16:22:23"/>
    <d v="1899-12-30T00:00:00"/>
    <n v="0.41305555554572493"/>
    <n v="0.41305555554572493"/>
    <s v="Turbine self cable Twist release"/>
    <s v="Close"/>
    <n v="1.7958937197640218E-2"/>
    <m/>
    <m/>
    <m/>
  </r>
  <r>
    <n v="1293"/>
    <n v="2024"/>
    <n v="2024"/>
    <s v="Year_1"/>
    <d v="2024-03-17T00:00:00"/>
    <s v="KUD16"/>
    <s v="O2R2"/>
    <s v="SIL"/>
    <n v="4.3478260869565223E-2"/>
    <n v="3272"/>
    <x v="143"/>
    <s v="YawUntwistCW: Code 3,      0Â°"/>
    <m/>
    <d v="2024-03-17T14:39:45"/>
    <d v="2024-03-17T14:39:45"/>
    <d v="2024-03-17T15:01:38"/>
    <d v="1899-12-30T00:00:00"/>
    <n v="0.36472222226439044"/>
    <n v="0.36472222226439044"/>
    <s v="Turbine self cable Twist release"/>
    <s v="Close"/>
    <n v="1.5857487924538716E-2"/>
    <m/>
    <m/>
    <m/>
  </r>
  <r>
    <n v="1294"/>
    <n v="2024"/>
    <n v="2024"/>
    <s v="Year_1"/>
    <d v="2024-03-17T00:00:00"/>
    <s v="KUD18"/>
    <s v="O2R4"/>
    <s v="SGDCIPL"/>
    <n v="4.3478260869565223E-2"/>
    <n v="3273"/>
    <x v="35"/>
    <s v="YawUntwistCCW: Code 6,    574Â°"/>
    <m/>
    <d v="2024-03-17T16:26:27"/>
    <d v="2024-03-17T16:26:27"/>
    <d v="2024-03-17T16:55:59"/>
    <d v="1899-12-30T00:00:00"/>
    <n v="0.49222222220851108"/>
    <n v="0.49222222220851108"/>
    <s v="Turbine self cable Twist release"/>
    <s v="Close"/>
    <n v="2.1400966182978747E-2"/>
    <m/>
    <m/>
    <m/>
  </r>
  <r>
    <n v="1295"/>
    <n v="2024"/>
    <n v="2024"/>
    <s v="Year_1"/>
    <d v="2024-03-17T00:00:00"/>
    <s v="KUD21"/>
    <s v="O2R3"/>
    <s v="JK"/>
    <n v="4.3478260869565223E-2"/>
    <n v="3272"/>
    <x v="143"/>
    <s v="YawUntwistCW: Code 3,      0Â°"/>
    <m/>
    <d v="2024-03-17T16:49:20"/>
    <d v="2024-03-17T16:49:20"/>
    <d v="2024-03-17T17:11:15"/>
    <d v="1899-12-30T00:00:00"/>
    <n v="0.36527777777519077"/>
    <n v="0.36527777777519077"/>
    <s v="Turbine self cable Twist release"/>
    <s v="Close"/>
    <n v="1.5881642511964819E-2"/>
    <m/>
    <m/>
    <m/>
  </r>
  <r>
    <n v="1296"/>
    <n v="2024"/>
    <n v="2024"/>
    <s v="Year_1"/>
    <d v="2024-03-18T00:00:00"/>
    <s v="KUD01"/>
    <s v="O2R1"/>
    <s v="KSIPL"/>
    <n v="4.3478260869565223E-2"/>
    <n v="450"/>
    <x v="127"/>
    <s v="Ext. High I sum Grd inv."/>
    <s v="Breakdown"/>
    <d v="2024-03-18T06:54:08"/>
    <d v="2024-03-18T06:54:08"/>
    <d v="2024-03-18T07:00:00"/>
    <d v="1899-12-30T00:00:00"/>
    <n v="9.7777777758892626E-2"/>
    <n v="9.7777777758892626E-2"/>
    <s v="Auto reset"/>
    <s v="Close"/>
    <n v="4.2512077286475059E-3"/>
    <m/>
    <m/>
    <m/>
  </r>
  <r>
    <n v="1297"/>
    <n v="2024"/>
    <n v="2024"/>
    <s v="Year_1"/>
    <d v="2024-03-18T00:00:00"/>
    <s v="KUD01"/>
    <s v="O2R1"/>
    <s v="KSIPL"/>
    <n v="4.3478260869565223E-2"/>
    <n v="6290"/>
    <x v="91"/>
    <s v="Pitch accu. test active"/>
    <s v="Breakdown"/>
    <d v="2024-03-18T07:07:29"/>
    <d v="2024-03-18T07:07:29"/>
    <d v="2024-03-18T07:10:00"/>
    <d v="1899-12-30T00:00:00"/>
    <n v="4.1944444470573217E-2"/>
    <n v="4.1944444470573217E-2"/>
    <s v="Turbine Self test"/>
    <s v="Close"/>
    <n v="1.8236714987205748E-3"/>
    <m/>
    <m/>
    <m/>
  </r>
  <r>
    <n v="1298"/>
    <n v="2024"/>
    <n v="2024"/>
    <s v="Year_1"/>
    <d v="2024-03-18T00:00:00"/>
    <s v="KUD04"/>
    <s v="O2R3"/>
    <s v="JK"/>
    <n v="4.3478260869565223E-2"/>
    <n v="693"/>
    <x v="157"/>
    <s v="SignalError-PAUSE  2289,    3"/>
    <s v="Breakdown"/>
    <d v="2024-03-18T02:34:26"/>
    <d v="2024-03-18T02:34:26"/>
    <d v="2024-03-18T02:45:19"/>
    <d v="1899-12-30T00:00:00"/>
    <n v="0.18138888903195038"/>
    <n v="0.18138888903195038"/>
    <s v="Remote reset"/>
    <s v="Close"/>
    <n v="7.8864734361717564E-3"/>
    <m/>
    <m/>
    <m/>
  </r>
  <r>
    <n v="1299"/>
    <n v="2024"/>
    <n v="2024"/>
    <s v="Year_1"/>
    <d v="2024-03-18T00:00:00"/>
    <s v="KUD16"/>
    <s v="O2R2"/>
    <s v="SIL"/>
    <n v="4.3478260869565223E-2"/>
    <n v="5197"/>
    <x v="54"/>
    <s v="Prop Valve C Status Fault"/>
    <s v="Breakdown"/>
    <d v="2024-03-18T03:24:58"/>
    <d v="2024-03-18T03:24:58"/>
    <d v="2024-03-18T03:30:00"/>
    <d v="1899-12-30T00:00:00"/>
    <n v="8.3888888941146433E-2"/>
    <n v="8.3888888941146433E-2"/>
    <s v="Auto reset"/>
    <s v="Close"/>
    <n v="3.6473429974411497E-3"/>
    <m/>
    <m/>
    <m/>
  </r>
  <r>
    <n v="1300"/>
    <n v="2024"/>
    <n v="2024"/>
    <s v="Year_1"/>
    <d v="2024-03-18T00:00:00"/>
    <s v="KUD16"/>
    <s v="O2R2"/>
    <s v="SIL"/>
    <n v="4.3478260869565223E-2"/>
    <n v="6290"/>
    <x v="91"/>
    <s v="Pitch accu. test active"/>
    <s v="Breakdown"/>
    <d v="2024-03-18T03:30:34"/>
    <d v="2024-03-18T03:30:34"/>
    <d v="2024-03-18T03:40:00"/>
    <d v="1899-12-30T00:00:00"/>
    <n v="0.15722222230397165"/>
    <n v="0.15722222230397165"/>
    <s v="Turbine Self test"/>
    <s v="Close"/>
    <n v="6.8357487958248548E-3"/>
    <m/>
    <m/>
    <m/>
  </r>
  <r>
    <n v="1301"/>
    <n v="2024"/>
    <n v="2024"/>
    <s v="Year_1"/>
    <d v="2024-03-18T00:00:00"/>
    <s v="KUD16"/>
    <s v="O2R2"/>
    <s v="SIL"/>
    <n v="4.3478260869565223E-2"/>
    <n v="693"/>
    <x v="157"/>
    <s v="SignalError-PAUSE  2289,    3"/>
    <s v="Manual Stop"/>
    <d v="2024-03-18T03:40:32"/>
    <d v="2024-03-18T03:40:32"/>
    <d v="2024-03-18T12:10:00"/>
    <d v="1899-12-30T00:00:00"/>
    <n v="8.4911111110704951"/>
    <n v="8.4911111110704951"/>
    <s v="Low oil level Hydraulic troubleshooting work"/>
    <s v="Close"/>
    <n v="0.36917874395958677"/>
    <m/>
    <m/>
    <m/>
  </r>
  <r>
    <n v="1302"/>
    <n v="2024"/>
    <n v="2024"/>
    <s v="Year_1"/>
    <d v="2024-03-18T00:00:00"/>
    <s v="KUD16"/>
    <s v="O2R2"/>
    <s v="SIL"/>
    <n v="4.3478260869565223E-2"/>
    <n v="220"/>
    <x v="158"/>
    <s v="New SERVICE state: _, ____"/>
    <s v="Breakdown"/>
    <d v="2024-03-18T12:10:00"/>
    <d v="2024-03-18T12:10:00"/>
    <d v="2024-03-18T19:40:34"/>
    <d v="1899-12-30T00:00:00"/>
    <n v="7.5094444443820976"/>
    <n v="7.5094444443820976"/>
    <s v="1 Years C Service work"/>
    <s v="Close"/>
    <n v="0.32649758453835209"/>
    <m/>
    <m/>
    <m/>
  </r>
  <r>
    <n v="1303"/>
    <n v="2024"/>
    <n v="2024"/>
    <s v="Year_1"/>
    <d v="2024-03-18T00:00:00"/>
    <s v="KUD22"/>
    <s v="O2R3"/>
    <s v="JK"/>
    <n v="4.3478260869565223E-2"/>
    <n v="3273"/>
    <x v="35"/>
    <s v="YawUntwistCCW: Code 6,    540Â°"/>
    <s v="Breakdown"/>
    <d v="2024-03-18T15:09:27"/>
    <d v="2024-03-18T15:09:27"/>
    <d v="2024-03-18T15:30:00"/>
    <d v="1899-12-30T00:00:00"/>
    <n v="0.34250000008614734"/>
    <n v="0.34250000008614734"/>
    <s v="Turbine self cable Twist release"/>
    <s v="Close"/>
    <n v="1.4891304351571625E-2"/>
    <m/>
    <m/>
    <m/>
  </r>
  <r>
    <n v="1304"/>
    <n v="2024"/>
    <n v="2024"/>
    <s v="Year_1"/>
    <d v="2024-03-19T00:00:00"/>
    <s v="KUD02"/>
    <s v="O2R3"/>
    <s v="JK"/>
    <n v="4.3478260869565223E-2"/>
    <n v="3273"/>
    <x v="35"/>
    <s v="YawUntwistCCW: Code 5,    540Â°"/>
    <s v="Breakdown"/>
    <d v="1899-12-30T15:23:00"/>
    <d v="1899-12-30T15:23:00"/>
    <d v="1899-12-30T15:47:00"/>
    <d v="1899-12-30T00:00:00"/>
    <n v="0.40000000000000124"/>
    <n v="0.40000000000000124"/>
    <s v="Turbine self cable Twist release"/>
    <s v="Close"/>
    <n v="1.7391304347826143E-2"/>
    <m/>
    <m/>
    <m/>
  </r>
  <r>
    <n v="1305"/>
    <n v="2024"/>
    <n v="2024"/>
    <s v="Year_1"/>
    <d v="2024-03-19T00:00:00"/>
    <s v="KUD06"/>
    <s v="O2R3"/>
    <s v="JK"/>
    <n v="4.3478260869565223E-2"/>
    <n v="30"/>
    <x v="44"/>
    <s v="Internal sublogic error"/>
    <s v="Breakdown"/>
    <d v="1899-12-30T08:46:00"/>
    <d v="1899-12-30T08:46:00"/>
    <d v="1899-12-30T08:50:00"/>
    <d v="1899-12-30T00:00:00"/>
    <n v="6.666666666666643E-2"/>
    <n v="6.666666666666643E-2"/>
    <s v="Auto reset"/>
    <s v="Close"/>
    <n v="2.8985507246376712E-3"/>
    <m/>
    <m/>
    <m/>
  </r>
  <r>
    <n v="1306"/>
    <n v="2024"/>
    <n v="2024"/>
    <s v="Year_1"/>
    <d v="2024-03-19T00:00:00"/>
    <s v="KUD07"/>
    <s v="O2R3"/>
    <s v="JK"/>
    <n v="4.3478260869565223E-2"/>
    <n v="3273"/>
    <x v="35"/>
    <s v="YawUntwistCCW: Code 6,    544Â°"/>
    <s v="Breakdown"/>
    <d v="1899-12-30T23:56:00"/>
    <d v="1899-12-30T23:56:00"/>
    <d v="1899-12-30T23:59:00"/>
    <d v="1899-12-30T00:00:00"/>
    <n v="4.9999999999999822E-2"/>
    <n v="4.9999999999999822E-2"/>
    <s v="Turbine self cable Twist release"/>
    <s v="Close"/>
    <n v="2.1739130434782535E-3"/>
    <m/>
    <m/>
    <m/>
  </r>
  <r>
    <n v="1307"/>
    <n v="2024"/>
    <n v="2024"/>
    <s v="Year_1"/>
    <d v="2024-03-19T00:00:00"/>
    <s v="KUD15"/>
    <s v="O2R1"/>
    <s v="KSIPL"/>
    <n v="4.3478260869565223E-2"/>
    <n v="3633"/>
    <x v="21"/>
    <s v="Yaw System Stopped"/>
    <s v="Breakdown"/>
    <d v="1899-12-30T16:31:00"/>
    <d v="1899-12-30T16:31:00"/>
    <d v="1899-12-30T18:10:00"/>
    <d v="1899-12-30T00:00:00"/>
    <n v="1.6500000000000021"/>
    <n v="1.6500000000000021"/>
    <s v="Remote reboot and reset done"/>
    <s v="Close"/>
    <n v="7.1739130434782708E-2"/>
    <m/>
    <m/>
    <m/>
  </r>
  <r>
    <n v="1308"/>
    <n v="2024"/>
    <n v="2024"/>
    <s v="Year_1"/>
    <d v="2024-03-19T00:00:00"/>
    <s v="KUD16"/>
    <s v="O2R2"/>
    <s v="SIL"/>
    <n v="4.3478260869565223E-2"/>
    <n v="900"/>
    <x v="100"/>
    <s v="Pause pressed on keyboard"/>
    <s v="Manual Stop"/>
    <d v="1899-12-30T08:59:00"/>
    <d v="1899-12-30T08:59:00"/>
    <d v="1899-12-30T18:28:00"/>
    <d v="1899-12-30T00:00:00"/>
    <n v="9.4833333333333325"/>
    <n v="9.4833333333333325"/>
    <s v="1 Years C Service Day-2 work"/>
    <s v="Close"/>
    <n v="0.41231884057971019"/>
    <m/>
    <m/>
    <m/>
  </r>
  <r>
    <n v="1309"/>
    <n v="2024"/>
    <n v="2024"/>
    <s v="Year_1"/>
    <d v="2024-03-19T00:00:00"/>
    <s v="KUD16"/>
    <s v="O2R2"/>
    <s v="SIL"/>
    <n v="4.3478260869565223E-2"/>
    <n v="693"/>
    <x v="157"/>
    <s v="SignalError-PAUSE  2124,    4"/>
    <s v="Breakdown"/>
    <d v="1899-12-30T19:14:00"/>
    <d v="1899-12-30T19:14:00"/>
    <d v="1899-12-30T21:05:00"/>
    <d v="1899-12-30T00:00:00"/>
    <n v="1.8499999999999988"/>
    <n v="1.8499999999999988"/>
    <s v="CT6061 malfunction replaced to new one"/>
    <s v="Close"/>
    <n v="8.0434782608695604E-2"/>
    <m/>
    <m/>
    <m/>
  </r>
  <r>
    <n v="1310"/>
    <n v="2024"/>
    <n v="2024"/>
    <s v="Year_1"/>
    <d v="2024-03-19T00:00:00"/>
    <s v="KUD18"/>
    <s v="O2R4"/>
    <s v="SGDCIPL"/>
    <n v="4.3478260869565223E-2"/>
    <n v="30"/>
    <x v="44"/>
    <s v="Internal sublogic error"/>
    <s v="Breakdown"/>
    <d v="1899-12-30T08:45:00"/>
    <d v="1899-12-30T08:45:00"/>
    <d v="1899-12-30T08:57:00"/>
    <d v="1899-12-30T00:00:00"/>
    <n v="0.19999999999999929"/>
    <n v="0.19999999999999929"/>
    <s v="Auto reset"/>
    <s v="Close"/>
    <n v="8.6956521739130141E-3"/>
    <m/>
    <m/>
    <m/>
  </r>
  <r>
    <n v="1311"/>
    <n v="2024"/>
    <n v="2024"/>
    <s v="Year_1"/>
    <d v="2024-03-19T00:00:00"/>
    <s v="KUD19"/>
    <s v="O2R1"/>
    <s v="KSIPL"/>
    <n v="4.3478260869565223E-2"/>
    <n v="3633"/>
    <x v="21"/>
    <s v="Yaw System Stopped"/>
    <s v="Breakdown"/>
    <d v="1899-12-30T15:49:00"/>
    <d v="1899-12-30T15:49:00"/>
    <d v="1899-12-30T17:59:00"/>
    <d v="1899-12-30T00:00:00"/>
    <n v="2.166666666666667"/>
    <n v="2.166666666666667"/>
    <s v="Remote reboot and reset done"/>
    <s v="Close"/>
    <n v="9.4202898550724667E-2"/>
    <m/>
    <m/>
    <m/>
  </r>
  <r>
    <n v="1312"/>
    <n v="2024"/>
    <n v="2024"/>
    <s v="Year_1"/>
    <d v="2024-03-20T00:00:00"/>
    <s v="KUD15"/>
    <s v="O2R1"/>
    <s v="KSIPL"/>
    <n v="4.3478260869565223E-2"/>
    <n v="3633"/>
    <x v="21"/>
    <s v="Yaw System Stopped"/>
    <s v="Breakdown"/>
    <d v="1899-12-30T15:34:00"/>
    <d v="1899-12-30T15:34:00"/>
    <d v="1899-12-30T17:42:00"/>
    <d v="1899-12-30T00:00:00"/>
    <n v="2.1333333333333311"/>
    <n v="2.1333333333333311"/>
    <s v="CT6061 malfunction replaced to new one"/>
    <s v="Close"/>
    <n v="9.2753623188405715E-2"/>
    <m/>
    <m/>
    <m/>
  </r>
  <r>
    <n v="1313"/>
    <n v="2024"/>
    <n v="2024"/>
    <s v="Year_1"/>
    <d v="2024-03-20T00:00:00"/>
    <s v="KUD21"/>
    <s v="O2R3"/>
    <s v="JK"/>
    <n v="4.3478260869565223E-2"/>
    <n v="3273"/>
    <x v="35"/>
    <s v="YawUntwistCCW: Code 6,    544Â°"/>
    <s v="Breakdown"/>
    <d v="1899-12-30T15:55:00"/>
    <d v="1899-12-30T15:55:00"/>
    <d v="1899-12-30T16:17:00"/>
    <d v="1899-12-30T00:00:00"/>
    <n v="0.36666666666666803"/>
    <n v="0.36666666666666803"/>
    <s v="Turbine self cable Twist release"/>
    <s v="Close"/>
    <n v="1.5942028985507308E-2"/>
    <m/>
    <m/>
    <m/>
  </r>
  <r>
    <n v="1314"/>
    <n v="2024"/>
    <n v="2024"/>
    <s v="Year_1"/>
    <d v="2024-03-21T00:00:00"/>
    <s v="KUD01"/>
    <s v="O2R1"/>
    <s v="KSIPL"/>
    <n v="4.3478260869565223E-2"/>
    <n v="450"/>
    <x v="127"/>
    <s v="Ext. High I sum Grd inv."/>
    <s v="Breakdown"/>
    <d v="1899-12-30T01:53:00"/>
    <d v="1899-12-30T01:53:00"/>
    <d v="1899-12-30T01:54:00"/>
    <d v="1899-12-30T00:00:00"/>
    <n v="1.6666666666666607E-2"/>
    <n v="1.6666666666666607E-2"/>
    <s v="Auto reset"/>
    <s v="Close"/>
    <n v="7.246376811594178E-4"/>
    <m/>
    <m/>
    <m/>
  </r>
  <r>
    <n v="1315"/>
    <n v="2024"/>
    <n v="2024"/>
    <s v="Year_1"/>
    <d v="2024-03-21T00:00:00"/>
    <s v="KUD01"/>
    <s v="O2R1"/>
    <s v="KSIPL"/>
    <n v="4.3478260869565223E-2"/>
    <n v="6290"/>
    <x v="91"/>
    <s v="Pitch accu. test active"/>
    <s v="Breakdown"/>
    <d v="1899-12-30T01:55:00"/>
    <d v="1899-12-30T01:55:00"/>
    <d v="1899-12-30T02:00:00"/>
    <d v="1899-12-30T00:00:00"/>
    <n v="8.333333333333337E-2"/>
    <n v="8.333333333333337E-2"/>
    <s v="Auto reset"/>
    <s v="Close"/>
    <n v="3.6231884057971037E-3"/>
    <m/>
    <m/>
    <m/>
  </r>
  <r>
    <n v="1316"/>
    <n v="2024"/>
    <n v="2024"/>
    <s v="Year_1"/>
    <d v="2024-03-21T00:00:00"/>
    <s v="KUD01"/>
    <s v="O2R1"/>
    <s v="KSIPL"/>
    <n v="4.3478260869565223E-2"/>
    <n v="4235"/>
    <x v="93"/>
    <s v="Gen Stator CB Open"/>
    <s v="Breakdown"/>
    <d v="1899-12-30T02:02:00"/>
    <d v="1899-12-30T02:02:00"/>
    <d v="1899-12-30T02:03:00"/>
    <d v="1899-12-30T00:00:00"/>
    <n v="1.6666666666666607E-2"/>
    <n v="1.6666666666666607E-2"/>
    <s v="Auto reset"/>
    <s v="Close"/>
    <n v="7.246376811594178E-4"/>
    <m/>
    <m/>
    <m/>
  </r>
  <r>
    <n v="1317"/>
    <n v="2024"/>
    <n v="2024"/>
    <s v="Year_1"/>
    <d v="2024-03-21T00:00:00"/>
    <s v="KUD01"/>
    <s v="O2R1"/>
    <s v="KSIPL"/>
    <n v="4.3478260869565223E-2"/>
    <n v="4235"/>
    <x v="93"/>
    <s v="Gen Stator CB Open"/>
    <s v="Breakdown"/>
    <d v="1899-12-30T09:14:00"/>
    <d v="1899-12-30T09:14:00"/>
    <d v="1899-12-30T09:16:00"/>
    <d v="1899-12-30T00:00:00"/>
    <n v="3.3333333333334547E-2"/>
    <n v="3.3333333333334547E-2"/>
    <s v="Auto reset"/>
    <s v="Close"/>
    <n v="1.4492753623188935E-3"/>
    <m/>
    <m/>
    <m/>
  </r>
  <r>
    <n v="1318"/>
    <n v="2024"/>
    <n v="2024"/>
    <s v="Year_1"/>
    <d v="2024-03-21T00:00:00"/>
    <s v="KUD01"/>
    <s v="O2R1"/>
    <s v="KSIPL"/>
    <n v="4.3478260869565223E-2"/>
    <n v="6290"/>
    <x v="91"/>
    <s v="Pitch accu. test active"/>
    <s v="Breakdown"/>
    <d v="1899-12-30T09:16:00"/>
    <d v="1899-12-30T09:16:00"/>
    <d v="1899-12-30T09:18:00"/>
    <d v="1899-12-30T00:00:00"/>
    <n v="3.3333333333333215E-2"/>
    <n v="3.3333333333333215E-2"/>
    <s v="Auto reset"/>
    <s v="Close"/>
    <n v="1.4492753623188356E-3"/>
    <m/>
    <m/>
    <m/>
  </r>
  <r>
    <n v="1319"/>
    <n v="2024"/>
    <n v="2024"/>
    <s v="Year_1"/>
    <d v="2024-03-21T00:00:00"/>
    <s v="KUD03"/>
    <s v="O2R1"/>
    <s v="KSIPL"/>
    <n v="4.3478260869565223E-2"/>
    <n v="4235"/>
    <x v="93"/>
    <s v="Gen Stator CB Open"/>
    <s v="Breakdown"/>
    <d v="1899-12-30T09:15:00"/>
    <d v="1899-12-30T09:15:00"/>
    <d v="1899-12-30T09:16:00"/>
    <d v="1899-12-30T00:00:00"/>
    <n v="1.6666666666666607E-2"/>
    <n v="1.6666666666666607E-2"/>
    <s v="Auto reset"/>
    <s v="Close"/>
    <n v="7.246376811594178E-4"/>
    <m/>
    <m/>
    <m/>
  </r>
  <r>
    <n v="1320"/>
    <n v="2024"/>
    <n v="2024"/>
    <s v="Year_1"/>
    <d v="2024-03-21T00:00:00"/>
    <s v="KUD03"/>
    <s v="O2R1"/>
    <s v="KSIPL"/>
    <n v="4.3478260869565223E-2"/>
    <n v="6293"/>
    <x v="32"/>
    <s v="Pitch accu. test active"/>
    <s v="Breakdown"/>
    <d v="1899-12-30T09:19:00"/>
    <d v="1899-12-30T09:19:00"/>
    <d v="1899-12-30T09:22:00"/>
    <d v="1899-12-30T00:00:00"/>
    <n v="4.9999999999999822E-2"/>
    <n v="4.9999999999999822E-2"/>
    <s v="Auto reset"/>
    <s v="Close"/>
    <n v="2.1739130434782535E-3"/>
    <m/>
    <m/>
    <m/>
  </r>
  <r>
    <n v="1321"/>
    <n v="2024"/>
    <n v="2024"/>
    <s v="Year_1"/>
    <d v="2024-03-21T00:00:00"/>
    <s v="KUD03"/>
    <s v="O2R1"/>
    <s v="KSIPL"/>
    <n v="4.3478260869565223E-2"/>
    <n v="6290"/>
    <x v="91"/>
    <s v="Pitch valves test active"/>
    <s v="Breakdown"/>
    <d v="1899-12-30T09:17:00"/>
    <d v="1899-12-30T09:17:00"/>
    <d v="1899-12-30T09:19:00"/>
    <d v="1899-12-30T00:00:00"/>
    <n v="3.3333333333333215E-2"/>
    <n v="3.3333333333333215E-2"/>
    <s v="Auto reset"/>
    <s v="Close"/>
    <n v="1.4492753623188356E-3"/>
    <m/>
    <m/>
    <m/>
  </r>
  <r>
    <n v="1322"/>
    <n v="2024"/>
    <n v="2024"/>
    <s v="Year_1"/>
    <d v="2024-03-21T00:00:00"/>
    <s v="KUD03"/>
    <s v="O2R1"/>
    <s v="KSIPL"/>
    <n v="4.3478260869565223E-2"/>
    <n v="6284"/>
    <x v="159"/>
    <s v="EMC valve test active"/>
    <s v="Breakdown"/>
    <d v="1899-12-30T09:22:00"/>
    <d v="1899-12-30T09:22:00"/>
    <d v="1899-12-30T09:23:00"/>
    <d v="1899-12-30T00:00:00"/>
    <n v="1.6666666666666607E-2"/>
    <n v="1.6666666666666607E-2"/>
    <s v="Auto reset"/>
    <s v="Close"/>
    <n v="7.246376811594178E-4"/>
    <m/>
    <m/>
    <m/>
  </r>
  <r>
    <n v="1323"/>
    <n v="2024"/>
    <n v="2024"/>
    <s v="Year_1"/>
    <d v="2024-03-21T00:00:00"/>
    <s v="KUD08"/>
    <s v="O2R3"/>
    <s v="JK"/>
    <n v="4.3478260869565223E-2"/>
    <n v="4235"/>
    <x v="93"/>
    <s v="Gen Stator CB Open"/>
    <s v="Breakdown"/>
    <d v="1899-12-30T09:15:00"/>
    <d v="1899-12-30T09:15:00"/>
    <d v="1899-12-30T09:16:00"/>
    <d v="1899-12-30T00:00:00"/>
    <n v="1.6666666666666607E-2"/>
    <n v="1.6666666666666607E-2"/>
    <s v="Auto reset"/>
    <s v="Close"/>
    <n v="7.246376811594178E-4"/>
    <m/>
    <m/>
    <m/>
  </r>
  <r>
    <n v="1324"/>
    <n v="2024"/>
    <n v="2024"/>
    <s v="Year_1"/>
    <d v="2024-03-21T00:00:00"/>
    <s v="KUD08"/>
    <s v="O2R3"/>
    <s v="JK"/>
    <n v="4.3478260869565223E-2"/>
    <n v="6290"/>
    <x v="91"/>
    <s v="Pitch valves test active"/>
    <s v="Breakdown"/>
    <d v="1899-12-30T09:16:00"/>
    <d v="1899-12-30T09:16:00"/>
    <d v="1899-12-30T09:18:00"/>
    <d v="1899-12-30T00:00:00"/>
    <n v="3.3333333333333215E-2"/>
    <n v="3.3333333333333215E-2"/>
    <s v="Auto reset"/>
    <s v="Close"/>
    <n v="1.4492753623188356E-3"/>
    <m/>
    <m/>
    <m/>
  </r>
  <r>
    <n v="1325"/>
    <n v="2024"/>
    <n v="2024"/>
    <s v="Year_1"/>
    <d v="2024-03-21T00:00:00"/>
    <s v="KUD08"/>
    <s v="O2R3"/>
    <s v="JK"/>
    <n v="4.3478260869565223E-2"/>
    <n v="6284"/>
    <x v="159"/>
    <s v="EMC valve test active"/>
    <s v="Breakdown"/>
    <d v="1899-12-30T09:22:00"/>
    <d v="1899-12-30T09:22:00"/>
    <d v="1899-12-30T09:23:00"/>
    <d v="1899-12-30T00:00:00"/>
    <n v="1.6666666666666607E-2"/>
    <n v="1.6666666666666607E-2"/>
    <s v="Auto reset"/>
    <s v="Close"/>
    <n v="7.246376811594178E-4"/>
    <m/>
    <m/>
    <m/>
  </r>
  <r>
    <n v="1326"/>
    <n v="2024"/>
    <n v="2024"/>
    <s v="Year_1"/>
    <d v="2024-03-21T00:00:00"/>
    <s v="KUD11"/>
    <s v="O2R1"/>
    <s v="KSIPL"/>
    <n v="4.3478260869565223E-2"/>
    <n v="3806"/>
    <x v="147"/>
    <s v="HubSafetySystem Batt.Charg.Err"/>
    <s v="Breakdown"/>
    <d v="1899-12-30T09:13:00"/>
    <d v="1899-12-30T09:13:00"/>
    <d v="1899-12-30T09:18:00"/>
    <d v="1899-12-30T00:00:00"/>
    <n v="8.3333333333333037E-2"/>
    <n v="8.3333333333333037E-2"/>
    <s v="Auto reset"/>
    <s v="Close"/>
    <n v="3.6231884057970889E-3"/>
    <m/>
    <m/>
    <m/>
  </r>
  <r>
    <n v="1327"/>
    <n v="2024"/>
    <n v="2024"/>
    <s v="Year_1"/>
    <d v="2024-03-21T00:00:00"/>
    <s v="KUD13"/>
    <s v="O2R1"/>
    <s v="KSIPL"/>
    <n v="4.3478260869565223E-2"/>
    <n v="4235"/>
    <x v="93"/>
    <s v="Gen Stator CB Open"/>
    <s v="Breakdown"/>
    <d v="1899-12-30T09:15:00"/>
    <d v="1899-12-30T09:15:00"/>
    <d v="1899-12-30T09:16:00"/>
    <d v="1899-12-30T00:00:00"/>
    <n v="1.6666666666666607E-2"/>
    <n v="1.6666666666666607E-2"/>
    <s v="Auto reset"/>
    <s v="Close"/>
    <n v="7.246376811594178E-4"/>
    <m/>
    <m/>
    <m/>
  </r>
  <r>
    <n v="1328"/>
    <n v="2024"/>
    <n v="2024"/>
    <s v="Year_1"/>
    <d v="2024-03-21T00:00:00"/>
    <s v="KUD13"/>
    <s v="O2R1"/>
    <s v="KSIPL"/>
    <n v="4.3478260869565223E-2"/>
    <n v="6290"/>
    <x v="91"/>
    <s v="Pitch valves test active"/>
    <s v="Breakdown"/>
    <d v="1899-12-30T09:16:00"/>
    <d v="1899-12-30T09:16:00"/>
    <d v="1899-12-30T09:18:00"/>
    <d v="1899-12-30T00:00:00"/>
    <n v="3.3333333333333215E-2"/>
    <n v="3.3333333333333215E-2"/>
    <s v="Auto reset"/>
    <s v="Close"/>
    <n v="1.4492753623188356E-3"/>
    <m/>
    <m/>
    <m/>
  </r>
  <r>
    <n v="1329"/>
    <n v="2024"/>
    <n v="2024"/>
    <s v="Year_1"/>
    <d v="2024-03-21T00:00:00"/>
    <s v="KUD14"/>
    <s v="O2R1"/>
    <s v="KSIPL"/>
    <n v="4.3478260869565223E-2"/>
    <n v="4235"/>
    <x v="93"/>
    <s v="Gen Stator CB Open"/>
    <s v="Breakdown"/>
    <d v="1899-12-30T09:16:00"/>
    <d v="1899-12-30T09:16:00"/>
    <d v="1899-12-30T09:17:00"/>
    <d v="1899-12-30T00:00:00"/>
    <n v="1.6666666666666607E-2"/>
    <n v="1.6666666666666607E-2"/>
    <s v="Auto reset"/>
    <s v="Close"/>
    <n v="7.246376811594178E-4"/>
    <m/>
    <m/>
    <m/>
  </r>
  <r>
    <n v="1330"/>
    <n v="2024"/>
    <n v="2024"/>
    <s v="Year_1"/>
    <d v="2024-03-21T00:00:00"/>
    <s v="KUD14"/>
    <s v="O2R1"/>
    <s v="KSIPL"/>
    <n v="4.3478260869565223E-2"/>
    <n v="6293"/>
    <x v="32"/>
    <s v="Pitch accu. test active"/>
    <s v="Breakdown"/>
    <d v="1899-12-30T09:19:00"/>
    <d v="1899-12-30T09:19:00"/>
    <d v="1899-12-30T09:22:00"/>
    <d v="1899-12-30T00:00:00"/>
    <n v="4.9999999999999822E-2"/>
    <n v="4.9999999999999822E-2"/>
    <s v="Auto reset"/>
    <s v="Close"/>
    <n v="2.1739130434782535E-3"/>
    <m/>
    <m/>
    <m/>
  </r>
  <r>
    <n v="1331"/>
    <n v="2024"/>
    <n v="2024"/>
    <s v="Year_1"/>
    <d v="2024-03-21T00:00:00"/>
    <s v="KUD14"/>
    <s v="O2R1"/>
    <s v="KSIPL"/>
    <n v="4.3478260869565223E-2"/>
    <n v="6290"/>
    <x v="91"/>
    <s v="Pitch valves test active"/>
    <s v="Breakdown"/>
    <d v="1899-12-30T09:17:00"/>
    <d v="1899-12-30T09:17:00"/>
    <d v="1899-12-30T09:19:00"/>
    <d v="1899-12-30T00:00:00"/>
    <n v="3.3333333333333215E-2"/>
    <n v="3.3333333333333215E-2"/>
    <s v="Auto reset"/>
    <s v="Close"/>
    <n v="1.4492753623188356E-3"/>
    <m/>
    <m/>
    <m/>
  </r>
  <r>
    <n v="1332"/>
    <n v="2024"/>
    <n v="2024"/>
    <s v="Year_1"/>
    <d v="2024-03-21T00:00:00"/>
    <s v="KUD14"/>
    <s v="O2R1"/>
    <s v="KSIPL"/>
    <n v="4.3478260869565223E-2"/>
    <n v="6284"/>
    <x v="159"/>
    <s v="EMC valve test active"/>
    <s v="Breakdown"/>
    <d v="1899-12-30T09:22:00"/>
    <d v="1899-12-30T09:22:00"/>
    <d v="1899-12-30T09:23:00"/>
    <d v="1899-12-30T00:00:00"/>
    <n v="1.6666666666666607E-2"/>
    <n v="1.6666666666666607E-2"/>
    <s v="Auto reset"/>
    <s v="Close"/>
    <n v="7.246376811594178E-4"/>
    <m/>
    <m/>
    <m/>
  </r>
  <r>
    <n v="1333"/>
    <n v="2024"/>
    <n v="2024"/>
    <s v="Year_1"/>
    <d v="2024-03-21T00:00:00"/>
    <s v="KUD02"/>
    <s v="O2R3"/>
    <s v="JK"/>
    <n v="4.3478260869565223E-2"/>
    <n v="4519"/>
    <x v="126"/>
    <s v="Hubsafety HydrPres Low DBLK"/>
    <s v="Breakdown"/>
    <d v="1899-12-30T09:13:00"/>
    <d v="1899-12-30T09:13:00"/>
    <d v="1899-12-30T09:14:00"/>
    <d v="1899-12-30T00:00:00"/>
    <n v="1.6666666666665275E-2"/>
    <n v="1.6666666666665275E-2"/>
    <s v="Auto reset"/>
    <s v="Close"/>
    <n v="7.2463768115935991E-4"/>
    <m/>
    <m/>
    <m/>
  </r>
  <r>
    <n v="1334"/>
    <n v="2024"/>
    <n v="2024"/>
    <s v="Year_1"/>
    <d v="2024-03-21T00:00:00"/>
    <s v="KUD05"/>
    <s v="O2R3"/>
    <s v="JK"/>
    <n v="4.3478260869565223E-2"/>
    <n v="4519"/>
    <x v="126"/>
    <s v="Hubsafety HydrPres Low DBLK"/>
    <s v="Breakdown"/>
    <d v="1899-12-30T09:13:00"/>
    <d v="1899-12-30T09:13:00"/>
    <d v="1899-12-30T09:14:00"/>
    <d v="1899-12-30T00:00:00"/>
    <n v="1.6666666666665275E-2"/>
    <n v="1.6666666666665275E-2"/>
    <s v="Auto reset"/>
    <s v="Close"/>
    <n v="7.2463768115935991E-4"/>
    <m/>
    <m/>
    <m/>
  </r>
  <r>
    <n v="1335"/>
    <n v="2024"/>
    <n v="2024"/>
    <s v="Year_1"/>
    <d v="2024-03-21T00:00:00"/>
    <s v="KUD05"/>
    <s v="O2R3"/>
    <s v="JK"/>
    <n v="4.3478260869565223E-2"/>
    <n v="2676"/>
    <x v="124"/>
    <s v="UPS Error"/>
    <s v="ROW"/>
    <d v="1899-12-30T09:14:00"/>
    <d v="1899-12-30T09:14:00"/>
    <d v="1899-12-30T13:34:00"/>
    <d v="1899-12-30T00:00:00"/>
    <n v="4.3333333333333339"/>
    <n v="4.3333333333333339"/>
    <s v="Work on hold due to ROW"/>
    <s v="Close"/>
    <n v="0"/>
    <m/>
    <m/>
    <m/>
  </r>
  <r>
    <n v="1336"/>
    <n v="2024"/>
    <n v="2024"/>
    <s v="Year_1"/>
    <d v="2024-03-21T00:00:00"/>
    <s v="KUD05"/>
    <s v="O2R3"/>
    <s v="JK"/>
    <n v="4.3478260869565223E-2"/>
    <n v="2676"/>
    <x v="124"/>
    <s v="UPS Error"/>
    <s v="Breakdown"/>
    <d v="1899-12-30T13:35:00"/>
    <d v="1899-12-30T13:35:00"/>
    <d v="1899-12-30T14:17:00"/>
    <d v="1899-12-30T00:00:00"/>
    <n v="0.70000000000000018"/>
    <n v="0.70000000000000018"/>
    <s v="UPS battery drained same has been interchanged from other turbine"/>
    <s v="Close"/>
    <n v="3.0434782608695664E-2"/>
    <m/>
    <m/>
    <m/>
  </r>
  <r>
    <n v="1337"/>
    <n v="2024"/>
    <n v="2024"/>
    <s v="Year_1"/>
    <d v="2024-03-21T00:00:00"/>
    <s v="KUD06"/>
    <s v="O2R3"/>
    <s v="JK"/>
    <n v="4.3478260869565223E-2"/>
    <n v="3862"/>
    <x v="160"/>
    <s v="Safetysystem Reset Required"/>
    <s v="Breakdown"/>
    <d v="1899-12-30T09:51:00"/>
    <d v="1899-12-30T09:51:00"/>
    <d v="1899-12-30T09:53:00"/>
    <d v="1899-12-30T00:00:00"/>
    <n v="3.3333333333333215E-2"/>
    <n v="3.3333333333333215E-2"/>
    <s v="Auto reset"/>
    <s v="Close"/>
    <n v="1.4492753623188356E-3"/>
    <m/>
    <m/>
    <m/>
  </r>
  <r>
    <n v="1338"/>
    <n v="2024"/>
    <n v="2024"/>
    <s v="Year_1"/>
    <d v="2024-03-21T00:00:00"/>
    <s v="KUD07"/>
    <s v="O2R3"/>
    <s v="JK"/>
    <n v="4.3478260869565223E-2"/>
    <n v="30"/>
    <x v="44"/>
    <s v="Internal sublogic error"/>
    <s v="Breakdown"/>
    <d v="1899-12-30T09:11:00"/>
    <d v="1899-12-30T09:11:00"/>
    <d v="1899-12-30T09:14:00"/>
    <d v="1899-12-30T00:00:00"/>
    <n v="4.999999999999849E-2"/>
    <n v="4.999999999999849E-2"/>
    <s v="Auto reset"/>
    <s v="Close"/>
    <n v="2.1739130434781954E-3"/>
    <m/>
    <m/>
    <m/>
  </r>
  <r>
    <n v="1339"/>
    <n v="2024"/>
    <n v="2024"/>
    <s v="Year_1"/>
    <d v="2024-03-21T00:00:00"/>
    <s v="KUD07"/>
    <s v="O2R3"/>
    <s v="JK"/>
    <n v="4.3478260869565223E-2"/>
    <n v="4235"/>
    <x v="93"/>
    <s v="Gen Stator CB Open"/>
    <s v="Breakdown"/>
    <d v="1899-12-30T09:16:00"/>
    <d v="1899-12-30T09:16:00"/>
    <d v="1899-12-30T09:17:00"/>
    <d v="1899-12-30T00:00:00"/>
    <n v="1.6666666666666607E-2"/>
    <n v="1.6666666666666607E-2"/>
    <s v="Auto reset"/>
    <s v="Close"/>
    <n v="7.246376811594178E-4"/>
    <m/>
    <m/>
    <m/>
  </r>
  <r>
    <n v="1340"/>
    <n v="2024"/>
    <n v="2024"/>
    <s v="Year_1"/>
    <d v="2024-03-21T00:00:00"/>
    <s v="KUD07"/>
    <s v="O2R3"/>
    <s v="JK"/>
    <n v="4.3478260869565223E-2"/>
    <n v="6293"/>
    <x v="32"/>
    <s v="Pitch accu. test active"/>
    <s v="Breakdown"/>
    <d v="1899-12-30T09:20:00"/>
    <d v="1899-12-30T09:20:00"/>
    <d v="1899-12-30T09:24:00"/>
    <d v="1899-12-30T00:00:00"/>
    <n v="6.666666666666643E-2"/>
    <n v="6.666666666666643E-2"/>
    <s v="Auto reset"/>
    <s v="Close"/>
    <n v="2.8985507246376712E-3"/>
    <m/>
    <m/>
    <m/>
  </r>
  <r>
    <n v="1341"/>
    <n v="2024"/>
    <n v="2024"/>
    <s v="Year_1"/>
    <d v="2024-03-21T00:00:00"/>
    <s v="KUD07"/>
    <s v="O2R3"/>
    <s v="JK"/>
    <n v="4.3478260869565223E-2"/>
    <n v="6290"/>
    <x v="91"/>
    <s v="Pitch valves test active"/>
    <s v="Breakdown"/>
    <d v="1899-12-30T09:19:00"/>
    <d v="1899-12-30T09:19:00"/>
    <d v="1899-12-30T09:20:00"/>
    <d v="1899-12-30T00:00:00"/>
    <n v="1.6666666666666607E-2"/>
    <n v="1.6666666666666607E-2"/>
    <s v="Auto reset"/>
    <s v="Close"/>
    <n v="7.246376811594178E-4"/>
    <m/>
    <m/>
    <m/>
  </r>
  <r>
    <n v="1342"/>
    <n v="2024"/>
    <n v="2024"/>
    <s v="Year_1"/>
    <d v="2024-03-21T00:00:00"/>
    <s v="KUD09"/>
    <s v="O2R3"/>
    <s v="JK"/>
    <n v="4.3478260869565223E-2"/>
    <n v="4519"/>
    <x v="126"/>
    <s v="Hubsafety HydrPres Low DBLK"/>
    <s v="Breakdown"/>
    <d v="1899-12-30T09:13:00"/>
    <d v="1899-12-30T09:13:00"/>
    <d v="1899-12-30T09:14:00"/>
    <d v="1899-12-30T00:00:00"/>
    <n v="1.6666666666665275E-2"/>
    <n v="1.6666666666665275E-2"/>
    <s v="Auto reset"/>
    <s v="Close"/>
    <n v="7.2463768115935991E-4"/>
    <m/>
    <m/>
    <m/>
  </r>
  <r>
    <n v="1343"/>
    <n v="2024"/>
    <n v="2024"/>
    <s v="Year_1"/>
    <d v="2024-03-21T00:00:00"/>
    <s v="KUD16"/>
    <s v="O2R2"/>
    <s v="SIL"/>
    <n v="4.3478260869565223E-2"/>
    <n v="4235"/>
    <x v="93"/>
    <s v="Gen Stator CB Open"/>
    <s v="Breakdown"/>
    <d v="1899-12-30T09:57:00"/>
    <d v="1899-12-30T09:57:00"/>
    <d v="1899-12-30T09:58:00"/>
    <d v="1899-12-30T00:00:00"/>
    <n v="1.666666666666794E-2"/>
    <n v="1.666666666666794E-2"/>
    <s v="Auto reset"/>
    <s v="Close"/>
    <n v="7.246376811594757E-4"/>
    <m/>
    <m/>
    <m/>
  </r>
  <r>
    <n v="1344"/>
    <n v="2024"/>
    <n v="2024"/>
    <s v="Year_1"/>
    <d v="2024-03-21T00:00:00"/>
    <s v="KUD16"/>
    <s v="O2R2"/>
    <s v="SIL"/>
    <n v="4.3478260869565223E-2"/>
    <n v="6290"/>
    <x v="91"/>
    <s v="Pitch valves test active"/>
    <s v="Breakdown"/>
    <d v="1899-12-30T09:58:00"/>
    <d v="1899-12-30T09:58:00"/>
    <d v="1899-12-30T10:00:00"/>
    <d v="1899-12-30T00:00:00"/>
    <n v="3.3333333333333215E-2"/>
    <n v="3.3333333333333215E-2"/>
    <s v="Auto reset"/>
    <s v="Close"/>
    <n v="1.4492753623188356E-3"/>
    <m/>
    <m/>
    <m/>
  </r>
  <r>
    <n v="1345"/>
    <n v="2024"/>
    <n v="2024"/>
    <s v="Year_1"/>
    <d v="2024-03-21T00:00:00"/>
    <s v="KUD16"/>
    <s v="O2R2"/>
    <s v="SIL"/>
    <n v="4.3478260869565223E-2"/>
    <n v="6290"/>
    <x v="91"/>
    <s v="Pitch valves test active"/>
    <s v="Breakdown"/>
    <d v="1899-12-30T10:03:00"/>
    <d v="1899-12-30T10:03:00"/>
    <d v="1899-12-30T10:05:00"/>
    <d v="1899-12-30T00:00:00"/>
    <n v="3.3333333333333215E-2"/>
    <n v="3.3333333333333215E-2"/>
    <s v="Auto reset"/>
    <s v="Close"/>
    <n v="1.4492753623188356E-3"/>
    <m/>
    <m/>
    <m/>
  </r>
  <r>
    <n v="1346"/>
    <n v="2024"/>
    <n v="2024"/>
    <s v="Year_1"/>
    <d v="2024-03-21T00:00:00"/>
    <s v="KUD18"/>
    <s v="O2R4"/>
    <s v="SGDCIPL"/>
    <n v="4.3478260869565223E-2"/>
    <n v="4519"/>
    <x v="126"/>
    <s v="Hubsafety HydrPres Low DBLK"/>
    <s v="Breakdown"/>
    <d v="1899-12-30T09:12:00"/>
    <d v="1899-12-30T09:12:00"/>
    <d v="1899-12-30T09:13:00"/>
    <d v="1899-12-30T00:00:00"/>
    <n v="1.666666666666794E-2"/>
    <n v="1.666666666666794E-2"/>
    <s v="Auto reset"/>
    <s v="Close"/>
    <n v="7.246376811594757E-4"/>
    <m/>
    <m/>
    <m/>
  </r>
  <r>
    <n v="1347"/>
    <n v="2024"/>
    <n v="2024"/>
    <s v="Year_1"/>
    <d v="2024-03-21T00:00:00"/>
    <s v="KUD18"/>
    <s v="O2R4"/>
    <s v="SGDCIPL"/>
    <n v="4.3478260869565223E-2"/>
    <n v="3633"/>
    <x v="21"/>
    <s v="Yaw System Stopped"/>
    <s v="Breakdown"/>
    <d v="1899-12-30T13:37:00"/>
    <d v="1899-12-30T13:37:00"/>
    <d v="1899-12-30T13:40:00"/>
    <d v="1899-12-30T00:00:00"/>
    <n v="4.9999999999999822E-2"/>
    <n v="4.9999999999999822E-2"/>
    <s v="Auto reset"/>
    <s v="Close"/>
    <n v="2.1739130434782535E-3"/>
    <m/>
    <m/>
    <m/>
  </r>
  <r>
    <n v="1348"/>
    <n v="2024"/>
    <n v="2024"/>
    <s v="Year_1"/>
    <d v="2024-03-21T00:00:00"/>
    <s v="KUD21"/>
    <s v="O2R3"/>
    <s v="JK"/>
    <n v="4.3478260869565223E-2"/>
    <n v="4519"/>
    <x v="126"/>
    <s v="Hubsafety HydrPres Low DBLK"/>
    <s v="Breakdown"/>
    <d v="1899-12-30T09:13:00"/>
    <d v="1899-12-30T09:13:00"/>
    <d v="1899-12-30T09:14:00"/>
    <d v="1899-12-30T00:00:00"/>
    <n v="1.6666666666665275E-2"/>
    <n v="1.6666666666665275E-2"/>
    <s v="Auto reset"/>
    <s v="Close"/>
    <n v="7.2463768115935991E-4"/>
    <m/>
    <m/>
    <m/>
  </r>
  <r>
    <n v="1349"/>
    <n v="2024"/>
    <n v="2024"/>
    <s v="Year_1"/>
    <d v="2024-03-21T00:00:00"/>
    <s v="KUD22"/>
    <s v="O2R3"/>
    <s v="JK"/>
    <n v="4.3478260869565223E-2"/>
    <n v="4519"/>
    <x v="126"/>
    <s v="Hubsafety HydrPres Low DBLK"/>
    <s v="Breakdown"/>
    <d v="1899-12-30T09:13:00"/>
    <d v="1899-12-30T09:13:00"/>
    <d v="1899-12-30T09:14:00"/>
    <d v="1899-12-30T00:00:00"/>
    <n v="1.6666666666665275E-2"/>
    <n v="1.6666666666665275E-2"/>
    <s v="Auto reset"/>
    <s v="Close"/>
    <n v="7.2463768115935991E-4"/>
    <m/>
    <m/>
    <m/>
  </r>
  <r>
    <n v="1350"/>
    <n v="2024"/>
    <n v="2024"/>
    <s v="Year_1"/>
    <d v="2024-03-21T00:00:00"/>
    <s v="KUD22"/>
    <s v="O2R3"/>
    <s v="JK"/>
    <n v="4.3478260869565223E-2"/>
    <n v="3209"/>
    <x v="101"/>
    <s v="YawSignals Invalid"/>
    <s v="Breakdown"/>
    <d v="1899-12-30T13:43:00"/>
    <d v="1899-12-30T13:43:00"/>
    <d v="1899-12-30T13:45:00"/>
    <d v="1899-12-30T00:00:00"/>
    <n v="3.3333333333333215E-2"/>
    <n v="3.3333333333333215E-2"/>
    <s v="Auto reset"/>
    <s v="Close"/>
    <n v="1.4492753623188356E-3"/>
    <m/>
    <m/>
    <m/>
  </r>
  <r>
    <n v="1351"/>
    <n v="2024"/>
    <n v="2024"/>
    <s v="Year_1"/>
    <d v="2024-03-21T00:00:00"/>
    <s v="KUD23"/>
    <s v="O2R3"/>
    <s v="JK"/>
    <n v="4.3478260869565223E-2"/>
    <n v="4519"/>
    <x v="126"/>
    <s v="Hubsafety HydrPres Low DBLK"/>
    <s v="Breakdown"/>
    <d v="1899-12-30T09:12:00"/>
    <d v="1899-12-30T09:12:00"/>
    <d v="1899-12-30T09:13:00"/>
    <d v="1899-12-30T00:00:00"/>
    <n v="1.666666666666794E-2"/>
    <n v="1.666666666666794E-2"/>
    <s v="Auto reset"/>
    <s v="Close"/>
    <n v="7.246376811594757E-4"/>
    <m/>
    <m/>
    <m/>
  </r>
  <r>
    <n v="1352"/>
    <n v="2024"/>
    <n v="2024"/>
    <s v="Year_1"/>
    <d v="2024-03-22T00:00:00"/>
    <s v="KUD03"/>
    <s v="O2R1"/>
    <s v="KSIPL"/>
    <n v="4.3478260869565223E-2"/>
    <n v="3273"/>
    <x v="35"/>
    <s v="YawUntwistCCW: Code__,_______°"/>
    <s v="Breakdown"/>
    <d v="1899-12-30T14:12:00"/>
    <d v="1899-12-30T14:12:00"/>
    <d v="1899-12-30T14:32:00"/>
    <d v="1899-12-30T00:00:00"/>
    <n v="0.33333333333333215"/>
    <n v="0.33333333333333215"/>
    <s v="Turbine self cable Twist release"/>
    <s v="Close"/>
    <n v="1.4492753623188356E-2"/>
    <m/>
    <m/>
    <m/>
  </r>
  <r>
    <n v="1353"/>
    <n v="2024"/>
    <n v="2024"/>
    <s v="Year_1"/>
    <d v="2024-03-22T00:00:00"/>
    <s v="KUD08"/>
    <s v="O2R3"/>
    <s v="JK"/>
    <n v="4.3478260869565223E-2"/>
    <n v="3273"/>
    <x v="35"/>
    <s v="YawUntwistCCW: Code__,_______°"/>
    <s v="Breakdown"/>
    <d v="1899-12-30T09:49:00"/>
    <d v="1899-12-30T09:49:00"/>
    <d v="1899-12-30T10:13:00"/>
    <d v="1899-12-30T00:00:00"/>
    <n v="0.39999999999999991"/>
    <n v="0.39999999999999991"/>
    <s v="Turbine self cable Twist release"/>
    <s v="Close"/>
    <n v="1.7391304347826084E-2"/>
    <m/>
    <m/>
    <m/>
  </r>
  <r>
    <n v="1354"/>
    <n v="2024"/>
    <n v="2024"/>
    <s v="Year_1"/>
    <d v="2024-03-22T00:00:00"/>
    <s v="KUD08"/>
    <s v="O2R3"/>
    <s v="JK"/>
    <n v="4.3478260869565223E-2"/>
    <n v="3272"/>
    <x v="143"/>
    <s v="YawUntwistCW: Code__,_______°"/>
    <s v="Breakdown"/>
    <d v="1899-12-30T15:01:00"/>
    <d v="1899-12-30T15:01:00"/>
    <d v="1899-12-30T15:23:00"/>
    <d v="1899-12-30T00:00:00"/>
    <n v="0.36666666666666536"/>
    <n v="0.36666666666666536"/>
    <s v="Turbine self cable Twist release"/>
    <s v="Close"/>
    <n v="1.594202898550719E-2"/>
    <m/>
    <m/>
    <m/>
  </r>
  <r>
    <n v="1355"/>
    <n v="2024"/>
    <n v="2024"/>
    <s v="Year_1"/>
    <d v="2024-03-22T00:00:00"/>
    <s v="KUD13"/>
    <s v="O2R1"/>
    <s v="KSIPL"/>
    <n v="4.3478260869565223E-2"/>
    <n v="3273"/>
    <x v="35"/>
    <s v="YawUntwistCCW: Code__,_______°"/>
    <s v="Breakdown"/>
    <d v="1899-12-30T10:08:00"/>
    <d v="1899-12-30T10:08:00"/>
    <d v="1899-12-30T10:30:00"/>
    <d v="1899-12-30T00:00:00"/>
    <n v="0.3666666666666667"/>
    <n v="0.3666666666666667"/>
    <s v="Turbine self cable Twist release"/>
    <s v="Close"/>
    <n v="1.5942028985507249E-2"/>
    <m/>
    <m/>
    <m/>
  </r>
  <r>
    <n v="1356"/>
    <n v="2024"/>
    <n v="2024"/>
    <s v="Year_1"/>
    <d v="2024-03-22T00:00:00"/>
    <s v="KUD20"/>
    <s v="O2R1"/>
    <s v="KSIPL"/>
    <n v="4.3478260869565223E-2"/>
    <n v="3273"/>
    <x v="35"/>
    <s v="YawUntwistCCW: Code__,_______°"/>
    <s v="Breakdown"/>
    <d v="1899-12-30T15:43:00"/>
    <d v="1899-12-30T15:43:00"/>
    <d v="1899-12-30T16:08:00"/>
    <d v="1899-12-30T00:00:00"/>
    <n v="0.41666666666666519"/>
    <n v="0.41666666666666519"/>
    <s v="Turbine self cable Twist release"/>
    <s v="Close"/>
    <n v="1.8115942028985445E-2"/>
    <m/>
    <m/>
    <m/>
  </r>
  <r>
    <n v="1357"/>
    <n v="2024"/>
    <n v="2024"/>
    <s v="Year_1"/>
    <d v="2024-03-22T00:00:00"/>
    <s v="KUD04"/>
    <s v="O2R3"/>
    <s v="JK"/>
    <n v="4.3478260869565223E-2"/>
    <n v="900"/>
    <x v="100"/>
    <s v="Pause pressed on keyboard"/>
    <s v="Manual Stop"/>
    <d v="1899-12-30T09:20:00"/>
    <d v="1899-12-30T09:20:00"/>
    <d v="1899-12-30T16:55:00"/>
    <d v="1899-12-30T00:00:00"/>
    <n v="7.5833333333333339"/>
    <n v="7.5833333333333339"/>
    <s v="1 Years C Service Day1 work"/>
    <s v="Close"/>
    <n v="0.32971014492753631"/>
    <m/>
    <m/>
    <m/>
  </r>
  <r>
    <n v="1358"/>
    <n v="2024"/>
    <n v="2024"/>
    <s v="Year_1"/>
    <d v="2024-03-22T00:00:00"/>
    <s v="KUD05"/>
    <s v="O2R3"/>
    <s v="JK"/>
    <n v="4.3478260869565223E-2"/>
    <n v="3209"/>
    <x v="101"/>
    <s v="YawSignals Invalid"/>
    <s v="Breakdown"/>
    <d v="1899-12-30T13:39:00"/>
    <d v="1899-12-30T13:39:00"/>
    <d v="1899-12-30T13:49:00"/>
    <d v="1899-12-30T00:00:00"/>
    <n v="0.16666666666666607"/>
    <n v="0.16666666666666607"/>
    <s v="Remote reset done"/>
    <s v="Close"/>
    <n v="7.2463768115941778E-3"/>
    <m/>
    <m/>
    <m/>
  </r>
  <r>
    <n v="1359"/>
    <n v="2024"/>
    <n v="2024"/>
    <s v="Year_1"/>
    <d v="2024-03-22T00:00:00"/>
    <s v="KUD05"/>
    <s v="O2R3"/>
    <s v="JK"/>
    <n v="4.3478260869565223E-2"/>
    <n v="3273"/>
    <x v="35"/>
    <s v="YawUntwistCCW: Code__,_______°"/>
    <s v="Breakdown"/>
    <d v="1899-12-30T13:28:00"/>
    <d v="1899-12-30T13:28:00"/>
    <d v="1899-12-30T13:48:00"/>
    <d v="1899-12-30T00:00:00"/>
    <n v="0.33333333333333481"/>
    <n v="0.33333333333333481"/>
    <s v="Turbine self cable Twist release"/>
    <s v="Close"/>
    <n v="1.4492753623188472E-2"/>
    <m/>
    <m/>
    <m/>
  </r>
  <r>
    <n v="1360"/>
    <n v="2024"/>
    <n v="2024"/>
    <s v="Year_1"/>
    <d v="2024-03-22T00:00:00"/>
    <s v="KUD05"/>
    <s v="O2R3"/>
    <s v="JK"/>
    <n v="4.3478260869565223E-2"/>
    <n v="6284"/>
    <x v="159"/>
    <s v="EMC valve test active"/>
    <s v="Breakdown"/>
    <d v="1899-12-30T13:29:00"/>
    <d v="1899-12-30T13:29:00"/>
    <d v="1899-12-30T13:30:00"/>
    <d v="1899-12-30T00:00:00"/>
    <n v="1.6666666666666607E-2"/>
    <n v="1.6666666666666607E-2"/>
    <s v="Auto reset"/>
    <s v="Close"/>
    <n v="7.246376811594178E-4"/>
    <m/>
    <m/>
    <m/>
  </r>
  <r>
    <n v="1361"/>
    <n v="2024"/>
    <n v="2024"/>
    <s v="Year_1"/>
    <d v="2024-03-22T00:00:00"/>
    <s v="KUD07"/>
    <s v="O2R3"/>
    <s v="JK"/>
    <n v="4.3478260869565223E-2"/>
    <n v="3273"/>
    <x v="35"/>
    <s v="YawUntwistCCW: Code__,_______°"/>
    <s v="Breakdown"/>
    <d v="1899-12-30T09:44:00"/>
    <d v="1899-12-30T09:44:00"/>
    <d v="1899-12-30T10:07:00"/>
    <d v="1899-12-30T00:00:00"/>
    <n v="0.38333333333333464"/>
    <n v="0.38333333333333464"/>
    <s v="Turbine self cable Twist release"/>
    <s v="Close"/>
    <n v="1.6666666666666725E-2"/>
    <m/>
    <m/>
    <m/>
  </r>
  <r>
    <n v="1362"/>
    <n v="2024"/>
    <n v="2024"/>
    <s v="Year_1"/>
    <d v="2024-03-22T00:00:00"/>
    <s v="KUD09"/>
    <s v="O2R3"/>
    <s v="JK"/>
    <n v="4.3478260869565223E-2"/>
    <n v="3272"/>
    <x v="143"/>
    <s v="YawUntwistCW: Code__,_______°"/>
    <s v="Breakdown"/>
    <d v="1899-12-30T11:30:00"/>
    <d v="1899-12-30T11:30:00"/>
    <d v="1899-12-30T12:02:00"/>
    <d v="1899-12-30T00:00:00"/>
    <n v="0.53333333333333277"/>
    <n v="0.53333333333333277"/>
    <s v="Turbine self cable Twist release"/>
    <s v="Close"/>
    <n v="2.3188405797101429E-2"/>
    <m/>
    <m/>
    <m/>
  </r>
  <r>
    <n v="1363"/>
    <n v="2024"/>
    <n v="2024"/>
    <s v="Year_1"/>
    <d v="2024-03-22T00:00:00"/>
    <s v="KUD09"/>
    <s v="O2R3"/>
    <s v="JK"/>
    <n v="4.3478260869565223E-2"/>
    <n v="6284"/>
    <x v="159"/>
    <s v="EMC valve test active"/>
    <s v="Breakdown"/>
    <d v="1899-12-30T11:31:00"/>
    <d v="1899-12-30T11:31:00"/>
    <d v="1899-12-30T11:33:00"/>
    <d v="1899-12-30T00:00:00"/>
    <n v="3.3333333333333215E-2"/>
    <n v="3.3333333333333215E-2"/>
    <s v="Auto reset"/>
    <s v="Close"/>
    <n v="1.4492753623188356E-3"/>
    <m/>
    <m/>
    <m/>
  </r>
  <r>
    <n v="1364"/>
    <n v="2024"/>
    <n v="2024"/>
    <s v="Year_1"/>
    <d v="2024-03-22T00:00:00"/>
    <s v="KUD18"/>
    <s v="O2R4"/>
    <s v="SGDCIPL"/>
    <n v="4.3478260869565223E-2"/>
    <n v="3633"/>
    <x v="21"/>
    <s v="Yaw System Stopped"/>
    <s v="Breakdown"/>
    <d v="1899-12-30T13:37:00"/>
    <d v="1899-12-30T13:37:00"/>
    <d v="1899-12-30T13:38:00"/>
    <d v="1899-12-30T00:00:00"/>
    <n v="1.6666666666666607E-2"/>
    <n v="1.6666666666666607E-2"/>
    <s v="Auto reset"/>
    <s v="Close"/>
    <n v="7.246376811594178E-4"/>
    <m/>
    <m/>
    <m/>
  </r>
  <r>
    <n v="1365"/>
    <n v="2024"/>
    <n v="2024"/>
    <s v="Year_1"/>
    <d v="2024-03-22T00:00:00"/>
    <s v="KUD18"/>
    <s v="O2R4"/>
    <s v="SGDCIPL"/>
    <n v="4.3478260869565223E-2"/>
    <n v="3273"/>
    <x v="35"/>
    <s v="YawUntwistCCW: Code__,_______°"/>
    <s v="Breakdown"/>
    <d v="1899-12-30T13:57:00"/>
    <d v="1899-12-30T13:57:00"/>
    <d v="1899-12-30T14:17:00"/>
    <d v="1899-12-30T00:00:00"/>
    <n v="0.33333333333333481"/>
    <n v="0.33333333333333481"/>
    <s v="Turbine self cable Twist release"/>
    <s v="Close"/>
    <n v="1.4492753623188472E-2"/>
    <m/>
    <m/>
    <m/>
  </r>
  <r>
    <n v="1366"/>
    <n v="2024"/>
    <n v="2024"/>
    <s v="Year_1"/>
    <d v="2024-03-22T00:00:00"/>
    <s v="KUD22"/>
    <s v="O2R3"/>
    <s v="JK"/>
    <n v="4.3478260869565223E-2"/>
    <n v="3209"/>
    <x v="101"/>
    <s v="YawSignals Invalid"/>
    <s v="Breakdown"/>
    <d v="1899-12-30T01:43:00"/>
    <d v="1899-12-30T01:43:00"/>
    <d v="1899-12-30T01:45:00"/>
    <d v="1899-12-30T00:00:00"/>
    <n v="3.3333333333333215E-2"/>
    <n v="3.3333333333333215E-2"/>
    <s v="Auto reset"/>
    <s v="Close"/>
    <n v="1.4492753623188356E-3"/>
    <m/>
    <m/>
    <m/>
  </r>
  <r>
    <n v="1367"/>
    <n v="2024"/>
    <n v="2024"/>
    <s v="Year_1"/>
    <d v="2024-03-22T00:00:00"/>
    <s v="KUD22"/>
    <s v="O2R3"/>
    <s v="JK"/>
    <n v="4.3478260869565223E-2"/>
    <n v="3273"/>
    <x v="35"/>
    <s v="YawUntwistCCW: Code__,_______°"/>
    <s v="Breakdown"/>
    <d v="1899-12-30T08:22:00"/>
    <d v="1899-12-30T08:22:00"/>
    <d v="1899-12-30T08:42:00"/>
    <d v="1899-12-30T00:00:00"/>
    <n v="0.33333333333333215"/>
    <n v="0.33333333333333215"/>
    <s v="Turbine self cable Twist release"/>
    <s v="Close"/>
    <n v="1.4492753623188356E-2"/>
    <m/>
    <m/>
    <m/>
  </r>
  <r>
    <n v="1368"/>
    <n v="2024"/>
    <n v="2024"/>
    <s v="Year_1"/>
    <d v="2024-03-22T00:00:00"/>
    <s v="KUD22"/>
    <s v="O2R3"/>
    <s v="JK"/>
    <n v="4.3478260869565223E-2"/>
    <n v="5196"/>
    <x v="114"/>
    <s v="Prop Valve B Status Fault"/>
    <s v="Breakdown"/>
    <d v="1899-12-30T08:47:00"/>
    <d v="1899-12-30T08:47:00"/>
    <d v="1899-12-30T08:51:00"/>
    <d v="1899-12-30T00:00:00"/>
    <n v="6.666666666666643E-2"/>
    <n v="6.666666666666643E-2"/>
    <s v="Auto reset"/>
    <s v="Close"/>
    <n v="2.8985507246376712E-3"/>
    <m/>
    <m/>
    <m/>
  </r>
  <r>
    <n v="1369"/>
    <n v="2024"/>
    <n v="2024"/>
    <s v="Year_1"/>
    <d v="2024-03-23T00:00:00"/>
    <s v="KUD12"/>
    <s v="O2R1"/>
    <s v="KSIPL"/>
    <n v="4.3478260869565223E-2"/>
    <n v="3273"/>
    <x v="35"/>
    <s v="YawUntwistCCW: Code__,_______°"/>
    <s v="Breakdown"/>
    <d v="1899-12-30T13:47:00"/>
    <d v="1899-12-30T13:47:00"/>
    <d v="1899-12-30T14:17:00"/>
    <d v="1899-12-30T00:00:00"/>
    <n v="0.50000000000000089"/>
    <n v="0.50000000000000089"/>
    <s v="Turbine self cable Twist release"/>
    <s v="Close"/>
    <n v="2.173913043478265E-2"/>
    <m/>
    <m/>
    <m/>
  </r>
  <r>
    <n v="1370"/>
    <n v="2024"/>
    <n v="2024"/>
    <s v="Year_1"/>
    <d v="2024-03-23T00:00:00"/>
    <s v="KUD04"/>
    <s v="O2R3"/>
    <s v="JK"/>
    <n v="4.3478260869565223E-2"/>
    <n v="900"/>
    <x v="100"/>
    <s v="Pause pressed on keyboard"/>
    <s v="Manual Stop"/>
    <d v="1899-12-30T09:29:00"/>
    <d v="1899-12-30T09:29:00"/>
    <d v="1899-12-30T15:30:00"/>
    <d v="1899-12-30T00:00:00"/>
    <n v="6.0166666666666675"/>
    <n v="6.0166666666666675"/>
    <s v="1 Years C Service Day2 work done"/>
    <s v="Close"/>
    <n v="0.26159420289855079"/>
    <m/>
    <m/>
    <m/>
  </r>
  <r>
    <n v="1371"/>
    <n v="2024"/>
    <n v="2024"/>
    <s v="Year_1"/>
    <d v="2024-03-24T00:00:00"/>
    <s v="KUD03"/>
    <s v="O2R1"/>
    <s v="KSIPL"/>
    <n v="4.3478260869565223E-2"/>
    <n v="3273"/>
    <x v="35"/>
    <s v="YawUntwistCCW: Code__,_______°"/>
    <s v="Breakdown"/>
    <d v="1899-12-30T07:38:00"/>
    <d v="1899-12-30T07:38:00"/>
    <d v="1899-12-30T07:59:00"/>
    <d v="1899-12-30T00:00:00"/>
    <n v="0.35000000000000009"/>
    <n v="0.35000000000000009"/>
    <s v="Turbine self cable Twist release"/>
    <s v="Close"/>
    <n v="1.5217391304347832E-2"/>
    <m/>
    <m/>
    <m/>
  </r>
  <r>
    <n v="1372"/>
    <n v="2024"/>
    <n v="2024"/>
    <s v="Year_1"/>
    <d v="2024-03-25T00:00:00"/>
    <s v="KUD01"/>
    <s v="O2R1"/>
    <s v="KSIPL"/>
    <n v="4.3478260869565223E-2"/>
    <n v="453"/>
    <x v="136"/>
    <s v="Ext. High I sum Totinv. ChanX"/>
    <s v="Breakdown"/>
    <d v="1899-12-30T01:04:00"/>
    <d v="1899-12-30T01:04:00"/>
    <d v="1899-12-30T01:06:00"/>
    <d v="1899-12-30T00:00:00"/>
    <n v="3.3333333333333381E-2"/>
    <n v="3.3333333333333381E-2"/>
    <s v="Auto reset"/>
    <s v="Close"/>
    <n v="1.4492753623188428E-3"/>
    <m/>
    <m/>
    <m/>
  </r>
  <r>
    <n v="1373"/>
    <n v="2024"/>
    <n v="2024"/>
    <s v="Year_1"/>
    <d v="2024-03-25T00:00:00"/>
    <s v="KUD01"/>
    <s v="O2R1"/>
    <s v="KSIPL"/>
    <n v="4.3478260869565223E-2"/>
    <n v="6293"/>
    <x v="32"/>
    <s v="Pitch valves test active"/>
    <s v="Breakdown"/>
    <d v="1899-12-30T01:06:00"/>
    <d v="1899-12-30T01:06:00"/>
    <d v="1899-12-30T01:08:00"/>
    <d v="1899-12-30T00:00:00"/>
    <n v="3.3333333333333215E-2"/>
    <n v="3.3333333333333215E-2"/>
    <s v="Auto reset"/>
    <s v="Close"/>
    <n v="1.4492753623188356E-3"/>
    <m/>
    <m/>
    <m/>
  </r>
  <r>
    <n v="1374"/>
    <n v="2024"/>
    <n v="2024"/>
    <s v="Year_1"/>
    <d v="2024-03-25T00:00:00"/>
    <s v="KUD04"/>
    <s v="O2R3"/>
    <s v="JK"/>
    <n v="4.3478260869565223E-2"/>
    <n v="232"/>
    <x v="139"/>
    <s v="WatchdogReboot"/>
    <s v="Breakdown"/>
    <d v="1899-12-30T21:01:00"/>
    <d v="1899-12-30T21:01:00"/>
    <d v="1899-12-30T21:20:00"/>
    <d v="1899-12-30T00:00:00"/>
    <n v="0.31666666666666554"/>
    <n v="0.31666666666666554"/>
    <s v="Auto reset"/>
    <s v="Close"/>
    <n v="1.3768115942028938E-2"/>
    <m/>
    <m/>
    <m/>
  </r>
  <r>
    <n v="1375"/>
    <n v="2024"/>
    <n v="2024"/>
    <s v="Year_1"/>
    <d v="2024-03-25T00:00:00"/>
    <s v="KUD05"/>
    <s v="O2R3"/>
    <s v="JK"/>
    <n v="4.3478260869565223E-2"/>
    <n v="900"/>
    <x v="100"/>
    <s v="Pause pressed on keyboard"/>
    <s v="ROW"/>
    <d v="1899-12-30T09:18:00"/>
    <d v="1899-12-30T09:18:00"/>
    <d v="1899-12-30T09:50:00"/>
    <d v="1899-12-30T00:00:00"/>
    <n v="0.5333333333333341"/>
    <n v="0.5333333333333341"/>
    <s v="Work on hold due to ROW"/>
    <s v="Close"/>
    <n v="0"/>
    <m/>
    <m/>
    <m/>
  </r>
  <r>
    <n v="1376"/>
    <n v="2024"/>
    <n v="2024"/>
    <s v="Year_1"/>
    <d v="2024-03-25T00:00:00"/>
    <s v="KUD05"/>
    <s v="O2R3"/>
    <s v="JK"/>
    <n v="4.3478260869565223E-2"/>
    <n v="900"/>
    <x v="100"/>
    <s v="Pause pressed on keyboard"/>
    <s v="Manual Stop"/>
    <d v="1899-12-30T09:50:00"/>
    <d v="1899-12-30T09:50:00"/>
    <d v="1899-12-30T16:34:00"/>
    <d v="1899-12-30T00:00:00"/>
    <n v="6.7333333333333325"/>
    <n v="6.7333333333333325"/>
    <s v="Blade inspection, N2 refilling and transformer inspection done"/>
    <s v="Close"/>
    <n v="0.29275362318840581"/>
    <m/>
    <m/>
    <m/>
  </r>
  <r>
    <n v="1377"/>
    <n v="2024"/>
    <n v="2024"/>
    <s v="Year_1"/>
    <d v="2024-03-25T00:00:00"/>
    <s v="KUD17"/>
    <s v="O2R2"/>
    <s v="SIL"/>
    <n v="4.3478260869565223E-2"/>
    <n v="900"/>
    <x v="100"/>
    <s v="Pause pressed on keyboard"/>
    <s v="Manual Stop"/>
    <d v="1899-12-30T16:10:00"/>
    <d v="1899-12-30T16:10:00"/>
    <d v="1899-12-30T17:56:00"/>
    <d v="1899-12-30T00:00:00"/>
    <n v="1.7666666666666657"/>
    <n v="1.7666666666666657"/>
    <s v="Genarator nde bearing extra grease removed and grease flow from auto greaser checked found ok"/>
    <s v="Close"/>
    <n v="7.6811594202898514E-2"/>
    <m/>
    <m/>
    <m/>
  </r>
  <r>
    <n v="1378"/>
    <n v="2024"/>
    <n v="2024"/>
    <s v="Year_1"/>
    <d v="2024-03-26T00:00:00"/>
    <s v="KUD19"/>
    <s v="O2R1"/>
    <s v="KSIPL"/>
    <n v="4.3478260869565223E-2"/>
    <n v="2676"/>
    <x v="124"/>
    <s v="UPS Error"/>
    <s v="Breakdown"/>
    <d v="1899-12-30T18:31:00"/>
    <d v="1899-12-30T18:31:00"/>
    <d v="1899-12-30T18:52:00"/>
    <d v="1899-12-30T00:00:00"/>
    <n v="0.35000000000000142"/>
    <n v="0.35000000000000142"/>
    <s v="UPS feedback was missing turned off the ups and again switched ON and started the turbine"/>
    <s v="Close"/>
    <n v="1.5217391304347889E-2"/>
    <m/>
    <m/>
    <m/>
  </r>
  <r>
    <n v="1379"/>
    <n v="2024"/>
    <n v="2024"/>
    <s v="Year_1"/>
    <d v="2024-03-26T00:00:00"/>
    <s v="KUD20"/>
    <s v="O2R1"/>
    <s v="KSIPL"/>
    <n v="4.3478260869565223E-2"/>
    <n v="4235"/>
    <x v="93"/>
    <s v="Gen Stator CB Open"/>
    <s v="Breakdown"/>
    <d v="1899-12-30T18:32:00"/>
    <d v="1899-12-30T18:32:00"/>
    <d v="1899-12-30T18:33:00"/>
    <d v="1899-12-30T00:00:00"/>
    <n v="1.6666666666666607E-2"/>
    <n v="1.6666666666666607E-2"/>
    <s v="Auto reset"/>
    <s v="Close"/>
    <n v="7.246376811594178E-4"/>
    <m/>
    <m/>
    <m/>
  </r>
  <r>
    <n v="1380"/>
    <n v="2024"/>
    <n v="2024"/>
    <s v="Year_1"/>
    <d v="2024-03-26T00:00:00"/>
    <s v="KUD20"/>
    <s v="O2R1"/>
    <s v="KSIPL"/>
    <n v="4.3478260869565223E-2"/>
    <n v="6293"/>
    <x v="32"/>
    <s v="Pitch valves test active"/>
    <s v="Breakdown"/>
    <d v="1899-12-30T18:34:00"/>
    <d v="1899-12-30T18:34:00"/>
    <d v="1899-12-30T18:36:00"/>
    <d v="1899-12-30T00:00:00"/>
    <n v="3.3333333333333215E-2"/>
    <n v="3.3333333333333215E-2"/>
    <s v="Auto reset"/>
    <s v="Close"/>
    <n v="1.4492753623188356E-3"/>
    <m/>
    <m/>
    <m/>
  </r>
  <r>
    <n v="1381"/>
    <n v="2024"/>
    <n v="2024"/>
    <s v="Year_1"/>
    <d v="2024-03-26T00:00:00"/>
    <s v="KUD20"/>
    <s v="O2R1"/>
    <s v="KSIPL"/>
    <n v="4.3478260869565223E-2"/>
    <n v="6290"/>
    <x v="91"/>
    <s v="Pitch accu. test active"/>
    <s v="Breakdown"/>
    <d v="1899-12-30T18:36:00"/>
    <d v="1899-12-30T18:36:00"/>
    <d v="1899-12-30T18:40:00"/>
    <d v="1899-12-30T00:00:00"/>
    <n v="6.666666666666643E-2"/>
    <n v="6.666666666666643E-2"/>
    <s v="Auto reset"/>
    <s v="Close"/>
    <n v="2.8985507246376712E-3"/>
    <m/>
    <m/>
    <m/>
  </r>
  <r>
    <n v="1382"/>
    <n v="2024"/>
    <n v="2024"/>
    <s v="Year_1"/>
    <d v="2024-03-26T00:00:00"/>
    <s v="KUD20"/>
    <s v="O2R1"/>
    <s v="KSIPL"/>
    <n v="4.3478260869565223E-2"/>
    <n v="6290"/>
    <x v="91"/>
    <s v="Pitch accu. test active"/>
    <s v="Breakdown"/>
    <d v="1899-12-30T18:40:00"/>
    <d v="1899-12-30T18:40:00"/>
    <d v="1899-12-30T18:42:00"/>
    <d v="1899-12-30T00:00:00"/>
    <n v="3.3333333333333215E-2"/>
    <n v="3.3333333333333215E-2"/>
    <s v="Auto reset"/>
    <s v="Close"/>
    <n v="1.4492753623188356E-3"/>
    <m/>
    <m/>
    <m/>
  </r>
  <r>
    <n v="1383"/>
    <n v="2024"/>
    <n v="2024"/>
    <s v="Year_1"/>
    <d v="2024-03-26T00:00:00"/>
    <s v="KUD05"/>
    <s v="O2R3"/>
    <s v="JK"/>
    <n v="4.3478260869565223E-2"/>
    <n v="3742"/>
    <x v="115"/>
    <s v="TripHVButtonActivated 1"/>
    <s v="Breakdown"/>
    <d v="1899-12-30T18:36:00"/>
    <d v="1899-12-30T18:36:00"/>
    <d v="1899-12-30T18:40:00"/>
    <d v="1899-12-30T00:00:00"/>
    <n v="6.666666666666643E-2"/>
    <n v="6.666666666666643E-2"/>
    <s v="Manual reset done"/>
    <s v="Close"/>
    <n v="2.8985507246376712E-3"/>
    <m/>
    <m/>
    <m/>
  </r>
  <r>
    <n v="1384"/>
    <n v="2024"/>
    <n v="2024"/>
    <s v="Year_1"/>
    <d v="2024-03-26T00:00:00"/>
    <s v="KUD16"/>
    <s v="O2R2"/>
    <s v="SIL"/>
    <n v="4.3478260869565223E-2"/>
    <n v="707"/>
    <x v="121"/>
    <s v="Ch hardware error C0"/>
    <s v="Breakdown"/>
    <d v="1899-12-30T18:34:00"/>
    <d v="1899-12-30T18:34:00"/>
    <d v="1899-12-30T18:36:00"/>
    <d v="1899-12-30T00:00:00"/>
    <n v="3.3333333333333215E-2"/>
    <n v="3.3333333333333215E-2"/>
    <s v="Auto reset"/>
    <s v="Close"/>
    <n v="1.4492753623188356E-3"/>
    <m/>
    <m/>
    <m/>
  </r>
  <r>
    <n v="1385"/>
    <n v="2024"/>
    <n v="2024"/>
    <s v="Year_1"/>
    <d v="2024-03-26T00:00:00"/>
    <s v="KUD16"/>
    <s v="O2R2"/>
    <s v="SIL"/>
    <n v="4.3478260869565223E-2"/>
    <n v="4235"/>
    <x v="93"/>
    <s v="Gen Stator CB Open"/>
    <s v="Breakdown"/>
    <d v="1899-12-30T18:38:00"/>
    <d v="1899-12-30T18:38:00"/>
    <d v="1899-12-30T18:40:00"/>
    <d v="1899-12-30T00:00:00"/>
    <n v="3.3333333333333215E-2"/>
    <n v="3.3333333333333215E-2"/>
    <s v="Auto reset"/>
    <s v="Close"/>
    <n v="1.4492753623188356E-3"/>
    <m/>
    <m/>
    <m/>
  </r>
  <r>
    <n v="1386"/>
    <n v="2024"/>
    <n v="2024"/>
    <s v="Year_1"/>
    <d v="2024-03-26T00:00:00"/>
    <s v="KUD16"/>
    <s v="O2R2"/>
    <s v="SIL"/>
    <n v="4.3478260869565223E-2"/>
    <n v="6293"/>
    <x v="32"/>
    <s v="Pitch valves test active"/>
    <s v="Breakdown"/>
    <d v="1899-12-30T18:40:00"/>
    <d v="1899-12-30T18:40:00"/>
    <d v="1899-12-30T18:42:00"/>
    <d v="1899-12-30T00:00:00"/>
    <n v="3.3333333333333215E-2"/>
    <n v="3.3333333333333215E-2"/>
    <s v="Auto reset"/>
    <s v="Close"/>
    <n v="1.4492753623188356E-3"/>
    <m/>
    <m/>
    <m/>
  </r>
  <r>
    <n v="1387"/>
    <n v="2024"/>
    <n v="2024"/>
    <s v="Year_1"/>
    <d v="2024-03-26T00:00:00"/>
    <s v="KUD16"/>
    <s v="O2R2"/>
    <s v="SIL"/>
    <n v="4.3478260869565223E-2"/>
    <n v="6290"/>
    <x v="91"/>
    <s v="Pitch accu. test active"/>
    <s v="Breakdown"/>
    <d v="1899-12-30T18:42:00"/>
    <d v="1899-12-30T18:42:00"/>
    <d v="1899-12-30T18:46:00"/>
    <d v="1899-12-30T00:00:00"/>
    <n v="6.666666666666643E-2"/>
    <n v="6.666666666666643E-2"/>
    <s v="Auto reset"/>
    <s v="Close"/>
    <n v="2.8985507246376712E-3"/>
    <m/>
    <m/>
    <m/>
  </r>
  <r>
    <n v="1388"/>
    <n v="2024"/>
    <n v="2024"/>
    <s v="Year_1"/>
    <d v="2024-03-27T00:00:00"/>
    <s v="KUD12"/>
    <s v="O2R1"/>
    <s v="KSIPL"/>
    <n v="4.3478260869565223E-2"/>
    <n v="4560"/>
    <x v="161"/>
    <s v="BladeCEdgePeakLoad: ___.__ kNm"/>
    <s v="Breakdown"/>
    <d v="1899-12-30T17:18:00"/>
    <d v="1899-12-30T17:18:00"/>
    <d v="1899-12-30T18:38:00"/>
    <d v="1899-12-30T00:00:00"/>
    <n v="1.3333333333333339"/>
    <n v="1.3333333333333339"/>
    <s v="Local reset and system blade load calibration done"/>
    <s v="Close"/>
    <n v="5.7971014492753659E-2"/>
    <m/>
    <m/>
    <m/>
  </r>
  <r>
    <n v="1389"/>
    <n v="2024"/>
    <n v="2024"/>
    <s v="Year_1"/>
    <d v="2024-03-27T00:00:00"/>
    <s v="KUD05"/>
    <s v="O2R3"/>
    <s v="JK"/>
    <n v="4.3478260869565223E-2"/>
    <n v="900"/>
    <x v="100"/>
    <s v="Pause pressed on keyboard"/>
    <s v="Manual Stop"/>
    <d v="1899-12-30T09:30:00"/>
    <d v="1899-12-30T09:30:00"/>
    <d v="1899-12-30T16:11:00"/>
    <d v="1899-12-30T00:00:00"/>
    <n v="6.6833333333333353"/>
    <n v="6.6833333333333353"/>
    <s v="1 Year scheduled service day2 work done"/>
    <s v="Close"/>
    <n v="0.29057971014492767"/>
    <m/>
    <m/>
    <m/>
  </r>
  <r>
    <n v="1390"/>
    <n v="2024"/>
    <n v="2024"/>
    <s v="Year_1"/>
    <d v="2024-03-27T00:00:00"/>
    <s v="KUD18"/>
    <s v="O2R4"/>
    <s v="SGDCIPL"/>
    <n v="4.3478260869565223E-2"/>
    <n v="3633"/>
    <x v="21"/>
    <s v="Yaw System Stopped"/>
    <s v="Breakdown"/>
    <d v="1899-12-30T14:53:00"/>
    <d v="1899-12-30T14:53:00"/>
    <d v="1899-12-30T15:12:00"/>
    <d v="1899-12-30T00:00:00"/>
    <n v="0.31666666666666554"/>
    <n v="0.31666666666666554"/>
    <s v="Remote reset"/>
    <s v="Close"/>
    <n v="1.3768115942028938E-2"/>
    <m/>
    <m/>
    <m/>
  </r>
  <r>
    <n v="1391"/>
    <n v="2024"/>
    <n v="2024"/>
    <s v="Year_1"/>
    <d v="2024-03-28T00:00:00"/>
    <s v="KUD14"/>
    <s v="O2R1"/>
    <s v="KSIPL"/>
    <n v="4.3478260869565223E-2"/>
    <n v="327"/>
    <x v="162"/>
    <s v="Grid inv. HW error L_"/>
    <s v="Breakdown"/>
    <d v="1899-12-30T14:15:00"/>
    <d v="1899-12-30T14:15:00"/>
    <d v="1899-12-30T19:40:00"/>
    <d v="1899-12-30T00:00:00"/>
    <n v="5.4166666666666687"/>
    <n v="5.4166666666666687"/>
    <s v="Observed rotor invertor L2 IGBT failure and replaced the same with new one"/>
    <s v="Close"/>
    <n v="0.23550724637681172"/>
    <m/>
    <m/>
    <m/>
  </r>
  <r>
    <n v="1392"/>
    <n v="2024"/>
    <n v="2024"/>
    <s v="Year_1"/>
    <d v="2024-03-28T00:00:00"/>
    <s v="KUD01"/>
    <s v="O2R1"/>
    <s v="KSIPL"/>
    <n v="4.3478260869565223E-2"/>
    <n v="900"/>
    <x v="100"/>
    <s v="Pause pressed on keyboard"/>
    <s v="Manual Stop"/>
    <d v="1899-12-30T09:45:00"/>
    <d v="1899-12-30T09:45:00"/>
    <d v="1899-12-30T17:39:00"/>
    <d v="1899-12-30T00:00:00"/>
    <n v="7.8999999999999986"/>
    <n v="7.8999999999999986"/>
    <s v="1 Year scheduled service day1 work done"/>
    <s v="Close"/>
    <n v="0.34347826086956518"/>
    <m/>
    <m/>
    <m/>
  </r>
  <r>
    <n v="1393"/>
    <n v="2024"/>
    <n v="2024"/>
    <s v="Year_1"/>
    <d v="2024-03-29T00:00:00"/>
    <s v="KUD01"/>
    <s v="O2R1"/>
    <s v="KSIPL"/>
    <n v="4.3478260869565223E-2"/>
    <n v="453"/>
    <x v="136"/>
    <s v="Ext. High I sum Rotinv.ChanX"/>
    <s v="Breakdown"/>
    <d v="1899-12-30T11:59:00"/>
    <d v="1899-12-30T11:59:00"/>
    <d v="1899-12-30T12:00:00"/>
    <d v="1899-12-30T00:00:00"/>
    <n v="1.666666666666794E-2"/>
    <n v="1.666666666666794E-2"/>
    <s v="Auto reset"/>
    <s v="Close"/>
    <n v="7.246376811594757E-4"/>
    <m/>
    <m/>
    <m/>
  </r>
  <r>
    <n v="1394"/>
    <n v="2024"/>
    <n v="2024"/>
    <s v="Year_1"/>
    <d v="2024-03-29T00:00:00"/>
    <s v="KUD01"/>
    <s v="O2R1"/>
    <s v="KSIPL"/>
    <n v="4.3478260869565223E-2"/>
    <n v="6293"/>
    <x v="32"/>
    <s v="Pitch valves test active"/>
    <s v="Breakdown"/>
    <d v="1899-12-30T12:01:00"/>
    <d v="1899-12-30T12:01:00"/>
    <d v="1899-12-30T12:03:00"/>
    <d v="1899-12-30T00:00:00"/>
    <n v="3.3333333333333215E-2"/>
    <n v="3.3333333333333215E-2"/>
    <s v="Auto reset"/>
    <s v="Close"/>
    <n v="1.4492753623188356E-3"/>
    <m/>
    <m/>
    <m/>
  </r>
  <r>
    <n v="1395"/>
    <n v="2024"/>
    <n v="2024"/>
    <s v="Year_1"/>
    <d v="2024-03-29T00:00:00"/>
    <s v="KUD14"/>
    <s v="O2R1"/>
    <s v="KSIPL"/>
    <n v="4.3478260869565223E-2"/>
    <n v="4235"/>
    <x v="93"/>
    <s v="Gen Stator CB Open"/>
    <s v="Breakdown"/>
    <d v="1899-12-30T12:03:00"/>
    <d v="1899-12-30T12:03:00"/>
    <d v="1899-12-30T12:10:00"/>
    <d v="1899-12-30T00:00:00"/>
    <n v="0.11666666666666625"/>
    <n v="0.11666666666666625"/>
    <s v="Auto reset"/>
    <s v="Close"/>
    <n v="5.0724637681159243E-3"/>
    <m/>
    <m/>
    <m/>
  </r>
  <r>
    <n v="1396"/>
    <n v="2024"/>
    <n v="2024"/>
    <s v="Year_1"/>
    <d v="2024-03-29T00:00:00"/>
    <s v="KUD14"/>
    <s v="O2R1"/>
    <s v="KSIPL"/>
    <n v="4.3478260869565223E-2"/>
    <n v="4617"/>
    <x v="163"/>
    <s v="UDC Discharge Failed"/>
    <s v="Breakdown"/>
    <d v="1899-12-30T11:22:00"/>
    <d v="1899-12-30T11:22:00"/>
    <d v="1899-12-30T11:23:00"/>
    <d v="1899-12-30T00:00:00"/>
    <n v="1.6666666666665275E-2"/>
    <n v="1.6666666666665275E-2"/>
    <s v="Auto reset"/>
    <s v="Close"/>
    <n v="7.2463768115935991E-4"/>
    <m/>
    <m/>
    <m/>
  </r>
  <r>
    <n v="1397"/>
    <n v="2024"/>
    <n v="2024"/>
    <s v="Year_1"/>
    <d v="2024-03-29T00:00:00"/>
    <s v="KUD14"/>
    <s v="O2R1"/>
    <s v="KSIPL"/>
    <n v="4.3478260869565223E-2"/>
    <n v="6293"/>
    <x v="32"/>
    <s v="Pitch valves test active"/>
    <s v="Breakdown"/>
    <d v="1899-12-30T11:24:00"/>
    <d v="1899-12-30T11:24:00"/>
    <d v="1899-12-30T11:26:00"/>
    <d v="1899-12-30T00:00:00"/>
    <n v="3.3333333333333215E-2"/>
    <n v="3.3333333333333215E-2"/>
    <s v="Auto reset"/>
    <s v="Close"/>
    <n v="1.4492753623188356E-3"/>
    <m/>
    <m/>
    <m/>
  </r>
  <r>
    <n v="1398"/>
    <n v="2024"/>
    <n v="2024"/>
    <s v="Year_1"/>
    <d v="2024-03-29T00:00:00"/>
    <s v="KUD14"/>
    <s v="O2R1"/>
    <s v="KSIPL"/>
    <n v="4.3478260869565223E-2"/>
    <n v="6290"/>
    <x v="91"/>
    <s v="Pitch accu. test active"/>
    <s v="Breakdown"/>
    <d v="1899-12-30T11:26:00"/>
    <d v="1899-12-30T11:26:00"/>
    <d v="1899-12-30T11:29:00"/>
    <d v="1899-12-30T00:00:00"/>
    <n v="4.999999999999849E-2"/>
    <n v="4.999999999999849E-2"/>
    <s v="Auto reset"/>
    <s v="Close"/>
    <n v="2.1739130434781954E-3"/>
    <m/>
    <m/>
    <m/>
  </r>
  <r>
    <n v="1399"/>
    <n v="2024"/>
    <n v="2024"/>
    <s v="Year_1"/>
    <d v="2024-03-29T00:00:00"/>
    <s v="KUD14"/>
    <s v="O2R1"/>
    <s v="KSIPL"/>
    <n v="4.3478260869565223E-2"/>
    <n v="4617"/>
    <x v="163"/>
    <s v="UDC Discharge Failed"/>
    <s v="Breakdown"/>
    <d v="1899-12-30T12:06:00"/>
    <d v="1899-12-30T12:06:00"/>
    <d v="1899-12-30T12:07:00"/>
    <d v="1899-12-30T00:00:00"/>
    <n v="1.6666666666666607E-2"/>
    <n v="1.6666666666666607E-2"/>
    <s v="Auto reset"/>
    <s v="Close"/>
    <n v="7.246376811594178E-4"/>
    <m/>
    <m/>
    <m/>
  </r>
  <r>
    <n v="1400"/>
    <n v="2024"/>
    <n v="2024"/>
    <s v="Year_1"/>
    <d v="2024-03-29T00:00:00"/>
    <s v="KUD14"/>
    <s v="O2R1"/>
    <s v="KSIPL"/>
    <n v="4.3478260869565223E-2"/>
    <n v="6293"/>
    <x v="32"/>
    <s v="Pitch valves test active"/>
    <s v="Breakdown"/>
    <d v="1899-12-30T12:08:00"/>
    <d v="1899-12-30T12:08:00"/>
    <d v="1899-12-30T12:11:00"/>
    <d v="1899-12-30T00:00:00"/>
    <n v="4.9999999999999822E-2"/>
    <n v="4.9999999999999822E-2"/>
    <s v="Auto reset"/>
    <s v="Close"/>
    <n v="2.1739130434782535E-3"/>
    <m/>
    <m/>
    <m/>
  </r>
  <r>
    <n v="1401"/>
    <n v="2024"/>
    <n v="2024"/>
    <s v="Year_1"/>
    <d v="2024-03-29T00:00:00"/>
    <s v="KUD14"/>
    <s v="O2R1"/>
    <s v="KSIPL"/>
    <n v="4.3478260869565223E-2"/>
    <n v="4617"/>
    <x v="163"/>
    <s v="UDC Discharge Failed"/>
    <s v="Breakdown"/>
    <d v="1899-12-30T12:49:00"/>
    <d v="1899-12-30T12:49:00"/>
    <d v="1899-12-30T12:50:00"/>
    <d v="1899-12-30T00:00:00"/>
    <n v="1.6666666666666607E-2"/>
    <n v="1.6666666666666607E-2"/>
    <s v="Auto reset"/>
    <s v="Close"/>
    <n v="7.246376811594178E-4"/>
    <m/>
    <m/>
    <m/>
  </r>
  <r>
    <n v="1402"/>
    <n v="2024"/>
    <n v="2024"/>
    <s v="Year_1"/>
    <d v="2024-03-29T00:00:00"/>
    <s v="KUD14"/>
    <s v="O2R1"/>
    <s v="KSIPL"/>
    <n v="4.3478260869565223E-2"/>
    <n v="6293"/>
    <x v="32"/>
    <s v="Pitch valves test active"/>
    <s v="Breakdown"/>
    <d v="1899-12-30T12:51:00"/>
    <d v="1899-12-30T12:51:00"/>
    <d v="1899-12-30T12:54:00"/>
    <d v="1899-12-30T00:00:00"/>
    <n v="4.9999999999999822E-2"/>
    <n v="4.9999999999999822E-2"/>
    <s v="Auto reset"/>
    <s v="Close"/>
    <n v="2.1739130434782535E-3"/>
    <m/>
    <m/>
    <m/>
  </r>
  <r>
    <n v="1403"/>
    <n v="2024"/>
    <n v="2024"/>
    <s v="Year_1"/>
    <d v="2024-03-29T00:00:00"/>
    <s v="KUD14"/>
    <s v="O2R1"/>
    <s v="KSIPL"/>
    <n v="4.3478260869565223E-2"/>
    <n v="4617"/>
    <x v="163"/>
    <s v="UDC Discharge Failed"/>
    <s v="Breakdown"/>
    <d v="1899-12-30T13:46:00"/>
    <d v="1899-12-30T13:46:00"/>
    <d v="1899-12-30T13:47:00"/>
    <d v="1899-12-30T00:00:00"/>
    <n v="1.6666666666663943E-2"/>
    <n v="1.6666666666663943E-2"/>
    <s v="Auto reset"/>
    <s v="Close"/>
    <n v="7.2463768115930201E-4"/>
    <m/>
    <m/>
    <m/>
  </r>
  <r>
    <n v="1404"/>
    <n v="2024"/>
    <n v="2024"/>
    <s v="Year_1"/>
    <d v="2024-03-29T00:00:00"/>
    <s v="KUD14"/>
    <s v="O2R1"/>
    <s v="KSIPL"/>
    <n v="4.3478260869565223E-2"/>
    <n v="6293"/>
    <x v="32"/>
    <s v="Pitch valves test active"/>
    <s v="Breakdown"/>
    <d v="1899-12-30T13:47:00"/>
    <d v="1899-12-30T13:47:00"/>
    <d v="1899-12-30T13:49:00"/>
    <d v="1899-12-30T00:00:00"/>
    <n v="3.3333333333333215E-2"/>
    <n v="3.3333333333333215E-2"/>
    <s v="Auto reset"/>
    <s v="Close"/>
    <n v="1.4492753623188356E-3"/>
    <m/>
    <m/>
    <m/>
  </r>
  <r>
    <n v="1405"/>
    <n v="2024"/>
    <n v="2024"/>
    <s v="Year_1"/>
    <d v="2024-03-29T00:00:00"/>
    <s v="KUD14"/>
    <s v="O2R1"/>
    <s v="KSIPL"/>
    <n v="4.3478260869565223E-2"/>
    <n v="6290"/>
    <x v="91"/>
    <s v="Pitch accu. test active"/>
    <s v="Breakdown"/>
    <d v="1899-12-30T13:52:00"/>
    <d v="1899-12-30T13:52:00"/>
    <d v="1899-12-30T13:54:00"/>
    <d v="1899-12-30T00:00:00"/>
    <n v="3.3333333333333215E-2"/>
    <n v="3.3333333333333215E-2"/>
    <s v="Auto reset"/>
    <s v="Close"/>
    <n v="1.4492753623188356E-3"/>
    <m/>
    <m/>
    <m/>
  </r>
  <r>
    <n v="1406"/>
    <n v="2024"/>
    <n v="2024"/>
    <s v="Year_1"/>
    <d v="2024-03-29T00:00:00"/>
    <s v="KUD14"/>
    <s v="O2R1"/>
    <s v="KSIPL"/>
    <n v="4.3478260869565223E-2"/>
    <n v="4617"/>
    <x v="163"/>
    <s v="UDC Discharge Failed"/>
    <s v="Manual Stop"/>
    <d v="1899-12-30T14:44:00"/>
    <d v="1899-12-30T14:44:00"/>
    <d v="1899-12-30T17:03:00"/>
    <d v="1899-12-30T00:00:00"/>
    <n v="2.3166666666666691"/>
    <n v="2.3166666666666691"/>
    <s v="Grid inverter contactor failure replaced with new one."/>
    <s v="Close"/>
    <n v="0.10072463768115954"/>
    <m/>
    <m/>
    <m/>
  </r>
  <r>
    <n v="1407"/>
    <n v="2024"/>
    <n v="2024"/>
    <s v="Year_1"/>
    <d v="2024-03-29T00:00:00"/>
    <s v="KUD02"/>
    <s v="O2R3"/>
    <s v="JK"/>
    <n v="4.3478260869565223E-2"/>
    <n v="3272"/>
    <x v="143"/>
    <s v="YawUntwistCW: Code__,_______°"/>
    <s v="Breakdown"/>
    <d v="1899-12-30T14:17:00"/>
    <d v="1899-12-30T14:17:00"/>
    <d v="1899-12-30T14:39:00"/>
    <d v="1899-12-30T00:00:00"/>
    <n v="0.36666666666666803"/>
    <n v="0.36666666666666803"/>
    <s v="Auto reset"/>
    <s v="Close"/>
    <n v="1.5942028985507308E-2"/>
    <m/>
    <m/>
    <m/>
  </r>
  <r>
    <n v="1408"/>
    <n v="2024"/>
    <n v="2024"/>
    <s v="Year_1"/>
    <d v="2024-03-30T00:00:00"/>
    <s v="KUD01"/>
    <s v="O2R1"/>
    <s v="KSIPL"/>
    <n v="4.3478260869565223E-2"/>
    <n v="3273"/>
    <x v="35"/>
    <s v="YawUntwistCW: Code__,_______°"/>
    <s v="Breakdown"/>
    <d v="1899-12-30T13:51:00"/>
    <d v="1899-12-30T13:51:00"/>
    <d v="1899-12-30T14:20:00"/>
    <d v="1899-12-30T00:00:00"/>
    <n v="0.48333333333333428"/>
    <n v="0.48333333333333428"/>
    <s v="Auto reset"/>
    <s v="Close"/>
    <n v="2.1014492753623232E-2"/>
    <m/>
    <m/>
    <m/>
  </r>
  <r>
    <n v="1409"/>
    <n v="2024"/>
    <n v="2024"/>
    <s v="Year_1"/>
    <d v="2024-03-30T00:00:00"/>
    <s v="KUD11"/>
    <s v="O2R1"/>
    <s v="KSIPL"/>
    <n v="4.3478260869565223E-2"/>
    <n v="309"/>
    <x v="149"/>
    <s v="Pause over RCS_0"/>
    <s v="Manual Stop"/>
    <d v="1899-12-30T12:02:00"/>
    <d v="1899-12-30T12:02:00"/>
    <d v="1899-12-30T13:08:00"/>
    <d v="1899-12-30T00:00:00"/>
    <n v="1.0999999999999988"/>
    <n v="1.0999999999999988"/>
    <s v="Turbine audit by external contractor of customer"/>
    <s v="Close"/>
    <n v="4.7826086956521692E-2"/>
    <m/>
    <m/>
    <m/>
  </r>
  <r>
    <n v="1410"/>
    <n v="2024"/>
    <n v="2024"/>
    <s v="Year_1"/>
    <d v="2024-03-30T00:00:00"/>
    <s v="KUD11"/>
    <s v="O2R1"/>
    <s v="KSIPL"/>
    <n v="4.3478260869565223E-2"/>
    <n v="900"/>
    <x v="100"/>
    <s v="Pause pressed on keyboard"/>
    <s v="Manual Stop"/>
    <d v="1899-12-30T15:07:00"/>
    <d v="1899-12-30T15:07:00"/>
    <d v="1899-12-30T18:23:00"/>
    <d v="1899-12-30T00:00:00"/>
    <n v="3.2666666666666657"/>
    <n v="3.2666666666666657"/>
    <s v="Turbine audit by external contractor of customer"/>
    <s v="Close"/>
    <n v="0.14202898550724635"/>
    <m/>
    <m/>
    <m/>
  </r>
  <r>
    <n v="1411"/>
    <n v="2024"/>
    <n v="2024"/>
    <s v="Year_1"/>
    <d v="2024-03-31T00:00:00"/>
    <s v="KUD11"/>
    <s v="O2R1"/>
    <s v="KSIPL"/>
    <n v="4.3478260869565223E-2"/>
    <n v="6293"/>
    <x v="32"/>
    <s v="Pitch valves test acitve"/>
    <s v="Breakdown"/>
    <d v="1899-12-30T11:21:00"/>
    <d v="1899-12-30T11:21:00"/>
    <d v="1899-12-30T11:23:00"/>
    <d v="1899-12-30T00:00:00"/>
    <n v="3.3333333333333215E-2"/>
    <n v="3.3333333333333215E-2"/>
    <s v="Auto reset"/>
    <s v="Close"/>
    <n v="1.4492753623188356E-3"/>
    <m/>
    <m/>
    <m/>
  </r>
  <r>
    <n v="1412"/>
    <n v="2024"/>
    <n v="2024"/>
    <s v="Year_1"/>
    <d v="2024-03-31T00:00:00"/>
    <s v="KUD11"/>
    <s v="O2R1"/>
    <s v="KSIPL"/>
    <n v="4.3478260869565223E-2"/>
    <n v="6290"/>
    <x v="91"/>
    <s v="Pitch Accu. Test active"/>
    <s v="Breakdown"/>
    <d v="1899-12-30T11:23:00"/>
    <d v="1899-12-30T11:23:00"/>
    <d v="1899-12-30T11:28:00"/>
    <d v="1899-12-30T00:00:00"/>
    <n v="8.333333333333437E-2"/>
    <n v="8.333333333333437E-2"/>
    <s v="Auto reset"/>
    <s v="Close"/>
    <n v="3.623188405797147E-3"/>
    <m/>
    <m/>
    <m/>
  </r>
  <r>
    <n v="1413"/>
    <n v="2024"/>
    <n v="2024"/>
    <s v="Year_1"/>
    <d v="2024-03-31T00:00:00"/>
    <s v="KUD23"/>
    <s v="O2R3"/>
    <s v="JK"/>
    <n v="4.3478260869565223E-2"/>
    <n v="3209"/>
    <x v="101"/>
    <s v="YawSignals Invalid"/>
    <s v="Breakdown"/>
    <d v="1899-12-30T13:31:00"/>
    <d v="1899-12-30T13:31:00"/>
    <d v="1899-12-30T13:37:00"/>
    <d v="1899-12-30T00:00:00"/>
    <n v="9.9999999999999645E-2"/>
    <n v="9.9999999999999645E-2"/>
    <s v="Auto reset"/>
    <s v="Close"/>
    <n v="4.347826086956507E-3"/>
    <m/>
    <m/>
    <m/>
  </r>
  <r>
    <n v="1414"/>
    <n v="2025"/>
    <n v="2024"/>
    <s v="Year_2"/>
    <d v="2024-04-01T00:00:00"/>
    <s v="KUD01"/>
    <s v="O2R1"/>
    <s v="KSIPL"/>
    <n v="4.3478260869565223E-2"/>
    <n v="450"/>
    <x v="127"/>
    <s v="Ext. High I sum Grd inv."/>
    <s v="Breakdown"/>
    <d v="1899-12-30T11:11:00"/>
    <d v="1899-12-30T11:11:00"/>
    <d v="1899-12-30T11:13:00"/>
    <d v="1899-12-30T00:00:00"/>
    <n v="3.3333333333333215E-2"/>
    <n v="3.3333333333333215E-2"/>
    <s v="Auto reset"/>
    <s v="Close"/>
    <n v="1.4492753623188356E-3"/>
    <n v="1"/>
    <n v="0.01"/>
    <m/>
  </r>
  <r>
    <n v="1415"/>
    <n v="2025"/>
    <n v="2024"/>
    <s v="Year_2"/>
    <d v="2024-04-01T00:00:00"/>
    <s v="KUD01"/>
    <s v="O2R1"/>
    <s v="KSIPL"/>
    <n v="4.3478260869565223E-2"/>
    <n v="6293"/>
    <x v="32"/>
    <s v="Pitch valves test acitve"/>
    <s v="Breakdown"/>
    <d v="1899-12-30T11:13:00"/>
    <d v="1899-12-30T11:13:00"/>
    <d v="1899-12-30T11:15:00"/>
    <d v="1899-12-30T00:00:00"/>
    <n v="3.3333333333333215E-2"/>
    <n v="3.3333333333333215E-2"/>
    <s v="Auto reset"/>
    <s v="Close"/>
    <n v="1.4492753623188356E-3"/>
    <n v="1"/>
    <n v="0.01"/>
    <m/>
  </r>
  <r>
    <n v="1416"/>
    <n v="2025"/>
    <n v="2024"/>
    <s v="Year_2"/>
    <d v="2024-04-01T00:00:00"/>
    <s v="KUD01"/>
    <s v="O2R1"/>
    <s v="KSIPL"/>
    <n v="4.3478260869565223E-2"/>
    <n v="6290"/>
    <x v="91"/>
    <s v="Pitch Accu. Test active"/>
    <s v="Breakdown"/>
    <d v="1899-12-30T11:15:00"/>
    <d v="1899-12-30T11:15:00"/>
    <d v="1899-12-30T11:20:00"/>
    <d v="1899-12-30T00:00:00"/>
    <n v="8.333333333333437E-2"/>
    <n v="8.333333333333437E-2"/>
    <s v="Auto reset"/>
    <s v="Close"/>
    <n v="3.623188405797147E-3"/>
    <n v="1"/>
    <n v="0.01"/>
    <m/>
  </r>
  <r>
    <n v="1417"/>
    <n v="2025"/>
    <n v="2024"/>
    <s v="Year_2"/>
    <d v="2024-04-01T00:00:00"/>
    <s v="KUD02"/>
    <s v="O2R3"/>
    <s v="JK"/>
    <n v="4.3478260869565223E-2"/>
    <n v="900"/>
    <x v="100"/>
    <s v="Pause pressed on keyboard"/>
    <s v="Manual Stop"/>
    <d v="1899-12-30T10:44:00"/>
    <d v="1899-12-30T10:44:00"/>
    <d v="1899-12-30T16:44:00"/>
    <d v="1899-12-30T00:00:00"/>
    <n v="6.0000000000000027"/>
    <n v="6.0000000000000027"/>
    <s v="1 Year scheduled service day2 work done"/>
    <s v="Close"/>
    <n v="0.26086956521739146"/>
    <n v="1"/>
    <n v="0.01"/>
    <m/>
  </r>
  <r>
    <n v="1418"/>
    <n v="2025"/>
    <n v="2024"/>
    <s v="Year_2"/>
    <d v="2024-04-01T00:00:00"/>
    <s v="KUD21"/>
    <s v="O2R3"/>
    <s v="JK"/>
    <n v="4.3478260869565223E-2"/>
    <n v="3298"/>
    <x v="47"/>
    <s v="Yaw To Cable Twist Reset"/>
    <s v="Breakdown"/>
    <d v="1899-12-30T13:30:00"/>
    <d v="1899-12-30T13:30:00"/>
    <d v="1899-12-30T13:31:00"/>
    <d v="1899-12-30T00:00:00"/>
    <n v="1.6666666666666607E-2"/>
    <n v="1.6666666666666607E-2"/>
    <s v="Auto reset"/>
    <s v="Close"/>
    <n v="7.246376811594178E-4"/>
    <n v="1"/>
    <n v="0.02"/>
    <m/>
  </r>
  <r>
    <n v="1419"/>
    <n v="2025"/>
    <n v="2024"/>
    <s v="Year_2"/>
    <d v="2024-04-02T00:00:00"/>
    <s v="KUD01"/>
    <s v="O2R1"/>
    <s v="KSIPL"/>
    <n v="4.3478260869565223E-2"/>
    <n v="900"/>
    <x v="100"/>
    <s v="Pause pressed on keyboard"/>
    <s v="Manual Stop"/>
    <d v="1899-12-30T09:51:00"/>
    <d v="1899-12-30T09:51:00"/>
    <d v="1899-12-30T17:19:00"/>
    <d v="1899-12-30T00:00:00"/>
    <n v="7.4666666666666668"/>
    <n v="7.4666666666666668"/>
    <s v="1 Year scheduled service day1 work done"/>
    <s v="Close"/>
    <n v="0.32463768115942032"/>
    <n v="1"/>
    <n v="0.65"/>
    <m/>
  </r>
  <r>
    <n v="1420"/>
    <n v="2025"/>
    <n v="2024"/>
    <s v="Year_2"/>
    <d v="2024-04-02T00:00:00"/>
    <s v="KUD19"/>
    <s v="O2R1"/>
    <s v="KSIPL"/>
    <n v="4.3478260869565223E-2"/>
    <n v="3630"/>
    <x v="164"/>
    <s v="PrevCabTwCode:3 CabTwCode:4"/>
    <s v="Breakdown"/>
    <d v="1899-12-30T12:47:00"/>
    <d v="1899-12-30T12:47:00"/>
    <d v="1899-12-30T12:59:00"/>
    <d v="1899-12-30T00:00:00"/>
    <n v="0.19999999999999929"/>
    <n v="0.19999999999999929"/>
    <s v="Remote reset"/>
    <s v="Close"/>
    <n v="8.6956521739130141E-3"/>
    <n v="1"/>
    <n v="0.05"/>
    <m/>
  </r>
  <r>
    <n v="1421"/>
    <n v="2025"/>
    <n v="2024"/>
    <s v="Year_2"/>
    <d v="2024-04-02T00:00:00"/>
    <s v="KUD21"/>
    <s v="O2R3"/>
    <s v="JK"/>
    <n v="4.3478260869565223E-2"/>
    <n v="3209"/>
    <x v="101"/>
    <s v="YawSignals Invalid"/>
    <s v="Breakdown"/>
    <d v="1899-12-30T08:54:00"/>
    <d v="1899-12-30T08:54:00"/>
    <d v="1899-12-30T09:24:00"/>
    <d v="1899-12-30T00:00:00"/>
    <n v="0.49999999999999956"/>
    <n v="0.49999999999999956"/>
    <s v="Remote reset"/>
    <s v="Close"/>
    <n v="2.1739130434782591E-2"/>
    <n v="1"/>
    <n v="0.08"/>
    <m/>
  </r>
  <r>
    <n v="1422"/>
    <n v="2025"/>
    <n v="2024"/>
    <s v="Year_2"/>
    <d v="2024-04-03T00:00:00"/>
    <s v="KUD01"/>
    <s v="O2R1"/>
    <s v="KSIPL"/>
    <n v="4.3478260869565223E-2"/>
    <n v="900"/>
    <x v="100"/>
    <s v="Pause pressed on keyboard"/>
    <s v="Manual Stop"/>
    <d v="1899-12-30T09:53:00"/>
    <d v="1899-12-30T09:53:00"/>
    <d v="1899-12-30T17:03:00"/>
    <d v="1899-12-30T00:00:00"/>
    <n v="7.1666666666666679"/>
    <n v="7.1666666666666679"/>
    <s v="1 Year scheduled service day2 work done"/>
    <s v="Close"/>
    <n v="0.31159420289855083"/>
    <n v="1"/>
    <n v="0.6"/>
    <m/>
  </r>
  <r>
    <n v="1423"/>
    <n v="2025"/>
    <n v="2024"/>
    <s v="Year_2"/>
    <d v="2024-04-03T00:00:00"/>
    <s v="KUD06"/>
    <s v="O2R3"/>
    <s v="JK"/>
    <n v="4.3478260869565223E-2"/>
    <n v="158"/>
    <x v="132"/>
    <s v="Rotor: 1.7RPM, Gen.:-185.0 RPM"/>
    <s v="Breakdown"/>
    <d v="1899-12-30T21:56:00"/>
    <d v="1899-12-30T21:56:00"/>
    <d v="1899-12-30T22:03:00"/>
    <d v="1899-12-30T00:00:00"/>
    <n v="0.11666666666666892"/>
    <n v="0.11666666666666892"/>
    <s v="Auto reset"/>
    <s v="Close"/>
    <n v="5.0724637681160405E-3"/>
    <n v="0.99819999999999998"/>
    <n v="0.08"/>
    <m/>
  </r>
  <r>
    <n v="1424"/>
    <n v="2025"/>
    <n v="2024"/>
    <s v="Year_2"/>
    <d v="2024-04-03T00:00:00"/>
    <s v="KUD07"/>
    <s v="O2R3"/>
    <s v="JK"/>
    <n v="4.3478260869565223E-2"/>
    <n v="3272"/>
    <x v="143"/>
    <s v="YawUntwistCW: Code 3,-000558Â°"/>
    <s v="Breakdown"/>
    <d v="1899-12-30T20:38:00"/>
    <d v="1899-12-30T20:38:00"/>
    <d v="1899-12-30T21:05:00"/>
    <d v="1899-12-30T00:00:00"/>
    <n v="0.45000000000000107"/>
    <n v="0.45000000000000107"/>
    <s v="Turbine self cable Twist release"/>
    <s v="Close"/>
    <n v="1.9565217391304398E-2"/>
    <n v="0.98460000000000003"/>
    <n v="0.01"/>
    <m/>
  </r>
  <r>
    <n v="1425"/>
    <n v="2025"/>
    <n v="2024"/>
    <s v="Year_2"/>
    <d v="2024-04-03T00:00:00"/>
    <s v="KUD09"/>
    <s v="O2R3"/>
    <s v="JK"/>
    <n v="4.3478260869565223E-2"/>
    <n v="3272"/>
    <x v="143"/>
    <s v="YawUntwistCW: Code 3,-000540Â°"/>
    <s v="Breakdown"/>
    <d v="1899-12-30T21:17:00"/>
    <d v="1899-12-30T21:17:00"/>
    <d v="1899-12-30T21:37:00"/>
    <d v="1899-12-30T00:00:00"/>
    <n v="0.33333333333333215"/>
    <n v="0.33333333333333215"/>
    <s v="Turbine self cable Twist release"/>
    <s v="Close"/>
    <n v="1.4492753623188356E-2"/>
    <n v="1"/>
    <n v="0.01"/>
    <m/>
  </r>
  <r>
    <n v="1426"/>
    <n v="2025"/>
    <n v="2024"/>
    <s v="Year_2"/>
    <d v="2024-04-03T00:00:00"/>
    <s v="KUD09"/>
    <s v="O2R3"/>
    <s v="JK"/>
    <n v="4.3478260869565223E-2"/>
    <n v="158"/>
    <x v="132"/>
    <s v="Rotor: 2.2RPM, Gen.:-242.9 RPM"/>
    <s v="Breakdown"/>
    <d v="1899-12-30T22:05:00"/>
    <d v="1899-12-30T22:05:00"/>
    <d v="1899-12-30T22:14:00"/>
    <d v="1899-12-30T00:00:00"/>
    <n v="0.15000000000000213"/>
    <n v="0.15000000000000213"/>
    <s v="Auto reset"/>
    <s v="Close"/>
    <n v="6.5217391304348759E-3"/>
    <n v="1"/>
    <n v="0.01"/>
    <m/>
  </r>
  <r>
    <n v="1427"/>
    <n v="2025"/>
    <n v="2024"/>
    <s v="Year_2"/>
    <d v="2024-04-03T00:00:00"/>
    <s v="KUD14"/>
    <s v="KUD15"/>
    <s v="KSIPL"/>
    <n v="4.3478260869565223E-2"/>
    <n v="3272"/>
    <x v="143"/>
    <s v="YawUntwistCW: Code 3,-000540Â°"/>
    <s v="Breakdown"/>
    <d v="1899-12-30T15:03:00"/>
    <d v="1899-12-30T15:03:00"/>
    <d v="1899-12-30T15:25:00"/>
    <d v="1899-12-30T00:00:00"/>
    <n v="0.36666666666666536"/>
    <n v="0.36666666666666536"/>
    <s v="Turbine self cable Twist release"/>
    <s v="Close"/>
    <n v="1.594202898550719E-2"/>
    <n v="1"/>
    <n v="0"/>
    <m/>
  </r>
  <r>
    <n v="1428"/>
    <n v="2025"/>
    <n v="2024"/>
    <s v="Year_2"/>
    <d v="2024-04-04T00:00:00"/>
    <s v="KUD01"/>
    <s v="O2R1"/>
    <s v="KSIPL"/>
    <n v="4.3478260869565223E-2"/>
    <n v="3272"/>
    <x v="143"/>
    <s v="YawUntwistCW: Code 2,-000599Â°"/>
    <s v="Breakdown"/>
    <d v="1899-12-30T08:52:26"/>
    <d v="1899-12-30T08:52:26"/>
    <d v="1899-12-30T09:22:56"/>
    <d v="1899-12-30T00:00:00"/>
    <n v="0.50833333333333286"/>
    <n v="0.50833333333333286"/>
    <s v="Turbine self cable Twist release"/>
    <s v="Close"/>
    <n v="2.2101449275362301E-2"/>
    <n v="1"/>
    <n v="0"/>
    <m/>
  </r>
  <r>
    <n v="1429"/>
    <n v="2025"/>
    <n v="2024"/>
    <s v="Year_2"/>
    <d v="2024-04-04T00:00:00"/>
    <s v="KUD05"/>
    <s v="O2R3"/>
    <s v="JK"/>
    <n v="4.3478260869565223E-2"/>
    <n v="3272"/>
    <x v="143"/>
    <s v="YawUntwistCW: Code 2,-000554Â°"/>
    <s v="Breakdown"/>
    <d v="1899-12-30T08:28:22"/>
    <d v="1899-12-30T08:28:22"/>
    <d v="1899-12-30T08:56:06"/>
    <d v="1899-12-30T00:00:00"/>
    <n v="0.46222222222222209"/>
    <n v="0.46222222222222209"/>
    <s v="Turbine self cable Twist release"/>
    <s v="Close"/>
    <n v="2.0096618357487921E-2"/>
    <n v="1"/>
    <n v="0.12"/>
    <m/>
  </r>
  <r>
    <n v="1430"/>
    <n v="2025"/>
    <n v="2024"/>
    <s v="Year_2"/>
    <d v="2024-04-04T00:00:00"/>
    <s v="KUD05"/>
    <s v="O2R3"/>
    <s v="JK"/>
    <n v="4.3478260869565223E-2"/>
    <n v="3272"/>
    <x v="143"/>
    <s v="YawUntwistCW: Code 2,-000767Â°"/>
    <s v="Breakdown"/>
    <d v="1899-12-30T16:00:15"/>
    <d v="1899-12-30T16:00:15"/>
    <d v="1899-12-30T16:31:28"/>
    <d v="1899-12-30T00:00:00"/>
    <n v="0.52027777777777828"/>
    <n v="0.52027777777777828"/>
    <s v="Turbine self cable Twist release"/>
    <s v="Close"/>
    <n v="2.2620772946859928E-2"/>
    <n v="1"/>
    <n v="0.12"/>
    <m/>
  </r>
  <r>
    <n v="1431"/>
    <n v="2025"/>
    <n v="2024"/>
    <s v="Year_2"/>
    <d v="2024-04-04T00:00:00"/>
    <s v="KUD11"/>
    <s v="O2R1"/>
    <s v="KSIPL"/>
    <n v="4.3478260869565223E-2"/>
    <n v="3273"/>
    <x v="35"/>
    <s v="YawUntwistCCW: Code 6,    549Â°"/>
    <s v="Breakdown"/>
    <d v="1899-12-30T09:59:18"/>
    <d v="1899-12-30T09:59:18"/>
    <d v="1899-12-30T10:24:53"/>
    <d v="1899-12-30T00:00:00"/>
    <n v="0.42638888888888848"/>
    <n v="0.42638888888888848"/>
    <s v="Turbine self cable Twist release"/>
    <s v="Close"/>
    <n v="1.8538647342995155E-2"/>
    <n v="1"/>
    <n v="0"/>
    <m/>
  </r>
  <r>
    <n v="1432"/>
    <n v="2025"/>
    <n v="2024"/>
    <s v="Year_2"/>
    <d v="2024-04-04T00:00:00"/>
    <s v="KUD14"/>
    <s v="O2R1"/>
    <s v="KSIPL"/>
    <n v="4.3478260869565223E-2"/>
    <n v="3272"/>
    <x v="143"/>
    <s v="YawUntwistCW: Code 3,-000540Â°"/>
    <s v="Breakdown"/>
    <d v="1899-12-30T11:39:41"/>
    <d v="1899-12-30T11:39:41"/>
    <d v="1899-12-30T12:06:28"/>
    <d v="1899-12-30T00:00:00"/>
    <n v="0.44638888888888895"/>
    <n v="0.44638888888888895"/>
    <s v="Turbine self cable Twist release"/>
    <s v="Close"/>
    <n v="1.9408212560386478E-2"/>
    <n v="1"/>
    <n v="0.06"/>
    <m/>
  </r>
  <r>
    <n v="1433"/>
    <n v="2025"/>
    <n v="2024"/>
    <s v="Year_2"/>
    <d v="2024-04-04T00:00:00"/>
    <s v="KUD16"/>
    <s v="O2R2"/>
    <s v="SIL"/>
    <n v="4.3478260869565223E-2"/>
    <n v="3273"/>
    <x v="35"/>
    <s v="YawUntwistCCW: Code 6,    606Â°"/>
    <s v="Breakdown"/>
    <d v="1899-12-30T11:21:18"/>
    <d v="1899-12-30T11:21:18"/>
    <d v="1899-12-30T11:54:39"/>
    <d v="1899-12-30T00:00:00"/>
    <n v="0.55583333333333229"/>
    <n v="0.55583333333333229"/>
    <s v="Turbine self cable Twist release"/>
    <s v="Close"/>
    <n v="2.4166666666666625E-2"/>
    <n v="1"/>
    <n v="0.06"/>
    <m/>
  </r>
  <r>
    <n v="1434"/>
    <n v="2025"/>
    <n v="2024"/>
    <s v="Year_2"/>
    <d v="2024-04-04T00:00:00"/>
    <s v="KUD17"/>
    <s v="O2R2"/>
    <s v="SIL"/>
    <n v="4.3478260869565223E-2"/>
    <n v="3273"/>
    <x v="35"/>
    <s v="YawUntwistCCW: Code 6,    540Â°"/>
    <s v="Breakdown"/>
    <d v="1899-12-30T11:10:46"/>
    <d v="1899-12-30T11:10:46"/>
    <d v="1899-12-30T11:35:21"/>
    <d v="1899-12-30T00:00:00"/>
    <n v="0.40972222222222188"/>
    <n v="0.40972222222222188"/>
    <s v="Turbine self cable Twist release"/>
    <s v="Close"/>
    <n v="1.7814009661835738E-2"/>
    <n v="1"/>
    <n v="0.01"/>
    <m/>
  </r>
  <r>
    <n v="1435"/>
    <n v="2025"/>
    <n v="2024"/>
    <s v="Year_2"/>
    <d v="2024-04-04T00:00:00"/>
    <s v="KUD22"/>
    <s v="O2R3"/>
    <s v="JK"/>
    <n v="4.3478260869565223E-2"/>
    <n v="3630"/>
    <x v="164"/>
    <s v="PrevCabTwCode:3 CabTwCode:4"/>
    <s v="Breakdown"/>
    <d v="1899-12-30T13:55:24"/>
    <d v="1899-12-30T13:55:24"/>
    <d v="1899-12-30T16:00:28"/>
    <d v="1899-12-30T00:00:00"/>
    <n v="2.0844444444444443"/>
    <n v="2.0844444444444443"/>
    <s v="Remote reset done"/>
    <s v="Close"/>
    <n v="9.062801932367151E-2"/>
    <n v="1"/>
    <n v="0.38"/>
    <m/>
  </r>
  <r>
    <n v="1436"/>
    <n v="2025"/>
    <n v="2024"/>
    <s v="Year_2"/>
    <d v="2024-04-05T00:00:00"/>
    <s v="KUD01"/>
    <s v="O2R1"/>
    <s v="KSIPL"/>
    <n v="4.3478260869565223E-2"/>
    <n v="450"/>
    <x v="127"/>
    <s v="Ext. High I sum Grd inv."/>
    <s v="Breakdown"/>
    <d v="1899-12-30T10:21:52"/>
    <d v="1899-12-30T10:21:52"/>
    <d v="1899-12-30T10:24:25"/>
    <d v="1899-12-30T00:00:00"/>
    <n v="4.2499999999999982E-2"/>
    <n v="4.2499999999999982E-2"/>
    <s v="Auto reset"/>
    <s v="Close"/>
    <n v="1.8478260869565213E-3"/>
    <n v="1"/>
    <n v="0"/>
    <m/>
  </r>
  <r>
    <n v="1437"/>
    <n v="2025"/>
    <n v="2024"/>
    <s v="Year_2"/>
    <d v="2024-04-05T00:00:00"/>
    <s v="KUD01"/>
    <s v="O2R1"/>
    <s v="KSIPL"/>
    <n v="4.3478260869565223E-2"/>
    <n v="6293"/>
    <x v="32"/>
    <s v="Pitch valves test active"/>
    <s v="Breakdown"/>
    <d v="1899-12-30T10:24:25"/>
    <d v="1899-12-30T10:24:25"/>
    <d v="1899-12-30T10:31:02"/>
    <d v="1899-12-30T00:00:00"/>
    <n v="0.11027777777777681"/>
    <n v="0.11027777777777681"/>
    <s v="Tubrine self test active"/>
    <s v="Close"/>
    <n v="4.7946859903381231E-3"/>
    <n v="1"/>
    <n v="0"/>
    <m/>
  </r>
  <r>
    <n v="1438"/>
    <n v="2025"/>
    <n v="2024"/>
    <s v="Year_2"/>
    <d v="2024-04-05T00:00:00"/>
    <s v="KUD01"/>
    <s v="O2R1"/>
    <s v="KSIPL"/>
    <n v="4.3478260869565223E-2"/>
    <n v="4235"/>
    <x v="93"/>
    <s v="Gen Stator CB Open"/>
    <s v="Breakdown"/>
    <d v="1899-12-30T10:34:57"/>
    <d v="1899-12-30T10:34:57"/>
    <d v="1899-12-30T10:36:35"/>
    <d v="1899-12-30T00:00:00"/>
    <n v="2.7222222222222037E-2"/>
    <n v="2.7222222222222037E-2"/>
    <s v="Auto reset"/>
    <s v="Close"/>
    <n v="1.1835748792270453E-3"/>
    <n v="1"/>
    <n v="0"/>
    <m/>
  </r>
  <r>
    <n v="1439"/>
    <n v="2025"/>
    <n v="2024"/>
    <s v="Year_2"/>
    <d v="2024-04-05T00:00:00"/>
    <s v="KUD03"/>
    <s v="O2R1"/>
    <s v="KSIPL"/>
    <n v="4.3478260869565223E-2"/>
    <n v="309"/>
    <x v="149"/>
    <s v="Pause over RCS 14"/>
    <s v="Manual Stop"/>
    <d v="1899-12-30T09:45:50"/>
    <d v="1899-12-30T09:45:50"/>
    <d v="1899-12-30T17:46:41"/>
    <d v="1899-12-30T00:00:00"/>
    <n v="8.014166666666668"/>
    <n v="8.014166666666668"/>
    <s v="1 Year scheduled service day1 work done"/>
    <s v="Close"/>
    <n v="0.34844202898550736"/>
    <n v="1"/>
    <n v="0.89"/>
    <m/>
  </r>
  <r>
    <n v="1440"/>
    <n v="2025"/>
    <n v="2024"/>
    <s v="Year_2"/>
    <d v="2024-04-05T00:00:00"/>
    <s v="KUD10"/>
    <s v="O2R1"/>
    <s v="KSIPL"/>
    <n v="4.3478260869565223E-2"/>
    <n v="3272"/>
    <x v="143"/>
    <s v="YawUntwistCW: Code 3,-000540Â°"/>
    <s v="Breakdown"/>
    <d v="1899-12-30T14:25:55"/>
    <d v="1899-12-30T14:25:55"/>
    <d v="1899-12-30T14:46:18"/>
    <d v="1899-12-30T00:00:00"/>
    <n v="0.33972222222222026"/>
    <n v="0.33972222222222026"/>
    <s v="Turbine self cable Twist release"/>
    <s v="Close"/>
    <n v="1.4770531400966101E-2"/>
    <n v="1"/>
    <n v="0.04"/>
    <m/>
  </r>
  <r>
    <n v="1441"/>
    <n v="2025"/>
    <n v="2024"/>
    <s v="Year_2"/>
    <d v="2024-04-05T00:00:00"/>
    <s v="KUD11"/>
    <s v="O2R1"/>
    <s v="KSIPL"/>
    <n v="4.3478260869565223E-2"/>
    <n v="3273"/>
    <x v="35"/>
    <s v="YawUntwistCCW: Code 6,    540Â°"/>
    <s v="Breakdown"/>
    <d v="1899-12-30T12:02:23"/>
    <d v="1899-12-30T12:02:23"/>
    <d v="1899-12-30T12:24:17"/>
    <d v="1899-12-30T00:00:00"/>
    <n v="0.3650000000000011"/>
    <n v="0.3650000000000011"/>
    <s v="Turbine self cable Twist release"/>
    <s v="Close"/>
    <n v="1.5869565217391354E-2"/>
    <n v="1"/>
    <n v="0"/>
    <m/>
  </r>
  <r>
    <n v="1442"/>
    <n v="2025"/>
    <n v="2024"/>
    <s v="Year_2"/>
    <d v="2024-04-05T00:00:00"/>
    <s v="KUD16"/>
    <s v="O2R2"/>
    <s v="SIL"/>
    <n v="4.3478260869565223E-2"/>
    <n v="30"/>
    <x v="44"/>
    <s v="Internal sublogic error"/>
    <s v="Breakdown"/>
    <d v="1899-12-30T01:17:53"/>
    <d v="1899-12-30T01:17:53"/>
    <d v="1899-12-30T01:21:59"/>
    <d v="1899-12-30T00:00:00"/>
    <n v="6.8333333333333357E-2"/>
    <n v="6.8333333333333357E-2"/>
    <s v="Auto reset"/>
    <s v="Close"/>
    <n v="2.9710144927536245E-3"/>
    <n v="0.99539999999999995"/>
    <n v="0.03"/>
    <m/>
  </r>
  <r>
    <n v="1443"/>
    <n v="2025"/>
    <n v="2024"/>
    <s v="Year_2"/>
    <d v="2024-04-05T00:00:00"/>
    <s v="KUD17"/>
    <s v="O2R2"/>
    <s v="SIL"/>
    <n v="4.3478260869565223E-2"/>
    <n v="30"/>
    <x v="44"/>
    <s v="Internal sublogic error"/>
    <s v="Breakdown"/>
    <d v="1899-12-30T01:18:35"/>
    <d v="1899-12-30T01:18:35"/>
    <d v="1899-12-30T01:22:47"/>
    <d v="1899-12-30T00:00:00"/>
    <n v="7.0000000000000118E-2"/>
    <n v="7.0000000000000118E-2"/>
    <s v="Auto reset"/>
    <s v="Close"/>
    <n v="3.0434782608695708E-3"/>
    <n v="0.997"/>
    <n v="0.04"/>
    <m/>
  </r>
  <r>
    <n v="1444"/>
    <n v="2025"/>
    <n v="2024"/>
    <s v="Year_2"/>
    <d v="2024-04-06T00:00:00"/>
    <s v="KUD03"/>
    <s v="O2R1"/>
    <s v="KSIPL"/>
    <n v="4.3478260869565223E-2"/>
    <n v="900"/>
    <x v="100"/>
    <s v="Pause pressed on keyboard"/>
    <s v="Manual Stop"/>
    <d v="1899-12-30T10:03:49"/>
    <d v="1899-12-30T10:03:49"/>
    <d v="1899-12-30T16:53:41"/>
    <d v="1899-12-30T00:00:00"/>
    <n v="6.8311111111111122"/>
    <n v="6.8311111111111122"/>
    <s v="1 Year scheduled service day2 work done"/>
    <s v="Close"/>
    <n v="0.2970048309178745"/>
    <n v="1"/>
    <n v="0.93"/>
    <m/>
  </r>
  <r>
    <n v="1445"/>
    <n v="2025"/>
    <n v="2024"/>
    <s v="Year_2"/>
    <d v="2024-04-06T00:00:00"/>
    <s v="KUD03"/>
    <s v="O2R1"/>
    <s v="KSIPL"/>
    <n v="4.3478260869565223E-2"/>
    <n v="6293"/>
    <x v="32"/>
    <s v="Pitch valves test active"/>
    <s v="Breakdown"/>
    <d v="1899-12-30T16:53:41"/>
    <d v="1899-12-30T16:53:41"/>
    <d v="1899-12-30T17:00:08"/>
    <d v="1899-12-30T00:00:00"/>
    <n v="0.10749999999999815"/>
    <n v="0.10749999999999815"/>
    <s v="Tubrine self test active"/>
    <s v="Close"/>
    <n v="4.6739130434781812E-3"/>
    <n v="1"/>
    <n v="0.02"/>
    <m/>
  </r>
  <r>
    <n v="1446"/>
    <n v="2025"/>
    <n v="2024"/>
    <s v="Year_2"/>
    <d v="2024-04-06T00:00:00"/>
    <s v="KUD09"/>
    <s v="O2R3"/>
    <s v="JK"/>
    <n v="4.3478260869565223E-2"/>
    <n v="3272"/>
    <x v="143"/>
    <s v="YawUntwistCW: Code 3,-000540Â°"/>
    <s v="Breakdown"/>
    <d v="1899-12-30T18:43:40"/>
    <d v="1899-12-30T18:43:40"/>
    <d v="1899-12-30T19:04:31"/>
    <d v="1899-12-30T00:00:00"/>
    <n v="0.34749999999999837"/>
    <n v="0.34749999999999837"/>
    <s v="Turbine self cable Twist release"/>
    <s v="Close"/>
    <n v="1.5108695652173845E-2"/>
    <n v="1"/>
    <n v="0"/>
    <m/>
  </r>
  <r>
    <n v="1447"/>
    <n v="2025"/>
    <n v="2024"/>
    <s v="Year_2"/>
    <d v="2024-04-06T00:00:00"/>
    <s v="KUD09"/>
    <s v="O2R3"/>
    <s v="JK"/>
    <n v="4.3478260869565223E-2"/>
    <n v="6293"/>
    <x v="32"/>
    <s v="EMC valves test active"/>
    <s v="Breakdown"/>
    <d v="1899-12-30T18:44:12"/>
    <d v="1899-12-30T18:44:12"/>
    <d v="1899-12-30T19:04:31"/>
    <d v="1899-12-30T00:00:00"/>
    <n v="0.33861111111110986"/>
    <n v="0.33861111111110986"/>
    <s v="Tubrine self test active"/>
    <s v="Close"/>
    <n v="1.472222222222217E-2"/>
    <n v="1"/>
    <n v="0"/>
    <m/>
  </r>
  <r>
    <n v="1448"/>
    <n v="2025"/>
    <n v="2024"/>
    <s v="Year_2"/>
    <d v="2024-04-06T00:00:00"/>
    <s v="KUD14"/>
    <s v="O2R1"/>
    <s v="KSIPL"/>
    <n v="4.3478260869565223E-2"/>
    <n v="3273"/>
    <x v="35"/>
    <s v="YawUntwistCCW: Code 6,    680Â°"/>
    <s v="Breakdown"/>
    <d v="1899-12-30T08:42:39"/>
    <d v="1899-12-30T08:42:39"/>
    <d v="1899-12-30T09:13:16"/>
    <d v="1899-12-30T00:00:00"/>
    <n v="0.51027777777777805"/>
    <n v="0.51027777777777805"/>
    <s v="Turbine self cable Twist release"/>
    <s v="Close"/>
    <n v="2.2185990338164267E-2"/>
    <n v="1"/>
    <n v="0"/>
    <m/>
  </r>
  <r>
    <n v="1449"/>
    <n v="2025"/>
    <n v="2024"/>
    <s v="Year_2"/>
    <d v="2024-04-06T00:00:00"/>
    <s v="KUD17"/>
    <s v="O2R2"/>
    <s v="SIL"/>
    <n v="4.3478260869565223E-2"/>
    <n v="3298"/>
    <x v="47"/>
    <s v="Yaw To Cable Twist Reset"/>
    <s v="Breakdown"/>
    <d v="1899-12-30T15:16:39"/>
    <d v="1899-12-30T15:16:39"/>
    <d v="1899-12-30T15:20:41"/>
    <d v="1899-12-30T00:00:00"/>
    <n v="6.7222222222220296E-2"/>
    <n v="6.7222222222220296E-2"/>
    <s v="Turbine self cable Twist release"/>
    <s v="Close"/>
    <n v="2.9227053140095786E-3"/>
    <n v="1"/>
    <n v="0"/>
    <m/>
  </r>
  <r>
    <n v="1450"/>
    <n v="2025"/>
    <n v="2024"/>
    <s v="Year_2"/>
    <d v="2024-04-07T00:00:00"/>
    <s v="KUD01"/>
    <s v="O2R1"/>
    <s v="KSIPL"/>
    <n v="4.3478260869565223E-2"/>
    <n v="453"/>
    <x v="136"/>
    <s v="Ext. High I sum Rotinv.ChanX"/>
    <s v="Breakdown"/>
    <d v="1899-12-30T13:07:00"/>
    <d v="1899-12-30T13:07:00"/>
    <d v="1899-12-30T13:08:00"/>
    <d v="1899-12-30T00:00:00"/>
    <n v="1.6666666666663943E-2"/>
    <n v="1.6666666666663943E-2"/>
    <s v="Auto reset"/>
    <s v="Close"/>
    <n v="7.2463768115930201E-4"/>
    <n v="1"/>
    <n v="0"/>
    <m/>
  </r>
  <r>
    <n v="1451"/>
    <n v="2025"/>
    <n v="2024"/>
    <s v="Year_2"/>
    <d v="2024-04-07T00:00:00"/>
    <s v="KUD01"/>
    <s v="O2R1"/>
    <s v="KSIPL"/>
    <n v="4.3478260869565223E-2"/>
    <n v="6293"/>
    <x v="32"/>
    <s v="Pitch valves test acitve"/>
    <s v="Breakdown"/>
    <d v="1899-12-30T13:09:00"/>
    <d v="1899-12-30T13:09:00"/>
    <d v="1899-12-30T13:11:00"/>
    <d v="1899-12-30T00:00:00"/>
    <n v="3.3333333333333215E-2"/>
    <n v="3.3333333333333215E-2"/>
    <s v="Tubrine self test active"/>
    <s v="Close"/>
    <n v="1.4492753623188356E-3"/>
    <n v="1"/>
    <n v="0"/>
    <m/>
  </r>
  <r>
    <n v="1452"/>
    <n v="2025"/>
    <n v="2024"/>
    <s v="Year_2"/>
    <d v="2024-04-07T00:00:00"/>
    <s v="KUD01"/>
    <s v="O2R1"/>
    <s v="KSIPL"/>
    <n v="4.3478260869565223E-2"/>
    <n v="6290"/>
    <x v="91"/>
    <s v="Pitch Accu. Test active"/>
    <s v="Breakdown"/>
    <d v="1899-12-30T13:11:00"/>
    <d v="1899-12-30T13:11:00"/>
    <d v="1899-12-30T13:16:00"/>
    <d v="1899-12-30T00:00:00"/>
    <n v="8.3333333333333037E-2"/>
    <n v="8.3333333333333037E-2"/>
    <s v="Tubrine self test active"/>
    <s v="Close"/>
    <n v="3.6231884057970889E-3"/>
    <n v="1"/>
    <n v="0"/>
    <m/>
  </r>
  <r>
    <n v="1453"/>
    <n v="2025"/>
    <n v="2024"/>
    <s v="Year_2"/>
    <d v="2024-04-08T00:00:00"/>
    <s v="KUD03"/>
    <s v="O2R1"/>
    <s v="KSIPL"/>
    <n v="4.3478260869565223E-2"/>
    <n v="3273"/>
    <x v="35"/>
    <s v="YawUntwistCCW: Code__,_______°"/>
    <s v="Breakdown"/>
    <d v="1899-12-30T13:10:00"/>
    <d v="1899-12-30T13:10:00"/>
    <d v="1899-12-30T13:32:00"/>
    <d v="1899-12-30T00:00:00"/>
    <n v="0.36666666666666803"/>
    <n v="0.36666666666666803"/>
    <s v="Turbine self cable Twist release"/>
    <s v="Close"/>
    <n v="1.5942028985507308E-2"/>
    <n v="1"/>
    <n v="0"/>
    <m/>
  </r>
  <r>
    <n v="1454"/>
    <n v="2025"/>
    <n v="2024"/>
    <s v="Year_2"/>
    <d v="2024-04-08T00:00:00"/>
    <s v="KUD02"/>
    <s v="O2R3"/>
    <s v="JK"/>
    <n v="4.3478260869565223E-2"/>
    <n v="3273"/>
    <x v="35"/>
    <s v="YawUntwistCW: Code 3,-000540Â°"/>
    <s v="Breakdown"/>
    <d v="1899-12-30T12:21:00"/>
    <d v="1899-12-30T12:21:00"/>
    <d v="1899-12-30T12:43:00"/>
    <d v="1899-12-30T00:00:00"/>
    <n v="0.36666666666666803"/>
    <n v="0.36666666666666803"/>
    <s v="Turbine self cable Twist release"/>
    <s v="Close"/>
    <n v="1.5942028985507308E-2"/>
    <n v="1"/>
    <n v="0"/>
    <m/>
  </r>
  <r>
    <n v="1455"/>
    <n v="2025"/>
    <n v="2024"/>
    <s v="Year_2"/>
    <d v="2024-04-08T00:00:00"/>
    <s v="KUD05"/>
    <s v="O2R3"/>
    <s v="JK"/>
    <n v="4.3478260869565223E-2"/>
    <n v="3273"/>
    <x v="35"/>
    <s v="YawUntwistCW: Code 5,-000540Â°"/>
    <s v="Breakdown"/>
    <d v="1899-12-30T13:33:00"/>
    <d v="1899-12-30T13:33:00"/>
    <d v="1899-12-30T13:55:00"/>
    <d v="1899-12-30T00:00:00"/>
    <n v="0.36666666666666536"/>
    <n v="0.36666666666666536"/>
    <s v="Turbine self cable Twist release"/>
    <s v="Close"/>
    <n v="1.594202898550719E-2"/>
    <n v="1"/>
    <n v="0"/>
    <m/>
  </r>
  <r>
    <n v="1456"/>
    <n v="2025"/>
    <n v="2024"/>
    <s v="Year_2"/>
    <d v="2024-04-08T00:00:00"/>
    <s v="KUD06"/>
    <s v="O2R3"/>
    <s v="JK"/>
    <n v="4.3478260869565223E-2"/>
    <n v="900"/>
    <x v="100"/>
    <s v="Pause pressed on keyboard"/>
    <s v="Manual Stop"/>
    <d v="1899-12-30T10:05:00"/>
    <d v="1899-12-30T10:05:00"/>
    <d v="1899-12-30T17:42:00"/>
    <d v="1899-12-30T00:00:00"/>
    <n v="7.6166666666666654"/>
    <n v="7.6166666666666654"/>
    <s v="1 Year scheduled service day1 work done"/>
    <s v="Close"/>
    <n v="0.33115942028985507"/>
    <n v="1"/>
    <n v="0.08"/>
    <m/>
  </r>
  <r>
    <n v="1457"/>
    <n v="2025"/>
    <n v="2024"/>
    <s v="Year_2"/>
    <d v="2024-04-08T00:00:00"/>
    <s v="KUD16"/>
    <s v="O2R2"/>
    <s v="SIL"/>
    <n v="4.3478260869565223E-2"/>
    <n v="3273"/>
    <x v="35"/>
    <s v="YawUntwistCW: Code 5,-000540Â°"/>
    <s v="Breakdown"/>
    <d v="1899-12-30T13:18:00"/>
    <d v="1899-12-30T13:18:00"/>
    <d v="1899-12-30T13:39:00"/>
    <d v="1899-12-30T00:00:00"/>
    <n v="0.34999999999999876"/>
    <n v="0.34999999999999876"/>
    <s v="Turbine self cable Twist release"/>
    <s v="Close"/>
    <n v="1.5217391304347775E-2"/>
    <n v="1"/>
    <n v="0"/>
    <m/>
  </r>
  <r>
    <n v="1458"/>
    <n v="2025"/>
    <n v="2024"/>
    <s v="Year_2"/>
    <d v="2024-04-08T00:00:00"/>
    <s v="KUD23"/>
    <s v="O2R3"/>
    <s v="JK"/>
    <n v="4.3478260869565223E-2"/>
    <n v="3273"/>
    <x v="35"/>
    <s v="YawUntwistCW: Code 6,-000540Â°"/>
    <s v="Breakdown"/>
    <d v="1899-12-30T14:37:00"/>
    <d v="1899-12-30T14:37:00"/>
    <d v="1899-12-30T15:01:00"/>
    <d v="1899-12-30T00:00:00"/>
    <n v="0.39999999999999858"/>
    <n v="0.39999999999999858"/>
    <s v="Turbine self cable Twist release"/>
    <s v="Close"/>
    <n v="1.7391304347826028E-2"/>
    <n v="1"/>
    <n v="0"/>
    <m/>
  </r>
  <r>
    <n v="1459"/>
    <n v="2025"/>
    <n v="2024"/>
    <s v="Year_2"/>
    <d v="2024-04-09T00:00:00"/>
    <s v="KUD01"/>
    <s v="O2R1"/>
    <s v="KSIPL"/>
    <n v="4.3478260869565223E-2"/>
    <n v="450"/>
    <x v="127"/>
    <s v="Ext. High I sum Grd inv."/>
    <s v="Breakdown"/>
    <d v="1899-12-30T04:50:32"/>
    <d v="1899-12-30T04:50:32"/>
    <d v="1899-12-30T04:59:11"/>
    <d v="1899-12-30T00:00:00"/>
    <n v="0.14416666666666722"/>
    <n v="0.14416666666666722"/>
    <s v="Auto reset"/>
    <s v="Close"/>
    <n v="6.2681159420290107E-3"/>
    <n v="1"/>
    <n v="3.48"/>
    <m/>
  </r>
  <r>
    <n v="1460"/>
    <n v="2025"/>
    <n v="2024"/>
    <s v="Year_2"/>
    <d v="2024-04-09T00:00:00"/>
    <s v="KUD01"/>
    <s v="O2R1"/>
    <s v="KSIPL"/>
    <n v="4.3478260869565223E-2"/>
    <n v="3024"/>
    <x v="113"/>
    <s v="ArcNetReconfigMaxLimit      10"/>
    <s v="Breakdown"/>
    <d v="1899-12-30T17:03:39"/>
    <d v="1899-12-30T17:03:39"/>
    <d v="1899-12-30T21:18:39"/>
    <d v="1899-12-30T00:00:00"/>
    <n v="4.2500000000000009"/>
    <n v="4.2500000000000009"/>
    <s v="Found ofc signal strength was week, so replaced to media converter"/>
    <s v="Close"/>
    <n v="0.18478260869565225"/>
    <n v="1"/>
    <n v="3.48"/>
    <m/>
  </r>
  <r>
    <n v="1461"/>
    <n v="2025"/>
    <n v="2024"/>
    <s v="Year_2"/>
    <d v="2024-04-09T00:00:00"/>
    <s v="KUD04"/>
    <s v="O2R3"/>
    <s v="JK"/>
    <n v="4.3478260869565223E-2"/>
    <n v="693"/>
    <x v="157"/>
    <s v="SignalError-PAUSE  2289,    3"/>
    <s v="Breakdown"/>
    <d v="1899-12-30T16:21:05"/>
    <d v="1899-12-30T16:21:05"/>
    <d v="1899-12-30T16:32:34"/>
    <d v="1899-12-30T00:00:00"/>
    <n v="0.19138888888889038"/>
    <n v="0.19138888888889038"/>
    <s v="Remote reset done"/>
    <s v="Close"/>
    <n v="8.321256038647409E-3"/>
    <n v="1"/>
    <n v="7.0000000000000007E-2"/>
    <m/>
  </r>
  <r>
    <n v="1462"/>
    <n v="2025"/>
    <n v="2024"/>
    <s v="Year_2"/>
    <d v="2024-04-10T00:00:00"/>
    <s v="KUD08"/>
    <s v="O2R3"/>
    <s v="JK"/>
    <n v="4.3478260869565223E-2"/>
    <n v="3633"/>
    <x v="21"/>
    <s v="Yaw System Stopped"/>
    <s v="Breakdown"/>
    <d v="1899-12-30T23:10:00"/>
    <d v="1899-12-30T23:10:00"/>
    <d v="1899-12-30T23:59:00"/>
    <d v="1899-12-30T00:00:00"/>
    <n v="0.81666666666666643"/>
    <n v="0.81666666666666643"/>
    <s v="Found 400v supply MCB trip condition then restored"/>
    <s v="Open"/>
    <n v="3.5507246376811588E-2"/>
    <n v="1"/>
    <n v="1.37"/>
    <m/>
  </r>
  <r>
    <n v="1463"/>
    <n v="2025"/>
    <n v="2024"/>
    <s v="Year_2"/>
    <d v="2024-04-10T00:00:00"/>
    <s v="KUD06"/>
    <s v="O2R3"/>
    <s v="JK"/>
    <n v="4.3478260869565223E-2"/>
    <n v="900"/>
    <x v="100"/>
    <s v="Pause pressed on keyboard"/>
    <s v="Manual Stop"/>
    <d v="1899-12-30T10:02:00"/>
    <d v="1899-12-30T10:02:00"/>
    <d v="1899-12-30T17:32:00"/>
    <d v="1899-12-30T00:00:00"/>
    <n v="7.5000000000000018"/>
    <n v="7.5000000000000018"/>
    <s v="1 Year scheduled service day2 work done"/>
    <s v="Close"/>
    <n v="0.32608695652173925"/>
    <n v="1"/>
    <n v="1.9"/>
    <m/>
  </r>
  <r>
    <n v="1464"/>
    <n v="2025"/>
    <n v="2024"/>
    <s v="Year_2"/>
    <d v="2024-04-10T00:00:00"/>
    <s v="KUD11"/>
    <s v="O2R1"/>
    <s v="KSIPL"/>
    <n v="4.3478260869565223E-2"/>
    <n v="2890"/>
    <x v="135"/>
    <s v="VibrShockAct X _.__Y _.__m/s^2"/>
    <s v="Breakdown"/>
    <d v="1899-12-30T15:28:00"/>
    <d v="1899-12-30T15:28:00"/>
    <d v="1899-12-30T16:48:00"/>
    <d v="1899-12-30T00:00:00"/>
    <n v="1.3333333333333339"/>
    <n v="1.3333333333333339"/>
    <s v="Piltz module was in error, rebooted the piltz and started the turbine"/>
    <s v="Close"/>
    <n v="5.7971014492753659E-2"/>
    <n v="1"/>
    <n v="0.33"/>
    <m/>
  </r>
  <r>
    <n v="1465"/>
    <n v="2025"/>
    <n v="2024"/>
    <s v="Year_2"/>
    <d v="2024-04-11T00:00:00"/>
    <s v="KUD07"/>
    <s v="O2R3"/>
    <s v="JK"/>
    <n v="4.3478260869565223E-2"/>
    <n v="3273"/>
    <x v="35"/>
    <s v="YawUntwistCW: Code 6, 672Â°"/>
    <s v="Breakdown"/>
    <d v="1899-12-30T12:57:00"/>
    <d v="1899-12-30T12:57:00"/>
    <d v="1899-12-30T13:23:00"/>
    <d v="1899-12-30T00:00:00"/>
    <n v="0.43333333333333446"/>
    <n v="0.43333333333333446"/>
    <s v="Turbine self cable Twist release"/>
    <s v="Close"/>
    <n v="1.8840579710144977E-2"/>
    <n v="1"/>
    <n v="0"/>
    <m/>
  </r>
  <r>
    <n v="1466"/>
    <n v="2025"/>
    <n v="2024"/>
    <s v="Year_2"/>
    <d v="2024-04-11T00:00:00"/>
    <s v="KUD08"/>
    <s v="O2R3"/>
    <s v="JK"/>
    <n v="4.3478260869565223E-2"/>
    <n v="3633"/>
    <x v="21"/>
    <s v="Yaw System Stopped"/>
    <s v="Breakdown"/>
    <d v="1899-12-30T00:00:00"/>
    <d v="1899-12-30T00:00:00"/>
    <d v="1899-12-30T03:11:00"/>
    <d v="1899-12-30T00:00:00"/>
    <n v="3.1833333333333336"/>
    <n v="3.1833333333333336"/>
    <s v="Found 400v supply MCB trip condition then restored"/>
    <s v="Close"/>
    <n v="0.13840579710144929"/>
    <n v="1"/>
    <n v="0.4"/>
    <m/>
  </r>
  <r>
    <n v="1467"/>
    <n v="2025"/>
    <n v="2024"/>
    <s v="Year_2"/>
    <d v="2024-04-12T00:00:00"/>
    <s v="KUD07"/>
    <s v="O2R3"/>
    <s v="JK"/>
    <n v="4.3478260869565223E-2"/>
    <n v="900"/>
    <x v="100"/>
    <s v="Pause pressed on keyboard"/>
    <s v="Manual Stop"/>
    <d v="1899-12-30T09:47:51"/>
    <d v="1899-12-30T09:47:51"/>
    <d v="1899-12-30T17:13:07"/>
    <d v="1899-12-30T00:00:00"/>
    <n v="7.4211111111111112"/>
    <n v="7.4211111111111112"/>
    <s v="1 Year scheduled service day1 work done"/>
    <s v="Close"/>
    <n v="0.32265700483091792"/>
    <n v="1"/>
    <n v="3.93"/>
    <m/>
  </r>
  <r>
    <n v="1468"/>
    <n v="2025"/>
    <n v="2024"/>
    <s v="Year_2"/>
    <d v="2024-04-12T00:00:00"/>
    <s v="KUD07"/>
    <s v="O2R3"/>
    <s v="JK"/>
    <n v="4.3478260869565223E-2"/>
    <n v="3273"/>
    <x v="35"/>
    <s v="YawUntwistCCW: Code 6,    733Â°"/>
    <s v="Breakdown"/>
    <d v="1899-12-30T17:27:10"/>
    <d v="1899-12-30T17:27:10"/>
    <d v="1899-12-30T17:57:04"/>
    <d v="1899-12-30T00:00:00"/>
    <n v="0.49833333333333396"/>
    <n v="0.49833333333333396"/>
    <s v="Turbine self cable Twist release"/>
    <s v="Close"/>
    <n v="2.1666666666666695E-2"/>
    <n v="1"/>
    <n v="3.93"/>
    <m/>
  </r>
  <r>
    <n v="1469"/>
    <n v="2025"/>
    <n v="2024"/>
    <s v="Year_2"/>
    <d v="2024-04-12T00:00:00"/>
    <s v="KUD16"/>
    <s v="O2R2"/>
    <s v="SIL"/>
    <n v="4.3478260869565223E-2"/>
    <n v="3273"/>
    <x v="35"/>
    <s v="YawUntwistCCW: Code 6,    566Â°"/>
    <s v="Breakdown"/>
    <d v="1899-12-30T19:52:44"/>
    <d v="1899-12-30T19:52:44"/>
    <d v="1899-12-30T20:14:29"/>
    <d v="1899-12-30T00:00:00"/>
    <n v="0.36250000000000071"/>
    <n v="0.36250000000000071"/>
    <s v="Turbine self cable Twist release"/>
    <s v="Close"/>
    <n v="1.5760869565217425E-2"/>
    <n v="1"/>
    <n v="0"/>
    <m/>
  </r>
  <r>
    <n v="1470"/>
    <n v="2025"/>
    <n v="2024"/>
    <s v="Year_2"/>
    <d v="2024-04-12T00:00:00"/>
    <s v="KUD18"/>
    <s v="O2R4"/>
    <s v="SGDCIPL"/>
    <n v="4.3478260869565223E-2"/>
    <n v="3273"/>
    <x v="35"/>
    <s v="YawUntwistCCW: Code 6,    541Â°"/>
    <s v="Breakdown"/>
    <d v="1899-12-30T17:51:49"/>
    <d v="1899-12-30T17:51:49"/>
    <d v="1899-12-30T18:15:27"/>
    <d v="1899-12-30T00:00:00"/>
    <n v="0.39388888888889007"/>
    <n v="0.39388888888889007"/>
    <s v="Turbine self cable Twist release"/>
    <s v="Close"/>
    <n v="1.7125603864734353E-2"/>
    <n v="1"/>
    <n v="0.4"/>
    <m/>
  </r>
  <r>
    <n v="1471"/>
    <n v="2025"/>
    <n v="2024"/>
    <s v="Year_2"/>
    <d v="2024-04-12T00:00:00"/>
    <s v="KUD18"/>
    <s v="O2R4"/>
    <s v="SGDCIPL"/>
    <n v="4.3478260869565223E-2"/>
    <n v="6293"/>
    <x v="32"/>
    <s v="Pitch valves test acitve"/>
    <s v="Breakdown"/>
    <d v="1899-12-30T17:52:52"/>
    <d v="1899-12-30T17:52:52"/>
    <d v="1899-12-30T18:15:27"/>
    <d v="1899-12-30T00:00:00"/>
    <n v="0.37638888888888999"/>
    <n v="0.37638888888888999"/>
    <s v="Tubrine self test active"/>
    <s v="Close"/>
    <n v="1.6364734299516959E-2"/>
    <n v="1"/>
    <n v="0.4"/>
    <m/>
  </r>
  <r>
    <n v="1472"/>
    <n v="2025"/>
    <n v="2024"/>
    <s v="Year_2"/>
    <d v="2024-04-12T00:00:00"/>
    <s v="KUD18"/>
    <s v="O2R4"/>
    <s v="SGDCIPL"/>
    <n v="4.3478260869565223E-2"/>
    <n v="158"/>
    <x v="132"/>
    <s v="Rotor: 2.1RPM, Gen.:-234.5 RPM"/>
    <s v="Breakdown"/>
    <d v="1899-12-30T20:19:53"/>
    <d v="1899-12-30T20:19:53"/>
    <d v="1899-12-30T20:27:44"/>
    <d v="1899-12-30T00:00:00"/>
    <n v="0.13083333333333247"/>
    <n v="0.13083333333333247"/>
    <s v="Auto reset"/>
    <s v="Close"/>
    <n v="5.6884057971014123E-3"/>
    <n v="1"/>
    <n v="0.4"/>
    <m/>
  </r>
  <r>
    <n v="1473"/>
    <n v="2025"/>
    <n v="2024"/>
    <s v="Year_2"/>
    <d v="2024-04-12T00:00:00"/>
    <s v="KUD01"/>
    <s v="O2R1"/>
    <s v="KSIPL"/>
    <n v="4.3478260869565223E-2"/>
    <n v="3024"/>
    <x v="113"/>
    <s v="ArcNetReconfigMaxLimit      10"/>
    <s v="Breakdown"/>
    <d v="1899-12-30T16:31:00"/>
    <d v="1899-12-30T16:31:00"/>
    <d v="1899-12-30T17:20:00"/>
    <d v="1899-12-30T00:00:00"/>
    <n v="0.81666666666666643"/>
    <n v="0.81666666666666643"/>
    <s v="Manual reset done"/>
    <s v="Close"/>
    <n v="3.5507246376811588E-2"/>
    <n v="1"/>
    <n v="0.69"/>
    <m/>
  </r>
  <r>
    <n v="1474"/>
    <n v="2025"/>
    <n v="2024"/>
    <s v="Year_2"/>
    <d v="2024-04-13T00:00:00"/>
    <s v="KUD01"/>
    <s v="O2R1"/>
    <s v="KSIPL"/>
    <n v="4.3478260869565223E-2"/>
    <n v="450"/>
    <x v="127"/>
    <s v="Ext. High I sum Grd inv."/>
    <s v="Breakdown"/>
    <d v="1899-12-30T06:15:29"/>
    <d v="1899-12-30T06:15:29"/>
    <d v="1899-12-30T06:19:22"/>
    <d v="1899-12-30T00:00:00"/>
    <n v="6.472222222222257E-2"/>
    <n v="6.472222222222257E-2"/>
    <s v="Auto reset"/>
    <s v="Close"/>
    <n v="2.8140096618357643E-3"/>
    <n v="1"/>
    <n v="0.05"/>
    <m/>
  </r>
  <r>
    <n v="1475"/>
    <n v="2025"/>
    <n v="2024"/>
    <s v="Year_2"/>
    <d v="2024-04-13T00:00:00"/>
    <s v="KUD01"/>
    <s v="O2R1"/>
    <s v="KSIPL"/>
    <n v="4.3478260869565223E-2"/>
    <n v="356"/>
    <x v="165"/>
    <s v="Extreme yawerror 14.4m/s 53.0Â°"/>
    <s v="Breakdown"/>
    <d v="1899-12-30T17:32:43"/>
    <d v="1899-12-30T17:32:43"/>
    <d v="1899-12-30T17:34:39"/>
    <d v="1899-12-30T00:00:00"/>
    <n v="3.2222222222222818E-2"/>
    <n v="3.2222222222222818E-2"/>
    <s v="Auto reset"/>
    <s v="Close"/>
    <n v="1.4009661835749053E-3"/>
    <n v="1"/>
    <n v="0.05"/>
    <m/>
  </r>
  <r>
    <n v="1476"/>
    <n v="2025"/>
    <n v="2024"/>
    <s v="Year_2"/>
    <d v="2024-04-13T00:00:00"/>
    <s v="KUD04"/>
    <s v="O2R3"/>
    <s v="JK"/>
    <n v="4.3478260869565223E-2"/>
    <n v="693"/>
    <x v="157"/>
    <s v="SignalError-PAUSE  2289,    3"/>
    <s v="Breakdown"/>
    <d v="1899-12-30T07:24:30"/>
    <d v="1899-12-30T07:24:30"/>
    <d v="1899-12-30T07:49:28"/>
    <d v="1899-12-30T00:00:00"/>
    <n v="0.41611111111111132"/>
    <n v="0.41611111111111132"/>
    <s v="Remote reboot and reset done"/>
    <s v="Close"/>
    <n v="1.8091787439613538E-2"/>
    <n v="1"/>
    <n v="0.25"/>
    <m/>
  </r>
  <r>
    <n v="1477"/>
    <n v="2025"/>
    <n v="2024"/>
    <s v="Year_2"/>
    <d v="2024-04-13T00:00:00"/>
    <s v="KUD04"/>
    <s v="O2R3"/>
    <s v="JK"/>
    <n v="4.3478260869565223E-2"/>
    <n v="3273"/>
    <x v="35"/>
    <s v="YawUntwistCCW: Code 5,    540Â°"/>
    <s v="Breakdown"/>
    <d v="1899-12-30T13:21:22"/>
    <d v="1899-12-30T13:21:22"/>
    <d v="1899-12-30T13:42:50"/>
    <d v="1899-12-30T00:00:00"/>
    <n v="0.35777777777777686"/>
    <n v="0.35777777777777686"/>
    <s v="Turbine self cable Twist release"/>
    <s v="Close"/>
    <n v="1.5555555555555517E-2"/>
    <n v="1"/>
    <n v="0.64"/>
    <m/>
  </r>
  <r>
    <n v="1478"/>
    <n v="2025"/>
    <n v="2024"/>
    <s v="Year_2"/>
    <d v="2024-04-13T00:00:00"/>
    <s v="KUD04"/>
    <s v="O2R3"/>
    <s v="JK"/>
    <n v="4.3478260869565223E-2"/>
    <n v="356"/>
    <x v="165"/>
    <s v="Extreme yawerror 10.2m/s110.7Â°"/>
    <s v="Breakdown"/>
    <d v="1899-12-30T17:22:06"/>
    <d v="1899-12-30T17:22:06"/>
    <d v="1899-12-30T17:25:23"/>
    <d v="1899-12-30T00:00:00"/>
    <n v="5.4722222222223671E-2"/>
    <n v="5.4722222222223671E-2"/>
    <s v="Auto reset"/>
    <s v="Close"/>
    <n v="2.3792270531401601E-3"/>
    <n v="1"/>
    <n v="0"/>
    <m/>
  </r>
  <r>
    <n v="1479"/>
    <n v="2025"/>
    <n v="2024"/>
    <s v="Year_2"/>
    <d v="2024-04-13T00:00:00"/>
    <s v="KUD03"/>
    <s v="O2R1"/>
    <s v="KSIPL"/>
    <n v="4.3478260869565223E-2"/>
    <n v="3273"/>
    <x v="35"/>
    <s v="YawUntwistCCW: Code 6,    696Â°"/>
    <s v="Breakdown"/>
    <d v="1899-12-30T22:57:17"/>
    <d v="1899-12-30T22:57:17"/>
    <d v="1899-12-30T23:25:59"/>
    <d v="1899-12-30T00:00:00"/>
    <n v="0.4783333333333335"/>
    <n v="0.4783333333333335"/>
    <s v="Turbine self cable Twist release"/>
    <s v="Close"/>
    <n v="2.0797101449275372E-2"/>
    <n v="1"/>
    <n v="0.16"/>
    <m/>
  </r>
  <r>
    <n v="1480"/>
    <n v="2025"/>
    <n v="2024"/>
    <s v="Year_2"/>
    <d v="2024-04-13T00:00:00"/>
    <s v="KUD05"/>
    <s v="O2R3"/>
    <s v="JK"/>
    <n v="4.3478260869565223E-2"/>
    <n v="356"/>
    <x v="165"/>
    <s v="Extreme yawerror 11.9m/s 87.3Â°"/>
    <s v="Breakdown"/>
    <d v="1899-12-30T17:28:50"/>
    <d v="1899-12-30T17:28:50"/>
    <d v="1899-12-30T17:32:10"/>
    <d v="1899-12-30T00:00:00"/>
    <n v="5.5555555555557135E-2"/>
    <n v="5.5555555555557135E-2"/>
    <s v="Auto reset"/>
    <s v="Close"/>
    <n v="2.4154589371981365E-3"/>
    <n v="1"/>
    <n v="0.23"/>
    <m/>
  </r>
  <r>
    <n v="1481"/>
    <n v="2025"/>
    <n v="2024"/>
    <s v="Year_2"/>
    <d v="2024-04-13T00:00:00"/>
    <s v="KUD05"/>
    <s v="O2R3"/>
    <s v="JK"/>
    <n v="4.3478260869565223E-2"/>
    <n v="3273"/>
    <x v="35"/>
    <s v="YawUntwistCCW: Code 5,    584Â°"/>
    <s v="Breakdown"/>
    <d v="1899-12-30T23:13:08"/>
    <d v="1899-12-30T23:13:08"/>
    <d v="1899-12-30T23:39:12"/>
    <d v="1899-12-30T00:00:00"/>
    <n v="0.43444444444444485"/>
    <n v="0.43444444444444485"/>
    <s v="Turbine self cable Twist release"/>
    <s v="Close"/>
    <n v="1.888888888888891E-2"/>
    <n v="1"/>
    <n v="0.56999999999999995"/>
    <m/>
  </r>
  <r>
    <n v="1482"/>
    <n v="2025"/>
    <n v="2024"/>
    <s v="Year_2"/>
    <d v="2024-04-13T00:00:00"/>
    <s v="KUD06"/>
    <s v="O2R3"/>
    <s v="JK"/>
    <n v="4.3478260869565223E-2"/>
    <n v="3273"/>
    <x v="35"/>
    <s v="YawUntwistCCW: Code 6,    540Â°"/>
    <s v="Breakdown"/>
    <d v="1899-12-30T23:09:37"/>
    <d v="1899-12-30T23:09:37"/>
    <d v="1899-12-30T23:12:41"/>
    <d v="1899-12-30T00:00:00"/>
    <n v="5.1111111111110219E-2"/>
    <n v="5.1111111111110219E-2"/>
    <s v="Turbine self cable Twist release"/>
    <s v="Close"/>
    <n v="2.2222222222221836E-3"/>
    <n v="1"/>
    <n v="0.56999999999999995"/>
    <m/>
  </r>
  <r>
    <n v="1483"/>
    <n v="2025"/>
    <n v="2024"/>
    <s v="Year_2"/>
    <d v="2024-04-13T00:00:00"/>
    <s v="KUD06"/>
    <s v="O2R3"/>
    <s v="JK"/>
    <n v="4.3478260869565223E-2"/>
    <n v="3273"/>
    <x v="35"/>
    <s v="YawUntwistCCW: Code 6,    570Â°"/>
    <s v="Breakdown"/>
    <d v="1899-12-30T23:14:07"/>
    <d v="1899-12-30T23:14:07"/>
    <d v="1899-12-30T23:35:21"/>
    <d v="1899-12-30T00:00:00"/>
    <n v="0.35388888888888914"/>
    <n v="0.35388888888888914"/>
    <s v="Turbine self cable Twist release"/>
    <s v="Close"/>
    <n v="1.5386473429951704E-2"/>
    <n v="1"/>
    <n v="0.56999999999999995"/>
    <m/>
  </r>
  <r>
    <n v="1484"/>
    <n v="2025"/>
    <n v="2024"/>
    <s v="Year_2"/>
    <d v="2024-04-13T00:00:00"/>
    <s v="KUD07"/>
    <s v="O2R3"/>
    <s v="JK"/>
    <n v="4.3478260869565223E-2"/>
    <n v="3273"/>
    <x v="35"/>
    <s v="YawUntwistCCW: Code 6,    576Â°"/>
    <s v="Breakdown"/>
    <d v="1899-12-30T02:48:30"/>
    <d v="1899-12-30T02:48:30"/>
    <d v="1899-12-30T03:11:49"/>
    <d v="1899-12-30T00:00:00"/>
    <n v="0.38861111111111102"/>
    <n v="0.38861111111111102"/>
    <s v="Turbine self cable Twist release"/>
    <s v="Close"/>
    <n v="1.6896135265700482E-2"/>
    <n v="1"/>
    <n v="0.62"/>
    <m/>
  </r>
  <r>
    <n v="1485"/>
    <n v="2025"/>
    <n v="2024"/>
    <s v="Year_2"/>
    <d v="2024-04-13T00:00:00"/>
    <s v="KUD07"/>
    <s v="O2R3"/>
    <s v="JK"/>
    <n v="4.3478260869565223E-2"/>
    <n v="900"/>
    <x v="100"/>
    <s v="Pause pressed on keyboard"/>
    <s v="Manual Stop"/>
    <d v="1899-12-30T09:48:42"/>
    <d v="1899-12-30T09:48:42"/>
    <d v="1899-12-30T16:31:36"/>
    <d v="1899-12-30T00:00:00"/>
    <n v="6.7149999999999981"/>
    <n v="6.7149999999999981"/>
    <s v="1 Year scheduled service day2 work done"/>
    <s v="Close"/>
    <n v="0.29195652173913039"/>
    <n v="1"/>
    <n v="0.95"/>
    <m/>
  </r>
  <r>
    <n v="1486"/>
    <n v="2025"/>
    <n v="2024"/>
    <s v="Year_2"/>
    <d v="2024-04-13T00:00:00"/>
    <s v="KUD08"/>
    <s v="O2R3"/>
    <s v="JK"/>
    <n v="4.3478260869565223E-2"/>
    <n v="356"/>
    <x v="165"/>
    <s v="Extreme yawerror  7.7m/s144.4Â°"/>
    <s v="Breakdown"/>
    <d v="1899-12-30T15:15:57"/>
    <d v="1899-12-30T15:15:57"/>
    <d v="1899-12-30T15:22:43"/>
    <d v="1899-12-30T00:00:00"/>
    <n v="0.11277777777777853"/>
    <n v="0.11277777777777853"/>
    <s v="Auto reset"/>
    <s v="Close"/>
    <n v="4.9033816425121104E-3"/>
    <n v="1"/>
    <n v="0"/>
    <m/>
  </r>
  <r>
    <n v="1487"/>
    <n v="2025"/>
    <n v="2024"/>
    <s v="Year_2"/>
    <d v="2024-04-13T00:00:00"/>
    <s v="KUD09"/>
    <s v="O2R3"/>
    <s v="JK"/>
    <n v="4.3478260869565223E-2"/>
    <n v="3272"/>
    <x v="143"/>
    <s v="YawUntwistCW: Code 3,-000540Â°"/>
    <s v="Breakdown"/>
    <d v="1899-12-30T13:45:16"/>
    <d v="1899-12-30T13:45:16"/>
    <d v="1899-12-30T14:11:29"/>
    <d v="1899-12-30T00:00:00"/>
    <n v="0.43694444444444525"/>
    <n v="0.43694444444444525"/>
    <s v="Turbine self cable Twist release"/>
    <s v="Close"/>
    <n v="1.8997584541062838E-2"/>
    <n v="1"/>
    <n v="0.3"/>
    <m/>
  </r>
  <r>
    <n v="1488"/>
    <n v="2025"/>
    <n v="2024"/>
    <s v="Year_2"/>
    <d v="2024-04-13T00:00:00"/>
    <s v="KUD09"/>
    <s v="O2R3"/>
    <s v="JK"/>
    <n v="4.3478260869565223E-2"/>
    <n v="356"/>
    <x v="165"/>
    <s v="Extreme yawerror 12.2m/s 83.5Â°"/>
    <s v="Breakdown"/>
    <d v="1899-12-30T17:28:02"/>
    <d v="1899-12-30T17:28:02"/>
    <d v="1899-12-30T17:30:49"/>
    <d v="1899-12-30T00:00:00"/>
    <n v="4.6388888888889035E-2"/>
    <n v="4.6388888888889035E-2"/>
    <s v="Auto reset"/>
    <s v="Close"/>
    <n v="2.0169082125603929E-3"/>
    <n v="1"/>
    <n v="0.5"/>
    <m/>
  </r>
  <r>
    <n v="1489"/>
    <n v="2025"/>
    <n v="2024"/>
    <s v="Year_2"/>
    <d v="2024-04-13T00:00:00"/>
    <s v="KUD10"/>
    <s v="O2R1"/>
    <s v="KSIPL"/>
    <n v="4.3478260869565223E-2"/>
    <n v="3273"/>
    <x v="35"/>
    <s v="YawUntwistCCW: Code 6,    585Â°"/>
    <s v="Breakdown"/>
    <d v="1899-12-30T02:56:50"/>
    <d v="1899-12-30T02:56:50"/>
    <d v="1899-12-30T03:20:26"/>
    <d v="1899-12-30T00:00:00"/>
    <n v="0.39333333333333353"/>
    <n v="0.39333333333333353"/>
    <s v="Turbine self cable Twist release"/>
    <s v="Close"/>
    <n v="1.7101449275362331E-2"/>
    <n v="1"/>
    <n v="0"/>
    <m/>
  </r>
  <r>
    <n v="1490"/>
    <n v="2025"/>
    <n v="2024"/>
    <s v="Year_2"/>
    <d v="2024-04-13T00:00:00"/>
    <s v="KUD11"/>
    <s v="O2R1"/>
    <s v="KSIPL"/>
    <n v="4.3478260869565223E-2"/>
    <n v="3273"/>
    <x v="35"/>
    <s v="YawUntwistCCW: Code 6,    540Â°"/>
    <s v="Breakdown"/>
    <d v="1899-12-30T13:42:20"/>
    <d v="1899-12-30T13:42:20"/>
    <d v="1899-12-30T14:09:30"/>
    <d v="1899-12-30T00:00:00"/>
    <n v="0.45277777777777573"/>
    <n v="0.45277777777777573"/>
    <s v="Turbine self cable Twist release"/>
    <s v="Close"/>
    <n v="1.9685990338164164E-2"/>
    <n v="1"/>
    <n v="0.04"/>
    <m/>
  </r>
  <r>
    <n v="1491"/>
    <n v="2025"/>
    <n v="2024"/>
    <s v="Year_2"/>
    <d v="2024-04-13T00:00:00"/>
    <s v="KUD11"/>
    <s v="O2R1"/>
    <s v="KSIPL"/>
    <n v="4.3478260869565223E-2"/>
    <n v="356"/>
    <x v="165"/>
    <s v="Extreme yawerror 11.8m/s 88.4Â°"/>
    <s v="Breakdown"/>
    <d v="1899-12-30T17:26:31"/>
    <d v="1899-12-30T17:26:31"/>
    <d v="1899-12-30T17:29:44"/>
    <d v="1899-12-30T00:00:00"/>
    <n v="5.361111111111061E-2"/>
    <n v="5.361111111111061E-2"/>
    <s v="Auto reset"/>
    <s v="Close"/>
    <n v="2.3309178743961137E-3"/>
    <n v="1"/>
    <n v="0.2"/>
    <m/>
  </r>
  <r>
    <n v="1492"/>
    <n v="2025"/>
    <n v="2024"/>
    <s v="Year_2"/>
    <d v="2024-04-13T00:00:00"/>
    <s v="KUD12"/>
    <s v="O2R1"/>
    <s v="KSIPL"/>
    <n v="4.3478260869565223E-2"/>
    <n v="3273"/>
    <x v="35"/>
    <s v="YawUntwistCCW: Code 5,    540Â°"/>
    <s v="Breakdown"/>
    <d v="1899-12-30T09:13:37"/>
    <d v="1899-12-30T09:13:37"/>
    <d v="1899-12-30T09:37:53"/>
    <d v="1899-12-30T00:00:00"/>
    <n v="0.40444444444444416"/>
    <n v="0.40444444444444416"/>
    <s v="Turbine self cable Twist release"/>
    <s v="Close"/>
    <n v="1.7584541062801922E-2"/>
    <n v="1"/>
    <n v="0.28000000000000003"/>
    <m/>
  </r>
  <r>
    <n v="1493"/>
    <n v="2025"/>
    <n v="2024"/>
    <s v="Year_2"/>
    <d v="2024-04-13T00:00:00"/>
    <s v="KUD12"/>
    <s v="O2R1"/>
    <s v="KSIPL"/>
    <n v="4.3478260869565223E-2"/>
    <n v="356"/>
    <x v="165"/>
    <s v="Extreme yawerror 13.8m/s 60.8Â°"/>
    <s v="Breakdown"/>
    <d v="1899-12-30T17:24:39"/>
    <d v="1899-12-30T17:24:39"/>
    <d v="1899-12-30T17:26:47"/>
    <d v="1899-12-30T00:00:00"/>
    <n v="3.5555555555554008E-2"/>
    <n v="3.5555555555554008E-2"/>
    <s v="Auto reset"/>
    <s v="Close"/>
    <n v="1.5458937198066962E-3"/>
    <n v="1"/>
    <n v="0.28000000000000003"/>
    <m/>
  </r>
  <r>
    <n v="1494"/>
    <n v="2025"/>
    <n v="2024"/>
    <s v="Year_2"/>
    <d v="2024-04-13T00:00:00"/>
    <s v="KUD13"/>
    <s v="O2R1"/>
    <s v="KSIPL"/>
    <n v="4.3478260869565223E-2"/>
    <n v="3272"/>
    <x v="143"/>
    <s v="YawUntwistCW: Code 3,-000544Â°"/>
    <s v="Breakdown"/>
    <d v="1899-12-30T13:39:19"/>
    <d v="1899-12-30T13:39:19"/>
    <d v="1899-12-30T14:04:41"/>
    <d v="1899-12-30T00:00:00"/>
    <n v="0.42277777777777903"/>
    <n v="0.42277777777777903"/>
    <s v="Turbine self cable Twist release"/>
    <s v="Close"/>
    <n v="1.8381642512077353E-2"/>
    <n v="1"/>
    <n v="0.11"/>
    <m/>
  </r>
  <r>
    <n v="1495"/>
    <n v="2025"/>
    <n v="2024"/>
    <s v="Year_2"/>
    <d v="2024-04-13T00:00:00"/>
    <s v="KUD13"/>
    <s v="O2R1"/>
    <s v="KSIPL"/>
    <n v="4.3478260869565223E-2"/>
    <n v="356"/>
    <x v="165"/>
    <s v="Extreme yawerror 12.9m/s 74.2Â°"/>
    <s v="Breakdown"/>
    <d v="1899-12-30T17:25:13"/>
    <d v="1899-12-30T17:25:13"/>
    <d v="1899-12-30T17:27:51"/>
    <d v="1899-12-30T00:00:00"/>
    <n v="4.3888888888888644E-2"/>
    <n v="4.3888888888888644E-2"/>
    <s v="Auto reset"/>
    <s v="Close"/>
    <n v="1.908212560386463E-3"/>
    <n v="1"/>
    <n v="0.26"/>
    <m/>
  </r>
  <r>
    <n v="1496"/>
    <n v="2025"/>
    <n v="2024"/>
    <s v="Year_2"/>
    <d v="2024-04-13T00:00:00"/>
    <s v="KUD14"/>
    <s v="O2R1"/>
    <s v="KSIPL"/>
    <n v="4.3478260869565223E-2"/>
    <n v="3272"/>
    <x v="143"/>
    <s v="YawUntwistCW: Code 3,-000555Â°"/>
    <s v="Breakdown"/>
    <d v="1899-12-30T12:38:43"/>
    <d v="1899-12-30T12:38:43"/>
    <d v="1899-12-30T12:59:58"/>
    <d v="1899-12-30T00:00:00"/>
    <n v="0.35416666666666874"/>
    <n v="0.35416666666666874"/>
    <s v="Turbine self cable Twist release"/>
    <s v="Close"/>
    <n v="1.5398550724637774E-2"/>
    <n v="1"/>
    <n v="0.1"/>
    <m/>
  </r>
  <r>
    <n v="1497"/>
    <n v="2025"/>
    <n v="2024"/>
    <s v="Year_2"/>
    <d v="2024-04-13T00:00:00"/>
    <s v="KUD14"/>
    <s v="O2R1"/>
    <s v="KSIPL"/>
    <n v="4.3478260869565223E-2"/>
    <n v="356"/>
    <x v="165"/>
    <s v="Extreme yawerror 10.8m/s101.7Â°"/>
    <s v="Breakdown"/>
    <d v="1899-12-30T17:26:35"/>
    <d v="1899-12-30T17:26:35"/>
    <d v="1899-12-30T17:30:39"/>
    <d v="1899-12-30T00:00:00"/>
    <n v="6.7777777777779491E-2"/>
    <n v="6.7777777777779491E-2"/>
    <s v="Auto reset"/>
    <s v="Close"/>
    <n v="2.9468599033817175E-3"/>
    <n v="1"/>
    <n v="0.13"/>
    <m/>
  </r>
  <r>
    <n v="1498"/>
    <n v="2025"/>
    <n v="2024"/>
    <s v="Year_2"/>
    <d v="2024-04-13T00:00:00"/>
    <s v="KUD15"/>
    <s v="O2R1"/>
    <s v="KSIPL"/>
    <n v="4.3478260869565223E-2"/>
    <n v="3325"/>
    <x v="166"/>
    <s v="GenerLubrErr:MissLubrTime132s"/>
    <s v="Breakdown"/>
    <d v="1899-12-30T02:04:00"/>
    <d v="1899-12-30T02:04:00"/>
    <d v="1899-12-30T02:16:00"/>
    <d v="1899-12-30T00:00:00"/>
    <n v="0.19999999999999962"/>
    <n v="0.19999999999999962"/>
    <s v="Auto reset"/>
    <s v="Close"/>
    <n v="8.695652173913028E-3"/>
    <n v="1"/>
    <n v="0.25"/>
    <m/>
  </r>
  <r>
    <n v="1499"/>
    <n v="2025"/>
    <n v="2024"/>
    <s v="Year_2"/>
    <d v="2024-04-13T00:00:00"/>
    <s v="KUD15"/>
    <s v="O2R1"/>
    <s v="KSIPL"/>
    <n v="4.3478260869565223E-2"/>
    <n v="3325"/>
    <x v="166"/>
    <s v="GenerLubrErr:MissLubrTime132s"/>
    <s v="Breakdown"/>
    <d v="1899-12-30T04:43:00"/>
    <d v="1899-12-30T04:43:00"/>
    <d v="1899-12-30T06:50:00"/>
    <d v="1899-12-30T00:00:00"/>
    <n v="2.1166666666666663"/>
    <n v="2.1166666666666663"/>
    <s v="Manual reset done"/>
    <s v="Close"/>
    <n v="9.2028985507246377E-2"/>
    <n v="1"/>
    <n v="0.25"/>
    <m/>
  </r>
  <r>
    <n v="1500"/>
    <n v="2025"/>
    <n v="2024"/>
    <s v="Year_2"/>
    <d v="2024-04-13T00:00:00"/>
    <s v="KUD15"/>
    <s v="O2R1"/>
    <s v="KSIPL"/>
    <n v="4.3478260869565223E-2"/>
    <n v="3298"/>
    <x v="47"/>
    <s v="Yaw To Cable Twist Reset"/>
    <s v="Breakdown"/>
    <d v="1899-12-30T06:50:01"/>
    <d v="1899-12-30T06:50:01"/>
    <d v="1899-12-30T07:25:30"/>
    <d v="1899-12-30T00:00:00"/>
    <n v="0.59138888888888896"/>
    <n v="0.59138888888888896"/>
    <s v="Turbine self cable Twist release"/>
    <s v="Close"/>
    <n v="2.5712560386473435E-2"/>
    <n v="1"/>
    <n v="0.02"/>
    <m/>
  </r>
  <r>
    <n v="1501"/>
    <n v="2025"/>
    <n v="2024"/>
    <s v="Year_2"/>
    <d v="2024-04-13T00:00:00"/>
    <s v="KUD18"/>
    <s v="O2R4"/>
    <s v="SGDCIPL"/>
    <n v="4.3478260869565223E-2"/>
    <n v="3273"/>
    <x v="35"/>
    <s v="YawUntwistCCW: Code 6,    549Â°"/>
    <s v="Breakdown"/>
    <d v="1899-12-30T02:26:49"/>
    <d v="1899-12-30T02:26:49"/>
    <d v="1899-12-30T02:54:41"/>
    <d v="1899-12-30T00:00:00"/>
    <n v="0.46444444444444455"/>
    <n v="0.46444444444444455"/>
    <s v="Turbine self cable Twist release"/>
    <s v="Close"/>
    <n v="2.0193236714975853E-2"/>
    <n v="1"/>
    <n v="0.06"/>
    <m/>
  </r>
  <r>
    <n v="1502"/>
    <n v="2025"/>
    <n v="2024"/>
    <s v="Year_2"/>
    <d v="2024-04-13T00:00:00"/>
    <s v="KUD18"/>
    <s v="O2R4"/>
    <s v="SGDCIPL"/>
    <n v="4.3478260869565223E-2"/>
    <n v="356"/>
    <x v="165"/>
    <s v="Extreme yawerror 14.1m/s 56.7Â°"/>
    <s v="Breakdown"/>
    <d v="1899-12-30T17:30:56"/>
    <d v="1899-12-30T17:30:56"/>
    <d v="1899-12-30T17:33:38"/>
    <d v="1899-12-30T00:00:00"/>
    <n v="4.4999999999999041E-2"/>
    <n v="4.4999999999999041E-2"/>
    <s v="Auto reset"/>
    <s v="Close"/>
    <n v="1.9565217391303933E-3"/>
    <n v="1"/>
    <n v="0.86"/>
    <m/>
  </r>
  <r>
    <n v="1503"/>
    <n v="2025"/>
    <n v="2024"/>
    <s v="Year_2"/>
    <d v="2024-04-13T00:00:00"/>
    <s v="KUD19"/>
    <s v="O2R1"/>
    <s v="KSIPL"/>
    <n v="4.3478260869565223E-2"/>
    <n v="356"/>
    <x v="165"/>
    <s v="Extreme yawerror 11.3m/s 95.5Â°"/>
    <s v="Breakdown"/>
    <d v="1899-12-30T17:30:21"/>
    <d v="1899-12-30T17:30:21"/>
    <d v="1899-12-30T17:33:42"/>
    <d v="1899-12-30T00:00:00"/>
    <n v="5.5833333333334068E-2"/>
    <n v="5.5833333333334068E-2"/>
    <s v="Auto reset"/>
    <s v="Close"/>
    <n v="2.4275362318840902E-3"/>
    <n v="1"/>
    <n v="0.2"/>
    <m/>
  </r>
  <r>
    <n v="1504"/>
    <n v="2025"/>
    <n v="2024"/>
    <s v="Year_2"/>
    <d v="2024-04-13T00:00:00"/>
    <s v="KUD20"/>
    <s v="O2R1"/>
    <s v="KSIPL"/>
    <n v="4.3478260869565223E-2"/>
    <n v="356"/>
    <x v="165"/>
    <s v="Extreme yawerror 14.5m/s 52.5Â°"/>
    <s v="Breakdown"/>
    <d v="1899-12-30T17:25:54"/>
    <d v="1899-12-30T17:25:54"/>
    <d v="1899-12-30T17:28:25"/>
    <d v="1899-12-30T00:00:00"/>
    <n v="4.1944444444444784E-2"/>
    <n v="4.1944444444444784E-2"/>
    <s v="Auto reset"/>
    <s v="Close"/>
    <n v="1.823671497584556E-3"/>
    <n v="1"/>
    <n v="0.28999999999999998"/>
    <m/>
  </r>
  <r>
    <n v="1505"/>
    <n v="2025"/>
    <n v="2024"/>
    <s v="Year_2"/>
    <d v="2024-04-13T00:00:00"/>
    <s v="KUD21"/>
    <s v="O2R3"/>
    <s v="JK"/>
    <n v="4.3478260869565223E-2"/>
    <n v="356"/>
    <x v="165"/>
    <s v="Extreme yawerror 12.5m/s 79.9Â°"/>
    <s v="Breakdown"/>
    <d v="1899-12-30T17:36:19"/>
    <d v="1899-12-30T17:36:19"/>
    <d v="1899-12-30T17:38:50"/>
    <d v="1899-12-30T00:00:00"/>
    <n v="4.1944444444444784E-2"/>
    <n v="4.1944444444444784E-2"/>
    <s v="Auto reset"/>
    <s v="Close"/>
    <n v="1.823671497584556E-3"/>
    <n v="1"/>
    <n v="0.91"/>
    <m/>
  </r>
  <r>
    <n v="1506"/>
    <n v="2025"/>
    <n v="2024"/>
    <s v="Year_2"/>
    <d v="2024-04-13T00:00:00"/>
    <s v="KUD22"/>
    <s v="O2R3"/>
    <s v="JK"/>
    <n v="4.3478260869565223E-2"/>
    <n v="356"/>
    <x v="165"/>
    <s v="Extreme yawerror 10.5m/s106.4Â°"/>
    <s v="Breakdown"/>
    <d v="1899-12-30T17:31:58"/>
    <d v="1899-12-30T17:31:58"/>
    <d v="1899-12-30T17:55:25"/>
    <d v="1899-12-30T00:00:00"/>
    <n v="0.39083333333333314"/>
    <n v="0.39083333333333314"/>
    <s v="Auto reset"/>
    <s v="Close"/>
    <n v="1.69927536231884E-2"/>
    <n v="1"/>
    <n v="0.89"/>
    <m/>
  </r>
  <r>
    <n v="1507"/>
    <n v="2025"/>
    <n v="2024"/>
    <s v="Year_2"/>
    <d v="2024-04-13T00:00:00"/>
    <s v="KUD22"/>
    <s v="O2R3"/>
    <s v="JK"/>
    <n v="4.3478260869565223E-2"/>
    <n v="5068"/>
    <x v="119"/>
    <s v="Pitch pos B meas. signal fault"/>
    <s v="Breakdown"/>
    <d v="1899-12-30T17:33:19"/>
    <d v="1899-12-30T17:33:19"/>
    <d v="1899-12-30T17:55:25"/>
    <d v="1899-12-30T00:00:00"/>
    <n v="0.36833333333333496"/>
    <n v="0.36833333333333496"/>
    <s v="Remote reboot and reset done"/>
    <s v="Close"/>
    <n v="1.6014492753623263E-2"/>
    <n v="1"/>
    <n v="0.57999999999999996"/>
    <m/>
  </r>
  <r>
    <n v="1508"/>
    <n v="2025"/>
    <n v="2024"/>
    <s v="Year_2"/>
    <d v="2024-04-13T00:00:00"/>
    <s v="KUD23"/>
    <s v="O2R3"/>
    <s v="JK"/>
    <n v="4.3478260869565223E-2"/>
    <n v="356"/>
    <x v="165"/>
    <s v="Extreme yawerror 11.7m/s 89.7Â°"/>
    <s v="Breakdown"/>
    <d v="1899-12-30T17:34:33"/>
    <d v="1899-12-30T17:34:33"/>
    <d v="1899-12-30T17:37:39"/>
    <d v="1899-12-30T00:00:00"/>
    <n v="5.166666666666675E-2"/>
    <n v="5.166666666666675E-2"/>
    <s v="Auto reset"/>
    <s v="Close"/>
    <n v="2.2463768115942068E-3"/>
    <n v="1"/>
    <n v="0.65"/>
    <m/>
  </r>
  <r>
    <n v="1509"/>
    <n v="2025"/>
    <n v="2024"/>
    <s v="Year_2"/>
    <d v="2024-04-14T00:00:00"/>
    <s v="KUD01"/>
    <s v="O2R1"/>
    <s v="KSIPL"/>
    <n v="4.3478260869565223E-2"/>
    <n v="3273"/>
    <x v="35"/>
    <s v="YawUntwistCCW: Code 6,    540Â°"/>
    <s v="Breakdown"/>
    <d v="1899-12-30T06:28:26"/>
    <d v="1899-12-30T06:28:26"/>
    <d v="1899-12-30T06:56:49"/>
    <d v="1899-12-30T00:00:00"/>
    <n v="0.47305555555555578"/>
    <n v="0.47305555555555578"/>
    <s v="Turbine self cable Twist release"/>
    <s v="Close"/>
    <n v="2.056763285024156E-2"/>
    <n v="1"/>
    <n v="0"/>
    <m/>
  </r>
  <r>
    <n v="1510"/>
    <n v="2025"/>
    <n v="2024"/>
    <s v="Year_2"/>
    <d v="2024-04-14T00:00:00"/>
    <s v="KUD04"/>
    <s v="O2R3"/>
    <s v="JK"/>
    <n v="4.3478260869565223E-2"/>
    <n v="3273"/>
    <x v="35"/>
    <s v="YawUntwistCCW: Code 5,    540Â°"/>
    <s v="Breakdown"/>
    <d v="1899-12-30T06:56:54"/>
    <d v="1899-12-30T06:56:54"/>
    <d v="1899-12-30T07:18:52"/>
    <d v="1899-12-30T00:00:00"/>
    <n v="0.36611111111111017"/>
    <n v="0.36611111111111017"/>
    <s v="Turbine self cable Twist release"/>
    <s v="Close"/>
    <n v="1.5917874396135227E-2"/>
    <n v="1"/>
    <n v="0.04"/>
    <m/>
  </r>
  <r>
    <n v="1511"/>
    <n v="2025"/>
    <n v="2024"/>
    <s v="Year_2"/>
    <d v="2024-04-14T00:00:00"/>
    <s v="KUD11"/>
    <s v="O2R1"/>
    <s v="KSIPL"/>
    <n v="4.3478260869565223E-2"/>
    <n v="3273"/>
    <x v="35"/>
    <s v="YawUntwistCCW: Code 6,    540Â°"/>
    <s v="Breakdown"/>
    <d v="1899-12-30T06:38:17"/>
    <d v="1899-12-30T06:38:17"/>
    <d v="1899-12-30T07:02:37"/>
    <d v="1899-12-30T00:00:00"/>
    <n v="0.40555555555555589"/>
    <n v="0.40555555555555589"/>
    <s v="Turbine self cable Twist release"/>
    <s v="Close"/>
    <n v="1.763285024154591E-2"/>
    <n v="1"/>
    <n v="0"/>
    <m/>
  </r>
  <r>
    <n v="1512"/>
    <n v="2025"/>
    <n v="2024"/>
    <s v="Year_2"/>
    <d v="2024-04-14T00:00:00"/>
    <s v="KUD12"/>
    <s v="O2R1"/>
    <s v="KSIPL"/>
    <n v="4.3478260869565223E-2"/>
    <n v="3273"/>
    <x v="35"/>
    <s v="YawUntwistCCW: Code 5,    540Â°"/>
    <s v="Breakdown"/>
    <d v="1899-12-30T07:02:15"/>
    <d v="1899-12-30T07:02:15"/>
    <d v="1899-12-30T07:29:35"/>
    <d v="1899-12-30T00:00:00"/>
    <n v="0.45555555555555571"/>
    <n v="0.45555555555555571"/>
    <s v="Turbine self cable Twist release"/>
    <s v="Close"/>
    <n v="1.9806763285024166E-2"/>
    <n v="1"/>
    <n v="0.01"/>
    <m/>
  </r>
  <r>
    <n v="1513"/>
    <n v="2025"/>
    <n v="2024"/>
    <s v="Year_2"/>
    <d v="2024-04-14T00:00:00"/>
    <s v="KUD13"/>
    <s v="O2R1"/>
    <s v="KSIPL"/>
    <n v="4.3478260869565223E-2"/>
    <n v="3273"/>
    <x v="35"/>
    <s v="YawUntwistCCW: Code 6,    551Â°"/>
    <s v="Breakdown"/>
    <d v="1899-12-30T11:17:16"/>
    <d v="1899-12-30T11:17:16"/>
    <d v="1899-12-30T11:45:04"/>
    <d v="1899-12-30T00:00:00"/>
    <n v="0.46333333333333382"/>
    <n v="0.46333333333333382"/>
    <s v="Turbine self cable Twist release"/>
    <s v="Close"/>
    <n v="2.014492753623191E-2"/>
    <n v="1"/>
    <n v="7.0000000000000007E-2"/>
    <m/>
  </r>
  <r>
    <n v="1514"/>
    <n v="2025"/>
    <n v="2024"/>
    <s v="Year_2"/>
    <d v="2024-04-14T00:00:00"/>
    <s v="KUD15"/>
    <s v="O2R1"/>
    <s v="KSIPL"/>
    <n v="4.3478260869565223E-2"/>
    <n v="3273"/>
    <x v="35"/>
    <s v="YawUntwistCCW: Code 6,    540Â°"/>
    <s v="Breakdown"/>
    <d v="1899-12-30T06:40:39"/>
    <d v="1899-12-30T06:40:39"/>
    <d v="1899-12-30T07:08:03"/>
    <d v="1899-12-30T00:00:00"/>
    <n v="0.45666666666666611"/>
    <n v="0.45666666666666611"/>
    <s v="Turbine self cable Twist release"/>
    <s v="Close"/>
    <n v="1.9855072463768095E-2"/>
    <n v="1"/>
    <n v="0.01"/>
    <m/>
  </r>
  <r>
    <n v="1515"/>
    <n v="2025"/>
    <n v="2024"/>
    <s v="Year_2"/>
    <d v="2024-04-14T00:00:00"/>
    <s v="KUD18"/>
    <s v="O2R4"/>
    <s v="SGDCIPL"/>
    <n v="4.3478260869565223E-2"/>
    <n v="3273"/>
    <x v="35"/>
    <s v="YawUntwistCCW: Code 6,    540Â°"/>
    <s v="Breakdown"/>
    <d v="1899-12-30T07:18:51"/>
    <d v="1899-12-30T07:18:51"/>
    <d v="1899-12-30T07:46:48"/>
    <d v="1899-12-30T00:00:00"/>
    <n v="0.46583333333333288"/>
    <n v="0.46583333333333288"/>
    <s v="Turbine self cable Twist release"/>
    <s v="Close"/>
    <n v="2.0253623188405779E-2"/>
    <n v="1"/>
    <n v="0.13"/>
    <m/>
  </r>
  <r>
    <n v="1516"/>
    <n v="2025"/>
    <n v="2024"/>
    <s v="Year_2"/>
    <d v="2024-04-14T00:00:00"/>
    <s v="KUD19"/>
    <s v="O2R1"/>
    <s v="KSIPL"/>
    <n v="4.3478260869565223E-2"/>
    <n v="3273"/>
    <x v="35"/>
    <s v="YawUntwistCCW: Code 6,    577Â°"/>
    <s v="Breakdown"/>
    <d v="1899-12-30T07:56:30"/>
    <d v="1899-12-30T07:56:30"/>
    <d v="1899-12-30T08:24:40"/>
    <d v="1899-12-30T00:00:00"/>
    <n v="0.469444444444445"/>
    <n v="0.469444444444445"/>
    <s v="Turbine self cable Twist release"/>
    <s v="Close"/>
    <n v="2.0410628019323699E-2"/>
    <n v="1"/>
    <n v="0.05"/>
    <m/>
  </r>
  <r>
    <n v="1517"/>
    <n v="2025"/>
    <n v="2024"/>
    <s v="Year_2"/>
    <d v="2024-04-14T00:00:00"/>
    <s v="KUD20"/>
    <s v="O2R1"/>
    <s v="KSIPL"/>
    <n v="4.3478260869565223E-2"/>
    <n v="3273"/>
    <x v="35"/>
    <s v="YawUntwistCCW: Code 6,    540Â°"/>
    <s v="Breakdown"/>
    <d v="1899-12-30T06:55:43"/>
    <d v="1899-12-30T06:55:43"/>
    <d v="1899-12-30T07:22:09"/>
    <d v="1899-12-30T00:00:00"/>
    <n v="0.4405555555555547"/>
    <n v="0.4405555555555547"/>
    <s v="Turbine self cable Twist release"/>
    <s v="Close"/>
    <n v="1.915458937198064E-2"/>
    <n v="1"/>
    <n v="0"/>
    <m/>
  </r>
  <r>
    <n v="1518"/>
    <n v="2025"/>
    <n v="2024"/>
    <s v="Year_2"/>
    <d v="2024-04-14T00:00:00"/>
    <s v="KUD22"/>
    <s v="O2R3"/>
    <s v="JK"/>
    <n v="4.3478260869565223E-2"/>
    <n v="3209"/>
    <x v="101"/>
    <s v="YawSignals Invalid"/>
    <s v="Breakdown"/>
    <d v="1899-12-30T13:07:22"/>
    <d v="1899-12-30T13:07:22"/>
    <d v="1899-12-30T13:26:27"/>
    <d v="1899-12-30T00:00:00"/>
    <n v="0.31805555555555554"/>
    <n v="0.31805555555555554"/>
    <s v="Remote reset done"/>
    <s v="Close"/>
    <n v="1.3828502415458938E-2"/>
    <n v="1"/>
    <n v="0.16"/>
    <m/>
  </r>
  <r>
    <n v="1519"/>
    <n v="2025"/>
    <n v="2024"/>
    <s v="Year_2"/>
    <d v="2024-04-15T00:00:00"/>
    <s v="KUD01"/>
    <s v="O2R1"/>
    <s v="KSIPL"/>
    <n v="4.3478260869565223E-2"/>
    <n v="335"/>
    <x v="152"/>
    <s v="ExtHighIRotorInv phase: 2"/>
    <s v="Breakdown"/>
    <d v="2024-04-15T14:25:08"/>
    <d v="2024-04-15T14:25:08"/>
    <d v="2024-04-15T15:09:41"/>
    <d v="1899-12-30T00:00:00"/>
    <n v="0.74249999999301508"/>
    <n v="0.74249999999301508"/>
    <s v="Remote reboot and reset done"/>
    <s v="Close"/>
    <n v="3.2282608695348484E-2"/>
    <n v="1"/>
    <n v="0.62"/>
    <m/>
  </r>
  <r>
    <n v="1520"/>
    <n v="2025"/>
    <n v="2024"/>
    <s v="Year_2"/>
    <d v="2024-04-15T00:00:00"/>
    <s v="KUD08"/>
    <s v="O2R3"/>
    <s v="JK"/>
    <n v="4.3478260869565223E-2"/>
    <n v="900"/>
    <x v="100"/>
    <s v="Pause pressed on keyboard"/>
    <s v="Manual Stop"/>
    <d v="2024-04-15T09:44:44"/>
    <d v="2024-04-15T09:44:44"/>
    <d v="2024-04-15T17:39:11"/>
    <d v="1899-12-30T00:00:00"/>
    <n v="7.9074999999138527"/>
    <n v="7.9074999999138527"/>
    <s v="1 Year scheduled service day1 work done"/>
    <s v="Close"/>
    <n v="0.34380434782234148"/>
    <n v="1"/>
    <n v="4.75"/>
    <m/>
  </r>
  <r>
    <n v="1521"/>
    <n v="2025"/>
    <n v="2024"/>
    <s v="Year_2"/>
    <d v="2024-04-16T00:00:00"/>
    <s v="KUD01"/>
    <s v="O2R1"/>
    <s v="KSIPL"/>
    <n v="4.3478260869565223E-2"/>
    <n v="3273"/>
    <x v="35"/>
    <s v="YawUntwistCCW: Code 6,    540Â°"/>
    <s v="Breakdown"/>
    <d v="1899-12-30T10:35:40"/>
    <d v="1899-12-30T10:35:40"/>
    <d v="1899-12-30T10:57:35"/>
    <d v="1899-12-30T00:00:00"/>
    <n v="0.3652777777777767"/>
    <n v="0.3652777777777767"/>
    <s v="Turbine self cable Twist release"/>
    <s v="Close"/>
    <n v="1.588164251207725E-2"/>
    <n v="1"/>
    <n v="0"/>
    <m/>
  </r>
  <r>
    <n v="1522"/>
    <n v="2025"/>
    <n v="2024"/>
    <s v="Year_2"/>
    <d v="2024-04-16T00:00:00"/>
    <s v="KUD04"/>
    <s v="O2R3"/>
    <s v="JK"/>
    <n v="4.3478260869565223E-2"/>
    <n v="4235"/>
    <x v="93"/>
    <s v="Gen Stator CB Open"/>
    <s v="Breakdown"/>
    <d v="1899-12-30T14:05:34"/>
    <d v="1899-12-30T14:05:34"/>
    <d v="1899-12-30T14:09:17"/>
    <d v="1899-12-30T00:00:00"/>
    <n v="6.1944444444442581E-2"/>
    <n v="6.1944444444442581E-2"/>
    <s v="Auto reset"/>
    <s v="Close"/>
    <n v="2.6932367149757647E-3"/>
    <n v="1"/>
    <n v="0.24"/>
    <m/>
  </r>
  <r>
    <n v="1523"/>
    <n v="2025"/>
    <n v="2024"/>
    <s v="Year_2"/>
    <d v="2024-04-16T00:00:00"/>
    <s v="KUD05"/>
    <s v="O2R3"/>
    <s v="JK"/>
    <n v="4.3478260869565223E-2"/>
    <n v="3273"/>
    <x v="35"/>
    <s v="YawUntwistCCW: Code 5,    540Â°"/>
    <s v="Breakdown"/>
    <d v="1899-12-30T07:16:53"/>
    <d v="1899-12-30T07:16:53"/>
    <d v="1899-12-30T07:42:52"/>
    <d v="1899-12-30T00:00:00"/>
    <n v="0.43305555555555619"/>
    <n v="0.43305555555555619"/>
    <s v="Turbine self cable Twist release"/>
    <s v="Close"/>
    <n v="1.8828502415458966E-2"/>
    <n v="1"/>
    <n v="0.09"/>
    <m/>
  </r>
  <r>
    <n v="1524"/>
    <n v="2025"/>
    <n v="2024"/>
    <s v="Year_2"/>
    <d v="2024-04-16T00:00:00"/>
    <s v="KUD07"/>
    <s v="O2R3"/>
    <s v="JK"/>
    <n v="4.3478260869565223E-2"/>
    <n v="3273"/>
    <x v="35"/>
    <s v="YawUntwistCCW: Code 6,    600Â°"/>
    <s v="Breakdown"/>
    <d v="1899-12-30T11:13:21"/>
    <d v="1899-12-30T11:13:21"/>
    <d v="1899-12-30T11:40:42"/>
    <d v="1899-12-30T00:00:00"/>
    <n v="0.45583333333333398"/>
    <n v="0.45583333333333398"/>
    <s v="Turbine self cable Twist release"/>
    <s v="Close"/>
    <n v="1.9818840579710176E-2"/>
    <n v="1"/>
    <n v="0.34"/>
    <m/>
  </r>
  <r>
    <n v="1525"/>
    <n v="2025"/>
    <n v="2024"/>
    <s v="Year_2"/>
    <d v="2024-04-16T00:00:00"/>
    <s v="KUD11"/>
    <s v="O2R1"/>
    <s v="KSIPL"/>
    <n v="4.3478260869565223E-2"/>
    <n v="900"/>
    <x v="100"/>
    <s v="Pause pressed on keyboard"/>
    <s v="Manual Stop"/>
    <d v="1899-12-30T10:04:02"/>
    <d v="1899-12-30T10:04:02"/>
    <d v="1899-12-30T17:53:32"/>
    <d v="1899-12-30T00:00:00"/>
    <n v="7.8250000000000002"/>
    <n v="7.8250000000000002"/>
    <s v="1 Year scheduled service day1 work done"/>
    <s v="Close"/>
    <n v="0.34021739130434786"/>
    <n v="1"/>
    <n v="2.92"/>
    <m/>
  </r>
  <r>
    <n v="1526"/>
    <n v="2025"/>
    <n v="2024"/>
    <s v="Year_2"/>
    <d v="2024-04-16T00:00:00"/>
    <s v="KUD12"/>
    <s v="O2R1"/>
    <s v="KSIPL"/>
    <n v="4.3478260869565223E-2"/>
    <n v="3273"/>
    <x v="35"/>
    <s v="YawUntwistCCW: Code 6,    540Â°"/>
    <s v="Breakdown"/>
    <d v="1899-12-30T07:16:29"/>
    <d v="1899-12-30T07:16:29"/>
    <d v="1899-12-30T07:42:14"/>
    <d v="1899-12-30T00:00:00"/>
    <n v="0.42916666666666581"/>
    <n v="0.42916666666666581"/>
    <s v="Turbine self cable Twist release"/>
    <s v="Close"/>
    <n v="1.8659420289855039E-2"/>
    <n v="1"/>
    <n v="0"/>
    <m/>
  </r>
  <r>
    <n v="1527"/>
    <n v="2025"/>
    <n v="2024"/>
    <s v="Year_2"/>
    <d v="2024-04-17T00:00:00"/>
    <s v="KUD06"/>
    <s v="O2R3"/>
    <s v="JK"/>
    <n v="4.3478260869565223E-2"/>
    <n v="3273"/>
    <x v="35"/>
    <s v="YawUntwistCCW: Code 6,    540Â°"/>
    <s v="Breakdown"/>
    <d v="1899-12-30T14:46:57"/>
    <d v="1899-12-30T14:46:57"/>
    <d v="1899-12-30T15:06:53"/>
    <d v="1899-12-30T00:00:00"/>
    <n v="0.33222222222222175"/>
    <n v="0.33222222222222175"/>
    <s v="Turbine self cable Twist release"/>
    <s v="Close"/>
    <n v="1.4444444444444426E-2"/>
    <n v="1"/>
    <n v="7.0000000000000007E-2"/>
    <m/>
  </r>
  <r>
    <n v="1528"/>
    <n v="2025"/>
    <n v="2024"/>
    <s v="Year_2"/>
    <d v="2024-04-17T00:00:00"/>
    <s v="KUD08"/>
    <s v="O2R3"/>
    <s v="JK"/>
    <n v="4.3478260869565223E-2"/>
    <n v="900"/>
    <x v="100"/>
    <s v="Pause pressed on keyboard"/>
    <s v="Manual Stop"/>
    <d v="1899-12-30T11:10:12"/>
    <d v="1899-12-30T11:10:12"/>
    <d v="1899-12-30T13:01:12"/>
    <d v="1899-12-30T00:00:00"/>
    <n v="1.85"/>
    <n v="1.85"/>
    <s v="1 Year scheduled service day2 work done"/>
    <s v="Close"/>
    <n v="8.0434782608695674E-2"/>
    <n v="1"/>
    <n v="0.44"/>
    <m/>
  </r>
  <r>
    <n v="1529"/>
    <n v="2025"/>
    <n v="2024"/>
    <s v="Year_2"/>
    <d v="2024-04-17T00:00:00"/>
    <s v="KUD08"/>
    <s v="O2R3"/>
    <s v="JK"/>
    <n v="4.3478260869565223E-2"/>
    <n v="3272"/>
    <x v="143"/>
    <s v="YawUntwistCW: Code 3,-000540Â°"/>
    <s v="Breakdown"/>
    <d v="1899-12-30T15:48:44"/>
    <d v="1899-12-30T15:48:44"/>
    <d v="1899-12-30T16:08:53"/>
    <d v="1899-12-30T00:00:00"/>
    <n v="0.33583333333333254"/>
    <n v="0.33583333333333254"/>
    <s v="Turbine self cable Twist release"/>
    <s v="Close"/>
    <n v="1.4601449275362286E-2"/>
    <n v="1"/>
    <n v="0.01"/>
    <m/>
  </r>
  <r>
    <n v="1530"/>
    <n v="2025"/>
    <n v="2024"/>
    <s v="Year_2"/>
    <d v="2024-04-17T00:00:00"/>
    <s v="KUD11"/>
    <s v="O2R1"/>
    <s v="KSIPL"/>
    <n v="4.3478260869565223E-2"/>
    <n v="2890"/>
    <x v="135"/>
    <s v="VibrShockAct X 0.08Y 0.11m/s^2"/>
    <s v="Breakdown"/>
    <d v="1899-12-30T03:09:29"/>
    <d v="1899-12-30T03:09:29"/>
    <d v="1899-12-30T04:13:16"/>
    <d v="1899-12-30T00:00:00"/>
    <n v="1.0630555555555554"/>
    <n v="1.0630555555555554"/>
    <s v="Piltz module was in error, rebooted the piltz and started the turbine"/>
    <s v="Close"/>
    <n v="4.6219806763285028E-2"/>
    <n v="1"/>
    <n v="0.1"/>
    <m/>
  </r>
  <r>
    <n v="1531"/>
    <n v="2025"/>
    <n v="2024"/>
    <s v="Year_2"/>
    <d v="2024-04-17T00:00:00"/>
    <s v="KUD13"/>
    <s v="O2R1"/>
    <s v="KSIPL"/>
    <n v="4.3478260869565223E-2"/>
    <n v="3273"/>
    <x v="35"/>
    <s v="YawUntwistCCW: Code 6,    682Â°"/>
    <s v="Breakdown"/>
    <d v="1899-12-30T12:08:58"/>
    <d v="1899-12-30T12:08:58"/>
    <d v="1899-12-30T12:39:35"/>
    <d v="1899-12-30T00:00:00"/>
    <n v="0.51027777777777672"/>
    <n v="0.51027777777777672"/>
    <s v="Turbine self cable Twist release"/>
    <s v="Close"/>
    <n v="2.2185990338164208E-2"/>
    <n v="1"/>
    <n v="0.12"/>
    <m/>
  </r>
  <r>
    <n v="1532"/>
    <n v="2025"/>
    <n v="2024"/>
    <s v="Year_2"/>
    <d v="2024-04-17T00:00:00"/>
    <s v="KUD20"/>
    <s v="O2R1"/>
    <s v="KSIPL"/>
    <n v="4.3478260869565223E-2"/>
    <n v="3273"/>
    <x v="35"/>
    <s v="YawUntwistCCW: Code 6,    540Â°"/>
    <s v="Breakdown"/>
    <d v="1899-12-30T16:08:17"/>
    <d v="1899-12-30T16:08:17"/>
    <d v="1899-12-30T16:30:24"/>
    <d v="1899-12-30T00:00:00"/>
    <n v="0.36861111111111189"/>
    <n v="0.36861111111111189"/>
    <s v="Turbine self cable Twist release"/>
    <s v="Close"/>
    <n v="1.6026570048309215E-2"/>
    <n v="1"/>
    <n v="0"/>
    <m/>
  </r>
  <r>
    <n v="1533"/>
    <n v="2025"/>
    <n v="2024"/>
    <s v="Year_2"/>
    <d v="2024-04-17T00:00:00"/>
    <s v="KUD11"/>
    <s v="O2R1"/>
    <s v="KSIPL"/>
    <n v="4.3478260869565223E-2"/>
    <n v="900"/>
    <x v="100"/>
    <s v="Pause pressed on keyboard"/>
    <s v="Manual Stop"/>
    <d v="1899-12-30T13:28:00"/>
    <d v="1899-12-30T13:28:00"/>
    <d v="1899-12-30T16:09:00"/>
    <d v="1899-12-30T00:00:00"/>
    <n v="2.6833333333333318"/>
    <n v="2.6833333333333318"/>
    <s v="1 Year scheduled service day2 work done"/>
    <s v="Close"/>
    <n v="0.11666666666666661"/>
    <n v="1"/>
    <n v="0.47"/>
    <m/>
  </r>
  <r>
    <n v="1534"/>
    <n v="2025"/>
    <n v="2024"/>
    <s v="Year_2"/>
    <d v="2024-04-17T00:00:00"/>
    <s v="KUD14"/>
    <s v="O2R1"/>
    <s v="KSIPL"/>
    <n v="4.3478260869565223E-2"/>
    <n v="900"/>
    <x v="100"/>
    <s v="Pause pressed on keyboard"/>
    <s v="Manual Stop"/>
    <d v="1899-12-30T11:02:00"/>
    <d v="1899-12-30T11:02:00"/>
    <d v="1899-12-30T16:20:00"/>
    <d v="1899-12-30T00:00:00"/>
    <n v="5.2999999999999989"/>
    <n v="5.2999999999999989"/>
    <s v="Blade internal ,External inspection and N2 refilling done"/>
    <s v="Close"/>
    <n v="0.23043478260869563"/>
    <n v="1"/>
    <n v="0.53"/>
    <m/>
  </r>
  <r>
    <n v="1535"/>
    <n v="2025"/>
    <n v="2024"/>
    <s v="Year_2"/>
    <d v="2024-04-18T00:00:00"/>
    <s v="KUD04"/>
    <s v="O2R3"/>
    <s v="JK"/>
    <n v="4.3478260869565223E-2"/>
    <n v="4235"/>
    <x v="93"/>
    <s v="Gen Stator CB Open"/>
    <s v="Breakdown"/>
    <d v="1899-12-30T16:40:08"/>
    <d v="1899-12-30T16:40:08"/>
    <d v="1899-12-30T16:42:08"/>
    <d v="1899-12-30T00:00:00"/>
    <n v="3.3333333333333215E-2"/>
    <n v="3.3333333333333215E-2"/>
    <s v="Auto reset"/>
    <s v="Close"/>
    <n v="1.4492753623188356E-3"/>
    <n v="1"/>
    <n v="0.57999999999999996"/>
    <m/>
  </r>
  <r>
    <n v="1536"/>
    <n v="2025"/>
    <n v="2024"/>
    <s v="Year_2"/>
    <d v="2024-04-18T00:00:00"/>
    <s v="KUD04"/>
    <s v="O2R3"/>
    <s v="JK"/>
    <n v="4.3478260869565223E-2"/>
    <n v="6293"/>
    <x v="32"/>
    <s v="Pitch valves test active"/>
    <s v="Breakdown"/>
    <d v="1899-12-30T16:42:05"/>
    <d v="1899-12-30T16:42:05"/>
    <d v="1899-12-30T16:43:54"/>
    <d v="1899-12-30T00:00:00"/>
    <n v="3.0277777777776294E-2"/>
    <n v="3.0277777777776294E-2"/>
    <s v="Turbine self test taken"/>
    <s v="Close"/>
    <n v="1.3164251207728826E-3"/>
    <n v="1"/>
    <n v="0.57999999999999996"/>
    <m/>
  </r>
  <r>
    <n v="1537"/>
    <n v="2025"/>
    <n v="2024"/>
    <s v="Year_2"/>
    <d v="2024-04-18T00:00:00"/>
    <s v="KUD04"/>
    <s v="O2R3"/>
    <s v="JK"/>
    <n v="4.3478260869565223E-2"/>
    <n v="6290"/>
    <x v="91"/>
    <s v="Pitch accu. test active"/>
    <s v="Breakdown"/>
    <d v="1899-12-30T16:43:52"/>
    <d v="1899-12-30T16:43:52"/>
    <d v="1899-12-30T16:47:48"/>
    <d v="1899-12-30T00:00:00"/>
    <n v="6.5555555555556033E-2"/>
    <n v="6.5555555555556033E-2"/>
    <s v="Turbine self test taken"/>
    <s v="Close"/>
    <n v="2.8502415458937411E-3"/>
    <n v="1"/>
    <n v="0.57999999999999996"/>
    <m/>
  </r>
  <r>
    <n v="1538"/>
    <n v="2025"/>
    <n v="2024"/>
    <s v="Year_2"/>
    <d v="2024-04-18T00:00:00"/>
    <s v="KUD05"/>
    <s v="O2R3"/>
    <s v="JK"/>
    <n v="4.3478260869565223E-2"/>
    <n v="3742"/>
    <x v="115"/>
    <s v="TripHVButtonActivated 1"/>
    <s v="Breakdown"/>
    <d v="1899-12-30T16:30:00"/>
    <d v="1899-12-30T16:30:00"/>
    <d v="1899-12-30T16:54:00"/>
    <d v="1899-12-30T00:00:00"/>
    <n v="0.40000000000000124"/>
    <n v="0.40000000000000124"/>
    <s v="Manual reset done"/>
    <s v="Close"/>
    <n v="1.7391304347826143E-2"/>
    <n v="1"/>
    <n v="0.34"/>
    <m/>
  </r>
  <r>
    <n v="1539"/>
    <n v="2025"/>
    <n v="2024"/>
    <s v="Year_2"/>
    <d v="2024-04-18T00:00:00"/>
    <s v="KUD06"/>
    <s v="O2R3"/>
    <s v="JK"/>
    <n v="4.3478260869565223E-2"/>
    <n v="707"/>
    <x v="121"/>
    <s v="Ch hardware error C0"/>
    <s v="Breakdown"/>
    <d v="1899-12-30T16:30:00"/>
    <d v="1899-12-30T16:30:00"/>
    <d v="1899-12-30T16:58:00"/>
    <d v="1899-12-30T00:00:00"/>
    <n v="0.46666666666666501"/>
    <n v="0.46666666666666501"/>
    <s v="Remote  reset done"/>
    <s v="Close"/>
    <n v="2.0289855072463697E-2"/>
    <n v="1"/>
    <n v="0.35"/>
    <m/>
  </r>
  <r>
    <n v="1540"/>
    <n v="2025"/>
    <n v="2024"/>
    <s v="Year_2"/>
    <d v="2024-04-18T00:00:00"/>
    <s v="KUD07"/>
    <s v="O2R3"/>
    <s v="JK"/>
    <n v="4.3478260869565223E-2"/>
    <n v="3273"/>
    <x v="35"/>
    <s v="YawUntwistCCW: Code 6,    540Â°"/>
    <s v="Breakdown"/>
    <d v="1899-12-30T23:56:00"/>
    <d v="1899-12-30T23:56:00"/>
    <d v="1899-12-30T23:59:00"/>
    <d v="1899-12-30T00:00:00"/>
    <n v="4.9999999999999822E-2"/>
    <n v="4.9999999999999822E-2"/>
    <s v="Turbine self cable Twist release"/>
    <s v="Close"/>
    <n v="2.1739130434782535E-3"/>
    <n v="1"/>
    <n v="0.3"/>
    <m/>
  </r>
  <r>
    <n v="1541"/>
    <n v="2025"/>
    <n v="2024"/>
    <s v="Year_2"/>
    <d v="2024-04-18T00:00:00"/>
    <s v="KUD09"/>
    <s v="O2R3"/>
    <s v="JK"/>
    <n v="4.3478260869565223E-2"/>
    <n v="900"/>
    <x v="100"/>
    <s v="Pause pressed on keyboard"/>
    <s v="Manual Stop"/>
    <d v="1899-12-30T09:46:00"/>
    <d v="1899-12-30T09:46:00"/>
    <d v="1899-12-30T14:14:00"/>
    <d v="1899-12-30T00:00:00"/>
    <n v="4.466666666666665"/>
    <n v="4.466666666666665"/>
    <s v="1 Year scheduled service day1 work done"/>
    <s v="Close"/>
    <n v="0.19420289855072459"/>
    <n v="1"/>
    <n v="1.1599999999999999"/>
    <m/>
  </r>
  <r>
    <n v="1542"/>
    <n v="2025"/>
    <n v="2024"/>
    <s v="Year_2"/>
    <d v="2024-04-18T00:00:00"/>
    <s v="KUD09"/>
    <s v="O2R3"/>
    <s v="JK"/>
    <n v="4.3478260869565223E-2"/>
    <n v="900"/>
    <x v="100"/>
    <s v="Pause pressed on keyboard"/>
    <s v="Manual Stop"/>
    <d v="1899-12-30T16:30:00"/>
    <d v="1899-12-30T16:30:00"/>
    <d v="1899-12-30T17:10:00"/>
    <d v="1899-12-30T00:00:00"/>
    <n v="0.66666666666666696"/>
    <n v="0.66666666666666696"/>
    <s v="1 Year scheduled service day1 work done"/>
    <s v="Close"/>
    <n v="2.8985507246376829E-2"/>
    <n v="1"/>
    <n v="1.1599999999999999"/>
    <m/>
  </r>
  <r>
    <n v="1543"/>
    <n v="2025"/>
    <n v="2024"/>
    <s v="Year_2"/>
    <d v="2024-04-18T00:00:00"/>
    <s v="KUD11"/>
    <s v="O2R1"/>
    <s v="KSIPL"/>
    <n v="4.3478260869565223E-2"/>
    <n v="3273"/>
    <x v="35"/>
    <s v="YawUntwistCCW: Code 6,    546Â°"/>
    <s v="Breakdown"/>
    <d v="1899-12-30T10:57:11"/>
    <d v="1899-12-30T10:57:11"/>
    <d v="1899-12-30T11:19:49"/>
    <d v="1899-12-30T00:00:00"/>
    <n v="0.37722222222222213"/>
    <n v="0.37722222222222213"/>
    <s v="Turbine self cable Twist release"/>
    <s v="Close"/>
    <n v="1.6400966183574877E-2"/>
    <n v="1"/>
    <n v="0.25"/>
    <m/>
  </r>
  <r>
    <n v="1544"/>
    <n v="2025"/>
    <n v="2024"/>
    <s v="Year_2"/>
    <d v="2024-04-18T00:00:00"/>
    <s v="KUD12"/>
    <s v="O2R1"/>
    <s v="KSIPL"/>
    <n v="4.3478260869565223E-2"/>
    <n v="3273"/>
    <x v="35"/>
    <s v="YawUntwistCCW: Code 6,    808Â°"/>
    <s v="Breakdown"/>
    <d v="1899-12-30T15:17:34"/>
    <d v="1899-12-30T15:17:34"/>
    <d v="1899-12-30T15:50:23"/>
    <d v="1899-12-30T00:00:00"/>
    <n v="0.54694444444444379"/>
    <n v="0.54694444444444379"/>
    <s v="Turbine self cable Twist release"/>
    <s v="Close"/>
    <n v="2.3780193236714951E-2"/>
    <n v="1"/>
    <n v="0.04"/>
    <m/>
  </r>
  <r>
    <n v="1545"/>
    <n v="2025"/>
    <n v="2024"/>
    <s v="Year_2"/>
    <d v="2024-04-18T00:00:00"/>
    <s v="KUD13"/>
    <s v="O2R1"/>
    <s v="KSIPL"/>
    <n v="4.3478260869565223E-2"/>
    <n v="5001"/>
    <x v="167"/>
    <s v="Slip:  28 above limits 1"/>
    <s v="Breakdown"/>
    <d v="1899-12-30T14:10:55"/>
    <d v="1899-12-30T14:10:55"/>
    <d v="1899-12-30T14:16:56"/>
    <d v="1899-12-30T00:00:00"/>
    <n v="0.10027777777777924"/>
    <n v="0.10027777777777924"/>
    <s v="Auto reset"/>
    <s v="Close"/>
    <n v="4.3599033816425761E-3"/>
    <n v="1"/>
    <n v="0.35"/>
    <m/>
  </r>
  <r>
    <n v="1546"/>
    <n v="2025"/>
    <n v="2024"/>
    <s v="Year_2"/>
    <d v="2024-04-18T00:00:00"/>
    <s v="KUD16"/>
    <s v="O2R2"/>
    <s v="SIL"/>
    <n v="4.3478260869565223E-2"/>
    <n v="3273"/>
    <x v="35"/>
    <s v="YawUntwistCCW: Code 6,    552Â°"/>
    <s v="Breakdown"/>
    <d v="1899-12-30T12:07:37"/>
    <d v="1899-12-30T12:07:37"/>
    <d v="1899-12-30T12:29:51"/>
    <d v="1899-12-30T00:00:00"/>
    <n v="0.37055555555555575"/>
    <n v="0.37055555555555575"/>
    <s v="Turbine self cable Twist release"/>
    <s v="Close"/>
    <n v="1.6111111111111121E-2"/>
    <n v="1"/>
    <n v="0.4"/>
    <m/>
  </r>
  <r>
    <n v="1547"/>
    <n v="2025"/>
    <n v="2024"/>
    <s v="Year_2"/>
    <d v="2024-04-18T00:00:00"/>
    <s v="KUD16"/>
    <s v="O2R2"/>
    <s v="SIL"/>
    <n v="4.3478260869565223E-2"/>
    <n v="30"/>
    <x v="44"/>
    <s v="Internal sublogic error"/>
    <s v="Breakdown"/>
    <d v="1899-12-30T16:30:00"/>
    <d v="1899-12-30T16:30:00"/>
    <d v="1899-12-30T16:45:00"/>
    <d v="1899-12-30T00:00:00"/>
    <n v="0.24999999999999911"/>
    <n v="0.24999999999999911"/>
    <s v="Remote  reset done"/>
    <s v="Close"/>
    <n v="1.0869565217391268E-2"/>
    <n v="1"/>
    <n v="0.01"/>
    <m/>
  </r>
  <r>
    <n v="1548"/>
    <n v="2025"/>
    <n v="2024"/>
    <s v="Year_2"/>
    <d v="2024-04-18T00:00:00"/>
    <s v="KUD17"/>
    <s v="O2R2"/>
    <s v="SIL"/>
    <n v="4.3478260869565223E-2"/>
    <n v="4235"/>
    <x v="93"/>
    <s v="Gen Stator CB Open"/>
    <s v="Breakdown"/>
    <d v="1899-12-30T16:41:58"/>
    <d v="1899-12-30T16:41:58"/>
    <d v="1899-12-30T16:43:43"/>
    <d v="1899-12-30T00:00:00"/>
    <n v="2.9166666666665897E-2"/>
    <n v="2.9166666666665897E-2"/>
    <s v="Auto reset"/>
    <s v="Close"/>
    <n v="1.2681159420289522E-3"/>
    <n v="1"/>
    <n v="0.51"/>
    <m/>
  </r>
  <r>
    <n v="1549"/>
    <n v="2025"/>
    <n v="2024"/>
    <s v="Year_2"/>
    <d v="2024-04-18T00:00:00"/>
    <s v="KUD17"/>
    <s v="O2R2"/>
    <s v="SIL"/>
    <n v="4.3478260869565223E-2"/>
    <n v="6293"/>
    <x v="32"/>
    <s v="Pitch valves test active"/>
    <s v="Breakdown"/>
    <d v="1899-12-30T16:44:00"/>
    <d v="1899-12-30T16:44:00"/>
    <d v="1899-12-30T16:45:29"/>
    <d v="1899-12-30T00:00:00"/>
    <n v="2.472222222222431E-2"/>
    <n v="2.472222222222431E-2"/>
    <s v="Turbine self test taken"/>
    <s v="Close"/>
    <n v="1.074879227053231E-3"/>
    <n v="1"/>
    <n v="0.51"/>
    <m/>
  </r>
  <r>
    <n v="1550"/>
    <n v="2025"/>
    <n v="2024"/>
    <s v="Year_2"/>
    <d v="2024-04-18T00:00:00"/>
    <s v="KUD17"/>
    <s v="O2R2"/>
    <s v="SIL"/>
    <n v="4.3478260869565223E-2"/>
    <n v="6290"/>
    <x v="91"/>
    <s v="Pitch accu. test active"/>
    <s v="Breakdown"/>
    <d v="1899-12-30T16:45:46"/>
    <d v="1899-12-30T16:45:46"/>
    <d v="1899-12-30T16:50:13"/>
    <d v="1899-12-30T00:00:00"/>
    <n v="7.4166666666667602E-2"/>
    <n v="7.4166666666667602E-2"/>
    <s v="Turbine self test taken"/>
    <s v="Close"/>
    <n v="3.2246376811594616E-3"/>
    <n v="1"/>
    <n v="0.51"/>
    <m/>
  </r>
  <r>
    <n v="1551"/>
    <n v="2025"/>
    <n v="2024"/>
    <s v="Year_2"/>
    <d v="2024-04-19T00:00:00"/>
    <s v="KUD07"/>
    <s v="O2R3"/>
    <s v="JK"/>
    <n v="4.3478260869565223E-2"/>
    <n v="3273"/>
    <x v="35"/>
    <s v="YawUntwistCCW: Code 6,    540Â°"/>
    <s v="Breakdown"/>
    <d v="1899-12-30T00:00:00"/>
    <d v="1899-12-30T00:00:00"/>
    <d v="1899-12-30T00:18:00"/>
    <d v="1899-12-30T00:00:00"/>
    <n v="0.30000000000000004"/>
    <n v="0.30000000000000004"/>
    <s v="Turbine self cable Twist release"/>
    <s v="Close"/>
    <n v="1.304347826086957E-2"/>
    <n v="1"/>
    <n v="0"/>
    <m/>
  </r>
  <r>
    <n v="1552"/>
    <n v="2025"/>
    <n v="2024"/>
    <s v="Year_2"/>
    <d v="2024-04-19T00:00:00"/>
    <s v="KUD08"/>
    <s v="O2R3"/>
    <s v="JK"/>
    <n v="4.3478260869565223E-2"/>
    <n v="3742"/>
    <x v="115"/>
    <s v="TripHVButtonActivated 1"/>
    <s v="Breakdown"/>
    <d v="1899-12-30T04:28:00"/>
    <d v="1899-12-30T04:28:00"/>
    <d v="1899-12-30T07:43:00"/>
    <d v="1899-12-30T00:00:00"/>
    <n v="3.2500000000000004"/>
    <n v="3.2500000000000004"/>
    <s v="Found 400v supply MCB trip condition then restored"/>
    <s v="Close"/>
    <n v="0.141304347826087"/>
    <n v="1"/>
    <n v="2.62"/>
    <m/>
  </r>
  <r>
    <n v="1553"/>
    <n v="2025"/>
    <n v="2024"/>
    <s v="Year_2"/>
    <d v="2024-04-19T00:00:00"/>
    <s v="KUD11"/>
    <s v="O2R1"/>
    <s v="KSIPL"/>
    <n v="4.3478260869565223E-2"/>
    <n v="4235"/>
    <x v="93"/>
    <s v="Gen Stator CB Open"/>
    <s v="Breakdown"/>
    <d v="1899-12-30T04:28:37"/>
    <d v="1899-12-30T04:28:37"/>
    <d v="1899-12-30T04:31:57"/>
    <d v="1899-12-30T00:00:00"/>
    <n v="5.5555555555555136E-2"/>
    <n v="5.5555555555555136E-2"/>
    <s v="Auto reset"/>
    <s v="Close"/>
    <n v="2.4154589371980497E-3"/>
    <n v="1"/>
    <n v="0.34"/>
    <m/>
  </r>
  <r>
    <n v="1554"/>
    <n v="2025"/>
    <n v="2024"/>
    <s v="Year_2"/>
    <d v="2024-04-20T00:00:00"/>
    <s v="KUD01"/>
    <s v="O2R1"/>
    <s v="KSIPL"/>
    <n v="4.3478260869565223E-2"/>
    <n v="335"/>
    <x v="152"/>
    <s v="ExtHighIRotorInv phase: 1"/>
    <s v="Breakdown"/>
    <d v="1899-12-30T04:49:33"/>
    <d v="1899-12-30T04:49:33"/>
    <d v="1899-12-30T05:39:54"/>
    <d v="1899-12-30T00:00:00"/>
    <n v="0.83916666666666662"/>
    <n v="0.83916666666666662"/>
    <s v="Remote reboot and reset done"/>
    <s v="Close"/>
    <n v="3.6485507246376815E-2"/>
    <n v="1"/>
    <n v="0.92"/>
    <m/>
  </r>
  <r>
    <n v="1555"/>
    <n v="2025"/>
    <n v="2024"/>
    <s v="Year_2"/>
    <d v="2024-04-20T00:00:00"/>
    <s v="KUD09"/>
    <s v="O2R3"/>
    <s v="JK"/>
    <n v="4.3478260869565223E-2"/>
    <n v="900"/>
    <x v="100"/>
    <s v="Pause pressed on keyboard"/>
    <s v="Manual Stop"/>
    <d v="1899-12-30T09:45:09"/>
    <d v="1899-12-30T09:45:09"/>
    <d v="1899-12-30T15:17:58"/>
    <d v="1899-12-30T00:00:00"/>
    <n v="5.5469444444444447"/>
    <n v="5.5469444444444447"/>
    <s v="1 Year scheduled service day2 work done"/>
    <s v="Close"/>
    <n v="0.24117149758454109"/>
    <n v="1"/>
    <n v="2.0099999999999998"/>
    <m/>
  </r>
  <r>
    <n v="1556"/>
    <n v="2025"/>
    <n v="2024"/>
    <s v="Year_2"/>
    <d v="2024-04-20T00:00:00"/>
    <s v="KUD16"/>
    <s v="O2R2"/>
    <s v="SIL"/>
    <n v="4.3478260869565223E-2"/>
    <n v="707"/>
    <x v="121"/>
    <s v="Ch hardware error C0"/>
    <s v="Breakdown"/>
    <d v="1899-12-30T15:59:57"/>
    <d v="1899-12-30T15:59:57"/>
    <d v="1899-12-30T16:13:48"/>
    <d v="1899-12-30T00:00:00"/>
    <n v="0.23083333333333478"/>
    <n v="0.23083333333333478"/>
    <s v="Auto reset"/>
    <s v="Close"/>
    <n v="1.0036231884058035E-2"/>
    <n v="1"/>
    <n v="0.11"/>
    <m/>
  </r>
  <r>
    <n v="1557"/>
    <n v="2025"/>
    <n v="2024"/>
    <s v="Year_2"/>
    <d v="2024-04-21T00:00:00"/>
    <s v="KUD01"/>
    <s v="O2R1"/>
    <s v="KSIPL"/>
    <n v="4.3478260869565223E-2"/>
    <n v="3273"/>
    <x v="35"/>
    <s v="YawUntwistCCW: Code 6,    540Â°"/>
    <s v="Breakdown"/>
    <d v="1899-12-30T15:38:21"/>
    <d v="1899-12-30T15:38:21"/>
    <d v="1899-12-30T15:49:29"/>
    <d v="1899-12-30T00:00:00"/>
    <n v="0.18555555555555348"/>
    <n v="0.18555555555555348"/>
    <s v="Turbine self cable Twist release"/>
    <s v="Close"/>
    <n v="8.067632850241457E-3"/>
    <n v="1"/>
    <n v="0.28999999999999998"/>
    <m/>
  </r>
  <r>
    <n v="1558"/>
    <n v="2025"/>
    <n v="2024"/>
    <s v="Year_2"/>
    <d v="2024-04-21T00:00:00"/>
    <s v="KUD03"/>
    <s v="O2R1"/>
    <s v="KSIPL"/>
    <n v="4.3478260869565223E-2"/>
    <n v="3273"/>
    <x v="35"/>
    <s v="YawUntwistCCW: Code 5,    581Â°"/>
    <s v="Breakdown"/>
    <d v="1899-12-30T11:03:50"/>
    <d v="1899-12-30T11:03:50"/>
    <d v="1899-12-30T11:29:27"/>
    <d v="1899-12-30T00:00:00"/>
    <n v="0.42694444444444501"/>
    <n v="0.42694444444444501"/>
    <s v="Turbine self cable Twist release"/>
    <s v="Close"/>
    <n v="1.8562801932367177E-2"/>
    <n v="1"/>
    <n v="0"/>
    <m/>
  </r>
  <r>
    <n v="1559"/>
    <n v="2025"/>
    <n v="2024"/>
    <s v="Year_2"/>
    <d v="2024-04-21T00:00:00"/>
    <s v="KUD08"/>
    <s v="O2R3"/>
    <s v="JK"/>
    <n v="4.3478260869565223E-2"/>
    <n v="5068"/>
    <x v="119"/>
    <s v="Pitch pos B meas. signal fault"/>
    <s v="Breakdown"/>
    <d v="1899-12-30T07:03:02"/>
    <d v="1899-12-30T07:03:02"/>
    <d v="1899-12-30T07:14:59"/>
    <d v="1899-12-30T00:00:00"/>
    <n v="0.19916666666666716"/>
    <n v="0.19916666666666716"/>
    <s v="Remote reboot and reset done"/>
    <s v="Close"/>
    <n v="8.6594202898550958E-3"/>
    <n v="1"/>
    <n v="0"/>
    <m/>
  </r>
  <r>
    <n v="1560"/>
    <n v="2025"/>
    <n v="2024"/>
    <s v="Year_2"/>
    <d v="2024-04-21T00:00:00"/>
    <s v="KUD08"/>
    <s v="O2R3"/>
    <s v="JK"/>
    <n v="4.3478260869565223E-2"/>
    <n v="3273"/>
    <x v="35"/>
    <s v="YawUntwistCCW: Code 6,    593Â°"/>
    <s v="Breakdown"/>
    <d v="1899-12-30T15:03:48"/>
    <d v="1899-12-30T15:03:48"/>
    <d v="1899-12-30T15:31:59"/>
    <d v="1899-12-30T00:00:00"/>
    <n v="0.46972222222222193"/>
    <n v="0.46972222222222193"/>
    <s v="Turbine self cable Twist release"/>
    <s v="Close"/>
    <n v="2.0422705314009651E-2"/>
    <n v="1"/>
    <n v="0"/>
    <m/>
  </r>
  <r>
    <n v="1561"/>
    <n v="2025"/>
    <n v="2024"/>
    <s v="Year_2"/>
    <d v="2024-04-21T00:00:00"/>
    <s v="KUD13"/>
    <s v="O2R1"/>
    <s v="KSIPL"/>
    <n v="4.3478260869565223E-2"/>
    <n v="3273"/>
    <x v="35"/>
    <s v="YawUntwistCCW: Code 6,    573Â°"/>
    <s v="Breakdown"/>
    <d v="1899-12-30T13:34:07"/>
    <d v="1899-12-30T13:34:07"/>
    <d v="1899-12-30T14:02:29"/>
    <d v="1899-12-30T00:00:00"/>
    <n v="0.47277777777777885"/>
    <n v="0.47277777777777885"/>
    <s v="Turbine self cable Twist release"/>
    <s v="Close"/>
    <n v="2.0555555555555605E-2"/>
    <n v="1"/>
    <n v="0.01"/>
    <m/>
  </r>
  <r>
    <n v="1562"/>
    <n v="2025"/>
    <n v="2024"/>
    <s v="Year_2"/>
    <d v="2024-04-21T00:00:00"/>
    <s v="KUD15"/>
    <s v="O2R1"/>
    <s v="KSIPL"/>
    <n v="4.3478260869565223E-2"/>
    <n v="3273"/>
    <x v="35"/>
    <s v="YawUntwistCCW: Code 6,    540Â°"/>
    <s v="Breakdown"/>
    <d v="1899-12-30T13:43:38"/>
    <d v="1899-12-30T13:43:38"/>
    <d v="1899-12-30T14:12:10"/>
    <d v="1899-12-30T00:00:00"/>
    <n v="0.47555555555555618"/>
    <n v="0.47555555555555618"/>
    <s v="Turbine self cable Twist release"/>
    <s v="Close"/>
    <n v="2.0676328502415488E-2"/>
    <n v="1"/>
    <n v="0.05"/>
    <m/>
  </r>
  <r>
    <n v="1563"/>
    <n v="2025"/>
    <n v="2024"/>
    <s v="Year_2"/>
    <d v="2024-04-21T00:00:00"/>
    <s v="KUD20"/>
    <s v="O2R1"/>
    <s v="KSIPL"/>
    <n v="4.3478260869565223E-2"/>
    <n v="3273"/>
    <x v="35"/>
    <s v="YawUntwistCCW: Code 6,    540Â°"/>
    <s v="Breakdown"/>
    <d v="1899-12-30T12:06:57"/>
    <d v="1899-12-30T12:06:57"/>
    <d v="1899-12-30T12:28:50"/>
    <d v="1899-12-30T00:00:00"/>
    <n v="0.3647222222222215"/>
    <n v="0.3647222222222215"/>
    <s v="Turbine self cable Twist release"/>
    <s v="Close"/>
    <n v="1.5857487922705284E-2"/>
    <n v="1"/>
    <n v="0"/>
    <m/>
  </r>
  <r>
    <n v="1564"/>
    <n v="2025"/>
    <n v="2024"/>
    <s v="Year_2"/>
    <d v="2024-04-21T00:00:00"/>
    <s v="KUD20"/>
    <s v="O2R1"/>
    <s v="KSIPL"/>
    <n v="4.3478260869565223E-2"/>
    <n v="296"/>
    <x v="133"/>
    <s v="Tow. acc. X, Alarm: 0.24 m/s^2"/>
    <s v="Breakdown"/>
    <d v="1899-12-30T18:24:41"/>
    <d v="1899-12-30T18:24:41"/>
    <d v="1899-12-30T18:26:43"/>
    <d v="1899-12-30T00:00:00"/>
    <n v="3.3888888888887081E-2"/>
    <n v="3.3888888888887081E-2"/>
    <s v="Auto reset"/>
    <s v="Close"/>
    <n v="1.4734299516907428E-3"/>
    <n v="1"/>
    <n v="0"/>
    <m/>
  </r>
  <r>
    <n v="1565"/>
    <n v="2025"/>
    <n v="2024"/>
    <s v="Year_2"/>
    <d v="2024-04-21T00:00:00"/>
    <s v="KUD01"/>
    <s v="O2R1"/>
    <s v="KSIPL"/>
    <n v="4.3478260869565223E-2"/>
    <n v="450"/>
    <x v="127"/>
    <s v="Ext. High I sum Grd inv."/>
    <s v="Breakdown"/>
    <d v="1899-12-30T23:29:11"/>
    <d v="1899-12-30T23:29:11"/>
    <d v="1899-12-30T23:38:07"/>
    <d v="1899-12-30T00:00:00"/>
    <n v="0.14888888888888907"/>
    <n v="0.14888888888888907"/>
    <s v="Auto reset"/>
    <s v="Close"/>
    <n v="6.4734299516908296E-3"/>
    <n v="1"/>
    <n v="0"/>
    <m/>
  </r>
  <r>
    <n v="1566"/>
    <n v="2025"/>
    <n v="2024"/>
    <s v="Year_2"/>
    <d v="2024-04-21T00:00:00"/>
    <s v="KUD05"/>
    <s v="O2R3"/>
    <s v="JK"/>
    <n v="4.3478260869565223E-2"/>
    <n v="3209"/>
    <x v="101"/>
    <s v="YawSignals Invalid"/>
    <s v="Breakdown"/>
    <d v="1899-12-30T13:19:16"/>
    <d v="1899-12-30T13:19:16"/>
    <d v="1899-12-30T13:28:46"/>
    <d v="1899-12-30T00:00:00"/>
    <n v="0.1583333333333341"/>
    <n v="0.1583333333333341"/>
    <s v="Remote reset done"/>
    <s v="Close"/>
    <n v="6.8840579710145273E-3"/>
    <n v="1"/>
    <n v="0.05"/>
    <m/>
  </r>
  <r>
    <n v="1567"/>
    <n v="2025"/>
    <n v="2024"/>
    <s v="Year_2"/>
    <d v="2024-04-21T00:00:00"/>
    <s v="KUD07"/>
    <s v="O2R3"/>
    <s v="JK"/>
    <n v="4.3478260869565223E-2"/>
    <n v="3273"/>
    <x v="35"/>
    <s v="YawUntwistCCW: Code 6,    588Â°"/>
    <s v="Breakdown"/>
    <d v="1899-12-30T13:30:31"/>
    <d v="1899-12-30T13:30:31"/>
    <d v="1899-12-30T13:53:04"/>
    <d v="1899-12-30T00:00:00"/>
    <n v="0.37583333333333346"/>
    <n v="0.37583333333333346"/>
    <s v="Turbine self cable Twist release"/>
    <s v="Close"/>
    <n v="1.6340579710144937E-2"/>
    <n v="1"/>
    <n v="0.01"/>
    <m/>
  </r>
  <r>
    <n v="1568"/>
    <n v="2025"/>
    <n v="2024"/>
    <s v="Year_2"/>
    <d v="2024-04-21T00:00:00"/>
    <s v="KUD07"/>
    <s v="O2R3"/>
    <s v="JK"/>
    <n v="4.3478260869565223E-2"/>
    <n v="3272"/>
    <x v="143"/>
    <s v="YawUntwistCW: Code 3,-000540Â°"/>
    <s v="Breakdown"/>
    <d v="1899-12-30T16:31:31"/>
    <d v="1899-12-30T16:31:31"/>
    <d v="1899-12-30T16:53:24"/>
    <d v="1899-12-30T00:00:00"/>
    <n v="0.3647222222222215"/>
    <n v="0.3647222222222215"/>
    <s v="Turbine self cable Twist release"/>
    <s v="Close"/>
    <n v="1.5857487922705284E-2"/>
    <n v="1"/>
    <n v="0.02"/>
    <m/>
  </r>
  <r>
    <n v="1569"/>
    <n v="2025"/>
    <n v="2024"/>
    <s v="Year_2"/>
    <d v="2024-04-21T00:00:00"/>
    <s v="KUD09"/>
    <s v="O2R3"/>
    <s v="JK"/>
    <n v="4.3478260869565223E-2"/>
    <n v="3272"/>
    <x v="143"/>
    <s v="YawUntwistCW: Code 3,-000540Â°"/>
    <s v="Breakdown"/>
    <d v="1899-12-30T14:40:51"/>
    <d v="1899-12-30T14:40:51"/>
    <d v="1899-12-30T15:00:27"/>
    <d v="1899-12-30T00:00:00"/>
    <n v="0.3266666666666671"/>
    <n v="0.3266666666666671"/>
    <s v="Turbine self cable Twist release"/>
    <s v="Close"/>
    <n v="1.4202898550724659E-2"/>
    <n v="1"/>
    <n v="0"/>
    <m/>
  </r>
  <r>
    <n v="1570"/>
    <n v="2025"/>
    <n v="2024"/>
    <s v="Year_2"/>
    <d v="2024-04-21T00:00:00"/>
    <s v="KUD18"/>
    <s v="O2R4"/>
    <s v="SGDCIPL"/>
    <n v="4.3478260869565223E-2"/>
    <n v="3273"/>
    <x v="35"/>
    <s v="YawUntwistCCW: Code 6,    540Â°"/>
    <s v="Breakdown"/>
    <d v="1899-12-30T15:54:22"/>
    <d v="1899-12-30T15:54:22"/>
    <d v="1899-12-30T16:17:12"/>
    <d v="1899-12-30T00:00:00"/>
    <n v="0.38055555555555731"/>
    <n v="0.38055555555555731"/>
    <s v="Turbine self cable Twist release"/>
    <s v="Close"/>
    <n v="1.6545893719806842E-2"/>
    <n v="1"/>
    <n v="0.02"/>
    <m/>
  </r>
  <r>
    <n v="1571"/>
    <n v="2025"/>
    <n v="2024"/>
    <s v="Year_2"/>
    <d v="2024-04-21T00:00:00"/>
    <s v="KUD21"/>
    <s v="O2R3"/>
    <s v="JK"/>
    <n v="4.3478260869565223E-2"/>
    <n v="3272"/>
    <x v="143"/>
    <s v="YawUntwistCW: Code 3,-000540Â°"/>
    <s v="Breakdown"/>
    <d v="1899-12-30T17:33:39"/>
    <d v="1899-12-30T17:33:39"/>
    <d v="1899-12-30T18:01:29"/>
    <d v="1899-12-30T00:00:00"/>
    <n v="0.46388888888888768"/>
    <n v="0.46388888888888768"/>
    <s v="Turbine self cable Twist release"/>
    <s v="Close"/>
    <n v="2.0169082125603813E-2"/>
    <n v="1"/>
    <n v="0.1"/>
    <m/>
  </r>
  <r>
    <n v="1572"/>
    <n v="2025"/>
    <n v="2024"/>
    <s v="Year_2"/>
    <d v="2024-04-22T00:00:00"/>
    <s v="KUD15"/>
    <s v="O2R1"/>
    <s v="KSIPL"/>
    <n v="4.3478260869565223E-2"/>
    <n v="900"/>
    <x v="100"/>
    <s v="Pause pressed on keyboard"/>
    <s v="Manual Stop"/>
    <d v="1899-12-30T09:56:00"/>
    <d v="1899-12-30T09:56:00"/>
    <d v="1899-12-30T17:58:00"/>
    <d v="1899-12-30T00:00:00"/>
    <n v="8.0333333333333297"/>
    <n v="8.0333333333333297"/>
    <s v="1 Year scheduled service day1 work done"/>
    <s v="Close"/>
    <n v="0.34927536231884049"/>
    <n v="1"/>
    <n v="1.04"/>
    <m/>
  </r>
  <r>
    <n v="1573"/>
    <n v="2025"/>
    <n v="2024"/>
    <s v="Year_2"/>
    <d v="2024-04-22T00:00:00"/>
    <s v="KUD01"/>
    <s v="O2R1"/>
    <s v="KSIPL"/>
    <n v="4.3478260869565223E-2"/>
    <n v="3024"/>
    <x v="113"/>
    <s v="ArcNetReconfigMaxLimit________"/>
    <s v="Breakdown"/>
    <d v="1899-12-30T16:21:00"/>
    <d v="1899-12-30T16:21:00"/>
    <d v="1899-12-30T19:44:00"/>
    <d v="1899-12-30T00:00:00"/>
    <n v="3.3833333333333346"/>
    <n v="3.3833333333333346"/>
    <s v="Found hub controller main communication cable loose condition then tightened after restored the machine"/>
    <s v="Close"/>
    <n v="0.14710144927536239"/>
    <n v="1"/>
    <n v="2.21"/>
    <m/>
  </r>
  <r>
    <n v="1574"/>
    <n v="2025"/>
    <n v="2024"/>
    <s v="Year_2"/>
    <d v="2024-04-22T00:00:00"/>
    <s v="KUD16"/>
    <s v="O2R2"/>
    <s v="SIL"/>
    <n v="4.3478260869565223E-2"/>
    <n v="4239"/>
    <x v="40"/>
    <s v="HVCB Unknown Trip Reason"/>
    <s v="Breakdown"/>
    <d v="1899-12-30T16:50:00"/>
    <d v="1899-12-30T16:50:00"/>
    <d v="1899-12-30T18:10:00"/>
    <d v="1899-12-30T00:00:00"/>
    <n v="1.3333333333333366"/>
    <n v="1.3333333333333366"/>
    <s v="Manual reset done and started the wtg"/>
    <s v="Close"/>
    <n v="5.797101449275377E-2"/>
    <n v="1"/>
    <n v="0.56999999999999995"/>
    <m/>
  </r>
  <r>
    <n v="1575"/>
    <n v="2025"/>
    <n v="2024"/>
    <s v="Year_2"/>
    <d v="2024-04-22T00:00:00"/>
    <s v="KUD02"/>
    <s v="O2R3"/>
    <s v="JK"/>
    <n v="4.3478260869565223E-2"/>
    <n v="4500"/>
    <x v="138"/>
    <s v="Pitch C too low: __._° &lt; __._°"/>
    <s v="Breakdown"/>
    <d v="1899-12-30T16:50:00"/>
    <d v="1899-12-30T16:50:00"/>
    <d v="1899-12-30T17:48:00"/>
    <d v="1899-12-30T00:00:00"/>
    <n v="0.96666666666666856"/>
    <n v="0.96666666666666856"/>
    <s v="Manual reset done"/>
    <s v="Close"/>
    <n v="4.2028985507246465E-2"/>
    <n v="1"/>
    <n v="0.45"/>
    <m/>
  </r>
  <r>
    <n v="1576"/>
    <n v="2025"/>
    <n v="2024"/>
    <s v="Year_2"/>
    <d v="2024-04-22T00:00:00"/>
    <s v="KUD03"/>
    <s v="O2R1"/>
    <s v="KSIPL"/>
    <n v="4.3478260869565223E-2"/>
    <n v="6293"/>
    <x v="32"/>
    <s v="Pitch valve test active"/>
    <s v="Breakdown"/>
    <d v="1899-12-30T16:33:00"/>
    <d v="1899-12-30T16:33:00"/>
    <d v="1899-12-30T16:39:00"/>
    <d v="1899-12-30T00:00:00"/>
    <n v="9.9999999999999645E-2"/>
    <n v="9.9999999999999645E-2"/>
    <s v="Turbine self test taken"/>
    <s v="Close"/>
    <n v="4.347826086956507E-3"/>
    <n v="1"/>
    <n v="0.41"/>
    <m/>
  </r>
  <r>
    <n v="1577"/>
    <n v="2025"/>
    <n v="2024"/>
    <s v="Year_2"/>
    <d v="2024-04-22T00:00:00"/>
    <s v="KUD03"/>
    <s v="O2R1"/>
    <s v="KSIPL"/>
    <n v="4.3478260869565223E-2"/>
    <n v="356"/>
    <x v="165"/>
    <s v="Extreme yawerror"/>
    <s v="Breakdown"/>
    <d v="1899-12-30T16:46:00"/>
    <d v="1899-12-30T16:46:00"/>
    <d v="1899-12-30T16:48:00"/>
    <d v="1899-12-30T00:00:00"/>
    <n v="3.3333333333335879E-2"/>
    <n v="3.3333333333335879E-2"/>
    <s v="Auto reset"/>
    <s v="Close"/>
    <n v="1.4492753623189514E-3"/>
    <n v="1"/>
    <n v="0.41"/>
    <m/>
  </r>
  <r>
    <n v="1578"/>
    <n v="2025"/>
    <n v="2024"/>
    <s v="Year_2"/>
    <d v="2024-04-22T00:00:00"/>
    <s v="KUD08"/>
    <s v="O2R3"/>
    <s v="JK"/>
    <n v="4.3478260869565223E-2"/>
    <n v="3633"/>
    <x v="21"/>
    <s v="Yaw System Stopped"/>
    <s v="Breakdown"/>
    <d v="1899-12-30T22:36:00"/>
    <d v="1899-12-30T22:36:00"/>
    <d v="1899-12-30T23:59:00"/>
    <d v="1899-12-30T00:00:00"/>
    <n v="1.3833333333333311"/>
    <n v="1.3833333333333311"/>
    <s v="Work under progress"/>
    <s v="Close"/>
    <n v="6.0144927536231796E-2"/>
    <n v="1"/>
    <n v="1.1499999999999999"/>
    <m/>
  </r>
  <r>
    <n v="1579"/>
    <n v="2025"/>
    <n v="2024"/>
    <s v="Year_2"/>
    <d v="2024-04-22T00:00:00"/>
    <s v="KUD11"/>
    <s v="O2R1"/>
    <s v="KSIPL"/>
    <n v="4.3478260869565223E-2"/>
    <n v="3806"/>
    <x v="147"/>
    <s v="HubSafetySystem Batt.Charg.Err"/>
    <s v="Breakdown"/>
    <d v="1899-12-30T16:23:00"/>
    <d v="1899-12-30T16:23:00"/>
    <d v="1899-12-30T16:37:00"/>
    <d v="1899-12-30T00:00:00"/>
    <n v="0.2333333333333325"/>
    <n v="0.2333333333333325"/>
    <s v="Auto reset"/>
    <s v="Close"/>
    <n v="1.0144927536231849E-2"/>
    <n v="1"/>
    <n v="0.16"/>
    <m/>
  </r>
  <r>
    <n v="1580"/>
    <n v="2025"/>
    <n v="2024"/>
    <s v="Year_2"/>
    <d v="2024-04-22T00:00:00"/>
    <s v="KUD11"/>
    <s v="O2R1"/>
    <s v="KSIPL"/>
    <n v="4.3478260869565223E-2"/>
    <n v="4235"/>
    <x v="93"/>
    <s v="Gen Stator CB Open"/>
    <s v="Breakdown"/>
    <d v="1899-12-30T16:48:00"/>
    <d v="1899-12-30T16:48:00"/>
    <d v="1899-12-30T16:49:00"/>
    <d v="1899-12-30T00:00:00"/>
    <n v="1.6666666666663943E-2"/>
    <n v="1.6666666666663943E-2"/>
    <s v="Auto reset"/>
    <s v="Close"/>
    <n v="7.2463768115930201E-4"/>
    <n v="1"/>
    <n v="0.18"/>
    <m/>
  </r>
  <r>
    <n v="1581"/>
    <n v="2025"/>
    <n v="2024"/>
    <s v="Year_2"/>
    <d v="2024-04-22T00:00:00"/>
    <s v="KUD11"/>
    <s v="O2R1"/>
    <s v="KSIPL"/>
    <n v="4.3478260869565223E-2"/>
    <n v="6293"/>
    <x v="32"/>
    <s v="Pitch valve test active"/>
    <s v="Breakdown"/>
    <d v="1899-12-30T16:50:00"/>
    <d v="1899-12-30T16:50:00"/>
    <d v="1899-12-30T16:57:00"/>
    <d v="1899-12-30T00:00:00"/>
    <n v="0.11666666666666625"/>
    <n v="0.11666666666666625"/>
    <s v="Turbine self test taken"/>
    <s v="Close"/>
    <n v="5.0724637681159243E-3"/>
    <n v="1"/>
    <n v="0.18"/>
    <m/>
  </r>
  <r>
    <n v="1582"/>
    <n v="2025"/>
    <n v="2024"/>
    <s v="Year_2"/>
    <d v="2024-04-22T00:00:00"/>
    <s v="KUD12"/>
    <s v="O2R1"/>
    <s v="KSIPL"/>
    <n v="4.3478260869565223E-2"/>
    <n v="3272"/>
    <x v="143"/>
    <s v="YawUntwistCW:____,_________"/>
    <s v="Breakdown"/>
    <d v="1899-12-30T16:40:00"/>
    <d v="1899-12-30T16:40:00"/>
    <d v="1899-12-30T17:09:00"/>
    <d v="1899-12-30T00:00:00"/>
    <n v="0.48333333333332895"/>
    <n v="0.48333333333332895"/>
    <s v="Turbine self cable Twist release"/>
    <s v="Close"/>
    <n v="2.1014492753623E-2"/>
    <n v="1"/>
    <n v="0.36"/>
    <m/>
  </r>
  <r>
    <n v="1583"/>
    <n v="2025"/>
    <n v="2024"/>
    <s v="Year_2"/>
    <d v="2024-04-22T00:00:00"/>
    <s v="KUD20"/>
    <s v="O2R1"/>
    <s v="KSIPL"/>
    <n v="4.3478260869565223E-2"/>
    <n v="4235"/>
    <x v="93"/>
    <s v="Gen Stator CB Open"/>
    <s v="Breakdown"/>
    <d v="1899-12-30T16:30:00"/>
    <d v="1899-12-30T16:30:00"/>
    <d v="1899-12-30T16:31:00"/>
    <d v="1899-12-30T00:00:00"/>
    <n v="1.6666666666666607E-2"/>
    <n v="1.6666666666666607E-2"/>
    <s v="Auto reset"/>
    <s v="Close"/>
    <n v="7.246376811594178E-4"/>
    <n v="1"/>
    <n v="0.2"/>
    <m/>
  </r>
  <r>
    <n v="1584"/>
    <n v="2025"/>
    <n v="2024"/>
    <s v="Year_2"/>
    <d v="2024-04-22T00:00:00"/>
    <s v="KUD20"/>
    <s v="O2R1"/>
    <s v="KSIPL"/>
    <n v="4.3478260869565223E-2"/>
    <n v="6293"/>
    <x v="32"/>
    <s v="Pitch valve test active"/>
    <s v="Breakdown"/>
    <d v="1899-12-30T16:32:00"/>
    <d v="1899-12-30T16:32:00"/>
    <d v="1899-12-30T16:39:00"/>
    <d v="1899-12-30T00:00:00"/>
    <n v="0.11666666666666359"/>
    <n v="0.11666666666666359"/>
    <s v="Turbine self test taken"/>
    <s v="Close"/>
    <n v="5.072463768115809E-3"/>
    <n v="1"/>
    <n v="0.06"/>
    <m/>
  </r>
  <r>
    <n v="1585"/>
    <n v="2025"/>
    <n v="2024"/>
    <s v="Year_2"/>
    <d v="2024-04-22T00:00:00"/>
    <s v="KUD06"/>
    <s v="O2R3"/>
    <s v="JK"/>
    <n v="4.3478260869565223E-2"/>
    <n v="3806"/>
    <x v="147"/>
    <s v="HubSafetySystem Batt.Charg.Err"/>
    <s v="Breakdown"/>
    <d v="1899-12-30T16:43:00"/>
    <d v="1899-12-30T16:43:00"/>
    <d v="1899-12-30T16:55:00"/>
    <d v="1899-12-30T00:00:00"/>
    <n v="0.20000000000000195"/>
    <n v="0.20000000000000195"/>
    <s v="Auto reset"/>
    <s v="Close"/>
    <n v="8.6956521739131303E-3"/>
    <n v="1"/>
    <n v="0.1"/>
    <m/>
  </r>
  <r>
    <n v="1586"/>
    <n v="2025"/>
    <n v="2024"/>
    <s v="Year_2"/>
    <d v="2024-04-23T00:00:00"/>
    <s v="KUD01"/>
    <s v="O2R1"/>
    <s v="KSIPL"/>
    <n v="4.3478260869565223E-2"/>
    <n v="3273"/>
    <x v="35"/>
    <s v="YawUntwistCCW: Code 6,    540Â°"/>
    <s v="Breakdown"/>
    <d v="1899-12-30T01:39:56"/>
    <d v="1899-12-30T01:39:56"/>
    <d v="1899-12-30T02:06:33"/>
    <d v="1899-12-30T00:00:00"/>
    <n v="0.44361111111111096"/>
    <n v="0.44361111111111096"/>
    <s v="Turbine self cable Twist release"/>
    <s v="Close"/>
    <n v="1.9287439613526566E-2"/>
    <n v="1"/>
    <n v="0.16"/>
    <m/>
  </r>
  <r>
    <n v="1587"/>
    <n v="2025"/>
    <n v="2024"/>
    <s v="Year_2"/>
    <d v="2024-04-23T00:00:00"/>
    <s v="KUD01"/>
    <s v="O2R1"/>
    <s v="KSIPL"/>
    <n v="4.3478260869565223E-2"/>
    <n v="4235"/>
    <x v="93"/>
    <s v="Gen Stator CB Open"/>
    <s v="Breakdown"/>
    <d v="1899-12-30T14:08:19"/>
    <d v="1899-12-30T14:08:19"/>
    <d v="1899-12-30T14:10:12"/>
    <d v="1899-12-30T00:00:00"/>
    <n v="3.1388888888889355E-2"/>
    <n v="3.1388888888889355E-2"/>
    <s v="Auto reset"/>
    <s v="Close"/>
    <n v="1.3647342995169287E-3"/>
    <n v="1"/>
    <n v="0.02"/>
    <m/>
  </r>
  <r>
    <n v="1588"/>
    <n v="2025"/>
    <n v="2024"/>
    <s v="Year_2"/>
    <d v="2024-04-23T00:00:00"/>
    <s v="KUD08"/>
    <s v="O2R3"/>
    <s v="JK"/>
    <n v="4.3478260869565223E-2"/>
    <n v="3633"/>
    <x v="21"/>
    <s v="Yaw System Stopped"/>
    <s v="Breakdown"/>
    <d v="1899-12-30T00:00:00"/>
    <d v="1899-12-30T00:00:00"/>
    <d v="1899-12-30T03:41:00"/>
    <d v="1899-12-30T00:00:00"/>
    <n v="3.6833333333333336"/>
    <n v="3.6833333333333336"/>
    <s v="Found 400v supply MCB malfunction then replaced to new after restored"/>
    <s v="Close"/>
    <n v="0.16014492753623191"/>
    <n v="1"/>
    <n v="0.15"/>
    <m/>
  </r>
  <r>
    <n v="1589"/>
    <n v="2025"/>
    <n v="2024"/>
    <s v="Year_2"/>
    <d v="2024-04-23T00:00:00"/>
    <s v="KUD11"/>
    <s v="O2R1"/>
    <s v="KSIPL"/>
    <n v="4.3478260869565223E-2"/>
    <n v="3273"/>
    <x v="35"/>
    <s v="YawUntwistCCW: Code 6,    613Â°"/>
    <s v="Breakdown"/>
    <d v="1899-12-30T12:03:37"/>
    <d v="1899-12-30T12:03:37"/>
    <d v="1899-12-30T12:29:53"/>
    <d v="1899-12-30T00:00:00"/>
    <n v="0.43777777777777604"/>
    <n v="0.43777777777777604"/>
    <s v="Turbine self cable Twist release"/>
    <s v="Close"/>
    <n v="1.9033816425120701E-2"/>
    <n v="1"/>
    <n v="0.06"/>
    <m/>
  </r>
  <r>
    <n v="1590"/>
    <n v="2025"/>
    <n v="2024"/>
    <s v="Year_2"/>
    <d v="2024-04-23T00:00:00"/>
    <s v="KUD12"/>
    <s v="O2R1"/>
    <s v="KSIPL"/>
    <n v="4.3478260869565223E-2"/>
    <n v="900"/>
    <x v="100"/>
    <s v="Pause pressed on keyboard"/>
    <s v="Manual Stop"/>
    <d v="1899-12-30T15:33:22"/>
    <d v="1899-12-30T15:33:22"/>
    <d v="1899-12-30T18:22:35"/>
    <d v="1899-12-30T00:00:00"/>
    <n v="2.8202777777777781"/>
    <n v="2.8202777777777781"/>
    <s v="1 Year scheduled service day1 work done"/>
    <s v="Close"/>
    <n v="0.12262077294685994"/>
    <n v="1"/>
    <n v="0.61"/>
    <m/>
  </r>
  <r>
    <n v="1591"/>
    <n v="2025"/>
    <n v="2024"/>
    <s v="Year_2"/>
    <d v="2024-04-23T00:00:00"/>
    <s v="KUD14"/>
    <s v="O2R1"/>
    <s v="KSIPL"/>
    <n v="4.3478260869565223E-2"/>
    <n v="3273"/>
    <x v="35"/>
    <s v="YawUntwistCCW: Code 6,    540Â°"/>
    <s v="Breakdown"/>
    <d v="1899-12-30T13:34:19"/>
    <d v="1899-12-30T13:34:19"/>
    <d v="1899-12-30T13:56:32"/>
    <d v="1899-12-30T00:00:00"/>
    <n v="0.37027777777777882"/>
    <n v="0.37027777777777882"/>
    <s v="Turbine self cable Twist release"/>
    <s v="Close"/>
    <n v="1.6099033816425169E-2"/>
    <n v="1"/>
    <n v="7.0000000000000007E-2"/>
    <m/>
  </r>
  <r>
    <n v="1592"/>
    <n v="2025"/>
    <n v="2024"/>
    <s v="Year_2"/>
    <d v="2024-04-23T00:00:00"/>
    <s v="KUD15"/>
    <s v="O2R1"/>
    <s v="KSIPL"/>
    <n v="4.3478260869565223E-2"/>
    <n v="900"/>
    <x v="100"/>
    <s v="Pause pressed on keyboard"/>
    <s v="Manual Stop"/>
    <d v="1899-12-30T12:09:26"/>
    <d v="1899-12-30T12:09:26"/>
    <d v="1899-12-30T14:33:48"/>
    <d v="1899-12-30T00:00:00"/>
    <n v="2.4061111111111133"/>
    <n v="2.4061111111111133"/>
    <s v="1 Year scheduled service day2 work done"/>
    <s v="Close"/>
    <n v="0.10461352657004842"/>
    <n v="1"/>
    <n v="0.77"/>
    <m/>
  </r>
  <r>
    <n v="1593"/>
    <n v="2025"/>
    <n v="2024"/>
    <s v="Year_2"/>
    <d v="2024-04-24T00:00:00"/>
    <s v="KUD01"/>
    <s v="O2R1"/>
    <s v="KSIPL"/>
    <n v="4.3478260869565223E-2"/>
    <n v="450"/>
    <x v="127"/>
    <s v="Ext. High I sum Grd inv."/>
    <s v="Breakdown"/>
    <d v="2024-04-24T12:18:32"/>
    <d v="2024-04-24T12:18:32"/>
    <d v="2024-04-24T12:20:48"/>
    <d v="1899-12-30T00:00:00"/>
    <n v="3.7777777703013271E-2"/>
    <n v="3.7777777703013271E-2"/>
    <s v="Auto reset"/>
    <s v="Close"/>
    <n v="1.6425120740440554E-3"/>
    <n v="1"/>
    <n v="0.12"/>
    <m/>
  </r>
  <r>
    <n v="1594"/>
    <n v="2025"/>
    <n v="2024"/>
    <s v="Year_2"/>
    <d v="2024-04-24T00:00:00"/>
    <s v="KUD01"/>
    <s v="O2R1"/>
    <s v="KSIPL"/>
    <n v="4.3478260869565223E-2"/>
    <n v="6293"/>
    <x v="32"/>
    <s v="Pitch valves test active"/>
    <s v="Breakdown"/>
    <d v="2024-04-24T12:20:48"/>
    <d v="2024-04-24T12:20:48"/>
    <d v="2024-04-24T12:27:19"/>
    <d v="1899-12-30T00:00:00"/>
    <n v="0.1086111111799255"/>
    <n v="0.1086111111799255"/>
    <s v="Turbine self test taken"/>
    <s v="Close"/>
    <n v="4.7222222252141528E-3"/>
    <n v="1"/>
    <n v="0.04"/>
    <m/>
  </r>
  <r>
    <n v="1595"/>
    <n v="2025"/>
    <n v="2024"/>
    <s v="Year_2"/>
    <d v="2024-04-24T00:00:00"/>
    <s v="KUD02"/>
    <s v="O2R3"/>
    <s v="JK"/>
    <n v="4.3478260869565223E-2"/>
    <n v="356"/>
    <x v="165"/>
    <s v="Extreme yawerror  9.2m/s123.6Â°"/>
    <s v="Breakdown"/>
    <d v="2024-04-24T22:04:14"/>
    <d v="2024-04-24T22:04:14"/>
    <d v="2024-04-24T22:09:37"/>
    <d v="1899-12-30T00:00:00"/>
    <n v="8.9722222241107374E-2"/>
    <n v="8.9722222241107374E-2"/>
    <s v="Auto reset"/>
    <s v="Close"/>
    <n v="3.9009661843959734E-3"/>
    <n v="1"/>
    <n v="0.11"/>
    <m/>
  </r>
  <r>
    <n v="1596"/>
    <n v="2025"/>
    <n v="2024"/>
    <s v="Year_2"/>
    <d v="2024-04-24T00:00:00"/>
    <s v="KUD05"/>
    <s v="O2R3"/>
    <s v="JK"/>
    <n v="4.3478260869565223E-2"/>
    <n v="3633"/>
    <x v="21"/>
    <s v="Yaw System Stopped"/>
    <s v="Breakdown"/>
    <d v="2024-04-24T00:37:46"/>
    <d v="2024-04-24T00:37:46"/>
    <d v="2024-04-24T00:44:14"/>
    <d v="1899-12-30T00:00:00"/>
    <n v="0.10777777782641351"/>
    <n v="0.10777777782641351"/>
    <s v="Remote  reset done"/>
    <s v="Close"/>
    <n v="4.6859903402788486E-3"/>
    <n v="1"/>
    <n v="0.22"/>
    <m/>
  </r>
  <r>
    <n v="1597"/>
    <n v="2025"/>
    <n v="2024"/>
    <s v="Year_2"/>
    <d v="2024-04-24T00:00:00"/>
    <s v="KUD05"/>
    <s v="O2R3"/>
    <s v="JK"/>
    <n v="4.3478260869565223E-2"/>
    <n v="3209"/>
    <x v="101"/>
    <s v="YawSignals Invalid"/>
    <s v="Breakdown"/>
    <d v="2024-04-24T22:11:39"/>
    <d v="2024-04-24T22:11:39"/>
    <d v="2024-04-24T22:19:16"/>
    <d v="1899-12-30T00:00:00"/>
    <n v="0.12694444443332031"/>
    <n v="0.12694444443332031"/>
    <s v="Remote  reset done"/>
    <s v="Close"/>
    <n v="5.5193236710139272E-3"/>
    <n v="1"/>
    <n v="0.1"/>
    <m/>
  </r>
  <r>
    <n v="1598"/>
    <n v="2025"/>
    <n v="2024"/>
    <s v="Year_2"/>
    <d v="2024-04-24T00:00:00"/>
    <s v="KUD08"/>
    <s v="O2R3"/>
    <s v="JK"/>
    <n v="4.3478260869565223E-2"/>
    <n v="356"/>
    <x v="165"/>
    <s v="Extreme yawerror  8.5m/s133.2Â°"/>
    <s v="Breakdown"/>
    <d v="2024-04-24T21:54:21"/>
    <d v="2024-04-24T21:54:21"/>
    <d v="2024-04-24T21:59:55"/>
    <d v="1899-12-30T00:00:00"/>
    <n v="9.2777777812443674E-2"/>
    <n v="9.2777777812443674E-2"/>
    <s v="Auto reset"/>
    <s v="Close"/>
    <n v="4.0338164266279864E-3"/>
    <n v="1"/>
    <n v="0.02"/>
    <m/>
  </r>
  <r>
    <n v="1599"/>
    <n v="2025"/>
    <n v="2024"/>
    <s v="Year_2"/>
    <d v="2024-04-24T00:00:00"/>
    <s v="KUD12"/>
    <s v="O2R1"/>
    <s v="KSIPL"/>
    <n v="4.3478260869565223E-2"/>
    <n v="900"/>
    <x v="100"/>
    <s v="Pause pressed on keyboard"/>
    <s v="Manual Stop"/>
    <d v="2024-04-24T09:42:36"/>
    <d v="2024-04-24T09:42:36"/>
    <d v="2024-04-24T18:08:18"/>
    <d v="1899-12-30T00:00:00"/>
    <n v="8.4283333332859911"/>
    <n v="8.4283333332859911"/>
    <s v="1 Year scheduled service day2 work done"/>
    <s v="Close"/>
    <n v="0.36644927536026051"/>
    <n v="1"/>
    <n v="2.19"/>
    <m/>
  </r>
  <r>
    <n v="1600"/>
    <n v="2025"/>
    <n v="2024"/>
    <s v="Year_2"/>
    <d v="2024-04-24T00:00:00"/>
    <s v="KUD14"/>
    <s v="O2R1"/>
    <s v="KSIPL"/>
    <n v="4.3478260869565223E-2"/>
    <n v="3273"/>
    <x v="35"/>
    <s v="YawUntwistCCW: Code 6,    549Â°"/>
    <s v="Breakdown"/>
    <d v="2024-04-24T11:34:10"/>
    <d v="2024-04-24T11:34:10"/>
    <d v="2024-04-24T12:02:00"/>
    <d v="1899-12-30T00:00:00"/>
    <n v="0.46388888888759539"/>
    <n v="0.46388888888759539"/>
    <s v="Turbine self cable Twist release"/>
    <s v="Close"/>
    <n v="2.0169082125547629E-2"/>
    <n v="1"/>
    <n v="0.17"/>
    <m/>
  </r>
  <r>
    <n v="1601"/>
    <n v="2025"/>
    <n v="2024"/>
    <s v="Year_2"/>
    <d v="2024-04-24T00:00:00"/>
    <s v="KUD16"/>
    <s v="O2R2"/>
    <s v="SIL"/>
    <n v="4.3478260869565223E-2"/>
    <n v="707"/>
    <x v="121"/>
    <s v="Ch hardware error C0"/>
    <s v="Breakdown"/>
    <d v="2024-04-24T16:11:12"/>
    <d v="2024-04-24T16:11:12"/>
    <d v="2024-04-24T16:23:12"/>
    <d v="1899-12-30T00:00:00"/>
    <n v="0.20000000012805685"/>
    <n v="0.20000000012805685"/>
    <s v="Auto reset"/>
    <s v="Close"/>
    <n v="8.695652179480734E-3"/>
    <n v="1"/>
    <n v="0.01"/>
    <m/>
  </r>
  <r>
    <n v="1602"/>
    <n v="2025"/>
    <n v="2024"/>
    <s v="Year_2"/>
    <d v="2024-04-24T00:00:00"/>
    <s v="KUD16"/>
    <s v="O2R2"/>
    <s v="SIL"/>
    <n v="4.3478260869565223E-2"/>
    <n v="356"/>
    <x v="165"/>
    <s v="Extreme yawerror  7.0m/s153.9Â°"/>
    <s v="Breakdown"/>
    <d v="2024-04-24T22:04:24"/>
    <d v="2024-04-24T22:04:24"/>
    <d v="2024-04-24T22:10:36"/>
    <d v="1899-12-30T00:00:00"/>
    <n v="0.10333333339076489"/>
    <n v="0.10333333339076489"/>
    <s v="Auto reset"/>
    <s v="Close"/>
    <n v="4.4927536256854309E-3"/>
    <n v="1"/>
    <n v="0.01"/>
    <m/>
  </r>
  <r>
    <n v="1603"/>
    <n v="2025"/>
    <n v="2024"/>
    <s v="Year_2"/>
    <d v="2024-04-24T00:00:00"/>
    <s v="KUD18"/>
    <s v="O2R4"/>
    <s v="SGDCIPL"/>
    <n v="4.3478260869565223E-2"/>
    <n v="3209"/>
    <x v="101"/>
    <s v="YawSignals Invalid"/>
    <s v="Breakdown"/>
    <d v="2024-04-24T22:08:25"/>
    <d v="2024-04-24T22:08:25"/>
    <d v="2024-04-24T22:19:16"/>
    <d v="1899-12-30T00:00:00"/>
    <n v="0.18083333317190409"/>
    <n v="0.18083333317190409"/>
    <s v="Remote  reset done"/>
    <s v="Close"/>
    <n v="7.8623188335610484E-3"/>
    <n v="1"/>
    <n v="0.5"/>
    <m/>
  </r>
  <r>
    <n v="1604"/>
    <n v="2025"/>
    <n v="2024"/>
    <s v="Year_2"/>
    <d v="2024-04-24T00:00:00"/>
    <s v="KUD19"/>
    <s v="O2R1"/>
    <s v="KSIPL"/>
    <n v="4.3478260869565223E-2"/>
    <n v="356"/>
    <x v="165"/>
    <s v="Extreme yawerror  7.6m/s145.8Â°"/>
    <s v="Breakdown"/>
    <d v="2024-04-24T22:08:32"/>
    <d v="2024-04-24T22:08:32"/>
    <d v="2024-04-24T22:15:01"/>
    <d v="1899-12-30T00:00:00"/>
    <n v="0.10805555549450219"/>
    <n v="0.10805555549450219"/>
    <s v="Auto reset"/>
    <s v="Close"/>
    <n v="4.6980676301957482E-3"/>
    <n v="1"/>
    <n v="0.22"/>
    <m/>
  </r>
  <r>
    <n v="1605"/>
    <n v="2025"/>
    <n v="2024"/>
    <s v="Year_2"/>
    <d v="2024-04-25T00:00:00"/>
    <s v="KUD02"/>
    <s v="O2R3"/>
    <s v="JK"/>
    <n v="4.3478260869565223E-2"/>
    <n v="3273"/>
    <x v="35"/>
    <s v="YawUntwistCCW: Code 6,    586Â°"/>
    <s v="Breakdown"/>
    <d v="2024-04-25T11:28:20"/>
    <d v="2024-04-25T11:28:20"/>
    <d v="2024-04-25T11:58:20"/>
    <d v="1899-12-30T00:00:00"/>
    <n v="0.49999999988358468"/>
    <n v="0.49999999988358468"/>
    <s v="Turbine self cable Twist release"/>
    <s v="Close"/>
    <n v="2.1739130429721077E-2"/>
    <n v="1"/>
    <n v="0.03"/>
    <m/>
  </r>
  <r>
    <n v="1606"/>
    <n v="2025"/>
    <n v="2024"/>
    <s v="Year_2"/>
    <d v="2024-04-25T00:00:00"/>
    <s v="KUD05"/>
    <s v="O2R3"/>
    <s v="JK"/>
    <n v="4.3478260869565223E-2"/>
    <n v="3273"/>
    <x v="35"/>
    <s v="YawUntwistCCW: Code 5,    549Â°"/>
    <s v="Breakdown"/>
    <d v="2024-04-25T07:14:22"/>
    <d v="2024-04-25T07:14:22"/>
    <d v="2024-04-25T07:41:17"/>
    <d v="1899-12-30T00:00:00"/>
    <n v="0.44861111103091389"/>
    <n v="0.44861111103091389"/>
    <s v="Turbine self cable Twist release"/>
    <s v="Close"/>
    <n v="1.9504830914387563E-2"/>
    <n v="1"/>
    <n v="0.04"/>
    <m/>
  </r>
  <r>
    <n v="1607"/>
    <n v="2025"/>
    <n v="2024"/>
    <s v="Year_2"/>
    <d v="2024-04-25T00:00:00"/>
    <s v="KUD06"/>
    <s v="O2R3"/>
    <s v="JK"/>
    <n v="4.3478260869565223E-2"/>
    <n v="3273"/>
    <x v="35"/>
    <s v="YawUntwistCCW: Code 6,    546Â°"/>
    <s v="Breakdown"/>
    <d v="2024-04-25T10:49:56"/>
    <d v="2024-04-25T10:49:56"/>
    <d v="2024-04-25T11:10:19"/>
    <d v="1899-12-30T00:00:00"/>
    <n v="0.33972222218289971"/>
    <n v="0.33972222218289971"/>
    <s v="Turbine self cable Twist release"/>
    <s v="Close"/>
    <n v="1.4770531399256511E-2"/>
    <n v="1"/>
    <n v="0.01"/>
    <m/>
  </r>
  <r>
    <n v="1608"/>
    <n v="2025"/>
    <n v="2024"/>
    <s v="Year_2"/>
    <d v="2024-04-25T00:00:00"/>
    <s v="KUD18"/>
    <s v="O2R4"/>
    <s v="SGDCIPL"/>
    <n v="4.3478260869565223E-2"/>
    <n v="3273"/>
    <x v="35"/>
    <s v="YawUntwistCCW: Code 6,    703Â°"/>
    <s v="Breakdown"/>
    <d v="2024-04-25T13:37:27"/>
    <d v="2024-04-25T13:37:27"/>
    <d v="2024-04-25T14:12:15"/>
    <d v="1899-12-30T00:00:00"/>
    <n v="0.57999999989988282"/>
    <n v="0.57999999989988282"/>
    <s v="Turbine self cable Twist release"/>
    <s v="Close"/>
    <n v="2.521739129999491E-2"/>
    <n v="1"/>
    <n v="0.02"/>
    <m/>
  </r>
  <r>
    <n v="1609"/>
    <n v="2025"/>
    <n v="2024"/>
    <s v="Year_2"/>
    <d v="2024-04-25T00:00:00"/>
    <s v="KUD23"/>
    <s v="O2R3"/>
    <s v="JK"/>
    <n v="4.3478260869565223E-2"/>
    <n v="3273"/>
    <x v="35"/>
    <s v="YawUntwistCCW: Code 6,    542Â°"/>
    <s v="Breakdown"/>
    <d v="2024-04-25T08:17:45"/>
    <d v="2024-04-25T08:17:45"/>
    <d v="2024-04-25T08:43:38"/>
    <d v="1899-12-30T00:00:00"/>
    <n v="0.43138888879911974"/>
    <n v="0.43138888879911974"/>
    <s v="Turbine self cable Twist release"/>
    <s v="Close"/>
    <n v="1.8756038643439991E-2"/>
    <n v="1"/>
    <n v="0"/>
    <m/>
  </r>
  <r>
    <n v="1610"/>
    <n v="2025"/>
    <n v="2024"/>
    <s v="Year_2"/>
    <d v="2024-04-26T00:00:00"/>
    <s v="KUD13"/>
    <s v="O2R1"/>
    <s v="KSIPL"/>
    <n v="4.3478260869565223E-2"/>
    <n v="900"/>
    <x v="100"/>
    <s v="Pause pressed on keyboard"/>
    <s v="Manual Stop"/>
    <d v="2024-04-26T09:58:19"/>
    <d v="2024-04-26T09:58:19"/>
    <d v="2024-04-26T17:26:53"/>
    <d v="1899-12-30T00:00:00"/>
    <n v="7.4761111111147329"/>
    <n v="7.4761111111147329"/>
    <s v="1 Year scheduled service day1 work done"/>
    <s v="Close"/>
    <n v="0.32504830917890148"/>
    <n v="1"/>
    <n v="1.27"/>
    <m/>
  </r>
  <r>
    <n v="1611"/>
    <n v="2025"/>
    <n v="2024"/>
    <s v="Year_2"/>
    <d v="2024-04-26T00:00:00"/>
    <s v="KUD22"/>
    <s v="O2R3"/>
    <s v="JK"/>
    <n v="4.3478260869565223E-2"/>
    <n v="3273"/>
    <x v="35"/>
    <s v="YawUntwistCCW: Code 6,    540Â°"/>
    <s v="Breakdown"/>
    <d v="2024-04-26T08:22:22"/>
    <d v="2024-04-26T08:22:22"/>
    <d v="2024-04-26T08:49:15"/>
    <d v="1899-12-30T00:00:00"/>
    <n v="0.44805555552011356"/>
    <n v="0.44805555552011356"/>
    <s v="Turbine self cable Twist release"/>
    <s v="Close"/>
    <n v="1.948067632696146E-2"/>
    <n v="1"/>
    <n v="0.04"/>
    <m/>
  </r>
  <r>
    <n v="1612"/>
    <n v="2025"/>
    <n v="2024"/>
    <s v="Year_2"/>
    <d v="2024-04-27T00:00:00"/>
    <s v="KUD01"/>
    <s v="O2R1"/>
    <s v="KSIPL"/>
    <n v="4.3478260869565223E-2"/>
    <n v="3273"/>
    <x v="35"/>
    <s v="YawUntwistCCW: Code 6,    540Â°"/>
    <s v="Breakdown"/>
    <d v="2024-04-27T10:04:51"/>
    <d v="2024-04-27T10:04:51"/>
    <d v="2024-04-27T10:25:25"/>
    <d v="1899-12-30T00:00:00"/>
    <n v="0.34277777775423601"/>
    <n v="0.34277777775423601"/>
    <s v="Turbine self cable Twist release"/>
    <s v="Close"/>
    <n v="1.4903381641488524E-2"/>
    <n v="1"/>
    <n v="0.06"/>
    <m/>
  </r>
  <r>
    <n v="1613"/>
    <n v="2025"/>
    <n v="2024"/>
    <s v="Year_2"/>
    <d v="2024-04-27T00:00:00"/>
    <s v="KUD01"/>
    <s v="O2R1"/>
    <s v="KSIPL"/>
    <n v="4.3478260869565223E-2"/>
    <n v="450"/>
    <x v="127"/>
    <s v="Ext. High I sum Grd inv."/>
    <s v="Breakdown"/>
    <d v="2024-04-27T21:47:35"/>
    <d v="2024-04-27T21:47:35"/>
    <d v="2024-04-27T21:49:50"/>
    <d v="1899-12-30T00:00:00"/>
    <n v="3.7500000034924597E-2"/>
    <n v="3.7500000034924597E-2"/>
    <s v="Auto reset"/>
    <s v="Close"/>
    <n v="1.6304347841271565E-3"/>
    <n v="1"/>
    <n v="0.06"/>
    <m/>
  </r>
  <r>
    <n v="1614"/>
    <n v="2025"/>
    <n v="2024"/>
    <s v="Year_2"/>
    <d v="2024-04-27T00:00:00"/>
    <s v="KUD01"/>
    <s v="O2R1"/>
    <s v="KSIPL"/>
    <n v="4.3478260869565223E-2"/>
    <n v="6293"/>
    <x v="32"/>
    <s v="Pitch valves test active"/>
    <s v="Breakdown"/>
    <d v="2024-04-27T21:49:50"/>
    <d v="2024-04-27T21:49:50"/>
    <d v="2024-04-27T21:56:26"/>
    <d v="1899-12-30T00:00:00"/>
    <n v="0.11000000004423782"/>
    <n v="0.11000000004423782"/>
    <s v="Turbine self test taken"/>
    <s v="Close"/>
    <n v="4.7826086975755579E-3"/>
    <n v="1"/>
    <n v="0.06"/>
    <m/>
  </r>
  <r>
    <n v="1615"/>
    <n v="2025"/>
    <n v="2024"/>
    <s v="Year_2"/>
    <d v="2024-04-27T00:00:00"/>
    <s v="KUD07"/>
    <s v="O2R3"/>
    <s v="JK"/>
    <n v="4.3478260869565223E-2"/>
    <n v="693"/>
    <x v="157"/>
    <s v="SignalError-PAUSE  1830,    2"/>
    <s v="Breakdown"/>
    <d v="2024-04-27T15:52:16"/>
    <d v="2024-04-27T15:52:16"/>
    <d v="2024-04-27T17:08:10"/>
    <d v="1899-12-30T00:00:00"/>
    <n v="1.2649999998975545"/>
    <n v="1.2649999998975545"/>
    <s v="Manual hard reboot done"/>
    <s v="Close"/>
    <n v="5.4999999995545855E-2"/>
    <n v="1"/>
    <n v="0.69"/>
    <m/>
  </r>
  <r>
    <n v="1616"/>
    <n v="2025"/>
    <n v="2024"/>
    <s v="Year_2"/>
    <d v="2024-04-27T00:00:00"/>
    <s v="KUD13"/>
    <s v="O2R1"/>
    <s v="KSIPL"/>
    <n v="4.3478260869565223E-2"/>
    <n v="900"/>
    <x v="100"/>
    <s v="Pause pressed on keyboard"/>
    <s v="Manual Stop"/>
    <d v="2024-04-27T09:55:20"/>
    <d v="2024-04-27T09:55:20"/>
    <d v="2024-04-27T15:30:31"/>
    <d v="1899-12-30T00:00:00"/>
    <n v="5.5863888889434747"/>
    <n v="5.5863888889434747"/>
    <s v="1 Year scheduled service day2 work done"/>
    <s v="Close"/>
    <n v="0.24288647343232503"/>
    <n v="1"/>
    <n v="2.6"/>
    <m/>
  </r>
  <r>
    <n v="1617"/>
    <n v="2025"/>
    <n v="2024"/>
    <s v="Year_2"/>
    <d v="2024-04-27T00:00:00"/>
    <s v="KUD14"/>
    <s v="O2R1"/>
    <s v="KSIPL"/>
    <n v="4.3478260869565223E-2"/>
    <n v="3273"/>
    <x v="35"/>
    <s v="YawUntwistCCW: Code 6,    540Â°"/>
    <s v="Breakdown"/>
    <d v="2024-04-27T10:21:29"/>
    <d v="2024-04-27T10:21:29"/>
    <d v="2024-04-27T10:45:20"/>
    <d v="1899-12-30T00:00:00"/>
    <n v="0.39750000002095476"/>
    <n v="0.39750000002095476"/>
    <s v="Turbine self cable Twist release"/>
    <s v="Close"/>
    <n v="1.7282608696563253E-2"/>
    <n v="1"/>
    <n v="0.02"/>
    <m/>
  </r>
  <r>
    <n v="1618"/>
    <n v="2025"/>
    <n v="2024"/>
    <s v="Year_2"/>
    <d v="2024-04-27T00:00:00"/>
    <s v="KUD14"/>
    <s v="O2R1"/>
    <s v="KSIPL"/>
    <n v="4.3478260869565223E-2"/>
    <n v="900"/>
    <x v="100"/>
    <s v="Pause pressed on keyboard"/>
    <s v="Manual Stop"/>
    <d v="2024-04-27T14:05:17"/>
    <d v="2024-04-27T14:05:17"/>
    <d v="2024-04-27T16:02:01"/>
    <d v="1899-12-30T00:00:00"/>
    <n v="1.9455555554595776"/>
    <n v="1.9455555554595776"/>
    <s v="1 Year scheduled service day1 work done"/>
    <s v="Close"/>
    <n v="8.4589371976503389E-2"/>
    <n v="1"/>
    <n v="1.33"/>
    <m/>
  </r>
  <r>
    <n v="1619"/>
    <n v="2025"/>
    <n v="2024"/>
    <s v="Year_2"/>
    <d v="2024-04-27T00:00:00"/>
    <s v="KUD17"/>
    <s v="O2R2"/>
    <s v="SIL"/>
    <n v="4.3478260869565223E-2"/>
    <n v="3273"/>
    <x v="35"/>
    <s v="YawUntwistCCW: Code 6,    631Â°"/>
    <s v="Breakdown"/>
    <d v="2024-04-27T10:38:51"/>
    <d v="2024-04-27T10:38:51"/>
    <d v="2024-04-27T11:08:15"/>
    <d v="1899-12-30T00:00:00"/>
    <n v="0.48999999999068677"/>
    <n v="0.48999999999068677"/>
    <s v="Turbine self cable Twist release"/>
    <s v="Close"/>
    <n v="2.1304347825682038E-2"/>
    <n v="1"/>
    <n v="0.15"/>
    <m/>
  </r>
  <r>
    <n v="1620"/>
    <n v="2025"/>
    <n v="2024"/>
    <s v="Year_2"/>
    <d v="2024-04-27T00:00:00"/>
    <s v="KUD18"/>
    <s v="O2R4"/>
    <s v="SGDCIPL"/>
    <n v="4.3478260869565223E-2"/>
    <n v="3483"/>
    <x v="168"/>
    <s v="GearOilTempLow 273Â°C"/>
    <s v="Breakdown"/>
    <d v="2024-04-27T09:51:18"/>
    <d v="2024-04-27T09:51:18"/>
    <d v="2024-04-27T11:53:39"/>
    <d v="1899-12-30T00:00:00"/>
    <n v="2.0391666668001562"/>
    <n v="2.0391666668001562"/>
    <s v="Found sensor cable loose condition then tightened after restored"/>
    <s v="Close"/>
    <n v="8.8659420295658972E-2"/>
    <n v="1"/>
    <n v="0.43"/>
    <m/>
  </r>
  <r>
    <n v="1621"/>
    <n v="2025"/>
    <n v="2024"/>
    <s v="Year_2"/>
    <d v="2024-04-28T00:00:00"/>
    <s v="KUD04"/>
    <s v="O2R3"/>
    <s v="JK"/>
    <n v="4.3478260869565223E-2"/>
    <n v="3298"/>
    <x v="47"/>
    <s v="Yaw To Cable Twist Reset"/>
    <s v="Breakdown"/>
    <d v="2024-04-28T12:31:11"/>
    <d v="2024-04-28T12:31:11"/>
    <d v="2024-04-28T12:37:47"/>
    <d v="1899-12-30T00:00:00"/>
    <n v="0.11000000004423782"/>
    <n v="0.11000000004423782"/>
    <s v="Turbine self cable Twist release"/>
    <s v="Close"/>
    <n v="4.7826086975755579E-3"/>
    <n v="1"/>
    <n v="0.02"/>
    <m/>
  </r>
  <r>
    <n v="1622"/>
    <n v="2025"/>
    <n v="2024"/>
    <s v="Year_2"/>
    <d v="2024-04-28T00:00:00"/>
    <s v="KUD07"/>
    <s v="O2R3"/>
    <s v="JK"/>
    <n v="4.3478260869565223E-2"/>
    <n v="3272"/>
    <x v="143"/>
    <s v="YawUntwistCW: Code 3,-000540Â°"/>
    <s v="Breakdown"/>
    <d v="2024-04-28T13:42:51"/>
    <d v="2024-04-28T13:42:51"/>
    <d v="2024-04-28T14:07:19"/>
    <d v="1899-12-30T00:00:00"/>
    <n v="0.40777777775656432"/>
    <n v="0.40777777775656432"/>
    <s v="Turbine self cable Twist release"/>
    <s v="Close"/>
    <n v="1.7729468598111496E-2"/>
    <n v="1"/>
    <n v="0.11"/>
    <m/>
  </r>
  <r>
    <n v="1623"/>
    <n v="2025"/>
    <n v="2024"/>
    <s v="Year_2"/>
    <d v="2024-04-28T00:00:00"/>
    <s v="KUD10"/>
    <s v="O2R1"/>
    <s v="KSIPL"/>
    <n v="4.3478260869565223E-2"/>
    <n v="3272"/>
    <x v="143"/>
    <s v="YawUntwistCW: Code 3,-000540Â°"/>
    <s v="Breakdown"/>
    <d v="2024-04-28T13:34:18"/>
    <d v="2024-04-28T13:34:18"/>
    <d v="2024-04-28T13:58:25"/>
    <d v="1899-12-30T00:00:00"/>
    <n v="0.40194444445660338"/>
    <n v="0.40194444445660338"/>
    <s v="Turbine self cable Twist release"/>
    <s v="Close"/>
    <n v="1.7475845411156671E-2"/>
    <n v="1"/>
    <n v="0.01"/>
    <m/>
  </r>
  <r>
    <n v="1624"/>
    <n v="2025"/>
    <n v="2024"/>
    <s v="Year_2"/>
    <d v="2024-04-28T00:00:00"/>
    <s v="KUD13"/>
    <s v="O2R1"/>
    <s v="KSIPL"/>
    <n v="4.3478260869565223E-2"/>
    <n v="3273"/>
    <x v="35"/>
    <s v="YawUntwistCCW: Code 6,    540Â°"/>
    <s v="Breakdown"/>
    <d v="2024-04-28T12:20:24"/>
    <d v="2024-04-28T12:20:24"/>
    <d v="2024-04-28T12:43:00"/>
    <d v="1899-12-30T00:00:00"/>
    <n v="0.37666666670702398"/>
    <n v="0.37666666670702398"/>
    <s v="Turbine self cable Twist release"/>
    <s v="Close"/>
    <n v="1.6376811595957566E-2"/>
    <n v="1"/>
    <n v="0"/>
    <m/>
  </r>
  <r>
    <n v="1625"/>
    <n v="2025"/>
    <n v="2024"/>
    <s v="Year_2"/>
    <d v="2024-04-28T00:00:00"/>
    <s v="KUD14"/>
    <s v="O2R1"/>
    <s v="KSIPL"/>
    <n v="4.3478260869565223E-2"/>
    <n v="3273"/>
    <x v="35"/>
    <s v="YawUntwistCCW: Code 6,    550Â°"/>
    <s v="Breakdown"/>
    <d v="2024-04-28T13:19:49"/>
    <d v="2024-04-28T13:19:49"/>
    <d v="2024-04-28T13:40:36"/>
    <d v="1899-12-30T00:00:00"/>
    <n v="0.34638888901099563"/>
    <n v="0.34638888901099563"/>
    <s v="Turbine self cable Twist release"/>
    <s v="Close"/>
    <n v="1.5060386478738943E-2"/>
    <n v="1"/>
    <n v="0"/>
    <m/>
  </r>
  <r>
    <n v="1626"/>
    <n v="2025"/>
    <n v="2024"/>
    <s v="Year_2"/>
    <d v="2024-04-28T00:00:00"/>
    <s v="KUD15"/>
    <s v="O2R1"/>
    <s v="KSIPL"/>
    <n v="4.3478260869565223E-2"/>
    <n v="3273"/>
    <x v="35"/>
    <s v="YawUntwistCCW: Code 7,    373Â°"/>
    <s v="Breakdown"/>
    <d v="2024-04-28T00:39:12"/>
    <d v="2024-04-28T00:39:12"/>
    <d v="2024-04-28T01:25:36"/>
    <d v="1899-12-30T00:00:00"/>
    <n v="0.77333333337446675"/>
    <n v="0.77333333337446675"/>
    <s v="Turbine self cable Twist release"/>
    <s v="Close"/>
    <n v="3.3623188407585512E-2"/>
    <n v="1"/>
    <n v="0.48"/>
    <m/>
  </r>
  <r>
    <n v="1627"/>
    <n v="2025"/>
    <n v="2024"/>
    <s v="Year_2"/>
    <d v="2024-04-28T00:00:00"/>
    <s v="KUD18"/>
    <s v="O2R4"/>
    <s v="SGDCIPL"/>
    <n v="4.3478260869565223E-2"/>
    <n v="3209"/>
    <x v="101"/>
    <s v="YawSignals Invalid"/>
    <s v="Breakdown"/>
    <d v="2024-04-28T00:52:53"/>
    <d v="2024-04-28T00:52:53"/>
    <d v="2024-04-28T01:05:23"/>
    <d v="1899-12-30T00:00:00"/>
    <n v="0.20833333331393078"/>
    <n v="0.20833333331393078"/>
    <s v="Remote reset done"/>
    <s v="Close"/>
    <n v="9.0579710136491649E-3"/>
    <n v="1"/>
    <n v="0.3"/>
    <m/>
  </r>
  <r>
    <n v="1628"/>
    <n v="2025"/>
    <n v="2024"/>
    <s v="Year_2"/>
    <d v="2024-04-28T00:00:00"/>
    <s v="KUD18"/>
    <s v="O2R4"/>
    <s v="SGDCIPL"/>
    <n v="4.3478260869565223E-2"/>
    <n v="3273"/>
    <x v="35"/>
    <s v="YawUntwistCCW: Code 6,    571Â°"/>
    <s v="Breakdown"/>
    <d v="2024-04-28T13:45:43"/>
    <d v="2024-04-28T13:45:43"/>
    <d v="2024-04-28T14:15:05"/>
    <d v="1899-12-30T00:00:00"/>
    <n v="0.48944444447988644"/>
    <n v="0.48944444447988644"/>
    <s v="Turbine self cable Twist release"/>
    <s v="Close"/>
    <n v="2.1280193238255935E-2"/>
    <n v="1"/>
    <n v="0.02"/>
    <m/>
  </r>
  <r>
    <n v="1629"/>
    <n v="2025"/>
    <n v="2024"/>
    <s v="Year_2"/>
    <d v="2024-04-28T00:00:00"/>
    <s v="KUD21"/>
    <s v="O2R3"/>
    <s v="JK"/>
    <n v="4.3478260869565223E-2"/>
    <n v="707"/>
    <x v="121"/>
    <s v="Ch hardware error C0"/>
    <s v="Breakdown"/>
    <d v="2024-04-28T08:22:03"/>
    <d v="2024-04-28T08:22:03"/>
    <d v="2024-04-28T08:24:02"/>
    <d v="1899-12-30T00:00:00"/>
    <n v="3.3055555424652994E-2"/>
    <n v="3.3055555424652994E-2"/>
    <s v="Auto reset"/>
    <s v="Close"/>
    <n v="1.4371980619414346E-3"/>
    <n v="1"/>
    <n v="0.02"/>
    <m/>
  </r>
  <r>
    <n v="1630"/>
    <n v="2025"/>
    <n v="2024"/>
    <s v="Year_2"/>
    <d v="2024-04-28T00:00:00"/>
    <s v="KUD21"/>
    <s v="O2R3"/>
    <s v="JK"/>
    <n v="4.3478260869565223E-2"/>
    <n v="4033"/>
    <x v="169"/>
    <s v="SafetySystem Hub Pending"/>
    <s v="Breakdown"/>
    <d v="1899-12-30T22:26:00"/>
    <d v="1899-12-30T22:26:00"/>
    <d v="1899-12-31T00:00:00"/>
    <d v="1899-12-30T00:00:00"/>
    <n v="1.5666666666666664"/>
    <n v="1.5666666666666664"/>
    <s v="Manual hard reboot done"/>
    <s v="Close"/>
    <n v="6.8115942028985507E-2"/>
    <n v="1"/>
    <n v="2"/>
    <m/>
  </r>
  <r>
    <n v="1631"/>
    <n v="2025"/>
    <n v="2024"/>
    <s v="Year_2"/>
    <d v="2024-04-29T00:00:00"/>
    <s v="KUD01"/>
    <s v="O2R1"/>
    <s v="KSIPL"/>
    <n v="4.3478260869565223E-2"/>
    <n v="450"/>
    <x v="127"/>
    <s v="Ext. High I sum Grd inv."/>
    <s v="Breakdown"/>
    <d v="1899-12-30T07:39:00"/>
    <d v="1899-12-30T07:39:00"/>
    <d v="1899-12-30T07:41:24"/>
    <d v="1899-12-30T00:00:00"/>
    <n v="4.0000000000000924E-2"/>
    <n v="4.0000000000000924E-2"/>
    <s v="Auto reset"/>
    <s v="Close"/>
    <n v="1.7391304347826491E-3"/>
    <n v="1"/>
    <n v="0.02"/>
    <m/>
  </r>
  <r>
    <n v="1632"/>
    <n v="2025"/>
    <n v="2024"/>
    <s v="Year_2"/>
    <d v="2024-04-29T00:00:00"/>
    <s v="KUD01"/>
    <s v="O2R1"/>
    <s v="KSIPL"/>
    <n v="4.3478260869565223E-2"/>
    <n v="6293"/>
    <x v="32"/>
    <s v="Pitch valves test active"/>
    <s v="Breakdown"/>
    <d v="1899-12-30T07:41:00"/>
    <d v="1899-12-30T07:41:00"/>
    <d v="1899-12-30T07:48:00"/>
    <d v="1899-12-30T00:00:00"/>
    <n v="0.11666666666666758"/>
    <n v="0.11666666666666758"/>
    <s v="Turbine self test taken"/>
    <s v="Close"/>
    <n v="5.0724637681159824E-3"/>
    <n v="1"/>
    <n v="0.03"/>
    <m/>
  </r>
  <r>
    <n v="1633"/>
    <n v="2025"/>
    <n v="2024"/>
    <s v="Year_2"/>
    <d v="2024-04-29T00:00:00"/>
    <s v="KUD02"/>
    <s v="O2R3"/>
    <s v="JK"/>
    <n v="4.3478260869565223E-2"/>
    <n v="3273"/>
    <x v="35"/>
    <s v="YawUntwistCCW: Code 5,    540Â°"/>
    <s v="Breakdown"/>
    <d v="1899-12-30T12:46:00"/>
    <d v="1899-12-30T12:46:00"/>
    <d v="1899-12-30T13:13:00"/>
    <d v="1899-12-30T00:00:00"/>
    <n v="0.45000000000000107"/>
    <n v="0.45000000000000107"/>
    <s v="Turbine self cable Twist release"/>
    <s v="Close"/>
    <n v="1.9565217391304398E-2"/>
    <n v="1"/>
    <n v="0.05"/>
    <m/>
  </r>
  <r>
    <n v="1634"/>
    <n v="2025"/>
    <n v="2024"/>
    <s v="Year_2"/>
    <d v="2024-04-29T00:00:00"/>
    <s v="KUD14"/>
    <s v="O2R1"/>
    <s v="KSIPL"/>
    <n v="4.3478260869565223E-2"/>
    <n v="900"/>
    <x v="100"/>
    <s v="Pause pressed on keyboard"/>
    <s v="Manual Stop"/>
    <d v="1899-12-30T09:58:00"/>
    <d v="1899-12-30T09:58:00"/>
    <d v="1899-12-30T17:57:18"/>
    <d v="1899-12-30T00:00:00"/>
    <n v="7.9883333333333333"/>
    <n v="7.9883333333333333"/>
    <s v="1 Year scheduled service day2 work done"/>
    <s v="Close"/>
    <n v="0.34731884057971019"/>
    <n v="1"/>
    <n v="1.07"/>
    <m/>
  </r>
  <r>
    <n v="1635"/>
    <n v="2025"/>
    <n v="2024"/>
    <s v="Year_2"/>
    <d v="2024-04-29T00:00:00"/>
    <s v="KUD21"/>
    <s v="O2R3"/>
    <s v="JK"/>
    <n v="4.3478260869565223E-2"/>
    <n v="4033"/>
    <x v="169"/>
    <s v="SafetySystem Hub Pending"/>
    <s v="Breakdown"/>
    <d v="1899-12-30T00:00:00"/>
    <d v="1899-12-30T00:00:00"/>
    <d v="1899-12-30T00:51:00"/>
    <d v="1899-12-30T00:00:00"/>
    <n v="0.85"/>
    <n v="0.85"/>
    <s v="Manual hard reboot done"/>
    <s v="Close"/>
    <n v="3.6956521739130437E-2"/>
    <n v="1"/>
    <n v="0.68"/>
    <m/>
  </r>
  <r>
    <n v="1636"/>
    <n v="2025"/>
    <n v="2024"/>
    <s v="Year_2"/>
    <d v="2024-04-29T00:00:00"/>
    <s v="KUD21"/>
    <s v="O2R3"/>
    <s v="JK"/>
    <n v="4.3478260869565223E-2"/>
    <n v="4033"/>
    <x v="169"/>
    <s v="SafetySystem Hub Pending"/>
    <s v="Breakdown"/>
    <d v="1899-12-30T23:57:00"/>
    <d v="1899-12-30T23:57:00"/>
    <d v="1899-12-30T23:59:00"/>
    <d v="1899-12-30T00:00:00"/>
    <n v="3.3333333333333215E-2"/>
    <n v="3.3333333333333215E-2"/>
    <s v="Auto reset"/>
    <s v="Close"/>
    <n v="1.4492753623188356E-3"/>
    <n v="1"/>
    <n v="0"/>
    <m/>
  </r>
  <r>
    <n v="1637"/>
    <n v="2025"/>
    <n v="2024"/>
    <s v="Year_2"/>
    <d v="2024-04-30T00:00:00"/>
    <s v="KUD01"/>
    <s v="O2R1"/>
    <s v="KSIPL"/>
    <n v="4.3478260869565223E-2"/>
    <n v="450"/>
    <x v="127"/>
    <s v="Ext. High I sum Grd inv."/>
    <s v="Breakdown"/>
    <d v="1899-12-30T15:33:26"/>
    <d v="1899-12-30T15:33:26"/>
    <d v="1899-12-30T15:36:07"/>
    <d v="1899-12-30T00:00:00"/>
    <n v="4.4722222222222108E-2"/>
    <n v="4.4722222222222108E-2"/>
    <s v="Auto reset"/>
    <s v="Close"/>
    <n v="1.9444444444444396E-3"/>
    <n v="1"/>
    <n v="0.2"/>
    <m/>
  </r>
  <r>
    <n v="1638"/>
    <n v="2025"/>
    <n v="2024"/>
    <s v="Year_2"/>
    <d v="2024-04-30T00:00:00"/>
    <s v="KUD01"/>
    <s v="O2R1"/>
    <s v="KSIPL"/>
    <n v="4.3478260869565223E-2"/>
    <n v="6293"/>
    <x v="32"/>
    <s v="Pitch valves test active"/>
    <s v="Breakdown"/>
    <d v="1899-12-30T15:36:07"/>
    <d v="1899-12-30T15:36:07"/>
    <d v="1899-12-30T15:42:45"/>
    <d v="1899-12-30T00:00:00"/>
    <n v="0.11055555555555507"/>
    <n v="0.11055555555555507"/>
    <s v="Turbine self test taken"/>
    <s v="Close"/>
    <n v="4.806763285024134E-3"/>
    <n v="1"/>
    <n v="0.01"/>
    <m/>
  </r>
  <r>
    <n v="1639"/>
    <n v="2025"/>
    <n v="2024"/>
    <s v="Year_2"/>
    <d v="2024-04-30T00:00:00"/>
    <s v="KUD02"/>
    <s v="O2R3"/>
    <s v="JK"/>
    <n v="4.3478260869565223E-2"/>
    <n v="3272"/>
    <x v="143"/>
    <s v="YawUntwistCW: Code 2,-000595Â°"/>
    <s v="Breakdown"/>
    <d v="1899-12-30T18:51:09"/>
    <d v="1899-12-30T18:51:09"/>
    <d v="1899-12-30T19:20:48"/>
    <d v="1899-12-30T00:00:00"/>
    <n v="0.49416666666666664"/>
    <n v="0.49416666666666664"/>
    <s v="Turbine self cable Twist release"/>
    <s v="Close"/>
    <n v="2.1485507246376812E-2"/>
    <n v="1"/>
    <n v="0"/>
    <m/>
  </r>
  <r>
    <n v="1640"/>
    <n v="2025"/>
    <n v="2024"/>
    <s v="Year_2"/>
    <d v="2024-04-30T00:00:00"/>
    <s v="KUD04"/>
    <s v="O2R3"/>
    <s v="JK"/>
    <n v="4.3478260869565223E-2"/>
    <n v="3272"/>
    <x v="143"/>
    <s v="YawUntwistCW: Code 3,-000540Â°"/>
    <s v="Breakdown"/>
    <d v="1899-12-30T15:00:15"/>
    <d v="1899-12-30T15:00:15"/>
    <d v="1899-12-30T15:27:40"/>
    <d v="1899-12-30T00:00:00"/>
    <n v="0.45694444444444304"/>
    <n v="0.45694444444444304"/>
    <s v="Turbine self cable Twist release"/>
    <s v="Close"/>
    <n v="1.9867149758454047E-2"/>
    <n v="1"/>
    <n v="0.21"/>
    <m/>
  </r>
  <r>
    <n v="1641"/>
    <n v="2025"/>
    <n v="2024"/>
    <s v="Year_2"/>
    <d v="2024-04-30T00:00:00"/>
    <s v="KUD03"/>
    <s v="O2R1"/>
    <s v="KSIPL"/>
    <n v="4.3478260869565223E-2"/>
    <n v="3273"/>
    <x v="35"/>
    <s v="YawUntwistCCW: Code 5,    556Â°"/>
    <s v="Breakdown"/>
    <d v="1899-12-30T14:41:51"/>
    <d v="1899-12-30T14:41:51"/>
    <d v="1899-12-30T15:33:20"/>
    <d v="1899-12-30T00:00:00"/>
    <n v="0.85805555555555468"/>
    <n v="0.85805555555555468"/>
    <s v="Turbine self cable Twist release"/>
    <s v="Close"/>
    <n v="3.7306763285024122E-2"/>
    <n v="1"/>
    <n v="0"/>
    <m/>
  </r>
  <r>
    <n v="1642"/>
    <n v="2025"/>
    <n v="2024"/>
    <s v="Year_2"/>
    <d v="2024-04-30T00:00:00"/>
    <s v="KUD06"/>
    <s v="O2R3"/>
    <s v="JK"/>
    <n v="4.3478260869565223E-2"/>
    <n v="3273"/>
    <x v="35"/>
    <s v="YawUntwistCCW: Code 6,    544Â°"/>
    <s v="Breakdown"/>
    <d v="1899-12-30T09:41:34"/>
    <d v="1899-12-30T09:41:34"/>
    <d v="1899-12-30T10:06:25"/>
    <d v="1899-12-30T00:00:00"/>
    <n v="0.41416666666666746"/>
    <n v="0.41416666666666746"/>
    <s v="Turbine self cable Twist release"/>
    <s v="Close"/>
    <n v="1.8007246376811632E-2"/>
    <n v="1"/>
    <n v="0.02"/>
    <m/>
  </r>
  <r>
    <n v="1643"/>
    <n v="2025"/>
    <n v="2024"/>
    <s v="Year_2"/>
    <d v="2024-04-30T00:00:00"/>
    <s v="KUD06"/>
    <s v="O2R3"/>
    <s v="JK"/>
    <n v="4.3478260869565223E-2"/>
    <n v="3272"/>
    <x v="143"/>
    <s v="YawUntwistCW: Code 2,-000670Â°"/>
    <s v="Breakdown"/>
    <d v="1899-12-30T14:38:06"/>
    <d v="1899-12-30T14:38:06"/>
    <d v="1899-12-30T15:05:36"/>
    <d v="1899-12-30T00:00:00"/>
    <n v="0.4583333333333357"/>
    <n v="0.4583333333333357"/>
    <s v="Turbine self cable Twist release"/>
    <s v="Close"/>
    <n v="1.9927536231884164E-2"/>
    <n v="1"/>
    <n v="0.03"/>
    <m/>
  </r>
  <r>
    <n v="1644"/>
    <n v="2025"/>
    <n v="2024"/>
    <s v="Year_2"/>
    <d v="2024-04-30T00:00:00"/>
    <s v="KUD06"/>
    <s v="O2R3"/>
    <s v="JK"/>
    <n v="4.3478260869565223E-2"/>
    <n v="158"/>
    <x v="132"/>
    <s v="Rotor: 1.6RPM, Gen.:-174.5 RPM"/>
    <s v="Breakdown"/>
    <d v="1899-12-30T20:32:32"/>
    <d v="1899-12-30T20:32:32"/>
    <d v="1899-12-30T20:43:28"/>
    <d v="1899-12-30T00:00:00"/>
    <n v="0.18222222222221962"/>
    <n v="0.18222222222221962"/>
    <s v="Auto reset"/>
    <s v="Close"/>
    <n v="7.9227053140095496E-3"/>
    <n v="1"/>
    <n v="0.03"/>
    <m/>
  </r>
  <r>
    <n v="1645"/>
    <n v="2025"/>
    <n v="2024"/>
    <s v="Year_2"/>
    <d v="2024-04-30T00:00:00"/>
    <s v="KUD09"/>
    <s v="O2R3"/>
    <s v="JK"/>
    <n v="4.3478260869565223E-2"/>
    <n v="3273"/>
    <x v="35"/>
    <s v="YawUntwistCCW: Code 5,    540Â°"/>
    <s v="Breakdown"/>
    <d v="1899-12-30T19:46:19"/>
    <d v="1899-12-30T19:46:19"/>
    <d v="1899-12-30T20:07:37"/>
    <d v="1899-12-30T00:00:00"/>
    <n v="0.3550000000000022"/>
    <n v="0.3550000000000022"/>
    <s v="Turbine self cable Twist release"/>
    <s v="Close"/>
    <n v="1.5434782608695749E-2"/>
    <n v="1"/>
    <n v="0"/>
    <m/>
  </r>
  <r>
    <n v="1646"/>
    <n v="2025"/>
    <n v="2024"/>
    <s v="Year_2"/>
    <d v="2024-04-30T00:00:00"/>
    <s v="KUD10"/>
    <s v="O2R1"/>
    <s v="KSIPL"/>
    <n v="4.3478260869565223E-2"/>
    <n v="5197"/>
    <x v="54"/>
    <s v="Prop Valve C Status Fault"/>
    <s v="Breakdown"/>
    <d v="1899-12-30T13:17:29"/>
    <d v="1899-12-30T13:17:29"/>
    <d v="1899-12-30T13:21:42"/>
    <d v="1899-12-30T00:00:00"/>
    <n v="7.0277777777777217E-2"/>
    <n v="7.0277777777777217E-2"/>
    <s v="Auto reset"/>
    <s v="Close"/>
    <n v="3.0555555555555314E-3"/>
    <n v="1"/>
    <n v="0"/>
    <m/>
  </r>
  <r>
    <n v="1647"/>
    <n v="2025"/>
    <n v="2024"/>
    <s v="Year_2"/>
    <d v="2024-04-30T00:00:00"/>
    <s v="KUD11"/>
    <s v="O2R1"/>
    <s v="KSIPL"/>
    <n v="4.3478260869565223E-2"/>
    <n v="313"/>
    <x v="170"/>
    <s v="Ambient temperature high: 41Â°C"/>
    <s v="Breakdown"/>
    <d v="1899-12-30T14:17:52"/>
    <d v="1899-12-30T14:17:52"/>
    <d v="1899-12-30T15:34:05"/>
    <d v="1899-12-30T00:00:00"/>
    <n v="1.2702777777777756"/>
    <n v="1.2702777777777756"/>
    <s v="Auto reset"/>
    <s v="Close"/>
    <n v="5.5229468599033729E-2"/>
    <n v="1"/>
    <n v="7.0000000000000007E-2"/>
    <m/>
  </r>
  <r>
    <n v="1648"/>
    <n v="2025"/>
    <n v="2024"/>
    <s v="Year_2"/>
    <d v="2024-04-30T00:00:00"/>
    <s v="KUD12"/>
    <s v="O2R1"/>
    <s v="KSIPL"/>
    <n v="4.3478260869565223E-2"/>
    <n v="3272"/>
    <x v="143"/>
    <s v="YawUntwistCW: Code 3,-000540Â°"/>
    <s v="Breakdown"/>
    <d v="1899-12-30T14:16:00"/>
    <d v="1899-12-30T14:16:00"/>
    <d v="1899-12-30T14:36:04"/>
    <d v="1899-12-30T00:00:00"/>
    <n v="0.33444444444444521"/>
    <n v="0.33444444444444521"/>
    <s v="Turbine self cable Twist release"/>
    <s v="Close"/>
    <n v="1.4541062801932403E-2"/>
    <n v="1"/>
    <n v="0.04"/>
    <m/>
  </r>
  <r>
    <n v="1649"/>
    <n v="2025"/>
    <n v="2024"/>
    <s v="Year_2"/>
    <d v="2024-04-30T00:00:00"/>
    <s v="KUD12"/>
    <s v="O2R1"/>
    <s v="KSIPL"/>
    <n v="4.3478260869565223E-2"/>
    <n v="313"/>
    <x v="170"/>
    <s v="Ambient temperature high: 41Â°C"/>
    <s v="Breakdown"/>
    <d v="1899-12-30T14:56:52"/>
    <d v="1899-12-30T14:56:52"/>
    <d v="1899-12-30T15:25:57"/>
    <d v="1899-12-30T00:00:00"/>
    <n v="0.48472222222222427"/>
    <n v="0.48472222222222427"/>
    <s v="Auto reset"/>
    <s v="Close"/>
    <n v="2.1074879227053232E-2"/>
    <n v="1"/>
    <n v="0.03"/>
    <m/>
  </r>
  <r>
    <n v="1650"/>
    <n v="2025"/>
    <n v="2024"/>
    <s v="Year_2"/>
    <d v="2024-04-30T00:00:00"/>
    <s v="KUD13"/>
    <s v="O2R1"/>
    <s v="KSIPL"/>
    <n v="4.3478260869565223E-2"/>
    <n v="313"/>
    <x v="170"/>
    <s v="Ambient temperature high: 41Â°C"/>
    <s v="Breakdown"/>
    <d v="1899-12-30T15:19:14"/>
    <d v="1899-12-30T15:19:14"/>
    <d v="1899-12-30T15:30:08"/>
    <d v="1899-12-30T00:00:00"/>
    <n v="0.18166666666666575"/>
    <n v="0.18166666666666575"/>
    <s v="Auto reset"/>
    <s v="Close"/>
    <n v="7.8985507246376423E-3"/>
    <n v="1"/>
    <n v="0.13"/>
    <m/>
  </r>
  <r>
    <n v="1651"/>
    <n v="2025"/>
    <n v="2024"/>
    <s v="Year_2"/>
    <d v="2024-04-30T00:00:00"/>
    <s v="KUD14"/>
    <s v="O2R1"/>
    <s v="KSIPL"/>
    <n v="4.3478260869565223E-2"/>
    <n v="3273"/>
    <x v="35"/>
    <s v="YawUntwistCCW: Code 6,    621Â°"/>
    <s v="Breakdown"/>
    <d v="1899-12-30T08:10:32"/>
    <d v="1899-12-30T08:10:32"/>
    <d v="1899-12-30T08:40:12"/>
    <d v="1899-12-30T00:00:00"/>
    <n v="0.49444444444444491"/>
    <n v="0.49444444444444491"/>
    <s v="Turbine self cable Twist release"/>
    <s v="Close"/>
    <n v="2.1497584541062827E-2"/>
    <n v="1"/>
    <n v="0.05"/>
    <m/>
  </r>
  <r>
    <n v="1652"/>
    <n v="2025"/>
    <n v="2024"/>
    <s v="Year_2"/>
    <d v="2024-04-30T00:00:00"/>
    <s v="KUD14"/>
    <s v="O2R1"/>
    <s v="KSIPL"/>
    <n v="4.3478260869565223E-2"/>
    <n v="3298"/>
    <x v="47"/>
    <s v="Yaw To Cable Twist Reset"/>
    <s v="Breakdown"/>
    <d v="1899-12-30T15:19:14"/>
    <d v="1899-12-30T15:19:14"/>
    <d v="1899-12-30T15:23:33"/>
    <d v="1899-12-30T00:00:00"/>
    <n v="7.1944444444444144E-2"/>
    <n v="7.1944444444444144E-2"/>
    <s v="Auto reset"/>
    <s v="Close"/>
    <n v="3.1280193236714851E-3"/>
    <n v="1"/>
    <n v="0.06"/>
    <m/>
  </r>
  <r>
    <n v="1653"/>
    <n v="2025"/>
    <n v="2024"/>
    <s v="Year_2"/>
    <d v="2024-04-30T00:00:00"/>
    <s v="KUD16"/>
    <s v="O2R2"/>
    <s v="SIL"/>
    <n v="4.3478260869565223E-2"/>
    <n v="313"/>
    <x v="170"/>
    <s v="Ambient temperature high: 41Â°C"/>
    <s v="Breakdown"/>
    <d v="1899-12-30T14:21:07"/>
    <d v="1899-12-30T14:21:07"/>
    <d v="1899-12-30T15:35:41"/>
    <d v="1899-12-30T00:00:00"/>
    <n v="1.2427777777777793"/>
    <n v="1.2427777777777793"/>
    <s v="Auto reset"/>
    <s v="Close"/>
    <n v="5.4033816425120847E-2"/>
    <n v="1"/>
    <n v="0.11"/>
    <m/>
  </r>
  <r>
    <n v="1654"/>
    <n v="2025"/>
    <n v="2024"/>
    <s v="Year_2"/>
    <d v="2024-04-30T00:00:00"/>
    <s v="KUD18"/>
    <s v="O2R4"/>
    <s v="SGDCIPL"/>
    <n v="4.3478260869565223E-2"/>
    <n v="900"/>
    <x v="100"/>
    <s v="Pause pressed on keyboard"/>
    <s v="Manual Stop"/>
    <d v="1899-12-30T11:42:16"/>
    <d v="1899-12-30T11:42:16"/>
    <d v="1899-12-30T13:56:01"/>
    <d v="1899-12-30T00:00:00"/>
    <n v="2.2291666666666674"/>
    <n v="2.2291666666666674"/>
    <s v="1 Year scheduled service day1 work done"/>
    <s v="Close"/>
    <n v="9.6920289855072506E-2"/>
    <n v="1"/>
    <n v="0.16"/>
    <m/>
  </r>
  <r>
    <n v="1655"/>
    <n v="2025"/>
    <n v="2024"/>
    <s v="Year_2"/>
    <d v="2024-04-30T00:00:00"/>
    <s v="KUD18"/>
    <s v="O2R4"/>
    <s v="SGDCIPL"/>
    <n v="4.3478260869565223E-2"/>
    <n v="217"/>
    <x v="117"/>
    <s v="Thermoerror Int.Gen.Fan F515A"/>
    <s v="Breakdown"/>
    <d v="1899-12-30T16:19:47"/>
    <d v="1899-12-30T16:19:47"/>
    <d v="1899-12-30T16:41:13"/>
    <d v="1899-12-30T00:00:00"/>
    <n v="0.35722222222222033"/>
    <n v="0.35722222222222033"/>
    <s v="Auto reset"/>
    <s v="Close"/>
    <n v="1.5531400966183495E-2"/>
    <n v="1"/>
    <n v="0.01"/>
    <m/>
  </r>
  <r>
    <n v="1656"/>
    <n v="2025"/>
    <n v="2024"/>
    <s v="Year_2"/>
    <d v="2024-04-30T00:00:00"/>
    <s v="KUD19"/>
    <s v="O2R1"/>
    <s v="KSIPL"/>
    <n v="4.3478260869565223E-2"/>
    <n v="3272"/>
    <x v="143"/>
    <s v="YawUntwistCW: Code 3,-000543Â°"/>
    <s v="Breakdown"/>
    <d v="1899-12-30T15:28:04"/>
    <d v="1899-12-30T15:28:04"/>
    <d v="1899-12-30T15:55:05"/>
    <d v="1899-12-30T00:00:00"/>
    <n v="0.450277777777778"/>
    <n v="0.450277777777778"/>
    <s v="Turbine self cable Twist release"/>
    <s v="Close"/>
    <n v="1.957729468599035E-2"/>
    <n v="1"/>
    <n v="0.55000000000000004"/>
    <m/>
  </r>
  <r>
    <n v="1657"/>
    <n v="2025"/>
    <n v="2024"/>
    <s v="Year_2"/>
    <d v="2024-04-30T00:00:00"/>
    <s v="KUD22"/>
    <s v="O2R3"/>
    <s v="JK"/>
    <n v="4.3478260869565223E-2"/>
    <n v="5472"/>
    <x v="42"/>
    <s v="GeneratorBreakerUnexpectedFb"/>
    <s v="Breakdown"/>
    <d v="1899-12-30T17:09:09"/>
    <d v="1899-12-30T17:09:09"/>
    <d v="1899-12-30T17:56:34"/>
    <d v="1899-12-30T00:00:00"/>
    <n v="0.79027777777777786"/>
    <n v="0.79027777777777786"/>
    <s v="Manually SWG charged after restored the WTG"/>
    <s v="Close"/>
    <n v="3.435990338164252E-2"/>
    <n v="1"/>
    <n v="0.23"/>
    <m/>
  </r>
  <r>
    <n v="1658"/>
    <n v="2025"/>
    <n v="2024"/>
    <s v="Year_2"/>
    <d v="2024-04-30T00:00:00"/>
    <s v="KUD23"/>
    <s v="O2R3"/>
    <s v="JK"/>
    <n v="4.3478260869565223E-2"/>
    <n v="3273"/>
    <x v="35"/>
    <s v="YawUntwistCCW: Code 6,    540Â°"/>
    <s v="Breakdown"/>
    <d v="1899-12-30T14:22:21"/>
    <d v="1899-12-30T14:22:21"/>
    <d v="1899-12-30T14:42:37"/>
    <d v="1899-12-30T00:00:00"/>
    <n v="0.3377777777777764"/>
    <n v="0.3377777777777764"/>
    <s v="Turbine self cable Twist release"/>
    <s v="Close"/>
    <n v="1.4685990338164194E-2"/>
    <n v="1"/>
    <n v="0.02"/>
    <m/>
  </r>
  <r>
    <n v="1659"/>
    <n v="2025"/>
    <n v="2024"/>
    <s v="Year_2"/>
    <d v="2024-04-30T00:00:00"/>
    <s v="KUD21"/>
    <s v="O2R3"/>
    <s v="JK"/>
    <n v="4.3478260869565223E-2"/>
    <n v="4033"/>
    <x v="169"/>
    <s v="SafetySystem Hub Pending"/>
    <s v="Breakdown"/>
    <d v="1899-12-30T00:00:00"/>
    <d v="1899-12-30T00:00:00"/>
    <d v="1899-12-30T08:34:00"/>
    <d v="1899-12-30T00:00:00"/>
    <n v="8.5666666666666664"/>
    <n v="8.5666666666666664"/>
    <s v="Found CT6061 malfuction after reset the machine EMC test not passed.Checked all related connction after that new Software updated then restored the machine"/>
    <s v="Close"/>
    <n v="0.37246376811594206"/>
    <n v="1"/>
    <n v="1.62"/>
    <m/>
  </r>
  <r>
    <n v="1660"/>
    <n v="2025"/>
    <n v="2024"/>
    <s v="Year_2"/>
    <d v="2024-05-01T00:00:00"/>
    <s v="KUD01"/>
    <s v="O2R1"/>
    <s v="KSIPL"/>
    <n v="4.3478260869565223E-2"/>
    <n v="3273"/>
    <x v="35"/>
    <s v="YawUntwistCCW: Code 6,    563Â°"/>
    <s v="Breakdown"/>
    <d v="1899-12-30T17:34:02"/>
    <d v="1899-12-30T17:34:02"/>
    <d v="1899-12-30T17:56:44"/>
    <d v="1899-12-30T00:00:00"/>
    <n v="0.37833333333333385"/>
    <n v="0.37833333333333385"/>
    <s v="Turbine self cable Twist release"/>
    <s v="Close"/>
    <n v="1.6449275362318865E-2"/>
    <n v="1"/>
    <n v="0.02"/>
    <m/>
  </r>
  <r>
    <n v="1661"/>
    <n v="2025"/>
    <n v="2024"/>
    <s v="Year_2"/>
    <d v="2024-05-01T00:00:00"/>
    <s v="KUD18"/>
    <s v="O2R4"/>
    <s v="SGDCIPL"/>
    <n v="4.3478260869565223E-2"/>
    <n v="151"/>
    <x v="148"/>
    <s v="High temp. Gen bearing 1: 95Â°C"/>
    <s v="Breakdown"/>
    <d v="1899-12-30T04:35:00"/>
    <d v="1899-12-30T04:35:00"/>
    <d v="1899-12-30T06:51:00"/>
    <d v="1899-12-30T00:00:00"/>
    <n v="2.2666666666666666"/>
    <n v="2.2666666666666666"/>
    <s v="Auto reset"/>
    <s v="Close"/>
    <n v="9.8550724637681164E-2"/>
    <n v="1"/>
    <n v="0.02"/>
    <m/>
  </r>
  <r>
    <n v="1662"/>
    <n v="2025"/>
    <n v="2024"/>
    <s v="Year_2"/>
    <d v="2024-05-01T00:00:00"/>
    <s v="KUD22"/>
    <s v="O2R3"/>
    <s v="JK"/>
    <n v="4.3478260869565223E-2"/>
    <n v="5196"/>
    <x v="114"/>
    <s v="Prop Valve B Status Fault"/>
    <s v="Breakdown"/>
    <d v="1899-12-30T19:13:23"/>
    <d v="1899-12-30T19:13:23"/>
    <d v="1899-12-30T19:16:03"/>
    <d v="1899-12-30T00:00:00"/>
    <n v="4.4444444444445175E-2"/>
    <n v="4.4444444444445175E-2"/>
    <s v="Remote reboot and reset done"/>
    <s v="Close"/>
    <n v="1.9323671497584861E-3"/>
    <n v="1"/>
    <n v="0.09"/>
    <m/>
  </r>
  <r>
    <n v="1663"/>
    <n v="2025"/>
    <n v="2024"/>
    <s v="Year_2"/>
    <d v="2024-05-01T00:00:00"/>
    <s v="KUD18"/>
    <s v="O2R4"/>
    <s v="SGDCIPL"/>
    <n v="4.3478260869565223E-2"/>
    <n v="900"/>
    <x v="100"/>
    <s v="Pause pressed on keyboard"/>
    <s v="Manual Stop"/>
    <d v="1899-12-30T07:01:00"/>
    <d v="1899-12-30T07:01:00"/>
    <d v="1899-12-30T07:59:00"/>
    <d v="1899-12-30T00:00:00"/>
    <n v="0.9666666666666659"/>
    <n v="0.9666666666666659"/>
    <s v="Generator cooling fan supply fuse failure so replaced then restored"/>
    <s v="Close"/>
    <n v="4.2028985507246347E-2"/>
    <n v="1"/>
    <n v="3.94"/>
    <m/>
  </r>
  <r>
    <n v="1664"/>
    <n v="2025"/>
    <n v="2024"/>
    <s v="Year_2"/>
    <d v="2024-05-02T00:00:00"/>
    <s v="KUD01"/>
    <s v="O2R1"/>
    <s v="KSIPL"/>
    <n v="4.3478260869565223E-2"/>
    <n v="450"/>
    <x v="127"/>
    <s v="Ext. High I sum Grd inv."/>
    <s v="Breakdown"/>
    <d v="1899-12-30T03:19:26"/>
    <d v="1899-12-30T03:19:26"/>
    <d v="1899-12-30T03:23:40"/>
    <d v="1899-12-30T00:00:00"/>
    <n v="7.0555555555555483E-2"/>
    <n v="7.0555555555555483E-2"/>
    <s v="Auto reset"/>
    <s v="Close"/>
    <n v="3.0676328502415432E-3"/>
    <n v="1"/>
    <n v="0.03"/>
    <m/>
  </r>
  <r>
    <n v="1665"/>
    <n v="2025"/>
    <n v="2024"/>
    <s v="Year_2"/>
    <d v="2024-05-02T00:00:00"/>
    <s v="KUD01"/>
    <s v="O2R1"/>
    <s v="KSIPL"/>
    <n v="4.3478260869565223E-2"/>
    <n v="6293"/>
    <x v="32"/>
    <s v="Pitch valves test active"/>
    <s v="Breakdown"/>
    <d v="1899-12-30T03:23:40"/>
    <d v="1899-12-30T03:23:40"/>
    <d v="1899-12-30T03:26:51"/>
    <d v="1899-12-30T00:00:00"/>
    <n v="5.3055555555555411E-2"/>
    <n v="5.3055555555555411E-2"/>
    <s v="Turbine self test taken"/>
    <s v="Close"/>
    <n v="2.3067632850241487E-3"/>
    <n v="1"/>
    <n v="0.03"/>
    <m/>
  </r>
  <r>
    <n v="1666"/>
    <n v="2025"/>
    <n v="2024"/>
    <s v="Year_2"/>
    <d v="2024-05-02T00:00:00"/>
    <s v="KUD01"/>
    <s v="O2R1"/>
    <s v="KSIPL"/>
    <n v="4.3478260869565223E-2"/>
    <n v="450"/>
    <x v="127"/>
    <s v="Ext. High I sum Grd inv."/>
    <s v="Breakdown"/>
    <d v="1899-12-30T21:20:42"/>
    <d v="1899-12-30T21:20:42"/>
    <d v="1899-12-30T21:22:55"/>
    <d v="1899-12-30T00:00:00"/>
    <n v="3.6944444444444002E-2"/>
    <n v="3.6944444444444002E-2"/>
    <s v="Auto reset"/>
    <s v="Close"/>
    <n v="1.606280193236696E-3"/>
    <n v="1"/>
    <n v="0.03"/>
    <m/>
  </r>
  <r>
    <n v="1667"/>
    <n v="2025"/>
    <n v="2024"/>
    <s v="Year_2"/>
    <d v="2024-05-02T00:00:00"/>
    <s v="KUD01"/>
    <s v="O2R1"/>
    <s v="KSIPL"/>
    <n v="4.3478260869565223E-2"/>
    <n v="6293"/>
    <x v="32"/>
    <s v="Pitch valves test active"/>
    <s v="Breakdown"/>
    <d v="1899-12-30T21:22:55"/>
    <d v="1899-12-30T21:22:55"/>
    <d v="1899-12-30T21:29:37"/>
    <d v="1899-12-30T00:00:00"/>
    <n v="0.11166666666666547"/>
    <n v="0.11166666666666547"/>
    <s v="Turbine self test taken"/>
    <s v="Close"/>
    <n v="4.855072463768065E-3"/>
    <n v="1"/>
    <n v="0.03"/>
    <m/>
  </r>
  <r>
    <n v="1668"/>
    <n v="2025"/>
    <n v="2024"/>
    <s v="Year_2"/>
    <d v="2024-05-02T00:00:00"/>
    <s v="KUD16"/>
    <s v="O2R2"/>
    <s v="SIL"/>
    <n v="4.3478260869565223E-2"/>
    <n v="3273"/>
    <x v="35"/>
    <s v="YawUntwistCCW: Code 6,    540Â°"/>
    <s v="Breakdown"/>
    <d v="1899-12-30T13:52:18"/>
    <d v="1899-12-30T13:52:18"/>
    <d v="1899-12-30T14:12:12"/>
    <d v="1899-12-30T00:00:00"/>
    <n v="0.33166666666666789"/>
    <n v="0.33166666666666789"/>
    <s v="Turbine self cable Twist release"/>
    <s v="Close"/>
    <n v="1.4420289855072519E-2"/>
    <n v="1"/>
    <n v="7.0000000000000007E-2"/>
    <m/>
  </r>
  <r>
    <n v="1669"/>
    <n v="2025"/>
    <n v="2024"/>
    <s v="Year_2"/>
    <d v="2024-05-02T00:00:00"/>
    <s v="KUD18"/>
    <s v="O2R4"/>
    <s v="SGDCIPL"/>
    <n v="4.3478260869565223E-2"/>
    <n v="900"/>
    <x v="100"/>
    <s v="Pause pressed on keyboard"/>
    <s v="Manual Stop"/>
    <d v="1899-12-30T10:25:10"/>
    <d v="1899-12-30T10:25:10"/>
    <d v="1899-12-30T18:04:44"/>
    <d v="1899-12-30T00:00:00"/>
    <n v="7.6594444444444445"/>
    <n v="7.6594444444444445"/>
    <s v="1 Year scheduled service day2 work done"/>
    <s v="Close"/>
    <n v="0.33301932367149761"/>
    <n v="1"/>
    <n v="0.73"/>
    <m/>
  </r>
  <r>
    <n v="1670"/>
    <n v="2025"/>
    <n v="2024"/>
    <s v="Year_2"/>
    <d v="2024-05-03T00:00:00"/>
    <s v="KUD01"/>
    <s v="O2R1"/>
    <s v="KSIPL"/>
    <n v="4.3478260869565223E-2"/>
    <n v="450"/>
    <x v="127"/>
    <s v="Ext. High I sum Grd inv."/>
    <s v="Breakdown"/>
    <d v="1899-12-30T00:55:10"/>
    <d v="1899-12-30T00:55:10"/>
    <d v="1899-12-30T00:57:31"/>
    <d v="1899-12-30T00:00:00"/>
    <n v="3.9166666666666794E-2"/>
    <n v="3.9166666666666794E-2"/>
    <s v="Auto reset"/>
    <s v="Close"/>
    <n v="1.7028985507246434E-3"/>
    <n v="1"/>
    <n v="0.03"/>
    <m/>
  </r>
  <r>
    <n v="1671"/>
    <n v="2025"/>
    <n v="2024"/>
    <s v="Year_2"/>
    <d v="2024-05-03T00:00:00"/>
    <s v="KUD01"/>
    <s v="O2R1"/>
    <s v="KSIPL"/>
    <n v="4.3478260869565223E-2"/>
    <n v="6293"/>
    <x v="32"/>
    <s v="Pitch valves test active"/>
    <s v="Breakdown"/>
    <d v="1899-12-30T00:57:31"/>
    <d v="1899-12-30T00:57:31"/>
    <d v="1899-12-30T01:04:05"/>
    <d v="1899-12-30T00:00:00"/>
    <n v="0.10944444444444434"/>
    <n v="0.10944444444444434"/>
    <s v="Turbine self test taken"/>
    <s v="Close"/>
    <n v="4.7584541062801891E-3"/>
    <n v="1"/>
    <n v="0.03"/>
    <m/>
  </r>
  <r>
    <n v="1672"/>
    <n v="2025"/>
    <n v="2024"/>
    <s v="Year_2"/>
    <d v="2024-05-03T00:00:00"/>
    <s v="KUD17"/>
    <s v="O2R2"/>
    <s v="SIL"/>
    <n v="4.3478260869565223E-2"/>
    <n v="900"/>
    <x v="100"/>
    <s v="Pause pressed on keyboard"/>
    <s v="Manual Stop"/>
    <d v="1899-12-30T12:38:22"/>
    <d v="1899-12-30T12:38:22"/>
    <d v="1899-12-30T14:31:27"/>
    <d v="1899-12-30T00:00:00"/>
    <n v="1.884722222222222"/>
    <n v="1.884722222222222"/>
    <s v="1 Year scheduled service day1 work done"/>
    <s v="Close"/>
    <n v="8.1944444444444445E-2"/>
    <n v="1"/>
    <n v="1.02"/>
    <m/>
  </r>
  <r>
    <n v="1673"/>
    <n v="2025"/>
    <n v="2024"/>
    <s v="Year_2"/>
    <d v="2024-05-03T00:00:00"/>
    <s v="KUD22"/>
    <s v="O2R3"/>
    <s v="JK"/>
    <n v="4.3478260869565223E-2"/>
    <n v="5068"/>
    <x v="119"/>
    <s v="Pitch pos B meas. signal fault"/>
    <s v="Breakdown"/>
    <d v="1899-12-30T06:06:00"/>
    <d v="1899-12-30T06:06:00"/>
    <d v="1899-12-30T06:10:34"/>
    <d v="1899-12-30T00:00:00"/>
    <n v="7.6111111111111462E-2"/>
    <n v="7.6111111111111462E-2"/>
    <s v="Auto reset"/>
    <s v="Close"/>
    <n v="3.3091787439613685E-3"/>
    <n v="1"/>
    <n v="0"/>
    <m/>
  </r>
  <r>
    <n v="1674"/>
    <n v="2025"/>
    <n v="2024"/>
    <s v="Year_2"/>
    <d v="2024-05-04T00:00:00"/>
    <s v="KUD10"/>
    <s v="O2R1"/>
    <s v="KSIPL"/>
    <n v="4.3478260869565223E-2"/>
    <n v="900"/>
    <x v="100"/>
    <s v="Pause pressed on keyboard"/>
    <s v="Manual Stop"/>
    <d v="1899-12-30T13:42:00"/>
    <d v="1899-12-30T13:42:00"/>
    <d v="1899-12-30T19:27:00"/>
    <d v="1899-12-30T00:00:00"/>
    <n v="5.7500000000000009"/>
    <n v="5.7500000000000009"/>
    <s v="1 Year scheduled service day1 work done"/>
    <s v="Close"/>
    <n v="0.25000000000000006"/>
    <n v="1"/>
    <n v="2.4500000000000002"/>
    <m/>
  </r>
  <r>
    <n v="1675"/>
    <n v="2025"/>
    <n v="2024"/>
    <s v="Year_2"/>
    <d v="2024-05-05T00:00:00"/>
    <s v="KUD06"/>
    <s v="O2R3"/>
    <s v="JK"/>
    <n v="4.3478260869565223E-2"/>
    <n v="151"/>
    <x v="148"/>
    <s v="High temp. Gen bearing 1: 95Â°C"/>
    <s v="Breakdown"/>
    <d v="1899-12-30T21:33:29"/>
    <d v="1899-12-30T21:33:29"/>
    <d v="1899-12-30T23:44:41"/>
    <d v="1899-12-30T00:00:00"/>
    <n v="2.1866666666666674"/>
    <n v="2.1866666666666674"/>
    <s v="Generator cooling fan supply fuse failure so replaced then restored"/>
    <s v="Close"/>
    <n v="9.5072463768115983E-2"/>
    <n v="1"/>
    <n v="2.39"/>
    <m/>
  </r>
  <r>
    <n v="1676"/>
    <n v="2025"/>
    <n v="2024"/>
    <s v="Year_2"/>
    <d v="2024-05-05T00:00:00"/>
    <s v="KUD10"/>
    <s v="O2R1"/>
    <s v="KSIPL"/>
    <n v="4.3478260869565223E-2"/>
    <n v="3272"/>
    <x v="143"/>
    <s v="YawUntwistCW: Code 2,-000650Â°"/>
    <s v="Breakdown"/>
    <d v="1899-12-30T11:57:53"/>
    <d v="1899-12-30T11:57:53"/>
    <d v="1899-12-30T12:28:49"/>
    <d v="1899-12-30T00:00:00"/>
    <n v="0.51555555555555577"/>
    <n v="0.51555555555555577"/>
    <s v="Turbine self cable Twist release"/>
    <s v="Close"/>
    <n v="2.2415458937198079E-2"/>
    <n v="1"/>
    <n v="0.32"/>
    <m/>
  </r>
  <r>
    <n v="1677"/>
    <n v="2025"/>
    <n v="2024"/>
    <s v="Year_2"/>
    <d v="2024-05-06T00:00:00"/>
    <s v="KUD01"/>
    <s v="O2R1"/>
    <s v="KSIPL"/>
    <n v="4.3478260869565223E-2"/>
    <n v="4518"/>
    <x v="171"/>
    <s v="HubSafty HydrPres Low BldC"/>
    <s v="Breakdown"/>
    <d v="1899-12-30T00:09:45"/>
    <d v="1899-12-30T00:09:45"/>
    <d v="1899-12-30T00:18:06"/>
    <d v="1899-12-30T00:00:00"/>
    <n v="0.13916666666666666"/>
    <n v="0.13916666666666666"/>
    <s v="Auto reset"/>
    <s v="Close"/>
    <n v="6.05072463768116E-3"/>
    <n v="1"/>
    <n v="0.2"/>
    <m/>
  </r>
  <r>
    <n v="1678"/>
    <n v="2025"/>
    <n v="2024"/>
    <s v="Year_2"/>
    <d v="2024-05-06T00:00:00"/>
    <s v="KUD01"/>
    <s v="O2R1"/>
    <s v="KSIPL"/>
    <n v="4.3478260869565223E-2"/>
    <n v="6293"/>
    <x v="32"/>
    <s v="Pitch valves test active"/>
    <s v="Breakdown"/>
    <d v="1899-12-30T00:18:06"/>
    <d v="1899-12-30T00:18:06"/>
    <d v="1899-12-30T00:19:52"/>
    <d v="1899-12-30T00:00:00"/>
    <n v="2.9444444444444454E-2"/>
    <n v="2.9444444444444454E-2"/>
    <s v="Turbine self test taken"/>
    <s v="Close"/>
    <n v="1.2801932367149764E-3"/>
    <n v="1"/>
    <n v="0.2"/>
    <m/>
  </r>
  <r>
    <n v="1679"/>
    <n v="2025"/>
    <n v="2024"/>
    <s v="Year_2"/>
    <d v="2024-05-06T00:00:00"/>
    <s v="KUD01"/>
    <s v="O2R1"/>
    <s v="KSIPL"/>
    <n v="4.3478260869565223E-2"/>
    <n v="6290"/>
    <x v="91"/>
    <s v="Pitch accu. test active"/>
    <s v="Breakdown"/>
    <d v="1899-12-30T00:19:52"/>
    <d v="1899-12-30T00:19:52"/>
    <d v="1899-12-30T00:23:38"/>
    <d v="1899-12-30T00:00:00"/>
    <n v="6.2777777777777793E-2"/>
    <n v="6.2777777777777793E-2"/>
    <s v="Turbine self test taken"/>
    <s v="Close"/>
    <n v="2.7294685990338174E-3"/>
    <n v="1"/>
    <n v="0.09"/>
    <m/>
  </r>
  <r>
    <n v="1680"/>
    <n v="2025"/>
    <n v="2024"/>
    <s v="Year_2"/>
    <d v="2024-05-06T00:00:00"/>
    <s v="KUD01"/>
    <s v="O2R1"/>
    <s v="KSIPL"/>
    <n v="4.3478260869565223E-2"/>
    <n v="4518"/>
    <x v="171"/>
    <s v="HubSafty HydrPres Low BldC"/>
    <s v="Breakdown"/>
    <d v="1899-12-30T23:51:00"/>
    <d v="1899-12-30T23:51:00"/>
    <d v="1899-12-30T23:59:00"/>
    <d v="1899-12-30T00:00:00"/>
    <n v="0.13333333333333286"/>
    <n v="0.13333333333333286"/>
    <s v="Auto reset"/>
    <s v="Close"/>
    <n v="5.7971014492753424E-3"/>
    <n v="1"/>
    <n v="0.09"/>
    <m/>
  </r>
  <r>
    <n v="1681"/>
    <n v="2025"/>
    <n v="2024"/>
    <s v="Year_2"/>
    <d v="2024-05-06T00:00:00"/>
    <s v="KUD10"/>
    <s v="O2R1"/>
    <s v="KSIPL"/>
    <n v="4.3478260869565223E-2"/>
    <n v="900"/>
    <x v="100"/>
    <s v="Pause pressed on keyboard"/>
    <s v="Manual Stop"/>
    <d v="1899-12-30T09:45:13"/>
    <d v="1899-12-30T09:45:13"/>
    <d v="1899-12-30T17:09:15"/>
    <d v="1899-12-30T00:00:00"/>
    <n v="7.4005555555555569"/>
    <n v="7.4005555555555569"/>
    <s v="1 Year scheduled service day2 work done"/>
    <s v="Close"/>
    <n v="0.32176328502415469"/>
    <n v="1"/>
    <n v="0.82"/>
    <m/>
  </r>
  <r>
    <n v="1682"/>
    <n v="2025"/>
    <n v="2024"/>
    <s v="Year_2"/>
    <d v="2024-05-06T00:00:00"/>
    <s v="KUD11"/>
    <s v="O2R1"/>
    <s v="KSIPL"/>
    <n v="4.3478260869565223E-2"/>
    <n v="313"/>
    <x v="170"/>
    <s v="Ambient temperature high: 41Â°C"/>
    <s v="Breakdown"/>
    <d v="1899-12-30T16:52:53"/>
    <d v="1899-12-30T16:52:53"/>
    <d v="1899-12-30T18:06:41"/>
    <d v="1899-12-30T00:00:00"/>
    <n v="1.2300000000000004"/>
    <n v="1.2300000000000004"/>
    <s v="Auto reset"/>
    <s v="Close"/>
    <n v="5.3478260869565246E-2"/>
    <n v="1"/>
    <n v="0.05"/>
    <m/>
  </r>
  <r>
    <n v="1683"/>
    <n v="2025"/>
    <n v="2024"/>
    <s v="Year_2"/>
    <d v="2024-05-07T00:00:00"/>
    <s v="KUD01"/>
    <s v="O2R1"/>
    <s v="KSIPL"/>
    <n v="4.3478260869565223E-2"/>
    <n v="6293"/>
    <x v="32"/>
    <s v="Pitch valves test active"/>
    <s v="Breakdown"/>
    <d v="1899-12-30T00:02:09"/>
    <d v="1899-12-30T00:02:09"/>
    <d v="1899-12-30T00:08:42"/>
    <d v="1899-12-30T00:00:00"/>
    <n v="0.10916666666666666"/>
    <n v="0.10916666666666666"/>
    <s v="Turbine self test taken"/>
    <s v="Close"/>
    <n v="4.7463768115942034E-3"/>
    <n v="1"/>
    <n v="1.06"/>
    <m/>
  </r>
  <r>
    <n v="1684"/>
    <n v="2025"/>
    <n v="2024"/>
    <s v="Year_2"/>
    <d v="2024-05-07T00:00:00"/>
    <s v="KUD01"/>
    <s v="O2R1"/>
    <s v="KSIPL"/>
    <n v="4.3478260869565223E-2"/>
    <n v="450"/>
    <x v="127"/>
    <s v="Ext. High I sum Grd inv."/>
    <s v="Breakdown"/>
    <d v="1899-12-30T01:52:02"/>
    <d v="1899-12-30T01:52:02"/>
    <d v="1899-12-30T01:57:32"/>
    <d v="1899-12-30T00:00:00"/>
    <n v="9.1666666666666674E-2"/>
    <n v="9.1666666666666674E-2"/>
    <s v="Auto reset"/>
    <s v="Close"/>
    <n v="3.9855072463768123E-3"/>
    <n v="1"/>
    <n v="0.1"/>
    <m/>
  </r>
  <r>
    <n v="1685"/>
    <n v="2025"/>
    <n v="2024"/>
    <s v="Year_2"/>
    <d v="2024-05-07T00:00:00"/>
    <s v="KUD01"/>
    <s v="O2R1"/>
    <s v="KSIPL"/>
    <n v="4.3478260869565223E-2"/>
    <n v="450"/>
    <x v="127"/>
    <s v="Ext. High I sum Grd inv."/>
    <s v="Breakdown"/>
    <d v="1899-12-30T19:55:49"/>
    <d v="1899-12-30T19:55:49"/>
    <d v="1899-12-30T19:59:56"/>
    <d v="1899-12-30T00:00:00"/>
    <n v="6.861111111111029E-2"/>
    <n v="6.861111111111029E-2"/>
    <s v="Auto reset"/>
    <s v="Close"/>
    <n v="2.9830917874395782E-3"/>
    <n v="1"/>
    <n v="0.1"/>
    <m/>
  </r>
  <r>
    <n v="1686"/>
    <n v="2025"/>
    <n v="2024"/>
    <s v="Year_2"/>
    <d v="2024-05-08T00:00:00"/>
    <s v="KUD01"/>
    <s v="O2R1"/>
    <s v="KSIPL"/>
    <n v="4.3478260869565223E-2"/>
    <n v="335"/>
    <x v="152"/>
    <s v="ExtHighIRotorInv phase: 1"/>
    <s v="Breakdown"/>
    <d v="1899-12-30T23:23:49"/>
    <d v="1899-12-30T23:23:49"/>
    <d v="1899-12-30T23:31:13"/>
    <d v="1899-12-30T00:00:00"/>
    <n v="0.1233333333333313"/>
    <n v="0.1233333333333313"/>
    <s v="Auto reset"/>
    <s v="Close"/>
    <n v="5.362318840579622E-3"/>
    <n v="1"/>
    <n v="0.05"/>
    <m/>
  </r>
  <r>
    <n v="1687"/>
    <n v="2025"/>
    <n v="2024"/>
    <s v="Year_2"/>
    <d v="2024-05-08T00:00:00"/>
    <s v="KUD04"/>
    <s v="O2R3"/>
    <s v="JK"/>
    <n v="4.3478260869565223E-2"/>
    <n v="3272"/>
    <x v="143"/>
    <s v="YawUntwistCW: Code 2,-000600Â°"/>
    <s v="Breakdown"/>
    <d v="1899-12-30T13:45:23"/>
    <d v="1899-12-30T13:45:23"/>
    <d v="1899-12-30T14:08:38"/>
    <d v="1899-12-30T00:00:00"/>
    <n v="0.38749999999999929"/>
    <n v="0.38749999999999929"/>
    <s v="Turbine self cable Twist release"/>
    <s v="Close"/>
    <n v="1.6847826086956494E-2"/>
    <n v="1"/>
    <n v="0.01"/>
    <m/>
  </r>
  <r>
    <n v="1688"/>
    <n v="2025"/>
    <n v="2024"/>
    <s v="Year_2"/>
    <d v="2024-05-08T00:00:00"/>
    <s v="KUD04"/>
    <s v="O2R3"/>
    <s v="JK"/>
    <n v="4.3478260869565223E-2"/>
    <n v="313"/>
    <x v="170"/>
    <s v="Ambient temperature high: 41Â°C"/>
    <s v="Breakdown"/>
    <d v="1899-12-30T15:56:46"/>
    <d v="1899-12-30T15:56:46"/>
    <d v="1899-12-30T16:14:33"/>
    <d v="1899-12-30T00:00:00"/>
    <n v="0.29638888888888815"/>
    <n v="0.29638888888888815"/>
    <s v="Auto reset"/>
    <s v="Close"/>
    <n v="1.288647342995166E-2"/>
    <n v="1"/>
    <n v="0.01"/>
    <m/>
  </r>
  <r>
    <n v="1689"/>
    <n v="2025"/>
    <n v="2024"/>
    <s v="Year_2"/>
    <d v="2024-05-08T00:00:00"/>
    <s v="KUD03"/>
    <s v="O2R1"/>
    <s v="KSIPL"/>
    <n v="4.3478260869565223E-2"/>
    <n v="3272"/>
    <x v="143"/>
    <s v="YawUntwistCW: Code 2,-000540Â°"/>
    <s v="Breakdown"/>
    <d v="1899-12-30T10:32:04"/>
    <d v="1899-12-30T10:32:04"/>
    <d v="1899-12-30T10:53:32"/>
    <d v="1899-12-30T00:00:00"/>
    <n v="0.35777777777777686"/>
    <n v="0.35777777777777686"/>
    <s v="Turbine self cable Twist release"/>
    <s v="Close"/>
    <n v="1.5555555555555517E-2"/>
    <n v="1"/>
    <n v="0"/>
    <m/>
  </r>
  <r>
    <n v="1690"/>
    <n v="2025"/>
    <n v="2024"/>
    <s v="Year_2"/>
    <d v="2024-05-08T00:00:00"/>
    <s v="KUD07"/>
    <s v="O2R3"/>
    <s v="JK"/>
    <n v="4.3478260869565223E-2"/>
    <n v="3272"/>
    <x v="143"/>
    <s v="YawUntwistCW: Code 3,-000540Â°"/>
    <s v="Breakdown"/>
    <d v="1899-12-30T14:01:50"/>
    <d v="1899-12-30T14:01:50"/>
    <d v="1899-12-30T14:27:59"/>
    <d v="1899-12-30T00:00:00"/>
    <n v="0.43583333333333218"/>
    <n v="0.43583333333333218"/>
    <s v="Turbine self cable Twist release"/>
    <s v="Close"/>
    <n v="1.8949275362318795E-2"/>
    <n v="1"/>
    <n v="0"/>
    <m/>
  </r>
  <r>
    <n v="1691"/>
    <n v="2025"/>
    <n v="2024"/>
    <s v="Year_2"/>
    <d v="2024-05-08T00:00:00"/>
    <s v="KUD07"/>
    <s v="O2R3"/>
    <s v="JK"/>
    <n v="4.3478260869565223E-2"/>
    <n v="313"/>
    <x v="170"/>
    <s v="Ambient temperature high: 41Â°C"/>
    <s v="Breakdown"/>
    <d v="1899-12-30T16:44:47"/>
    <d v="1899-12-30T16:44:47"/>
    <d v="1899-12-30T17:06:00"/>
    <d v="1899-12-30T00:00:00"/>
    <n v="0.35361111111111221"/>
    <n v="0.35361111111111221"/>
    <s v="Auto reset"/>
    <s v="Close"/>
    <n v="1.537439613526575E-2"/>
    <n v="1"/>
    <n v="0"/>
    <m/>
  </r>
  <r>
    <n v="1692"/>
    <n v="2025"/>
    <n v="2024"/>
    <s v="Year_2"/>
    <d v="2024-05-08T00:00:00"/>
    <s v="KUD08"/>
    <s v="O2R3"/>
    <s v="JK"/>
    <n v="4.3478260869565223E-2"/>
    <n v="3272"/>
    <x v="143"/>
    <s v="YawUntwistCW: Code 3,-000540Â°"/>
    <s v="Breakdown"/>
    <d v="1899-12-30T16:15:41"/>
    <d v="1899-12-30T16:15:41"/>
    <d v="1899-12-30T16:43:28"/>
    <d v="1899-12-30T00:00:00"/>
    <n v="0.46305555555555422"/>
    <n v="0.46305555555555422"/>
    <s v="Turbine self cable Twist release"/>
    <s v="Close"/>
    <n v="2.013285024154584E-2"/>
    <n v="1"/>
    <n v="0"/>
    <m/>
  </r>
  <r>
    <n v="1693"/>
    <n v="2025"/>
    <n v="2024"/>
    <s v="Year_2"/>
    <d v="2024-05-08T00:00:00"/>
    <s v="KUD09"/>
    <s v="O2R3"/>
    <s v="JK"/>
    <n v="4.3478260869565223E-2"/>
    <n v="3272"/>
    <x v="143"/>
    <s v="YawUntwistCW: Code 2,-000614Â°"/>
    <s v="Breakdown"/>
    <d v="1899-12-30T14:35:38"/>
    <d v="1899-12-30T14:35:38"/>
    <d v="1899-12-30T15:04:37"/>
    <d v="1899-12-30T00:00:00"/>
    <n v="0.48305555555555735"/>
    <n v="0.48305555555555735"/>
    <s v="Turbine self cable Twist release"/>
    <s v="Close"/>
    <n v="2.1002415458937277E-2"/>
    <n v="1"/>
    <n v="0"/>
    <m/>
  </r>
  <r>
    <n v="1694"/>
    <n v="2025"/>
    <n v="2024"/>
    <s v="Year_2"/>
    <d v="2024-05-08T00:00:00"/>
    <s v="KUD12"/>
    <s v="O2R1"/>
    <s v="KSIPL"/>
    <n v="4.3478260869565223E-2"/>
    <n v="3273"/>
    <x v="35"/>
    <s v="YawUntwistCCW: Code 5,    541Â°"/>
    <s v="Breakdown"/>
    <d v="1899-12-30T14:04:36"/>
    <d v="1899-12-30T14:04:36"/>
    <d v="1899-12-30T14:27:33"/>
    <d v="1899-12-30T00:00:00"/>
    <n v="0.38250000000000117"/>
    <n v="0.38250000000000117"/>
    <s v="Turbine self cable Twist release"/>
    <s v="Close"/>
    <n v="1.6630434782608748E-2"/>
    <n v="1"/>
    <n v="0"/>
    <m/>
  </r>
  <r>
    <n v="1695"/>
    <n v="2025"/>
    <n v="2024"/>
    <s v="Year_2"/>
    <d v="2024-05-08T00:00:00"/>
    <s v="KUD15"/>
    <s v="O2R1"/>
    <s v="KSIPL"/>
    <n v="4.3478260869565223E-2"/>
    <n v="3273"/>
    <x v="35"/>
    <s v="YawUntwistCCW: Code 6,    540Â°"/>
    <s v="Breakdown"/>
    <d v="1899-12-30T14:40:08"/>
    <d v="1899-12-30T14:40:08"/>
    <d v="1899-12-30T15:04:11"/>
    <d v="1899-12-30T00:00:00"/>
    <n v="0.40083333333333471"/>
    <n v="0.40083333333333471"/>
    <s v="Turbine self cable Twist release"/>
    <s v="Close"/>
    <n v="1.742753623188412E-2"/>
    <n v="1"/>
    <n v="0"/>
    <m/>
  </r>
  <r>
    <n v="1696"/>
    <n v="2025"/>
    <n v="2024"/>
    <s v="Year_2"/>
    <d v="2024-05-08T00:00:00"/>
    <s v="KUD16"/>
    <s v="O2R2"/>
    <s v="SIL"/>
    <n v="4.3478260869565223E-2"/>
    <n v="356"/>
    <x v="165"/>
    <s v="Extreme yawerror 11.5m/s 93.1Â°"/>
    <s v="Breakdown"/>
    <d v="1899-12-30T16:43:13"/>
    <d v="1899-12-30T16:43:13"/>
    <d v="1899-12-30T16:46:33"/>
    <d v="1899-12-30T00:00:00"/>
    <n v="5.5555555555557135E-2"/>
    <n v="5.5555555555557135E-2"/>
    <s v="Turbine self cable Twist release"/>
    <s v="Close"/>
    <n v="2.4154589371981365E-3"/>
    <n v="1"/>
    <n v="7.0000000000000007E-2"/>
    <m/>
  </r>
  <r>
    <n v="1697"/>
    <n v="2025"/>
    <n v="2024"/>
    <s v="Year_2"/>
    <d v="2024-05-08T00:00:00"/>
    <s v="KUD17"/>
    <s v="O2R2"/>
    <s v="SIL"/>
    <n v="4.3478260869565223E-2"/>
    <n v="900"/>
    <x v="100"/>
    <s v="Pause pressed on keyboard"/>
    <s v="Manual Stop"/>
    <d v="1899-12-30T09:52:07"/>
    <d v="1899-12-30T09:52:07"/>
    <d v="1899-12-30T18:38:36"/>
    <d v="1899-12-30T00:00:00"/>
    <n v="8.7747222222222216"/>
    <n v="8.7747222222222216"/>
    <s v="1 Year scheduled service day2 work done"/>
    <s v="Close"/>
    <n v="0.3815096618357488"/>
    <n v="1"/>
    <n v="1.27"/>
    <m/>
  </r>
  <r>
    <n v="1698"/>
    <n v="2025"/>
    <n v="2024"/>
    <s v="Year_2"/>
    <d v="2024-05-08T00:00:00"/>
    <s v="KUD18"/>
    <s v="O2R4"/>
    <s v="SGDCIPL"/>
    <n v="4.3478260869565223E-2"/>
    <n v="3272"/>
    <x v="143"/>
    <s v="YawUntwistCW: Code 3,-000540Â°"/>
    <s v="Breakdown"/>
    <d v="1899-12-30T11:33:48"/>
    <d v="1899-12-30T11:33:48"/>
    <d v="1899-12-30T11:54:18"/>
    <d v="1899-12-30T00:00:00"/>
    <n v="0.34166666666666679"/>
    <n v="0.34166666666666679"/>
    <s v="Turbine self cable Twist release"/>
    <s v="Close"/>
    <n v="1.4855072463768123E-2"/>
    <n v="1"/>
    <n v="0"/>
    <m/>
  </r>
  <r>
    <n v="1699"/>
    <n v="2025"/>
    <n v="2024"/>
    <s v="Year_2"/>
    <d v="2024-05-08T00:00:00"/>
    <s v="KUD18"/>
    <s v="O2R4"/>
    <s v="SGDCIPL"/>
    <n v="4.3478260869565223E-2"/>
    <n v="3272"/>
    <x v="143"/>
    <s v="YawUntwistCW: Code 3,-000605Â°"/>
    <s v="Breakdown"/>
    <d v="1899-12-30T14:55:27"/>
    <d v="1899-12-30T14:55:27"/>
    <d v="1899-12-30T15:24:13"/>
    <d v="1899-12-30T00:00:00"/>
    <n v="0.47944444444444656"/>
    <n v="0.47944444444444656"/>
    <s v="Turbine self cable Twist release"/>
    <s v="Close"/>
    <n v="2.0845410628019419E-2"/>
    <n v="1"/>
    <n v="0"/>
    <m/>
  </r>
  <r>
    <n v="1700"/>
    <n v="2025"/>
    <n v="2024"/>
    <s v="Year_2"/>
    <d v="2024-05-08T00:00:00"/>
    <s v="KUD19"/>
    <s v="O2R1"/>
    <s v="KSIPL"/>
    <n v="4.3478260869565223E-2"/>
    <n v="313"/>
    <x v="170"/>
    <s v="Ambient temperature high: 41Â°C"/>
    <s v="Breakdown"/>
    <d v="1899-12-30T16:30:12"/>
    <d v="1899-12-30T16:30:12"/>
    <d v="1899-12-30T16:45:00"/>
    <d v="1899-12-30T00:00:00"/>
    <n v="0.24666666666666526"/>
    <n v="0.24666666666666526"/>
    <s v="Turbine self cable Twist release"/>
    <s v="Close"/>
    <n v="1.072463768115936E-2"/>
    <n v="1"/>
    <n v="0"/>
    <m/>
  </r>
  <r>
    <n v="1701"/>
    <n v="2025"/>
    <n v="2024"/>
    <s v="Year_2"/>
    <d v="2024-05-08T00:00:00"/>
    <s v="KUD20"/>
    <s v="O2R1"/>
    <s v="KSIPL"/>
    <n v="4.3478260869565223E-2"/>
    <n v="3273"/>
    <x v="35"/>
    <s v="YawUntwistCCW: Code 6,    625Â°"/>
    <s v="Breakdown"/>
    <d v="1899-12-30T18:53:47"/>
    <d v="1899-12-30T18:53:47"/>
    <d v="1899-12-30T19:26:37"/>
    <d v="1899-12-30T00:00:00"/>
    <n v="0.54722222222222339"/>
    <n v="0.54722222222222339"/>
    <s v="Turbine self cable Twist release"/>
    <s v="Close"/>
    <n v="2.3792270531401021E-2"/>
    <n v="1"/>
    <n v="0.01"/>
    <m/>
  </r>
  <r>
    <n v="1702"/>
    <n v="2025"/>
    <n v="2024"/>
    <s v="Year_2"/>
    <d v="2024-05-08T00:00:00"/>
    <s v="KUD22"/>
    <s v="O2R3"/>
    <s v="JK"/>
    <n v="4.3478260869565223E-2"/>
    <n v="3633"/>
    <x v="21"/>
    <s v="Yaw System Stopped"/>
    <s v="Breakdown"/>
    <d v="1899-12-30T15:05:55"/>
    <d v="1899-12-30T15:05:55"/>
    <d v="1899-12-30T15:18:41"/>
    <d v="1899-12-30T00:00:00"/>
    <n v="0.21277777777777551"/>
    <n v="0.21277777777777551"/>
    <s v="Manual reset done"/>
    <s v="Close"/>
    <n v="9.2512077294685021E-3"/>
    <n v="1"/>
    <n v="0"/>
    <m/>
  </r>
  <r>
    <n v="1703"/>
    <n v="2025"/>
    <n v="2024"/>
    <s v="Year_2"/>
    <d v="2024-05-09T00:00:00"/>
    <s v="KUD01"/>
    <s v="O2R1"/>
    <s v="KSIPL"/>
    <n v="4.3478260869565223E-2"/>
    <n v="3273"/>
    <x v="35"/>
    <s v="YawUntwistCCW: Code 6,    645Â°"/>
    <s v="Breakdown"/>
    <d v="1899-12-30T01:48:25"/>
    <d v="1899-12-30T01:48:25"/>
    <d v="1899-12-30T02:13:14"/>
    <d v="1899-12-30T00:00:00"/>
    <n v="0.41361111111111093"/>
    <n v="0.41361111111111093"/>
    <s v="Turbine self cable Twist release"/>
    <s v="Close"/>
    <n v="1.798309178743961E-2"/>
    <n v="1"/>
    <n v="0.28000000000000003"/>
    <m/>
  </r>
  <r>
    <n v="1704"/>
    <n v="2025"/>
    <n v="2024"/>
    <s v="Year_2"/>
    <d v="2024-05-09T00:00:00"/>
    <s v="KUD01"/>
    <s v="O2R1"/>
    <s v="KSIPL"/>
    <n v="4.3478260869565223E-2"/>
    <n v="900"/>
    <x v="100"/>
    <s v="Pause pressed on keyboard"/>
    <s v="Manual Stop"/>
    <d v="1899-12-30T12:48:10"/>
    <d v="1899-12-30T12:48:10"/>
    <d v="1899-12-30T15:49:47"/>
    <d v="1899-12-30T00:00:00"/>
    <n v="3.0269444444444451"/>
    <n v="3.0269444444444451"/>
    <s v="Repeated error arresting purpose replaced to CT383A and B then restored"/>
    <s v="Close"/>
    <n v="0.13160628019323675"/>
    <n v="1"/>
    <n v="0.28000000000000003"/>
    <m/>
  </r>
  <r>
    <n v="1705"/>
    <n v="2025"/>
    <n v="2024"/>
    <s v="Year_2"/>
    <d v="2024-05-09T00:00:00"/>
    <s v="KUD02"/>
    <s v="O2R3"/>
    <s v="JK"/>
    <n v="4.3478260869565223E-2"/>
    <n v="3273"/>
    <x v="35"/>
    <s v="YawUntwistCCW: Code 5,    540Â°"/>
    <s v="Breakdown"/>
    <d v="1899-12-30T01:48:57"/>
    <d v="1899-12-30T01:48:57"/>
    <d v="1899-12-30T02:11:33"/>
    <d v="1899-12-30T00:00:00"/>
    <n v="0.37666666666666659"/>
    <n v="0.37666666666666659"/>
    <s v="Turbine self cable Twist release"/>
    <s v="Close"/>
    <n v="1.6376811594202897E-2"/>
    <n v="1"/>
    <n v="0.23"/>
    <m/>
  </r>
  <r>
    <n v="1706"/>
    <n v="2025"/>
    <n v="2024"/>
    <s v="Year_2"/>
    <d v="2024-05-09T00:00:00"/>
    <s v="KUD04"/>
    <s v="O2R3"/>
    <s v="JK"/>
    <n v="4.3478260869565223E-2"/>
    <n v="3273"/>
    <x v="35"/>
    <s v="YawUntwistCCW: Code 6,    613Â°"/>
    <s v="Breakdown"/>
    <d v="1899-12-30T01:50:30"/>
    <d v="1899-12-30T01:50:30"/>
    <d v="1899-12-30T02:16:21"/>
    <d v="1899-12-30T00:00:00"/>
    <n v="0.43083333333333307"/>
    <n v="0.43083333333333307"/>
    <s v="Turbine self cable Twist release"/>
    <s v="Close"/>
    <n v="1.8731884057971004E-2"/>
    <n v="1"/>
    <n v="0.28000000000000003"/>
    <m/>
  </r>
  <r>
    <n v="1707"/>
    <n v="2025"/>
    <n v="2024"/>
    <s v="Year_2"/>
    <d v="2024-05-09T00:00:00"/>
    <s v="KUD03"/>
    <s v="O2R1"/>
    <s v="KSIPL"/>
    <n v="4.3478260869565223E-2"/>
    <n v="3273"/>
    <x v="35"/>
    <s v="YawUntwistCCW: Code 5,    540Â°"/>
    <s v="Breakdown"/>
    <d v="1899-12-30T01:50:37"/>
    <d v="1899-12-30T01:50:37"/>
    <d v="1899-12-30T02:18:03"/>
    <d v="1899-12-30T00:00:00"/>
    <n v="0.45722222222222231"/>
    <n v="0.45722222222222231"/>
    <s v="Turbine self cable Twist release"/>
    <s v="Close"/>
    <n v="1.9879227053140103E-2"/>
    <n v="1"/>
    <n v="1.04"/>
    <m/>
  </r>
  <r>
    <n v="1708"/>
    <n v="2025"/>
    <n v="2024"/>
    <s v="Year_2"/>
    <d v="2024-05-09T00:00:00"/>
    <s v="KUD03"/>
    <s v="O2R1"/>
    <s v="KSIPL"/>
    <n v="4.3478260869565223E-2"/>
    <n v="3273"/>
    <x v="35"/>
    <s v="YawUntwistCCW: Code 5,    540Â°"/>
    <s v="Breakdown"/>
    <d v="1899-12-30T11:54:59"/>
    <d v="1899-12-30T11:54:59"/>
    <d v="1899-12-30T12:19:04"/>
    <d v="1899-12-30T00:00:00"/>
    <n v="0.40138888888888991"/>
    <n v="0.40138888888888991"/>
    <s v="Turbine self cable Twist release"/>
    <s v="Close"/>
    <n v="1.7451690821256086E-2"/>
    <n v="1"/>
    <n v="0.02"/>
    <m/>
  </r>
  <r>
    <n v="1709"/>
    <n v="2025"/>
    <n v="2024"/>
    <s v="Year_2"/>
    <d v="2024-05-09T00:00:00"/>
    <s v="KUD03"/>
    <s v="O2R1"/>
    <s v="KSIPL"/>
    <n v="4.3478260869565223E-2"/>
    <n v="3272"/>
    <x v="143"/>
    <s v="YawUntwistCW: Code 2,-000540Â°"/>
    <s v="Breakdown"/>
    <d v="1899-12-30T18:40:05"/>
    <d v="1899-12-30T18:40:05"/>
    <d v="1899-12-30T19:07:27"/>
    <d v="1899-12-30T00:00:00"/>
    <n v="0.45611111111111224"/>
    <n v="0.45611111111111224"/>
    <s v="Turbine self cable Twist release"/>
    <s v="Close"/>
    <n v="1.9830917874396187E-2"/>
    <n v="1"/>
    <n v="0.02"/>
    <m/>
  </r>
  <r>
    <n v="1710"/>
    <n v="2025"/>
    <n v="2024"/>
    <s v="Year_2"/>
    <d v="2024-05-09T00:00:00"/>
    <s v="KUD05"/>
    <s v="O2R3"/>
    <s v="JK"/>
    <n v="4.3478260869565223E-2"/>
    <n v="3273"/>
    <x v="35"/>
    <s v="YawUntwistCCW: Code 5,    540Â°"/>
    <s v="Breakdown"/>
    <d v="1899-12-30T08:14:41"/>
    <d v="1899-12-30T08:14:41"/>
    <d v="1899-12-30T08:41:39"/>
    <d v="1899-12-30T00:00:00"/>
    <n v="0.44944444444444454"/>
    <n v="0.44944444444444454"/>
    <s v="Turbine self cable Twist release"/>
    <s v="Close"/>
    <n v="1.9541062801932373E-2"/>
    <n v="1"/>
    <n v="0.02"/>
    <m/>
  </r>
  <r>
    <n v="1711"/>
    <n v="2025"/>
    <n v="2024"/>
    <s v="Year_2"/>
    <d v="2024-05-09T00:00:00"/>
    <s v="KUD07"/>
    <s v="O2R3"/>
    <s v="JK"/>
    <n v="4.3478260869565223E-2"/>
    <n v="3273"/>
    <x v="35"/>
    <s v="YawUntwistCCW: Code 6,    540Â°"/>
    <s v="Breakdown"/>
    <d v="1899-12-30T13:35:01"/>
    <d v="1899-12-30T13:35:01"/>
    <d v="1899-12-30T13:58:18"/>
    <d v="1899-12-30T00:00:00"/>
    <n v="0.38805555555555582"/>
    <n v="0.38805555555555582"/>
    <s v="Turbine self cable Twist release"/>
    <s v="Close"/>
    <n v="1.6871980676328516E-2"/>
    <n v="1"/>
    <n v="0"/>
    <m/>
  </r>
  <r>
    <n v="1712"/>
    <n v="2025"/>
    <n v="2024"/>
    <s v="Year_2"/>
    <d v="2024-05-09T00:00:00"/>
    <s v="KUD08"/>
    <s v="O2R3"/>
    <s v="JK"/>
    <n v="4.3478260869565223E-2"/>
    <n v="3273"/>
    <x v="35"/>
    <s v="YawUntwistCCW: Code 6,    579Â°"/>
    <s v="Breakdown"/>
    <d v="1899-12-30T01:44:54"/>
    <d v="1899-12-30T01:44:54"/>
    <d v="1899-12-30T02:09:07"/>
    <d v="1899-12-30T00:00:00"/>
    <n v="0.40361111111111136"/>
    <n v="0.40361111111111136"/>
    <s v="Turbine self cable Twist release"/>
    <s v="Close"/>
    <n v="1.7548309178743976E-2"/>
    <n v="1"/>
    <n v="0.1"/>
    <m/>
  </r>
  <r>
    <n v="1713"/>
    <n v="2025"/>
    <n v="2024"/>
    <s v="Year_2"/>
    <d v="2024-05-09T00:00:00"/>
    <s v="KUD10"/>
    <s v="O2R1"/>
    <s v="KSIPL"/>
    <n v="4.3478260869565223E-2"/>
    <n v="3273"/>
    <x v="35"/>
    <s v="YawUntwistCCW: Code 6,    595Â°"/>
    <s v="Breakdown"/>
    <d v="1899-12-30T01:48:40"/>
    <d v="1899-12-30T01:48:40"/>
    <d v="1899-12-30T02:13:24"/>
    <d v="1899-12-30T00:00:00"/>
    <n v="0.41222222222222227"/>
    <n v="0.41222222222222227"/>
    <s v="Turbine self cable Twist release"/>
    <s v="Close"/>
    <n v="1.7922705314009666E-2"/>
    <n v="1"/>
    <n v="0.19"/>
    <m/>
  </r>
  <r>
    <n v="1714"/>
    <n v="2025"/>
    <n v="2024"/>
    <s v="Year_2"/>
    <d v="2024-05-09T00:00:00"/>
    <s v="KUD11"/>
    <s v="O2R1"/>
    <s v="KSIPL"/>
    <n v="4.3478260869565223E-2"/>
    <n v="3273"/>
    <x v="35"/>
    <s v="YawUntwistCCW: Code 6,    551Â°"/>
    <s v="Breakdown"/>
    <d v="1899-12-30T10:49:48"/>
    <d v="1899-12-30T10:49:48"/>
    <d v="1899-12-30T11:15:01"/>
    <d v="1899-12-30T00:00:00"/>
    <n v="0.42027777777777864"/>
    <n v="0.42027777777777864"/>
    <s v="Turbine self cable Twist release"/>
    <s v="Close"/>
    <n v="1.8272946859903421E-2"/>
    <n v="1"/>
    <n v="0.01"/>
    <m/>
  </r>
  <r>
    <n v="1715"/>
    <n v="2025"/>
    <n v="2024"/>
    <s v="Year_2"/>
    <d v="2024-05-09T00:00:00"/>
    <s v="KUD13"/>
    <s v="O2R1"/>
    <s v="KSIPL"/>
    <n v="4.3478260869565223E-2"/>
    <n v="3273"/>
    <x v="35"/>
    <s v="YawUntwistCCW: Code 6,    883Â°"/>
    <s v="Breakdown"/>
    <d v="1899-12-30T01:51:30"/>
    <d v="1899-12-30T01:51:30"/>
    <d v="1899-12-30T02:31:08"/>
    <d v="1899-12-30T00:00:00"/>
    <n v="0.66055555555555545"/>
    <n v="0.66055555555555545"/>
    <s v="Turbine self cable Twist release"/>
    <s v="Close"/>
    <n v="2.8719806763285022E-2"/>
    <n v="1"/>
    <n v="0.73"/>
    <m/>
  </r>
  <r>
    <n v="1716"/>
    <n v="2025"/>
    <n v="2024"/>
    <s v="Year_2"/>
    <d v="2024-05-09T00:00:00"/>
    <s v="KUD14"/>
    <s v="O2R1"/>
    <s v="KSIPL"/>
    <n v="4.3478260869565223E-2"/>
    <n v="3273"/>
    <x v="35"/>
    <s v="YawUntwistCCW: Code 7,    188Â°"/>
    <s v="Breakdown"/>
    <d v="1899-12-30T06:39:41"/>
    <d v="1899-12-30T06:39:41"/>
    <d v="1899-12-30T07:24:44"/>
    <d v="1899-12-30T00:00:00"/>
    <n v="0.75083333333333346"/>
    <n v="0.75083333333333346"/>
    <s v="Turbine self cable Twist release"/>
    <s v="Close"/>
    <n v="3.2644927536231896E-2"/>
    <n v="1"/>
    <n v="0.3"/>
    <m/>
  </r>
  <r>
    <n v="1717"/>
    <n v="2025"/>
    <n v="2024"/>
    <s v="Year_2"/>
    <d v="2024-05-09T00:00:00"/>
    <s v="KUD15"/>
    <s v="O2R1"/>
    <s v="KSIPL"/>
    <n v="4.3478260869565223E-2"/>
    <n v="3273"/>
    <x v="35"/>
    <s v="YawUntwistCCW: Code 6,    557Â°"/>
    <s v="Breakdown"/>
    <d v="1899-12-30T12:44:33"/>
    <d v="1899-12-30T12:44:33"/>
    <d v="1899-12-30T13:07:01"/>
    <d v="1899-12-30T00:00:00"/>
    <n v="0.37444444444444613"/>
    <n v="0.37444444444444613"/>
    <s v="Turbine self cable Twist release"/>
    <s v="Close"/>
    <n v="1.6280193236715052E-2"/>
    <n v="1"/>
    <n v="0.01"/>
    <m/>
  </r>
  <r>
    <n v="1718"/>
    <n v="2025"/>
    <n v="2024"/>
    <s v="Year_2"/>
    <d v="2024-05-09T00:00:00"/>
    <s v="KUD16"/>
    <s v="O2R2"/>
    <s v="SIL"/>
    <n v="4.3478260869565223E-2"/>
    <n v="3273"/>
    <x v="35"/>
    <s v="YawUntwistCCW: Code 6,    540Â°"/>
    <s v="Breakdown"/>
    <d v="1899-12-30T12:27:56"/>
    <d v="1899-12-30T12:27:56"/>
    <d v="1899-12-30T12:48:28"/>
    <d v="1899-12-30T00:00:00"/>
    <n v="0.34222222222222332"/>
    <n v="0.34222222222222332"/>
    <s v="Turbine self cable Twist release"/>
    <s v="Close"/>
    <n v="1.4879227053140147E-2"/>
    <n v="1"/>
    <n v="0.01"/>
    <m/>
  </r>
  <r>
    <n v="1719"/>
    <n v="2025"/>
    <n v="2024"/>
    <s v="Year_2"/>
    <d v="2024-05-09T00:00:00"/>
    <s v="KUD17"/>
    <s v="O2R2"/>
    <s v="SIL"/>
    <n v="4.3478260869565223E-2"/>
    <n v="3273"/>
    <x v="35"/>
    <s v="YawUntwistCCW: Code 6,    906Â°"/>
    <s v="Breakdown"/>
    <d v="1899-12-30T01:40:20"/>
    <d v="1899-12-30T01:40:20"/>
    <d v="1899-12-30T02:17:52"/>
    <d v="1899-12-30T00:00:00"/>
    <n v="0.62555555555555531"/>
    <n v="0.62555555555555531"/>
    <s v="Turbine self cable Twist release"/>
    <s v="Close"/>
    <n v="2.7198067632850233E-2"/>
    <n v="1"/>
    <n v="0.44"/>
    <m/>
  </r>
  <r>
    <n v="1720"/>
    <n v="2025"/>
    <n v="2024"/>
    <s v="Year_2"/>
    <d v="2024-05-09T00:00:00"/>
    <s v="KUD17"/>
    <s v="O2R2"/>
    <s v="SIL"/>
    <n v="4.3478260869565223E-2"/>
    <n v="3660"/>
    <x v="172"/>
    <s v="Hub BallValve C Open"/>
    <s v="Breakdown"/>
    <d v="1899-12-30T08:53:16"/>
    <d v="1899-12-30T08:53:16"/>
    <d v="1899-12-30T11:57:29"/>
    <d v="1899-12-30T00:00:00"/>
    <n v="3.0702777777777772"/>
    <n v="3.0702777777777772"/>
    <s v="Ball valve switch connection cable loose condition then tightened after restored"/>
    <s v="Close"/>
    <n v="0.13349033816425121"/>
    <n v="1"/>
    <n v="0.08"/>
    <m/>
  </r>
  <r>
    <n v="1721"/>
    <n v="2025"/>
    <n v="2024"/>
    <s v="Year_2"/>
    <d v="2024-05-09T00:00:00"/>
    <s v="KUD18"/>
    <s v="O2R4"/>
    <s v="SGDCIPL"/>
    <n v="4.3478260869565223E-2"/>
    <n v="3273"/>
    <x v="35"/>
    <s v="YawUntwistCCW: Code 6,    544Â°"/>
    <s v="Breakdown"/>
    <d v="1899-12-30T01:42:42"/>
    <d v="1899-12-30T01:42:42"/>
    <d v="1899-12-30T02:06:43"/>
    <d v="1899-12-30T00:00:00"/>
    <n v="0.40027777777777751"/>
    <n v="0.40027777777777751"/>
    <s v="Turbine self cable Twist release"/>
    <s v="Close"/>
    <n v="1.7403381642512067E-2"/>
    <n v="1"/>
    <n v="0.14000000000000001"/>
    <m/>
  </r>
  <r>
    <n v="1722"/>
    <n v="2025"/>
    <n v="2024"/>
    <s v="Year_2"/>
    <d v="2024-05-09T00:00:00"/>
    <s v="KUD19"/>
    <s v="O2R1"/>
    <s v="KSIPL"/>
    <n v="4.3478260869565223E-2"/>
    <n v="3273"/>
    <x v="35"/>
    <s v="YawUntwistCCW: Code 6,    566Â°"/>
    <s v="Breakdown"/>
    <d v="1899-12-30T01:47:04"/>
    <d v="1899-12-30T01:47:04"/>
    <d v="1899-12-30T02:10:36"/>
    <d v="1899-12-30T00:00:00"/>
    <n v="0.39222222222222214"/>
    <n v="0.39222222222222214"/>
    <s v="Turbine self cable Twist release"/>
    <s v="Close"/>
    <n v="1.7053140096618357E-2"/>
    <n v="1"/>
    <n v="0.25"/>
    <m/>
  </r>
  <r>
    <n v="1723"/>
    <n v="2025"/>
    <n v="2024"/>
    <s v="Year_2"/>
    <d v="2024-05-09T00:00:00"/>
    <s v="KUD20"/>
    <s v="O2R1"/>
    <s v="KSIPL"/>
    <n v="4.3478260869565223E-2"/>
    <n v="3273"/>
    <x v="35"/>
    <s v="YawUntwistCCW: Code 6,    614Â°"/>
    <s v="Breakdown"/>
    <d v="1899-12-30T01:45:37"/>
    <d v="1899-12-30T01:45:37"/>
    <d v="1899-12-30T02:09:55"/>
    <d v="1899-12-30T00:00:00"/>
    <n v="0.40499999999999969"/>
    <n v="0.40499999999999969"/>
    <s v="Turbine self cable Twist release"/>
    <s v="Close"/>
    <n v="1.7608695652173902E-2"/>
    <n v="1"/>
    <n v="0.08"/>
    <m/>
  </r>
  <r>
    <n v="1724"/>
    <n v="2025"/>
    <n v="2024"/>
    <s v="Year_2"/>
    <d v="2024-05-09T00:00:00"/>
    <s v="KUD20"/>
    <s v="O2R1"/>
    <s v="KSIPL"/>
    <n v="4.3478260869565223E-2"/>
    <n v="900"/>
    <x v="100"/>
    <s v="Pause pressed on keyboard"/>
    <s v="Breakdown"/>
    <d v="1899-12-30T11:22:42"/>
    <d v="1899-12-30T11:22:42"/>
    <d v="1899-12-30T19:34:16"/>
    <d v="1899-12-30T00:00:00"/>
    <n v="8.1927777777777777"/>
    <n v="8.1927777777777777"/>
    <s v="1 Year scheduled service day1 work done"/>
    <s v="Close"/>
    <n v="0.35620772946859908"/>
    <n v="1"/>
    <n v="2.0299999999999998"/>
    <m/>
  </r>
  <r>
    <n v="1725"/>
    <n v="2025"/>
    <n v="2024"/>
    <s v="Year_2"/>
    <d v="2024-05-09T00:00:00"/>
    <s v="KUD22"/>
    <s v="O2R3"/>
    <s v="JK"/>
    <n v="4.3478260869565223E-2"/>
    <n v="3273"/>
    <x v="35"/>
    <s v="YawUntwistCCW: Code 6,    540Â°"/>
    <s v="Breakdown"/>
    <d v="1899-12-30T17:02:47"/>
    <d v="1899-12-30T17:02:47"/>
    <d v="1899-12-30T17:25:11"/>
    <d v="1899-12-30T00:00:00"/>
    <n v="0.37333333333333307"/>
    <n v="0.37333333333333307"/>
    <s v="Turbine self cable Twist release"/>
    <s v="Close"/>
    <n v="1.6231884057971005E-2"/>
    <n v="1"/>
    <n v="0.11"/>
    <m/>
  </r>
  <r>
    <n v="1726"/>
    <n v="2025"/>
    <n v="2024"/>
    <s v="Year_2"/>
    <d v="2024-05-09T00:00:00"/>
    <s v="KUD23"/>
    <s v="O2R3"/>
    <s v="JK"/>
    <n v="4.3478260869565223E-2"/>
    <n v="3273"/>
    <x v="35"/>
    <s v="YawUntwistCCW: Code 6,    540Â°"/>
    <s v="Breakdown"/>
    <d v="1899-12-30T08:14:11"/>
    <d v="1899-12-30T08:14:11"/>
    <d v="1899-12-30T08:40:20"/>
    <d v="1899-12-30T00:00:00"/>
    <n v="0.43583333333333352"/>
    <n v="0.43583333333333352"/>
    <s v="Turbine self cable Twist release"/>
    <s v="Close"/>
    <n v="1.894927536231885E-2"/>
    <n v="1"/>
    <n v="0.01"/>
    <m/>
  </r>
  <r>
    <n v="1727"/>
    <n v="2025"/>
    <n v="2024"/>
    <s v="Year_2"/>
    <d v="2024-05-09T00:00:00"/>
    <s v="KUD23"/>
    <s v="O2R3"/>
    <s v="JK"/>
    <n v="4.3478260869565223E-2"/>
    <n v="3273"/>
    <x v="35"/>
    <s v="YawUntwistCCW: Code 6,    559Â°"/>
    <s v="Breakdown"/>
    <d v="1899-12-30T15:56:39"/>
    <d v="1899-12-30T15:56:39"/>
    <d v="1899-12-30T16:18:10"/>
    <d v="1899-12-30T00:00:00"/>
    <n v="0.35861111111111033"/>
    <n v="0.35861111111111033"/>
    <s v="Turbine self cable Twist release"/>
    <s v="Close"/>
    <n v="1.5591787439613494E-2"/>
    <n v="1"/>
    <n v="0.01"/>
    <m/>
  </r>
  <r>
    <n v="1728"/>
    <n v="2025"/>
    <n v="2024"/>
    <s v="Year_2"/>
    <d v="2024-05-10T00:00:00"/>
    <s v="KUD01"/>
    <s v="O2R1"/>
    <s v="KSIPL"/>
    <n v="4.3478260869565223E-2"/>
    <n v="450"/>
    <x v="127"/>
    <s v="Ext. High I sum Grd inv."/>
    <s v="Breakdown"/>
    <d v="1899-12-30T17:13:23"/>
    <d v="1899-12-30T17:13:23"/>
    <d v="1899-12-30T17:22:48"/>
    <d v="1899-12-30T00:00:00"/>
    <n v="0.15694444444444411"/>
    <n v="0.15694444444444411"/>
    <s v="Auto reset"/>
    <s v="Close"/>
    <n v="6.8236714975845273E-3"/>
    <n v="1"/>
    <n v="0.05"/>
    <m/>
  </r>
  <r>
    <n v="1729"/>
    <n v="2025"/>
    <n v="2024"/>
    <s v="Year_2"/>
    <d v="2024-05-10T00:00:00"/>
    <s v="KUD01"/>
    <s v="O2R1"/>
    <s v="KSIPL"/>
    <n v="4.3478260869565223E-2"/>
    <n v="4235"/>
    <x v="93"/>
    <s v="Gen Stator CB Open"/>
    <s v="Breakdown"/>
    <d v="1899-12-30T17:23:40"/>
    <d v="1899-12-30T17:23:40"/>
    <d v="1899-12-30T17:25:29"/>
    <d v="1899-12-30T00:00:00"/>
    <n v="3.0277777777776294E-2"/>
    <n v="3.0277777777776294E-2"/>
    <s v="Auto reset"/>
    <s v="Close"/>
    <n v="1.3164251207728826E-3"/>
    <n v="1"/>
    <n v="0.09"/>
    <m/>
  </r>
  <r>
    <n v="1730"/>
    <n v="2025"/>
    <n v="2024"/>
    <s v="Year_2"/>
    <d v="2024-05-10T00:00:00"/>
    <s v="KUD02"/>
    <s v="O2R3"/>
    <s v="JK"/>
    <n v="4.3478260869565223E-2"/>
    <n v="2890"/>
    <x v="135"/>
    <s v="VibrShockAct X 0.05Y 0.13m/s^2"/>
    <s v="Breakdown"/>
    <d v="1899-12-30T12:03:40"/>
    <d v="1899-12-30T12:03:40"/>
    <d v="1899-12-30T15:16:49"/>
    <d v="1899-12-30T00:00:00"/>
    <n v="3.2191666666666663"/>
    <n v="3.2191666666666663"/>
    <s v="Checked all connection are normal condition after restored the machine"/>
    <s v="Close"/>
    <n v="0.13996376811594202"/>
    <n v="1"/>
    <n v="0.16"/>
    <m/>
  </r>
  <r>
    <n v="1731"/>
    <n v="2025"/>
    <n v="2024"/>
    <s v="Year_2"/>
    <d v="2024-05-10T00:00:00"/>
    <s v="KUD04"/>
    <s v="O2R3"/>
    <s v="JK"/>
    <n v="4.3478260869565223E-2"/>
    <n v="3273"/>
    <x v="35"/>
    <s v="YawUntwistCCW: Code 5,    540Â°"/>
    <s v="Breakdown"/>
    <d v="1899-12-30T20:25:07"/>
    <d v="1899-12-30T20:25:07"/>
    <d v="1899-12-30T20:51:45"/>
    <d v="1899-12-30T00:00:00"/>
    <n v="0.44388888888888989"/>
    <n v="0.44388888888888989"/>
    <s v="Auto reset"/>
    <s v="Close"/>
    <n v="1.9299516908212605E-2"/>
    <n v="1"/>
    <n v="0"/>
    <m/>
  </r>
  <r>
    <n v="1732"/>
    <n v="2025"/>
    <n v="2024"/>
    <s v="Year_2"/>
    <d v="2024-05-10T00:00:00"/>
    <s v="KUD05"/>
    <s v="O2R3"/>
    <s v="JK"/>
    <n v="4.3478260869565223E-2"/>
    <n v="158"/>
    <x v="132"/>
    <s v="Rotor: 1.9RPM, Gen.:-210.4 RPM"/>
    <s v="Breakdown"/>
    <d v="1899-12-30T23:28:01"/>
    <d v="1899-12-30T23:28:01"/>
    <d v="1899-12-30T23:33:28"/>
    <d v="1899-12-30T00:00:00"/>
    <n v="9.0833333333331545E-2"/>
    <n v="9.0833333333331545E-2"/>
    <s v="Auto reset"/>
    <s v="Close"/>
    <n v="3.949275362318763E-3"/>
    <n v="1"/>
    <n v="0.04"/>
    <m/>
  </r>
  <r>
    <n v="1733"/>
    <n v="2025"/>
    <n v="2024"/>
    <s v="Year_2"/>
    <d v="2024-05-10T00:00:00"/>
    <s v="KUD06"/>
    <s v="O2R3"/>
    <s v="JK"/>
    <n v="4.3478260869565223E-2"/>
    <n v="158"/>
    <x v="132"/>
    <s v="Rotor: 1.8RPM, Gen.:-203.0 RPM"/>
    <s v="Breakdown"/>
    <d v="1899-12-30T21:50:37"/>
    <d v="1899-12-30T21:50:37"/>
    <d v="1899-12-30T22:01:39"/>
    <d v="1899-12-30T00:00:00"/>
    <n v="0.18388888888888921"/>
    <n v="0.18388888888888921"/>
    <s v="Auto reset"/>
    <s v="Close"/>
    <n v="7.9951690821256187E-3"/>
    <n v="1"/>
    <n v="0.04"/>
    <m/>
  </r>
  <r>
    <n v="1734"/>
    <n v="2025"/>
    <n v="2024"/>
    <s v="Year_2"/>
    <d v="2024-05-10T00:00:00"/>
    <s v="KUD16"/>
    <s v="O2R2"/>
    <s v="SIL"/>
    <n v="4.3478260869565223E-2"/>
    <n v="3273"/>
    <x v="35"/>
    <s v="YawUntwistCCW: Code 6,    540Â°"/>
    <s v="Breakdown"/>
    <d v="1899-12-30T20:47:27"/>
    <d v="1899-12-30T20:47:27"/>
    <d v="1899-12-30T21:12:23"/>
    <d v="1899-12-30T00:00:00"/>
    <n v="0.41555555555555745"/>
    <n v="0.41555555555555745"/>
    <s v="Auto reset"/>
    <s v="Close"/>
    <n v="1.8067632850241631E-2"/>
    <n v="1"/>
    <n v="0.01"/>
    <m/>
  </r>
  <r>
    <n v="1735"/>
    <n v="2025"/>
    <n v="2024"/>
    <s v="Year_2"/>
    <d v="2024-05-10T00:00:00"/>
    <s v="KUD17"/>
    <s v="O2R2"/>
    <s v="SIL"/>
    <n v="4.3478260869565223E-2"/>
    <n v="3273"/>
    <x v="35"/>
    <s v="YawUntwistCCW: Code 6,    553Â°"/>
    <s v="Breakdown"/>
    <d v="1899-12-30T15:33:33"/>
    <d v="1899-12-30T15:33:33"/>
    <d v="1899-12-30T15:54:18"/>
    <d v="1899-12-30T00:00:00"/>
    <n v="0.3458333333333341"/>
    <n v="0.3458333333333341"/>
    <s v="Auto reset"/>
    <s v="Close"/>
    <n v="1.5036231884058006E-2"/>
    <n v="1"/>
    <n v="0.05"/>
    <m/>
  </r>
  <r>
    <n v="1736"/>
    <n v="2025"/>
    <n v="2024"/>
    <s v="Year_2"/>
    <d v="2024-05-10T00:00:00"/>
    <s v="KUD20"/>
    <s v="O2R1"/>
    <s v="KSIPL"/>
    <n v="4.3478260869565223E-2"/>
    <n v="900"/>
    <x v="100"/>
    <s v="Pause pressed on keyboard"/>
    <s v="Manual Stop"/>
    <d v="1899-12-30T09:48:38"/>
    <d v="1899-12-30T09:48:38"/>
    <d v="1899-12-30T18:18:37"/>
    <d v="1899-12-30T00:00:00"/>
    <n v="8.4997222222222213"/>
    <n v="8.4997222222222213"/>
    <s v="1 Year scheduled service day2 work done"/>
    <s v="Close"/>
    <n v="0.36955314009661838"/>
    <n v="1"/>
    <n v="1.23"/>
    <m/>
  </r>
  <r>
    <n v="1737"/>
    <n v="2025"/>
    <n v="2024"/>
    <s v="Year_2"/>
    <d v="2024-05-10T00:00:00"/>
    <s v="KUD22"/>
    <s v="O2R3"/>
    <s v="JK"/>
    <n v="4.3478260869565223E-2"/>
    <n v="3273"/>
    <x v="35"/>
    <s v="YawUntwistCCW: Code 6,    603Â°"/>
    <s v="Breakdown"/>
    <d v="1899-12-30T16:05:52"/>
    <d v="1899-12-30T16:05:52"/>
    <d v="1899-12-30T16:59:12"/>
    <d v="1899-12-30T00:00:00"/>
    <n v="0.88888888888888751"/>
    <n v="0.88888888888888751"/>
    <s v="Auto reset"/>
    <s v="Close"/>
    <n v="3.8647342995169025E-2"/>
    <n v="1"/>
    <n v="0.04"/>
    <m/>
  </r>
  <r>
    <n v="1738"/>
    <n v="2025"/>
    <n v="2024"/>
    <s v="Year_2"/>
    <d v="2024-05-11T00:00:00"/>
    <s v="KUD02"/>
    <s v="O2R3"/>
    <s v="JK"/>
    <n v="4.3478260869565223E-2"/>
    <n v="3272"/>
    <x v="143"/>
    <s v="YawUntwistCW: Code 2,-000572Â°"/>
    <s v="Breakdown"/>
    <d v="1899-12-30T20:46:32"/>
    <d v="1899-12-30T20:46:32"/>
    <d v="1899-12-30T21:12:33"/>
    <d v="1899-12-30T00:00:00"/>
    <n v="0.43361111111111139"/>
    <n v="0.43361111111111139"/>
    <s v="Turbine self cable Twist release"/>
    <s v="Close"/>
    <n v="1.8852657004830933E-2"/>
    <n v="1"/>
    <n v="0.49"/>
    <m/>
  </r>
  <r>
    <n v="1739"/>
    <n v="2025"/>
    <n v="2024"/>
    <s v="Year_2"/>
    <d v="2024-05-11T00:00:00"/>
    <s v="KUD05"/>
    <s v="O2R3"/>
    <s v="JK"/>
    <n v="4.3478260869565223E-2"/>
    <n v="3273"/>
    <x v="35"/>
    <s v="YawUntwistCCW: Code 5,    540Â°"/>
    <s v="Breakdown"/>
    <d v="1899-12-30T04:36:18"/>
    <d v="1899-12-30T04:36:18"/>
    <d v="1899-12-30T05:00:48"/>
    <d v="1899-12-30T00:00:00"/>
    <n v="0.40833333333333388"/>
    <n v="0.40833333333333388"/>
    <s v="Turbine self cable Twist release"/>
    <s v="Close"/>
    <n v="1.7753623188405822E-2"/>
    <n v="1"/>
    <n v="0.01"/>
    <m/>
  </r>
  <r>
    <n v="1740"/>
    <n v="2025"/>
    <n v="2024"/>
    <s v="Year_2"/>
    <d v="2024-05-11T00:00:00"/>
    <s v="KUD06"/>
    <s v="O2R3"/>
    <s v="JK"/>
    <n v="4.3478260869565223E-2"/>
    <n v="158"/>
    <x v="132"/>
    <s v="Rotor: 1.8RPM, Gen.:-204.0 RPM"/>
    <s v="Breakdown"/>
    <d v="1899-12-30T19:39:53"/>
    <d v="1899-12-30T19:39:53"/>
    <d v="1899-12-30T19:47:15"/>
    <d v="1899-12-30T00:00:00"/>
    <n v="0.12277777777777743"/>
    <n v="0.12277777777777743"/>
    <s v="Auto reset"/>
    <s v="Close"/>
    <n v="5.3381642512077155E-3"/>
    <n v="1"/>
    <n v="0.73"/>
    <m/>
  </r>
  <r>
    <n v="1741"/>
    <n v="2025"/>
    <n v="2024"/>
    <s v="Year_2"/>
    <d v="2024-05-11T00:00:00"/>
    <s v="KUD06"/>
    <s v="O2R3"/>
    <s v="JK"/>
    <n v="4.3478260869565223E-2"/>
    <n v="217"/>
    <x v="117"/>
    <s v="Thermoerror Int.Gen.Fan F515A"/>
    <s v="Breakdown"/>
    <d v="1899-12-30T21:03:59"/>
    <d v="1899-12-30T21:03:59"/>
    <d v="1899-12-30T21:17:50"/>
    <d v="1899-12-30T00:00:00"/>
    <n v="0.23083333333333211"/>
    <n v="0.23083333333333211"/>
    <s v="Manual reset done"/>
    <s v="Close"/>
    <n v="1.0036231884057919E-2"/>
    <n v="1"/>
    <n v="0"/>
    <m/>
  </r>
  <r>
    <n v="1742"/>
    <n v="2025"/>
    <n v="2024"/>
    <s v="Year_2"/>
    <d v="2024-05-11T00:00:00"/>
    <s v="KUD06"/>
    <s v="O2R3"/>
    <s v="JK"/>
    <n v="4.3478260869565223E-2"/>
    <n v="6290"/>
    <x v="91"/>
    <s v="Pitch accu. test active"/>
    <s v="Breakdown"/>
    <d v="1899-12-30T21:17:50"/>
    <d v="1899-12-30T21:17:50"/>
    <d v="1899-12-30T21:21:11"/>
    <d v="1899-12-30T00:00:00"/>
    <n v="5.5833333333334068E-2"/>
    <n v="5.5833333333334068E-2"/>
    <s v="Turbine self test taken"/>
    <s v="Close"/>
    <n v="2.4275362318840902E-3"/>
    <n v="1"/>
    <n v="0"/>
    <m/>
  </r>
  <r>
    <n v="1743"/>
    <n v="2025"/>
    <n v="2024"/>
    <s v="Year_2"/>
    <d v="2024-05-11T00:00:00"/>
    <s v="KUD19"/>
    <s v="O2R1"/>
    <s v="KSIPL"/>
    <n v="4.3478260869565223E-2"/>
    <n v="900"/>
    <x v="100"/>
    <s v="Pause pressed on keyboard"/>
    <s v="Manual Stop"/>
    <d v="1899-12-30T11:12:53"/>
    <d v="1899-12-30T11:12:53"/>
    <d v="1899-12-30T13:49:07"/>
    <d v="1899-12-30T00:00:00"/>
    <n v="2.6038888888888905"/>
    <n v="2.6038888888888905"/>
    <s v="1 Year scheduled service day1 work done"/>
    <s v="Close"/>
    <n v="0.11321256038647351"/>
    <n v="1"/>
    <n v="0.17"/>
    <m/>
  </r>
  <r>
    <n v="1744"/>
    <n v="2025"/>
    <n v="2024"/>
    <s v="Year_2"/>
    <d v="2024-05-11T00:00:00"/>
    <s v="KUD23"/>
    <s v="O2R3"/>
    <s v="JK"/>
    <n v="4.3478260869565223E-2"/>
    <n v="900"/>
    <x v="100"/>
    <s v="Pause pressed on keyboard"/>
    <s v="Manual Stop"/>
    <d v="1899-12-30T14:16:30"/>
    <d v="1899-12-30T14:16:30"/>
    <d v="1899-12-30T16:24:04"/>
    <d v="1899-12-30T00:00:00"/>
    <n v="2.1261111111111095"/>
    <n v="2.1261111111111095"/>
    <s v="1 Year scheduled service day1 work done"/>
    <s v="Close"/>
    <n v="9.2439613526569986E-2"/>
    <n v="1"/>
    <n v="0.57999999999999996"/>
    <m/>
  </r>
  <r>
    <n v="1745"/>
    <n v="2025"/>
    <n v="2024"/>
    <s v="Year_2"/>
    <d v="2024-05-12T00:00:00"/>
    <s v="KUD01"/>
    <s v="O2R1"/>
    <s v="KSIPL"/>
    <n v="4.3478260869565223E-2"/>
    <n v="453"/>
    <x v="136"/>
    <s v="Ext. High I sum Rotinv.ChanX"/>
    <s v="Breakdown"/>
    <d v="1899-12-30T03:16:00"/>
    <d v="1899-12-30T03:16:00"/>
    <d v="1899-12-30T03:18:00"/>
    <d v="1899-12-30T00:00:00"/>
    <n v="3.3333333333333881E-2"/>
    <n v="3.3333333333333881E-2"/>
    <s v="Auto reset"/>
    <s v="Close"/>
    <n v="1.4492753623188647E-3"/>
    <n v="1"/>
    <n v="0.36"/>
    <m/>
  </r>
  <r>
    <n v="1746"/>
    <n v="2025"/>
    <n v="2024"/>
    <s v="Year_2"/>
    <d v="2024-05-12T00:00:00"/>
    <s v="KUD01"/>
    <s v="O2R1"/>
    <s v="KSIPL"/>
    <n v="4.3478260869565223E-2"/>
    <n v="6293"/>
    <x v="32"/>
    <s v="Pitch valve test active"/>
    <s v="Breakdown"/>
    <d v="1899-12-30T03:18:00"/>
    <d v="1899-12-30T03:18:00"/>
    <d v="1899-12-30T03:25:00"/>
    <d v="1899-12-30T00:00:00"/>
    <n v="0.11666666666666625"/>
    <n v="0.11666666666666625"/>
    <s v="Turbine self test taken"/>
    <s v="Close"/>
    <n v="5.0724637681159243E-3"/>
    <n v="1"/>
    <n v="0"/>
    <m/>
  </r>
  <r>
    <n v="1747"/>
    <n v="2025"/>
    <n v="2024"/>
    <s v="Year_2"/>
    <d v="2024-05-12T00:00:00"/>
    <s v="KUD01"/>
    <s v="O2R1"/>
    <s v="KSIPL"/>
    <n v="4.3478260869565223E-2"/>
    <n v="450"/>
    <x v="127"/>
    <s v="Ext. High I sum Grd inv."/>
    <s v="Breakdown"/>
    <d v="1899-12-30T21:50:00"/>
    <d v="1899-12-30T21:50:00"/>
    <d v="1899-12-30T21:52:00"/>
    <d v="1899-12-30T00:00:00"/>
    <n v="3.3333333333333215E-2"/>
    <n v="3.3333333333333215E-2"/>
    <s v="Auto reset"/>
    <s v="Close"/>
    <n v="1.4492753623188356E-3"/>
    <n v="1"/>
    <n v="0"/>
    <m/>
  </r>
  <r>
    <n v="1748"/>
    <n v="2025"/>
    <n v="2024"/>
    <s v="Year_2"/>
    <d v="2024-05-12T00:00:00"/>
    <s v="KUD01"/>
    <s v="O2R1"/>
    <s v="KSIPL"/>
    <n v="4.3478260869565223E-2"/>
    <n v="6293"/>
    <x v="32"/>
    <s v="Pitch valve test active"/>
    <s v="Breakdown"/>
    <d v="1899-12-30T21:53:00"/>
    <d v="1899-12-30T21:53:00"/>
    <d v="1899-12-30T21:59:00"/>
    <d v="1899-12-30T00:00:00"/>
    <n v="9.9999999999999645E-2"/>
    <n v="9.9999999999999645E-2"/>
    <s v="Turbine self test taken"/>
    <s v="Close"/>
    <n v="4.347826086956507E-3"/>
    <n v="1"/>
    <n v="0"/>
    <m/>
  </r>
  <r>
    <n v="1749"/>
    <n v="2025"/>
    <n v="2024"/>
    <s v="Year_2"/>
    <d v="2024-05-12T00:00:00"/>
    <s v="KUD08"/>
    <s v="O2R3"/>
    <s v="JK"/>
    <n v="4.3478260869565223E-2"/>
    <n v="3273"/>
    <x v="35"/>
    <s v="YawUntwistCCW: Code 6,    540Â°"/>
    <s v="Breakdown"/>
    <d v="1899-12-30T22:35:00"/>
    <d v="1899-12-30T22:35:00"/>
    <d v="1899-12-30T22:58:00"/>
    <d v="1899-12-30T00:00:00"/>
    <n v="0.38333333333333464"/>
    <n v="0.38333333333333464"/>
    <s v="Turbine self cable Twist release"/>
    <s v="Close"/>
    <n v="1.6666666666666725E-2"/>
    <n v="1"/>
    <n v="0.06"/>
    <m/>
  </r>
  <r>
    <n v="1750"/>
    <n v="2025"/>
    <n v="2024"/>
    <s v="Year_2"/>
    <d v="2024-05-12T00:00:00"/>
    <s v="KUD11"/>
    <s v="O2R1"/>
    <s v="KSIPL"/>
    <n v="4.3478260869565223E-2"/>
    <n v="3273"/>
    <x v="35"/>
    <s v="YawUntwistCCW: Code 6,    540Â°"/>
    <s v="Breakdown"/>
    <d v="1899-12-30T16:53:00"/>
    <d v="1899-12-30T16:53:00"/>
    <d v="1899-12-30T17:14:00"/>
    <d v="1899-12-30T00:00:00"/>
    <n v="0.34999999999999876"/>
    <n v="0.34999999999999876"/>
    <s v="Turbine self cable Twist release"/>
    <s v="Close"/>
    <n v="1.5217391304347775E-2"/>
    <n v="1"/>
    <n v="0.1"/>
    <m/>
  </r>
  <r>
    <n v="1751"/>
    <n v="2025"/>
    <n v="2024"/>
    <s v="Year_2"/>
    <d v="2024-05-12T00:00:00"/>
    <s v="KUD11"/>
    <s v="O2R1"/>
    <s v="KSIPL"/>
    <n v="4.3478260869565223E-2"/>
    <n v="3273"/>
    <x v="35"/>
    <s v="YawUntwistCCW: Code 6,    540Â°"/>
    <s v="Breakdown"/>
    <d v="1899-12-30T22:37:00"/>
    <d v="1899-12-30T22:37:00"/>
    <d v="1899-12-30T22:58:00"/>
    <d v="1899-12-30T00:00:00"/>
    <n v="0.35000000000000142"/>
    <n v="0.35000000000000142"/>
    <s v="Turbine self cable Twist release"/>
    <s v="Close"/>
    <n v="1.5217391304347889E-2"/>
    <n v="1"/>
    <n v="0"/>
    <m/>
  </r>
  <r>
    <n v="1752"/>
    <n v="2025"/>
    <n v="2024"/>
    <s v="Year_2"/>
    <d v="2024-05-12T00:00:00"/>
    <s v="KUD12"/>
    <s v="O2R1"/>
    <s v="KSIPL"/>
    <n v="4.3478260869565223E-2"/>
    <n v="3273"/>
    <x v="35"/>
    <s v="YawUntwistCCW: Code 6,    540Â°"/>
    <s v="Breakdown"/>
    <d v="1899-12-30T11:01:00"/>
    <d v="1899-12-30T11:01:00"/>
    <d v="1899-12-30T11:23:00"/>
    <d v="1899-12-30T00:00:00"/>
    <n v="0.3666666666666667"/>
    <n v="0.3666666666666667"/>
    <s v="Turbine self cable Twist release"/>
    <s v="Close"/>
    <n v="1.5942028985507249E-2"/>
    <n v="1"/>
    <n v="0"/>
    <m/>
  </r>
  <r>
    <n v="1753"/>
    <n v="2025"/>
    <n v="2024"/>
    <s v="Year_2"/>
    <d v="2024-05-12T00:00:00"/>
    <s v="KUD20"/>
    <s v="O2R1"/>
    <s v="KSIPL"/>
    <n v="4.3478260869565223E-2"/>
    <n v="3273"/>
    <x v="35"/>
    <s v="YawUntwistCCW: Code 6,    540Â°"/>
    <s v="Breakdown"/>
    <d v="1899-12-30T11:25:00"/>
    <d v="1899-12-30T11:25:00"/>
    <d v="1899-12-30T11:47:00"/>
    <d v="1899-12-30T00:00:00"/>
    <n v="0.3666666666666667"/>
    <n v="0.3666666666666667"/>
    <s v="Turbine self cable Twist release"/>
    <s v="Close"/>
    <n v="1.5942028985507249E-2"/>
    <n v="1"/>
    <n v="0"/>
    <m/>
  </r>
  <r>
    <n v="1754"/>
    <n v="2025"/>
    <n v="2024"/>
    <s v="Year_2"/>
    <d v="2024-05-12T00:00:00"/>
    <s v="KUD02"/>
    <s v="O2R3"/>
    <s v="JK"/>
    <n v="4.3478260869565223E-2"/>
    <n v="3273"/>
    <x v="35"/>
    <s v="YawUntwistCCW: Code 6,    540Â°"/>
    <s v="Breakdown"/>
    <d v="1899-12-30T07:34:00"/>
    <d v="1899-12-30T07:34:00"/>
    <d v="1899-12-30T07:57:00"/>
    <d v="1899-12-30T00:00:00"/>
    <n v="0.3833333333333333"/>
    <n v="0.3833333333333333"/>
    <s v="Turbine self cable Twist release"/>
    <s v="Close"/>
    <n v="1.6666666666666666E-2"/>
    <n v="1"/>
    <n v="0.02"/>
    <m/>
  </r>
  <r>
    <n v="1755"/>
    <n v="2025"/>
    <n v="2024"/>
    <s v="Year_2"/>
    <d v="2024-05-12T00:00:00"/>
    <s v="KUD02"/>
    <s v="O2R3"/>
    <s v="JK"/>
    <n v="4.3478260869565223E-2"/>
    <n v="158"/>
    <x v="132"/>
    <s v="Rotor:1.8RPM, Gen.: -205.3 RPM"/>
    <s v="Breakdown"/>
    <d v="1899-12-30T22:37:00"/>
    <d v="1899-12-30T22:37:00"/>
    <d v="1899-12-30T22:38:00"/>
    <d v="1899-12-30T00:00:00"/>
    <n v="1.6666666666666607E-2"/>
    <n v="1.6666666666666607E-2"/>
    <s v="Auto reset"/>
    <s v="Close"/>
    <n v="7.246376811594178E-4"/>
    <n v="1"/>
    <n v="0.02"/>
    <m/>
  </r>
  <r>
    <n v="1756"/>
    <n v="2025"/>
    <n v="2024"/>
    <s v="Year_2"/>
    <d v="2024-05-12T00:00:00"/>
    <s v="KUD02"/>
    <s v="O2R3"/>
    <s v="JK"/>
    <n v="4.3478260869565223E-2"/>
    <n v="6293"/>
    <x v="32"/>
    <s v="Pitch valve test active"/>
    <s v="Breakdown"/>
    <d v="1899-12-30T22:39:00"/>
    <d v="1899-12-30T22:39:00"/>
    <d v="1899-12-30T22:44:00"/>
    <d v="1899-12-30T00:00:00"/>
    <n v="8.3333333333333037E-2"/>
    <n v="8.3333333333333037E-2"/>
    <s v="Turbine self test taken"/>
    <s v="Close"/>
    <n v="3.6231884057970889E-3"/>
    <n v="1"/>
    <n v="0.04"/>
    <m/>
  </r>
  <r>
    <n v="1757"/>
    <n v="2025"/>
    <n v="2024"/>
    <s v="Year_2"/>
    <d v="2024-05-12T00:00:00"/>
    <s v="KUD04"/>
    <s v="O2R3"/>
    <s v="JK"/>
    <n v="4.3478260869565223E-2"/>
    <n v="3272"/>
    <x v="143"/>
    <s v="YawUntwistCW: Code2, -000585A°"/>
    <s v="Breakdown"/>
    <d v="1899-12-30T13:36:00"/>
    <d v="1899-12-30T13:36:00"/>
    <d v="1899-12-30T14:04:00"/>
    <d v="1899-12-30T00:00:00"/>
    <n v="0.46666666666666767"/>
    <n v="0.46666666666666767"/>
    <s v="Turbine self cable Twist release"/>
    <s v="Close"/>
    <n v="2.0289855072463815E-2"/>
    <n v="1"/>
    <n v="0.04"/>
    <m/>
  </r>
  <r>
    <n v="1758"/>
    <n v="2025"/>
    <n v="2024"/>
    <s v="Year_2"/>
    <d v="2024-05-12T00:00:00"/>
    <s v="KUD05"/>
    <s v="O2R3"/>
    <s v="JK"/>
    <n v="4.3478260869565223E-2"/>
    <n v="3273"/>
    <x v="35"/>
    <s v="YawUntwistCCW: Code 6,    540Â°"/>
    <s v="Breakdown"/>
    <d v="1899-12-30T21:20:00"/>
    <d v="1899-12-30T21:20:00"/>
    <d v="1899-12-30T21:46:00"/>
    <d v="1899-12-30T00:00:00"/>
    <n v="0.43333333333333446"/>
    <n v="0.43333333333333446"/>
    <s v="Turbine self cable Twist release"/>
    <s v="Close"/>
    <n v="1.8840579710144977E-2"/>
    <n v="1"/>
    <n v="0.51"/>
    <m/>
  </r>
  <r>
    <n v="1759"/>
    <n v="2025"/>
    <n v="2024"/>
    <s v="Year_2"/>
    <d v="2024-05-12T00:00:00"/>
    <s v="KUD07"/>
    <s v="O2R3"/>
    <s v="JK"/>
    <n v="4.3478260869565223E-2"/>
    <n v="3272"/>
    <x v="143"/>
    <s v="YawUntwistCW: Code2, -000585A°"/>
    <s v="Breakdown"/>
    <d v="1899-12-30T13:55:00"/>
    <d v="1899-12-30T13:55:00"/>
    <d v="1899-12-30T14:21:00"/>
    <d v="1899-12-30T00:00:00"/>
    <n v="0.43333333333333179"/>
    <n v="0.43333333333333179"/>
    <s v="Turbine self cable Twist release"/>
    <s v="Close"/>
    <n v="1.8840579710144863E-2"/>
    <n v="1"/>
    <n v="0"/>
    <m/>
  </r>
  <r>
    <n v="1760"/>
    <n v="2025"/>
    <n v="2024"/>
    <s v="Year_2"/>
    <d v="2024-05-12T00:00:00"/>
    <s v="KUD17"/>
    <s v="O2R2"/>
    <s v="SIL"/>
    <n v="4.3478260869565223E-2"/>
    <n v="3273"/>
    <x v="35"/>
    <s v="YawUntwistCCW: Code 6,    592Â°"/>
    <s v="Breakdown"/>
    <d v="1899-12-30T19:32:00"/>
    <d v="1899-12-30T19:32:00"/>
    <d v="1899-12-30T19:57:00"/>
    <d v="1899-12-30T00:00:00"/>
    <n v="0.41666666666666785"/>
    <n v="0.41666666666666785"/>
    <s v="Turbine self cable Twist release"/>
    <s v="Close"/>
    <n v="1.811594202898556E-2"/>
    <n v="1"/>
    <n v="0"/>
    <m/>
  </r>
  <r>
    <n v="1761"/>
    <n v="2025"/>
    <n v="2024"/>
    <s v="Year_2"/>
    <d v="2024-05-12T00:00:00"/>
    <s v="KUD21"/>
    <s v="O2R3"/>
    <s v="JK"/>
    <n v="4.3478260869565223E-2"/>
    <n v="3272"/>
    <x v="143"/>
    <s v="YawUntwistCW: Code2, -000585A°"/>
    <s v="Breakdown"/>
    <d v="1899-12-30T11:52:00"/>
    <d v="1899-12-30T11:52:00"/>
    <d v="1899-12-30T12:14:00"/>
    <d v="1899-12-30T00:00:00"/>
    <n v="0.36666666666666536"/>
    <n v="0.36666666666666536"/>
    <s v="Turbine self cable Twist release"/>
    <s v="Close"/>
    <n v="1.594202898550719E-2"/>
    <n v="1"/>
    <n v="0"/>
    <m/>
  </r>
  <r>
    <n v="1762"/>
    <n v="2025"/>
    <n v="2024"/>
    <s v="Year_2"/>
    <d v="2024-05-12T00:00:00"/>
    <s v="KUD23"/>
    <s v="O2R3"/>
    <s v="JK"/>
    <n v="4.3478260869565223E-2"/>
    <n v="3273"/>
    <x v="35"/>
    <s v="YawUntwistCCW: Code 6,    540Â°"/>
    <s v="Breakdown"/>
    <d v="1899-12-30T13:30:00"/>
    <d v="1899-12-30T13:30:00"/>
    <d v="1899-12-30T13:52:00"/>
    <d v="1899-12-30T00:00:00"/>
    <n v="0.36666666666666536"/>
    <n v="0.36666666666666536"/>
    <s v="Turbine self cable Twist release"/>
    <s v="Close"/>
    <n v="1.594202898550719E-2"/>
    <n v="1"/>
    <n v="0.66"/>
    <m/>
  </r>
  <r>
    <n v="1763"/>
    <n v="2025"/>
    <n v="2024"/>
    <s v="Year_2"/>
    <d v="2024-05-12T00:00:00"/>
    <s v="KUD23"/>
    <s v="O2R3"/>
    <s v="JK"/>
    <n v="4.3478260869565223E-2"/>
    <n v="3273"/>
    <x v="35"/>
    <s v="YawUntwistCCW: Code 6,    540Â°"/>
    <s v="Breakdown"/>
    <d v="1899-12-30T21:23:00"/>
    <d v="1899-12-30T21:23:00"/>
    <d v="1899-12-30T21:43:00"/>
    <d v="1899-12-30T00:00:00"/>
    <n v="0.33333333333333215"/>
    <n v="0.33333333333333215"/>
    <s v="Turbine self cable Twist release"/>
    <s v="Close"/>
    <n v="1.4492753623188356E-2"/>
    <n v="1"/>
    <n v="0"/>
    <m/>
  </r>
  <r>
    <n v="1764"/>
    <n v="2025"/>
    <n v="2024"/>
    <s v="Year_2"/>
    <d v="2024-05-13T00:00:00"/>
    <s v="KUD01"/>
    <s v="O2R1"/>
    <s v="KSIPL"/>
    <n v="4.3478260869565223E-2"/>
    <n v="3273"/>
    <x v="35"/>
    <s v="YawUntwistCCW: Code 6,    540Â°"/>
    <s v="Breakdown"/>
    <d v="1899-12-30T05:58:53"/>
    <d v="1899-12-30T05:58:53"/>
    <d v="1899-12-30T06:25:50"/>
    <d v="1899-12-30T00:00:00"/>
    <n v="0.44916666666666694"/>
    <n v="0.44916666666666694"/>
    <s v="Turbine self cable Twist release"/>
    <s v="Close"/>
    <n v="1.9528985507246389E-2"/>
    <n v="1"/>
    <n v="0.26"/>
    <m/>
  </r>
  <r>
    <n v="1765"/>
    <n v="2025"/>
    <n v="2024"/>
    <s v="Year_2"/>
    <d v="2024-05-13T00:00:00"/>
    <s v="KUD01"/>
    <s v="O2R1"/>
    <s v="KSIPL"/>
    <n v="4.3478260869565223E-2"/>
    <n v="4034"/>
    <x v="173"/>
    <s v="SafetySystem Hub Error"/>
    <s v="Breakdown"/>
    <d v="1899-12-30T12:27:18"/>
    <d v="1899-12-30T12:27:18"/>
    <d v="1899-12-30T18:03:58"/>
    <d v="1899-12-30T00:00:00"/>
    <n v="5.6111111111111107"/>
    <n v="5.6111111111111107"/>
    <s v="Found Hub Pilz malfunction and CAN contoller cable loose condition then tightened after repeated error checked AGO2 replaced and Thristors interchanged"/>
    <s v="Close"/>
    <n v="0.24396135265700486"/>
    <n v="1"/>
    <n v="0"/>
    <m/>
  </r>
  <r>
    <n v="1766"/>
    <n v="2025"/>
    <n v="2024"/>
    <s v="Year_2"/>
    <d v="2024-05-13T00:00:00"/>
    <s v="KUD01"/>
    <s v="O2R1"/>
    <s v="KSIPL"/>
    <n v="4.3478260869565223E-2"/>
    <n v="450"/>
    <x v="127"/>
    <s v="Ext. High I sum Grd inv."/>
    <s v="Breakdown"/>
    <d v="1899-12-30T22:43:15"/>
    <d v="1899-12-30T22:43:15"/>
    <d v="1899-12-30T22:52:30"/>
    <d v="1899-12-30T00:00:00"/>
    <n v="0.15416666666666679"/>
    <n v="0.15416666666666679"/>
    <s v="Auto reset"/>
    <s v="Close"/>
    <n v="6.7028985507246435E-3"/>
    <n v="1"/>
    <n v="0"/>
    <m/>
  </r>
  <r>
    <n v="1767"/>
    <n v="2025"/>
    <n v="2024"/>
    <s v="Year_2"/>
    <d v="2024-05-13T00:00:00"/>
    <s v="KUD03"/>
    <s v="O2R1"/>
    <s v="KSIPL"/>
    <n v="4.3478260869565223E-2"/>
    <n v="3273"/>
    <x v="35"/>
    <s v="YawUntwistCCW: Code 6,    680Â°"/>
    <s v="Breakdown"/>
    <d v="1899-12-30T05:16:41"/>
    <d v="1899-12-30T05:16:41"/>
    <d v="1899-12-30T05:44:44"/>
    <d v="1899-12-30T00:00:00"/>
    <n v="0.4674999999999998"/>
    <n v="0.4674999999999998"/>
    <s v="Turbine self cable Twist release"/>
    <s v="Close"/>
    <n v="2.0326086956521734E-2"/>
    <n v="1"/>
    <n v="0.12"/>
    <m/>
  </r>
  <r>
    <n v="1768"/>
    <n v="2025"/>
    <n v="2024"/>
    <s v="Year_2"/>
    <d v="2024-05-13T00:00:00"/>
    <s v="KUD08"/>
    <s v="O2R3"/>
    <s v="JK"/>
    <n v="4.3478260869565223E-2"/>
    <n v="3273"/>
    <x v="35"/>
    <s v="YawUntwistCCW: Code 6,    540Â°"/>
    <s v="Breakdown"/>
    <d v="1899-12-30T06:59:00"/>
    <d v="1899-12-30T06:59:00"/>
    <d v="1899-12-30T07:19:00"/>
    <d v="1899-12-30T00:00:00"/>
    <n v="0.33333333333333348"/>
    <n v="0.33333333333333348"/>
    <s v="Turbine self cable Twist release"/>
    <s v="Close"/>
    <n v="1.4492753623188415E-2"/>
    <n v="1"/>
    <n v="0.24"/>
    <m/>
  </r>
  <r>
    <n v="1769"/>
    <n v="2025"/>
    <n v="2024"/>
    <s v="Year_2"/>
    <d v="2024-05-13T00:00:00"/>
    <s v="KUD08"/>
    <s v="O2R3"/>
    <s v="JK"/>
    <n v="4.3478260869565223E-2"/>
    <n v="5068"/>
    <x v="119"/>
    <s v="Pitch pos B meas. signal fault"/>
    <s v="Breakdown"/>
    <d v="1899-12-30T07:38:00"/>
    <d v="1899-12-30T07:38:00"/>
    <d v="1899-12-30T08:01:00"/>
    <d v="1899-12-30T00:00:00"/>
    <n v="0.3833333333333333"/>
    <n v="0.3833333333333333"/>
    <s v="Remote hard reboot done"/>
    <s v="Close"/>
    <n v="1.6666666666666666E-2"/>
    <n v="1"/>
    <n v="0"/>
    <m/>
  </r>
  <r>
    <n v="1770"/>
    <n v="2025"/>
    <n v="2024"/>
    <s v="Year_2"/>
    <d v="2024-05-13T00:00:00"/>
    <s v="KUD08"/>
    <s v="O2R3"/>
    <s v="JK"/>
    <n v="4.3478260869565223E-2"/>
    <n v="5068"/>
    <x v="119"/>
    <s v="Pitch pos B meas. signal fault"/>
    <s v="Breakdown"/>
    <d v="1899-12-30T12:26:49"/>
    <d v="1899-12-30T12:26:49"/>
    <d v="1899-12-30T12:39:50"/>
    <d v="1899-12-30T00:00:00"/>
    <n v="0.21694444444444549"/>
    <n v="0.21694444444444549"/>
    <s v="Remote hard reboot done"/>
    <s v="Close"/>
    <n v="9.4323671497585013E-3"/>
    <n v="1"/>
    <n v="0"/>
    <m/>
  </r>
  <r>
    <n v="1771"/>
    <n v="2025"/>
    <n v="2024"/>
    <s v="Year_2"/>
    <d v="2024-05-13T00:00:00"/>
    <s v="KUD10"/>
    <s v="O2R1"/>
    <s v="KSIPL"/>
    <n v="4.3478260869565223E-2"/>
    <n v="3273"/>
    <x v="35"/>
    <s v="YawUntwistCCW: Code 6,    540Â°"/>
    <s v="Breakdown"/>
    <d v="1899-12-30T02:03:29"/>
    <d v="1899-12-30T02:03:29"/>
    <d v="1899-12-30T02:31:11"/>
    <d v="1899-12-30T00:00:00"/>
    <n v="0.46166666666666689"/>
    <n v="0.46166666666666689"/>
    <s v="Turbine self cable Twist release"/>
    <s v="Close"/>
    <n v="2.0072463768115955E-2"/>
    <n v="1"/>
    <n v="0.31"/>
    <m/>
  </r>
  <r>
    <n v="1772"/>
    <n v="2025"/>
    <n v="2024"/>
    <s v="Year_2"/>
    <d v="2024-05-13T00:00:00"/>
    <s v="KUD10"/>
    <s v="O2R1"/>
    <s v="KSIPL"/>
    <n v="4.3478260869565223E-2"/>
    <n v="82"/>
    <x v="174"/>
    <s v="Pitch C ref:18.2Â°, Act.:16.7Â°"/>
    <s v="Breakdown"/>
    <d v="1899-12-30T05:21:59"/>
    <d v="1899-12-30T05:21:59"/>
    <d v="1899-12-30T05:30:12"/>
    <d v="1899-12-30T00:00:00"/>
    <n v="0.13694444444444498"/>
    <n v="0.13694444444444498"/>
    <s v="Remote reset done"/>
    <s v="Close"/>
    <n v="5.9541062801932608E-3"/>
    <n v="1"/>
    <n v="0"/>
    <m/>
  </r>
  <r>
    <n v="1773"/>
    <n v="2025"/>
    <n v="2024"/>
    <s v="Year_2"/>
    <d v="2024-05-13T00:00:00"/>
    <s v="KUD10"/>
    <s v="O2R1"/>
    <s v="KSIPL"/>
    <n v="4.3478260869565223E-2"/>
    <n v="3273"/>
    <x v="35"/>
    <s v="YawUntwistCCW: Code 6,    540Â°"/>
    <s v="Breakdown"/>
    <d v="1899-12-30T06:57:00"/>
    <d v="1899-12-30T06:57:00"/>
    <d v="1899-12-30T07:19:00"/>
    <d v="1899-12-30T00:00:00"/>
    <n v="0.3666666666666667"/>
    <n v="0.3666666666666667"/>
    <s v="Turbine self cable Twist release"/>
    <s v="Close"/>
    <n v="1.5942028985507249E-2"/>
    <n v="1"/>
    <n v="0"/>
    <m/>
  </r>
  <r>
    <n v="1774"/>
    <n v="2025"/>
    <n v="2024"/>
    <s v="Year_2"/>
    <d v="2024-05-13T00:00:00"/>
    <s v="KUD12"/>
    <s v="O2R1"/>
    <s v="KSIPL"/>
    <n v="4.3478260869565223E-2"/>
    <n v="4560"/>
    <x v="161"/>
    <s v="BladeCEdgePeakLoad:   0.00 kNm"/>
    <s v="Breakdown"/>
    <d v="1899-12-30T02:09:44"/>
    <d v="1899-12-30T02:09:44"/>
    <d v="1899-12-30T08:51:59"/>
    <d v="1899-12-30T00:00:00"/>
    <n v="6.7041666666666657"/>
    <n v="6.7041666666666657"/>
    <s v="Found Blade load sensor connector loose condition after blade load calibration test taken."/>
    <s v="Close"/>
    <n v="0.29148550724637678"/>
    <n v="1"/>
    <n v="3.27"/>
    <m/>
  </r>
  <r>
    <n v="1775"/>
    <n v="2025"/>
    <n v="2024"/>
    <s v="Year_2"/>
    <d v="2024-05-13T00:00:00"/>
    <s v="KUD13"/>
    <s v="O2R1"/>
    <s v="KSIPL"/>
    <n v="4.3478260869565223E-2"/>
    <n v="3273"/>
    <x v="35"/>
    <s v="YawUntwistCCW: Code 6,    576Â°"/>
    <s v="Breakdown"/>
    <d v="1899-12-30T09:47:56"/>
    <d v="1899-12-30T09:47:56"/>
    <d v="1899-12-30T10:14:59"/>
    <d v="1899-12-30T00:00:00"/>
    <n v="0.4508333333333332"/>
    <n v="0.4508333333333332"/>
    <s v="Turbine self cable Twist release"/>
    <s v="Close"/>
    <n v="1.9601449275362316E-2"/>
    <n v="1"/>
    <n v="0.23"/>
    <m/>
  </r>
  <r>
    <n v="1776"/>
    <n v="2025"/>
    <n v="2024"/>
    <s v="Year_2"/>
    <d v="2024-05-13T00:00:00"/>
    <s v="KUD14"/>
    <s v="O2R1"/>
    <s v="KSIPL"/>
    <n v="4.3478260869565223E-2"/>
    <n v="3273"/>
    <x v="35"/>
    <s v="YawUntwistCCW: Code 6,    540Â°"/>
    <s v="Breakdown"/>
    <d v="1899-12-30T15:57:31"/>
    <d v="1899-12-30T15:57:31"/>
    <d v="1899-12-30T16:19:54"/>
    <d v="1899-12-30T00:00:00"/>
    <n v="0.37305555555555614"/>
    <n v="0.37305555555555614"/>
    <s v="Turbine self cable Twist release"/>
    <s v="Close"/>
    <n v="1.6219806763285053E-2"/>
    <n v="1"/>
    <n v="0.18"/>
    <m/>
  </r>
  <r>
    <n v="1777"/>
    <n v="2025"/>
    <n v="2024"/>
    <s v="Year_2"/>
    <d v="2024-05-13T00:00:00"/>
    <s v="KUD15"/>
    <s v="O2R1"/>
    <s v="KSIPL"/>
    <n v="4.3478260869565223E-2"/>
    <n v="3273"/>
    <x v="35"/>
    <s v="YawUntwistCCW: Code 6,    540Â°"/>
    <s v="Breakdown"/>
    <d v="1899-12-30T05:59:24"/>
    <d v="1899-12-30T05:59:24"/>
    <d v="1899-12-30T06:24:59"/>
    <d v="1899-12-30T00:00:00"/>
    <n v="0.42638888888888848"/>
    <n v="0.42638888888888848"/>
    <s v="Turbine self cable Twist release"/>
    <s v="Close"/>
    <n v="1.8538647342995155E-2"/>
    <n v="1"/>
    <n v="0.5"/>
    <m/>
  </r>
  <r>
    <n v="1778"/>
    <n v="2025"/>
    <n v="2024"/>
    <s v="Year_2"/>
    <d v="2024-05-13T00:00:00"/>
    <s v="KUD15"/>
    <s v="O2R1"/>
    <s v="KSIPL"/>
    <n v="4.3478260869565223E-2"/>
    <n v="707"/>
    <x v="121"/>
    <s v="Ch hardware error C0"/>
    <s v="Breakdown"/>
    <d v="1899-12-30T12:38:58"/>
    <d v="1899-12-30T12:38:58"/>
    <d v="1899-12-30T13:59:04"/>
    <d v="1899-12-30T00:00:00"/>
    <n v="1.3350000000000009"/>
    <n v="1.3350000000000009"/>
    <s v="Manual reset done"/>
    <s v="Close"/>
    <n v="5.8043478260869613E-2"/>
    <n v="1"/>
    <n v="0"/>
    <m/>
  </r>
  <r>
    <n v="1779"/>
    <n v="2025"/>
    <n v="2024"/>
    <s v="Year_2"/>
    <d v="2024-05-13T00:00:00"/>
    <s v="KUD19"/>
    <s v="O2R1"/>
    <s v="KSIPL"/>
    <n v="4.3478260869565223E-2"/>
    <n v="3273"/>
    <x v="35"/>
    <s v="YawUntwistCCW: Code 6,    807Â°"/>
    <s v="Breakdown"/>
    <d v="1899-12-30T04:56:41"/>
    <d v="1899-12-30T04:56:41"/>
    <d v="1899-12-30T05:27:38"/>
    <d v="1899-12-30T00:00:00"/>
    <n v="0.51583333333333337"/>
    <n v="0.51583333333333337"/>
    <s v="Turbine self cable Twist release"/>
    <s v="Close"/>
    <n v="2.2427536231884062E-2"/>
    <n v="1"/>
    <n v="0.39"/>
    <m/>
  </r>
  <r>
    <n v="1780"/>
    <n v="2025"/>
    <n v="2024"/>
    <s v="Year_2"/>
    <d v="2024-05-13T00:00:00"/>
    <s v="KUD20"/>
    <s v="O2R1"/>
    <s v="KSIPL"/>
    <n v="4.3478260869565223E-2"/>
    <n v="3272"/>
    <x v="143"/>
    <s v="YawUntwistCW: Code 3,-000540Â°"/>
    <s v="Breakdown"/>
    <d v="1899-12-30T08:45:37"/>
    <d v="1899-12-30T08:45:37"/>
    <d v="1899-12-30T09:07:19"/>
    <d v="1899-12-30T00:00:00"/>
    <n v="0.36166666666666591"/>
    <n v="0.36166666666666591"/>
    <s v="Turbine self cable Twist release"/>
    <s v="Close"/>
    <n v="1.5724637681159389E-2"/>
    <n v="1"/>
    <n v="0.08"/>
    <m/>
  </r>
  <r>
    <n v="1781"/>
    <n v="2025"/>
    <n v="2024"/>
    <s v="Year_2"/>
    <d v="2024-05-13T00:00:00"/>
    <s v="KUD02"/>
    <s v="O2R3"/>
    <s v="JK"/>
    <n v="4.3478260869565223E-2"/>
    <n v="3273"/>
    <x v="35"/>
    <s v="YawUntwistCCW: Code 5,    540Â°"/>
    <s v="Breakdown"/>
    <d v="1899-12-30T06:57:15"/>
    <d v="1899-12-30T06:57:15"/>
    <d v="1899-12-30T07:23:49"/>
    <d v="1899-12-30T00:00:00"/>
    <n v="0.44277777777777816"/>
    <n v="0.44277777777777816"/>
    <s v="Turbine self cable Twist release"/>
    <s v="Close"/>
    <n v="1.9251207729468617E-2"/>
    <n v="1"/>
    <n v="0.28999999999999998"/>
    <m/>
  </r>
  <r>
    <n v="1782"/>
    <n v="2025"/>
    <n v="2024"/>
    <s v="Year_2"/>
    <d v="2024-05-13T00:00:00"/>
    <s v="KUD07"/>
    <s v="O2R3"/>
    <s v="JK"/>
    <n v="4.3478260869565223E-2"/>
    <n v="3273"/>
    <x v="35"/>
    <s v="YawUntwistCCW: Code 6,    601Â°"/>
    <s v="Breakdown"/>
    <d v="1899-12-30T07:11:55"/>
    <d v="1899-12-30T07:11:55"/>
    <d v="1899-12-30T07:34:24"/>
    <d v="1899-12-30T00:00:00"/>
    <n v="0.37472222222222173"/>
    <n v="0.37472222222222173"/>
    <s v="Turbine self cable Twist release"/>
    <s v="Close"/>
    <n v="1.6292270531400949E-2"/>
    <n v="1"/>
    <n v="0.13"/>
    <m/>
  </r>
  <r>
    <n v="1783"/>
    <n v="2025"/>
    <n v="2024"/>
    <s v="Year_2"/>
    <d v="2024-05-13T00:00:00"/>
    <s v="KUD09"/>
    <s v="O2R3"/>
    <s v="JK"/>
    <n v="4.3478260869565223E-2"/>
    <n v="3273"/>
    <x v="35"/>
    <s v="YawUntwistCCW: Code 5,    540Â°"/>
    <s v="Breakdown"/>
    <d v="1899-12-30T07:07:29"/>
    <d v="1899-12-30T07:07:29"/>
    <d v="1899-12-30T07:34:08"/>
    <d v="1899-12-30T00:00:00"/>
    <n v="0.44416666666666682"/>
    <n v="0.44416666666666682"/>
    <s v="Turbine self cable Twist release"/>
    <s v="Close"/>
    <n v="1.931159420289856E-2"/>
    <n v="1"/>
    <n v="0.34"/>
    <m/>
  </r>
  <r>
    <n v="1784"/>
    <n v="2025"/>
    <n v="2024"/>
    <s v="Year_2"/>
    <d v="2024-05-13T00:00:00"/>
    <s v="KUD15"/>
    <s v="O2R1"/>
    <s v="KSIPL"/>
    <n v="4.3478260869565223E-2"/>
    <n v="3273"/>
    <x v="35"/>
    <s v="YawUntwistCCW: Code 6,    540Â°"/>
    <s v="Breakdown"/>
    <d v="1899-12-30T05:59:24"/>
    <d v="1899-12-30T05:59:24"/>
    <d v="1899-12-30T06:24:59"/>
    <d v="1899-12-30T00:00:00"/>
    <n v="0.42638888888888848"/>
    <n v="0.42638888888888848"/>
    <s v="Turbine self cable Twist release"/>
    <s v="Close"/>
    <n v="1.8538647342995155E-2"/>
    <n v="1"/>
    <n v="0.5"/>
    <m/>
  </r>
  <r>
    <n v="1785"/>
    <n v="2025"/>
    <n v="2024"/>
    <s v="Year_2"/>
    <d v="2024-05-13T00:00:00"/>
    <s v="KUD16"/>
    <s v="O2R2"/>
    <s v="SIL"/>
    <n v="4.3478260869565223E-2"/>
    <n v="3273"/>
    <x v="35"/>
    <s v="YawUntwistCCW: Code 6,    715Â°"/>
    <s v="Breakdown"/>
    <d v="1899-12-30T04:56:29"/>
    <d v="1899-12-30T04:56:29"/>
    <d v="1899-12-30T05:24:00"/>
    <d v="1899-12-30T00:00:00"/>
    <n v="0.4586111111111113"/>
    <n v="0.4586111111111113"/>
    <s v="Turbine self cable Twist release"/>
    <s v="Close"/>
    <n v="1.993961352657006E-2"/>
    <n v="1"/>
    <n v="0.21"/>
    <m/>
  </r>
  <r>
    <n v="1786"/>
    <n v="2025"/>
    <n v="2024"/>
    <s v="Year_2"/>
    <d v="2024-05-13T00:00:00"/>
    <s v="KUD17"/>
    <s v="O2R2"/>
    <s v="SIL"/>
    <n v="4.3478260869565223E-2"/>
    <n v="3273"/>
    <x v="35"/>
    <s v="YawUntwistCCW: Code 6,    789Â°"/>
    <s v="Breakdown"/>
    <d v="1899-12-30T05:11:22"/>
    <d v="1899-12-30T05:11:22"/>
    <d v="1899-12-30T05:41:32"/>
    <d v="1899-12-30T00:00:00"/>
    <n v="0.50277777777777755"/>
    <n v="0.50277777777777755"/>
    <s v="Turbine self cable Twist release"/>
    <s v="Close"/>
    <n v="2.1859903381642506E-2"/>
    <n v="1"/>
    <n v="0.03"/>
    <m/>
  </r>
  <r>
    <n v="1787"/>
    <n v="2025"/>
    <n v="2024"/>
    <s v="Year_2"/>
    <d v="2024-05-13T00:00:00"/>
    <s v="KUD18"/>
    <s v="O2R4"/>
    <s v="SGDCIPL"/>
    <n v="4.3478260869565223E-2"/>
    <n v="3273"/>
    <x v="35"/>
    <s v="YawUntwistCCW: Code 6,    540Â°"/>
    <s v="Breakdown"/>
    <d v="1899-12-30T06:59:52"/>
    <d v="1899-12-30T06:59:52"/>
    <d v="1899-12-30T07:26:07"/>
    <d v="1899-12-30T00:00:00"/>
    <n v="0.43749999999999911"/>
    <n v="0.43749999999999911"/>
    <s v="Turbine self cable Twist release"/>
    <s v="Close"/>
    <n v="1.9021739130434746E-2"/>
    <n v="1"/>
    <n v="0.28999999999999998"/>
    <m/>
  </r>
  <r>
    <n v="1788"/>
    <n v="2025"/>
    <n v="2024"/>
    <s v="Year_2"/>
    <d v="2024-05-13T00:00:00"/>
    <s v="KUD22"/>
    <s v="O2R3"/>
    <s v="JK"/>
    <n v="4.3478260869565223E-2"/>
    <n v="3273"/>
    <x v="35"/>
    <s v="YawUntwistCCW: Code 6,    540Â°"/>
    <s v="Breakdown"/>
    <d v="1899-12-30T04:56:57"/>
    <d v="1899-12-30T04:56:57"/>
    <d v="1899-12-30T05:26:17"/>
    <d v="1899-12-30T00:00:00"/>
    <n v="0.48888888888888893"/>
    <n v="0.48888888888888893"/>
    <s v="Turbine self cable Twist release"/>
    <s v="Close"/>
    <n v="2.1256038647343E-2"/>
    <n v="1"/>
    <n v="0.22"/>
    <m/>
  </r>
  <r>
    <n v="1789"/>
    <n v="2025"/>
    <n v="2024"/>
    <s v="Year_2"/>
    <d v="2024-05-13T00:00:00"/>
    <s v="KUD22"/>
    <s v="O2R3"/>
    <s v="JK"/>
    <n v="4.3478260869565223E-2"/>
    <n v="693"/>
    <x v="157"/>
    <s v="SignalError-PAUSE  2289,    3"/>
    <s v="Breakdown"/>
    <d v="1899-12-30T05:26:42"/>
    <d v="1899-12-30T05:26:42"/>
    <d v="1899-12-30T05:41:42"/>
    <d v="1899-12-30T00:00:00"/>
    <n v="0.25000000000000044"/>
    <n v="0.25000000000000044"/>
    <s v="Remote reset done"/>
    <s v="Close"/>
    <n v="1.0869565217391325E-2"/>
    <n v="1"/>
    <n v="0"/>
    <m/>
  </r>
  <r>
    <n v="1790"/>
    <n v="2025"/>
    <n v="2024"/>
    <s v="Year_2"/>
    <d v="2024-05-13T00:00:00"/>
    <s v="KUD23"/>
    <s v="O2R3"/>
    <s v="JK"/>
    <n v="4.3478260869565223E-2"/>
    <n v="3273"/>
    <x v="35"/>
    <s v="YawUntwistCCW: Code 6,    575Â°"/>
    <s v="Breakdown"/>
    <d v="1899-12-30T05:40:33"/>
    <d v="1899-12-30T05:40:33"/>
    <d v="1899-12-30T06:08:15"/>
    <d v="1899-12-30T00:00:00"/>
    <n v="0.46166666666666689"/>
    <n v="0.46166666666666689"/>
    <s v="Turbine self cable Twist release"/>
    <s v="Close"/>
    <n v="2.0072463768115955E-2"/>
    <n v="1"/>
    <n v="0.11"/>
    <m/>
  </r>
  <r>
    <n v="1791"/>
    <n v="2025"/>
    <n v="2024"/>
    <s v="Year_2"/>
    <d v="2024-05-13T00:00:00"/>
    <s v="KUD06"/>
    <s v="O2R3"/>
    <s v="JK"/>
    <n v="4.3478260869565223E-2"/>
    <n v="987"/>
    <x v="77"/>
    <s v="Thermoerror Waterpump"/>
    <s v="Breakdown"/>
    <d v="1899-12-30T06:20:00"/>
    <d v="1899-12-30T06:20:00"/>
    <d v="1899-12-30T08:42:00"/>
    <d v="1899-12-30T00:00:00"/>
    <n v="2.3666666666666663"/>
    <n v="2.3666666666666663"/>
    <s v="Generator cooling fan supply fuse failure so replaced then restored"/>
    <s v="Close"/>
    <n v="0.10289855072463767"/>
    <n v="1"/>
    <n v="2.37"/>
    <m/>
  </r>
  <r>
    <n v="1792"/>
    <n v="2025"/>
    <n v="2024"/>
    <s v="Year_2"/>
    <d v="2024-05-14T00:00:00"/>
    <s v="KUD05"/>
    <s v="O2R3"/>
    <s v="JK"/>
    <n v="4.3478260869565223E-2"/>
    <n v="3209"/>
    <x v="101"/>
    <s v="YawSignals Invalid"/>
    <s v="Breakdown"/>
    <d v="1899-12-30T07:48:49"/>
    <d v="1899-12-30T07:48:49"/>
    <d v="1899-12-30T08:02:46"/>
    <d v="1899-12-30T00:00:00"/>
    <n v="0.23250000000000037"/>
    <n v="0.23250000000000037"/>
    <s v="Remote reset done"/>
    <s v="Close"/>
    <n v="1.010869565217393E-2"/>
    <n v="1"/>
    <n v="0"/>
    <m/>
  </r>
  <r>
    <n v="1793"/>
    <n v="2025"/>
    <n v="2024"/>
    <s v="Year_2"/>
    <d v="2024-05-14T00:00:00"/>
    <s v="KUD12"/>
    <s v="O2R1"/>
    <s v="KSIPL"/>
    <n v="4.3478260869565223E-2"/>
    <n v="3273"/>
    <x v="35"/>
    <s v="YawUntwistCCW: Code 6,    554Â°"/>
    <s v="Breakdown"/>
    <d v="1899-12-30T18:19:35"/>
    <d v="1899-12-30T18:19:35"/>
    <d v="1899-12-30T18:46:50"/>
    <d v="1899-12-30T00:00:00"/>
    <n v="0.45416666666666572"/>
    <n v="0.45416666666666572"/>
    <s v="Turbine self cable Twist release"/>
    <s v="Close"/>
    <n v="1.9746376811594163E-2"/>
    <n v="1"/>
    <n v="0"/>
    <m/>
  </r>
  <r>
    <n v="1794"/>
    <n v="2025"/>
    <n v="2024"/>
    <s v="Year_2"/>
    <d v="2024-05-14T00:00:00"/>
    <s v="KUD15"/>
    <s v="O2R1"/>
    <s v="KSIPL"/>
    <n v="4.3478260869565223E-2"/>
    <n v="3296"/>
    <x v="46"/>
    <s v="Yaw To Nacelle Position Reset"/>
    <s v="Breakdown"/>
    <d v="1899-12-30T07:29:31"/>
    <d v="1899-12-30T07:29:31"/>
    <d v="1899-12-30T07:44:39"/>
    <d v="1899-12-30T00:00:00"/>
    <n v="0.25222222222222124"/>
    <n v="0.25222222222222124"/>
    <s v="Turbine self cable Twist release"/>
    <s v="Close"/>
    <n v="1.0966183574879185E-2"/>
    <n v="1"/>
    <n v="0"/>
    <m/>
  </r>
  <r>
    <n v="1795"/>
    <n v="2025"/>
    <n v="2024"/>
    <s v="Year_2"/>
    <d v="2024-05-14T00:00:00"/>
    <s v="KUD18"/>
    <s v="O2R4"/>
    <s v="SGDCIPL"/>
    <n v="4.3478260869565223E-2"/>
    <n v="3209"/>
    <x v="101"/>
    <s v="YawSignals Invalid"/>
    <s v="Breakdown"/>
    <d v="1899-12-30T07:36:20"/>
    <d v="1899-12-30T07:36:20"/>
    <d v="1899-12-30T07:38:46"/>
    <d v="1899-12-30T00:00:00"/>
    <n v="4.0555555555556122E-2"/>
    <n v="4.0555555555556122E-2"/>
    <s v="Remote reset done"/>
    <s v="Close"/>
    <n v="1.7632850241546141E-3"/>
    <n v="1"/>
    <n v="0"/>
    <m/>
  </r>
  <r>
    <n v="1796"/>
    <n v="2025"/>
    <n v="2024"/>
    <s v="Year_2"/>
    <d v="2024-05-14T00:00:00"/>
    <s v="KUD19"/>
    <s v="O2R1"/>
    <s v="KSIPL"/>
    <n v="4.3478260869565223E-2"/>
    <n v="900"/>
    <x v="100"/>
    <s v="Pause pressed on keyboard"/>
    <s v="Manual Stop"/>
    <d v="1899-12-30T09:52:44"/>
    <d v="1899-12-30T09:52:44"/>
    <d v="1899-12-30T18:20:52"/>
    <d v="1899-12-30T00:00:00"/>
    <n v="8.4688888888888894"/>
    <n v="8.4688888888888894"/>
    <s v="1 Year scheduled service day2 work done"/>
    <s v="Close"/>
    <n v="0.36821256038647349"/>
    <n v="1"/>
    <n v="0.6"/>
    <m/>
  </r>
  <r>
    <n v="1797"/>
    <n v="2025"/>
    <n v="2024"/>
    <s v="Year_2"/>
    <d v="2024-05-15T00:00:00"/>
    <s v="KUD01"/>
    <s v="O2R1"/>
    <s v="KSIPL"/>
    <n v="4.3478260869565223E-2"/>
    <n v="3273"/>
    <x v="35"/>
    <s v="YawUntwistCCW: Code 6,    669Â°"/>
    <s v="Breakdown"/>
    <d v="1899-12-30T08:43:38"/>
    <d v="1899-12-30T08:43:38"/>
    <d v="1899-12-30T09:14:10"/>
    <d v="1899-12-30T00:00:00"/>
    <n v="0.50888888888888939"/>
    <n v="0.50888888888888939"/>
    <s v="Turbine self cable Twist release"/>
    <s v="Close"/>
    <n v="2.2125603864734323E-2"/>
    <n v="1"/>
    <n v="0.09"/>
    <m/>
  </r>
  <r>
    <n v="1798"/>
    <n v="2025"/>
    <n v="2024"/>
    <s v="Year_2"/>
    <d v="2024-05-15T00:00:00"/>
    <s v="KUD01"/>
    <s v="O2R1"/>
    <s v="KSIPL"/>
    <n v="4.3478260869565223E-2"/>
    <n v="450"/>
    <x v="127"/>
    <s v="Ext. High I sum Grd inv."/>
    <s v="Breakdown"/>
    <d v="1899-12-30T18:48:43"/>
    <d v="1899-12-30T18:48:43"/>
    <d v="1899-12-30T18:57:24"/>
    <d v="1899-12-30T00:00:00"/>
    <n v="0.14472222222222175"/>
    <n v="0.14472222222222175"/>
    <s v="Auto reset"/>
    <s v="Close"/>
    <n v="6.2922705314009467E-3"/>
    <n v="1"/>
    <n v="0"/>
    <m/>
  </r>
  <r>
    <n v="1799"/>
    <n v="2025"/>
    <n v="2024"/>
    <s v="Year_2"/>
    <d v="2024-05-15T00:00:00"/>
    <s v="KUD02"/>
    <s v="O2R3"/>
    <s v="JK"/>
    <n v="4.3478260869565223E-2"/>
    <n v="3273"/>
    <x v="35"/>
    <s v="YawUntwistCCW: Code 6,    588Â°"/>
    <s v="Breakdown"/>
    <d v="1899-12-30T12:40:25"/>
    <d v="1899-12-30T12:40:25"/>
    <d v="1899-12-30T13:10:00"/>
    <d v="1899-12-30T00:00:00"/>
    <n v="0.49305555555555625"/>
    <n v="0.49305555555555625"/>
    <s v="Turbine self cable Twist release"/>
    <s v="Close"/>
    <n v="2.1437198067632883E-2"/>
    <n v="1"/>
    <n v="0.06"/>
    <m/>
  </r>
  <r>
    <n v="1800"/>
    <n v="2025"/>
    <n v="2024"/>
    <s v="Year_2"/>
    <d v="2024-05-15T00:00:00"/>
    <s v="KUD04"/>
    <s v="O2R3"/>
    <s v="JK"/>
    <n v="4.3478260869565223E-2"/>
    <n v="3273"/>
    <x v="35"/>
    <s v="YawUntwistCCW: Code 5,    540Â°"/>
    <s v="Breakdown"/>
    <d v="1899-12-30T12:46:02"/>
    <d v="1899-12-30T12:46:02"/>
    <d v="1899-12-30T13:06:19"/>
    <d v="1899-12-30T00:00:00"/>
    <n v="0.33805555555555333"/>
    <n v="0.33805555555555333"/>
    <s v="Turbine self cable Twist release"/>
    <s v="Close"/>
    <n v="1.4698067632850148E-2"/>
    <n v="1"/>
    <n v="0.02"/>
    <m/>
  </r>
  <r>
    <n v="1801"/>
    <n v="2025"/>
    <n v="2024"/>
    <s v="Year_2"/>
    <d v="2024-05-15T00:00:00"/>
    <s v="KUD03"/>
    <s v="O2R1"/>
    <s v="KSIPL"/>
    <n v="4.3478260869565223E-2"/>
    <n v="3273"/>
    <x v="35"/>
    <s v="YawUntwistCCW: Code 6,    837Â°"/>
    <s v="Breakdown"/>
    <d v="1899-12-30T13:13:56"/>
    <d v="1899-12-30T13:13:56"/>
    <d v="1899-12-30T13:47:45"/>
    <d v="1899-12-30T00:00:00"/>
    <n v="0.56361111111111306"/>
    <n v="0.56361111111111306"/>
    <s v="Turbine self cable Twist release"/>
    <s v="Close"/>
    <n v="2.4504830917874483E-2"/>
    <n v="1"/>
    <n v="0.01"/>
    <m/>
  </r>
  <r>
    <n v="1802"/>
    <n v="2025"/>
    <n v="2024"/>
    <s v="Year_2"/>
    <d v="2024-05-15T00:00:00"/>
    <s v="KUD05"/>
    <s v="O2R3"/>
    <s v="JK"/>
    <n v="4.3478260869565223E-2"/>
    <n v="3273"/>
    <x v="35"/>
    <s v="YawUntwistCCW: Code 6,    693Â°"/>
    <s v="Breakdown"/>
    <d v="1899-12-30T08:23:35"/>
    <d v="1899-12-30T08:23:35"/>
    <d v="1899-12-30T08:52:56"/>
    <d v="1899-12-30T00:00:00"/>
    <n v="0.48916666666666586"/>
    <n v="0.48916666666666586"/>
    <s v="Turbine self cable Twist release"/>
    <s v="Close"/>
    <n v="2.1268115942028952E-2"/>
    <n v="1"/>
    <n v="0.02"/>
    <m/>
  </r>
  <r>
    <n v="1803"/>
    <n v="2025"/>
    <n v="2024"/>
    <s v="Year_2"/>
    <d v="2024-05-15T00:00:00"/>
    <s v="KUD06"/>
    <s v="O2R3"/>
    <s v="JK"/>
    <n v="4.3478260869565223E-2"/>
    <n v="3273"/>
    <x v="35"/>
    <s v="YawUntwistCCW: Code 6,    647Â°"/>
    <s v="Breakdown"/>
    <d v="1899-12-30T12:22:40"/>
    <d v="1899-12-30T12:22:40"/>
    <d v="1899-12-30T12:50:38"/>
    <d v="1899-12-30T00:00:00"/>
    <n v="0.46611111111111114"/>
    <n v="0.46611111111111114"/>
    <s v="Turbine self cable Twist release"/>
    <s v="Close"/>
    <n v="2.026570048309179E-2"/>
    <n v="1"/>
    <n v="0.05"/>
    <m/>
  </r>
  <r>
    <n v="1804"/>
    <n v="2025"/>
    <n v="2024"/>
    <s v="Year_2"/>
    <d v="2024-05-15T00:00:00"/>
    <s v="KUD07"/>
    <s v="O2R3"/>
    <s v="JK"/>
    <n v="4.3478260869565223E-2"/>
    <n v="3273"/>
    <x v="35"/>
    <s v="YawUntwistCCW: Code 6,    540Â°"/>
    <s v="Breakdown"/>
    <d v="1899-12-30T07:25:33"/>
    <d v="1899-12-30T07:25:33"/>
    <d v="1899-12-30T07:52:34"/>
    <d v="1899-12-30T00:00:00"/>
    <n v="0.450277777777778"/>
    <n v="0.450277777777778"/>
    <s v="Turbine self cable Twist release"/>
    <s v="Close"/>
    <n v="1.957729468599035E-2"/>
    <n v="1"/>
    <n v="7.0000000000000007E-2"/>
    <m/>
  </r>
  <r>
    <n v="1805"/>
    <n v="2025"/>
    <n v="2024"/>
    <s v="Year_2"/>
    <d v="2024-05-15T00:00:00"/>
    <s v="KUD08"/>
    <s v="O2R3"/>
    <s v="JK"/>
    <n v="4.3478260869565223E-2"/>
    <n v="3273"/>
    <x v="35"/>
    <s v="YawUntwistCCW: Code 6,    599Â°"/>
    <s v="Breakdown"/>
    <d v="1899-12-30T08:55:00"/>
    <d v="1899-12-30T08:55:00"/>
    <d v="1899-12-30T09:23:50"/>
    <d v="1899-12-30T00:00:00"/>
    <n v="0.48055555555555562"/>
    <n v="0.48055555555555562"/>
    <s v="Turbine self cable Twist release"/>
    <s v="Close"/>
    <n v="2.089371980676329E-2"/>
    <n v="1"/>
    <n v="1.74"/>
    <m/>
  </r>
  <r>
    <n v="1806"/>
    <n v="2025"/>
    <n v="2024"/>
    <s v="Year_2"/>
    <d v="2024-05-15T00:00:00"/>
    <s v="KUD08"/>
    <s v="O2R3"/>
    <s v="JK"/>
    <n v="4.3478260869565223E-2"/>
    <n v="3633"/>
    <x v="21"/>
    <s v="Yaw System Stopped"/>
    <s v="Breakdown"/>
    <d v="1899-12-30T14:00:26"/>
    <d v="1899-12-30T14:00:26"/>
    <d v="1899-12-30T18:21:44"/>
    <d v="1899-12-30T00:00:00"/>
    <n v="4.3549999999999986"/>
    <n v="4.3549999999999986"/>
    <s v="Found Router ethernet was malfunction and reboot the router after restore the WTG."/>
    <s v="Close"/>
    <n v="0.18934782608695649"/>
    <n v="1"/>
    <n v="1.74"/>
    <m/>
  </r>
  <r>
    <n v="1807"/>
    <n v="2025"/>
    <n v="2024"/>
    <s v="Year_2"/>
    <d v="2024-05-15T00:00:00"/>
    <s v="KUD09"/>
    <s v="O2R3"/>
    <s v="JK"/>
    <n v="4.3478260869565223E-2"/>
    <n v="3273"/>
    <x v="35"/>
    <s v="YawUntwistCCW: Code 6,    577Â°"/>
    <s v="Breakdown"/>
    <d v="1899-12-30T08:16:04"/>
    <d v="1899-12-30T08:16:04"/>
    <d v="1899-12-30T08:44:27"/>
    <d v="1899-12-30T00:00:00"/>
    <n v="0.47305555555555445"/>
    <n v="0.47305555555555445"/>
    <s v="Turbine self cable Twist release"/>
    <s v="Close"/>
    <n v="2.0567632850241501E-2"/>
    <n v="1"/>
    <n v="0.11"/>
    <m/>
  </r>
  <r>
    <n v="1808"/>
    <n v="2025"/>
    <n v="2024"/>
    <s v="Year_2"/>
    <d v="2024-05-15T00:00:00"/>
    <s v="KUD10"/>
    <s v="O2R1"/>
    <s v="KSIPL"/>
    <n v="4.3478260869565223E-2"/>
    <n v="3273"/>
    <x v="35"/>
    <s v="YawUntwistCCW: Code 6,    579Â°"/>
    <s v="Breakdown"/>
    <d v="1899-12-30T13:16:24"/>
    <d v="1899-12-30T13:16:24"/>
    <d v="1899-12-30T13:38:32"/>
    <d v="1899-12-30T00:00:00"/>
    <n v="0.36888888888888882"/>
    <n v="0.36888888888888882"/>
    <s v="Turbine self cable Twist release"/>
    <s v="Close"/>
    <n v="1.6038647342995167E-2"/>
    <n v="1"/>
    <n v="0.1"/>
    <m/>
  </r>
  <r>
    <n v="1809"/>
    <n v="2025"/>
    <n v="2024"/>
    <s v="Year_2"/>
    <d v="2024-05-15T00:00:00"/>
    <s v="KUD12"/>
    <s v="O2R1"/>
    <s v="KSIPL"/>
    <n v="4.3478260869565223E-2"/>
    <n v="4560"/>
    <x v="161"/>
    <s v="BladeCEdgePeakLoad:   0.00 kNm"/>
    <s v="Breakdown"/>
    <d v="1899-12-30T03:31:27"/>
    <d v="1899-12-30T03:31:27"/>
    <d v="1899-12-30T05:11:56"/>
    <d v="1899-12-30T00:00:00"/>
    <n v="1.6747222222222224"/>
    <n v="1.6747222222222224"/>
    <s v="Blade load calibration test done and rstore the wtg."/>
    <s v="Close"/>
    <n v="7.2814009661835766E-2"/>
    <n v="1"/>
    <n v="1.63"/>
    <m/>
  </r>
  <r>
    <n v="1810"/>
    <n v="2025"/>
    <n v="2024"/>
    <s v="Year_2"/>
    <d v="2024-05-15T00:00:00"/>
    <s v="KUD12"/>
    <s v="O2R1"/>
    <s v="KSIPL"/>
    <n v="4.3478260869565223E-2"/>
    <n v="3273"/>
    <x v="35"/>
    <s v="YawUntwistCCW: Code 6,    558Â°"/>
    <s v="Breakdown"/>
    <d v="1899-12-30T08:35:43"/>
    <d v="1899-12-30T08:35:43"/>
    <d v="1899-12-30T09:04:28"/>
    <d v="1899-12-30T00:00:00"/>
    <n v="0.47916666666666696"/>
    <n v="0.47916666666666696"/>
    <s v="Turbine self cable Twist release"/>
    <s v="Close"/>
    <n v="2.083333333333335E-2"/>
    <n v="1"/>
    <n v="0"/>
    <m/>
  </r>
  <r>
    <n v="1811"/>
    <n v="2025"/>
    <n v="2024"/>
    <s v="Year_2"/>
    <d v="2024-05-15T00:00:00"/>
    <s v="KUD13"/>
    <s v="O2R1"/>
    <s v="KSIPL"/>
    <n v="4.3478260869565223E-2"/>
    <n v="3273"/>
    <x v="35"/>
    <s v="YawUntwistCCW: Code 6,    564Â°"/>
    <s v="Breakdown"/>
    <d v="1899-12-30T12:18:45"/>
    <d v="1899-12-30T12:18:45"/>
    <d v="1899-12-30T12:44:31"/>
    <d v="1899-12-30T00:00:00"/>
    <n v="0.42944444444444407"/>
    <n v="0.42944444444444407"/>
    <s v="Turbine self cable Twist release"/>
    <s v="Close"/>
    <n v="1.867149758454105E-2"/>
    <n v="1"/>
    <n v="0.04"/>
    <m/>
  </r>
  <r>
    <n v="1812"/>
    <n v="2025"/>
    <n v="2024"/>
    <s v="Year_2"/>
    <d v="2024-05-15T00:00:00"/>
    <s v="KUD16"/>
    <s v="O2R2"/>
    <s v="SIL"/>
    <n v="4.3478260869565223E-2"/>
    <n v="3273"/>
    <x v="35"/>
    <s v="YawUntwistCCW: Code 6,    540Â°"/>
    <s v="Breakdown"/>
    <d v="1899-12-30T07:56:07"/>
    <d v="1899-12-30T07:56:07"/>
    <d v="1899-12-30T08:24:09"/>
    <d v="1899-12-30T00:00:00"/>
    <n v="0.46722222222222154"/>
    <n v="0.46722222222222154"/>
    <s v="Turbine self cable Twist release"/>
    <s v="Close"/>
    <n v="2.0314009661835723E-2"/>
    <n v="1"/>
    <n v="0.02"/>
    <m/>
  </r>
  <r>
    <n v="1813"/>
    <n v="2025"/>
    <n v="2024"/>
    <s v="Year_2"/>
    <d v="2024-05-15T00:00:00"/>
    <s v="KUD17"/>
    <s v="O2R2"/>
    <s v="SIL"/>
    <n v="4.3478260869565223E-2"/>
    <n v="3273"/>
    <x v="35"/>
    <s v="YawUntwistCCW: Code 6,    601Â°"/>
    <s v="Breakdown"/>
    <d v="1899-12-30T12:41:40"/>
    <d v="1899-12-30T12:41:40"/>
    <d v="1899-12-30T13:12:11"/>
    <d v="1899-12-30T00:00:00"/>
    <n v="0.50861111111110979"/>
    <n v="0.50861111111110979"/>
    <s v="Turbine self cable Twist release"/>
    <s v="Close"/>
    <n v="2.2113526570048253E-2"/>
    <n v="1"/>
    <n v="0.02"/>
    <m/>
  </r>
  <r>
    <n v="1814"/>
    <n v="2025"/>
    <n v="2024"/>
    <s v="Year_2"/>
    <d v="2024-05-15T00:00:00"/>
    <s v="KUD18"/>
    <s v="O2R4"/>
    <s v="SGDCIPL"/>
    <n v="4.3478260869565223E-2"/>
    <n v="3273"/>
    <x v="35"/>
    <s v="YawUntwistCCW: Code 6,    572Â°"/>
    <s v="Breakdown"/>
    <d v="1899-12-30T08:33:10"/>
    <d v="1899-12-30T08:33:10"/>
    <d v="1899-12-30T09:03:57"/>
    <d v="1899-12-30T00:00:00"/>
    <n v="0.51305555555555538"/>
    <n v="0.51305555555555538"/>
    <s v="Turbine self cable Twist release"/>
    <s v="Close"/>
    <n v="2.230676328502415E-2"/>
    <n v="1"/>
    <n v="0.02"/>
    <m/>
  </r>
  <r>
    <n v="1815"/>
    <n v="2025"/>
    <n v="2024"/>
    <s v="Year_2"/>
    <d v="2024-05-15T00:00:00"/>
    <s v="KUD23"/>
    <s v="O2R3"/>
    <s v="JK"/>
    <n v="4.3478260869565223E-2"/>
    <n v="900"/>
    <x v="100"/>
    <s v="Pause pressed on keyboard"/>
    <s v="Manual Stop"/>
    <d v="1899-12-30T10:17:30"/>
    <d v="1899-12-30T10:17:30"/>
    <d v="1899-12-30T18:44:06"/>
    <d v="1899-12-30T00:00:00"/>
    <n v="8.4433333333333351"/>
    <n v="8.4433333333333351"/>
    <s v="1 Year scheduled service day2 work done"/>
    <s v="Close"/>
    <n v="0.36710144927536242"/>
    <n v="1"/>
    <n v="1.8"/>
    <m/>
  </r>
  <r>
    <n v="1816"/>
    <n v="2025"/>
    <n v="2024"/>
    <s v="Year_2"/>
    <d v="2024-05-16T00:00:00"/>
    <s v="KUD01"/>
    <s v="O2R1"/>
    <s v="KSIPL"/>
    <n v="4.3478260869565223E-2"/>
    <n v="450"/>
    <x v="127"/>
    <s v="Ext. High I sum Grd inv."/>
    <s v="Breakdown"/>
    <d v="1899-12-30T00:36:39"/>
    <d v="1899-12-30T00:36:39"/>
    <d v="1899-12-30T00:45:22"/>
    <d v="1899-12-30T00:00:00"/>
    <n v="0.14527777777777787"/>
    <n v="0.14527777777777787"/>
    <s v="Auto reset"/>
    <s v="Close"/>
    <n v="6.3164251207729512E-3"/>
    <n v="1"/>
    <n v="0.41"/>
    <m/>
  </r>
  <r>
    <n v="1817"/>
    <n v="2025"/>
    <n v="2024"/>
    <s v="Year_2"/>
    <d v="2024-05-16T00:00:00"/>
    <s v="KUD01"/>
    <s v="O2R1"/>
    <s v="KSIPL"/>
    <n v="4.3478260869565223E-2"/>
    <n v="453"/>
    <x v="136"/>
    <s v="Ext. High I sum Rotinv.ChanX"/>
    <s v="Breakdown"/>
    <d v="1899-12-30T18:23:12"/>
    <d v="1899-12-30T18:23:12"/>
    <d v="1899-12-30T18:34:48"/>
    <d v="1899-12-30T00:00:00"/>
    <n v="0.19333333333333425"/>
    <n v="0.19333333333333425"/>
    <s v="Auto reset"/>
    <s v="Close"/>
    <n v="8.4057971014493155E-3"/>
    <n v="1"/>
    <n v="0"/>
    <m/>
  </r>
  <r>
    <n v="1818"/>
    <n v="2025"/>
    <n v="2024"/>
    <s v="Year_2"/>
    <d v="2024-05-16T00:00:00"/>
    <s v="KUD07"/>
    <s v="O2R3"/>
    <s v="JK"/>
    <n v="4.3478260869565223E-2"/>
    <n v="3273"/>
    <x v="35"/>
    <s v="YawUntwistCCW: Code 6,    540Â°"/>
    <s v="Breakdown"/>
    <d v="1899-12-30T12:12:17"/>
    <d v="1899-12-30T12:12:17"/>
    <d v="1899-12-30T12:38:43"/>
    <d v="1899-12-30T00:00:00"/>
    <n v="0.44055555555555337"/>
    <n v="0.44055555555555337"/>
    <s v="Turbine self cable Twist release"/>
    <s v="Close"/>
    <n v="1.9154589371980585E-2"/>
    <n v="1"/>
    <n v="0"/>
    <m/>
  </r>
  <r>
    <n v="1819"/>
    <n v="2025"/>
    <n v="2024"/>
    <s v="Year_2"/>
    <d v="2024-05-16T00:00:00"/>
    <s v="KUD11"/>
    <s v="O2R1"/>
    <s v="KSIPL"/>
    <n v="4.3478260869565223E-2"/>
    <n v="3273"/>
    <x v="35"/>
    <s v="YawUntwistCCW: Code 6,    540Â°"/>
    <s v="Breakdown"/>
    <d v="1899-12-30T12:54:06"/>
    <d v="1899-12-30T12:54:06"/>
    <d v="1899-12-30T13:19:55"/>
    <d v="1899-12-30T00:00:00"/>
    <n v="0.43027777777777754"/>
    <n v="0.43027777777777754"/>
    <s v="Turbine self cable Twist release"/>
    <s v="Close"/>
    <n v="1.8707729468599027E-2"/>
    <n v="1"/>
    <n v="0.15"/>
    <m/>
  </r>
  <r>
    <n v="1820"/>
    <n v="2025"/>
    <n v="2024"/>
    <s v="Year_2"/>
    <d v="2024-05-16T00:00:00"/>
    <s v="KUD14"/>
    <s v="O2R1"/>
    <s v="KSIPL"/>
    <n v="4.3478260869565223E-2"/>
    <n v="3273"/>
    <x v="35"/>
    <s v="YawUntwistCCW: Code 6,    573Â°"/>
    <s v="Breakdown"/>
    <d v="1899-12-30T06:37:04"/>
    <d v="1899-12-30T06:37:04"/>
    <d v="1899-12-30T07:04:21"/>
    <d v="1899-12-30T00:00:00"/>
    <n v="0.45472222222222225"/>
    <n v="0.45472222222222225"/>
    <s v="Turbine self cable Twist release"/>
    <s v="Close"/>
    <n v="1.9770531400966188E-2"/>
    <n v="1"/>
    <n v="0.01"/>
    <m/>
  </r>
  <r>
    <n v="1821"/>
    <n v="2025"/>
    <n v="2024"/>
    <s v="Year_2"/>
    <d v="2024-05-16T00:00:00"/>
    <s v="KUD16"/>
    <s v="O2R2"/>
    <s v="SIL"/>
    <n v="4.3478260869565223E-2"/>
    <n v="3273"/>
    <x v="35"/>
    <s v="YawUntwistCCW: Code 6,    582Â°"/>
    <s v="Breakdown"/>
    <d v="1899-12-30T18:08:59"/>
    <d v="1899-12-30T18:08:59"/>
    <d v="1899-12-30T18:33:11"/>
    <d v="1899-12-30T00:00:00"/>
    <n v="0.40333333333333243"/>
    <n v="0.40333333333333243"/>
    <s v="Turbine self cable Twist release"/>
    <s v="Close"/>
    <n v="1.7536231884057934E-2"/>
    <n v="1"/>
    <n v="0.42"/>
    <m/>
  </r>
  <r>
    <n v="1822"/>
    <n v="2025"/>
    <n v="2024"/>
    <s v="Year_2"/>
    <d v="2024-05-16T00:00:00"/>
    <s v="KUD22"/>
    <s v="O2R3"/>
    <s v="JK"/>
    <n v="4.3478260869565223E-2"/>
    <n v="3273"/>
    <x v="35"/>
    <s v="YawUntwistCCW: Code 6,    540Â°"/>
    <s v="Breakdown"/>
    <d v="1899-12-30T10:08:49"/>
    <d v="1899-12-30T10:08:49"/>
    <d v="1899-12-30T10:30:44"/>
    <d v="1899-12-30T00:00:00"/>
    <n v="0.36527777777777803"/>
    <n v="0.36527777777777803"/>
    <s v="Turbine self cable Twist release"/>
    <s v="Close"/>
    <n v="1.5881642512077309E-2"/>
    <n v="1"/>
    <n v="0.01"/>
    <m/>
  </r>
  <r>
    <n v="1823"/>
    <n v="2025"/>
    <n v="2024"/>
    <s v="Year_2"/>
    <d v="2024-05-16T00:00:00"/>
    <s v="KUD22"/>
    <s v="O2R3"/>
    <s v="JK"/>
    <n v="4.3478260869565223E-2"/>
    <n v="900"/>
    <x v="100"/>
    <s v="Pause pressed on keyboard"/>
    <s v="Breakdown"/>
    <d v="1899-12-30T15:22:55"/>
    <d v="1899-12-30T15:22:55"/>
    <d v="1899-12-30T17:19:59"/>
    <d v="1899-12-30T00:00:00"/>
    <n v="1.9511111111111115"/>
    <n v="1.9511111111111115"/>
    <s v="1 Year scheduled service day1 work done"/>
    <s v="Close"/>
    <n v="8.4830917874396158E-2"/>
    <n v="1"/>
    <n v="0.46"/>
    <m/>
  </r>
  <r>
    <n v="1824"/>
    <n v="2025"/>
    <n v="2024"/>
    <s v="Year_2"/>
    <d v="2024-05-16T00:00:00"/>
    <s v="KUD23"/>
    <s v="O2R3"/>
    <s v="JK"/>
    <n v="4.3478260869565223E-2"/>
    <n v="158"/>
    <x v="132"/>
    <s v="Rotor: 1.8RPM, Gen.:-200.6 RPM"/>
    <s v="Breakdown"/>
    <d v="1899-12-30T12:02:28"/>
    <d v="1899-12-30T12:02:28"/>
    <d v="1899-12-30T12:09:29"/>
    <d v="1899-12-30T00:00:00"/>
    <n v="0.11694444444444319"/>
    <n v="0.11694444444444319"/>
    <s v="Auto reset"/>
    <s v="Close"/>
    <n v="5.084541062801878E-3"/>
    <n v="1"/>
    <n v="0"/>
    <m/>
  </r>
  <r>
    <n v="1825"/>
    <n v="2025"/>
    <n v="2024"/>
    <s v="Year_2"/>
    <d v="2024-05-16T00:00:00"/>
    <s v="KUD21"/>
    <s v="O2R3"/>
    <s v="JK"/>
    <n v="4.3478260869565223E-2"/>
    <n v="900"/>
    <x v="100"/>
    <s v="Pause pressed on keyboard"/>
    <s v="Manual Stop"/>
    <d v="1899-12-30T13:11:00"/>
    <d v="1899-12-30T13:11:00"/>
    <d v="1899-12-30T15:41:00"/>
    <d v="1899-12-30T00:00:00"/>
    <n v="2.4999999999999991"/>
    <n v="2.4999999999999991"/>
    <s v="1 Year scheduled service day1 work done"/>
    <s v="Close"/>
    <n v="0.10869565217391301"/>
    <n v="1"/>
    <n v="1.05"/>
    <m/>
  </r>
  <r>
    <n v="1826"/>
    <n v="2025"/>
    <n v="2024"/>
    <s v="Year_2"/>
    <d v="2024-05-17T00:00:00"/>
    <s v="KUD04"/>
    <s v="O2R3"/>
    <s v="JK"/>
    <n v="4.3478260869565223E-2"/>
    <n v="3273"/>
    <x v="35"/>
    <s v="YawUntwistCCW: Code 5,    551Â°"/>
    <s v="Breakdown"/>
    <d v="1899-12-30T07:37:21"/>
    <d v="1899-12-30T07:37:21"/>
    <d v="1899-12-30T08:00:27"/>
    <d v="1899-12-30T00:00:00"/>
    <n v="0.3849999999999989"/>
    <n v="0.3849999999999989"/>
    <s v="Turbine self cable Twist release"/>
    <s v="Close"/>
    <n v="1.6739130434782562E-2"/>
    <n v="1"/>
    <n v="0"/>
    <m/>
  </r>
  <r>
    <n v="1827"/>
    <n v="2025"/>
    <n v="2024"/>
    <s v="Year_2"/>
    <d v="2024-05-17T00:00:00"/>
    <s v="KUD05"/>
    <s v="O2R3"/>
    <s v="JK"/>
    <n v="4.3478260869565223E-2"/>
    <n v="3273"/>
    <x v="35"/>
    <s v="YawUntwistCCW: Code 6,    603Â°"/>
    <s v="Breakdown"/>
    <d v="1899-12-30T02:55:40"/>
    <d v="1899-12-30T02:55:40"/>
    <d v="1899-12-30T03:19:04"/>
    <d v="1899-12-30T00:00:00"/>
    <n v="0.39"/>
    <n v="0.39"/>
    <s v="Turbine self cable Twist release"/>
    <s v="Close"/>
    <n v="1.6956521739130436E-2"/>
    <n v="1"/>
    <n v="0"/>
    <m/>
  </r>
  <r>
    <n v="1828"/>
    <n v="2025"/>
    <n v="2024"/>
    <s v="Year_2"/>
    <d v="2024-05-17T00:00:00"/>
    <s v="KUD09"/>
    <s v="O2R3"/>
    <s v="JK"/>
    <n v="4.3478260869565223E-2"/>
    <n v="3273"/>
    <x v="35"/>
    <s v="YawUntwistCCW: Code 6,    579Â°"/>
    <s v="Breakdown"/>
    <d v="1899-12-30T07:38:09"/>
    <d v="1899-12-30T07:38:09"/>
    <d v="1899-12-30T08:06:21"/>
    <d v="1899-12-30T00:00:00"/>
    <n v="0.4700000000000002"/>
    <n v="0.4700000000000002"/>
    <s v="Turbine self cable Twist release"/>
    <s v="Close"/>
    <n v="2.0434782608695662E-2"/>
    <n v="1"/>
    <n v="0"/>
    <m/>
  </r>
  <r>
    <n v="1829"/>
    <n v="2025"/>
    <n v="2024"/>
    <s v="Year_2"/>
    <d v="2024-05-17T00:00:00"/>
    <s v="KUD10"/>
    <s v="O2R1"/>
    <s v="KSIPL"/>
    <n v="4.3478260869565223E-2"/>
    <n v="3273"/>
    <x v="35"/>
    <s v="YawUntwistCCW: Code 6,    576Â°"/>
    <s v="Breakdown"/>
    <d v="1899-12-30T07:32:24"/>
    <d v="1899-12-30T07:32:24"/>
    <d v="1899-12-30T08:01:05"/>
    <d v="1899-12-30T00:00:00"/>
    <n v="0.47805555555555657"/>
    <n v="0.47805555555555657"/>
    <s v="Turbine self cable Twist release"/>
    <s v="Close"/>
    <n v="2.078502415458942E-2"/>
    <n v="1"/>
    <n v="0"/>
    <m/>
  </r>
  <r>
    <n v="1830"/>
    <n v="2025"/>
    <n v="2024"/>
    <s v="Year_2"/>
    <d v="2024-05-17T00:00:00"/>
    <s v="KUD12"/>
    <s v="O2R1"/>
    <s v="KSIPL"/>
    <n v="4.3478260869565223E-2"/>
    <n v="3273"/>
    <x v="35"/>
    <s v="YawUntwistCCW: Code 6,    545Â°"/>
    <s v="Breakdown"/>
    <d v="1899-12-30T07:39:12"/>
    <d v="1899-12-30T07:39:12"/>
    <d v="1899-12-30T08:08:06"/>
    <d v="1899-12-30T00:00:00"/>
    <n v="0.48166666666666602"/>
    <n v="0.48166666666666602"/>
    <s v="Turbine self cable Twist release"/>
    <s v="Close"/>
    <n v="2.0942028985507222E-2"/>
    <n v="1"/>
    <n v="0"/>
    <m/>
  </r>
  <r>
    <n v="1831"/>
    <n v="2025"/>
    <n v="2024"/>
    <s v="Year_2"/>
    <d v="2024-05-17T00:00:00"/>
    <s v="KUD15"/>
    <s v="O2R1"/>
    <s v="KSIPL"/>
    <n v="4.3478260869565223E-2"/>
    <n v="3273"/>
    <x v="35"/>
    <s v="YawUntwistCCW: Code 6,    540Â°"/>
    <s v="Breakdown"/>
    <d v="1899-12-30T06:56:04"/>
    <d v="1899-12-30T06:56:04"/>
    <d v="1899-12-30T07:24:29"/>
    <d v="1899-12-30T00:00:00"/>
    <n v="0.47361111111111098"/>
    <n v="0.47361111111111098"/>
    <s v="Turbine self cable Twist release"/>
    <s v="Close"/>
    <n v="2.0591787439613523E-2"/>
    <n v="1"/>
    <n v="0.02"/>
    <m/>
  </r>
  <r>
    <n v="1832"/>
    <n v="2025"/>
    <n v="2024"/>
    <s v="Year_2"/>
    <d v="2024-05-17T00:00:00"/>
    <s v="KUD19"/>
    <s v="O2R1"/>
    <s v="KSIPL"/>
    <n v="4.3478260869565223E-2"/>
    <n v="3273"/>
    <x v="35"/>
    <s v="YawUntwistCCW: Code 6,    579Â°"/>
    <s v="Breakdown"/>
    <d v="1899-12-30T07:32:27"/>
    <d v="1899-12-30T07:32:27"/>
    <d v="1899-12-30T07:55:48"/>
    <d v="1899-12-30T00:00:00"/>
    <n v="0.38916666666666755"/>
    <n v="0.38916666666666755"/>
    <s v="Turbine self cable Twist release"/>
    <s v="Close"/>
    <n v="1.6920289855072504E-2"/>
    <n v="1"/>
    <n v="0"/>
    <m/>
  </r>
  <r>
    <n v="1833"/>
    <n v="2025"/>
    <n v="2024"/>
    <s v="Year_2"/>
    <d v="2024-05-17T00:00:00"/>
    <s v="KUD20"/>
    <s v="O2R1"/>
    <s v="KSIPL"/>
    <n v="4.3478260869565223E-2"/>
    <n v="3273"/>
    <x v="35"/>
    <s v="YawUntwistCCW: Code 6,    557Â°"/>
    <s v="Breakdown"/>
    <d v="1899-12-30T07:14:14"/>
    <d v="1899-12-30T07:14:14"/>
    <d v="1899-12-30T07:42:20"/>
    <d v="1899-12-30T00:00:00"/>
    <n v="0.46833333333333327"/>
    <n v="0.46833333333333327"/>
    <s v="Turbine self cable Twist release"/>
    <s v="Close"/>
    <n v="2.0362318840579711E-2"/>
    <n v="1"/>
    <n v="0.03"/>
    <m/>
  </r>
  <r>
    <n v="1834"/>
    <n v="2025"/>
    <n v="2024"/>
    <s v="Year_2"/>
    <d v="2024-05-17T00:00:00"/>
    <s v="KUD22"/>
    <s v="O2R3"/>
    <s v="JK"/>
    <n v="4.3478260869565223E-2"/>
    <n v="900"/>
    <x v="100"/>
    <s v="Pause pressed on keyboard"/>
    <s v="Manual Stop"/>
    <d v="1899-12-30T10:57:45"/>
    <d v="1899-12-30T10:57:45"/>
    <d v="1899-12-30T18:39:25"/>
    <d v="1899-12-30T00:00:00"/>
    <n v="7.6944444444444446"/>
    <n v="7.6944444444444446"/>
    <s v="1 Year scheduled service day2 work done"/>
    <s v="Close"/>
    <n v="0.33454106280193241"/>
    <n v="1"/>
    <n v="0.65"/>
    <m/>
  </r>
  <r>
    <n v="1835"/>
    <n v="2025"/>
    <n v="2024"/>
    <s v="Year_2"/>
    <d v="2024-05-17T00:00:00"/>
    <s v="KUD23"/>
    <s v="O2R3"/>
    <s v="JK"/>
    <n v="4.3478260869565223E-2"/>
    <n v="3273"/>
    <x v="35"/>
    <s v="YawUntwistCCW: Code 6,    579Â°"/>
    <s v="Breakdown"/>
    <d v="1899-12-30T02:16:02"/>
    <d v="1899-12-30T02:16:02"/>
    <d v="1899-12-30T02:45:55"/>
    <d v="1899-12-30T00:00:00"/>
    <n v="0.4980555555555557"/>
    <n v="0.4980555555555557"/>
    <s v="Turbine self cable Twist release"/>
    <s v="Close"/>
    <n v="2.1654589371980684E-2"/>
    <n v="1"/>
    <n v="0.05"/>
    <m/>
  </r>
  <r>
    <n v="1836"/>
    <n v="2025"/>
    <n v="2024"/>
    <s v="Year_2"/>
    <d v="2024-05-18T00:00:00"/>
    <s v="KUD01"/>
    <s v="O2R1"/>
    <s v="KSIPL"/>
    <n v="4.3478260869565223E-2"/>
    <n v="3273"/>
    <x v="35"/>
    <s v="YawUntwistCCW: Code 6,    540Â°"/>
    <s v="Breakdown"/>
    <d v="1899-12-30T10:02:30"/>
    <d v="1899-12-30T10:02:30"/>
    <d v="1899-12-30T10:27:55"/>
    <d v="1899-12-30T00:00:00"/>
    <n v="0.42361111111111116"/>
    <n v="0.42361111111111116"/>
    <s v="Turbine self cable Twist release"/>
    <s v="Close"/>
    <n v="1.8417874396135271E-2"/>
    <n v="1"/>
    <n v="0"/>
    <m/>
  </r>
  <r>
    <n v="1837"/>
    <n v="2025"/>
    <n v="2024"/>
    <s v="Year_2"/>
    <d v="2024-05-18T00:00:00"/>
    <s v="KUD01"/>
    <s v="O2R1"/>
    <s v="KSIPL"/>
    <n v="4.3478260869565223E-2"/>
    <n v="315"/>
    <x v="120"/>
    <s v="ExEx low voltage L2:   2V"/>
    <s v="Breakdown"/>
    <d v="1899-12-30T18:41:00"/>
    <d v="1899-12-30T18:41:00"/>
    <d v="1899-12-30T23:00:00"/>
    <d v="1899-12-30T00:00:00"/>
    <n v="4.3166666666666673"/>
    <n v="4.3166666666666673"/>
    <s v="VAMP activated and TRAFO inspection done after no abnormal then restore the WTG"/>
    <s v="Close"/>
    <n v="0.1876811594202899"/>
    <n v="1"/>
    <n v="0.98"/>
    <m/>
  </r>
  <r>
    <n v="1838"/>
    <n v="2025"/>
    <n v="2024"/>
    <s v="Year_2"/>
    <d v="2024-05-18T00:00:00"/>
    <s v="KUD03"/>
    <s v="O2R1"/>
    <s v="KSIPL"/>
    <n v="4.3478260869565223E-2"/>
    <n v="3273"/>
    <x v="35"/>
    <s v="YawUntwistCCW: Code 5,    577Â°"/>
    <s v="Breakdown"/>
    <d v="1899-12-30T18:34:34"/>
    <d v="1899-12-30T18:34:34"/>
    <d v="1899-12-30T18:56:23"/>
    <d v="1899-12-30T00:00:00"/>
    <n v="0.36361111111111111"/>
    <n v="0.36361111111111111"/>
    <s v="Turbine self cable Twist release"/>
    <s v="Close"/>
    <n v="1.5809178743961354E-2"/>
    <n v="1"/>
    <n v="0.45"/>
    <m/>
  </r>
  <r>
    <n v="1839"/>
    <n v="2025"/>
    <n v="2024"/>
    <s v="Year_2"/>
    <d v="2024-05-18T00:00:00"/>
    <s v="KUD03"/>
    <s v="O2R1"/>
    <s v="KSIPL"/>
    <n v="4.3478260869565223E-2"/>
    <n v="5470"/>
    <x v="34"/>
    <s v="GeneratorBreakerFBResponse"/>
    <s v="Breakdown"/>
    <d v="1899-12-30T19:23:10"/>
    <d v="1899-12-30T19:23:10"/>
    <d v="1899-12-30T20:44:55"/>
    <d v="1899-12-30T00:00:00"/>
    <n v="1.3624999999999998"/>
    <n v="1.3624999999999998"/>
    <s v="Generator breaker TU reset done"/>
    <s v="Close"/>
    <n v="5.9239130434782607E-2"/>
    <n v="1"/>
    <n v="0"/>
    <m/>
  </r>
  <r>
    <n v="1840"/>
    <n v="2025"/>
    <n v="2024"/>
    <s v="Year_2"/>
    <d v="2024-05-18T00:00:00"/>
    <s v="KUD08"/>
    <s v="O2R3"/>
    <s v="JK"/>
    <n v="4.3478260869565223E-2"/>
    <n v="3273"/>
    <x v="35"/>
    <s v="YawUntwistCCW: Code 6,    544Â°"/>
    <s v="Breakdown"/>
    <d v="1899-12-30T19:07:00"/>
    <d v="1899-12-30T19:07:00"/>
    <d v="1899-12-30T19:35:43"/>
    <d v="1899-12-30T00:00:00"/>
    <n v="0.4786111111111131"/>
    <n v="0.4786111111111131"/>
    <s v="Turbine self cable Twist release"/>
    <s v="Close"/>
    <n v="2.0809178743961442E-2"/>
    <n v="1"/>
    <n v="0.02"/>
    <m/>
  </r>
  <r>
    <n v="1841"/>
    <n v="2025"/>
    <n v="2024"/>
    <s v="Year_2"/>
    <d v="2024-05-18T00:00:00"/>
    <s v="KUD10"/>
    <s v="O2R1"/>
    <s v="KSIPL"/>
    <n v="4.3478260869565223E-2"/>
    <n v="3273"/>
    <x v="35"/>
    <s v="YawUntwistCCW: Code 6,    540Â°"/>
    <s v="Breakdown"/>
    <d v="1899-12-30T11:10:18"/>
    <d v="1899-12-30T11:10:18"/>
    <d v="1899-12-30T11:32:16"/>
    <d v="1899-12-30T00:00:00"/>
    <n v="0.3661111111111115"/>
    <n v="0.3661111111111115"/>
    <s v="Turbine self cable Twist release"/>
    <s v="Close"/>
    <n v="1.5917874396135286E-2"/>
    <n v="1"/>
    <n v="0.12"/>
    <m/>
  </r>
  <r>
    <n v="1842"/>
    <n v="2025"/>
    <n v="2024"/>
    <s v="Year_2"/>
    <d v="2024-05-18T00:00:00"/>
    <s v="KUD10"/>
    <s v="O2R1"/>
    <s v="KSIPL"/>
    <n v="4.3478260869565223E-2"/>
    <n v="3273"/>
    <x v="35"/>
    <s v="YawUntwistCCW: Code 6,    540Â°"/>
    <s v="Breakdown"/>
    <d v="1899-12-30T19:37:10"/>
    <d v="1899-12-30T19:37:10"/>
    <d v="1899-12-30T20:02:26"/>
    <d v="1899-12-30T00:00:00"/>
    <n v="0.4211111111111121"/>
    <n v="0.4211111111111121"/>
    <s v="Turbine self cable Twist release"/>
    <s v="Close"/>
    <n v="1.8309178743961398E-2"/>
    <n v="1"/>
    <n v="0"/>
    <m/>
  </r>
  <r>
    <n v="1843"/>
    <n v="2025"/>
    <n v="2024"/>
    <s v="Year_2"/>
    <d v="2024-05-18T00:00:00"/>
    <s v="KUD11"/>
    <s v="O2R1"/>
    <s v="KSIPL"/>
    <n v="4.3478260869565223E-2"/>
    <n v="3273"/>
    <x v="35"/>
    <s v="YawUntwistCCW: Code 6,    540Â°"/>
    <s v="Breakdown"/>
    <d v="1899-12-30T10:53:39"/>
    <d v="1899-12-30T10:53:39"/>
    <d v="1899-12-30T11:15:29"/>
    <d v="1899-12-30T00:00:00"/>
    <n v="0.36388888888888804"/>
    <n v="0.36388888888888804"/>
    <s v="Turbine self cable Twist release"/>
    <s v="Close"/>
    <n v="1.582125603864731E-2"/>
    <n v="1"/>
    <n v="0.08"/>
    <m/>
  </r>
  <r>
    <n v="1844"/>
    <n v="2025"/>
    <n v="2024"/>
    <s v="Year_2"/>
    <d v="2024-05-18T00:00:00"/>
    <s v="KUD12"/>
    <s v="O2R1"/>
    <s v="KSIPL"/>
    <n v="4.3478260869565223E-2"/>
    <n v="3273"/>
    <x v="35"/>
    <s v="YawUntwistCCW: Code 5,    540Â°"/>
    <s v="Breakdown"/>
    <d v="1899-12-30T16:59:06"/>
    <d v="1899-12-30T16:59:06"/>
    <d v="1899-12-30T17:25:04"/>
    <d v="1899-12-30T00:00:00"/>
    <n v="0.43277777777777526"/>
    <n v="0.43277777777777526"/>
    <s v="Turbine self cable Twist release"/>
    <s v="Close"/>
    <n v="1.8816425120772841E-2"/>
    <n v="1"/>
    <n v="0.31"/>
    <m/>
  </r>
  <r>
    <n v="1845"/>
    <n v="2025"/>
    <n v="2024"/>
    <s v="Year_2"/>
    <d v="2024-05-18T00:00:00"/>
    <s v="KUD13"/>
    <s v="O2R1"/>
    <s v="KSIPL"/>
    <n v="4.3478260869565223E-2"/>
    <n v="3273"/>
    <x v="35"/>
    <s v="YawUntwistCCW: Code 6,    614Â°"/>
    <s v="Breakdown"/>
    <d v="1899-12-30T13:29:31"/>
    <d v="1899-12-30T13:29:31"/>
    <d v="1899-12-30T13:54:15"/>
    <d v="1899-12-30T00:00:00"/>
    <n v="0.41222222222222094"/>
    <n v="0.41222222222222094"/>
    <s v="Turbine self cable Twist release"/>
    <s v="Close"/>
    <n v="1.7922705314009607E-2"/>
    <n v="1"/>
    <n v="0.05"/>
    <m/>
  </r>
  <r>
    <n v="1846"/>
    <n v="2025"/>
    <n v="2024"/>
    <s v="Year_2"/>
    <d v="2024-05-18T00:00:00"/>
    <s v="KUD13"/>
    <s v="O2R1"/>
    <s v="KSIPL"/>
    <n v="4.3478260869565223E-2"/>
    <n v="3273"/>
    <x v="35"/>
    <s v="YawUntwistCCW: Code 6,    540Â°"/>
    <s v="Breakdown"/>
    <d v="1899-12-30T19:06:58"/>
    <d v="1899-12-30T19:06:58"/>
    <d v="1899-12-30T19:34:38"/>
    <d v="1899-12-30T00:00:00"/>
    <n v="0.46111111111111036"/>
    <n v="0.46111111111111036"/>
    <s v="Turbine self cable Twist release"/>
    <s v="Close"/>
    <n v="2.0048309178743933E-2"/>
    <n v="1"/>
    <n v="0"/>
    <m/>
  </r>
  <r>
    <n v="1847"/>
    <n v="2025"/>
    <n v="2024"/>
    <s v="Year_2"/>
    <d v="2024-05-18T00:00:00"/>
    <s v="KUD14"/>
    <s v="O2R1"/>
    <s v="KSIPL"/>
    <n v="4.3478260869565223E-2"/>
    <n v="3273"/>
    <x v="35"/>
    <s v="YawUntwistCCW: Code 6,    559Â°"/>
    <s v="Breakdown"/>
    <d v="1899-12-30T02:07:55"/>
    <d v="1899-12-30T02:07:55"/>
    <d v="1899-12-30T02:37:05"/>
    <d v="1899-12-30T00:00:00"/>
    <n v="0.48611111111111127"/>
    <n v="0.48611111111111127"/>
    <s v="Turbine self cable Twist release"/>
    <s v="Close"/>
    <n v="2.1135265700483102E-2"/>
    <n v="1"/>
    <n v="7.0000000000000007E-2"/>
    <m/>
  </r>
  <r>
    <n v="1848"/>
    <n v="2025"/>
    <n v="2024"/>
    <s v="Year_2"/>
    <d v="2024-05-18T00:00:00"/>
    <s v="KUD14"/>
    <s v="O2R1"/>
    <s v="KSIPL"/>
    <n v="4.3478260869565223E-2"/>
    <n v="3273"/>
    <x v="35"/>
    <s v="YawUntwistCCW: Code 6,    540Â°"/>
    <s v="Breakdown"/>
    <d v="1899-12-30T18:36:38"/>
    <d v="1899-12-30T18:36:38"/>
    <d v="1899-12-30T18:57:39"/>
    <d v="1899-12-30T00:00:00"/>
    <n v="0.35027777777777835"/>
    <n v="0.35027777777777835"/>
    <s v="Turbine self cable Twist release"/>
    <s v="Close"/>
    <n v="1.5229468599033843E-2"/>
    <n v="1"/>
    <n v="0"/>
    <m/>
  </r>
  <r>
    <n v="1849"/>
    <n v="2025"/>
    <n v="2024"/>
    <s v="Year_2"/>
    <d v="2024-05-18T00:00:00"/>
    <s v="KUD15"/>
    <s v="O2R1"/>
    <s v="KSIPL"/>
    <n v="4.3478260869565223E-2"/>
    <n v="3273"/>
    <x v="35"/>
    <s v="YawUntwistCCW: Code 6,    540Â°"/>
    <s v="Breakdown"/>
    <d v="1899-12-30T08:52:44"/>
    <d v="1899-12-30T08:52:44"/>
    <d v="1899-12-30T09:14:22"/>
    <d v="1899-12-30T00:00:00"/>
    <n v="0.36055555555555552"/>
    <n v="0.36055555555555552"/>
    <s v="Turbine self cable Twist release"/>
    <s v="Close"/>
    <n v="1.567632850241546E-2"/>
    <n v="1"/>
    <n v="0.04"/>
    <m/>
  </r>
  <r>
    <n v="1850"/>
    <n v="2025"/>
    <n v="2024"/>
    <s v="Year_2"/>
    <d v="2024-05-18T00:00:00"/>
    <s v="KUD15"/>
    <s v="O2R1"/>
    <s v="KSIPL"/>
    <n v="4.3478260869565223E-2"/>
    <n v="5470"/>
    <x v="34"/>
    <s v="GeneratorBreakerFBResponse"/>
    <s v="Breakdown"/>
    <d v="1899-12-30T19:30:00"/>
    <d v="1899-12-30T19:30:00"/>
    <d v="1899-12-30T20:10:00"/>
    <d v="1899-12-30T00:00:00"/>
    <n v="0.66666666666666696"/>
    <n v="0.66666666666666696"/>
    <s v="Generator breaker TU reset done"/>
    <s v="Close"/>
    <n v="2.8985507246376829E-2"/>
    <n v="1"/>
    <n v="0"/>
    <m/>
  </r>
  <r>
    <n v="1851"/>
    <n v="2025"/>
    <n v="2024"/>
    <s v="Year_2"/>
    <d v="2024-05-18T00:00:00"/>
    <s v="KUD19"/>
    <s v="O2R1"/>
    <s v="KSIPL"/>
    <n v="4.3478260869565223E-2"/>
    <n v="4239"/>
    <x v="40"/>
    <s v="HVCB Unknown Trip Reason"/>
    <s v="Breakdown"/>
    <d v="1899-12-30T18:41:00"/>
    <d v="1899-12-30T18:41:00"/>
    <d v="1899-12-30T19:27:00"/>
    <d v="1899-12-30T00:00:00"/>
    <n v="0.76666666666666661"/>
    <n v="0.76666666666666661"/>
    <s v="Manual SWG reset done"/>
    <s v="Close"/>
    <n v="3.3333333333333333E-2"/>
    <n v="1"/>
    <n v="0.08"/>
    <m/>
  </r>
  <r>
    <n v="1852"/>
    <n v="2025"/>
    <n v="2024"/>
    <s v="Year_2"/>
    <d v="2024-05-18T00:00:00"/>
    <s v="KUD20"/>
    <s v="O2R1"/>
    <s v="KSIPL"/>
    <n v="4.3478260869565223E-2"/>
    <n v="3273"/>
    <x v="35"/>
    <s v="YawUntwistCCW: Code 6,    540Â°"/>
    <s v="Breakdown"/>
    <d v="1899-12-30T11:28:53"/>
    <d v="1899-12-30T11:28:53"/>
    <d v="1899-12-30T11:54:15"/>
    <d v="1899-12-30T00:00:00"/>
    <n v="0.4227777777777777"/>
    <n v="0.4227777777777777"/>
    <s v="Turbine self cable Twist release"/>
    <s v="Close"/>
    <n v="1.8381642512077294E-2"/>
    <n v="1"/>
    <n v="0.08"/>
    <m/>
  </r>
  <r>
    <n v="1853"/>
    <n v="2025"/>
    <n v="2024"/>
    <s v="Year_2"/>
    <d v="2024-05-18T00:00:00"/>
    <s v="KUD21"/>
    <s v="O2R3"/>
    <s v="JK"/>
    <n v="4.3478260869565223E-2"/>
    <n v="900"/>
    <x v="100"/>
    <s v="Pause pressed on keyboard"/>
    <s v="Manual Stop"/>
    <d v="1899-12-30T11:47:00"/>
    <d v="1899-12-30T11:47:00"/>
    <d v="1899-12-30T17:54:00"/>
    <d v="1899-12-30T00:00:00"/>
    <n v="6.1166666666666671"/>
    <n v="6.1166666666666671"/>
    <s v="1 Year scheduled service day2 work done"/>
    <s v="Close"/>
    <n v="0.26594202898550728"/>
    <n v="1"/>
    <n v="1.64"/>
    <m/>
  </r>
  <r>
    <n v="1854"/>
    <n v="2025"/>
    <n v="2024"/>
    <s v="Year_2"/>
    <d v="2024-05-19T00:00:00"/>
    <s v="KUD01"/>
    <s v="O2R1"/>
    <s v="KSIPL"/>
    <n v="4.3478260869565223E-2"/>
    <n v="335"/>
    <x v="152"/>
    <s v="ExtHighIRotorInv phase: 1"/>
    <s v="Breakdown"/>
    <d v="1899-12-30T07:17:02"/>
    <d v="1899-12-30T07:17:02"/>
    <d v="1899-12-30T07:26:16"/>
    <d v="1899-12-30T00:00:00"/>
    <n v="0.15388888888888852"/>
    <n v="0.15388888888888852"/>
    <s v="Auto reset"/>
    <s v="Close"/>
    <n v="6.6908212560386326E-3"/>
    <n v="1"/>
    <n v="0.02"/>
    <m/>
  </r>
  <r>
    <n v="1855"/>
    <n v="2025"/>
    <n v="2024"/>
    <s v="Year_2"/>
    <d v="2024-05-19T00:00:00"/>
    <s v="KUD01"/>
    <s v="O2R1"/>
    <s v="KSIPL"/>
    <n v="4.3478260869565223E-2"/>
    <n v="3273"/>
    <x v="35"/>
    <s v="YawUntwistCCW: Code 6,    540Â°"/>
    <s v="Breakdown"/>
    <d v="1899-12-30T11:57:17"/>
    <d v="1899-12-30T11:57:17"/>
    <d v="1899-12-30T12:18:08"/>
    <d v="1899-12-30T00:00:00"/>
    <n v="0.3474999999999997"/>
    <n v="0.3474999999999997"/>
    <s v="Turbine self cable Twist release"/>
    <s v="Close"/>
    <n v="1.5108695652173902E-2"/>
    <n v="1"/>
    <n v="0"/>
    <m/>
  </r>
  <r>
    <n v="1856"/>
    <n v="2025"/>
    <n v="2024"/>
    <s v="Year_2"/>
    <d v="2024-05-19T00:00:00"/>
    <s v="KUD03"/>
    <s v="O2R1"/>
    <s v="KSIPL"/>
    <n v="4.3478260869565223E-2"/>
    <n v="3273"/>
    <x v="35"/>
    <s v="YawUntwistCCW: Code 6,    665Â°"/>
    <s v="Breakdown"/>
    <d v="1899-12-30T13:58:04"/>
    <d v="1899-12-30T13:58:04"/>
    <d v="1899-12-30T14:26:32"/>
    <d v="1899-12-30T00:00:00"/>
    <n v="0.47444444444444311"/>
    <n v="0.47444444444444311"/>
    <s v="Turbine self cable Twist release"/>
    <s v="Close"/>
    <n v="2.0628019323671441E-2"/>
    <n v="1"/>
    <n v="0.21"/>
    <m/>
  </r>
  <r>
    <n v="1857"/>
    <n v="2025"/>
    <n v="2024"/>
    <s v="Year_2"/>
    <d v="2024-05-19T00:00:00"/>
    <s v="KUD11"/>
    <s v="O2R1"/>
    <s v="KSIPL"/>
    <n v="4.3478260869565223E-2"/>
    <n v="3273"/>
    <x v="35"/>
    <s v="YawUntwistCCW: Code 6,    540Â°"/>
    <s v="Breakdown"/>
    <d v="1899-12-30T08:59:56"/>
    <d v="1899-12-30T08:59:56"/>
    <d v="1899-12-30T09:21:45"/>
    <d v="1899-12-30T00:00:00"/>
    <n v="0.36361111111111111"/>
    <n v="0.36361111111111111"/>
    <s v="Turbine self cable Twist release"/>
    <s v="Close"/>
    <n v="1.5809178743961354E-2"/>
    <n v="1"/>
    <n v="0"/>
    <m/>
  </r>
  <r>
    <n v="1858"/>
    <n v="2025"/>
    <n v="2024"/>
    <s v="Year_2"/>
    <d v="2024-05-19T00:00:00"/>
    <s v="KUD13"/>
    <s v="O2R1"/>
    <s v="KSIPL"/>
    <n v="4.3478260869565223E-2"/>
    <n v="79"/>
    <x v="175"/>
    <s v="Max. Yaw error:  16.9Â°"/>
    <s v="Breakdown"/>
    <d v="1899-12-30T23:38:44"/>
    <d v="1899-12-30T23:38:44"/>
    <d v="1899-12-30T23:39:55"/>
    <d v="1899-12-30T00:00:00"/>
    <n v="1.9722222222223529E-2"/>
    <n v="1.9722222222223529E-2"/>
    <s v="Auto reset"/>
    <s v="Close"/>
    <n v="8.5748792270537097E-4"/>
    <n v="1"/>
    <n v="7.0000000000000007E-2"/>
    <m/>
  </r>
  <r>
    <n v="1859"/>
    <n v="2025"/>
    <n v="2024"/>
    <s v="Year_2"/>
    <d v="2024-05-19T00:00:00"/>
    <s v="KUD15"/>
    <s v="O2R1"/>
    <s v="KSIPL"/>
    <n v="4.3478260869565223E-2"/>
    <n v="3273"/>
    <x v="35"/>
    <s v="YawUntwistCCW: Code 6,    708Â°"/>
    <s v="Breakdown"/>
    <d v="1899-12-30T02:25:53"/>
    <d v="1899-12-30T02:25:53"/>
    <d v="1899-12-30T02:54:42"/>
    <d v="1899-12-30T00:00:00"/>
    <n v="0.48027777777777769"/>
    <n v="0.48027777777777769"/>
    <s v="Turbine self cable Twist release"/>
    <s v="Close"/>
    <n v="2.0881642512077293E-2"/>
    <n v="1"/>
    <n v="0"/>
    <m/>
  </r>
  <r>
    <n v="1860"/>
    <n v="2025"/>
    <n v="2024"/>
    <s v="Year_2"/>
    <d v="2024-05-19T00:00:00"/>
    <s v="KUD15"/>
    <s v="O2R1"/>
    <s v="KSIPL"/>
    <n v="4.3478260869565223E-2"/>
    <n v="5685"/>
    <x v="36"/>
    <s v="SyncVoltMeasurementMismatch"/>
    <s v="Breakdown"/>
    <d v="1899-12-30T13:39:30"/>
    <d v="1899-12-30T13:39:30"/>
    <d v="1899-12-30T16:17:51"/>
    <d v="1899-12-30T00:00:00"/>
    <n v="2.6391666666666662"/>
    <n v="2.6391666666666662"/>
    <s v="Found ACB contact Ekip module connection loose condition then corrected after run the machine"/>
    <s v="Close"/>
    <n v="0.11474637681159419"/>
    <n v="1"/>
    <n v="0.46"/>
    <m/>
  </r>
  <r>
    <n v="1861"/>
    <n v="2025"/>
    <n v="2024"/>
    <s v="Year_2"/>
    <d v="2024-05-19T00:00:00"/>
    <s v="KUD16"/>
    <s v="O2R2"/>
    <s v="SIL"/>
    <n v="4.3478260869565223E-2"/>
    <n v="356"/>
    <x v="165"/>
    <s v="Extreme yawerror  6.2m/s165.3Â°"/>
    <s v="Breakdown"/>
    <d v="1899-12-30T20:26:52"/>
    <d v="1899-12-30T20:26:52"/>
    <d v="1899-12-30T20:34:26"/>
    <d v="1899-12-30T00:00:00"/>
    <n v="0.12611111111111128"/>
    <n v="0.12611111111111128"/>
    <s v="Turbine self cable Twist release"/>
    <s v="Close"/>
    <n v="5.483091787439622E-3"/>
    <n v="1"/>
    <n v="0.02"/>
    <m/>
  </r>
  <r>
    <n v="1862"/>
    <n v="2025"/>
    <n v="2024"/>
    <s v="Year_2"/>
    <d v="2024-05-19T00:00:00"/>
    <s v="KUD16"/>
    <s v="O2R2"/>
    <s v="SIL"/>
    <n v="4.3478260869565223E-2"/>
    <n v="3273"/>
    <x v="35"/>
    <s v="YawUntwistCCW: Code 6,    540Â°"/>
    <s v="Breakdown"/>
    <d v="1899-12-30T23:50:42"/>
    <d v="1899-12-30T23:50:42"/>
    <d v="1899-12-30T23:59:00"/>
    <d v="1899-12-30T00:00:00"/>
    <n v="0.13833333333333364"/>
    <n v="0.13833333333333364"/>
    <s v="Auto reset"/>
    <s v="Close"/>
    <n v="6.0144927536232027E-3"/>
    <n v="1"/>
    <n v="0"/>
    <m/>
  </r>
  <r>
    <n v="1863"/>
    <n v="2025"/>
    <n v="2024"/>
    <s v="Year_2"/>
    <d v="2024-05-19T00:00:00"/>
    <s v="KUD15"/>
    <s v="O2R1"/>
    <s v="KSIPL"/>
    <n v="4.3478260869565223E-2"/>
    <n v="5685"/>
    <x v="36"/>
    <s v="SyncVoltMeasurementMismatch"/>
    <s v="Breakdown"/>
    <d v="1899-12-30T12:16:00"/>
    <d v="1899-12-30T12:16:00"/>
    <d v="1899-12-30T12:18:00"/>
    <d v="1899-12-30T00:00:00"/>
    <n v="3.3333333333333215E-2"/>
    <n v="3.3333333333333215E-2"/>
    <s v="Auto reset"/>
    <s v="Close"/>
    <n v="1.4492753623188356E-3"/>
    <n v="1"/>
    <n v="0.04"/>
    <m/>
  </r>
  <r>
    <n v="1864"/>
    <n v="2025"/>
    <n v="2024"/>
    <s v="Year_2"/>
    <d v="2024-05-20T00:00:00"/>
    <s v="KUD01"/>
    <s v="O2R1"/>
    <s v="KSIPL"/>
    <n v="4.3478260869565223E-2"/>
    <n v="900"/>
    <x v="100"/>
    <s v="Pause pressed on keyboard"/>
    <s v="Manual Stop"/>
    <d v="1899-12-30T13:29:22"/>
    <d v="1899-12-30T13:29:22"/>
    <d v="1899-12-30T17:24:09"/>
    <d v="1899-12-30T00:00:00"/>
    <n v="3.9130555555555553"/>
    <n v="3.9130555555555553"/>
    <s v="Power slipring replaced then restored"/>
    <s v="Close"/>
    <n v="0.1701328502415459"/>
    <n v="1"/>
    <n v="0.74"/>
    <m/>
  </r>
  <r>
    <n v="1865"/>
    <n v="2025"/>
    <n v="2024"/>
    <s v="Year_2"/>
    <d v="2024-05-20T00:00:00"/>
    <s v="KUD13"/>
    <s v="O2R1"/>
    <s v="KSIPL"/>
    <n v="4.3478260869565223E-2"/>
    <n v="3296"/>
    <x v="46"/>
    <s v="Yaw To Nacelle Position Reset"/>
    <s v="Breakdown"/>
    <d v="1899-12-30T23:18:25"/>
    <d v="1899-12-30T23:18:25"/>
    <d v="1899-12-30T23:41:30"/>
    <d v="1899-12-30T00:00:00"/>
    <n v="0.38472222222222197"/>
    <n v="0.38472222222222197"/>
    <s v="Auto reset"/>
    <s v="Close"/>
    <n v="1.672705314009661E-2"/>
    <n v="1"/>
    <n v="0"/>
    <m/>
  </r>
  <r>
    <n v="1866"/>
    <n v="2025"/>
    <n v="2024"/>
    <s v="Year_2"/>
    <d v="2024-05-20T00:00:00"/>
    <s v="KUD15"/>
    <s v="O2R1"/>
    <s v="KSIPL"/>
    <n v="4.3478260869565223E-2"/>
    <n v="3272"/>
    <x v="143"/>
    <s v="YawUntwistCW: Code 3,-000544Â°"/>
    <s v="Breakdown"/>
    <d v="1899-12-30T00:06:26"/>
    <d v="1899-12-30T00:06:26"/>
    <d v="1899-12-30T00:28:56"/>
    <d v="1899-12-30T00:00:00"/>
    <n v="0.375"/>
    <n v="0.375"/>
    <s v="Turbine self cable Twist release"/>
    <s v="Close"/>
    <n v="1.630434782608696E-2"/>
    <n v="1"/>
    <n v="0"/>
    <m/>
  </r>
  <r>
    <n v="1867"/>
    <n v="2025"/>
    <n v="2024"/>
    <s v="Year_2"/>
    <d v="2024-05-20T00:00:00"/>
    <s v="KUD15"/>
    <s v="O2R1"/>
    <s v="KSIPL"/>
    <n v="4.3478260869565223E-2"/>
    <n v="5685"/>
    <x v="36"/>
    <s v="SyncVoltMeasurementMismatch"/>
    <s v="Breakdown"/>
    <d v="1899-12-30T13:34:12"/>
    <d v="1899-12-30T13:34:12"/>
    <d v="1899-12-30T13:43:31"/>
    <d v="1899-12-30T00:00:00"/>
    <n v="0.15527777777777718"/>
    <n v="0.15527777777777718"/>
    <s v="Auto reset"/>
    <s v="Close"/>
    <n v="6.7512077294685736E-3"/>
    <n v="1"/>
    <n v="0"/>
    <m/>
  </r>
  <r>
    <n v="1868"/>
    <n v="2025"/>
    <n v="2024"/>
    <s v="Year_2"/>
    <d v="2024-05-20T00:00:00"/>
    <s v="KUD15"/>
    <s v="O2R1"/>
    <s v="KSIPL"/>
    <n v="4.3478260869565223E-2"/>
    <n v="5685"/>
    <x v="36"/>
    <s v="SyncVoltMeasurementMismatch"/>
    <s v="Breakdown"/>
    <d v="1899-12-30T13:52:06"/>
    <d v="1899-12-30T13:52:06"/>
    <d v="1899-12-30T16:48:15"/>
    <d v="1899-12-30T00:00:00"/>
    <n v="2.935833333333334"/>
    <n v="2.935833333333334"/>
    <s v="Found stator contactor coil supply cable loose condition then tightened after restored"/>
    <s v="Close"/>
    <n v="0.12764492753623194"/>
    <n v="1"/>
    <n v="0.69"/>
    <m/>
  </r>
  <r>
    <n v="1869"/>
    <n v="2025"/>
    <n v="2024"/>
    <s v="Year_2"/>
    <d v="2024-05-20T00:00:00"/>
    <s v="KUD16"/>
    <s v="O2R2"/>
    <s v="SIL"/>
    <n v="4.3478260869565223E-2"/>
    <n v="3273"/>
    <x v="35"/>
    <s v="YawUntwistCCW: Code 6,    540Â°"/>
    <s v="Breakdown"/>
    <d v="1899-12-30T23:50:42"/>
    <d v="1899-12-30T23:50:42"/>
    <d v="1899-12-30T23:59:00"/>
    <d v="1899-12-30T00:00:00"/>
    <n v="0.13833333333333364"/>
    <n v="0.13833333333333364"/>
    <s v="Turbine self cable Twist release"/>
    <s v="Close"/>
    <n v="6.0144927536232027E-3"/>
    <n v="1"/>
    <n v="0.03"/>
    <m/>
  </r>
  <r>
    <n v="1870"/>
    <n v="2025"/>
    <n v="2024"/>
    <s v="Year_2"/>
    <d v="2024-05-20T00:00:00"/>
    <s v="KUD19"/>
    <s v="O2R1"/>
    <s v="KSIPL"/>
    <n v="4.3478260869565223E-2"/>
    <n v="3272"/>
    <x v="143"/>
    <s v="YawUntwistCW: Code 3,-000605Â°"/>
    <s v="Breakdown"/>
    <d v="1899-12-30T00:07:11"/>
    <d v="1899-12-30T00:07:11"/>
    <d v="1899-12-30T00:30:19"/>
    <d v="1899-12-30T00:00:00"/>
    <n v="0.3855555555555556"/>
    <n v="0.3855555555555556"/>
    <s v="Turbine self cable Twist release"/>
    <s v="Close"/>
    <n v="1.6763285024154594E-2"/>
    <n v="1"/>
    <n v="0"/>
    <m/>
  </r>
  <r>
    <n v="1871"/>
    <n v="2025"/>
    <n v="2024"/>
    <s v="Year_2"/>
    <d v="2024-05-21T00:00:00"/>
    <s v="KUD03"/>
    <s v="O2R1"/>
    <s v="KSIPL"/>
    <n v="4.3478260869565223E-2"/>
    <n v="335"/>
    <x v="152"/>
    <s v="ExtHighIRotorInv phase: 1"/>
    <s v="Breakdown"/>
    <d v="1899-12-30T00:41:10"/>
    <d v="1899-12-30T00:41:10"/>
    <d v="1899-12-30T01:06:10"/>
    <d v="1899-12-30T00:00:00"/>
    <n v="0.41666666666666663"/>
    <n v="0.41666666666666663"/>
    <s v="Auto reset"/>
    <s v="Close"/>
    <n v="1.8115942028985508E-2"/>
    <n v="1"/>
    <n v="0.1"/>
    <m/>
  </r>
  <r>
    <n v="1872"/>
    <n v="2025"/>
    <n v="2024"/>
    <s v="Year_2"/>
    <d v="2024-05-21T00:00:00"/>
    <s v="KUD03"/>
    <s v="O2R1"/>
    <s v="KSIPL"/>
    <n v="4.3478260869565223E-2"/>
    <n v="3806"/>
    <x v="147"/>
    <s v="HubSafetySystem Batt.Charg.Err"/>
    <s v="Breakdown"/>
    <d v="1899-12-30T18:51:02"/>
    <d v="1899-12-30T18:51:02"/>
    <d v="1899-12-30T19:07:42"/>
    <d v="1899-12-30T00:00:00"/>
    <n v="0.27777777777777768"/>
    <n v="0.27777777777777768"/>
    <s v="Auto reset"/>
    <s v="Close"/>
    <n v="1.2077294685990336E-2"/>
    <n v="1"/>
    <n v="0.04"/>
    <m/>
  </r>
  <r>
    <n v="1873"/>
    <n v="2025"/>
    <n v="2024"/>
    <s v="Year_2"/>
    <d v="2024-05-21T00:00:00"/>
    <s v="KUD08"/>
    <s v="O2R3"/>
    <s v="JK"/>
    <n v="4.3478260869565223E-2"/>
    <n v="3273"/>
    <x v="35"/>
    <s v="YawUntwistCCW: Code 6,    540Â°"/>
    <s v="Breakdown"/>
    <d v="1899-12-30T10:58:31"/>
    <d v="1899-12-30T10:58:31"/>
    <d v="1899-12-30T11:20:27"/>
    <d v="1899-12-30T00:00:00"/>
    <n v="0.36555555555555497"/>
    <n v="0.36555555555555497"/>
    <s v="Turbine self cable Twist release"/>
    <s v="Close"/>
    <n v="1.5893719806763261E-2"/>
    <n v="1"/>
    <n v="0.02"/>
    <m/>
  </r>
  <r>
    <n v="1874"/>
    <n v="2025"/>
    <n v="2024"/>
    <s v="Year_2"/>
    <d v="2024-05-21T00:00:00"/>
    <s v="KUD08"/>
    <s v="O2R3"/>
    <s v="JK"/>
    <n v="4.3478260869565223E-2"/>
    <n v="3273"/>
    <x v="35"/>
    <s v="YawUntwistCCW: Code 6,    548Â°"/>
    <s v="Breakdown"/>
    <d v="1899-12-30T17:02:35"/>
    <d v="1899-12-30T17:02:35"/>
    <d v="1899-12-30T17:28:59"/>
    <d v="1899-12-30T00:00:00"/>
    <n v="0.4399999999999995"/>
    <n v="0.4399999999999995"/>
    <s v="Turbine self cable Twist release"/>
    <s v="Close"/>
    <n v="1.9130434782608677E-2"/>
    <n v="1"/>
    <n v="0"/>
    <m/>
  </r>
  <r>
    <n v="1875"/>
    <n v="2025"/>
    <n v="2024"/>
    <s v="Year_2"/>
    <d v="2024-05-21T00:00:00"/>
    <s v="KUD12"/>
    <s v="O2R1"/>
    <s v="KSIPL"/>
    <n v="4.3478260869565223E-2"/>
    <n v="3273"/>
    <x v="35"/>
    <s v="YawUntwistCCW: Code 6,    563Â°"/>
    <s v="Breakdown"/>
    <d v="1899-12-30T17:02:48"/>
    <d v="1899-12-30T17:02:48"/>
    <d v="1899-12-30T17:26:49"/>
    <d v="1899-12-30T00:00:00"/>
    <n v="0.40027777777777818"/>
    <n v="0.40027777777777818"/>
    <s v="Turbine self cable Twist release"/>
    <s v="Close"/>
    <n v="1.7403381642512098E-2"/>
    <n v="1"/>
    <n v="0.11"/>
    <m/>
  </r>
  <r>
    <n v="1876"/>
    <n v="2025"/>
    <n v="2024"/>
    <s v="Year_2"/>
    <d v="2024-05-21T00:00:00"/>
    <s v="KUD13"/>
    <s v="O2R1"/>
    <s v="KSIPL"/>
    <n v="4.3478260869565223E-2"/>
    <n v="3806"/>
    <x v="147"/>
    <s v="HubSafetySystem Batt.Charg.Err"/>
    <s v="Breakdown"/>
    <d v="1899-12-30T18:52:28"/>
    <d v="1899-12-30T18:52:28"/>
    <d v="1899-12-30T19:33:46"/>
    <d v="1899-12-30T00:00:00"/>
    <n v="0.68833333333333435"/>
    <n v="0.68833333333333435"/>
    <s v="Auto reset"/>
    <s v="Close"/>
    <n v="2.9927536231884107E-2"/>
    <n v="1"/>
    <n v="0.05"/>
    <m/>
  </r>
  <r>
    <n v="1877"/>
    <n v="2025"/>
    <n v="2024"/>
    <s v="Year_2"/>
    <d v="2024-05-21T00:00:00"/>
    <s v="KUD13"/>
    <s v="O2R1"/>
    <s v="KSIPL"/>
    <n v="4.3478260869565223E-2"/>
    <n v="3272"/>
    <x v="143"/>
    <s v="YawUntwistCW: Code 3,-000540Â°"/>
    <s v="Breakdown"/>
    <d v="1899-12-30T21:26:47"/>
    <d v="1899-12-30T21:26:47"/>
    <d v="1899-12-30T21:48:32"/>
    <d v="1899-12-30T00:00:00"/>
    <n v="0.36250000000000071"/>
    <n v="0.36250000000000071"/>
    <s v="Turbine self cable Twist release"/>
    <s v="Close"/>
    <n v="1.5760869565217425E-2"/>
    <n v="1"/>
    <n v="0"/>
    <m/>
  </r>
  <r>
    <n v="1878"/>
    <n v="2025"/>
    <n v="2024"/>
    <s v="Year_2"/>
    <d v="2024-05-21T00:00:00"/>
    <s v="KUD20"/>
    <s v="O2R1"/>
    <s v="KSIPL"/>
    <n v="4.3478260869565223E-2"/>
    <n v="3273"/>
    <x v="35"/>
    <s v="YawUntwistCCW: Code 6,    612Â°"/>
    <s v="Breakdown"/>
    <d v="1899-12-30T15:31:48"/>
    <d v="1899-12-30T15:31:48"/>
    <d v="1899-12-30T15:57:43"/>
    <d v="1899-12-30T00:00:00"/>
    <n v="0.43194444444444446"/>
    <n v="0.43194444444444446"/>
    <s v="Turbine self cable Twist release"/>
    <s v="Close"/>
    <n v="1.8780193236714978E-2"/>
    <n v="1"/>
    <n v="0.17"/>
    <m/>
  </r>
  <r>
    <n v="1879"/>
    <n v="2025"/>
    <n v="2024"/>
    <s v="Year_2"/>
    <d v="2024-05-21T00:00:00"/>
    <s v="KUD04"/>
    <s v="O2R3"/>
    <s v="JK"/>
    <n v="4.3478260869565223E-2"/>
    <n v="2676"/>
    <x v="124"/>
    <s v="UPS Error"/>
    <s v="Breakdown"/>
    <d v="1899-12-30T03:34:03"/>
    <d v="1899-12-30T03:34:03"/>
    <d v="1899-12-30T04:44:31"/>
    <d v="1899-12-30T00:00:00"/>
    <n v="1.1744444444444446"/>
    <n v="1.1744444444444446"/>
    <s v="UPS output feedback supply malfunction so rebooted then restored"/>
    <s v="Close"/>
    <n v="5.1062801932367168E-2"/>
    <n v="1"/>
    <n v="0.66"/>
    <m/>
  </r>
  <r>
    <n v="1880"/>
    <n v="2025"/>
    <n v="2024"/>
    <s v="Year_2"/>
    <d v="2024-05-21T00:00:00"/>
    <s v="KUD07"/>
    <s v="O2R3"/>
    <s v="JK"/>
    <n v="4.3478260869565223E-2"/>
    <n v="3273"/>
    <x v="35"/>
    <s v="YawUntwistCCW: Code 6,    540Â°"/>
    <s v="Breakdown"/>
    <d v="1899-12-30T11:00:49"/>
    <d v="1899-12-30T11:00:49"/>
    <d v="1899-12-30T11:21:35"/>
    <d v="1899-12-30T00:00:00"/>
    <n v="0.34611111111111104"/>
    <n v="0.34611111111111104"/>
    <s v="Turbine self cable Twist release"/>
    <s v="Close"/>
    <n v="1.504830917874396E-2"/>
    <n v="1"/>
    <n v="0.32"/>
    <m/>
  </r>
  <r>
    <n v="1881"/>
    <n v="2025"/>
    <n v="2024"/>
    <s v="Year_2"/>
    <d v="2024-05-21T00:00:00"/>
    <s v="KUD16"/>
    <s v="O2R2"/>
    <s v="SIL"/>
    <n v="4.3478260869565223E-2"/>
    <n v="3273"/>
    <x v="35"/>
    <s v="YawUntwistCCW: Code 6,    545Â°"/>
    <s v="Breakdown"/>
    <d v="1899-12-30T13:26:08"/>
    <d v="1899-12-30T13:26:08"/>
    <d v="1899-12-30T13:54:07"/>
    <d v="1899-12-30T00:00:00"/>
    <n v="0.46638888888889074"/>
    <n v="0.46638888888889074"/>
    <s v="Turbine self cable Twist release"/>
    <s v="Close"/>
    <n v="2.027777777777786E-2"/>
    <n v="1"/>
    <n v="0.04"/>
    <m/>
  </r>
  <r>
    <n v="1882"/>
    <n v="2025"/>
    <n v="2024"/>
    <s v="Year_2"/>
    <d v="2024-05-21T00:00:00"/>
    <s v="KUD17"/>
    <s v="O2R2"/>
    <s v="SIL"/>
    <n v="4.3478260869565223E-2"/>
    <n v="3273"/>
    <x v="35"/>
    <s v="YawUntwistCCW: Code 6,    554Â°"/>
    <s v="Breakdown"/>
    <d v="1899-12-30T13:01:55"/>
    <d v="1899-12-30T13:01:55"/>
    <d v="1899-12-30T13:22:04"/>
    <d v="1899-12-30T00:00:00"/>
    <n v="0.33583333333333254"/>
    <n v="0.33583333333333254"/>
    <s v="Turbine self cable Twist release"/>
    <s v="Close"/>
    <n v="1.4601449275362286E-2"/>
    <n v="1"/>
    <n v="0.06"/>
    <m/>
  </r>
  <r>
    <n v="1883"/>
    <n v="2025"/>
    <n v="2024"/>
    <s v="Year_2"/>
    <d v="2024-05-21T00:00:00"/>
    <s v="KUD04"/>
    <s v="O2R3"/>
    <s v="JK"/>
    <n v="4.3478260869565223E-2"/>
    <n v="30"/>
    <x v="44"/>
    <s v="Internal sublogic error"/>
    <s v="Breakdown"/>
    <d v="1899-12-30T18:54:13"/>
    <d v="1899-12-30T18:54:13"/>
    <d v="1899-12-30T19:20:32"/>
    <d v="1899-12-30T00:00:00"/>
    <n v="0.43861111111111217"/>
    <n v="0.43861111111111217"/>
    <s v="Auto reset"/>
    <s v="Close"/>
    <n v="1.9070048309178793E-2"/>
    <n v="1"/>
    <n v="0"/>
    <m/>
  </r>
  <r>
    <n v="1884"/>
    <n v="2025"/>
    <n v="2024"/>
    <s v="Year_2"/>
    <d v="2024-05-21T00:00:00"/>
    <s v="KUD16"/>
    <s v="O2R2"/>
    <s v="SIL"/>
    <n v="4.3478260869565223E-2"/>
    <n v="4239"/>
    <x v="40"/>
    <s v="HVCB Unknown Trip Reason"/>
    <s v="Breakdown"/>
    <d v="1899-12-30T18:51:29"/>
    <d v="1899-12-30T18:51:29"/>
    <d v="1899-12-30T19:09:37"/>
    <d v="1899-12-30T00:00:00"/>
    <n v="0.30222222222222239"/>
    <n v="0.30222222222222239"/>
    <s v="Remote reset done"/>
    <s v="Close"/>
    <n v="1.3140096618357498E-2"/>
    <n v="1"/>
    <n v="0"/>
    <m/>
  </r>
  <r>
    <n v="1885"/>
    <n v="2025"/>
    <n v="2024"/>
    <s v="Year_2"/>
    <d v="2024-05-22T00:00:00"/>
    <s v="KUD01"/>
    <s v="O2R1"/>
    <s v="KSIPL"/>
    <n v="4.3478260869565223E-2"/>
    <n v="4034"/>
    <x v="173"/>
    <s v="SafetySystem Hub Error"/>
    <s v="Breakdown"/>
    <d v="2024-05-22T08:21:24"/>
    <d v="2024-05-22T08:21:24"/>
    <d v="2024-05-22T13:17:14"/>
    <d v="1899-12-30T00:00:00"/>
    <n v="4.9305555556202307"/>
    <n v="4.9305555556202307"/>
    <s v="Found Safety Pilz relay failure so replaced "/>
    <s v="Close"/>
    <n v="0.21437198067914048"/>
    <n v="1"/>
    <n v="0.18"/>
    <m/>
  </r>
  <r>
    <n v="1886"/>
    <n v="2025"/>
    <n v="2024"/>
    <s v="Year_2"/>
    <d v="2024-05-22T00:00:00"/>
    <s v="KUD01"/>
    <s v="O2R1"/>
    <s v="KSIPL"/>
    <n v="4.3478260869565223E-2"/>
    <n v="450"/>
    <x v="127"/>
    <s v="Ext. High I sum Grd inv."/>
    <s v="Breakdown"/>
    <d v="2024-05-22T18:13:07"/>
    <d v="2024-05-22T18:13:07"/>
    <d v="2024-05-22T18:21:52"/>
    <d v="1899-12-30T00:00:00"/>
    <n v="0.14583333337213844"/>
    <n v="0.14583333337213844"/>
    <s v="Auto reset"/>
    <s v="Close"/>
    <n v="6.340579711832107E-3"/>
    <n v="1"/>
    <n v="0"/>
    <m/>
  </r>
  <r>
    <n v="1887"/>
    <n v="2025"/>
    <n v="2024"/>
    <s v="Year_2"/>
    <d v="2024-05-22T00:00:00"/>
    <s v="KUD03"/>
    <s v="O2R1"/>
    <s v="KSIPL"/>
    <n v="4.3478260869565223E-2"/>
    <n v="3806"/>
    <x v="147"/>
    <s v="HubSafetySystem Batt.Charg.Err"/>
    <s v="Breakdown"/>
    <d v="2024-05-22T17:38:13"/>
    <d v="2024-05-22T17:38:13"/>
    <d v="2024-05-22T17:48:09"/>
    <d v="1899-12-30T00:00:00"/>
    <n v="0.16555555548984557"/>
    <n v="0.16555555548984557"/>
    <s v="Auto reset"/>
    <s v="Close"/>
    <n v="7.1980676299932865E-3"/>
    <n v="1"/>
    <n v="0.1"/>
    <m/>
  </r>
  <r>
    <n v="1888"/>
    <n v="2025"/>
    <n v="2024"/>
    <s v="Year_2"/>
    <d v="2024-05-22T00:00:00"/>
    <s v="KUD03"/>
    <s v="O2R1"/>
    <s v="KSIPL"/>
    <n v="4.3478260869565223E-2"/>
    <n v="3273"/>
    <x v="35"/>
    <s v="YawUntwistCCW: Code 5,    544Â°"/>
    <s v="Breakdown"/>
    <d v="2024-05-22T22:41:59"/>
    <d v="2024-05-22T22:41:59"/>
    <d v="2024-05-22T23:07:28"/>
    <d v="1899-12-30T00:00:00"/>
    <n v="0.42472222214564681"/>
    <n v="0.42472222214564681"/>
    <s v="Turbine self cable Twist release"/>
    <s v="Close"/>
    <n v="1.8466183571549864E-2"/>
    <n v="1"/>
    <n v="0"/>
    <m/>
  </r>
  <r>
    <n v="1889"/>
    <n v="2025"/>
    <n v="2024"/>
    <s v="Year_2"/>
    <d v="2024-05-22T00:00:00"/>
    <s v="KUD08"/>
    <s v="O2R3"/>
    <s v="JK"/>
    <n v="4.3478260869565223E-2"/>
    <n v="3273"/>
    <x v="35"/>
    <s v="YawUntwistCCW: Code 6,    540Â°"/>
    <s v="Breakdown"/>
    <d v="2024-05-22T12:00:07"/>
    <d v="2024-05-22T12:00:07"/>
    <d v="2024-05-22T12:21:51"/>
    <d v="1899-12-30T00:00:00"/>
    <n v="0.36222222237847745"/>
    <n v="0.36222222237847745"/>
    <s v="Turbine self cable Twist release"/>
    <s v="Close"/>
    <n v="1.5748792277325108E-2"/>
    <n v="1"/>
    <n v="0.23"/>
    <m/>
  </r>
  <r>
    <n v="1890"/>
    <n v="2025"/>
    <n v="2024"/>
    <s v="Year_2"/>
    <d v="2024-05-22T00:00:00"/>
    <s v="KUD08"/>
    <s v="O2R3"/>
    <s v="JK"/>
    <n v="4.3478260869565223E-2"/>
    <n v="5196"/>
    <x v="114"/>
    <s v="Prop Valve B Status Fault"/>
    <s v="Breakdown"/>
    <d v="2024-05-22T17:43:23"/>
    <d v="2024-05-22T17:43:23"/>
    <d v="2024-05-22T18:04:41"/>
    <d v="1899-12-30T00:00:00"/>
    <n v="0.35500000003958121"/>
    <n v="0.35500000003958121"/>
    <s v="remote reset done"/>
    <s v="Close"/>
    <n v="1.5434782610416576E-2"/>
    <n v="1"/>
    <n v="0"/>
    <m/>
  </r>
  <r>
    <n v="1891"/>
    <n v="2025"/>
    <n v="2024"/>
    <s v="Year_2"/>
    <d v="2024-05-22T00:00:00"/>
    <s v="KUD10"/>
    <s v="O2R1"/>
    <s v="KSIPL"/>
    <n v="4.3478260869565223E-2"/>
    <n v="5196"/>
    <x v="114"/>
    <s v="Prop Valve B Status Fault"/>
    <s v="Breakdown"/>
    <d v="2024-05-22T10:41:40"/>
    <d v="2024-05-22T10:41:40"/>
    <d v="2024-05-22T10:50:02"/>
    <d v="1899-12-30T00:00:00"/>
    <n v="0.13944444438675418"/>
    <n v="0.13944444438675418"/>
    <s v="remote reset done"/>
    <s v="Close"/>
    <n v="6.0628019298588787E-3"/>
    <n v="1"/>
    <n v="0.03"/>
    <m/>
  </r>
  <r>
    <n v="1892"/>
    <n v="2025"/>
    <n v="2024"/>
    <s v="Year_2"/>
    <d v="2024-05-22T00:00:00"/>
    <s v="KUD10"/>
    <s v="O2R1"/>
    <s v="KSIPL"/>
    <n v="4.3478260869565223E-2"/>
    <n v="3273"/>
    <x v="35"/>
    <s v="YawUntwistCCW: Code 6,    540Â°"/>
    <s v="Breakdown"/>
    <d v="2024-05-22T12:20:46"/>
    <d v="2024-05-22T12:20:46"/>
    <d v="2024-05-22T12:46:12"/>
    <d v="1899-12-30T00:00:00"/>
    <n v="0.42388888879213482"/>
    <n v="0.42388888879213482"/>
    <s v="Turbine self cable Twist release"/>
    <s v="Close"/>
    <n v="1.842995168661456E-2"/>
    <n v="1"/>
    <n v="0"/>
    <m/>
  </r>
  <r>
    <n v="1893"/>
    <n v="2025"/>
    <n v="2024"/>
    <s v="Year_2"/>
    <d v="2024-05-22T00:00:00"/>
    <s v="KUD11"/>
    <s v="O2R1"/>
    <s v="KSIPL"/>
    <n v="4.3478260869565223E-2"/>
    <n v="4235"/>
    <x v="93"/>
    <s v="Gen Stator CB Open"/>
    <s v="Breakdown"/>
    <d v="2024-05-22T09:50:21"/>
    <d v="2024-05-22T09:50:21"/>
    <d v="2024-05-22T09:59:19"/>
    <d v="1899-12-30T00:00:00"/>
    <n v="0.14944444445427507"/>
    <n v="0.14944444445427507"/>
    <s v="Auto reset"/>
    <s v="Close"/>
    <n v="6.4975845414902214E-3"/>
    <n v="1"/>
    <n v="0.1"/>
    <m/>
  </r>
  <r>
    <n v="1894"/>
    <n v="2025"/>
    <n v="2024"/>
    <s v="Year_2"/>
    <d v="2024-05-22T00:00:00"/>
    <s v="KUD11"/>
    <s v="O2R1"/>
    <s v="KSIPL"/>
    <n v="4.3478260869565223E-2"/>
    <n v="3298"/>
    <x v="47"/>
    <s v="Yaw To Cable Twist Reset"/>
    <s v="Breakdown"/>
    <d v="2024-05-22T17:44:59"/>
    <d v="2024-05-22T17:44:59"/>
    <d v="2024-05-22T18:15:01"/>
    <d v="1899-12-30T00:00:00"/>
    <n v="0.50055555556900799"/>
    <n v="0.50055555556900799"/>
    <s v="Turbine self cable Twist release"/>
    <s v="Close"/>
    <n v="2.1763285024739482E-2"/>
    <n v="1"/>
    <n v="0"/>
    <m/>
  </r>
  <r>
    <n v="1895"/>
    <n v="2025"/>
    <n v="2024"/>
    <s v="Year_2"/>
    <d v="2024-05-22T00:00:00"/>
    <s v="KUD13"/>
    <s v="O2R1"/>
    <s v="KSIPL"/>
    <n v="4.3478260869565223E-2"/>
    <n v="3806"/>
    <x v="147"/>
    <s v="HubSafetySystem Batt.Charg.Err"/>
    <s v="Breakdown"/>
    <d v="2024-05-22T17:38:44"/>
    <d v="2024-05-22T17:38:44"/>
    <d v="2024-05-22T17:48:10"/>
    <d v="1899-12-30T00:00:00"/>
    <n v="0.15722222230397165"/>
    <n v="0.15722222230397165"/>
    <s v="Auto reset"/>
    <s v="Close"/>
    <n v="6.8357487958248548E-3"/>
    <n v="1"/>
    <n v="0.26"/>
    <m/>
  </r>
  <r>
    <n v="1896"/>
    <n v="2025"/>
    <n v="2024"/>
    <s v="Year_2"/>
    <d v="2024-05-22T00:00:00"/>
    <s v="KUD13"/>
    <s v="O2R1"/>
    <s v="KSIPL"/>
    <n v="4.3478260869565223E-2"/>
    <n v="4235"/>
    <x v="93"/>
    <s v="Gen Stator CB Open"/>
    <s v="Breakdown"/>
    <d v="2024-05-22T17:49:05"/>
    <d v="2024-05-22T17:49:05"/>
    <d v="2024-05-22T17:50:55"/>
    <d v="1899-12-30T00:00:00"/>
    <n v="3.0555555538740009E-2"/>
    <n v="3.0555555538740009E-2"/>
    <s v="Auto reset"/>
    <s v="Close"/>
    <n v="1.3285024147278266E-3"/>
    <n v="1"/>
    <n v="0"/>
    <m/>
  </r>
  <r>
    <n v="1897"/>
    <n v="2025"/>
    <n v="2024"/>
    <s v="Year_2"/>
    <d v="2024-05-22T00:00:00"/>
    <s v="KUD13"/>
    <s v="O2R1"/>
    <s v="KSIPL"/>
    <n v="4.3478260869565223E-2"/>
    <n v="3296"/>
    <x v="46"/>
    <s v="Yaw To Nacelle Position Reset"/>
    <s v="Breakdown"/>
    <d v="2024-05-22T17:56:14"/>
    <d v="2024-05-22T17:56:14"/>
    <d v="2024-05-22T18:20:03"/>
    <d v="1899-12-30T00:00:00"/>
    <n v="0.39694444451015443"/>
    <n v="0.39694444451015443"/>
    <s v="Turbine self cable Twist release"/>
    <s v="Close"/>
    <n v="1.725845410913715E-2"/>
    <n v="1"/>
    <n v="0"/>
    <m/>
  </r>
  <r>
    <n v="1898"/>
    <n v="2025"/>
    <n v="2024"/>
    <s v="Year_2"/>
    <d v="2024-05-22T00:00:00"/>
    <s v="KUD14"/>
    <s v="O2R1"/>
    <s v="KSIPL"/>
    <n v="4.3478260869565223E-2"/>
    <n v="3298"/>
    <x v="47"/>
    <s v="Yaw To Cable Twist Reset"/>
    <s v="Breakdown"/>
    <d v="2024-05-22T17:45:29"/>
    <d v="2024-05-22T17:45:29"/>
    <d v="2024-05-22T18:24:22"/>
    <d v="1899-12-30T00:00:00"/>
    <n v="0.64805555547354743"/>
    <n v="0.64805555547354743"/>
    <s v="Turbine self cable Twist release"/>
    <s v="Close"/>
    <n v="2.8176328498849892E-2"/>
    <n v="1"/>
    <n v="0.26"/>
    <m/>
  </r>
  <r>
    <n v="1899"/>
    <n v="2025"/>
    <n v="2024"/>
    <s v="Year_2"/>
    <d v="2024-05-22T00:00:00"/>
    <s v="KUD20"/>
    <s v="O2R1"/>
    <s v="KSIPL"/>
    <n v="4.3478260869565223E-2"/>
    <n v="3806"/>
    <x v="147"/>
    <s v="HubSafetySystem Batt.Charg.Err"/>
    <s v="Breakdown"/>
    <d v="1899-12-30T17:42:00"/>
    <d v="1899-12-30T17:42:00"/>
    <d v="1899-12-30T17:51:00"/>
    <d v="1899-12-30T00:00:00"/>
    <n v="0.14999999999999947"/>
    <n v="0.14999999999999947"/>
    <s v="Auto reset"/>
    <s v="Close"/>
    <n v="6.5217391304347606E-3"/>
    <n v="1"/>
    <n v="0.12"/>
    <m/>
  </r>
  <r>
    <n v="1900"/>
    <n v="2025"/>
    <n v="2024"/>
    <s v="Year_2"/>
    <d v="2024-05-22T00:00:00"/>
    <s v="KUD07"/>
    <s v="O2R3"/>
    <s v="JK"/>
    <n v="4.3478260869565223E-2"/>
    <n v="3273"/>
    <x v="35"/>
    <s v="YawUntwistCCW: Code 6,    540Â°"/>
    <s v="Breakdown"/>
    <d v="2024-05-22T12:13:49"/>
    <d v="2024-05-22T12:13:49"/>
    <d v="2024-05-22T12:33:54"/>
    <d v="1899-12-30T00:00:00"/>
    <n v="0.33472222223645076"/>
    <n v="0.33472222223645076"/>
    <s v="Turbine self cable Twist release"/>
    <s v="Close"/>
    <n v="1.4553140097236992E-2"/>
    <n v="1"/>
    <n v="0.08"/>
    <m/>
  </r>
  <r>
    <n v="1901"/>
    <n v="2025"/>
    <n v="2024"/>
    <s v="Year_2"/>
    <d v="2024-05-22T00:00:00"/>
    <s v="KUD16"/>
    <s v="O2R2"/>
    <s v="SIL"/>
    <n v="4.3478260869565223E-2"/>
    <n v="4239"/>
    <x v="40"/>
    <s v="HVCB Unknown Trip Reason"/>
    <s v="Breakdown"/>
    <d v="2024-05-22T17:48:08"/>
    <d v="2024-05-22T17:48:08"/>
    <d v="2024-05-22T18:06:36"/>
    <d v="1899-12-30T00:00:00"/>
    <n v="0.30777777777984738"/>
    <n v="0.30777777777984738"/>
    <s v="remote reset done"/>
    <s v="Close"/>
    <n v="1.338164251216728E-2"/>
    <n v="1"/>
    <n v="0.13"/>
    <m/>
  </r>
  <r>
    <n v="1902"/>
    <n v="2025"/>
    <n v="2024"/>
    <s v="Year_2"/>
    <d v="2024-05-23T00:00:00"/>
    <s v="KUD01"/>
    <s v="O2R1"/>
    <s v="KSIPL"/>
    <n v="4.3478260869565223E-2"/>
    <n v="3273"/>
    <x v="35"/>
    <s v="YawUntwistCCW: Code 6,    540Â°"/>
    <s v="Breakdown"/>
    <d v="1899-12-30T05:58:56"/>
    <d v="1899-12-30T05:58:56"/>
    <d v="1899-12-30T06:25:21"/>
    <d v="1899-12-30T00:00:00"/>
    <n v="0.4402777777777771"/>
    <n v="0.4402777777777771"/>
    <s v="Turbine self cable Twist release"/>
    <s v="Close"/>
    <n v="1.9142512077294661E-2"/>
    <n v="1"/>
    <n v="0"/>
    <m/>
  </r>
  <r>
    <n v="1903"/>
    <n v="2025"/>
    <n v="2024"/>
    <s v="Year_2"/>
    <d v="2024-05-23T00:00:00"/>
    <s v="KUD06"/>
    <s v="O2R3"/>
    <s v="JK"/>
    <n v="4.3478260869565223E-2"/>
    <n v="3273"/>
    <x v="35"/>
    <s v="YawUntwistCCW: Code 6,    540Â°"/>
    <s v="Breakdown"/>
    <d v="1899-12-30T05:24:10"/>
    <d v="1899-12-30T05:24:10"/>
    <d v="1899-12-30T05:44:07"/>
    <d v="1899-12-30T00:00:00"/>
    <n v="0.33250000000000002"/>
    <n v="0.33250000000000002"/>
    <s v="Turbine self cable Twist release"/>
    <s v="Close"/>
    <n v="1.4456521739130437E-2"/>
    <n v="1"/>
    <n v="0"/>
    <m/>
  </r>
  <r>
    <n v="1904"/>
    <n v="2025"/>
    <n v="2024"/>
    <s v="Year_2"/>
    <d v="2024-05-23T00:00:00"/>
    <s v="KUD09"/>
    <s v="O2R3"/>
    <s v="JK"/>
    <n v="4.3478260869565223E-2"/>
    <n v="3273"/>
    <x v="35"/>
    <s v="YawUntwistCCW: Code 6,    629Â°"/>
    <s v="Breakdown"/>
    <d v="1899-12-30T19:43:37"/>
    <d v="1899-12-30T19:43:37"/>
    <d v="1899-12-30T20:10:45"/>
    <d v="1899-12-30T00:00:00"/>
    <n v="0.45222222222222186"/>
    <n v="0.45222222222222186"/>
    <s v="Turbine self cable Twist release"/>
    <s v="Close"/>
    <n v="1.9661835748792256E-2"/>
    <n v="1"/>
    <n v="0.01"/>
    <m/>
  </r>
  <r>
    <n v="1905"/>
    <n v="2025"/>
    <n v="2024"/>
    <s v="Year_2"/>
    <d v="2024-05-23T00:00:00"/>
    <s v="KUD10"/>
    <s v="O2R1"/>
    <s v="KSIPL"/>
    <n v="4.3478260869565223E-2"/>
    <n v="3273"/>
    <x v="35"/>
    <s v="YawUntwistCCW: Code 6,    638Â°"/>
    <s v="Breakdown"/>
    <d v="1899-12-30T11:36:51"/>
    <d v="1899-12-30T11:36:51"/>
    <d v="1899-12-30T12:03:16"/>
    <d v="1899-12-30T00:00:00"/>
    <n v="0.44027777777777777"/>
    <n v="0.44027777777777777"/>
    <s v="Turbine self cable Twist release"/>
    <s v="Close"/>
    <n v="1.9142512077294688E-2"/>
    <n v="1"/>
    <n v="0.02"/>
    <m/>
  </r>
  <r>
    <n v="1906"/>
    <n v="2025"/>
    <n v="2024"/>
    <s v="Year_2"/>
    <d v="2024-05-23T00:00:00"/>
    <s v="KUD15"/>
    <s v="O2R1"/>
    <s v="KSIPL"/>
    <n v="4.3478260869565223E-2"/>
    <n v="3273"/>
    <x v="35"/>
    <s v="YawUntwistCCW: Code 6,    540Â°"/>
    <s v="Breakdown"/>
    <d v="1899-12-30T06:19:48"/>
    <d v="1899-12-30T06:19:48"/>
    <d v="1899-12-30T06:41:35"/>
    <d v="1899-12-30T00:00:00"/>
    <n v="0.36305555555555591"/>
    <n v="0.36305555555555591"/>
    <s v="Turbine self cable Twist release"/>
    <s v="Close"/>
    <n v="1.5785024154589388E-2"/>
    <n v="1"/>
    <n v="0"/>
    <m/>
  </r>
  <r>
    <n v="1907"/>
    <n v="2025"/>
    <n v="2024"/>
    <s v="Year_2"/>
    <d v="2024-05-23T00:00:00"/>
    <s v="KUD18"/>
    <s v="O2R4"/>
    <s v="SGDCIPL"/>
    <n v="4.3478260869565223E-2"/>
    <n v="3209"/>
    <x v="101"/>
    <s v="YawSignals Invalid"/>
    <s v="Breakdown"/>
    <d v="1899-12-30T03:12:33"/>
    <d v="1899-12-30T03:12:33"/>
    <d v="1899-12-30T03:15:08"/>
    <d v="1899-12-30T00:00:00"/>
    <n v="4.3055555555555181E-2"/>
    <n v="4.3055555555555181E-2"/>
    <s v="Auto reset"/>
    <s v="Close"/>
    <n v="1.8719806763284864E-3"/>
    <n v="1"/>
    <n v="0"/>
    <m/>
  </r>
  <r>
    <n v="1908"/>
    <n v="2025"/>
    <n v="2024"/>
    <s v="Year_2"/>
    <d v="2024-05-23T00:00:00"/>
    <s v="KUD18"/>
    <s v="O2R4"/>
    <s v="SGDCIPL"/>
    <n v="4.3478260869565223E-2"/>
    <n v="3273"/>
    <x v="35"/>
    <s v="YawUntwistCCW: Code 6,    602Â°"/>
    <s v="Breakdown"/>
    <d v="1899-12-30T19:45:07"/>
    <d v="1899-12-30T19:45:07"/>
    <d v="1899-12-30T20:10:27"/>
    <d v="1899-12-30T00:00:00"/>
    <n v="0.42222222222221983"/>
    <n v="0.42222222222221983"/>
    <s v="Turbine self cable Twist release"/>
    <s v="Close"/>
    <n v="1.8357487922705213E-2"/>
    <n v="1"/>
    <n v="0.05"/>
    <m/>
  </r>
  <r>
    <n v="1909"/>
    <n v="2025"/>
    <n v="2024"/>
    <s v="Year_2"/>
    <d v="2024-05-23T00:00:00"/>
    <s v="KUD19"/>
    <s v="O2R1"/>
    <s v="KSIPL"/>
    <n v="4.3478260869565223E-2"/>
    <n v="75"/>
    <x v="176"/>
    <s v="PitchB pos: 0.0Â° vel:  0.0Â°/s"/>
    <s v="Breakdown"/>
    <d v="1899-12-30T09:50:03"/>
    <d v="1899-12-30T09:50:03"/>
    <d v="1899-12-30T11:54:23"/>
    <d v="1899-12-30T00:00:00"/>
    <n v="2.072222222222222"/>
    <n v="2.072222222222222"/>
    <s v="Manual reboot and system testing process done"/>
    <s v="Close"/>
    <n v="9.0096618357487918E-2"/>
    <n v="1"/>
    <n v="0.02"/>
    <m/>
  </r>
  <r>
    <n v="1910"/>
    <n v="2025"/>
    <n v="2024"/>
    <s v="Year_2"/>
    <d v="2024-05-23T00:00:00"/>
    <s v="KUD19"/>
    <s v="O2R1"/>
    <s v="KSIPL"/>
    <n v="4.3478260869565223E-2"/>
    <n v="75"/>
    <x v="176"/>
    <s v="PitchB pos: 0.0Â° vel:  0.0Â°/s"/>
    <s v="Breakdown"/>
    <d v="1899-12-30T14:46:05"/>
    <d v="1899-12-30T14:46:05"/>
    <d v="1899-12-30T15:34:03"/>
    <d v="1899-12-30T00:00:00"/>
    <n v="0.79944444444444596"/>
    <n v="0.79944444444444596"/>
    <s v="Auto reset"/>
    <s v="Close"/>
    <n v="3.4758454106280263E-2"/>
    <n v="1"/>
    <n v="0"/>
    <m/>
  </r>
  <r>
    <n v="1911"/>
    <n v="2025"/>
    <n v="2024"/>
    <s v="Year_2"/>
    <d v="2024-05-23T00:00:00"/>
    <s v="KUD19"/>
    <s v="O2R1"/>
    <s v="KSIPL"/>
    <n v="4.3478260869565223E-2"/>
    <n v="75"/>
    <x v="176"/>
    <s v="PitchB pos: 0.0Â° vel:  0.0Â°/s"/>
    <s v="Breakdown"/>
    <d v="1899-12-30T18:19:53"/>
    <d v="1899-12-30T18:19:53"/>
    <d v="1899-12-30T18:28:05"/>
    <d v="1899-12-30T00:00:00"/>
    <n v="0.13666666666666671"/>
    <n v="0.13666666666666671"/>
    <s v="Auto reset"/>
    <s v="Close"/>
    <n v="5.942028985507249E-3"/>
    <n v="1"/>
    <n v="0"/>
    <m/>
  </r>
  <r>
    <n v="1912"/>
    <n v="2025"/>
    <n v="2024"/>
    <s v="Year_2"/>
    <d v="2024-05-23T00:00:00"/>
    <s v="KUD19"/>
    <s v="O2R1"/>
    <s v="KSIPL"/>
    <n v="4.3478260869565223E-2"/>
    <n v="3273"/>
    <x v="35"/>
    <s v="YawUntwistCCW: Code 6,    616Â°"/>
    <s v="Breakdown"/>
    <d v="1899-12-30T19:47:02"/>
    <d v="1899-12-30T19:47:02"/>
    <d v="1899-12-30T20:10:33"/>
    <d v="1899-12-30T00:00:00"/>
    <n v="0.39194444444444354"/>
    <n v="0.39194444444444354"/>
    <s v="Turbine self cable Twist release"/>
    <s v="Close"/>
    <n v="1.7041062801932329E-2"/>
    <n v="1"/>
    <n v="0"/>
    <m/>
  </r>
  <r>
    <n v="1913"/>
    <n v="2025"/>
    <n v="2024"/>
    <s v="Year_2"/>
    <d v="2024-05-23T00:00:00"/>
    <s v="KUD22"/>
    <s v="O2R3"/>
    <s v="JK"/>
    <n v="4.3478260869565223E-2"/>
    <n v="3633"/>
    <x v="21"/>
    <s v="Yaw System Stopped"/>
    <s v="Breakdown"/>
    <d v="1899-12-30T03:23:17"/>
    <d v="1899-12-30T03:23:17"/>
    <d v="1899-12-30T03:30:05"/>
    <d v="1899-12-30T00:00:00"/>
    <n v="0.11333333333333306"/>
    <n v="0.11333333333333306"/>
    <s v="Auto reset"/>
    <s v="Close"/>
    <n v="4.9275362318840473E-3"/>
    <n v="1"/>
    <n v="0"/>
    <m/>
  </r>
  <r>
    <n v="1914"/>
    <n v="2025"/>
    <n v="2024"/>
    <s v="Year_2"/>
    <d v="2024-05-23T00:00:00"/>
    <s v="KUD22"/>
    <s v="O2R3"/>
    <s v="JK"/>
    <n v="4.3478260869565223E-2"/>
    <n v="3273"/>
    <x v="35"/>
    <s v="YawUntwistCCW: Code 6,    540Â°"/>
    <s v="Breakdown"/>
    <d v="1899-12-30T05:48:39"/>
    <d v="1899-12-30T05:48:39"/>
    <d v="1899-12-30T06:10:25"/>
    <d v="1899-12-30T00:00:00"/>
    <n v="0.36277777777777764"/>
    <n v="0.36277777777777764"/>
    <s v="Turbine self cable Twist release"/>
    <s v="Close"/>
    <n v="1.5772946859903377E-2"/>
    <n v="1"/>
    <n v="0"/>
    <m/>
  </r>
  <r>
    <n v="1915"/>
    <n v="2025"/>
    <n v="2024"/>
    <s v="Year_2"/>
    <d v="2024-05-23T00:00:00"/>
    <s v="KUD23"/>
    <s v="O2R3"/>
    <s v="JK"/>
    <n v="4.3478260869565223E-2"/>
    <n v="3273"/>
    <x v="35"/>
    <s v="YawUntwistCCW: Code 6,    540Â°"/>
    <s v="Breakdown"/>
    <d v="1899-12-30T06:22:19"/>
    <d v="1899-12-30T06:22:19"/>
    <d v="1899-12-30T06:44:04"/>
    <d v="1899-12-30T00:00:00"/>
    <n v="0.36249999999999938"/>
    <n v="0.36249999999999938"/>
    <s v="Turbine self cable Twist release"/>
    <s v="Close"/>
    <n v="1.5760869565217366E-2"/>
    <n v="1"/>
    <n v="0"/>
    <m/>
  </r>
  <r>
    <n v="1916"/>
    <n v="2025"/>
    <n v="2024"/>
    <s v="Year_2"/>
    <d v="2024-05-23T00:00:00"/>
    <s v="KUD23"/>
    <s v="O2R3"/>
    <s v="JK"/>
    <n v="4.3478260869565223E-2"/>
    <n v="3272"/>
    <x v="143"/>
    <s v="YawUntwistCW: Code 3,-000540Â°"/>
    <s v="Breakdown"/>
    <d v="1899-12-30T15:11:37"/>
    <d v="1899-12-30T15:11:37"/>
    <d v="1899-12-30T15:36:53"/>
    <d v="1899-12-30T00:00:00"/>
    <n v="0.4211111111111121"/>
    <n v="0.4211111111111121"/>
    <s v="Turbine self cable Twist release"/>
    <s v="Close"/>
    <n v="1.8309178743961398E-2"/>
    <n v="1"/>
    <n v="0"/>
    <m/>
  </r>
  <r>
    <n v="1917"/>
    <n v="2025"/>
    <n v="2024"/>
    <s v="Year_2"/>
    <d v="2024-05-24T00:00:00"/>
    <s v="KUD01"/>
    <s v="O2R1"/>
    <s v="KSIPL"/>
    <n v="4.3478260869565223E-2"/>
    <n v="333"/>
    <x v="137"/>
    <s v="High cur.rotor inv. L1:2496A"/>
    <s v="Breakdown"/>
    <d v="1899-12-30T01:31:14"/>
    <d v="1899-12-30T01:31:14"/>
    <d v="1899-12-30T01:33:24"/>
    <d v="1899-12-30T00:00:00"/>
    <n v="3.6111111111110872E-2"/>
    <n v="3.6111111111110872E-2"/>
    <s v="Auto reset"/>
    <s v="Close"/>
    <n v="1.5700483091787337E-3"/>
    <n v="1"/>
    <n v="0.02"/>
    <m/>
  </r>
  <r>
    <n v="1918"/>
    <n v="2025"/>
    <n v="2024"/>
    <s v="Year_2"/>
    <d v="2024-05-24T00:00:00"/>
    <s v="KUD01"/>
    <s v="O2R1"/>
    <s v="KSIPL"/>
    <n v="4.3478260869565223E-2"/>
    <n v="5471"/>
    <x v="130"/>
    <s v="GeneratorBreakerTripped"/>
    <s v="Breakdown"/>
    <d v="1899-12-30T01:33:24"/>
    <d v="1899-12-30T01:33:24"/>
    <d v="1899-12-30T04:02:32"/>
    <d v="1899-12-30T00:00:00"/>
    <n v="2.4855555555555555"/>
    <n v="2.4855555555555555"/>
    <s v="Generator breaker TU reset done"/>
    <s v="Close"/>
    <n v="0.10806763285024155"/>
    <n v="1"/>
    <n v="0.68"/>
    <m/>
  </r>
  <r>
    <n v="1919"/>
    <n v="2025"/>
    <n v="2024"/>
    <s v="Year_2"/>
    <d v="2024-05-24T00:00:00"/>
    <s v="KUD03"/>
    <s v="O2R1"/>
    <s v="KSIPL"/>
    <n v="4.3478260869565223E-2"/>
    <n v="3806"/>
    <x v="147"/>
    <s v="HubSafetySystem Batt.Charg.Err"/>
    <s v="Breakdown"/>
    <d v="1899-12-30T09:48:16"/>
    <d v="1899-12-30T09:48:16"/>
    <d v="1899-12-30T09:54:31"/>
    <d v="1899-12-30T00:00:00"/>
    <n v="0.10416666666666696"/>
    <n v="0.10416666666666696"/>
    <s v="Auto reset"/>
    <s v="Close"/>
    <n v="4.52898550724639E-3"/>
    <n v="1"/>
    <n v="0.01"/>
    <m/>
  </r>
  <r>
    <n v="1920"/>
    <n v="2025"/>
    <n v="2024"/>
    <s v="Year_2"/>
    <d v="2024-05-24T00:00:00"/>
    <s v="KUD06"/>
    <s v="O2R3"/>
    <s v="JK"/>
    <n v="4.3478260869565223E-2"/>
    <n v="3806"/>
    <x v="147"/>
    <s v="HubSafetySystem Batt.Charg.Err"/>
    <s v="Breakdown"/>
    <d v="1899-12-30T09:48:38"/>
    <d v="1899-12-30T09:48:38"/>
    <d v="1899-12-30T10:01:20"/>
    <d v="1899-12-30T00:00:00"/>
    <n v="0.21166666666666645"/>
    <n v="0.21166666666666645"/>
    <s v="Auto reset"/>
    <s v="Close"/>
    <n v="9.2028985507246301E-3"/>
    <n v="1"/>
    <n v="0"/>
    <m/>
  </r>
  <r>
    <n v="1921"/>
    <n v="2025"/>
    <n v="2024"/>
    <s v="Year_2"/>
    <d v="2024-05-24T00:00:00"/>
    <s v="KUD11"/>
    <s v="O2R1"/>
    <s v="KSIPL"/>
    <n v="4.3478260869565223E-2"/>
    <n v="3806"/>
    <x v="147"/>
    <s v="HubSafetySystem Batt.Charg.Err"/>
    <s v="Breakdown"/>
    <d v="1899-12-30T09:48:09"/>
    <d v="1899-12-30T09:48:09"/>
    <d v="1899-12-30T09:55:28"/>
    <d v="1899-12-30T00:00:00"/>
    <n v="0.12194444444444397"/>
    <n v="0.12194444444444397"/>
    <s v="Auto reset"/>
    <s v="Close"/>
    <n v="5.3019323671497382E-3"/>
    <n v="1"/>
    <n v="0.02"/>
    <m/>
  </r>
  <r>
    <n v="1922"/>
    <n v="2025"/>
    <n v="2024"/>
    <s v="Year_2"/>
    <d v="2024-05-24T00:00:00"/>
    <s v="KUD13"/>
    <s v="O2R1"/>
    <s v="KSIPL"/>
    <n v="4.3478260869565223E-2"/>
    <n v="3806"/>
    <x v="147"/>
    <s v="HubSafetySystem Batt.Charg.Err"/>
    <s v="Breakdown"/>
    <d v="1899-12-30T09:48:36"/>
    <d v="1899-12-30T09:48:36"/>
    <d v="1899-12-30T09:50:24"/>
    <d v="1899-12-30T00:00:00"/>
    <n v="2.9999999999999361E-2"/>
    <n v="2.9999999999999361E-2"/>
    <s v="Auto reset"/>
    <s v="Close"/>
    <n v="1.3043478260869289E-3"/>
    <n v="1"/>
    <n v="0.03"/>
    <m/>
  </r>
  <r>
    <n v="1923"/>
    <n v="2025"/>
    <n v="2024"/>
    <s v="Year_2"/>
    <d v="2024-05-24T00:00:00"/>
    <s v="KUD16"/>
    <s v="O2R2"/>
    <s v="SIL"/>
    <n v="4.3478260869565223E-2"/>
    <n v="4239"/>
    <x v="40"/>
    <s v="HVCB Unknown Trip Reason"/>
    <s v="Breakdown"/>
    <d v="1899-12-30T09:48:58"/>
    <d v="1899-12-30T09:48:58"/>
    <d v="1899-12-30T10:03:38"/>
    <d v="1899-12-30T00:00:00"/>
    <n v="0.24444444444444446"/>
    <n v="0.24444444444444446"/>
    <s v="Remote reset done"/>
    <s v="Close"/>
    <n v="1.06280193236715E-2"/>
    <n v="1"/>
    <n v="0.02"/>
    <m/>
  </r>
  <r>
    <n v="1924"/>
    <n v="2025"/>
    <n v="2024"/>
    <s v="Year_2"/>
    <d v="2024-05-24T00:00:00"/>
    <s v="KUD19"/>
    <s v="O2R1"/>
    <s v="KSIPL"/>
    <n v="4.3478260869565223E-2"/>
    <n v="900"/>
    <x v="100"/>
    <s v="Pause pressed on keyboard"/>
    <s v="Manual Stop"/>
    <d v="1899-12-30T04:22:00"/>
    <d v="1899-12-30T04:22:00"/>
    <d v="1899-12-30T08:53:00"/>
    <d v="1899-12-30T00:00:00"/>
    <n v="4.5166666666666675"/>
    <n v="4.5166666666666675"/>
    <s v="Blade internal repair work done"/>
    <s v="Close"/>
    <n v="0.19637681159420295"/>
    <n v="1"/>
    <n v="2.95"/>
    <m/>
  </r>
  <r>
    <n v="1925"/>
    <n v="2025"/>
    <n v="2024"/>
    <s v="Year_2"/>
    <d v="2024-05-24T00:00:00"/>
    <s v="KUD20"/>
    <s v="O2R1"/>
    <s v="KSIPL"/>
    <n v="4.3478260869565223E-2"/>
    <n v="3272"/>
    <x v="143"/>
    <s v="YawUntwistCW: Code 2,-000660Â°"/>
    <s v="Breakdown"/>
    <d v="1899-12-30T02:49:36"/>
    <d v="1899-12-30T02:49:36"/>
    <d v="1899-12-30T03:20:43"/>
    <d v="1899-12-30T00:00:00"/>
    <n v="0.51861111111111102"/>
    <n v="0.51861111111111102"/>
    <s v="Turbine self cable Twist release"/>
    <s v="Close"/>
    <n v="2.254830917874396E-2"/>
    <n v="1"/>
    <n v="0.02"/>
    <m/>
  </r>
  <r>
    <n v="1926"/>
    <n v="2025"/>
    <n v="2024"/>
    <s v="Year_2"/>
    <d v="2024-05-24T00:00:00"/>
    <s v="KUD19"/>
    <s v="O2R1"/>
    <s v="KSIPL"/>
    <n v="4.3478260869565223E-2"/>
    <n v="900"/>
    <x v="100"/>
    <s v="Pause pressed on keyboard"/>
    <s v="Manual Stop"/>
    <d v="1899-12-30T09:48:00"/>
    <d v="1899-12-30T09:48:00"/>
    <d v="1899-12-30T19:00:00"/>
    <d v="1899-12-30T00:00:00"/>
    <n v="9.1999999999999993"/>
    <n v="9.1999999999999993"/>
    <s v="Blade internal repair work done"/>
    <s v="Close"/>
    <n v="0.4"/>
    <n v="1"/>
    <n v="3"/>
    <m/>
  </r>
  <r>
    <n v="1927"/>
    <n v="2025"/>
    <n v="2024"/>
    <s v="Year_2"/>
    <d v="2024-05-25T00:00:00"/>
    <s v="KUD01"/>
    <s v="O2R1"/>
    <s v="KSIPL"/>
    <n v="4.3478260869565223E-2"/>
    <n v="450"/>
    <x v="127"/>
    <s v="Ext. High I sum Grd inv."/>
    <s v="Breakdown"/>
    <d v="1899-12-30T00:15:46"/>
    <d v="1899-12-30T00:15:46"/>
    <d v="1899-12-30T00:18:03"/>
    <d v="1899-12-30T00:00:00"/>
    <n v="3.8055555555555523E-2"/>
    <n v="3.8055555555555523E-2"/>
    <s v="Auto reset"/>
    <s v="Close"/>
    <n v="1.6545893719806751E-3"/>
    <n v="1"/>
    <n v="0.08"/>
    <m/>
  </r>
  <r>
    <n v="1928"/>
    <n v="2025"/>
    <n v="2024"/>
    <s v="Year_2"/>
    <d v="2024-05-25T00:00:00"/>
    <s v="KUD02"/>
    <s v="O2R3"/>
    <s v="JK"/>
    <n v="4.3478260869565223E-2"/>
    <n v="356"/>
    <x v="165"/>
    <s v="Extreme yawerror 14.5m/s 51.4Â°"/>
    <s v="Breakdown"/>
    <d v="1899-12-30T01:39:20"/>
    <d v="1899-12-30T01:39:20"/>
    <d v="1899-12-30T01:41:23"/>
    <d v="1899-12-30T00:00:00"/>
    <n v="3.4166666666666679E-2"/>
    <n v="3.4166666666666679E-2"/>
    <s v="Auto reset"/>
    <s v="Close"/>
    <n v="1.4855072463768122E-3"/>
    <n v="1"/>
    <n v="0.08"/>
    <m/>
  </r>
  <r>
    <n v="1929"/>
    <n v="2025"/>
    <n v="2024"/>
    <s v="Year_2"/>
    <d v="2024-05-25T00:00:00"/>
    <s v="KUD04"/>
    <s v="O2R3"/>
    <s v="JK"/>
    <n v="4.3478260869565223E-2"/>
    <n v="3273"/>
    <x v="35"/>
    <s v="YawUntwistCCW: Code 5,    554Â°"/>
    <s v="Breakdown"/>
    <d v="1899-12-30T02:23:38"/>
    <d v="1899-12-30T02:23:38"/>
    <d v="1899-12-30T02:46:20"/>
    <d v="1899-12-30T00:00:00"/>
    <n v="0.37833333333333319"/>
    <n v="0.37833333333333319"/>
    <s v="Turbine self cable Twist release"/>
    <s v="Close"/>
    <n v="1.6449275362318837E-2"/>
    <n v="1"/>
    <n v="0.09"/>
    <m/>
  </r>
  <r>
    <n v="1930"/>
    <n v="2025"/>
    <n v="2024"/>
    <s v="Year_2"/>
    <d v="2024-05-25T00:00:00"/>
    <s v="KUD03"/>
    <s v="O2R1"/>
    <s v="KSIPL"/>
    <n v="4.3478260869565223E-2"/>
    <n v="356"/>
    <x v="165"/>
    <s v="Extreme yawerror 13.3m/s 67.7Â°"/>
    <s v="Breakdown"/>
    <d v="1899-12-30T01:32:42"/>
    <d v="1899-12-30T01:32:42"/>
    <d v="1899-12-30T01:34:36"/>
    <d v="1899-12-30T00:00:00"/>
    <n v="3.1666666666666621E-2"/>
    <n v="3.1666666666666621E-2"/>
    <s v="Auto reset"/>
    <s v="Close"/>
    <n v="1.3768115942028967E-3"/>
    <n v="1"/>
    <n v="0.23"/>
    <m/>
  </r>
  <r>
    <n v="1931"/>
    <n v="2025"/>
    <n v="2024"/>
    <s v="Year_2"/>
    <d v="2024-05-25T00:00:00"/>
    <s v="KUD05"/>
    <s v="O2R3"/>
    <s v="JK"/>
    <n v="4.3478260869565223E-2"/>
    <n v="3209"/>
    <x v="101"/>
    <s v="YawSignals Invalid"/>
    <s v="Breakdown"/>
    <d v="1899-12-30T02:39:47"/>
    <d v="1899-12-30T02:39:47"/>
    <d v="1899-12-30T02:46:22"/>
    <d v="1899-12-30T00:00:00"/>
    <n v="0.10972222222222228"/>
    <n v="0.10972222222222228"/>
    <s v="Auto reset"/>
    <s v="Close"/>
    <n v="4.7705314009661862E-3"/>
    <n v="1"/>
    <n v="0"/>
    <m/>
  </r>
  <r>
    <n v="1932"/>
    <n v="2025"/>
    <n v="2024"/>
    <s v="Year_2"/>
    <d v="2024-05-25T00:00:00"/>
    <s v="KUD06"/>
    <s v="O2R3"/>
    <s v="JK"/>
    <n v="4.3478260869565223E-2"/>
    <n v="356"/>
    <x v="165"/>
    <s v="Extreme yawerror 14.3m/s 54.6Â°"/>
    <s v="Breakdown"/>
    <d v="1899-12-30T01:32:58"/>
    <d v="1899-12-30T01:32:58"/>
    <d v="1899-12-30T01:35:16"/>
    <d v="1899-12-30T00:00:00"/>
    <n v="3.833333333333333E-2"/>
    <n v="3.833333333333333E-2"/>
    <s v="Auto reset"/>
    <s v="Close"/>
    <n v="1.6666666666666668E-3"/>
    <n v="1"/>
    <n v="0.24"/>
    <m/>
  </r>
  <r>
    <n v="1933"/>
    <n v="2025"/>
    <n v="2024"/>
    <s v="Year_2"/>
    <d v="2024-05-25T00:00:00"/>
    <s v="KUD07"/>
    <s v="O2R3"/>
    <s v="JK"/>
    <n v="4.3478260869565223E-2"/>
    <n v="356"/>
    <x v="165"/>
    <s v="Extreme yawerror 13.8m/s 61.7Â°"/>
    <s v="Breakdown"/>
    <d v="1899-12-30T01:33:24"/>
    <d v="1899-12-30T01:33:24"/>
    <d v="1899-12-30T01:35:44"/>
    <d v="1899-12-30T00:00:00"/>
    <n v="3.8888888888888862E-2"/>
    <n v="3.8888888888888862E-2"/>
    <s v="Auto reset"/>
    <s v="Close"/>
    <n v="1.6908212560386464E-3"/>
    <n v="1"/>
    <n v="0.26"/>
    <m/>
  </r>
  <r>
    <n v="1934"/>
    <n v="2025"/>
    <n v="2024"/>
    <s v="Year_2"/>
    <d v="2024-05-25T00:00:00"/>
    <s v="KUD08"/>
    <s v="O2R3"/>
    <s v="JK"/>
    <n v="4.3478260869565223E-2"/>
    <n v="356"/>
    <x v="165"/>
    <s v="Extreme yawerror 13.4m/s 66.7Â°"/>
    <s v="Breakdown"/>
    <d v="1899-12-30T01:35:10"/>
    <d v="1899-12-30T01:35:10"/>
    <d v="1899-12-30T01:37:41"/>
    <d v="1899-12-30T00:00:00"/>
    <n v="4.1944444444444451E-2"/>
    <n v="4.1944444444444451E-2"/>
    <s v="Auto reset"/>
    <s v="Close"/>
    <n v="1.8236714975845415E-3"/>
    <n v="1"/>
    <n v="0"/>
    <m/>
  </r>
  <r>
    <n v="1935"/>
    <n v="2025"/>
    <n v="2024"/>
    <s v="Year_2"/>
    <d v="2024-05-25T00:00:00"/>
    <s v="KUD08"/>
    <s v="O2R3"/>
    <s v="JK"/>
    <n v="4.3478260869565223E-2"/>
    <n v="5196"/>
    <x v="114"/>
    <s v="Prop Valve B Status Fault"/>
    <s v="Breakdown"/>
    <d v="1899-12-30T11:08:00"/>
    <d v="1899-12-30T11:08:00"/>
    <d v="1899-12-30T11:38:00"/>
    <d v="1899-12-30T00:00:00"/>
    <n v="0.49999999999999956"/>
    <n v="0.49999999999999956"/>
    <s v="WTG hard reboot done and restored"/>
    <s v="Close"/>
    <n v="2.1739130434782591E-2"/>
    <n v="1"/>
    <n v="1.71"/>
    <m/>
  </r>
  <r>
    <n v="1936"/>
    <n v="2025"/>
    <n v="2024"/>
    <s v="Year_2"/>
    <d v="2024-05-25T00:00:00"/>
    <s v="KUD10"/>
    <s v="O2R1"/>
    <s v="KSIPL"/>
    <n v="4.3478260869565223E-2"/>
    <n v="356"/>
    <x v="165"/>
    <s v="Extreme yawerror 14.5m/s 51.3Â°"/>
    <s v="Breakdown"/>
    <d v="1899-12-30T01:34:42"/>
    <d v="1899-12-30T01:34:42"/>
    <d v="1899-12-30T01:36:55"/>
    <d v="1899-12-30T00:00:00"/>
    <n v="3.6944444444444668E-2"/>
    <n v="3.6944444444444668E-2"/>
    <s v="Auto reset"/>
    <s v="Close"/>
    <n v="1.6062801932367249E-3"/>
    <n v="1"/>
    <n v="0.28999999999999998"/>
    <m/>
  </r>
  <r>
    <n v="1937"/>
    <n v="2025"/>
    <n v="2024"/>
    <s v="Year_2"/>
    <d v="2024-05-25T00:00:00"/>
    <s v="KUD12"/>
    <s v="O2R1"/>
    <s v="KSIPL"/>
    <n v="4.3478260869565223E-2"/>
    <n v="3273"/>
    <x v="35"/>
    <s v="YawUntwistCCW: Code 5,    542Â°"/>
    <s v="Breakdown"/>
    <d v="1899-12-30T02:26:00"/>
    <d v="1899-12-30T02:26:00"/>
    <d v="1899-12-30T02:48:19"/>
    <d v="1899-12-30T00:00:00"/>
    <n v="0.37194444444444441"/>
    <n v="0.37194444444444441"/>
    <s v="Turbine self cable Twist release"/>
    <s v="Close"/>
    <n v="1.6171497584541065E-2"/>
    <n v="1"/>
    <n v="7.0000000000000007E-2"/>
    <m/>
  </r>
  <r>
    <n v="1938"/>
    <n v="2025"/>
    <n v="2024"/>
    <s v="Year_2"/>
    <d v="2024-05-25T00:00:00"/>
    <s v="KUD15"/>
    <s v="O2R1"/>
    <s v="KSIPL"/>
    <n v="4.3478260869565223E-2"/>
    <n v="3273"/>
    <x v="35"/>
    <s v="YawUntwistCCW: Code 6,    612Â°"/>
    <s v="Breakdown"/>
    <d v="1899-12-30T02:32:06"/>
    <d v="1899-12-30T02:32:06"/>
    <d v="1899-12-30T02:54:55"/>
    <d v="1899-12-30T00:00:00"/>
    <n v="0.38027777777777771"/>
    <n v="0.38027777777777771"/>
    <s v="Turbine self cable Twist release"/>
    <s v="Close"/>
    <n v="1.6533816425120772E-2"/>
    <n v="1"/>
    <n v="0.33"/>
    <m/>
  </r>
  <r>
    <n v="1939"/>
    <n v="2025"/>
    <n v="2024"/>
    <s v="Year_2"/>
    <d v="2024-05-25T00:00:00"/>
    <s v="KUD19"/>
    <s v="O2R1"/>
    <s v="KSIPL"/>
    <n v="4.3478260869565223E-2"/>
    <n v="900"/>
    <x v="100"/>
    <s v="Pause pressed on keyboard"/>
    <s v="Manual Stop"/>
    <d v="1899-12-30T04:34:52"/>
    <d v="1899-12-30T04:34:52"/>
    <d v="1899-12-30T15:02:01"/>
    <d v="1899-12-30T00:00:00"/>
    <n v="10.452499999999999"/>
    <n v="10.452499999999999"/>
    <s v="Blade internal repair work done"/>
    <s v="Close"/>
    <n v="0.45445652173913043"/>
    <n v="1"/>
    <n v="19.329999999999998"/>
    <m/>
  </r>
  <r>
    <n v="1940"/>
    <n v="2025"/>
    <n v="2024"/>
    <s v="Year_2"/>
    <d v="2024-05-26T00:00:00"/>
    <s v="KUD04"/>
    <s v="O2R3"/>
    <s v="JK"/>
    <n v="4.3478260869565223E-2"/>
    <n v="356"/>
    <x v="165"/>
    <s v="Extreme yawerror 15.0m/s 45.1Â°"/>
    <s v="Breakdown"/>
    <d v="1899-12-30T22:12:06"/>
    <d v="1899-12-30T22:12:06"/>
    <d v="1899-12-30T22:14:46"/>
    <d v="1899-12-30T00:00:00"/>
    <n v="4.444444444444251E-2"/>
    <n v="4.444444444444251E-2"/>
    <s v="Auto reset"/>
    <s v="Close"/>
    <n v="1.9323671497583704E-3"/>
    <n v="1"/>
    <n v="0.38"/>
    <m/>
  </r>
  <r>
    <n v="1941"/>
    <n v="2025"/>
    <n v="2024"/>
    <s v="Year_2"/>
    <d v="2024-05-26T00:00:00"/>
    <s v="KUD08"/>
    <s v="O2R3"/>
    <s v="JK"/>
    <n v="4.3478260869565223E-2"/>
    <n v="5068"/>
    <x v="119"/>
    <s v="Pitch pos B meas. signal fault"/>
    <s v="Breakdown"/>
    <d v="1899-12-30T04:13:26"/>
    <d v="1899-12-30T04:13:26"/>
    <d v="1899-12-30T10:11:52"/>
    <d v="1899-12-30T00:00:00"/>
    <n v="5.9738888888888892"/>
    <n v="5.9738888888888892"/>
    <s v="Found Proportional valve replaced then restored"/>
    <s v="Close"/>
    <n v="0.25973429951690824"/>
    <n v="1"/>
    <n v="8.4600000000000009"/>
    <m/>
  </r>
  <r>
    <n v="1942"/>
    <n v="2025"/>
    <n v="2024"/>
    <s v="Year_2"/>
    <d v="2024-05-26T00:00:00"/>
    <s v="KUD08"/>
    <s v="O2R3"/>
    <s v="JK"/>
    <n v="4.3478260869565223E-2"/>
    <n v="79"/>
    <x v="175"/>
    <s v="Max. Yaw error:  14.9Â°"/>
    <s v="Breakdown"/>
    <d v="1899-12-30T22:15:00"/>
    <d v="1899-12-30T22:15:00"/>
    <d v="1899-12-30T22:16:10"/>
    <d v="1899-12-30T00:00:00"/>
    <n v="1.9444444444443931E-2"/>
    <n v="1.9444444444443931E-2"/>
    <s v="Auto reset"/>
    <s v="Close"/>
    <n v="8.4541062801930149E-4"/>
    <n v="1"/>
    <n v="0"/>
    <m/>
  </r>
  <r>
    <n v="1943"/>
    <n v="2025"/>
    <n v="2024"/>
    <s v="Year_2"/>
    <d v="2024-05-26T00:00:00"/>
    <s v="KUD09"/>
    <s v="O2R3"/>
    <s v="JK"/>
    <n v="4.3478260869565223E-2"/>
    <n v="356"/>
    <x v="165"/>
    <s v="Extreme yawerror 14.9m/s 46.8Â°"/>
    <s v="Breakdown"/>
    <d v="1899-12-30T22:16:21"/>
    <d v="1899-12-30T22:16:21"/>
    <d v="1899-12-30T22:17:58"/>
    <d v="1899-12-30T00:00:00"/>
    <n v="2.6944444444445104E-2"/>
    <n v="2.6944444444445104E-2"/>
    <s v="Auto reset"/>
    <s v="Close"/>
    <n v="1.1714975845410916E-3"/>
    <n v="1"/>
    <n v="0.33"/>
    <m/>
  </r>
  <r>
    <n v="1944"/>
    <n v="2025"/>
    <n v="2024"/>
    <s v="Year_2"/>
    <d v="2024-05-26T00:00:00"/>
    <s v="KUD11"/>
    <s v="O2R1"/>
    <s v="KSIPL"/>
    <n v="4.3478260869565223E-2"/>
    <n v="356"/>
    <x v="165"/>
    <s v="Extreme yawerror 17.6m/s 45.0Â°"/>
    <s v="Breakdown"/>
    <d v="1899-12-30T22:13:24"/>
    <d v="1899-12-30T22:13:24"/>
    <d v="1899-12-30T22:16:20"/>
    <d v="1899-12-30T00:00:00"/>
    <n v="4.8888888888889426E-2"/>
    <n v="4.8888888888889426E-2"/>
    <s v="Auto reset"/>
    <s v="Close"/>
    <n v="2.125603864734323E-3"/>
    <n v="1"/>
    <n v="0.16"/>
    <m/>
  </r>
  <r>
    <n v="1945"/>
    <n v="2025"/>
    <n v="2024"/>
    <s v="Year_2"/>
    <d v="2024-05-26T00:00:00"/>
    <s v="KUD12"/>
    <s v="O2R1"/>
    <s v="KSIPL"/>
    <n v="4.3478260869565223E-2"/>
    <n v="79"/>
    <x v="175"/>
    <s v="Max. Yaw error:  14.2Â°"/>
    <s v="Breakdown"/>
    <d v="1899-12-30T22:14:01"/>
    <d v="1899-12-30T22:14:01"/>
    <d v="1899-12-30T22:15:29"/>
    <d v="1899-12-30T00:00:00"/>
    <n v="2.4444444444444713E-2"/>
    <n v="2.4444444444444713E-2"/>
    <s v="Auto reset"/>
    <s v="Close"/>
    <n v="1.0628019323671615E-3"/>
    <n v="1"/>
    <n v="0.12"/>
    <m/>
  </r>
  <r>
    <n v="1946"/>
    <n v="2025"/>
    <n v="2024"/>
    <s v="Year_2"/>
    <d v="2024-05-26T00:00:00"/>
    <s v="KUD15"/>
    <s v="O2R1"/>
    <s v="KSIPL"/>
    <n v="4.3478260869565223E-2"/>
    <n v="79"/>
    <x v="175"/>
    <s v="Max. Yaw error:  13.8Â°"/>
    <s v="Breakdown"/>
    <d v="1899-12-30T22:18:15"/>
    <d v="1899-12-30T22:18:15"/>
    <d v="1899-12-30T22:19:40"/>
    <d v="1899-12-30T00:00:00"/>
    <n v="2.3611111111111249E-2"/>
    <n v="2.3611111111111249E-2"/>
    <s v="Auto reset"/>
    <s v="Close"/>
    <n v="1.0265700483091849E-3"/>
    <n v="1"/>
    <n v="0.06"/>
    <m/>
  </r>
  <r>
    <n v="1947"/>
    <n v="2025"/>
    <n v="2024"/>
    <s v="Year_2"/>
    <d v="2024-05-26T00:00:00"/>
    <s v="KUD19"/>
    <s v="O2R1"/>
    <s v="KSIPL"/>
    <n v="4.3478260869565223E-2"/>
    <n v="356"/>
    <x v="165"/>
    <s v="Extreme yawerror 14.5m/s 52.3Â°"/>
    <s v="Breakdown"/>
    <d v="1899-12-30T22:17:31"/>
    <d v="1899-12-30T22:17:31"/>
    <d v="1899-12-30T22:20:23"/>
    <d v="1899-12-30T00:00:00"/>
    <n v="4.7777777777776365E-2"/>
    <n v="4.7777777777776365E-2"/>
    <s v="Auto reset"/>
    <s v="Close"/>
    <n v="2.0772946859902771E-3"/>
    <n v="1"/>
    <n v="0.09"/>
    <m/>
  </r>
  <r>
    <n v="1948"/>
    <n v="2025"/>
    <n v="2024"/>
    <s v="Year_2"/>
    <d v="2024-05-27T00:00:00"/>
    <s v="KUD05"/>
    <s v="O2R3"/>
    <s v="JK"/>
    <n v="4.3478260869565223E-2"/>
    <n v="3209"/>
    <x v="101"/>
    <s v="YawSignals Invalid"/>
    <s v="Breakdown"/>
    <d v="1899-12-30T00:03:00"/>
    <d v="1899-12-30T00:03:00"/>
    <d v="1899-12-30T00:07:00"/>
    <d v="1899-12-30T00:00:00"/>
    <n v="6.6666666666666666E-2"/>
    <n v="6.6666666666666666E-2"/>
    <s v="Remote reset done"/>
    <s v="Close"/>
    <n v="2.8985507246376816E-3"/>
    <n v="1"/>
    <n v="0.32"/>
    <m/>
  </r>
  <r>
    <n v="1949"/>
    <n v="2025"/>
    <n v="2024"/>
    <s v="Year_2"/>
    <d v="2024-05-27T00:00:00"/>
    <s v="KUD10"/>
    <s v="O2R1"/>
    <s v="KSIPL"/>
    <n v="4.3478260869565223E-2"/>
    <n v="5196"/>
    <x v="114"/>
    <s v="Prop Valve B Status Fault"/>
    <s v="Breakdown"/>
    <d v="2024-05-27T01:39:57"/>
    <d v="2024-05-27T01:39:57"/>
    <d v="2024-05-27T01:48:33"/>
    <d v="1899-12-30T00:00:00"/>
    <n v="0.14333333331160247"/>
    <n v="0.14333333331160247"/>
    <s v="Auto reset"/>
    <s v="Close"/>
    <n v="6.2318840570261954E-3"/>
    <n v="1"/>
    <n v="0.37"/>
    <m/>
  </r>
  <r>
    <n v="1950"/>
    <n v="2025"/>
    <n v="2024"/>
    <s v="Year_2"/>
    <d v="2024-05-27T00:00:00"/>
    <s v="KUD16"/>
    <s v="O2R2"/>
    <s v="SIL"/>
    <n v="4.3478260869565223E-2"/>
    <n v="707"/>
    <x v="121"/>
    <s v="Ch hardware error C0"/>
    <s v="Breakdown"/>
    <d v="1899-12-30T00:03:00"/>
    <d v="1899-12-30T00:03:00"/>
    <d v="1899-12-30T00:18:00"/>
    <d v="1899-12-30T00:00:00"/>
    <n v="0.25"/>
    <n v="0.25"/>
    <s v="Auto reset"/>
    <s v="Close"/>
    <n v="1.0869565217391306E-2"/>
    <n v="1"/>
    <n v="0.63"/>
    <m/>
  </r>
  <r>
    <n v="1951"/>
    <n v="2025"/>
    <n v="2024"/>
    <s v="Year_2"/>
    <d v="2024-05-27T00:00:00"/>
    <s v="KUD21"/>
    <s v="O2R3"/>
    <s v="JK"/>
    <n v="4.3478260869565223E-2"/>
    <n v="30"/>
    <x v="44"/>
    <s v="Internal sublogic error"/>
    <s v="Breakdown"/>
    <d v="2024-05-27T00:03:06"/>
    <d v="2024-05-27T00:03:06"/>
    <d v="2024-05-27T00:23:49"/>
    <d v="1899-12-30T00:00:00"/>
    <n v="0.34527777781477198"/>
    <n v="0.34527777781477198"/>
    <s v="Auto reset"/>
    <s v="Close"/>
    <n v="1.5012077296294436E-2"/>
    <n v="1"/>
    <n v="0.71"/>
    <m/>
  </r>
  <r>
    <n v="1952"/>
    <n v="2025"/>
    <n v="2024"/>
    <s v="Year_2"/>
    <d v="2024-05-28T00:00:00"/>
    <s v="KUD01"/>
    <s v="O2R1"/>
    <s v="KSIPL"/>
    <n v="4.3478260869565223E-2"/>
    <n v="453"/>
    <x v="136"/>
    <s v="Ext. High I sum Rotinv.ChanX"/>
    <s v="Breakdown"/>
    <d v="1899-12-30T23:35:16"/>
    <d v="1899-12-30T23:35:16"/>
    <d v="1899-12-30T23:37:25"/>
    <d v="1899-12-30T00:00:00"/>
    <n v="3.5833333333330941E-2"/>
    <n v="3.5833333333330941E-2"/>
    <s v="Auto reset"/>
    <s v="Close"/>
    <n v="1.5579710144926499E-3"/>
    <n v="1"/>
    <n v="0.2"/>
    <m/>
  </r>
  <r>
    <n v="1953"/>
    <n v="2025"/>
    <n v="2024"/>
    <s v="Year_2"/>
    <d v="2024-05-28T00:00:00"/>
    <s v="KUD01"/>
    <s v="O2R1"/>
    <s v="KSIPL"/>
    <n v="4.3478260869565223E-2"/>
    <n v="6293"/>
    <x v="32"/>
    <s v="Pitch valves test acitve"/>
    <s v="Breakdown"/>
    <d v="1899-12-30T23:37:25"/>
    <d v="1899-12-30T23:37:25"/>
    <d v="1899-12-30T23:39:10"/>
    <d v="1899-12-30T00:00:00"/>
    <n v="2.9166666666668561E-2"/>
    <n v="2.9166666666668561E-2"/>
    <s v="Turbine self test taken"/>
    <s v="Close"/>
    <n v="1.268115942029068E-3"/>
    <n v="1"/>
    <n v="0.05"/>
    <m/>
  </r>
  <r>
    <n v="1954"/>
    <n v="2025"/>
    <n v="2024"/>
    <s v="Year_2"/>
    <d v="2024-05-28T00:00:00"/>
    <s v="KUD01"/>
    <s v="O2R1"/>
    <s v="KSIPL"/>
    <n v="4.3478260869565223E-2"/>
    <n v="6290"/>
    <x v="91"/>
    <s v="Pitch Accu. Test active"/>
    <s v="Breakdown"/>
    <d v="1899-12-30T23:39:10"/>
    <d v="1899-12-30T23:39:10"/>
    <d v="1899-12-30T23:48:25"/>
    <d v="1899-12-30T00:00:00"/>
    <n v="0.15416666666666679"/>
    <n v="0.15416666666666679"/>
    <s v="Turbine self test taken"/>
    <s v="Close"/>
    <n v="6.7028985507246435E-3"/>
    <n v="1"/>
    <n v="0.2"/>
    <m/>
  </r>
  <r>
    <n v="1955"/>
    <n v="2025"/>
    <n v="2024"/>
    <s v="Year_2"/>
    <d v="2024-05-30T00:00:00"/>
    <s v="KUD13"/>
    <s v="O2R1"/>
    <s v="KSIPL"/>
    <n v="4.3478260869565223E-2"/>
    <n v="3296"/>
    <x v="46"/>
    <s v="Yaw To Nacelle Position Reset"/>
    <s v="Breakdown"/>
    <d v="1899-12-30T10:48:43"/>
    <d v="1899-12-30T10:48:43"/>
    <d v="1899-12-30T11:14:37"/>
    <d v="1899-12-30T00:00:00"/>
    <n v="0.4316666666666662"/>
    <n v="0.4316666666666662"/>
    <s v="Turbine self cable Twist release"/>
    <s v="Close"/>
    <n v="1.8768115942028967E-2"/>
    <n v="1"/>
    <n v="0.2"/>
    <m/>
  </r>
  <r>
    <n v="1956"/>
    <n v="2025"/>
    <n v="2024"/>
    <s v="Year_2"/>
    <d v="2024-05-31T00:00:00"/>
    <s v="KUD04"/>
    <s v="O2R3"/>
    <s v="JK"/>
    <n v="4.3478260869565223E-2"/>
    <n v="4235"/>
    <x v="93"/>
    <s v="Gen Stator CB Open"/>
    <s v="Breakdown"/>
    <d v="1899-12-30T13:00:00"/>
    <d v="1899-12-30T13:00:00"/>
    <d v="1899-12-30T13:07:00"/>
    <d v="1899-12-30T00:00:00"/>
    <n v="0.11666666666666625"/>
    <n v="0.11666666666666625"/>
    <s v="Auto reset"/>
    <s v="Close"/>
    <n v="5.0724637681159243E-3"/>
    <n v="1"/>
    <n v="7.0000000000000007E-2"/>
    <m/>
  </r>
  <r>
    <n v="1957"/>
    <n v="2025"/>
    <n v="2024"/>
    <s v="Year_2"/>
    <d v="2024-05-31T00:00:00"/>
    <s v="KUD06"/>
    <s v="O2R3"/>
    <s v="JK"/>
    <n v="4.3478260869565223E-2"/>
    <n v="3806"/>
    <x v="147"/>
    <s v="HubSafetySystem Batt.Charg.Err"/>
    <s v="Breakdown"/>
    <d v="1899-12-30T13:00:00"/>
    <d v="1899-12-30T13:00:00"/>
    <d v="1899-12-30T13:08:00"/>
    <d v="1899-12-30T00:00:00"/>
    <n v="0.13333333333333552"/>
    <n v="0.13333333333333552"/>
    <s v="Auto reset"/>
    <s v="Close"/>
    <n v="5.7971014492754587E-3"/>
    <n v="1"/>
    <n v="0.08"/>
    <m/>
  </r>
  <r>
    <n v="1958"/>
    <n v="2025"/>
    <n v="2024"/>
    <s v="Year_2"/>
    <d v="2024-05-31T00:00:00"/>
    <s v="KUD08"/>
    <s v="O2R3"/>
    <s v="JK"/>
    <n v="4.3478260869565223E-2"/>
    <n v="2953"/>
    <x v="141"/>
    <s v="Main aux freq low:  46 Hz"/>
    <s v="Breakdown"/>
    <d v="1899-12-30T13:00:00"/>
    <d v="1899-12-30T13:00:00"/>
    <d v="1899-12-30T13:10:00"/>
    <d v="1899-12-30T00:00:00"/>
    <n v="0.16666666666666874"/>
    <n v="0.16666666666666874"/>
    <s v="Auto reset"/>
    <s v="Close"/>
    <n v="7.2463768115942941E-3"/>
    <n v="1"/>
    <n v="0.06"/>
    <m/>
  </r>
  <r>
    <n v="1959"/>
    <n v="2025"/>
    <n v="2024"/>
    <s v="Year_2"/>
    <d v="2024-05-31T00:00:00"/>
    <s v="KUD10"/>
    <s v="O2R1"/>
    <s v="KSIPL"/>
    <n v="4.3478260869565223E-2"/>
    <n v="5196"/>
    <x v="114"/>
    <s v="Prop Valve B Status Fault"/>
    <s v="Breakdown"/>
    <d v="1899-12-30T17:28:44"/>
    <d v="1899-12-30T17:28:44"/>
    <d v="1899-12-30T17:37:37"/>
    <d v="1899-12-30T00:00:00"/>
    <n v="0.14805555555555561"/>
    <n v="0.14805555555555561"/>
    <s v="Auto reset"/>
    <s v="Close"/>
    <n v="6.4371980676328532E-3"/>
    <n v="1"/>
    <n v="0.1"/>
    <m/>
  </r>
  <r>
    <n v="1960"/>
    <n v="2025"/>
    <n v="2024"/>
    <s v="Year_2"/>
    <d v="2024-05-31T00:00:00"/>
    <s v="KUD10"/>
    <s v="O2R1"/>
    <s v="KSIPL"/>
    <n v="4.3478260869565223E-2"/>
    <n v="5197"/>
    <x v="54"/>
    <s v="Prop Valve C Status Fault"/>
    <s v="Breakdown"/>
    <d v="1899-12-30T19:15:42"/>
    <d v="1899-12-30T19:15:42"/>
    <d v="1899-12-30T19:22:52"/>
    <d v="1899-12-30T00:00:00"/>
    <n v="0.11944444444444358"/>
    <n v="0.11944444444444358"/>
    <s v="Auto reset"/>
    <s v="Close"/>
    <n v="5.1932367149758081E-3"/>
    <n v="1"/>
    <n v="7.0000000000000007E-2"/>
    <m/>
  </r>
  <r>
    <n v="1961"/>
    <n v="2025"/>
    <n v="2024"/>
    <s v="Year_2"/>
    <d v="2024-05-31T00:00:00"/>
    <s v="KUD11"/>
    <s v="O2R1"/>
    <s v="KSIPL"/>
    <n v="4.3478260869565223E-2"/>
    <n v="3806"/>
    <x v="147"/>
    <s v="HubSafetySystem Batt.Charg.Err"/>
    <s v="Breakdown"/>
    <d v="1899-12-30T13:00:00"/>
    <d v="1899-12-30T13:00:00"/>
    <d v="1899-12-30T13:21:00"/>
    <d v="1899-12-30T00:00:00"/>
    <n v="0.35000000000000142"/>
    <n v="0.35000000000000142"/>
    <s v="Auto reset"/>
    <s v="Close"/>
    <n v="1.5217391304347889E-2"/>
    <n v="1"/>
    <n v="0.2"/>
    <m/>
  </r>
  <r>
    <n v="1962"/>
    <n v="2025"/>
    <n v="2024"/>
    <s v="Year_2"/>
    <d v="2024-05-31T00:00:00"/>
    <s v="KUD13"/>
    <s v="O2R1"/>
    <s v="KSIPL"/>
    <n v="4.3478260869565223E-2"/>
    <n v="3806"/>
    <x v="147"/>
    <s v="HubSafetySystem Batt.Charg.Err"/>
    <s v="Breakdown"/>
    <d v="1899-12-30T13:00:00"/>
    <d v="1899-12-30T13:00:00"/>
    <d v="1899-12-30T13:17:00"/>
    <d v="1899-12-30T00:00:00"/>
    <n v="0.28333333333333499"/>
    <n v="0.28333333333333499"/>
    <s v="Auto reset"/>
    <s v="Close"/>
    <n v="1.2318840579710218E-2"/>
    <n v="1"/>
    <n v="0.16"/>
    <m/>
  </r>
  <r>
    <n v="1963"/>
    <n v="2025"/>
    <n v="2024"/>
    <s v="Year_2"/>
    <d v="2024-05-31T00:00:00"/>
    <s v="KUD16"/>
    <s v="O2R2"/>
    <s v="SIL"/>
    <n v="4.3478260869565223E-2"/>
    <n v="4235"/>
    <x v="93"/>
    <s v="Gen Stator CB Open"/>
    <s v="Breakdown"/>
    <d v="1899-12-30T13:00:00"/>
    <d v="1899-12-30T13:00:00"/>
    <d v="1899-12-30T13:07:00"/>
    <d v="1899-12-30T00:00:00"/>
    <n v="0.11666666666666625"/>
    <n v="0.11666666666666625"/>
    <s v="Auto reset"/>
    <s v="Close"/>
    <n v="5.0724637681159243E-3"/>
    <n v="1"/>
    <n v="0.05"/>
    <m/>
  </r>
  <r>
    <n v="1964"/>
    <n v="2025"/>
    <n v="2024"/>
    <s v="Year_2"/>
    <d v="2024-05-31T00:00:00"/>
    <s v="KUD19"/>
    <s v="O2R1"/>
    <s v="KSIPL"/>
    <n v="4.3478260869565223E-2"/>
    <n v="165"/>
    <x v="94"/>
    <s v="Low oil-level, hydraulic"/>
    <s v="Breakdown"/>
    <d v="1899-12-30T07:15:00"/>
    <d v="1899-12-30T07:15:00"/>
    <d v="1899-12-30T11:55:00"/>
    <d v="1899-12-30T00:00:00"/>
    <n v="4.6666666666666679"/>
    <n v="4.6666666666666679"/>
    <s v="Work under progress"/>
    <s v="Close"/>
    <n v="0.20289855072463775"/>
    <n v="1"/>
    <n v="5.86"/>
    <m/>
  </r>
  <r>
    <n v="1965"/>
    <n v="2025"/>
    <n v="2024"/>
    <s v="Year_2"/>
    <d v="2024-05-31T00:00:00"/>
    <s v="KUD19"/>
    <s v="O2R1"/>
    <s v="KSIPL"/>
    <n v="4.3478260869565223E-2"/>
    <n v="165"/>
    <x v="94"/>
    <s v="Low oil-level, hydraulic"/>
    <s v="Breakdown"/>
    <d v="1899-12-30T13:00:00"/>
    <d v="1899-12-30T13:00:00"/>
    <d v="1899-12-30T14:24:00"/>
    <d v="1899-12-30T00:00:00"/>
    <n v="1.4000000000000004"/>
    <n v="1.4000000000000004"/>
    <s v="Blade B proportional valve O ring failure so replaced and Oil filled"/>
    <s v="Close"/>
    <n v="6.0869565217391328E-2"/>
    <n v="1"/>
    <n v="0"/>
    <m/>
  </r>
  <r>
    <n v="1966"/>
    <n v="2025"/>
    <n v="2024"/>
    <s v="Year_2"/>
    <d v="2024-06-01T00:00:00"/>
    <s v="KUD01"/>
    <s v="O2R1"/>
    <s v="KSIPL"/>
    <n v="4.3478260869565223E-2"/>
    <n v="450"/>
    <x v="127"/>
    <s v="Ext. High I sum Grd inv."/>
    <s v="Breakdown"/>
    <d v="1899-12-30T14:14:52"/>
    <d v="1899-12-30T14:14:52"/>
    <d v="1899-12-30T14:23:45"/>
    <d v="1899-12-30T00:00:00"/>
    <n v="0.14805555555555561"/>
    <n v="0.14805555555555561"/>
    <s v="Auto reset"/>
    <s v="Close"/>
    <n v="6.4371980676328532E-3"/>
    <n v="1"/>
    <n v="0.26500000000000001"/>
    <m/>
  </r>
  <r>
    <n v="1967"/>
    <n v="2025"/>
    <n v="2024"/>
    <s v="Year_2"/>
    <d v="2024-06-02T00:00:00"/>
    <s v="KUD04"/>
    <s v="O2R3"/>
    <s v="JK"/>
    <n v="4.3478260869565223E-2"/>
    <n v="144"/>
    <x v="177"/>
    <s v="High windspeed: 18.0 m/s"/>
    <s v="Breakdown"/>
    <d v="2024-06-02T20:45:23"/>
    <d v="2024-06-02T20:45:23"/>
    <d v="2024-06-02T20:51:46"/>
    <d v="1899-12-30T00:00:00"/>
    <n v="0.10638888896210119"/>
    <n v="0.10638888896210119"/>
    <s v="Auto reset"/>
    <s v="Close"/>
    <n v="4.6256038679174435E-3"/>
    <n v="1"/>
    <n v="0"/>
    <m/>
  </r>
  <r>
    <n v="1968"/>
    <n v="2025"/>
    <n v="2024"/>
    <s v="Year_2"/>
    <d v="2024-06-02T00:00:00"/>
    <s v="KUD03"/>
    <s v="O2R1"/>
    <s v="KSIPL"/>
    <n v="4.3478260869565223E-2"/>
    <n v="3633"/>
    <x v="21"/>
    <s v="Yaw System Stopped"/>
    <s v="Breakdown"/>
    <d v="2024-06-02T20:43:31"/>
    <d v="2024-06-02T20:43:31"/>
    <d v="2024-06-02T20:46:37"/>
    <d v="1899-12-30T00:00:00"/>
    <n v="5.1666666695382446E-2"/>
    <n v="5.1666666695382446E-2"/>
    <s v="Remote reset done"/>
    <s v="Close"/>
    <n v="2.2463768128427155E-3"/>
    <n v="1"/>
    <n v="0.253"/>
    <m/>
  </r>
  <r>
    <n v="1969"/>
    <n v="2025"/>
    <n v="2024"/>
    <s v="Year_2"/>
    <d v="2024-06-02T00:00:00"/>
    <s v="KUD05"/>
    <s v="O2R3"/>
    <s v="JK"/>
    <n v="4.3478260869565223E-2"/>
    <n v="3273"/>
    <x v="35"/>
    <s v="YawUntwistCCW: Code 5,    548Â°"/>
    <s v="Breakdown"/>
    <d v="2024-06-02T16:14:36"/>
    <d v="2024-06-02T16:14:36"/>
    <d v="2024-06-02T16:35:47"/>
    <d v="1899-12-30T00:00:00"/>
    <n v="0.35305555548984557"/>
    <n v="0.35305555548984557"/>
    <s v="Turbine self cable Twist release"/>
    <s v="Close"/>
    <n v="1.5350241543036765E-2"/>
    <n v="1"/>
    <n v="0"/>
    <m/>
  </r>
  <r>
    <n v="1970"/>
    <n v="2025"/>
    <n v="2024"/>
    <s v="Year_2"/>
    <d v="2024-06-03T00:00:00"/>
    <s v="KUD01"/>
    <s v="O2R1"/>
    <s v="KSIPL"/>
    <n v="4.3478260869565223E-2"/>
    <n v="450"/>
    <x v="127"/>
    <s v="Ext. High I sum Grd inv."/>
    <s v="Breakdown"/>
    <d v="1899-12-30T06:13:12"/>
    <d v="1899-12-30T06:13:12"/>
    <d v="1899-12-30T06:21:50"/>
    <d v="1899-12-30T00:00:00"/>
    <n v="0.14388888888888962"/>
    <n v="0.14388888888888962"/>
    <s v="Auto reset"/>
    <s v="Close"/>
    <n v="6.2560386473430275E-3"/>
    <n v="1"/>
    <n v="0.246"/>
    <m/>
  </r>
  <r>
    <n v="1971"/>
    <n v="2025"/>
    <n v="2024"/>
    <s v="Year_2"/>
    <d v="2024-06-03T00:00:00"/>
    <s v="KUD04"/>
    <s v="O2R3"/>
    <s v="JK"/>
    <n v="4.3478260869565223E-2"/>
    <n v="900"/>
    <x v="100"/>
    <s v="Pause pressed on keyboard"/>
    <s v="Manual Stop"/>
    <d v="1899-12-30T09:17:00"/>
    <d v="1899-12-30T09:17:00"/>
    <d v="1899-12-30T10:33:00"/>
    <d v="1899-12-30T00:00:00"/>
    <n v="1.2666666666666662"/>
    <n v="1.2666666666666662"/>
    <s v="UPS rebotted and CIM5642 implemented work done"/>
    <s v="Close"/>
    <n v="5.5072463768115927E-2"/>
    <n v="1"/>
    <n v="0.71"/>
    <m/>
  </r>
  <r>
    <n v="1972"/>
    <n v="2025"/>
    <n v="2024"/>
    <s v="Year_2"/>
    <d v="2024-06-03T00:00:00"/>
    <s v="KUD06"/>
    <s v="O2R3"/>
    <s v="JK"/>
    <n v="4.3478260869565223E-2"/>
    <n v="900"/>
    <x v="100"/>
    <s v="Pause pressed on keyboard"/>
    <s v="Manual Stop"/>
    <d v="1899-12-30T14:04:00"/>
    <d v="1899-12-30T14:04:00"/>
    <d v="1899-12-30T14:16:00"/>
    <d v="1899-12-30T00:00:00"/>
    <n v="0.19999999999999929"/>
    <n v="0.19999999999999929"/>
    <s v="CIM5642 implemented work done"/>
    <s v="Close"/>
    <n v="8.6956521739130141E-3"/>
    <n v="1"/>
    <n v="0.2"/>
    <m/>
  </r>
  <r>
    <n v="1973"/>
    <n v="2025"/>
    <n v="2024"/>
    <s v="Year_2"/>
    <d v="2024-06-03T00:00:00"/>
    <s v="KUD07"/>
    <s v="O2R3"/>
    <s v="JK"/>
    <n v="4.3478260869565223E-2"/>
    <n v="900"/>
    <x v="100"/>
    <s v="Pause pressed on keyboard"/>
    <s v="Manual Stop"/>
    <d v="1899-12-30T12:28:00"/>
    <d v="1899-12-30T12:28:00"/>
    <d v="1899-12-30T14:16:00"/>
    <d v="1899-12-30T00:00:00"/>
    <n v="1.7999999999999989"/>
    <n v="1.7999999999999989"/>
    <s v="CIM5642 implemented work done"/>
    <s v="Close"/>
    <n v="7.8260869565217356E-2"/>
    <n v="1"/>
    <n v="0.05"/>
    <m/>
  </r>
  <r>
    <n v="1974"/>
    <n v="2025"/>
    <n v="2024"/>
    <s v="Year_2"/>
    <d v="2024-06-03T00:00:00"/>
    <s v="KUD10"/>
    <s v="O2R1"/>
    <s v="KSIPL"/>
    <n v="4.3478260869565223E-2"/>
    <n v="3272"/>
    <x v="143"/>
    <s v="YawUntwistCW: Code 3,-000560Â°"/>
    <s v="Breakdown"/>
    <d v="1899-12-30T02:51:27"/>
    <d v="1899-12-30T02:51:27"/>
    <d v="1899-12-30T03:18:11"/>
    <d v="1899-12-30T00:00:00"/>
    <n v="0.44555555555555582"/>
    <n v="0.44555555555555582"/>
    <s v="Turbine self cable Twist release"/>
    <s v="Close"/>
    <n v="1.9371980676328518E-2"/>
    <n v="1"/>
    <n v="0.2"/>
    <m/>
  </r>
  <r>
    <n v="1975"/>
    <n v="2025"/>
    <n v="2024"/>
    <s v="Year_2"/>
    <d v="2024-06-03T00:00:00"/>
    <s v="KUD11"/>
    <s v="O2R1"/>
    <s v="KSIPL"/>
    <n v="4.3478260869565223E-2"/>
    <n v="450"/>
    <x v="127"/>
    <s v="Ext. High I sum Grd inv."/>
    <s v="Breakdown"/>
    <d v="1899-12-30T07:27:54"/>
    <d v="1899-12-30T07:27:54"/>
    <d v="1899-12-30T07:36:42"/>
    <d v="1899-12-30T00:00:00"/>
    <n v="0.14666666666666694"/>
    <n v="0.14666666666666694"/>
    <s v="Auto reset"/>
    <s v="Close"/>
    <n v="6.3768115942029113E-3"/>
    <n v="1"/>
    <n v="0.2"/>
    <m/>
  </r>
  <r>
    <n v="1976"/>
    <n v="2025"/>
    <n v="2024"/>
    <s v="Year_2"/>
    <d v="2024-06-03T00:00:00"/>
    <s v="KUD13"/>
    <s v="O2R1"/>
    <s v="KSIPL"/>
    <n v="4.3478260869565223E-2"/>
    <n v="3272"/>
    <x v="143"/>
    <s v="YawUntwistCW: Code 3,-000540Â°"/>
    <s v="Breakdown"/>
    <d v="1899-12-30T02:26:36"/>
    <d v="1899-12-30T02:26:36"/>
    <d v="1899-12-30T02:53:30"/>
    <d v="1899-12-30T00:00:00"/>
    <n v="0.44833333333333347"/>
    <n v="0.44833333333333347"/>
    <s v="Turbine self cable Twist release"/>
    <s v="Close"/>
    <n v="1.9492753623188416E-2"/>
    <n v="1"/>
    <n v="7.0000000000000007E-2"/>
    <m/>
  </r>
  <r>
    <n v="1977"/>
    <n v="2025"/>
    <n v="2024"/>
    <s v="Year_2"/>
    <d v="2024-06-03T00:00:00"/>
    <s v="KUD15"/>
    <s v="O2R1"/>
    <s v="KSIPL"/>
    <n v="4.3478260869565223E-2"/>
    <n v="900"/>
    <x v="100"/>
    <s v="Pause pressed on keyboard"/>
    <s v="Manual Stop"/>
    <d v="1899-12-30T13:51:00"/>
    <d v="1899-12-30T13:51:00"/>
    <d v="1899-12-30T14:16:00"/>
    <d v="1899-12-30T00:00:00"/>
    <n v="0.41666666666666785"/>
    <n v="0.41666666666666785"/>
    <s v="CIM5642 implemented work done"/>
    <s v="Close"/>
    <n v="1.811594202898556E-2"/>
    <n v="1"/>
    <n v="0.08"/>
    <m/>
  </r>
  <r>
    <n v="1978"/>
    <n v="2025"/>
    <n v="2024"/>
    <s v="Year_2"/>
    <d v="2024-06-03T00:00:00"/>
    <s v="KUD17"/>
    <s v="O2R2"/>
    <s v="SIL"/>
    <n v="4.3478260869565223E-2"/>
    <n v="4235"/>
    <x v="93"/>
    <s v="Gen Stator CB Open"/>
    <s v="Breakdown"/>
    <d v="1899-12-30T09:18:39"/>
    <d v="1899-12-30T09:18:39"/>
    <d v="1899-12-30T09:26:33"/>
    <d v="1899-12-30T00:00:00"/>
    <n v="0.13166666666666593"/>
    <n v="0.13166666666666593"/>
    <s v="Auto reset"/>
    <s v="Close"/>
    <n v="5.7246376811593887E-3"/>
    <n v="1"/>
    <n v="0.06"/>
    <m/>
  </r>
  <r>
    <n v="1979"/>
    <n v="2025"/>
    <n v="2024"/>
    <s v="Year_2"/>
    <d v="2024-06-03T00:00:00"/>
    <s v="KUD18"/>
    <s v="O2R4"/>
    <s v="SGDCIPL"/>
    <n v="4.3478260869565223E-2"/>
    <n v="900"/>
    <x v="100"/>
    <s v="Pause pressed on keyboard"/>
    <s v="Manual Stop"/>
    <d v="1899-12-30T13:01:28"/>
    <d v="1899-12-30T13:01:28"/>
    <d v="1899-12-30T13:34:02"/>
    <d v="1899-12-30T00:00:00"/>
    <n v="0.54277777777777914"/>
    <n v="0.54277777777777914"/>
    <s v="CIM5642 implemented work done"/>
    <s v="Close"/>
    <n v="2.3599033816425183E-2"/>
    <n v="1"/>
    <n v="0.1"/>
    <m/>
  </r>
  <r>
    <n v="1980"/>
    <n v="2025"/>
    <n v="2024"/>
    <s v="Year_2"/>
    <d v="2024-06-03T00:00:00"/>
    <s v="KUD22"/>
    <s v="O2R3"/>
    <s v="JK"/>
    <n v="4.3478260869565223E-2"/>
    <n v="158"/>
    <x v="132"/>
    <s v="Rotor: 1.9RPM, Gen.:-215.8 RPM"/>
    <s v="Breakdown"/>
    <d v="1899-12-30T02:32:01"/>
    <d v="1899-12-30T02:32:01"/>
    <d v="1899-12-30T02:41:00"/>
    <d v="1899-12-30T00:00:00"/>
    <n v="0.1497222222222222"/>
    <n v="0.1497222222222222"/>
    <s v="Auto reset"/>
    <s v="Close"/>
    <n v="6.5096618357487921E-3"/>
    <n v="1"/>
    <n v="7.0000000000000007E-2"/>
    <m/>
  </r>
  <r>
    <n v="1981"/>
    <n v="2025"/>
    <n v="2024"/>
    <s v="Year_2"/>
    <d v="2024-06-03T00:00:00"/>
    <s v="KUD01"/>
    <s v="O2R1"/>
    <s v="KSIPL"/>
    <n v="4.3478260869565223E-2"/>
    <n v="3709"/>
    <x v="178"/>
    <s v="EMC Valves Unexpected Open"/>
    <s v="Breakdown"/>
    <d v="1899-12-30T17:41:20"/>
    <d v="1899-12-30T17:41:20"/>
    <d v="1899-12-30T17:49:33"/>
    <d v="1899-12-30T00:00:00"/>
    <n v="0.13694444444444365"/>
    <n v="0.13694444444444365"/>
    <s v="Auto reset"/>
    <s v="Close"/>
    <n v="5.9541062801932026E-3"/>
    <n v="1"/>
    <n v="0.2"/>
    <m/>
  </r>
  <r>
    <n v="1982"/>
    <n v="2025"/>
    <n v="2024"/>
    <s v="Year_2"/>
    <d v="2024-06-03T00:00:00"/>
    <s v="KUD03"/>
    <s v="O2R1"/>
    <s v="KSIPL"/>
    <n v="4.3478260869565223E-2"/>
    <n v="79"/>
    <x v="175"/>
    <s v="Max. Yaw error:  17.7Â°"/>
    <s v="Breakdown"/>
    <d v="1899-12-30T20:17:02"/>
    <d v="1899-12-30T20:17:02"/>
    <d v="1899-12-30T20:18:13"/>
    <d v="1899-12-30T00:00:00"/>
    <n v="1.9722222222220864E-2"/>
    <n v="1.9722222222220864E-2"/>
    <s v="Auto reset"/>
    <s v="Close"/>
    <n v="8.5748792270525507E-4"/>
    <n v="1"/>
    <n v="0.16"/>
    <m/>
  </r>
  <r>
    <n v="1983"/>
    <n v="2025"/>
    <n v="2024"/>
    <s v="Year_2"/>
    <d v="2024-06-03T00:00:00"/>
    <s v="KUD11"/>
    <s v="O2R1"/>
    <s v="KSIPL"/>
    <n v="4.3478260869565223E-2"/>
    <n v="4235"/>
    <x v="93"/>
    <s v="Gen Stator CB Open"/>
    <s v="Breakdown"/>
    <d v="1899-12-30T18:36:03"/>
    <d v="1899-12-30T18:36:03"/>
    <d v="1899-12-30T18:44:24"/>
    <d v="1899-12-30T00:00:00"/>
    <n v="0.1391666666666671"/>
    <n v="0.1391666666666671"/>
    <s v="Auto reset"/>
    <s v="Close"/>
    <n v="6.0507246376811791E-3"/>
    <n v="1"/>
    <n v="0.05"/>
    <m/>
  </r>
  <r>
    <n v="1984"/>
    <n v="2025"/>
    <n v="2024"/>
    <s v="Year_2"/>
    <d v="2024-06-03T00:00:00"/>
    <s v="KUD12"/>
    <s v="O2R1"/>
    <s v="KSIPL"/>
    <n v="4.3478260869565223E-2"/>
    <n v="900"/>
    <x v="100"/>
    <s v="Pause pressed on keyboard"/>
    <s v="Manual Stop"/>
    <d v="1899-12-30T17:35:00"/>
    <d v="1899-12-30T17:35:00"/>
    <d v="1899-12-30T18:04:00"/>
    <d v="1899-12-30T00:00:00"/>
    <n v="0.48333333333333428"/>
    <n v="0.48333333333333428"/>
    <s v="CIM5642 implemented work done"/>
    <s v="Close"/>
    <n v="2.1014492753623232E-2"/>
    <n v="1"/>
    <n v="5.86"/>
    <m/>
  </r>
  <r>
    <n v="1985"/>
    <n v="2025"/>
    <n v="2024"/>
    <s v="Year_2"/>
    <d v="2024-06-03T00:00:00"/>
    <s v="KUD13"/>
    <s v="O2R1"/>
    <s v="KSIPL"/>
    <n v="4.3478260869565223E-2"/>
    <n v="3806"/>
    <x v="147"/>
    <s v="HubSafetySystem Batt.Charg.Err"/>
    <s v="Breakdown"/>
    <d v="1899-12-30T17:35:00"/>
    <d v="1899-12-30T17:35:00"/>
    <d v="1899-12-30T17:40:00"/>
    <d v="1899-12-30T00:00:00"/>
    <n v="8.3333333333335702E-2"/>
    <n v="8.3333333333335702E-2"/>
    <s v="Auto reset"/>
    <s v="Close"/>
    <n v="3.6231884057972047E-3"/>
    <n v="1"/>
    <n v="0"/>
    <m/>
  </r>
  <r>
    <n v="1986"/>
    <n v="2025"/>
    <n v="2024"/>
    <s v="Year_2"/>
    <d v="2024-06-03T00:00:00"/>
    <s v="KUD13"/>
    <s v="O2R1"/>
    <s v="KSIPL"/>
    <n v="4.3478260869565223E-2"/>
    <n v="3296"/>
    <x v="46"/>
    <s v="Yaw To Nacelle Position Reset"/>
    <s v="Breakdown"/>
    <d v="1899-12-30T17:40:07"/>
    <d v="1899-12-30T17:40:07"/>
    <d v="1899-12-30T18:00:04"/>
    <d v="1899-12-30T00:00:00"/>
    <n v="0.33249999999999869"/>
    <n v="0.33249999999999869"/>
    <s v="Auto reset"/>
    <s v="Close"/>
    <n v="1.445652173913038E-2"/>
    <n v="1"/>
    <n v="0.26500000000000001"/>
    <m/>
  </r>
  <r>
    <n v="1987"/>
    <n v="2025"/>
    <n v="2024"/>
    <s v="Year_2"/>
    <d v="2024-06-03T00:00:00"/>
    <s v="KUD13"/>
    <s v="O2R1"/>
    <s v="KSIPL"/>
    <n v="4.3478260869565223E-2"/>
    <n v="4235"/>
    <x v="93"/>
    <s v="Gen Stator CB Open"/>
    <s v="Breakdown"/>
    <d v="1899-12-30T18:33:50"/>
    <d v="1899-12-30T18:33:50"/>
    <d v="1899-12-30T18:42:08"/>
    <d v="1899-12-30T00:00:00"/>
    <n v="0.13833333333333098"/>
    <n v="0.13833333333333098"/>
    <s v="Auto reset"/>
    <s v="Close"/>
    <n v="6.0144927536230864E-3"/>
    <n v="1"/>
    <n v="0"/>
    <m/>
  </r>
  <r>
    <n v="1988"/>
    <n v="2025"/>
    <n v="2024"/>
    <s v="Year_2"/>
    <d v="2024-06-03T00:00:00"/>
    <s v="KUD16"/>
    <s v="O2R2"/>
    <s v="SIL"/>
    <n v="4.3478260869565223E-2"/>
    <n v="900"/>
    <x v="100"/>
    <s v="Pause pressed on keyboard"/>
    <s v="Manual Stop"/>
    <d v="1899-12-30T17:39:25"/>
    <d v="1899-12-30T17:39:25"/>
    <d v="1899-12-30T18:18:05"/>
    <d v="1899-12-30T00:00:00"/>
    <n v="0.64444444444444571"/>
    <n v="0.64444444444444571"/>
    <s v="CIM5642 implemented work done"/>
    <s v="Close"/>
    <n v="2.8019323671497644E-2"/>
    <n v="1"/>
    <n v="3.1E-2"/>
    <m/>
  </r>
  <r>
    <n v="1989"/>
    <n v="2025"/>
    <n v="2024"/>
    <s v="Year_2"/>
    <d v="2024-06-03T00:00:00"/>
    <s v="KUD08"/>
    <s v="O2R3"/>
    <s v="JK"/>
    <n v="4.3478260869565223E-2"/>
    <n v="707"/>
    <x v="121"/>
    <s v="Ch hardware error C0"/>
    <s v="Breakdown"/>
    <d v="1899-12-30T17:35:00"/>
    <d v="1899-12-30T17:35:00"/>
    <d v="1899-12-30T17:52:00"/>
    <d v="1899-12-30T00:00:00"/>
    <n v="0.28333333333333499"/>
    <n v="0.28333333333333499"/>
    <s v="Remote hard reboot done"/>
    <s v="Close"/>
    <n v="1.2318840579710218E-2"/>
    <n v="1"/>
    <n v="0"/>
    <m/>
  </r>
  <r>
    <n v="1990"/>
    <n v="2025"/>
    <n v="2024"/>
    <s v="Year_2"/>
    <d v="2024-06-04T00:00:00"/>
    <s v="KUD01"/>
    <s v="O2R1"/>
    <s v="KSIPL"/>
    <n v="4.3478260869565223E-2"/>
    <n v="450"/>
    <x v="127"/>
    <s v="Ext. High I sum Grd inv."/>
    <s v="Breakdown"/>
    <d v="1899-12-30T19:12:35"/>
    <d v="1899-12-30T19:12:35"/>
    <d v="1899-12-30T19:23:13"/>
    <d v="1899-12-30T00:00:00"/>
    <n v="0.1772222222222215"/>
    <n v="0.1772222222222215"/>
    <s v="Auto reset"/>
    <s v="Close"/>
    <n v="7.7053140096618056E-3"/>
    <n v="1"/>
    <n v="0.307"/>
    <m/>
  </r>
  <r>
    <n v="1991"/>
    <n v="2025"/>
    <n v="2024"/>
    <s v="Year_2"/>
    <d v="2024-06-04T00:00:00"/>
    <s v="KUD10"/>
    <s v="O2R1"/>
    <s v="KSIPL"/>
    <n v="4.3478260869565223E-2"/>
    <n v="5196"/>
    <x v="114"/>
    <s v="Prop Valve B Status Fault"/>
    <s v="Breakdown"/>
    <d v="1899-12-30T21:44:00"/>
    <d v="1899-12-30T21:44:00"/>
    <d v="1899-12-30T21:52:38"/>
    <d v="1899-12-30T00:00:00"/>
    <n v="0.14388888888888829"/>
    <n v="0.14388888888888829"/>
    <s v="Auto reset"/>
    <s v="Close"/>
    <n v="6.2560386473429703E-3"/>
    <n v="1"/>
    <n v="0.21199999999999999"/>
    <m/>
  </r>
  <r>
    <n v="1992"/>
    <n v="2025"/>
    <n v="2024"/>
    <s v="Year_2"/>
    <d v="2024-06-05T00:00:00"/>
    <s v="KUD02"/>
    <s v="O2R3"/>
    <s v="JK"/>
    <n v="4.3478260869565223E-2"/>
    <n v="900"/>
    <x v="100"/>
    <s v="Pause pressed on keyboard"/>
    <s v="Manual Stop"/>
    <d v="1899-12-30T11:28:56"/>
    <d v="1899-12-30T11:28:56"/>
    <d v="1899-12-30T11:59:38"/>
    <d v="1899-12-30T00:00:00"/>
    <n v="0.51166666666666671"/>
    <n v="0.51166666666666671"/>
    <s v="CIM5642 implemented work done"/>
    <s v="Close"/>
    <n v="2.2246376811594207E-2"/>
    <n v="1"/>
    <n v="0.71"/>
    <m/>
  </r>
  <r>
    <n v="1993"/>
    <n v="2025"/>
    <n v="2024"/>
    <s v="Year_2"/>
    <d v="2024-06-05T00:00:00"/>
    <s v="KUD04"/>
    <s v="O2R3"/>
    <s v="JK"/>
    <n v="4.3478260869565223E-2"/>
    <n v="30"/>
    <x v="44"/>
    <s v="Internal subLogic error"/>
    <s v="Breakdown"/>
    <d v="1899-12-30T15:03:30"/>
    <d v="1899-12-30T15:03:30"/>
    <d v="1899-12-30T15:58:15"/>
    <d v="1899-12-30T00:00:00"/>
    <n v="0.91249999999999876"/>
    <n v="0.91249999999999876"/>
    <s v="UPS manual reboot done"/>
    <s v="Close"/>
    <n v="3.9673913043478212E-2"/>
    <n v="1"/>
    <n v="0.2"/>
    <m/>
  </r>
  <r>
    <n v="1994"/>
    <n v="2025"/>
    <n v="2024"/>
    <s v="Year_2"/>
    <d v="2024-06-05T00:00:00"/>
    <s v="KUD03"/>
    <s v="O2R1"/>
    <s v="KSIPL"/>
    <n v="4.3478260869565223E-2"/>
    <n v="4235"/>
    <x v="93"/>
    <s v="Gen Stator CB Open"/>
    <s v="Breakdown"/>
    <d v="1899-12-30T15:03:12"/>
    <d v="1899-12-30T15:03:12"/>
    <d v="1899-12-30T15:11:30"/>
    <d v="1899-12-30T00:00:00"/>
    <n v="0.13833333333333364"/>
    <n v="0.13833333333333364"/>
    <s v="Auto reset"/>
    <s v="Close"/>
    <n v="6.0144927536232027E-3"/>
    <n v="1"/>
    <n v="0.05"/>
    <m/>
  </r>
  <r>
    <n v="1995"/>
    <n v="2025"/>
    <n v="2024"/>
    <s v="Year_2"/>
    <d v="2024-06-05T00:00:00"/>
    <s v="KUD09"/>
    <s v="O2R3"/>
    <s v="JK"/>
    <n v="4.3478260869565223E-2"/>
    <n v="900"/>
    <x v="100"/>
    <s v="Pause pressed on keyboard"/>
    <s v="Manual Stop"/>
    <d v="1899-12-30T11:15:22"/>
    <d v="1899-12-30T11:15:22"/>
    <d v="1899-12-30T11:45:55"/>
    <d v="1899-12-30T00:00:00"/>
    <n v="0.50916666666666632"/>
    <n v="0.50916666666666632"/>
    <s v="CIM5642 implemented work done"/>
    <s v="Close"/>
    <n v="2.2137681159420278E-2"/>
    <n v="1"/>
    <n v="0.2"/>
    <m/>
  </r>
  <r>
    <n v="1996"/>
    <n v="2025"/>
    <n v="2024"/>
    <s v="Year_2"/>
    <d v="2024-06-05T00:00:00"/>
    <s v="KUD10"/>
    <s v="O2R1"/>
    <s v="KSIPL"/>
    <n v="4.3478260869565223E-2"/>
    <n v="5196"/>
    <x v="114"/>
    <s v="Prop Valve B Status Fault"/>
    <s v="Breakdown"/>
    <d v="1899-12-30T04:36:02"/>
    <d v="1899-12-30T04:36:02"/>
    <d v="1899-12-30T04:44:34"/>
    <d v="1899-12-30T00:00:00"/>
    <n v="0.14222222222222203"/>
    <n v="0.14222222222222203"/>
    <s v="Auto reset"/>
    <s v="Close"/>
    <n v="6.1835748792270452E-3"/>
    <n v="1"/>
    <n v="0.2"/>
    <m/>
  </r>
  <r>
    <n v="1997"/>
    <n v="2025"/>
    <n v="2024"/>
    <s v="Year_2"/>
    <d v="2024-06-05T00:00:00"/>
    <s v="KUD10"/>
    <s v="O2R1"/>
    <s v="KSIPL"/>
    <n v="4.3478260869565223E-2"/>
    <n v="5197"/>
    <x v="54"/>
    <s v="Prop Valve C Status Fault"/>
    <s v="Breakdown"/>
    <d v="1899-12-30T16:02:18"/>
    <d v="1899-12-30T16:02:18"/>
    <d v="1899-12-30T16:11:01"/>
    <d v="1899-12-30T00:00:00"/>
    <n v="0.14527777777777828"/>
    <n v="0.14527777777777828"/>
    <s v="Auto reset"/>
    <s v="Close"/>
    <n v="6.3164251207729694E-3"/>
    <n v="1"/>
    <n v="7.0000000000000007E-2"/>
    <m/>
  </r>
  <r>
    <n v="1998"/>
    <n v="2025"/>
    <n v="2024"/>
    <s v="Year_2"/>
    <d v="2024-06-05T00:00:00"/>
    <s v="KUD11"/>
    <s v="O2R1"/>
    <s v="KSIPL"/>
    <n v="4.3478260869565223E-2"/>
    <n v="900"/>
    <x v="100"/>
    <s v="Pause pressed on keyboard"/>
    <s v="Manual Stop"/>
    <d v="1899-12-30T13:19:01"/>
    <d v="1899-12-30T13:19:01"/>
    <d v="1899-12-30T13:39:36"/>
    <d v="1899-12-30T00:00:00"/>
    <n v="0.34305555555555678"/>
    <n v="0.34305555555555678"/>
    <s v="CIM5642 implemented work done"/>
    <s v="Close"/>
    <n v="1.4915458937198122E-2"/>
    <n v="1"/>
    <n v="0.08"/>
    <m/>
  </r>
  <r>
    <n v="1999"/>
    <n v="2025"/>
    <n v="2024"/>
    <s v="Year_2"/>
    <d v="2024-06-05T00:00:00"/>
    <s v="KUD13"/>
    <s v="O2R1"/>
    <s v="KSIPL"/>
    <n v="4.3478260869565223E-2"/>
    <n v="900"/>
    <x v="100"/>
    <s v="Pause pressed on keyboard"/>
    <s v="Manual Stop"/>
    <d v="1899-12-30T12:10:01"/>
    <d v="1899-12-30T12:10:01"/>
    <d v="1899-12-30T13:18:58"/>
    <d v="1899-12-30T00:00:00"/>
    <n v="1.1491666666666651"/>
    <n v="1.1491666666666651"/>
    <s v="CIM5642 implemented work done"/>
    <s v="Close"/>
    <n v="4.996376811594197E-2"/>
    <n v="1"/>
    <n v="0.06"/>
    <m/>
  </r>
  <r>
    <n v="2000"/>
    <n v="2025"/>
    <n v="2024"/>
    <s v="Year_2"/>
    <d v="2024-06-05T00:00:00"/>
    <s v="KUD13"/>
    <s v="O2R1"/>
    <s v="KSIPL"/>
    <n v="4.3478260869565223E-2"/>
    <n v="3296"/>
    <x v="46"/>
    <s v="Yaw To Nacelle Position Reset"/>
    <s v="Breakdown"/>
    <d v="1899-12-30T12:55:45"/>
    <d v="1899-12-30T12:55:45"/>
    <d v="1899-12-30T13:18:58"/>
    <d v="1899-12-30T00:00:00"/>
    <n v="0.38694444444444542"/>
    <n v="0.38694444444444542"/>
    <s v="Turbine self cable Twist release"/>
    <s v="Close"/>
    <n v="1.6823671497584586E-2"/>
    <n v="1"/>
    <n v="0.1"/>
    <m/>
  </r>
  <r>
    <n v="2001"/>
    <n v="2025"/>
    <n v="2024"/>
    <s v="Year_2"/>
    <d v="2024-06-05T00:00:00"/>
    <s v="KUD08"/>
    <s v="O2R3"/>
    <s v="JK"/>
    <n v="4.3478260869565223E-2"/>
    <n v="707"/>
    <x v="121"/>
    <s v="Ch hardware error C_"/>
    <s v="Breakdown"/>
    <d v="1899-12-30T15:03:00"/>
    <d v="1899-12-30T15:03:00"/>
    <d v="1899-12-30T15:10:00"/>
    <d v="1899-12-30T00:00:00"/>
    <n v="0.11666666666666625"/>
    <n v="0.11666666666666625"/>
    <s v="remote reset done"/>
    <s v="Close"/>
    <n v="5.0724637681159243E-3"/>
    <n v="1"/>
    <n v="7.0000000000000007E-2"/>
    <m/>
  </r>
  <r>
    <n v="2002"/>
    <n v="2025"/>
    <n v="2024"/>
    <s v="Year_2"/>
    <d v="2024-06-06T00:00:00"/>
    <s v="KUD01"/>
    <s v="O2R1"/>
    <s v="KSIPL"/>
    <n v="4.3478260869565223E-2"/>
    <n v="335"/>
    <x v="152"/>
    <s v="ExtHighIRotorInv phase: 1"/>
    <s v="Breakdown"/>
    <d v="1899-12-30T05:04:29"/>
    <d v="1899-12-30T05:04:29"/>
    <d v="1899-12-30T05:15:55"/>
    <d v="1899-12-30T00:00:00"/>
    <n v="0.19055555555555559"/>
    <n v="0.19055555555555559"/>
    <s v="Auto reset"/>
    <s v="Close"/>
    <n v="8.2850241545893745E-3"/>
    <n v="1"/>
    <n v="0.2"/>
    <m/>
  </r>
  <r>
    <n v="2003"/>
    <n v="2025"/>
    <n v="2024"/>
    <s v="Year_2"/>
    <d v="2024-06-06T00:00:00"/>
    <s v="KUD02"/>
    <s v="O2R3"/>
    <s v="JK"/>
    <n v="4.3478260869565223E-2"/>
    <n v="176"/>
    <x v="140"/>
    <s v="Error on all wind sensors"/>
    <s v="Breakdown"/>
    <d v="1899-12-30T22:49:40"/>
    <d v="1899-12-30T22:49:40"/>
    <d v="1899-12-30T22:55:02"/>
    <d v="1899-12-30T00:00:00"/>
    <n v="8.9444444444444215E-2"/>
    <n v="8.9444444444444215E-2"/>
    <s v="Auto reset"/>
    <s v="Close"/>
    <n v="3.8888888888888792E-3"/>
    <n v="1"/>
    <n v="0.71"/>
    <m/>
  </r>
  <r>
    <n v="2004"/>
    <n v="2025"/>
    <n v="2024"/>
    <s v="Year_2"/>
    <d v="2024-06-06T00:00:00"/>
    <s v="KUD10"/>
    <s v="O2R1"/>
    <s v="KSIPL"/>
    <n v="4.3478260869565223E-2"/>
    <n v="900"/>
    <x v="100"/>
    <s v="Pause pressed on keyboard"/>
    <s v="Manual Stop"/>
    <d v="1899-12-30T14:27:03"/>
    <d v="1899-12-30T14:27:03"/>
    <d v="1899-12-30T16:30:55"/>
    <d v="1899-12-30T00:00:00"/>
    <n v="2.0644444444444439"/>
    <n v="2.0644444444444439"/>
    <s v="Repeated error arresting purpose and CIM 5642 implemeted work done."/>
    <s v="Close"/>
    <n v="8.9758454106280181E-2"/>
    <n v="1"/>
    <n v="0.2"/>
    <m/>
  </r>
  <r>
    <n v="2005"/>
    <n v="2025"/>
    <n v="2024"/>
    <s v="Year_2"/>
    <d v="2024-06-07T00:00:00"/>
    <s v="KUD11"/>
    <s v="O2R1"/>
    <s v="KSIPL"/>
    <n v="4.3478260869565223E-2"/>
    <n v="3806"/>
    <x v="147"/>
    <s v="HubSafetySystem Batt.Charg.Err"/>
    <s v="Breakdown"/>
    <d v="1899-12-30T15:43:00"/>
    <d v="1899-12-30T15:43:00"/>
    <d v="1899-12-30T15:45:00"/>
    <d v="1899-12-30T00:00:00"/>
    <n v="3.3333333333333215E-2"/>
    <n v="3.3333333333333215E-2"/>
    <s v="Auto reset"/>
    <s v="Close"/>
    <n v="1.4492753623188356E-3"/>
    <n v="1"/>
    <n v="0.05"/>
    <m/>
  </r>
  <r>
    <n v="2006"/>
    <n v="2025"/>
    <n v="2024"/>
    <s v="Year_2"/>
    <d v="2024-06-07T00:00:00"/>
    <s v="KUD15"/>
    <s v="O2R1"/>
    <s v="KSIPL"/>
    <n v="4.3478260869565223E-2"/>
    <n v="4235"/>
    <x v="93"/>
    <s v="Gen Stator CB Open"/>
    <s v="Breakdown"/>
    <d v="1899-12-30T15:46:00"/>
    <d v="1899-12-30T15:46:00"/>
    <d v="1899-12-30T15:54:00"/>
    <d v="1899-12-30T00:00:00"/>
    <n v="0.13333333333333286"/>
    <n v="0.13333333333333286"/>
    <s v="Auto reset"/>
    <s v="Close"/>
    <n v="5.7971014492753424E-3"/>
    <n v="1"/>
    <n v="0.2"/>
    <m/>
  </r>
  <r>
    <n v="2007"/>
    <n v="2025"/>
    <n v="2024"/>
    <s v="Year_2"/>
    <d v="2024-06-07T00:00:00"/>
    <s v="KUD15"/>
    <s v="O2R1"/>
    <s v="KSIPL"/>
    <n v="4.3478260869565223E-2"/>
    <n v="6293"/>
    <x v="32"/>
    <s v="Pitch valves test acitve"/>
    <s v="Breakdown"/>
    <d v="1899-12-30T15:48:00"/>
    <d v="1899-12-30T15:48:00"/>
    <d v="1899-12-30T15:54:00"/>
    <d v="1899-12-30T00:00:00"/>
    <n v="9.9999999999999645E-2"/>
    <n v="9.9999999999999645E-2"/>
    <s v="Auto reset"/>
    <s v="Close"/>
    <n v="4.347826086956507E-3"/>
    <n v="1"/>
    <n v="0.2"/>
    <m/>
  </r>
  <r>
    <n v="2008"/>
    <n v="2025"/>
    <n v="2024"/>
    <s v="Year_2"/>
    <d v="2024-06-07T00:00:00"/>
    <s v="KUD19"/>
    <s v="O2R1"/>
    <s v="KSIPL"/>
    <n v="4.3478260869565223E-2"/>
    <n v="4235"/>
    <x v="93"/>
    <s v="Gen Stator CB Open"/>
    <s v="Breakdown"/>
    <d v="1899-12-30T15:46:00"/>
    <d v="1899-12-30T15:46:00"/>
    <d v="1899-12-30T15:47:00"/>
    <d v="1899-12-30T00:00:00"/>
    <n v="1.6666666666666607E-2"/>
    <n v="1.6666666666666607E-2"/>
    <s v="Auto reset"/>
    <s v="Close"/>
    <n v="7.246376811594178E-4"/>
    <n v="1"/>
    <n v="7.0000000000000007E-2"/>
    <m/>
  </r>
  <r>
    <n v="2009"/>
    <n v="2025"/>
    <n v="2024"/>
    <s v="Year_2"/>
    <d v="2024-06-07T00:00:00"/>
    <s v="KUD19"/>
    <s v="O2R1"/>
    <s v="KSIPL"/>
    <n v="4.3478260869565223E-2"/>
    <n v="6293"/>
    <x v="32"/>
    <s v="Pitch valves test acitve"/>
    <s v="Breakdown"/>
    <d v="1899-12-30T15:48:00"/>
    <d v="1899-12-30T15:48:00"/>
    <d v="1899-12-30T15:54:00"/>
    <d v="1899-12-30T00:00:00"/>
    <n v="9.9999999999999645E-2"/>
    <n v="9.9999999999999645E-2"/>
    <s v="Auto reset"/>
    <s v="Close"/>
    <n v="4.347826086956507E-3"/>
    <n v="1"/>
    <n v="0.08"/>
    <m/>
  </r>
  <r>
    <n v="2010"/>
    <n v="2025"/>
    <n v="2024"/>
    <s v="Year_2"/>
    <d v="2024-06-07T00:00:00"/>
    <s v="KUD20"/>
    <s v="O2R1"/>
    <s v="KSIPL"/>
    <n v="4.3478260869565223E-2"/>
    <n v="4235"/>
    <x v="93"/>
    <s v="Gen Stator CB Open"/>
    <s v="Breakdown"/>
    <d v="1899-12-30T15:46:00"/>
    <d v="1899-12-30T15:46:00"/>
    <d v="1899-12-30T15:47:00"/>
    <d v="1899-12-30T00:00:00"/>
    <n v="1.6666666666666607E-2"/>
    <n v="1.6666666666666607E-2"/>
    <s v="Auto reset"/>
    <s v="Close"/>
    <n v="7.246376811594178E-4"/>
    <n v="1"/>
    <n v="0.06"/>
    <m/>
  </r>
  <r>
    <n v="2011"/>
    <n v="2025"/>
    <n v="2024"/>
    <s v="Year_2"/>
    <d v="2024-06-07T00:00:00"/>
    <s v="KUD20"/>
    <s v="O2R1"/>
    <s v="KSIPL"/>
    <n v="4.3478260869565223E-2"/>
    <n v="6293"/>
    <x v="32"/>
    <s v="Pitch valves test acitve"/>
    <s v="Breakdown"/>
    <d v="1899-12-30T15:48:00"/>
    <d v="1899-12-30T15:48:00"/>
    <d v="1899-12-30T15:55:00"/>
    <d v="1899-12-30T00:00:00"/>
    <n v="0.11666666666666625"/>
    <n v="0.11666666666666625"/>
    <s v="Auto reset"/>
    <s v="Close"/>
    <n v="5.0724637681159243E-3"/>
    <n v="1"/>
    <n v="0.1"/>
    <m/>
  </r>
  <r>
    <n v="2012"/>
    <n v="2025"/>
    <n v="2024"/>
    <s v="Year_2"/>
    <d v="2024-06-07T00:00:00"/>
    <s v="KUD07"/>
    <s v="O2R3"/>
    <s v="JK"/>
    <n v="4.3478260869565223E-2"/>
    <n v="4235"/>
    <x v="93"/>
    <s v="Gen Stator CB Open"/>
    <s v="Breakdown"/>
    <d v="1899-12-30T15:47:00"/>
    <d v="1899-12-30T15:47:00"/>
    <d v="1899-12-30T15:48:00"/>
    <d v="1899-12-30T00:00:00"/>
    <n v="1.6666666666666607E-2"/>
    <n v="1.6666666666666607E-2"/>
    <s v="Auto reset"/>
    <s v="Close"/>
    <n v="7.246376811594178E-4"/>
    <n v="1"/>
    <n v="7.0000000000000007E-2"/>
    <m/>
  </r>
  <r>
    <n v="2013"/>
    <n v="2025"/>
    <n v="2024"/>
    <s v="Year_2"/>
    <d v="2024-06-07T00:00:00"/>
    <s v="KUD07"/>
    <s v="O2R3"/>
    <s v="JK"/>
    <n v="4.3478260869565223E-2"/>
    <n v="6293"/>
    <x v="32"/>
    <s v="Pitch valves test acitve"/>
    <s v="Breakdown"/>
    <d v="1899-12-30T15:49:00"/>
    <d v="1899-12-30T15:49:00"/>
    <d v="1899-12-30T15:56:00"/>
    <d v="1899-12-30T00:00:00"/>
    <n v="0.11666666666666625"/>
    <n v="0.11666666666666625"/>
    <s v="Auto reset"/>
    <s v="Close"/>
    <n v="5.0724637681159243E-3"/>
    <n v="1"/>
    <n v="0.2"/>
    <m/>
  </r>
  <r>
    <n v="2014"/>
    <n v="2025"/>
    <n v="2024"/>
    <s v="Year_2"/>
    <d v="2024-06-07T00:00:00"/>
    <s v="KUD16"/>
    <s v="O2R2"/>
    <s v="SIL"/>
    <n v="4.3478260869565223E-2"/>
    <n v="4235"/>
    <x v="93"/>
    <s v="Gen Stator CB Open"/>
    <s v="Breakdown"/>
    <d v="1899-12-30T15:55:00"/>
    <d v="1899-12-30T15:55:00"/>
    <d v="1899-12-30T15:56:00"/>
    <d v="1899-12-30T00:00:00"/>
    <n v="1.6666666666666607E-2"/>
    <n v="1.6666666666666607E-2"/>
    <s v="Auto reset"/>
    <s v="Close"/>
    <n v="7.246376811594178E-4"/>
    <n v="1"/>
    <n v="0.16"/>
    <m/>
  </r>
  <r>
    <n v="2015"/>
    <n v="2025"/>
    <n v="2024"/>
    <s v="Year_2"/>
    <d v="2024-06-07T00:00:00"/>
    <s v="KUD16"/>
    <s v="O2R2"/>
    <s v="SIL"/>
    <n v="4.3478260869565223E-2"/>
    <n v="6293"/>
    <x v="32"/>
    <s v="Pitch valves test acitve"/>
    <s v="Breakdown"/>
    <d v="1899-12-30T15:57:00"/>
    <d v="1899-12-30T15:57:00"/>
    <d v="1899-12-30T16:02:00"/>
    <d v="1899-12-30T00:00:00"/>
    <n v="8.3333333333333037E-2"/>
    <n v="8.3333333333333037E-2"/>
    <s v="Auto reset"/>
    <s v="Close"/>
    <n v="3.6231884057970889E-3"/>
    <n v="1"/>
    <n v="0.05"/>
    <m/>
  </r>
  <r>
    <n v="2016"/>
    <n v="2025"/>
    <n v="2024"/>
    <s v="Year_2"/>
    <d v="2024-06-08T00:00:00"/>
    <s v="KUD01"/>
    <s v="O2R1"/>
    <s v="KSIPL"/>
    <n v="4.3478260869565223E-2"/>
    <n v="453"/>
    <x v="136"/>
    <s v="Ext. High I sum Rotinv.ChanX"/>
    <s v="Breakdown"/>
    <d v="1899-12-30T02:17:00"/>
    <d v="1899-12-30T02:17:00"/>
    <d v="1899-12-30T02:19:00"/>
    <d v="1899-12-30T00:00:00"/>
    <n v="3.3333333333333548E-2"/>
    <n v="3.3333333333333548E-2"/>
    <s v="Auto reset"/>
    <s v="Close"/>
    <n v="1.4492753623188501E-3"/>
    <n v="1"/>
    <n v="5.86"/>
    <m/>
  </r>
  <r>
    <n v="2017"/>
    <n v="2025"/>
    <n v="2024"/>
    <s v="Year_2"/>
    <d v="2024-06-08T00:00:00"/>
    <s v="KUD01"/>
    <s v="O2R1"/>
    <s v="KSIPL"/>
    <n v="4.3478260869565223E-2"/>
    <n v="6293"/>
    <x v="32"/>
    <s v="Pitch valves test acitve"/>
    <s v="Breakdown"/>
    <d v="1899-12-30T02:19:00"/>
    <d v="1899-12-30T02:19:00"/>
    <d v="1899-12-30T02:25:00"/>
    <d v="1899-12-30T00:00:00"/>
    <n v="9.9999999999999978E-2"/>
    <n v="9.9999999999999978E-2"/>
    <s v="Turbine self test taken"/>
    <s v="Close"/>
    <n v="4.3478260869565209E-3"/>
    <n v="1"/>
    <n v="0"/>
    <m/>
  </r>
  <r>
    <n v="2018"/>
    <n v="2025"/>
    <n v="2024"/>
    <s v="Year_2"/>
    <d v="2024-06-08T00:00:00"/>
    <s v="KUD01"/>
    <s v="O2R1"/>
    <s v="KSIPL"/>
    <n v="4.3478260869565223E-2"/>
    <n v="4235"/>
    <x v="93"/>
    <s v="Gen Stator CB Open"/>
    <s v="Breakdown"/>
    <d v="1899-12-30T18:06:00"/>
    <d v="1899-12-30T18:06:00"/>
    <d v="1899-12-30T18:07:00"/>
    <d v="1899-12-30T00:00:00"/>
    <n v="1.6666666666666607E-2"/>
    <n v="1.6666666666666607E-2"/>
    <s v="Auto reset"/>
    <s v="Close"/>
    <n v="7.246376811594178E-4"/>
    <n v="1"/>
    <n v="0.26500000000000001"/>
    <m/>
  </r>
  <r>
    <n v="2019"/>
    <n v="2025"/>
    <n v="2024"/>
    <s v="Year_2"/>
    <d v="2024-06-08T00:00:00"/>
    <s v="KUD01"/>
    <s v="O2R1"/>
    <s v="KSIPL"/>
    <n v="4.3478260869565223E-2"/>
    <n v="6293"/>
    <x v="32"/>
    <s v="Pitch valves test acitve"/>
    <s v="Breakdown"/>
    <d v="1899-12-30T18:08:00"/>
    <d v="1899-12-30T18:08:00"/>
    <d v="1899-12-30T18:16:00"/>
    <d v="1899-12-30T00:00:00"/>
    <n v="0.13333333333333286"/>
    <n v="0.13333333333333286"/>
    <s v="Turbine self test taken"/>
    <s v="Close"/>
    <n v="5.7971014492753424E-3"/>
    <n v="1"/>
    <n v="0.14199999999999999"/>
    <m/>
  </r>
  <r>
    <n v="2020"/>
    <n v="2025"/>
    <n v="2024"/>
    <s v="Year_2"/>
    <d v="2024-06-08T00:00:00"/>
    <s v="KUD03"/>
    <s v="O2R1"/>
    <s v="KSIPL"/>
    <n v="4.3478260869565223E-2"/>
    <n v="3806"/>
    <x v="147"/>
    <s v="HubSafetySystem Batt.Charg.Err"/>
    <s v="Breakdown"/>
    <d v="1899-12-30T18:04:00"/>
    <d v="1899-12-30T18:04:00"/>
    <d v="1899-12-30T18:24:00"/>
    <d v="1899-12-30T00:00:00"/>
    <n v="0.33333333333333481"/>
    <n v="0.33333333333333481"/>
    <s v="Auto reset"/>
    <s v="Close"/>
    <n v="1.4492753623188472E-2"/>
    <n v="1"/>
    <n v="7.5999999999999998E-2"/>
    <m/>
  </r>
  <r>
    <n v="2021"/>
    <n v="2025"/>
    <n v="2024"/>
    <s v="Year_2"/>
    <d v="2024-06-08T00:00:00"/>
    <s v="KUD08"/>
    <s v="O2R3"/>
    <s v="JK"/>
    <n v="4.3478260869565223E-2"/>
    <n v="5470"/>
    <x v="34"/>
    <s v="GeneratorBreakerFBResponse"/>
    <s v="Breakdown"/>
    <d v="1899-12-30T06:08:00"/>
    <d v="1899-12-30T06:08:00"/>
    <d v="1899-12-30T08:05:00"/>
    <d v="1899-12-30T00:00:00"/>
    <n v="1.9500000000000011"/>
    <n v="1.9500000000000011"/>
    <s v=" ACB under voltage coil malfunctioning, removed and fixed and started the turbine"/>
    <s v="Close"/>
    <n v="8.4782608695652226E-2"/>
    <n v="1"/>
    <n v="7.0999999999999994E-2"/>
    <m/>
  </r>
  <r>
    <n v="2022"/>
    <n v="2025"/>
    <n v="2024"/>
    <s v="Year_2"/>
    <d v="2024-06-08T00:00:00"/>
    <s v="KUD11"/>
    <s v="O2R1"/>
    <s v="KSIPL"/>
    <n v="4.3478260869565223E-2"/>
    <n v="3806"/>
    <x v="147"/>
    <s v="HubSafetySystem Batt.Charg.Err"/>
    <s v="Breakdown"/>
    <d v="1899-12-30T06:04:00"/>
    <d v="1899-12-30T06:04:00"/>
    <d v="1899-12-30T06:07:00"/>
    <d v="1899-12-30T00:00:00"/>
    <n v="4.9999999999999822E-2"/>
    <n v="4.9999999999999822E-2"/>
    <s v="Auto reset"/>
    <s v="Close"/>
    <n v="2.1739130434782535E-3"/>
    <n v="1"/>
    <n v="0.69"/>
    <m/>
  </r>
  <r>
    <n v="2023"/>
    <n v="2025"/>
    <n v="2024"/>
    <s v="Year_2"/>
    <d v="2024-06-08T00:00:00"/>
    <s v="KUD13"/>
    <s v="O2R1"/>
    <s v="KSIPL"/>
    <n v="4.3478260869565223E-2"/>
    <n v="3296"/>
    <x v="46"/>
    <s v="Yaw To Nacelle Position Reset"/>
    <s v="Breakdown"/>
    <d v="1899-12-30T06:10:00"/>
    <d v="1899-12-30T06:10:00"/>
    <d v="1899-12-30T06:30:00"/>
    <d v="1899-12-30T00:00:00"/>
    <n v="0.33333333333333348"/>
    <n v="0.33333333333333348"/>
    <s v="Auto reset"/>
    <s v="Close"/>
    <n v="1.4492753623188415E-2"/>
    <n v="1"/>
    <n v="0.03"/>
    <m/>
  </r>
  <r>
    <n v="2024"/>
    <n v="2025"/>
    <n v="2024"/>
    <s v="Year_2"/>
    <d v="2024-06-08T00:00:00"/>
    <s v="KUD13"/>
    <s v="O2R1"/>
    <s v="KSIPL"/>
    <n v="4.3478260869565223E-2"/>
    <n v="4235"/>
    <x v="93"/>
    <s v="Gen Stator CB Open"/>
    <s v="Breakdown"/>
    <d v="1899-12-30T06:36:00"/>
    <d v="1899-12-30T06:36:00"/>
    <d v="1899-12-30T06:37:00"/>
    <d v="1899-12-30T00:00:00"/>
    <n v="1.6666666666666607E-2"/>
    <n v="1.6666666666666607E-2"/>
    <s v="Auto reset"/>
    <s v="Close"/>
    <n v="7.246376811594178E-4"/>
    <n v="1"/>
    <n v="0"/>
    <m/>
  </r>
  <r>
    <n v="2025"/>
    <n v="2025"/>
    <n v="2024"/>
    <s v="Year_2"/>
    <d v="2024-06-08T00:00:00"/>
    <s v="KUD13"/>
    <s v="O2R1"/>
    <s v="KSIPL"/>
    <n v="4.3478260869565223E-2"/>
    <n v="6293"/>
    <x v="32"/>
    <s v="Pitch valves test acitve"/>
    <s v="Breakdown"/>
    <d v="1899-12-30T06:38:00"/>
    <d v="1899-12-30T06:38:00"/>
    <d v="1899-12-30T06:45:00"/>
    <d v="1899-12-30T00:00:00"/>
    <n v="0.11666666666666625"/>
    <n v="0.11666666666666625"/>
    <s v="Turbine self test taken"/>
    <s v="Close"/>
    <n v="5.0724637681159243E-3"/>
    <n v="1"/>
    <n v="0.1"/>
    <m/>
  </r>
  <r>
    <n v="2026"/>
    <n v="2025"/>
    <n v="2024"/>
    <s v="Year_2"/>
    <d v="2024-06-08T00:00:00"/>
    <s v="KUD19"/>
    <s v="O2R1"/>
    <s v="KSIPL"/>
    <n v="4.3478260869565223E-2"/>
    <n v="4235"/>
    <x v="93"/>
    <s v="Gen Stator CB Open"/>
    <s v="Breakdown"/>
    <d v="1899-12-30T06:13:00"/>
    <d v="1899-12-30T06:13:00"/>
    <d v="1899-12-30T06:14:00"/>
    <d v="1899-12-30T00:00:00"/>
    <n v="1.6666666666666607E-2"/>
    <n v="1.6666666666666607E-2"/>
    <s v="Auto reset"/>
    <s v="Close"/>
    <n v="7.246376811594178E-4"/>
    <n v="1"/>
    <n v="0.04"/>
    <m/>
  </r>
  <r>
    <n v="2027"/>
    <n v="2025"/>
    <n v="2024"/>
    <s v="Year_2"/>
    <d v="2024-06-08T00:00:00"/>
    <s v="KUD19"/>
    <s v="O2R1"/>
    <s v="KSIPL"/>
    <n v="4.3478260869565223E-2"/>
    <n v="6290"/>
    <x v="91"/>
    <s v="Pitch Accu. Test active"/>
    <s v="Breakdown"/>
    <d v="1899-12-30T06:14:00"/>
    <d v="1899-12-30T06:14:00"/>
    <d v="1899-12-30T06:21:00"/>
    <d v="1899-12-30T00:00:00"/>
    <n v="0.11666666666666625"/>
    <n v="0.11666666666666625"/>
    <s v="Turbine self test taken"/>
    <s v="Close"/>
    <n v="5.0724637681159243E-3"/>
    <n v="1"/>
    <n v="0.02"/>
    <m/>
  </r>
  <r>
    <n v="2028"/>
    <n v="2025"/>
    <n v="2024"/>
    <s v="Year_2"/>
    <d v="2024-06-08T00:00:00"/>
    <s v="KUD19"/>
    <s v="O2R1"/>
    <s v="KSIPL"/>
    <n v="4.3478260869565223E-2"/>
    <n v="693"/>
    <x v="157"/>
    <s v="SignalError-PAUSE _____,_____"/>
    <s v="Breakdown"/>
    <d v="1899-12-30T12:45:00"/>
    <d v="1899-12-30T12:45:00"/>
    <d v="1899-12-30T16:28:00"/>
    <d v="1899-12-30T00:00:00"/>
    <n v="3.7166666666666668"/>
    <n v="3.7166666666666668"/>
    <s v="hub IO module CT 6061 having malfunction replaced a new one and restarted the turbine"/>
    <s v="Close"/>
    <n v="0.16159420289855075"/>
    <n v="1"/>
    <n v="0"/>
    <m/>
  </r>
  <r>
    <n v="2029"/>
    <n v="2025"/>
    <n v="2024"/>
    <s v="Year_2"/>
    <d v="2024-06-08T00:00:00"/>
    <s v="KUD20"/>
    <s v="O2R1"/>
    <s v="KSIPL"/>
    <n v="4.3478260869565223E-2"/>
    <n v="3806"/>
    <x v="147"/>
    <s v="HubSafetySystem Batt.Charg.Err"/>
    <s v="Breakdown"/>
    <d v="1899-12-30T06:04:00"/>
    <d v="1899-12-30T06:04:00"/>
    <d v="1899-12-30T06:06:00"/>
    <d v="1899-12-30T00:00:00"/>
    <n v="3.3333333333333215E-2"/>
    <n v="3.3333333333333215E-2"/>
    <s v="Auto reset"/>
    <s v="Close"/>
    <n v="1.4492753623188356E-3"/>
    <n v="1"/>
    <n v="0.11"/>
    <m/>
  </r>
  <r>
    <n v="2030"/>
    <n v="2025"/>
    <n v="2024"/>
    <s v="Year_2"/>
    <d v="2024-06-08T00:00:00"/>
    <s v="KUD20"/>
    <s v="O2R1"/>
    <s v="KSIPL"/>
    <n v="4.3478260869565223E-2"/>
    <n v="4235"/>
    <x v="93"/>
    <s v="Gen Stator CB Open"/>
    <s v="Breakdown"/>
    <d v="1899-12-30T06:13:00"/>
    <d v="1899-12-30T06:13:00"/>
    <d v="1899-12-30T06:14:00"/>
    <d v="1899-12-30T00:00:00"/>
    <n v="1.6666666666666607E-2"/>
    <n v="1.6666666666666607E-2"/>
    <s v="Auto reset"/>
    <s v="Close"/>
    <n v="7.246376811594178E-4"/>
    <n v="1"/>
    <n v="0.05"/>
    <m/>
  </r>
  <r>
    <n v="2031"/>
    <n v="2025"/>
    <n v="2024"/>
    <s v="Year_2"/>
    <d v="2024-06-08T00:00:00"/>
    <s v="KUD20"/>
    <s v="O2R1"/>
    <s v="KSIPL"/>
    <n v="4.3478260869565223E-2"/>
    <n v="6290"/>
    <x v="91"/>
    <s v="Pitch Accu. Test active"/>
    <s v="Breakdown"/>
    <d v="1899-12-30T06:15:00"/>
    <d v="1899-12-30T06:15:00"/>
    <d v="1899-12-30T06:20:00"/>
    <d v="1899-12-30T00:00:00"/>
    <n v="8.3333333333333037E-2"/>
    <n v="8.3333333333333037E-2"/>
    <s v="Turbine self test taken"/>
    <s v="Close"/>
    <n v="3.6231884057970889E-3"/>
    <n v="1"/>
    <n v="0"/>
    <m/>
  </r>
  <r>
    <n v="2032"/>
    <n v="2025"/>
    <n v="2024"/>
    <s v="Year_2"/>
    <d v="2024-06-08T00:00:00"/>
    <s v="KUD17"/>
    <s v="O2R2"/>
    <s v="SIL"/>
    <n v="4.3478260869565223E-2"/>
    <n v="4235"/>
    <x v="93"/>
    <s v="Gen Stator CB Open"/>
    <s v="Breakdown"/>
    <d v="1899-12-30T16:54:00"/>
    <d v="1899-12-30T16:54:00"/>
    <d v="1899-12-30T16:56:00"/>
    <d v="1899-12-30T00:00:00"/>
    <n v="3.3333333333333215E-2"/>
    <n v="3.3333333333333215E-2"/>
    <s v="Auto reset"/>
    <s v="Close"/>
    <n v="1.4492753623188356E-3"/>
    <n v="1"/>
    <n v="0.17"/>
    <m/>
  </r>
  <r>
    <n v="2033"/>
    <n v="2025"/>
    <n v="2024"/>
    <s v="Year_2"/>
    <d v="2024-06-08T00:00:00"/>
    <s v="KUD17"/>
    <s v="O2R2"/>
    <s v="SIL"/>
    <n v="4.3478260869565223E-2"/>
    <n v="6293"/>
    <x v="32"/>
    <s v="Pitch valves test acitve"/>
    <s v="Breakdown"/>
    <d v="1899-12-30T16:57:00"/>
    <d v="1899-12-30T16:57:00"/>
    <d v="1899-12-30T17:03:00"/>
    <d v="1899-12-30T00:00:00"/>
    <n v="9.9999999999999645E-2"/>
    <n v="9.9999999999999645E-2"/>
    <s v="Turbine self test taken"/>
    <s v="Close"/>
    <n v="4.347826086956507E-3"/>
    <n v="1"/>
    <n v="0.66"/>
    <m/>
  </r>
  <r>
    <n v="2034"/>
    <n v="2025"/>
    <n v="2024"/>
    <s v="Year_2"/>
    <d v="2024-06-09T00:00:00"/>
    <s v="KUD01"/>
    <s v="O2R1"/>
    <s v="KSIPL"/>
    <n v="4.3478260869565223E-2"/>
    <n v="3806"/>
    <x v="147"/>
    <s v="HubSafetySystem Batt.Charg.Err"/>
    <s v="Breakdown"/>
    <d v="1899-12-30T18:56:00"/>
    <d v="1899-12-30T18:56:00"/>
    <d v="1899-12-30T18:58:00"/>
    <d v="1899-12-30T00:00:00"/>
    <n v="3.3333333333333215E-2"/>
    <n v="3.3333333333333215E-2"/>
    <s v="Auto reset"/>
    <s v="Close"/>
    <n v="1.4492753623188356E-3"/>
    <n v="1"/>
    <n v="0.32"/>
    <m/>
  </r>
  <r>
    <n v="2035"/>
    <n v="2025"/>
    <n v="2024"/>
    <s v="Year_2"/>
    <d v="2024-06-09T00:00:00"/>
    <s v="KUD03"/>
    <s v="O2R1"/>
    <s v="KSIPL"/>
    <n v="4.3478260869565223E-2"/>
    <n v="4235"/>
    <x v="93"/>
    <s v="Gen Stator CB Open"/>
    <s v="Breakdown"/>
    <d v="1899-12-30T16:37:00"/>
    <d v="1899-12-30T16:37:00"/>
    <d v="1899-12-30T16:39:00"/>
    <d v="1899-12-30T00:00:00"/>
    <n v="3.3333333333333215E-2"/>
    <n v="3.3333333333333215E-2"/>
    <s v="Auto reset"/>
    <s v="Close"/>
    <n v="1.4492753623188356E-3"/>
    <n v="1"/>
    <n v="0.04"/>
    <m/>
  </r>
  <r>
    <n v="2036"/>
    <n v="2025"/>
    <n v="2024"/>
    <s v="Year_2"/>
    <d v="2024-06-09T00:00:00"/>
    <s v="KUD03"/>
    <s v="O2R1"/>
    <s v="KSIPL"/>
    <n v="4.3478260869565223E-2"/>
    <n v="6293"/>
    <x v="32"/>
    <s v="Pitch valves test acitve"/>
    <s v="Breakdown"/>
    <d v="1899-12-30T16:38:00"/>
    <d v="1899-12-30T16:38:00"/>
    <d v="1899-12-30T16:46:00"/>
    <d v="1899-12-30T00:00:00"/>
    <n v="0.13333333333333286"/>
    <n v="0.13333333333333286"/>
    <s v="Turbine self test taken"/>
    <s v="Close"/>
    <n v="5.7971014492753424E-3"/>
    <n v="1"/>
    <n v="0.06"/>
    <m/>
  </r>
  <r>
    <n v="2037"/>
    <n v="2025"/>
    <n v="2024"/>
    <s v="Year_2"/>
    <d v="2024-06-09T00:00:00"/>
    <s v="KUD03"/>
    <s v="O2R1"/>
    <s v="KSIPL"/>
    <n v="4.3478260869565223E-2"/>
    <n v="3806"/>
    <x v="147"/>
    <s v="HubSafetySystem Batt.Charg.Err"/>
    <s v="Breakdown"/>
    <d v="1899-12-30T18:57:00"/>
    <d v="1899-12-30T18:57:00"/>
    <d v="1899-12-30T19:00:00"/>
    <d v="1899-12-30T00:00:00"/>
    <n v="4.9999999999999822E-2"/>
    <n v="4.9999999999999822E-2"/>
    <s v="Auto reset"/>
    <s v="Close"/>
    <n v="2.1739130434782535E-3"/>
    <n v="1"/>
    <n v="0"/>
    <m/>
  </r>
  <r>
    <n v="2038"/>
    <n v="2025"/>
    <n v="2024"/>
    <s v="Year_2"/>
    <d v="2024-06-09T00:00:00"/>
    <s v="KUD10"/>
    <s v="O2R1"/>
    <s v="KSIPL"/>
    <n v="4.3478260869565223E-2"/>
    <n v="4235"/>
    <x v="93"/>
    <s v="Gen Stator CB Open"/>
    <s v="Breakdown"/>
    <d v="1899-12-30T16:37:00"/>
    <d v="1899-12-30T16:37:00"/>
    <d v="1899-12-30T16:39:00"/>
    <d v="1899-12-30T00:00:00"/>
    <n v="3.3333333333333215E-2"/>
    <n v="3.3333333333333215E-2"/>
    <s v="Auto reset"/>
    <s v="Close"/>
    <n v="1.4492753623188356E-3"/>
    <n v="1"/>
    <n v="0"/>
    <m/>
  </r>
  <r>
    <n v="2039"/>
    <n v="2025"/>
    <n v="2024"/>
    <s v="Year_2"/>
    <d v="2024-06-09T00:00:00"/>
    <s v="KUD10"/>
    <s v="O2R1"/>
    <s v="KSIPL"/>
    <n v="4.3478260869565223E-2"/>
    <n v="6293"/>
    <x v="32"/>
    <s v="Pitch valves test acitve"/>
    <s v="Breakdown"/>
    <d v="1899-12-30T16:38:00"/>
    <d v="1899-12-30T16:38:00"/>
    <d v="1899-12-30T16:45:00"/>
    <d v="1899-12-30T00:00:00"/>
    <n v="0.11666666666666625"/>
    <n v="0.11666666666666625"/>
    <s v="Auto reset"/>
    <s v="Close"/>
    <n v="5.0724637681159243E-3"/>
    <n v="1"/>
    <n v="0.18"/>
    <m/>
  </r>
  <r>
    <n v="2040"/>
    <n v="2025"/>
    <n v="2024"/>
    <s v="Year_2"/>
    <d v="2024-06-09T00:00:00"/>
    <s v="KUD11"/>
    <s v="O2R1"/>
    <s v="KSIPL"/>
    <n v="4.3478260869565223E-2"/>
    <n v="3806"/>
    <x v="147"/>
    <s v="HubSafetySystem Batt.Charg.Err"/>
    <s v="Breakdown"/>
    <d v="1899-12-30T18:58:00"/>
    <d v="1899-12-30T18:58:00"/>
    <d v="1899-12-30T19:01:00"/>
    <d v="1899-12-30T00:00:00"/>
    <n v="4.9999999999999822E-2"/>
    <n v="4.9999999999999822E-2"/>
    <s v="Auto reset"/>
    <s v="Close"/>
    <n v="2.1739130434782535E-3"/>
    <n v="1"/>
    <n v="0"/>
    <m/>
  </r>
  <r>
    <n v="2041"/>
    <n v="2025"/>
    <n v="2024"/>
    <s v="Year_2"/>
    <d v="2024-06-09T00:00:00"/>
    <s v="KUD20"/>
    <s v="O2R1"/>
    <s v="KSIPL"/>
    <n v="4.3478260869565223E-2"/>
    <n v="3806"/>
    <x v="147"/>
    <s v="HubSafetySystem Batt.Charg.Err"/>
    <s v="Breakdown"/>
    <d v="1899-12-30T18:57:00"/>
    <d v="1899-12-30T18:57:00"/>
    <d v="1899-12-30T18:59:00"/>
    <d v="1899-12-30T00:00:00"/>
    <n v="3.3333333333333215E-2"/>
    <n v="3.3333333333333215E-2"/>
    <s v="Auto reset"/>
    <s v="Close"/>
    <n v="1.4492753623188356E-3"/>
    <n v="1"/>
    <n v="0.1"/>
    <m/>
  </r>
  <r>
    <n v="2042"/>
    <n v="2025"/>
    <n v="2024"/>
    <s v="Year_2"/>
    <d v="2024-06-09T00:00:00"/>
    <s v="KUD02"/>
    <s v="O2R3"/>
    <s v="JK"/>
    <n v="4.3478260869565223E-2"/>
    <n v="4519"/>
    <x v="126"/>
    <s v="HubSafty HydrPres  Low DBlk"/>
    <s v="Breakdown"/>
    <d v="1899-12-30T12:14:00"/>
    <d v="1899-12-30T12:14:00"/>
    <d v="1899-12-30T12:15:00"/>
    <d v="1899-12-30T00:00:00"/>
    <n v="1.6666666666666607E-2"/>
    <n v="1.6666666666666607E-2"/>
    <s v="Auto reset"/>
    <s v="Close"/>
    <n v="7.246376811594178E-4"/>
    <n v="1"/>
    <n v="0"/>
    <m/>
  </r>
  <r>
    <n v="2043"/>
    <n v="2025"/>
    <n v="2024"/>
    <s v="Year_2"/>
    <d v="2024-06-09T00:00:00"/>
    <s v="KUD02"/>
    <s v="O2R3"/>
    <s v="JK"/>
    <n v="4.3478260869565223E-2"/>
    <n v="4519"/>
    <x v="126"/>
    <s v="HubSafty HydrPres  Low DBlk"/>
    <s v="Breakdown"/>
    <d v="1899-12-30T18:56:00"/>
    <d v="1899-12-30T18:56:00"/>
    <d v="1899-12-30T18:57:00"/>
    <d v="1899-12-30T00:00:00"/>
    <n v="1.6666666666666607E-2"/>
    <n v="1.6666666666666607E-2"/>
    <s v="Auto reset"/>
    <s v="Close"/>
    <n v="7.246376811594178E-4"/>
    <n v="1"/>
    <n v="0.23"/>
    <m/>
  </r>
  <r>
    <n v="2044"/>
    <n v="2025"/>
    <n v="2024"/>
    <s v="Year_2"/>
    <d v="2024-06-09T00:00:00"/>
    <s v="KUD02"/>
    <s v="O2R3"/>
    <s v="JK"/>
    <n v="4.3478260869565223E-2"/>
    <n v="6293"/>
    <x v="32"/>
    <s v="Pitch valves test acitve"/>
    <s v="Breakdown"/>
    <d v="1899-12-30T19:45:00"/>
    <d v="1899-12-30T19:45:00"/>
    <d v="1899-12-30T19:47:00"/>
    <d v="1899-12-30T00:00:00"/>
    <n v="3.3333333333333215E-2"/>
    <n v="3.3333333333333215E-2"/>
    <s v="Turbine self test taken"/>
    <s v="Close"/>
    <n v="1.4492753623188356E-3"/>
    <n v="1"/>
    <n v="0"/>
    <m/>
  </r>
  <r>
    <n v="2045"/>
    <n v="2025"/>
    <n v="2024"/>
    <s v="Year_2"/>
    <d v="2024-06-09T00:00:00"/>
    <s v="KUD02"/>
    <s v="O2R3"/>
    <s v="JK"/>
    <n v="4.3478260869565223E-2"/>
    <n v="3329"/>
    <x v="151"/>
    <s v="DODP Leak Failure"/>
    <s v="Breakdown"/>
    <d v="1899-12-30T19:48:00"/>
    <d v="1899-12-30T19:48:00"/>
    <d v="1899-12-30T19:49:00"/>
    <d v="1899-12-30T00:00:00"/>
    <n v="1.6666666666666607E-2"/>
    <n v="1.6666666666666607E-2"/>
    <s v="Auto reset"/>
    <s v="Close"/>
    <n v="7.246376811594178E-4"/>
    <n v="1"/>
    <n v="0.03"/>
    <m/>
  </r>
  <r>
    <n v="2046"/>
    <n v="2025"/>
    <n v="2024"/>
    <s v="Year_2"/>
    <d v="2024-06-09T00:00:00"/>
    <s v="KUD02"/>
    <s v="O2R3"/>
    <s v="JK"/>
    <n v="4.3478260869565223E-2"/>
    <n v="6290"/>
    <x v="91"/>
    <s v="Pitch Accu. Test active"/>
    <s v="Breakdown"/>
    <d v="1899-12-30T19:50:00"/>
    <d v="1899-12-30T19:50:00"/>
    <d v="1899-12-30T19:51:00"/>
    <d v="1899-12-30T00:00:00"/>
    <n v="1.6666666666666607E-2"/>
    <n v="1.6666666666666607E-2"/>
    <s v="Turbine self test taken"/>
    <s v="Close"/>
    <n v="7.246376811594178E-4"/>
    <n v="1"/>
    <n v="0"/>
    <m/>
  </r>
  <r>
    <n v="2047"/>
    <n v="2025"/>
    <n v="2024"/>
    <s v="Year_2"/>
    <d v="2024-06-09T00:00:00"/>
    <s v="KUD04"/>
    <s v="O2R3"/>
    <s v="JK"/>
    <n v="4.3478260869565223E-2"/>
    <n v="6293"/>
    <x v="32"/>
    <s v="Pitch valves test acitve"/>
    <s v="Breakdown"/>
    <d v="1899-12-30T12:05:00"/>
    <d v="1899-12-30T12:05:00"/>
    <d v="1899-12-30T12:07:00"/>
    <d v="1899-12-30T00:00:00"/>
    <n v="3.3333333333333215E-2"/>
    <n v="3.3333333333333215E-2"/>
    <s v="Turbine self test taken"/>
    <s v="Close"/>
    <n v="1.4492753623188356E-3"/>
    <n v="1"/>
    <n v="0.1"/>
    <m/>
  </r>
  <r>
    <n v="2048"/>
    <n v="2025"/>
    <n v="2024"/>
    <s v="Year_2"/>
    <d v="2024-06-09T00:00:00"/>
    <s v="KUD04"/>
    <s v="O2R3"/>
    <s v="JK"/>
    <n v="4.3478260869565223E-2"/>
    <n v="6293"/>
    <x v="32"/>
    <s v="Pitch valves test acitve"/>
    <s v="Breakdown"/>
    <d v="1899-12-30T19:45:00"/>
    <d v="1899-12-30T19:45:00"/>
    <d v="1899-12-30T19:50:00"/>
    <d v="1899-12-30T00:00:00"/>
    <n v="8.3333333333333037E-2"/>
    <n v="8.3333333333333037E-2"/>
    <s v="Turbine self test taken"/>
    <s v="Close"/>
    <n v="3.6231884057970889E-3"/>
    <n v="1"/>
    <n v="0"/>
    <m/>
  </r>
  <r>
    <n v="2049"/>
    <n v="2025"/>
    <n v="2024"/>
    <s v="Year_2"/>
    <d v="2024-06-09T00:00:00"/>
    <s v="KUD05"/>
    <s v="O2R3"/>
    <s v="JK"/>
    <n v="4.3478260869565223E-2"/>
    <n v="6293"/>
    <x v="32"/>
    <s v="Pitch valves test acitve"/>
    <s v="Breakdown"/>
    <d v="1899-12-30T12:06:00"/>
    <d v="1899-12-30T12:06:00"/>
    <d v="1899-12-30T12:11:00"/>
    <d v="1899-12-30T00:00:00"/>
    <n v="8.3333333333333037E-2"/>
    <n v="8.3333333333333037E-2"/>
    <s v="Turbine self test taken"/>
    <s v="Close"/>
    <n v="3.6231884057970889E-3"/>
    <n v="1"/>
    <n v="0.26"/>
    <m/>
  </r>
  <r>
    <n v="2050"/>
    <n v="2025"/>
    <n v="2024"/>
    <s v="Year_2"/>
    <d v="2024-06-09T00:00:00"/>
    <s v="KUD05"/>
    <s v="O2R3"/>
    <s v="JK"/>
    <n v="4.3478260869565223E-2"/>
    <n v="6293"/>
    <x v="32"/>
    <s v="Pitch valves test acitve"/>
    <s v="Breakdown"/>
    <d v="1899-12-30T19:44:00"/>
    <d v="1899-12-30T19:44:00"/>
    <d v="1899-12-30T19:45:00"/>
    <d v="1899-12-30T00:00:00"/>
    <n v="1.6666666666666607E-2"/>
    <n v="1.6666666666666607E-2"/>
    <s v="Turbine self test taken"/>
    <s v="Close"/>
    <n v="7.246376811594178E-4"/>
    <n v="1"/>
    <n v="0"/>
    <m/>
  </r>
  <r>
    <n v="2051"/>
    <n v="2025"/>
    <n v="2024"/>
    <s v="Year_2"/>
    <d v="2024-06-09T00:00:00"/>
    <s v="KUD05"/>
    <s v="O2R3"/>
    <s v="JK"/>
    <n v="4.3478260869565223E-2"/>
    <n v="3329"/>
    <x v="151"/>
    <s v="DODP Leak Failure"/>
    <s v="Breakdown"/>
    <d v="1899-12-30T19:46:00"/>
    <d v="1899-12-30T19:46:00"/>
    <d v="1899-12-30T19:48:00"/>
    <d v="1899-12-30T00:00:00"/>
    <n v="3.3333333333333215E-2"/>
    <n v="3.3333333333333215E-2"/>
    <s v="Auto reset"/>
    <s v="Close"/>
    <n v="1.4492753623188356E-3"/>
    <n v="1"/>
    <n v="0"/>
    <m/>
  </r>
  <r>
    <n v="2052"/>
    <n v="2025"/>
    <n v="2024"/>
    <s v="Year_2"/>
    <d v="2024-06-09T00:00:00"/>
    <s v="KUD06"/>
    <s v="O2R3"/>
    <s v="JK"/>
    <n v="4.3478260869565223E-2"/>
    <n v="6293"/>
    <x v="32"/>
    <s v="Pitch valves test acitve"/>
    <s v="Breakdown"/>
    <d v="1899-12-30T12:06:00"/>
    <d v="1899-12-30T12:06:00"/>
    <d v="1899-12-30T12:11:00"/>
    <d v="1899-12-30T00:00:00"/>
    <n v="8.3333333333333037E-2"/>
    <n v="8.3333333333333037E-2"/>
    <s v="Turbine self test taken"/>
    <s v="Close"/>
    <n v="3.6231884057970889E-3"/>
    <n v="1"/>
    <n v="0.26"/>
    <m/>
  </r>
  <r>
    <n v="2053"/>
    <n v="2025"/>
    <n v="2024"/>
    <s v="Year_2"/>
    <d v="2024-06-09T00:00:00"/>
    <s v="KUD06"/>
    <s v="O2R3"/>
    <s v="JK"/>
    <n v="4.3478260869565223E-2"/>
    <n v="4519"/>
    <x v="126"/>
    <s v="HubSafty HydrPres  Low DBlk"/>
    <s v="Breakdown"/>
    <d v="1899-12-30T18:55:00"/>
    <d v="1899-12-30T18:55:00"/>
    <d v="1899-12-30T18:56:00"/>
    <d v="1899-12-30T00:00:00"/>
    <n v="1.6666666666666607E-2"/>
    <n v="1.6666666666666607E-2"/>
    <s v="Auto reset"/>
    <s v="Close"/>
    <n v="7.246376811594178E-4"/>
    <n v="1"/>
    <n v="0.12"/>
    <m/>
  </r>
  <r>
    <n v="2054"/>
    <n v="2025"/>
    <n v="2024"/>
    <s v="Year_2"/>
    <d v="2024-06-09T00:00:00"/>
    <s v="KUD06"/>
    <s v="O2R3"/>
    <s v="JK"/>
    <n v="4.3478260869565223E-2"/>
    <n v="4519"/>
    <x v="126"/>
    <s v="HubSafty HydrPres  Low DBlk"/>
    <s v="Breakdown"/>
    <d v="1899-12-30T21:48:00"/>
    <d v="1899-12-30T21:48:00"/>
    <d v="1899-12-30T21:49:00"/>
    <d v="1899-12-30T00:00:00"/>
    <n v="1.6666666666666607E-2"/>
    <n v="1.6666666666666607E-2"/>
    <s v="Auto reset"/>
    <s v="Close"/>
    <n v="7.246376811594178E-4"/>
    <n v="1"/>
    <n v="0.08"/>
    <m/>
  </r>
  <r>
    <n v="2055"/>
    <n v="2025"/>
    <n v="2024"/>
    <s v="Year_2"/>
    <d v="2024-06-09T00:00:00"/>
    <s v="KUD07"/>
    <s v="O2R3"/>
    <s v="JK"/>
    <n v="4.3478260869565223E-2"/>
    <n v="4235"/>
    <x v="93"/>
    <s v="Gen Stator CB Open"/>
    <s v="Breakdown"/>
    <d v="1899-12-30T12:17:00"/>
    <d v="1899-12-30T12:17:00"/>
    <d v="1899-12-30T12:18:00"/>
    <d v="1899-12-30T00:00:00"/>
    <n v="1.6666666666666607E-2"/>
    <n v="1.6666666666666607E-2"/>
    <s v="Auto reset"/>
    <s v="Close"/>
    <n v="7.246376811594178E-4"/>
    <n v="1"/>
    <n v="0.13"/>
    <m/>
  </r>
  <r>
    <n v="2056"/>
    <n v="2025"/>
    <n v="2024"/>
    <s v="Year_2"/>
    <d v="2024-06-09T00:00:00"/>
    <s v="KUD07"/>
    <s v="O2R3"/>
    <s v="JK"/>
    <n v="4.3478260869565223E-2"/>
    <n v="6293"/>
    <x v="32"/>
    <s v="Pitch valves test acitve"/>
    <s v="Breakdown"/>
    <d v="1899-12-30T12:20:00"/>
    <d v="1899-12-30T12:20:00"/>
    <d v="1899-12-30T12:26:00"/>
    <d v="1899-12-30T00:00:00"/>
    <n v="0.10000000000000231"/>
    <n v="0.10000000000000231"/>
    <s v="Turbine self test taken"/>
    <s v="Close"/>
    <n v="4.3478260869566224E-3"/>
    <n v="1"/>
    <n v="0"/>
    <m/>
  </r>
  <r>
    <n v="2057"/>
    <n v="2025"/>
    <n v="2024"/>
    <s v="Year_2"/>
    <d v="2024-06-09T00:00:00"/>
    <s v="KUD09"/>
    <s v="O2R3"/>
    <s v="JK"/>
    <n v="4.3478260869565223E-2"/>
    <n v="4519"/>
    <x v="126"/>
    <s v="HubSafty HydrPres  Low DBlk"/>
    <s v="Breakdown"/>
    <d v="1899-12-30T12:14:00"/>
    <d v="1899-12-30T12:14:00"/>
    <d v="1899-12-30T12:15:00"/>
    <d v="1899-12-30T00:00:00"/>
    <n v="1.6666666666666607E-2"/>
    <n v="1.6666666666666607E-2"/>
    <s v="Auto reset"/>
    <s v="Close"/>
    <n v="7.246376811594178E-4"/>
    <n v="1"/>
    <n v="0"/>
    <m/>
  </r>
  <r>
    <n v="2058"/>
    <n v="2025"/>
    <n v="2024"/>
    <s v="Year_2"/>
    <d v="2024-06-09T00:00:00"/>
    <s v="KUD09"/>
    <s v="O2R3"/>
    <s v="JK"/>
    <n v="4.3478260869565223E-2"/>
    <n v="4519"/>
    <x v="126"/>
    <s v="HubSafty HydrPres  Low DBlk"/>
    <s v="Breakdown"/>
    <d v="1899-12-30T18:57:00"/>
    <d v="1899-12-30T18:57:00"/>
    <d v="1899-12-30T18:58:00"/>
    <d v="1899-12-30T00:00:00"/>
    <n v="1.6666666666666607E-2"/>
    <n v="1.6666666666666607E-2"/>
    <s v="Auto reset"/>
    <s v="Close"/>
    <n v="7.246376811594178E-4"/>
    <n v="1"/>
    <n v="0.01"/>
    <m/>
  </r>
  <r>
    <n v="2059"/>
    <n v="2025"/>
    <n v="2024"/>
    <s v="Year_2"/>
    <d v="2024-06-09T00:00:00"/>
    <s v="KUD16"/>
    <s v="O2R2"/>
    <s v="SIL"/>
    <n v="4.3478260869565223E-2"/>
    <n v="6293"/>
    <x v="32"/>
    <s v="Pitch valves test acitve"/>
    <s v="Breakdown"/>
    <d v="1899-12-30T12:06:00"/>
    <d v="1899-12-30T12:06:00"/>
    <d v="1899-12-30T12:14:00"/>
    <d v="1899-12-30T00:00:00"/>
    <n v="0.13333333333333286"/>
    <n v="0.13333333333333286"/>
    <s v="Turbine self test taken"/>
    <s v="Close"/>
    <n v="5.7971014492753424E-3"/>
    <n v="1"/>
    <n v="0.02"/>
    <m/>
  </r>
  <r>
    <n v="2060"/>
    <n v="2025"/>
    <n v="2024"/>
    <s v="Year_2"/>
    <d v="2024-06-09T00:00:00"/>
    <s v="KUD16"/>
    <s v="O2R2"/>
    <s v="SIL"/>
    <n v="4.3478260869565223E-2"/>
    <n v="4239"/>
    <x v="40"/>
    <s v="HVCB Unknown Trip Reason"/>
    <s v="Breakdown"/>
    <d v="1899-12-30T18:20:00"/>
    <d v="1899-12-30T18:20:00"/>
    <d v="1899-12-30T19:07:00"/>
    <d v="1899-12-30T00:00:00"/>
    <n v="0.78333333333333321"/>
    <n v="0.78333333333333321"/>
    <s v="Remote reset"/>
    <s v="Close"/>
    <n v="3.4057971014492754E-2"/>
    <n v="1"/>
    <n v="0"/>
    <m/>
  </r>
  <r>
    <n v="2061"/>
    <n v="2025"/>
    <n v="2024"/>
    <s v="Year_2"/>
    <d v="2024-06-09T00:00:00"/>
    <s v="KUD16"/>
    <s v="O2R2"/>
    <s v="SIL"/>
    <n v="4.3478260869565223E-2"/>
    <n v="4239"/>
    <x v="40"/>
    <s v="HVCB Unknown Trip Reason"/>
    <s v="Breakdown"/>
    <d v="1899-12-30T19:53:00"/>
    <d v="1899-12-30T19:53:00"/>
    <d v="1899-12-30T20:08:00"/>
    <d v="1899-12-30T00:00:00"/>
    <n v="0.24999999999999911"/>
    <n v="0.24999999999999911"/>
    <s v="Remote reset"/>
    <s v="Close"/>
    <n v="1.0869565217391268E-2"/>
    <n v="1"/>
    <n v="0"/>
    <m/>
  </r>
  <r>
    <n v="2062"/>
    <n v="2025"/>
    <n v="2024"/>
    <s v="Year_2"/>
    <d v="2024-06-09T00:00:00"/>
    <s v="KUD17"/>
    <s v="O2R2"/>
    <s v="SIL"/>
    <n v="4.3478260869565223E-2"/>
    <n v="4239"/>
    <x v="40"/>
    <s v="HVCB Unknown Trip Reason"/>
    <s v="Breakdown"/>
    <d v="1899-12-30T18:57:00"/>
    <d v="1899-12-30T18:57:00"/>
    <d v="1899-12-30T19:36:00"/>
    <d v="1899-12-30T00:00:00"/>
    <n v="0.65000000000000036"/>
    <n v="0.65000000000000036"/>
    <s v="Pathway ROW"/>
    <s v="Close"/>
    <n v="2.8260869565217412E-2"/>
    <n v="1"/>
    <n v="0.05"/>
    <m/>
  </r>
  <r>
    <n v="2063"/>
    <n v="2025"/>
    <n v="2024"/>
    <s v="Year_2"/>
    <d v="2024-06-09T00:00:00"/>
    <s v="KUD17"/>
    <s v="O2R2"/>
    <s v="SIL"/>
    <n v="4.3478260869565223E-2"/>
    <n v="4239"/>
    <x v="40"/>
    <s v="HVCB Unknown Trip Reason"/>
    <s v="Breakdown"/>
    <d v="1899-12-30T20:47:00"/>
    <d v="1899-12-30T20:47:00"/>
    <d v="1899-12-30T20:49:00"/>
    <d v="1899-12-30T00:00:00"/>
    <n v="3.3333333333333215E-2"/>
    <n v="3.3333333333333215E-2"/>
    <s v="Remote reset"/>
    <s v="Close"/>
    <n v="1.4492753623188356E-3"/>
    <n v="1"/>
    <n v="0.02"/>
    <m/>
  </r>
  <r>
    <n v="2064"/>
    <n v="2025"/>
    <n v="2024"/>
    <s v="Year_2"/>
    <d v="2024-06-09T00:00:00"/>
    <s v="KUD17"/>
    <s v="O2R2"/>
    <s v="SIL"/>
    <n v="4.3478260869565223E-2"/>
    <n v="3862"/>
    <x v="160"/>
    <s v="SafetySystem Reset Required"/>
    <s v="Breakdown"/>
    <d v="1899-12-30T20:48:00"/>
    <d v="1899-12-30T20:48:00"/>
    <d v="1899-12-30T20:51:00"/>
    <d v="1899-12-30T00:00:00"/>
    <n v="4.9999999999999822E-2"/>
    <n v="4.9999999999999822E-2"/>
    <s v="Remote reset"/>
    <s v="Close"/>
    <n v="2.1739130434782535E-3"/>
    <n v="1"/>
    <n v="0"/>
    <m/>
  </r>
  <r>
    <n v="2065"/>
    <n v="2025"/>
    <n v="2024"/>
    <s v="Year_2"/>
    <d v="2024-06-09T00:00:00"/>
    <s v="KUD18"/>
    <s v="O2R4"/>
    <s v="SGDCIPL"/>
    <n v="4.3478260869565223E-2"/>
    <n v="6293"/>
    <x v="32"/>
    <s v="Pitch valves test acitve"/>
    <s v="Breakdown"/>
    <d v="1899-12-30T12:05:00"/>
    <d v="1899-12-30T12:05:00"/>
    <d v="1899-12-30T12:10:00"/>
    <d v="1899-12-30T00:00:00"/>
    <n v="8.3333333333333037E-2"/>
    <n v="8.3333333333333037E-2"/>
    <s v="Turbine self test taken"/>
    <s v="Close"/>
    <n v="3.6231884057970889E-3"/>
    <n v="1"/>
    <n v="0"/>
    <m/>
  </r>
  <r>
    <n v="2066"/>
    <n v="2025"/>
    <n v="2024"/>
    <s v="Year_2"/>
    <d v="2024-06-09T00:00:00"/>
    <s v="KUD18"/>
    <s v="O2R4"/>
    <s v="SGDCIPL"/>
    <n v="4.3478260869565223E-2"/>
    <n v="4519"/>
    <x v="126"/>
    <s v="HubSafty HydrPres  Low DBlk"/>
    <s v="Breakdown"/>
    <d v="1899-12-30T18:55:00"/>
    <d v="1899-12-30T18:55:00"/>
    <d v="1899-12-30T18:56:00"/>
    <d v="1899-12-30T00:00:00"/>
    <n v="1.6666666666666607E-2"/>
    <n v="1.6666666666666607E-2"/>
    <s v="Auto reset"/>
    <s v="Close"/>
    <n v="7.246376811594178E-4"/>
    <n v="1"/>
    <n v="0"/>
    <m/>
  </r>
  <r>
    <n v="2067"/>
    <n v="2025"/>
    <n v="2024"/>
    <s v="Year_2"/>
    <d v="2024-06-09T00:00:00"/>
    <s v="KUD18"/>
    <s v="O2R4"/>
    <s v="SGDCIPL"/>
    <n v="4.3478260869565223E-2"/>
    <n v="6293"/>
    <x v="32"/>
    <s v="Pitch valves test acitve"/>
    <s v="Breakdown"/>
    <d v="1899-12-30T19:43:00"/>
    <d v="1899-12-30T19:43:00"/>
    <d v="1899-12-30T19:44:00"/>
    <d v="1899-12-30T00:00:00"/>
    <n v="1.6666666666666607E-2"/>
    <n v="1.6666666666666607E-2"/>
    <s v="Turbine self test taken"/>
    <s v="Close"/>
    <n v="7.246376811594178E-4"/>
    <n v="1"/>
    <n v="0"/>
    <m/>
  </r>
  <r>
    <n v="2068"/>
    <n v="2025"/>
    <n v="2024"/>
    <s v="Year_2"/>
    <d v="2024-06-09T00:00:00"/>
    <s v="KUD18"/>
    <s v="O2R4"/>
    <s v="SGDCIPL"/>
    <n v="4.3478260869565223E-2"/>
    <n v="3329"/>
    <x v="151"/>
    <s v="DODP Leak Failure"/>
    <s v="Breakdown"/>
    <d v="1899-12-30T19:45:00"/>
    <d v="1899-12-30T19:45:00"/>
    <d v="1899-12-30T19:46:00"/>
    <d v="1899-12-30T00:00:00"/>
    <n v="1.6666666666666607E-2"/>
    <n v="1.6666666666666607E-2"/>
    <s v="Auto reset"/>
    <s v="Close"/>
    <n v="7.246376811594178E-4"/>
    <n v="1"/>
    <n v="0"/>
    <m/>
  </r>
  <r>
    <n v="2069"/>
    <n v="2025"/>
    <n v="2024"/>
    <s v="Year_2"/>
    <d v="2024-06-09T00:00:00"/>
    <s v="KUD21"/>
    <s v="O2R3"/>
    <s v="JK"/>
    <n v="4.3478260869565223E-2"/>
    <n v="6293"/>
    <x v="32"/>
    <s v="Pitch valves test acitve"/>
    <s v="Breakdown"/>
    <d v="1899-12-30T19:45:00"/>
    <d v="1899-12-30T19:45:00"/>
    <d v="1899-12-30T19:50:00"/>
    <d v="1899-12-30T00:00:00"/>
    <n v="8.3333333333333037E-2"/>
    <n v="8.3333333333333037E-2"/>
    <s v="Turbine self test taken"/>
    <s v="Close"/>
    <n v="3.6231884057970889E-3"/>
    <n v="1"/>
    <n v="0"/>
    <m/>
  </r>
  <r>
    <n v="2070"/>
    <n v="2025"/>
    <n v="2024"/>
    <s v="Year_2"/>
    <d v="2024-06-09T00:00:00"/>
    <s v="KUD22"/>
    <s v="O2R3"/>
    <s v="JK"/>
    <n v="4.3478260869565223E-2"/>
    <n v="4519"/>
    <x v="126"/>
    <s v="HubSafty HydrPres  Low DBlk"/>
    <s v="Breakdown"/>
    <d v="1899-12-30T12:13:00"/>
    <d v="1899-12-30T12:13:00"/>
    <d v="1899-12-30T12:14:00"/>
    <d v="1899-12-30T00:00:00"/>
    <n v="1.6666666666666607E-2"/>
    <n v="1.6666666666666607E-2"/>
    <s v="Auto reset"/>
    <s v="Close"/>
    <n v="7.246376811594178E-4"/>
    <n v="1"/>
    <n v="0"/>
    <m/>
  </r>
  <r>
    <n v="2071"/>
    <n v="2025"/>
    <n v="2024"/>
    <s v="Year_2"/>
    <d v="2024-06-09T00:00:00"/>
    <s v="KUD22"/>
    <s v="O2R3"/>
    <s v="JK"/>
    <n v="4.3478260869565223E-2"/>
    <n v="3806"/>
    <x v="147"/>
    <s v="HubSafetySystem Batt.Charg.Err"/>
    <s v="Breakdown"/>
    <d v="1899-12-30T18:56:00"/>
    <d v="1899-12-30T18:56:00"/>
    <d v="1899-12-30T18:58:00"/>
    <d v="1899-12-30T00:00:00"/>
    <n v="3.3333333333333215E-2"/>
    <n v="3.3333333333333215E-2"/>
    <s v="Auto reset"/>
    <s v="Close"/>
    <n v="1.4492753623188356E-3"/>
    <n v="1"/>
    <n v="0.02"/>
    <m/>
  </r>
  <r>
    <n v="2072"/>
    <n v="2025"/>
    <n v="2024"/>
    <s v="Year_2"/>
    <d v="2024-06-09T00:00:00"/>
    <s v="KUD22"/>
    <s v="O2R3"/>
    <s v="JK"/>
    <n v="4.3478260869565223E-2"/>
    <n v="6293"/>
    <x v="32"/>
    <s v="Pitch valves test acitve"/>
    <s v="Breakdown"/>
    <d v="1899-12-30T19:44:00"/>
    <d v="1899-12-30T19:44:00"/>
    <d v="1899-12-30T19:50:00"/>
    <d v="1899-12-30T00:00:00"/>
    <n v="9.9999999999999645E-2"/>
    <n v="9.9999999999999645E-2"/>
    <s v="Turbine self test taken"/>
    <s v="Close"/>
    <n v="4.347826086956507E-3"/>
    <n v="1"/>
    <n v="0.68"/>
    <m/>
  </r>
  <r>
    <n v="2073"/>
    <n v="2025"/>
    <n v="2024"/>
    <s v="Year_2"/>
    <d v="2024-06-09T00:00:00"/>
    <s v="KUD23"/>
    <s v="O2R3"/>
    <s v="JK"/>
    <n v="4.3478260869565223E-2"/>
    <n v="6293"/>
    <x v="32"/>
    <s v="Pitch valves test acitve"/>
    <s v="Breakdown"/>
    <d v="1899-12-30T12:06:00"/>
    <d v="1899-12-30T12:06:00"/>
    <d v="1899-12-30T12:11:00"/>
    <d v="1899-12-30T00:00:00"/>
    <n v="8.3333333333333037E-2"/>
    <n v="8.3333333333333037E-2"/>
    <s v="Turbine self test taken"/>
    <s v="Close"/>
    <n v="3.6231884057970889E-3"/>
    <n v="1"/>
    <n v="0.01"/>
    <m/>
  </r>
  <r>
    <n v="2074"/>
    <n v="2025"/>
    <n v="2024"/>
    <s v="Year_2"/>
    <d v="2024-06-09T00:00:00"/>
    <s v="KUD23"/>
    <s v="O2R3"/>
    <s v="JK"/>
    <n v="4.3478260869565223E-2"/>
    <n v="6293"/>
    <x v="32"/>
    <s v="Pitch valves test acitve"/>
    <s v="Breakdown"/>
    <d v="1899-12-30T19:44:00"/>
    <d v="1899-12-30T19:44:00"/>
    <d v="1899-12-30T19:49:00"/>
    <d v="1899-12-30T00:00:00"/>
    <n v="8.3333333333333037E-2"/>
    <n v="8.3333333333333037E-2"/>
    <s v="Turbine self test taken"/>
    <s v="Close"/>
    <n v="3.6231884057970889E-3"/>
    <n v="1"/>
    <n v="0"/>
    <m/>
  </r>
  <r>
    <n v="2075"/>
    <n v="2025"/>
    <n v="2024"/>
    <s v="Year_2"/>
    <d v="2024-06-10T00:00:00"/>
    <s v="KUD08"/>
    <s v="O2R3"/>
    <s v="JK"/>
    <n v="4.3478260869565223E-2"/>
    <n v="5470"/>
    <x v="34"/>
    <s v="GeneratorBreakerFBResponse"/>
    <s v="Breakdown"/>
    <d v="1899-12-30T03:18:00"/>
    <d v="1899-12-30T03:18:00"/>
    <d v="1899-12-30T05:36:00"/>
    <d v="1899-12-30T00:00:00"/>
    <n v="2.2999999999999998"/>
    <n v="2.2999999999999998"/>
    <s v="ACB undervoltage coil malfunctioning rebooted the system and started"/>
    <s v="Close"/>
    <n v="0.1"/>
    <n v="1"/>
    <n v="0.02"/>
    <m/>
  </r>
  <r>
    <n v="2076"/>
    <n v="2025"/>
    <n v="2024"/>
    <s v="Year_2"/>
    <d v="2024-06-10T00:00:00"/>
    <s v="KUD11"/>
    <s v="O2R1"/>
    <s v="KSIPL"/>
    <n v="4.3478260869565223E-2"/>
    <n v="3806"/>
    <x v="147"/>
    <s v="HubSafetySystem Batt.Charg.Err"/>
    <s v="Breakdown"/>
    <d v="1899-12-30T02:30:00"/>
    <d v="1899-12-30T02:30:00"/>
    <d v="1899-12-30T02:32:00"/>
    <d v="1899-12-30T00:00:00"/>
    <n v="3.3333333333333215E-2"/>
    <n v="3.3333333333333215E-2"/>
    <s v="Auto reset"/>
    <s v="Close"/>
    <n v="1.4492753623188356E-3"/>
    <n v="1"/>
    <n v="0.03"/>
    <m/>
  </r>
  <r>
    <n v="2077"/>
    <n v="2025"/>
    <n v="2024"/>
    <s v="Year_2"/>
    <d v="2024-06-10T00:00:00"/>
    <s v="KUD14"/>
    <s v="O2R1"/>
    <s v="KSIPL"/>
    <n v="4.3478260869565223E-2"/>
    <n v="4235"/>
    <x v="93"/>
    <s v="Gen Stator CB Open"/>
    <s v="Breakdown"/>
    <d v="1899-12-30T02:33:00"/>
    <d v="1899-12-30T02:33:00"/>
    <d v="1899-12-30T02:34:00"/>
    <d v="1899-12-30T00:00:00"/>
    <n v="1.6666666666666607E-2"/>
    <n v="1.6666666666666607E-2"/>
    <s v="Auto reset"/>
    <s v="Close"/>
    <n v="7.246376811594178E-4"/>
    <n v="1"/>
    <n v="0.02"/>
    <m/>
  </r>
  <r>
    <n v="2078"/>
    <n v="2025"/>
    <n v="2024"/>
    <s v="Year_2"/>
    <d v="2024-06-10T00:00:00"/>
    <s v="KUD14"/>
    <s v="O2R1"/>
    <s v="KSIPL"/>
    <n v="4.3478260869565223E-2"/>
    <n v="6293"/>
    <x v="32"/>
    <s v="Pitch valves test acitve"/>
    <s v="Breakdown"/>
    <d v="1899-12-30T02:34:00"/>
    <d v="1899-12-30T02:34:00"/>
    <d v="1899-12-30T02:39:00"/>
    <d v="1899-12-30T00:00:00"/>
    <n v="8.333333333333337E-2"/>
    <n v="8.333333333333337E-2"/>
    <s v="Turbine self test taken"/>
    <s v="Close"/>
    <n v="3.6231884057971037E-3"/>
    <n v="1"/>
    <n v="2.95"/>
    <m/>
  </r>
  <r>
    <n v="2079"/>
    <n v="2025"/>
    <n v="2024"/>
    <s v="Year_2"/>
    <d v="2024-06-10T00:00:00"/>
    <s v="KUD15"/>
    <s v="O2R1"/>
    <s v="KSIPL"/>
    <n v="4.3478260869565223E-2"/>
    <n v="4235"/>
    <x v="93"/>
    <s v="Gen Stator CB Open"/>
    <s v="Breakdown"/>
    <d v="1899-12-30T02:33:00"/>
    <d v="1899-12-30T02:33:00"/>
    <d v="1899-12-30T02:34:00"/>
    <d v="1899-12-30T00:00:00"/>
    <n v="1.6666666666666607E-2"/>
    <n v="1.6666666666666607E-2"/>
    <s v="Auto reset"/>
    <s v="Close"/>
    <n v="7.246376811594178E-4"/>
    <n v="1"/>
    <n v="0.02"/>
    <m/>
  </r>
  <r>
    <n v="2080"/>
    <n v="2025"/>
    <n v="2024"/>
    <s v="Year_2"/>
    <d v="2024-06-10T00:00:00"/>
    <s v="KUD15"/>
    <s v="O2R1"/>
    <s v="KSIPL"/>
    <n v="4.3478260869565223E-2"/>
    <n v="6293"/>
    <x v="32"/>
    <s v="Pitch valves test acitve"/>
    <s v="Breakdown"/>
    <d v="1899-12-30T02:35:00"/>
    <d v="1899-12-30T02:35:00"/>
    <d v="1899-12-30T02:41:00"/>
    <d v="1899-12-30T00:00:00"/>
    <n v="9.9999999999999978E-2"/>
    <n v="9.9999999999999978E-2"/>
    <s v="Turbine self test taken"/>
    <s v="Close"/>
    <n v="4.3478260869565209E-3"/>
    <n v="1"/>
    <n v="3"/>
    <m/>
  </r>
  <r>
    <n v="2081"/>
    <n v="2025"/>
    <n v="2024"/>
    <s v="Year_2"/>
    <d v="2024-06-10T00:00:00"/>
    <s v="KUD02"/>
    <s v="O2R3"/>
    <s v="JK"/>
    <n v="4.3478260869565223E-2"/>
    <n v="4519"/>
    <x v="126"/>
    <s v="HubSafty HydrPres  Low DBlk"/>
    <s v="Breakdown"/>
    <d v="1899-12-30T02:29:00"/>
    <d v="1899-12-30T02:29:00"/>
    <d v="1899-12-30T02:30:00"/>
    <d v="1899-12-30T00:00:00"/>
    <n v="1.6666666666666941E-2"/>
    <n v="1.6666666666666941E-2"/>
    <s v="Auto reset"/>
    <s v="Close"/>
    <n v="7.2463768115943233E-4"/>
    <n v="1"/>
    <n v="0.08"/>
    <m/>
  </r>
  <r>
    <n v="2082"/>
    <n v="2025"/>
    <n v="2024"/>
    <s v="Year_2"/>
    <d v="2024-06-10T00:00:00"/>
    <s v="KUD02"/>
    <s v="O2R3"/>
    <s v="JK"/>
    <n v="4.3478260869565223E-2"/>
    <n v="6290"/>
    <x v="91"/>
    <s v="Pitch Accu. Test active"/>
    <s v="Breakdown"/>
    <d v="1899-12-30T06:54:00"/>
    <d v="1899-12-30T06:54:00"/>
    <d v="1899-12-30T06:59:00"/>
    <d v="1899-12-30T00:00:00"/>
    <n v="8.333333333333437E-2"/>
    <n v="8.333333333333437E-2"/>
    <s v="Turbine self test taken"/>
    <s v="Close"/>
    <n v="3.623188405797147E-3"/>
    <n v="1"/>
    <n v="0.08"/>
    <m/>
  </r>
  <r>
    <n v="2083"/>
    <n v="2025"/>
    <n v="2024"/>
    <s v="Year_2"/>
    <d v="2024-06-10T00:00:00"/>
    <s v="KUD04"/>
    <s v="O2R3"/>
    <s v="JK"/>
    <n v="4.3478260869565223E-2"/>
    <n v="6293"/>
    <x v="32"/>
    <s v="Pitch valves test acitve"/>
    <s v="Breakdown"/>
    <d v="1899-12-30T06:53:00"/>
    <d v="1899-12-30T06:53:00"/>
    <d v="1899-12-30T07:00:00"/>
    <d v="1899-12-30T00:00:00"/>
    <n v="0.11666666666666758"/>
    <n v="0.11666666666666758"/>
    <s v="Turbine self test taken"/>
    <s v="Close"/>
    <n v="5.0724637681159824E-3"/>
    <n v="1"/>
    <n v="0.09"/>
    <m/>
  </r>
  <r>
    <n v="2084"/>
    <n v="2025"/>
    <n v="2024"/>
    <s v="Year_2"/>
    <d v="2024-06-10T00:00:00"/>
    <s v="KUD05"/>
    <s v="O2R3"/>
    <s v="JK"/>
    <n v="4.3478260869565223E-2"/>
    <n v="4519"/>
    <x v="126"/>
    <s v="HubSafty HydrPres  Low DBlk"/>
    <s v="Breakdown"/>
    <d v="1899-12-30T02:29:00"/>
    <d v="1899-12-30T02:29:00"/>
    <d v="1899-12-30T02:30:00"/>
    <d v="1899-12-30T00:00:00"/>
    <n v="1.6666666666666941E-2"/>
    <n v="1.6666666666666941E-2"/>
    <s v="Auto reset"/>
    <s v="Close"/>
    <n v="7.2463768115943233E-4"/>
    <n v="1"/>
    <n v="0.23"/>
    <m/>
  </r>
  <r>
    <n v="2085"/>
    <n v="2025"/>
    <n v="2024"/>
    <s v="Year_2"/>
    <d v="2024-06-10T00:00:00"/>
    <s v="KUD05"/>
    <s v="O2R3"/>
    <s v="JK"/>
    <n v="4.3478260869565223E-2"/>
    <n v="6293"/>
    <x v="32"/>
    <s v="Pitch valves test acitve"/>
    <s v="Breakdown"/>
    <d v="1899-12-30T06:54:00"/>
    <d v="1899-12-30T06:54:00"/>
    <d v="1899-12-30T06:59:00"/>
    <d v="1899-12-30T00:00:00"/>
    <n v="8.333333333333437E-2"/>
    <n v="8.333333333333437E-2"/>
    <s v="Turbine self test taken"/>
    <s v="Close"/>
    <n v="3.623188405797147E-3"/>
    <n v="1"/>
    <n v="0"/>
    <m/>
  </r>
  <r>
    <n v="2086"/>
    <n v="2025"/>
    <n v="2024"/>
    <s v="Year_2"/>
    <d v="2024-06-10T00:00:00"/>
    <s v="KUD06"/>
    <s v="O2R3"/>
    <s v="JK"/>
    <n v="4.3478260869565223E-2"/>
    <n v="4519"/>
    <x v="126"/>
    <s v="HubSafty HydrPres  Low DBlk"/>
    <s v="Breakdown"/>
    <d v="1899-12-30T02:29:00"/>
    <d v="1899-12-30T02:29:00"/>
    <d v="1899-12-30T02:30:00"/>
    <d v="1899-12-30T00:00:00"/>
    <n v="1.6666666666666941E-2"/>
    <n v="1.6666666666666941E-2"/>
    <s v="Auto reset"/>
    <s v="Close"/>
    <n v="7.2463768115943233E-4"/>
    <n v="1"/>
    <n v="0.24"/>
    <m/>
  </r>
  <r>
    <n v="2087"/>
    <n v="2025"/>
    <n v="2024"/>
    <s v="Year_2"/>
    <d v="2024-06-10T00:00:00"/>
    <s v="KUD06"/>
    <s v="O2R3"/>
    <s v="JK"/>
    <n v="4.3478260869565223E-2"/>
    <n v="6293"/>
    <x v="32"/>
    <s v="Pitch valves test acitve"/>
    <s v="Breakdown"/>
    <d v="1899-12-30T06:54:00"/>
    <d v="1899-12-30T06:54:00"/>
    <d v="1899-12-30T06:59:00"/>
    <d v="1899-12-30T00:00:00"/>
    <n v="8.333333333333437E-2"/>
    <n v="8.333333333333437E-2"/>
    <s v="Turbine self test taken"/>
    <s v="Close"/>
    <n v="3.623188405797147E-3"/>
    <n v="1"/>
    <n v="0.26"/>
    <m/>
  </r>
  <r>
    <n v="2088"/>
    <n v="2025"/>
    <n v="2024"/>
    <s v="Year_2"/>
    <d v="2024-06-10T00:00:00"/>
    <s v="KUD07"/>
    <s v="O2R3"/>
    <s v="JK"/>
    <n v="4.3478260869565223E-2"/>
    <n v="6293"/>
    <x v="32"/>
    <s v="Pitch valves test acitve"/>
    <s v="Breakdown"/>
    <d v="1899-12-30T06:54:00"/>
    <d v="1899-12-30T06:54:00"/>
    <d v="1899-12-30T06:59:00"/>
    <d v="1899-12-30T00:00:00"/>
    <n v="8.333333333333437E-2"/>
    <n v="8.333333333333437E-2"/>
    <s v="Turbine self test taken"/>
    <s v="Close"/>
    <n v="3.623188405797147E-3"/>
    <n v="1"/>
    <n v="0"/>
    <m/>
  </r>
  <r>
    <n v="2089"/>
    <n v="2025"/>
    <n v="2024"/>
    <s v="Year_2"/>
    <d v="2024-06-10T00:00:00"/>
    <s v="KUD09"/>
    <s v="O2R3"/>
    <s v="JK"/>
    <n v="4.3478260869565223E-2"/>
    <n v="4519"/>
    <x v="126"/>
    <s v="HubSafty HydrPres  Low DBlk"/>
    <s v="Breakdown"/>
    <d v="1899-12-30T02:30:00"/>
    <d v="1899-12-30T02:30:00"/>
    <d v="1899-12-30T02:31:00"/>
    <d v="1899-12-30T00:00:00"/>
    <n v="1.6666666666666607E-2"/>
    <n v="1.6666666666666607E-2"/>
    <s v="Auto reset"/>
    <s v="Close"/>
    <n v="7.246376811594178E-4"/>
    <n v="1"/>
    <n v="1.71"/>
    <m/>
  </r>
  <r>
    <n v="2090"/>
    <n v="2025"/>
    <n v="2024"/>
    <s v="Year_2"/>
    <d v="2024-06-10T00:00:00"/>
    <s v="KUD09"/>
    <s v="O2R3"/>
    <s v="JK"/>
    <n v="4.3478260869565223E-2"/>
    <n v="6293"/>
    <x v="32"/>
    <s v="Pitch valves test acitve"/>
    <s v="Breakdown"/>
    <d v="1899-12-30T06:55:00"/>
    <d v="1899-12-30T06:55:00"/>
    <d v="1899-12-30T07:00:00"/>
    <d v="1899-12-30T00:00:00"/>
    <n v="8.333333333333437E-2"/>
    <n v="8.333333333333437E-2"/>
    <s v="Turbine self test taken"/>
    <s v="Close"/>
    <n v="3.623188405797147E-3"/>
    <n v="1"/>
    <n v="0.28999999999999998"/>
    <m/>
  </r>
  <r>
    <n v="2091"/>
    <n v="2025"/>
    <n v="2024"/>
    <s v="Year_2"/>
    <d v="2024-06-10T00:00:00"/>
    <s v="KUD16"/>
    <s v="O2R2"/>
    <s v="SIL"/>
    <n v="4.3478260869565223E-2"/>
    <n v="4239"/>
    <x v="40"/>
    <s v="HVCB Unknown Trip Reason"/>
    <s v="Breakdown"/>
    <d v="1899-12-30T02:30:00"/>
    <d v="1899-12-30T02:30:00"/>
    <d v="1899-12-30T03:05:00"/>
    <d v="1899-12-30T00:00:00"/>
    <n v="0.58333333333333293"/>
    <n v="0.58333333333333293"/>
    <s v="Remote reset"/>
    <s v="Close"/>
    <n v="2.5362318840579694E-2"/>
    <n v="1"/>
    <n v="7.0000000000000007E-2"/>
    <m/>
  </r>
  <r>
    <n v="2092"/>
    <n v="2025"/>
    <n v="2024"/>
    <s v="Year_2"/>
    <d v="2024-06-10T00:00:00"/>
    <s v="KUD16"/>
    <s v="O2R2"/>
    <s v="SIL"/>
    <n v="4.3478260869565223E-2"/>
    <n v="6293"/>
    <x v="32"/>
    <s v="Pitch valves test acitve"/>
    <s v="Breakdown"/>
    <d v="1899-12-30T06:54:00"/>
    <d v="1899-12-30T06:54:00"/>
    <d v="1899-12-30T07:00:00"/>
    <d v="1899-12-30T00:00:00"/>
    <n v="0.10000000000000098"/>
    <n v="0.10000000000000098"/>
    <s v="Turbine self test taken"/>
    <s v="Close"/>
    <n v="4.3478260869565652E-3"/>
    <n v="1"/>
    <n v="0.33"/>
    <m/>
  </r>
  <r>
    <n v="2093"/>
    <n v="2025"/>
    <n v="2024"/>
    <s v="Year_2"/>
    <d v="2024-06-10T00:00:00"/>
    <s v="KUD17"/>
    <s v="O2R2"/>
    <s v="SIL"/>
    <n v="4.3478260869565223E-2"/>
    <n v="6293"/>
    <x v="32"/>
    <s v="Pitch valves test acitve"/>
    <s v="Breakdown"/>
    <d v="1899-12-30T06:54:00"/>
    <d v="1899-12-30T06:54:00"/>
    <d v="1899-12-30T07:00:00"/>
    <d v="1899-12-30T00:00:00"/>
    <n v="0.10000000000000098"/>
    <n v="0.10000000000000098"/>
    <s v="Turbine self test taken"/>
    <s v="Close"/>
    <n v="4.3478260869565652E-3"/>
    <n v="1"/>
    <n v="19.329999999999998"/>
    <m/>
  </r>
  <r>
    <n v="2094"/>
    <n v="2025"/>
    <n v="2024"/>
    <s v="Year_2"/>
    <d v="2024-06-10T00:00:00"/>
    <s v="KUD18"/>
    <s v="O2R4"/>
    <s v="SGDCIPL"/>
    <n v="4.3478260869565223E-2"/>
    <n v="4519"/>
    <x v="126"/>
    <s v="HubSafty HydrPres  Low DBlk"/>
    <s v="Breakdown"/>
    <d v="1899-12-30T02:28:00"/>
    <d v="1899-12-30T02:28:00"/>
    <d v="1899-12-30T02:29:00"/>
    <d v="1899-12-30T00:00:00"/>
    <n v="1.6666666666666607E-2"/>
    <n v="1.6666666666666607E-2"/>
    <s v="Auto reset"/>
    <s v="Close"/>
    <n v="7.246376811594178E-4"/>
    <n v="1"/>
    <n v="0.38"/>
    <m/>
  </r>
  <r>
    <n v="2095"/>
    <n v="2025"/>
    <n v="2024"/>
    <s v="Year_2"/>
    <d v="2024-06-10T00:00:00"/>
    <s v="KUD18"/>
    <s v="O2R4"/>
    <s v="SGDCIPL"/>
    <n v="4.3478260869565223E-2"/>
    <n v="6293"/>
    <x v="32"/>
    <s v="Pitch valves test acitve"/>
    <s v="Breakdown"/>
    <d v="1899-12-30T06:53:00"/>
    <d v="1899-12-30T06:53:00"/>
    <d v="1899-12-30T06:58:00"/>
    <d v="1899-12-30T00:00:00"/>
    <n v="8.333333333333437E-2"/>
    <n v="8.333333333333437E-2"/>
    <s v="Turbine self test taken"/>
    <s v="Close"/>
    <n v="3.623188405797147E-3"/>
    <n v="1"/>
    <n v="8.4600000000000009"/>
    <m/>
  </r>
  <r>
    <n v="2096"/>
    <n v="2025"/>
    <n v="2024"/>
    <s v="Year_2"/>
    <d v="2024-06-10T00:00:00"/>
    <s v="KUD21"/>
    <s v="O2R3"/>
    <s v="JK"/>
    <n v="4.3478260869565223E-2"/>
    <n v="6293"/>
    <x v="32"/>
    <s v="Pitch valves test acitve"/>
    <s v="Breakdown"/>
    <d v="1899-12-30T06:54:00"/>
    <d v="1899-12-30T06:54:00"/>
    <d v="1899-12-30T07:00:00"/>
    <d v="1899-12-30T00:00:00"/>
    <n v="0.10000000000000098"/>
    <n v="0.10000000000000098"/>
    <s v="Turbine self test taken"/>
    <s v="Close"/>
    <n v="4.3478260869565652E-3"/>
    <n v="1"/>
    <n v="0"/>
    <m/>
  </r>
  <r>
    <n v="2097"/>
    <n v="2025"/>
    <n v="2024"/>
    <s v="Year_2"/>
    <d v="2024-06-10T00:00:00"/>
    <s v="KUD22"/>
    <s v="O2R3"/>
    <s v="JK"/>
    <n v="4.3478260869565223E-2"/>
    <n v="4519"/>
    <x v="126"/>
    <s v="HubSafty HydrPres  Low DBlk"/>
    <s v="Breakdown"/>
    <d v="1899-12-30T02:29:00"/>
    <d v="1899-12-30T02:29:00"/>
    <d v="1899-12-30T02:30:00"/>
    <d v="1899-12-30T00:00:00"/>
    <n v="1.6666666666666941E-2"/>
    <n v="1.6666666666666941E-2"/>
    <s v="Auto reset"/>
    <s v="Close"/>
    <n v="7.2463768115943233E-4"/>
    <n v="1"/>
    <n v="0.33"/>
    <m/>
  </r>
  <r>
    <n v="2098"/>
    <n v="2025"/>
    <n v="2024"/>
    <s v="Year_2"/>
    <d v="2024-06-10T00:00:00"/>
    <s v="KUD22"/>
    <s v="O2R3"/>
    <s v="JK"/>
    <n v="4.3478260869565223E-2"/>
    <n v="6293"/>
    <x v="32"/>
    <s v="Pitch valves test acitve"/>
    <s v="Breakdown"/>
    <d v="1899-12-30T06:54:00"/>
    <d v="1899-12-30T06:54:00"/>
    <d v="1899-12-30T07:00:00"/>
    <d v="1899-12-30T00:00:00"/>
    <n v="0.10000000000000098"/>
    <n v="0.10000000000000098"/>
    <s v="Turbine self test taken"/>
    <s v="Close"/>
    <n v="4.3478260869565652E-3"/>
    <n v="1"/>
    <n v="0.16"/>
    <m/>
  </r>
  <r>
    <n v="2099"/>
    <n v="2025"/>
    <n v="2024"/>
    <s v="Year_2"/>
    <d v="2024-06-10T00:00:00"/>
    <s v="KUD23"/>
    <s v="O2R3"/>
    <s v="JK"/>
    <n v="4.3478260869565223E-2"/>
    <n v="4519"/>
    <x v="126"/>
    <s v="HubSafty HydrPres  Low DBlk"/>
    <s v="Breakdown"/>
    <d v="1899-12-30T02:29:00"/>
    <d v="1899-12-30T02:29:00"/>
    <d v="1899-12-30T02:30:00"/>
    <d v="1899-12-30T00:00:00"/>
    <n v="1.6666666666666941E-2"/>
    <n v="1.6666666666666941E-2"/>
    <s v="Auto reset"/>
    <s v="Close"/>
    <n v="7.2463768115943233E-4"/>
    <n v="1"/>
    <n v="0.12"/>
    <m/>
  </r>
  <r>
    <n v="2100"/>
    <n v="2025"/>
    <n v="2024"/>
    <s v="Year_2"/>
    <d v="2024-06-10T00:00:00"/>
    <s v="KUD23"/>
    <s v="O2R3"/>
    <s v="JK"/>
    <n v="4.3478260869565223E-2"/>
    <n v="6293"/>
    <x v="32"/>
    <s v="Pitch valves test acitve"/>
    <s v="Breakdown"/>
    <d v="1899-12-30T06:54:00"/>
    <d v="1899-12-30T06:54:00"/>
    <d v="1899-12-30T07:01:00"/>
    <d v="1899-12-30T00:00:00"/>
    <n v="0.11666666666666758"/>
    <n v="0.11666666666666758"/>
    <s v="Turbine self test taken"/>
    <s v="Close"/>
    <n v="5.0724637681159824E-3"/>
    <n v="1"/>
    <n v="0.06"/>
    <m/>
  </r>
  <r>
    <n v="2101"/>
    <n v="2025"/>
    <n v="2024"/>
    <s v="Year_2"/>
    <d v="2024-06-11T00:00:00"/>
    <s v="KUD01"/>
    <s v="O2R1"/>
    <s v="KSIPL"/>
    <n v="4.3478260869565223E-2"/>
    <n v="453"/>
    <x v="136"/>
    <s v="Ext. High I sum Rotinv.ChanX"/>
    <s v="Breakdown"/>
    <d v="1899-12-30T09:49:00"/>
    <d v="1899-12-30T09:49:00"/>
    <d v="1899-12-30T09:50:00"/>
    <d v="1899-12-30T00:00:00"/>
    <n v="1.6666666666666607E-2"/>
    <n v="1.6666666666666607E-2"/>
    <s v="Auto reset"/>
    <s v="Close"/>
    <n v="7.246376811594178E-4"/>
    <n v="1"/>
    <n v="0.09"/>
    <m/>
  </r>
  <r>
    <n v="2102"/>
    <n v="2025"/>
    <n v="2024"/>
    <s v="Year_2"/>
    <d v="2024-06-11T00:00:00"/>
    <s v="KUD01"/>
    <s v="O2R1"/>
    <s v="KSIPL"/>
    <n v="4.3478260869565223E-2"/>
    <n v="6293"/>
    <x v="32"/>
    <s v="Pitch valves test acitve"/>
    <s v="Breakdown"/>
    <d v="1899-12-30T09:51:00"/>
    <d v="1899-12-30T09:51:00"/>
    <d v="1899-12-30T09:57:00"/>
    <d v="1899-12-30T00:00:00"/>
    <n v="0.10000000000000098"/>
    <n v="0.10000000000000098"/>
    <s v="Turbine self test taken"/>
    <s v="Close"/>
    <n v="4.3478260869565652E-3"/>
    <n v="1"/>
    <n v="0.32"/>
    <m/>
  </r>
  <r>
    <n v="2103"/>
    <n v="2025"/>
    <n v="2024"/>
    <s v="Year_2"/>
    <d v="2024-06-11T00:00:00"/>
    <s v="KUD01"/>
    <s v="O2R1"/>
    <s v="KSIPL"/>
    <n v="4.3478260869565223E-2"/>
    <n v="4235"/>
    <x v="93"/>
    <s v="Gen Stator CB Open"/>
    <s v="Breakdown"/>
    <d v="1899-12-30T09:58:00"/>
    <d v="1899-12-30T09:58:00"/>
    <d v="1899-12-30T09:59:00"/>
    <d v="1899-12-30T00:00:00"/>
    <n v="1.6666666666666607E-2"/>
    <n v="1.6666666666666607E-2"/>
    <s v="Auto reset"/>
    <s v="Close"/>
    <n v="7.246376811594178E-4"/>
    <n v="1"/>
    <n v="0.37"/>
    <m/>
  </r>
  <r>
    <n v="2104"/>
    <n v="2025"/>
    <n v="2024"/>
    <s v="Year_2"/>
    <d v="2024-06-11T00:00:00"/>
    <s v="KUD10"/>
    <s v="O2R1"/>
    <s v="KSIPL"/>
    <n v="4.3478260869565223E-2"/>
    <n v="5196"/>
    <x v="114"/>
    <s v="Prop Valve B Status Fault"/>
    <s v="Breakdown"/>
    <d v="1899-12-30T17:38:00"/>
    <d v="1899-12-30T17:38:00"/>
    <d v="1899-12-30T17:39:00"/>
    <d v="1899-12-30T00:00:00"/>
    <n v="1.6666666666666607E-2"/>
    <n v="1.6666666666666607E-2"/>
    <s v="Auto reset"/>
    <s v="Close"/>
    <n v="7.246376811594178E-4"/>
    <n v="1"/>
    <n v="0.63"/>
    <m/>
  </r>
  <r>
    <n v="2105"/>
    <n v="2025"/>
    <n v="2024"/>
    <s v="Year_2"/>
    <d v="2024-06-11T00:00:00"/>
    <s v="KUD10"/>
    <s v="O2R1"/>
    <s v="KSIPL"/>
    <n v="4.3478260869565223E-2"/>
    <n v="6293"/>
    <x v="32"/>
    <s v="Pitch valves test acitve"/>
    <s v="Breakdown"/>
    <d v="1899-12-30T17:40:00"/>
    <d v="1899-12-30T17:40:00"/>
    <d v="1899-12-30T17:45:00"/>
    <d v="1899-12-30T00:00:00"/>
    <n v="8.3333333333333037E-2"/>
    <n v="8.3333333333333037E-2"/>
    <s v="Turbine self test taken"/>
    <s v="Close"/>
    <n v="3.6231884057970889E-3"/>
    <n v="1"/>
    <n v="0.71"/>
    <m/>
  </r>
  <r>
    <n v="2106"/>
    <n v="2025"/>
    <n v="2024"/>
    <s v="Year_2"/>
    <d v="2024-06-11T00:00:00"/>
    <s v="KUD10"/>
    <s v="O2R1"/>
    <s v="KSIPL"/>
    <n v="4.3478260869565223E-2"/>
    <n v="5196"/>
    <x v="114"/>
    <s v="Prop Valve B Status Fault"/>
    <s v="Breakdown"/>
    <d v="1899-12-30T17:50:00"/>
    <d v="1899-12-30T17:50:00"/>
    <d v="1899-12-30T17:52:00"/>
    <d v="1899-12-30T00:00:00"/>
    <n v="3.3333333333333215E-2"/>
    <n v="3.3333333333333215E-2"/>
    <s v="Auto reset"/>
    <s v="Close"/>
    <n v="1.4492753623188356E-3"/>
    <n v="1"/>
    <n v="0.2"/>
    <m/>
  </r>
  <r>
    <n v="2107"/>
    <n v="2025"/>
    <n v="2024"/>
    <s v="Year_2"/>
    <d v="2024-06-11T00:00:00"/>
    <s v="KUD10"/>
    <s v="O2R1"/>
    <s v="KSIPL"/>
    <n v="4.3478260869565223E-2"/>
    <n v="5196"/>
    <x v="114"/>
    <s v="Prop Valve B Status Fault"/>
    <s v="Breakdown"/>
    <d v="1899-12-30T19:36:00"/>
    <d v="1899-12-30T19:36:00"/>
    <d v="1899-12-30T19:41:00"/>
    <d v="1899-12-30T00:00:00"/>
    <n v="8.3333333333333037E-2"/>
    <n v="8.3333333333333037E-2"/>
    <s v="Auto reset"/>
    <s v="Close"/>
    <n v="3.6231884057970889E-3"/>
    <n v="1"/>
    <n v="0.05"/>
    <m/>
  </r>
  <r>
    <n v="2108"/>
    <n v="2025"/>
    <n v="2024"/>
    <s v="Year_2"/>
    <d v="2024-06-11T00:00:00"/>
    <s v="KUD20"/>
    <s v="O2R1"/>
    <s v="KSIPL"/>
    <n v="4.3478260869565223E-2"/>
    <n v="356"/>
    <x v="165"/>
    <s v="Extreme yawerror __._m/s___._°"/>
    <s v="Breakdown"/>
    <d v="1899-12-30T16:15:00"/>
    <d v="1899-12-30T16:15:00"/>
    <d v="1899-12-30T16:17:00"/>
    <d v="1899-12-30T00:00:00"/>
    <n v="3.3333333333333215E-2"/>
    <n v="3.3333333333333215E-2"/>
    <s v="Auto reset"/>
    <s v="Close"/>
    <n v="1.4492753623188356E-3"/>
    <n v="1"/>
    <n v="0.2"/>
    <m/>
  </r>
  <r>
    <n v="2109"/>
    <n v="2025"/>
    <n v="2024"/>
    <s v="Year_2"/>
    <d v="2024-06-11T00:00:00"/>
    <s v="KUD04"/>
    <s v="O2R3"/>
    <s v="JK"/>
    <n v="4.3478260869565223E-2"/>
    <n v="356"/>
    <x v="165"/>
    <s v="Extreme yawerror __._m/s___._°"/>
    <s v="Breakdown"/>
    <d v="1899-12-30T16:13:00"/>
    <d v="1899-12-30T16:13:00"/>
    <d v="1899-12-30T16:15:00"/>
    <d v="1899-12-30T00:00:00"/>
    <n v="3.3333333333333215E-2"/>
    <n v="3.3333333333333215E-2"/>
    <s v="Auto reset"/>
    <s v="Close"/>
    <n v="1.4492753623188356E-3"/>
    <n v="1"/>
    <n v="0.2"/>
    <m/>
  </r>
  <r>
    <n v="2110"/>
    <n v="2025"/>
    <n v="2024"/>
    <s v="Year_2"/>
    <d v="2024-06-11T00:00:00"/>
    <s v="KUD06"/>
    <s v="O2R3"/>
    <s v="JK"/>
    <n v="4.3478260869565223E-2"/>
    <n v="3209"/>
    <x v="101"/>
    <s v="YawSignals Invalid"/>
    <s v="Breakdown"/>
    <d v="1899-12-30T15:32:00"/>
    <d v="1899-12-30T15:32:00"/>
    <d v="1899-12-30T15:39:00"/>
    <d v="1899-12-30T00:00:00"/>
    <n v="0.11666666666666625"/>
    <n v="0.11666666666666625"/>
    <s v="Remote reset"/>
    <s v="Close"/>
    <n v="5.0724637681159243E-3"/>
    <n v="1"/>
    <n v="7.0000000000000007E-2"/>
    <m/>
  </r>
  <r>
    <n v="2111"/>
    <n v="2025"/>
    <n v="2024"/>
    <s v="Year_2"/>
    <d v="2024-06-11T00:00:00"/>
    <s v="KUD22"/>
    <s v="O2R3"/>
    <s v="JK"/>
    <n v="4.3478260869565223E-2"/>
    <n v="693"/>
    <x v="157"/>
    <s v="SignalError-PAUSE _____,_____"/>
    <s v="Breakdown"/>
    <d v="1899-12-30T15:42:00"/>
    <d v="1899-12-30T15:42:00"/>
    <d v="1899-12-30T15:51:00"/>
    <d v="1899-12-30T00:00:00"/>
    <n v="0.14999999999999947"/>
    <n v="0.14999999999999947"/>
    <s v="Remote reset"/>
    <s v="Close"/>
    <n v="6.5217391304347606E-3"/>
    <n v="1"/>
    <n v="0.08"/>
    <m/>
  </r>
  <r>
    <n v="2112"/>
    <n v="2025"/>
    <n v="2024"/>
    <s v="Year_2"/>
    <d v="2024-06-12T00:00:00"/>
    <s v="KUD10"/>
    <s v="O2R1"/>
    <s v="KSIPL"/>
    <n v="4.3478260869565223E-2"/>
    <n v="900"/>
    <x v="100"/>
    <s v="Pause pressed on keyboard"/>
    <s v="Manual Stop"/>
    <d v="1899-12-30T11:36:00"/>
    <d v="1899-12-30T11:36:00"/>
    <d v="1899-12-30T13:55:00"/>
    <d v="1899-12-30T00:00:00"/>
    <n v="2.3166666666666678"/>
    <n v="2.3166666666666678"/>
    <s v="Repeated error arresting purpose and found Blade B proportional valve malfunction then replaced to new one after restored."/>
    <s v="Close"/>
    <n v="0.10072463768115948"/>
    <n v="1"/>
    <n v="0.06"/>
    <m/>
  </r>
  <r>
    <n v="2113"/>
    <n v="2025"/>
    <n v="2024"/>
    <s v="Year_2"/>
    <d v="2024-06-13T00:00:00"/>
    <s v="KUD01"/>
    <s v="O2R1"/>
    <s v="KSIPL"/>
    <n v="4.3478260869565223E-2"/>
    <n v="450"/>
    <x v="127"/>
    <s v="Ext. High I sum Grd inv."/>
    <s v="Breakdown"/>
    <d v="1899-12-30T12:52:03"/>
    <d v="1899-12-30T12:52:03"/>
    <d v="1899-12-30T13:03:12"/>
    <d v="1899-12-30T00:00:00"/>
    <n v="0.18583333333333307"/>
    <n v="0.18583333333333307"/>
    <s v="Auto reset"/>
    <s v="Close"/>
    <n v="8.0797101449275252E-3"/>
    <n v="1"/>
    <n v="0.1"/>
    <m/>
  </r>
  <r>
    <n v="2114"/>
    <n v="2025"/>
    <n v="2024"/>
    <s v="Year_2"/>
    <d v="2024-06-13T00:00:00"/>
    <s v="KUD05"/>
    <s v="O2R3"/>
    <s v="JK"/>
    <n v="4.3478260869565223E-2"/>
    <n v="900"/>
    <x v="100"/>
    <s v="Pause pressed on keyboard"/>
    <s v="Manual Stop"/>
    <d v="1899-12-30T14:30:00"/>
    <d v="1899-12-30T14:30:00"/>
    <d v="1899-12-30T14:43:00"/>
    <d v="1899-12-30T00:00:00"/>
    <n v="0.21666666666666856"/>
    <n v="0.21666666666666856"/>
    <s v="CIM5642 implemented work done"/>
    <s v="Close"/>
    <n v="9.4202898550725476E-3"/>
    <n v="1"/>
    <n v="7.0000000000000007E-2"/>
    <m/>
  </r>
  <r>
    <n v="2115"/>
    <n v="2025"/>
    <n v="2024"/>
    <s v="Year_2"/>
    <d v="2024-06-13T00:00:00"/>
    <s v="KUD10"/>
    <s v="O2R1"/>
    <s v="KSIPL"/>
    <n v="4.3478260869565223E-2"/>
    <n v="5196"/>
    <x v="114"/>
    <s v="Prop Valve B Status Fault"/>
    <s v="Breakdown"/>
    <d v="1899-12-30T18:36:36"/>
    <d v="1899-12-30T18:36:36"/>
    <d v="1899-12-30T18:45:17"/>
    <d v="1899-12-30T00:00:00"/>
    <n v="0.14472222222222175"/>
    <n v="0.14472222222222175"/>
    <s v="Auto reset"/>
    <s v="Close"/>
    <n v="6.2922705314009467E-3"/>
    <n v="1"/>
    <n v="0.2"/>
    <m/>
  </r>
  <r>
    <n v="2116"/>
    <n v="2025"/>
    <n v="2024"/>
    <s v="Year_2"/>
    <d v="2024-06-13T00:00:00"/>
    <s v="KUD10"/>
    <s v="O2R1"/>
    <s v="KSIPL"/>
    <n v="4.3478260869565223E-2"/>
    <n v="5195"/>
    <x v="49"/>
    <s v="Prop Valve A Status Fault"/>
    <s v="Breakdown"/>
    <d v="1899-12-30T23:07:58"/>
    <d v="1899-12-30T23:07:58"/>
    <d v="1899-12-30T23:15:04"/>
    <d v="1899-12-30T00:00:00"/>
    <n v="0.11833333333333318"/>
    <n v="0.11833333333333318"/>
    <s v="Auto reset"/>
    <s v="Close"/>
    <n v="5.144927536231878E-3"/>
    <n v="1"/>
    <n v="0.16"/>
    <m/>
  </r>
  <r>
    <n v="2117"/>
    <n v="2025"/>
    <n v="2024"/>
    <s v="Year_2"/>
    <d v="2024-06-13T00:00:00"/>
    <s v="KUD16"/>
    <s v="O2R2"/>
    <s v="SIL"/>
    <n v="4.3478260869565223E-2"/>
    <n v="202"/>
    <x v="131"/>
    <s v="Frequency error 1:   0.56 Hz"/>
    <s v="Breakdown"/>
    <d v="1899-12-30T16:40:00"/>
    <d v="1899-12-30T16:40:00"/>
    <d v="1899-12-30T16:57:00"/>
    <d v="1899-12-30T00:00:00"/>
    <n v="0.28333333333333499"/>
    <n v="0.28333333333333499"/>
    <s v="remote reset done"/>
    <s v="Close"/>
    <n v="1.2318840579710218E-2"/>
    <n v="1"/>
    <n v="0.05"/>
    <m/>
  </r>
  <r>
    <n v="2118"/>
    <n v="2025"/>
    <n v="2024"/>
    <s v="Year_2"/>
    <d v="2024-06-13T00:00:00"/>
    <s v="KUD17"/>
    <s v="O2R2"/>
    <s v="SIL"/>
    <n v="4.3478260869565223E-2"/>
    <n v="4235"/>
    <x v="93"/>
    <s v="Gen Stator CB Open"/>
    <s v="Breakdown"/>
    <d v="1899-12-30T16:40:00"/>
    <d v="1899-12-30T16:40:00"/>
    <d v="1899-12-30T16:47:00"/>
    <d v="1899-12-30T00:00:00"/>
    <n v="0.11666666666666625"/>
    <n v="0.11666666666666625"/>
    <s v="Auto reset"/>
    <s v="Close"/>
    <n v="5.0724637681159243E-3"/>
    <n v="1"/>
    <n v="5.86"/>
    <m/>
  </r>
  <r>
    <n v="2119"/>
    <n v="2025"/>
    <n v="2024"/>
    <s v="Year_2"/>
    <d v="2024-06-13T00:00:00"/>
    <s v="KUD20"/>
    <s v="O2R1"/>
    <s v="KSIPL"/>
    <n v="4.3478260869565223E-2"/>
    <n v="6226"/>
    <x v="159"/>
    <s v="HydPressOscBlBFilt2,   8.0bar"/>
    <s v="Breakdown"/>
    <d v="1899-12-30T22:19:23"/>
    <d v="1899-12-30T22:19:23"/>
    <d v="1899-12-30T22:28:38"/>
    <d v="1899-12-30T00:00:00"/>
    <n v="0.15416666666666679"/>
    <n v="0.15416666666666679"/>
    <s v="Auto reset"/>
    <s v="Close"/>
    <n v="6.7028985507246435E-3"/>
    <n v="1"/>
    <n v="0"/>
    <m/>
  </r>
  <r>
    <n v="2120"/>
    <n v="2025"/>
    <n v="2024"/>
    <s v="Year_2"/>
    <d v="2024-06-13T00:00:00"/>
    <s v="KUD21"/>
    <s v="O2R3"/>
    <s v="JK"/>
    <n v="4.3478260869565223E-2"/>
    <n v="707"/>
    <x v="121"/>
    <s v="Ch hardware error C0"/>
    <s v="Breakdown"/>
    <d v="1899-12-30T16:40:00"/>
    <d v="1899-12-30T16:40:00"/>
    <d v="1899-12-30T16:57:00"/>
    <d v="1899-12-30T00:00:00"/>
    <n v="0.28333333333333499"/>
    <n v="0.28333333333333499"/>
    <s v="remote reset done"/>
    <s v="Close"/>
    <n v="1.2318840579710218E-2"/>
    <n v="1"/>
    <n v="0.26500000000000001"/>
    <m/>
  </r>
  <r>
    <n v="2121"/>
    <n v="2025"/>
    <n v="2024"/>
    <s v="Year_2"/>
    <d v="2024-06-14T00:00:00"/>
    <s v="KUD08"/>
    <s v="O2R3"/>
    <s v="JK"/>
    <n v="4.3478260869565223E-2"/>
    <n v="4235"/>
    <x v="93"/>
    <s v="Gen Stator CB Open"/>
    <s v="Breakdown"/>
    <d v="1899-12-30T09:25:49"/>
    <d v="1899-12-30T09:25:49"/>
    <d v="1899-12-30T09:33:50"/>
    <d v="1899-12-30T00:00:00"/>
    <n v="0.13361111111111112"/>
    <n v="0.13361111111111112"/>
    <s v="Auto reset"/>
    <s v="Close"/>
    <n v="5.8091787439613542E-3"/>
    <n v="1"/>
    <n v="0.24299999999999999"/>
    <m/>
  </r>
  <r>
    <n v="2122"/>
    <n v="2025"/>
    <n v="2024"/>
    <s v="Year_2"/>
    <d v="2024-06-14T00:00:00"/>
    <s v="KUD10"/>
    <s v="O2R1"/>
    <s v="KSIPL"/>
    <n v="4.3478260869565223E-2"/>
    <n v="5196"/>
    <x v="114"/>
    <s v="Prop Valve B Status Fault"/>
    <s v="Breakdown"/>
    <d v="1899-12-30T01:47:05"/>
    <d v="1899-12-30T01:47:05"/>
    <d v="1899-12-30T01:54:35"/>
    <d v="1899-12-30T00:00:00"/>
    <n v="0.12499999999999989"/>
    <n v="0.12499999999999989"/>
    <s v="Auto reset"/>
    <s v="Close"/>
    <n v="5.4347826086956477E-3"/>
    <n v="1"/>
    <n v="0.312"/>
    <m/>
  </r>
  <r>
    <n v="2123"/>
    <n v="2025"/>
    <n v="2024"/>
    <s v="Year_2"/>
    <d v="2024-06-14T00:00:00"/>
    <s v="KUD13"/>
    <s v="O2R1"/>
    <s v="KSIPL"/>
    <n v="4.3478260869565223E-2"/>
    <n v="4235"/>
    <x v="93"/>
    <s v="Gen Stator CB Open"/>
    <s v="Breakdown"/>
    <d v="1899-12-30T09:10:26"/>
    <d v="1899-12-30T09:10:26"/>
    <d v="1899-12-30T09:18:23"/>
    <d v="1899-12-30T00:00:00"/>
    <n v="0.1324999999999994"/>
    <n v="0.1324999999999994"/>
    <s v="Auto reset"/>
    <s v="Close"/>
    <n v="5.760869565217366E-3"/>
    <n v="1"/>
    <n v="0.29099999999999998"/>
    <m/>
  </r>
  <r>
    <n v="2124"/>
    <n v="2025"/>
    <n v="2024"/>
    <s v="Year_2"/>
    <d v="2024-06-14T00:00:00"/>
    <s v="KUD19"/>
    <s v="O2R1"/>
    <s v="KSIPL"/>
    <n v="4.3478260869565223E-2"/>
    <n v="4239"/>
    <x v="40"/>
    <s v="HVCB Unknown Trip Reason"/>
    <s v="Breakdown"/>
    <d v="1899-12-30T09:10:46"/>
    <d v="1899-12-30T09:10:46"/>
    <d v="1899-12-30T10:12:56"/>
    <d v="1899-12-30T00:00:00"/>
    <n v="1.036111111111111"/>
    <n v="1.036111111111111"/>
    <s v="SWG coil mechanism adjustment done"/>
    <s v="Close"/>
    <n v="4.5048309178743959E-2"/>
    <n v="1"/>
    <n v="0.27300000000000002"/>
    <m/>
  </r>
  <r>
    <n v="2125"/>
    <n v="2025"/>
    <n v="2024"/>
    <s v="Year_2"/>
    <d v="2024-06-15T00:00:00"/>
    <s v="KUD10"/>
    <s v="O2R1"/>
    <s v="KSIPL"/>
    <n v="4.3478260869565223E-2"/>
    <n v="900"/>
    <x v="100"/>
    <s v="Pause pressed on keyboard"/>
    <s v="Breakdown"/>
    <d v="1899-12-30T14:03:05"/>
    <d v="1899-12-30T14:03:05"/>
    <d v="1899-12-30T15:34:00"/>
    <d v="1899-12-30T00:00:00"/>
    <n v="1.5152777777777793"/>
    <n v="1.5152777777777793"/>
    <s v="CMS alert inspection done"/>
    <s v="Close"/>
    <n v="6.5881642512077371E-2"/>
    <n v="1"/>
    <n v="0.248"/>
    <m/>
  </r>
  <r>
    <n v="2126"/>
    <n v="2025"/>
    <n v="2024"/>
    <s v="Year_2"/>
    <d v="2024-06-15T00:00:00"/>
    <s v="KUD13"/>
    <s v="O2R1"/>
    <s v="KSIPL"/>
    <n v="4.3478260869565223E-2"/>
    <n v="3296"/>
    <x v="46"/>
    <s v="Yaw To Nacelle Position Reset"/>
    <s v="Breakdown"/>
    <d v="1899-12-30T17:00:11"/>
    <d v="1899-12-30T17:00:11"/>
    <d v="1899-12-30T17:26:37"/>
    <d v="1899-12-30T00:00:00"/>
    <n v="0.44055555555555603"/>
    <n v="0.44055555555555603"/>
    <s v="Turbine self cable Twist release"/>
    <s v="Close"/>
    <n v="1.9154589371980699E-2"/>
    <n v="1"/>
    <n v="0.29499999999999998"/>
    <m/>
  </r>
  <r>
    <n v="2127"/>
    <n v="2025"/>
    <n v="2024"/>
    <s v="Year_2"/>
    <d v="2024-06-16T00:00:00"/>
    <s v="KUD01"/>
    <s v="O2R1"/>
    <s v="KSIPL"/>
    <n v="4.3478260869565223E-2"/>
    <n v="450"/>
    <x v="127"/>
    <s v="Ext. High I sum Grd inv."/>
    <s v="Breakdown"/>
    <d v="1899-12-30T10:21:33"/>
    <d v="1899-12-30T10:21:33"/>
    <d v="1899-12-30T10:33:00"/>
    <d v="1899-12-30T00:00:00"/>
    <n v="0.19083333333333252"/>
    <n v="0.19083333333333252"/>
    <s v="Auto reset"/>
    <s v="Close"/>
    <n v="8.2971014492753282E-3"/>
    <n v="1"/>
    <n v="0.217"/>
    <m/>
  </r>
  <r>
    <n v="2128"/>
    <n v="2025"/>
    <n v="2024"/>
    <s v="Year_2"/>
    <d v="2024-06-16T00:00:00"/>
    <s v="KUD01"/>
    <s v="O2R1"/>
    <s v="KSIPL"/>
    <n v="4.3478260869565223E-2"/>
    <n v="4235"/>
    <x v="93"/>
    <s v="Gen Stator CB Open"/>
    <s v="Breakdown"/>
    <d v="1899-12-30T14:51:34"/>
    <d v="1899-12-30T14:51:34"/>
    <d v="1899-12-30T14:57:44"/>
    <d v="1899-12-30T00:00:00"/>
    <n v="0.10277777777777697"/>
    <n v="0.10277777777777697"/>
    <s v="Auto reset"/>
    <s v="Close"/>
    <n v="4.4685990338163908E-3"/>
    <n v="1"/>
    <n v="0.23599999999999999"/>
    <m/>
  </r>
  <r>
    <n v="2129"/>
    <n v="2025"/>
    <n v="2024"/>
    <s v="Year_2"/>
    <d v="2024-06-16T00:00:00"/>
    <s v="KUD14"/>
    <s v="O2R1"/>
    <s v="KSIPL"/>
    <n v="4.3478260869565223E-2"/>
    <n v="4235"/>
    <x v="93"/>
    <s v="Gen Stator CB Open"/>
    <s v="Breakdown"/>
    <d v="1899-12-30T14:51:34"/>
    <d v="1899-12-30T14:51:34"/>
    <d v="1899-12-30T14:57:44"/>
    <d v="1899-12-30T00:00:00"/>
    <n v="0.10277777777777697"/>
    <n v="0.10277777777777697"/>
    <s v="Auto reset"/>
    <s v="Close"/>
    <n v="4.4685990338163908E-3"/>
    <n v="1"/>
    <n v="0.21099999999999999"/>
    <m/>
  </r>
  <r>
    <n v="2130"/>
    <n v="2025"/>
    <n v="2024"/>
    <s v="Year_2"/>
    <d v="2024-06-17T00:00:00"/>
    <s v="KUD01"/>
    <s v="O2R1"/>
    <s v="KSIPL"/>
    <n v="4.3478260869565223E-2"/>
    <n v="450"/>
    <x v="127"/>
    <s v="Ext. High I sum Grd inv."/>
    <s v="Breakdown"/>
    <d v="1899-12-30T12:16:21"/>
    <d v="1899-12-30T12:16:21"/>
    <d v="1899-12-30T12:27:57"/>
    <d v="1899-12-30T00:00:00"/>
    <n v="0.19333333333333425"/>
    <n v="0.19333333333333425"/>
    <s v="Auto reset"/>
    <s v="Close"/>
    <n v="8.4057971014493155E-3"/>
    <n v="1"/>
    <n v="0.221"/>
    <m/>
  </r>
  <r>
    <n v="2131"/>
    <n v="2025"/>
    <n v="2024"/>
    <s v="Year_2"/>
    <d v="2024-06-17T00:00:00"/>
    <s v="KUD16"/>
    <s v="O2R2"/>
    <s v="SIL"/>
    <n v="4.3478260869565223E-2"/>
    <n v="4239"/>
    <x v="40"/>
    <s v="HVCB Unknown Trip Reason"/>
    <s v="Breakdown"/>
    <d v="1899-12-30T07:40:00"/>
    <d v="1899-12-30T07:40:00"/>
    <d v="1899-12-30T08:14:23"/>
    <d v="1899-12-30T00:00:00"/>
    <n v="0.57305555555555676"/>
    <n v="0.57305555555555676"/>
    <s v="Remote reboot and reset done"/>
    <s v="Close"/>
    <n v="2.4915458937198123E-2"/>
    <n v="1"/>
    <n v="0.21299999999999999"/>
    <m/>
  </r>
  <r>
    <n v="2132"/>
    <n v="2025"/>
    <n v="2024"/>
    <s v="Year_2"/>
    <d v="2024-06-18T00:00:00"/>
    <s v="KUD01"/>
    <s v="O2R1"/>
    <s v="KSIPL"/>
    <n v="4.3478260869565223E-2"/>
    <n v="450"/>
    <x v="127"/>
    <s v="Ext. High I sum Grd inv."/>
    <s v="Breakdown"/>
    <d v="1899-12-30T01:19:00"/>
    <d v="1899-12-30T01:19:00"/>
    <d v="1899-12-30T01:21:00"/>
    <d v="1899-12-30T00:00:00"/>
    <n v="3.3333333333333381E-2"/>
    <n v="3.3333333333333381E-2"/>
    <s v="Auto reset"/>
    <s v="Close"/>
    <n v="1.4492753623188428E-3"/>
    <n v="1"/>
    <n v="0.14199999999999999"/>
    <m/>
  </r>
  <r>
    <n v="2133"/>
    <n v="2025"/>
    <n v="2024"/>
    <s v="Year_2"/>
    <d v="2024-06-18T00:00:00"/>
    <s v="KUD07"/>
    <s v="O2R3"/>
    <s v="JK"/>
    <n v="4.3478260869565223E-2"/>
    <n v="4235"/>
    <x v="93"/>
    <s v="Gen Stator CB Open"/>
    <s v="Breakdown"/>
    <d v="1899-12-30T05:56:00"/>
    <d v="1899-12-30T05:56:00"/>
    <d v="1899-12-30T06:05:00"/>
    <d v="1899-12-30T00:00:00"/>
    <n v="0.14999999999999947"/>
    <n v="0.14999999999999947"/>
    <s v="Auto reset"/>
    <s v="Close"/>
    <n v="6.5217391304347606E-3"/>
    <n v="1"/>
    <n v="0.16"/>
    <m/>
  </r>
  <r>
    <n v="2134"/>
    <n v="2025"/>
    <n v="2024"/>
    <s v="Year_2"/>
    <d v="2024-06-18T00:00:00"/>
    <s v="KUD16"/>
    <s v="O2R2"/>
    <s v="SIL"/>
    <n v="4.3478260869565223E-2"/>
    <n v="6293"/>
    <x v="32"/>
    <s v="Pitch valves test acitve"/>
    <s v="Breakdown"/>
    <d v="1899-12-30T05:44:00"/>
    <d v="1899-12-30T05:44:00"/>
    <d v="1899-12-30T05:51:00"/>
    <d v="1899-12-30T00:00:00"/>
    <n v="0.11666666666666625"/>
    <n v="0.11666666666666625"/>
    <s v="Turbine self test taken"/>
    <s v="Close"/>
    <n v="5.0724637681159243E-3"/>
    <n v="1"/>
    <n v="0.123"/>
    <m/>
  </r>
  <r>
    <n v="2135"/>
    <n v="2025"/>
    <n v="2024"/>
    <s v="Year_2"/>
    <d v="2024-06-18T00:00:00"/>
    <s v="KUD17"/>
    <s v="O2R2"/>
    <s v="SIL"/>
    <n v="4.3478260869565223E-2"/>
    <n v="6293"/>
    <x v="32"/>
    <s v="Pitch valves test acitve"/>
    <s v="Breakdown"/>
    <d v="1899-12-30T05:44:00"/>
    <d v="1899-12-30T05:44:00"/>
    <d v="1899-12-30T05:50:00"/>
    <d v="1899-12-30T00:00:00"/>
    <n v="9.9999999999999645E-2"/>
    <n v="9.9999999999999645E-2"/>
    <s v="Turbine self test taken"/>
    <s v="Close"/>
    <n v="4.347826086956507E-3"/>
    <n v="1"/>
    <n v="0.124"/>
    <m/>
  </r>
  <r>
    <n v="2136"/>
    <n v="2025"/>
    <n v="2024"/>
    <s v="Year_2"/>
    <d v="2024-06-18T00:00:00"/>
    <s v="KUD21"/>
    <s v="O2R3"/>
    <s v="JK"/>
    <n v="4.3478260869565223E-2"/>
    <n v="6293"/>
    <x v="32"/>
    <s v="Pitch valves test acitve"/>
    <s v="Breakdown"/>
    <d v="1899-12-30T05:45:00"/>
    <d v="1899-12-30T05:45:00"/>
    <d v="1899-12-30T05:50:00"/>
    <d v="1899-12-30T00:00:00"/>
    <n v="8.3333333333333037E-2"/>
    <n v="8.3333333333333037E-2"/>
    <s v="Turbine self test taken"/>
    <s v="Close"/>
    <n v="3.6231884057970889E-3"/>
    <n v="1"/>
    <n v="0.126"/>
    <m/>
  </r>
  <r>
    <n v="2137"/>
    <n v="2025"/>
    <n v="2024"/>
    <s v="Year_2"/>
    <d v="2024-06-18T00:00:00"/>
    <s v="KUD22"/>
    <s v="O2R3"/>
    <s v="JK"/>
    <n v="4.3478260869565223E-2"/>
    <n v="6293"/>
    <x v="32"/>
    <s v="Pitch valves test acitve"/>
    <s v="Breakdown"/>
    <d v="1899-12-30T05:44:00"/>
    <d v="1899-12-30T05:44:00"/>
    <d v="1899-12-30T05:49:00"/>
    <d v="1899-12-30T00:00:00"/>
    <n v="8.3333333333333037E-2"/>
    <n v="8.3333333333333037E-2"/>
    <s v="Turbine self test taken"/>
    <s v="Close"/>
    <n v="3.6231884057970889E-3"/>
    <n v="1"/>
    <n v="0.13200000000000001"/>
    <m/>
  </r>
  <r>
    <n v="2138"/>
    <n v="2025"/>
    <n v="2024"/>
    <s v="Year_2"/>
    <d v="2024-06-18T00:00:00"/>
    <s v="KUD23"/>
    <s v="O2R3"/>
    <s v="JK"/>
    <n v="4.3478260869565223E-2"/>
    <n v="6293"/>
    <x v="32"/>
    <s v="Pitch valves test acitve"/>
    <s v="Breakdown"/>
    <d v="1899-12-30T05:44:00"/>
    <d v="1899-12-30T05:44:00"/>
    <d v="1899-12-30T05:49:00"/>
    <d v="1899-12-30T00:00:00"/>
    <n v="8.3333333333333037E-2"/>
    <n v="8.3333333333333037E-2"/>
    <s v="Turbine self test taken"/>
    <s v="Close"/>
    <n v="3.6231884057970889E-3"/>
    <n v="1"/>
    <n v="0.124"/>
    <m/>
  </r>
  <r>
    <n v="2139"/>
    <n v="2025"/>
    <n v="2024"/>
    <s v="Year_2"/>
    <d v="2024-06-19T00:00:00"/>
    <s v="KUD08"/>
    <s v="O2R3"/>
    <s v="JK"/>
    <n v="4.3478260869565223E-2"/>
    <n v="3298"/>
    <x v="47"/>
    <s v="Yaw To Cable Twist Reset"/>
    <s v="Breakdown"/>
    <d v="1899-12-30T14:19:00"/>
    <d v="1899-12-30T14:19:00"/>
    <d v="1899-12-30T14:52:00"/>
    <d v="1899-12-30T00:00:00"/>
    <n v="0.55000000000000071"/>
    <n v="0.55000000000000071"/>
    <s v="Yawing to cable untwist"/>
    <s v="Close"/>
    <n v="2.3913043478260905E-2"/>
    <n v="1"/>
    <n v="0.121"/>
    <m/>
  </r>
  <r>
    <n v="2140"/>
    <n v="2025"/>
    <n v="2024"/>
    <s v="Year_2"/>
    <d v="2024-06-19T00:00:00"/>
    <s v="KUD10"/>
    <s v="O2R1"/>
    <s v="KSIPL"/>
    <n v="4.3478260869565223E-2"/>
    <n v="5196"/>
    <x v="114"/>
    <s v="Prop Valve B Status Fault"/>
    <s v="Breakdown"/>
    <d v="1899-12-30T14:22:00"/>
    <d v="1899-12-30T14:22:00"/>
    <d v="1899-12-30T15:08:00"/>
    <d v="1899-12-30T00:00:00"/>
    <n v="0.76666666666666661"/>
    <n v="0.76666666666666661"/>
    <s v="remote reset done"/>
    <s v="Close"/>
    <n v="3.3333333333333333E-2"/>
    <n v="1"/>
    <n v="0.45600000000000002"/>
    <m/>
  </r>
  <r>
    <n v="2141"/>
    <n v="2025"/>
    <n v="2024"/>
    <s v="Year_2"/>
    <d v="2024-06-19T00:00:00"/>
    <s v="KUD10"/>
    <s v="O2R1"/>
    <s v="KSIPL"/>
    <n v="4.3478260869565223E-2"/>
    <n v="5196"/>
    <x v="114"/>
    <s v="Prop Valve B Status Fault"/>
    <s v="Breakdown"/>
    <d v="1899-12-30T17:03:00"/>
    <d v="1899-12-30T17:03:00"/>
    <d v="1899-12-30T17:12:00"/>
    <d v="1899-12-30T00:00:00"/>
    <n v="0.14999999999999947"/>
    <n v="0.14999999999999947"/>
    <s v="Auto reset"/>
    <s v="Close"/>
    <n v="6.5217391304347606E-3"/>
    <n v="1"/>
    <n v="0.11899999999999999"/>
    <m/>
  </r>
  <r>
    <n v="2142"/>
    <n v="2025"/>
    <n v="2024"/>
    <s v="Year_2"/>
    <d v="2024-06-19T00:00:00"/>
    <s v="KUD11"/>
    <s v="O2R1"/>
    <s v="KSIPL"/>
    <n v="4.3478260869565223E-2"/>
    <n v="4235"/>
    <x v="93"/>
    <s v="Gen Stator CB Open"/>
    <s v="Breakdown"/>
    <d v="1899-12-30T14:17:00"/>
    <d v="1899-12-30T14:17:00"/>
    <d v="1899-12-30T14:18:00"/>
    <d v="1899-12-30T00:00:00"/>
    <n v="1.6666666666666607E-2"/>
    <n v="1.6666666666666607E-2"/>
    <s v="Auto reset"/>
    <s v="Close"/>
    <n v="7.246376811594178E-4"/>
    <n v="1"/>
    <n v="1.9E-2"/>
    <m/>
  </r>
  <r>
    <n v="2143"/>
    <n v="2025"/>
    <n v="2024"/>
    <s v="Year_2"/>
    <d v="2024-06-19T00:00:00"/>
    <s v="KUD11"/>
    <s v="O2R1"/>
    <s v="KSIPL"/>
    <n v="4.3478260869565223E-2"/>
    <n v="6293"/>
    <x v="32"/>
    <s v="Pitch valve test active"/>
    <s v="Breakdown"/>
    <d v="1899-12-30T14:18:00"/>
    <d v="1899-12-30T14:18:00"/>
    <d v="1899-12-30T14:23:00"/>
    <d v="1899-12-30T00:00:00"/>
    <n v="8.3333333333333037E-2"/>
    <n v="8.3333333333333037E-2"/>
    <s v="Turbine self test taken"/>
    <s v="Close"/>
    <n v="3.6231884057970889E-3"/>
    <n v="1"/>
    <n v="0.13900000000000001"/>
    <m/>
  </r>
  <r>
    <n v="2144"/>
    <n v="2025"/>
    <n v="2024"/>
    <s v="Year_2"/>
    <d v="2024-06-19T00:00:00"/>
    <s v="KUD13"/>
    <s v="O2R1"/>
    <s v="KSIPL"/>
    <n v="4.3478260869565223E-2"/>
    <n v="4235"/>
    <x v="93"/>
    <s v="Gen Stator CB Open"/>
    <s v="Breakdown"/>
    <d v="1899-12-30T14:16:00"/>
    <d v="1899-12-30T14:16:00"/>
    <d v="1899-12-30T14:17:00"/>
    <d v="1899-12-30T00:00:00"/>
    <n v="1.6666666666666607E-2"/>
    <n v="1.6666666666666607E-2"/>
    <s v="Auto reset"/>
    <s v="Close"/>
    <n v="7.246376811594178E-4"/>
    <n v="1"/>
    <n v="0"/>
    <m/>
  </r>
  <r>
    <n v="2145"/>
    <n v="2025"/>
    <n v="2024"/>
    <s v="Year_2"/>
    <d v="2024-06-19T00:00:00"/>
    <s v="KUD13"/>
    <s v="O2R1"/>
    <s v="KSIPL"/>
    <n v="4.3478260869565223E-2"/>
    <n v="6293"/>
    <x v="32"/>
    <s v="Pitch valve test active"/>
    <s v="Breakdown"/>
    <d v="1899-12-30T14:18:00"/>
    <d v="1899-12-30T14:18:00"/>
    <d v="1899-12-30T14:23:00"/>
    <d v="1899-12-30T00:00:00"/>
    <n v="8.3333333333333037E-2"/>
    <n v="8.3333333333333037E-2"/>
    <s v="Turbine self test taken"/>
    <s v="Close"/>
    <n v="3.6231884057970889E-3"/>
    <n v="1"/>
    <n v="0.13700000000000001"/>
    <m/>
  </r>
  <r>
    <n v="2146"/>
    <n v="2025"/>
    <n v="2024"/>
    <s v="Year_2"/>
    <d v="2024-06-19T00:00:00"/>
    <s v="KUD20"/>
    <s v="O2R1"/>
    <s v="KSIPL"/>
    <n v="4.3478260869565223E-2"/>
    <n v="4235"/>
    <x v="93"/>
    <s v="Gen Stator CB Open"/>
    <s v="Breakdown"/>
    <d v="1899-12-30T14:16:00"/>
    <d v="1899-12-30T14:16:00"/>
    <d v="1899-12-30T14:17:00"/>
    <d v="1899-12-30T00:00:00"/>
    <n v="1.6666666666666607E-2"/>
    <n v="1.6666666666666607E-2"/>
    <s v="Auto reset"/>
    <s v="Close"/>
    <n v="7.246376811594178E-4"/>
    <n v="1"/>
    <n v="0"/>
    <m/>
  </r>
  <r>
    <n v="2147"/>
    <n v="2025"/>
    <n v="2024"/>
    <s v="Year_2"/>
    <d v="2024-06-19T00:00:00"/>
    <s v="KUD20"/>
    <s v="O2R1"/>
    <s v="KSIPL"/>
    <n v="4.3478260869565223E-2"/>
    <n v="6293"/>
    <x v="32"/>
    <s v="Pitch valve test active"/>
    <s v="Breakdown"/>
    <d v="1899-12-30T14:18:00"/>
    <d v="1899-12-30T14:18:00"/>
    <d v="1899-12-30T14:23:00"/>
    <d v="1899-12-30T00:00:00"/>
    <n v="8.3333333333333037E-2"/>
    <n v="8.3333333333333037E-2"/>
    <s v="Turbine self test taken"/>
    <s v="Close"/>
    <n v="3.6231884057970889E-3"/>
    <n v="1"/>
    <n v="0.2"/>
    <m/>
  </r>
  <r>
    <n v="2148"/>
    <n v="2025"/>
    <n v="2024"/>
    <s v="Year_2"/>
    <d v="2024-06-19T00:00:00"/>
    <s v="KUD06"/>
    <s v="O2R3"/>
    <s v="JK"/>
    <n v="4.3478260869565223E-2"/>
    <n v="900"/>
    <x v="100"/>
    <s v="Pause pressed on keyboard"/>
    <s v="Manual Stop"/>
    <d v="1899-12-30T12:27:00"/>
    <d v="1899-12-30T12:27:00"/>
    <d v="1899-12-30T12:40:00"/>
    <d v="1899-12-30T00:00:00"/>
    <n v="0.2166666666666659"/>
    <n v="0.2166666666666659"/>
    <s v="Work on hold due to 220KV line trip"/>
    <s v="Close"/>
    <n v="9.4202898550724314E-3"/>
    <n v="1"/>
    <n v="0.41699999999999998"/>
    <m/>
  </r>
  <r>
    <n v="2149"/>
    <n v="2025"/>
    <n v="2024"/>
    <s v="Year_2"/>
    <d v="2024-06-19T00:00:00"/>
    <s v="KUD06"/>
    <s v="O2R3"/>
    <s v="JK"/>
    <n v="4.3478260869565223E-2"/>
    <n v="900"/>
    <x v="100"/>
    <s v="Pause pressed on keyboard"/>
    <s v="Manual Stop"/>
    <d v="1899-12-30T14:15:00"/>
    <d v="1899-12-30T14:15:00"/>
    <d v="1899-12-30T14:27:00"/>
    <d v="1899-12-30T00:00:00"/>
    <n v="0.19999999999999929"/>
    <n v="0.19999999999999929"/>
    <s v="CT6221 malfunctioning so replaced the same"/>
    <s v="Close"/>
    <n v="8.6956521739130141E-3"/>
    <n v="1"/>
    <n v="0.48699999999999999"/>
    <m/>
  </r>
  <r>
    <n v="2150"/>
    <n v="2025"/>
    <n v="2024"/>
    <s v="Year_2"/>
    <d v="2024-06-20T00:00:00"/>
    <s v="KUD08"/>
    <s v="O2R3"/>
    <s v="JK"/>
    <n v="4.3478260869565223E-2"/>
    <n v="5470"/>
    <x v="34"/>
    <s v="GeneratorBreakerFBResponse"/>
    <s v="Breakdown"/>
    <d v="1899-12-30T12:28:00"/>
    <d v="1899-12-30T12:28:00"/>
    <d v="1899-12-30T14:49:00"/>
    <d v="1899-12-30T00:00:00"/>
    <n v="2.3499999999999996"/>
    <n v="2.3499999999999996"/>
    <s v="Breaker settings verified, and replaced under voltage coil"/>
    <s v="Close"/>
    <n v="0.10217391304347825"/>
    <n v="1"/>
    <n v="0.65900000000000003"/>
    <m/>
  </r>
  <r>
    <n v="2151"/>
    <n v="2025"/>
    <n v="2024"/>
    <s v="Year_2"/>
    <d v="2024-06-20T00:00:00"/>
    <s v="KUD10"/>
    <s v="O2R1"/>
    <s v="KSIPL"/>
    <n v="4.3478260869565223E-2"/>
    <n v="136"/>
    <x v="179"/>
    <s v="Asym.currL1:____A,Others:____A"/>
    <s v="Breakdown"/>
    <d v="1899-12-30T11:40:00"/>
    <d v="1899-12-30T11:40:00"/>
    <d v="1899-12-30T11:41:00"/>
    <d v="1899-12-30T00:00:00"/>
    <n v="1.6666666666666607E-2"/>
    <n v="1.6666666666666607E-2"/>
    <s v="Auto reset"/>
    <s v="Close"/>
    <n v="7.246376811594178E-4"/>
    <n v="1"/>
    <n v="0.12"/>
    <m/>
  </r>
  <r>
    <n v="2152"/>
    <n v="2025"/>
    <n v="2024"/>
    <s v="Year_2"/>
    <d v="2024-06-20T00:00:00"/>
    <s v="KUD10"/>
    <s v="O2R1"/>
    <s v="KSIPL"/>
    <n v="4.3478260869565223E-2"/>
    <n v="6293"/>
    <x v="32"/>
    <s v="Pitch valve test active"/>
    <s v="Breakdown"/>
    <d v="1899-12-30T11:42:00"/>
    <d v="1899-12-30T11:42:00"/>
    <d v="1899-12-30T11:46:00"/>
    <d v="1899-12-30T00:00:00"/>
    <n v="6.666666666666643E-2"/>
    <n v="6.666666666666643E-2"/>
    <s v="Turbine self test taken"/>
    <s v="Close"/>
    <n v="2.8985507246376712E-3"/>
    <n v="1"/>
    <n v="0.14199999999999999"/>
    <m/>
  </r>
  <r>
    <n v="2153"/>
    <n v="2025"/>
    <n v="2024"/>
    <s v="Year_2"/>
    <d v="2024-06-20T00:00:00"/>
    <s v="KUD10"/>
    <s v="O2R1"/>
    <s v="KSIPL"/>
    <n v="4.3478260869565223E-2"/>
    <n v="4235"/>
    <x v="93"/>
    <s v="Gen Stator CB Open"/>
    <s v="Breakdown"/>
    <d v="1899-12-30T12:28:00"/>
    <d v="1899-12-30T12:28:00"/>
    <d v="1899-12-30T12:29:00"/>
    <d v="1899-12-30T00:00:00"/>
    <n v="1.6666666666666607E-2"/>
    <n v="1.6666666666666607E-2"/>
    <s v="Auto reset"/>
    <s v="Close"/>
    <n v="7.246376811594178E-4"/>
    <n v="1"/>
    <n v="0.21199999999999999"/>
    <m/>
  </r>
  <r>
    <n v="2154"/>
    <n v="2025"/>
    <n v="2024"/>
    <s v="Year_2"/>
    <d v="2024-06-20T00:00:00"/>
    <s v="KUD10"/>
    <s v="O2R1"/>
    <s v="KSIPL"/>
    <n v="4.3478260869565223E-2"/>
    <n v="6290"/>
    <x v="91"/>
    <s v="Pitch Accu. Test active"/>
    <s v="Breakdown"/>
    <d v="1899-12-30T12:30:00"/>
    <d v="1899-12-30T12:30:00"/>
    <d v="1899-12-30T12:34:00"/>
    <d v="1899-12-30T00:00:00"/>
    <n v="6.666666666666643E-2"/>
    <n v="6.666666666666643E-2"/>
    <s v="Turbine self test taken"/>
    <s v="Close"/>
    <n v="2.8985507246376712E-3"/>
    <n v="1"/>
    <n v="0.191"/>
    <m/>
  </r>
  <r>
    <n v="2155"/>
    <n v="2025"/>
    <n v="2024"/>
    <s v="Year_2"/>
    <d v="2024-06-20T00:00:00"/>
    <s v="KUD10"/>
    <s v="O2R1"/>
    <s v="KSIPL"/>
    <n v="4.3478260869565223E-2"/>
    <n v="5196"/>
    <x v="114"/>
    <s v="Prop Valve B Status Fault"/>
    <s v="Breakdown"/>
    <d v="1899-12-30T18:51:00"/>
    <d v="1899-12-30T18:51:00"/>
    <d v="1899-12-30T19:00:00"/>
    <d v="1899-12-30T00:00:00"/>
    <n v="0.14999999999999947"/>
    <n v="0.14999999999999947"/>
    <s v="Auto reset"/>
    <s v="Close"/>
    <n v="6.5217391304347606E-3"/>
    <n v="1"/>
    <n v="0.11"/>
    <m/>
  </r>
  <r>
    <n v="2156"/>
    <n v="2025"/>
    <n v="2024"/>
    <s v="Year_2"/>
    <d v="2024-06-20T00:00:00"/>
    <s v="KUD15"/>
    <s v="O2R1"/>
    <s v="KSIPL"/>
    <n v="4.3478260869565223E-2"/>
    <n v="4235"/>
    <x v="93"/>
    <s v="Gen Stator CB Open"/>
    <s v="Breakdown"/>
    <d v="1899-12-30T12:27:00"/>
    <d v="1899-12-30T12:27:00"/>
    <d v="1899-12-30T12:28:00"/>
    <d v="1899-12-30T00:00:00"/>
    <n v="1.6666666666666607E-2"/>
    <n v="1.6666666666666607E-2"/>
    <s v="Auto reset"/>
    <s v="Close"/>
    <n v="7.246376811594178E-4"/>
    <n v="1"/>
    <n v="0"/>
    <m/>
  </r>
  <r>
    <n v="2157"/>
    <n v="2025"/>
    <n v="2024"/>
    <s v="Year_2"/>
    <d v="2024-06-20T00:00:00"/>
    <s v="KUD15"/>
    <s v="O2R1"/>
    <s v="KSIPL"/>
    <n v="4.3478260869565223E-2"/>
    <n v="6293"/>
    <x v="32"/>
    <s v="Pitch valve test active"/>
    <s v="Breakdown"/>
    <d v="1899-12-30T12:30:00"/>
    <d v="1899-12-30T12:30:00"/>
    <d v="1899-12-30T12:34:00"/>
    <d v="1899-12-30T00:00:00"/>
    <n v="6.666666666666643E-2"/>
    <n v="6.666666666666643E-2"/>
    <s v="Turbine self test taken"/>
    <s v="Close"/>
    <n v="2.8985507246376712E-3"/>
    <n v="1"/>
    <n v="0"/>
    <m/>
  </r>
  <r>
    <n v="2158"/>
    <n v="2025"/>
    <n v="2024"/>
    <s v="Year_2"/>
    <d v="2024-06-20T00:00:00"/>
    <s v="KUD20"/>
    <s v="O2R1"/>
    <s v="KSIPL"/>
    <n v="4.3478260869565223E-2"/>
    <n v="4235"/>
    <x v="93"/>
    <s v="Gen Stator CB Open"/>
    <s v="Breakdown"/>
    <d v="1899-12-30T12:27:00"/>
    <d v="1899-12-30T12:27:00"/>
    <d v="1899-12-30T12:28:00"/>
    <d v="1899-12-30T00:00:00"/>
    <n v="1.6666666666666607E-2"/>
    <n v="1.6666666666666607E-2"/>
    <s v="Auto reset"/>
    <s v="Close"/>
    <n v="7.246376811594178E-4"/>
    <n v="1"/>
    <n v="0.126"/>
    <m/>
  </r>
  <r>
    <n v="2159"/>
    <n v="2025"/>
    <n v="2024"/>
    <s v="Year_2"/>
    <d v="2024-06-20T00:00:00"/>
    <s v="KUD20"/>
    <s v="O2R1"/>
    <s v="KSIPL"/>
    <n v="4.3478260869565223E-2"/>
    <n v="6293"/>
    <x v="32"/>
    <s v="Pitch valve test active"/>
    <s v="Breakdown"/>
    <d v="1899-12-30T12:30:00"/>
    <d v="1899-12-30T12:30:00"/>
    <d v="1899-12-30T12:34:00"/>
    <d v="1899-12-30T00:00:00"/>
    <n v="6.666666666666643E-2"/>
    <n v="6.666666666666643E-2"/>
    <s v="Turbine self test taken"/>
    <s v="Close"/>
    <n v="2.8985507246376712E-3"/>
    <n v="1"/>
    <n v="0.1"/>
    <m/>
  </r>
  <r>
    <n v="2160"/>
    <n v="2025"/>
    <n v="2024"/>
    <s v="Year_2"/>
    <d v="2024-06-20T00:00:00"/>
    <s v="KUD02"/>
    <s v="O2R3"/>
    <s v="JK"/>
    <n v="4.3478260869565223E-2"/>
    <n v="4519"/>
    <x v="126"/>
    <s v="HubSafty HydrPres  Low DBlk"/>
    <s v="Breakdown"/>
    <d v="1899-12-30T14:04:00"/>
    <d v="1899-12-30T14:04:00"/>
    <d v="1899-12-30T14:05:00"/>
    <d v="1899-12-30T00:00:00"/>
    <n v="1.6666666666666607E-2"/>
    <n v="1.6666666666666607E-2"/>
    <s v="Auto reset"/>
    <s v="Close"/>
    <n v="7.246376811594178E-4"/>
    <n v="1"/>
    <n v="0.151"/>
    <m/>
  </r>
  <r>
    <n v="2161"/>
    <n v="2025"/>
    <n v="2024"/>
    <s v="Year_2"/>
    <d v="2024-06-20T00:00:00"/>
    <s v="KUD02"/>
    <s v="O2R3"/>
    <s v="JK"/>
    <n v="4.3478260869565223E-2"/>
    <n v="4519"/>
    <x v="126"/>
    <s v="HubSafty HydrPres  Low DBlk"/>
    <s v="Breakdown"/>
    <d v="1899-12-30T12:24:00"/>
    <d v="1899-12-30T12:24:00"/>
    <d v="1899-12-30T12:25:00"/>
    <d v="1899-12-30T00:00:00"/>
    <n v="1.6666666666666607E-2"/>
    <n v="1.6666666666666607E-2"/>
    <s v="Auto reset"/>
    <s v="Close"/>
    <n v="7.246376811594178E-4"/>
    <n v="1"/>
    <n v="0.17199999999999999"/>
    <m/>
  </r>
  <r>
    <n v="2162"/>
    <n v="2025"/>
    <n v="2024"/>
    <s v="Year_2"/>
    <d v="2024-06-20T00:00:00"/>
    <s v="KUD02"/>
    <s v="O2R3"/>
    <s v="JK"/>
    <n v="4.3478260869565223E-2"/>
    <n v="6293"/>
    <x v="32"/>
    <s v="Pitch valve test active"/>
    <s v="Breakdown"/>
    <d v="1899-12-30T12:40:00"/>
    <d v="1899-12-30T12:40:00"/>
    <d v="1899-12-30T12:44:00"/>
    <d v="1899-12-30T00:00:00"/>
    <n v="6.666666666666643E-2"/>
    <n v="6.666666666666643E-2"/>
    <s v="Turbine self test taken"/>
    <s v="Close"/>
    <n v="2.8985507246376712E-3"/>
    <n v="1"/>
    <n v="0.13200000000000001"/>
    <m/>
  </r>
  <r>
    <n v="2163"/>
    <n v="2025"/>
    <n v="2024"/>
    <s v="Year_2"/>
    <d v="2024-06-20T00:00:00"/>
    <s v="KUD04"/>
    <s v="O2R3"/>
    <s v="JK"/>
    <n v="4.3478260869565223E-2"/>
    <n v="4235"/>
    <x v="93"/>
    <s v="Gen Stator CB Open"/>
    <s v="Breakdown"/>
    <d v="1899-12-30T12:27:00"/>
    <d v="1899-12-30T12:27:00"/>
    <d v="1899-12-30T12:28:00"/>
    <d v="1899-12-30T00:00:00"/>
    <n v="1.6666666666666607E-2"/>
    <n v="1.6666666666666607E-2"/>
    <s v="Auto reset"/>
    <s v="Close"/>
    <n v="7.246376811594178E-4"/>
    <n v="1"/>
    <n v="0.13800000000000001"/>
    <m/>
  </r>
  <r>
    <n v="2164"/>
    <n v="2025"/>
    <n v="2024"/>
    <s v="Year_2"/>
    <d v="2024-06-20T00:00:00"/>
    <s v="KUD04"/>
    <s v="O2R3"/>
    <s v="JK"/>
    <n v="4.3478260869565223E-2"/>
    <n v="6293"/>
    <x v="32"/>
    <s v="Pitch valve test active"/>
    <s v="Breakdown"/>
    <d v="1899-12-30T12:30:00"/>
    <d v="1899-12-30T12:30:00"/>
    <d v="1899-12-30T12:36:00"/>
    <d v="1899-12-30T00:00:00"/>
    <n v="9.9999999999999645E-2"/>
    <n v="9.9999999999999645E-2"/>
    <s v="Turbine self test taken"/>
    <s v="Close"/>
    <n v="4.347826086956507E-3"/>
    <n v="1"/>
    <n v="0"/>
    <m/>
  </r>
  <r>
    <n v="2165"/>
    <n v="2025"/>
    <n v="2024"/>
    <s v="Year_2"/>
    <d v="2024-06-20T00:00:00"/>
    <s v="KUD06"/>
    <s v="O2R3"/>
    <s v="JK"/>
    <n v="4.3478260869565223E-2"/>
    <n v="3329"/>
    <x v="151"/>
    <s v="DODP Leak Failure"/>
    <s v="Breakdown"/>
    <d v="1899-12-30T13:29:00"/>
    <d v="1899-12-30T13:29:00"/>
    <d v="1899-12-30T13:30:00"/>
    <d v="1899-12-30T00:00:00"/>
    <n v="1.6666666666666607E-2"/>
    <n v="1.6666666666666607E-2"/>
    <s v="Auto reset"/>
    <s v="Close"/>
    <n v="7.246376811594178E-4"/>
    <n v="1"/>
    <n v="0.14899999999999999"/>
    <m/>
  </r>
  <r>
    <n v="2166"/>
    <n v="2025"/>
    <n v="2024"/>
    <s v="Year_2"/>
    <d v="2024-06-20T00:00:00"/>
    <s v="KUD06"/>
    <s v="O2R3"/>
    <s v="JK"/>
    <n v="4.3478260869565223E-2"/>
    <n v="6293"/>
    <x v="32"/>
    <s v="Pitch valve test active"/>
    <s v="Breakdown"/>
    <d v="1899-12-30T13:31:00"/>
    <d v="1899-12-30T13:31:00"/>
    <d v="1899-12-30T13:36:00"/>
    <d v="1899-12-30T00:00:00"/>
    <n v="8.3333333333333037E-2"/>
    <n v="8.3333333333333037E-2"/>
    <s v="Turbine self test taken"/>
    <s v="Close"/>
    <n v="3.6231884057970889E-3"/>
    <n v="1"/>
    <n v="0.21299999999999999"/>
    <m/>
  </r>
  <r>
    <n v="2167"/>
    <n v="2025"/>
    <n v="2024"/>
    <s v="Year_2"/>
    <d v="2024-06-20T00:00:00"/>
    <s v="KUD06"/>
    <s v="O2R3"/>
    <s v="JK"/>
    <n v="4.3478260869565223E-2"/>
    <n v="3329"/>
    <x v="151"/>
    <s v="DODP Leak Failure"/>
    <s v="Breakdown"/>
    <d v="1899-12-30T13:29:00"/>
    <d v="1899-12-30T13:29:00"/>
    <d v="1899-12-30T13:30:00"/>
    <d v="1899-12-30T00:00:00"/>
    <n v="1.6666666666666607E-2"/>
    <n v="1.6666666666666607E-2"/>
    <s v="Auto reset"/>
    <s v="Close"/>
    <n v="7.246376811594178E-4"/>
    <n v="1"/>
    <n v="0.17599999999999999"/>
    <m/>
  </r>
  <r>
    <n v="2168"/>
    <n v="2025"/>
    <n v="2024"/>
    <s v="Year_2"/>
    <d v="2024-06-20T00:00:00"/>
    <s v="KUD06"/>
    <s v="O2R3"/>
    <s v="JK"/>
    <n v="4.3478260869565223E-2"/>
    <n v="6293"/>
    <x v="32"/>
    <s v="Pitch valve test active"/>
    <s v="Breakdown"/>
    <d v="1899-12-30T13:31:00"/>
    <d v="1899-12-30T13:31:00"/>
    <d v="1899-12-30T13:36:00"/>
    <d v="1899-12-30T00:00:00"/>
    <n v="8.3333333333333037E-2"/>
    <n v="8.3333333333333037E-2"/>
    <s v="Turbine self test taken"/>
    <s v="Close"/>
    <n v="3.6231884057970889E-3"/>
    <n v="1"/>
    <n v="0.13600000000000001"/>
    <m/>
  </r>
  <r>
    <n v="2169"/>
    <n v="2025"/>
    <n v="2024"/>
    <s v="Year_2"/>
    <d v="2024-06-20T00:00:00"/>
    <s v="KUD06"/>
    <s v="O2R3"/>
    <s v="JK"/>
    <n v="4.3478260869565223E-2"/>
    <n v="4519"/>
    <x v="126"/>
    <s v="HubSafty HydrPres  Low DBlk"/>
    <s v="Breakdown"/>
    <d v="1899-12-30T14:04:00"/>
    <d v="1899-12-30T14:04:00"/>
    <d v="1899-12-30T14:05:00"/>
    <d v="1899-12-30T00:00:00"/>
    <n v="1.6666666666666607E-2"/>
    <n v="1.6666666666666607E-2"/>
    <s v="Auto reset"/>
    <s v="Close"/>
    <n v="7.246376811594178E-4"/>
    <n v="1"/>
    <n v="0.14299999999999999"/>
    <m/>
  </r>
  <r>
    <n v="2170"/>
    <n v="2025"/>
    <n v="2024"/>
    <s v="Year_2"/>
    <d v="2024-06-20T00:00:00"/>
    <s v="KUD17"/>
    <s v="O2R2"/>
    <s v="SIL"/>
    <n v="4.3478260869565223E-2"/>
    <n v="3806"/>
    <x v="147"/>
    <s v="HubSafetySystem Batt.Charg.Err"/>
    <s v="Breakdown"/>
    <d v="1899-12-30T14:05:00"/>
    <d v="1899-12-30T14:05:00"/>
    <d v="1899-12-30T14:08:00"/>
    <d v="1899-12-30T00:00:00"/>
    <n v="4.9999999999999822E-2"/>
    <n v="4.9999999999999822E-2"/>
    <s v="Auto reset"/>
    <s v="Close"/>
    <n v="2.1739130434782535E-3"/>
    <n v="1"/>
    <n v="0.13200000000000001"/>
    <m/>
  </r>
  <r>
    <n v="2171"/>
    <n v="2025"/>
    <n v="2024"/>
    <s v="Year_2"/>
    <d v="2024-06-20T00:00:00"/>
    <s v="KUD18"/>
    <s v="O2R4"/>
    <s v="SGDCIPL"/>
    <n v="4.3478260869565223E-2"/>
    <n v="4519"/>
    <x v="126"/>
    <s v="HubSafty HydrPres  Low DBlk"/>
    <s v="Breakdown"/>
    <d v="1899-12-30T12:22:00"/>
    <d v="1899-12-30T12:22:00"/>
    <d v="1899-12-30T12:23:00"/>
    <d v="1899-12-30T00:00:00"/>
    <n v="1.6666666666669272E-2"/>
    <n v="1.6666666666669272E-2"/>
    <s v="Auto reset"/>
    <s v="Close"/>
    <n v="7.2463768115953371E-4"/>
    <n v="1"/>
    <n v="0.151"/>
    <m/>
  </r>
  <r>
    <n v="2172"/>
    <n v="2025"/>
    <n v="2024"/>
    <s v="Year_2"/>
    <d v="2024-06-20T00:00:00"/>
    <s v="KUD18"/>
    <s v="O2R4"/>
    <s v="SGDCIPL"/>
    <n v="4.3478260869565223E-2"/>
    <n v="4519"/>
    <x v="126"/>
    <s v="HubSafty HydrPres  Low DBlk"/>
    <s v="Breakdown"/>
    <d v="1899-12-30T14:03:00"/>
    <d v="1899-12-30T14:03:00"/>
    <d v="1899-12-30T14:04:00"/>
    <d v="1899-12-30T00:00:00"/>
    <n v="1.6666666666666607E-2"/>
    <n v="1.6666666666666607E-2"/>
    <s v="Auto reset"/>
    <s v="Close"/>
    <n v="7.246376811594178E-4"/>
    <n v="1"/>
    <n v="0"/>
    <m/>
  </r>
  <r>
    <n v="2173"/>
    <n v="2025"/>
    <n v="2024"/>
    <s v="Year_2"/>
    <d v="2024-06-20T00:00:00"/>
    <s v="KUD22"/>
    <s v="O2R3"/>
    <s v="JK"/>
    <n v="4.3478260869565223E-2"/>
    <n v="4519"/>
    <x v="126"/>
    <s v="HubSafty HydrPres  Low DBlk"/>
    <s v="Breakdown"/>
    <d v="1899-12-30T12:22:00"/>
    <d v="1899-12-30T12:22:00"/>
    <d v="1899-12-30T12:23:00"/>
    <d v="1899-12-30T00:00:00"/>
    <n v="1.6666666666669272E-2"/>
    <n v="1.6666666666669272E-2"/>
    <s v="Auto reset"/>
    <s v="Close"/>
    <n v="7.2463768115953371E-4"/>
    <n v="1"/>
    <n v="0.13200000000000001"/>
    <m/>
  </r>
  <r>
    <n v="2174"/>
    <n v="2025"/>
    <n v="2024"/>
    <s v="Year_2"/>
    <d v="2024-06-20T00:00:00"/>
    <s v="KUD22"/>
    <s v="O2R3"/>
    <s v="JK"/>
    <n v="4.3478260869565223E-2"/>
    <n v="4519"/>
    <x v="126"/>
    <s v="HubSafty HydrPres  Low DBlk"/>
    <s v="Breakdown"/>
    <d v="1899-12-30T16:03:00"/>
    <d v="1899-12-30T16:03:00"/>
    <d v="1899-12-30T16:04:00"/>
    <d v="1899-12-30T00:00:00"/>
    <n v="1.6666666666666607E-2"/>
    <n v="1.6666666666666607E-2"/>
    <s v="Auto reset"/>
    <s v="Close"/>
    <n v="7.246376811594178E-4"/>
    <n v="1"/>
    <n v="0.156"/>
    <m/>
  </r>
  <r>
    <n v="2175"/>
    <n v="2025"/>
    <n v="2024"/>
    <s v="Year_2"/>
    <d v="2024-06-20T00:00:00"/>
    <s v="KUD23"/>
    <s v="O2R3"/>
    <s v="JK"/>
    <n v="4.3478260869565223E-2"/>
    <n v="4519"/>
    <x v="126"/>
    <s v="HubSafty HydrPres  Low DBlk"/>
    <s v="Breakdown"/>
    <d v="1899-12-30T12:22:00"/>
    <d v="1899-12-30T12:22:00"/>
    <d v="1899-12-30T12:23:00"/>
    <d v="1899-12-30T00:00:00"/>
    <n v="1.6666666666669272E-2"/>
    <n v="1.6666666666669272E-2"/>
    <s v="Auto reset"/>
    <s v="Close"/>
    <n v="7.2463768115953371E-4"/>
    <n v="1"/>
    <n v="0.124"/>
    <m/>
  </r>
  <r>
    <n v="2176"/>
    <n v="2025"/>
    <n v="2024"/>
    <s v="Year_2"/>
    <d v="2024-06-20T00:00:00"/>
    <s v="KUD23"/>
    <s v="O2R3"/>
    <s v="JK"/>
    <n v="4.3478260869565223E-2"/>
    <n v="4519"/>
    <x v="126"/>
    <s v="HubSafty HydrPres  Low DBlk"/>
    <s v="Breakdown"/>
    <d v="1899-12-30T16:02:00"/>
    <d v="1899-12-30T16:02:00"/>
    <d v="1899-12-30T16:03:00"/>
    <d v="1899-12-30T00:00:00"/>
    <n v="1.6666666666666607E-2"/>
    <n v="1.6666666666666607E-2"/>
    <s v="Auto reset"/>
    <s v="Close"/>
    <n v="7.246376811594178E-4"/>
    <n v="1"/>
    <n v="0.21099999999999999"/>
    <m/>
  </r>
  <r>
    <n v="2177"/>
    <n v="2025"/>
    <n v="2024"/>
    <s v="Year_2"/>
    <d v="2024-06-21T00:00:00"/>
    <s v="KUD10"/>
    <s v="O2R1"/>
    <s v="KSIPL"/>
    <n v="4.3478260869565223E-2"/>
    <n v="900"/>
    <x v="100"/>
    <s v="Pause pressed on keyboard"/>
    <s v="Manual Stop"/>
    <d v="1899-12-30T15:29:00"/>
    <d v="1899-12-30T15:29:00"/>
    <d v="1899-12-30T20:44:00"/>
    <d v="1899-12-30T00:00:00"/>
    <n v="5.25"/>
    <n v="5.25"/>
    <s v=" interchanged the proportional valve from B blade to C and interchanged the position transducer from B blade to A and replaced the B blade proportional valve supply cable after resetting the turbine ACB breaker tripped, after checking Pilz main module malfunctioned so Pilz general reset done and reseted the breaker started the turbine now the turbine under observation"/>
    <s v="Close"/>
    <n v="0.22826086956521743"/>
    <n v="1"/>
    <n v="9.327"/>
    <m/>
  </r>
  <r>
    <n v="2178"/>
    <n v="2025"/>
    <n v="2024"/>
    <s v="Year_2"/>
    <d v="2024-06-21T00:00:00"/>
    <s v="KUD02"/>
    <s v="O2R3"/>
    <s v="JK"/>
    <n v="4.3478260869565223E-2"/>
    <n v="4519"/>
    <x v="126"/>
    <s v="HubSafty HydrPres  Low DBlk"/>
    <s v="Breakdown"/>
    <d v="1899-12-30T23:15:00"/>
    <d v="1899-12-30T23:15:00"/>
    <d v="1899-12-30T23:16:00"/>
    <d v="1899-12-30T00:00:00"/>
    <n v="1.6666666666666607E-2"/>
    <n v="1.6666666666666607E-2"/>
    <s v="Auto reset"/>
    <s v="Close"/>
    <n v="7.246376811594178E-4"/>
    <n v="1"/>
    <n v="0"/>
    <m/>
  </r>
  <r>
    <n v="2179"/>
    <n v="2025"/>
    <n v="2024"/>
    <s v="Year_2"/>
    <d v="2024-06-21T00:00:00"/>
    <s v="KUD04"/>
    <s v="O2R3"/>
    <s v="JK"/>
    <n v="4.3478260869565223E-2"/>
    <n v="6293"/>
    <x v="32"/>
    <s v="Pitch valve test active"/>
    <s v="Breakdown"/>
    <d v="1899-12-30T21:29:00"/>
    <d v="1899-12-30T21:29:00"/>
    <d v="1899-12-30T21:36:00"/>
    <d v="1899-12-30T00:00:00"/>
    <n v="0.11666666666666625"/>
    <n v="0.11666666666666625"/>
    <s v="Turbine self test taken"/>
    <s v="Close"/>
    <n v="5.0724637681159243E-3"/>
    <n v="1"/>
    <n v="0.251"/>
    <m/>
  </r>
  <r>
    <n v="2180"/>
    <n v="2025"/>
    <n v="2024"/>
    <s v="Year_2"/>
    <d v="2024-06-21T00:00:00"/>
    <s v="KUD05"/>
    <s v="O2R3"/>
    <s v="JK"/>
    <n v="4.3478260869565223E-2"/>
    <n v="6293"/>
    <x v="32"/>
    <s v="Pitch valve test active"/>
    <s v="Breakdown"/>
    <d v="1899-12-30T21:30:00"/>
    <d v="1899-12-30T21:30:00"/>
    <d v="1899-12-30T21:37:00"/>
    <d v="1899-12-30T00:00:00"/>
    <n v="0.11666666666666625"/>
    <n v="0.11666666666666625"/>
    <s v="Turbine self test taken"/>
    <s v="Close"/>
    <n v="5.0724637681159243E-3"/>
    <n v="1"/>
    <n v="0"/>
    <m/>
  </r>
  <r>
    <n v="2181"/>
    <n v="2025"/>
    <n v="2024"/>
    <s v="Year_2"/>
    <d v="2024-06-21T00:00:00"/>
    <s v="KUD07"/>
    <s v="O2R3"/>
    <s v="JK"/>
    <n v="4.3478260869565223E-2"/>
    <n v="4235"/>
    <x v="93"/>
    <s v="Gen Stator CB Open"/>
    <s v="Breakdown"/>
    <d v="1899-12-30T14:47:00"/>
    <d v="1899-12-30T14:47:00"/>
    <d v="1899-12-30T14:48:00"/>
    <d v="1899-12-30T00:00:00"/>
    <n v="1.6666666666666607E-2"/>
    <n v="1.6666666666666607E-2"/>
    <s v="Auto reset"/>
    <s v="Close"/>
    <n v="7.246376811594178E-4"/>
    <n v="1"/>
    <n v="0"/>
    <m/>
  </r>
  <r>
    <n v="2182"/>
    <n v="2025"/>
    <n v="2024"/>
    <s v="Year_2"/>
    <d v="2024-06-21T00:00:00"/>
    <s v="KUD07"/>
    <s v="O2R3"/>
    <s v="JK"/>
    <n v="4.3478260869565223E-2"/>
    <n v="6293"/>
    <x v="32"/>
    <s v="Pitch valve test active"/>
    <s v="Breakdown"/>
    <d v="1899-12-30T14:49:00"/>
    <d v="1899-12-30T14:49:00"/>
    <d v="1899-12-30T14:54:00"/>
    <d v="1899-12-30T00:00:00"/>
    <n v="8.3333333333333037E-2"/>
    <n v="8.3333333333333037E-2"/>
    <s v="Turbine self test taken"/>
    <s v="Close"/>
    <n v="3.6231884057970889E-3"/>
    <n v="1"/>
    <n v="0.01"/>
    <m/>
  </r>
  <r>
    <n v="2183"/>
    <n v="2025"/>
    <n v="2024"/>
    <s v="Year_2"/>
    <d v="2024-06-21T00:00:00"/>
    <s v="KUD06"/>
    <s v="O2R3"/>
    <s v="JK"/>
    <n v="4.3478260869565223E-2"/>
    <n v="3298"/>
    <x v="47"/>
    <s v="Yaw To Cable Twist Reset"/>
    <s v="Breakdown"/>
    <d v="1899-12-30T01:26:00"/>
    <d v="1899-12-30T01:26:00"/>
    <d v="1899-12-30T01:37:00"/>
    <d v="1899-12-30T00:00:00"/>
    <n v="0.18333333333333318"/>
    <n v="0.18333333333333318"/>
    <s v="Turbine self cable untwist"/>
    <s v="Close"/>
    <n v="7.9710144927536176E-3"/>
    <n v="1"/>
    <n v="0.107"/>
    <m/>
  </r>
  <r>
    <n v="2184"/>
    <n v="2025"/>
    <n v="2024"/>
    <s v="Year_2"/>
    <d v="2024-06-21T00:00:00"/>
    <s v="KUD16"/>
    <s v="O2R2"/>
    <s v="SIL"/>
    <n v="4.3478260869565223E-2"/>
    <n v="4235"/>
    <x v="93"/>
    <s v="Gen Stator CB Open"/>
    <s v="Breakdown"/>
    <d v="1899-12-30T14:47:00"/>
    <d v="1899-12-30T14:47:00"/>
    <d v="1899-12-30T14:48:00"/>
    <d v="1899-12-30T00:00:00"/>
    <n v="1.6666666666666607E-2"/>
    <n v="1.6666666666666607E-2"/>
    <s v="Auto reset"/>
    <s v="Close"/>
    <n v="7.246376811594178E-4"/>
    <n v="1"/>
    <m/>
    <m/>
  </r>
  <r>
    <n v="2185"/>
    <n v="2025"/>
    <n v="2024"/>
    <s v="Year_2"/>
    <d v="2024-06-21T00:00:00"/>
    <s v="KUD16"/>
    <s v="O2R2"/>
    <s v="SIL"/>
    <n v="4.3478260869565223E-2"/>
    <n v="6293"/>
    <x v="32"/>
    <s v="Pitch valve test active"/>
    <s v="Breakdown"/>
    <d v="1899-12-30T14:49:00"/>
    <d v="1899-12-30T14:49:00"/>
    <d v="1899-12-30T14:54:00"/>
    <d v="1899-12-30T00:00:00"/>
    <n v="8.3333333333333037E-2"/>
    <n v="8.3333333333333037E-2"/>
    <s v="Turbine self test taken"/>
    <s v="Close"/>
    <n v="3.6231884057970889E-3"/>
    <n v="1"/>
    <m/>
    <m/>
  </r>
  <r>
    <n v="2186"/>
    <n v="2025"/>
    <n v="2024"/>
    <s v="Year_2"/>
    <d v="2024-06-21T00:00:00"/>
    <s v="KUD17"/>
    <s v="O2R2"/>
    <s v="SIL"/>
    <n v="4.3478260869565223E-2"/>
    <n v="6293"/>
    <x v="32"/>
    <s v="Pitch valve test active"/>
    <s v="Breakdown"/>
    <d v="1899-12-30T21:30:00"/>
    <d v="1899-12-30T21:30:00"/>
    <d v="1899-12-30T21:36:00"/>
    <d v="1899-12-30T00:00:00"/>
    <n v="9.9999999999999645E-2"/>
    <n v="9.9999999999999645E-2"/>
    <s v="Turbine self test taken"/>
    <s v="Close"/>
    <n v="4.347826086956507E-3"/>
    <n v="1"/>
    <m/>
    <m/>
  </r>
  <r>
    <n v="2187"/>
    <n v="2025"/>
    <n v="2024"/>
    <s v="Year_2"/>
    <d v="2024-06-22T00:00:00"/>
    <s v="KUD01"/>
    <s v="O2R1"/>
    <s v="KSIPL"/>
    <n v="4.3478260869565223E-2"/>
    <n v="453"/>
    <x v="136"/>
    <s v="Ext. High I sum Rotinv.ChanX"/>
    <s v="Breakdown"/>
    <d v="1899-12-30T05:29:00"/>
    <d v="1899-12-30T05:29:00"/>
    <d v="1899-12-30T05:31:00"/>
    <d v="1899-12-30T00:00:00"/>
    <n v="3.3333333333333215E-2"/>
    <n v="3.3333333333333215E-2"/>
    <s v="Auto reset"/>
    <s v="Close"/>
    <n v="1.4492753623188356E-3"/>
    <n v="1"/>
    <n v="0.24"/>
    <m/>
  </r>
  <r>
    <n v="2188"/>
    <n v="2025"/>
    <n v="2024"/>
    <s v="Year_2"/>
    <d v="2024-06-22T00:00:00"/>
    <s v="KUD01"/>
    <s v="O2R1"/>
    <s v="KSIPL"/>
    <n v="4.3478260869565223E-2"/>
    <n v="6290"/>
    <x v="91"/>
    <s v="Pitch Accu. Test active"/>
    <s v="Breakdown"/>
    <d v="1899-12-30T05:32:00"/>
    <d v="1899-12-30T05:32:00"/>
    <d v="1899-12-30T05:37:00"/>
    <d v="1899-12-30T00:00:00"/>
    <n v="8.3333333333333037E-2"/>
    <n v="8.3333333333333037E-2"/>
    <s v="Turbine self test taken"/>
    <s v="Close"/>
    <n v="3.6231884057970889E-3"/>
    <n v="1"/>
    <n v="0"/>
    <m/>
  </r>
  <r>
    <n v="2189"/>
    <n v="2025"/>
    <n v="2024"/>
    <s v="Year_2"/>
    <d v="2024-06-22T00:00:00"/>
    <s v="KUD01"/>
    <s v="O2R1"/>
    <s v="KSIPL"/>
    <n v="4.3478260869565223E-2"/>
    <n v="450"/>
    <x v="127"/>
    <s v="Ext. High I sum Grd inv."/>
    <s v="Breakdown"/>
    <d v="1899-12-30T14:48:00"/>
    <d v="1899-12-30T14:48:00"/>
    <d v="1899-12-30T14:50:00"/>
    <d v="1899-12-30T00:00:00"/>
    <n v="3.3333333333333215E-2"/>
    <n v="3.3333333333333215E-2"/>
    <s v="Auto reset"/>
    <s v="Close"/>
    <n v="1.4492753623188356E-3"/>
    <n v="1"/>
    <n v="0.28899999999999998"/>
    <m/>
  </r>
  <r>
    <n v="2190"/>
    <n v="2025"/>
    <n v="2024"/>
    <s v="Year_2"/>
    <d v="2024-06-22T00:00:00"/>
    <s v="KUD01"/>
    <s v="O2R1"/>
    <s v="KSIPL"/>
    <n v="4.3478260869565223E-2"/>
    <n v="6293"/>
    <x v="32"/>
    <s v="Pitch valves test acitve"/>
    <s v="Breakdown"/>
    <d v="1899-12-30T14:51:00"/>
    <d v="1899-12-30T14:51:00"/>
    <d v="1899-12-30T14:56:00"/>
    <d v="1899-12-30T00:00:00"/>
    <n v="8.3333333333333037E-2"/>
    <n v="8.3333333333333037E-2"/>
    <s v="Turbine self test taken"/>
    <s v="Close"/>
    <n v="3.6231884057970889E-3"/>
    <n v="1"/>
    <n v="0"/>
    <m/>
  </r>
  <r>
    <n v="2191"/>
    <n v="2025"/>
    <n v="2024"/>
    <s v="Year_2"/>
    <d v="2024-06-22T00:00:00"/>
    <s v="KUD01"/>
    <s v="O2R1"/>
    <s v="KSIPL"/>
    <n v="4.3478260869565223E-2"/>
    <n v="453"/>
    <x v="136"/>
    <s v="Ext. High I sum Rotinv.ChanX"/>
    <s v="Breakdown"/>
    <d v="1899-12-30T14:59:00"/>
    <d v="1899-12-30T14:59:00"/>
    <d v="1899-12-30T15:00:00"/>
    <d v="1899-12-30T00:00:00"/>
    <n v="1.6666666666666607E-2"/>
    <n v="1.6666666666666607E-2"/>
    <s v="Auto reset"/>
    <s v="Close"/>
    <n v="7.246376811594178E-4"/>
    <n v="1"/>
    <n v="0"/>
    <m/>
  </r>
  <r>
    <n v="2192"/>
    <n v="2025"/>
    <n v="2024"/>
    <s v="Year_2"/>
    <d v="2024-06-23T00:00:00"/>
    <s v="KUD02"/>
    <s v="O2R3"/>
    <s v="JK"/>
    <n v="4.3478260869565223E-2"/>
    <n v="4519"/>
    <x v="126"/>
    <s v="HubSafty HydrPres  Low DBlk"/>
    <s v="Breakdown"/>
    <d v="1899-12-30T20:43:00"/>
    <d v="1899-12-30T20:43:00"/>
    <d v="1899-12-30T20:44:00"/>
    <d v="1899-12-30T00:00:00"/>
    <n v="1.6666666666666607E-2"/>
    <n v="1.6666666666666607E-2"/>
    <s v="Auto reset"/>
    <s v="Close"/>
    <n v="7.246376811594178E-4"/>
    <n v="1"/>
    <n v="0.156"/>
    <m/>
  </r>
  <r>
    <n v="2193"/>
    <n v="2025"/>
    <n v="2024"/>
    <s v="Year_2"/>
    <d v="2024-06-23T00:00:00"/>
    <s v="KUD02"/>
    <s v="O2R3"/>
    <s v="JK"/>
    <n v="4.3478260869565223E-2"/>
    <n v="6290"/>
    <x v="91"/>
    <s v="Pitch Accu. Test active"/>
    <s v="Breakdown"/>
    <d v="1899-12-30T20:45:00"/>
    <d v="1899-12-30T20:45:00"/>
    <d v="1899-12-30T20:49:00"/>
    <d v="1899-12-30T00:00:00"/>
    <n v="6.666666666666643E-2"/>
    <n v="6.666666666666643E-2"/>
    <s v="Turbine self test taken"/>
    <s v="Close"/>
    <n v="2.8985507246376712E-3"/>
    <n v="1"/>
    <n v="0.128"/>
    <m/>
  </r>
  <r>
    <n v="2194"/>
    <n v="2025"/>
    <n v="2024"/>
    <s v="Year_2"/>
    <d v="2024-06-23T00:00:00"/>
    <s v="KUD06"/>
    <s v="O2R3"/>
    <s v="JK"/>
    <n v="4.3478260869565223E-2"/>
    <n v="900"/>
    <x v="100"/>
    <s v="Pause pressed on keyboard"/>
    <s v="Manual Stop"/>
    <d v="1899-12-30T12:00:00"/>
    <d v="1899-12-30T12:00:00"/>
    <d v="1899-12-30T19:33:00"/>
    <d v="1899-12-30T00:00:00"/>
    <n v="7.55"/>
    <n v="7.55"/>
    <s v="Gear oil temp CT6221 replaced and PT100 sensor replaced"/>
    <s v="Close"/>
    <n v="0.32826086956521744"/>
    <n v="1"/>
    <n v="9.6419999999999995"/>
    <m/>
  </r>
  <r>
    <n v="2195"/>
    <n v="2025"/>
    <n v="2024"/>
    <s v="Year_2"/>
    <d v="2024-06-23T00:00:00"/>
    <s v="KUD04"/>
    <s v="O2R3"/>
    <s v="JK"/>
    <n v="4.3478260869565223E-2"/>
    <n v="3175"/>
    <x v="180"/>
    <s v="HydrOilExtremeHighTemp_____°C"/>
    <s v="Breakdown"/>
    <d v="1899-12-30T03:52:00"/>
    <d v="1899-12-30T03:52:00"/>
    <d v="1899-12-30T04:49:00"/>
    <d v="1899-12-30T00:00:00"/>
    <n v="0.95"/>
    <n v="0.95"/>
    <s v="Auto reset"/>
    <s v="Close"/>
    <n v="4.1304347826086961E-2"/>
    <n v="1"/>
    <n v="0.53300000000000003"/>
    <m/>
  </r>
  <r>
    <n v="2196"/>
    <n v="2025"/>
    <n v="2024"/>
    <s v="Year_2"/>
    <d v="2024-06-24T00:00:00"/>
    <s v="KUD02"/>
    <s v="O2R3"/>
    <s v="JK"/>
    <n v="4.3478260869565223E-2"/>
    <n v="6293"/>
    <x v="32"/>
    <s v="Pitch valves test acitve"/>
    <s v="Breakdown"/>
    <d v="1899-12-30T06:03:00"/>
    <d v="1899-12-30T06:03:00"/>
    <d v="1899-12-30T06:10:00"/>
    <d v="1899-12-30T00:00:00"/>
    <n v="0.11666666666666625"/>
    <n v="0.11666666666666625"/>
    <s v="Turbine self test taken"/>
    <s v="Close"/>
    <n v="5.0724637681159243E-3"/>
    <n v="1"/>
    <n v="0.21"/>
    <m/>
  </r>
  <r>
    <n v="2197"/>
    <n v="2025"/>
    <n v="2024"/>
    <s v="Year_2"/>
    <d v="2024-06-24T00:00:00"/>
    <s v="KUD04"/>
    <s v="O2R3"/>
    <s v="JK"/>
    <n v="4.3478260869565223E-2"/>
    <n v="6293"/>
    <x v="32"/>
    <s v="Pitch valves test acitve"/>
    <s v="Breakdown"/>
    <d v="1899-12-30T06:02:00"/>
    <d v="1899-12-30T06:02:00"/>
    <d v="1899-12-30T06:09:00"/>
    <d v="1899-12-30T00:00:00"/>
    <n v="0.11666666666666625"/>
    <n v="0.11666666666666625"/>
    <s v="Turbine self test taken"/>
    <s v="Close"/>
    <n v="5.0724637681159243E-3"/>
    <n v="1"/>
    <n v="0.23699999999999999"/>
    <m/>
  </r>
  <r>
    <n v="2198"/>
    <n v="2025"/>
    <n v="2024"/>
    <s v="Year_2"/>
    <d v="2024-06-24T00:00:00"/>
    <s v="KUD04"/>
    <s v="O2R3"/>
    <s v="JK"/>
    <n v="4.3478260869565223E-2"/>
    <n v="3175"/>
    <x v="180"/>
    <s v="HydrOilExtremeHighTemp_____°C"/>
    <s v="Breakdown"/>
    <d v="1899-12-30T13:23:00"/>
    <d v="1899-12-30T13:23:00"/>
    <d v="1899-12-30T16:44:00"/>
    <d v="1899-12-30T00:00:00"/>
    <n v="3.3499999999999988"/>
    <n v="3.3499999999999988"/>
    <s v="Checked related connections and modules found Hyd oil level sensor malfunctioning, same is replaced and started the turbine"/>
    <s v="Close"/>
    <n v="0.14565217391304344"/>
    <n v="1"/>
    <n v="6.3250000000000002"/>
    <m/>
  </r>
  <r>
    <n v="2199"/>
    <n v="2025"/>
    <n v="2024"/>
    <s v="Year_2"/>
    <d v="2024-06-24T00:00:00"/>
    <s v="KUD05"/>
    <s v="O2R3"/>
    <s v="JK"/>
    <n v="4.3478260869565223E-2"/>
    <n v="6293"/>
    <x v="32"/>
    <s v="Pitch valves test acitve"/>
    <s v="Breakdown"/>
    <d v="1899-12-30T06:03:00"/>
    <d v="1899-12-30T06:03:00"/>
    <d v="1899-12-30T06:06:00"/>
    <d v="1899-12-30T00:00:00"/>
    <n v="4.9999999999999822E-2"/>
    <n v="4.9999999999999822E-2"/>
    <s v="Turbine self test taken"/>
    <s v="Close"/>
    <n v="2.1739130434782535E-3"/>
    <n v="1"/>
    <n v="0.28100000000000003"/>
    <m/>
  </r>
  <r>
    <n v="2200"/>
    <n v="2025"/>
    <n v="2024"/>
    <s v="Year_2"/>
    <d v="2024-06-24T00:00:00"/>
    <s v="KUD06"/>
    <s v="O2R3"/>
    <s v="JK"/>
    <n v="4.3478260869565223E-2"/>
    <n v="900"/>
    <x v="100"/>
    <s v="Pause pressed on keyboard"/>
    <s v="Manual Stop"/>
    <d v="1899-12-30T17:26:00"/>
    <d v="1899-12-30T17:26:00"/>
    <d v="1899-12-30T18:01:00"/>
    <d v="1899-12-30T00:00:00"/>
    <n v="0.58333333333333393"/>
    <n v="0.58333333333333393"/>
    <s v="VCS fan replaced"/>
    <s v="Close"/>
    <n v="2.536231884057974E-2"/>
    <n v="1"/>
    <n v="0.31"/>
    <m/>
  </r>
  <r>
    <n v="2201"/>
    <n v="2025"/>
    <n v="2024"/>
    <s v="Year_2"/>
    <d v="2024-06-24T00:00:00"/>
    <s v="KUD22"/>
    <s v="O2R3"/>
    <s v="JK"/>
    <n v="4.3478260869565223E-2"/>
    <n v="3329"/>
    <x v="151"/>
    <s v="DODP Leak Failure"/>
    <s v="Breakdown"/>
    <d v="1899-12-30T06:04:00"/>
    <d v="1899-12-30T06:04:00"/>
    <d v="1899-12-30T06:05:00"/>
    <d v="1899-12-30T00:00:00"/>
    <n v="1.6666666666666607E-2"/>
    <n v="1.6666666666666607E-2"/>
    <s v="Auto reset"/>
    <s v="Close"/>
    <n v="7.246376811594178E-4"/>
    <n v="1"/>
    <n v="1.752"/>
    <m/>
  </r>
  <r>
    <n v="2202"/>
    <n v="2025"/>
    <n v="2024"/>
    <s v="Year_2"/>
    <d v="2024-06-24T00:00:00"/>
    <s v="KUD22"/>
    <s v="O2R3"/>
    <s v="JK"/>
    <n v="4.3478260869565223E-2"/>
    <n v="6293"/>
    <x v="32"/>
    <s v="Pitch valves test acitve"/>
    <s v="Breakdown"/>
    <d v="1899-12-30T06:06:00"/>
    <d v="1899-12-30T06:06:00"/>
    <d v="1899-12-30T06:12:00"/>
    <d v="1899-12-30T00:00:00"/>
    <n v="0.10000000000000098"/>
    <n v="0.10000000000000098"/>
    <s v="Turbine self test taken"/>
    <s v="Close"/>
    <n v="4.3478260869565652E-3"/>
    <n v="1"/>
    <n v="0"/>
    <m/>
  </r>
  <r>
    <n v="2203"/>
    <n v="2025"/>
    <n v="2024"/>
    <s v="Year_2"/>
    <d v="2024-06-25T00:00:00"/>
    <s v="KUD01"/>
    <s v="O2R1"/>
    <s v="KSIPL"/>
    <n v="4.3478260869565223E-2"/>
    <n v="453"/>
    <x v="136"/>
    <s v="Ext. High I sum Rotinv.ChanX"/>
    <s v="Breakdown"/>
    <d v="1899-12-30T12:34:00"/>
    <d v="1899-12-30T12:34:00"/>
    <d v="1899-12-30T12:35:00"/>
    <d v="1899-12-30T00:00:00"/>
    <n v="1.6666666666666607E-2"/>
    <n v="1.6666666666666607E-2"/>
    <s v="Auto reset"/>
    <s v="Close"/>
    <n v="7.246376811594178E-4"/>
    <n v="1"/>
    <n v="0.46200000000000002"/>
    <m/>
  </r>
  <r>
    <n v="2204"/>
    <n v="2025"/>
    <n v="2024"/>
    <s v="Year_2"/>
    <d v="2024-06-25T00:00:00"/>
    <s v="KUD01"/>
    <s v="O2R1"/>
    <s v="KSIPL"/>
    <n v="4.3478260869565223E-2"/>
    <n v="6293"/>
    <x v="32"/>
    <s v="Pitch valves test acitve"/>
    <s v="Breakdown"/>
    <d v="1899-12-30T12:36:00"/>
    <d v="1899-12-30T12:36:00"/>
    <d v="1899-12-30T12:41:00"/>
    <d v="1899-12-30T00:00:00"/>
    <n v="8.3333333333333037E-2"/>
    <n v="8.3333333333333037E-2"/>
    <s v="Turbine self test taken"/>
    <s v="Close"/>
    <n v="3.6231884057970889E-3"/>
    <n v="1"/>
    <n v="0"/>
    <m/>
  </r>
  <r>
    <n v="2205"/>
    <n v="2025"/>
    <n v="2024"/>
    <s v="Year_2"/>
    <d v="2024-06-25T00:00:00"/>
    <s v="KUD08"/>
    <s v="O2R3"/>
    <s v="JK"/>
    <n v="4.3478260869565223E-2"/>
    <n v="3661"/>
    <x v="116"/>
    <s v="GenBreakerOpen,US12___UL12___"/>
    <s v="Breakdown"/>
    <d v="1899-12-30T13:20:00"/>
    <d v="1899-12-30T13:20:00"/>
    <d v="1899-12-30T16:49:00"/>
    <d v="1899-12-30T00:00:00"/>
    <n v="3.4833333333333316"/>
    <n v="3.4833333333333316"/>
    <s v="Related circuit checked found there is no supply to under voltage coil and after checking loose connection in Pilz main module and same is rectified and started the turbine"/>
    <s v="Close"/>
    <n v="0.15144927536231878"/>
    <n v="1"/>
    <n v="0.28100000000000003"/>
    <m/>
  </r>
  <r>
    <n v="2206"/>
    <n v="2025"/>
    <n v="2024"/>
    <s v="Year_2"/>
    <d v="2024-06-25T00:00:00"/>
    <s v="KUD11"/>
    <s v="O2R1"/>
    <s v="KSIPL"/>
    <n v="4.3478260869565223E-2"/>
    <n v="453"/>
    <x v="136"/>
    <s v="Ext. High I sum Rotinv.ChanX"/>
    <s v="Breakdown"/>
    <d v="1899-12-30T12:56:00"/>
    <d v="1899-12-30T12:56:00"/>
    <d v="1899-12-30T12:58:00"/>
    <d v="1899-12-30T00:00:00"/>
    <n v="3.3333333333333215E-2"/>
    <n v="3.3333333333333215E-2"/>
    <s v="Auto reset"/>
    <s v="Close"/>
    <n v="1.4492753623188356E-3"/>
    <n v="1"/>
    <n v="0.216"/>
    <m/>
  </r>
  <r>
    <n v="2207"/>
    <n v="2025"/>
    <n v="2024"/>
    <s v="Year_2"/>
    <d v="2024-06-25T00:00:00"/>
    <s v="KUD11"/>
    <s v="O2R1"/>
    <s v="KSIPL"/>
    <n v="4.3478260869565223E-2"/>
    <n v="6290"/>
    <x v="91"/>
    <s v="Pitch Accu. Test active"/>
    <s v="Breakdown"/>
    <d v="1899-12-30T12:58:00"/>
    <d v="1899-12-30T12:58:00"/>
    <d v="1899-12-30T13:04:00"/>
    <d v="1899-12-30T00:00:00"/>
    <n v="9.9999999999999645E-2"/>
    <n v="9.9999999999999645E-2"/>
    <s v="Turbine self test taken"/>
    <s v="Close"/>
    <n v="4.347826086956507E-3"/>
    <n v="1"/>
    <n v="0.19800000000000001"/>
    <m/>
  </r>
  <r>
    <n v="2208"/>
    <n v="2025"/>
    <n v="2024"/>
    <s v="Year_2"/>
    <d v="2024-06-26T00:00:00"/>
    <s v="KUD01"/>
    <s v="O2R1"/>
    <s v="KSIPL"/>
    <n v="4.3478260869565223E-2"/>
    <n v="3806"/>
    <x v="147"/>
    <s v="HubSafetySystem Batt.Charg.Err"/>
    <s v="Breakdown"/>
    <d v="1899-12-30T12:52:00"/>
    <d v="1899-12-30T12:52:00"/>
    <d v="1899-12-30T13:01:00"/>
    <d v="1899-12-30T00:00:00"/>
    <n v="0.14999999999999947"/>
    <n v="0.14999999999999947"/>
    <s v="Auto reset"/>
    <s v="Close"/>
    <n v="6.5217391304347606E-3"/>
    <n v="1"/>
    <n v="0.1"/>
    <m/>
  </r>
  <r>
    <n v="2209"/>
    <n v="2025"/>
    <n v="2024"/>
    <s v="Year_2"/>
    <d v="2024-06-26T00:00:00"/>
    <s v="KUD03"/>
    <s v="O2R1"/>
    <s v="KSIPL"/>
    <n v="4.3478260869565223E-2"/>
    <n v="3806"/>
    <x v="147"/>
    <s v="HubSafetySystem Batt.Charg.Err"/>
    <s v="Breakdown"/>
    <d v="1899-12-30T12:52:00"/>
    <d v="1899-12-30T12:52:00"/>
    <d v="1899-12-30T12:55:00"/>
    <d v="1899-12-30T00:00:00"/>
    <n v="4.9999999999999822E-2"/>
    <n v="4.9999999999999822E-2"/>
    <s v="Auto reset"/>
    <s v="Close"/>
    <n v="2.1739130434782535E-3"/>
    <n v="1"/>
    <n v="0"/>
    <m/>
  </r>
  <r>
    <n v="2210"/>
    <n v="2025"/>
    <n v="2024"/>
    <s v="Year_2"/>
    <d v="2024-06-26T00:00:00"/>
    <s v="KUD08"/>
    <s v="O2R3"/>
    <s v="JK"/>
    <n v="4.3478260869565223E-2"/>
    <n v="4235"/>
    <x v="93"/>
    <s v="Gen Stator CB Open"/>
    <s v="Breakdown"/>
    <d v="1899-12-30T12:57:00"/>
    <d v="1899-12-30T12:57:00"/>
    <d v="1899-12-30T12:58:00"/>
    <d v="1899-12-30T00:00:00"/>
    <n v="1.6666666666666607E-2"/>
    <n v="1.6666666666666607E-2"/>
    <s v="Auto reset"/>
    <s v="Close"/>
    <n v="7.246376811594178E-4"/>
    <n v="1"/>
    <n v="0"/>
    <m/>
  </r>
  <r>
    <n v="2211"/>
    <n v="2025"/>
    <n v="2024"/>
    <s v="Year_2"/>
    <d v="2024-06-26T00:00:00"/>
    <s v="KUD08"/>
    <s v="O2R3"/>
    <s v="JK"/>
    <n v="4.3478260869565223E-2"/>
    <n v="6293"/>
    <x v="32"/>
    <s v="Pitch valves test acitve"/>
    <s v="Breakdown"/>
    <d v="1899-12-30T12:59:00"/>
    <d v="1899-12-30T12:59:00"/>
    <d v="1899-12-30T13:04:00"/>
    <d v="1899-12-30T00:00:00"/>
    <n v="8.3333333333333037E-2"/>
    <n v="8.3333333333333037E-2"/>
    <s v="Turbine self test taken"/>
    <s v="Close"/>
    <n v="3.6231884057970889E-3"/>
    <n v="1"/>
    <n v="0"/>
    <m/>
  </r>
  <r>
    <n v="2212"/>
    <n v="2025"/>
    <n v="2024"/>
    <s v="Year_2"/>
    <d v="2024-06-26T00:00:00"/>
    <s v="KUD08"/>
    <s v="O2R3"/>
    <s v="JK"/>
    <n v="4.3478260869565223E-2"/>
    <n v="5472"/>
    <x v="42"/>
    <s v="GeneratorBreakerUnexpectedFb"/>
    <s v="Breakdown"/>
    <d v="1899-12-30T17:45:00"/>
    <d v="1899-12-30T17:45:00"/>
    <d v="1899-12-30T19:08:00"/>
    <d v="1899-12-30T00:00:00"/>
    <n v="1.3833333333333337"/>
    <n v="1.3833333333333337"/>
    <s v="found under voltage coil failure, replaced the same started the turbine"/>
    <s v="Close"/>
    <n v="6.0144927536231907E-2"/>
    <n v="1"/>
    <n v="3.38"/>
    <m/>
  </r>
  <r>
    <n v="2213"/>
    <n v="2025"/>
    <n v="2024"/>
    <s v="Year_2"/>
    <d v="2024-06-26T00:00:00"/>
    <s v="KUD10"/>
    <s v="O2R1"/>
    <s v="KSIPL"/>
    <n v="4.3478260869565223E-2"/>
    <n v="4235"/>
    <x v="93"/>
    <s v="Gen Stator CB Open"/>
    <s v="Breakdown"/>
    <d v="1899-12-30T12:55:00"/>
    <d v="1899-12-30T12:55:00"/>
    <d v="1899-12-30T12:56:00"/>
    <d v="1899-12-30T00:00:00"/>
    <n v="1.6666666666666607E-2"/>
    <n v="1.6666666666666607E-2"/>
    <s v="Auto reset"/>
    <s v="Close"/>
    <n v="7.246376811594178E-4"/>
    <n v="1"/>
    <n v="0"/>
    <m/>
  </r>
  <r>
    <n v="2214"/>
    <n v="2025"/>
    <n v="2024"/>
    <s v="Year_2"/>
    <d v="2024-06-26T00:00:00"/>
    <s v="KUD10"/>
    <s v="O2R1"/>
    <s v="KSIPL"/>
    <n v="4.3478260869565223E-2"/>
    <n v="6293"/>
    <x v="32"/>
    <s v="Pitch valves test acitve"/>
    <s v="Breakdown"/>
    <d v="1899-12-30T12:56:00"/>
    <d v="1899-12-30T12:56:00"/>
    <d v="1899-12-30T13:03:00"/>
    <d v="1899-12-30T00:00:00"/>
    <n v="0.11666666666666625"/>
    <n v="0.11666666666666625"/>
    <s v="Auto reset"/>
    <s v="Close"/>
    <n v="5.0724637681159243E-3"/>
    <n v="1"/>
    <n v="0"/>
    <m/>
  </r>
  <r>
    <n v="2215"/>
    <n v="2025"/>
    <n v="2024"/>
    <s v="Year_2"/>
    <d v="2024-06-26T00:00:00"/>
    <s v="KUD10"/>
    <s v="O2R1"/>
    <s v="KSIPL"/>
    <n v="4.3478260869565223E-2"/>
    <n v="5197"/>
    <x v="54"/>
    <s v="Prop Valve C Status Fault"/>
    <s v="Breakdown"/>
    <d v="1899-12-30T10:28:00"/>
    <d v="1899-12-30T10:28:00"/>
    <d v="1899-12-30T10:39:00"/>
    <d v="1899-12-30T00:00:00"/>
    <n v="0.18333333333333268"/>
    <n v="0.18333333333333268"/>
    <s v="Auto reset"/>
    <s v="Close"/>
    <n v="7.9710144927535951E-3"/>
    <n v="1"/>
    <n v="0.64"/>
    <m/>
  </r>
  <r>
    <n v="2216"/>
    <n v="2025"/>
    <n v="2024"/>
    <s v="Year_2"/>
    <d v="2024-06-26T00:00:00"/>
    <s v="KUD15"/>
    <s v="O2R1"/>
    <s v="KSIPL"/>
    <n v="4.3478260869565223E-2"/>
    <n v="4235"/>
    <x v="93"/>
    <s v="Gen Stator CB Open"/>
    <s v="Breakdown"/>
    <d v="1899-12-30T12:57:00"/>
    <d v="1899-12-30T12:57:00"/>
    <d v="1899-12-30T12:58:00"/>
    <d v="1899-12-30T00:00:00"/>
    <n v="1.6666666666666607E-2"/>
    <n v="1.6666666666666607E-2"/>
    <s v="Auto reset"/>
    <s v="Close"/>
    <n v="7.246376811594178E-4"/>
    <n v="0.99752964426877466"/>
    <n v="0"/>
    <m/>
  </r>
  <r>
    <n v="2217"/>
    <n v="2025"/>
    <n v="2024"/>
    <s v="Year_2"/>
    <d v="2024-06-26T00:00:00"/>
    <s v="KUD15"/>
    <s v="O2R1"/>
    <s v="KSIPL"/>
    <n v="4.3478260869565223E-2"/>
    <n v="6293"/>
    <x v="32"/>
    <s v="Pitch valves test acitve"/>
    <s v="Breakdown"/>
    <d v="1899-12-30T12:59:00"/>
    <d v="1899-12-30T12:59:00"/>
    <d v="1899-12-30T13:03:00"/>
    <d v="1899-12-30T00:00:00"/>
    <n v="6.666666666666643E-2"/>
    <n v="6.666666666666643E-2"/>
    <s v="Turbine self test taken"/>
    <s v="Close"/>
    <n v="2.8985507246376712E-3"/>
    <n v="0.99752964426877466"/>
    <n v="0.27"/>
    <m/>
  </r>
  <r>
    <n v="2218"/>
    <n v="2025"/>
    <n v="2024"/>
    <s v="Year_2"/>
    <d v="2024-06-26T00:00:00"/>
    <s v="KUD02"/>
    <s v="O2R3"/>
    <s v="JK"/>
    <n v="4.3478260869565223E-2"/>
    <n v="4519"/>
    <x v="126"/>
    <s v="HubSafty HydrPres  Low DBlk"/>
    <s v="Breakdown"/>
    <d v="1899-12-30T12:53:00"/>
    <d v="1899-12-30T12:53:00"/>
    <d v="1899-12-30T12:54:00"/>
    <d v="1899-12-30T00:00:00"/>
    <n v="1.6666666666666607E-2"/>
    <n v="1.6666666666666607E-2"/>
    <s v="Auto reset"/>
    <s v="Close"/>
    <n v="7.246376811594178E-4"/>
    <n v="0.99056603773584906"/>
    <n v="0"/>
    <m/>
  </r>
  <r>
    <n v="2219"/>
    <n v="2025"/>
    <n v="2024"/>
    <s v="Year_2"/>
    <d v="2024-06-26T00:00:00"/>
    <s v="KUD04"/>
    <s v="O2R3"/>
    <s v="JK"/>
    <n v="4.3478260869565223E-2"/>
    <n v="2676"/>
    <x v="124"/>
    <s v="UPS Error"/>
    <s v="Breakdown"/>
    <d v="1899-12-30T12:59:00"/>
    <d v="1899-12-30T12:59:00"/>
    <d v="1899-12-30T14:33:00"/>
    <d v="1899-12-30T00:00:00"/>
    <n v="1.5666666666666664"/>
    <n v="1.5666666666666664"/>
    <s v="elated circuit checked found all ok, Due to controller malfunctioning error triggered so rebooted and started the turbine"/>
    <s v="Close"/>
    <n v="6.8115942028985507E-2"/>
    <n v="1"/>
    <n v="3.03"/>
    <m/>
  </r>
  <r>
    <n v="2220"/>
    <n v="2025"/>
    <n v="2024"/>
    <s v="Year_2"/>
    <d v="2024-06-26T00:00:00"/>
    <s v="KUD05"/>
    <s v="O2R3"/>
    <s v="JK"/>
    <n v="4.3478260869565223E-2"/>
    <n v="4519"/>
    <x v="126"/>
    <s v="HubSafty HydrPres  Low DBlk"/>
    <s v="Breakdown"/>
    <d v="1899-12-30T12:53:00"/>
    <d v="1899-12-30T12:53:00"/>
    <d v="1899-12-30T12:54:00"/>
    <d v="1899-12-30T00:00:00"/>
    <n v="1.6666666666666607E-2"/>
    <n v="1.6666666666666607E-2"/>
    <s v="Auto reset"/>
    <s v="Close"/>
    <n v="7.246376811594178E-4"/>
    <n v="1"/>
    <n v="0"/>
    <m/>
  </r>
  <r>
    <n v="2221"/>
    <n v="2025"/>
    <n v="2024"/>
    <s v="Year_2"/>
    <d v="2024-06-26T00:00:00"/>
    <s v="KUD06"/>
    <s v="O2R3"/>
    <s v="JK"/>
    <n v="4.3478260869565223E-2"/>
    <n v="4519"/>
    <x v="126"/>
    <s v="HubSafty HydrPres  Low DBlk"/>
    <s v="Breakdown"/>
    <d v="1899-12-30T12:52:00"/>
    <d v="1899-12-30T12:52:00"/>
    <d v="1899-12-30T12:53:00"/>
    <d v="1899-12-30T00:00:00"/>
    <n v="1.6666666666666607E-2"/>
    <n v="1.6666666666666607E-2"/>
    <s v="Auto reset"/>
    <s v="Close"/>
    <n v="7.246376811594178E-4"/>
    <n v="1"/>
    <n v="0"/>
    <m/>
  </r>
  <r>
    <n v="2222"/>
    <n v="2025"/>
    <n v="2024"/>
    <s v="Year_2"/>
    <d v="2024-06-26T00:00:00"/>
    <s v="KUD09"/>
    <s v="O2R3"/>
    <s v="JK"/>
    <n v="4.3478260869565223E-2"/>
    <n v="4519"/>
    <x v="126"/>
    <s v="HubSafty HydrPres  Low DBlk"/>
    <s v="Breakdown"/>
    <d v="1899-12-30T12:53:00"/>
    <d v="1899-12-30T12:53:00"/>
    <d v="1899-12-30T12:54:00"/>
    <d v="1899-12-30T00:00:00"/>
    <n v="1.6666666666666607E-2"/>
    <n v="1.6666666666666607E-2"/>
    <s v="Auto reset"/>
    <s v="Close"/>
    <n v="7.246376811594178E-4"/>
    <n v="1"/>
    <n v="0"/>
    <m/>
  </r>
  <r>
    <n v="2223"/>
    <n v="2025"/>
    <n v="2024"/>
    <s v="Year_2"/>
    <d v="2024-06-26T00:00:00"/>
    <s v="KUD18"/>
    <s v="O2R4"/>
    <s v="SGDCIPL"/>
    <n v="4.3478260869565223E-2"/>
    <n v="4519"/>
    <x v="126"/>
    <s v="HubSafty HydrPres  Low DBlk"/>
    <s v="Breakdown"/>
    <d v="1899-12-30T12:51:00"/>
    <d v="1899-12-30T12:51:00"/>
    <d v="1899-12-30T12:52:00"/>
    <d v="1899-12-30T00:00:00"/>
    <n v="1.6666666666666607E-2"/>
    <n v="1.6666666666666607E-2"/>
    <s v="Auto reset"/>
    <s v="Close"/>
    <n v="7.246376811594178E-4"/>
    <n v="0.99752964426877466"/>
    <n v="0"/>
    <m/>
  </r>
  <r>
    <n v="2224"/>
    <n v="2025"/>
    <n v="2024"/>
    <s v="Year_2"/>
    <d v="2024-06-26T00:00:00"/>
    <s v="KUD22"/>
    <s v="O2R3"/>
    <s v="JK"/>
    <n v="4.3478260869565223E-2"/>
    <n v="4519"/>
    <x v="126"/>
    <s v="HubSafty HydrPres  Low DBlk"/>
    <s v="Breakdown"/>
    <d v="1899-12-30T12:52:00"/>
    <d v="1899-12-30T12:52:00"/>
    <d v="1899-12-30T12:53:00"/>
    <d v="1899-12-30T00:00:00"/>
    <n v="1.6666666666666607E-2"/>
    <n v="1.6666666666666607E-2"/>
    <s v="Auto reset"/>
    <s v="Close"/>
    <n v="7.246376811594178E-4"/>
    <n v="1"/>
    <n v="0"/>
    <m/>
  </r>
  <r>
    <n v="2225"/>
    <n v="2025"/>
    <n v="2024"/>
    <s v="Year_2"/>
    <d v="2024-06-26T00:00:00"/>
    <s v="KUD23"/>
    <s v="O2R3"/>
    <s v="JK"/>
    <n v="4.3478260869565223E-2"/>
    <n v="4519"/>
    <x v="126"/>
    <s v="HubSafty HydrPres  Low DBlk"/>
    <s v="Breakdown"/>
    <d v="1899-12-30T12:52:00"/>
    <d v="1899-12-30T12:52:00"/>
    <d v="1899-12-30T12:53:00"/>
    <d v="1899-12-30T00:00:00"/>
    <n v="1.6666666666666607E-2"/>
    <n v="1.6666666666666607E-2"/>
    <s v="Auto reset"/>
    <s v="Close"/>
    <n v="7.246376811594178E-4"/>
    <n v="1"/>
    <n v="0"/>
    <m/>
  </r>
  <r>
    <n v="2226"/>
    <n v="2025"/>
    <n v="2024"/>
    <s v="Year_2"/>
    <d v="2024-06-27T00:00:00"/>
    <s v="KUD12"/>
    <s v="O2R1"/>
    <s v="KSIPL"/>
    <n v="4.3478260869565223E-2"/>
    <n v="4235"/>
    <x v="93"/>
    <s v="Gen Stator CB Open"/>
    <s v="Breakdown"/>
    <d v="1899-12-30T19:09:00"/>
    <d v="1899-12-30T19:09:00"/>
    <d v="1899-12-30T19:10:00"/>
    <d v="1899-12-30T00:00:00"/>
    <n v="1.6666666666666607E-2"/>
    <n v="1.6666666666666607E-2"/>
    <s v="Auto reset"/>
    <s v="Close"/>
    <n v="7.246376811594178E-4"/>
    <n v="0.98660328435609335"/>
    <n v="0"/>
    <m/>
  </r>
  <r>
    <n v="2227"/>
    <n v="2025"/>
    <n v="2024"/>
    <s v="Year_2"/>
    <d v="2024-06-27T00:00:00"/>
    <s v="KUD12"/>
    <s v="O2R1"/>
    <s v="KSIPL"/>
    <n v="4.3478260869565223E-2"/>
    <n v="6293"/>
    <x v="32"/>
    <s v="Pitch valves test acitve"/>
    <s v="Breakdown"/>
    <d v="1899-12-30T19:10:00"/>
    <d v="1899-12-30T19:10:00"/>
    <d v="1899-12-30T19:17:00"/>
    <d v="1899-12-30T00:00:00"/>
    <n v="0.11666666666666625"/>
    <n v="0.11666666666666625"/>
    <s v="Turbine self test taken"/>
    <s v="Close"/>
    <n v="5.0724637681159243E-3"/>
    <n v="0.98660328435609335"/>
    <n v="0.31"/>
    <m/>
  </r>
  <r>
    <n v="2228"/>
    <n v="2025"/>
    <n v="2024"/>
    <s v="Year_2"/>
    <d v="2024-06-27T00:00:00"/>
    <s v="KUD13"/>
    <s v="O2R1"/>
    <s v="KSIPL"/>
    <n v="4.3478260869565223E-2"/>
    <n v="4235"/>
    <x v="93"/>
    <s v="Gen Stator CB Open"/>
    <s v="Breakdown"/>
    <d v="1899-12-30T19:09:00"/>
    <d v="1899-12-30T19:09:00"/>
    <d v="1899-12-30T19:10:00"/>
    <d v="1899-12-30T00:00:00"/>
    <n v="1.6666666666666607E-2"/>
    <n v="1.6666666666666607E-2"/>
    <s v="Auto reset"/>
    <s v="Close"/>
    <n v="7.246376811594178E-4"/>
    <n v="0.98711554447215299"/>
    <n v="0.31"/>
    <m/>
  </r>
  <r>
    <n v="2229"/>
    <n v="2025"/>
    <n v="2024"/>
    <s v="Year_2"/>
    <d v="2024-06-27T00:00:00"/>
    <s v="KUD13"/>
    <s v="O2R1"/>
    <s v="KSIPL"/>
    <n v="4.3478260869565223E-2"/>
    <n v="6293"/>
    <x v="32"/>
    <s v="Pitch valves test acitve"/>
    <s v="Breakdown"/>
    <d v="1899-12-30T19:10:00"/>
    <d v="1899-12-30T19:10:00"/>
    <d v="1899-12-30T19:17:00"/>
    <d v="1899-12-30T00:00:00"/>
    <n v="0.11666666666666625"/>
    <n v="0.11666666666666625"/>
    <s v="Turbine self test taken"/>
    <s v="Close"/>
    <n v="5.0724637681159243E-3"/>
    <n v="0.98711554447215299"/>
    <n v="0.31"/>
    <m/>
  </r>
  <r>
    <n v="2230"/>
    <n v="2025"/>
    <n v="2024"/>
    <s v="Year_2"/>
    <d v="2024-06-27T00:00:00"/>
    <s v="KUD02"/>
    <s v="O2R3"/>
    <s v="JK"/>
    <n v="4.3478260869565223E-2"/>
    <n v="4519"/>
    <x v="126"/>
    <s v="HubSafty HydrPres  Low DBlk"/>
    <s v="Breakdown"/>
    <d v="1899-12-30T00:16:00"/>
    <d v="1899-12-30T00:16:00"/>
    <d v="1899-12-30T00:17:00"/>
    <d v="1899-12-30T00:00:00"/>
    <n v="1.6666666666666649E-2"/>
    <n v="1.6666666666666649E-2"/>
    <s v="Auto reset"/>
    <s v="Close"/>
    <n v="7.2463768115941965E-4"/>
    <n v="1"/>
    <n v="0"/>
    <m/>
  </r>
  <r>
    <n v="2231"/>
    <n v="2025"/>
    <n v="2024"/>
    <s v="Year_2"/>
    <d v="2024-06-27T00:00:00"/>
    <s v="KUD02"/>
    <s v="O2R3"/>
    <s v="JK"/>
    <n v="4.3478260869565223E-2"/>
    <n v="4519"/>
    <x v="126"/>
    <s v="HubSafty HydrPres  Low DBlk"/>
    <s v="Breakdown"/>
    <d v="1899-12-30T19:04:00"/>
    <d v="1899-12-30T19:04:00"/>
    <d v="1899-12-30T19:05:00"/>
    <d v="1899-12-30T00:00:00"/>
    <n v="1.6666666666666607E-2"/>
    <n v="1.6666666666666607E-2"/>
    <s v="Auto reset"/>
    <s v="Close"/>
    <n v="7.246376811594178E-4"/>
    <n v="1"/>
    <n v="0"/>
    <m/>
  </r>
  <r>
    <n v="2232"/>
    <n v="2025"/>
    <n v="2024"/>
    <s v="Year_2"/>
    <d v="2024-06-27T00:00:00"/>
    <s v="KUD05"/>
    <s v="O2R3"/>
    <s v="JK"/>
    <n v="4.3478260869565223E-2"/>
    <n v="900"/>
    <x v="100"/>
    <s v="Pause pressed on keyboard"/>
    <s v="Manual Stop"/>
    <d v="1899-12-30T09:56:00"/>
    <d v="1899-12-30T09:56:00"/>
    <d v="1899-12-30T10:23:00"/>
    <d v="1899-12-30T00:00:00"/>
    <n v="0.45000000000000107"/>
    <n v="0.45000000000000107"/>
    <s v="CT6221 malfunctioning so replaced the same"/>
    <s v="Close"/>
    <n v="1.9565217391304398E-2"/>
    <n v="1"/>
    <n v="1.43"/>
    <m/>
  </r>
  <r>
    <n v="2233"/>
    <n v="2025"/>
    <n v="2024"/>
    <s v="Year_2"/>
    <d v="2024-06-27T00:00:00"/>
    <s v="KUD06"/>
    <s v="O2R3"/>
    <s v="JK"/>
    <n v="4.3478260869565223E-2"/>
    <n v="4519"/>
    <x v="126"/>
    <s v="HubSafty HydrPres  Low DBlk"/>
    <s v="Breakdown"/>
    <d v="1899-12-30T19:04:00"/>
    <d v="1899-12-30T19:04:00"/>
    <d v="1899-12-30T19:05:00"/>
    <d v="1899-12-30T00:00:00"/>
    <n v="1.6666666666666607E-2"/>
    <n v="1.6666666666666607E-2"/>
    <s v="Auto reset"/>
    <s v="Close"/>
    <n v="7.246376811594178E-4"/>
    <n v="0.98759623609923008"/>
    <n v="0.18"/>
    <m/>
  </r>
  <r>
    <n v="2234"/>
    <n v="2025"/>
    <n v="2024"/>
    <s v="Year_2"/>
    <d v="2024-06-27T00:00:00"/>
    <s v="KUD07"/>
    <s v="O2R3"/>
    <s v="JK"/>
    <n v="4.3478260869565223E-2"/>
    <n v="4235"/>
    <x v="93"/>
    <s v="Gen Stator CB Open"/>
    <s v="Breakdown"/>
    <d v="1899-12-30T19:09:00"/>
    <d v="1899-12-30T19:09:00"/>
    <d v="1899-12-30T19:10:00"/>
    <d v="1899-12-30T00:00:00"/>
    <n v="1.6666666666666607E-2"/>
    <n v="1.6666666666666607E-2"/>
    <s v="Auto reset"/>
    <s v="Close"/>
    <n v="7.246376811594178E-4"/>
    <n v="0.99235019124521884"/>
    <n v="0"/>
    <m/>
  </r>
  <r>
    <n v="2235"/>
    <n v="2025"/>
    <n v="2024"/>
    <s v="Year_2"/>
    <d v="2024-06-27T00:00:00"/>
    <s v="KUD07"/>
    <s v="O2R3"/>
    <s v="JK"/>
    <n v="4.3478260869565223E-2"/>
    <n v="6293"/>
    <x v="32"/>
    <s v="Pitch valves test acitve"/>
    <s v="Breakdown"/>
    <d v="1899-12-30T19:11:00"/>
    <d v="1899-12-30T19:11:00"/>
    <d v="1899-12-30T19:18:00"/>
    <d v="1899-12-30T00:00:00"/>
    <n v="0.11666666666666625"/>
    <n v="0.11666666666666625"/>
    <s v="Turbine self test taken"/>
    <s v="Close"/>
    <n v="5.0724637681159243E-3"/>
    <n v="0.99235019124521884"/>
    <n v="0.28999999999999998"/>
    <m/>
  </r>
  <r>
    <n v="2236"/>
    <n v="2025"/>
    <n v="2024"/>
    <s v="Year_2"/>
    <d v="2024-06-27T00:00:00"/>
    <s v="KUD09"/>
    <s v="O2R3"/>
    <s v="JK"/>
    <n v="4.3478260869565223E-2"/>
    <n v="4519"/>
    <x v="126"/>
    <s v="HubSafty HydrPres  Low DBlk"/>
    <s v="Breakdown"/>
    <d v="1899-12-30T19:04:00"/>
    <d v="1899-12-30T19:04:00"/>
    <d v="1899-12-30T19:05:00"/>
    <d v="1899-12-30T00:00:00"/>
    <n v="1.6666666666666607E-2"/>
    <n v="1.6666666666666607E-2"/>
    <s v="Auto reset"/>
    <s v="Close"/>
    <n v="7.246376811594178E-4"/>
    <n v="1"/>
    <n v="0"/>
    <m/>
  </r>
  <r>
    <n v="2237"/>
    <n v="2025"/>
    <n v="2024"/>
    <s v="Year_2"/>
    <d v="2024-06-27T00:00:00"/>
    <s v="KUD16"/>
    <s v="O2R2"/>
    <s v="SIL"/>
    <n v="4.3478260869565223E-2"/>
    <n v="4239"/>
    <x v="40"/>
    <s v="HVCB Unknown Trip Reason"/>
    <s v="Breakdown"/>
    <d v="1899-12-30T19:07:00"/>
    <d v="1899-12-30T19:07:00"/>
    <d v="1899-12-30T19:22:00"/>
    <d v="1899-12-30T00:00:00"/>
    <n v="0.25000000000000178"/>
    <n v="0.25000000000000178"/>
    <s v="Remote reset done"/>
    <s v="Close"/>
    <n v="1.0869565217391384E-2"/>
    <n v="1"/>
    <n v="0.38"/>
    <m/>
  </r>
  <r>
    <n v="2238"/>
    <n v="2025"/>
    <n v="2024"/>
    <s v="Year_2"/>
    <d v="2024-06-27T00:00:00"/>
    <s v="KUD18"/>
    <s v="O2R4"/>
    <s v="SGDCIPL"/>
    <n v="4.3478260869565223E-2"/>
    <n v="4519"/>
    <x v="126"/>
    <s v="HubSafty HydrPres  Low DBlk"/>
    <s v="Breakdown"/>
    <d v="1899-12-30T00:14:00"/>
    <d v="1899-12-30T00:14:00"/>
    <d v="1899-12-30T00:15:00"/>
    <d v="1899-12-30T00:00:00"/>
    <n v="1.6666666666666649E-2"/>
    <n v="1.6666666666666649E-2"/>
    <s v="Auto reset"/>
    <s v="Close"/>
    <n v="7.2463768115941965E-4"/>
    <n v="1"/>
    <n v="0.17"/>
    <m/>
  </r>
  <r>
    <n v="2239"/>
    <n v="2025"/>
    <n v="2024"/>
    <s v="Year_2"/>
    <d v="2024-06-27T00:00:00"/>
    <s v="KUD18"/>
    <s v="O2R4"/>
    <s v="SGDCIPL"/>
    <n v="4.3478260869565223E-2"/>
    <n v="4519"/>
    <x v="126"/>
    <s v="HubSafty HydrPres  Low DBlk"/>
    <s v="Breakdown"/>
    <d v="1899-12-30T19:03:00"/>
    <d v="1899-12-30T19:03:00"/>
    <d v="1899-12-30T19:04:00"/>
    <d v="1899-12-30T00:00:00"/>
    <n v="1.6666666666666607E-2"/>
    <n v="1.6666666666666607E-2"/>
    <s v="Auto reset"/>
    <s v="Close"/>
    <n v="7.246376811594178E-4"/>
    <n v="1"/>
    <n v="0"/>
    <m/>
  </r>
  <r>
    <n v="2240"/>
    <n v="2025"/>
    <n v="2024"/>
    <s v="Year_2"/>
    <d v="2024-06-27T00:00:00"/>
    <s v="KUD22"/>
    <s v="O2R3"/>
    <s v="JK"/>
    <n v="4.3478260869565223E-2"/>
    <n v="4519"/>
    <x v="126"/>
    <s v="HubSafty HydrPres  Low DBlk"/>
    <s v="Breakdown"/>
    <d v="1899-12-30T00:14:00"/>
    <d v="1899-12-30T00:14:00"/>
    <d v="1899-12-30T00:15:00"/>
    <d v="1899-12-30T00:00:00"/>
    <n v="1.6666666666666649E-2"/>
    <n v="1.6666666666666649E-2"/>
    <s v="Auto reset"/>
    <s v="Close"/>
    <n v="7.2463768115941965E-4"/>
    <n v="0.9963884430176565"/>
    <n v="0"/>
    <m/>
  </r>
  <r>
    <n v="2241"/>
    <n v="2025"/>
    <n v="2024"/>
    <s v="Year_2"/>
    <d v="2024-06-27T00:00:00"/>
    <s v="KUD22"/>
    <s v="O2R3"/>
    <s v="JK"/>
    <n v="4.3478260869565223E-2"/>
    <n v="4519"/>
    <x v="126"/>
    <s v="HubSafty HydrPres  Low DBlk"/>
    <s v="Breakdown"/>
    <d v="1899-12-30T19:03:00"/>
    <d v="1899-12-30T19:03:00"/>
    <d v="1899-12-30T19:04:00"/>
    <d v="1899-12-30T00:00:00"/>
    <n v="1.6666666666666607E-2"/>
    <n v="1.6666666666666607E-2"/>
    <s v="Auto reset"/>
    <s v="Close"/>
    <n v="7.246376811594178E-4"/>
    <n v="0.9963884430176565"/>
    <n v="0"/>
    <m/>
  </r>
  <r>
    <n v="2242"/>
    <n v="2025"/>
    <n v="2024"/>
    <s v="Year_2"/>
    <d v="2024-06-27T00:00:00"/>
    <s v="KUD23"/>
    <s v="O2R3"/>
    <s v="JK"/>
    <n v="4.3478260869565223E-2"/>
    <n v="6293"/>
    <x v="32"/>
    <s v="Pitch valves test acitve"/>
    <s v="Breakdown"/>
    <d v="1899-12-30T00:08:00"/>
    <d v="1899-12-30T00:08:00"/>
    <d v="1899-12-30T00:10:00"/>
    <d v="1899-12-30T00:00:00"/>
    <n v="3.3333333333333319E-2"/>
    <n v="3.3333333333333319E-2"/>
    <s v="Turbine self test taken"/>
    <s v="Close"/>
    <n v="1.4492753623188402E-3"/>
    <n v="1"/>
    <n v="0.09"/>
    <m/>
  </r>
  <r>
    <n v="2243"/>
    <n v="2025"/>
    <n v="2024"/>
    <s v="Year_2"/>
    <d v="2024-06-27T00:00:00"/>
    <s v="KUD23"/>
    <s v="O2R3"/>
    <s v="JK"/>
    <n v="4.3478260869565223E-2"/>
    <n v="4519"/>
    <x v="126"/>
    <s v="HubSafty HydrPres  Low DBlk"/>
    <s v="Breakdown"/>
    <d v="1899-12-30T19:04:00"/>
    <d v="1899-12-30T19:04:00"/>
    <d v="1899-12-30T19:05:00"/>
    <d v="1899-12-30T00:00:00"/>
    <n v="1.6666666666666607E-2"/>
    <n v="1.6666666666666607E-2"/>
    <s v="Auto reset"/>
    <s v="Close"/>
    <n v="7.246376811594178E-4"/>
    <n v="1"/>
    <n v="0"/>
    <m/>
  </r>
  <r>
    <n v="2244"/>
    <n v="2025"/>
    <n v="2024"/>
    <s v="Year_2"/>
    <d v="2024-06-28T00:00:00"/>
    <s v="KUD10"/>
    <s v="O2R1"/>
    <s v="KSIPL"/>
    <n v="4.3478260869565223E-2"/>
    <n v="900"/>
    <x v="100"/>
    <s v="Pause pressed on keyboard"/>
    <s v="Manual Stop"/>
    <d v="1899-12-30T14:29:00"/>
    <d v="1899-12-30T14:29:00"/>
    <d v="1899-12-30T21:36:00"/>
    <d v="1899-12-30T00:00:00"/>
    <n v="7.116666666666668"/>
    <n v="7.116666666666668"/>
    <s v="CMS inspection done as per instruction"/>
    <s v="Close"/>
    <n v="0.30942028985507258"/>
    <n v="0.98627737226277368"/>
    <n v="14.68"/>
    <m/>
  </r>
  <r>
    <n v="2245"/>
    <n v="2025"/>
    <n v="2024"/>
    <s v="Year_2"/>
    <d v="2024-06-28T00:00:00"/>
    <s v="KUD07"/>
    <s v="O2R3"/>
    <s v="JK"/>
    <n v="4.3478260869565223E-2"/>
    <n v="4235"/>
    <x v="93"/>
    <s v="Gen Stator CB Open"/>
    <s v="Breakdown"/>
    <d v="1899-12-30T14:52:00"/>
    <d v="1899-12-30T14:52:00"/>
    <d v="1899-12-30T14:53:00"/>
    <d v="1899-12-30T00:00:00"/>
    <n v="1.6666666666666607E-2"/>
    <n v="1.6666666666666607E-2"/>
    <s v="Auto reset"/>
    <s v="Close"/>
    <n v="7.246376811594178E-4"/>
    <n v="0.99063876651982374"/>
    <n v="0.11"/>
    <m/>
  </r>
  <r>
    <n v="2246"/>
    <n v="2025"/>
    <n v="2024"/>
    <s v="Year_2"/>
    <d v="2024-06-28T00:00:00"/>
    <s v="KUD02"/>
    <s v="O2R3"/>
    <s v="JK"/>
    <n v="4.3478260869565223E-2"/>
    <n v="4519"/>
    <x v="126"/>
    <s v="HubSafty HydrPres  Low DBlk"/>
    <s v="Breakdown"/>
    <d v="1899-12-30T15:03:00"/>
    <d v="1899-12-30T15:03:00"/>
    <d v="1899-12-30T15:04:00"/>
    <d v="1899-12-30T00:00:00"/>
    <n v="1.6666666666666607E-2"/>
    <n v="1.6666666666666607E-2"/>
    <s v="Auto reset"/>
    <s v="Close"/>
    <n v="7.246376811594178E-4"/>
    <n v="1"/>
    <n v="1.5"/>
    <m/>
  </r>
  <r>
    <n v="2247"/>
    <n v="2025"/>
    <n v="2024"/>
    <s v="Year_2"/>
    <d v="2024-06-28T00:00:00"/>
    <s v="KUD04"/>
    <s v="O2R3"/>
    <s v="JK"/>
    <n v="4.3478260869565223E-2"/>
    <n v="6293"/>
    <x v="32"/>
    <s v="Pitch valves test acitve"/>
    <s v="Breakdown"/>
    <d v="1899-12-30T14:43:00"/>
    <d v="1899-12-30T14:43:00"/>
    <d v="1899-12-30T14:50:00"/>
    <d v="1899-12-30T00:00:00"/>
    <n v="0.11666666666666625"/>
    <n v="0.11666666666666625"/>
    <s v="Turbine self test taken"/>
    <s v="Close"/>
    <n v="5.0724637681159243E-3"/>
    <n v="1"/>
    <n v="0.42"/>
    <m/>
  </r>
  <r>
    <n v="2248"/>
    <n v="2025"/>
    <n v="2024"/>
    <s v="Year_2"/>
    <d v="2024-06-28T00:00:00"/>
    <s v="KUD09"/>
    <s v="O2R3"/>
    <s v="JK"/>
    <n v="4.3478260869565223E-2"/>
    <n v="4519"/>
    <x v="126"/>
    <s v="HubSafty HydrPres  Low DBlk"/>
    <s v="Breakdown"/>
    <d v="1899-12-30T14:51:00"/>
    <d v="1899-12-30T14:51:00"/>
    <d v="1899-12-30T14:52:00"/>
    <d v="1899-12-30T00:00:00"/>
    <n v="1.6666666666666607E-2"/>
    <n v="1.6666666666666607E-2"/>
    <s v="Auto reset"/>
    <s v="Close"/>
    <n v="7.246376811594178E-4"/>
    <n v="1"/>
    <n v="0.06"/>
    <m/>
  </r>
  <r>
    <n v="2249"/>
    <n v="2025"/>
    <n v="2024"/>
    <s v="Year_2"/>
    <d v="2024-06-28T00:00:00"/>
    <s v="KUD16"/>
    <s v="O2R2"/>
    <s v="SIL"/>
    <n v="4.3478260869565223E-2"/>
    <n v="4239"/>
    <x v="40"/>
    <s v="HVCB Unknown Trip Reason"/>
    <s v="Breakdown"/>
    <d v="1899-12-30T14:27:00"/>
    <d v="1899-12-30T14:27:00"/>
    <d v="1899-12-30T14:51:00"/>
    <d v="1899-12-30T00:00:00"/>
    <n v="0.40000000000000124"/>
    <n v="0.40000000000000124"/>
    <s v="Remote reset done"/>
    <s v="Close"/>
    <n v="1.7391304347826143E-2"/>
    <n v="0.95832175604334535"/>
    <n v="0.1"/>
    <m/>
  </r>
  <r>
    <n v="2250"/>
    <n v="2025"/>
    <n v="2024"/>
    <s v="Year_2"/>
    <d v="2024-06-28T00:00:00"/>
    <s v="KUD18"/>
    <s v="O2R4"/>
    <s v="SGDCIPL"/>
    <n v="4.3478260869565223E-2"/>
    <n v="3633"/>
    <x v="21"/>
    <s v="Yaw System Stopped"/>
    <s v="Breakdown"/>
    <d v="1899-12-30T15:45:00"/>
    <d v="1899-12-30T15:45:00"/>
    <d v="1899-12-30T15:46:00"/>
    <d v="1899-12-30T00:00:00"/>
    <n v="1.6666666666666607E-2"/>
    <n v="1.6666666666666607E-2"/>
    <s v="Auto reset"/>
    <s v="Close"/>
    <n v="7.246376811594178E-4"/>
    <n v="0.99038961038961038"/>
    <n v="0.7"/>
    <m/>
  </r>
  <r>
    <n v="2251"/>
    <n v="2025"/>
    <n v="2024"/>
    <s v="Year_2"/>
    <d v="2024-06-28T00:00:00"/>
    <s v="KUD22"/>
    <s v="O2R3"/>
    <s v="JK"/>
    <n v="4.3478260869565223E-2"/>
    <n v="4519"/>
    <x v="126"/>
    <s v="HubSafty HydrPres  Low DBlk"/>
    <s v="Breakdown"/>
    <d v="1899-12-30T14:54:00"/>
    <d v="1899-12-30T14:54:00"/>
    <d v="1899-12-30T14:55:00"/>
    <d v="1899-12-30T00:00:00"/>
    <n v="1.6666666666666607E-2"/>
    <n v="1.6666666666666607E-2"/>
    <s v="Auto reset"/>
    <s v="Close"/>
    <n v="7.246376811594178E-4"/>
    <n v="0.97966101694915253"/>
    <n v="0.48"/>
    <m/>
  </r>
  <r>
    <n v="2252"/>
    <n v="2025"/>
    <n v="2024"/>
    <s v="Year_2"/>
    <d v="2024-06-29T00:00:00"/>
    <s v="KUD13"/>
    <s v="O2R1"/>
    <s v="KSIPL"/>
    <n v="4.3478260869565223E-2"/>
    <n v="3296"/>
    <x v="46"/>
    <s v="Yaw To Nacelle Position Reset"/>
    <s v="Breakdown"/>
    <d v="2024-06-29T02:22:53"/>
    <d v="2024-06-29T02:22:53"/>
    <d v="2024-06-29T02:43:36"/>
    <d v="1899-12-30T00:00:00"/>
    <n v="0.34527777781477198"/>
    <n v="0.34527777781477198"/>
    <s v="Auto reset"/>
    <s v="Close"/>
    <n v="1.5012077296294436E-2"/>
    <n v="1"/>
    <n v="0.45"/>
    <m/>
  </r>
  <r>
    <n v="2253"/>
    <n v="2025"/>
    <n v="2024"/>
    <s v="Year_2"/>
    <d v="2024-06-30T00:00:00"/>
    <s v="KUD01"/>
    <s v="O2R1"/>
    <s v="KSIPL"/>
    <n v="4.3478260869565223E-2"/>
    <n v="453"/>
    <x v="136"/>
    <s v="Ext. High I sum Rotinv.ChanX"/>
    <s v="Breakdown"/>
    <d v="2024-06-30T01:33:00"/>
    <d v="2024-06-30T01:33:00"/>
    <d v="2024-06-30T01:35:24"/>
    <d v="1899-12-30T00:00:00"/>
    <n v="4.0000000095460564E-2"/>
    <n v="4.0000000095460564E-2"/>
    <s v="Auto reset"/>
    <s v="Close"/>
    <n v="1.7391304389330683E-3"/>
    <n v="1"/>
    <n v="0.23"/>
    <m/>
  </r>
  <r>
    <n v="2254"/>
    <n v="2025"/>
    <n v="2024"/>
    <s v="Year_2"/>
    <d v="2024-06-30T00:00:00"/>
    <s v="KUD01"/>
    <s v="O2R1"/>
    <s v="KSIPL"/>
    <n v="4.3478260869565223E-2"/>
    <n v="6293"/>
    <x v="32"/>
    <s v="Pitch valves test acitve"/>
    <s v="Breakdown"/>
    <d v="2024-06-30T01:35:24"/>
    <d v="2024-06-30T01:35:24"/>
    <d v="2024-06-30T01:41:45"/>
    <d v="1899-12-30T00:00:00"/>
    <n v="0.10583333327667788"/>
    <n v="0.10583333327667788"/>
    <s v="Turbine self test taken"/>
    <s v="Close"/>
    <n v="4.6014492728990389E-3"/>
    <n v="1"/>
    <n v="0"/>
    <m/>
  </r>
  <r>
    <n v="2255"/>
    <n v="2025"/>
    <n v="2024"/>
    <s v="Year_2"/>
    <d v="2024-07-02T00:00:00"/>
    <s v="KUD03"/>
    <s v="O2R1"/>
    <s v="KSIPL"/>
    <n v="4.3478260869565223E-2"/>
    <n v="3806"/>
    <x v="147"/>
    <s v="HubSafetySystem Batt.Charg.Err"/>
    <s v="Breakdown"/>
    <d v="2024-07-02T11:20:16"/>
    <d v="2024-07-02T11:20:16"/>
    <d v="2024-07-02T11:25:45"/>
    <d v="1899-12-30T00:00:00"/>
    <n v="9.1388888948131353E-2"/>
    <n v="9.1388888948131353E-2"/>
    <s v="Auto reset"/>
    <s v="Close"/>
    <n v="3.9734299542665812E-3"/>
    <n v="0.98167863332508043"/>
    <n v="0.86"/>
    <m/>
  </r>
  <r>
    <n v="2256"/>
    <n v="2025"/>
    <n v="2024"/>
    <s v="Year_2"/>
    <d v="2024-07-02T00:00:00"/>
    <s v="KUD08"/>
    <s v="O2R3"/>
    <s v="JK"/>
    <n v="4.3478260869565223E-2"/>
    <n v="5470"/>
    <x v="34"/>
    <s v="GeneratorBreakerFBResponse"/>
    <s v="Breakdown"/>
    <d v="2024-07-02T11:20:48"/>
    <d v="2024-07-02T11:20:48"/>
    <d v="2024-07-02T11:47:37"/>
    <d v="1899-12-30T00:00:00"/>
    <n v="0.44694444432388991"/>
    <n v="0.44694444432388991"/>
    <s v="work under process"/>
    <s v="Close"/>
    <n v="1.9432367144516956E-2"/>
    <n v="0.99047373841400621"/>
    <n v="0"/>
    <m/>
  </r>
  <r>
    <n v="2257"/>
    <n v="2025"/>
    <n v="2024"/>
    <s v="Year_2"/>
    <d v="2024-07-02T00:00:00"/>
    <s v="KUD16"/>
    <s v="O2R2"/>
    <s v="SIL"/>
    <n v="4.3478260869565223E-2"/>
    <n v="4239"/>
    <x v="40"/>
    <s v="HVCB Unknown Trip Reason"/>
    <s v="Breakdown"/>
    <d v="2024-07-02T11:20:52"/>
    <d v="2024-07-02T11:20:52"/>
    <d v="2024-07-02T11:33:23"/>
    <d v="1899-12-30T00:00:00"/>
    <n v="0.20861111115664244"/>
    <n v="0.20861111115664244"/>
    <s v="Remote reset done"/>
    <s v="Close"/>
    <n v="9.0700483111583689E-3"/>
    <n v="0.99341021416803954"/>
    <n v="0.56999999999999995"/>
    <m/>
  </r>
  <r>
    <n v="2258"/>
    <n v="2025"/>
    <n v="2024"/>
    <s v="Year_2"/>
    <d v="2024-07-02T00:00:00"/>
    <s v="KUD07"/>
    <s v="O2R3"/>
    <s v="JK"/>
    <n v="4.3478260869565223E-2"/>
    <n v="3799"/>
    <x v="181"/>
    <s v="HubSafetySystem Speed Err.:1"/>
    <s v="Breakdown"/>
    <d v="2024-07-02T12:03:22"/>
    <d v="2024-07-02T12:03:22"/>
    <d v="2024-07-02T12:10:41"/>
    <d v="1899-12-30T00:00:00"/>
    <n v="0.12194444448687136"/>
    <n v="0.12194444448687136"/>
    <s v="Auto reset"/>
    <s v="Close"/>
    <n v="5.3019323689944076E-3"/>
    <n v="0.99047373841400621"/>
    <n v="0.37"/>
    <m/>
  </r>
  <r>
    <n v="2259"/>
    <n v="2025"/>
    <n v="2024"/>
    <s v="Year_2"/>
    <d v="2024-07-02T00:00:00"/>
    <s v="KUD08"/>
    <s v="O2R3"/>
    <s v="JK"/>
    <n v="4.3478260869565223E-2"/>
    <n v="5470"/>
    <x v="34"/>
    <s v="GeneratorBreakerFBResponse"/>
    <s v="Breakdown"/>
    <d v="2024-07-02T12:03:35"/>
    <d v="2024-07-02T12:03:35"/>
    <d v="2024-07-02T12:11:00"/>
    <d v="1899-12-30T00:00:00"/>
    <n v="0.12361111119389534"/>
    <n v="0.12361111119389534"/>
    <s v="work under process"/>
    <s v="Close"/>
    <n v="5.3743961388650159E-3"/>
    <n v="0.99047373841400621"/>
    <n v="0"/>
    <m/>
  </r>
  <r>
    <n v="2260"/>
    <n v="2025"/>
    <n v="2024"/>
    <s v="Year_2"/>
    <d v="2024-07-02T00:00:00"/>
    <s v="KUD16"/>
    <s v="O2R2"/>
    <s v="SIL"/>
    <n v="4.3478260869565223E-2"/>
    <n v="4239"/>
    <x v="40"/>
    <s v="HVCB Unknown Trip Reason"/>
    <s v="Breakdown"/>
    <d v="2024-07-02T12:03:35"/>
    <d v="2024-07-02T12:03:35"/>
    <d v="2024-07-02T12:11:00"/>
    <d v="1899-12-30T00:00:00"/>
    <n v="0.12361111119389534"/>
    <n v="0.12361111119389534"/>
    <s v="Remote reset done"/>
    <s v="Close"/>
    <n v="5.3743961388650159E-3"/>
    <n v="0.99341021416803954"/>
    <n v="0"/>
    <m/>
  </r>
  <r>
    <n v="2261"/>
    <n v="2025"/>
    <n v="2024"/>
    <s v="Year_2"/>
    <d v="2024-07-02T00:00:00"/>
    <s v="KUD08"/>
    <s v="O2R3"/>
    <s v="JK"/>
    <n v="4.3478260869565223E-2"/>
    <n v="5470"/>
    <x v="34"/>
    <s v="GeneratorBreakerFBResponse"/>
    <s v="Breakdown"/>
    <d v="2024-07-02T12:53:00"/>
    <d v="2024-07-02T12:53:00"/>
    <d v="2024-07-02T13:02:38"/>
    <d v="1899-12-30T00:00:00"/>
    <n v="0.16055555554339662"/>
    <n v="0.16055555554339662"/>
    <s v="Remote hard reboot done"/>
    <s v="Close"/>
    <n v="6.980676327973767E-3"/>
    <n v="0.99047373841400621"/>
    <n v="0"/>
    <m/>
  </r>
  <r>
    <n v="2262"/>
    <n v="2025"/>
    <n v="2024"/>
    <s v="Year_2"/>
    <d v="2024-07-02T00:00:00"/>
    <s v="KUD10"/>
    <s v="O2R1"/>
    <s v="KSIPL"/>
    <n v="4.3478260869565223E-2"/>
    <n v="3806"/>
    <x v="147"/>
    <s v="HubSafetySystem Batt.Charg.Err"/>
    <s v="Breakdown"/>
    <d v="2024-07-02T12:53:28"/>
    <d v="2024-07-02T12:53:28"/>
    <d v="2024-07-02T13:01:42"/>
    <d v="1899-12-30T00:00:00"/>
    <n v="0.13722222216892987"/>
    <n v="0.13722222216892987"/>
    <s v="Auto reset"/>
    <s v="Close"/>
    <n v="5.9661835725621695E-3"/>
    <n v="0.94477505355867653"/>
    <n v="1.4"/>
    <m/>
  </r>
  <r>
    <n v="2263"/>
    <n v="2025"/>
    <n v="2024"/>
    <s v="Year_2"/>
    <d v="2024-07-02T00:00:00"/>
    <s v="KUD16"/>
    <s v="O2R2"/>
    <s v="SIL"/>
    <n v="4.3478260869565223E-2"/>
    <n v="707"/>
    <x v="121"/>
    <s v="Ch hardware error C0"/>
    <s v="Breakdown"/>
    <d v="2024-07-02T12:53:00"/>
    <d v="2024-07-02T12:53:00"/>
    <d v="2024-07-02T13:16:13"/>
    <d v="1899-12-30T00:00:00"/>
    <n v="0.38694444444263354"/>
    <n v="0.38694444444263354"/>
    <s v="Auto reset"/>
    <s v="Close"/>
    <n v="1.6823671497505809E-2"/>
    <n v="0.99341021416803954"/>
    <n v="0"/>
    <m/>
  </r>
  <r>
    <n v="2264"/>
    <n v="2025"/>
    <n v="2024"/>
    <s v="Year_2"/>
    <d v="2024-07-02T00:00:00"/>
    <s v="KUD01"/>
    <s v="O2R1"/>
    <s v="KSIPL"/>
    <n v="4.3478260869565223E-2"/>
    <n v="3806"/>
    <x v="147"/>
    <s v="HubSafetySystem Batt.Charg.Err"/>
    <s v="Breakdown"/>
    <d v="2024-07-02T14:18:54"/>
    <d v="2024-07-02T14:18:54"/>
    <d v="2024-07-02T14:34:00"/>
    <d v="1899-12-30T00:00:00"/>
    <n v="0.25166666664881632"/>
    <n v="0.25166666664881632"/>
    <s v="Auto reset"/>
    <s v="Close"/>
    <n v="1.0942028984731145E-2"/>
    <n v="0.95621842675006019"/>
    <n v="0.56999999999999995"/>
    <m/>
  </r>
  <r>
    <n v="2265"/>
    <n v="2025"/>
    <n v="2024"/>
    <s v="Year_2"/>
    <d v="2024-07-02T00:00:00"/>
    <s v="KUD03"/>
    <s v="O2R1"/>
    <s v="KSIPL"/>
    <n v="4.3478260869565223E-2"/>
    <n v="3806"/>
    <x v="147"/>
    <s v="HubSafetySystem Batt.Charg.Err"/>
    <s v="Breakdown"/>
    <d v="2024-07-02T14:18:54"/>
    <d v="2024-07-02T14:18:54"/>
    <d v="2024-07-02T14:35:50"/>
    <d v="1899-12-30T00:00:00"/>
    <n v="0.28222222218755633"/>
    <n v="0.28222222218755633"/>
    <s v="Auto reset"/>
    <s v="Close"/>
    <n v="1.2270531399458972E-2"/>
    <n v="0.92532088681446911"/>
    <n v="0"/>
    <m/>
  </r>
  <r>
    <n v="2266"/>
    <n v="2025"/>
    <n v="2024"/>
    <s v="Year_2"/>
    <d v="2024-07-02T00:00:00"/>
    <s v="KUD06"/>
    <s v="O2R3"/>
    <s v="JK"/>
    <n v="4.3478260869565223E-2"/>
    <n v="3806"/>
    <x v="147"/>
    <s v="HubSafetySystem Batt.Charg.Err"/>
    <s v="Breakdown"/>
    <d v="2024-07-02T14:18:54"/>
    <d v="2024-07-02T14:18:54"/>
    <d v="2024-07-02T14:41:36"/>
    <d v="1899-12-30T00:00:00"/>
    <n v="0.37833333341404796"/>
    <n v="0.37833333341404796"/>
    <s v="Auto reset"/>
    <s v="Close"/>
    <n v="1.6449275365828173E-2"/>
    <n v="0.99047373841400621"/>
    <n v="0.74"/>
    <m/>
  </r>
  <r>
    <n v="2267"/>
    <n v="2025"/>
    <n v="2024"/>
    <s v="Year_2"/>
    <d v="2024-07-02T00:00:00"/>
    <s v="KUD08"/>
    <s v="O2R3"/>
    <s v="JK"/>
    <n v="4.3478260869565223E-2"/>
    <n v="5470"/>
    <x v="34"/>
    <s v="GeneratorBreakerFBResponse"/>
    <s v="Breakdown"/>
    <d v="2024-07-02T14:18:54"/>
    <d v="2024-07-02T14:18:54"/>
    <d v="2024-07-02T20:03:27"/>
    <d v="1899-12-30T00:00:00"/>
    <n v="5.7425000000512227"/>
    <n v="5.7425000000512227"/>
    <s v="Found UV coil malfunction so replaced and Safety pilz reset done after restored"/>
    <s v="Close"/>
    <n v="0.24967391304570538"/>
    <n v="0.99047373841400621"/>
    <n v="14.64"/>
    <m/>
  </r>
  <r>
    <n v="2268"/>
    <n v="2025"/>
    <n v="2024"/>
    <s v="Year_2"/>
    <d v="2024-07-02T00:00:00"/>
    <s v="KUD10"/>
    <s v="O2R1"/>
    <s v="KSIPL"/>
    <n v="4.3478260869565223E-2"/>
    <n v="3806"/>
    <x v="147"/>
    <s v="HubSafetySystem Batt.Charg.Err"/>
    <s v="Breakdown"/>
    <d v="2024-07-02T14:18:54"/>
    <d v="2024-07-02T14:18:54"/>
    <d v="2024-07-02T14:36:09"/>
    <d v="1899-12-30T00:00:00"/>
    <n v="0.28749999997671694"/>
    <n v="0.28749999997671694"/>
    <s v="Auto reset"/>
    <s v="Close"/>
    <n v="1.2499999998987694E-2"/>
    <n v="0.98388696083292015"/>
    <n v="0"/>
    <m/>
  </r>
  <r>
    <n v="2269"/>
    <n v="2025"/>
    <n v="2024"/>
    <s v="Year_2"/>
    <d v="2024-07-02T00:00:00"/>
    <s v="KUD11"/>
    <s v="O2R1"/>
    <s v="KSIPL"/>
    <n v="4.3478260869565223E-2"/>
    <n v="3806"/>
    <x v="147"/>
    <s v="HubSafetySystem Batt.Charg.Err"/>
    <s v="Breakdown"/>
    <d v="2024-07-02T14:18:54"/>
    <d v="2024-07-02T14:18:54"/>
    <d v="2024-07-02T14:35:49"/>
    <d v="1899-12-30T00:00:00"/>
    <n v="0.28194444451946765"/>
    <n v="0.28194444451946765"/>
    <s v="Auto reset"/>
    <s v="Close"/>
    <n v="1.2258454109542074E-2"/>
    <n v="0.96494742113169751"/>
    <n v="1.4"/>
    <m/>
  </r>
  <r>
    <n v="2270"/>
    <n v="2025"/>
    <n v="2024"/>
    <s v="Year_2"/>
    <d v="2024-07-02T00:00:00"/>
    <s v="KUD13"/>
    <s v="O2R1"/>
    <s v="KSIPL"/>
    <n v="4.3478260869565223E-2"/>
    <n v="3806"/>
    <x v="147"/>
    <s v="HubSafetySystem Batt.Charg.Err"/>
    <s v="Breakdown"/>
    <d v="2024-07-02T14:18:54"/>
    <d v="2024-07-02T14:18:54"/>
    <d v="2024-07-02T14:41:36"/>
    <d v="1899-12-30T00:00:00"/>
    <n v="0.37833333341404796"/>
    <n v="0.37833333341404796"/>
    <s v="Auto reset"/>
    <s v="Close"/>
    <n v="1.6449275365828173E-2"/>
    <n v="1"/>
    <n v="0.85"/>
    <m/>
  </r>
  <r>
    <n v="2271"/>
    <n v="2025"/>
    <n v="2024"/>
    <s v="Year_2"/>
    <d v="2024-07-02T00:00:00"/>
    <s v="KUD16"/>
    <s v="O2R2"/>
    <s v="SIL"/>
    <n v="4.3478260869565223E-2"/>
    <n v="4239"/>
    <x v="40"/>
    <s v="HVCB Unknown Trip Reason"/>
    <s v="Breakdown"/>
    <d v="2024-07-02T14:18:54"/>
    <d v="2024-07-02T14:18:54"/>
    <d v="2024-07-02T14:35:02"/>
    <d v="1899-12-30T00:00:00"/>
    <n v="0.26888888888061047"/>
    <n v="0.26888888888061047"/>
    <s v="Auto reset"/>
    <s v="Close"/>
    <n v="1.1690821255678717E-2"/>
    <n v="0.99341021416803954"/>
    <n v="0"/>
    <m/>
  </r>
  <r>
    <n v="2272"/>
    <n v="2025"/>
    <n v="2024"/>
    <s v="Year_2"/>
    <d v="2024-07-02T00:00:00"/>
    <s v="KUD17"/>
    <s v="O2R2"/>
    <s v="SIL"/>
    <n v="4.3478260869565223E-2"/>
    <n v="3806"/>
    <x v="147"/>
    <s v="HubSafetySystem Batt.Charg.Err"/>
    <s v="Breakdown"/>
    <d v="2024-07-02T14:18:54"/>
    <d v="2024-07-02T14:18:54"/>
    <d v="2024-07-02T14:35:34"/>
    <d v="1899-12-30T00:00:00"/>
    <n v="0.27777777775190771"/>
    <n v="0.27777777775190771"/>
    <s v="Auto reset"/>
    <s v="Close"/>
    <n v="1.2077294684865554E-2"/>
    <n v="0.99341021416803954"/>
    <n v="0.86"/>
    <m/>
  </r>
  <r>
    <n v="2273"/>
    <n v="2025"/>
    <n v="2024"/>
    <s v="Year_2"/>
    <d v="2024-07-02T00:00:00"/>
    <s v="KUD20"/>
    <s v="O2R1"/>
    <s v="KSIPL"/>
    <n v="4.3478260869565223E-2"/>
    <n v="3806"/>
    <x v="147"/>
    <s v="HubSafetySystem Batt.Charg.Err"/>
    <s v="Breakdown"/>
    <d v="2024-07-02T14:18:54"/>
    <d v="2024-07-02T14:18:54"/>
    <d v="2024-07-02T14:38:17"/>
    <d v="1899-12-30T00:00:00"/>
    <n v="0.32305555563652888"/>
    <n v="0.32305555563652888"/>
    <s v="Auto reset"/>
    <s v="Close"/>
    <n v="1.4045893723327344E-2"/>
    <n v="0.91889483065953659"/>
    <n v="0.73"/>
    <m/>
  </r>
  <r>
    <n v="2274"/>
    <n v="2025"/>
    <n v="2024"/>
    <s v="Year_2"/>
    <d v="2024-07-02T00:00:00"/>
    <s v="KUD21"/>
    <s v="O2R3"/>
    <s v="JK"/>
    <n v="4.3478260869565223E-2"/>
    <n v="3806"/>
    <x v="147"/>
    <s v="HubSafetySystem Batt.Charg.Err"/>
    <s v="Breakdown"/>
    <d v="2024-07-02T14:18:54"/>
    <d v="2024-07-02T14:18:54"/>
    <d v="2024-07-02T14:30:41"/>
    <d v="1899-12-30T00:00:00"/>
    <n v="0.19638888887129724"/>
    <n v="0.19638888887129724"/>
    <s v="Auto reset"/>
    <s v="Close"/>
    <n v="8.5386473422303152E-3"/>
    <n v="0.92521367521367526"/>
    <n v="0.61"/>
    <m/>
  </r>
  <r>
    <n v="2275"/>
    <n v="2025"/>
    <n v="2024"/>
    <s v="Year_2"/>
    <d v="2024-07-02T00:00:00"/>
    <s v="KUD22"/>
    <s v="O2R3"/>
    <s v="JK"/>
    <n v="4.3478260869565223E-2"/>
    <n v="3806"/>
    <x v="147"/>
    <s v="HubSafetySystem Batt.Charg.Err"/>
    <s v="Breakdown"/>
    <d v="2024-07-02T14:18:54"/>
    <d v="2024-07-02T14:18:54"/>
    <d v="2024-07-02T14:43:45"/>
    <d v="1899-12-30T00:00:00"/>
    <n v="0.41416666674194857"/>
    <n v="0.41416666674194857"/>
    <s v="Auto reset"/>
    <s v="Close"/>
    <n v="1.8007246380084722E-2"/>
    <n v="0.93925341989334565"/>
    <n v="0.98"/>
    <m/>
  </r>
  <r>
    <n v="2276"/>
    <n v="2025"/>
    <n v="2024"/>
    <s v="Year_2"/>
    <d v="2024-07-02T00:00:00"/>
    <s v="KUD23"/>
    <s v="O2R3"/>
    <s v="JK"/>
    <n v="4.3478260869565223E-2"/>
    <n v="3806"/>
    <x v="147"/>
    <s v="HubSafetySystem Batt.Charg.Err"/>
    <s v="Breakdown"/>
    <d v="2024-07-02T14:18:54"/>
    <d v="2024-07-02T14:18:54"/>
    <d v="2024-07-02T14:25:33"/>
    <d v="1899-12-30T00:00:00"/>
    <n v="0.11083333339774981"/>
    <n v="0.11083333339774981"/>
    <s v="Auto reset"/>
    <s v="Close"/>
    <n v="4.818840582510862E-3"/>
    <n v="0.92521367521367526"/>
    <n v="0.53"/>
    <m/>
  </r>
  <r>
    <n v="2277"/>
    <n v="2025"/>
    <n v="2024"/>
    <s v="Year_2"/>
    <d v="2024-07-03T00:00:00"/>
    <s v="KUD11"/>
    <s v="O2R1"/>
    <s v="KSIPL"/>
    <n v="4.3478260869565223E-2"/>
    <n v="450"/>
    <x v="127"/>
    <s v="Ext. High I sum Grd inv."/>
    <s v="Breakdown"/>
    <d v="1899-12-30T21:54:00"/>
    <d v="1899-12-30T21:54:00"/>
    <d v="1899-12-30T22:01:00"/>
    <d v="1899-12-30T00:00:00"/>
    <n v="0.11666666666666625"/>
    <n v="0.11666666666666625"/>
    <s v="Auto reset"/>
    <s v="Close"/>
    <n v="5.0724637681159243E-3"/>
    <n v="1"/>
    <n v="0.39"/>
    <m/>
  </r>
  <r>
    <n v="2278"/>
    <n v="2025"/>
    <n v="2024"/>
    <s v="Year_2"/>
    <d v="2024-07-04T00:00:00"/>
    <s v="KUD01"/>
    <s v="O2R1"/>
    <s v="KSIPL"/>
    <n v="4.3478260869565223E-2"/>
    <n v="450"/>
    <x v="127"/>
    <s v="Ext. High I sum Grd inv."/>
    <s v="Breakdown"/>
    <d v="1899-12-30T19:47:00"/>
    <d v="1899-12-30T19:47:00"/>
    <d v="1899-12-30T19:54:00"/>
    <d v="1899-12-30T00:00:00"/>
    <n v="0.11666666666666892"/>
    <n v="0.11666666666666892"/>
    <s v="Auto reset"/>
    <s v="Close"/>
    <n v="5.0724637681160405E-3"/>
    <n v="1"/>
    <n v="0.32"/>
    <m/>
  </r>
  <r>
    <n v="2279"/>
    <n v="2025"/>
    <n v="2024"/>
    <s v="Year_2"/>
    <d v="2024-07-05T00:00:00"/>
    <s v="KUD01"/>
    <s v="O2R1"/>
    <s v="KSIPL"/>
    <n v="4.3478260869565223E-2"/>
    <n v="3298"/>
    <x v="47"/>
    <s v="Yaw To Cable Twist Reset"/>
    <s v="Breakdown"/>
    <d v="1899-12-30T02:44:00"/>
    <d v="1899-12-30T02:44:00"/>
    <d v="1899-12-30T02:52:00"/>
    <d v="1899-12-30T00:00:00"/>
    <n v="0.13333333333333353"/>
    <n v="0.13333333333333353"/>
    <s v="Turbine self cable Twist release"/>
    <s v="Close"/>
    <n v="5.7971014492753711E-3"/>
    <n v="1"/>
    <n v="0.11"/>
    <m/>
  </r>
  <r>
    <n v="2280"/>
    <n v="2025"/>
    <n v="2024"/>
    <s v="Year_2"/>
    <d v="2024-07-05T00:00:00"/>
    <s v="KUD04"/>
    <s v="O2R3"/>
    <s v="JK"/>
    <n v="4.3478260869565223E-2"/>
    <n v="4235"/>
    <x v="93"/>
    <s v="Gen Stator CB Open"/>
    <s v="Breakdown"/>
    <d v="1899-12-30T16:10:00"/>
    <d v="1899-12-30T16:10:00"/>
    <d v="1899-12-30T16:12:00"/>
    <d v="1899-12-30T00:00:00"/>
    <n v="3.3333333333333215E-2"/>
    <n v="3.3333333333333215E-2"/>
    <s v="Auto reset"/>
    <s v="Close"/>
    <n v="1.4492753623188356E-3"/>
    <n v="1"/>
    <n v="0"/>
    <m/>
  </r>
  <r>
    <n v="2281"/>
    <n v="2025"/>
    <n v="2024"/>
    <s v="Year_2"/>
    <d v="2024-07-05T00:00:00"/>
    <s v="KUD04"/>
    <s v="O2R3"/>
    <s v="JK"/>
    <n v="4.3478260869565223E-2"/>
    <n v="6293"/>
    <x v="32"/>
    <s v="Pitch valves test active"/>
    <s v="Breakdown"/>
    <d v="1899-12-30T16:12:00"/>
    <d v="1899-12-30T16:12:00"/>
    <d v="1899-12-30T16:18:00"/>
    <d v="1899-12-30T00:00:00"/>
    <n v="9.9999999999999645E-2"/>
    <n v="9.9999999999999645E-2"/>
    <s v="Turbine self test taken"/>
    <s v="Close"/>
    <n v="4.347826086956507E-3"/>
    <n v="1"/>
    <n v="0"/>
    <m/>
  </r>
  <r>
    <n v="2282"/>
    <n v="2025"/>
    <n v="2024"/>
    <s v="Year_2"/>
    <d v="2024-07-05T00:00:00"/>
    <s v="KUD16"/>
    <s v="O2R2"/>
    <s v="SIL"/>
    <n v="4.3478260869565223E-2"/>
    <n v="4239"/>
    <x v="40"/>
    <s v="HVCB Unknown Trip Reason"/>
    <s v="Breakdown"/>
    <d v="1899-12-30T16:08:00"/>
    <d v="1899-12-30T16:08:00"/>
    <d v="1899-12-30T16:26:00"/>
    <d v="1899-12-30T00:00:00"/>
    <n v="0.29999999999999893"/>
    <n v="0.29999999999999893"/>
    <s v="Remote reset done"/>
    <s v="Close"/>
    <n v="1.3043478260869521E-2"/>
    <n v="1"/>
    <n v="0.59"/>
    <m/>
  </r>
  <r>
    <n v="2283"/>
    <n v="2025"/>
    <n v="2024"/>
    <s v="Year_2"/>
    <d v="2024-07-06T00:00:00"/>
    <s v="KUD02"/>
    <s v="O2R3"/>
    <s v="JK"/>
    <n v="4.3478260869565223E-2"/>
    <n v="900"/>
    <x v="100"/>
    <s v="Pause pressed on keyboard"/>
    <s v="Manual Stop"/>
    <d v="1899-12-30T12:00:00"/>
    <d v="1899-12-30T12:00:00"/>
    <d v="1899-12-30T13:12:00"/>
    <d v="1899-12-30T00:00:00"/>
    <n v="1.2000000000000011"/>
    <n v="1.2000000000000011"/>
    <s v="Found VPC extrnal fan MPCB in tripped condition so checked related components and connections found all are ok then restored"/>
    <s v="Close"/>
    <n v="5.2173913043478314E-2"/>
    <n v="1"/>
    <n v="2.4500000000000002"/>
    <m/>
  </r>
  <r>
    <n v="2284"/>
    <n v="2025"/>
    <n v="2024"/>
    <s v="Year_2"/>
    <d v="2024-07-06T00:00:00"/>
    <s v="KUD11"/>
    <s v="O2R1"/>
    <s v="KSIPL"/>
    <n v="4.3478260869565223E-2"/>
    <n v="900"/>
    <x v="100"/>
    <s v="Pause pressed on keyboard"/>
    <s v="Manual Stop"/>
    <d v="1899-12-30T15:49:00"/>
    <d v="1899-12-30T15:49:00"/>
    <d v="1899-12-30T18:51:00"/>
    <d v="1899-12-30T00:00:00"/>
    <n v="3.0333333333333332"/>
    <n v="3.0333333333333332"/>
    <s v="Generator NDE bearing side old grease removed and manually grease applied then PT100 sensor replaced after restored"/>
    <s v="Close"/>
    <n v="0.13188405797101452"/>
    <n v="0.99058602024005649"/>
    <n v="6.92"/>
    <m/>
  </r>
  <r>
    <n v="2285"/>
    <n v="2025"/>
    <n v="2024"/>
    <s v="Year_2"/>
    <d v="2024-07-07T00:00:00"/>
    <s v="KUD03"/>
    <s v="O2R1"/>
    <s v="KSIPL"/>
    <n v="4.3478260869565223E-2"/>
    <n v="4235"/>
    <x v="93"/>
    <s v="Gen Stator CB Open"/>
    <s v="Breakdown"/>
    <d v="1899-12-30T14:40:00"/>
    <d v="1899-12-30T14:40:00"/>
    <d v="1899-12-30T14:41:00"/>
    <d v="1899-12-30T00:00:00"/>
    <n v="1.6666666666666607E-2"/>
    <n v="1.6666666666666607E-2"/>
    <s v="Auto reset"/>
    <s v="Close"/>
    <n v="7.246376811594178E-4"/>
    <n v="0.98765843895930616"/>
    <n v="0.27"/>
    <m/>
  </r>
  <r>
    <n v="2286"/>
    <n v="2025"/>
    <n v="2024"/>
    <s v="Year_2"/>
    <d v="2024-07-07T00:00:00"/>
    <s v="KUD03"/>
    <s v="O2R1"/>
    <s v="KSIPL"/>
    <n v="4.3478260869565223E-2"/>
    <n v="6293"/>
    <x v="32"/>
    <s v="Pitch valves test active"/>
    <m/>
    <d v="1899-12-30T14:42:00"/>
    <d v="1899-12-30T14:42:00"/>
    <d v="1899-12-30T14:48:00"/>
    <d v="1899-12-30T00:00:00"/>
    <n v="9.9999999999999645E-2"/>
    <n v="9.9999999999999645E-2"/>
    <s v="Turbine self test taken"/>
    <s v="Close"/>
    <n v="4.347826086956507E-3"/>
    <n v="0.98765843895930616"/>
    <n v="0"/>
    <m/>
  </r>
  <r>
    <n v="2287"/>
    <n v="2025"/>
    <n v="2024"/>
    <s v="Year_2"/>
    <d v="2024-07-07T00:00:00"/>
    <s v="KUD08"/>
    <s v="O2R3"/>
    <s v="JK"/>
    <n v="4.3478260869565223E-2"/>
    <n v="4235"/>
    <x v="93"/>
    <s v="Gen Stator CB Open"/>
    <s v="Breakdown"/>
    <d v="1899-12-30T15:12:00"/>
    <d v="1899-12-30T15:12:00"/>
    <d v="1899-12-30T15:13:00"/>
    <d v="1899-12-30T00:00:00"/>
    <n v="1.6666666666666607E-2"/>
    <n v="1.6666666666666607E-2"/>
    <s v="Auto reset"/>
    <s v="Close"/>
    <n v="7.246376811594178E-4"/>
    <n v="0.98497780812564018"/>
    <n v="0"/>
    <m/>
  </r>
  <r>
    <n v="2288"/>
    <n v="2025"/>
    <n v="2024"/>
    <s v="Year_2"/>
    <d v="2024-07-07T00:00:00"/>
    <s v="KUD08"/>
    <s v="O2R3"/>
    <s v="JK"/>
    <n v="4.3478260869565223E-2"/>
    <n v="6293"/>
    <x v="32"/>
    <s v="Pitch valves test active"/>
    <m/>
    <d v="1899-12-30T15:14:00"/>
    <d v="1899-12-30T15:14:00"/>
    <d v="1899-12-30T15:20:00"/>
    <d v="1899-12-30T00:00:00"/>
    <n v="9.9999999999999645E-2"/>
    <n v="9.9999999999999645E-2"/>
    <s v="Turbine self test taken"/>
    <s v="Close"/>
    <n v="4.347826086956507E-3"/>
    <n v="0.98497780812564018"/>
    <n v="1.32"/>
    <m/>
  </r>
  <r>
    <n v="2289"/>
    <n v="2025"/>
    <n v="2024"/>
    <s v="Year_2"/>
    <d v="2024-07-07T00:00:00"/>
    <s v="KUD11"/>
    <s v="O2R1"/>
    <s v="KSIPL"/>
    <n v="4.3478260869565223E-2"/>
    <n v="3806"/>
    <x v="147"/>
    <s v="HubSafetySystem Batt.Charg.Err"/>
    <s v="Breakdown"/>
    <d v="1899-12-30T14:38:00"/>
    <d v="1899-12-30T14:38:00"/>
    <d v="1899-12-30T14:40:00"/>
    <d v="1899-12-30T00:00:00"/>
    <n v="3.3333333333333215E-2"/>
    <n v="3.3333333333333215E-2"/>
    <s v="Auto reset"/>
    <s v="Close"/>
    <n v="1.4492753623188356E-3"/>
    <n v="0.99487836107554417"/>
    <n v="0.01"/>
    <m/>
  </r>
  <r>
    <n v="2290"/>
    <n v="2025"/>
    <n v="2024"/>
    <s v="Year_2"/>
    <d v="2024-07-07T00:00:00"/>
    <s v="KUD02"/>
    <s v="O2R3"/>
    <s v="JK"/>
    <n v="4.3478260869565223E-2"/>
    <n v="4519"/>
    <x v="126"/>
    <s v="HubSafty HydrPres  Low DBlk"/>
    <s v="Breakdown"/>
    <d v="1899-12-30T14:37:00"/>
    <d v="1899-12-30T14:37:00"/>
    <d v="1899-12-30T14:38:00"/>
    <d v="1899-12-30T00:00:00"/>
    <n v="1.6666666666669272E-2"/>
    <n v="1.6666666666669272E-2"/>
    <s v="Auto reset"/>
    <s v="Close"/>
    <n v="7.2463768115953371E-4"/>
    <n v="0.97782767330900922"/>
    <n v="0.37"/>
    <m/>
  </r>
  <r>
    <n v="2291"/>
    <n v="2025"/>
    <n v="2024"/>
    <s v="Year_2"/>
    <d v="2024-07-07T00:00:00"/>
    <s v="KUD04"/>
    <s v="O2R3"/>
    <s v="JK"/>
    <n v="4.3478260869565223E-2"/>
    <n v="2676"/>
    <x v="124"/>
    <s v="UPS Error"/>
    <s v="Breakdown"/>
    <d v="1899-12-30T14:54:00"/>
    <d v="1899-12-30T14:54:00"/>
    <d v="1899-12-30T15:57:00"/>
    <d v="1899-12-30T00:00:00"/>
    <n v="1.0499999999999989"/>
    <n v="1.0499999999999989"/>
    <s v="UPS reboot done"/>
    <s v="Close"/>
    <n v="4.5652173913043437E-2"/>
    <n v="1"/>
    <n v="1.74"/>
    <m/>
  </r>
  <r>
    <n v="2292"/>
    <n v="2025"/>
    <n v="2024"/>
    <s v="Year_2"/>
    <d v="2024-07-07T00:00:00"/>
    <s v="KUD05"/>
    <s v="O2R3"/>
    <s v="JK"/>
    <n v="4.3478260869565223E-2"/>
    <n v="4519"/>
    <x v="126"/>
    <s v="HubSafty HydrPres  Low DBlk"/>
    <s v="Breakdown"/>
    <d v="1899-12-30T14:37:00"/>
    <d v="1899-12-30T14:37:00"/>
    <d v="1899-12-30T14:38:00"/>
    <d v="1899-12-30T00:00:00"/>
    <n v="1.6666666666669272E-2"/>
    <n v="1.6666666666669272E-2"/>
    <s v="Auto reset"/>
    <s v="Close"/>
    <n v="7.2463768115953371E-4"/>
    <n v="1"/>
    <n v="0.37"/>
    <m/>
  </r>
  <r>
    <n v="2293"/>
    <n v="2025"/>
    <n v="2024"/>
    <s v="Year_2"/>
    <d v="2024-07-07T00:00:00"/>
    <s v="KUD06"/>
    <s v="O2R3"/>
    <s v="JK"/>
    <n v="4.3478260869565223E-2"/>
    <n v="4519"/>
    <x v="126"/>
    <s v="HubSafty HydrPres  Low DBlk"/>
    <s v="Breakdown"/>
    <d v="1899-12-30T14:37:00"/>
    <d v="1899-12-30T14:37:00"/>
    <d v="1899-12-30T14:38:00"/>
    <d v="1899-12-30T00:00:00"/>
    <n v="1.6666666666669272E-2"/>
    <n v="1.6666666666669272E-2"/>
    <s v="Auto reset"/>
    <s v="Close"/>
    <n v="7.2463768115953371E-4"/>
    <n v="0.98497780812564018"/>
    <n v="0.37"/>
    <m/>
  </r>
  <r>
    <n v="2294"/>
    <n v="2025"/>
    <n v="2024"/>
    <s v="Year_2"/>
    <d v="2024-07-07T00:00:00"/>
    <s v="KUD07"/>
    <s v="O2R3"/>
    <s v="JK"/>
    <n v="4.3478260869565223E-2"/>
    <n v="4235"/>
    <x v="93"/>
    <s v="Gen Stator CB Open"/>
    <s v="Breakdown"/>
    <d v="1899-12-30T14:43:00"/>
    <d v="1899-12-30T14:43:00"/>
    <d v="1899-12-30T14:44:00"/>
    <d v="1899-12-30T00:00:00"/>
    <n v="1.6666666666666607E-2"/>
    <n v="1.6666666666666607E-2"/>
    <s v="Auto reset"/>
    <s v="Close"/>
    <n v="7.246376811594178E-4"/>
    <n v="0.98765843895930616"/>
    <n v="0.44"/>
    <m/>
  </r>
  <r>
    <n v="2295"/>
    <n v="2025"/>
    <n v="2024"/>
    <s v="Year_2"/>
    <d v="2024-07-07T00:00:00"/>
    <s v="KUD07"/>
    <s v="O2R3"/>
    <s v="JK"/>
    <n v="4.3478260869565223E-2"/>
    <n v="6293"/>
    <x v="32"/>
    <s v="Pitch valves test active"/>
    <m/>
    <d v="1899-12-30T14:46:00"/>
    <d v="1899-12-30T14:46:00"/>
    <d v="1899-12-30T14:50:00"/>
    <d v="1899-12-30T00:00:00"/>
    <n v="6.666666666666643E-2"/>
    <n v="6.666666666666643E-2"/>
    <s v="Turbine self test taken"/>
    <s v="Close"/>
    <n v="2.8985507246376712E-3"/>
    <n v="0.98765843895930616"/>
    <n v="0"/>
    <m/>
  </r>
  <r>
    <n v="2296"/>
    <n v="2025"/>
    <n v="2024"/>
    <s v="Year_2"/>
    <d v="2024-07-07T00:00:00"/>
    <s v="KUD09"/>
    <s v="O2R3"/>
    <s v="JK"/>
    <n v="4.3478260869565223E-2"/>
    <n v="4519"/>
    <x v="126"/>
    <s v="HubSafty HydrPres  Low DBlk"/>
    <s v="Breakdown"/>
    <d v="1899-12-30T14:37:00"/>
    <d v="1899-12-30T14:37:00"/>
    <d v="1899-12-30T14:38:00"/>
    <d v="1899-12-30T00:00:00"/>
    <n v="1.6666666666669272E-2"/>
    <n v="1.6666666666669272E-2"/>
    <s v="Auto reset"/>
    <s v="Close"/>
    <n v="7.2463768115953371E-4"/>
    <n v="1"/>
    <n v="0.28000000000000003"/>
    <m/>
  </r>
  <r>
    <n v="2297"/>
    <n v="2025"/>
    <n v="2024"/>
    <s v="Year_2"/>
    <d v="2024-07-07T00:00:00"/>
    <s v="KUD16"/>
    <s v="O2R2"/>
    <s v="SIL"/>
    <n v="4.3478260869565223E-2"/>
    <n v="4239"/>
    <x v="40"/>
    <s v="HVCB Unknown Trip Reason"/>
    <s v="Breakdown"/>
    <d v="1899-12-30T14:39:00"/>
    <d v="1899-12-30T14:39:00"/>
    <d v="1899-12-30T15:02:00"/>
    <d v="1899-12-30T00:00:00"/>
    <n v="0.38333333333333197"/>
    <n v="0.38333333333333197"/>
    <s v="Remote reset done"/>
    <s v="Close"/>
    <n v="1.6666666666666611E-2"/>
    <n v="0.98899137161559059"/>
    <n v="0.79"/>
    <m/>
  </r>
  <r>
    <n v="2298"/>
    <n v="2025"/>
    <n v="2024"/>
    <s v="Year_2"/>
    <d v="2024-07-07T00:00:00"/>
    <s v="KUD18"/>
    <s v="O2R4"/>
    <s v="SGDCIPL"/>
    <n v="4.3478260869565223E-2"/>
    <n v="4519"/>
    <x v="126"/>
    <s v="HubSafty HydrPres  Low DBlk"/>
    <s v="Breakdown"/>
    <d v="1899-12-30T14:35:00"/>
    <d v="1899-12-30T14:35:00"/>
    <d v="1899-12-30T14:36:00"/>
    <d v="1899-12-30T00:00:00"/>
    <n v="1.6666666666666607E-2"/>
    <n v="1.6666666666666607E-2"/>
    <s v="Auto reset"/>
    <s v="Close"/>
    <n v="7.246376811594178E-4"/>
    <n v="1"/>
    <n v="0.26"/>
    <m/>
  </r>
  <r>
    <n v="2299"/>
    <n v="2025"/>
    <n v="2024"/>
    <s v="Year_2"/>
    <d v="2024-07-07T00:00:00"/>
    <s v="KUD22"/>
    <s v="O2R3"/>
    <s v="JK"/>
    <n v="4.3478260869565223E-2"/>
    <n v="4519"/>
    <x v="126"/>
    <s v="HubSafty HydrPres  Low DBlk"/>
    <s v="Breakdown"/>
    <d v="1899-12-30T14:37:00"/>
    <d v="1899-12-30T14:37:00"/>
    <d v="1899-12-30T14:38:00"/>
    <d v="1899-12-30T00:00:00"/>
    <n v="1.6666666666669272E-2"/>
    <n v="1.6666666666669272E-2"/>
    <s v="Auto reset"/>
    <s v="Close"/>
    <n v="7.2463768115953371E-4"/>
    <n v="1"/>
    <n v="0.37"/>
    <m/>
  </r>
  <r>
    <n v="2300"/>
    <n v="2025"/>
    <n v="2024"/>
    <s v="Year_2"/>
    <d v="2024-07-07T00:00:00"/>
    <s v="KUD23"/>
    <s v="O2R3"/>
    <s v="JK"/>
    <n v="4.3478260869565223E-2"/>
    <n v="4519"/>
    <x v="126"/>
    <s v="HubSafty HydrPres  Low DBlk"/>
    <s v="Breakdown"/>
    <d v="1899-12-30T14:36:00"/>
    <d v="1899-12-30T14:36:00"/>
    <d v="1899-12-30T14:37:00"/>
    <d v="1899-12-30T00:00:00"/>
    <n v="1.6666666666666607E-2"/>
    <n v="1.6666666666666607E-2"/>
    <s v="Auto reset"/>
    <s v="Close"/>
    <n v="7.246376811594178E-4"/>
    <n v="0.98866768759571211"/>
    <n v="0"/>
    <m/>
  </r>
  <r>
    <n v="2301"/>
    <n v="2025"/>
    <n v="2024"/>
    <s v="Year_2"/>
    <d v="2024-07-08T00:00:00"/>
    <s v="KUD12"/>
    <s v="O2R1"/>
    <s v="KSIPL"/>
    <n v="4.2999999999999997E-2"/>
    <n v="4235"/>
    <x v="93"/>
    <s v="Gen Stator CB Open"/>
    <s v="Breakdown"/>
    <d v="1899-12-30T11:09:00"/>
    <d v="1899-12-30T11:09:00"/>
    <d v="1899-12-30T11:32:00"/>
    <d v="1899-12-30T00:00:00"/>
    <n v="0.3833333333333333"/>
    <n v="0.3833333333333333"/>
    <s v="Auto reset"/>
    <s v="Close"/>
    <n v="1.6483333333333329E-2"/>
    <n v="0.99353169469598968"/>
    <n v="0.35"/>
    <m/>
  </r>
  <r>
    <n v="2302"/>
    <n v="2025"/>
    <n v="2024"/>
    <s v="Year_2"/>
    <d v="2024-07-08T00:00:00"/>
    <s v="KUD08"/>
    <s v="O2R3"/>
    <s v="JK"/>
    <n v="4.2999999999999997E-2"/>
    <n v="2953"/>
    <x v="141"/>
    <s v="Main aux freq low:  45 Hz"/>
    <s v="Breakdown"/>
    <d v="1899-12-30T11:09:00"/>
    <d v="1899-12-30T11:09:00"/>
    <d v="1899-12-30T11:17:00"/>
    <d v="1899-12-30T00:00:00"/>
    <n v="0.13333333333333286"/>
    <n v="0.13333333333333286"/>
    <s v="Auto reset"/>
    <s v="Close"/>
    <n v="5.7333333333333125E-3"/>
    <n v="1"/>
    <n v="0.01"/>
    <m/>
  </r>
  <r>
    <n v="2303"/>
    <n v="2025"/>
    <n v="2024"/>
    <s v="Year_2"/>
    <d v="2024-07-08T00:00:00"/>
    <s v="KUD13"/>
    <s v="O2R1"/>
    <s v="KSIPL"/>
    <n v="4.2999999999999997E-2"/>
    <n v="3296"/>
    <x v="46"/>
    <s v="Yaw To Nacelle Position Reset"/>
    <s v="Breakdown"/>
    <d v="1899-12-30T04:26:00"/>
    <d v="1899-12-30T04:26:00"/>
    <d v="1899-12-30T04:53:00"/>
    <d v="1899-12-30T00:00:00"/>
    <n v="0.44999999999999973"/>
    <n v="0.44999999999999973"/>
    <s v="Auto reset"/>
    <s v="Close"/>
    <n v="1.9349999999999985E-2"/>
    <n v="0.98671222475322706"/>
    <n v="0.15"/>
    <m/>
  </r>
  <r>
    <n v="2304"/>
    <n v="2025"/>
    <n v="2024"/>
    <s v="Year_2"/>
    <d v="2024-07-10T00:00:00"/>
    <s v="KUD10"/>
    <s v="O2R1"/>
    <s v="KSIPL"/>
    <n v="4.3478260869565223E-2"/>
    <n v="6293"/>
    <x v="32"/>
    <s v="Pitch valves test acitve"/>
    <s v="Breakdown"/>
    <d v="1899-12-30T15:29:00"/>
    <d v="1899-12-30T15:29:00"/>
    <d v="1899-12-30T15:36:00"/>
    <d v="1899-12-30T00:00:00"/>
    <n v="0.11666666666666625"/>
    <n v="0.11666666666666625"/>
    <s v="Auto reset"/>
    <s v="Close"/>
    <n v="5.0724637681159243E-3"/>
    <n v="1"/>
    <n v="0.36"/>
    <m/>
  </r>
  <r>
    <n v="2305"/>
    <n v="2025"/>
    <n v="2024"/>
    <s v="Year_2"/>
    <d v="2024-07-10T00:00:00"/>
    <s v="KUD19"/>
    <s v="O2R1"/>
    <s v="KSIPL"/>
    <n v="4.3478260869565223E-2"/>
    <n v="900"/>
    <x v="100"/>
    <s v="Pause pressed on keyboard"/>
    <s v="Manual Stop"/>
    <d v="2024-07-10T13:53:49"/>
    <d v="2024-07-10T13:53:49"/>
    <d v="2024-07-10T19:53:42"/>
    <d v="1899-12-30T00:00:00"/>
    <n v="5.9980555554502644"/>
    <n v="5.9980555554502644"/>
    <s v="After inspection found that inside the blade A CAN CT6050 moisture bag got opened so the CT6050 malfunctioned hence same is replaced with new one and blade load calibration done and started the turbine"/>
    <s v="Close"/>
    <n v="0.26078502415001154"/>
    <n v="1"/>
    <n v="5.93"/>
    <m/>
  </r>
  <r>
    <n v="2306"/>
    <n v="2025"/>
    <n v="2024"/>
    <s v="Year_2"/>
    <d v="2024-07-11T00:00:00"/>
    <s v="KUD01"/>
    <s v="O2R1"/>
    <s v="KSIPL"/>
    <n v="4.3478260869565223E-2"/>
    <n v="450"/>
    <x v="127"/>
    <s v="Ext. High I sum Grd inv."/>
    <s v="Breakdown"/>
    <d v="2024-07-11T07:51:03"/>
    <d v="2024-07-11T07:51:03"/>
    <d v="2024-07-11T07:58:12"/>
    <d v="1899-12-30T00:00:00"/>
    <n v="0.11916666675824672"/>
    <n v="0.11916666675824672"/>
    <s v="Auto reset"/>
    <s v="Close"/>
    <n v="5.1811594242715973E-3"/>
    <n v="0.99643640350877194"/>
    <n v="0.51"/>
    <m/>
  </r>
  <r>
    <n v="2307"/>
    <n v="2025"/>
    <n v="2024"/>
    <s v="Year_2"/>
    <d v="2024-07-11T00:00:00"/>
    <s v="KUD10"/>
    <s v="O2R1"/>
    <s v="KSIPL"/>
    <n v="4.3478260869565223E-2"/>
    <n v="334"/>
    <x v="182"/>
    <s v="High cur.grid inv. L1:2168A"/>
    <s v="Breakdown"/>
    <d v="1899-12-30T12:04:00"/>
    <d v="1899-12-30T12:04:00"/>
    <d v="1899-12-30T12:15:00"/>
    <d v="1899-12-30T00:00:00"/>
    <n v="0.18333333333333268"/>
    <n v="0.18333333333333268"/>
    <s v="Auto reset"/>
    <s v="Close"/>
    <n v="7.9710144927535951E-3"/>
    <n v="0.98649459783913562"/>
    <n v="0.23"/>
    <m/>
  </r>
  <r>
    <n v="2308"/>
    <n v="2025"/>
    <n v="2024"/>
    <s v="Year_2"/>
    <d v="2024-07-11T00:00:00"/>
    <s v="KUD11"/>
    <s v="O2R1"/>
    <s v="KSIPL"/>
    <n v="4.3478260869565223E-2"/>
    <n v="3806"/>
    <x v="147"/>
    <s v="HubSafetySystem Batt.Charg.Err"/>
    <s v="Breakdown"/>
    <d v="1899-12-30T12:04:00"/>
    <d v="1899-12-30T12:04:00"/>
    <d v="1899-12-30T12:05:00"/>
    <d v="1899-12-30T00:00:00"/>
    <n v="1.6666666666666607E-2"/>
    <n v="1.6666666666666607E-2"/>
    <s v="Auto reset"/>
    <s v="Close"/>
    <n v="7.246376811594178E-4"/>
    <n v="0.99278770774537473"/>
    <n v="0.45"/>
    <m/>
  </r>
  <r>
    <n v="2309"/>
    <n v="2025"/>
    <n v="2024"/>
    <s v="Year_2"/>
    <d v="2024-07-11T00:00:00"/>
    <s v="KUD12"/>
    <s v="O2R1"/>
    <s v="KSIPL"/>
    <n v="4.3478260869565223E-2"/>
    <n v="4235"/>
    <x v="93"/>
    <s v="Gen Stator CB Open"/>
    <s v="Breakdown"/>
    <d v="1899-12-30T12:04:00"/>
    <d v="1899-12-30T12:04:00"/>
    <d v="1899-12-30T12:12:00"/>
    <d v="1899-12-30T00:00:00"/>
    <n v="0.13333333333333286"/>
    <n v="0.13333333333333286"/>
    <s v="Auto reset"/>
    <s v="Close"/>
    <n v="5.7971014492753424E-3"/>
    <n v="0.99477806788511747"/>
    <n v="0.22"/>
    <m/>
  </r>
  <r>
    <n v="2310"/>
    <n v="2025"/>
    <n v="2024"/>
    <s v="Year_2"/>
    <d v="2024-07-11T00:00:00"/>
    <s v="KUD13"/>
    <s v="O2R1"/>
    <s v="KSIPL"/>
    <n v="4.3478260869565223E-2"/>
    <n v="3806"/>
    <x v="147"/>
    <s v="HubSafetySystem Batt.Charg.Err"/>
    <s v="Breakdown"/>
    <d v="1899-12-30T12:04:00"/>
    <d v="1899-12-30T12:04:00"/>
    <d v="1899-12-30T12:05:00"/>
    <d v="1899-12-30T00:00:00"/>
    <n v="1.6666666666666607E-2"/>
    <n v="1.6666666666666607E-2"/>
    <s v="Auto reset"/>
    <s v="Close"/>
    <n v="7.246376811594178E-4"/>
    <n v="0.99309045226130654"/>
    <n v="0.18"/>
    <m/>
  </r>
  <r>
    <n v="2311"/>
    <n v="2025"/>
    <n v="2024"/>
    <s v="Year_2"/>
    <d v="2024-07-11T00:00:00"/>
    <s v="KUD16"/>
    <s v="O2R2"/>
    <s v="SIL"/>
    <n v="4.3478260869565223E-2"/>
    <n v="30"/>
    <x v="44"/>
    <s v="Internal sublogic error"/>
    <s v="Breakdown"/>
    <d v="1899-12-30T12:04:00"/>
    <d v="1899-12-30T12:04:00"/>
    <d v="1899-12-30T12:14:00"/>
    <d v="1899-12-30T00:00:00"/>
    <n v="0.16666666666666607"/>
    <n v="0.16666666666666607"/>
    <s v="Auto reset"/>
    <s v="Close"/>
    <n v="7.2463768115941778E-3"/>
    <n v="1"/>
    <n v="0.25"/>
    <m/>
  </r>
  <r>
    <n v="2312"/>
    <n v="2025"/>
    <n v="2024"/>
    <s v="Year_2"/>
    <d v="2024-07-11T00:00:00"/>
    <s v="KUD17"/>
    <s v="O2R2"/>
    <s v="SIL"/>
    <n v="4.3478260869565223E-2"/>
    <n v="4235"/>
    <x v="93"/>
    <s v="Gen Stator CB Open"/>
    <s v="Breakdown"/>
    <d v="1899-12-30T12:04:00"/>
    <d v="1899-12-30T12:04:00"/>
    <d v="1899-12-30T12:11:00"/>
    <d v="1899-12-30T00:00:00"/>
    <n v="0.11666666666666625"/>
    <n v="0.11666666666666625"/>
    <s v="Auto reset"/>
    <s v="Close"/>
    <n v="5.0724637681159243E-3"/>
    <n v="1"/>
    <n v="0.11"/>
    <m/>
  </r>
  <r>
    <n v="2313"/>
    <n v="2025"/>
    <n v="2024"/>
    <s v="Year_2"/>
    <d v="2024-07-11T00:00:00"/>
    <s v="KUD22"/>
    <s v="O2R3"/>
    <s v="JK"/>
    <n v="4.3478260869565223E-2"/>
    <n v="3806"/>
    <x v="147"/>
    <s v="HubSafetySystem Batt.Charg.Err"/>
    <s v="Breakdown"/>
    <d v="1899-12-30T13:20:00"/>
    <d v="1899-12-30T13:20:00"/>
    <d v="1899-12-30T13:26:00"/>
    <d v="1899-12-30T00:00:00"/>
    <n v="9.9999999999999645E-2"/>
    <n v="9.9999999999999645E-2"/>
    <s v="Auto reset"/>
    <s v="Close"/>
    <n v="4.347826086956507E-3"/>
    <n v="1"/>
    <n v="0.28000000000000003"/>
    <m/>
  </r>
  <r>
    <n v="2314"/>
    <n v="2025"/>
    <n v="2024"/>
    <s v="Year_2"/>
    <d v="2024-07-11T00:00:00"/>
    <s v="KUD21"/>
    <s v="O2R3"/>
    <s v="JK"/>
    <n v="4.3478260869565223E-2"/>
    <n v="3806"/>
    <x v="147"/>
    <s v="HubSafetySystem Batt.Charg.Err"/>
    <s v="Breakdown"/>
    <d v="1899-12-30T13:20:00"/>
    <d v="1899-12-30T13:20:00"/>
    <d v="1899-12-30T13:28:00"/>
    <d v="1899-12-30T00:00:00"/>
    <n v="0.13333333333333286"/>
    <n v="0.13333333333333286"/>
    <s v="Auto reset"/>
    <s v="Close"/>
    <n v="5.7971014492753424E-3"/>
    <n v="0.99193548387096775"/>
    <n v="0"/>
    <m/>
  </r>
  <r>
    <n v="2315"/>
    <n v="2025"/>
    <n v="2024"/>
    <s v="Year_2"/>
    <d v="2024-07-11T00:00:00"/>
    <s v="KUD20"/>
    <s v="O2R1"/>
    <s v="KSIPL"/>
    <n v="4.3478260869565223E-2"/>
    <n v="3806"/>
    <x v="147"/>
    <s v="HubSafetySystem Batt.Charg.Err"/>
    <s v="Breakdown"/>
    <d v="1899-12-30T13:20:00"/>
    <d v="1899-12-30T13:20:00"/>
    <d v="1899-12-30T13:26:00"/>
    <d v="1899-12-30T00:00:00"/>
    <n v="9.9999999999999645E-2"/>
    <n v="9.9999999999999645E-2"/>
    <s v="Auto reset"/>
    <s v="Close"/>
    <n v="4.347826086956507E-3"/>
    <n v="0.99881971082915311"/>
    <n v="0.75"/>
    <m/>
  </r>
  <r>
    <n v="2316"/>
    <n v="2025"/>
    <n v="2024"/>
    <s v="Year_2"/>
    <d v="2024-07-11T00:00:00"/>
    <s v="KUD17"/>
    <s v="O2R2"/>
    <s v="SIL"/>
    <n v="4.3478260869565223E-2"/>
    <n v="3806"/>
    <x v="147"/>
    <s v="HubSafetySystem Batt.Charg.Err"/>
    <s v="Breakdown"/>
    <d v="1899-12-30T13:20:00"/>
    <d v="1899-12-30T13:20:00"/>
    <d v="1899-12-30T13:30:00"/>
    <d v="1899-12-30T00:00:00"/>
    <n v="0.16666666666666607"/>
    <n v="0.16666666666666607"/>
    <s v="Auto reset"/>
    <s v="Close"/>
    <n v="7.2463768115941778E-3"/>
    <n v="1"/>
    <n v="0"/>
    <m/>
  </r>
  <r>
    <n v="2317"/>
    <n v="2025"/>
    <n v="2024"/>
    <s v="Year_2"/>
    <d v="2024-07-11T00:00:00"/>
    <s v="KUD16"/>
    <s v="O2R2"/>
    <s v="SIL"/>
    <n v="4.3478260869565223E-2"/>
    <n v="4235"/>
    <x v="93"/>
    <s v="Gen Stator CB Open"/>
    <s v="Breakdown"/>
    <d v="1899-12-30T13:20:00"/>
    <d v="1899-12-30T13:20:00"/>
    <d v="1899-12-30T13:38:00"/>
    <d v="1899-12-30T00:00:00"/>
    <n v="0.29999999999999893"/>
    <n v="0.29999999999999893"/>
    <s v="Auto reset"/>
    <s v="Close"/>
    <n v="1.3043478260869521E-2"/>
    <n v="1"/>
    <n v="0"/>
    <m/>
  </r>
  <r>
    <n v="2318"/>
    <n v="2025"/>
    <n v="2024"/>
    <s v="Year_2"/>
    <d v="2024-07-11T00:00:00"/>
    <s v="KUD13"/>
    <s v="O2R1"/>
    <s v="KSIPL"/>
    <n v="4.3478260869565223E-2"/>
    <n v="3806"/>
    <x v="147"/>
    <s v="HubSafetySystem Batt.Charg.Err"/>
    <s v="Breakdown"/>
    <d v="1899-12-30T13:20:00"/>
    <d v="1899-12-30T13:20:00"/>
    <d v="1899-12-30T13:36:00"/>
    <d v="1899-12-30T00:00:00"/>
    <n v="0.26666666666666572"/>
    <n v="0.26666666666666572"/>
    <s v="Auto reset"/>
    <s v="Close"/>
    <n v="1.1594202898550685E-2"/>
    <n v="0.99309045226130654"/>
    <n v="0"/>
    <m/>
  </r>
  <r>
    <n v="2319"/>
    <n v="2025"/>
    <n v="2024"/>
    <s v="Year_2"/>
    <d v="2024-07-11T00:00:00"/>
    <s v="KUD12"/>
    <s v="O2R1"/>
    <s v="KSIPL"/>
    <n v="4.3478260869565223E-2"/>
    <n v="4235"/>
    <x v="93"/>
    <s v="Gen Stator CB Open"/>
    <s v="Breakdown"/>
    <d v="1899-12-30T13:20:00"/>
    <d v="1899-12-30T13:20:00"/>
    <d v="1899-12-30T13:28:00"/>
    <d v="1899-12-30T00:00:00"/>
    <n v="0.13333333333333286"/>
    <n v="0.13333333333333286"/>
    <s v="Auto reset"/>
    <s v="Close"/>
    <n v="5.7971014492753424E-3"/>
    <n v="0.99477806788511747"/>
    <n v="0"/>
    <m/>
  </r>
  <r>
    <n v="2320"/>
    <n v="2025"/>
    <n v="2024"/>
    <s v="Year_2"/>
    <d v="2024-07-11T00:00:00"/>
    <s v="KUD11"/>
    <s v="O2R1"/>
    <s v="KSIPL"/>
    <n v="4.3478260869565223E-2"/>
    <n v="3806"/>
    <x v="147"/>
    <s v="HubSafetySystem Batt.Charg.Err"/>
    <s v="Breakdown"/>
    <d v="1899-12-30T13:20:00"/>
    <d v="1899-12-30T13:20:00"/>
    <d v="1899-12-30T13:34:00"/>
    <d v="1899-12-30T00:00:00"/>
    <n v="0.2333333333333325"/>
    <n v="0.2333333333333325"/>
    <s v="Auto reset"/>
    <s v="Close"/>
    <n v="1.0144927536231849E-2"/>
    <n v="0.99278770774537473"/>
    <n v="0"/>
    <m/>
  </r>
  <r>
    <n v="2321"/>
    <n v="2025"/>
    <n v="2024"/>
    <s v="Year_2"/>
    <d v="2024-07-11T00:00:00"/>
    <s v="KUD08"/>
    <s v="O2R3"/>
    <s v="JK"/>
    <n v="4.3478260869565223E-2"/>
    <n v="315"/>
    <x v="120"/>
    <s v="ExEx low voltage L3:   3V"/>
    <s v="Breakdown"/>
    <d v="1899-12-30T13:20:00"/>
    <d v="1899-12-30T13:20:00"/>
    <d v="1899-12-30T14:44:00"/>
    <d v="1899-12-30T00:00:00"/>
    <n v="1.4000000000000004"/>
    <n v="1.4000000000000004"/>
    <s v="After grid resumption VAMP activated working progress"/>
    <s v="Close"/>
    <n v="6.0869565217391328E-2"/>
    <n v="1"/>
    <n v="3.32"/>
    <m/>
  </r>
  <r>
    <n v="2322"/>
    <n v="2025"/>
    <n v="2024"/>
    <s v="Year_2"/>
    <d v="2024-07-11T00:00:00"/>
    <s v="KUD08"/>
    <s v="O2R3"/>
    <s v="JK"/>
    <n v="4.3478260869565223E-2"/>
    <n v="315"/>
    <x v="120"/>
    <s v="ExEx low voltage L3:   3V"/>
    <s v="Breakdown"/>
    <d v="1899-12-30T15:25:00"/>
    <d v="1899-12-30T15:25:00"/>
    <d v="1899-12-30T19:14:00"/>
    <d v="1899-12-30T00:00:00"/>
    <n v="3.8166666666666664"/>
    <n v="3.8166666666666664"/>
    <s v="Transformer inspection carried out all are normal condition , After that SWG not charged found ups battery voltage low,Then interchanged the battery &amp; turbine restored."/>
    <s v="Close"/>
    <n v="0.16594202898550725"/>
    <n v="1"/>
    <n v="6"/>
    <m/>
  </r>
  <r>
    <n v="2323"/>
    <n v="2025"/>
    <n v="2024"/>
    <s v="Year_2"/>
    <d v="2024-07-11T00:00:00"/>
    <s v="KUD07"/>
    <s v="O2R3"/>
    <s v="JK"/>
    <n v="4.3478260869565223E-2"/>
    <n v="315"/>
    <x v="120"/>
    <s v="ExEx low voltage L3:   3V"/>
    <s v="Breakdown"/>
    <d v="1899-12-30T13:20:00"/>
    <d v="1899-12-30T13:20:00"/>
    <d v="1899-12-30T13:22:00"/>
    <d v="1899-12-30T00:00:00"/>
    <n v="3.3333333333333215E-2"/>
    <n v="3.3333333333333215E-2"/>
    <s v="Auto reset"/>
    <s v="Close"/>
    <n v="1.4492753623188356E-3"/>
    <n v="0.99905867587072483"/>
    <n v="0"/>
    <m/>
  </r>
  <r>
    <n v="2324"/>
    <n v="2025"/>
    <n v="2024"/>
    <s v="Year_2"/>
    <d v="2024-07-11T00:00:00"/>
    <s v="KUD06"/>
    <s v="O2R3"/>
    <s v="JK"/>
    <n v="4.3478260869565223E-2"/>
    <n v="3806"/>
    <x v="147"/>
    <s v="HubSafetySystem Batt.Charg.Err"/>
    <s v="Breakdown"/>
    <d v="1899-12-30T13:20:00"/>
    <d v="1899-12-30T13:20:00"/>
    <d v="1899-12-30T13:21:00"/>
    <d v="1899-12-30T00:00:00"/>
    <n v="1.6666666666666607E-2"/>
    <n v="1.6666666666666607E-2"/>
    <s v="Auto reset"/>
    <s v="Close"/>
    <n v="7.246376811594178E-4"/>
    <n v="1"/>
    <n v="0.03"/>
    <m/>
  </r>
  <r>
    <n v="2325"/>
    <n v="2025"/>
    <n v="2024"/>
    <s v="Year_2"/>
    <d v="2024-07-11T00:00:00"/>
    <s v="KUD03"/>
    <s v="O2R1"/>
    <s v="KSIPL"/>
    <n v="4.3478260869565223E-2"/>
    <n v="3806"/>
    <x v="147"/>
    <s v="HubSafetySystem Batt.Charg.Err"/>
    <s v="Breakdown"/>
    <d v="1899-12-30T13:20:00"/>
    <d v="1899-12-30T13:20:00"/>
    <d v="1899-12-30T13:32:00"/>
    <d v="1899-12-30T00:00:00"/>
    <n v="0.19999999999999929"/>
    <n v="0.19999999999999929"/>
    <s v="Auto reset"/>
    <s v="Close"/>
    <n v="8.6956521739130141E-3"/>
    <n v="0.99905867587072483"/>
    <n v="0.1"/>
    <m/>
  </r>
  <r>
    <n v="2326"/>
    <n v="2025"/>
    <n v="2024"/>
    <s v="Year_2"/>
    <d v="2024-07-11T00:00:00"/>
    <s v="KUD04"/>
    <s v="O2R3"/>
    <s v="JK"/>
    <n v="4.3478260869565223E-2"/>
    <n v="4235"/>
    <x v="93"/>
    <s v="Gen Stator CB Open"/>
    <s v="Breakdown"/>
    <d v="1899-12-30T13:20:00"/>
    <d v="1899-12-30T13:20:00"/>
    <d v="1899-12-30T13:31:00"/>
    <d v="1899-12-30T00:00:00"/>
    <n v="0.18333333333333268"/>
    <n v="0.18333333333333268"/>
    <s v="Auto reset"/>
    <s v="Close"/>
    <n v="7.9710144927535951E-3"/>
    <n v="0.97571243523316065"/>
    <n v="0.01"/>
    <m/>
  </r>
  <r>
    <n v="2327"/>
    <n v="2025"/>
    <n v="2024"/>
    <s v="Year_2"/>
    <d v="2024-07-11T00:00:00"/>
    <s v="KUD01"/>
    <s v="O2R1"/>
    <s v="KSIPL"/>
    <n v="4.3478260869565223E-2"/>
    <n v="3806"/>
    <x v="147"/>
    <s v="HubSafetySystem Batt.Charg.Err"/>
    <s v="Breakdown"/>
    <d v="1899-12-30T15:25:00"/>
    <d v="1899-12-30T15:25:00"/>
    <d v="1899-12-30T15:29:00"/>
    <d v="1899-12-30T00:00:00"/>
    <n v="6.666666666666643E-2"/>
    <n v="6.666666666666643E-2"/>
    <s v="Auto reset"/>
    <s v="Close"/>
    <n v="2.8985507246376712E-3"/>
    <n v="0.99643640350877194"/>
    <n v="0"/>
    <m/>
  </r>
  <r>
    <n v="2328"/>
    <n v="2025"/>
    <n v="2024"/>
    <s v="Year_2"/>
    <d v="2024-07-11T00:00:00"/>
    <s v="KUD04"/>
    <s v="O2R3"/>
    <s v="JK"/>
    <n v="4.3478260869565223E-2"/>
    <n v="334"/>
    <x v="182"/>
    <s v="High cur.grid inv. L1:2189A"/>
    <s v="Breakdown"/>
    <d v="1899-12-30T15:25:00"/>
    <d v="1899-12-30T15:25:00"/>
    <d v="1899-12-30T15:27:00"/>
    <d v="1899-12-30T00:00:00"/>
    <n v="3.3333333333333215E-2"/>
    <n v="3.3333333333333215E-2"/>
    <s v="Auto reset"/>
    <s v="Close"/>
    <n v="1.4492753623188356E-3"/>
    <n v="0.97571243523316065"/>
    <n v="0"/>
    <m/>
  </r>
  <r>
    <n v="2329"/>
    <n v="2025"/>
    <n v="2024"/>
    <s v="Year_2"/>
    <d v="2024-07-11T00:00:00"/>
    <s v="KUD06"/>
    <s v="O2R3"/>
    <s v="JK"/>
    <n v="4.3478260869565223E-2"/>
    <n v="6290"/>
    <x v="91"/>
    <s v="EMC valves test active"/>
    <s v="Breakdown"/>
    <d v="1899-12-30T23:13:00"/>
    <d v="1899-12-30T23:13:00"/>
    <d v="1899-12-30T23:16:00"/>
    <d v="1899-12-30T00:00:00"/>
    <n v="4.9999999999999822E-2"/>
    <n v="4.9999999999999822E-2"/>
    <s v="Self test taken"/>
    <s v="Close"/>
    <n v="2.1739130434782535E-3"/>
    <n v="1"/>
    <n v="0"/>
    <m/>
  </r>
  <r>
    <n v="2330"/>
    <n v="2025"/>
    <n v="2024"/>
    <s v="Year_2"/>
    <d v="2024-07-11T00:00:00"/>
    <s v="KUD10"/>
    <s v="O2R1"/>
    <s v="KSIPL"/>
    <n v="4.3478260869565223E-2"/>
    <n v="3806"/>
    <x v="147"/>
    <s v="HubSafetySystem Batt.Charg.Err"/>
    <s v="Breakdown"/>
    <d v="1899-12-30T15:25:00"/>
    <d v="1899-12-30T15:25:00"/>
    <d v="1899-12-30T15:31:00"/>
    <d v="1899-12-30T00:00:00"/>
    <n v="9.9999999999999645E-2"/>
    <n v="9.9999999999999645E-2"/>
    <s v="Auto reset"/>
    <s v="Close"/>
    <n v="4.347826086956507E-3"/>
    <n v="0.98649459783913562"/>
    <n v="0"/>
    <m/>
  </r>
  <r>
    <n v="2331"/>
    <n v="2025"/>
    <n v="2024"/>
    <s v="Year_2"/>
    <d v="2024-07-11T00:00:00"/>
    <s v="KUD11"/>
    <s v="O2R1"/>
    <s v="KSIPL"/>
    <n v="4.3478260869565223E-2"/>
    <n v="3806"/>
    <x v="147"/>
    <s v="HubSafetySystem Batt.Charg.Err"/>
    <s v="Breakdown"/>
    <d v="1899-12-30T15:25:00"/>
    <d v="1899-12-30T15:25:00"/>
    <d v="1899-12-30T15:37:00"/>
    <d v="1899-12-30T00:00:00"/>
    <n v="0.19999999999999929"/>
    <n v="0.19999999999999929"/>
    <s v="Auto reset"/>
    <s v="Close"/>
    <n v="8.6956521739130141E-3"/>
    <n v="0.99278770774537473"/>
    <n v="0"/>
    <m/>
  </r>
  <r>
    <n v="2332"/>
    <n v="2025"/>
    <n v="2024"/>
    <s v="Year_2"/>
    <d v="2024-07-11T00:00:00"/>
    <s v="KUD12"/>
    <s v="O2R1"/>
    <s v="KSIPL"/>
    <n v="4.3478260869565223E-2"/>
    <n v="3742"/>
    <x v="115"/>
    <s v="TripHVButtonActivated 1"/>
    <s v="Breakdown"/>
    <d v="1899-12-30T15:25:00"/>
    <d v="1899-12-30T15:25:00"/>
    <d v="1899-12-30T15:26:00"/>
    <d v="1899-12-30T00:00:00"/>
    <n v="1.6666666666666607E-2"/>
    <n v="1.6666666666666607E-2"/>
    <s v="Auto reset"/>
    <s v="Close"/>
    <n v="7.246376811594178E-4"/>
    <n v="0.99477806788511747"/>
    <n v="0"/>
    <m/>
  </r>
  <r>
    <n v="2333"/>
    <n v="2025"/>
    <n v="2024"/>
    <s v="Year_2"/>
    <d v="2024-07-11T00:00:00"/>
    <s v="KUD16"/>
    <s v="O2R2"/>
    <s v="SIL"/>
    <n v="4.3478260869565223E-2"/>
    <n v="30"/>
    <x v="44"/>
    <s v="Internal sublogic error"/>
    <s v="Breakdown"/>
    <d v="1899-12-30T15:25:00"/>
    <d v="1899-12-30T15:25:00"/>
    <d v="1899-12-30T15:26:00"/>
    <d v="1899-12-30T00:00:00"/>
    <n v="1.6666666666666607E-2"/>
    <n v="1.6666666666666607E-2"/>
    <s v="Auto reset"/>
    <s v="Close"/>
    <n v="7.246376811594178E-4"/>
    <n v="1"/>
    <n v="0"/>
    <m/>
  </r>
  <r>
    <n v="2334"/>
    <n v="2025"/>
    <n v="2024"/>
    <s v="Year_2"/>
    <d v="2024-07-11T00:00:00"/>
    <s v="KUD17"/>
    <s v="O2R2"/>
    <s v="SIL"/>
    <n v="4.3478260869565223E-2"/>
    <n v="3806"/>
    <x v="147"/>
    <s v="HubSafetySystem Batt.Charg.Err"/>
    <s v="Breakdown"/>
    <d v="1899-12-30T15:25:00"/>
    <d v="1899-12-30T15:25:00"/>
    <d v="1899-12-30T15:30:00"/>
    <d v="1899-12-30T00:00:00"/>
    <n v="8.3333333333333037E-2"/>
    <n v="8.3333333333333037E-2"/>
    <s v="Auto reset"/>
    <s v="Close"/>
    <n v="3.6231884057970889E-3"/>
    <n v="1"/>
    <n v="0"/>
    <m/>
  </r>
  <r>
    <n v="2335"/>
    <n v="2025"/>
    <n v="2024"/>
    <s v="Year_2"/>
    <d v="2024-07-11T00:00:00"/>
    <s v="KUD19"/>
    <s v="O2R1"/>
    <s v="KSIPL"/>
    <n v="4.3478260869565223E-2"/>
    <n v="4235"/>
    <x v="93"/>
    <s v="Gen Stator CB Open"/>
    <s v="Breakdown"/>
    <d v="1899-12-30T15:25:00"/>
    <d v="1899-12-30T15:25:00"/>
    <d v="1899-12-30T15:34:00"/>
    <d v="1899-12-30T00:00:00"/>
    <n v="0.14999999999999947"/>
    <n v="0.14999999999999947"/>
    <s v="Auto reset"/>
    <s v="Close"/>
    <n v="6.5217391304347606E-3"/>
    <n v="1"/>
    <n v="0"/>
    <m/>
  </r>
  <r>
    <n v="2336"/>
    <n v="2025"/>
    <n v="2024"/>
    <s v="Year_2"/>
    <d v="2024-07-11T00:00:00"/>
    <s v="KUD19"/>
    <s v="O2R1"/>
    <s v="KSIPL"/>
    <n v="4.3478260869565223E-2"/>
    <n v="4518"/>
    <x v="171"/>
    <s v="HubSafty HydrPres Low BldC"/>
    <s v="Breakdown"/>
    <d v="1899-12-30T16:27:00"/>
    <d v="1899-12-30T16:27:00"/>
    <d v="1899-12-30T17:18:00"/>
    <d v="1899-12-30T00:00:00"/>
    <n v="0.84999999999999964"/>
    <n v="0.84999999999999964"/>
    <s v="Remote reboot and reset done"/>
    <s v="Close"/>
    <n v="3.6956521739130423E-2"/>
    <n v="1"/>
    <n v="1.59"/>
    <m/>
  </r>
  <r>
    <n v="2337"/>
    <n v="2025"/>
    <n v="2024"/>
    <s v="Year_2"/>
    <d v="2024-07-11T00:00:00"/>
    <s v="KUD19"/>
    <s v="O2R1"/>
    <s v="KSIPL"/>
    <n v="4.3478260869565223E-2"/>
    <n v="2676"/>
    <x v="124"/>
    <s v="UPS Error"/>
    <s v="Breakdown"/>
    <d v="1899-12-30T23:12:00"/>
    <d v="1899-12-30T23:12:00"/>
    <d v="1899-12-30T23:27:00"/>
    <d v="1899-12-30T00:00:00"/>
    <n v="0.24999999999999911"/>
    <n v="0.24999999999999911"/>
    <s v="Auto reset"/>
    <s v="Close"/>
    <n v="1.0869565217391268E-2"/>
    <n v="1"/>
    <n v="0"/>
    <m/>
  </r>
  <r>
    <n v="2338"/>
    <n v="2025"/>
    <n v="2024"/>
    <s v="Year_2"/>
    <d v="2024-07-11T00:00:00"/>
    <s v="KUD20"/>
    <s v="O2R1"/>
    <s v="KSIPL"/>
    <n v="4.3478260869565223E-2"/>
    <n v="3806"/>
    <x v="147"/>
    <s v="HubSafetySystem Batt.Charg.Err"/>
    <s v="Breakdown"/>
    <d v="1899-12-30T15:25:00"/>
    <d v="1899-12-30T15:25:00"/>
    <d v="1899-12-30T15:50:00"/>
    <d v="1899-12-30T00:00:00"/>
    <n v="0.41666666666666519"/>
    <n v="0.41666666666666519"/>
    <s v="Remote reset"/>
    <s v="Close"/>
    <n v="1.8115942028985445E-2"/>
    <n v="0.99881971082915311"/>
    <n v="0"/>
    <m/>
  </r>
  <r>
    <n v="2339"/>
    <n v="2025"/>
    <n v="2024"/>
    <s v="Year_2"/>
    <d v="2024-07-11T00:00:00"/>
    <s v="KUD22"/>
    <s v="O2R3"/>
    <s v="JK"/>
    <n v="4.3478260869565223E-2"/>
    <n v="4234"/>
    <x v="78"/>
    <s v="Grid Converter CB Open"/>
    <s v="Breakdown"/>
    <d v="1899-12-30T15:25:00"/>
    <d v="1899-12-30T15:25:00"/>
    <d v="1899-12-30T15:50:00"/>
    <d v="1899-12-30T00:00:00"/>
    <n v="0.41666666666666519"/>
    <n v="0.41666666666666519"/>
    <s v="Remote reset"/>
    <s v="Close"/>
    <n v="1.8115942028985445E-2"/>
    <n v="1"/>
    <n v="0"/>
    <m/>
  </r>
  <r>
    <n v="2340"/>
    <n v="2025"/>
    <n v="2024"/>
    <s v="Year_2"/>
    <d v="2024-07-12T00:00:00"/>
    <s v="KUD06"/>
    <s v="O2R3"/>
    <s v="JK"/>
    <n v="4.3478260869565223E-2"/>
    <n v="202"/>
    <x v="131"/>
    <s v="Frequency error 1:   0.56 Hz"/>
    <s v="Breakdown"/>
    <d v="1899-12-30T14:45:00"/>
    <d v="1899-12-30T14:45:00"/>
    <d v="1899-12-30T15:38:00"/>
    <d v="1899-12-30T00:00:00"/>
    <n v="0.88333333333333286"/>
    <n v="0.88333333333333286"/>
    <s v="Remote reboot and reset done"/>
    <s v="Close"/>
    <n v="3.8405797101449257E-2"/>
    <n v="1"/>
    <n v="1.39"/>
    <m/>
  </r>
  <r>
    <n v="2341"/>
    <n v="2025"/>
    <n v="2024"/>
    <s v="Year_2"/>
    <d v="2024-07-12T00:00:00"/>
    <s v="KUD16"/>
    <s v="O2R2"/>
    <s v="SIL"/>
    <n v="4.3478260869565223E-2"/>
    <n v="4239"/>
    <x v="40"/>
    <s v="HVCB Unknown Trip Reason"/>
    <s v="Breakdown"/>
    <d v="1899-12-30T14:45:00"/>
    <d v="1899-12-30T14:45:00"/>
    <d v="1899-12-30T15:12:00"/>
    <d v="1899-12-30T00:00:00"/>
    <n v="0.4499999999999984"/>
    <n v="0.4499999999999984"/>
    <s v="Remote reset"/>
    <s v="Close"/>
    <n v="1.956521739130428E-2"/>
    <n v="1"/>
    <n v="0.04"/>
    <m/>
  </r>
  <r>
    <n v="2342"/>
    <n v="2025"/>
    <n v="2024"/>
    <s v="Year_2"/>
    <d v="2024-07-12T00:00:00"/>
    <s v="KUD17"/>
    <s v="O2R2"/>
    <s v="SIL"/>
    <n v="4.3478260869565223E-2"/>
    <n v="3806"/>
    <x v="147"/>
    <s v="HubSafetySystem Batt.Charg.Err"/>
    <s v="Breakdown"/>
    <d v="1899-12-30T14:45:00"/>
    <d v="1899-12-30T14:45:00"/>
    <d v="1899-12-30T14:51:00"/>
    <d v="1899-12-30T00:00:00"/>
    <n v="9.9999999999999645E-2"/>
    <n v="9.9999999999999645E-2"/>
    <s v="Auto reset"/>
    <s v="Close"/>
    <n v="4.347826086956507E-3"/>
    <n v="1"/>
    <n v="7.0000000000000007E-2"/>
    <m/>
  </r>
  <r>
    <n v="2343"/>
    <n v="2025"/>
    <n v="2024"/>
    <s v="Year_2"/>
    <d v="2024-07-13T00:00:00"/>
    <s v="KUD10"/>
    <s v="O2R1"/>
    <s v="KSIPL"/>
    <n v="4.3478260869565223E-2"/>
    <n v="5197"/>
    <x v="54"/>
    <s v="Prop Valve C Status Fault"/>
    <s v="Breakdown"/>
    <d v="1899-12-30T17:07:00"/>
    <d v="1899-12-30T17:07:00"/>
    <d v="1899-12-30T17:15:00"/>
    <d v="1899-12-30T00:00:00"/>
    <n v="0.13333333333333286"/>
    <n v="0.13333333333333286"/>
    <s v="Auto reset"/>
    <s v="Close"/>
    <n v="5.7971014492753424E-3"/>
    <n v="1"/>
    <n v="0.5"/>
    <m/>
  </r>
  <r>
    <n v="2344"/>
    <n v="2025"/>
    <n v="2024"/>
    <s v="Year_2"/>
    <d v="2024-07-14T00:00:00"/>
    <s v="KUD07"/>
    <s v=""/>
    <s v=""/>
    <s v=""/>
    <n v="4987"/>
    <x v="183"/>
    <s v="GenSpd:59.4RPM, Ref:   0.0 RPM"/>
    <s v="Breakdown"/>
    <d v="1899-12-30T11:50:00"/>
    <d v="1899-12-30T11:50:00"/>
    <d v="1899-12-30T12:14:00"/>
    <e v="#REF!"/>
    <e v="#REF!"/>
    <e v="#REF!"/>
    <s v="Remote reboot and reset done"/>
    <s v="Close"/>
    <s v=""/>
    <n v="0.98173932892033777"/>
    <n v="0.8"/>
    <m/>
  </r>
  <r>
    <n v="2345"/>
    <n v="2025"/>
    <n v="2024"/>
    <s v="Year_2"/>
    <d v="2024-07-14T00:00:00"/>
    <s v="KUD04"/>
    <s v=""/>
    <s v=""/>
    <s v=""/>
    <n v="4235"/>
    <x v="93"/>
    <s v="Gen Stator CB Open"/>
    <s v="Breakdown"/>
    <d v="1899-12-30T12:50:00"/>
    <d v="1899-12-30T12:50:00"/>
    <d v="1899-12-30T12:54:00"/>
    <e v="#REF!"/>
    <e v="#REF!"/>
    <e v="#REF!"/>
    <s v="Auto reset"/>
    <s v="Close"/>
    <s v=""/>
    <n v="1"/>
    <n v="0.28999999999999998"/>
    <m/>
  </r>
  <r>
    <n v="2346"/>
    <n v="2025"/>
    <n v="2024"/>
    <s v="Year_2"/>
    <d v="2024-07-14T00:00:00"/>
    <s v="KUD17"/>
    <s v=""/>
    <s v=""/>
    <s v=""/>
    <n v="4235"/>
    <x v="93"/>
    <s v="Gen Stator CB Open"/>
    <s v="Breakdown"/>
    <d v="1899-12-30T12:50:00"/>
    <d v="1899-12-30T12:50:00"/>
    <d v="1899-12-30T12:54:00"/>
    <e v="#REF!"/>
    <e v="#REF!"/>
    <e v="#REF!"/>
    <s v="Auto reset"/>
    <s v="Close"/>
    <s v=""/>
    <n v="0.99811003779924401"/>
    <n v="0.33"/>
    <m/>
  </r>
  <r>
    <n v="2347"/>
    <n v="2025"/>
    <n v="2024"/>
    <s v="Year_2"/>
    <d v="2024-07-14T00:00:00"/>
    <s v="KUD01"/>
    <s v=""/>
    <s v=""/>
    <s v=""/>
    <n v="453"/>
    <x v="136"/>
    <s v="Ext. High I sum Rotinv.ChanX"/>
    <s v="Breakdown"/>
    <d v="1899-12-30T23:07:00"/>
    <d v="2024-07-14T23:07:10"/>
    <d v="2024-07-14T23:15:57"/>
    <e v="#REF!"/>
    <e v="#REF!"/>
    <e v="#REF!"/>
    <s v="Auto reset"/>
    <s v="Close"/>
    <s v=""/>
    <n v="0.99866220735785949"/>
    <n v="0.23"/>
    <m/>
  </r>
  <r>
    <n v="2348"/>
    <n v="2025"/>
    <n v="2024"/>
    <s v="Year_2"/>
    <d v="2024-07-14T00:00:00"/>
    <s v="KUD11"/>
    <s v=""/>
    <s v=""/>
    <s v=""/>
    <n v="450"/>
    <x v="127"/>
    <s v="Ext. High I sum Grd inv."/>
    <s v="Breakdown"/>
    <d v="2024-07-14T12:55:59"/>
    <d v="2024-07-14T12:55:59"/>
    <d v="2024-07-14T13:04:29"/>
    <e v="#REF!"/>
    <e v="#REF!"/>
    <e v="#REF!"/>
    <s v="Auto reset"/>
    <s v="Close"/>
    <s v=""/>
    <n v="1"/>
    <n v="0.36"/>
    <m/>
  </r>
  <r>
    <n v="2349"/>
    <n v="2025"/>
    <n v="2024"/>
    <s v="Year_2"/>
    <d v="2024-07-14T00:00:00"/>
    <s v="KUD16"/>
    <s v=""/>
    <s v=""/>
    <s v=""/>
    <n v="4239"/>
    <x v="40"/>
    <s v="HVCB Unknown Trip Reason"/>
    <s v="Breakdown"/>
    <d v="1899-12-30T13:25:00"/>
    <d v="1899-12-30T13:25:00"/>
    <d v="1899-12-30T13:32:00"/>
    <e v="#REF!"/>
    <e v="#REF!"/>
    <e v="#REF!"/>
    <s v="Auto reset"/>
    <s v="Close"/>
    <s v=""/>
    <n v="0.99811003779924401"/>
    <n v="0.13"/>
    <m/>
  </r>
  <r>
    <n v="2350"/>
    <n v="2025"/>
    <n v="2024"/>
    <s v="Year_2"/>
    <d v="2024-07-14T00:00:00"/>
    <s v="KUD21"/>
    <s v=""/>
    <s v=""/>
    <s v=""/>
    <n v="3806"/>
    <x v="147"/>
    <s v="HubSafetySystem Batt.Charg.Err"/>
    <s v="Breakdown"/>
    <d v="1899-12-30T13:25:00"/>
    <d v="1899-12-30T13:25:00"/>
    <d v="1899-12-30T13:34:00"/>
    <e v="#REF!"/>
    <e v="#REF!"/>
    <e v="#REF!"/>
    <s v="Auto reset"/>
    <s v="Close"/>
    <s v=""/>
    <n v="0.95963044788110063"/>
    <n v="0.23"/>
    <m/>
  </r>
  <r>
    <n v="2351"/>
    <n v="2025"/>
    <n v="2024"/>
    <s v="Year_2"/>
    <d v="2024-07-15T00:00:00"/>
    <s v="KUD04"/>
    <s v="O2R3"/>
    <s v="JK"/>
    <n v="4.3478260869565223E-2"/>
    <n v="165"/>
    <x v="94"/>
    <s v="Low oil-level, hydraulic"/>
    <s v="Breakdown"/>
    <d v="1899-12-30T15:03:00"/>
    <d v="1899-12-30T15:03:00"/>
    <d v="1899-12-30T18:34:00"/>
    <d v="1899-12-30T00:00:00"/>
    <n v="3.5166666666666675"/>
    <n v="3.5166666666666675"/>
    <s v="checked oil leakage and no leakage found.checked oil level and level sensor connection all are normal condition then restored the machine"/>
    <s v="Close"/>
    <n v="0.15289855072463773"/>
    <n v="1"/>
    <n v="6.98"/>
    <m/>
  </r>
  <r>
    <n v="2352"/>
    <n v="2025"/>
    <n v="2024"/>
    <s v="Year_2"/>
    <d v="2024-07-16T00:00:00"/>
    <s v="KUD04"/>
    <s v="O2R3"/>
    <s v="JK"/>
    <n v="4.3478260869565223E-2"/>
    <n v="327"/>
    <x v="162"/>
    <s v="Grid inv. HW error L1"/>
    <s v="Breakdown"/>
    <d v="1899-12-30T10:10:00"/>
    <d v="1899-12-30T10:10:00"/>
    <d v="1899-12-30T10:11:00"/>
    <d v="1899-12-30T00:00:00"/>
    <n v="1.6666666666666607E-2"/>
    <n v="1.6666666666666607E-2"/>
    <s v="Auto reset"/>
    <s v="Close"/>
    <n v="7.246376811594178E-4"/>
    <n v="0.89490000000000003"/>
    <n v="1.42"/>
    <m/>
  </r>
  <r>
    <n v="2353"/>
    <n v="2025"/>
    <n v="2024"/>
    <s v="Year_2"/>
    <d v="2024-07-16T00:00:00"/>
    <s v="KUD04"/>
    <s v="O2R3"/>
    <s v="JK"/>
    <n v="4.3478260869565223E-2"/>
    <n v="127"/>
    <x v="184"/>
    <s v="Extr. low voltage L3:   2V"/>
    <s v="Breakdown"/>
    <d v="1899-12-30T11:03:00"/>
    <d v="1899-12-30T11:03:00"/>
    <d v="1899-12-30T11:05:00"/>
    <d v="1899-12-30T00:00:00"/>
    <n v="3.3333333333334547E-2"/>
    <n v="3.3333333333334547E-2"/>
    <s v="Auto reset"/>
    <s v="Close"/>
    <n v="1.4492753623188935E-3"/>
    <n v="0.89490000000000003"/>
    <n v="1.42"/>
    <m/>
  </r>
  <r>
    <n v="2354"/>
    <n v="2025"/>
    <n v="2024"/>
    <s v="Year_2"/>
    <d v="2024-07-16T00:00:00"/>
    <s v="KUD04"/>
    <s v="O2R3"/>
    <s v="JK"/>
    <n v="4.3478260869565223E-2"/>
    <n v="327"/>
    <x v="162"/>
    <s v="Grid inv. HW error L2"/>
    <s v="Breakdown"/>
    <d v="1899-12-30T11:45:00"/>
    <d v="1899-12-30T11:45:00"/>
    <d v="1899-12-30T11:47:00"/>
    <d v="1899-12-30T00:00:00"/>
    <n v="3.3333333333333215E-2"/>
    <n v="3.3333333333333215E-2"/>
    <s v="Auto reset"/>
    <s v="Close"/>
    <n v="1.4492753623188356E-3"/>
    <n v="0.89490000000000003"/>
    <n v="1.42"/>
    <m/>
  </r>
  <r>
    <n v="2355"/>
    <n v="2025"/>
    <n v="2024"/>
    <s v="Year_2"/>
    <d v="2024-07-16T00:00:00"/>
    <s v="KUD04"/>
    <s v="O2R3"/>
    <s v="JK"/>
    <n v="4.3478260869565223E-2"/>
    <n v="4235"/>
    <x v="93"/>
    <s v="Gen Stator CB Open"/>
    <s v="Breakdown"/>
    <d v="1899-12-30T13:10:00"/>
    <d v="1899-12-30T13:10:00"/>
    <d v="1899-12-30T13:20:00"/>
    <d v="1899-12-30T00:00:00"/>
    <n v="0.16666666666666607"/>
    <n v="0.16666666666666607"/>
    <s v="Auto reset"/>
    <s v="Close"/>
    <n v="7.2463768115941778E-3"/>
    <n v="0.89490000000000003"/>
    <n v="1.42"/>
    <m/>
  </r>
  <r>
    <n v="2356"/>
    <n v="2025"/>
    <n v="2024"/>
    <s v="Year_2"/>
    <d v="2024-07-16T00:00:00"/>
    <s v="KUD04"/>
    <s v="O2R3"/>
    <s v="JK"/>
    <n v="4.3478260869565223E-2"/>
    <n v="315"/>
    <x v="120"/>
    <s v="ExEx low voltage L1:   4V"/>
    <s v="Breakdown"/>
    <d v="1899-12-30T17:10:00"/>
    <d v="1899-12-30T17:10:00"/>
    <d v="1899-12-30T17:11:00"/>
    <d v="1899-12-30T00:00:00"/>
    <n v="1.6666666666666607E-2"/>
    <n v="1.6666666666666607E-2"/>
    <s v="Auto reset"/>
    <s v="Close"/>
    <n v="7.246376811594178E-4"/>
    <n v="0.89490000000000003"/>
    <n v="1.42"/>
    <m/>
  </r>
  <r>
    <n v="2357"/>
    <n v="2025"/>
    <n v="2024"/>
    <s v="Year_2"/>
    <d v="2024-07-16T00:00:00"/>
    <s v="KUD06"/>
    <s v="O2R3"/>
    <s v="JK"/>
    <n v="4.3478260869565223E-2"/>
    <n v="3806"/>
    <x v="147"/>
    <s v="HubSafetySystem Batt.Charg.Err"/>
    <s v="Breakdown"/>
    <d v="1899-12-30T11:03:00"/>
    <d v="1899-12-30T11:03:00"/>
    <d v="1899-12-30T11:08:00"/>
    <d v="1899-12-30T00:00:00"/>
    <n v="8.333333333333437E-2"/>
    <n v="8.333333333333437E-2"/>
    <s v="Auto reset"/>
    <s v="Close"/>
    <n v="3.623188405797147E-3"/>
    <n v="0.88129999999999997"/>
    <n v="2.87"/>
    <m/>
  </r>
  <r>
    <n v="2358"/>
    <n v="2025"/>
    <n v="2024"/>
    <s v="Year_2"/>
    <d v="2024-07-16T00:00:00"/>
    <s v="KUD06"/>
    <s v="O2R3"/>
    <s v="JK"/>
    <n v="4.3478260869565223E-2"/>
    <n v="3806"/>
    <x v="147"/>
    <s v="HubSafetySystem Batt.Charg.Err"/>
    <s v="Breakdown"/>
    <d v="1899-12-30T11:45:00"/>
    <d v="1899-12-30T11:45:00"/>
    <d v="1899-12-30T11:49:00"/>
    <d v="1899-12-30T00:00:00"/>
    <n v="6.6666666666667762E-2"/>
    <n v="6.6666666666667762E-2"/>
    <s v="Auto reset"/>
    <s v="Close"/>
    <n v="2.8985507246377293E-3"/>
    <n v="0.88129999999999997"/>
    <n v="2.87"/>
    <m/>
  </r>
  <r>
    <n v="2359"/>
    <n v="2025"/>
    <n v="2024"/>
    <s v="Year_2"/>
    <d v="2024-07-16T00:00:00"/>
    <s v="KUD06"/>
    <s v="O2R3"/>
    <s v="JK"/>
    <n v="4.3478260869565223E-2"/>
    <n v="3806"/>
    <x v="147"/>
    <s v="HubSafetySystem Batt.Charg.Err"/>
    <s v="Breakdown"/>
    <d v="1899-12-30T13:10:00"/>
    <d v="1899-12-30T13:10:00"/>
    <d v="1899-12-30T14:45:00"/>
    <d v="1899-12-30T00:00:00"/>
    <n v="1.583333333333333"/>
    <n v="1.583333333333333"/>
    <s v="Found UPS supply MCB tripped condition.So manually on the MCB and checked the related connection no abnormalities found . After that SWG manually charged &amp; turbine restored."/>
    <s v="Close"/>
    <n v="6.8840579710144928E-2"/>
    <n v="0.88129999999999997"/>
    <n v="2.87"/>
    <m/>
  </r>
  <r>
    <n v="2360"/>
    <n v="2025"/>
    <n v="2024"/>
    <s v="Year_2"/>
    <d v="2024-07-16T00:00:00"/>
    <s v="KUD06"/>
    <s v="O2R3"/>
    <s v="JK"/>
    <n v="4.3478260869565223E-2"/>
    <n v="3806"/>
    <x v="147"/>
    <s v="HubSafetySystem Batt.Charg.Err"/>
    <s v="Breakdown"/>
    <d v="1899-12-30T17:10:00"/>
    <d v="1899-12-30T17:10:00"/>
    <d v="1899-12-30T17:24:00"/>
    <d v="1899-12-30T00:00:00"/>
    <n v="0.2333333333333325"/>
    <n v="0.2333333333333325"/>
    <s v="Auto reset"/>
    <s v="Close"/>
    <n v="1.0144927536231849E-2"/>
    <n v="0.88129999999999997"/>
    <n v="2.87"/>
    <m/>
  </r>
  <r>
    <n v="2361"/>
    <n v="2025"/>
    <n v="2024"/>
    <s v="Year_2"/>
    <d v="2024-07-16T00:00:00"/>
    <s v="KUD07"/>
    <s v="O2R3"/>
    <s v="JK"/>
    <n v="4.3478260869565223E-2"/>
    <n v="3799"/>
    <x v="181"/>
    <s v="HubSafetySystem Speed Err.:3"/>
    <s v="Breakdown"/>
    <d v="1899-12-30T11:45:00"/>
    <d v="1899-12-30T11:45:00"/>
    <d v="1899-12-30T11:48:00"/>
    <d v="1899-12-30T00:00:00"/>
    <n v="4.9999999999999822E-2"/>
    <n v="4.9999999999999822E-2"/>
    <s v="Auto reset"/>
    <s v="Close"/>
    <n v="2.1739130434782535E-3"/>
    <n v="1"/>
    <n v="3.12"/>
    <m/>
  </r>
  <r>
    <n v="2362"/>
    <n v="2025"/>
    <n v="2024"/>
    <s v="Year_2"/>
    <d v="2024-07-16T00:00:00"/>
    <s v="KUD07"/>
    <s v="O2R3"/>
    <s v="JK"/>
    <n v="4.3478260869565223E-2"/>
    <n v="4235"/>
    <x v="93"/>
    <s v="Gen Stator CB Open"/>
    <s v="Breakdown"/>
    <d v="1899-12-30T17:10:00"/>
    <d v="1899-12-30T17:10:00"/>
    <d v="1899-12-30T17:22:00"/>
    <d v="1899-12-30T00:00:00"/>
    <n v="0.19999999999999929"/>
    <n v="0.19999999999999929"/>
    <s v="Auto reset"/>
    <s v="Close"/>
    <n v="8.6956521739130141E-3"/>
    <n v="1"/>
    <n v="3.12"/>
    <m/>
  </r>
  <r>
    <n v="2363"/>
    <n v="2025"/>
    <n v="2024"/>
    <s v="Year_2"/>
    <d v="2024-07-16T00:00:00"/>
    <s v="KUD10"/>
    <s v="O2R1"/>
    <s v="KSIPL"/>
    <n v="4.3478260869565223E-2"/>
    <n v="5197"/>
    <x v="54"/>
    <s v="Prop Valve C Status Fault"/>
    <s v="Breakdown"/>
    <d v="1899-12-30T11:28:00"/>
    <d v="1899-12-30T11:28:00"/>
    <d v="1899-12-30T11:36:00"/>
    <d v="1899-12-30T00:00:00"/>
    <n v="0.13333333333333286"/>
    <n v="0.13333333333333286"/>
    <s v="Auto reset"/>
    <s v="Close"/>
    <n v="5.7971014492753424E-3"/>
    <n v="1"/>
    <n v="0.33"/>
    <m/>
  </r>
  <r>
    <n v="2364"/>
    <n v="2025"/>
    <n v="2024"/>
    <s v="Year_2"/>
    <d v="2024-07-16T00:00:00"/>
    <s v="KUD10"/>
    <s v="O2R1"/>
    <s v="KSIPL"/>
    <n v="4.3478260869565223E-2"/>
    <n v="82"/>
    <x v="174"/>
    <s v="Pitch C ref: 7.4Â°, Act.: 5.6Â°"/>
    <s v="Breakdown"/>
    <d v="1899-12-30T13:21:00"/>
    <d v="1899-12-30T13:21:00"/>
    <d v="1899-12-30T13:28:00"/>
    <d v="1899-12-30T00:00:00"/>
    <n v="0.11666666666666625"/>
    <n v="0.11666666666666625"/>
    <s v="Auto reset"/>
    <s v="Close"/>
    <n v="5.0724637681159243E-3"/>
    <n v="1"/>
    <n v="0.33"/>
    <m/>
  </r>
  <r>
    <n v="2365"/>
    <n v="2025"/>
    <n v="2024"/>
    <s v="Year_2"/>
    <d v="2024-07-16T00:00:00"/>
    <s v="KUD10"/>
    <s v="O2R1"/>
    <s v="KSIPL"/>
    <n v="4.3478260869565223E-2"/>
    <n v="5197"/>
    <x v="54"/>
    <s v="Prop Valve C Status Fault"/>
    <s v="Breakdown"/>
    <d v="1899-12-30T14:54:00"/>
    <d v="1899-12-30T14:54:00"/>
    <d v="1899-12-30T15:03:00"/>
    <d v="1899-12-30T00:00:00"/>
    <n v="0.14999999999999947"/>
    <n v="0.14999999999999947"/>
    <s v="Auto reset"/>
    <s v="Close"/>
    <n v="6.5217391304347606E-3"/>
    <n v="1"/>
    <n v="0.33"/>
    <m/>
  </r>
  <r>
    <n v="2366"/>
    <n v="2025"/>
    <n v="2024"/>
    <s v="Year_2"/>
    <d v="2024-07-16T00:00:00"/>
    <s v="KUD10"/>
    <s v="O2R1"/>
    <s v="KSIPL"/>
    <n v="4.3478260869565223E-2"/>
    <n v="5196"/>
    <x v="114"/>
    <s v="Prop Valve B Status Fault"/>
    <s v="Breakdown"/>
    <d v="1899-12-30T16:54:00"/>
    <d v="1899-12-30T16:54:00"/>
    <d v="1899-12-30T17:02:00"/>
    <d v="1899-12-30T00:00:00"/>
    <n v="0.13333333333333286"/>
    <n v="0.13333333333333286"/>
    <s v="Auto reset"/>
    <s v="Close"/>
    <n v="5.7971014492753424E-3"/>
    <n v="1"/>
    <n v="0.33"/>
    <m/>
  </r>
  <r>
    <n v="2367"/>
    <n v="2025"/>
    <n v="2024"/>
    <s v="Year_2"/>
    <d v="2024-07-16T00:00:00"/>
    <s v="KUD16"/>
    <s v="O2R2"/>
    <s v="SIL"/>
    <n v="4.3478260869565223E-2"/>
    <n v="4235"/>
    <x v="93"/>
    <s v="Gen Stator CB Open"/>
    <s v="Breakdown"/>
    <d v="1899-12-30T10:10:00"/>
    <d v="1899-12-30T10:10:00"/>
    <d v="1899-12-30T10:19:00"/>
    <d v="1899-12-30T00:00:00"/>
    <n v="0.1500000000000008"/>
    <n v="0.1500000000000008"/>
    <s v="Auto reset"/>
    <s v="Close"/>
    <n v="6.5217391304348178E-3"/>
    <n v="0.88129999999999997"/>
    <n v="3.02"/>
    <m/>
  </r>
  <r>
    <n v="2368"/>
    <n v="2025"/>
    <n v="2024"/>
    <s v="Year_2"/>
    <d v="2024-07-16T00:00:00"/>
    <s v="KUD16"/>
    <s v="O2R2"/>
    <s v="SIL"/>
    <n v="4.3478260869565223E-2"/>
    <n v="127"/>
    <x v="184"/>
    <s v="Extr. low voltage L1:   2V"/>
    <s v="Breakdown"/>
    <d v="1899-12-30T13:10:00"/>
    <d v="1899-12-30T13:10:00"/>
    <d v="1899-12-30T13:24:00"/>
    <d v="1899-12-30T00:00:00"/>
    <n v="0.2333333333333325"/>
    <n v="0.2333333333333325"/>
    <s v="Auto reset"/>
    <s v="Close"/>
    <n v="1.0144927536231849E-2"/>
    <n v="0.88129999999999997"/>
    <n v="3.02"/>
    <m/>
  </r>
  <r>
    <n v="2369"/>
    <n v="2025"/>
    <n v="2024"/>
    <s v="Year_2"/>
    <d v="2024-07-16T00:00:00"/>
    <s v="KUD17"/>
    <s v="O2R2"/>
    <s v="SIL"/>
    <n v="4.3478260869565223E-2"/>
    <n v="3806"/>
    <x v="147"/>
    <s v="HubSafetySystem Batt.Charg.Err"/>
    <s v="Breakdown"/>
    <d v="1899-12-30T11:45:00"/>
    <d v="1899-12-30T11:45:00"/>
    <d v="1899-12-30T11:48:00"/>
    <d v="1899-12-30T00:00:00"/>
    <n v="4.9999999999999822E-2"/>
    <n v="4.9999999999999822E-2"/>
    <s v="Auto reset"/>
    <s v="Close"/>
    <n v="2.1739130434782535E-3"/>
    <n v="0.90139999999999998"/>
    <n v="2.19"/>
    <m/>
  </r>
  <r>
    <n v="2370"/>
    <n v="2025"/>
    <n v="2024"/>
    <s v="Year_2"/>
    <d v="2024-07-16T00:00:00"/>
    <s v="KUD17"/>
    <s v="O2R2"/>
    <s v="SIL"/>
    <n v="4.3478260869565223E-2"/>
    <n v="3806"/>
    <x v="147"/>
    <s v="HubSafetySystem Batt.Charg.Err"/>
    <s v="Breakdown"/>
    <d v="1899-12-30T13:10:00"/>
    <d v="1899-12-30T13:10:00"/>
    <d v="1899-12-30T13:25:00"/>
    <d v="1899-12-30T00:00:00"/>
    <n v="0.24999999999999911"/>
    <n v="0.24999999999999911"/>
    <s v="Auto reset"/>
    <s v="Close"/>
    <n v="1.0869565217391268E-2"/>
    <n v="0.90139999999999998"/>
    <n v="2.19"/>
    <m/>
  </r>
  <r>
    <n v="2371"/>
    <n v="2025"/>
    <n v="2024"/>
    <s v="Year_2"/>
    <d v="2024-07-16T00:00:00"/>
    <s v="KUD17"/>
    <s v="O2R2"/>
    <s v="SIL"/>
    <n v="4.3478260869565223E-2"/>
    <n v="3806"/>
    <x v="147"/>
    <s v="HubSafetySystem Batt.Charg.Err"/>
    <s v="Breakdown"/>
    <d v="1899-12-30T17:10:00"/>
    <d v="1899-12-30T17:10:00"/>
    <d v="1899-12-30T17:12:00"/>
    <d v="1899-12-30T00:00:00"/>
    <n v="3.3333333333333215E-2"/>
    <n v="3.3333333333333215E-2"/>
    <s v="Auto reset"/>
    <s v="Close"/>
    <n v="1.4492753623188356E-3"/>
    <n v="0.90139999999999998"/>
    <n v="2.19"/>
    <m/>
  </r>
  <r>
    <n v="2372"/>
    <n v="2025"/>
    <n v="2024"/>
    <s v="Year_2"/>
    <d v="2024-07-16T00:00:00"/>
    <s v="KUD21"/>
    <s v="O2R3"/>
    <s v="JK"/>
    <n v="4.3478260869565223E-2"/>
    <n v="30"/>
    <x v="44"/>
    <s v="Internal sublogic error"/>
    <s v="Breakdown"/>
    <d v="1899-12-30T11:12:00"/>
    <d v="1899-12-30T11:12:00"/>
    <d v="1899-12-30T11:16:00"/>
    <d v="1899-12-30T00:00:00"/>
    <n v="6.666666666666643E-2"/>
    <n v="6.666666666666643E-2"/>
    <s v="Auto reset"/>
    <s v="Close"/>
    <n v="2.8985507246376712E-3"/>
    <n v="0.86850000000000005"/>
    <n v="3.06"/>
    <m/>
  </r>
  <r>
    <n v="2373"/>
    <n v="2025"/>
    <n v="2024"/>
    <s v="Year_2"/>
    <d v="2024-07-16T00:00:00"/>
    <s v="KUD21"/>
    <s v="O2R3"/>
    <s v="JK"/>
    <n v="4.3478260869565223E-2"/>
    <n v="3806"/>
    <x v="147"/>
    <s v="HubSafetySystem Batt.Charg.Err"/>
    <s v="Breakdown"/>
    <d v="1899-12-30T13:10:00"/>
    <d v="1899-12-30T13:10:00"/>
    <d v="1899-12-30T13:18:00"/>
    <d v="1899-12-30T00:00:00"/>
    <n v="0.13333333333333286"/>
    <n v="0.13333333333333286"/>
    <s v="Auto reset"/>
    <s v="Close"/>
    <n v="5.7971014492753424E-3"/>
    <n v="0.86850000000000005"/>
    <n v="3.06"/>
    <m/>
  </r>
  <r>
    <n v="2374"/>
    <n v="2025"/>
    <n v="2024"/>
    <s v="Year_2"/>
    <d v="2024-07-16T00:00:00"/>
    <s v="KUD22"/>
    <s v="O2R3"/>
    <s v="JK"/>
    <n v="4.3478260869565223E-2"/>
    <n v="3806"/>
    <x v="147"/>
    <s v="HubSafetySystem Batt.Charg.Err"/>
    <s v="Breakdown"/>
    <d v="1899-12-30T11:45:00"/>
    <d v="1899-12-30T11:45:00"/>
    <d v="1899-12-30T11:46:00"/>
    <d v="1899-12-30T00:00:00"/>
    <n v="1.6666666666666607E-2"/>
    <n v="1.6666666666666607E-2"/>
    <s v="Auto reset"/>
    <s v="Close"/>
    <n v="7.246376811594178E-4"/>
    <n v="0.9042"/>
    <n v="3.49"/>
    <m/>
  </r>
  <r>
    <n v="2375"/>
    <n v="2025"/>
    <n v="2024"/>
    <s v="Year_2"/>
    <d v="2024-07-16T00:00:00"/>
    <s v="KUD22"/>
    <s v="O2R3"/>
    <s v="JK"/>
    <n v="4.3478260869565223E-2"/>
    <n v="3806"/>
    <x v="147"/>
    <s v="HubSafetySystem Batt.Charg.Err"/>
    <s v="Breakdown"/>
    <d v="1899-12-30T13:10:00"/>
    <d v="1899-12-30T13:10:00"/>
    <d v="1899-12-30T13:46:00"/>
    <d v="1899-12-30T00:00:00"/>
    <n v="0.59999999999999787"/>
    <n v="0.59999999999999787"/>
    <s v="Auto reset"/>
    <s v="Close"/>
    <n v="2.6086956521739042E-2"/>
    <n v="0.9042"/>
    <n v="3.49"/>
    <m/>
  </r>
  <r>
    <n v="2376"/>
    <n v="2025"/>
    <n v="2024"/>
    <s v="Year_2"/>
    <d v="2024-07-17T00:00:00"/>
    <s v="KUD10"/>
    <s v="O2R1"/>
    <s v="KSIPL"/>
    <n v="4.3478260869565223E-2"/>
    <n v="5197"/>
    <x v="54"/>
    <s v="Prop Valve C Status Fault"/>
    <s v="Breakdown"/>
    <d v="1899-12-30T17:29:00"/>
    <d v="1899-12-30T17:29:00"/>
    <d v="1899-12-30T17:38:00"/>
    <d v="1899-12-30T00:00:00"/>
    <n v="0.15000000000000213"/>
    <n v="0.15000000000000213"/>
    <s v="Auto reset"/>
    <s v="Close"/>
    <n v="6.5217391304348759E-3"/>
    <n v="1"/>
    <n v="0.3"/>
    <m/>
  </r>
  <r>
    <n v="2377"/>
    <n v="2025"/>
    <n v="2024"/>
    <s v="Year_2"/>
    <d v="2024-07-17T00:00:00"/>
    <s v="KUD10"/>
    <s v="O2R1"/>
    <s v="KSIPL"/>
    <n v="4.3478260869565223E-2"/>
    <n v="5197"/>
    <x v="54"/>
    <s v="Prop Valve C Status Fault"/>
    <s v="Breakdown"/>
    <d v="1899-12-30T18:46:00"/>
    <d v="1899-12-30T18:46:00"/>
    <d v="1899-12-30T18:53:00"/>
    <d v="1899-12-30T00:00:00"/>
    <n v="0.11666666666666625"/>
    <n v="0.11666666666666625"/>
    <s v="Auto reset"/>
    <s v="Close"/>
    <n v="5.0724637681159243E-3"/>
    <n v="1"/>
    <n v="0.3"/>
    <m/>
  </r>
  <r>
    <n v="2378"/>
    <n v="2025"/>
    <n v="2024"/>
    <s v="Year_2"/>
    <d v="2024-07-18T00:00:00"/>
    <s v="KUD04"/>
    <s v=""/>
    <s v=""/>
    <s v=""/>
    <n v="165"/>
    <x v="94"/>
    <s v="Low oil-level, hydraulic"/>
    <s v="Breakdown"/>
    <d v="1899-12-30T08:12:00"/>
    <d v="1899-12-30T08:12:00"/>
    <d v="1899-12-30T08:22:00"/>
    <e v="#REF!"/>
    <e v="#REF!"/>
    <e v="#REF!"/>
    <s v="Auto reset"/>
    <s v="Close"/>
    <s v=""/>
    <n v="0.98939999999999995"/>
    <n v="6.32"/>
    <m/>
  </r>
  <r>
    <n v="2379"/>
    <n v="2025"/>
    <n v="2024"/>
    <s v="Year_2"/>
    <d v="2024-07-18T00:00:00"/>
    <s v="KUD04"/>
    <s v=""/>
    <s v=""/>
    <s v=""/>
    <n v="165"/>
    <x v="94"/>
    <s v="Low oil-level, hydraulic"/>
    <s v="Breakdown"/>
    <d v="1899-12-30T12:12:00"/>
    <d v="1899-12-30T12:12:00"/>
    <d v="1899-12-30T17:55:00"/>
    <e v="#REF!"/>
    <e v="#REF!"/>
    <e v="#REF!"/>
    <s v=" Oil level sensor failure so replaced to new one._x000a_15ltrs oil filled then restored"/>
    <s v="Close"/>
    <s v=""/>
    <n v="0.98939999999999995"/>
    <n v="6.32"/>
    <m/>
  </r>
  <r>
    <n v="2380"/>
    <n v="2025"/>
    <n v="2024"/>
    <s v="Year_2"/>
    <d v="2024-07-19T00:00:00"/>
    <s v="KUD10"/>
    <s v="O2R1"/>
    <s v="KSIPL"/>
    <n v="4.3478260869565223E-2"/>
    <n v="5197"/>
    <x v="54"/>
    <s v="Prop Valve C Status Fault"/>
    <s v="Breakdown"/>
    <d v="1899-12-30T18:13:00"/>
    <d v="1899-12-30T18:13:00"/>
    <d v="1899-12-30T18:30:00"/>
    <e v="#REF!"/>
    <e v="#REF!"/>
    <e v="#REF!"/>
    <s v="Auto reset"/>
    <s v="Close"/>
    <s v=""/>
    <n v="1"/>
    <n v="2.11"/>
    <m/>
  </r>
  <r>
    <n v="2381"/>
    <n v="2025"/>
    <n v="2024"/>
    <s v="Year_2"/>
    <d v="2024-07-19T00:00:00"/>
    <s v="KUD10"/>
    <s v="O2R1"/>
    <s v="KSIPL"/>
    <n v="4.3478260869565223E-2"/>
    <n v="5195"/>
    <x v="49"/>
    <s v="Prop Valve A Status Fault"/>
    <s v="Breakdown"/>
    <d v="1899-12-30T19:48:00"/>
    <d v="1899-12-30T19:48:00"/>
    <d v="1899-12-30T21:26:00"/>
    <e v="#REF!"/>
    <e v="#REF!"/>
    <e v="#REF!"/>
    <s v="Remotee reboot"/>
    <s v="Close"/>
    <s v=""/>
    <n v="1"/>
    <n v="2.11"/>
    <m/>
  </r>
  <r>
    <n v="2382"/>
    <n v="2025"/>
    <n v="2024"/>
    <s v="Year_2"/>
    <d v="2024-07-19T00:00:00"/>
    <s v="KUD10"/>
    <s v="O2R1"/>
    <s v="KSIPL"/>
    <n v="4.3478260869565223E-2"/>
    <n v="5197"/>
    <x v="54"/>
    <s v="Prop Valve C Status Fault"/>
    <s v="Breakdown"/>
    <d v="1899-12-30T22:14:00"/>
    <d v="1899-12-30T22:14:00"/>
    <d v="1899-12-30T00:00:00"/>
    <e v="#REF!"/>
    <e v="#REF!"/>
    <e v="#REF!"/>
    <s v="Checked all related connection physically found no deviation _x000a_1.done manual pitch in and out_x000a_Error was triggered in blade C _x000a_2. After replacing prop valve cable of blade C error was not occured while pitch in and out _x000a_3. ⁠Now Wtg is in observation"/>
    <s v="Close"/>
    <s v=""/>
    <n v="1"/>
    <n v="2.11"/>
    <m/>
  </r>
  <r>
    <n v="2383"/>
    <n v="2025"/>
    <n v="2024"/>
    <s v="Year_2"/>
    <d v="2024-07-19T00:00:00"/>
    <s v="KUD11"/>
    <s v="O2R1"/>
    <s v="KSIPL"/>
    <n v="4.3478260869565223E-2"/>
    <n v="6293"/>
    <x v="32"/>
    <s v="Pitch valves test acitve"/>
    <s v="Breakdown"/>
    <d v="1899-12-30T16:43:00"/>
    <d v="1899-12-30T16:43:00"/>
    <d v="1899-12-30T16:50:00"/>
    <e v="#REF!"/>
    <e v="#REF!"/>
    <e v="#REF!"/>
    <s v="Auto reset"/>
    <s v="Close"/>
    <s v=""/>
    <n v="1"/>
    <n v="0.4"/>
    <m/>
  </r>
  <r>
    <n v="2384"/>
    <n v="2025"/>
    <n v="2024"/>
    <s v="Year_2"/>
    <d v="2024-07-20T00:00:00"/>
    <s v="KUD10"/>
    <s v="O2R1"/>
    <s v="KSIPL"/>
    <n v="4.3478260869565223E-2"/>
    <n v="5197"/>
    <x v="54"/>
    <s v="Prop Valve C Status Fault"/>
    <s v="Breakdown"/>
    <d v="1899-12-30T00:00:00"/>
    <d v="1899-12-30T00:00:00"/>
    <d v="1899-12-30T00:24:00"/>
    <d v="1899-12-30T00:00:00"/>
    <n v="0.4"/>
    <n v="0.4"/>
    <s v="Checked all related connection physically found no deviation _x000a_1.done manual pitch in and out_x000a_Error was triggered in blade C _x000a_2. After replacing prop valve cable of blade C error was not occured while pitch in and out _x000a_3. ⁠Now Wtg is in observation"/>
    <s v="Close"/>
    <n v="1.7391304347826091E-2"/>
    <n v="1"/>
    <n v="0.7"/>
    <m/>
  </r>
  <r>
    <n v="2385"/>
    <n v="2025"/>
    <n v="2024"/>
    <s v="Year_2"/>
    <d v="2024-07-21T00:00:00"/>
    <s v="KUD07"/>
    <s v="O2R3"/>
    <s v="JK"/>
    <n v="4.3478260869565223E-2"/>
    <n v="4987"/>
    <x v="183"/>
    <s v="GenSpd:89.1RPM, Ref:   0.0 RPM"/>
    <s v="Breakdown"/>
    <d v="1899-12-30T09:49:00"/>
    <d v="1899-12-30T09:49:00"/>
    <d v="1899-12-30T10:11:00"/>
    <d v="1899-12-30T00:00:00"/>
    <n v="0.3666666666666667"/>
    <n v="0.3666666666666667"/>
    <s v="Remote reboot and reset done"/>
    <s v="Close"/>
    <n v="1.5942028985507249E-2"/>
    <m/>
    <m/>
    <m/>
  </r>
  <r>
    <n v="2386"/>
    <n v="2025"/>
    <n v="2024"/>
    <s v="Year_2"/>
    <d v="2024-07-21T00:00:00"/>
    <s v="KUD16"/>
    <s v="O2R2"/>
    <s v="SIL"/>
    <n v="4.3478260869565223E-2"/>
    <n v="4239"/>
    <x v="40"/>
    <s v="HVCB Unknown Trip Reason"/>
    <s v="Breakdown"/>
    <d v="1899-12-30T09:53:00"/>
    <d v="1899-12-30T09:53:00"/>
    <d v="1899-12-30T10:15:00"/>
    <d v="1899-12-30T00:00:00"/>
    <n v="0.3666666666666667"/>
    <n v="0.3666666666666667"/>
    <s v="Remote reset done"/>
    <s v="Close"/>
    <n v="1.5942028985507249E-2"/>
    <m/>
    <m/>
    <m/>
  </r>
  <r>
    <n v="2387"/>
    <n v="2025"/>
    <n v="2024"/>
    <s v="Year_2"/>
    <d v="2024-07-21T00:00:00"/>
    <s v="KUD16"/>
    <s v="O2R2"/>
    <s v="SIL"/>
    <n v="4.3478260869565223E-2"/>
    <n v="4239"/>
    <x v="40"/>
    <s v="HVCB Unknown Trip Reason"/>
    <s v="Breakdown"/>
    <d v="1899-12-30T10:44:00"/>
    <d v="1899-12-30T10:44:00"/>
    <d v="1899-12-30T11:01:00"/>
    <d v="1899-12-30T00:00:00"/>
    <n v="0.28333333333333233"/>
    <n v="0.28333333333333233"/>
    <s v="Remote reset done"/>
    <s v="Close"/>
    <n v="1.2318840579710102E-2"/>
    <m/>
    <m/>
    <m/>
  </r>
  <r>
    <n v="2388"/>
    <n v="2025"/>
    <n v="2024"/>
    <s v="Year_2"/>
    <d v="2024-07-22T00:00:00"/>
    <s v="KUD01"/>
    <s v="O2R1"/>
    <s v="KSIPL"/>
    <n v="4.3478260869565223E-2"/>
    <n v="453"/>
    <x v="136"/>
    <s v="Ext. High I sum Rotinv.ChanX"/>
    <s v="Breakdown"/>
    <d v="2024-07-22T08:07:03"/>
    <d v="2024-07-22T08:07:03"/>
    <d v="2024-07-22T08:19:45"/>
    <d v="1899-12-30T00:00:00"/>
    <n v="0.21166666672797874"/>
    <n v="0.21166666672797874"/>
    <s v="Auto reset"/>
    <s v="Close"/>
    <n v="9.2028985533903814E-3"/>
    <m/>
    <m/>
    <m/>
  </r>
  <r>
    <n v="2389"/>
    <n v="2025"/>
    <n v="2024"/>
    <s v="Year_2"/>
    <d v="2024-07-22T00:00:00"/>
    <s v="KUD03"/>
    <s v="O2R1"/>
    <s v="KSIPL"/>
    <n v="4.3478260869565223E-2"/>
    <n v="3806"/>
    <x v="147"/>
    <s v="HubSafetySystem Batt.Charg.Err"/>
    <s v="Breakdown"/>
    <d v="2024-07-22T14:22:01"/>
    <d v="2024-07-22T14:22:01"/>
    <d v="2024-07-22T14:37:25"/>
    <d v="1899-12-30T00:00:00"/>
    <n v="0.25666666676988825"/>
    <n v="0.25666666676988825"/>
    <s v="Auto reset"/>
    <s v="Close"/>
    <n v="1.1159420294342968E-2"/>
    <m/>
    <m/>
    <m/>
  </r>
  <r>
    <n v="2390"/>
    <n v="2025"/>
    <n v="2024"/>
    <s v="Year_2"/>
    <d v="2024-07-22T00:00:00"/>
    <s v="KUD05"/>
    <s v="O2R3"/>
    <s v="JK"/>
    <n v="4.3478260869565223E-2"/>
    <n v="144"/>
    <x v="177"/>
    <s v="High windspeed: 18.0 m/s"/>
    <s v="Breakdown"/>
    <d v="2024-07-22T14:49:29"/>
    <d v="2024-07-22T14:49:29"/>
    <d v="2024-07-22T15:09:09"/>
    <d v="1899-12-30T00:00:00"/>
    <n v="0.32777777774026617"/>
    <n v="0.32777777774026617"/>
    <s v="Auto reset"/>
    <s v="Close"/>
    <n v="1.4251207727837662E-2"/>
    <m/>
    <m/>
    <m/>
  </r>
  <r>
    <n v="2391"/>
    <n v="2025"/>
    <n v="2024"/>
    <s v="Year_2"/>
    <d v="2024-07-22T00:00:00"/>
    <s v="KUD06"/>
    <s v="O2R3"/>
    <s v="JK"/>
    <n v="4.3478260869565223E-2"/>
    <n v="315"/>
    <x v="120"/>
    <s v="ExEx low voltage L2:   2V"/>
    <s v="Breakdown"/>
    <d v="2024-07-22T14:22:01"/>
    <d v="2024-07-22T14:22:01"/>
    <d v="2024-07-22T16:14:45"/>
    <d v="1899-12-30T00:00:00"/>
    <n v="1.8788888889248483"/>
    <n v="1.8788888889248483"/>
    <s v="Found UPS power supply MCB tripp condition after that normal then restored."/>
    <s v="Close"/>
    <n v="8.1690821257602117E-2"/>
    <m/>
    <m/>
    <m/>
  </r>
  <r>
    <n v="2392"/>
    <n v="2025"/>
    <n v="2024"/>
    <s v="Year_2"/>
    <d v="2024-07-22T00:00:00"/>
    <s v="KUD08"/>
    <s v="O2R3"/>
    <s v="JK"/>
    <n v="4.3478260869565223E-2"/>
    <n v="3742"/>
    <x v="115"/>
    <s v="TripHVButtonActivated 1"/>
    <s v="Breakdown"/>
    <d v="2024-07-22T14:22:01"/>
    <d v="2024-07-22T14:22:01"/>
    <d v="2024-07-22T14:47:47"/>
    <d v="1899-12-30T00:00:00"/>
    <n v="0.42944444459863007"/>
    <n v="0.42944444459863007"/>
    <s v="Auto reset"/>
    <s v="Close"/>
    <n v="1.8671497591244788E-2"/>
    <m/>
    <m/>
    <m/>
  </r>
  <r>
    <n v="2393"/>
    <n v="2025"/>
    <n v="2024"/>
    <s v="Year_2"/>
    <d v="2024-07-22T00:00:00"/>
    <s v="KUD09"/>
    <s v="O2R3"/>
    <s v="JK"/>
    <n v="4.3478260869565223E-2"/>
    <n v="144"/>
    <x v="177"/>
    <s v="High windspeed: 18.0 m/s"/>
    <s v="Breakdown"/>
    <d v="2024-07-22T14:49:24"/>
    <d v="2024-07-22T14:49:24"/>
    <d v="2024-07-22T15:06:20"/>
    <d v="1899-12-30T00:00:00"/>
    <n v="0.28222222236217931"/>
    <n v="0.28222222236217931"/>
    <s v="Hind wind operation and Auto reset"/>
    <s v="Close"/>
    <n v="1.2270531407051276E-2"/>
    <m/>
    <m/>
    <m/>
  </r>
  <r>
    <n v="2394"/>
    <n v="2025"/>
    <n v="2024"/>
    <s v="Year_2"/>
    <d v="2024-07-22T00:00:00"/>
    <s v="KUD10"/>
    <s v="O2R1"/>
    <s v="KSIPL"/>
    <n v="4.3478260869565223E-2"/>
    <n v="5197"/>
    <x v="54"/>
    <s v="Prop Valve C Status Fault"/>
    <s v="Breakdown"/>
    <d v="2024-07-22T19:22:26"/>
    <d v="2024-07-22T19:22:26"/>
    <d v="2024-07-22T19:29:25"/>
    <d v="1899-12-30T00:00:00"/>
    <n v="0.1163888888549991"/>
    <n v="0.1163888888549991"/>
    <s v="Auto reset"/>
    <s v="Close"/>
    <n v="5.0603864719564835E-3"/>
    <m/>
    <m/>
    <m/>
  </r>
  <r>
    <n v="2395"/>
    <n v="2025"/>
    <n v="2024"/>
    <s v="Year_2"/>
    <d v="2024-07-22T00:00:00"/>
    <s v="KUD11"/>
    <s v="O2R1"/>
    <s v="KSIPL"/>
    <n v="4.3478260869565223E-2"/>
    <n v="3806"/>
    <x v="147"/>
    <s v="HubSafetySystem Batt.Charg.Err"/>
    <s v="Breakdown"/>
    <d v="2024-07-22T14:22:01"/>
    <d v="2024-07-22T14:22:01"/>
    <d v="2024-07-22T14:35:33"/>
    <d v="1899-12-30T00:00:00"/>
    <n v="0.22555555572034791"/>
    <n v="0.22555555572034791"/>
    <s v="Auto reset"/>
    <s v="Close"/>
    <n v="9.8067632921890417E-3"/>
    <m/>
    <m/>
    <m/>
  </r>
  <r>
    <n v="2396"/>
    <n v="2025"/>
    <n v="2024"/>
    <s v="Year_2"/>
    <d v="2024-07-22T00:00:00"/>
    <s v="KUD11"/>
    <s v="O2R1"/>
    <s v="KSIPL"/>
    <n v="4.3478260869565223E-2"/>
    <n v="144"/>
    <x v="177"/>
    <s v="High windspeed: 18.0 m/s"/>
    <s v="Breakdown"/>
    <d v="2024-07-22T14:46:56"/>
    <d v="2024-07-22T14:46:56"/>
    <d v="2024-07-22T15:08:07"/>
    <d v="1899-12-30T00:00:00"/>
    <n v="0.35305555548984557"/>
    <n v="0.35305555548984557"/>
    <s v="Hind wind operation and Auto reset"/>
    <s v="Close"/>
    <n v="1.5350241543036765E-2"/>
    <m/>
    <m/>
    <m/>
  </r>
  <r>
    <n v="2397"/>
    <n v="2025"/>
    <n v="2024"/>
    <s v="Year_2"/>
    <d v="2024-07-22T00:00:00"/>
    <s v="KUD12"/>
    <s v="O2R1"/>
    <s v="KSIPL"/>
    <n v="4.3478260869565223E-2"/>
    <n v="336"/>
    <x v="129"/>
    <s v="Ext. High cur. Grid inv. L3"/>
    <s v="Breakdown"/>
    <d v="2024-07-22T14:22:01"/>
    <d v="2024-07-22T14:22:01"/>
    <d v="2024-07-22T16:01:47"/>
    <d v="1899-12-30T00:00:00"/>
    <n v="1.6627777779358439"/>
    <n v="1.6627777779358439"/>
    <s v="Found UPS power supply MCB tripp condition after that normal then restored."/>
    <s v="Close"/>
    <n v="7.2294685997210617E-2"/>
    <m/>
    <m/>
    <m/>
  </r>
  <r>
    <n v="2398"/>
    <n v="2025"/>
    <n v="2024"/>
    <s v="Year_2"/>
    <d v="2024-07-22T00:00:00"/>
    <s v="KUD13"/>
    <s v="O2R1"/>
    <s v="KSIPL"/>
    <n v="4.3478260869565223E-2"/>
    <n v="144"/>
    <x v="177"/>
    <s v="High windspeed: 18.0 m/s"/>
    <s v="Breakdown"/>
    <d v="2024-07-22T14:47:33"/>
    <d v="2024-07-22T14:47:33"/>
    <d v="2024-07-22T15:04:52"/>
    <d v="1899-12-30T00:00:00"/>
    <n v="0.2886111109983176"/>
    <n v="0.2886111109983176"/>
    <s v="Hind wind operation and Auto reset"/>
    <s v="Close"/>
    <n v="1.2548309173839898E-2"/>
    <m/>
    <m/>
    <m/>
  </r>
  <r>
    <n v="2399"/>
    <n v="2025"/>
    <n v="2024"/>
    <s v="Year_2"/>
    <d v="2024-07-22T00:00:00"/>
    <s v="KUD14"/>
    <s v="O2R1"/>
    <s v="KSIPL"/>
    <n v="4.3478260869565223E-2"/>
    <n v="144"/>
    <x v="177"/>
    <s v="High windspeed: 18.0 m/s"/>
    <s v="Breakdown"/>
    <d v="2024-07-22T14:48:21"/>
    <d v="2024-07-22T14:48:21"/>
    <d v="2024-07-22T15:08:47"/>
    <d v="1899-12-30T00:00:00"/>
    <n v="0.3405555555364117"/>
    <n v="0.3405555555364117"/>
    <s v="Hind wind operation and Auto reset"/>
    <s v="Close"/>
    <n v="1.4806763284191815E-2"/>
    <m/>
    <m/>
    <m/>
  </r>
  <r>
    <n v="2400"/>
    <n v="2025"/>
    <n v="2024"/>
    <s v="Year_2"/>
    <d v="2024-07-22T00:00:00"/>
    <s v="KUD15"/>
    <s v="O2R1"/>
    <s v="KSIPL"/>
    <n v="4.3478260869565223E-2"/>
    <n v="6227"/>
    <x v="159"/>
    <s v="HydPressOscBlCFilt2,   8.7bar"/>
    <s v="Breakdown"/>
    <d v="2024-07-22T14:43:00"/>
    <d v="2024-07-22T14:43:00"/>
    <d v="2024-07-22T14:49:57"/>
    <d v="1899-12-30T00:00:00"/>
    <n v="0.11583333334419876"/>
    <n v="0.11583333334419876"/>
    <s v="Auto reset"/>
    <s v="Close"/>
    <n v="5.0362318845303816E-3"/>
    <m/>
    <m/>
    <m/>
  </r>
  <r>
    <n v="2401"/>
    <n v="2025"/>
    <n v="2024"/>
    <s v="Year_2"/>
    <d v="2024-07-22T00:00:00"/>
    <s v="KUD16"/>
    <s v="O2R2"/>
    <s v="SIL"/>
    <n v="4.3478260869565223E-2"/>
    <n v="144"/>
    <x v="177"/>
    <s v="High windspeed: 18.0 m/s"/>
    <s v="Breakdown"/>
    <d v="2024-07-22T14:53:09"/>
    <d v="2024-07-22T14:53:09"/>
    <d v="2024-07-22T15:02:15"/>
    <d v="1899-12-30T00:00:00"/>
    <n v="0.15166666667209938"/>
    <n v="0.15166666667209938"/>
    <s v="Hind wind operation and Auto reset"/>
    <s v="Close"/>
    <n v="6.5942028987869307E-3"/>
    <m/>
    <m/>
    <m/>
  </r>
  <r>
    <n v="2402"/>
    <n v="2025"/>
    <n v="2024"/>
    <s v="Year_2"/>
    <d v="2024-07-22T00:00:00"/>
    <s v="KUD17"/>
    <s v="O2R2"/>
    <s v="SIL"/>
    <n v="4.3478260869565223E-2"/>
    <n v="6226"/>
    <x v="159"/>
    <s v="HydPressOscBlBFilt2,   8.2bar"/>
    <s v="Breakdown"/>
    <d v="2024-07-22T14:43:08"/>
    <d v="2024-07-22T14:43:08"/>
    <d v="2024-07-22T14:50:58"/>
    <d v="1899-12-30T00:00:00"/>
    <n v="0.13055555569007993"/>
    <n v="0.13055555569007993"/>
    <s v="Auto reset"/>
    <s v="Close"/>
    <n v="5.6763285082643451E-3"/>
    <m/>
    <m/>
    <m/>
  </r>
  <r>
    <n v="2403"/>
    <n v="2025"/>
    <n v="2024"/>
    <s v="Year_2"/>
    <d v="2024-07-22T00:00:00"/>
    <s v="KUD19"/>
    <s v="O2R1"/>
    <s v="KSIPL"/>
    <n v="4.3478260869565223E-2"/>
    <n v="900"/>
    <x v="100"/>
    <s v="Pause pressed on keyboard"/>
    <s v="Breakdown"/>
    <d v="2024-07-22T14:22:01"/>
    <d v="2024-07-22T14:22:01"/>
    <d v="2024-07-22T18:42:09"/>
    <d v="1899-12-30T00:00:00"/>
    <n v="4.3355555557063781"/>
    <n v="4.3355555557063781"/>
    <s v="Found Hub supply not available after checked supply coonection are loose condtion then tightened the cable after restored."/>
    <s v="Close"/>
    <n v="0.18850241546549473"/>
    <m/>
    <m/>
    <m/>
  </r>
  <r>
    <n v="2404"/>
    <n v="2025"/>
    <n v="2024"/>
    <s v="Year_2"/>
    <d v="2024-07-22T00:00:00"/>
    <s v="KUD20"/>
    <s v="O2R1"/>
    <s v="KSIPL"/>
    <n v="4.3478260869565223E-2"/>
    <n v="144"/>
    <x v="177"/>
    <s v="High windspeed: 18.0 m/s"/>
    <s v="Breakdown"/>
    <d v="2024-07-22T14:52:34"/>
    <d v="2024-07-22T14:52:34"/>
    <d v="2024-07-22T15:04:02"/>
    <d v="1899-12-30T00:00:00"/>
    <n v="0.19111111108213663"/>
    <n v="0.19111111108213663"/>
    <s v="Hind wind operation and Auto reset"/>
    <s v="Close"/>
    <n v="8.3091787427015933E-3"/>
    <m/>
    <m/>
    <m/>
  </r>
  <r>
    <n v="2405"/>
    <n v="2025"/>
    <n v="2024"/>
    <s v="Year_2"/>
    <d v="2024-07-22T00:00:00"/>
    <s v="KUD21"/>
    <s v="O2R3"/>
    <s v="JK"/>
    <n v="4.3478260869565223E-2"/>
    <n v="153"/>
    <x v="185"/>
    <s v="Max generator RPM: 1930.1 RPM"/>
    <s v="Breakdown"/>
    <d v="2024-07-22T14:44:35"/>
    <d v="2024-07-22T14:44:35"/>
    <d v="2024-07-22T14:51:37"/>
    <d v="1899-12-30T00:00:00"/>
    <n v="0.11722222220851108"/>
    <n v="0.11722222220851108"/>
    <s v="Auto reset"/>
    <s v="Close"/>
    <n v="5.0966183568917868E-3"/>
    <m/>
    <m/>
    <m/>
  </r>
  <r>
    <n v="2406"/>
    <n v="2025"/>
    <n v="2024"/>
    <s v="Year_2"/>
    <d v="2024-07-22T00:00:00"/>
    <s v="KUD22"/>
    <s v="O2R3"/>
    <s v="JK"/>
    <n v="4.3478260869565223E-2"/>
    <n v="3806"/>
    <x v="147"/>
    <s v="HubSafetySystem Batt.Charg.Err"/>
    <s v="Breakdown"/>
    <d v="2024-07-22T14:22:01"/>
    <d v="2024-07-22T14:22:01"/>
    <d v="2024-07-22T14:35:57"/>
    <d v="1899-12-30T00:00:00"/>
    <n v="0.23222222237382084"/>
    <n v="0.23222222237382084"/>
    <s v="Auto reset"/>
    <s v="Close"/>
    <n v="1.0096618364079168E-2"/>
    <m/>
    <m/>
    <m/>
  </r>
  <r>
    <n v="2407"/>
    <n v="2025"/>
    <n v="2024"/>
    <s v="Year_2"/>
    <d v="2024-07-23T00:00:00"/>
    <s v="KUD19"/>
    <s v="O2R1"/>
    <s v="KSIPL"/>
    <n v="4.3478260869565223E-2"/>
    <n v="900"/>
    <x v="100"/>
    <s v="Pause pressed on keyboard"/>
    <s v="Manual Stop"/>
    <d v="1899-12-30T03:38:00"/>
    <d v="1899-12-30T03:38:00"/>
    <d v="1899-12-30T06:22:00"/>
    <d v="1899-12-30T00:00:00"/>
    <n v="2.7333333333333334"/>
    <n v="2.7333333333333334"/>
    <s v="checked all related connections found C blade load sensor cable loose condition retightened the cable and connections _x000a_Wtg restored"/>
    <s v="Close"/>
    <n v="0.11884057971014494"/>
    <m/>
    <m/>
    <m/>
  </r>
  <r>
    <n v="2408"/>
    <n v="2025"/>
    <n v="2024"/>
    <s v="Year_2"/>
    <d v="2024-07-23T00:00:00"/>
    <s v="KUD06"/>
    <s v="O2R3"/>
    <s v="JK"/>
    <n v="4.3478260869565223E-2"/>
    <n v="202"/>
    <x v="131"/>
    <s v="Frequency error 1:   0.56 Hz"/>
    <s v="Breakdown"/>
    <d v="1899-12-30T05:35:00"/>
    <d v="1899-12-30T05:35:00"/>
    <d v="1899-12-30T07:58:00"/>
    <d v="1899-12-30T00:00:00"/>
    <n v="2.3833333333333329"/>
    <n v="2.3833333333333329"/>
    <s v="checked all related connections found UPS battery low, replaced the batteries and restored the wtg"/>
    <s v="Close"/>
    <n v="0.1036231884057971"/>
    <m/>
    <m/>
    <m/>
  </r>
  <r>
    <n v="2409"/>
    <n v="2025"/>
    <n v="2024"/>
    <s v="Year_2"/>
    <d v="2024-07-25T00:00:00"/>
    <s v="KUD08"/>
    <s v="O2R3"/>
    <s v="JK"/>
    <n v="4.3478260869565223E-2"/>
    <n v="315"/>
    <x v="120"/>
    <s v="ExEx low voltage L3:   3V"/>
    <s v="Breakdown"/>
    <d v="1899-12-30T11:25:00"/>
    <d v="1899-12-30T11:25:00"/>
    <d v="1899-12-30T12:25:00"/>
    <d v="1899-12-30T00:00:00"/>
    <n v="1.0000000000000018"/>
    <n v="1.0000000000000018"/>
    <s v="After grid resume wtg is in safe mode and manually charged work delay due to connectivity not available"/>
    <s v="Close"/>
    <n v="4.3478260869565299E-2"/>
    <m/>
    <m/>
    <m/>
  </r>
  <r>
    <n v="2410"/>
    <n v="2025"/>
    <n v="2024"/>
    <s v="Year_2"/>
    <d v="2024-07-25T00:00:00"/>
    <s v="KUD12"/>
    <s v="O2R1"/>
    <s v="KSIPL"/>
    <n v="4.3478260869565223E-2"/>
    <n v="315"/>
    <x v="120"/>
    <s v="ExEx low voltage L3:   3V"/>
    <s v="Breakdown"/>
    <d v="1899-12-30T11:25:00"/>
    <d v="1899-12-30T11:25:00"/>
    <d v="1899-12-30T12:42:00"/>
    <d v="1899-12-30T00:00:00"/>
    <n v="1.2833333333333341"/>
    <n v="1.2833333333333341"/>
    <s v="After grid resume wtg is in safe mode and manually charged work delay due to connectivity not available"/>
    <s v="Close"/>
    <n v="5.5797101449275403E-2"/>
    <m/>
    <m/>
    <m/>
  </r>
  <r>
    <n v="2411"/>
    <n v="2025"/>
    <n v="2024"/>
    <s v="Year_2"/>
    <d v="2024-07-25T00:00:00"/>
    <s v="KUD14"/>
    <s v="O2R1"/>
    <s v="KSIPL"/>
    <n v="4.3478260869565223E-2"/>
    <n v="315"/>
    <x v="120"/>
    <s v="ExEx low voltage L3:   3V"/>
    <s v="Breakdown"/>
    <d v="1899-12-30T11:25:00"/>
    <d v="1899-12-30T11:25:00"/>
    <d v="1899-12-30T12:30:00"/>
    <d v="1899-12-30T00:00:00"/>
    <n v="1.0833333333333348"/>
    <n v="1.0833333333333348"/>
    <s v="After grid resume wtg is in safe mode and manually charged work delay due to connectivity not available"/>
    <s v="Close"/>
    <n v="4.7101449275362389E-2"/>
    <m/>
    <m/>
    <m/>
  </r>
  <r>
    <n v="2412"/>
    <n v="2025"/>
    <n v="2024"/>
    <s v="Year_2"/>
    <d v="2024-07-25T00:00:00"/>
    <s v="KUD16"/>
    <s v="O2R2"/>
    <s v="SIL"/>
    <n v="4.3478260869565223E-2"/>
    <n v="315"/>
    <x v="120"/>
    <s v="ExEx low voltage L3:   3V"/>
    <s v="Breakdown"/>
    <d v="1899-12-30T15:56:00"/>
    <d v="1899-12-30T15:56:00"/>
    <d v="1899-12-30T17:22:00"/>
    <d v="1899-12-30T00:00:00"/>
    <n v="1.4333333333333336"/>
    <n v="1.4333333333333336"/>
    <s v="After grid resume wtg is in safe mode and manually charged work delay due to connectivity not available"/>
    <s v="Close"/>
    <n v="6.2318840579710162E-2"/>
    <m/>
    <m/>
    <m/>
  </r>
  <r>
    <n v="2413"/>
    <n v="2025"/>
    <n v="2024"/>
    <s v="Year_2"/>
    <d v="2024-07-26T00:00:00"/>
    <s v="KUD08"/>
    <s v="O2R3"/>
    <s v="JK"/>
    <n v="4.3478260869565223E-2"/>
    <n v="931"/>
    <x v="186"/>
    <s v="ARC light detected____"/>
    <s v="Major Breakdown"/>
    <d v="1899-12-30T14:30:00"/>
    <d v="1899-12-30T14:30:00"/>
    <d v="1899-12-30T23:59:59"/>
    <d v="1899-12-30T00:00:00"/>
    <n v="9.4997222222222248"/>
    <n v="9.4997222222222248"/>
    <s v="We have done inspection and shared details to thetechnical team, waiting for the next updates"/>
    <s v="Open"/>
    <n v="0.41303140096618374"/>
    <m/>
    <m/>
    <m/>
  </r>
  <r>
    <n v="2414"/>
    <n v="2025"/>
    <n v="2024"/>
    <s v="Year_2"/>
    <d v="2024-07-27T00:00:00"/>
    <s v="KUD07"/>
    <s v="O2R3"/>
    <s v="JK"/>
    <n v="4.3478260869565223E-2"/>
    <n v="3862"/>
    <x v="160"/>
    <s v="safety system reset required"/>
    <s v="Breakdown"/>
    <d v="1899-12-30T10:20:00"/>
    <d v="1899-12-30T10:20:00"/>
    <d v="1899-12-30T11:52:00"/>
    <d v="1899-12-30T00:00:00"/>
    <n v="1.5333333333333332"/>
    <n v="1.5333333333333332"/>
    <s v="Manual reboot and system testing process done"/>
    <s v="Close"/>
    <n v="6.6666666666666666E-2"/>
    <m/>
    <m/>
    <m/>
  </r>
  <r>
    <n v="2415"/>
    <n v="2025"/>
    <n v="2024"/>
    <s v="Year_2"/>
    <d v="2024-07-27T00:00:00"/>
    <s v="KUD10"/>
    <s v="O2R1"/>
    <s v="KSIPL"/>
    <n v="4.3478260869565223E-2"/>
    <n v="5197"/>
    <x v="54"/>
    <s v="Prop Valve C Status Fault"/>
    <s v="Breakdown"/>
    <d v="1899-12-30T04:46:00"/>
    <d v="1899-12-30T04:46:00"/>
    <d v="1899-12-30T04:53:00"/>
    <d v="1899-12-30T00:00:00"/>
    <n v="0.11666666666666692"/>
    <n v="0.11666666666666692"/>
    <s v="Auto reset"/>
    <s v="Close"/>
    <n v="5.0724637681159538E-3"/>
    <m/>
    <m/>
    <m/>
  </r>
  <r>
    <n v="2416"/>
    <n v="2025"/>
    <n v="2024"/>
    <s v="Year_2"/>
    <d v="2024-07-27T00:00:00"/>
    <s v="KUD11"/>
    <s v="O2R1"/>
    <s v="KSIPL"/>
    <n v="4.3478260869565223E-2"/>
    <n v="250"/>
    <x v="187"/>
    <s v="Ext.High I sum Grid inv"/>
    <s v="Breakdown"/>
    <d v="1899-12-30T10:20:00"/>
    <d v="1899-12-30T10:20:00"/>
    <d v="1899-12-30T10:50:00"/>
    <d v="1899-12-30T00:00:00"/>
    <n v="0.49999999999999956"/>
    <n v="0.49999999999999956"/>
    <s v="Auto reset"/>
    <s v="Close"/>
    <n v="2.1739130434782591E-2"/>
    <m/>
    <m/>
    <m/>
  </r>
  <r>
    <n v="2417"/>
    <n v="2025"/>
    <n v="2024"/>
    <s v="Year_2"/>
    <d v="2024-07-27T00:00:00"/>
    <s v="KUD11"/>
    <s v="O2R1"/>
    <s v="KSIPL"/>
    <n v="4.3478260869565223E-2"/>
    <n v="3806"/>
    <x v="147"/>
    <s v="HubSafetySystem Batt.Charg.Err"/>
    <s v="Breakdown"/>
    <d v="1899-12-30T14:05:00"/>
    <d v="1899-12-30T14:05:00"/>
    <d v="1899-12-30T14:18:00"/>
    <d v="1899-12-30T00:00:00"/>
    <n v="0.2166666666666659"/>
    <n v="0.2166666666666659"/>
    <s v="Auto reset"/>
    <s v="Close"/>
    <n v="9.4202898550724314E-3"/>
    <m/>
    <m/>
    <m/>
  </r>
  <r>
    <n v="2418"/>
    <n v="2025"/>
    <n v="2024"/>
    <s v="Year_2"/>
    <d v="2024-07-27T00:00:00"/>
    <s v="KUD16"/>
    <s v="O2R2"/>
    <s v="SIL"/>
    <n v="4.3478260869565223E-2"/>
    <n v="4239"/>
    <x v="40"/>
    <s v="HVCB Unknown Trip Reason"/>
    <s v="Breakdown"/>
    <d v="1899-12-30T10:20:00"/>
    <d v="1899-12-30T10:20:00"/>
    <d v="1899-12-30T10:32:00"/>
    <d v="1899-12-30T00:00:00"/>
    <n v="0.19999999999999929"/>
    <n v="0.19999999999999929"/>
    <s v="Remote reset"/>
    <s v="Close"/>
    <n v="8.6956521739130141E-3"/>
    <m/>
    <m/>
    <m/>
  </r>
  <r>
    <n v="2419"/>
    <n v="2025"/>
    <n v="2024"/>
    <s v="Year_2"/>
    <d v="2024-07-27T00:00:00"/>
    <s v="KUD16"/>
    <s v="O2R2"/>
    <s v="SIL"/>
    <n v="4.3478260869565223E-2"/>
    <n v="4235"/>
    <x v="93"/>
    <s v="Gen Stator CB Open"/>
    <s v="Breakdown"/>
    <d v="1899-12-30T14:05:00"/>
    <d v="1899-12-30T14:05:00"/>
    <d v="1899-12-30T14:22:00"/>
    <d v="1899-12-30T00:00:00"/>
    <n v="0.28333333333333233"/>
    <n v="0.28333333333333233"/>
    <s v="Auto reset"/>
    <s v="Close"/>
    <n v="1.2318840579710102E-2"/>
    <m/>
    <m/>
    <m/>
  </r>
  <r>
    <n v="2420"/>
    <n v="2025"/>
    <n v="2024"/>
    <s v="Year_2"/>
    <d v="2024-07-27T00:00:00"/>
    <s v="KUD08"/>
    <s v="O2R3"/>
    <s v="JK"/>
    <n v="4.3478260869565223E-2"/>
    <n v="931"/>
    <x v="186"/>
    <s v="ARC light detected____"/>
    <s v="Major Breakdown"/>
    <d v="1899-12-30T00:00:00"/>
    <d v="1899-12-30T00:00:00"/>
    <d v="1899-12-30T23:59:59"/>
    <d v="1899-12-30T00:00:00"/>
    <n v="23.999722222222225"/>
    <n v="23.999722222222225"/>
    <s v="HV trafo replacement work is under process"/>
    <s v="Open"/>
    <n v="1.0434661835748795"/>
    <m/>
    <m/>
    <m/>
  </r>
  <r>
    <n v="2421"/>
    <n v="2025"/>
    <n v="2024"/>
    <s v="Year_2"/>
    <d v="2024-07-28T00:00:00"/>
    <s v="KUD08"/>
    <s v="O2R3"/>
    <s v="JK"/>
    <n v="4.3478260869565223E-2"/>
    <n v="931"/>
    <x v="186"/>
    <s v="ARC light detected____"/>
    <s v="Major Breakdown"/>
    <d v="1899-12-30T00:00:00"/>
    <d v="1899-12-30T00:00:00"/>
    <d v="1899-12-30T23:59:59"/>
    <d v="1899-12-30T00:00:00"/>
    <n v="23.999722222222225"/>
    <n v="23.999722222222225"/>
    <s v="HV trafo replacement work is under process"/>
    <s v="Open"/>
    <n v="1.0434661835748795"/>
    <m/>
    <m/>
    <m/>
  </r>
  <r>
    <n v="2422"/>
    <n v="2025"/>
    <n v="2024"/>
    <s v="Year_2"/>
    <d v="2024-07-28T00:00:00"/>
    <s v="KUD14"/>
    <s v="O2R1"/>
    <s v="KSIPL"/>
    <n v="4.3478260869565223E-2"/>
    <n v="900"/>
    <x v="100"/>
    <s v="Pause pressed on keyboard"/>
    <s v="Manual Stop"/>
    <d v="1899-12-30T11:32:00"/>
    <d v="1899-12-30T11:32:00"/>
    <d v="1899-12-30T15:11:00"/>
    <d v="1899-12-30T00:00:00"/>
    <n v="3.649999999999999"/>
    <n v="3.649999999999999"/>
    <s v="HV trafo inspection done"/>
    <s v="Close"/>
    <n v="0.15869565217391302"/>
    <m/>
    <m/>
    <m/>
  </r>
  <r>
    <n v="2423"/>
    <n v="2025"/>
    <n v="2024"/>
    <s v="Year_2"/>
    <d v="2024-07-28T00:00:00"/>
    <s v="KUD11"/>
    <s v="O2R1"/>
    <s v="KSIPL"/>
    <n v="4.3478260869565223E-2"/>
    <n v="6293"/>
    <x v="32"/>
    <s v="Pitch valves test active"/>
    <s v="Breakdown"/>
    <d v="1899-12-30T14:22:00"/>
    <d v="1899-12-30T14:22:00"/>
    <d v="1899-12-30T14:31:00"/>
    <d v="1899-12-30T00:00:00"/>
    <n v="0.14999999999999947"/>
    <n v="0.14999999999999947"/>
    <s v="Auto reset"/>
    <s v="Close"/>
    <n v="6.5217391304347606E-3"/>
    <m/>
    <m/>
    <m/>
  </r>
  <r>
    <n v="2424"/>
    <n v="2025"/>
    <n v="2024"/>
    <s v="Year_2"/>
    <d v="2024-07-29T00:00:00"/>
    <s v="KUD19"/>
    <s v="O2R1"/>
    <s v="KSIPL"/>
    <n v="4.3478260869565223E-2"/>
    <n v="309"/>
    <x v="149"/>
    <s v="Pause over RCS 13"/>
    <s v="Manual Stop"/>
    <d v="1899-12-30T13:12:00"/>
    <d v="1899-12-30T13:12:00"/>
    <d v="1899-12-30T20:40:00"/>
    <d v="1899-12-30T00:00:00"/>
    <n v="7.4666666666666668"/>
    <n v="7.4666666666666668"/>
    <s v=" trafo cooling operation verified, nacelle operation verified and hatch opening damper operation checked all found ok and measured pt100 sensor resistance found ok, air flow to the winding also verified, is ok and while checking the depth of the sensor found more deeper than required same is rectified and _x000a_for blade load fault detected warning blade load sensor calibration done now the turbine is under observation"/>
    <s v="Close"/>
    <n v="0.32463768115942032"/>
    <m/>
    <m/>
    <m/>
  </r>
  <r>
    <n v="2425"/>
    <n v="2025"/>
    <n v="2024"/>
    <s v="Year_2"/>
    <d v="2024-07-29T00:00:00"/>
    <s v="KUD08"/>
    <s v="O2R3"/>
    <s v="JK"/>
    <n v="4.3478260869565223E-2"/>
    <n v="931"/>
    <x v="186"/>
    <s v="ARC light detected____"/>
    <s v="Major Breakdown"/>
    <d v="1899-12-30T00:00:00"/>
    <d v="1899-12-30T00:00:00"/>
    <d v="1899-12-30T23:59:59"/>
    <d v="1899-12-30T00:00:00"/>
    <n v="23.999722222222225"/>
    <n v="23.999722222222225"/>
    <s v="HV trafo replacement work is under process"/>
    <s v="Open"/>
    <n v="1.0434661835748795"/>
    <m/>
    <m/>
    <m/>
  </r>
  <r>
    <n v="2426"/>
    <n v="2025"/>
    <n v="2024"/>
    <s v="Year_2"/>
    <d v="2024-07-30T00:00:00"/>
    <s v="KUD08"/>
    <s v="O2R3"/>
    <s v="JK"/>
    <n v="4.3478260869565223E-2"/>
    <n v="931"/>
    <x v="186"/>
    <s v="ARC light detected____"/>
    <s v="Major Breakdown"/>
    <d v="1899-12-30T00:00:00"/>
    <d v="1899-12-30T00:00:00"/>
    <d v="1899-12-30T23:59:59"/>
    <d v="1899-12-30T00:00:00"/>
    <n v="23.999722222222225"/>
    <n v="23.999722222222225"/>
    <s v="HV trafo replacement work is under process"/>
    <s v="Open"/>
    <n v="1.0434661835748795"/>
    <m/>
    <m/>
    <m/>
  </r>
  <r>
    <n v="2427"/>
    <n v="2025"/>
    <n v="2024"/>
    <s v="Year_2"/>
    <d v="2024-07-30T00:00:00"/>
    <s v="KUD01"/>
    <s v="O2R1"/>
    <s v="KSIPL"/>
    <n v="4.3478260869565223E-2"/>
    <n v="309"/>
    <x v="149"/>
    <s v="Pause over RCS 13 for Load curtailment"/>
    <s v="ROW"/>
    <d v="2024-07-30T13:29:18"/>
    <d v="2024-07-30T13:29:18"/>
    <d v="2024-07-30T15:12:59"/>
    <d v="1899-12-30T00:00:00"/>
    <n v="1.7280555554316379"/>
    <n v="1.7280555554316379"/>
    <s v="Manual stop for load curtailment as per KPTCL and  SLDC instruction"/>
    <s v="Close"/>
    <n v="0"/>
    <m/>
    <m/>
    <m/>
  </r>
  <r>
    <n v="2428"/>
    <n v="2025"/>
    <n v="2024"/>
    <s v="Year_2"/>
    <d v="2024-07-30T00:00:00"/>
    <s v="KUD02"/>
    <s v="O2R3"/>
    <s v="JK"/>
    <n v="4.3478260869565223E-2"/>
    <n v="309"/>
    <x v="149"/>
    <s v="Pause over RCS 13 for Load curtailment"/>
    <s v="ROW"/>
    <d v="2024-07-30T13:41:30"/>
    <d v="2024-07-30T13:41:30"/>
    <d v="2024-07-30T15:13:16"/>
    <d v="1899-12-30T00:00:00"/>
    <n v="1.5294444445171393"/>
    <n v="1.5294444445171393"/>
    <s v="Manual stop for load curtailment as per KPTCL and  SLDC instruction"/>
    <s v="Close"/>
    <n v="0"/>
    <m/>
    <m/>
    <m/>
  </r>
  <r>
    <n v="2429"/>
    <n v="2025"/>
    <n v="2024"/>
    <s v="Year_2"/>
    <d v="2024-07-30T00:00:00"/>
    <s v="KUD04"/>
    <s v="O2R3"/>
    <s v="JK"/>
    <n v="4.3478260869565223E-2"/>
    <n v="309"/>
    <x v="149"/>
    <s v="Pause over RCS 13 for Load curtailment"/>
    <s v="ROW"/>
    <d v="2024-07-30T13:39:44"/>
    <d v="2024-07-30T13:39:44"/>
    <d v="2024-07-30T15:12:32"/>
    <d v="1899-12-30T00:00:00"/>
    <n v="1.5466666665743105"/>
    <n v="1.5466666665743105"/>
    <s v="Manual stop for load curtailment as per KPTCL and  SLDC instruction"/>
    <s v="Close"/>
    <n v="0"/>
    <m/>
    <m/>
    <m/>
  </r>
  <r>
    <n v="2430"/>
    <n v="2025"/>
    <n v="2024"/>
    <s v="Year_2"/>
    <d v="2024-07-30T00:00:00"/>
    <s v="KUD05"/>
    <s v="O2R3"/>
    <s v="JK"/>
    <n v="4.3478260869565223E-2"/>
    <n v="309"/>
    <x v="149"/>
    <s v="Pause over RCS 13 for Load curtailment"/>
    <s v="ROW"/>
    <d v="2024-07-30T13:40:40"/>
    <d v="2024-07-30T13:40:40"/>
    <d v="2024-07-30T15:14:58"/>
    <d v="1899-12-30T00:00:00"/>
    <n v="1.5716666666558012"/>
    <n v="1.5716666666558012"/>
    <s v="Manual stop for load curtailment as per KPTCL and  SLDC instruction"/>
    <s v="Close"/>
    <n v="0"/>
    <m/>
    <m/>
    <m/>
  </r>
  <r>
    <n v="2431"/>
    <n v="2025"/>
    <n v="2024"/>
    <s v="Year_2"/>
    <d v="2024-07-30T00:00:00"/>
    <s v="KUD06"/>
    <s v="O2R3"/>
    <s v="JK"/>
    <n v="4.3478260869565223E-2"/>
    <n v="309"/>
    <x v="149"/>
    <s v="Pause over RCS 13 for Load curtailment"/>
    <s v="ROW"/>
    <d v="2024-07-30T13:40:37"/>
    <d v="2024-07-30T13:40:37"/>
    <d v="2024-07-30T15:15:04"/>
    <d v="1899-12-30T00:00:00"/>
    <n v="1.5741666667163372"/>
    <n v="1.5741666667163372"/>
    <s v="Manual stop for load curtailment as per KPTCL and  SLDC instruction"/>
    <s v="Close"/>
    <n v="0"/>
    <m/>
    <m/>
    <m/>
  </r>
  <r>
    <n v="2432"/>
    <n v="2025"/>
    <n v="2024"/>
    <s v="Year_2"/>
    <d v="2024-07-30T00:00:00"/>
    <s v="KUD07"/>
    <s v="O2R3"/>
    <s v="JK"/>
    <n v="4.3478260869565223E-2"/>
    <n v="309"/>
    <x v="149"/>
    <s v="Pause over RCS 13 for Load curtailment"/>
    <s v="ROW"/>
    <d v="2024-07-30T13:40:28"/>
    <d v="2024-07-30T13:40:28"/>
    <d v="2024-07-30T13:46:24"/>
    <d v="1899-12-30T00:00:00"/>
    <n v="9.8888888955116272E-2"/>
    <n v="9.8888888955116272E-2"/>
    <s v="Manual stop for load curtailment as per KPTCL and  SLDC instruction"/>
    <s v="Close"/>
    <n v="0"/>
    <m/>
    <m/>
    <m/>
  </r>
  <r>
    <n v="2433"/>
    <n v="2025"/>
    <n v="2024"/>
    <s v="Year_2"/>
    <d v="2024-07-30T00:00:00"/>
    <s v="KUD15"/>
    <s v="O2R1"/>
    <s v="KSIPL"/>
    <n v="4.3478260869565223E-2"/>
    <n v="309"/>
    <x v="149"/>
    <s v="Pause over RCS 13 for Load curtailment"/>
    <s v="ROW"/>
    <d v="2024-07-30T13:24:46"/>
    <d v="2024-07-30T13:24:46"/>
    <d v="2024-07-30T15:15:06"/>
    <d v="1899-12-30T00:00:00"/>
    <n v="1.8388888888293877"/>
    <n v="1.8388888888293877"/>
    <s v="Manual stop for load curtailment as per KPTCL and  SLDC instruction"/>
    <s v="Close"/>
    <n v="0"/>
    <m/>
    <m/>
    <m/>
  </r>
  <r>
    <n v="2434"/>
    <n v="2025"/>
    <n v="2024"/>
    <s v="Year_2"/>
    <d v="2024-07-30T00:00:00"/>
    <s v="KUD21"/>
    <s v="O2R3"/>
    <s v="JK"/>
    <n v="4.3478260869565223E-2"/>
    <n v="309"/>
    <x v="149"/>
    <s v="Pause over RCS 13 for Load curtailment"/>
    <s v="ROW"/>
    <d v="2024-07-30T13:25:12"/>
    <d v="2024-07-30T13:25:12"/>
    <d v="2024-07-30T15:15:35"/>
    <d v="1899-12-30T00:00:00"/>
    <n v="1.8397222221828997"/>
    <n v="1.8397222221828997"/>
    <s v="Manual stop for load curtailment as per KPTCL and  SLDC instruction"/>
    <s v="Close"/>
    <n v="0"/>
    <m/>
    <m/>
    <m/>
  </r>
  <r>
    <n v="2435"/>
    <n v="2025"/>
    <n v="2024"/>
    <s v="Year_2"/>
    <d v="2024-07-30T00:00:00"/>
    <s v="KUD22"/>
    <s v="O2R3"/>
    <s v="JK"/>
    <n v="4.3478260869565223E-2"/>
    <n v="309"/>
    <x v="149"/>
    <s v="Pause over RCS 13 for Load curtailment"/>
    <s v="ROW"/>
    <d v="2024-07-30T13:31:43"/>
    <d v="2024-07-30T13:31:43"/>
    <d v="2024-07-30T14:20:29"/>
    <d v="1899-12-30T00:00:00"/>
    <n v="0.812777777784504"/>
    <n v="0.812777777784504"/>
    <s v="Manual stop for load curtailment as per KPTCL and  SLDC instruction"/>
    <s v="Close"/>
    <n v="0"/>
    <m/>
    <m/>
    <m/>
  </r>
  <r>
    <n v="2436"/>
    <n v="2025"/>
    <n v="2024"/>
    <s v="Year_2"/>
    <d v="2024-07-30T00:00:00"/>
    <s v="KUD23"/>
    <s v="O2R3"/>
    <s v="JK"/>
    <n v="4.3478260869565223E-2"/>
    <n v="309"/>
    <x v="149"/>
    <s v="Pause over RCS 13 for Load curtailment"/>
    <s v="ROW"/>
    <d v="2024-07-30T13:40:27"/>
    <d v="2024-07-30T13:40:27"/>
    <d v="2024-07-30T14:20:51"/>
    <d v="1899-12-30T00:00:00"/>
    <n v="0.67333333322312683"/>
    <n v="0.67333333322312683"/>
    <s v="Manual stop for load curtailment as per KPTCL and  SLDC instruction"/>
    <s v="Close"/>
    <n v="0"/>
    <m/>
    <m/>
    <m/>
  </r>
  <r>
    <n v="2437"/>
    <n v="2025"/>
    <n v="2024"/>
    <s v="Year_2"/>
    <d v="2024-07-31T00:00:00"/>
    <s v="KUD01"/>
    <s v="O2R1"/>
    <s v="KSIPL"/>
    <n v="4.3478260869565223E-2"/>
    <n v="309"/>
    <x v="149"/>
    <s v="Pause over RCS 13 for Load curtailment"/>
    <s v="ROW"/>
    <d v="2024-07-31T12:00:15"/>
    <d v="2024-07-31T12:00:15"/>
    <d v="2024-07-31T17:04:46"/>
    <d v="1899-12-30T00:00:00"/>
    <n v="5.0752777777961455"/>
    <n v="5.0752777777961455"/>
    <s v="Manual stop for load curtailment as per KPTCL and  SLDC instruction"/>
    <s v="Close"/>
    <n v="0"/>
    <m/>
    <m/>
    <m/>
  </r>
  <r>
    <n v="2438"/>
    <n v="2025"/>
    <n v="2024"/>
    <s v="Year_2"/>
    <d v="2024-07-31T00:00:00"/>
    <s v="KUD02"/>
    <s v="O2R3"/>
    <s v="JK"/>
    <n v="4.3478260869565223E-2"/>
    <n v="309"/>
    <x v="149"/>
    <s v="Pause over RCS 13 for Load curtailment"/>
    <s v="ROW"/>
    <d v="2024-07-31T12:02:10"/>
    <d v="2024-07-31T12:02:10"/>
    <d v="2024-07-31T16:16:46"/>
    <d v="1899-12-30T00:00:00"/>
    <n v="4.2433333332301117"/>
    <n v="4.2433333332301117"/>
    <s v="Manual stop for load curtailment as per KPTCL and  SLDC instruction"/>
    <s v="Close"/>
    <n v="0"/>
    <m/>
    <m/>
    <m/>
  </r>
  <r>
    <n v="2439"/>
    <n v="2025"/>
    <n v="2024"/>
    <s v="Year_2"/>
    <d v="2024-07-31T00:00:00"/>
    <s v="KUD04"/>
    <s v="O2R3"/>
    <s v="JK"/>
    <n v="4.3478260869565223E-2"/>
    <n v="309"/>
    <x v="149"/>
    <s v="Pause over RCS 13 for Load curtailment"/>
    <s v="ROW"/>
    <d v="2024-07-31T12:01:41"/>
    <d v="2024-07-31T12:01:41"/>
    <d v="2024-07-31T16:16:00"/>
    <d v="1899-12-30T00:00:00"/>
    <n v="4.2386111111263745"/>
    <n v="4.2386111111263745"/>
    <s v="Manual stop for load curtailment as per KPTCL and  SLDC instruction"/>
    <s v="Close"/>
    <n v="0"/>
    <m/>
    <m/>
    <m/>
  </r>
  <r>
    <n v="2440"/>
    <n v="2025"/>
    <n v="2024"/>
    <s v="Year_2"/>
    <d v="2024-07-31T00:00:00"/>
    <s v="KUD05"/>
    <s v="O2R3"/>
    <s v="JK"/>
    <n v="4.3478260869565223E-2"/>
    <n v="309"/>
    <x v="149"/>
    <s v="Pause over RCS 13 for Load curtailment"/>
    <s v="ROW"/>
    <d v="2024-07-31T12:01:53"/>
    <d v="2024-07-31T12:01:53"/>
    <d v="2024-07-31T16:17:33"/>
    <d v="1899-12-30T00:00:00"/>
    <n v="4.2611111111473292"/>
    <n v="4.2611111111473292"/>
    <s v="Manual stop for load curtailment as per KPTCL and  SLDC instruction"/>
    <s v="Close"/>
    <n v="0"/>
    <m/>
    <m/>
    <m/>
  </r>
  <r>
    <n v="2441"/>
    <n v="2025"/>
    <n v="2024"/>
    <s v="Year_2"/>
    <d v="2024-07-31T00:00:00"/>
    <s v="KUD06"/>
    <s v="O2R3"/>
    <s v="JK"/>
    <n v="4.3478260869565223E-2"/>
    <n v="309"/>
    <x v="149"/>
    <s v="Pause over RCS 13 for Load curtailment"/>
    <s v="ROW"/>
    <d v="2024-07-31T12:01:53"/>
    <d v="2024-07-31T12:01:53"/>
    <d v="2024-07-31T16:59:40"/>
    <d v="1899-12-30T00:00:00"/>
    <n v="4.9630555555340834"/>
    <n v="4.9630555555340834"/>
    <s v="Manual stop for load curtailment as per KPTCL and  SLDC instruction"/>
    <s v="Close"/>
    <n v="0"/>
    <m/>
    <m/>
    <m/>
  </r>
  <r>
    <n v="2442"/>
    <n v="2025"/>
    <n v="2024"/>
    <s v="Year_2"/>
    <d v="2024-07-31T00:00:00"/>
    <s v="KUD07"/>
    <s v="O2R3"/>
    <s v="JK"/>
    <n v="4.3478260869565223E-2"/>
    <n v="309"/>
    <x v="149"/>
    <s v="Pause over RCS 13 for Load curtailment"/>
    <s v="ROW"/>
    <d v="2024-07-31T12:02:54"/>
    <d v="2024-07-31T12:02:54"/>
    <d v="2024-07-31T16:59:32"/>
    <d v="1899-12-30T00:00:00"/>
    <n v="4.9438888889271766"/>
    <n v="4.9438888889271766"/>
    <s v="Manual stop for load curtailment as per KPTCL and  SLDC instruction"/>
    <s v="Close"/>
    <n v="0"/>
    <m/>
    <m/>
    <m/>
  </r>
  <r>
    <n v="2443"/>
    <n v="2025"/>
    <n v="2024"/>
    <s v="Year_2"/>
    <d v="2024-07-31T00:00:00"/>
    <s v="KUD15"/>
    <s v="O2R1"/>
    <s v="KSIPL"/>
    <n v="4.3478260869565223E-2"/>
    <n v="309"/>
    <x v="149"/>
    <s v="Pause over RCS 13 for Load curtailment"/>
    <s v="ROW"/>
    <d v="2024-07-31T12:03:18"/>
    <d v="2024-07-31T12:03:18"/>
    <d v="2024-07-31T17:06:41"/>
    <d v="1899-12-30T00:00:00"/>
    <n v="5.0563888890319504"/>
    <n v="5.0563888890319504"/>
    <s v="Manual stop for load curtailment as per KPTCL and  SLDC instruction"/>
    <s v="Close"/>
    <n v="0"/>
    <m/>
    <m/>
    <m/>
  </r>
  <r>
    <n v="2444"/>
    <n v="2025"/>
    <n v="2024"/>
    <s v="Year_2"/>
    <d v="2024-07-31T00:00:00"/>
    <s v="KUD21"/>
    <s v="O2R3"/>
    <s v="JK"/>
    <n v="4.3478260869565223E-2"/>
    <n v="309"/>
    <x v="149"/>
    <s v="Pause over RCS 13 for Load curtailment"/>
    <s v="ROW"/>
    <d v="2024-07-31T12:01:06"/>
    <d v="2024-07-31T12:01:06"/>
    <d v="2024-07-31T13:11:26"/>
    <d v="1899-12-30T00:00:00"/>
    <n v="1.1722222222597338"/>
    <n v="1.1722222222597338"/>
    <s v="Manual stop for load curtailment as per KPTCL and  SLDC instruction"/>
    <s v="Close"/>
    <n v="0"/>
    <m/>
    <m/>
    <m/>
  </r>
  <r>
    <n v="2445"/>
    <n v="2025"/>
    <n v="2024"/>
    <s v="Year_2"/>
    <d v="2024-07-31T00:00:00"/>
    <s v="KUD22"/>
    <s v="O2R3"/>
    <s v="JK"/>
    <n v="4.3478260869565223E-2"/>
    <n v="309"/>
    <x v="149"/>
    <s v="Pause over RCS 13 for Load curtailment"/>
    <s v="ROW"/>
    <d v="2024-07-31T12:00:21"/>
    <d v="2024-07-31T12:00:21"/>
    <d v="2024-07-31T13:10:38"/>
    <d v="1899-12-30T00:00:00"/>
    <n v="1.1713888889062218"/>
    <n v="1.1713888889062218"/>
    <s v="Manual stop for load curtailment as per KPTCL and  SLDC instruction"/>
    <s v="Close"/>
    <n v="0"/>
    <m/>
    <m/>
    <m/>
  </r>
  <r>
    <n v="2446"/>
    <n v="2025"/>
    <n v="2024"/>
    <s v="Year_2"/>
    <d v="2024-07-31T00:00:00"/>
    <s v="KUD23"/>
    <s v="O2R3"/>
    <s v="JK"/>
    <n v="4.3478260869565223E-2"/>
    <n v="309"/>
    <x v="149"/>
    <s v="Pause over RCS 13 for Load curtailment"/>
    <s v="ROW"/>
    <d v="2024-07-31T12:00:36"/>
    <d v="2024-07-31T12:00:36"/>
    <d v="2024-07-31T16:59:33"/>
    <d v="1899-12-30T00:00:00"/>
    <n v="4.9824999999837019"/>
    <n v="4.9824999999837019"/>
    <s v="Manual stop for load curtailment as per KPTCL and  SLDC instruction"/>
    <s v="Close"/>
    <n v="0"/>
    <m/>
    <m/>
    <m/>
  </r>
  <r>
    <n v="2447"/>
    <n v="2025"/>
    <n v="2024"/>
    <s v="Year_2"/>
    <d v="2024-07-31T00:00:00"/>
    <s v="KUD08"/>
    <s v="O2R3"/>
    <s v="JK"/>
    <n v="4.3478260869565223E-2"/>
    <n v="931"/>
    <x v="186"/>
    <s v="ARC light detected____"/>
    <s v="Major Breakdown"/>
    <d v="1899-12-30T00:00:00"/>
    <d v="1899-12-30T00:00:00"/>
    <d v="1899-12-30T23:59:59"/>
    <d v="1899-12-30T00:00:00"/>
    <n v="23.999722222222225"/>
    <n v="23.999722222222225"/>
    <s v="HV trafo replacement work is under process"/>
    <s v="Open"/>
    <n v="1.0434661835748795"/>
    <m/>
    <m/>
    <m/>
  </r>
  <r>
    <n v="2448"/>
    <n v="2025"/>
    <n v="2024"/>
    <s v="Year_2"/>
    <d v="2024-08-01T00:00:00"/>
    <s v="KUD01"/>
    <s v="O2R1"/>
    <s v="KSIPL"/>
    <n v="4.3478260869565223E-2"/>
    <n v="6290"/>
    <x v="91"/>
    <s v="Pitch accu. test active"/>
    <s v="Breakdown"/>
    <d v="1899-12-30T04:18:00"/>
    <d v="1899-12-30T04:18:00"/>
    <d v="1899-12-30T04:27:00"/>
    <d v="1899-12-30T00:00:00"/>
    <n v="0.15000000000000013"/>
    <n v="0.15000000000000013"/>
    <s v="Auto reset"/>
    <s v="Close"/>
    <n v="6.5217391304347892E-3"/>
    <m/>
    <m/>
    <m/>
  </r>
  <r>
    <n v="2449"/>
    <n v="2025"/>
    <n v="2024"/>
    <s v="Year_2"/>
    <d v="2024-08-01T00:00:00"/>
    <s v="KUD10"/>
    <s v="O2R1"/>
    <s v="KSIPL"/>
    <n v="4.3478260869565223E-2"/>
    <n v="5197"/>
    <x v="54"/>
    <s v="Prop Valve C Status Fault"/>
    <s v="Breakdown"/>
    <d v="1899-12-30T04:39:00"/>
    <d v="1899-12-30T04:39:00"/>
    <d v="1899-12-30T05:20:00"/>
    <d v="1899-12-30T00:00:00"/>
    <n v="0.6833333333333329"/>
    <n v="0.6833333333333329"/>
    <s v="Auto reset"/>
    <s v="Close"/>
    <n v="2.9710144927536219E-2"/>
    <m/>
    <m/>
    <m/>
  </r>
  <r>
    <n v="2450"/>
    <n v="2025"/>
    <n v="2024"/>
    <s v="Year_2"/>
    <d v="2024-08-01T00:00:00"/>
    <s v="KUD10"/>
    <s v="O2R1"/>
    <s v="KSIPL"/>
    <n v="4.3478260869565223E-2"/>
    <n v="5197"/>
    <x v="54"/>
    <s v="Prop Valve C Status Fault"/>
    <s v="Breakdown"/>
    <d v="1899-12-30T05:57:00"/>
    <d v="1899-12-30T05:57:00"/>
    <d v="1899-12-30T06:04:00"/>
    <d v="1899-12-30T00:00:00"/>
    <n v="0.11666666666666625"/>
    <n v="0.11666666666666625"/>
    <s v="Auto reset"/>
    <s v="Close"/>
    <n v="5.0724637681159243E-3"/>
    <m/>
    <m/>
    <m/>
  </r>
  <r>
    <n v="2451"/>
    <n v="2025"/>
    <n v="2024"/>
    <s v="Year_2"/>
    <d v="2024-08-01T00:00:00"/>
    <s v="KUD08"/>
    <s v="O2R3"/>
    <s v="JK"/>
    <n v="4.3478260869565223E-2"/>
    <n v="931"/>
    <x v="186"/>
    <s v="ARC light detected____"/>
    <s v="Major Breakdown"/>
    <d v="1899-12-30T00:00:00"/>
    <d v="1899-12-30T00:00:00"/>
    <d v="1899-12-30T23:59:59"/>
    <d v="1899-12-30T00:00:00"/>
    <n v="23.999722222222225"/>
    <n v="23.999722222222225"/>
    <s v="HV trafo replacement work is under process"/>
    <s v="Open"/>
    <n v="1.0434661835748795"/>
    <m/>
    <m/>
    <m/>
  </r>
  <r>
    <n v="2452"/>
    <n v="2025"/>
    <n v="2024"/>
    <s v="Year_2"/>
    <d v="2024-08-02T00:00:00"/>
    <s v="KUD04"/>
    <s v="O2R3"/>
    <s v="JK"/>
    <n v="4.3478260869565223E-2"/>
    <n v="693"/>
    <x v="157"/>
    <s v="SignalError-PAUSE  2289,    3"/>
    <s v="Breakdown"/>
    <d v="2024-08-02T07:39:55"/>
    <d v="2024-08-02T07:39:55"/>
    <d v="2024-08-02T08:10:36"/>
    <d v="1899-12-30T00:00:00"/>
    <n v="0.51138888881541789"/>
    <n v="0.51138888881541789"/>
    <s v="Remote reboot and reset done"/>
    <s v="Close"/>
    <n v="2.2234299513713824E-2"/>
    <m/>
    <m/>
    <m/>
  </r>
  <r>
    <n v="2453"/>
    <n v="2025"/>
    <n v="2024"/>
    <s v="Year_2"/>
    <d v="2024-08-02T00:00:00"/>
    <s v="KUD08"/>
    <s v="O2R3"/>
    <s v="JK"/>
    <n v="4.3478260869565223E-2"/>
    <n v="931"/>
    <x v="186"/>
    <s v="ARC light detected____"/>
    <s v="Major Breakdown"/>
    <d v="1899-12-30T00:00:00"/>
    <d v="1899-12-30T00:00:00"/>
    <d v="1899-12-30T23:59:59"/>
    <d v="1899-12-30T00:00:00"/>
    <n v="23.999722222222225"/>
    <n v="23.999722222222225"/>
    <s v="HV trafo replacement work is under process"/>
    <s v="Open"/>
    <n v="1.0434661835748795"/>
    <m/>
    <m/>
    <m/>
  </r>
  <r>
    <n v="2454"/>
    <n v="2025"/>
    <n v="2024"/>
    <s v="Year_2"/>
    <d v="2024-08-02T00:00:00"/>
    <s v="KUD10"/>
    <s v="O2R1"/>
    <s v="KSIPL"/>
    <n v="4.3478260869565223E-2"/>
    <n v="5197"/>
    <x v="54"/>
    <s v="Prop Valve C Status Fault"/>
    <s v="Breakdown"/>
    <d v="2024-08-02T22:58:36"/>
    <d v="2024-08-02T22:58:36"/>
    <d v="2024-08-02T23:07:16"/>
    <d v="1899-12-30T00:00:00"/>
    <n v="0.14444444450782612"/>
    <n v="0.14444444450782612"/>
    <s v="Auto reset"/>
    <s v="Close"/>
    <n v="6.2801932394707018E-3"/>
    <m/>
    <m/>
    <m/>
  </r>
  <r>
    <n v="2455"/>
    <n v="2025"/>
    <n v="2024"/>
    <s v="Year_2"/>
    <d v="2024-08-03T00:00:00"/>
    <s v="KUD01"/>
    <s v="O2R1"/>
    <s v="KSIPL"/>
    <n v="4.3478260869565223E-2"/>
    <n v="900"/>
    <x v="100"/>
    <s v="Pause pressed on keyboard"/>
    <s v="ROW"/>
    <d v="2024-08-03T12:01:05"/>
    <d v="2024-08-03T12:01:05"/>
    <d v="2024-08-03T13:33:03"/>
    <d v="1899-12-30T00:00:00"/>
    <n v="1.5327777777565643"/>
    <n v="1.5327777777565643"/>
    <s v="Manual stop for load sheding as per SLDC"/>
    <s v="Close"/>
    <n v="0"/>
    <m/>
    <m/>
    <m/>
  </r>
  <r>
    <n v="2456"/>
    <n v="2025"/>
    <n v="2024"/>
    <s v="Year_2"/>
    <d v="2024-08-03T00:00:00"/>
    <s v="KUD02"/>
    <s v="O2R3"/>
    <s v="JK"/>
    <n v="4.3478260869565223E-2"/>
    <n v="900"/>
    <x v="100"/>
    <s v="Pause pressed on keyboard"/>
    <s v="ROW"/>
    <d v="2024-08-03T12:26:07"/>
    <d v="2024-08-03T12:26:07"/>
    <d v="2024-08-03T13:04:45"/>
    <d v="1899-12-30T00:00:00"/>
    <n v="0.64388888888061047"/>
    <n v="0.64388888888061047"/>
    <s v="Manual stop for load sheding as per SLDC"/>
    <s v="Close"/>
    <n v="0"/>
    <m/>
    <m/>
    <m/>
  </r>
  <r>
    <n v="2457"/>
    <n v="2025"/>
    <n v="2024"/>
    <s v="Year_2"/>
    <d v="2024-08-03T00:00:00"/>
    <s v="KUD04"/>
    <s v="O2R3"/>
    <s v="JK"/>
    <n v="4.3478260869565223E-2"/>
    <n v="900"/>
    <x v="100"/>
    <s v="Pause pressed on keyboard"/>
    <s v="ROW"/>
    <d v="2024-08-03T12:26:21"/>
    <d v="2024-08-03T12:26:21"/>
    <d v="2024-08-03T13:22:58"/>
    <d v="1899-12-30T00:00:00"/>
    <n v="0.9436111111426726"/>
    <n v="0.9436111111426726"/>
    <s v="Manual stop for load sheding as per SLDC"/>
    <s v="Close"/>
    <n v="0"/>
    <m/>
    <m/>
    <m/>
  </r>
  <r>
    <n v="2458"/>
    <n v="2025"/>
    <n v="2024"/>
    <s v="Year_2"/>
    <d v="2024-08-03T00:00:00"/>
    <s v="KUD04"/>
    <s v="O2R3"/>
    <s v="JK"/>
    <n v="4.3478260869565223E-2"/>
    <n v="693"/>
    <x v="157"/>
    <s v="SignalError-PAUSE  2289,    3"/>
    <s v="Breakdown"/>
    <d v="2024-08-03T19:20:04"/>
    <d v="2024-08-03T19:20:04"/>
    <d v="2024-08-03T19:29:53"/>
    <d v="1899-12-30T00:00:00"/>
    <n v="0.16361111111473292"/>
    <n v="0.16361111111473292"/>
    <s v="Auto reset"/>
    <s v="Close"/>
    <n v="7.1135265702057804E-3"/>
    <m/>
    <m/>
    <m/>
  </r>
  <r>
    <n v="2459"/>
    <n v="2025"/>
    <n v="2024"/>
    <s v="Year_2"/>
    <d v="2024-08-03T00:00:00"/>
    <s v="KUD10"/>
    <s v="O2R1"/>
    <s v="KSIPL"/>
    <n v="4.3478260869565223E-2"/>
    <n v="332"/>
    <x v="123"/>
    <s v="Ext. low DC voltage   464V"/>
    <s v="Breakdown"/>
    <d v="2024-08-03T03:40:26"/>
    <d v="2024-08-03T03:40:26"/>
    <d v="2024-08-03T05:03:48"/>
    <d v="1899-12-30T00:00:00"/>
    <n v="1.3894444444449618"/>
    <n v="1.3894444444449618"/>
    <s v="After fedder charged controller safe mode occur then manual reboot done"/>
    <s v="Close"/>
    <n v="6.0410628019346178E-2"/>
    <m/>
    <m/>
    <m/>
  </r>
  <r>
    <n v="2460"/>
    <n v="2025"/>
    <n v="2024"/>
    <s v="Year_2"/>
    <d v="2024-08-03T00:00:00"/>
    <s v="KUD15"/>
    <s v="O2R1"/>
    <s v="KSIPL"/>
    <n v="4.3478260869565223E-2"/>
    <n v="900"/>
    <x v="100"/>
    <s v="Pause pressed on keyboard"/>
    <s v="ROW"/>
    <d v="2024-08-03T12:03:26"/>
    <d v="2024-08-03T12:03:26"/>
    <d v="2024-08-03T13:34:14"/>
    <d v="1899-12-30T00:00:00"/>
    <n v="1.5133333334815688"/>
    <n v="1.5133333334815688"/>
    <s v="Manual stop for load sheding as per SLDC"/>
    <s v="Close"/>
    <n v="0"/>
    <m/>
    <m/>
    <m/>
  </r>
  <r>
    <n v="2461"/>
    <n v="2025"/>
    <n v="2024"/>
    <s v="Year_2"/>
    <d v="2024-08-03T00:00:00"/>
    <s v="KUD16"/>
    <s v="O2R2"/>
    <s v="SIL"/>
    <n v="4.3478260869565223E-2"/>
    <n v="4235"/>
    <x v="93"/>
    <s v="Gen Stator CB Open"/>
    <s v="Breakdown"/>
    <d v="2024-08-03T11:41:24"/>
    <d v="2024-08-03T11:41:24"/>
    <d v="2024-08-03T11:47:57"/>
    <d v="1899-12-30T00:00:00"/>
    <n v="0.10916666669072583"/>
    <n v="0.10916666669072583"/>
    <s v="Auto reset"/>
    <s v="Close"/>
    <n v="4.7463768126402546E-3"/>
    <m/>
    <m/>
    <m/>
  </r>
  <r>
    <n v="2462"/>
    <n v="2025"/>
    <n v="2024"/>
    <s v="Year_2"/>
    <d v="2024-08-03T00:00:00"/>
    <s v="KUD20"/>
    <s v="O2R1"/>
    <s v="KSIPL"/>
    <n v="4.3478260869565223E-2"/>
    <n v="837"/>
    <x v="145"/>
    <s v="RT AGO2Sta.Cyc. Count2, 548V"/>
    <s v="Breakdown"/>
    <d v="2024-08-03T03:40:26"/>
    <d v="2024-08-03T03:40:26"/>
    <d v="2024-08-03T05:34:54"/>
    <d v="1899-12-30T00:00:00"/>
    <n v="1.9077777777565643"/>
    <n v="1.9077777777565643"/>
    <s v="Manual SWG charged and reset"/>
    <s v="Close"/>
    <n v="8.2946859902459327E-2"/>
    <m/>
    <m/>
    <m/>
  </r>
  <r>
    <n v="2463"/>
    <n v="2025"/>
    <n v="2024"/>
    <s v="Year_2"/>
    <d v="2024-08-03T00:00:00"/>
    <s v="KUD20"/>
    <s v="O2R1"/>
    <s v="KSIPL"/>
    <n v="4.3478260869565223E-2"/>
    <n v="3806"/>
    <x v="147"/>
    <s v="HubSafetySystem Batt.Charg.Err"/>
    <s v="Breakdown"/>
    <d v="2024-08-03T05:34:54"/>
    <d v="2024-08-03T05:34:54"/>
    <d v="2024-08-03T05:55:17"/>
    <d v="1899-12-30T00:00:00"/>
    <n v="0.33972222218289971"/>
    <n v="0.33972222218289971"/>
    <s v="Auto reset"/>
    <s v="Close"/>
    <n v="1.4770531399256511E-2"/>
    <m/>
    <m/>
    <m/>
  </r>
  <r>
    <n v="2464"/>
    <n v="2025"/>
    <n v="2024"/>
    <s v="Year_2"/>
    <d v="2024-08-03T00:00:00"/>
    <s v="KUD20"/>
    <s v="O2R1"/>
    <s v="KSIPL"/>
    <n v="4.3478260869565223E-2"/>
    <n v="900"/>
    <x v="100"/>
    <s v="Pause pressed on keyboard"/>
    <s v="ROW"/>
    <d v="2024-08-03T05:36:55"/>
    <d v="2024-08-03T05:36:55"/>
    <d v="2024-08-03T05:55:17"/>
    <d v="1899-12-30T00:00:00"/>
    <n v="0.30611111107282341"/>
    <n v="0.30611111107282341"/>
    <s v="Manual stop for load sheding as per SLDC"/>
    <s v="Close"/>
    <n v="0"/>
    <m/>
    <m/>
    <m/>
  </r>
  <r>
    <n v="2465"/>
    <n v="2025"/>
    <n v="2024"/>
    <s v="Year_2"/>
    <d v="2024-08-03T00:00:00"/>
    <s v="KUD21"/>
    <s v="O2R3"/>
    <s v="JK"/>
    <n v="4.3478260869565223E-2"/>
    <n v="900"/>
    <x v="100"/>
    <s v="Pause pressed on keyboard"/>
    <s v="ROW"/>
    <d v="2024-08-03T12:01:28"/>
    <d v="2024-08-03T12:01:28"/>
    <d v="2024-08-03T13:32:23"/>
    <d v="1899-12-30T00:00:00"/>
    <n v="1.5152777778566815"/>
    <n v="1.5152777778566815"/>
    <s v="Manual stop for load sheding as per SLDC"/>
    <s v="Close"/>
    <n v="0"/>
    <m/>
    <m/>
    <m/>
  </r>
  <r>
    <n v="2466"/>
    <n v="2025"/>
    <n v="2024"/>
    <s v="Year_2"/>
    <d v="2024-08-03T00:00:00"/>
    <s v="KUD22"/>
    <s v="O2R3"/>
    <s v="JK"/>
    <n v="4.3478260869565223E-2"/>
    <n v="900"/>
    <x v="100"/>
    <s v="Pause pressed on keyboard"/>
    <s v="ROW"/>
    <d v="2024-08-03T12:01:09"/>
    <d v="2024-08-03T12:01:09"/>
    <d v="2024-08-03T13:32:02"/>
    <d v="1899-12-30T00:00:00"/>
    <n v="1.5147222223458812"/>
    <n v="1.5147222223458812"/>
    <s v="Manual stop for load sheding as per SLDC"/>
    <s v="Close"/>
    <n v="0"/>
    <m/>
    <m/>
    <m/>
  </r>
  <r>
    <n v="2467"/>
    <n v="2025"/>
    <n v="2024"/>
    <s v="Year_2"/>
    <d v="2024-08-03T00:00:00"/>
    <s v="KUD23"/>
    <s v="O2R3"/>
    <s v="JK"/>
    <n v="4.3478260869565223E-2"/>
    <n v="900"/>
    <x v="100"/>
    <s v="Pause pressed on keyboard"/>
    <s v="ROW"/>
    <d v="2024-08-03T12:01:46"/>
    <d v="2024-08-03T12:01:46"/>
    <d v="2024-08-03T13:32:50"/>
    <d v="1899-12-30T00:00:00"/>
    <n v="1.5177777777425945"/>
    <n v="1.5177777777425945"/>
    <s v="Manual stop for load sheding as per SLDC"/>
    <s v="Close"/>
    <n v="0"/>
    <m/>
    <m/>
    <m/>
  </r>
  <r>
    <n v="2468"/>
    <n v="2025"/>
    <n v="2024"/>
    <s v="Year_2"/>
    <d v="2024-08-03T00:00:00"/>
    <s v="KUD08"/>
    <s v="O2R3"/>
    <s v="JK"/>
    <n v="4.3478260869565223E-2"/>
    <n v="931"/>
    <x v="186"/>
    <s v="Arc light detected"/>
    <s v="Major Breakdown"/>
    <d v="1899-12-30T00:00:00"/>
    <d v="1899-12-30T00:00:00"/>
    <d v="1899-12-30T23:59:59"/>
    <d v="1899-12-30T00:00:00"/>
    <n v="23.999722222222225"/>
    <n v="23.999722222222225"/>
    <s v="HV trafo replacement work is under process and tools ,structure fixed in nacelle"/>
    <s v="Open"/>
    <n v="1.0434661835748795"/>
    <m/>
    <m/>
    <m/>
  </r>
  <r>
    <n v="2469"/>
    <n v="2025"/>
    <n v="2024"/>
    <s v="Year_2"/>
    <d v="2024-08-04T00:00:00"/>
    <s v="KUD08"/>
    <s v="O2R3"/>
    <s v="JK"/>
    <n v="4.3478260869565223E-2"/>
    <n v="931"/>
    <x v="186"/>
    <s v="Arc light detected"/>
    <s v="Breakdown"/>
    <d v="1899-12-30T00:00:00"/>
    <d v="1899-12-30T00:00:00"/>
    <d v="1899-12-30T23:59:00"/>
    <d v="1899-12-30T00:00:00"/>
    <n v="23.983333333333334"/>
    <n v="23.983333333333334"/>
    <s v="HV trafo replacement work is under process and tirak  rope assemble done "/>
    <s v="Open"/>
    <n v="1.042753623188406"/>
    <m/>
    <m/>
    <m/>
  </r>
  <r>
    <n v="2470"/>
    <n v="2025"/>
    <n v="2024"/>
    <s v="Year_2"/>
    <d v="2024-08-04T00:00:00"/>
    <s v="KUD01"/>
    <s v="O2R1"/>
    <s v="KSIPL"/>
    <n v="4.3478260869565223E-2"/>
    <n v="900"/>
    <x v="100"/>
    <s v="Pause pressed on keyboard"/>
    <s v="ROW"/>
    <d v="1899-12-30T12:38:00"/>
    <d v="1899-12-30T12:38:00"/>
    <d v="1899-12-30T15:50:00"/>
    <d v="1899-12-30T00:00:00"/>
    <n v="3.1999999999999993"/>
    <n v="3.1999999999999993"/>
    <s v="Manual stop for load sheding as per SLDC"/>
    <s v="Close"/>
    <n v="0"/>
    <m/>
    <m/>
    <m/>
  </r>
  <r>
    <n v="2471"/>
    <n v="2025"/>
    <n v="2024"/>
    <s v="Year_2"/>
    <d v="2024-08-04T00:00:00"/>
    <s v="KUD04"/>
    <s v="O2R3"/>
    <s v="JK"/>
    <n v="4.3478260869565223E-2"/>
    <n v="693"/>
    <x v="157"/>
    <s v="SignalError-PAUSE _____,_____"/>
    <s v="Breakdown"/>
    <d v="1899-12-30T11:54:00"/>
    <d v="1899-12-30T11:54:00"/>
    <d v="1899-12-30T12:05:00"/>
    <d v="1899-12-30T00:00:00"/>
    <n v="0.18333333333333268"/>
    <n v="0.18333333333333268"/>
    <s v="Auto reset"/>
    <s v="Close"/>
    <n v="7.9710144927535951E-3"/>
    <m/>
    <m/>
    <m/>
  </r>
  <r>
    <n v="2472"/>
    <n v="2025"/>
    <n v="2024"/>
    <s v="Year_2"/>
    <d v="2024-08-04T00:00:00"/>
    <s v="KUD04"/>
    <s v="O2R3"/>
    <s v="JK"/>
    <n v="4.3478260869565223E-2"/>
    <n v="900"/>
    <x v="100"/>
    <s v="Pause pressed on keyboard"/>
    <s v="ROW"/>
    <d v="1899-12-30T12:38:00"/>
    <d v="1899-12-30T12:38:00"/>
    <d v="1899-12-30T15:50:00"/>
    <d v="1899-12-30T00:00:00"/>
    <n v="3.1999999999999993"/>
    <n v="3.1999999999999993"/>
    <s v="Manual stop for load sheding as per SLDC"/>
    <s v="Close"/>
    <n v="0"/>
    <m/>
    <m/>
    <m/>
  </r>
  <r>
    <n v="2473"/>
    <n v="2025"/>
    <n v="2024"/>
    <s v="Year_2"/>
    <d v="2024-08-04T00:00:00"/>
    <s v="KUD04"/>
    <s v="O2R3"/>
    <s v="JK"/>
    <n v="4.3478260869565223E-2"/>
    <n v="693"/>
    <x v="157"/>
    <s v="SignalError-PAUSE _____,_____"/>
    <s v="Breakdown"/>
    <d v="1899-12-30T16:36:00"/>
    <d v="1899-12-30T16:36:00"/>
    <d v="1899-12-30T17:53:00"/>
    <d v="1899-12-30T00:00:00"/>
    <n v="1.2833333333333341"/>
    <n v="1.2833333333333341"/>
    <s v="found hub CT6061 signal malfunctioning so replaced to new one then restored"/>
    <s v="Close"/>
    <n v="5.5797101449275403E-2"/>
    <m/>
    <m/>
    <m/>
  </r>
  <r>
    <n v="2474"/>
    <n v="2025"/>
    <n v="2024"/>
    <s v="Year_2"/>
    <d v="2024-08-04T00:00:00"/>
    <s v="KUD05"/>
    <s v="O2R3"/>
    <s v="JK"/>
    <n v="4.3478260869565223E-2"/>
    <n v="900"/>
    <x v="100"/>
    <s v="Pause pressed on keyboard"/>
    <s v="ROW"/>
    <d v="1899-12-30T12:39:00"/>
    <d v="1899-12-30T12:39:00"/>
    <d v="1899-12-30T15:35:00"/>
    <d v="1899-12-30T00:00:00"/>
    <n v="2.9333333333333336"/>
    <n v="2.9333333333333336"/>
    <s v="Manual stop for load sheding as per SLDC"/>
    <s v="Close"/>
    <n v="0"/>
    <m/>
    <m/>
    <m/>
  </r>
  <r>
    <n v="2475"/>
    <n v="2025"/>
    <n v="2024"/>
    <s v="Year_2"/>
    <d v="2024-08-04T00:00:00"/>
    <s v="KUD09"/>
    <s v="O2R3"/>
    <s v="JK"/>
    <n v="4.3478260869565223E-2"/>
    <n v="900"/>
    <x v="100"/>
    <s v="Pause pressed on keyboard"/>
    <s v="ROW"/>
    <d v="1899-12-30T12:39:00"/>
    <d v="1899-12-30T12:39:00"/>
    <d v="1899-12-30T15:50:00"/>
    <d v="1899-12-30T00:00:00"/>
    <n v="3.1833333333333327"/>
    <n v="3.1833333333333327"/>
    <s v="Manual stop for load sheding as per SLDC"/>
    <s v="Close"/>
    <n v="0"/>
    <m/>
    <m/>
    <m/>
  </r>
  <r>
    <n v="2476"/>
    <n v="2025"/>
    <n v="2024"/>
    <s v="Year_2"/>
    <d v="2024-08-04T00:00:00"/>
    <s v="KUD21"/>
    <s v="O2R3"/>
    <s v="JK"/>
    <n v="4.3478260869565223E-2"/>
    <n v="900"/>
    <x v="100"/>
    <s v="Pause pressed on keyboard"/>
    <s v="ROW"/>
    <d v="1899-12-30T12:40:00"/>
    <d v="1899-12-30T12:40:00"/>
    <d v="1899-12-30T15:37:00"/>
    <d v="1899-12-30T00:00:00"/>
    <n v="2.95"/>
    <n v="2.95"/>
    <s v="Manual stop for load sheding as per SLDC"/>
    <s v="Close"/>
    <n v="0"/>
    <m/>
    <m/>
    <m/>
  </r>
  <r>
    <n v="2477"/>
    <n v="2025"/>
    <n v="2024"/>
    <s v="Year_2"/>
    <d v="2024-08-04T00:00:00"/>
    <s v="KUD22"/>
    <s v="O2R3"/>
    <s v="JK"/>
    <n v="4.3478260869565223E-2"/>
    <n v="900"/>
    <x v="100"/>
    <s v="Pause pressed on keyboard"/>
    <s v="ROW"/>
    <d v="1899-12-30T12:39:00"/>
    <d v="1899-12-30T12:39:00"/>
    <d v="1899-12-30T15:38:00"/>
    <d v="1899-12-30T00:00:00"/>
    <n v="2.9833333333333334"/>
    <n v="2.9833333333333334"/>
    <s v="Manual stop for load sheding as per SLDC"/>
    <s v="Close"/>
    <n v="0"/>
    <m/>
    <m/>
    <m/>
  </r>
  <r>
    <n v="2478"/>
    <n v="2025"/>
    <n v="2024"/>
    <s v="Year_2"/>
    <d v="2024-08-04T00:00:00"/>
    <s v="KUD23"/>
    <s v="O2R3"/>
    <s v="JK"/>
    <n v="4.3478260869565223E-2"/>
    <n v="900"/>
    <x v="100"/>
    <s v="Pause pressed on keyboard"/>
    <s v="ROW"/>
    <d v="1899-12-30T12:39:00"/>
    <d v="1899-12-30T12:39:00"/>
    <d v="1899-12-30T15:37:00"/>
    <d v="1899-12-30T00:00:00"/>
    <n v="2.9666666666666668"/>
    <n v="2.9666666666666668"/>
    <s v="Manual stop for load sheding as per SLDC"/>
    <s v="Close"/>
    <n v="0"/>
    <m/>
    <m/>
    <m/>
  </r>
  <r>
    <n v="2479"/>
    <n v="2025"/>
    <n v="2024"/>
    <s v="Year_2"/>
    <d v="2024-08-05T00:00:00"/>
    <s v="KUD01"/>
    <s v="O2R1"/>
    <s v="KSIPL"/>
    <n v="4.3478260869565223E-2"/>
    <n v="450"/>
    <x v="127"/>
    <s v="Ext. High I sum Grd inv."/>
    <s v="Breakdown"/>
    <d v="2024-08-05T12:32:46"/>
    <d v="2024-08-05T12:32:46"/>
    <d v="2024-08-05T12:39:49"/>
    <d v="1899-12-30T00:00:00"/>
    <n v="0.11750000005122274"/>
    <n v="0.11750000005122274"/>
    <s v="Auto reset"/>
    <s v="Close"/>
    <n v="5.108695654400989E-3"/>
    <m/>
    <m/>
    <m/>
  </r>
  <r>
    <n v="2480"/>
    <n v="2025"/>
    <n v="2024"/>
    <s v="Year_2"/>
    <d v="2024-08-05T00:00:00"/>
    <s v="KUD10"/>
    <s v="O2R1"/>
    <s v="KSIPL"/>
    <n v="4.3478260869565223E-2"/>
    <n v="5197"/>
    <x v="54"/>
    <s v="Prop Valve C Status Fault"/>
    <s v="Breakdown"/>
    <d v="2024-08-05T23:21:46"/>
    <d v="2024-08-05T23:21:46"/>
    <d v="2024-08-05T23:31:12"/>
    <d v="1899-12-30T00:00:00"/>
    <n v="0.15722222230397165"/>
    <n v="0.15722222230397165"/>
    <s v="Auto reset"/>
    <s v="Close"/>
    <n v="6.8357487958248548E-3"/>
    <m/>
    <m/>
    <m/>
  </r>
  <r>
    <n v="2481"/>
    <n v="2025"/>
    <n v="2024"/>
    <s v="Year_2"/>
    <d v="2024-08-05T00:00:00"/>
    <s v="KUD08"/>
    <s v="O2R3"/>
    <s v="JK"/>
    <n v="4.3478260869565223E-2"/>
    <n v="931"/>
    <x v="186"/>
    <s v="Arc light detected"/>
    <s v="Major Breakdown"/>
    <d v="1899-12-30T00:00:00"/>
    <d v="1899-12-30T00:00:00"/>
    <d v="1899-12-30T23:59:59"/>
    <d v="1899-12-30T00:00:00"/>
    <n v="23.999722222222225"/>
    <n v="23.999722222222225"/>
    <s v="HV trafo replacement work is under process.Transformer  De-erection and Erection completed."/>
    <s v="Open"/>
    <n v="1.0434661835748795"/>
    <m/>
    <m/>
    <m/>
  </r>
  <r>
    <n v="2482"/>
    <n v="2025"/>
    <n v="2024"/>
    <s v="Year_2"/>
    <d v="2024-08-06T00:00:00"/>
    <s v="KUD08"/>
    <s v="O2R3"/>
    <s v="JK"/>
    <n v="4.3478260869565223E-2"/>
    <n v="931"/>
    <x v="186"/>
    <s v="Arc light detected"/>
    <s v="Major Breakdown"/>
    <d v="1899-12-30T00:00:00"/>
    <d v="1899-12-30T00:00:00"/>
    <d v="1899-12-30T23:59:59"/>
    <d v="1899-12-30T00:00:00"/>
    <n v="23.999722222222225"/>
    <n v="23.999722222222225"/>
    <s v="HV trafo replacement work is under process.Transformer  De-erection and Erection completed."/>
    <s v="Open"/>
    <n v="1.0434661835748795"/>
    <m/>
    <m/>
    <m/>
  </r>
  <r>
    <n v="2483"/>
    <n v="2025"/>
    <n v="2024"/>
    <s v="Year_2"/>
    <d v="2024-08-06T00:00:00"/>
    <s v="KUD01"/>
    <s v="O2R1"/>
    <s v="KSIPL"/>
    <n v="4.3478260869565223E-2"/>
    <n v="450"/>
    <x v="127"/>
    <s v="Ext. High I sum Grd inv."/>
    <s v="Breakdown"/>
    <d v="2024-08-06T15:21:15"/>
    <d v="2024-08-06T15:21:15"/>
    <d v="2024-08-06T15:25:22"/>
    <d v="1899-12-30T00:00:00"/>
    <n v="6.8611111084464937E-2"/>
    <n v="6.8611111084464937E-2"/>
    <s v="Auto reset"/>
    <s v="Close"/>
    <n v="2.9830917862810847E-3"/>
    <m/>
    <m/>
    <m/>
  </r>
  <r>
    <n v="2484"/>
    <n v="2025"/>
    <n v="2024"/>
    <s v="Year_2"/>
    <d v="2024-08-06T00:00:00"/>
    <s v="KUD01"/>
    <s v="O2R1"/>
    <s v="KSIPL"/>
    <n v="4.3478260869565223E-2"/>
    <n v="4235"/>
    <x v="93"/>
    <s v="Gen Stator CB Open"/>
    <s v="Breakdown"/>
    <d v="2024-08-06T15:30:46"/>
    <d v="2024-08-06T15:30:46"/>
    <d v="2024-08-06T15:35:45"/>
    <d v="1899-12-30T00:00:00"/>
    <n v="8.3055555413011461E-2"/>
    <n v="8.3055555413011461E-2"/>
    <s v="Auto reset"/>
    <s v="Close"/>
    <n v="3.6111111049135424E-3"/>
    <m/>
    <m/>
    <m/>
  </r>
  <r>
    <n v="2485"/>
    <n v="2025"/>
    <n v="2024"/>
    <s v="Year_2"/>
    <d v="2024-08-06T00:00:00"/>
    <s v="KUD10"/>
    <s v="O2R1"/>
    <s v="KSIPL"/>
    <n v="4.3478260869565223E-2"/>
    <n v="5197"/>
    <x v="54"/>
    <s v="Prop Valve C Status Fault"/>
    <s v="Breakdown"/>
    <d v="2024-08-06T01:48:36"/>
    <d v="2024-08-06T01:48:36"/>
    <d v="2024-08-06T01:52:47"/>
    <d v="1899-12-30T00:00:00"/>
    <n v="6.9722222280688584E-2"/>
    <n v="6.9722222280688584E-2"/>
    <s v="Auto reset"/>
    <s v="Close"/>
    <n v="3.0314009687255911E-3"/>
    <m/>
    <m/>
    <m/>
  </r>
  <r>
    <n v="2486"/>
    <n v="2025"/>
    <n v="2024"/>
    <s v="Year_2"/>
    <d v="2024-08-06T00:00:00"/>
    <s v="KUD10"/>
    <s v="O2R1"/>
    <s v="KSIPL"/>
    <n v="4.3478260869565223E-2"/>
    <n v="5197"/>
    <x v="54"/>
    <s v="Prop Valve C Status Fault"/>
    <s v="Breakdown"/>
    <d v="2024-08-06T12:06:07"/>
    <d v="2024-08-06T12:06:07"/>
    <d v="2024-08-06T12:10:22"/>
    <d v="1899-12-30T00:00:00"/>
    <n v="7.0833333302289248E-2"/>
    <n v="7.0833333302289248E-2"/>
    <s v="Auto reset"/>
    <s v="Close"/>
    <n v="3.0797101435777936E-3"/>
    <m/>
    <m/>
    <m/>
  </r>
  <r>
    <n v="2487"/>
    <n v="2025"/>
    <n v="2024"/>
    <s v="Year_2"/>
    <d v="2024-08-06T00:00:00"/>
    <s v="KUD10"/>
    <s v="O2R1"/>
    <s v="KSIPL"/>
    <n v="4.3478260869565223E-2"/>
    <n v="5197"/>
    <x v="54"/>
    <s v="Prop Valve C Status Fault"/>
    <s v="Breakdown"/>
    <d v="2024-08-06T18:52:51"/>
    <d v="2024-08-06T18:52:51"/>
    <d v="2024-08-06T18:55:03"/>
    <d v="1899-12-30T00:00:00"/>
    <n v="3.6666666681412607E-2"/>
    <n v="3.6666666681412607E-2"/>
    <s v="Auto reset"/>
    <s v="Close"/>
    <n v="1.5942028991918528E-3"/>
    <m/>
    <m/>
    <m/>
  </r>
  <r>
    <n v="2488"/>
    <n v="2025"/>
    <n v="2024"/>
    <s v="Year_2"/>
    <d v="2024-08-06T00:00:00"/>
    <s v="KUD10"/>
    <s v="O2R1"/>
    <s v="KSIPL"/>
    <n v="4.3478260869565223E-2"/>
    <n v="315"/>
    <x v="120"/>
    <s v="ExEx low voltage L3:   5V"/>
    <s v="Breakdown"/>
    <d v="2024-08-06T19:07:01"/>
    <d v="2024-08-06T19:07:01"/>
    <d v="2024-08-06T21:39:23"/>
    <d v="1899-12-30T00:00:00"/>
    <n v="2.5394444443518296"/>
    <n v="2.5394444443518296"/>
    <s v="After grid drop manually charge the switch gear"/>
    <s v="Close"/>
    <n v="0.11041062801529695"/>
    <m/>
    <m/>
    <m/>
  </r>
  <r>
    <n v="2489"/>
    <n v="2025"/>
    <n v="2024"/>
    <s v="Year_2"/>
    <d v="2024-08-07T00:00:00"/>
    <s v="KUD01"/>
    <s v="O2R1"/>
    <s v="KSIPL"/>
    <n v="4.3478260869565223E-2"/>
    <n v="900"/>
    <x v="100"/>
    <s v="Pause pressed on keyboard"/>
    <s v="Manual Stop"/>
    <d v="1899-12-30T06:10:00"/>
    <d v="1899-12-30T06:10:00"/>
    <d v="1899-12-30T06:46:00"/>
    <d v="1899-12-30T00:00:00"/>
    <n v="0.60000000000000053"/>
    <n v="0.60000000000000053"/>
    <s v="Found ACB Closing coil malfunctioning after that check th connection and rebooting the system and restored"/>
    <s v="Close"/>
    <n v="2.6086956521739157E-2"/>
    <m/>
    <m/>
    <m/>
  </r>
  <r>
    <n v="2490"/>
    <n v="2025"/>
    <n v="2024"/>
    <s v="Year_2"/>
    <d v="2024-08-07T00:00:00"/>
    <s v="KUD14"/>
    <s v="O2R1"/>
    <s v="KSIPL"/>
    <n v="4.3478260869565223E-2"/>
    <n v="3862"/>
    <x v="160"/>
    <s v="safety system reset required"/>
    <s v="Breakdown"/>
    <d v="1899-12-30T04:40:00"/>
    <d v="1899-12-30T04:40:00"/>
    <d v="1899-12-30T05:37:00"/>
    <d v="1899-12-30T00:00:00"/>
    <n v="0.95"/>
    <n v="0.95"/>
    <s v="After grid resumption safety reset done, reset  delay due to wtg communication"/>
    <s v="Close"/>
    <n v="4.1304347826086961E-2"/>
    <m/>
    <m/>
    <m/>
  </r>
  <r>
    <n v="2491"/>
    <n v="2025"/>
    <n v="2024"/>
    <s v="Year_2"/>
    <d v="2024-08-07T00:00:00"/>
    <s v="KUD08"/>
    <s v="O2R3"/>
    <s v="JK"/>
    <n v="4.3478260869565223E-2"/>
    <n v="3742"/>
    <x v="115"/>
    <s v="TripHVButtonActivated 1"/>
    <s v="Breakdown"/>
    <d v="1899-12-30T03:06:00"/>
    <d v="1899-12-30T03:06:00"/>
    <d v="1899-12-30T13:59:00"/>
    <d v="1899-12-30T00:00:00"/>
    <n v="10.883333333333335"/>
    <n v="10.883333333333335"/>
    <s v="Checked all related connection found ups error ,rectified and restored the wtg"/>
    <s v="Close"/>
    <n v="0.47318840579710159"/>
    <m/>
    <m/>
    <m/>
  </r>
  <r>
    <n v="2492"/>
    <n v="2025"/>
    <n v="2024"/>
    <s v="Year_2"/>
    <d v="2024-08-07T00:00:00"/>
    <s v="KUD08"/>
    <s v="O2R3"/>
    <s v="JK"/>
    <n v="4.3478260869565223E-2"/>
    <n v="3633"/>
    <x v="21"/>
    <s v="Yaw System Stopped"/>
    <s v="Breakdown"/>
    <d v="1899-12-30T17:24:00"/>
    <d v="1899-12-30T17:24:00"/>
    <d v="1899-12-31T00:00:00"/>
    <d v="1899-12-30T00:00:00"/>
    <n v="6.6000000000000005"/>
    <n v="6.6000000000000005"/>
    <s v="Observed Pilz 610-06-01-K4 (MCB feedback relay) 24Vdc supply cable connection in loose,condition_x000a_mcCB replaced_x000a_"/>
    <s v="Open"/>
    <n v="0.2869565217391305"/>
    <m/>
    <m/>
    <m/>
  </r>
  <r>
    <n v="2493"/>
    <n v="2025"/>
    <n v="2024"/>
    <s v="Year_2"/>
    <d v="2024-08-08T00:00:00"/>
    <s v="KUD01"/>
    <s v="O2R1"/>
    <s v="KSIPL"/>
    <n v="4.3478260869565223E-2"/>
    <n v="4235"/>
    <x v="93"/>
    <s v="Gen Stator CB Open"/>
    <s v="Breakdown"/>
    <d v="1899-12-30T14:21:00"/>
    <d v="1899-12-30T14:21:00"/>
    <d v="1899-12-30T14:23:00"/>
    <d v="1899-12-30T00:00:00"/>
    <n v="3.3333333333333215E-2"/>
    <n v="3.3333333333333215E-2"/>
    <s v="Auto Reset"/>
    <s v="Close"/>
    <n v="1.4492753623188356E-3"/>
    <m/>
    <m/>
    <m/>
  </r>
  <r>
    <n v="2494"/>
    <n v="2025"/>
    <n v="2024"/>
    <s v="Year_2"/>
    <d v="2024-08-08T00:00:00"/>
    <s v="KUD07"/>
    <s v="O2R3"/>
    <s v="JK"/>
    <n v="4.3478260869565223E-2"/>
    <n v="2676"/>
    <x v="124"/>
    <s v="UPS Error"/>
    <s v="Breakdown"/>
    <d v="1899-12-30T23:25:00"/>
    <d v="1899-12-30T23:25:00"/>
    <d v="1899-12-30T23:59:00"/>
    <d v="1899-12-30T00:00:00"/>
    <n v="0.56666666666666732"/>
    <n v="0.56666666666666732"/>
    <s v="Work in progress"/>
    <s v="Close"/>
    <n v="2.4637681159420322E-2"/>
    <m/>
    <m/>
    <m/>
  </r>
  <r>
    <n v="2495"/>
    <n v="2025"/>
    <n v="2024"/>
    <s v="Year_2"/>
    <d v="2024-08-08T00:00:00"/>
    <s v="KUD08"/>
    <s v="O2R3"/>
    <s v="JK"/>
    <n v="4.3478260869565223E-2"/>
    <n v="3633"/>
    <x v="21"/>
    <s v="Yaw System Stopped"/>
    <s v="Breakdown"/>
    <d v="1899-12-30T00:00:00"/>
    <d v="1899-12-30T00:00:00"/>
    <d v="1899-12-30T01:22:00"/>
    <d v="1899-12-30T00:00:00"/>
    <n v="1.3666666666666667"/>
    <n v="1.3666666666666667"/>
    <s v="Found pilz 610-06-01-K4 24v supply cable lose connection so correct and restored same time MCCB changed."/>
    <s v="Close"/>
    <n v="5.9420289855072472E-2"/>
    <m/>
    <m/>
    <m/>
  </r>
  <r>
    <n v="2496"/>
    <n v="2025"/>
    <n v="2024"/>
    <s v="Year_2"/>
    <d v="2024-08-08T00:00:00"/>
    <s v="KUD11"/>
    <s v="O2R1"/>
    <s v="KSIPL"/>
    <n v="4.3478260869565223E-2"/>
    <n v="450"/>
    <x v="127"/>
    <s v="Ext. High I sum Grd inv."/>
    <s v="Breakdown"/>
    <d v="1899-12-30T21:21:00"/>
    <d v="1899-12-30T21:21:00"/>
    <d v="1899-12-30T21:24:00"/>
    <d v="1899-12-30T00:00:00"/>
    <n v="5.0000000000002487E-2"/>
    <n v="5.0000000000002487E-2"/>
    <s v="Auto Rest"/>
    <s v="Close"/>
    <n v="2.1739130434783693E-3"/>
    <m/>
    <m/>
    <m/>
  </r>
  <r>
    <n v="2497"/>
    <n v="2025"/>
    <n v="2024"/>
    <s v="Year_2"/>
    <d v="2024-08-08T00:00:00"/>
    <s v="KUD14"/>
    <s v="O2R1"/>
    <s v="KSIPL"/>
    <n v="4.3478260869565223E-2"/>
    <n v="707"/>
    <x v="121"/>
    <s v="Ch hardware error C0"/>
    <s v="Breakdown"/>
    <d v="1899-12-30T17:34:00"/>
    <d v="1899-12-30T17:34:00"/>
    <d v="1899-12-30T18:12:00"/>
    <d v="1899-12-30T00:00:00"/>
    <n v="0.63333333333333375"/>
    <n v="0.63333333333333375"/>
    <s v="Manuallly charged the switch gear"/>
    <s v="Close"/>
    <n v="2.7536231884057991E-2"/>
    <m/>
    <m/>
    <m/>
  </r>
  <r>
    <n v="2498"/>
    <n v="2025"/>
    <n v="2024"/>
    <s v="Year_2"/>
    <d v="2024-08-08T00:00:00"/>
    <s v="KUD22"/>
    <s v="O2R3"/>
    <s v="JK"/>
    <n v="4.3478260869565223E-2"/>
    <n v="202"/>
    <x v="131"/>
    <s v="Frequency error 1:   0.55 Hz"/>
    <s v="Breakdown"/>
    <d v="1899-12-30T23:20:00"/>
    <d v="1899-12-30T23:20:00"/>
    <d v="1899-12-30T23:59:00"/>
    <d v="1899-12-30T00:00:00"/>
    <n v="0.65000000000000036"/>
    <n v="0.65000000000000036"/>
    <s v="Remote reboot done"/>
    <s v="Close"/>
    <n v="2.8260869565217412E-2"/>
    <m/>
    <m/>
    <m/>
  </r>
  <r>
    <n v="2499"/>
    <n v="2025"/>
    <n v="2024"/>
    <s v="Year_2"/>
    <d v="2024-08-08T00:00:00"/>
    <s v="KUD23"/>
    <s v="O2R3"/>
    <s v="JK"/>
    <n v="4.3478260869565223E-2"/>
    <n v="703"/>
    <x v="188"/>
    <s v="ExEx low voltage L0:   0V"/>
    <s v="Breakdown"/>
    <d v="1899-12-30T23:20:00"/>
    <d v="1899-12-30T23:20:00"/>
    <d v="1899-12-30T23:59:00"/>
    <d v="1899-12-30T00:00:00"/>
    <n v="0.65000000000000036"/>
    <n v="0.65000000000000036"/>
    <s v="Found nacelle ethernet switch issue so once reset and restored"/>
    <s v="Close"/>
    <n v="2.8260869565217412E-2"/>
    <m/>
    <m/>
    <m/>
  </r>
  <r>
    <n v="2500"/>
    <n v="2025"/>
    <n v="2024"/>
    <s v="Year_2"/>
    <d v="2024-08-09T00:00:00"/>
    <s v="KUD03"/>
    <s v="O2R1"/>
    <s v="KSIPL"/>
    <n v="4.3478260869565223E-2"/>
    <n v="2676"/>
    <x v="124"/>
    <s v="UPS Error"/>
    <s v="Breakdown"/>
    <d v="2024-08-09T15:46:30"/>
    <d v="2024-08-09T16:40:10"/>
    <d v="2024-08-09T16:40:38"/>
    <d v="1899-12-30T21:28:00"/>
    <n v="7.7777778496965766E-3"/>
    <n v="0.90222222218289971"/>
    <s v="ups Battery Replaced and SWG charged"/>
    <s v="Close"/>
    <n v="3.9227053138386953E-2"/>
    <m/>
    <m/>
    <m/>
  </r>
  <r>
    <n v="2501"/>
    <n v="2025"/>
    <n v="2024"/>
    <s v="Year_2"/>
    <d v="2024-08-09T00:00:00"/>
    <s v="KUD07"/>
    <s v="O2R3"/>
    <s v="JK"/>
    <n v="4.3478260869565223E-2"/>
    <n v="2676"/>
    <x v="124"/>
    <s v="UPS Error"/>
    <s v="Breakdown"/>
    <d v="1899-12-30T00:00:00"/>
    <d v="1899-12-30T00:00:00"/>
    <d v="1899-12-30T04:07:00"/>
    <d v="1899-12-30T00:00:00"/>
    <n v="4.1166666666666671"/>
    <n v="4.1166666666666671"/>
    <s v="ups Battery Replaced and SWG charged"/>
    <s v="Close"/>
    <n v="0.17898550724637685"/>
    <m/>
    <m/>
    <m/>
  </r>
  <r>
    <n v="2502"/>
    <n v="2025"/>
    <n v="2024"/>
    <s v="Year_2"/>
    <d v="2024-08-09T00:00:00"/>
    <s v="KUD10"/>
    <s v="O2R1"/>
    <s v="KSIPL"/>
    <n v="4.3478260869565223E-2"/>
    <n v="900"/>
    <x v="100"/>
    <s v="Pause pressed on keyboard"/>
    <s v="Breakdown"/>
    <d v="2024-08-09T17:49:39"/>
    <d v="2024-08-09T17:50:17"/>
    <d v="2024-08-09T17:50:18"/>
    <d v="1899-12-30T00:15:12"/>
    <n v="2.7777766808867455E-4"/>
    <n v="1.0833333246409893E-2"/>
    <s v="After fedder charged controller safe mode occur then manual reboot done"/>
    <s v="Close"/>
    <n v="4.7101448897434323E-4"/>
    <m/>
    <m/>
    <m/>
  </r>
  <r>
    <n v="2503"/>
    <n v="2025"/>
    <n v="2024"/>
    <s v="Year_2"/>
    <d v="2024-08-09T00:00:00"/>
    <s v="KUD10"/>
    <s v="O2R1"/>
    <s v="KSIPL"/>
    <n v="4.3478260869565223E-2"/>
    <n v="5197"/>
    <x v="54"/>
    <s v="Prop Valve C Status Fault"/>
    <s v="Breakdown"/>
    <d v="2024-08-09T18:39:33"/>
    <d v="2024-08-09T18:41:11"/>
    <d v="2024-08-09T19:19:48"/>
    <d v="1899-12-30T00:39:12"/>
    <n v="0.64361111121252179"/>
    <n v="0.67083333333721384"/>
    <s v="Remote reboot done"/>
    <s v="Close"/>
    <n v="2.916666666683539E-2"/>
    <m/>
    <m/>
    <m/>
  </r>
  <r>
    <n v="2504"/>
    <n v="2025"/>
    <n v="2024"/>
    <s v="Year_2"/>
    <d v="2024-08-09T00:00:00"/>
    <s v="KUD11"/>
    <s v="O2R1"/>
    <s v="KSIPL"/>
    <n v="4.3478260869565223E-2"/>
    <n v="3806"/>
    <x v="147"/>
    <s v="HubSafetySystem Batt.Charg.Err"/>
    <s v="Breakdown"/>
    <d v="1899-12-30T16:05:00"/>
    <d v="1899-12-30T16:05:00"/>
    <d v="1899-12-30T16:22:00"/>
    <d v="1899-12-30T00:00:00"/>
    <n v="0.28333333333333499"/>
    <n v="0.28333333333333499"/>
    <s v="Auto reset"/>
    <s v="Close"/>
    <n v="1.2318840579710218E-2"/>
    <m/>
    <m/>
    <m/>
  </r>
  <r>
    <n v="2505"/>
    <n v="2025"/>
    <n v="2024"/>
    <s v="Year_2"/>
    <d v="2024-08-09T00:00:00"/>
    <s v="KUD12"/>
    <s v="O2R1"/>
    <s v="KSIPL"/>
    <n v="4.3478260869565223E-2"/>
    <n v="3742"/>
    <x v="115"/>
    <s v="TripHVButtonActivated 1"/>
    <s v="Breakdown"/>
    <d v="1899-12-30T16:05:00"/>
    <d v="1899-12-30T16:05:00"/>
    <d v="1899-12-30T16:14:00"/>
    <d v="1899-12-30T00:00:00"/>
    <n v="0.15000000000000213"/>
    <n v="0.15000000000000213"/>
    <s v="Remote reset done"/>
    <s v="Close"/>
    <n v="6.5217391304348759E-3"/>
    <m/>
    <m/>
    <m/>
  </r>
  <r>
    <n v="2506"/>
    <n v="2025"/>
    <n v="2024"/>
    <s v="Year_2"/>
    <d v="2024-08-09T00:00:00"/>
    <s v="KUD13"/>
    <s v="O2R1"/>
    <s v="KSIPL"/>
    <n v="4.3478260869565223E-2"/>
    <n v="3296"/>
    <x v="46"/>
    <s v="Yaw To Nacelle Position Reset"/>
    <s v="Breakdown"/>
    <d v="1899-12-30T16:05:00"/>
    <d v="1899-12-30T16:05:00"/>
    <d v="1899-12-30T16:45:00"/>
    <d v="1899-12-30T00:00:00"/>
    <n v="0.66666666666666696"/>
    <n v="0.66666666666666696"/>
    <s v="Auto reset"/>
    <s v="Close"/>
    <n v="2.8985507246376829E-2"/>
    <m/>
    <m/>
    <m/>
  </r>
  <r>
    <n v="2507"/>
    <n v="2025"/>
    <n v="2024"/>
    <s v="Year_2"/>
    <d v="2024-08-09T00:00:00"/>
    <s v="KUD15"/>
    <s v="O2R1"/>
    <s v="KSIPL"/>
    <n v="4.3478260869565223E-2"/>
    <n v="4235"/>
    <x v="93"/>
    <s v="Gen Stator CB Open"/>
    <s v="Breakdown"/>
    <d v="1899-12-30T16:05:00"/>
    <d v="1899-12-30T16:05:00"/>
    <d v="1899-12-30T16:31:00"/>
    <d v="1899-12-30T00:00:00"/>
    <n v="0.43333333333333446"/>
    <n v="0.43333333333333446"/>
    <s v="Auto reset"/>
    <s v="Close"/>
    <n v="1.8840579710144977E-2"/>
    <m/>
    <m/>
    <m/>
  </r>
  <r>
    <n v="2508"/>
    <n v="2025"/>
    <n v="2024"/>
    <s v="Year_2"/>
    <d v="2024-08-09T00:00:00"/>
    <s v="KUD16"/>
    <s v="O2R2"/>
    <s v="SIL"/>
    <n v="4.3478260869565223E-2"/>
    <n v="4235"/>
    <x v="93"/>
    <s v="Gen Stator CB Open"/>
    <s v="Breakdown"/>
    <d v="2024-08-09T16:05:29"/>
    <d v="2024-08-09T16:05:29"/>
    <d v="2024-08-09T16:13:34"/>
    <d v="1899-12-30T00:00:00"/>
    <n v="0.13472222228301689"/>
    <n v="0.13472222228301689"/>
    <s v="Auto reset"/>
    <s v="Close"/>
    <n v="5.8574879253485614E-3"/>
    <m/>
    <m/>
    <m/>
  </r>
  <r>
    <n v="2509"/>
    <n v="2025"/>
    <n v="2024"/>
    <s v="Year_2"/>
    <d v="2024-08-09T00:00:00"/>
    <s v="KUD18"/>
    <s v="O2R4"/>
    <s v="SGDCIPL"/>
    <n v="4.3478260869565223E-2"/>
    <n v="4519"/>
    <x v="126"/>
    <s v="HubSafty HydrPres  Low DBlk"/>
    <s v="Breakdown"/>
    <d v="1899-12-30T16:05:00"/>
    <d v="1899-12-30T16:05:00"/>
    <d v="1899-12-30T16:14:00"/>
    <d v="1899-12-30T00:00:00"/>
    <n v="0.15000000000000213"/>
    <n v="0.15000000000000213"/>
    <s v="Remote reset done"/>
    <s v="Close"/>
    <n v="6.5217391304348759E-3"/>
    <m/>
    <m/>
    <m/>
  </r>
  <r>
    <n v="2510"/>
    <n v="2025"/>
    <n v="2024"/>
    <s v="Year_2"/>
    <d v="2024-08-09T00:00:00"/>
    <s v="KUD20"/>
    <s v="O2R1"/>
    <s v="KSIPL"/>
    <n v="4.3478260869565223E-2"/>
    <n v="707"/>
    <x v="121"/>
    <s v="Ch hardware error C0"/>
    <s v="Breakdown"/>
    <d v="1899-12-30T16:05:00"/>
    <d v="1899-12-30T16:05:00"/>
    <d v="1899-12-30T16:14:00"/>
    <d v="1899-12-30T00:00:00"/>
    <n v="0.15000000000000213"/>
    <n v="0.15000000000000213"/>
    <s v="Remote reset done"/>
    <s v="Close"/>
    <n v="6.5217391304348759E-3"/>
    <m/>
    <m/>
    <m/>
  </r>
  <r>
    <n v="2511"/>
    <n v="2025"/>
    <n v="2024"/>
    <s v="Year_2"/>
    <d v="2024-08-09T00:00:00"/>
    <s v="KUD22"/>
    <s v="O2R3"/>
    <s v="JK"/>
    <n v="4.3478260869565223E-2"/>
    <n v="707"/>
    <x v="121"/>
    <s v="Ch hardware error C0"/>
    <s v="Breakdown"/>
    <d v="1899-12-30T00:00:00"/>
    <d v="1899-12-30T00:00:00"/>
    <d v="1899-12-30T01:04:00"/>
    <d v="1899-12-30T00:00:00"/>
    <n v="1.0666666666666667"/>
    <n v="1.0666666666666667"/>
    <s v="Auto reset"/>
    <s v="Close"/>
    <n v="4.6376811594202906E-2"/>
    <m/>
    <m/>
    <m/>
  </r>
  <r>
    <n v="2512"/>
    <n v="2025"/>
    <n v="2024"/>
    <s v="Year_2"/>
    <d v="2024-08-09T00:00:00"/>
    <s v="KUD22"/>
    <s v="O2R3"/>
    <s v="JK"/>
    <n v="4.3478260869565223E-2"/>
    <n v="3806"/>
    <x v="147"/>
    <s v="HubSafetySystem Batt.Charg.Err"/>
    <s v="Breakdown"/>
    <d v="1899-12-30T16:05:00"/>
    <d v="1899-12-30T16:05:00"/>
    <d v="1899-12-30T16:37:00"/>
    <d v="1899-12-30T00:00:00"/>
    <n v="0.5333333333333341"/>
    <n v="0.5333333333333341"/>
    <s v="After fedder charged controller safe mode occur then manual reboot done"/>
    <s v="Close"/>
    <n v="2.3188405797101484E-2"/>
    <m/>
    <m/>
    <m/>
  </r>
  <r>
    <n v="2513"/>
    <n v="2025"/>
    <n v="2024"/>
    <s v="Year_2"/>
    <d v="2024-08-09T00:00:00"/>
    <s v="KUD23"/>
    <s v="O2R3"/>
    <s v="JK"/>
    <n v="4.3478260869565223E-2"/>
    <n v="315"/>
    <x v="120"/>
    <s v="ExEx low voltage L0:   0V"/>
    <s v="Breakdown"/>
    <d v="1899-12-30T00:00:00"/>
    <d v="1899-12-30T00:00:00"/>
    <d v="1899-12-30T03:14:00"/>
    <d v="1899-12-30T00:00:00"/>
    <n v="3.2333333333333334"/>
    <n v="3.2333333333333334"/>
    <s v="After fedder charged Communication not available after checked controller ethernet communication malfunction so reboot the ethernet system then restored"/>
    <s v="Close"/>
    <n v="0.14057971014492757"/>
    <m/>
    <m/>
    <m/>
  </r>
  <r>
    <n v="2514"/>
    <n v="2025"/>
    <n v="2024"/>
    <s v="Year_2"/>
    <d v="2024-08-09T00:00:00"/>
    <s v="KUD01"/>
    <s v="O2R1"/>
    <s v="KSIPL"/>
    <n v="4.3478260869565223E-2"/>
    <n v="450"/>
    <x v="127"/>
    <s v="Ext. High I sum Grd inv."/>
    <s v="Breakdown"/>
    <d v="2024-08-09T06:12:17"/>
    <d v="2024-08-09T06:12:17"/>
    <d v="2024-08-09T06:20:48"/>
    <d v="1899-12-30T00:00:00"/>
    <n v="0.14194444444729015"/>
    <n v="0.14194444444729015"/>
    <s v="Auto reset"/>
    <s v="Close"/>
    <n v="6.1714975846647903E-3"/>
    <m/>
    <m/>
    <m/>
  </r>
  <r>
    <n v="2515"/>
    <n v="2025"/>
    <n v="2024"/>
    <s v="Year_2"/>
    <d v="2024-08-10T00:00:00"/>
    <s v="KUD01"/>
    <s v="O2R1"/>
    <s v="KSIPL"/>
    <n v="4.3478260869565223E-2"/>
    <n v="900"/>
    <x v="100"/>
    <s v="Pause pressed on keyboard"/>
    <s v="Manual Stop"/>
    <d v="2024-08-10T15:35:14"/>
    <d v="2024-08-10T15:35:14"/>
    <d v="2024-08-10T19:29:46"/>
    <d v="1899-12-30T00:00:00"/>
    <n v="3.9088888888363726"/>
    <n v="3.9088888888363726"/>
    <s v="CMS alert inspection Generator alignment done"/>
    <s v="Close"/>
    <n v="0.16995169081897274"/>
    <m/>
    <m/>
    <m/>
  </r>
  <r>
    <n v="2516"/>
    <n v="2025"/>
    <n v="2024"/>
    <s v="Year_2"/>
    <d v="2024-08-10T00:00:00"/>
    <s v="KUD10"/>
    <s v="O2R1"/>
    <s v="KSIPL"/>
    <n v="4.3478260869565223E-2"/>
    <n v="5197"/>
    <x v="54"/>
    <s v="Prop Valve C Status Fault"/>
    <s v="Breakdown"/>
    <d v="2024-08-10T00:25:35"/>
    <d v="2024-08-10T00:25:35"/>
    <d v="2024-08-10T00:34:10"/>
    <d v="1899-12-30T00:00:00"/>
    <n v="0.1430555556435138"/>
    <n v="0.1430555556435138"/>
    <s v="Auto reset"/>
    <s v="Close"/>
    <n v="6.2198067671092967E-3"/>
    <m/>
    <m/>
    <m/>
  </r>
  <r>
    <n v="2517"/>
    <n v="2025"/>
    <n v="2024"/>
    <s v="Year_2"/>
    <d v="2024-08-10T00:00:00"/>
    <s v="KUD10"/>
    <s v="O2R1"/>
    <s v="KSIPL"/>
    <n v="4.3478260869565223E-2"/>
    <n v="5197"/>
    <x v="54"/>
    <s v="Prop Valve C Status Fault"/>
    <s v="Breakdown"/>
    <d v="2024-08-10T06:57:57"/>
    <d v="2024-08-10T06:57:57"/>
    <d v="2024-08-10T07:09:39"/>
    <d v="1899-12-30T00:00:00"/>
    <n v="0.19500000000698492"/>
    <n v="0.19500000000698492"/>
    <s v="Auto reset"/>
    <s v="Close"/>
    <n v="8.4782608698689109E-3"/>
    <m/>
    <m/>
    <m/>
  </r>
  <r>
    <n v="2518"/>
    <n v="2025"/>
    <n v="2024"/>
    <s v="Year_2"/>
    <d v="2024-08-11T00:00:00"/>
    <s v="KUD01"/>
    <s v="O2R1"/>
    <s v="KSIPL"/>
    <n v="4.3478260869565223E-2"/>
    <n v="331"/>
    <x v="189"/>
    <s v="DC Undervoltage: ____V"/>
    <s v="Breakdown"/>
    <d v="2024-08-11T04:24:07"/>
    <d v="2024-08-11T04:24:07"/>
    <d v="2024-08-11T05:20:00"/>
    <d v="1899-12-30T00:00:00"/>
    <n v="0.9313888888573274"/>
    <n v="0.9313888888573274"/>
    <s v="Remote reset done"/>
    <s v="Close"/>
    <n v="4.0495169080753374E-2"/>
    <n v="1"/>
    <n v="0.70599999999999996"/>
    <m/>
  </r>
  <r>
    <n v="2519"/>
    <n v="2025"/>
    <n v="2024"/>
    <s v="Year_2"/>
    <d v="2024-08-11T00:00:00"/>
    <s v="KUD06"/>
    <s v="O2R3"/>
    <s v="JK"/>
    <n v="4.3478260869565223E-2"/>
    <n v="3296"/>
    <x v="46"/>
    <s v="Yaw To Nacelle Position Reset"/>
    <s v="Breakdown"/>
    <d v="2024-08-11T16:43:33"/>
    <d v="2024-08-11T16:43:33"/>
    <d v="2024-08-11T17:03:08"/>
    <d v="1899-12-30T00:00:00"/>
    <n v="0.32638888887595385"/>
    <n v="0.32638888887595385"/>
    <s v="Turbine self cable Twist release"/>
    <s v="Close"/>
    <n v="1.4190821255476256E-2"/>
    <n v="1"/>
    <n v="1E-3"/>
    <m/>
  </r>
  <r>
    <n v="2520"/>
    <n v="2025"/>
    <n v="2024"/>
    <s v="Year_2"/>
    <d v="2024-08-11T00:00:00"/>
    <s v="KUD10"/>
    <s v="O2R1"/>
    <s v="KSIPL"/>
    <n v="4.3478260869565223E-2"/>
    <n v="5197"/>
    <x v="54"/>
    <s v="Prop Valve C Status Fault"/>
    <s v="Breakdown"/>
    <d v="2024-08-11T20:25:00"/>
    <d v="2024-08-11T20:25:00"/>
    <d v="2024-08-11T20:51:11"/>
    <d v="1899-12-30T00:00:00"/>
    <n v="0.43638888892019168"/>
    <n v="0.43638888892019168"/>
    <s v="Auto reset"/>
    <s v="Close"/>
    <n v="1.8973429953051815E-2"/>
    <n v="1"/>
    <n v="2.3E-2"/>
    <m/>
  </r>
  <r>
    <n v="2521"/>
    <n v="2025"/>
    <n v="2024"/>
    <s v="Year_2"/>
    <d v="2024-08-11T00:00:00"/>
    <s v="KUD10"/>
    <s v="O2R1"/>
    <s v="KSIPL"/>
    <n v="4.3478260869565223E-2"/>
    <n v="5197"/>
    <x v="54"/>
    <s v="Prop Valve C Status Fault"/>
    <s v="Breakdown"/>
    <d v="2024-08-11T20:57:50"/>
    <d v="2024-08-11T20:57:50"/>
    <d v="2024-08-11T21:22:24"/>
    <d v="1899-12-30T00:00:00"/>
    <n v="0.4094444444635883"/>
    <n v="0.4094444444635883"/>
    <s v="Remote reboot done"/>
    <s v="Close"/>
    <n v="1.7801932367982103E-2"/>
    <n v="1"/>
    <n v="0.85399999999999998"/>
    <m/>
  </r>
  <r>
    <n v="2522"/>
    <n v="2025"/>
    <n v="2024"/>
    <s v="Year_2"/>
    <d v="2024-08-11T00:00:00"/>
    <s v="KUD10"/>
    <s v="O2R1"/>
    <s v="KSIPL"/>
    <n v="4.3478260869565223E-2"/>
    <n v="900"/>
    <x v="100"/>
    <s v="Prop Valve C Status Fault"/>
    <s v="Manual Stop"/>
    <d v="1899-12-30T22:43:00"/>
    <d v="1899-12-30T22:43:00"/>
    <d v="1899-12-30T23:59:00"/>
    <d v="1899-12-30T00:00:00"/>
    <n v="1.2666666666666675"/>
    <n v="1.2666666666666675"/>
    <s v="Proportional valve C blade malfunction so changed and restored"/>
    <s v="Close"/>
    <n v="5.5072463768115983E-2"/>
    <n v="1"/>
    <n v="1.085"/>
    <m/>
  </r>
  <r>
    <n v="2523"/>
    <n v="2025"/>
    <n v="2024"/>
    <s v="Year_2"/>
    <d v="2024-08-12T00:00:00"/>
    <s v="KUD01"/>
    <s v="O2R1"/>
    <s v="KSIPL"/>
    <n v="4.3478260869565223E-2"/>
    <n v="450"/>
    <x v="127"/>
    <s v="Ext. High I sum Grd inv."/>
    <s v="Breakdown"/>
    <d v="2024-08-12T05:52:21"/>
    <d v="2024-08-12T05:52:21"/>
    <d v="2024-08-12T06:00:00"/>
    <d v="1899-12-30T00:00:00"/>
    <n v="0.12749999994412065"/>
    <n v="0.12749999994412065"/>
    <s v="Auto reset"/>
    <s v="Close"/>
    <n v="5.543478258440029E-3"/>
    <n v="1"/>
    <n v="0.13400000000000001"/>
    <m/>
  </r>
  <r>
    <n v="2524"/>
    <n v="2025"/>
    <n v="2024"/>
    <s v="Year_2"/>
    <d v="2024-08-12T00:00:00"/>
    <s v="KUD10"/>
    <s v="O2R1"/>
    <s v="KSIPL"/>
    <n v="4.3478260869565223E-2"/>
    <n v="900"/>
    <x v="100"/>
    <s v="New SERVICE state: 0,    0"/>
    <s v="Manual Stop"/>
    <d v="2024-08-12T00:00:00"/>
    <d v="2024-08-12T00:00:00"/>
    <d v="2024-08-12T00:46:04"/>
    <d v="1899-12-30T00:00:00"/>
    <n v="0.76777777774259448"/>
    <n v="0.76777777774259448"/>
    <s v="Proportional valve C blade malfunction so changed and restored"/>
    <s v="Close"/>
    <n v="3.3381642510547593E-2"/>
    <n v="1"/>
    <n v="0.29899999999999999"/>
    <m/>
  </r>
  <r>
    <n v="2525"/>
    <n v="2025"/>
    <n v="2024"/>
    <s v="Year_2"/>
    <d v="2024-08-12T00:00:00"/>
    <s v="KUD04"/>
    <s v="O2R3"/>
    <s v="JK"/>
    <n v="4.3478260869565223E-2"/>
    <n v="315"/>
    <x v="120"/>
    <s v="ExEx low voltage L_: ___V"/>
    <s v="ROW"/>
    <d v="2024-08-12T09:10:00"/>
    <d v="2024-08-12T09:10:00"/>
    <d v="2024-08-12T15:50:00"/>
    <d v="1899-12-30T00:00:00"/>
    <n v="6.6666666665696539"/>
    <n v="6.6666666665696539"/>
    <s v="WTG can not attend because local person lock the WTG maindoor"/>
    <s v="Close"/>
    <n v="0"/>
    <n v="1"/>
    <m/>
    <m/>
  </r>
  <r>
    <n v="2526"/>
    <n v="2025"/>
    <n v="2024"/>
    <s v="Year_2"/>
    <d v="2024-08-12T00:00:00"/>
    <s v="KUD04"/>
    <s v="O2R3"/>
    <s v="JK"/>
    <n v="4.3478260869565223E-2"/>
    <n v="900"/>
    <x v="100"/>
    <s v="Pause pressed on keyboard"/>
    <s v="Breakdown"/>
    <d v="2024-08-12T15:50:00"/>
    <d v="2024-08-12T15:50:00"/>
    <d v="2024-08-12T17:21:26"/>
    <d v="1899-12-30T00:00:00"/>
    <n v="1.5238888888852671"/>
    <n v="1.5238888888852671"/>
    <s v="Nacelle controler 24v supply issue so correct and then restored"/>
    <s v="Close"/>
    <n v="6.6256038647185531E-2"/>
    <n v="1"/>
    <n v="9.9000000000000005E-2"/>
    <m/>
  </r>
  <r>
    <n v="2527"/>
    <n v="2025"/>
    <n v="2024"/>
    <s v="Year_2"/>
    <d v="2024-08-12T00:00:00"/>
    <s v="KUD22"/>
    <s v="O2R3"/>
    <s v="JK"/>
    <n v="4.3478260869565223E-2"/>
    <n v="900"/>
    <x v="100"/>
    <s v="Pause pressed on keyboard"/>
    <s v="Breakdown"/>
    <d v="2024-08-12T09:20:00"/>
    <d v="2024-08-12T09:20:00"/>
    <d v="2024-08-12T14:25:45"/>
    <d v="1899-12-30T00:00:00"/>
    <n v="5.0958333332673647"/>
    <n v="5.0958333332673647"/>
    <s v="After feeder charged transformer vamp active so trafo inspection done found no abnormality then reset and restored"/>
    <s v="Close"/>
    <n v="0.22155797101162458"/>
    <n v="1"/>
    <n v="1.2290000000000001"/>
    <m/>
  </r>
  <r>
    <n v="2528"/>
    <n v="2025"/>
    <n v="2024"/>
    <s v="Year_2"/>
    <d v="2024-08-13T00:00:00"/>
    <s v="KUD01"/>
    <s v="O2R1"/>
    <s v="KSIPL"/>
    <n v="4.3478260869565223E-2"/>
    <n v="450"/>
    <x v="127"/>
    <s v="Ext. High I sum Grd inv."/>
    <s v="Breakdown"/>
    <d v="2024-08-13T04:27:44"/>
    <d v="2024-08-13T04:27:44"/>
    <d v="2024-08-13T04:30:00"/>
    <d v="1899-12-30T00:00:00"/>
    <n v="3.7777777703013271E-2"/>
    <n v="3.7777777703013271E-2"/>
    <s v="Auto reset"/>
    <s v="Close"/>
    <n v="1.6425120740440554E-3"/>
    <n v="1"/>
    <n v="4.7E-2"/>
    <m/>
  </r>
  <r>
    <n v="2529"/>
    <n v="2025"/>
    <n v="2024"/>
    <s v="Year_2"/>
    <d v="2024-08-13T00:00:00"/>
    <s v="KUD10"/>
    <s v="O2R1"/>
    <s v="KSIPL"/>
    <n v="4.3478260869565223E-2"/>
    <n v="3296"/>
    <x v="46"/>
    <s v="Yaw To Nacelle Position Reset"/>
    <m/>
    <d v="2024-08-13T17:24:44"/>
    <d v="2024-08-13T17:24:44"/>
    <d v="2024-08-13T17:39:14"/>
    <d v="1899-12-30T00:00:00"/>
    <n v="0.24166666658129543"/>
    <n v="0.24166666658129543"/>
    <s v="Auto cable twist relesed"/>
    <s v="Close"/>
    <n v="1.0507246373099802E-2"/>
    <n v="1"/>
    <n v="1E-3"/>
    <m/>
  </r>
  <r>
    <n v="2530"/>
    <n v="2025"/>
    <n v="2024"/>
    <s v="Year_2"/>
    <d v="2024-08-13T00:00:00"/>
    <s v="KUD10"/>
    <s v="O2R1"/>
    <s v="KSIPL"/>
    <n v="4.3478260869565223E-2"/>
    <n v="5197"/>
    <x v="54"/>
    <s v="Prop Valve C Status Fault"/>
    <s v="Breakdown"/>
    <d v="2024-08-13T21:45:40"/>
    <d v="2024-08-13T21:45:40"/>
    <d v="2024-08-13T21:53:22"/>
    <d v="1899-12-30T00:00:00"/>
    <n v="0.12833333329763263"/>
    <n v="0.12833333329763263"/>
    <s v="Auto reset"/>
    <s v="Close"/>
    <n v="5.5797101433753323E-3"/>
    <n v="1"/>
    <n v="1E-3"/>
    <m/>
  </r>
  <r>
    <n v="2531"/>
    <n v="2025"/>
    <n v="2024"/>
    <s v="Year_2"/>
    <d v="2024-08-13T00:00:00"/>
    <s v="KUD12"/>
    <s v="O2R1"/>
    <s v="KSIPL"/>
    <n v="4.3478260869565223E-2"/>
    <n v="900"/>
    <x v="100"/>
    <s v="Pause pressed on keyboard"/>
    <s v="Breakdown"/>
    <d v="2024-08-13T06:50:00"/>
    <d v="2024-08-13T06:50:00"/>
    <d v="2024-08-13T16:53:37"/>
    <d v="1899-12-30T00:00:00"/>
    <n v="10.060277777840383"/>
    <n v="10.060277777840383"/>
    <s v="After grid restore transformer vamp active so trafo inspection done found no abnormality so charged the tranformer and reset and restored"/>
    <s v="Close"/>
    <n v="0.43740338164523412"/>
    <n v="1"/>
    <n v="1.323"/>
    <m/>
  </r>
  <r>
    <n v="2532"/>
    <n v="2025"/>
    <n v="2024"/>
    <s v="Year_2"/>
    <d v="2024-08-13T00:00:00"/>
    <s v="KUD20"/>
    <s v="O2R1"/>
    <s v="KSIPL"/>
    <n v="4.3478260869565223E-2"/>
    <n v="202"/>
    <x v="131"/>
    <s v="Frequency error 1: ___.__ Hz"/>
    <s v="Breakdown"/>
    <d v="2024-08-13T07:00:00"/>
    <d v="2024-08-13T07:00:00"/>
    <d v="2024-08-13T07:42:40"/>
    <d v="1899-12-30T00:00:00"/>
    <n v="0.71111111110076308"/>
    <n v="0.71111111110076308"/>
    <s v="Manually charged the switch gear"/>
    <s v="Close"/>
    <n v="3.0917874395685354E-2"/>
    <n v="1"/>
    <n v="0.14000000000000001"/>
    <m/>
  </r>
  <r>
    <n v="2533"/>
    <n v="2025"/>
    <n v="2024"/>
    <s v="Year_2"/>
    <d v="2024-08-13T00:00:00"/>
    <s v="KUD21"/>
    <s v="O2R3"/>
    <s v="JK"/>
    <n v="4.3478260869565223E-2"/>
    <n v="158"/>
    <x v="132"/>
    <s v="Rotor: 2.5RPM, Gen.:   0.0 RPM"/>
    <s v="Breakdown"/>
    <d v="2024-08-13T14:25:03"/>
    <d v="2024-08-13T14:25:03"/>
    <d v="2024-08-13T14:31:05"/>
    <d v="1899-12-30T00:00:00"/>
    <n v="0.10055555548751727"/>
    <n v="0.10055555548751727"/>
    <s v="Auto reset"/>
    <s v="Close"/>
    <n v="4.3719806733703162E-3"/>
    <n v="1"/>
    <n v="7.8E-2"/>
    <m/>
  </r>
  <r>
    <n v="2534"/>
    <n v="2025"/>
    <n v="2024"/>
    <s v="Year_2"/>
    <d v="2024-08-13T00:00:00"/>
    <s v="KUD22"/>
    <s v="O2R3"/>
    <s v="JK"/>
    <n v="4.3478260869565223E-2"/>
    <n v="158"/>
    <x v="132"/>
    <s v="Rotor: 1.5RPM, Gen.:   0.0 RPM"/>
    <s v="Breakdown"/>
    <d v="2024-08-13T14:17:01"/>
    <d v="2024-08-13T14:17:01"/>
    <d v="2024-08-13T14:22:58"/>
    <d v="1899-12-30T00:00:00"/>
    <n v="9.9166666623204947E-2"/>
    <n v="9.9166666623204947E-2"/>
    <s v="Auto reset"/>
    <s v="Close"/>
    <n v="4.3115942010089111E-3"/>
    <n v="1"/>
    <n v="-0.02"/>
    <m/>
  </r>
  <r>
    <n v="2535"/>
    <n v="2025"/>
    <n v="2024"/>
    <s v="Year_2"/>
    <d v="2024-08-13T00:00:00"/>
    <s v="KUD22"/>
    <s v="O2R3"/>
    <s v="JK"/>
    <n v="4.3478260869565223E-2"/>
    <n v="3209"/>
    <x v="101"/>
    <s v="YawSignals Invalid"/>
    <s v="Breakdown"/>
    <d v="2024-08-13T16:17:56"/>
    <d v="2024-08-13T16:17:56"/>
    <d v="2024-08-13T16:20:00"/>
    <d v="1899-12-30T00:00:00"/>
    <n v="3.4444444463588297E-2"/>
    <n v="3.4444444463588297E-2"/>
    <s v="Auto reset"/>
    <s v="Close"/>
    <n v="1.4975845418951435E-3"/>
    <n v="1"/>
    <n v="0"/>
    <m/>
  </r>
  <r>
    <n v="2536"/>
    <n v="2025"/>
    <n v="2024"/>
    <s v="Year_2"/>
    <d v="2024-08-13T00:00:00"/>
    <s v="KUD22"/>
    <s v="O2R3"/>
    <s v="JK"/>
    <n v="4.3478260869565223E-2"/>
    <n v="3273"/>
    <x v="35"/>
    <s v="YawUntwistCCW: Code 6,    540Â°"/>
    <s v="Breakdown"/>
    <d v="2024-08-13T17:17:56"/>
    <d v="2024-08-13T17:17:56"/>
    <d v="2024-08-13T17:20:00"/>
    <d v="1899-12-30T00:00:00"/>
    <n v="3.4444444812834263E-2"/>
    <n v="3.4444444812834263E-2"/>
    <s v="Auto cable twist relesed"/>
    <s v="Close"/>
    <n v="1.4975845570797508E-3"/>
    <n v="1"/>
    <n v="2E-3"/>
    <m/>
  </r>
  <r>
    <n v="2537"/>
    <n v="2025"/>
    <n v="2024"/>
    <s v="Year_2"/>
    <d v="2024-08-14T00:00:00"/>
    <s v="KUD01"/>
    <s v="O2R1"/>
    <s v="KSIPL"/>
    <n v="4.3478260869565223E-2"/>
    <n v="3273"/>
    <x v="35"/>
    <s v="YawUntwistCCW: Code 6,    540Â°"/>
    <s v="Breakdown"/>
    <d v="1899-12-30T08:23:00"/>
    <d v="1899-12-30T08:23:00"/>
    <d v="1899-12-30T08:43:00"/>
    <d v="1899-12-30T00:00:00"/>
    <n v="0.33333333333333348"/>
    <n v="0.33333333333333348"/>
    <s v="Auto cable twist relesed"/>
    <s v="Close"/>
    <n v="1.4492753623188415E-2"/>
    <n v="1"/>
    <n v="1.2E-2"/>
    <m/>
  </r>
  <r>
    <n v="2538"/>
    <n v="2025"/>
    <n v="2024"/>
    <s v="Year_2"/>
    <d v="2024-08-14T00:00:00"/>
    <s v="KUD03"/>
    <s v="O2R1"/>
    <s v="KSIPL"/>
    <n v="4.3478260869565223E-2"/>
    <n v="79"/>
    <x v="175"/>
    <s v="Max. Yaw error:  18.0Â°"/>
    <s v="Breakdown"/>
    <d v="1899-12-30T21:19:00"/>
    <d v="1899-12-30T21:19:00"/>
    <d v="1899-12-30T21:20:00"/>
    <d v="1899-12-30T00:00:00"/>
    <n v="1.6666666666666607E-2"/>
    <n v="1.6666666666666607E-2"/>
    <s v="Auto reset"/>
    <s v="Close"/>
    <n v="7.246376811594178E-4"/>
    <n v="1"/>
    <n v="0.17599999999999999"/>
    <m/>
  </r>
  <r>
    <n v="2539"/>
    <n v="2025"/>
    <n v="2024"/>
    <s v="Year_2"/>
    <d v="2024-08-14T00:00:00"/>
    <s v="KUD08"/>
    <s v="O2R3"/>
    <s v="JK"/>
    <n v="4.3478260869565223E-2"/>
    <n v="3273"/>
    <x v="35"/>
    <s v="YawUntwistCCW: Code 6,    540Â°"/>
    <s v="Breakdown"/>
    <d v="1899-12-30T13:43:00"/>
    <d v="1899-12-30T13:43:00"/>
    <d v="1899-12-30T14:03:00"/>
    <d v="1899-12-30T00:00:00"/>
    <n v="0.33333333333333481"/>
    <n v="0.33333333333333481"/>
    <s v="Auto cable twist relesed"/>
    <s v="Close"/>
    <n v="1.4492753623188472E-2"/>
    <n v="1"/>
    <n v="8.9999999999999993E-3"/>
    <m/>
  </r>
  <r>
    <n v="2540"/>
    <n v="2025"/>
    <n v="2024"/>
    <s v="Year_2"/>
    <d v="2024-08-14T00:00:00"/>
    <s v="KUD08"/>
    <s v="O2R3"/>
    <s v="JK"/>
    <n v="4.3478260869565223E-2"/>
    <n v="79"/>
    <x v="175"/>
    <s v="Max. Yaw error:  17.2Â°"/>
    <s v="Breakdown"/>
    <d v="1899-12-30T21:19:00"/>
    <d v="1899-12-30T21:19:00"/>
    <d v="1899-12-30T21:20:00"/>
    <d v="1899-12-30T00:00:00"/>
    <n v="1.6666666666666607E-2"/>
    <n v="1.6666666666666607E-2"/>
    <s v="Auto reset"/>
    <s v="Close"/>
    <n v="7.246376811594178E-4"/>
    <n v="1"/>
    <n v="0.14599999999999999"/>
    <m/>
  </r>
  <r>
    <n v="2541"/>
    <n v="2025"/>
    <n v="2024"/>
    <s v="Year_2"/>
    <d v="2024-08-14T00:00:00"/>
    <s v="KUD08"/>
    <s v="O2R3"/>
    <s v="JK"/>
    <n v="4.3478260869565223E-2"/>
    <n v="315"/>
    <x v="120"/>
    <s v="ExEx low voltage L_: ___V"/>
    <s v="Breakdown"/>
    <d v="1899-12-30T22:30:00"/>
    <d v="1899-12-30T22:30:00"/>
    <d v="1899-12-30T00:00:00"/>
    <d v="1899-12-30T00:00:00"/>
    <n v="-22.5"/>
    <n v="-22.5"/>
    <s v="Work in progress"/>
    <s v="Close"/>
    <n v="-0.97826086956521752"/>
    <n v="1"/>
    <n v="0"/>
    <m/>
  </r>
  <r>
    <n v="2542"/>
    <n v="2025"/>
    <n v="2024"/>
    <s v="Year_2"/>
    <d v="2024-08-14T00:00:00"/>
    <s v="KUD10"/>
    <s v="O2R1"/>
    <s v="KSIPL"/>
    <n v="4.3478260869565223E-2"/>
    <n v="315"/>
    <x v="120"/>
    <s v="ExEx low voltage L_: ___V"/>
    <s v="Breakdown"/>
    <d v="1899-12-30T22:30:00"/>
    <d v="1899-12-30T22:30:00"/>
    <d v="1899-12-30T23:12:00"/>
    <d v="1899-12-30T00:00:00"/>
    <n v="0.70000000000000018"/>
    <n v="0.70000000000000018"/>
    <s v="Manually charged the Switch gear."/>
    <s v="Close"/>
    <n v="3.0434782608695664E-2"/>
    <n v="1"/>
    <n v="0.246"/>
    <m/>
  </r>
  <r>
    <n v="2543"/>
    <n v="2025"/>
    <n v="2024"/>
    <s v="Year_2"/>
    <d v="2024-08-14T00:00:00"/>
    <s v="KUD10"/>
    <s v="O2R1"/>
    <s v="KSIPL"/>
    <n v="4.3478260869565223E-2"/>
    <n v="3806"/>
    <x v="147"/>
    <s v="HubSafetySystem Batt.Charg.Err"/>
    <s v="Breakdown"/>
    <d v="1899-12-30T23:20:00"/>
    <d v="1899-12-30T23:20:00"/>
    <d v="1899-12-30T23:24:00"/>
    <d v="1899-12-30T00:00:00"/>
    <n v="6.666666666666643E-2"/>
    <n v="6.666666666666643E-2"/>
    <s v="Auto reset"/>
    <s v="Close"/>
    <n v="2.8985507246376712E-3"/>
    <n v="1"/>
    <n v="1.0999999999999999E-2"/>
    <m/>
  </r>
  <r>
    <n v="2544"/>
    <n v="2025"/>
    <n v="2024"/>
    <s v="Year_2"/>
    <d v="2024-08-14T00:00:00"/>
    <s v="KUD11"/>
    <s v="O2R1"/>
    <s v="KSIPL"/>
    <n v="4.3478260869565223E-2"/>
    <n v="356"/>
    <x v="165"/>
    <s v="Extreme yawerror 13.9m/s 60.0Â°"/>
    <s v="Breakdown"/>
    <d v="2024-08-14T04:38:52"/>
    <d v="2024-08-14T04:38:52"/>
    <d v="2024-08-14T04:40:41"/>
    <d v="1899-12-30T00:00:00"/>
    <n v="3.0277777870651335E-2"/>
    <n v="3.0277777870651335E-2"/>
    <s v="Auto reset"/>
    <s v="Close"/>
    <n v="1.3164251248109278E-3"/>
    <n v="1"/>
    <n v="0.128"/>
    <m/>
  </r>
  <r>
    <n v="2545"/>
    <n v="2025"/>
    <n v="2024"/>
    <s v="Year_2"/>
    <d v="2024-08-14T00:00:00"/>
    <s v="KUD11"/>
    <s v="O2R1"/>
    <s v="KSIPL"/>
    <n v="4.3478260869565223E-2"/>
    <n v="3273"/>
    <x v="35"/>
    <s v="YawUntwistCCW: Code 6,    540Â°"/>
    <s v="Breakdown"/>
    <d v="1899-12-30T08:26:00"/>
    <d v="1899-12-30T08:26:00"/>
    <d v="1899-12-30T08:46:00"/>
    <d v="1899-12-30T00:00:00"/>
    <n v="0.33333333333333348"/>
    <n v="0.33333333333333348"/>
    <s v="Auto cable twist relesed"/>
    <s v="Close"/>
    <n v="1.4492753623188415E-2"/>
    <n v="1"/>
    <n v="1E-3"/>
    <m/>
  </r>
  <r>
    <n v="2546"/>
    <n v="2025"/>
    <n v="2024"/>
    <s v="Year_2"/>
    <d v="2024-08-14T00:00:00"/>
    <s v="KUD11"/>
    <s v="O2R1"/>
    <s v="KSIPL"/>
    <n v="4.3478260869565223E-2"/>
    <n v="3806"/>
    <x v="147"/>
    <s v="HubSafetySystem Batt.Charg.Err"/>
    <s v="Breakdown"/>
    <d v="1899-12-30T22:44:00"/>
    <d v="1899-12-30T22:44:00"/>
    <d v="1899-12-30T22:50:00"/>
    <d v="1899-12-30T00:00:00"/>
    <n v="9.9999999999999645E-2"/>
    <n v="9.9999999999999645E-2"/>
    <s v="Auto reset"/>
    <s v="Close"/>
    <n v="4.347826086956507E-3"/>
    <n v="1"/>
    <n v="4.4999999999999998E-2"/>
    <m/>
  </r>
  <r>
    <n v="2547"/>
    <n v="2025"/>
    <n v="2024"/>
    <s v="Year_2"/>
    <d v="2024-08-14T00:00:00"/>
    <s v="KUD13"/>
    <s v="O2R1"/>
    <s v="KSIPL"/>
    <n v="4.3478260869565223E-2"/>
    <n v="3273"/>
    <x v="35"/>
    <s v="YawUntwistCCW: Code 6,    540Â°"/>
    <s v="Breakdown"/>
    <d v="1899-12-30T15:42:00"/>
    <d v="1899-12-30T15:42:00"/>
    <d v="1899-12-30T16:02:00"/>
    <d v="1899-12-30T00:00:00"/>
    <n v="0.33333333333333215"/>
    <n v="0.33333333333333215"/>
    <s v="Auto cable twist relesed"/>
    <s v="Close"/>
    <n v="1.4492753623188356E-2"/>
    <n v="1"/>
    <n v="8.0000000000000002E-3"/>
    <m/>
  </r>
  <r>
    <n v="2548"/>
    <n v="2025"/>
    <n v="2024"/>
    <s v="Year_2"/>
    <d v="2024-08-14T00:00:00"/>
    <s v="KUD14"/>
    <s v="O2R1"/>
    <s v="KSIPL"/>
    <n v="4.3478260869565223E-2"/>
    <n v="356"/>
    <x v="165"/>
    <s v="Extreme yawerror 14.1m/s 56.6Â°"/>
    <s v="Breakdown"/>
    <d v="1899-12-30T04:38:00"/>
    <d v="1899-12-30T04:38:00"/>
    <d v="1899-12-30T04:40:00"/>
    <d v="1899-12-30T00:00:00"/>
    <n v="3.3333333333333215E-2"/>
    <n v="3.3333333333333215E-2"/>
    <s v="Auto reset"/>
    <s v="Close"/>
    <n v="1.4492753623188356E-3"/>
    <n v="1"/>
    <n v="0"/>
    <m/>
  </r>
  <r>
    <n v="2549"/>
    <n v="2025"/>
    <n v="2024"/>
    <s v="Year_2"/>
    <d v="2024-08-14T00:00:00"/>
    <s v="KUD14"/>
    <s v="O2R1"/>
    <s v="KSIPL"/>
    <n v="4.3478260869565223E-2"/>
    <n v="3273"/>
    <x v="35"/>
    <s v="YawUntwistCCW: Code 6,    540Â°"/>
    <s v="Breakdown"/>
    <d v="1899-12-30T23:19:00"/>
    <d v="1899-12-30T23:19:00"/>
    <d v="1899-12-30T23:44:00"/>
    <d v="1899-12-30T00:00:00"/>
    <n v="0.41666666666666785"/>
    <n v="0.41666666666666785"/>
    <s v="Auto cable twist relesed"/>
    <s v="Close"/>
    <n v="1.811594202898556E-2"/>
    <n v="1"/>
    <n v="1E-3"/>
    <m/>
  </r>
  <r>
    <n v="2550"/>
    <n v="2025"/>
    <n v="2024"/>
    <s v="Year_2"/>
    <d v="2024-08-14T00:00:00"/>
    <s v="KUD15"/>
    <s v="O2R1"/>
    <s v="KSIPL"/>
    <n v="4.3478260869565223E-2"/>
    <n v="3273"/>
    <x v="35"/>
    <s v="YawUntwistCCW: Code 6,    570Â°"/>
    <s v="Breakdown"/>
    <d v="1899-12-30T13:08:00"/>
    <d v="1899-12-30T13:08:00"/>
    <d v="1899-12-30T13:30:00"/>
    <d v="1899-12-30T00:00:00"/>
    <n v="0.36666666666666536"/>
    <n v="0.36666666666666536"/>
    <s v="Auto cable twist relesed"/>
    <s v="Close"/>
    <n v="1.594202898550719E-2"/>
    <n v="1"/>
    <n v="1.0999999999999999E-2"/>
    <m/>
  </r>
  <r>
    <n v="2551"/>
    <n v="2025"/>
    <n v="2024"/>
    <s v="Year_2"/>
    <d v="2024-08-14T00:00:00"/>
    <s v="KUD19"/>
    <s v="O2R1"/>
    <s v="KSIPL"/>
    <n v="4.3478260869565223E-2"/>
    <n v="356"/>
    <x v="165"/>
    <s v="Extreme yawerror 14.7m/s 48.8Â°"/>
    <s v="Breakdown"/>
    <d v="1899-12-30T04:38:00"/>
    <d v="1899-12-30T04:38:00"/>
    <d v="1899-12-30T04:40:00"/>
    <d v="1899-12-30T00:00:00"/>
    <n v="3.3333333333333215E-2"/>
    <n v="3.3333333333333215E-2"/>
    <s v="Auto reset"/>
    <s v="Close"/>
    <n v="1.4492753623188356E-3"/>
    <n v="1"/>
    <n v="0.122"/>
    <m/>
  </r>
  <r>
    <n v="2552"/>
    <n v="2025"/>
    <n v="2024"/>
    <s v="Year_2"/>
    <d v="2024-08-14T00:00:00"/>
    <s v="KUD19"/>
    <s v="O2R1"/>
    <s v="KSIPL"/>
    <n v="4.3478260869565223E-2"/>
    <n v="3273"/>
    <x v="35"/>
    <s v="YawUntwistCCW: Code 6,    691Â°"/>
    <s v="Breakdown"/>
    <d v="1899-12-30T06:24:00"/>
    <d v="1899-12-30T06:24:00"/>
    <d v="1899-12-30T06:53:00"/>
    <d v="1899-12-30T00:00:00"/>
    <n v="0.48333333333333295"/>
    <n v="0.48333333333333295"/>
    <s v="Auto cable twist relesed"/>
    <s v="Close"/>
    <n v="2.1014492753623173E-2"/>
    <n v="1"/>
    <n v="-3.0000000000000001E-3"/>
    <m/>
  </r>
  <r>
    <n v="2553"/>
    <n v="2025"/>
    <n v="2024"/>
    <s v="Year_2"/>
    <d v="2024-08-14T00:00:00"/>
    <s v="KUD20"/>
    <s v="O2R1"/>
    <s v="KSIPL"/>
    <n v="4.3478260869565223E-2"/>
    <n v="3273"/>
    <x v="35"/>
    <s v="YawUntwistCCW: Code 6,    686Â°"/>
    <s v="Breakdown"/>
    <d v="1899-12-30T05:19:00"/>
    <d v="1899-12-30T05:19:00"/>
    <d v="1899-12-30T05:49:00"/>
    <d v="1899-12-30T00:00:00"/>
    <n v="0.50000000000000022"/>
    <n v="0.50000000000000022"/>
    <s v="Auto cable twist relesed"/>
    <s v="Close"/>
    <n v="2.1739130434782622E-2"/>
    <n v="1"/>
    <n v="7.6999999999999999E-2"/>
    <m/>
  </r>
  <r>
    <n v="2554"/>
    <n v="2025"/>
    <n v="2024"/>
    <s v="Year_2"/>
    <d v="2024-08-14T00:00:00"/>
    <s v="KUD04"/>
    <s v="O2R3"/>
    <s v="JK"/>
    <n v="4.3478260869565223E-2"/>
    <n v="356"/>
    <x v="165"/>
    <s v="Extreme yawerror 13.3m/s 68.1Â°"/>
    <s v="Breakdown"/>
    <d v="1899-12-30T21:08:00"/>
    <d v="1899-12-30T21:08:00"/>
    <d v="1899-12-30T21:10:00"/>
    <d v="1899-12-30T00:00:00"/>
    <n v="3.3333333333333215E-2"/>
    <n v="3.3333333333333215E-2"/>
    <s v="Auto reset"/>
    <s v="Close"/>
    <n v="1.4492753623188356E-3"/>
    <n v="1"/>
    <n v="0.04"/>
    <m/>
  </r>
  <r>
    <n v="2555"/>
    <n v="2025"/>
    <n v="2024"/>
    <s v="Year_2"/>
    <d v="2024-08-14T00:00:00"/>
    <s v="KUD05"/>
    <s v="O2R3"/>
    <s v="JK"/>
    <n v="4.3478260869565223E-2"/>
    <n v="356"/>
    <x v="165"/>
    <s v="Extreme yawerror 15.0m/s 45.4Â°"/>
    <s v="Breakdown"/>
    <d v="1899-12-30T04:38:00"/>
    <d v="1899-12-30T04:38:00"/>
    <d v="1899-12-30T04:40:00"/>
    <d v="1899-12-30T00:00:00"/>
    <n v="3.3333333333333215E-2"/>
    <n v="3.3333333333333215E-2"/>
    <s v="Auto reset"/>
    <s v="Close"/>
    <n v="1.4492753623188356E-3"/>
    <n v="1"/>
    <n v="0.28399999999999997"/>
    <m/>
  </r>
  <r>
    <n v="2556"/>
    <n v="2025"/>
    <n v="2024"/>
    <s v="Year_2"/>
    <d v="2024-08-14T00:00:00"/>
    <s v="KUD05"/>
    <s v="O2R3"/>
    <s v="JK"/>
    <n v="4.3478260869565223E-2"/>
    <n v="3209"/>
    <x v="101"/>
    <s v="YawSignals Invalid"/>
    <s v="Breakdown"/>
    <d v="1899-12-30T06:36:00"/>
    <d v="1899-12-30T06:36:00"/>
    <d v="1899-12-30T06:43:00"/>
    <d v="1899-12-30T00:00:00"/>
    <n v="0.11666666666666625"/>
    <n v="0.11666666666666625"/>
    <s v="Auto reset"/>
    <s v="Close"/>
    <n v="5.0724637681159243E-3"/>
    <n v="1"/>
    <n v="-3.0000000000000001E-3"/>
    <m/>
  </r>
  <r>
    <n v="2557"/>
    <n v="2025"/>
    <n v="2024"/>
    <s v="Year_2"/>
    <d v="2024-08-14T00:00:00"/>
    <s v="KUD05"/>
    <s v="O2R3"/>
    <s v="JK"/>
    <n v="4.3478260869565223E-2"/>
    <n v="3273"/>
    <x v="35"/>
    <s v="YawUntwistCCW: Code 5,    540Â°"/>
    <s v="Breakdown"/>
    <d v="1899-12-30T07:53:00"/>
    <d v="1899-12-30T07:53:00"/>
    <d v="1899-12-30T08:14:00"/>
    <d v="1899-12-30T00:00:00"/>
    <n v="0.35000000000000009"/>
    <n v="0.35000000000000009"/>
    <s v="Auto cable twist relesed"/>
    <s v="Close"/>
    <n v="1.5217391304347832E-2"/>
    <n v="1"/>
    <n v="2E-3"/>
    <m/>
  </r>
  <r>
    <n v="2558"/>
    <n v="2025"/>
    <n v="2024"/>
    <s v="Year_2"/>
    <d v="2024-08-14T00:00:00"/>
    <s v="KUD09"/>
    <s v="O2R3"/>
    <s v="JK"/>
    <n v="4.3478260869565223E-2"/>
    <n v="356"/>
    <x v="165"/>
    <s v="Extreme yawerror 14.1m/s 57.1Â°"/>
    <s v="Breakdown"/>
    <d v="1899-12-30T04:38:00"/>
    <d v="1899-12-30T04:38:00"/>
    <d v="1899-12-30T04:40:00"/>
    <d v="1899-12-30T00:00:00"/>
    <n v="3.3333333333333215E-2"/>
    <n v="3.3333333333333215E-2"/>
    <s v="Auto reset"/>
    <s v="Close"/>
    <n v="1.4492753623188356E-3"/>
    <n v="1"/>
    <n v="8.0000000000000002E-3"/>
    <m/>
  </r>
  <r>
    <n v="2559"/>
    <n v="2025"/>
    <n v="2024"/>
    <s v="Year_2"/>
    <d v="2024-08-14T00:00:00"/>
    <s v="KUD09"/>
    <s v="O2R3"/>
    <s v="JK"/>
    <n v="4.3478260869565223E-2"/>
    <n v="3273"/>
    <x v="35"/>
    <s v="YawUntwistCCW: Code 6,    630Â°"/>
    <s v="Breakdown"/>
    <d v="1899-12-30T05:15:00"/>
    <d v="1899-12-30T05:15:00"/>
    <d v="1899-12-30T05:42:00"/>
    <d v="1899-12-30T00:00:00"/>
    <n v="0.44999999999999973"/>
    <n v="0.44999999999999973"/>
    <s v="Auto cable twist relesed"/>
    <s v="Close"/>
    <n v="1.9565217391304339E-2"/>
    <n v="1"/>
    <n v="7.2999999999999995E-2"/>
    <m/>
  </r>
  <r>
    <n v="2560"/>
    <n v="2025"/>
    <n v="2024"/>
    <s v="Year_2"/>
    <d v="2024-08-14T00:00:00"/>
    <s v="KUD16"/>
    <s v="O2R2"/>
    <s v="SIL"/>
    <n v="4.3478260869565223E-2"/>
    <n v="3273"/>
    <x v="35"/>
    <s v="YawUntwistCCW: Code 6,    623Â°"/>
    <s v="Breakdown"/>
    <d v="1899-12-30T06:28:00"/>
    <d v="1899-12-30T06:28:00"/>
    <d v="1899-12-30T06:53:00"/>
    <d v="1899-12-30T00:00:00"/>
    <n v="0.41666666666666652"/>
    <n v="0.41666666666666652"/>
    <s v="Auto cable twist relesed"/>
    <s v="Close"/>
    <n v="1.8115942028985504E-2"/>
    <n v="1"/>
    <n v="-1.0999999999999999E-2"/>
    <m/>
  </r>
  <r>
    <n v="2561"/>
    <n v="2025"/>
    <n v="2024"/>
    <s v="Year_2"/>
    <d v="2024-08-14T00:00:00"/>
    <s v="KUD18"/>
    <s v="O2R4"/>
    <s v="SGDCIPL"/>
    <n v="4.3478260869565223E-2"/>
    <n v="3273"/>
    <x v="35"/>
    <s v="YawUntwistCCW: Code 6,    540Â°"/>
    <s v="Breakdown"/>
    <d v="1899-12-30T12:52:00"/>
    <d v="1899-12-30T12:52:00"/>
    <d v="1899-12-30T13:14:00"/>
    <d v="1899-12-30T00:00:00"/>
    <n v="0.36666666666666803"/>
    <n v="0.36666666666666803"/>
    <s v="Auto cable twist relesed"/>
    <s v="Close"/>
    <n v="1.5942028985507308E-2"/>
    <n v="1"/>
    <n v="7.0000000000000001E-3"/>
    <m/>
  </r>
  <r>
    <n v="2562"/>
    <n v="2025"/>
    <n v="2024"/>
    <s v="Year_2"/>
    <d v="2024-08-14T00:00:00"/>
    <s v="KUD22"/>
    <s v="O2R3"/>
    <s v="JK"/>
    <n v="4.3478260869565223E-2"/>
    <n v="3273"/>
    <x v="35"/>
    <s v="YawUntwistCCW: Code 6,    540Â°"/>
    <s v="Breakdown"/>
    <d v="1899-12-30T07:37:00"/>
    <d v="1899-12-30T07:37:00"/>
    <d v="1899-12-30T07:57:00"/>
    <d v="1899-12-30T00:00:00"/>
    <n v="0.33333333333333348"/>
    <n v="0.33333333333333348"/>
    <s v="Auto reset"/>
    <s v="Close"/>
    <n v="1.4492753623188415E-2"/>
    <n v="1"/>
    <n v="1E-3"/>
    <m/>
  </r>
  <r>
    <n v="2563"/>
    <n v="2025"/>
    <n v="2024"/>
    <s v="Year_2"/>
    <d v="2024-08-14T00:00:00"/>
    <s v="KUD22"/>
    <s v="O2R3"/>
    <s v="JK"/>
    <n v="4.3478260869565223E-2"/>
    <n v="79"/>
    <x v="175"/>
    <s v="Max. Yaw error:  17.5Â°"/>
    <s v="Breakdown"/>
    <d v="1899-12-30T21:09:00"/>
    <d v="1899-12-30T21:09:00"/>
    <d v="1899-12-30T21:10:00"/>
    <d v="1899-12-30T00:00:00"/>
    <n v="1.6666666666666607E-2"/>
    <n v="1.6666666666666607E-2"/>
    <s v="Auto reset"/>
    <s v="Close"/>
    <n v="7.246376811594178E-4"/>
    <n v="1"/>
    <n v="2.3E-2"/>
    <m/>
  </r>
  <r>
    <n v="2564"/>
    <n v="2025"/>
    <n v="2024"/>
    <s v="Year_2"/>
    <d v="2024-08-14T00:00:00"/>
    <s v="KUD23"/>
    <s v="O2R3"/>
    <s v="JK"/>
    <n v="4.3478260869565223E-2"/>
    <n v="900"/>
    <x v="100"/>
    <s v="Pause pressed on keyboard"/>
    <s v="Manual Stop"/>
    <d v="1899-12-30T16:48:00"/>
    <d v="1899-12-30T16:48:00"/>
    <d v="1899-12-30T17:54:00"/>
    <d v="1899-12-30T00:00:00"/>
    <n v="1.1000000000000014"/>
    <n v="1.1000000000000014"/>
    <s v="Attend to check VPC temp high found VCS fan VFD failure so replaced and restored."/>
    <s v="Close"/>
    <n v="4.782608695652181E-2"/>
    <n v="1"/>
    <n v="-8.9999999999999993E-3"/>
    <m/>
  </r>
  <r>
    <n v="2565"/>
    <n v="2025"/>
    <n v="2024"/>
    <s v="Year_2"/>
    <d v="2024-08-14T00:00:00"/>
    <s v="KUD23"/>
    <s v="O2R3"/>
    <s v="JK"/>
    <n v="4.3478260869565223E-2"/>
    <n v="3273"/>
    <x v="35"/>
    <s v="YawUntwistCCW: Code 6,    540Â°"/>
    <s v="Breakdown"/>
    <d v="1899-12-30T23:29:00"/>
    <d v="1899-12-30T23:29:00"/>
    <d v="1899-12-30T23:49:00"/>
    <d v="1899-12-30T00:00:00"/>
    <n v="0.33333333333333481"/>
    <n v="0.33333333333333481"/>
    <s v="Auto cable twist relesed"/>
    <s v="Close"/>
    <n v="1.4492753623188472E-2"/>
    <n v="1"/>
    <n v="9.4E-2"/>
    <m/>
  </r>
  <r>
    <n v="2566"/>
    <n v="2025"/>
    <n v="2024"/>
    <s v="Year_2"/>
    <d v="2024-08-15T00:00:00"/>
    <s v="KUD01"/>
    <s v="O2R1"/>
    <s v="KSIPL"/>
    <n v="4.3478260869565223E-2"/>
    <n v="3273"/>
    <x v="35"/>
    <s v="YawUntwistCCW: Code 6,    540Â°"/>
    <s v="Breakdown"/>
    <d v="1899-12-30T08:40:00"/>
    <d v="1899-12-30T08:40:00"/>
    <d v="1899-12-30T08:57:00"/>
    <d v="1899-12-30T00:00:00"/>
    <n v="0.28333333333333366"/>
    <n v="0.28333333333333366"/>
    <s v="Auto cable twist relesed"/>
    <s v="Close"/>
    <n v="1.2318840579710161E-2"/>
    <n v="1"/>
    <n v="1E-3"/>
    <m/>
  </r>
  <r>
    <n v="2567"/>
    <n v="2025"/>
    <n v="2024"/>
    <s v="Year_2"/>
    <d v="2024-08-15T00:00:00"/>
    <s v="KUD01"/>
    <s v="O2R1"/>
    <s v="KSIPL"/>
    <n v="4.3478260869565223E-2"/>
    <n v="3298"/>
    <x v="47"/>
    <s v="Yaw To Cable Twist Reset"/>
    <s v="Breakdown"/>
    <d v="1899-12-30T18:30:00"/>
    <d v="1899-12-30T18:30:00"/>
    <d v="1899-12-30T18:56:00"/>
    <d v="1899-12-30T00:00:00"/>
    <n v="0.43333333333333179"/>
    <n v="0.43333333333333179"/>
    <s v="Auto cable twist relesed"/>
    <s v="Close"/>
    <n v="1.8840579710144863E-2"/>
    <n v="1"/>
    <n v="5.0999999999999997E-2"/>
    <m/>
  </r>
  <r>
    <n v="2568"/>
    <n v="2025"/>
    <n v="2024"/>
    <s v="Year_2"/>
    <d v="2024-08-15T00:00:00"/>
    <s v="KUD03"/>
    <s v="O2R1"/>
    <s v="KSIPL"/>
    <n v="4.3478260869565223E-2"/>
    <n v="3270"/>
    <x v="76"/>
    <s v="YawToCableTwistResetNotAvail"/>
    <s v="Breakdown"/>
    <d v="1899-12-30T12:07:00"/>
    <d v="1899-12-30T12:07:00"/>
    <d v="1899-12-30T12:44:00"/>
    <d v="1899-12-30T00:00:00"/>
    <n v="0.61666666666666714"/>
    <n v="0.61666666666666714"/>
    <s v="Auto cable twist relesed"/>
    <s v="Close"/>
    <n v="2.6811594202898574E-2"/>
    <n v="1"/>
    <n v="2E-3"/>
    <m/>
  </r>
  <r>
    <n v="2569"/>
    <n v="2025"/>
    <n v="2024"/>
    <s v="Year_2"/>
    <d v="2024-08-15T00:00:00"/>
    <s v="KUD08"/>
    <s v="O2R3"/>
    <s v="JK"/>
    <n v="4.3478260869565223E-2"/>
    <n v="315"/>
    <x v="120"/>
    <s v="ExEx low voltage L_: ___V"/>
    <s v="Breakdown"/>
    <d v="1899-12-30T00:10:00"/>
    <d v="1899-12-30T00:10:00"/>
    <d v="1899-12-30T00:20:00"/>
    <d v="1899-12-30T00:00:00"/>
    <n v="0.16666666666666666"/>
    <n v="0.16666666666666666"/>
    <s v="After grid restore found Main power supply (230/24v ) got failure so replaced and restored"/>
    <s v="Close"/>
    <n v="7.2463768115942039E-3"/>
    <n v="1"/>
    <n v="0"/>
    <m/>
  </r>
  <r>
    <n v="2570"/>
    <n v="2025"/>
    <n v="2024"/>
    <s v="Year_2"/>
    <d v="2024-08-15T00:00:00"/>
    <s v="KUD08"/>
    <s v="O2R3"/>
    <s v="JK"/>
    <n v="4.3478260869565223E-2"/>
    <n v="315"/>
    <x v="120"/>
    <s v="ExEx low voltage L_: ___V"/>
    <s v="Breakdown"/>
    <d v="1899-12-30T08:40:00"/>
    <d v="1899-12-30T08:40:00"/>
    <d v="1899-12-30T10:23:00"/>
    <d v="1899-12-30T00:00:00"/>
    <n v="1.7166666666666672"/>
    <n v="1.7166666666666672"/>
    <s v="After grid restore found Main power supply (230/24v ) got failure so replaced and restored"/>
    <s v="Close"/>
    <n v="7.4637681159420322E-2"/>
    <n v="1"/>
    <n v="-1.2E-2"/>
    <m/>
  </r>
  <r>
    <n v="2571"/>
    <n v="2025"/>
    <n v="2024"/>
    <s v="Year_2"/>
    <d v="2024-08-15T00:00:00"/>
    <s v="KUD11"/>
    <s v="O2R1"/>
    <s v="KSIPL"/>
    <n v="4.3478260869565223E-2"/>
    <n v="3298"/>
    <x v="47"/>
    <s v="Yaw To Cable Twist Reset"/>
    <s v="Breakdown"/>
    <d v="1899-12-30T08:40:00"/>
    <d v="1899-12-30T08:40:00"/>
    <d v="1899-12-30T09:00:00"/>
    <d v="1899-12-30T00:00:00"/>
    <n v="0.33333333333333348"/>
    <n v="0.33333333333333348"/>
    <s v="Auto cable twist relesed"/>
    <s v="Close"/>
    <n v="1.4492753623188415E-2"/>
    <n v="1"/>
    <n v="1E-3"/>
    <m/>
  </r>
  <r>
    <n v="2572"/>
    <n v="2025"/>
    <n v="2024"/>
    <s v="Year_2"/>
    <d v="2024-08-15T00:00:00"/>
    <s v="KUD11"/>
    <s v="O2R1"/>
    <s v="KSIPL"/>
    <n v="4.3478260869565223E-2"/>
    <n v="2908"/>
    <x v="190"/>
    <s v="Pitch A BL unlock alarm N=  21"/>
    <s v="Breakdown"/>
    <d v="1899-12-30T09:00:00"/>
    <d v="1899-12-30T09:00:00"/>
    <d v="1899-12-30T09:53:00"/>
    <d v="1899-12-30T00:00:00"/>
    <n v="0.88333333333333286"/>
    <n v="0.88333333333333286"/>
    <s v="Remote reboot done"/>
    <s v="Close"/>
    <n v="3.8405797101449257E-2"/>
    <n v="1"/>
    <n v="0"/>
    <m/>
  </r>
  <r>
    <n v="2573"/>
    <n v="2025"/>
    <n v="2024"/>
    <s v="Year_2"/>
    <d v="2024-08-15T00:00:00"/>
    <s v="KUD11"/>
    <s v="O2R1"/>
    <s v="KSIPL"/>
    <n v="4.3478260869565223E-2"/>
    <n v="2908"/>
    <x v="190"/>
    <s v="Pitch A BL unlock alarm N=  21"/>
    <s v="Breakdown"/>
    <d v="1899-12-30T18:30:00"/>
    <d v="1899-12-30T18:30:00"/>
    <d v="1899-12-30T18:54:00"/>
    <d v="1899-12-30T00:00:00"/>
    <n v="0.39999999999999858"/>
    <n v="0.39999999999999858"/>
    <s v="Auto reset"/>
    <s v="Close"/>
    <n v="1.7391304347826028E-2"/>
    <n v="1"/>
    <n v="2.7E-2"/>
    <m/>
  </r>
  <r>
    <n v="2574"/>
    <n v="2025"/>
    <n v="2024"/>
    <s v="Year_2"/>
    <d v="2024-08-15T00:00:00"/>
    <s v="KUD14"/>
    <s v="O2R1"/>
    <s v="KSIPL"/>
    <n v="4.3478260869565223E-2"/>
    <n v="315"/>
    <x v="120"/>
    <s v="ExEx low voltage L_: ___V"/>
    <s v="Breakdown"/>
    <d v="1899-12-30T18:40:00"/>
    <d v="1899-12-30T18:40:00"/>
    <d v="1899-12-30T19:00:00"/>
    <d v="1899-12-30T00:00:00"/>
    <n v="0.33333333333333215"/>
    <n v="0.33333333333333215"/>
    <s v="Remote reboot done"/>
    <s v="Close"/>
    <n v="1.4492753623188356E-2"/>
    <n v="1"/>
    <n v="0"/>
    <m/>
  </r>
  <r>
    <n v="2575"/>
    <n v="2025"/>
    <n v="2024"/>
    <s v="Year_2"/>
    <d v="2024-08-15T00:00:00"/>
    <s v="KUD15"/>
    <s v="O2R1"/>
    <s v="KSIPL"/>
    <n v="4.3478260869565223E-2"/>
    <n v="3273"/>
    <x v="35"/>
    <s v="YawUntwistCCW: Code 6,    540Â°"/>
    <s v="Breakdown"/>
    <d v="1899-12-30T08:53:00"/>
    <d v="1899-12-30T08:53:00"/>
    <d v="1899-12-30T09:14:00"/>
    <d v="1899-12-30T00:00:00"/>
    <n v="0.35000000000000009"/>
    <n v="0.35000000000000009"/>
    <s v="Auto cable twist relesed"/>
    <s v="Close"/>
    <n v="1.5217391304347832E-2"/>
    <n v="1"/>
    <n v="0"/>
    <m/>
  </r>
  <r>
    <n v="2576"/>
    <n v="2025"/>
    <n v="2024"/>
    <s v="Year_2"/>
    <d v="2024-08-15T00:00:00"/>
    <s v="KUD20"/>
    <s v="O2R1"/>
    <s v="KSIPL"/>
    <n v="4.3478260869565223E-2"/>
    <n v="315"/>
    <x v="120"/>
    <s v="ExEx low voltage L_: ___V"/>
    <s v="Breakdown"/>
    <d v="1899-12-30T18:40:00"/>
    <d v="1899-12-30T18:40:00"/>
    <d v="1899-12-30T19:53:00"/>
    <d v="1899-12-30T00:00:00"/>
    <n v="1.2166666666666677"/>
    <n v="1.2166666666666677"/>
    <s v="Manually charged the switch gear"/>
    <s v="Close"/>
    <n v="5.2898550724637734E-2"/>
    <n v="1"/>
    <n v="3.9E-2"/>
    <m/>
  </r>
  <r>
    <n v="2577"/>
    <n v="2025"/>
    <n v="2024"/>
    <s v="Year_2"/>
    <d v="2024-08-15T00:00:00"/>
    <s v="KUD02"/>
    <s v="O2R3"/>
    <s v="JK"/>
    <n v="4.3478260869565223E-2"/>
    <n v="3273"/>
    <x v="35"/>
    <s v="YawUntwistCCW: Code 5,    544Â°"/>
    <s v="Breakdown"/>
    <d v="1899-12-30T06:12:00"/>
    <d v="1899-12-30T06:12:00"/>
    <d v="1899-12-30T06:33:00"/>
    <d v="1899-12-30T00:00:00"/>
    <n v="0.34999999999999876"/>
    <n v="0.34999999999999876"/>
    <s v="Auto cable twist relesed"/>
    <s v="Close"/>
    <n v="1.5217391304347775E-2"/>
    <n v="1"/>
    <n v="2E-3"/>
    <m/>
  </r>
  <r>
    <n v="2578"/>
    <n v="2025"/>
    <n v="2024"/>
    <s v="Year_2"/>
    <d v="2024-08-15T00:00:00"/>
    <s v="KUD04"/>
    <s v="O2R3"/>
    <s v="JK"/>
    <n v="4.3478260869565223E-2"/>
    <n v="3273"/>
    <x v="35"/>
    <s v="YawUntwistCCW: Code 5,    540Â°"/>
    <s v="Breakdown"/>
    <d v="1899-12-30T01:43:00"/>
    <d v="1899-12-30T01:43:00"/>
    <d v="1899-12-30T02:03:00"/>
    <d v="1899-12-30T00:00:00"/>
    <n v="0.33333333333333348"/>
    <n v="0.33333333333333348"/>
    <s v="Auto cable twist relesed"/>
    <s v="Close"/>
    <n v="1.4492753623188415E-2"/>
    <n v="1"/>
    <n v="1.4999999999999999E-2"/>
    <m/>
  </r>
  <r>
    <n v="2579"/>
    <n v="2025"/>
    <n v="2024"/>
    <s v="Year_2"/>
    <d v="2024-08-15T00:00:00"/>
    <s v="KUD06"/>
    <s v="O2R3"/>
    <s v="JK"/>
    <n v="4.3478260869565223E-2"/>
    <n v="3273"/>
    <x v="35"/>
    <s v="YawUntwistCCW: Code 6,    540Â°"/>
    <s v="Breakdown"/>
    <d v="1899-12-30T01:37:00"/>
    <d v="1899-12-30T01:37:00"/>
    <d v="1899-12-30T01:59:00"/>
    <d v="1899-12-30T00:00:00"/>
    <n v="0.3666666666666667"/>
    <n v="0.3666666666666667"/>
    <s v="Auto cable twist relesed"/>
    <s v="Close"/>
    <n v="1.5942028985507249E-2"/>
    <n v="1"/>
    <n v="1E-3"/>
    <m/>
  </r>
  <r>
    <n v="2580"/>
    <n v="2025"/>
    <n v="2024"/>
    <s v="Year_2"/>
    <d v="2024-08-15T00:00:00"/>
    <s v="KUD07"/>
    <s v="O2R3"/>
    <s v="JK"/>
    <n v="4.3478260869565223E-2"/>
    <n v="3273"/>
    <x v="35"/>
    <s v="YawUntwistCCW: Code 6,    588Â°"/>
    <s v="Breakdown"/>
    <d v="1899-12-30T01:42:00"/>
    <d v="1899-12-30T01:42:00"/>
    <d v="1899-12-30T02:06:00"/>
    <d v="1899-12-30T00:00:00"/>
    <n v="0.39999999999999991"/>
    <n v="0.39999999999999991"/>
    <s v="Auto cable twist relesed"/>
    <s v="Close"/>
    <n v="1.7391304347826084E-2"/>
    <n v="1"/>
    <n v="5.0000000000000001E-3"/>
    <m/>
  </r>
  <r>
    <n v="2581"/>
    <n v="2025"/>
    <n v="2024"/>
    <s v="Year_2"/>
    <d v="2024-08-15T00:00:00"/>
    <s v="KUD16"/>
    <s v="O2R2"/>
    <s v="SIL"/>
    <n v="4.3478260869565223E-2"/>
    <n v="3273"/>
    <x v="35"/>
    <s v="YawUntwistCCW: Code 6,    542Â°"/>
    <s v="Breakdown"/>
    <d v="1899-12-30T15:17:00"/>
    <d v="1899-12-30T15:17:00"/>
    <d v="1899-12-30T15:39:00"/>
    <d v="1899-12-30T00:00:00"/>
    <n v="0.36666666666666803"/>
    <n v="0.36666666666666803"/>
    <s v="Auto cable twist relesed"/>
    <s v="Close"/>
    <n v="1.5942028985507308E-2"/>
    <n v="1"/>
    <n v="1E-3"/>
    <m/>
  </r>
  <r>
    <n v="2582"/>
    <n v="2025"/>
    <n v="2024"/>
    <s v="Year_2"/>
    <d v="2024-08-15T00:00:00"/>
    <s v="KUD17"/>
    <s v="O2R2"/>
    <s v="SIL"/>
    <n v="4.3478260869565223E-2"/>
    <n v="3273"/>
    <x v="35"/>
    <s v="YawUntwistCCW: Code 6,    555Â°"/>
    <s v="Breakdown"/>
    <d v="1899-12-30T06:15:00"/>
    <d v="1899-12-30T06:15:00"/>
    <d v="1899-12-30T06:36:00"/>
    <d v="1899-12-30T00:00:00"/>
    <n v="0.35000000000000009"/>
    <n v="0.35000000000000009"/>
    <s v="Auto cable twist relesed"/>
    <s v="Close"/>
    <n v="1.5217391304347832E-2"/>
    <n v="1"/>
    <n v="6.0000000000000001E-3"/>
    <m/>
  </r>
  <r>
    <n v="2583"/>
    <n v="2025"/>
    <n v="2024"/>
    <s v="Year_2"/>
    <d v="2024-08-15T00:00:00"/>
    <s v="KUD21"/>
    <s v="O2R3"/>
    <s v="JK"/>
    <n v="4.3478260869565223E-2"/>
    <n v="3273"/>
    <x v="35"/>
    <s v="YawUntwistCCW: Code 6,    565Â°"/>
    <s v="Breakdown"/>
    <d v="1899-12-30T06:11:00"/>
    <d v="1899-12-30T06:11:00"/>
    <d v="1899-12-30T06:34:00"/>
    <d v="1899-12-30T00:00:00"/>
    <n v="0.38333333333333464"/>
    <n v="0.38333333333333464"/>
    <s v="Auto cable twist relesed"/>
    <s v="Close"/>
    <n v="1.6666666666666725E-2"/>
    <n v="1"/>
    <n v="2E-3"/>
    <m/>
  </r>
  <r>
    <n v="2584"/>
    <n v="2025"/>
    <n v="2024"/>
    <s v="Year_2"/>
    <d v="2024-08-15T00:00:00"/>
    <s v="KUD22"/>
    <s v="O2R3"/>
    <s v="JK"/>
    <n v="4.3478260869565223E-2"/>
    <n v="3273"/>
    <x v="35"/>
    <s v="YawUntwistCCW: Code 6,    540Â°"/>
    <s v="Breakdown"/>
    <d v="1899-12-30T13:59:00"/>
    <d v="1899-12-30T13:59:00"/>
    <d v="1899-12-30T14:20:00"/>
    <d v="1899-12-30T00:00:00"/>
    <n v="0.34999999999999876"/>
    <n v="0.34999999999999876"/>
    <s v="Auto cable twist relesed"/>
    <s v="Close"/>
    <n v="1.5217391304347775E-2"/>
    <n v="1"/>
    <n v="2E-3"/>
    <m/>
  </r>
  <r>
    <n v="2585"/>
    <n v="2025"/>
    <n v="2024"/>
    <s v="Year_2"/>
    <d v="2024-08-15T00:00:00"/>
    <s v="KUD23"/>
    <s v="O2R3"/>
    <s v="JK"/>
    <n v="4.3478260869565223E-2"/>
    <n v="3273"/>
    <x v="35"/>
    <s v="YawUntwistCCW: Code 6,    540Â°"/>
    <s v="Breakdown"/>
    <d v="1899-12-30T15:46:00"/>
    <d v="1899-12-30T15:46:00"/>
    <d v="1899-12-30T16:06:00"/>
    <d v="1899-12-30T00:00:00"/>
    <n v="0.33333333333333215"/>
    <n v="0.33333333333333215"/>
    <s v="Auto cable twist relesed"/>
    <s v="Close"/>
    <n v="1.4492753623188356E-2"/>
    <n v="1"/>
    <n v="5.0000000000000001E-3"/>
    <m/>
  </r>
  <r>
    <n v="2586"/>
    <n v="2025"/>
    <n v="2024"/>
    <s v="Year_2"/>
    <d v="2024-08-16T00:00:00"/>
    <s v="KUD02"/>
    <s v="O2R3"/>
    <s v="JK"/>
    <n v="4.3478260869565223E-2"/>
    <n v="704"/>
    <x v="134"/>
    <s v="Ch High res. load C2 Load:100%"/>
    <s v="Breakdown"/>
    <d v="2024-08-16T09:52:39"/>
    <d v="2024-08-16T09:52:39"/>
    <d v="2024-08-16T10:12:28"/>
    <d v="1899-12-30T00:00:00"/>
    <n v="0.33027777780080214"/>
    <n v="0.33027777780080214"/>
    <s v="Auto reset"/>
    <s v="Close"/>
    <n v="1.4359903382643573E-2"/>
    <n v="1"/>
    <n v="8.0000000000000002E-3"/>
    <m/>
  </r>
  <r>
    <n v="2587"/>
    <n v="2025"/>
    <n v="2024"/>
    <s v="Year_2"/>
    <d v="2024-08-16T00:00:00"/>
    <s v="KUD09"/>
    <s v="O2R3"/>
    <s v="JK"/>
    <n v="4.3478260869565223E-2"/>
    <n v="3273"/>
    <x v="35"/>
    <s v="YawUntwistCCW: Code 5,    540Â°"/>
    <s v="Breakdown"/>
    <d v="2024-08-16T23:24:18"/>
    <d v="2024-08-16T23:24:18"/>
    <d v="2024-08-16T23:46:04"/>
    <d v="1899-12-30T00:00:00"/>
    <n v="0.3627777777146548"/>
    <n v="0.3627777777146548"/>
    <s v="Auto cable twist relesed"/>
    <s v="Close"/>
    <n v="1.5772946857158906E-2"/>
    <n v="1"/>
    <n v="1.4E-2"/>
    <m/>
  </r>
  <r>
    <n v="2588"/>
    <n v="2025"/>
    <n v="2024"/>
    <s v="Year_2"/>
    <d v="2024-08-16T00:00:00"/>
    <s v="KUD18"/>
    <s v="O2R4"/>
    <s v="SGDCIPL"/>
    <n v="4.3478260869565223E-2"/>
    <n v="3273"/>
    <x v="35"/>
    <s v="YawUntwistCCW: Code 6,    540Â°"/>
    <s v="Breakdown"/>
    <d v="2024-08-16T23:31:11"/>
    <d v="2024-08-16T23:31:11"/>
    <d v="2024-08-16T23:53:14"/>
    <d v="1899-12-30T00:00:00"/>
    <n v="0.36749999999301508"/>
    <n v="0.36749999999301508"/>
    <s v="Auto cable twist relesed"/>
    <s v="Close"/>
    <n v="1.5978260869261528E-2"/>
    <n v="1"/>
    <n v="5.0000000000000001E-3"/>
    <m/>
  </r>
  <r>
    <n v="2589"/>
    <n v="2025"/>
    <n v="2024"/>
    <s v="Year_2"/>
    <d v="2024-08-17T00:00:00"/>
    <s v="KUD08"/>
    <s v="O2R3"/>
    <s v="JK"/>
    <n v="4.3478260869565223E-2"/>
    <n v="4235"/>
    <x v="93"/>
    <s v="Gen Stator CB Open"/>
    <s v="Breakdown"/>
    <d v="2024-08-17T16:17:42"/>
    <d v="2024-08-17T16:17:42"/>
    <d v="2024-08-17T16:20:00"/>
    <d v="1899-12-30T00:00:00"/>
    <n v="3.8333333388436586E-2"/>
    <n v="3.8333333388436586E-2"/>
    <s v="Auto reset"/>
    <s v="Close"/>
    <n v="1.6666666690624604E-3"/>
    <n v="1"/>
    <n v="0"/>
    <m/>
  </r>
  <r>
    <n v="2590"/>
    <n v="2025"/>
    <n v="2024"/>
    <s v="Year_2"/>
    <d v="2024-08-17T00:00:00"/>
    <s v="KUD08"/>
    <s v="O2R3"/>
    <s v="JK"/>
    <n v="4.3478260869565223E-2"/>
    <n v="6293"/>
    <x v="32"/>
    <s v="Pitch valves test active"/>
    <m/>
    <d v="2024-08-17T16:24:50"/>
    <d v="2024-08-17T16:24:50"/>
    <d v="2024-08-17T16:30:00"/>
    <d v="1899-12-30T00:00:00"/>
    <n v="8.6111111158970743E-2"/>
    <n v="8.6111111158970743E-2"/>
    <s v="Turbine self test"/>
    <s v="Close"/>
    <n v="3.743961354737859E-3"/>
    <n v="1"/>
    <n v="4.0000000000000001E-3"/>
    <m/>
  </r>
  <r>
    <n v="2591"/>
    <n v="2025"/>
    <n v="2024"/>
    <s v="Year_2"/>
    <d v="2024-08-17T00:00:00"/>
    <s v="KUD10"/>
    <s v="O2R1"/>
    <s v="KSIPL"/>
    <n v="4.3478260869565223E-2"/>
    <n v="2908"/>
    <x v="190"/>
    <s v="Pitch A BL unlock alarm N=  21"/>
    <m/>
    <d v="2024-08-17T15:13:08"/>
    <d v="2024-08-17T15:13:08"/>
    <d v="2024-08-17T15:20:00"/>
    <d v="1899-12-30T00:00:00"/>
    <n v="0.11444444447988644"/>
    <n v="0.11444444447988644"/>
    <s v="Auto reset"/>
    <s v="Close"/>
    <n v="4.9758454121689765E-3"/>
    <n v="1"/>
    <n v="1E-3"/>
    <m/>
  </r>
  <r>
    <n v="2592"/>
    <n v="2025"/>
    <n v="2024"/>
    <s v="Year_2"/>
    <d v="2024-08-17T00:00:00"/>
    <s v="KUD11"/>
    <s v="O2R1"/>
    <s v="KSIPL"/>
    <n v="4.3478260869565223E-2"/>
    <n v="2908"/>
    <x v="190"/>
    <s v="Pitch A BL unlock alarm N=  21"/>
    <m/>
    <d v="2024-08-17T15:12:37"/>
    <d v="2024-08-17T15:12:37"/>
    <d v="2024-08-17T16:18:25"/>
    <d v="1899-12-30T00:00:00"/>
    <n v="1.0966666665044613"/>
    <n v="1.0966666665044613"/>
    <s v="Remote reboot done"/>
    <s v="Close"/>
    <n v="4.7681159413237452E-2"/>
    <n v="1"/>
    <n v="0"/>
    <m/>
  </r>
  <r>
    <n v="2593"/>
    <n v="2025"/>
    <n v="2024"/>
    <s v="Year_2"/>
    <d v="2024-08-17T00:00:00"/>
    <s v="KUD12"/>
    <s v="O2R1"/>
    <s v="KSIPL"/>
    <n v="4.3478260869565223E-2"/>
    <n v="4235"/>
    <x v="93"/>
    <s v="Gen Stator CB Open"/>
    <s v="Breakdown"/>
    <d v="2024-08-17T16:49:36"/>
    <d v="2024-08-17T16:49:36"/>
    <d v="2024-08-17T16:57:18"/>
    <d v="1899-12-30T00:00:00"/>
    <n v="0.12833333329763263"/>
    <n v="0.12833333329763263"/>
    <s v="Auto reset"/>
    <s v="Close"/>
    <n v="5.5797101433753323E-3"/>
    <n v="1"/>
    <n v="2E-3"/>
    <m/>
  </r>
  <r>
    <n v="2594"/>
    <n v="2025"/>
    <n v="2024"/>
    <s v="Year_2"/>
    <d v="2024-08-17T00:00:00"/>
    <s v="KUD13"/>
    <s v="O2R1"/>
    <s v="KSIPL"/>
    <n v="4.3478260869565223E-2"/>
    <n v="2910"/>
    <x v="191"/>
    <s v="Pitch C BL unlock alarm N=  21"/>
    <m/>
    <d v="2024-08-17T15:17:54"/>
    <d v="2024-08-17T15:17:54"/>
    <d v="2024-08-17T15:20:00"/>
    <d v="1899-12-30T00:00:00"/>
    <n v="3.4999999974388629E-2"/>
    <n v="3.4999999974388629E-2"/>
    <s v="Auto reset"/>
    <s v="Close"/>
    <n v="1.5217391293212449E-3"/>
    <n v="1"/>
    <n v="0"/>
    <m/>
  </r>
  <r>
    <n v="2595"/>
    <n v="2025"/>
    <n v="2024"/>
    <s v="Year_2"/>
    <d v="2024-08-17T00:00:00"/>
    <s v="KUD20"/>
    <s v="O2R1"/>
    <s v="KSIPL"/>
    <n v="4.3478260869565223E-2"/>
    <n v="2676"/>
    <x v="124"/>
    <s v="UPS Error"/>
    <m/>
    <d v="2024-08-17T15:20:00"/>
    <d v="2024-08-17T15:20:00"/>
    <d v="2024-08-17T17:44:07"/>
    <d v="1899-12-30T00:00:00"/>
    <n v="2.4019444443401881"/>
    <n v="2.4019444443401881"/>
    <s v="Ups reboot  then  manually charged switchgear"/>
    <s v="Close"/>
    <n v="0.10443236714522558"/>
    <n v="1"/>
    <n v="6.7000000000000004E-2"/>
    <m/>
  </r>
  <r>
    <n v="2596"/>
    <n v="2025"/>
    <n v="2024"/>
    <s v="Year_2"/>
    <d v="2024-08-17T00:00:00"/>
    <s v="KUD02"/>
    <s v="O2R3"/>
    <s v="JK"/>
    <n v="4.3478260869565223E-2"/>
    <n v="3272"/>
    <x v="143"/>
    <s v="YawUntwistCW: Code 2,      0Â°"/>
    <m/>
    <d v="2024-08-17T15:20:00"/>
    <d v="2024-08-17T15:20:00"/>
    <d v="2024-08-17T15:40:34"/>
    <d v="1899-12-30T00:00:00"/>
    <n v="0.34277777775423601"/>
    <n v="0.34277777775423601"/>
    <s v="Auto cable twist relesed"/>
    <s v="Close"/>
    <n v="1.4903381641488524E-2"/>
    <n v="1"/>
    <n v="2E-3"/>
    <m/>
  </r>
  <r>
    <n v="2597"/>
    <n v="2025"/>
    <n v="2024"/>
    <s v="Year_2"/>
    <d v="2024-08-17T00:00:00"/>
    <s v="KUD02"/>
    <s v="O2R3"/>
    <s v="JK"/>
    <n v="4.3478260869565223E-2"/>
    <n v="6290"/>
    <x v="91"/>
    <s v="Pitch accu. test active"/>
    <m/>
    <d v="2024-08-17T17:48:47"/>
    <d v="2024-08-17T17:48:47"/>
    <d v="2024-08-17T17:50:00"/>
    <d v="1899-12-30T00:00:00"/>
    <n v="2.0277777803130448E-2"/>
    <n v="2.0277777803130448E-2"/>
    <s v="Turbine self test"/>
    <s v="Close"/>
    <n v="8.8164251317958485E-4"/>
    <n v="1"/>
    <n v="1.2E-2"/>
    <m/>
  </r>
  <r>
    <n v="2598"/>
    <n v="2025"/>
    <n v="2024"/>
    <s v="Year_2"/>
    <d v="2024-08-17T00:00:00"/>
    <s v="KUD04"/>
    <s v="O2R3"/>
    <s v="JK"/>
    <n v="4.3478260869565223E-2"/>
    <n v="3273"/>
    <x v="35"/>
    <s v="YawUntwistCCW: Code 5,    540Â°"/>
    <m/>
    <d v="2024-08-17T06:02:43"/>
    <d v="2024-08-17T06:02:43"/>
    <d v="2024-08-17T06:26:05"/>
    <d v="1899-12-30T00:00:00"/>
    <n v="0.38944444450316951"/>
    <n v="0.38944444450316951"/>
    <s v="Auto cable twist relesed"/>
    <s v="Close"/>
    <n v="1.6932367152311719E-2"/>
    <n v="1"/>
    <n v="7.4999999999999997E-2"/>
    <m/>
  </r>
  <r>
    <n v="2599"/>
    <n v="2025"/>
    <n v="2024"/>
    <s v="Year_2"/>
    <d v="2024-08-17T00:00:00"/>
    <s v="KUD04"/>
    <s v="O2R3"/>
    <s v="JK"/>
    <n v="4.3478260869565223E-2"/>
    <n v="3272"/>
    <x v="143"/>
    <s v="YawUntwistCW: Code 3,      0Â°"/>
    <m/>
    <d v="2024-08-17T15:30:00"/>
    <d v="2024-08-17T15:30:00"/>
    <d v="2024-08-17T15:46:30"/>
    <d v="1899-12-30T00:00:00"/>
    <n v="0.27500000002328306"/>
    <n v="0.27500000002328306"/>
    <s v="Auto cable twist relesed"/>
    <s v="Close"/>
    <n v="1.1956521740142743E-2"/>
    <n v="1"/>
    <n v="1E-3"/>
    <m/>
  </r>
  <r>
    <n v="2600"/>
    <n v="2025"/>
    <n v="2024"/>
    <s v="Year_2"/>
    <d v="2024-08-17T00:00:00"/>
    <s v="KUD05"/>
    <s v="O2R3"/>
    <s v="JK"/>
    <n v="4.3478260869565223E-2"/>
    <n v="3209"/>
    <x v="101"/>
    <s v="YawSignals Invalid"/>
    <s v="Breakdown"/>
    <d v="2024-08-17T00:59:33"/>
    <d v="2024-08-17T00:59:33"/>
    <d v="2024-08-17T01:04:26"/>
    <d v="1899-12-30T00:00:00"/>
    <n v="8.1388888880610466E-2"/>
    <n v="8.1388888880610466E-2"/>
    <s v="auto rest"/>
    <s v="Close"/>
    <n v="3.5386473426352381E-3"/>
    <n v="1"/>
    <n v="2E-3"/>
    <m/>
  </r>
  <r>
    <n v="2601"/>
    <n v="2025"/>
    <n v="2024"/>
    <s v="Year_2"/>
    <d v="2024-08-17T00:00:00"/>
    <s v="KUD05"/>
    <s v="O2R3"/>
    <s v="JK"/>
    <n v="4.3478260869565223E-2"/>
    <n v="3273"/>
    <x v="35"/>
    <s v="YawUntwistCCW: Code 6,    616Â°"/>
    <m/>
    <d v="2024-08-17T05:19:23"/>
    <d v="2024-08-17T05:19:23"/>
    <d v="2024-08-17T05:44:58"/>
    <d v="1899-12-30T00:00:00"/>
    <n v="0.42638888885267079"/>
    <n v="0.42638888885267079"/>
    <s v="Auto cable twist relesed"/>
    <s v="Close"/>
    <n v="1.853864734142047E-2"/>
    <n v="1"/>
    <n v="5.0000000000000001E-3"/>
    <m/>
  </r>
  <r>
    <n v="2602"/>
    <n v="2025"/>
    <n v="2024"/>
    <s v="Year_2"/>
    <d v="2024-08-17T00:00:00"/>
    <s v="KUD06"/>
    <s v="O2R3"/>
    <s v="JK"/>
    <n v="4.3478260869565223E-2"/>
    <n v="3209"/>
    <x v="101"/>
    <s v="YawSignals Invalid"/>
    <s v="Breakdown"/>
    <d v="2024-08-17T02:02:57"/>
    <d v="2024-08-17T02:02:57"/>
    <d v="2024-08-17T02:10:00"/>
    <d v="1899-12-30T00:00:00"/>
    <n v="0.11750000005122274"/>
    <n v="0.11750000005122274"/>
    <s v="Auto reset"/>
    <s v="Close"/>
    <n v="5.108695654400989E-3"/>
    <n v="1"/>
    <n v="4.0000000000000001E-3"/>
    <m/>
  </r>
  <r>
    <n v="2603"/>
    <n v="2025"/>
    <n v="2024"/>
    <s v="Year_2"/>
    <d v="2024-08-17T00:00:00"/>
    <s v="KUD06"/>
    <s v="O2R3"/>
    <s v="JK"/>
    <n v="4.3478260869565223E-2"/>
    <n v="3272"/>
    <x v="143"/>
    <s v="YawUntwistCW: Code 3,      0Â°"/>
    <m/>
    <d v="2024-08-17T02:15:30"/>
    <d v="2024-08-17T02:15:30"/>
    <d v="2024-08-17T02:41:32"/>
    <d v="1899-12-30T00:00:00"/>
    <n v="0.43388888885965571"/>
    <n v="0.43388888885965571"/>
    <s v="Auto cable twist relesed"/>
    <s v="Close"/>
    <n v="1.8864734298245901E-2"/>
    <n v="1"/>
    <n v="8.9999999999999993E-3"/>
    <m/>
  </r>
  <r>
    <n v="2604"/>
    <n v="2025"/>
    <n v="2024"/>
    <s v="Year_2"/>
    <d v="2024-08-17T00:00:00"/>
    <s v="KUD06"/>
    <s v="O2R3"/>
    <s v="JK"/>
    <n v="4.3478260869565223E-2"/>
    <n v="3630"/>
    <x v="164"/>
    <s v="PrevCabTwCode:3 CabTwCode:4"/>
    <m/>
    <d v="2024-08-17T07:07:28"/>
    <d v="2024-08-17T07:07:28"/>
    <d v="2024-08-17T07:10:00"/>
    <d v="1899-12-30T00:00:00"/>
    <n v="4.2222222138661891E-2"/>
    <n v="4.2222222138661891E-2"/>
    <s v="Auto cable twist relesed"/>
    <s v="Close"/>
    <n v="1.8357487886374738E-3"/>
    <n v="1"/>
    <n v="6.0000000000000001E-3"/>
    <m/>
  </r>
  <r>
    <n v="2605"/>
    <n v="2025"/>
    <n v="2024"/>
    <s v="Year_2"/>
    <d v="2024-08-17T00:00:00"/>
    <s v="KUD06"/>
    <s v="O2R3"/>
    <s v="JK"/>
    <n v="4.3478260869565223E-2"/>
    <n v="3209"/>
    <x v="101"/>
    <s v="YawSignals Invalid"/>
    <s v="Breakdown"/>
    <d v="2024-08-17T15:52:10"/>
    <d v="2024-08-17T15:52:10"/>
    <d v="2024-08-17T16:03:11"/>
    <d v="1899-12-30T00:00:00"/>
    <n v="0.18361111107515171"/>
    <n v="0.18361111107515171"/>
    <s v="Auto reset"/>
    <s v="Close"/>
    <n v="7.9830917858761622E-3"/>
    <n v="1"/>
    <n v="0"/>
    <m/>
  </r>
  <r>
    <n v="2606"/>
    <n v="2025"/>
    <n v="2024"/>
    <s v="Year_2"/>
    <d v="2024-08-17T00:00:00"/>
    <s v="KUD06"/>
    <s v="O2R3"/>
    <s v="JK"/>
    <n v="4.3478260869565223E-2"/>
    <n v="6290"/>
    <x v="91"/>
    <s v="Pitch accu. test active"/>
    <m/>
    <d v="2024-08-17T17:49:01"/>
    <d v="2024-08-17T17:49:01"/>
    <d v="2024-08-17T17:50:00"/>
    <d v="1899-12-30T00:00:00"/>
    <n v="1.638888887828216E-2"/>
    <n v="1.638888887828216E-2"/>
    <s v="Turbine self test"/>
    <s v="Close"/>
    <n v="7.1256038601226793E-4"/>
    <n v="1"/>
    <n v="6.0000000000000001E-3"/>
    <m/>
  </r>
  <r>
    <n v="2607"/>
    <n v="2025"/>
    <n v="2024"/>
    <s v="Year_2"/>
    <d v="2024-08-17T00:00:00"/>
    <s v="KUD07"/>
    <s v="O2R3"/>
    <s v="JK"/>
    <n v="4.3478260869565223E-2"/>
    <n v="3272"/>
    <x v="143"/>
    <s v="YawUntwistCW: Code 3,      0Â°"/>
    <m/>
    <d v="2024-08-17T15:30:00"/>
    <d v="2024-08-17T15:30:00"/>
    <d v="2024-08-17T15:49:40"/>
    <d v="1899-12-30T00:00:00"/>
    <n v="0.32777777774026617"/>
    <n v="0.32777777774026617"/>
    <s v="Auto cable twist relesed"/>
    <s v="Close"/>
    <n v="1.4251207727837662E-2"/>
    <n v="1"/>
    <n v="1E-3"/>
    <m/>
  </r>
  <r>
    <n v="2608"/>
    <n v="2025"/>
    <n v="2024"/>
    <s v="Year_2"/>
    <d v="2024-08-17T00:00:00"/>
    <s v="KUD07"/>
    <s v="O2R3"/>
    <s v="JK"/>
    <n v="4.3478260869565223E-2"/>
    <n v="6290"/>
    <x v="91"/>
    <s v="Pitch accu. test active"/>
    <m/>
    <d v="2024-08-17T17:47:09"/>
    <d v="2024-08-17T17:47:09"/>
    <d v="2024-08-17T17:50:00"/>
    <d v="1899-12-30T00:00:00"/>
    <n v="4.74999999278225E-2"/>
    <n v="4.74999999278225E-2"/>
    <s v="Turbine self test"/>
    <s v="Close"/>
    <n v="2.0652173881661961E-3"/>
    <n v="1"/>
    <n v="1.2999999999999999E-2"/>
    <m/>
  </r>
  <r>
    <n v="2609"/>
    <n v="2025"/>
    <n v="2024"/>
    <s v="Year_2"/>
    <d v="2024-08-17T00:00:00"/>
    <s v="KUD09"/>
    <s v="O2R3"/>
    <s v="JK"/>
    <n v="4.3478260869565223E-2"/>
    <n v="3272"/>
    <x v="143"/>
    <s v="YawUntwistCW: Code 3,      0Â°"/>
    <m/>
    <d v="2024-08-17T15:25:40"/>
    <d v="2024-08-17T15:25:40"/>
    <d v="2024-08-17T15:45:35"/>
    <d v="1899-12-30T00:00:00"/>
    <n v="0.33194444450782612"/>
    <n v="0.33194444450782612"/>
    <s v="Auto cable twist relesed"/>
    <s v="Close"/>
    <n v="1.4432367152514182E-2"/>
    <n v="1"/>
    <n v="1E-3"/>
    <m/>
  </r>
  <r>
    <n v="2610"/>
    <n v="2025"/>
    <n v="2024"/>
    <s v="Year_2"/>
    <d v="2024-08-17T00:00:00"/>
    <s v="KUD09"/>
    <s v="O2R3"/>
    <s v="JK"/>
    <n v="4.3478260869565223E-2"/>
    <n v="6290"/>
    <x v="91"/>
    <s v="Pitch accu. test active"/>
    <m/>
    <d v="2024-08-17T17:49:33"/>
    <d v="2024-08-17T17:49:33"/>
    <d v="2024-08-17T17:50:00"/>
    <d v="1899-12-30T00:00:00"/>
    <n v="7.5000000069849193E-3"/>
    <n v="7.5000000069849193E-3"/>
    <s v="Turbine self test"/>
    <s v="Close"/>
    <n v="3.2608695682543134E-4"/>
    <n v="1"/>
    <n v="8.0000000000000002E-3"/>
    <m/>
  </r>
  <r>
    <n v="2611"/>
    <n v="2025"/>
    <n v="2024"/>
    <s v="Year_2"/>
    <d v="2024-08-17T00:00:00"/>
    <s v="KUD16"/>
    <s v="O2R2"/>
    <s v="SIL"/>
    <n v="4.3478260869565223E-2"/>
    <n v="3273"/>
    <x v="35"/>
    <s v="YawUntwistCCW: Code 6,    592Â°"/>
    <m/>
    <d v="2024-08-17T02:55:38"/>
    <d v="2024-08-17T02:55:38"/>
    <d v="2024-08-17T03:20:05"/>
    <d v="1899-12-30T00:00:00"/>
    <n v="0.40750000008847564"/>
    <n v="0.40750000008847564"/>
    <s v="Auto cable twist relesed"/>
    <s v="Close"/>
    <n v="1.7717391308194594E-2"/>
    <n v="1"/>
    <n v="0"/>
    <m/>
  </r>
  <r>
    <n v="2612"/>
    <n v="2025"/>
    <n v="2024"/>
    <s v="Year_2"/>
    <d v="2024-08-17T00:00:00"/>
    <s v="KUD16"/>
    <s v="O2R2"/>
    <s v="SIL"/>
    <n v="4.3478260869565223E-2"/>
    <n v="3272"/>
    <x v="143"/>
    <s v="YawUntwistCW: Code 3,      0Â°"/>
    <m/>
    <d v="2024-08-17T07:27:55"/>
    <d v="2024-08-17T07:27:55"/>
    <d v="2024-08-17T07:47:53"/>
    <d v="1899-12-30T00:00:00"/>
    <n v="0.33277777786133811"/>
    <n v="0.33277777786133811"/>
    <s v="Auto cable twist relesed"/>
    <s v="Close"/>
    <n v="1.4468599037449485E-2"/>
    <n v="1"/>
    <n v="2.1000000000000001E-2"/>
    <m/>
  </r>
  <r>
    <n v="2613"/>
    <n v="2025"/>
    <n v="2024"/>
    <s v="Year_2"/>
    <d v="2024-08-17T00:00:00"/>
    <s v="KUD16"/>
    <s v="O2R2"/>
    <s v="SIL"/>
    <n v="4.3478260869565223E-2"/>
    <n v="4235"/>
    <x v="93"/>
    <s v="Gen Stator CB Open"/>
    <s v="Breakdown"/>
    <d v="2024-08-17T15:52:48"/>
    <d v="2024-08-17T15:52:48"/>
    <d v="2024-08-17T16:00:00"/>
    <d v="1899-12-30T00:00:00"/>
    <n v="0.11999999993713573"/>
    <n v="0.11999999993713573"/>
    <s v="Auto reset"/>
    <s v="Close"/>
    <n v="5.2173913016145971E-3"/>
    <n v="1"/>
    <n v="1E-3"/>
    <m/>
  </r>
  <r>
    <n v="2614"/>
    <n v="2025"/>
    <n v="2024"/>
    <s v="Year_2"/>
    <d v="2024-08-17T00:00:00"/>
    <s v="KUD16"/>
    <s v="O2R2"/>
    <s v="SIL"/>
    <n v="4.3478260869565223E-2"/>
    <n v="6284"/>
    <x v="41"/>
    <s v="EMC valves test active"/>
    <m/>
    <d v="2024-08-17T16:09:32"/>
    <d v="2024-08-17T16:09:32"/>
    <d v="2024-08-17T16:10:00"/>
    <d v="1899-12-30T00:00:00"/>
    <n v="7.7777776750735939E-3"/>
    <n v="7.7777776750735939E-3"/>
    <s v="Turbine self test"/>
    <s v="Close"/>
    <n v="3.3816424674233019E-4"/>
    <n v="1"/>
    <n v="0"/>
    <m/>
  </r>
  <r>
    <n v="2615"/>
    <n v="2025"/>
    <n v="2024"/>
    <s v="Year_2"/>
    <d v="2024-08-17T00:00:00"/>
    <s v="KUD16"/>
    <s v="O2R2"/>
    <s v="SIL"/>
    <n v="4.3478260869565223E-2"/>
    <n v="30"/>
    <x v="44"/>
    <s v="Internal sublogic error"/>
    <s v="Breakdown"/>
    <d v="2024-08-17T18:08:59"/>
    <d v="2024-08-17T18:08:59"/>
    <d v="2024-08-17T18:10:00"/>
    <d v="1899-12-30T00:00:00"/>
    <n v="1.6944444389082491E-2"/>
    <n v="1.6944444389082491E-2"/>
    <s v="Auto reset"/>
    <s v="Close"/>
    <n v="7.3671497343836927E-4"/>
    <n v="1"/>
    <n v="-5.0000000000000001E-3"/>
    <m/>
  </r>
  <r>
    <n v="2616"/>
    <n v="2025"/>
    <n v="2024"/>
    <s v="Year_2"/>
    <d v="2024-08-17T00:00:00"/>
    <s v="KUD17"/>
    <s v="O2R2"/>
    <s v="SIL"/>
    <n v="4.3478260869565223E-2"/>
    <n v="3272"/>
    <x v="143"/>
    <s v="YawUntwistCW: Code 3,      0Â°"/>
    <m/>
    <d v="2024-08-17T15:20:00"/>
    <d v="2024-08-17T15:20:00"/>
    <d v="2024-08-17T15:37:19"/>
    <d v="1899-12-30T00:00:00"/>
    <n v="0.2886111109983176"/>
    <n v="0.2886111109983176"/>
    <s v="Auto cable twist relesed"/>
    <s v="Close"/>
    <n v="1.2548309173839898E-2"/>
    <n v="1"/>
    <n v="1E-3"/>
    <m/>
  </r>
  <r>
    <n v="2617"/>
    <n v="2025"/>
    <n v="2024"/>
    <s v="Year_2"/>
    <d v="2024-08-17T00:00:00"/>
    <s v="KUD17"/>
    <s v="O2R2"/>
    <s v="SIL"/>
    <n v="4.3478260869565223E-2"/>
    <n v="6290"/>
    <x v="91"/>
    <s v="Pitch accu. test active"/>
    <m/>
    <d v="2024-08-17T17:48:20"/>
    <d v="2024-08-17T17:48:20"/>
    <d v="2024-08-17T17:50:00"/>
    <d v="1899-12-30T00:00:00"/>
    <n v="2.7777777810115367E-2"/>
    <n v="2.7777777810115367E-2"/>
    <s v="Turbine self test"/>
    <s v="Close"/>
    <n v="1.2077294700050161E-3"/>
    <n v="1"/>
    <n v="5.0000000000000001E-3"/>
    <m/>
  </r>
  <r>
    <n v="2618"/>
    <n v="2025"/>
    <n v="2024"/>
    <s v="Year_2"/>
    <d v="2024-08-17T00:00:00"/>
    <s v="KUD18"/>
    <s v="O2R4"/>
    <s v="SGDCIPL"/>
    <n v="4.3478260869565223E-2"/>
    <n v="3272"/>
    <x v="143"/>
    <s v="YawUntwistCW: Code 3,      0Â°"/>
    <m/>
    <d v="2024-08-17T07:26:03"/>
    <d v="2024-08-17T07:26:03"/>
    <d v="2024-08-17T07:47:20"/>
    <d v="1899-12-30T00:00:00"/>
    <n v="0.35472222219686955"/>
    <n v="0.35472222219686955"/>
    <s v="Auto cable twist relesed"/>
    <s v="Close"/>
    <n v="1.5422705312907374E-2"/>
    <n v="1"/>
    <n v="4.1000000000000002E-2"/>
    <m/>
  </r>
  <r>
    <n v="2619"/>
    <n v="2025"/>
    <n v="2024"/>
    <s v="Year_2"/>
    <d v="2024-08-17T00:00:00"/>
    <s v="KUD18"/>
    <s v="O2R4"/>
    <s v="SGDCIPL"/>
    <n v="4.3478260869565223E-2"/>
    <n v="3272"/>
    <x v="143"/>
    <s v="YawUntwistCW: Code 3,      0Â°"/>
    <m/>
    <d v="2024-08-17T16:09:08"/>
    <d v="2024-08-17T16:09:08"/>
    <d v="2024-08-17T16:37:39"/>
    <d v="1899-12-30T00:00:00"/>
    <n v="0.47527777764480561"/>
    <n v="0.47527777764480561"/>
    <s v="Auto cable twist relesed"/>
    <s v="Close"/>
    <n v="2.0664251201948074E-2"/>
    <n v="1"/>
    <n v="3.0000000000000001E-3"/>
    <m/>
  </r>
  <r>
    <n v="2620"/>
    <n v="2025"/>
    <n v="2024"/>
    <s v="Year_2"/>
    <d v="2024-08-17T00:00:00"/>
    <s v="KUD21"/>
    <s v="O2R3"/>
    <s v="JK"/>
    <n v="4.3478260869565223E-2"/>
    <n v="158"/>
    <x v="132"/>
    <s v="Rotor: 1.7RPM, Gen.:   0.0 RPM"/>
    <s v="Breakdown"/>
    <d v="2024-08-17T05:53:52"/>
    <d v="2024-08-17T05:53:52"/>
    <d v="2024-08-17T06:00:00"/>
    <d v="1899-12-30T00:00:00"/>
    <n v="0.10222222219454125"/>
    <n v="0.10222222219454125"/>
    <s v="Auto reset"/>
    <s v="Close"/>
    <n v="4.4444444432409245E-3"/>
    <n v="1"/>
    <n v="5.3999999999999999E-2"/>
    <m/>
  </r>
  <r>
    <n v="2621"/>
    <n v="2025"/>
    <n v="2024"/>
    <s v="Year_2"/>
    <d v="2024-08-17T00:00:00"/>
    <s v="KUD21"/>
    <s v="O2R3"/>
    <s v="JK"/>
    <n v="4.3478260869565223E-2"/>
    <n v="3273"/>
    <x v="35"/>
    <s v="YawUntwistCCW: Code 6,    633Â°"/>
    <m/>
    <d v="2024-08-17T06:57:51"/>
    <d v="2024-08-17T06:57:51"/>
    <d v="2024-08-17T07:22:20"/>
    <d v="1899-12-30T00:00:00"/>
    <n v="0.40805555559927598"/>
    <n v="0.40805555559927598"/>
    <s v="Auto cable twist relesed"/>
    <s v="Close"/>
    <n v="1.7741545895620697E-2"/>
    <n v="1"/>
    <n v="-1E-3"/>
    <m/>
  </r>
  <r>
    <n v="2622"/>
    <n v="2025"/>
    <n v="2024"/>
    <s v="Year_2"/>
    <d v="2024-08-17T00:00:00"/>
    <s v="KUD22"/>
    <s v="O2R3"/>
    <s v="JK"/>
    <n v="4.3478260869565223E-2"/>
    <n v="4519"/>
    <x v="126"/>
    <s v="HubSafty HydrPres  Low DBlk"/>
    <s v="Breakdown"/>
    <d v="2024-08-17T17:49:01"/>
    <d v="2024-08-17T17:49:01"/>
    <d v="2024-08-17T17:50:00"/>
    <d v="1899-12-30T00:00:00"/>
    <n v="1.638888887828216E-2"/>
    <n v="1.638888887828216E-2"/>
    <s v="Auto reset"/>
    <s v="Close"/>
    <n v="7.1256038601226793E-4"/>
    <n v="1"/>
    <n v="3.0000000000000001E-3"/>
    <m/>
  </r>
  <r>
    <n v="2623"/>
    <n v="2025"/>
    <n v="2024"/>
    <s v="Year_2"/>
    <d v="2024-08-17T00:00:00"/>
    <s v="KUD23"/>
    <s v="O2R3"/>
    <s v="JK"/>
    <n v="4.3478260869565223E-2"/>
    <n v="3273"/>
    <x v="35"/>
    <s v="YawUntwistCCW: Code 6,    594Â°"/>
    <m/>
    <d v="2024-08-17T05:24:41"/>
    <d v="2024-08-17T05:24:41"/>
    <d v="2024-08-17T05:47:28"/>
    <d v="1899-12-30T00:00:00"/>
    <n v="0.37972222227836028"/>
    <n v="0.37972222227836028"/>
    <s v="Auto cable twist relesed"/>
    <s v="Close"/>
    <n v="1.6509661838189579E-2"/>
    <n v="1"/>
    <n v="1E-3"/>
    <m/>
  </r>
  <r>
    <n v="2624"/>
    <n v="2025"/>
    <n v="2024"/>
    <s v="Year_2"/>
    <d v="2024-08-17T00:00:00"/>
    <s v="KUD23"/>
    <s v="O2R3"/>
    <s v="JK"/>
    <n v="4.3478260869565223E-2"/>
    <n v="6290"/>
    <x v="91"/>
    <s v="Pitch accu. test active"/>
    <m/>
    <d v="2024-08-17T17:49:20"/>
    <d v="2024-08-17T17:49:20"/>
    <d v="2024-08-17T17:50:00"/>
    <d v="1899-12-30T00:00:00"/>
    <n v="1.111111108912155E-2"/>
    <n v="1.111111108912155E-2"/>
    <s v="Turbine self test"/>
    <s v="Close"/>
    <n v="4.8309178648354572E-4"/>
    <n v="1"/>
    <n v="1.2999999999999999E-2"/>
    <m/>
  </r>
  <r>
    <n v="2625"/>
    <n v="2025"/>
    <n v="2024"/>
    <s v="Year_2"/>
    <d v="2024-08-18T00:00:00"/>
    <s v="KUD10"/>
    <s v="O2R1"/>
    <s v="KSIPL"/>
    <n v="4.3478260869565223E-2"/>
    <n v="5195"/>
    <x v="49"/>
    <s v="Prop Valve A Status Fault"/>
    <s v="Breakdown"/>
    <d v="2024-08-18T00:44:50"/>
    <d v="2024-08-18T00:44:50"/>
    <d v="2024-08-18T00:50:00"/>
    <d v="1899-12-30T00:00:00"/>
    <n v="8.6111110984347761E-2"/>
    <n v="8.6111110984347761E-2"/>
    <s v="Auto reset"/>
    <s v="Close"/>
    <n v="3.7439613471455554E-3"/>
    <n v="1"/>
    <n v="0.01"/>
    <m/>
  </r>
  <r>
    <n v="2626"/>
    <n v="2025"/>
    <n v="2024"/>
    <s v="Year_2"/>
    <d v="2024-08-18T00:00:00"/>
    <s v="KUD10"/>
    <s v="O2R1"/>
    <s v="KSIPL"/>
    <n v="4.3478260869565223E-2"/>
    <n v="6290"/>
    <x v="91"/>
    <s v="Pitch accu. test active"/>
    <m/>
    <d v="2024-08-18T00:57:27"/>
    <d v="2024-08-18T00:57:27"/>
    <d v="2024-08-18T01:00:00"/>
    <d v="1899-12-30T00:00:00"/>
    <n v="4.2499999981373549E-2"/>
    <n v="4.2499999981373549E-2"/>
    <s v="turbine self test"/>
    <s v="Close"/>
    <n v="1.8478260861466763E-3"/>
    <n v="1"/>
    <n v="0"/>
    <m/>
  </r>
  <r>
    <n v="2627"/>
    <n v="2025"/>
    <n v="2024"/>
    <s v="Year_2"/>
    <d v="2024-08-18T00:00:00"/>
    <s v="KUD10"/>
    <s v="O2R1"/>
    <s v="KSIPL"/>
    <n v="4.3478260869565223E-2"/>
    <n v="5197"/>
    <x v="54"/>
    <s v="Prop Valve C Status Fault"/>
    <s v="Breakdown"/>
    <d v="2024-08-18T08:43:07"/>
    <d v="2024-08-18T08:43:07"/>
    <d v="2024-08-18T08:50:00"/>
    <d v="1899-12-30T00:00:00"/>
    <n v="0.11472222214797512"/>
    <n v="0.11472222214797512"/>
    <s v="Auto reset"/>
    <s v="Close"/>
    <n v="4.9879227020858752E-3"/>
    <n v="1"/>
    <n v="0"/>
    <m/>
  </r>
  <r>
    <n v="2628"/>
    <n v="2025"/>
    <n v="2024"/>
    <s v="Year_2"/>
    <d v="2024-08-18T00:00:00"/>
    <s v="KUD10"/>
    <s v="O2R1"/>
    <s v="KSIPL"/>
    <n v="4.3478260869565223E-2"/>
    <n v="5197"/>
    <x v="54"/>
    <s v="Prop Valve C Status Fault"/>
    <s v="Breakdown"/>
    <d v="2024-08-18T10:14:41"/>
    <d v="2024-08-18T10:14:41"/>
    <d v="2024-08-18T10:20:00"/>
    <d v="1899-12-30T00:00:00"/>
    <n v="8.8611111044883728E-2"/>
    <n v="8.8611111044883728E-2"/>
    <s v="Auto reset"/>
    <s v="Close"/>
    <n v="3.852657001951467E-3"/>
    <n v="1"/>
    <n v="0"/>
    <m/>
  </r>
  <r>
    <n v="2629"/>
    <n v="2025"/>
    <n v="2024"/>
    <s v="Year_2"/>
    <d v="2024-08-18T00:00:00"/>
    <s v="KUD10"/>
    <s v="O2R1"/>
    <s v="KSIPL"/>
    <n v="4.3478260869565223E-2"/>
    <n v="5197"/>
    <x v="54"/>
    <s v="Prop Valve C Status Fault"/>
    <s v="Breakdown"/>
    <d v="2024-08-18T21:49:12"/>
    <d v="2024-08-18T21:49:12"/>
    <d v="2024-08-18T21:56:33"/>
    <d v="1899-12-30T00:00:00"/>
    <n v="0.12249999999767169"/>
    <n v="0.12249999999767169"/>
    <s v="Auto reset"/>
    <s v="Close"/>
    <n v="5.3260869564205095E-3"/>
    <n v="1"/>
    <n v="1E-3"/>
    <m/>
  </r>
  <r>
    <n v="2630"/>
    <n v="2025"/>
    <n v="2024"/>
    <s v="Year_2"/>
    <d v="2024-08-18T00:00:00"/>
    <s v="KUD12"/>
    <s v="O2R1"/>
    <s v="KSIPL"/>
    <n v="4.3478260869565223E-2"/>
    <n v="3273"/>
    <x v="35"/>
    <s v="YawUntwistCCW: Code 5,    540Â°"/>
    <m/>
    <d v="2024-08-18T01:56:54"/>
    <d v="2024-08-18T01:56:54"/>
    <d v="2024-08-18T02:22:24"/>
    <d v="1899-12-30T00:00:00"/>
    <n v="0.42499999998835847"/>
    <n v="0.42499999998835847"/>
    <s v="Auto cable twist relesed"/>
    <s v="Close"/>
    <n v="1.8478260869059068E-2"/>
    <n v="1"/>
    <n v="4.0000000000000001E-3"/>
    <m/>
  </r>
  <r>
    <n v="2631"/>
    <n v="2025"/>
    <n v="2024"/>
    <s v="Year_2"/>
    <d v="2024-08-18T00:00:00"/>
    <s v="KUD04"/>
    <s v="O2R3"/>
    <s v="JK"/>
    <n v="4.3478260869565223E-2"/>
    <n v="3273"/>
    <x v="35"/>
    <s v="YawUntwistCCW: Code 5,    540Â°"/>
    <m/>
    <d v="2024-08-18T11:09:08"/>
    <d v="2024-08-18T11:09:08"/>
    <d v="2024-08-18T11:31:09"/>
    <d v="1899-12-30T00:00:00"/>
    <n v="0.36694444448221475"/>
    <n v="0.36694444448221475"/>
    <s v="Auto cable twist relesed"/>
    <s v="Close"/>
    <n v="1.5954106281835426E-2"/>
    <n v="1"/>
    <n v="8.0000000000000002E-3"/>
    <m/>
  </r>
  <r>
    <n v="2632"/>
    <n v="2025"/>
    <n v="2024"/>
    <s v="Year_2"/>
    <d v="2024-08-18T00:00:00"/>
    <s v="KUD05"/>
    <s v="O2R3"/>
    <s v="JK"/>
    <n v="4.3478260869565223E-2"/>
    <n v="3272"/>
    <x v="143"/>
    <s v="YawUntwistCW: Code 2,      0Â°"/>
    <m/>
    <d v="2024-08-18T00:47:44"/>
    <d v="2024-08-18T00:47:44"/>
    <d v="2024-08-18T01:10:09"/>
    <d v="1899-12-30T00:00:00"/>
    <n v="0.37361111113568768"/>
    <n v="0.37361111113568768"/>
    <s v="Auto cable twist relesed"/>
    <s v="Close"/>
    <n v="1.6243961353725554E-2"/>
    <n v="1"/>
    <n v="3.0000000000000001E-3"/>
    <m/>
  </r>
  <r>
    <n v="2633"/>
    <n v="2025"/>
    <n v="2024"/>
    <s v="Year_2"/>
    <d v="2024-08-18T00:00:00"/>
    <s v="KUD06"/>
    <s v="O2R3"/>
    <s v="JK"/>
    <n v="4.3478260869565223E-2"/>
    <n v="3272"/>
    <x v="143"/>
    <s v="YawUntwistCW: Code 2,      0Â°"/>
    <m/>
    <d v="2024-08-18T00:48:07"/>
    <d v="2024-08-18T00:48:07"/>
    <d v="2024-08-18T01:11:20"/>
    <d v="1899-12-30T00:00:00"/>
    <n v="0.38694444444263354"/>
    <n v="0.38694444444263354"/>
    <s v="Auto cable twist relesed"/>
    <s v="Close"/>
    <n v="1.6823671497505809E-2"/>
    <n v="1"/>
    <n v="2E-3"/>
    <m/>
  </r>
  <r>
    <n v="2634"/>
    <n v="2025"/>
    <n v="2024"/>
    <s v="Year_2"/>
    <d v="2024-08-18T00:00:00"/>
    <s v="KUD22"/>
    <s v="O2R3"/>
    <s v="JK"/>
    <n v="4.3478260869565223E-2"/>
    <n v="3272"/>
    <x v="143"/>
    <s v="YawUntwistCW: Code 3,      0Â°"/>
    <m/>
    <d v="2024-08-18T00:43:31"/>
    <d v="2024-08-18T00:43:31"/>
    <d v="2024-08-18T01:06:33"/>
    <d v="1899-12-30T00:00:00"/>
    <n v="0.38388888887129724"/>
    <n v="0.38388888887129724"/>
    <s v="Auto cable twist relesed"/>
    <s v="Close"/>
    <n v="1.6690821255273797E-2"/>
    <n v="1"/>
    <n v="1E-3"/>
    <m/>
  </r>
  <r>
    <n v="2635"/>
    <n v="2025"/>
    <n v="2024"/>
    <s v="Year_2"/>
    <d v="2024-08-20T00:00:00"/>
    <s v="KUD01"/>
    <s v="O2R1"/>
    <s v="KSIPL"/>
    <n v="4.3478260869565223E-2"/>
    <n v="3272"/>
    <x v="143"/>
    <s v="YawUntwistCW: Code 3,-000540Â°"/>
    <m/>
    <d v="2024-08-20T19:14:31"/>
    <d v="2024-08-20T19:14:31"/>
    <d v="2024-08-20T19:36:21"/>
    <d v="1899-12-30T00:00:00"/>
    <n v="0.36388888891087845"/>
    <n v="0.36388888891087845"/>
    <s v="Auto cable twist relesed"/>
    <s v="Close"/>
    <n v="1.5821256039603413E-2"/>
    <n v="1"/>
    <n v="2E-3"/>
    <m/>
  </r>
  <r>
    <n v="2636"/>
    <n v="2025"/>
    <n v="2024"/>
    <s v="Year_2"/>
    <d v="2024-08-20T00:00:00"/>
    <s v="KUD05"/>
    <s v="O2R3"/>
    <s v="JK"/>
    <n v="4.3478260869565223E-2"/>
    <n v="3272"/>
    <x v="143"/>
    <s v="YawUntwistCW: Code 2,-000540Â°"/>
    <m/>
    <d v="2024-08-20T15:57:26"/>
    <d v="2024-08-20T15:57:26"/>
    <d v="2024-08-20T16:19:19"/>
    <d v="1899-12-30T00:00:00"/>
    <n v="0.36472222208976746"/>
    <n v="0.36472222208976746"/>
    <s v="Auto cable twist relesed"/>
    <s v="Close"/>
    <n v="1.5857487916946415E-2"/>
    <n v="1"/>
    <n v="2E-3"/>
    <m/>
  </r>
  <r>
    <n v="2637"/>
    <n v="2025"/>
    <n v="2024"/>
    <s v="Year_2"/>
    <d v="2024-08-20T00:00:00"/>
    <s v="KUD08"/>
    <s v="O2R3"/>
    <s v="JK"/>
    <n v="4.3478260869565223E-2"/>
    <n v="3272"/>
    <x v="143"/>
    <s v="YawUntwistCCW: Code 6,    540Â°"/>
    <m/>
    <d v="2024-08-20T19:43:03"/>
    <d v="2024-08-20T19:43:03"/>
    <d v="2024-08-20T20:07:43"/>
    <d v="1899-12-30T00:00:00"/>
    <n v="0.41111111099598929"/>
    <n v="0.41111111099598929"/>
    <s v="Auto cable twist relesed"/>
    <s v="Close"/>
    <n v="1.7874396130260407E-2"/>
    <n v="1"/>
    <n v="1.0999999999999999E-2"/>
    <m/>
  </r>
  <r>
    <n v="2638"/>
    <n v="2025"/>
    <n v="2024"/>
    <s v="Year_2"/>
    <d v="2024-08-20T00:00:00"/>
    <s v="KUD09"/>
    <s v="O2R3"/>
    <s v="JK"/>
    <n v="4.3478260869565223E-2"/>
    <n v="3272"/>
    <x v="143"/>
    <s v="YawUntwistCW: Code 2,-000710Â°"/>
    <m/>
    <d v="2024-08-20T08:32:05"/>
    <d v="2024-08-20T08:32:05"/>
    <d v="2024-08-20T09:00:44"/>
    <d v="1899-12-30T00:00:00"/>
    <n v="0.4775000000372529"/>
    <n v="0.4775000000372529"/>
    <s v="Auto cable twist relesed"/>
    <s v="Close"/>
    <n v="2.0760869566837085E-2"/>
    <n v="1"/>
    <n v="1E-3"/>
    <m/>
  </r>
  <r>
    <n v="2639"/>
    <n v="2025"/>
    <n v="2024"/>
    <s v="Year_2"/>
    <d v="2024-08-20T00:00:00"/>
    <s v="KUD10"/>
    <s v="O2R1"/>
    <s v="KSIPL"/>
    <n v="4.3478260869565223E-2"/>
    <n v="5197"/>
    <x v="54"/>
    <s v="Prop Valve C Status Fault"/>
    <s v="Breakdown"/>
    <d v="2024-08-20T02:25:37"/>
    <d v="2024-08-20T02:25:37"/>
    <d v="2024-08-20T02:32:45"/>
    <d v="1899-12-30T00:00:00"/>
    <n v="0.11888888891553506"/>
    <n v="0.11888888891553506"/>
    <s v="Auto reset"/>
    <s v="Close"/>
    <n v="5.169082126762395E-3"/>
    <n v="1"/>
    <n v="0.02"/>
    <m/>
  </r>
  <r>
    <n v="2640"/>
    <n v="2025"/>
    <n v="2024"/>
    <s v="Year_2"/>
    <d v="2024-08-20T00:00:00"/>
    <s v="KUD14"/>
    <s v="O2R1"/>
    <s v="KSIPL"/>
    <n v="4.3478260869565223E-2"/>
    <n v="2676"/>
    <x v="124"/>
    <s v="UPS error "/>
    <s v="Breakdown"/>
    <d v="2024-08-20T18:50:56"/>
    <d v="2024-08-20T18:50:56"/>
    <d v="2024-08-20T22:20:54"/>
    <d v="1899-12-30T00:00:00"/>
    <n v="3.4994444443727843"/>
    <n v="3.4994444443727843"/>
    <s v="Switchgear manually charged "/>
    <s v="Close"/>
    <n v="0.15214975845099066"/>
    <n v="1"/>
    <n v="1.7999999999999999E-2"/>
    <m/>
  </r>
  <r>
    <n v="2641"/>
    <n v="2025"/>
    <n v="2024"/>
    <s v="Year_2"/>
    <d v="2024-08-20T00:00:00"/>
    <s v="KUD15"/>
    <s v="O2R1"/>
    <s v="KSIPL"/>
    <n v="4.3478260869565223E-2"/>
    <n v="3272"/>
    <x v="143"/>
    <s v="YawUntwistCW: Code 2,-000699Â°"/>
    <m/>
    <d v="2024-08-20T08:36:47"/>
    <d v="2024-08-20T08:36:47"/>
    <d v="2024-08-20T09:05:28"/>
    <d v="1899-12-30T00:00:00"/>
    <n v="0.47805555554805323"/>
    <n v="0.47805555554805323"/>
    <s v="Auto cable twist relesed"/>
    <s v="Close"/>
    <n v="2.0785024154263188E-2"/>
    <n v="1"/>
    <n v="4.0000000000000001E-3"/>
    <m/>
  </r>
  <r>
    <n v="2642"/>
    <n v="2025"/>
    <n v="2024"/>
    <s v="Year_2"/>
    <d v="2024-08-20T00:00:00"/>
    <s v="KUD16"/>
    <s v="O2R2"/>
    <s v="SIL"/>
    <n v="4.3478260869565223E-2"/>
    <n v="3272"/>
    <x v="143"/>
    <s v="YawUntwistCW: Code 3,-000540Â°"/>
    <m/>
    <d v="2024-08-20T09:42:58"/>
    <d v="2024-08-20T09:42:58"/>
    <d v="2024-08-20T10:07:18"/>
    <d v="1899-12-30T00:00:00"/>
    <n v="0.40555555553874001"/>
    <n v="0.40555555553874001"/>
    <s v="Auto cable twist relesed"/>
    <s v="Close"/>
    <n v="1.7632850240814787E-2"/>
    <n v="1"/>
    <n v="1E-3"/>
    <m/>
  </r>
  <r>
    <n v="2643"/>
    <n v="2025"/>
    <n v="2024"/>
    <s v="Year_2"/>
    <d v="2024-08-20T00:00:00"/>
    <s v="KUD17"/>
    <s v="O2R2"/>
    <s v="SIL"/>
    <n v="4.3478260869565223E-2"/>
    <n v="3272"/>
    <x v="143"/>
    <s v="YawUntwistCW: Code 3,-000540Â°"/>
    <m/>
    <d v="2024-08-20T13:57:39"/>
    <d v="2024-08-20T13:57:39"/>
    <d v="2024-08-20T14:25:06"/>
    <d v="1899-12-30T00:00:00"/>
    <n v="0.45750000007683411"/>
    <n v="0.45750000007683411"/>
    <s v="Auto cable twist relesed"/>
    <s v="Close"/>
    <n v="1.9891304351166702E-2"/>
    <n v="1"/>
    <n v="1E-3"/>
    <m/>
  </r>
  <r>
    <n v="2644"/>
    <n v="2025"/>
    <n v="2024"/>
    <s v="Year_2"/>
    <d v="2024-08-20T00:00:00"/>
    <s v="KUD19"/>
    <s v="O2R1"/>
    <s v="KSIPL"/>
    <n v="4.3478260869565223E-2"/>
    <n v="3272"/>
    <x v="143"/>
    <s v="YawUntwistCW: Code 3,-000540Â°"/>
    <m/>
    <d v="2024-08-20T18:57:56"/>
    <d v="2024-08-20T18:57:56"/>
    <d v="2024-08-20T19:19:47"/>
    <d v="1899-12-30T00:00:00"/>
    <n v="0.36416666675359011"/>
    <n v="0.36416666675359011"/>
    <s v="Auto cable twist relesed"/>
    <s v="Close"/>
    <n v="1.5833333337112617E-2"/>
    <n v="1"/>
    <n v="1E-3"/>
    <m/>
  </r>
  <r>
    <n v="2645"/>
    <n v="2025"/>
    <n v="2024"/>
    <s v="Year_2"/>
    <d v="2024-08-20T00:00:00"/>
    <s v="KUD20"/>
    <s v="O2R1"/>
    <s v="KSIPL"/>
    <n v="4.3478260869565223E-2"/>
    <n v="2676"/>
    <x v="124"/>
    <s v="UPS error "/>
    <s v="Breakdown"/>
    <d v="2024-08-20T18:50:56"/>
    <d v="2024-08-20T18:50:56"/>
    <d v="2024-08-20T21:02:17"/>
    <d v="1899-12-30T00:00:00"/>
    <n v="2.1891666665906087"/>
    <n v="2.1891666665906087"/>
    <s v="Switchgear manually charged "/>
    <s v="Close"/>
    <n v="9.5181159416982991E-2"/>
    <n v="1"/>
    <n v="1.7000000000000001E-2"/>
    <m/>
  </r>
  <r>
    <n v="2646"/>
    <n v="2025"/>
    <n v="2024"/>
    <s v="Year_2"/>
    <d v="2024-08-20T00:00:00"/>
    <s v="KUD22"/>
    <s v="O2R3"/>
    <s v="JK"/>
    <n v="4.3478260869565223E-2"/>
    <n v="3272"/>
    <x v="143"/>
    <s v="YawUntwistCW: Code 2,-000615Â°"/>
    <m/>
    <d v="2024-08-20T08:27:10"/>
    <d v="2024-08-20T08:27:10"/>
    <d v="2024-08-20T08:52:29"/>
    <d v="1899-12-30T00:00:00"/>
    <n v="0.42194444441702217"/>
    <n v="0.42194444441702217"/>
    <s v="Auto cable twist relesed"/>
    <s v="Close"/>
    <n v="1.8345410626827052E-2"/>
    <n v="1"/>
    <n v="2E-3"/>
    <m/>
  </r>
  <r>
    <n v="2647"/>
    <n v="2025"/>
    <n v="2024"/>
    <s v="Year_2"/>
    <d v="2024-08-20T00:00:00"/>
    <s v="KUD22"/>
    <s v="O2R3"/>
    <s v="JK"/>
    <n v="4.3478260869565223E-2"/>
    <n v="5195"/>
    <x v="49"/>
    <s v="Prop Valve A Status Fault"/>
    <s v="Breakdown"/>
    <d v="2024-08-20T09:46:44"/>
    <d v="2024-08-20T09:46:44"/>
    <d v="2024-08-20T09:51:23"/>
    <d v="1899-12-30T00:00:00"/>
    <n v="7.750000013038516E-2"/>
    <n v="7.750000013038516E-2"/>
    <s v="Auto reset"/>
    <s v="Close"/>
    <n v="3.369565223060225E-3"/>
    <n v="1"/>
    <n v="0"/>
    <m/>
  </r>
  <r>
    <n v="2648"/>
    <n v="2025"/>
    <n v="2024"/>
    <s v="Year_2"/>
    <d v="2024-08-20T00:00:00"/>
    <s v="KUD23"/>
    <s v="O2R3"/>
    <s v="JK"/>
    <n v="4.3478260869565223E-2"/>
    <n v="3272"/>
    <x v="143"/>
    <s v="YawUntwistCW: Code 3,-000540Â°"/>
    <m/>
    <d v="2024-08-20T13:23:35"/>
    <d v="2024-08-20T13:23:35"/>
    <d v="2024-08-20T13:44:56"/>
    <d v="1899-12-30T00:00:00"/>
    <n v="0.3558333333930932"/>
    <n v="0.3558333333930932"/>
    <s v="Auto cable twist relesed"/>
    <s v="Close"/>
    <n v="1.5471014495351881E-2"/>
    <n v="1"/>
    <n v="2E-3"/>
    <m/>
  </r>
  <r>
    <n v="2649"/>
    <n v="2025"/>
    <n v="2024"/>
    <s v="Year_2"/>
    <d v="2024-08-21T00:00:00"/>
    <s v="KUD01"/>
    <s v="O2R1"/>
    <s v="KSIPL"/>
    <n v="4.3478260869565223E-2"/>
    <n v="4235"/>
    <x v="93"/>
    <s v="Gen Stator CB Open"/>
    <s v="Breakdown"/>
    <d v="2024-08-21T17:49:22"/>
    <d v="2024-08-21T17:49:22"/>
    <d v="2024-08-21T17:57:29"/>
    <d v="1899-12-30T00:00:00"/>
    <n v="0.13527777779381722"/>
    <n v="0.13527777779381722"/>
    <s v="Auto reset"/>
    <s v="Close"/>
    <n v="5.8816425127746624E-3"/>
    <n v="1"/>
    <m/>
    <m/>
  </r>
  <r>
    <n v="2650"/>
    <n v="2025"/>
    <n v="2024"/>
    <s v="Year_2"/>
    <d v="2024-08-21T00:00:00"/>
    <s v="KUD02"/>
    <s v="O2R3"/>
    <s v="JK"/>
    <n v="4.3478260869565223E-2"/>
    <n v="704"/>
    <x v="134"/>
    <s v="Ch High res. load C2 Load:100%"/>
    <s v="Breakdown"/>
    <d v="2024-08-21T12:31:16"/>
    <d v="2024-08-21T12:31:16"/>
    <d v="2024-08-21T12:51:01"/>
    <d v="1899-12-30T00:00:00"/>
    <n v="0.32916666677920148"/>
    <n v="0.32916666677920148"/>
    <s v="Auto reset"/>
    <s v="Close"/>
    <n v="1.4311594207791371E-2"/>
    <n v="1"/>
    <m/>
    <m/>
  </r>
  <r>
    <n v="2651"/>
    <n v="2025"/>
    <n v="2024"/>
    <s v="Year_2"/>
    <d v="2024-08-21T00:00:00"/>
    <s v="KUD02"/>
    <s v="O2R3"/>
    <s v="JK"/>
    <n v="4.3478260869565223E-2"/>
    <n v="158"/>
    <x v="132"/>
    <s v="Rotor: 2.2RPM, Gen.:-245.7 RPM"/>
    <s v="Breakdown"/>
    <d v="2024-08-21T20:03:26"/>
    <d v="2024-08-21T20:03:26"/>
    <d v="2024-08-21T20:11:34"/>
    <d v="1899-12-30T00:00:00"/>
    <n v="0.13555555563652888"/>
    <n v="0.13555555563652888"/>
    <s v="Auto reset"/>
    <s v="Close"/>
    <n v="5.8937198102838647E-3"/>
    <n v="1"/>
    <m/>
    <m/>
  </r>
  <r>
    <n v="2652"/>
    <n v="2025"/>
    <n v="2024"/>
    <s v="Year_2"/>
    <d v="2024-08-21T00:00:00"/>
    <s v="KUD03"/>
    <s v="O2R1"/>
    <s v="KSIPL"/>
    <n v="4.3478260869565223E-2"/>
    <n v="4235"/>
    <x v="93"/>
    <s v="Gen Stator CB Open"/>
    <s v="Breakdown"/>
    <d v="2024-08-21T17:45:32"/>
    <d v="2024-08-21T17:45:32"/>
    <d v="2024-08-21T17:50:28"/>
    <d v="1899-12-30T00:00:00"/>
    <n v="8.2222222234122455E-2"/>
    <n v="8.2222222234122455E-2"/>
    <s v="Auto reset"/>
    <s v="Close"/>
    <n v="3.5748792275705418E-3"/>
    <n v="1"/>
    <m/>
    <m/>
  </r>
  <r>
    <n v="2653"/>
    <n v="2025"/>
    <n v="2024"/>
    <s v="Year_2"/>
    <d v="2024-08-21T00:00:00"/>
    <s v="KUD10"/>
    <s v="O2R1"/>
    <s v="KSIPL"/>
    <n v="4.3478260869565223E-2"/>
    <n v="5197"/>
    <x v="54"/>
    <s v="Prop Valve C Status Fault"/>
    <s v="Breakdown"/>
    <d v="2024-08-21T06:37:50"/>
    <d v="2024-08-21T06:37:50"/>
    <d v="2024-08-21T06:39:49"/>
    <d v="1899-12-30T00:00:00"/>
    <n v="3.3055555599275976E-2"/>
    <n v="3.3055555599275976E-2"/>
    <s v="Auto reset"/>
    <s v="Close"/>
    <n v="1.4371980695337384E-3"/>
    <n v="1"/>
    <m/>
    <m/>
  </r>
  <r>
    <n v="2654"/>
    <n v="2025"/>
    <n v="2024"/>
    <s v="Year_2"/>
    <d v="2024-08-21T00:00:00"/>
    <s v="KUD10"/>
    <s v="O2R1"/>
    <s v="KSIPL"/>
    <n v="4.3478260869565223E-2"/>
    <n v="4235"/>
    <x v="93"/>
    <s v="Gen Stator CB Open"/>
    <s v="Breakdown"/>
    <d v="2024-08-21T17:48:21"/>
    <d v="2024-08-21T17:48:21"/>
    <d v="2024-08-21T17:56:52"/>
    <d v="1899-12-30T00:00:00"/>
    <n v="0.14194444444729015"/>
    <n v="0.14194444444729015"/>
    <s v="Auto reset"/>
    <s v="Close"/>
    <n v="6.1714975846647903E-3"/>
    <n v="1"/>
    <m/>
    <m/>
  </r>
  <r>
    <n v="2655"/>
    <n v="2025"/>
    <n v="2024"/>
    <s v="Year_2"/>
    <d v="2024-08-21T00:00:00"/>
    <s v="KUD12"/>
    <s v="O2R1"/>
    <s v="KSIPL"/>
    <n v="4.3478260869565223E-2"/>
    <n v="3272"/>
    <x v="143"/>
    <s v="YawUntwistCW: Code 3,-000540Â°"/>
    <m/>
    <d v="2024-08-21T03:57:06"/>
    <d v="2024-08-21T03:57:06"/>
    <d v="2024-08-21T04:22:08"/>
    <d v="1899-12-30T00:00:00"/>
    <n v="0.41722222231328487"/>
    <n v="0.41722222231328487"/>
    <s v="Auto cable twist relesed"/>
    <s v="Close"/>
    <n v="1.8140096622316738E-2"/>
    <n v="1"/>
    <m/>
    <m/>
  </r>
  <r>
    <n v="2656"/>
    <n v="2025"/>
    <n v="2024"/>
    <s v="Year_2"/>
    <d v="2024-08-21T00:00:00"/>
    <s v="KUD13"/>
    <s v="O2R1"/>
    <s v="KSIPL"/>
    <n v="4.3478260869565223E-2"/>
    <n v="3806"/>
    <x v="147"/>
    <s v="HubSafetySystem Batt.Charg.Err"/>
    <s v="Breakdown"/>
    <d v="2024-08-21T17:20:06"/>
    <d v="2024-08-21T17:20:06"/>
    <d v="2024-08-21T17:53:47"/>
    <d v="1899-12-30T00:00:00"/>
    <n v="0.56138888897839934"/>
    <n v="0.56138888897839934"/>
    <s v="Auto reset"/>
    <s v="Close"/>
    <n v="2.4408212564278234E-2"/>
    <n v="1"/>
    <m/>
    <m/>
  </r>
  <r>
    <n v="2657"/>
    <n v="2025"/>
    <n v="2024"/>
    <s v="Year_2"/>
    <d v="2024-08-21T00:00:00"/>
    <s v="KUD18"/>
    <s v="O2R4"/>
    <s v="SGDCIPL"/>
    <n v="4.3478260869565223E-2"/>
    <n v="3272"/>
    <x v="143"/>
    <s v="YawUntwistCW: Code 3,-000540Â°"/>
    <m/>
    <d v="2024-08-21T04:07:51"/>
    <d v="2024-08-21T04:07:51"/>
    <d v="2024-08-21T04:32:55"/>
    <d v="1899-12-30T00:00:00"/>
    <n v="0.41777777782408521"/>
    <n v="0.41777777782408521"/>
    <s v="Auto cable twist relesed"/>
    <s v="Close"/>
    <n v="1.8164251209742837E-2"/>
    <n v="1"/>
    <m/>
    <m/>
  </r>
  <r>
    <n v="2658"/>
    <n v="2025"/>
    <n v="2024"/>
    <s v="Year_2"/>
    <d v="2024-08-21T00:00:00"/>
    <s v="KUD18"/>
    <s v="O2R4"/>
    <s v="SGDCIPL"/>
    <n v="4.3478260869565223E-2"/>
    <n v="158"/>
    <x v="132"/>
    <s v="Rotor: 1.8RPM, Gen.:-197.3 RPM"/>
    <s v="Breakdown"/>
    <d v="2024-08-21T20:03:21"/>
    <d v="2024-08-21T20:03:21"/>
    <d v="2024-08-21T20:11:49"/>
    <d v="1899-12-30T00:00:00"/>
    <n v="0.14111111109377816"/>
    <n v="0.14111111109377816"/>
    <s v="Auto reset"/>
    <s v="Close"/>
    <n v="6.1352656997294861E-3"/>
    <n v="1"/>
    <m/>
    <m/>
  </r>
  <r>
    <n v="2659"/>
    <n v="2025"/>
    <n v="2024"/>
    <s v="Year_2"/>
    <d v="2024-08-21T00:00:00"/>
    <s v="KUD20"/>
    <s v="O2R1"/>
    <s v="KSIPL"/>
    <n v="4.3478260869565223E-2"/>
    <n v="3272"/>
    <x v="143"/>
    <s v="YawUntwistCW: Code 3,-000540Â°"/>
    <m/>
    <d v="2024-08-21T16:14:06"/>
    <d v="2024-08-21T16:14:06"/>
    <d v="2024-08-21T16:33:06"/>
    <d v="1899-12-30T00:00:00"/>
    <n v="0.31666666665114462"/>
    <n v="0.31666666665114462"/>
    <s v="Auto cable twist relesed"/>
    <s v="Close"/>
    <n v="1.3768115941354115E-2"/>
    <n v="1"/>
    <m/>
    <m/>
  </r>
  <r>
    <n v="2660"/>
    <n v="2025"/>
    <n v="2024"/>
    <s v="Year_2"/>
    <d v="2024-08-21T00:00:00"/>
    <s v="KUD20"/>
    <s v="O2R1"/>
    <s v="KSIPL"/>
    <n v="4.3478260869565223E-2"/>
    <n v="3806"/>
    <x v="147"/>
    <s v="HubSafetySystem Batt.Charg.Err"/>
    <s v="Breakdown"/>
    <d v="2024-08-21T17:20:06"/>
    <d v="2024-08-21T17:20:06"/>
    <d v="2024-08-21T18:52:08"/>
    <d v="1899-12-30T00:00:00"/>
    <n v="1.533888888952788"/>
    <n v="1.533888888952788"/>
    <s v="Auto reset"/>
    <s v="Close"/>
    <n v="6.6690821258816882E-2"/>
    <n v="1"/>
    <m/>
    <m/>
  </r>
  <r>
    <n v="2661"/>
    <n v="2025"/>
    <n v="2024"/>
    <s v="Year_2"/>
    <d v="2024-08-21T00:00:00"/>
    <s v="KUD21"/>
    <s v="O2R3"/>
    <s v="JK"/>
    <n v="4.3478260869565223E-2"/>
    <n v="3272"/>
    <x v="143"/>
    <s v="YawUntwistCW: Code 3,-000540Â°"/>
    <m/>
    <d v="2024-08-21T04:10:39"/>
    <d v="2024-08-21T04:10:39"/>
    <d v="2024-08-21T04:34:25"/>
    <d v="1899-12-30T00:00:00"/>
    <n v="0.39611111098201945"/>
    <n v="0.39611111098201945"/>
    <s v="Auto cable twist relesed"/>
    <s v="Close"/>
    <n v="1.7222222216609545E-2"/>
    <n v="1"/>
    <m/>
    <m/>
  </r>
  <r>
    <n v="2662"/>
    <n v="2025"/>
    <n v="2024"/>
    <s v="Year_2"/>
    <d v="2024-08-21T00:00:00"/>
    <s v="KUD21"/>
    <s v="O2R3"/>
    <s v="JK"/>
    <n v="4.3478260869565223E-2"/>
    <n v="158"/>
    <x v="132"/>
    <s v="Rotor: 2.4RPM, Gen.:-268.7 RPM"/>
    <s v="Breakdown"/>
    <d v="2024-08-21T20:01:46"/>
    <d v="2024-08-21T20:01:46"/>
    <d v="2024-08-21T20:11:04"/>
    <d v="1899-12-30T00:00:00"/>
    <n v="0.15500000008614734"/>
    <n v="0.15500000008614734"/>
    <s v="Auto reset"/>
    <s v="Close"/>
    <n v="6.7391304385281464E-3"/>
    <n v="1"/>
    <m/>
    <m/>
  </r>
  <r>
    <n v="2663"/>
    <n v="2025"/>
    <n v="2024"/>
    <s v="Year_2"/>
    <d v="2024-08-21T00:00:00"/>
    <s v="KUD22"/>
    <s v="O2R3"/>
    <s v="JK"/>
    <n v="4.3478260869565223E-2"/>
    <n v="5195"/>
    <x v="49"/>
    <s v="Prop Valve A Status Fault"/>
    <s v="Breakdown"/>
    <d v="2024-08-21T15:18:52"/>
    <d v="2024-08-21T15:18:52"/>
    <d v="2024-08-21T15:45:48"/>
    <d v="1899-12-30T00:00:00"/>
    <n v="0.44888888887362555"/>
    <n v="0.44888888887362555"/>
    <s v="Auto reset"/>
    <s v="Close"/>
    <n v="1.9516908211896767E-2"/>
    <n v="1"/>
    <m/>
    <m/>
  </r>
  <r>
    <n v="2664"/>
    <n v="2025"/>
    <n v="2024"/>
    <s v="Year_2"/>
    <d v="2024-08-21T00:00:00"/>
    <s v="KUD22"/>
    <s v="O2R3"/>
    <s v="JK"/>
    <n v="4.3478260869565223E-2"/>
    <n v="5068"/>
    <x v="119"/>
    <s v="Pitch pos B meas. signal fault"/>
    <s v="Breakdown"/>
    <d v="2024-08-21T17:02:55"/>
    <d v="2024-08-21T17:02:55"/>
    <d v="2024-08-21T17:21:01"/>
    <d v="1899-12-30T00:00:00"/>
    <n v="0.30166666663717479"/>
    <n v="0.30166666663717479"/>
    <s v="Auto reset"/>
    <s v="Close"/>
    <n v="1.3115942027703253E-2"/>
    <n v="1"/>
    <m/>
    <m/>
  </r>
  <r>
    <n v="2665"/>
    <n v="2025"/>
    <n v="2024"/>
    <s v="Year_2"/>
    <d v="2024-08-22T00:00:00"/>
    <s v="KUD01"/>
    <s v="O2R1"/>
    <s v="KSIPL"/>
    <n v="4.3478260869565223E-2"/>
    <n v="450"/>
    <x v="127"/>
    <s v="Ext. High I sum Grd inv."/>
    <s v="Breakdown"/>
    <d v="2024-08-22T10:16:57"/>
    <d v="2024-08-22T10:16:57"/>
    <d v="2024-08-22T10:30:52"/>
    <d v="1899-12-30T00:00:00"/>
    <n v="0.23194444453110918"/>
    <n v="0.23194444453110918"/>
    <s v="Auto reset"/>
    <s v="Close"/>
    <n v="1.0084541066569966E-2"/>
    <n v="1"/>
    <m/>
    <m/>
  </r>
  <r>
    <n v="2666"/>
    <n v="2025"/>
    <n v="2024"/>
    <s v="Year_2"/>
    <d v="2024-08-22T00:00:00"/>
    <s v="KUD08"/>
    <s v="O2R3"/>
    <s v="JK"/>
    <n v="4.3478260869565223E-2"/>
    <n v="3633"/>
    <x v="21"/>
    <s v="Yaw System Stopped"/>
    <s v="Breakdown"/>
    <d v="2024-08-22T10:12:19"/>
    <d v="2024-08-22T10:12:19"/>
    <d v="2024-08-22T12:23:50"/>
    <d v="1899-12-30T00:00:00"/>
    <n v="2.1919444443192333"/>
    <n v="2.1919444443192333"/>
    <s v="Action taken found 400V MCCB in tripped condition so checked related components and connections found all ok then reset and restored"/>
    <s v="Close"/>
    <n v="9.530193236170581E-2"/>
    <n v="1"/>
    <m/>
    <m/>
  </r>
  <r>
    <n v="2667"/>
    <n v="2025"/>
    <n v="2024"/>
    <s v="Year_2"/>
    <d v="2024-08-22T00:00:00"/>
    <s v="KUD11"/>
    <s v="O2R1"/>
    <s v="KSIPL"/>
    <n v="4.3478260869565223E-2"/>
    <n v="450"/>
    <x v="127"/>
    <s v="Ext. High I sum Grd inv."/>
    <s v="Breakdown"/>
    <d v="2024-08-22T17:09:59"/>
    <d v="2024-08-22T17:09:59"/>
    <d v="2024-08-22T17:19:16"/>
    <d v="1899-12-30T00:00:00"/>
    <n v="0.15472222224343568"/>
    <n v="0.15472222224343568"/>
    <s v="Auto reset"/>
    <s v="Close"/>
    <n v="6.7270531410189432E-3"/>
    <n v="1"/>
    <m/>
    <m/>
  </r>
  <r>
    <n v="2668"/>
    <n v="2025"/>
    <n v="2024"/>
    <s v="Year_2"/>
    <d v="2024-08-22T00:00:00"/>
    <s v="KUD17"/>
    <s v="O2R2"/>
    <s v="SIL"/>
    <n v="4.3478260869565223E-2"/>
    <n v="900"/>
    <x v="100"/>
    <s v="Pause pressed on keyboard"/>
    <s v="Manual Stop"/>
    <d v="2024-08-22T00:36:50"/>
    <d v="2024-08-22T00:36:50"/>
    <d v="2024-08-22T03:52:12"/>
    <d v="1899-12-30T00:00:00"/>
    <n v="3.2561111110844649"/>
    <n v="3.2561111110844649"/>
    <s v="WTG manual stop for tower damper acc sensor warning  during inspection observed yaw claw abnormal sound so we set spring package gap and lubricate then restored the wtg."/>
    <s v="Close"/>
    <n v="0.14157004830802022"/>
    <n v="1"/>
    <m/>
    <m/>
  </r>
  <r>
    <n v="2669"/>
    <n v="2025"/>
    <n v="2024"/>
    <s v="Year_2"/>
    <d v="2024-08-22T00:00:00"/>
    <s v="KUD22"/>
    <s v="O2R3"/>
    <s v="JK"/>
    <n v="4.3478260869565223E-2"/>
    <n v="5195"/>
    <x v="49"/>
    <s v="Prop Valve A Status Fault"/>
    <s v="Breakdown"/>
    <d v="2024-08-22T16:08:49"/>
    <d v="2024-08-22T16:08:49"/>
    <d v="2024-08-22T16:36:26"/>
    <d v="1899-12-30T00:00:00"/>
    <n v="0.46027777763083577"/>
    <n v="0.46027777763083577"/>
    <s v="Remote reboot done"/>
    <s v="Close"/>
    <n v="2.0012077288297209E-2"/>
    <n v="1"/>
    <m/>
    <m/>
  </r>
  <r>
    <n v="2670"/>
    <n v="2025"/>
    <n v="2024"/>
    <s v="Year_2"/>
    <d v="2024-08-23T00:00:00"/>
    <s v="KUD01"/>
    <s v="O2R1"/>
    <s v="KSIPL"/>
    <n v="4.3478260869565223E-2"/>
    <n v="309"/>
    <x v="149"/>
    <s v="Pause over RCS 13"/>
    <s v="Manual Stop"/>
    <d v="1899-12-30T15:00:28"/>
    <d v="1899-12-30T15:00:28"/>
    <d v="1899-12-30T16:02:10"/>
    <d v="1899-12-30T00:00:00"/>
    <n v="1.0283333333333342"/>
    <n v="1.0283333333333342"/>
    <s v="Delay due to KUD 14 ups off condition"/>
    <s v="Close"/>
    <n v="4.4710144927536277E-2"/>
    <n v="1"/>
    <m/>
    <m/>
  </r>
  <r>
    <n v="2671"/>
    <n v="2025"/>
    <n v="2024"/>
    <s v="Year_2"/>
    <d v="2024-08-23T00:00:00"/>
    <s v="KUD02"/>
    <s v="O2R3"/>
    <s v="JK"/>
    <n v="4.3478260869565223E-2"/>
    <n v="309"/>
    <x v="149"/>
    <s v="Pause over RCS 13"/>
    <s v="Manual Stop"/>
    <d v="1899-12-30T15:00:28"/>
    <d v="1899-12-30T15:00:28"/>
    <d v="1899-12-30T16:32:14"/>
    <d v="1899-12-30T00:00:00"/>
    <n v="1.5294444444444428"/>
    <n v="1.5294444444444428"/>
    <s v="Delay due to KUD 18 ups off condition"/>
    <s v="Close"/>
    <n v="6.6497584541062735E-2"/>
    <n v="1"/>
    <m/>
    <m/>
  </r>
  <r>
    <n v="2672"/>
    <n v="2025"/>
    <n v="2024"/>
    <s v="Year_2"/>
    <d v="2024-08-23T00:00:00"/>
    <s v="KUD04"/>
    <s v="O2R3"/>
    <s v="JK"/>
    <n v="4.3478260869565223E-2"/>
    <n v="309"/>
    <x v="149"/>
    <s v="Pause over RCS 13"/>
    <s v="Manual Stop"/>
    <d v="1899-12-30T15:00:28"/>
    <d v="1899-12-30T15:00:28"/>
    <d v="1899-12-30T16:40:44"/>
    <d v="1899-12-30T00:00:00"/>
    <n v="1.6711111111111103"/>
    <n v="1.6711111111111103"/>
    <s v="Delay due to KUD 18 ups off condition"/>
    <s v="Close"/>
    <n v="7.2657004830917846E-2"/>
    <n v="1"/>
    <m/>
    <m/>
  </r>
  <r>
    <n v="2673"/>
    <n v="2025"/>
    <n v="2024"/>
    <s v="Year_2"/>
    <d v="2024-08-23T00:00:00"/>
    <s v="KUD05"/>
    <s v="O2R3"/>
    <s v="JK"/>
    <n v="4.3478260869565223E-2"/>
    <n v="309"/>
    <x v="149"/>
    <s v="Pause over RCS 13"/>
    <s v="Manual Stop"/>
    <d v="1899-12-30T15:00:28"/>
    <d v="1899-12-30T15:00:28"/>
    <d v="1899-12-30T16:32:15"/>
    <d v="1899-12-30T00:00:00"/>
    <n v="1.5297222222222224"/>
    <n v="1.5297222222222224"/>
    <s v="Delay due to KUD 18 ups off condition"/>
    <s v="Close"/>
    <n v="6.6509661835748815E-2"/>
    <n v="1"/>
    <m/>
    <m/>
  </r>
  <r>
    <n v="2674"/>
    <n v="2025"/>
    <n v="2024"/>
    <s v="Year_2"/>
    <d v="2024-08-23T00:00:00"/>
    <s v="KUD08"/>
    <s v="O2R3"/>
    <s v="JK"/>
    <n v="4.3478260869565223E-2"/>
    <n v="4235"/>
    <x v="93"/>
    <s v="Gen Stator CB Open"/>
    <s v="Breakdown"/>
    <d v="1899-12-30T15:00:28"/>
    <d v="1899-12-30T15:00:28"/>
    <d v="1899-12-30T15:29:56"/>
    <d v="1899-12-30T00:00:00"/>
    <n v="0.49111111111110972"/>
    <n v="0.49111111111110972"/>
    <s v="Auto reset"/>
    <s v="Close"/>
    <n v="2.1352657004830862E-2"/>
    <n v="1"/>
    <m/>
    <m/>
  </r>
  <r>
    <n v="2675"/>
    <n v="2025"/>
    <n v="2024"/>
    <s v="Year_2"/>
    <d v="2024-08-23T00:00:00"/>
    <s v="KUD09"/>
    <s v="O2R3"/>
    <s v="JK"/>
    <n v="4.3478260869565223E-2"/>
    <n v="309"/>
    <x v="149"/>
    <s v="Pause over RCS 13"/>
    <s v="Manual Stop"/>
    <d v="1899-12-30T15:00:28"/>
    <d v="1899-12-30T15:00:28"/>
    <d v="1899-12-30T16:30:52"/>
    <d v="1899-12-30T00:00:00"/>
    <n v="1.506666666666665"/>
    <n v="1.506666666666665"/>
    <s v="Delay due to KUD 18 ups off condition"/>
    <s v="Close"/>
    <n v="6.5507246376811532E-2"/>
    <n v="1"/>
    <m/>
    <m/>
  </r>
  <r>
    <n v="2676"/>
    <n v="2025"/>
    <n v="2024"/>
    <s v="Year_2"/>
    <d v="2024-08-23T00:00:00"/>
    <s v="KUD10"/>
    <s v="O2R1"/>
    <s v="KSIPL"/>
    <n v="4.3478260869565223E-2"/>
    <n v="4235"/>
    <x v="93"/>
    <s v="Gen Stator CB Open"/>
    <s v="Breakdown"/>
    <d v="1899-12-30T15:57:34"/>
    <d v="1899-12-30T15:57:34"/>
    <d v="1899-12-30T16:05:42"/>
    <d v="1899-12-30T00:00:00"/>
    <n v="0.13555555555555632"/>
    <n v="0.13555555555555632"/>
    <s v="Auto reset"/>
    <s v="Close"/>
    <n v="5.8937198067633189E-3"/>
    <n v="1"/>
    <m/>
    <m/>
  </r>
  <r>
    <n v="2677"/>
    <n v="2025"/>
    <n v="2024"/>
    <s v="Year_2"/>
    <d v="2024-08-23T00:00:00"/>
    <s v="KUD11"/>
    <s v="O2R1"/>
    <s v="KSIPL"/>
    <n v="4.3478260869565223E-2"/>
    <n v="3806"/>
    <x v="147"/>
    <s v="HubSafetySystem Batt.Charg.Err"/>
    <s v="Breakdown"/>
    <d v="1899-12-30T15:20:22"/>
    <d v="1899-12-30T15:20:22"/>
    <d v="1899-12-30T16:02:42"/>
    <d v="1899-12-30T00:00:00"/>
    <n v="0.70555555555555749"/>
    <n v="0.70555555555555749"/>
    <s v="Auto reset"/>
    <s v="Close"/>
    <n v="3.0676328502415546E-2"/>
    <n v="1"/>
    <m/>
    <m/>
  </r>
  <r>
    <n v="2678"/>
    <n v="2025"/>
    <n v="2024"/>
    <s v="Year_2"/>
    <d v="2024-08-23T00:00:00"/>
    <s v="KUD14"/>
    <s v="O2R1"/>
    <s v="KSIPL"/>
    <n v="4.3478260869565223E-2"/>
    <n v="2676"/>
    <x v="124"/>
    <s v="UPS error"/>
    <s v="Breakdown"/>
    <d v="1899-12-30T15:20:42"/>
    <d v="1899-12-30T15:20:42"/>
    <d v="1899-12-30T17:12:12"/>
    <d v="1899-12-30T00:00:00"/>
    <n v="1.8583333333333334"/>
    <n v="1.8583333333333334"/>
    <s v="Switchgear manually charged "/>
    <s v="Close"/>
    <n v="8.0797101449275377E-2"/>
    <n v="1"/>
    <m/>
    <m/>
  </r>
  <r>
    <n v="2679"/>
    <n v="2025"/>
    <n v="2024"/>
    <s v="Year_2"/>
    <d v="2024-08-23T00:00:00"/>
    <s v="KUD15"/>
    <s v="O2R1"/>
    <s v="KSIPL"/>
    <n v="4.3478260869565223E-2"/>
    <n v="309"/>
    <x v="149"/>
    <s v="Pause over RCS 13"/>
    <s v="Manual Stop"/>
    <d v="1899-12-30T15:00:28"/>
    <d v="1899-12-30T15:00:28"/>
    <d v="1899-12-30T16:08:27"/>
    <d v="1899-12-30T00:00:00"/>
    <n v="1.133055555555555"/>
    <n v="1.133055555555555"/>
    <s v="Delay due to KUD 14 ups off condition"/>
    <s v="Close"/>
    <n v="4.9263285024154571E-2"/>
    <n v="1"/>
    <m/>
    <m/>
  </r>
  <r>
    <n v="2680"/>
    <n v="2025"/>
    <n v="2024"/>
    <s v="Year_2"/>
    <d v="2024-08-23T00:00:00"/>
    <s v="KUD16"/>
    <s v="O2R2"/>
    <s v="SIL"/>
    <n v="4.3478260869565223E-2"/>
    <n v="309"/>
    <x v="149"/>
    <s v="Pause over RCS 13"/>
    <s v="Manual Stop"/>
    <d v="1899-12-30T15:00:28"/>
    <d v="1899-12-30T15:00:28"/>
    <d v="1899-12-30T16:53:04"/>
    <d v="1899-12-30T00:00:00"/>
    <n v="1.8766666666666669"/>
    <n v="1.8766666666666669"/>
    <s v="Delay due to KUD 18 ups off condition"/>
    <s v="Close"/>
    <n v="8.1594202898550752E-2"/>
    <n v="1"/>
    <m/>
    <m/>
  </r>
  <r>
    <n v="2681"/>
    <n v="2025"/>
    <n v="2024"/>
    <s v="Year_2"/>
    <d v="2024-08-23T00:00:00"/>
    <s v="KUD17"/>
    <s v="O2R2"/>
    <s v="SIL"/>
    <n v="4.3478260869565223E-2"/>
    <n v="151"/>
    <x v="148"/>
    <s v="High temp. Gen bearing 1: 96Â°C"/>
    <s v="ROW"/>
    <d v="1899-12-30T10:12:29"/>
    <d v="1899-12-30T10:12:29"/>
    <d v="1899-12-30T23:59:00"/>
    <d v="1899-12-30T00:00:00"/>
    <n v="13.775277777777777"/>
    <n v="13.775277777777777"/>
    <s v="Pathway ROW"/>
    <s v="Open"/>
    <n v="0"/>
    <n v="1"/>
    <m/>
    <m/>
  </r>
  <r>
    <n v="2682"/>
    <n v="2025"/>
    <n v="2024"/>
    <s v="Year_2"/>
    <d v="2024-08-23T00:00:00"/>
    <s v="KUD18"/>
    <s v="O2R4"/>
    <s v="SGDCIPL"/>
    <n v="4.3478260869565223E-2"/>
    <n v="2676"/>
    <x v="124"/>
    <s v="UPS error"/>
    <s v="Breakdown"/>
    <d v="1899-12-30T14:15:32"/>
    <d v="1899-12-30T14:15:32"/>
    <d v="1899-12-30T18:05:04"/>
    <d v="1899-12-30T00:00:00"/>
    <n v="3.8255555555555549"/>
    <n v="3.8255555555555549"/>
    <s v="Switchgear manually charged "/>
    <s v="Close"/>
    <n v="0.16632850241545893"/>
    <n v="1"/>
    <m/>
    <m/>
  </r>
  <r>
    <n v="2683"/>
    <n v="2025"/>
    <n v="2024"/>
    <s v="Year_2"/>
    <d v="2024-08-23T00:00:00"/>
    <s v="KUD20"/>
    <s v="O2R1"/>
    <s v="KSIPL"/>
    <n v="4.3478260869565223E-2"/>
    <n v="4235"/>
    <x v="93"/>
    <s v="Gen Stator CB Open"/>
    <s v="Breakdown"/>
    <d v="1899-12-30T15:00:28"/>
    <d v="1899-12-30T15:00:28"/>
    <d v="1899-12-30T15:31:28"/>
    <d v="1899-12-30T00:00:00"/>
    <n v="0.5166666666666675"/>
    <n v="0.5166666666666675"/>
    <s v="Auto reset"/>
    <s v="Close"/>
    <n v="2.2463768115942067E-2"/>
    <n v="1"/>
    <m/>
    <m/>
  </r>
  <r>
    <n v="2684"/>
    <n v="2025"/>
    <n v="2024"/>
    <s v="Year_2"/>
    <d v="2024-08-23T00:00:00"/>
    <s v="KUD21"/>
    <s v="O2R3"/>
    <s v="JK"/>
    <n v="4.3478260869565223E-2"/>
    <n v="309"/>
    <x v="149"/>
    <s v="Pause over RCS 13"/>
    <s v="Manual Stop"/>
    <d v="1899-12-30T15:00:28"/>
    <d v="1899-12-30T15:00:28"/>
    <d v="1899-12-30T16:34:23"/>
    <d v="1899-12-30T00:00:00"/>
    <n v="1.5652777777777764"/>
    <n v="1.5652777777777764"/>
    <s v="Delay due to KUD 18 ups off condition"/>
    <s v="Close"/>
    <n v="6.8055555555555508E-2"/>
    <n v="1"/>
    <m/>
    <m/>
  </r>
  <r>
    <n v="2685"/>
    <n v="2025"/>
    <n v="2024"/>
    <s v="Year_2"/>
    <d v="2024-08-23T00:00:00"/>
    <s v="KUD22"/>
    <s v="O2R3"/>
    <s v="JK"/>
    <n v="4.3478260869565223E-2"/>
    <n v="2676"/>
    <x v="124"/>
    <s v="UPS error"/>
    <s v="Breakdown"/>
    <d v="1899-12-30T15:00:28"/>
    <d v="1899-12-30T15:00:28"/>
    <d v="1899-12-30T18:05:12"/>
    <d v="1899-12-30T00:00:00"/>
    <n v="3.0788888888888888"/>
    <n v="3.0788888888888888"/>
    <s v="Switchgear manually charged "/>
    <s v="Close"/>
    <n v="0.13386473429951692"/>
    <n v="1"/>
    <m/>
    <m/>
  </r>
  <r>
    <n v="2686"/>
    <n v="2025"/>
    <n v="2024"/>
    <s v="Year_2"/>
    <d v="2024-08-23T00:00:00"/>
    <s v="KUD22"/>
    <s v="O2R3"/>
    <s v="JK"/>
    <n v="4.3478260869565223E-2"/>
    <n v="5197"/>
    <x v="54"/>
    <s v="Prop Valve C Status Fault"/>
    <s v="Breakdown"/>
    <d v="1899-12-30T20:15:15"/>
    <d v="1899-12-30T20:15:15"/>
    <d v="1899-12-30T23:59:00"/>
    <d v="1899-12-30T00:00:00"/>
    <n v="3.7291666666666661"/>
    <n v="3.7291666666666661"/>
    <s v="It has been observed proportional valve C malfunction so sometimes blade velocity reduced. Replacement work in progress…"/>
    <s v="Close"/>
    <n v="0.16213768115942029"/>
    <n v="1"/>
    <m/>
    <m/>
  </r>
  <r>
    <n v="2687"/>
    <n v="2025"/>
    <n v="2024"/>
    <s v="Year_2"/>
    <d v="2024-08-23T00:00:00"/>
    <s v="KUD23"/>
    <s v="O2R3"/>
    <s v="JK"/>
    <n v="4.3478260869565223E-2"/>
    <n v="309"/>
    <x v="149"/>
    <s v="Pause over RCS 13"/>
    <s v="Manual Stop"/>
    <d v="1899-12-30T15:00:28"/>
    <d v="1899-12-30T15:00:28"/>
    <d v="1899-12-30T16:34:34"/>
    <d v="1899-12-30T00:00:00"/>
    <n v="1.5683333333333334"/>
    <n v="1.5683333333333334"/>
    <s v="Delay due to KUD 22 ups off condition"/>
    <s v="Close"/>
    <n v="6.8188405797101462E-2"/>
    <n v="1"/>
    <m/>
    <m/>
  </r>
  <r>
    <n v="2688"/>
    <n v="2025"/>
    <n v="2024"/>
    <s v="Year_2"/>
    <d v="2024-08-24T00:00:00"/>
    <s v="KUD01"/>
    <s v="O2R1"/>
    <s v="KSIPL"/>
    <n v="4.3478260869565223E-2"/>
    <n v="450"/>
    <x v="127"/>
    <s v="Ext. High I sum Grd inv."/>
    <s v="Breakdown"/>
    <d v="1899-12-30T15:15:31"/>
    <d v="1899-12-30T15:15:31"/>
    <d v="1899-12-30T15:24:30"/>
    <d v="1899-12-30T00:00:00"/>
    <n v="0.14972222222222253"/>
    <n v="0.14972222222222253"/>
    <s v="Auto reset"/>
    <s v="Close"/>
    <n v="6.5096618357488069E-3"/>
    <n v="1"/>
    <n v="0.34799999999999998"/>
    <m/>
  </r>
  <r>
    <n v="2689"/>
    <n v="2025"/>
    <n v="2024"/>
    <s v="Year_2"/>
    <d v="2024-08-24T00:00:00"/>
    <s v="KUD04"/>
    <s v="O2R3"/>
    <s v="JK"/>
    <n v="4.3478260869565223E-2"/>
    <n v="4235"/>
    <x v="93"/>
    <s v="Gen Stator CB Open"/>
    <s v="Breakdown"/>
    <d v="1899-12-30T18:56:31"/>
    <d v="1899-12-30T18:56:31"/>
    <d v="1899-12-30T19:06:02"/>
    <d v="1899-12-30T00:00:00"/>
    <n v="0.15861111111111104"/>
    <n v="0.15861111111111104"/>
    <s v="Auto reset"/>
    <s v="Close"/>
    <n v="6.896135265700481E-3"/>
    <n v="1"/>
    <m/>
    <m/>
  </r>
  <r>
    <n v="2690"/>
    <n v="2025"/>
    <n v="2024"/>
    <s v="Year_2"/>
    <d v="2024-08-24T00:00:00"/>
    <s v="KUD07"/>
    <s v="O2R3"/>
    <s v="JK"/>
    <n v="4.3478260869565223E-2"/>
    <n v="4987"/>
    <x v="183"/>
    <s v="GenSpd:62.8RPM, Ref:   0.0 RPM"/>
    <s v="Breakdown"/>
    <d v="1899-12-30T18:30:36"/>
    <d v="1899-12-30T18:30:36"/>
    <d v="1899-12-30T18:48:49"/>
    <d v="1899-12-30T00:00:00"/>
    <n v="0.30361111111111239"/>
    <n v="0.30361111111111239"/>
    <s v="Auto reset"/>
    <s v="Close"/>
    <n v="1.3200483091787497E-2"/>
    <n v="1"/>
    <n v="0.36899999999999999"/>
    <m/>
  </r>
  <r>
    <n v="2691"/>
    <n v="2025"/>
    <n v="2024"/>
    <s v="Year_2"/>
    <d v="2024-08-24T00:00:00"/>
    <s v="KUD10"/>
    <s v="O2R1"/>
    <s v="KSIPL"/>
    <n v="4.3478260869565223E-2"/>
    <n v="5196"/>
    <x v="114"/>
    <s v="Prop Valve B Status Fault"/>
    <s v="Breakdown"/>
    <d v="1899-12-30T16:57:31"/>
    <d v="1899-12-30T16:57:31"/>
    <d v="1899-12-30T17:06:06"/>
    <d v="1899-12-30T00:00:00"/>
    <n v="0.14305555555555749"/>
    <n v="0.14305555555555749"/>
    <s v="Auto reset"/>
    <s v="Close"/>
    <n v="6.2198067632851092E-3"/>
    <n v="1"/>
    <n v="0.31"/>
    <m/>
  </r>
  <r>
    <n v="2692"/>
    <n v="2025"/>
    <n v="2024"/>
    <s v="Year_2"/>
    <d v="2024-08-24T00:00:00"/>
    <s v="KUD16"/>
    <s v="O2R2"/>
    <s v="SIL"/>
    <n v="4.3478260869565223E-2"/>
    <n v="4235"/>
    <x v="93"/>
    <s v="Gen Stator CB Open"/>
    <s v="Breakdown"/>
    <d v="1899-12-30T06:40:07"/>
    <d v="1899-12-30T06:40:07"/>
    <d v="1899-12-30T06:48:19"/>
    <d v="1899-12-30T00:00:00"/>
    <n v="0.13666666666666671"/>
    <n v="0.13666666666666671"/>
    <s v="Auto reset"/>
    <s v="Close"/>
    <n v="5.942028985507249E-3"/>
    <n v="1"/>
    <n v="0.255"/>
    <m/>
  </r>
  <r>
    <n v="2693"/>
    <n v="2025"/>
    <n v="2024"/>
    <s v="Year_2"/>
    <d v="2024-08-24T00:00:00"/>
    <s v="KUD22"/>
    <s v="O2R3"/>
    <s v="JK"/>
    <n v="4.3478260869565223E-2"/>
    <n v="5197"/>
    <x v="54"/>
    <s v="Prop Valve C Status Fault"/>
    <s v="Breakdown"/>
    <d v="1899-12-30T00:00:18"/>
    <d v="1899-12-30T00:00:18"/>
    <d v="1899-12-30T03:56:52"/>
    <d v="1899-12-30T00:00:00"/>
    <n v="3.9427777777777777"/>
    <n v="3.9427777777777777"/>
    <s v="It has been observed proportional valve C malfunction so sometimes blade velocity reduced. So we replaced new valve but after replacement blade c creates abnormal sound due to proportional valve issue.so another one replaced then resume turbine in operation."/>
    <s v="Close"/>
    <n v="0.17142512077294689"/>
    <n v="1"/>
    <n v="2.8929999999999998"/>
    <m/>
  </r>
  <r>
    <n v="2694"/>
    <n v="2025"/>
    <n v="2024"/>
    <s v="Year_2"/>
    <d v="2024-08-24T00:00:00"/>
    <s v="KUD22"/>
    <s v="O2R3"/>
    <s v="JK"/>
    <n v="4.3478260869565223E-2"/>
    <n v="5195"/>
    <x v="49"/>
    <s v="Prop Valve A Status Fault"/>
    <s v="Breakdown"/>
    <d v="1899-12-30T16:31:30"/>
    <d v="1899-12-30T16:31:30"/>
    <d v="1899-12-30T16:41:54"/>
    <d v="1899-12-30T00:00:00"/>
    <n v="0.17333333333333112"/>
    <n v="0.17333333333333112"/>
    <s v="Remote reboot done"/>
    <s v="Close"/>
    <n v="7.5362318840578755E-3"/>
    <n v="1"/>
    <n v="0.46200000000000002"/>
    <m/>
  </r>
  <r>
    <n v="2695"/>
    <n v="2025"/>
    <n v="2024"/>
    <s v="Year_2"/>
    <d v="2024-08-24T00:00:00"/>
    <s v="KUD17"/>
    <s v="O2R2"/>
    <s v="SIL"/>
    <n v="4.3478260869565223E-2"/>
    <n v="151"/>
    <x v="148"/>
    <s v="High temp. Gen bearing 1: 96Â°C"/>
    <s v="ROW"/>
    <d v="1899-12-30T00:00:00"/>
    <d v="1899-12-30T00:00:00"/>
    <d v="1899-12-30T23:59:00"/>
    <d v="1899-12-30T00:00:00"/>
    <n v="23.983333333333334"/>
    <n v="23.983333333333334"/>
    <s v="Pathway ROW"/>
    <s v="Open"/>
    <n v="0"/>
    <n v="1"/>
    <n v="14.227"/>
    <m/>
  </r>
  <r>
    <n v="2696"/>
    <n v="2025"/>
    <n v="2024"/>
    <s v="Year_2"/>
    <d v="2024-08-25T00:00:00"/>
    <s v="KUD17"/>
    <s v="O2R2"/>
    <s v="SIL"/>
    <n v="4.3478260869565223E-2"/>
    <n v="151"/>
    <x v="148"/>
    <s v="High temp. Gen bearing 1: 96Â°C"/>
    <s v="ROW"/>
    <d v="1899-12-30T00:00:00"/>
    <d v="1899-12-30T00:00:00"/>
    <d v="1899-12-30T23:59:00"/>
    <d v="1899-12-30T00:00:00"/>
    <n v="23.983333333333334"/>
    <n v="23.983333333333334"/>
    <s v="Pathway ROW"/>
    <s v="Open"/>
    <n v="0"/>
    <n v="1"/>
    <m/>
    <m/>
  </r>
  <r>
    <n v="2697"/>
    <n v="2025"/>
    <n v="2024"/>
    <s v="Year_2"/>
    <d v="2024-08-25T00:00:00"/>
    <s v="KUD14"/>
    <s v="O2R1"/>
    <s v="KSIPL"/>
    <n v="4.3478260869565223E-2"/>
    <n v="315"/>
    <x v="120"/>
    <s v="ExEx low voltage L_: ___V"/>
    <s v="Breakdown"/>
    <d v="1899-12-30T03:05:00"/>
    <d v="1899-12-30T03:05:00"/>
    <d v="1899-12-30T03:34:00"/>
    <d v="1899-12-30T00:00:00"/>
    <n v="0.48333333333333361"/>
    <n v="0.48333333333333361"/>
    <s v="Switchgear manually charged "/>
    <s v="Close"/>
    <n v="2.1014492753623205E-2"/>
    <n v="1"/>
    <m/>
    <m/>
  </r>
  <r>
    <n v="2698"/>
    <n v="2025"/>
    <n v="2024"/>
    <s v="Year_2"/>
    <d v="2024-08-25T00:00:00"/>
    <s v="KUD20"/>
    <s v="O2R1"/>
    <s v="KSIPL"/>
    <n v="4.3478260869565223E-2"/>
    <n v="315"/>
    <x v="120"/>
    <s v="ExEx low voltage L_: ___V"/>
    <s v="Breakdown"/>
    <d v="1899-12-30T03:05:00"/>
    <d v="1899-12-30T03:05:00"/>
    <d v="1899-12-30T03:46:00"/>
    <d v="1899-12-30T00:00:00"/>
    <n v="0.68333333333333357"/>
    <n v="0.68333333333333357"/>
    <s v="Switchgear manually charged "/>
    <s v="Close"/>
    <n v="2.9710144927536247E-2"/>
    <n v="1"/>
    <m/>
    <m/>
  </r>
  <r>
    <n v="2699"/>
    <n v="2025"/>
    <n v="2024"/>
    <s v="Year_2"/>
    <d v="2024-08-25T00:00:00"/>
    <s v="KUD20"/>
    <s v="O2R1"/>
    <s v="KSIPL"/>
    <n v="4.3478260869565223E-2"/>
    <n v="3806"/>
    <x v="147"/>
    <s v="HubSafetySystem Batt.Charg.Err"/>
    <s v="Breakdown"/>
    <d v="1899-12-30T03:46:00"/>
    <d v="1899-12-30T03:46:00"/>
    <d v="1899-12-30T03:56:00"/>
    <d v="1899-12-30T00:00:00"/>
    <n v="0.16666666666666674"/>
    <n v="0.16666666666666674"/>
    <s v="Auto reset after hub battery charged"/>
    <s v="Close"/>
    <n v="7.2463768115942073E-3"/>
    <n v="1"/>
    <m/>
    <m/>
  </r>
  <r>
    <n v="2700"/>
    <n v="2025"/>
    <n v="2024"/>
    <s v="Year_2"/>
    <d v="2024-08-25T00:00:00"/>
    <s v="KUD22"/>
    <s v="O2R3"/>
    <s v="JK"/>
    <n v="4.3478260869565223E-2"/>
    <n v="5196"/>
    <x v="114"/>
    <s v="Prop Valve B Status Fault"/>
    <s v="Breakdown"/>
    <d v="1899-12-30T04:19:00"/>
    <d v="1899-12-30T04:19:00"/>
    <d v="1899-12-30T04:29:00"/>
    <d v="1899-12-30T00:00:00"/>
    <n v="0.16666666666666674"/>
    <n v="0.16666666666666674"/>
    <s v="Auto reset"/>
    <s v="Close"/>
    <n v="7.2463768115942073E-3"/>
    <n v="1"/>
    <m/>
    <m/>
  </r>
  <r>
    <n v="2701"/>
    <n v="2025"/>
    <n v="2024"/>
    <s v="Year_2"/>
    <d v="2024-08-25T00:00:00"/>
    <s v="KUD22"/>
    <s v="O2R3"/>
    <s v="JK"/>
    <n v="4.3478260869565223E-2"/>
    <n v="5196"/>
    <x v="114"/>
    <s v="Prop Valve B Status Fault"/>
    <s v="Breakdown"/>
    <d v="1899-12-30T06:41:00"/>
    <d v="1899-12-30T06:41:00"/>
    <d v="1899-12-30T07:05:00"/>
    <d v="1899-12-30T00:00:00"/>
    <n v="0.39999999999999991"/>
    <n v="0.39999999999999991"/>
    <s v="Remote reboot done"/>
    <s v="Close"/>
    <n v="1.7391304347826084E-2"/>
    <n v="1"/>
    <m/>
    <m/>
  </r>
  <r>
    <n v="2702"/>
    <n v="2025"/>
    <n v="2024"/>
    <s v="Year_2"/>
    <d v="2024-08-25T00:00:00"/>
    <s v="KUD22"/>
    <s v="O2R3"/>
    <s v="JK"/>
    <n v="4.3478260869565223E-2"/>
    <n v="5196"/>
    <x v="114"/>
    <s v="Prop Valve B Status Fault"/>
    <s v="Breakdown"/>
    <d v="1899-12-30T15:25:00"/>
    <d v="1899-12-30T15:25:00"/>
    <d v="1899-12-30T16:10:00"/>
    <d v="1899-12-30T00:00:00"/>
    <n v="0.75"/>
    <n v="0.75"/>
    <s v="Remote reboot done"/>
    <s v="Close"/>
    <n v="3.2608695652173919E-2"/>
    <n v="1"/>
    <m/>
    <m/>
  </r>
  <r>
    <n v="2703"/>
    <n v="2025"/>
    <n v="2024"/>
    <s v="Year_2"/>
    <d v="2024-08-25T00:00:00"/>
    <s v="KUD22"/>
    <s v="O2R3"/>
    <s v="JK"/>
    <n v="4.3478260869565223E-2"/>
    <n v="5196"/>
    <x v="114"/>
    <s v="Prop Valve B Status Fault"/>
    <s v="Breakdown"/>
    <d v="1899-12-30T22:41:00"/>
    <d v="1899-12-30T22:41:00"/>
    <d v="1899-12-31T00:00:00"/>
    <d v="1899-12-30T00:00:00"/>
    <n v="1.3166666666666673"/>
    <n v="1.3166666666666673"/>
    <s v="Replaced Blade B propertional valve and all cable connection found lose connection blade B optical cable so correct and restored"/>
    <s v="Close"/>
    <n v="5.7246376811594238E-2"/>
    <n v="1"/>
    <m/>
    <m/>
  </r>
  <r>
    <n v="2704"/>
    <n v="2025"/>
    <n v="2024"/>
    <s v="Year_2"/>
    <d v="2024-08-26T00:00:00"/>
    <s v="KUD10"/>
    <s v="O2R1"/>
    <s v="KSIPL"/>
    <n v="4.3478260869565223E-2"/>
    <n v="5197"/>
    <x v="54"/>
    <s v="Prop Valve C Status Fault"/>
    <s v="Breakdown"/>
    <d v="1899-12-30T18:08:00"/>
    <d v="1899-12-30T18:08:00"/>
    <d v="1899-12-30T18:16:00"/>
    <d v="1899-12-30T00:00:00"/>
    <n v="0.13333333333333286"/>
    <n v="0.13333333333333286"/>
    <s v="Auto reset"/>
    <s v="Close"/>
    <n v="5.7971014492753424E-3"/>
    <n v="1"/>
    <n v="0.21099999999999999"/>
    <m/>
  </r>
  <r>
    <n v="2705"/>
    <n v="2025"/>
    <n v="2024"/>
    <s v="Year_2"/>
    <d v="2024-08-26T00:00:00"/>
    <s v="KUD17"/>
    <s v="O2R2"/>
    <s v="SIL"/>
    <n v="4.3478260869565223E-2"/>
    <n v="151"/>
    <x v="148"/>
    <s v="High temp. Gen bearing 1: 96Â°C"/>
    <s v="ROW"/>
    <d v="1899-12-30T00:00:00"/>
    <d v="1899-12-30T00:00:00"/>
    <d v="1899-12-30T23:59:00"/>
    <d v="1899-12-30T00:00:00"/>
    <n v="23.983333333333334"/>
    <n v="23.983333333333334"/>
    <s v="Pathway ROW"/>
    <s v="Open"/>
    <n v="0"/>
    <n v="1"/>
    <n v="45.743000000000002"/>
    <m/>
  </r>
  <r>
    <n v="2706"/>
    <n v="2025"/>
    <n v="2024"/>
    <s v="Year_2"/>
    <d v="2024-08-26T00:00:00"/>
    <s v="KUD22"/>
    <s v="O2R3"/>
    <s v="JK"/>
    <n v="4.3478260869565223E-2"/>
    <n v="5196"/>
    <x v="114"/>
    <s v="Prop Valve B Status Fault"/>
    <s v="Breakdown"/>
    <d v="1899-12-30T00:00:00"/>
    <d v="1899-12-30T00:00:00"/>
    <d v="1899-12-30T04:25:00"/>
    <d v="1899-12-30T00:00:00"/>
    <n v="4.416666666666667"/>
    <n v="4.416666666666667"/>
    <s v="Replaced Blade B propertional valve and all cable connection found lose connection blade B optical cable so correct and restored"/>
    <s v="Close"/>
    <n v="0.19202898550724642"/>
    <n v="1"/>
    <n v="7.6669999999999998"/>
    <m/>
  </r>
  <r>
    <n v="2707"/>
    <n v="2025"/>
    <n v="2024"/>
    <s v="Year_2"/>
    <d v="2024-08-26T00:00:00"/>
    <s v="KUD22"/>
    <s v="O2R3"/>
    <s v="JK"/>
    <n v="4.3478260869565223E-2"/>
    <n v="5196"/>
    <x v="114"/>
    <s v="Prop Valve B Status Fault"/>
    <s v="Breakdown"/>
    <d v="1899-12-30T07:48:00"/>
    <d v="1899-12-30T07:48:00"/>
    <d v="1899-12-30T08:41:00"/>
    <d v="1899-12-30T00:00:00"/>
    <n v="0.88333333333333286"/>
    <n v="0.88333333333333286"/>
    <s v="Remote reboot done"/>
    <s v="Close"/>
    <n v="3.8405797101449257E-2"/>
    <n v="1"/>
    <n v="19.149999999999999"/>
    <m/>
  </r>
  <r>
    <n v="2708"/>
    <n v="2025"/>
    <n v="2024"/>
    <s v="Year_2"/>
    <d v="2024-08-26T00:00:00"/>
    <s v="KUD22"/>
    <s v="O2R3"/>
    <s v="JK"/>
    <n v="4.3478260869565223E-2"/>
    <n v="5196"/>
    <x v="114"/>
    <s v="Prop Valve B Status Fault"/>
    <s v="Breakdown"/>
    <d v="2024-08-26T09:24:26"/>
    <d v="2024-08-26T09:24:26"/>
    <d v="2024-08-26T09:30:00"/>
    <d v="1899-12-30T00:00:00"/>
    <n v="9.2777777812443674E-2"/>
    <n v="9.2777777812443674E-2"/>
    <s v="Auto reset"/>
    <s v="Close"/>
    <n v="4.0338164266279864E-3"/>
    <n v="1"/>
    <n v="2.37"/>
    <m/>
  </r>
  <r>
    <n v="2709"/>
    <n v="2025"/>
    <n v="2024"/>
    <s v="Year_2"/>
    <d v="2024-08-26T00:00:00"/>
    <s v="KUD22"/>
    <s v="O2R3"/>
    <s v="JK"/>
    <n v="4.3478260869565223E-2"/>
    <n v="5196"/>
    <x v="114"/>
    <s v="Prop Valve B Status Fault"/>
    <s v="Breakdown"/>
    <d v="2024-08-26T09:55:19"/>
    <d v="2024-08-26T09:55:19"/>
    <d v="2024-08-26T10:00:00"/>
    <d v="1899-12-30T00:00:00"/>
    <n v="7.805555546656251E-2"/>
    <n v="7.805555546656251E-2"/>
    <s v="Auto reset"/>
    <s v="Close"/>
    <n v="3.3937198028940224E-3"/>
    <n v="1"/>
    <n v="2.0099999999999998"/>
    <m/>
  </r>
  <r>
    <n v="2710"/>
    <n v="2025"/>
    <n v="2024"/>
    <s v="Year_2"/>
    <d v="2024-08-26T00:00:00"/>
    <s v="KUD22"/>
    <s v="O2R3"/>
    <s v="JK"/>
    <n v="4.3478260869565223E-2"/>
    <n v="5196"/>
    <x v="114"/>
    <s v="Prop Valve B Status Fault"/>
    <s v="Breakdown"/>
    <d v="2024-08-26T10:45:16"/>
    <d v="2024-08-26T10:45:16"/>
    <d v="2024-08-26T11:26:08"/>
    <d v="1899-12-30T00:00:00"/>
    <n v="0.68111111124744639"/>
    <n v="0.68111111124744639"/>
    <s v="Remote reboot done"/>
    <s v="Close"/>
    <n v="2.9613526575975935E-2"/>
    <n v="1"/>
    <n v="24.03"/>
    <m/>
  </r>
  <r>
    <n v="2711"/>
    <n v="2025"/>
    <n v="2024"/>
    <s v="Year_2"/>
    <d v="2024-08-26T00:00:00"/>
    <s v="KUD22"/>
    <s v="O2R3"/>
    <s v="JK"/>
    <n v="4.3478260869565223E-2"/>
    <n v="5196"/>
    <x v="114"/>
    <s v="Prop Valve B Status Fault"/>
    <s v="Breakdown"/>
    <d v="2024-08-26T12:35:09"/>
    <d v="2024-08-26T12:35:09"/>
    <d v="2024-08-26T14:40:00"/>
    <d v="1899-12-30T00:00:00"/>
    <n v="2.0808333332533948"/>
    <n v="2.0808333332533948"/>
    <s v="Remote reboot done"/>
    <s v="Close"/>
    <n v="9.0471014489278051E-2"/>
    <n v="1"/>
    <n v="44.86"/>
    <m/>
  </r>
  <r>
    <n v="2712"/>
    <n v="2025"/>
    <n v="2024"/>
    <s v="Year_2"/>
    <d v="2024-08-26T00:00:00"/>
    <s v="KUD22"/>
    <s v="O2R3"/>
    <s v="JK"/>
    <n v="4.3478260869565223E-2"/>
    <n v="220"/>
    <x v="158"/>
    <s v="New SERVICE state: _, ____"/>
    <s v="Breakdown"/>
    <d v="2024-08-26T13:05:00"/>
    <d v="2024-08-26T13:05:00"/>
    <d v="2024-08-26T21:21:16"/>
    <d v="1899-12-30T00:00:00"/>
    <n v="8.2711111111566424"/>
    <n v="8.2711111111566424"/>
    <s v="Check all can related cercuit loop from ct6003 hub processor to can node 14 cables.Replaced blade B loadsensor controller.interchanged ct6001 module from node14 to node#05. Then resume wtg in operatio"/>
    <s v="Close"/>
    <n v="0.359613526572028"/>
    <n v="1"/>
    <n v="128.11000000000001"/>
    <m/>
  </r>
  <r>
    <n v="2713"/>
    <n v="2025"/>
    <n v="2024"/>
    <s v="Year_2"/>
    <d v="2024-08-27T00:00:00"/>
    <s v="KUD17"/>
    <s v="O2R2"/>
    <s v="SIL"/>
    <n v="4.3478260869565223E-2"/>
    <n v="151"/>
    <x v="148"/>
    <s v="High temp. Gen bearing 1: 96Â°C"/>
    <s v="ROW"/>
    <d v="1899-12-30T00:00:00"/>
    <d v="1899-12-30T00:00:00"/>
    <d v="1899-12-30T22:00:00"/>
    <d v="1899-12-30T00:00:00"/>
    <n v="22"/>
    <n v="22"/>
    <s v="Pathway ROW"/>
    <s v="Close"/>
    <n v="0"/>
    <n v="1"/>
    <n v="46.05"/>
    <m/>
  </r>
  <r>
    <n v="2714"/>
    <n v="2025"/>
    <n v="2024"/>
    <s v="Year_2"/>
    <d v="2024-08-27T00:00:00"/>
    <s v="KUD17"/>
    <s v="O2R2"/>
    <s v="SIL"/>
    <n v="4.3478260869565223E-2"/>
    <n v="151"/>
    <x v="148"/>
    <s v="High temp. Gen bearing 1: 96Â°C"/>
    <s v="Breakdown"/>
    <d v="1899-12-30T22:00:00"/>
    <d v="1899-12-30T22:00:00"/>
    <d v="1899-12-31T00:00:00"/>
    <d v="1899-12-30T00:00:00"/>
    <n v="2.0000000000000009"/>
    <n v="2.0000000000000009"/>
    <s v="Work in progress"/>
    <s v="Open"/>
    <n v="8.6956521739130488E-2"/>
    <n v="1"/>
    <n v="2.5369999999999999"/>
    <m/>
  </r>
  <r>
    <n v="2715"/>
    <n v="2025"/>
    <n v="2024"/>
    <s v="Year_2"/>
    <d v="2024-08-27T00:00:00"/>
    <s v="KUD06"/>
    <s v="O2R3"/>
    <s v="JK"/>
    <n v="4.3478260869565223E-2"/>
    <n v="910"/>
    <x v="192"/>
    <s v="Tow. acc. X Fault:__.__ m/s^2"/>
    <s v="ROW"/>
    <d v="1899-12-30T08:40:00"/>
    <d v="1899-12-30T08:40:00"/>
    <d v="1899-12-30T21:00:00"/>
    <d v="1899-12-30T00:00:00"/>
    <n v="12.333333333333332"/>
    <n v="12.333333333333332"/>
    <s v="Pathway ROW"/>
    <s v="Close"/>
    <n v="0"/>
    <n v="1"/>
    <n v="24.443000000000001"/>
    <m/>
  </r>
  <r>
    <n v="2716"/>
    <n v="2025"/>
    <n v="2024"/>
    <s v="Year_2"/>
    <d v="2024-08-27T00:00:00"/>
    <s v="KUD06"/>
    <s v="O2R3"/>
    <s v="JK"/>
    <n v="4.3478260869565223E-2"/>
    <n v="910"/>
    <x v="192"/>
    <s v="Tow. acc. X Fault:__.__ m/s^2"/>
    <s v="Breakdown"/>
    <d v="1899-12-30T21:00:00"/>
    <d v="1899-12-30T21:00:00"/>
    <d v="1899-12-31T00:00:00"/>
    <d v="1899-12-30T00:00:00"/>
    <n v="3"/>
    <n v="3"/>
    <s v="Work in progress"/>
    <s v="Open"/>
    <n v="0.13043478260869568"/>
    <n v="1"/>
    <n v="2.9980000000000002"/>
    <m/>
  </r>
  <r>
    <n v="2717"/>
    <n v="2025"/>
    <n v="2024"/>
    <s v="Year_2"/>
    <d v="2024-08-27T00:00:00"/>
    <s v="KUD10"/>
    <s v="O2R1"/>
    <s v="KSIPL"/>
    <n v="4.3478260869565223E-2"/>
    <n v="5197"/>
    <x v="54"/>
    <s v="Prop Valve C Status Fault"/>
    <s v="Breakdown"/>
    <d v="2024-08-27T00:08:56"/>
    <d v="2024-08-27T00:08:56"/>
    <d v="2024-08-27T00:17:56"/>
    <d v="1899-12-30T00:00:00"/>
    <n v="0.1499999999650754"/>
    <n v="0.1499999999650754"/>
    <s v="Auto reset"/>
    <s v="Close"/>
    <n v="6.5217391289163224E-3"/>
    <n v="1"/>
    <n v="0.65"/>
    <m/>
  </r>
  <r>
    <n v="2718"/>
    <n v="2025"/>
    <n v="2024"/>
    <s v="Year_2"/>
    <d v="2024-08-27T00:00:00"/>
    <s v="KUD10"/>
    <s v="O2R1"/>
    <s v="KSIPL"/>
    <n v="4.3478260869565223E-2"/>
    <n v="5197"/>
    <x v="54"/>
    <s v="Prop Valve C Status Fault"/>
    <s v="Breakdown"/>
    <d v="1899-12-30T03:59:15"/>
    <d v="1899-12-30T03:59:15"/>
    <d v="1899-12-30T04:07:15"/>
    <d v="1899-12-30T00:00:00"/>
    <n v="0.13333333333333353"/>
    <n v="0.13333333333333353"/>
    <s v="Auto reset"/>
    <s v="Close"/>
    <n v="5.7971014492753711E-3"/>
    <n v="1"/>
    <n v="0.61"/>
    <m/>
  </r>
  <r>
    <n v="2719"/>
    <n v="2025"/>
    <n v="2024"/>
    <s v="Year_2"/>
    <d v="2024-08-27T00:00:00"/>
    <s v="KUD10"/>
    <s v="O2R1"/>
    <s v="KSIPL"/>
    <n v="4.3478260869565223E-2"/>
    <n v="5197"/>
    <x v="54"/>
    <s v="Prop Valve C Status Fault"/>
    <s v="Breakdown"/>
    <d v="1899-12-30T11:38:10"/>
    <d v="1899-12-30T11:38:10"/>
    <d v="1899-12-30T11:44:10"/>
    <d v="1899-12-30T00:00:00"/>
    <n v="0.10000000000000098"/>
    <n v="0.10000000000000098"/>
    <s v="Auto reset"/>
    <s v="Close"/>
    <n v="4.3478260869565652E-3"/>
    <n v="1"/>
    <n v="0.63"/>
    <m/>
  </r>
  <r>
    <n v="2720"/>
    <n v="2025"/>
    <n v="2024"/>
    <s v="Year_2"/>
    <d v="2024-08-27T00:00:00"/>
    <s v="KUD04"/>
    <s v="O2R3"/>
    <s v="JK"/>
    <n v="4.3478260869565223E-2"/>
    <n v="315"/>
    <x v="120"/>
    <s v="ExEx low voltage L_: ___V"/>
    <s v="Breakdown"/>
    <d v="1899-12-30T03:15:00"/>
    <d v="1899-12-30T03:15:00"/>
    <d v="1899-12-30T03:58:00"/>
    <d v="1899-12-30T00:00:00"/>
    <n v="0.71666666666666679"/>
    <n v="0.71666666666666679"/>
    <s v="Remote reboot done"/>
    <s v="Close"/>
    <n v="3.1159420289855081E-2"/>
    <n v="1"/>
    <n v="1.4850000000000001"/>
    <m/>
  </r>
  <r>
    <n v="2721"/>
    <n v="2025"/>
    <n v="2024"/>
    <s v="Year_2"/>
    <d v="2024-08-28T00:00:00"/>
    <s v="KUD10"/>
    <s v="O2R1"/>
    <s v="KSIPL"/>
    <n v="4.3478260869565223E-2"/>
    <n v="5195"/>
    <x v="49"/>
    <s v="Prop Valve A Status Fault"/>
    <s v="Breakdown"/>
    <d v="1899-12-30T02:27:22"/>
    <d v="1899-12-30T02:27:22"/>
    <d v="1899-12-30T02:34:41"/>
    <d v="1899-12-30T00:00:00"/>
    <n v="0.1219444444444443"/>
    <n v="0.1219444444444443"/>
    <s v="Auto reset"/>
    <s v="Close"/>
    <n v="5.301932367149753E-3"/>
    <n v="1"/>
    <n v="0.45"/>
    <m/>
  </r>
  <r>
    <n v="2722"/>
    <n v="2025"/>
    <n v="2024"/>
    <s v="Year_2"/>
    <d v="2024-08-28T00:00:00"/>
    <s v="KUD10"/>
    <s v="O2R1"/>
    <s v="KSIPL"/>
    <n v="4.3478260869565223E-2"/>
    <n v="5195"/>
    <x v="49"/>
    <s v="Prop Valve A Status Fault"/>
    <s v="Breakdown"/>
    <d v="1899-12-30T13:31:29"/>
    <d v="1899-12-30T13:31:29"/>
    <d v="1899-12-30T13:38:48"/>
    <d v="1899-12-30T00:00:00"/>
    <n v="0.12194444444444397"/>
    <n v="0.12194444444444397"/>
    <s v="Auto reset"/>
    <s v="Close"/>
    <n v="5.3019323671497382E-3"/>
    <n v="1"/>
    <n v="4.8000000000000001E-2"/>
    <m/>
  </r>
  <r>
    <n v="2723"/>
    <n v="2025"/>
    <n v="2024"/>
    <s v="Year_2"/>
    <d v="2024-08-28T00:00:00"/>
    <s v="KUD14"/>
    <s v="O2R1"/>
    <s v="KSIPL"/>
    <n v="4.3478260869565223E-2"/>
    <n v="332"/>
    <x v="123"/>
    <s v="Ext. low DC voltage  ____V"/>
    <s v="Breakdown"/>
    <d v="1899-12-30T11:30:43"/>
    <d v="1899-12-30T11:30:43"/>
    <d v="1899-12-30T11:56:00"/>
    <d v="1899-12-30T00:00:00"/>
    <n v="0.42138888888888903"/>
    <n v="0.42138888888888903"/>
    <s v="Remote reboot done"/>
    <s v="Close"/>
    <n v="1.832125603864735E-2"/>
    <n v="1"/>
    <n v="0.45"/>
    <m/>
  </r>
  <r>
    <n v="2724"/>
    <n v="2025"/>
    <n v="2024"/>
    <s v="Year_2"/>
    <d v="2024-08-28T00:00:00"/>
    <s v="KUD17"/>
    <s v="O2R2"/>
    <s v="SIL"/>
    <n v="4.3478260869565223E-2"/>
    <n v="151"/>
    <x v="148"/>
    <s v="High temp. Gen bearing _:___°C"/>
    <s v="Breakdown"/>
    <d v="1899-12-30T00:00:00"/>
    <d v="1899-12-30T00:00:00"/>
    <d v="1899-12-30T08:08:00"/>
    <d v="1899-12-30T00:00:00"/>
    <n v="8.1333333333333329"/>
    <n v="8.1333333333333329"/>
    <s v="Attend and check all generator bearing related components like Luber,Grease flow,Coolling system ,PT100 sensor found normal and also done rear bearing inspection by opening rear end cover and then restored."/>
    <s v="Close"/>
    <n v="0.35362318840579715"/>
    <n v="1"/>
    <n v="10.135"/>
    <m/>
  </r>
  <r>
    <n v="2725"/>
    <n v="2025"/>
    <n v="2024"/>
    <s v="Year_2"/>
    <d v="2024-08-28T00:00:00"/>
    <s v="KUD06"/>
    <s v="O2R3"/>
    <s v="JK"/>
    <n v="4.3478260869565223E-2"/>
    <n v="910"/>
    <x v="192"/>
    <s v="Tow. acc. X Fault:__.__ m/s^2"/>
    <s v="Breakdown"/>
    <d v="1899-12-30T00:00:00"/>
    <d v="1899-12-30T00:00:00"/>
    <d v="1899-12-30T10:35:00"/>
    <d v="1899-12-30T00:00:00"/>
    <n v="10.583333333333332"/>
    <n v="10.583333333333332"/>
    <s v="Attend found accelometer sensor failure , Safety relay malfunction, Blade angle not showing so correct all and then restored."/>
    <s v="Close"/>
    <n v="0.46014492753623187"/>
    <n v="1"/>
    <n v="11.061"/>
    <m/>
  </r>
  <r>
    <n v="2726"/>
    <n v="2025"/>
    <n v="2024"/>
    <s v="Year_2"/>
    <d v="2024-08-29T00:00:00"/>
    <s v="KUD10"/>
    <s v="O2R1"/>
    <s v="KSIPL"/>
    <n v="4.3478260869565223E-2"/>
    <n v="5197"/>
    <x v="54"/>
    <s v="Prop Valve C Status Fault"/>
    <s v="Breakdown"/>
    <d v="1899-12-30T08:14:29"/>
    <d v="1899-12-30T08:14:29"/>
    <d v="1899-12-30T08:20:00"/>
    <d v="1899-12-30T00:00:00"/>
    <n v="9.1944444444444606E-2"/>
    <n v="9.1944444444444606E-2"/>
    <s v="Auto reset"/>
    <s v="Close"/>
    <n v="3.9975845410628093E-3"/>
    <n v="1"/>
    <n v="2.7E-2"/>
    <m/>
  </r>
  <r>
    <n v="2727"/>
    <n v="2025"/>
    <n v="2024"/>
    <s v="Year_2"/>
    <d v="2024-08-29T00:00:00"/>
    <s v="KUD17"/>
    <s v="O2R2"/>
    <s v="SIL"/>
    <n v="4.3478260869565223E-2"/>
    <n v="151"/>
    <x v="148"/>
    <s v="High temp. Gen bearing _:___°C"/>
    <s v="Breakdown"/>
    <d v="1899-12-30T02:59:56"/>
    <d v="1899-12-30T02:59:56"/>
    <d v="1899-12-30T05:46:33"/>
    <d v="1899-12-30T00:00:00"/>
    <n v="2.7769444444444447"/>
    <n v="2.7769444444444447"/>
    <s v=" Found suddenly increased of generator NDE temperature so replaced temperature sensor (PT100) and restored"/>
    <s v="Close"/>
    <n v="0.12073671497584544"/>
    <n v="1"/>
    <n v="2.77"/>
    <m/>
  </r>
  <r>
    <n v="2728"/>
    <n v="2025"/>
    <n v="2024"/>
    <s v="Year_2"/>
    <d v="2024-08-29T00:00:00"/>
    <s v="KUD17"/>
    <s v="O2R2"/>
    <s v="SIL"/>
    <n v="4.3478260869565223E-2"/>
    <n v="151"/>
    <x v="148"/>
    <s v="High temp. Gen bearing _:___°C"/>
    <s v="Breakdown"/>
    <d v="1899-12-30T16:38:19"/>
    <d v="1899-12-30T16:38:19"/>
    <d v="1899-12-30T20:16:51"/>
    <d v="1899-12-30T00:00:00"/>
    <n v="3.6422222222222222"/>
    <n v="3.6422222222222222"/>
    <s v="It has been observed pt100 sensor cable connected wire little loose in ++03 panel and that wire also not removed from slot . So used spare slot in that tb . Then resume wtg in operation"/>
    <s v="Close"/>
    <n v="0.15835748792270535"/>
    <n v="1"/>
    <n v="5.3179999999999996"/>
    <m/>
  </r>
  <r>
    <n v="2729"/>
    <n v="2025"/>
    <n v="2024"/>
    <s v="Year_2"/>
    <d v="2024-08-30T00:00:00"/>
    <s v="KUD10"/>
    <s v="O2R1"/>
    <s v="KSIPL"/>
    <n v="4.3478260869565223E-2"/>
    <n v="5197"/>
    <x v="54"/>
    <s v="Prop Valve C Status Fault"/>
    <s v="Breakdown"/>
    <d v="1899-12-30T07:29:00"/>
    <d v="1899-12-30T07:29:00"/>
    <d v="1899-12-30T07:44:02"/>
    <d v="1899-12-30T00:00:00"/>
    <n v="0.25055555555555564"/>
    <n v="0.25055555555555564"/>
    <s v="Auto Reset"/>
    <s v="Close"/>
    <n v="1.0893719806763289E-2"/>
    <n v="1"/>
    <n v="0.48199999999999998"/>
    <m/>
  </r>
  <r>
    <n v="2730"/>
    <n v="2025"/>
    <n v="2024"/>
    <s v="Year_2"/>
    <d v="2024-08-30T00:00:00"/>
    <s v="KUD10"/>
    <s v="O2R1"/>
    <s v="KSIPL"/>
    <n v="4.3478260869565223E-2"/>
    <n v="5197"/>
    <x v="54"/>
    <s v="Prop Valve C Status Fault"/>
    <s v="Breakdown"/>
    <d v="1899-12-30T10:12:00"/>
    <d v="1899-12-30T10:12:00"/>
    <d v="1899-12-30T10:37:35"/>
    <d v="1899-12-30T00:00:00"/>
    <n v="0.42638888888888982"/>
    <n v="0.42638888888888982"/>
    <s v="Auto Reset"/>
    <s v="Close"/>
    <n v="1.853864734299521E-2"/>
    <n v="1"/>
    <n v="0.8"/>
    <m/>
  </r>
  <r>
    <n v="2731"/>
    <n v="2025"/>
    <n v="2024"/>
    <s v="Year_2"/>
    <d v="2024-08-30T00:00:00"/>
    <s v="KUD11"/>
    <s v="O2R1"/>
    <s v="KSIPL"/>
    <n v="4.3478260869565223E-2"/>
    <n v="450"/>
    <x v="127"/>
    <s v="Ext. High I sum Grd inv."/>
    <s v="Breakdown"/>
    <d v="1899-12-30T17:28:37"/>
    <d v="1899-12-30T17:28:37"/>
    <d v="1899-12-30T17:36:39"/>
    <d v="1899-12-30T00:00:00"/>
    <n v="0.13388888888888939"/>
    <n v="0.13388888888888939"/>
    <s v="Auto Reset"/>
    <s v="Close"/>
    <n v="5.8212560386473652E-3"/>
    <n v="1"/>
    <n v="0.22900000000000001"/>
    <m/>
  </r>
  <r>
    <n v="2732"/>
    <n v="2025"/>
    <n v="2024"/>
    <s v="Year_2"/>
    <d v="2024-08-30T00:00:00"/>
    <s v="KUD13"/>
    <s v="O2R1"/>
    <s v="KSIPL"/>
    <n v="4.3478260869565223E-2"/>
    <n v="220"/>
    <x v="158"/>
    <s v="New SERVICE state: _, ____"/>
    <s v="Breakdown"/>
    <d v="1899-12-30T12:20:00"/>
    <d v="1899-12-30T12:20:00"/>
    <d v="1899-12-30T23:59:00"/>
    <d v="1899-12-30T00:00:00"/>
    <n v="11.650000000000002"/>
    <n v="11.650000000000002"/>
    <s v="After Feeder charge VAMP active so WTG inspection work in progress."/>
    <s v="Open"/>
    <n v="0.50652173913043497"/>
    <n v="1"/>
    <n v="8.09"/>
    <m/>
  </r>
  <r>
    <n v="2733"/>
    <n v="2025"/>
    <n v="2024"/>
    <s v="Year_2"/>
    <d v="2024-08-30T00:00:00"/>
    <s v="KUD14"/>
    <s v="O2R1"/>
    <s v="KSIPL"/>
    <n v="4.3478260869565223E-2"/>
    <n v="220"/>
    <x v="158"/>
    <s v="New SERVICE state: _, ____"/>
    <s v="Breakdown"/>
    <d v="1899-12-30T12:20:00"/>
    <d v="1899-12-30T12:20:00"/>
    <d v="1899-12-30T16:03:26"/>
    <d v="1899-12-30T00:00:00"/>
    <n v="3.723888888888891"/>
    <n v="3.723888888888891"/>
    <s v="After fedder charge VAMP active so trafo inspection done found all normal so reset and restored."/>
    <s v="Close"/>
    <n v="0.16190821256038659"/>
    <n v="1"/>
    <n v="6.758"/>
    <m/>
  </r>
  <r>
    <n v="2734"/>
    <n v="2025"/>
    <n v="2024"/>
    <s v="Year_2"/>
    <d v="2024-08-30T00:00:00"/>
    <s v="KUD15"/>
    <s v="O2R1"/>
    <s v="KSIPL"/>
    <n v="4.3478260869565223E-2"/>
    <n v="220"/>
    <x v="158"/>
    <s v="New SERVICE state: _, ____"/>
    <s v="Manual Stop"/>
    <d v="1899-12-30T12:20:00"/>
    <d v="1899-12-30T12:20:00"/>
    <d v="1899-12-30T13:42:29"/>
    <d v="1899-12-30T00:00:00"/>
    <n v="1.3747222222222222"/>
    <n v="1.3747222222222222"/>
    <s v="WTG manually shoutdown for Trafo inspection, After inspection found all normal so reset and restored."/>
    <s v="Close"/>
    <n v="5.9770531400966193E-2"/>
    <n v="1"/>
    <n v="1.9139999999999999"/>
    <m/>
  </r>
  <r>
    <n v="2735"/>
    <n v="2025"/>
    <n v="2024"/>
    <s v="Year_2"/>
    <d v="2024-08-30T00:00:00"/>
    <s v="KUD20"/>
    <s v="O2R1"/>
    <s v="KSIPL"/>
    <n v="4.3478260869565223E-2"/>
    <n v="220"/>
    <x v="158"/>
    <s v="New SERVICE state: _, ____"/>
    <s v="Breakdown"/>
    <d v="1899-12-30T12:20:00"/>
    <d v="1899-12-30T12:20:00"/>
    <d v="1899-12-30T14:20:00"/>
    <d v="1899-12-30T00:00:00"/>
    <n v="2.0000000000000009"/>
    <n v="2.0000000000000009"/>
    <s v="Manually charge the Switch gear."/>
    <s v="Close"/>
    <n v="8.6956521739130488E-2"/>
    <n v="1"/>
    <n v="2.8690000000000002"/>
    <m/>
  </r>
  <r>
    <n v="2736"/>
    <n v="2025"/>
    <n v="2024"/>
    <s v="Year_2"/>
    <d v="2024-08-30T00:00:00"/>
    <s v="KUD20"/>
    <s v="O2R1"/>
    <s v="KSIPL"/>
    <n v="4.3478260869565223E-2"/>
    <n v="3806"/>
    <x v="147"/>
    <s v="HubSafetySystem Batt.Charg.Err"/>
    <s v="Breakdown"/>
    <d v="1899-12-30T14:20:00"/>
    <d v="1899-12-30T14:20:00"/>
    <d v="1899-12-30T14:56:00"/>
    <d v="1899-12-30T00:00:00"/>
    <n v="0.60000000000000053"/>
    <n v="0.60000000000000053"/>
    <s v="WTG reset after battery charged."/>
    <s v="Close"/>
    <n v="2.6086956521739157E-2"/>
    <n v="1"/>
    <n v="1.2070000000000001"/>
    <m/>
  </r>
  <r>
    <n v="2737"/>
    <n v="2025"/>
    <n v="2024"/>
    <s v="Year_2"/>
    <d v="2024-08-31T00:00:00"/>
    <s v="KUD02"/>
    <s v="O2R3"/>
    <s v="JK"/>
    <n v="4.3478260869565223E-2"/>
    <n v="900"/>
    <x v="100"/>
    <s v="Pause pressed on keyboard"/>
    <s v="Manual Stop"/>
    <d v="1899-12-30T10:24:00"/>
    <d v="1899-12-30T10:24:00"/>
    <d v="1899-12-30T23:59:00"/>
    <d v="1899-12-30T00:00:00"/>
    <n v="13.583333333333332"/>
    <n v="13.583333333333332"/>
    <s v="Manually stop for Generator DE and  NDE bearing Temputure incresed related inspection."/>
    <s v="Close"/>
    <n v="0.59057971014492761"/>
    <n v="1"/>
    <m/>
    <m/>
  </r>
  <r>
    <n v="2738"/>
    <n v="2025"/>
    <n v="2024"/>
    <s v="Year_2"/>
    <d v="2024-08-31T00:00:00"/>
    <s v="KUD04"/>
    <s v="O2R3"/>
    <s v="JK"/>
    <n v="4.3478260869565223E-2"/>
    <n v="900"/>
    <x v="100"/>
    <s v="Pause pressed on keyboard"/>
    <s v="Manual Stop"/>
    <d v="1899-12-30T09:56:00"/>
    <d v="1899-12-30T09:56:00"/>
    <d v="1899-12-30T11:16:00"/>
    <d v="1899-12-30T00:00:00"/>
    <n v="1.3333333333333339"/>
    <n v="1.3333333333333339"/>
    <s v="Manually stop for Generator NDE bearing Temputure incresed related inspection"/>
    <s v="Close"/>
    <n v="5.7971014492753659E-2"/>
    <n v="1"/>
    <m/>
    <m/>
  </r>
  <r>
    <n v="2739"/>
    <n v="2025"/>
    <n v="2024"/>
    <s v="Year_2"/>
    <d v="2024-08-31T00:00:00"/>
    <s v="KUD13"/>
    <s v="O2R1"/>
    <s v="KSIPL"/>
    <n v="4.3478260869565223E-2"/>
    <n v="220"/>
    <x v="158"/>
    <s v="New SERVICE state: _, ____"/>
    <s v="Breakdown"/>
    <d v="1899-12-30T00:00:00"/>
    <d v="1899-12-30T00:00:00"/>
    <d v="1899-12-30T23:59:00"/>
    <d v="1899-12-30T00:00:00"/>
    <n v="23.983333333333334"/>
    <n v="23.983333333333334"/>
    <s v="After Feeder charge VAMP active so Transformer inspection work in progress."/>
    <s v="Open"/>
    <n v="1.042753623188406"/>
    <n v="1"/>
    <m/>
    <m/>
  </r>
  <r>
    <n v="2740"/>
    <n v="2025"/>
    <n v="2024"/>
    <s v="Year_2"/>
    <d v="2024-08-31T00:00:00"/>
    <s v="KUD22"/>
    <s v="O2R3"/>
    <s v="JK"/>
    <n v="4.3478260869565223E-2"/>
    <n v="315"/>
    <x v="120"/>
    <s v="ExEx low voltage L_: ___V"/>
    <s v="Breakdown"/>
    <d v="1899-12-30T08:45:00"/>
    <d v="1899-12-30T08:45:00"/>
    <d v="1899-12-30T10:00:00"/>
    <d v="1899-12-30T00:00:00"/>
    <n v="1.2500000000000009"/>
    <n v="1.2500000000000009"/>
    <s v="Manually charged the Switch gear"/>
    <s v="Close"/>
    <n v="5.4347826086956569E-2"/>
    <n v="1"/>
    <m/>
    <m/>
  </r>
  <r>
    <n v="2741"/>
    <n v="2025"/>
    <n v="2024"/>
    <s v="Year_2"/>
    <d v="2024-08-31T00:00:00"/>
    <s v="KUD18"/>
    <s v="O2R4"/>
    <s v="SGDCIPL"/>
    <n v="4.3478260869565223E-2"/>
    <n v="315"/>
    <x v="120"/>
    <s v="ExEx low voltage L_: ___V"/>
    <s v="Breakdown"/>
    <d v="1899-12-30T08:45:00"/>
    <d v="1899-12-30T08:45:00"/>
    <d v="1899-12-30T09:27:00"/>
    <d v="1899-12-30T00:00:00"/>
    <n v="0.70000000000000018"/>
    <n v="0.70000000000000018"/>
    <s v="Manually charged the Switch gear"/>
    <s v="Close"/>
    <n v="3.0434782608695664E-2"/>
    <n v="1"/>
    <m/>
    <m/>
  </r>
  <r>
    <n v="2742"/>
    <n v="2025"/>
    <n v="2024"/>
    <s v="Year_2"/>
    <d v="2024-09-01T00:00:00"/>
    <s v="KUD02"/>
    <s v="O2R3"/>
    <s v="JK"/>
    <n v="4.3478260869565223E-2"/>
    <n v="900"/>
    <x v="100"/>
    <s v="Pause pressed on keyboard"/>
    <s v="Manual Stop"/>
    <d v="1899-12-30T00:00:00"/>
    <d v="1899-12-30T00:00:00"/>
    <d v="1899-12-30T00:15:26"/>
    <d v="1899-12-30T00:00:00"/>
    <n v="0.25722222222222224"/>
    <n v="0.25722222222222224"/>
    <s v="Manually stop for Generator DE and  NDE bearing Temputure incresed related inspection."/>
    <s v="Close"/>
    <n v="1.1183574879227056E-2"/>
    <n v="1"/>
    <m/>
    <m/>
  </r>
  <r>
    <n v="2743"/>
    <n v="2025"/>
    <n v="2024"/>
    <s v="Year_2"/>
    <d v="2024-09-01T00:00:00"/>
    <s v="KUD10"/>
    <s v="O2R1"/>
    <s v="KSIPL"/>
    <n v="4.3478260869565223E-2"/>
    <n v="5197"/>
    <x v="54"/>
    <s v="Prop Valve C Status Fault"/>
    <s v="Breakdown"/>
    <d v="1899-12-30T05:04:00"/>
    <d v="1899-12-30T05:04:00"/>
    <d v="1899-12-30T05:08:13"/>
    <d v="1899-12-30T00:00:00"/>
    <n v="7.0277777777777883E-2"/>
    <n v="7.0277777777777883E-2"/>
    <s v="Auto Reset"/>
    <s v="Close"/>
    <n v="3.0555555555555605E-3"/>
    <n v="1"/>
    <m/>
    <m/>
  </r>
  <r>
    <n v="2744"/>
    <n v="2025"/>
    <n v="2024"/>
    <s v="Year_2"/>
    <d v="2024-09-01T00:00:00"/>
    <s v="KUD13"/>
    <s v="O2R1"/>
    <s v="KSIPL"/>
    <n v="4.3478260869565223E-2"/>
    <n v="220"/>
    <x v="158"/>
    <s v="New SERVICE state: _, ____"/>
    <s v="Breakdown"/>
    <d v="1899-12-30T00:00:00"/>
    <d v="1899-12-30T00:00:00"/>
    <d v="1899-12-30T23:59:00"/>
    <d v="1899-12-30T00:00:00"/>
    <n v="23.983333333333334"/>
    <n v="23.983333333333334"/>
    <s v="After Feeder charge VAMP active so Transformer inspection completed wtg under stopped condition."/>
    <s v="Open"/>
    <n v="1.042753623188406"/>
    <n v="1"/>
    <m/>
    <m/>
  </r>
  <r>
    <n v="2745"/>
    <n v="2025"/>
    <n v="2024"/>
    <s v="Year_2"/>
    <d v="2024-09-02T00:00:00"/>
    <s v="KUD13"/>
    <s v="O2R1"/>
    <s v="KSIPL"/>
    <n v="4.3478260869565223E-2"/>
    <n v="220"/>
    <x v="158"/>
    <s v="New SERVICE state: _, ____"/>
    <s v="Breakdown"/>
    <d v="1899-12-30T00:00:00"/>
    <d v="1899-12-30T00:00:00"/>
    <d v="1899-12-30T23:59:00"/>
    <d v="1899-12-30T00:00:00"/>
    <n v="23.983333333333334"/>
    <n v="23.983333333333334"/>
    <s v="After Feeder charge VAMP active so Transformer inspection completed wtg under stopped condition."/>
    <s v="Open"/>
    <n v="1.042753623188406"/>
    <n v="1"/>
    <m/>
    <m/>
  </r>
  <r>
    <n v="2746"/>
    <n v="2025"/>
    <n v="2024"/>
    <s v="Year_2"/>
    <d v="2024-09-02T00:00:00"/>
    <s v="KUD01"/>
    <s v="O2R1"/>
    <s v="KSIPL"/>
    <n v="4.3478260869565223E-2"/>
    <n v="450"/>
    <x v="127"/>
    <s v="Ext. High I sum Grd inv."/>
    <s v="Breakdown"/>
    <d v="1899-12-30T21:18:18"/>
    <d v="1899-12-30T21:18:18"/>
    <d v="1899-12-30T21:20:00"/>
    <d v="1899-12-30T00:00:00"/>
    <n v="2.8333333333332433E-2"/>
    <n v="2.8333333333332433E-2"/>
    <s v="Auto reset"/>
    <s v="Close"/>
    <n v="1.2318840579709756E-3"/>
    <n v="1"/>
    <m/>
    <m/>
  </r>
  <r>
    <n v="2747"/>
    <n v="2025"/>
    <n v="2024"/>
    <s v="Year_2"/>
    <d v="2024-09-02T00:00:00"/>
    <s v="KUD10"/>
    <s v="O2R1"/>
    <s v="KSIPL"/>
    <n v="4.3478260869565223E-2"/>
    <n v="5197"/>
    <x v="54"/>
    <s v="Prop Valve C Status Fault"/>
    <s v="Breakdown"/>
    <d v="1899-12-30T01:15:00"/>
    <d v="1899-12-30T01:15:00"/>
    <d v="1899-12-30T01:30:00"/>
    <d v="1899-12-30T00:00:00"/>
    <n v="0.24999999999999994"/>
    <n v="0.24999999999999994"/>
    <s v="Auto reset"/>
    <s v="Close"/>
    <n v="1.0869565217391304E-2"/>
    <n v="1"/>
    <m/>
    <m/>
  </r>
  <r>
    <n v="2748"/>
    <n v="2025"/>
    <n v="2024"/>
    <s v="Year_2"/>
    <d v="2024-09-02T00:00:00"/>
    <s v="KUD10"/>
    <s v="O2R1"/>
    <s v="KSIPL"/>
    <n v="4.3478260869565223E-2"/>
    <n v="5197"/>
    <x v="54"/>
    <s v="Prop Valve C Status Fault"/>
    <s v="Breakdown"/>
    <d v="1899-12-30T16:23:00"/>
    <d v="1899-12-30T16:23:00"/>
    <d v="1899-12-30T16:30:00"/>
    <d v="1899-12-30T00:00:00"/>
    <n v="0.11666666666666625"/>
    <n v="0.11666666666666625"/>
    <s v="Auto reset"/>
    <s v="Close"/>
    <n v="5.0724637681159243E-3"/>
    <n v="1"/>
    <m/>
    <m/>
  </r>
  <r>
    <n v="2749"/>
    <n v="2025"/>
    <n v="2024"/>
    <s v="Year_2"/>
    <d v="2024-09-02T00:00:00"/>
    <s v="KUD04"/>
    <s v="O2R3"/>
    <s v="JK"/>
    <n v="4.3478260869565223E-2"/>
    <n v="2676"/>
    <x v="124"/>
    <s v="UPS Error"/>
    <s v="Breakdown"/>
    <d v="1899-12-30T11:30:00"/>
    <d v="1899-12-30T11:30:00"/>
    <d v="1899-12-30T12:20:00"/>
    <d v="1899-12-30T00:00:00"/>
    <n v="0.83333333333333171"/>
    <n v="0.83333333333333171"/>
    <s v="Switchgear manually charged"/>
    <s v="Close"/>
    <n v="3.6231884057970946E-2"/>
    <n v="1"/>
    <m/>
    <m/>
  </r>
  <r>
    <n v="2750"/>
    <n v="2025"/>
    <n v="2024"/>
    <s v="Year_2"/>
    <d v="2024-09-02T00:00:00"/>
    <s v="KUD18"/>
    <s v="O2R4"/>
    <s v="SGDCIPL"/>
    <n v="4.3478260869565223E-2"/>
    <n v="2676"/>
    <x v="124"/>
    <s v="UPS Error"/>
    <s v="Breakdown"/>
    <d v="1899-12-30T11:30:00"/>
    <d v="1899-12-30T11:30:00"/>
    <d v="1899-12-30T12:50:00"/>
    <d v="1899-12-30T00:00:00"/>
    <n v="1.3333333333333326"/>
    <n v="1.3333333333333326"/>
    <s v="Switchgear manually charged"/>
    <s v="Close"/>
    <n v="5.7971014492753596E-2"/>
    <n v="1"/>
    <m/>
    <m/>
  </r>
  <r>
    <n v="2751"/>
    <n v="2025"/>
    <n v="2024"/>
    <s v="Year_2"/>
    <d v="2024-09-02T00:00:00"/>
    <s v="KUD22"/>
    <s v="O2R3"/>
    <s v="JK"/>
    <n v="4.3478260869565223E-2"/>
    <n v="5067"/>
    <x v="105"/>
    <s v="Pitch pos A meas. signal fault"/>
    <s v="Breakdown"/>
    <d v="1899-12-30T11:30:00"/>
    <d v="1899-12-30T11:30:00"/>
    <d v="1899-12-30T20:24:00"/>
    <d v="1899-12-30T00:00:00"/>
    <n v="8.8999999999999986"/>
    <n v="8.8999999999999986"/>
    <s v="Checked all related components and connections found CT6061 ,Blade A pitch position sensor failure so replaced and restore"/>
    <s v="Close"/>
    <n v="0.38695652173913042"/>
    <n v="1"/>
    <m/>
    <m/>
  </r>
  <r>
    <n v="2752"/>
    <n v="2025"/>
    <n v="2024"/>
    <s v="Year_2"/>
    <d v="2024-09-03T00:00:00"/>
    <s v="KUD13"/>
    <s v="O2R1"/>
    <s v="KSIPL"/>
    <n v="4.3478260869565223E-2"/>
    <n v="220"/>
    <x v="158"/>
    <s v="New SERVICE state: _, ____"/>
    <s v="Breakdown"/>
    <d v="1899-12-30T00:00:00"/>
    <d v="1899-12-30T00:00:00"/>
    <d v="1899-12-30T23:59:00"/>
    <d v="1899-12-30T00:00:00"/>
    <n v="23.983333333333334"/>
    <n v="23.983333333333334"/>
    <s v="After Feeder charge VAMP active so Transformer inspection completed wtg under stopped condition."/>
    <s v="Open"/>
    <n v="1.042753623188406"/>
    <n v="1"/>
    <m/>
    <m/>
  </r>
  <r>
    <n v="2753"/>
    <n v="2025"/>
    <n v="2024"/>
    <s v="Year_2"/>
    <d v="2024-09-03T00:00:00"/>
    <s v="KUD10"/>
    <s v="O2R1"/>
    <s v="KSIPL"/>
    <n v="4.3478260869565223E-2"/>
    <n v="5197"/>
    <x v="54"/>
    <s v="Prop Valve C Status Fault"/>
    <s v="Breakdown"/>
    <d v="1899-12-30T08:47:00"/>
    <d v="1899-12-30T08:47:00"/>
    <d v="1899-12-30T08:50:00"/>
    <d v="1899-12-30T00:00:00"/>
    <n v="5.0000000000001155E-2"/>
    <n v="5.0000000000001155E-2"/>
    <s v="Auto reset"/>
    <s v="Close"/>
    <n v="2.1739130434783112E-3"/>
    <n v="1"/>
    <n v="0.115"/>
    <m/>
  </r>
  <r>
    <n v="2754"/>
    <n v="2025"/>
    <n v="2024"/>
    <s v="Year_2"/>
    <d v="2024-09-03T00:00:00"/>
    <s v="KUD10"/>
    <s v="O2R1"/>
    <s v="KSIPL"/>
    <n v="4.3478260869565223E-2"/>
    <n v="5197"/>
    <x v="54"/>
    <s v="Prop Valve C Status Fault"/>
    <s v="Breakdown"/>
    <d v="1899-12-30T09:07:00"/>
    <d v="1899-12-30T09:07:00"/>
    <d v="1899-12-30T16:04:00"/>
    <d v="1899-12-30T00:00:00"/>
    <n v="6.9499999999999993"/>
    <n v="6.9499999999999993"/>
    <s v="Checked all CT modules all cable connections found blade C pitch position sensor to edge sensor cable slightly loose condition so correct it and restore"/>
    <s v="Close"/>
    <n v="0.30217391304347829"/>
    <n v="1"/>
    <n v="11.276"/>
    <m/>
  </r>
  <r>
    <n v="2755"/>
    <n v="2025"/>
    <n v="2024"/>
    <s v="Year_2"/>
    <d v="2024-09-03T00:00:00"/>
    <s v="KUD11"/>
    <s v="O2R1"/>
    <s v="KSIPL"/>
    <n v="4.3478260869565223E-2"/>
    <n v="450"/>
    <x v="127"/>
    <s v="Ext. High I sum Grd inv."/>
    <s v="Breakdown"/>
    <d v="1899-12-30T19:11:00"/>
    <d v="1899-12-30T19:11:00"/>
    <d v="1899-12-30T19:20:00"/>
    <d v="1899-12-30T00:00:00"/>
    <n v="0.14999999999999947"/>
    <n v="0.14999999999999947"/>
    <s v="Auto reset"/>
    <s v="Close"/>
    <n v="6.5217391304347606E-3"/>
    <n v="1"/>
    <n v="0.20399999999999999"/>
    <m/>
  </r>
  <r>
    <n v="2756"/>
    <n v="2025"/>
    <n v="2024"/>
    <s v="Year_2"/>
    <d v="2024-09-04T00:00:00"/>
    <s v="KUD13"/>
    <s v="O2R1"/>
    <s v="KSIPL"/>
    <n v="4.3478260869565223E-2"/>
    <n v="220"/>
    <x v="158"/>
    <s v="New SERVICE state: _, ____"/>
    <s v="Breakdown"/>
    <d v="1899-12-30T00:00:00"/>
    <d v="1899-12-30T00:00:00"/>
    <d v="1899-12-30T23:59:00"/>
    <d v="1899-12-30T00:00:00"/>
    <n v="23.983333333333334"/>
    <n v="23.983333333333334"/>
    <s v="After Feeder charge VAMP active so Transformer inspection completed wtg under stopped condition."/>
    <s v="Open"/>
    <n v="1.042753623188406"/>
    <n v="1"/>
    <m/>
    <m/>
  </r>
  <r>
    <n v="2757"/>
    <n v="2025"/>
    <n v="2024"/>
    <s v="Year_2"/>
    <d v="2024-09-05T00:00:00"/>
    <s v="KUD13"/>
    <s v="O2R1"/>
    <s v="KSIPL"/>
    <n v="4.3478260869565223E-2"/>
    <n v="220"/>
    <x v="158"/>
    <s v="New SERVICE state: _, ____"/>
    <s v="Breakdown"/>
    <d v="1899-12-30T00:00:00"/>
    <d v="1899-12-30T00:00:00"/>
    <d v="1899-12-30T23:59:00"/>
    <d v="1899-12-30T00:00:00"/>
    <n v="23.983333333333334"/>
    <n v="23.983333333333334"/>
    <s v="After Feeder charge VAMP active so Transformer inspection completed wtg under stopped condition."/>
    <s v="Open"/>
    <n v="1.042753623188406"/>
    <n v="1"/>
    <m/>
    <m/>
  </r>
  <r>
    <n v="2758"/>
    <n v="2025"/>
    <n v="2024"/>
    <s v="Year_2"/>
    <d v="2024-09-06T00:00:00"/>
    <s v="KUD13"/>
    <s v="O2R1"/>
    <s v="KSIPL"/>
    <n v="4.3478260869565223E-2"/>
    <n v="220"/>
    <x v="158"/>
    <s v="New SERVICE state: _, ____"/>
    <s v="Breakdown"/>
    <d v="1899-12-30T00:00:00"/>
    <d v="1899-12-30T00:00:00"/>
    <d v="1899-12-30T23:59:00"/>
    <d v="1899-12-30T00:00:00"/>
    <n v="23.983333333333334"/>
    <n v="23.983333333333334"/>
    <s v="After Feeder charge VAMP active so Transformer inspection completed wtg under stopped condition."/>
    <s v="Open"/>
    <n v="1.042753623188406"/>
    <n v="1"/>
    <m/>
    <m/>
  </r>
  <r>
    <n v="2759"/>
    <n v="2025"/>
    <n v="2024"/>
    <s v="Year_2"/>
    <d v="2024-09-06T00:00:00"/>
    <s v="KUD01"/>
    <s v="O2R1"/>
    <s v="KSIPL"/>
    <n v="4.3478260869565223E-2"/>
    <n v="450"/>
    <x v="127"/>
    <s v="Ext. High I sum Grd inv."/>
    <s v="Breakdown"/>
    <d v="1899-12-30T14:09:49"/>
    <d v="1899-12-30T14:09:49"/>
    <d v="1899-12-30T14:20:22"/>
    <d v="1899-12-30T00:00:00"/>
    <n v="0.17583333333333417"/>
    <n v="0.17583333333333417"/>
    <s v="Auto reset"/>
    <s v="Close"/>
    <n v="7.6449275362319219E-3"/>
    <n v="1"/>
    <m/>
    <m/>
  </r>
  <r>
    <n v="2760"/>
    <n v="2025"/>
    <n v="2024"/>
    <s v="Year_2"/>
    <d v="2024-09-07T00:00:00"/>
    <s v="KUD13"/>
    <s v="O2R1"/>
    <s v="KSIPL"/>
    <n v="4.3478260869565223E-2"/>
    <n v="220"/>
    <x v="158"/>
    <s v="New SERVICE state: _, ____"/>
    <s v="Breakdown"/>
    <d v="1899-12-30T00:00:00"/>
    <d v="1899-12-30T00:00:00"/>
    <d v="1899-12-30T23:59:59"/>
    <d v="1899-12-30T00:00:00"/>
    <n v="23.999722222222225"/>
    <n v="23.999722222222225"/>
    <s v="After Feeder charge VAMP active so Transformer inspection completed wtg under stopped condition."/>
    <s v="Open"/>
    <n v="1.0434661835748795"/>
    <n v="1"/>
    <m/>
    <m/>
  </r>
  <r>
    <n v="2761"/>
    <n v="2025"/>
    <n v="2024"/>
    <s v="Year_2"/>
    <d v="2024-09-07T00:00:00"/>
    <s v="KUD12"/>
    <s v="O2R1"/>
    <s v="KSIPL"/>
    <n v="4.3478260869565223E-2"/>
    <n v="2676"/>
    <x v="124"/>
    <s v="UPS Error"/>
    <s v="Breakdown"/>
    <d v="1899-12-30T13:00:00"/>
    <d v="1899-12-30T13:00:00"/>
    <d v="1899-12-30T14:12:00"/>
    <d v="1899-12-30T00:00:00"/>
    <n v="1.2000000000000011"/>
    <n v="1.2000000000000011"/>
    <s v="Switchgear manually charged"/>
    <s v="Close"/>
    <n v="5.2173913043478314E-2"/>
    <n v="1"/>
    <m/>
    <m/>
  </r>
  <r>
    <n v="2762"/>
    <n v="2025"/>
    <n v="2024"/>
    <s v="Year_2"/>
    <d v="2024-09-08T00:00:00"/>
    <s v="KUD13"/>
    <s v="O2R1"/>
    <s v="KSIPL"/>
    <n v="4.3478260869565223E-2"/>
    <n v="220"/>
    <x v="158"/>
    <s v="New SERVICE state: _, ____"/>
    <s v="Breakdown"/>
    <d v="1899-12-30T00:00:00"/>
    <d v="1899-12-30T00:00:00"/>
    <d v="1899-12-30T23:59:59"/>
    <d v="1899-12-30T00:00:00"/>
    <n v="23.999722222222225"/>
    <n v="23.999722222222225"/>
    <s v="After Feeder charge VAMP active so Transformer inspection completed wtg under stopped condition."/>
    <s v="Open"/>
    <n v="1.0434661835748795"/>
    <n v="1"/>
    <m/>
    <m/>
  </r>
  <r>
    <n v="2763"/>
    <n v="2025"/>
    <n v="2024"/>
    <s v="Year_2"/>
    <d v="2024-09-09T00:00:00"/>
    <s v="KUD13"/>
    <s v="O2R1"/>
    <s v="KSIPL"/>
    <n v="4.3478260869565223E-2"/>
    <n v="931"/>
    <x v="186"/>
    <s v="Arc light detected"/>
    <s v="Breakdown"/>
    <d v="1899-12-30T00:00:00"/>
    <d v="1899-12-30T00:00:00"/>
    <d v="1899-12-30T23:59:59"/>
    <d v="1899-12-30T00:00:00"/>
    <n v="23.999722222222225"/>
    <n v="23.999722222222225"/>
    <s v="After Feeder charge VAMP active so Transformer inspection completed wtg under stopped condition."/>
    <s v="Open"/>
    <n v="1.0434661835748795"/>
    <n v="1"/>
    <m/>
    <m/>
  </r>
  <r>
    <n v="2764"/>
    <n v="2025"/>
    <n v="2024"/>
    <s v="Year_2"/>
    <d v="2024-09-09T00:00:00"/>
    <s v="KUD01"/>
    <s v="O2R1"/>
    <s v="KSIPL"/>
    <n v="4.3478260869565223E-2"/>
    <n v="450"/>
    <x v="127"/>
    <s v="Ext. High I sum Grd inv."/>
    <s v="Breakdown"/>
    <d v="1899-12-30T01:10:05"/>
    <d v="1899-12-30T01:10:05"/>
    <d v="1899-12-30T01:19:46"/>
    <d v="1899-12-30T00:00:00"/>
    <n v="0.16138888888888886"/>
    <n v="0.16138888888888886"/>
    <s v="Auto reset"/>
    <s v="Close"/>
    <n v="7.0169082125603865E-3"/>
    <n v="1"/>
    <m/>
    <m/>
  </r>
  <r>
    <n v="2765"/>
    <n v="2025"/>
    <n v="2024"/>
    <s v="Year_2"/>
    <d v="2024-09-09T00:00:00"/>
    <s v="KUD11"/>
    <s v="O2R1"/>
    <s v="KSIPL"/>
    <n v="4.3478260869565223E-2"/>
    <n v="450"/>
    <x v="127"/>
    <s v="Ext. High I sum Grd inv."/>
    <s v="Breakdown"/>
    <d v="1899-12-30T04:38:31"/>
    <d v="1899-12-30T04:38:31"/>
    <d v="1899-12-30T04:46:12"/>
    <d v="1899-12-30T00:00:00"/>
    <n v="0.12805555555555581"/>
    <n v="0.12805555555555581"/>
    <s v="Auto reset"/>
    <s v="Close"/>
    <n v="5.567632850241558E-3"/>
    <n v="1"/>
    <m/>
    <m/>
  </r>
  <r>
    <n v="2766"/>
    <n v="2025"/>
    <n v="2024"/>
    <s v="Year_2"/>
    <d v="2024-09-10T00:00:00"/>
    <s v="KUD11"/>
    <s v="O2R1"/>
    <s v="KSIPL"/>
    <n v="4.3478260869565223E-2"/>
    <n v="3806"/>
    <x v="147"/>
    <s v="HubSafetySystem Batt.Charg.Err"/>
    <s v="Breakdown"/>
    <d v="1899-12-30T16:28:00"/>
    <d v="1899-12-30T16:28:00"/>
    <d v="1899-12-30T16:30:00"/>
    <d v="1899-12-30T00:00:00"/>
    <n v="3.3333333333333215E-2"/>
    <n v="3.3333333333333215E-2"/>
    <s v="Auto reset"/>
    <s v="Close"/>
    <n v="1.4492753623188356E-3"/>
    <n v="1"/>
    <n v="0.161"/>
    <m/>
  </r>
  <r>
    <n v="2767"/>
    <n v="2025"/>
    <n v="2024"/>
    <s v="Year_2"/>
    <d v="2024-09-10T00:00:00"/>
    <s v="KUD13"/>
    <s v="O2R1"/>
    <s v="KSIPL"/>
    <n v="4.3478260869565223E-2"/>
    <n v="931"/>
    <x v="186"/>
    <s v="Arc light detected"/>
    <s v="Breakdown"/>
    <d v="1899-12-30T00:00:00"/>
    <d v="1899-12-30T00:00:00"/>
    <d v="1899-12-30T23:59:00"/>
    <d v="1899-12-30T00:00:00"/>
    <n v="23.983333333333334"/>
    <n v="23.983333333333334"/>
    <s v="After Feeder charge VAMP active so Transformer inspection completed wtg under stopped condition."/>
    <s v="Open"/>
    <n v="1.042753623188406"/>
    <n v="1"/>
    <n v="37.569000000000003"/>
    <m/>
  </r>
  <r>
    <n v="2768"/>
    <n v="2025"/>
    <n v="2024"/>
    <s v="Year_2"/>
    <d v="2024-09-10T00:00:00"/>
    <s v="KUD04"/>
    <s v="O2R3"/>
    <s v="JK"/>
    <n v="4.3478260869565223E-2"/>
    <n v="315"/>
    <x v="120"/>
    <s v="ExEx low voltage L_: ___V"/>
    <s v="Breakdown"/>
    <d v="1899-12-30T11:40:00"/>
    <d v="1899-12-30T11:40:00"/>
    <d v="1899-12-30T14:22:00"/>
    <d v="1899-12-30T00:00:00"/>
    <n v="2.6999999999999997"/>
    <n v="2.6999999999999997"/>
    <s v="UPS Manually charged and restored"/>
    <s v="Close"/>
    <n v="0.11739130434782609"/>
    <n v="1"/>
    <n v="5.1479999999999997"/>
    <m/>
  </r>
  <r>
    <n v="2769"/>
    <n v="2025"/>
    <n v="2024"/>
    <s v="Year_2"/>
    <d v="2024-09-10T00:00:00"/>
    <s v="KUD05"/>
    <s v="O2R3"/>
    <s v="JK"/>
    <n v="4.3478260869565223E-2"/>
    <n v="315"/>
    <x v="120"/>
    <s v="ExEx low voltage L_: ___V"/>
    <s v="Breakdown"/>
    <d v="1899-12-30T11:40:00"/>
    <d v="1899-12-30T11:40:00"/>
    <d v="1899-12-30T13:11:00"/>
    <d v="1899-12-30T00:00:00"/>
    <n v="1.5166666666666679"/>
    <n v="1.5166666666666679"/>
    <s v="UPS Manually charged and restored"/>
    <s v="Close"/>
    <n v="6.5942028985507314E-2"/>
    <n v="1"/>
    <n v="2.5960000000000001"/>
    <m/>
  </r>
  <r>
    <n v="2770"/>
    <n v="2025"/>
    <n v="2024"/>
    <s v="Year_2"/>
    <d v="2024-09-10T00:00:00"/>
    <s v="KUD16"/>
    <s v="O2R2"/>
    <s v="SIL"/>
    <n v="4.3478260869565223E-2"/>
    <n v="315"/>
    <x v="120"/>
    <s v="ExEx low voltage L_: ___V"/>
    <s v="Breakdown"/>
    <d v="1899-12-30T11:40:00"/>
    <d v="1899-12-30T11:40:00"/>
    <d v="1899-12-30T13:41:00"/>
    <d v="1899-12-30T00:00:00"/>
    <n v="2.0166666666666662"/>
    <n v="2.0166666666666662"/>
    <s v="UPS Manually charged and restored"/>
    <s v="Close"/>
    <n v="8.7681159420289839E-2"/>
    <n v="1"/>
    <n v="4.0860000000000003"/>
    <m/>
  </r>
  <r>
    <n v="2771"/>
    <n v="2025"/>
    <n v="2024"/>
    <s v="Year_2"/>
    <d v="2024-09-11T00:00:00"/>
    <s v="KUD11"/>
    <s v="O2R1"/>
    <s v="KSIPL"/>
    <n v="4.3478260869565223E-2"/>
    <n v="450"/>
    <x v="127"/>
    <s v="Ext. High I sum Grd inv."/>
    <s v="Breakdown"/>
    <d v="1899-12-30T09:13:00"/>
    <d v="1899-12-30T09:13:00"/>
    <d v="1899-12-30T09:15:00"/>
    <d v="1899-12-30T00:00:00"/>
    <n v="3.3333333333333215E-2"/>
    <n v="3.3333333333333215E-2"/>
    <s v="Auto reset"/>
    <s v="Close"/>
    <n v="1.4492753623188356E-3"/>
    <n v="1"/>
    <n v="1E-3"/>
    <m/>
  </r>
  <r>
    <n v="2772"/>
    <n v="2025"/>
    <n v="2024"/>
    <s v="Year_2"/>
    <d v="2024-09-11T00:00:00"/>
    <s v="KUD13"/>
    <s v="O2R1"/>
    <s v="KSIPL"/>
    <n v="4.3478260869565223E-2"/>
    <n v="931"/>
    <x v="186"/>
    <s v="Arc light detected"/>
    <s v="Breakdown"/>
    <d v="1899-12-30T00:00:00"/>
    <d v="1899-12-30T00:00:00"/>
    <d v="1899-12-30T23:59:00"/>
    <d v="1899-12-30T00:00:00"/>
    <n v="23.983333333333334"/>
    <n v="23.983333333333334"/>
    <s v="After Feeder charge VAMP active so Transformer inspection completed wtg under stopped condition."/>
    <s v="Open"/>
    <n v="1.042753623188406"/>
    <n v="1"/>
    <n v="29.533999999999999"/>
    <m/>
  </r>
  <r>
    <n v="2773"/>
    <n v="2025"/>
    <n v="2024"/>
    <s v="Year_2"/>
    <d v="2024-09-12T00:00:00"/>
    <s v="KUD13"/>
    <s v="O2R1"/>
    <s v="KSIPL"/>
    <n v="4.3478260869565223E-2"/>
    <n v="931"/>
    <x v="186"/>
    <s v="Arc light detected"/>
    <s v="Breakdown"/>
    <d v="1899-12-30T00:00:00"/>
    <d v="1899-12-30T00:00:00"/>
    <d v="1899-12-31T00:00:00"/>
    <d v="1899-12-30T00:00:00"/>
    <n v="24"/>
    <n v="24"/>
    <s v="After Feeder charge VAMP active so Transformer inspection completed wtg under stopped condition."/>
    <s v="Open"/>
    <n v="1.0434782608695654"/>
    <n v="1"/>
    <n v="6.5000000000000002E-2"/>
    <m/>
  </r>
  <r>
    <n v="2774"/>
    <n v="2025"/>
    <n v="2024"/>
    <s v="Year_2"/>
    <d v="2024-09-12T00:00:00"/>
    <s v="KUD04"/>
    <s v="O2R3"/>
    <s v="JK"/>
    <n v="4.3478260869565223E-2"/>
    <n v="3298"/>
    <x v="47"/>
    <s v="Yaw To Cable Twist Reset"/>
    <m/>
    <d v="2024-09-12T00:10:00"/>
    <d v="2024-09-12T00:10:00"/>
    <d v="2024-09-12T00:20:55"/>
    <d v="1899-12-30T00:00:00"/>
    <n v="0.18194444436812773"/>
    <n v="0.18194444436812773"/>
    <s v="Auto cable twist relesed"/>
    <s v="Close"/>
    <n v="7.9106280160055539E-3"/>
    <n v="1"/>
    <n v="25.123000000000001"/>
    <m/>
  </r>
  <r>
    <n v="2775"/>
    <n v="2025"/>
    <n v="2024"/>
    <s v="Year_2"/>
    <d v="2024-09-13T00:00:00"/>
    <s v="KUD13"/>
    <s v="O2R1"/>
    <s v="KSIPL"/>
    <n v="4.3478260869565223E-2"/>
    <n v="931"/>
    <x v="186"/>
    <s v="Arc light detected"/>
    <s v="Breakdown"/>
    <d v="1899-12-30T00:00:00"/>
    <d v="1899-12-30T00:00:00"/>
    <d v="1899-12-31T00:00:00"/>
    <d v="1899-12-30T00:00:00"/>
    <n v="24"/>
    <n v="24"/>
    <s v="After Feeder charge VAMP active so Transformer inspection completed wtg under stopped condition."/>
    <s v="Open"/>
    <n v="1.0434782608695654"/>
    <n v="1"/>
    <n v="0.159"/>
    <m/>
  </r>
  <r>
    <n v="2776"/>
    <n v="2025"/>
    <n v="2024"/>
    <s v="Year_2"/>
    <d v="2024-09-13T00:00:00"/>
    <s v="KUD01"/>
    <s v="O2R1"/>
    <s v="KSIPL"/>
    <n v="4.3478260869565223E-2"/>
    <n v="450"/>
    <x v="127"/>
    <s v="Ext. High I sum Grd inv."/>
    <s v="Breakdown"/>
    <d v="2024-09-12T05:01:00"/>
    <d v="2024-09-12T05:01:00"/>
    <d v="2024-09-12T05:10:55"/>
    <d v="1899-12-30T00:00:00"/>
    <n v="0.1652777778217569"/>
    <n v="0.1652777778217569"/>
    <s v="Auto reset"/>
    <s v="Close"/>
    <n v="7.1859903400763878E-3"/>
    <n v="1"/>
    <n v="0.159"/>
    <m/>
  </r>
  <r>
    <n v="2777"/>
    <n v="2025"/>
    <n v="2024"/>
    <s v="Year_2"/>
    <d v="2024-09-14T00:00:00"/>
    <s v="KUD13"/>
    <s v="O2R1"/>
    <s v="KSIPL"/>
    <n v="4.3478260869565223E-2"/>
    <n v="931"/>
    <x v="186"/>
    <s v="Arc light detected"/>
    <s v="Breakdown"/>
    <d v="1899-12-30T00:00:00"/>
    <d v="1899-12-30T00:00:00"/>
    <d v="1899-12-30T23:59:59"/>
    <d v="1899-12-30T00:00:00"/>
    <n v="23.999722222222225"/>
    <n v="23.999722222222225"/>
    <s v="After Feeder charge VAMP active so Transformer inspection completed wtg under stopped condition."/>
    <s v="Open"/>
    <n v="1.0434661835748795"/>
    <n v="1"/>
    <n v="0.159"/>
    <m/>
  </r>
  <r>
    <n v="2778"/>
    <n v="2025"/>
    <n v="2024"/>
    <s v="Year_2"/>
    <d v="2024-09-14T00:00:00"/>
    <s v="KUD01"/>
    <s v="O2R1"/>
    <s v="KSIPL"/>
    <n v="4.3478260869565223E-2"/>
    <n v="450"/>
    <x v="127"/>
    <s v="Ext. High I sum Grd inv."/>
    <s v="Breakdown"/>
    <d v="1899-12-30T05:46:00"/>
    <d v="1899-12-30T05:46:00"/>
    <d v="1899-12-30T05:50:55"/>
    <d v="1899-12-30T00:00:00"/>
    <n v="8.1944444444444375E-2"/>
    <n v="8.1944444444444375E-2"/>
    <s v="Auto reset"/>
    <s v="Close"/>
    <n v="3.562801932367147E-3"/>
    <n v="1"/>
    <n v="0.159"/>
    <m/>
  </r>
  <r>
    <n v="2779"/>
    <n v="2025"/>
    <n v="2024"/>
    <s v="Year_2"/>
    <d v="2024-09-15T00:00:00"/>
    <s v="KUD13"/>
    <s v="O2R1"/>
    <s v="KSIPL"/>
    <n v="4.3478260869565223E-2"/>
    <n v="931"/>
    <x v="186"/>
    <s v="Arc light detected"/>
    <s v="Breakdown"/>
    <d v="1899-12-30T00:00:00"/>
    <d v="1899-12-30T00:00:00"/>
    <d v="1899-12-30T23:59:59"/>
    <d v="1899-12-30T00:00:00"/>
    <n v="23.999722222222225"/>
    <n v="23.999722222222225"/>
    <s v="After Feeder charge VAMP active so Transformer inspection completed wtg under stopped condition."/>
    <s v="Open"/>
    <n v="1.0434661835748795"/>
    <n v="1"/>
    <n v="24.341000000000001"/>
    <m/>
  </r>
  <r>
    <n v="2780"/>
    <n v="2025"/>
    <n v="2024"/>
    <s v="Year_2"/>
    <d v="2024-09-15T00:00:00"/>
    <s v="KUD04"/>
    <s v="O2R3"/>
    <s v="JK"/>
    <n v="4.3478260869565223E-2"/>
    <n v="2676"/>
    <x v="124"/>
    <s v="UPS Error"/>
    <s v="Breakdown"/>
    <d v="1899-12-30T16:50:00"/>
    <d v="1899-12-30T16:50:00"/>
    <d v="1899-12-30T17:41:58"/>
    <d v="1899-12-30T00:00:00"/>
    <n v="0.86611111111111239"/>
    <n v="0.86611111111111239"/>
    <s v="UPS Reboot done and restored."/>
    <s v="Close"/>
    <n v="3.7657004830917933E-2"/>
    <n v="1"/>
    <n v="1.6679999999999999"/>
    <m/>
  </r>
  <r>
    <n v="2781"/>
    <n v="2025"/>
    <n v="2024"/>
    <s v="Year_2"/>
    <d v="2024-09-15T00:00:00"/>
    <s v="KUD06"/>
    <s v="O2R3"/>
    <s v="JK"/>
    <n v="4.3478260869565223E-2"/>
    <n v="3806"/>
    <x v="147"/>
    <s v="HubSafetySystem Batt.Charg.Err"/>
    <s v="Breakdown"/>
    <d v="1899-12-30T16:50:00"/>
    <d v="1899-12-30T16:50:00"/>
    <d v="1899-12-30T17:05:25"/>
    <d v="1899-12-30T00:00:00"/>
    <n v="0.25694444444444642"/>
    <n v="0.25694444444444642"/>
    <s v="Auto reset after hub battery fully chrged."/>
    <s v="Close"/>
    <n v="1.1171497584541151E-2"/>
    <n v="1"/>
    <n v="0.57799999999999996"/>
    <m/>
  </r>
  <r>
    <n v="2782"/>
    <n v="2025"/>
    <n v="2024"/>
    <s v="Year_2"/>
    <d v="2024-09-15T00:00:00"/>
    <s v="KUD18"/>
    <s v="O2R4"/>
    <s v="SGDCIPL"/>
    <n v="4.3478260869565223E-2"/>
    <n v="315"/>
    <x v="120"/>
    <s v="ExEx low voltage L_: ___V"/>
    <s v="Breakdown"/>
    <d v="1899-12-30T16:50:00"/>
    <d v="1899-12-30T16:50:00"/>
    <d v="1899-12-30T17:11:26"/>
    <d v="1899-12-30T00:00:00"/>
    <n v="0.357222222222223"/>
    <n v="0.357222222222223"/>
    <s v="Switch gear manually charged."/>
    <s v="Close"/>
    <n v="1.5531400966183611E-2"/>
    <n v="1"/>
    <n v="1.038"/>
    <m/>
  </r>
  <r>
    <n v="2783"/>
    <n v="2025"/>
    <n v="2024"/>
    <s v="Year_2"/>
    <d v="2024-09-15T00:00:00"/>
    <s v="KUD21"/>
    <s v="O2R3"/>
    <s v="JK"/>
    <n v="4.3478260869565223E-2"/>
    <n v="315"/>
    <x v="120"/>
    <s v="ExEx low voltage L_: ___V"/>
    <s v="Breakdown"/>
    <d v="1899-12-30T16:50:00"/>
    <d v="1899-12-30T16:50:00"/>
    <d v="1899-12-30T17:50:00"/>
    <d v="1899-12-30T00:00:00"/>
    <n v="1.0000000000000018"/>
    <n v="1.0000000000000018"/>
    <s v="Manually charged switch gear"/>
    <s v="Close"/>
    <n v="4.3478260869565299E-2"/>
    <n v="1"/>
    <n v="1.968"/>
    <m/>
  </r>
  <r>
    <n v="2784"/>
    <n v="2025"/>
    <n v="2024"/>
    <s v="Year_2"/>
    <d v="2024-09-15T00:00:00"/>
    <s v="KUD21"/>
    <s v="O2R3"/>
    <s v="JK"/>
    <n v="4.3478260869565223E-2"/>
    <n v="2676"/>
    <x v="124"/>
    <s v="UPS Error"/>
    <s v="Breakdown"/>
    <d v="1899-12-30T17:51:17"/>
    <d v="1899-12-30T17:51:17"/>
    <d v="1899-12-30T20:45:56"/>
    <d v="1899-12-30T00:00:00"/>
    <n v="2.9108333333333327"/>
    <n v="2.9108333333333327"/>
    <s v="UPS battery changed and restored."/>
    <s v="Close"/>
    <n v="0.12655797101449273"/>
    <n v="1"/>
    <n v="5.3760000000000003"/>
    <m/>
  </r>
  <r>
    <n v="2785"/>
    <n v="2025"/>
    <n v="2024"/>
    <s v="Year_2"/>
    <d v="2024-09-16T00:00:00"/>
    <s v="KUD01"/>
    <s v="O2R1"/>
    <s v="KSIPL"/>
    <n v="4.3478260869565223E-2"/>
    <n v="450"/>
    <x v="127"/>
    <s v="Ext. High I sum Grd inv."/>
    <s v="Breakdown"/>
    <d v="1899-12-30T07:52:00"/>
    <d v="1899-12-30T07:52:00"/>
    <d v="1899-12-30T08:00:00"/>
    <d v="1899-12-30T00:00:00"/>
    <n v="0.13333333333333286"/>
    <n v="0.13333333333333286"/>
    <s v="Auto reset"/>
    <s v="Close"/>
    <n v="5.7971014492753424E-3"/>
    <n v="1"/>
    <n v="5.8999999999999997E-2"/>
    <m/>
  </r>
  <r>
    <n v="2786"/>
    <n v="2025"/>
    <n v="2024"/>
    <s v="Year_2"/>
    <d v="2024-09-16T00:00:00"/>
    <s v="KUD13"/>
    <s v="O2R1"/>
    <s v="KSIPL"/>
    <n v="4.3478260869565223E-2"/>
    <n v="931"/>
    <x v="186"/>
    <s v="Arc light detected"/>
    <s v="Breakdown"/>
    <d v="1899-12-30T00:00:00"/>
    <d v="1899-12-30T00:00:00"/>
    <d v="1899-12-30T23:59:00"/>
    <d v="1899-12-30T00:00:00"/>
    <n v="23.983333333333334"/>
    <n v="23.983333333333334"/>
    <s v="After Feeder charge VAMP active so Transformer inspection completed wtg under stopped condition."/>
    <s v="Open"/>
    <n v="1.042753623188406"/>
    <n v="1"/>
    <n v="27.256"/>
    <m/>
  </r>
  <r>
    <n v="2787"/>
    <n v="2025"/>
    <n v="2024"/>
    <s v="Year_2"/>
    <d v="2024-09-16T00:00:00"/>
    <s v="KUD19"/>
    <s v="O2R1"/>
    <s v="KSIPL"/>
    <n v="4.3478260869565223E-2"/>
    <n v="900"/>
    <x v="100"/>
    <s v="Pause pressed on keyboard"/>
    <s v="Manual Stop"/>
    <d v="1899-12-30T11:58:00"/>
    <d v="1899-12-30T11:58:00"/>
    <d v="1899-12-30T14:20:00"/>
    <d v="1899-12-30T00:00:00"/>
    <n v="2.3666666666666663"/>
    <n v="2.3666666666666663"/>
    <s v="Main bearing greasing and PT100 sensor checking done."/>
    <s v="Close"/>
    <n v="0.10289855072463767"/>
    <n v="1"/>
    <n v="2.9969999999999999"/>
    <m/>
  </r>
  <r>
    <n v="2788"/>
    <n v="2025"/>
    <n v="2024"/>
    <s v="Year_2"/>
    <d v="2024-09-17T00:00:00"/>
    <s v="KUD13"/>
    <s v="O2R1"/>
    <s v="KSIPL"/>
    <n v="4.3478260869565223E-2"/>
    <n v="931"/>
    <x v="186"/>
    <s v="Arc light detected"/>
    <s v="Breakdown"/>
    <d v="1899-12-30T00:00:00"/>
    <d v="1899-12-30T00:00:00"/>
    <d v="1899-12-30T23:59:00"/>
    <d v="1899-12-30T00:00:00"/>
    <n v="23.983333333333334"/>
    <n v="23.983333333333334"/>
    <s v="After Feeder charge VAMP active so Transformer inspection completed wtg under stopped condition."/>
    <s v="Open"/>
    <n v="1.042753623188406"/>
    <n v="1"/>
    <n v="21.315000000000001"/>
    <m/>
  </r>
  <r>
    <n v="2789"/>
    <n v="2025"/>
    <n v="2024"/>
    <s v="Year_2"/>
    <d v="2024-09-17T00:00:00"/>
    <s v="KUD04"/>
    <s v="O2R3"/>
    <s v="JK"/>
    <n v="4.3478260869565223E-2"/>
    <n v="2676"/>
    <x v="124"/>
    <s v="UPS Error"/>
    <s v="Breakdown"/>
    <d v="1899-12-30T07:56:00"/>
    <d v="1899-12-30T07:56:00"/>
    <d v="1899-12-30T08:29:00"/>
    <d v="1899-12-30T00:00:00"/>
    <n v="0.55000000000000071"/>
    <n v="0.55000000000000071"/>
    <s v="UPS Manually reboot"/>
    <s v="Close"/>
    <n v="2.3913043478260905E-2"/>
    <n v="1"/>
    <n v="0.36799999999999999"/>
    <m/>
  </r>
  <r>
    <n v="2790"/>
    <n v="2025"/>
    <n v="2024"/>
    <s v="Year_2"/>
    <d v="2024-09-18T00:00:00"/>
    <s v="KUD13"/>
    <s v="O2R1"/>
    <s v="KSIPL"/>
    <n v="4.3478260869565223E-2"/>
    <n v="931"/>
    <x v="186"/>
    <s v="Arc light detected"/>
    <s v="Breakdown"/>
    <d v="1899-12-30T00:00:00"/>
    <d v="1899-12-30T00:00:00"/>
    <d v="1899-12-30T23:59:00"/>
    <d v="1899-12-30T00:00:00"/>
    <n v="23.983333333333334"/>
    <n v="23.983333333333334"/>
    <s v="WTG Stop for HV transformer LV (W) Winding displacement , New transformer arrangement is Going on."/>
    <s v="Open"/>
    <n v="1.042753623188406"/>
    <n v="1"/>
    <n v="12.356"/>
    <m/>
  </r>
  <r>
    <n v="2791"/>
    <n v="2025"/>
    <n v="2024"/>
    <s v="Year_2"/>
    <d v="2024-09-19T00:00:00"/>
    <s v="KUD13"/>
    <s v="O2R1"/>
    <s v="KSIPL"/>
    <n v="4.3478260869565223E-2"/>
    <n v="931"/>
    <x v="186"/>
    <s v="Arc light detected"/>
    <s v="Breakdown"/>
    <d v="1899-12-30T00:00:00"/>
    <d v="1899-12-30T00:00:00"/>
    <d v="1899-12-30T23:59:00"/>
    <d v="1899-12-30T00:00:00"/>
    <n v="23.983333333333334"/>
    <n v="23.983333333333334"/>
    <s v="WTG Stop for HV transformer LV (W) Winding displacement , New transformer arrangement is Going on."/>
    <s v="Open"/>
    <n v="1.042753623188406"/>
    <n v="1"/>
    <n v="12.173"/>
    <m/>
  </r>
  <r>
    <n v="2792"/>
    <n v="2025"/>
    <n v="2024"/>
    <s v="Year_2"/>
    <d v="2024-09-19T00:00:00"/>
    <s v="KUD01"/>
    <s v="O2R1"/>
    <s v="KSIPL"/>
    <n v="4.3478260869565223E-2"/>
    <n v="450"/>
    <x v="127"/>
    <s v="Ext. High I sum Grd inv."/>
    <s v="Breakdown"/>
    <d v="1899-12-30T06:42:00"/>
    <d v="1899-12-30T06:42:00"/>
    <d v="1899-12-30T06:50:00"/>
    <d v="1899-12-30T00:00:00"/>
    <n v="0.13333333333333286"/>
    <n v="0.13333333333333286"/>
    <s v="Auto reset"/>
    <s v="Close"/>
    <n v="5.7971014492753424E-3"/>
    <n v="1"/>
    <n v="0.157"/>
    <m/>
  </r>
  <r>
    <n v="2793"/>
    <n v="2025"/>
    <n v="2024"/>
    <s v="Year_2"/>
    <d v="2024-09-19T00:00:00"/>
    <s v="KUD10"/>
    <s v="O2R1"/>
    <s v="KSIPL"/>
    <n v="4.3478260869565223E-2"/>
    <n v="5197"/>
    <x v="54"/>
    <s v="Prop Valve C Status Fault"/>
    <s v="Breakdown"/>
    <d v="1899-12-30T16:19:00"/>
    <d v="1899-12-30T16:19:00"/>
    <d v="1899-12-30T17:07:00"/>
    <d v="1899-12-30T00:00:00"/>
    <n v="0.79999999999999982"/>
    <n v="0.79999999999999982"/>
    <s v="Remote reboot done"/>
    <s v="Close"/>
    <n v="3.4782608695652167E-2"/>
    <n v="1"/>
    <n v="8.3000000000000004E-2"/>
    <m/>
  </r>
  <r>
    <n v="2794"/>
    <n v="2025"/>
    <n v="2024"/>
    <s v="Year_2"/>
    <d v="2024-09-19T00:00:00"/>
    <s v="KUD11"/>
    <s v="O2R1"/>
    <s v="KSIPL"/>
    <n v="4.3478260869565223E-2"/>
    <n v="450"/>
    <x v="127"/>
    <s v="Ext. High I sum Grd inv."/>
    <s v="Breakdown"/>
    <d v="1899-12-30T18:38:00"/>
    <d v="1899-12-30T18:38:00"/>
    <d v="1899-12-30T18:46:00"/>
    <d v="1899-12-30T00:00:00"/>
    <n v="0.13333333333333286"/>
    <n v="0.13333333333333286"/>
    <s v="Auto start"/>
    <s v="Close"/>
    <n v="5.7971014492753424E-3"/>
    <n v="1"/>
    <n v="0.19900000000000001"/>
    <m/>
  </r>
  <r>
    <n v="2795"/>
    <n v="2025"/>
    <n v="2024"/>
    <s v="Year_2"/>
    <d v="2024-09-19T00:00:00"/>
    <s v="KUD04"/>
    <s v="O2R3"/>
    <s v="JK"/>
    <n v="4.3478260869565223E-2"/>
    <n v="315"/>
    <x v="120"/>
    <s v="ExEx low voltage L_: ___V"/>
    <s v="Breakdown"/>
    <d v="1899-12-30T19:38:00"/>
    <d v="1899-12-30T19:38:00"/>
    <d v="1899-12-30T19:46:00"/>
    <d v="1899-12-30T00:00:00"/>
    <n v="0.13333333333333286"/>
    <n v="0.13333333333333286"/>
    <s v="Switch gear manually charged."/>
    <s v="Close"/>
    <n v="5.7971014492753424E-3"/>
    <n v="1"/>
    <n v="0.64700000000000002"/>
    <m/>
  </r>
  <r>
    <n v="2796"/>
    <n v="2025"/>
    <n v="2024"/>
    <s v="Year_2"/>
    <d v="2024-09-20T00:00:00"/>
    <s v="KUD01"/>
    <s v="O2R1"/>
    <s v="KSIPL"/>
    <n v="4.3478260869565223E-2"/>
    <n v="450"/>
    <x v="127"/>
    <s v="Ext. High I sum Grd inv."/>
    <s v="Breakdown"/>
    <d v="1899-12-30T09:47:00"/>
    <d v="1899-12-30T09:47:00"/>
    <d v="1899-12-30T09:50:00"/>
    <d v="1899-12-30T00:00:00"/>
    <n v="4.9999999999999822E-2"/>
    <n v="4.9999999999999822E-2"/>
    <s v="Auto reset"/>
    <s v="Close"/>
    <n v="2.1739130434782535E-3"/>
    <n v="1"/>
    <n v="4.2000000000000003E-2"/>
    <m/>
  </r>
  <r>
    <n v="2797"/>
    <n v="2025"/>
    <n v="2024"/>
    <s v="Year_2"/>
    <d v="2024-09-20T00:00:00"/>
    <s v="KUD12"/>
    <s v="O2R1"/>
    <s v="KSIPL"/>
    <n v="4.3478260869565223E-2"/>
    <n v="4560"/>
    <x v="161"/>
    <s v="BladeCEdgePeakLoad: ___.__ kNm"/>
    <s v="Breakdown"/>
    <d v="1899-12-30T12:44:00"/>
    <d v="1899-12-30T12:44:00"/>
    <d v="1899-12-30T14:07:00"/>
    <d v="1899-12-30T00:00:00"/>
    <n v="1.3833333333333337"/>
    <n v="1.3833333333333337"/>
    <s v="Blade sensor calibration done."/>
    <s v="Close"/>
    <n v="6.0144927536231907E-2"/>
    <n v="1"/>
    <n v="0.24"/>
    <m/>
  </r>
  <r>
    <n v="2798"/>
    <n v="2025"/>
    <n v="2024"/>
    <s v="Year_2"/>
    <d v="2024-09-20T00:00:00"/>
    <s v="KUD13"/>
    <s v="O2R1"/>
    <s v="KSIPL"/>
    <n v="4.3478260869565223E-2"/>
    <n v="931"/>
    <x v="186"/>
    <s v="Arc light detected"/>
    <s v="Breakdown"/>
    <d v="1899-12-30T00:00:00"/>
    <d v="1899-12-30T00:00:00"/>
    <d v="1899-12-30T23:59:00"/>
    <d v="1899-12-30T00:00:00"/>
    <n v="23.983333333333334"/>
    <n v="23.983333333333334"/>
    <s v="WTG Stop for HV transformer LV (W) Winding displacement , New transformer arrangement is Going on."/>
    <s v="Open"/>
    <n v="1.042753623188406"/>
    <n v="1"/>
    <n v="10.603999999999999"/>
    <m/>
  </r>
  <r>
    <n v="2799"/>
    <n v="2025"/>
    <n v="2024"/>
    <s v="Year_2"/>
    <d v="2024-09-21T00:00:00"/>
    <s v="KUD13"/>
    <s v="O2R1"/>
    <s v="KSIPL"/>
    <n v="4.3478260869565223E-2"/>
    <n v="931"/>
    <x v="186"/>
    <s v="Arc light detected"/>
    <s v="Breakdown"/>
    <d v="1899-12-30T00:00:00"/>
    <d v="1899-12-30T00:00:00"/>
    <d v="1899-12-30T23:59:00"/>
    <d v="1899-12-30T00:00:00"/>
    <n v="23.983333333333334"/>
    <n v="23.983333333333334"/>
    <s v="WTG Stop for HV transformer LV (W) Winding displacement , New transformer arrangement is Going on."/>
    <s v="Open"/>
    <n v="1.042753623188406"/>
    <n v="1"/>
    <n v="13.741"/>
    <m/>
  </r>
  <r>
    <n v="2800"/>
    <n v="2025"/>
    <n v="2024"/>
    <s v="Year_2"/>
    <d v="2024-09-21T00:00:00"/>
    <s v="KUD01"/>
    <s v="O2R1"/>
    <s v="KSIPL"/>
    <n v="4.3478260869565223E-2"/>
    <n v="450"/>
    <x v="127"/>
    <s v="Ext. High I sum Grd inv."/>
    <s v="Breakdown"/>
    <d v="1899-12-30T10:33:00"/>
    <d v="1899-12-30T10:33:00"/>
    <d v="1899-12-30T10:40:00"/>
    <d v="1899-12-30T00:00:00"/>
    <n v="0.11666666666666492"/>
    <n v="0.11666666666666492"/>
    <s v="Auto reset"/>
    <s v="Close"/>
    <n v="5.0724637681158671E-3"/>
    <n v="1"/>
    <n v="0.14499999999999999"/>
    <m/>
  </r>
  <r>
    <n v="2801"/>
    <n v="2025"/>
    <n v="2024"/>
    <s v="Year_2"/>
    <d v="2024-09-21T00:00:00"/>
    <s v="KUD12"/>
    <s v="O2R1"/>
    <s v="KSIPL"/>
    <n v="4.3478260869565223E-2"/>
    <n v="4560"/>
    <x v="161"/>
    <s v="BladeCEdgePeakLoad: ___.__ kNm"/>
    <s v="Breakdown"/>
    <d v="1899-12-30T05:50:00"/>
    <d v="1899-12-30T05:50:00"/>
    <d v="1899-12-30T06:10:00"/>
    <d v="1899-12-30T00:00:00"/>
    <n v="0.33333333333333415"/>
    <n v="0.33333333333333415"/>
    <s v="Manually reset done."/>
    <s v="Close"/>
    <n v="1.4492753623188442E-2"/>
    <n v="1"/>
    <n v="0.44700000000000001"/>
    <m/>
  </r>
  <r>
    <n v="2802"/>
    <n v="2025"/>
    <n v="2024"/>
    <s v="Year_2"/>
    <d v="2024-09-21T00:00:00"/>
    <s v="KUD12"/>
    <s v="O2R1"/>
    <s v="KSIPL"/>
    <n v="4.3478260869565223E-2"/>
    <n v="4560"/>
    <x v="161"/>
    <s v="BladeCEdgePeakLoad: ___.__ kNm"/>
    <s v="Breakdown"/>
    <d v="1899-12-30T21:01:00"/>
    <d v="1899-12-30T21:01:00"/>
    <d v="1899-12-30T21:30:00"/>
    <d v="1899-12-30T00:00:00"/>
    <n v="0.48333333333333428"/>
    <n v="0.48333333333333428"/>
    <s v="Manually reset done."/>
    <s v="Close"/>
    <n v="2.1014492753623232E-2"/>
    <n v="1"/>
    <n v="0.59699999999999998"/>
    <m/>
  </r>
  <r>
    <n v="2803"/>
    <n v="2025"/>
    <n v="2024"/>
    <s v="Year_2"/>
    <d v="2024-09-21T00:00:00"/>
    <s v="KUD04"/>
    <s v="O2R3"/>
    <s v="JK"/>
    <n v="4.3478260869565223E-2"/>
    <n v="2676"/>
    <x v="124"/>
    <s v="UPS Error"/>
    <s v="Breakdown"/>
    <d v="1899-12-30T08:00:00"/>
    <d v="1899-12-30T08:00:00"/>
    <d v="1899-12-30T08:20:00"/>
    <d v="1899-12-30T00:00:00"/>
    <n v="0.33333333333333481"/>
    <n v="0.33333333333333481"/>
    <s v="Manually reset done"/>
    <s v="Close"/>
    <n v="1.4492753623188472E-2"/>
    <n v="1"/>
    <n v="0.28499999999999998"/>
    <m/>
  </r>
  <r>
    <n v="2804"/>
    <n v="2025"/>
    <n v="2024"/>
    <s v="Year_2"/>
    <d v="2024-09-22T00:00:00"/>
    <s v="KUD01"/>
    <s v="O2R1"/>
    <s v="KSIPL"/>
    <n v="4.3478260869565223E-2"/>
    <n v="450"/>
    <x v="127"/>
    <s v="Ext. High I sum Grd inv."/>
    <s v="Breakdown"/>
    <d v="1899-12-30T03:08:00"/>
    <d v="1899-12-30T03:08:00"/>
    <d v="1899-12-30T03:14:00"/>
    <d v="1899-12-30T00:00:00"/>
    <n v="9.9999999999999645E-2"/>
    <n v="9.9999999999999645E-2"/>
    <s v="Auto reset"/>
    <s v="Close"/>
    <n v="4.347826086956507E-3"/>
    <n v="1"/>
    <n v="4.3999999999999997E-2"/>
    <m/>
  </r>
  <r>
    <n v="2805"/>
    <n v="2025"/>
    <n v="2024"/>
    <s v="Year_2"/>
    <d v="2024-09-22T00:00:00"/>
    <s v="KUD12"/>
    <s v="O2R1"/>
    <s v="KSIPL"/>
    <n v="4.3478260869565223E-2"/>
    <n v="4560"/>
    <x v="161"/>
    <s v="BladeCEdgePeakLoad:   0.00 kNm"/>
    <s v="Breakdown"/>
    <d v="1899-12-30T18:32:00"/>
    <d v="1899-12-30T18:32:00"/>
    <d v="1899-12-30T19:00:00"/>
    <d v="1899-12-30T00:00:00"/>
    <n v="0.46666666666666501"/>
    <n v="0.46666666666666501"/>
    <s v="Manually reset"/>
    <s v="Close"/>
    <n v="2.0289855072463697E-2"/>
    <n v="1"/>
    <n v="0.374"/>
    <m/>
  </r>
  <r>
    <n v="2806"/>
    <n v="2025"/>
    <n v="2024"/>
    <s v="Year_2"/>
    <d v="2024-09-22T00:00:00"/>
    <s v="KUD12"/>
    <s v="O2R1"/>
    <s v="KSIPL"/>
    <n v="4.3478260869565223E-2"/>
    <n v="4560"/>
    <x v="161"/>
    <s v="BladeCEdgePeakLoad:   0.00 kNm"/>
    <s v="Breakdown"/>
    <d v="1899-12-30T21:04:00"/>
    <d v="1899-12-30T21:04:00"/>
    <d v="1899-12-30T23:59:59"/>
    <d v="1899-12-30T00:00:00"/>
    <n v="2.933055555555554"/>
    <n v="2.933055555555554"/>
    <s v="WTG Rectification work in progress"/>
    <s v="Close"/>
    <n v="0.12752415458937194"/>
    <n v="1"/>
    <n v="0.71399999999999997"/>
    <m/>
  </r>
  <r>
    <n v="2807"/>
    <n v="2025"/>
    <n v="2024"/>
    <s v="Year_2"/>
    <d v="2024-09-22T00:00:00"/>
    <s v="KUD13"/>
    <s v="O2R1"/>
    <s v="KSIPL"/>
    <n v="4.3478260869565223E-2"/>
    <n v="931"/>
    <x v="186"/>
    <s v="Arc light detected"/>
    <s v="Breakdown"/>
    <d v="1899-12-30T00:00:00"/>
    <d v="1899-12-30T00:00:00"/>
    <d v="1899-12-30T23:59:59"/>
    <d v="1899-12-30T00:00:00"/>
    <n v="23.999722222222221"/>
    <n v="23.999722222222221"/>
    <s v="WTG Stop for HV transformer LV (W) Winding displacement , New transformer arrangement is Going on."/>
    <s v="Open"/>
    <n v="1.0434661835748793"/>
    <n v="1"/>
    <n v="10.657"/>
    <m/>
  </r>
  <r>
    <n v="2808"/>
    <n v="2025"/>
    <n v="2024"/>
    <s v="Year_2"/>
    <d v="2024-09-22T00:00:00"/>
    <s v="KUD14"/>
    <s v="O2R1"/>
    <s v="KSIPL"/>
    <n v="4.3478260869565223E-2"/>
    <n v="900"/>
    <x v="100"/>
    <s v="Pause pressed on keyboard"/>
    <s v="Manual Stop"/>
    <d v="1899-12-30T15:43:00"/>
    <d v="1899-12-30T15:43:00"/>
    <d v="1899-12-30T16:10:00"/>
    <d v="1899-12-30T00:00:00"/>
    <n v="0.45000000000000107"/>
    <n v="0.45000000000000107"/>
    <s v="Manually attend for generator all temp inspection found cooling fan fuse failed so replaced and restored "/>
    <s v="Close"/>
    <n v="1.9565217391304398E-2"/>
    <n v="1"/>
    <n v="7.8E-2"/>
    <m/>
  </r>
  <r>
    <n v="2809"/>
    <n v="2025"/>
    <n v="2024"/>
    <s v="Year_2"/>
    <d v="2024-09-22T00:00:00"/>
    <s v="KUD14"/>
    <s v="O2R1"/>
    <s v="KSIPL"/>
    <n v="4.3478260869565223E-2"/>
    <n v="900"/>
    <x v="100"/>
    <s v="Pause pressed on keyboard"/>
    <s v="Manual Stop"/>
    <d v="1899-12-30T19:46:00"/>
    <d v="1899-12-30T19:46:00"/>
    <d v="1899-12-30T20:12:00"/>
    <d v="1899-12-30T00:00:00"/>
    <n v="0.43333333333333446"/>
    <n v="0.43333333333333446"/>
    <s v="Manually attend for generator all temp inspection found cooling fan fuse failed so replaced and restored "/>
    <s v="Close"/>
    <n v="1.8840579710144977E-2"/>
    <n v="1"/>
    <n v="0.47799999999999998"/>
    <m/>
  </r>
  <r>
    <n v="2810"/>
    <n v="2025"/>
    <n v="2024"/>
    <s v="Year_2"/>
    <d v="2024-09-22T00:00:00"/>
    <s v="KUD07"/>
    <s v="O2R3"/>
    <s v="JK"/>
    <n v="4.3478260869565223E-2"/>
    <n v="900"/>
    <x v="100"/>
    <s v="Pause pressed on keyboard"/>
    <s v="Manual Stop"/>
    <d v="1899-12-30T11:30:00"/>
    <d v="1899-12-30T11:30:00"/>
    <d v="1899-12-30T13:42:00"/>
    <d v="1899-12-30T00:00:00"/>
    <n v="2.1999999999999988"/>
    <n v="2.1999999999999988"/>
    <s v="Manuaally stop for HV trafo inspection against Temp differance found all ok then restored."/>
    <s v="Close"/>
    <n v="9.565217391304344E-2"/>
    <n v="1"/>
    <n v="0.93200000000000005"/>
    <m/>
  </r>
  <r>
    <n v="2811"/>
    <n v="2025"/>
    <n v="2024"/>
    <s v="Year_2"/>
    <d v="2024-09-23T00:00:00"/>
    <s v="KUD01"/>
    <s v="O2R1"/>
    <s v="KSIPL"/>
    <n v="4.3478260869565223E-2"/>
    <n v="309"/>
    <x v="149"/>
    <s v="Pause over RCS __0"/>
    <s v="ROW"/>
    <d v="1899-12-30T11:38:00"/>
    <d v="1899-12-30T11:38:00"/>
    <d v="1899-12-30T11:53:51"/>
    <d v="1899-12-30T00:00:00"/>
    <n v="0.26416666666666666"/>
    <n v="0.26416666666666666"/>
    <s v="WTG Manually stop for 6 Month service , But plan cancelled due ROW issue."/>
    <s v="Close"/>
    <n v="0"/>
    <n v="1"/>
    <n v="2.5999999999999999E-2"/>
    <m/>
  </r>
  <r>
    <n v="2812"/>
    <n v="2025"/>
    <n v="2024"/>
    <s v="Year_2"/>
    <d v="2024-09-23T00:00:00"/>
    <s v="KUD12"/>
    <s v="O2R1"/>
    <s v="KSIPL"/>
    <n v="4.3478260869565223E-2"/>
    <n v="4560"/>
    <x v="161"/>
    <s v="BladeCEdgePeakLoad: ___.__ kNm"/>
    <s v="Breakdown"/>
    <d v="1899-12-30T00:00:00"/>
    <d v="1899-12-30T00:00:00"/>
    <d v="1899-12-30T01:31:24"/>
    <d v="1899-12-30T00:00:00"/>
    <n v="1.5233333333333334"/>
    <n v="1.5233333333333334"/>
    <s v="1.Checked blade C edge load sensor and connection all are normal condition.  2.Blade C load calibration done. 3.Checked nacelle outdoor PT100 sensor connection found CT3220 malfunctioning so replaced to new one and restored."/>
    <s v="Close"/>
    <n v="6.6231884057971022E-2"/>
    <n v="1"/>
    <n v="0.88200000000000001"/>
    <m/>
  </r>
  <r>
    <n v="2813"/>
    <n v="2025"/>
    <n v="2024"/>
    <s v="Year_2"/>
    <d v="2024-09-23T00:00:00"/>
    <s v="KUD13"/>
    <s v="O2R1"/>
    <s v="KSIPL"/>
    <n v="4.3478260869565223E-2"/>
    <n v="931"/>
    <x v="186"/>
    <s v="Arc light detected"/>
    <s v="Breakdown"/>
    <d v="1899-12-30T00:00:00"/>
    <d v="1899-12-30T00:00:00"/>
    <d v="1899-12-30T23:59:59"/>
    <d v="1899-12-30T00:00:00"/>
    <n v="23.999722222222225"/>
    <n v="23.999722222222225"/>
    <s v="WTG Stop for HV transformer LV (W) Winding displacement , New transformer arrangement is Going on."/>
    <s v="Open"/>
    <n v="1.0434661835748795"/>
    <n v="1"/>
    <n v="8.5039999999999996"/>
    <m/>
  </r>
  <r>
    <n v="2814"/>
    <n v="2025"/>
    <n v="2024"/>
    <s v="Year_2"/>
    <d v="2024-09-23T00:00:00"/>
    <s v="KUD02"/>
    <s v="O2R3"/>
    <s v="JK"/>
    <n v="4.3478260869565223E-2"/>
    <n v="900"/>
    <x v="100"/>
    <s v="Pause pressed on keyboard"/>
    <s v="Manual Stop"/>
    <d v="1899-12-30T12:21:00"/>
    <d v="1899-12-30T12:21:00"/>
    <d v="1899-12-30T18:17:00"/>
    <d v="1899-12-30T00:00:00"/>
    <n v="5.9333333333333336"/>
    <n v="5.9333333333333336"/>
    <s v="WTG Manually stop for 6 Month service ."/>
    <s v="Close"/>
    <n v="0.25797101449275367"/>
    <n v="1"/>
    <n v="1.78"/>
    <m/>
  </r>
  <r>
    <n v="2815"/>
    <n v="2025"/>
    <n v="2024"/>
    <s v="Year_2"/>
    <d v="2024-09-24T00:00:00"/>
    <s v="KUD01"/>
    <s v="O2R1"/>
    <s v="KSIPL"/>
    <n v="4.3478260869565223E-2"/>
    <n v="450"/>
    <x v="127"/>
    <s v="Ext. High I sum Grd inv."/>
    <s v="Breakdown"/>
    <d v="1899-12-30T15:25:00"/>
    <d v="1899-12-30T15:25:00"/>
    <d v="1899-12-30T15:30:00"/>
    <d v="1899-12-30T00:00:00"/>
    <n v="8.3333333333333037E-2"/>
    <n v="8.3333333333333037E-2"/>
    <s v="Auto Start"/>
    <s v="Close"/>
    <n v="3.6231884057970889E-3"/>
    <n v="1"/>
    <n v="0.15"/>
    <m/>
  </r>
  <r>
    <n v="2816"/>
    <n v="2025"/>
    <n v="2024"/>
    <s v="Year_2"/>
    <d v="2024-09-24T00:00:00"/>
    <s v="KUD08"/>
    <s v="O2R3"/>
    <s v="JK"/>
    <n v="4.3478260869565223E-2"/>
    <n v="900"/>
    <x v="100"/>
    <s v="Pause pressed on keyboard"/>
    <s v="Manual Stop"/>
    <d v="1899-12-30T11:45:00"/>
    <d v="1899-12-30T11:45:00"/>
    <d v="1899-12-30T15:21:00"/>
    <d v="1899-12-30T00:00:00"/>
    <n v="3.5999999999999992"/>
    <n v="3.5999999999999992"/>
    <s v="WTG Manually stop or HV Trafo A service"/>
    <s v="Close"/>
    <n v="0.15652173913043477"/>
    <n v="1"/>
    <n v="1.6339999999999999"/>
    <m/>
  </r>
  <r>
    <n v="2817"/>
    <n v="2025"/>
    <n v="2024"/>
    <s v="Year_2"/>
    <d v="2024-09-24T00:00:00"/>
    <s v="KUD13"/>
    <s v="O2R1"/>
    <s v="KSIPL"/>
    <n v="4.3478260869565223E-2"/>
    <n v="931"/>
    <x v="186"/>
    <s v="Arc light detected"/>
    <s v="Breakdown"/>
    <d v="1899-12-30T00:00:00"/>
    <d v="1899-12-30T00:00:00"/>
    <d v="1899-12-30T23:59:59"/>
    <d v="1899-12-30T00:00:00"/>
    <n v="23.999722222222225"/>
    <n v="23.999722222222225"/>
    <s v="WTG Stop for HV transformer LV (W) Winding displacement , New transformer arrangement is Going on."/>
    <s v="Open"/>
    <n v="1.0434661835748795"/>
    <n v="1"/>
    <n v="17.651"/>
    <m/>
  </r>
  <r>
    <n v="2818"/>
    <n v="2025"/>
    <n v="2024"/>
    <s v="Year_2"/>
    <d v="2024-09-25T00:00:00"/>
    <s v="KUD13"/>
    <s v="O2R1"/>
    <s v="KSIPL"/>
    <n v="4.3478260869565223E-2"/>
    <n v="931"/>
    <x v="186"/>
    <s v="Arc light detected"/>
    <s v="Breakdown"/>
    <d v="1899-12-30T00:00:00"/>
    <d v="1899-12-30T00:00:00"/>
    <d v="1899-12-30T23:59:59"/>
    <d v="1899-12-30T00:00:00"/>
    <n v="23.999722222222225"/>
    <n v="23.999722222222225"/>
    <s v="WTG Stop for HV transformer LV (W) Winding displacement , New transformer arrangement is Going on."/>
    <s v="Open"/>
    <n v="1.0434661835748795"/>
    <n v="1"/>
    <n v="28.17"/>
    <m/>
  </r>
  <r>
    <n v="2819"/>
    <n v="2025"/>
    <n v="2024"/>
    <s v="Year_2"/>
    <d v="2024-09-26T00:00:00"/>
    <s v="KUD11"/>
    <s v="O2R1"/>
    <s v="KSIPL"/>
    <n v="4.3478260869565223E-2"/>
    <n v="450"/>
    <x v="127"/>
    <s v="Ext. High I sum Grd inv."/>
    <s v="Breakdown"/>
    <d v="1899-12-30T09:51:00"/>
    <d v="1899-12-30T09:51:00"/>
    <d v="1899-12-30T10:00:00"/>
    <d v="1899-12-30T00:00:00"/>
    <n v="0.1500000000000008"/>
    <n v="0.1500000000000008"/>
    <s v="Auto reset"/>
    <s v="Close"/>
    <n v="6.5217391304348178E-3"/>
    <n v="1"/>
    <n v="0.28599999999999998"/>
    <m/>
  </r>
  <r>
    <n v="2820"/>
    <n v="2025"/>
    <n v="2024"/>
    <s v="Year_2"/>
    <d v="2024-09-26T00:00:00"/>
    <s v="KUD13"/>
    <s v="O2R1"/>
    <s v="KSIPL"/>
    <n v="4.3478260869565223E-2"/>
    <n v="931"/>
    <x v="186"/>
    <s v="Arc light detected"/>
    <s v="Breakdown"/>
    <d v="1899-12-30T00:00:00"/>
    <d v="1899-12-30T00:00:00"/>
    <d v="1899-12-30T23:59:59"/>
    <d v="1899-12-30T00:00:00"/>
    <n v="23.999722222222225"/>
    <n v="23.999722222222225"/>
    <s v="WTG Stop for HV transformer LV (W) Winding displacement , New transformer arrangement is Going on."/>
    <s v="Open"/>
    <n v="1.0434661835748795"/>
    <n v="1"/>
    <n v="29.966999999999999"/>
    <m/>
  </r>
  <r>
    <n v="2821"/>
    <n v="2025"/>
    <n v="2024"/>
    <s v="Year_2"/>
    <d v="2024-09-26T00:00:00"/>
    <s v="KUD20"/>
    <s v="O2R1"/>
    <s v="KSIPL"/>
    <n v="4.3478260869565223E-2"/>
    <n v="4239"/>
    <x v="40"/>
    <s v="HVCB Unknown Trip Reason"/>
    <s v="Breakdown"/>
    <d v="1899-12-30T04:57:00"/>
    <d v="1899-12-30T04:57:00"/>
    <d v="1899-12-30T05:30:00"/>
    <d v="1899-12-30T00:00:00"/>
    <n v="0.55000000000000004"/>
    <n v="0.55000000000000004"/>
    <s v="Remote reset done"/>
    <s v="Close"/>
    <n v="2.3913043478260874E-2"/>
    <n v="1"/>
    <n v="0.33800000000000002"/>
    <m/>
  </r>
  <r>
    <n v="2822"/>
    <n v="2025"/>
    <n v="2024"/>
    <s v="Year_2"/>
    <d v="2024-09-26T00:00:00"/>
    <s v="KUD23"/>
    <s v="O2R3"/>
    <s v="JK"/>
    <n v="4.3478260869565223E-2"/>
    <n v="900"/>
    <x v="100"/>
    <s v="Pause pressed on keyboard"/>
    <s v="Manual Stop"/>
    <d v="1899-12-30T08:10:00"/>
    <d v="1899-12-30T08:10:00"/>
    <d v="1899-12-30T10:57:00"/>
    <d v="1899-12-30T00:00:00"/>
    <n v="2.7833333333333328"/>
    <n v="2.7833333333333328"/>
    <s v="WTG manually shutdown taken for HV trafo inspection against winding temp differance."/>
    <s v="Close"/>
    <n v="0.12101449275362318"/>
    <n v="1"/>
    <n v="4.1390000000000002"/>
    <m/>
  </r>
  <r>
    <n v="2823"/>
    <n v="2025"/>
    <n v="2024"/>
    <s v="Year_2"/>
    <d v="2024-09-27T00:00:00"/>
    <s v="KUD13"/>
    <s v="O2R1"/>
    <s v="KSIPL"/>
    <n v="4.3478260869565223E-2"/>
    <n v="931"/>
    <x v="186"/>
    <s v="Arc light detected"/>
    <s v="Breakdown"/>
    <d v="1899-12-30T00:00:00"/>
    <d v="1899-12-30T00:00:00"/>
    <d v="1899-12-30T23:59:59"/>
    <d v="1899-12-30T00:00:00"/>
    <n v="23.999722222222225"/>
    <n v="23.999722222222225"/>
    <s v="WTG Stop for HV transformer LV (W) Winding displacement , New transformer arrangement is Going on."/>
    <s v="Open"/>
    <n v="1.0434661835748795"/>
    <n v="1"/>
    <n v="26.914000000000001"/>
    <m/>
  </r>
  <r>
    <n v="2824"/>
    <n v="2025"/>
    <n v="2024"/>
    <s v="Year_2"/>
    <d v="2024-09-28T00:00:00"/>
    <s v="KUD13"/>
    <s v="O2R1"/>
    <s v="KSIPL"/>
    <n v="4.3478260869565223E-2"/>
    <n v="931"/>
    <x v="186"/>
    <s v="Arc light detected"/>
    <s v="Breakdown"/>
    <d v="1899-12-30T00:00:00"/>
    <d v="1899-12-30T00:00:00"/>
    <d v="1899-12-30T23:59:59"/>
    <d v="1899-12-30T00:00:00"/>
    <n v="23.999722222222225"/>
    <n v="23.999722222222225"/>
    <s v="WTG Stop for HV transformer LV (W) Winding displacement , New transformer arrangement is Going on."/>
    <s v="Open"/>
    <n v="1.0434661835748795"/>
    <n v="1"/>
    <n v="9.23"/>
    <m/>
  </r>
  <r>
    <n v="2825"/>
    <n v="2025"/>
    <n v="2024"/>
    <s v="Year_2"/>
    <d v="2024-09-28T00:00:00"/>
    <s v="KUD01"/>
    <s v="O2R1"/>
    <s v="KSIPL"/>
    <n v="4.3478260869565223E-2"/>
    <n v="900"/>
    <x v="100"/>
    <s v="Pause pressed on keyboard"/>
    <s v="Manual Stop"/>
    <d v="1899-12-30T11:41:00"/>
    <d v="1899-12-30T11:41:00"/>
    <d v="1899-12-30T18:19:00"/>
    <d v="1899-12-30T00:00:00"/>
    <n v="6.6333333333333329"/>
    <n v="6.6333333333333329"/>
    <s v="WTG Manually shutdown taken for 6 month service"/>
    <s v="Close"/>
    <n v="0.28840579710144931"/>
    <n v="1"/>
    <n v="1.121"/>
    <m/>
  </r>
  <r>
    <n v="2826"/>
    <n v="2025"/>
    <n v="2024"/>
    <s v="Year_2"/>
    <d v="2024-09-28T00:00:00"/>
    <s v="KUD04"/>
    <s v="O2R3"/>
    <s v="JK"/>
    <n v="4.3478260869565223E-2"/>
    <n v="900"/>
    <x v="100"/>
    <s v="Pause pressed on keyboard"/>
    <s v="Manual Stop"/>
    <d v="1899-12-30T06:43:00"/>
    <d v="1899-12-30T06:43:00"/>
    <d v="1899-12-30T14:52:00"/>
    <d v="1899-12-30T00:00:00"/>
    <n v="8.15"/>
    <n v="8.15"/>
    <s v="WTG Manually shutdown taken for 6 month service"/>
    <s v="Close"/>
    <n v="0.35434782608695659"/>
    <n v="1"/>
    <n v="2.4350000000000001"/>
    <m/>
  </r>
  <r>
    <n v="2827"/>
    <n v="2025"/>
    <n v="2024"/>
    <s v="Year_2"/>
    <d v="2024-09-29T00:00:00"/>
    <s v="KUD01"/>
    <s v="O2R1"/>
    <s v="KSIPL"/>
    <n v="4.3478260869565223E-2"/>
    <n v="3273"/>
    <x v="35"/>
    <s v="YawUntwistCCW: Code__,_______°"/>
    <m/>
    <d v="1899-12-30T19:23:00"/>
    <d v="1899-12-30T19:23:00"/>
    <d v="1899-12-30T19:44:00"/>
    <d v="1899-12-30T00:00:00"/>
    <n v="0.34999999999999876"/>
    <n v="0.34999999999999876"/>
    <s v="YawUntwistCCW: Code 6,    540Â°"/>
    <s v="Close"/>
    <n v="1.5217391304347775E-2"/>
    <n v="1"/>
    <n v="1E-3"/>
    <m/>
  </r>
  <r>
    <n v="2828"/>
    <n v="2025"/>
    <n v="2024"/>
    <s v="Year_2"/>
    <d v="2024-09-29T00:00:00"/>
    <s v="KUD03"/>
    <s v="O2R1"/>
    <s v="KSIPL"/>
    <n v="4.3478260869565223E-2"/>
    <n v="900"/>
    <x v="100"/>
    <s v="Pause pressed on keyboard"/>
    <s v="Manual Stop"/>
    <d v="1899-12-30T11:03:00"/>
    <d v="1899-12-30T11:03:00"/>
    <d v="1899-12-30T16:46:00"/>
    <d v="1899-12-30T00:00:00"/>
    <n v="5.7166666666666668"/>
    <n v="5.7166666666666668"/>
    <s v="Pause pressed on keyboard"/>
    <s v="Close"/>
    <n v="0.24855072463768119"/>
    <n v="1"/>
    <n v="0.45900000000000002"/>
    <m/>
  </r>
  <r>
    <n v="2829"/>
    <n v="2025"/>
    <n v="2024"/>
    <s v="Year_2"/>
    <d v="2024-09-29T00:00:00"/>
    <s v="KUD13"/>
    <s v="O2R1"/>
    <s v="KSIPL"/>
    <n v="4.3478260869565223E-2"/>
    <n v="931"/>
    <x v="186"/>
    <s v="Arc light detected"/>
    <s v="Breakdown"/>
    <d v="1899-12-30T00:00:00"/>
    <d v="1899-12-30T00:00:00"/>
    <d v="1899-12-30T23:59:59"/>
    <d v="1899-12-30T00:00:00"/>
    <n v="23.999722222222225"/>
    <n v="23.999722222222225"/>
    <s v="Arc light detected"/>
    <s v="Open"/>
    <n v="1.0434661835748795"/>
    <n v="1"/>
    <n v="0"/>
    <m/>
  </r>
  <r>
    <n v="2830"/>
    <n v="2025"/>
    <n v="2024"/>
    <s v="Year_2"/>
    <d v="2024-09-29T00:00:00"/>
    <s v="KUD19"/>
    <s v="O2R1"/>
    <s v="KSIPL"/>
    <n v="4.3478260869565223E-2"/>
    <n v="315"/>
    <x v="120"/>
    <s v="ExEx low voltage L_: ___V"/>
    <s v="Breakdown"/>
    <d v="1899-12-30T19:40:00"/>
    <d v="1899-12-30T19:40:00"/>
    <d v="1899-12-30T22:32:00"/>
    <d v="1899-12-30T00:00:00"/>
    <n v="2.8666666666666671"/>
    <n v="2.8666666666666671"/>
    <s v="ExEx low voltage L_: ___V"/>
    <s v="Close"/>
    <n v="0.12463768115942032"/>
    <n v="1"/>
    <n v="-1.2999999999999999E-2"/>
    <m/>
  </r>
  <r>
    <n v="2831"/>
    <n v="2025"/>
    <n v="2024"/>
    <s v="Year_2"/>
    <d v="2024-09-29T00:00:00"/>
    <s v="KUD20"/>
    <s v="O2R1"/>
    <s v="KSIPL"/>
    <n v="4.3478260869565223E-2"/>
    <n v="3273"/>
    <x v="35"/>
    <s v="YawUntwistCCW: Code__,_______°"/>
    <m/>
    <d v="1899-12-30T18:37:00"/>
    <d v="1899-12-30T18:37:00"/>
    <d v="1899-12-30T18:58:00"/>
    <d v="1899-12-30T00:00:00"/>
    <n v="0.34999999999999876"/>
    <n v="0.34999999999999876"/>
    <s v="YawUntwistCCW: Code 6,    542Â°"/>
    <s v="Close"/>
    <n v="1.5217391304347775E-2"/>
    <n v="1"/>
    <n v="1E-3"/>
    <m/>
  </r>
  <r>
    <n v="2832"/>
    <n v="2025"/>
    <n v="2024"/>
    <s v="Year_2"/>
    <d v="2024-09-29T00:00:00"/>
    <s v="KUD04"/>
    <s v="O2R3"/>
    <s v="JK"/>
    <n v="4.3478260869565223E-2"/>
    <n v="315"/>
    <x v="120"/>
    <s v="ExEx low voltage L_: ___V"/>
    <s v="Breakdown"/>
    <d v="1899-12-30T08:10:00"/>
    <d v="1899-12-30T08:10:00"/>
    <d v="1899-12-30T09:10:00"/>
    <d v="1899-12-30T00:00:00"/>
    <n v="0.99999999999999911"/>
    <n v="0.99999999999999911"/>
    <s v="ExEx low voltage L_: ___V"/>
    <s v="Close"/>
    <n v="4.3478260869565181E-2"/>
    <n v="1"/>
    <n v="1.56"/>
    <m/>
  </r>
  <r>
    <n v="2833"/>
    <n v="2025"/>
    <n v="2024"/>
    <s v="Year_2"/>
    <d v="2024-09-29T00:00:00"/>
    <s v="KUD05"/>
    <s v="O2R3"/>
    <s v="JK"/>
    <n v="4.3478260869565223E-2"/>
    <n v="900"/>
    <x v="100"/>
    <s v="Pause pressed on keyboard"/>
    <s v="Manual Stop"/>
    <d v="1899-12-30T05:59:00"/>
    <d v="1899-12-30T05:59:00"/>
    <d v="1899-12-30T07:40:00"/>
    <d v="1899-12-30T00:00:00"/>
    <n v="1.6833333333333327"/>
    <n v="1.6833333333333327"/>
    <s v="Pause pressed on keyboard"/>
    <s v="Close"/>
    <n v="7.3188405797101425E-2"/>
    <n v="1"/>
    <n v="-4.0000000000000001E-3"/>
    <m/>
  </r>
  <r>
    <n v="2834"/>
    <n v="2025"/>
    <n v="2024"/>
    <s v="Year_2"/>
    <d v="2024-09-29T00:00:00"/>
    <s v="KUD05"/>
    <s v="O2R3"/>
    <s v="JK"/>
    <n v="4.3478260869565223E-2"/>
    <n v="900"/>
    <x v="100"/>
    <s v="Pause pressed on keyboard"/>
    <s v="Manual Stop"/>
    <d v="1899-12-30T08:15:00"/>
    <d v="1899-12-30T08:15:00"/>
    <d v="1899-12-30T13:24:00"/>
    <d v="1899-12-30T00:00:00"/>
    <n v="5.15"/>
    <n v="5.15"/>
    <s v="Pause pressed on keyboard"/>
    <s v="Close"/>
    <n v="0.22391304347826091"/>
    <n v="1"/>
    <n v="3.5999999999999997E-2"/>
    <m/>
  </r>
  <r>
    <n v="2835"/>
    <n v="2025"/>
    <n v="2024"/>
    <s v="Year_2"/>
    <d v="2024-09-29T00:00:00"/>
    <s v="KUD05"/>
    <s v="O2R3"/>
    <s v="JK"/>
    <n v="4.3478260869565223E-2"/>
    <n v="3273"/>
    <x v="35"/>
    <s v="YawUntwistCCW: Code__,_______°"/>
    <m/>
    <d v="1899-12-30T18:41:00"/>
    <d v="1899-12-30T18:41:00"/>
    <d v="1899-12-30T19:03:00"/>
    <d v="1899-12-30T00:00:00"/>
    <n v="0.36666666666666536"/>
    <n v="0.36666666666666536"/>
    <s v="YawUntwistCCW: Code 5,    540Â°"/>
    <s v="Close"/>
    <n v="1.594202898550719E-2"/>
    <n v="1"/>
    <n v="2E-3"/>
    <m/>
  </r>
  <r>
    <n v="2836"/>
    <n v="2025"/>
    <n v="2024"/>
    <s v="Year_2"/>
    <d v="2024-09-29T00:00:00"/>
    <s v="KUD16"/>
    <s v="O2R2"/>
    <s v="SIL"/>
    <n v="4.3478260869565223E-2"/>
    <n v="3273"/>
    <x v="35"/>
    <s v="YawUntwistCCW: Code__,_______°"/>
    <m/>
    <d v="1899-12-30T09:32:00"/>
    <d v="1899-12-30T09:32:00"/>
    <d v="1899-12-30T09:54:00"/>
    <d v="1899-12-30T00:00:00"/>
    <n v="0.3666666666666667"/>
    <n v="0.3666666666666667"/>
    <s v="YawUntwistCCW: Code 6,    540Â°"/>
    <s v="Close"/>
    <n v="1.5942028985507249E-2"/>
    <n v="1"/>
    <n v="2E-3"/>
    <m/>
  </r>
  <r>
    <n v="2837"/>
    <n v="2025"/>
    <n v="2024"/>
    <s v="Year_2"/>
    <d v="2024-09-30T00:00:00"/>
    <s v="KUD10"/>
    <s v="O2R1"/>
    <s v="KSIPL"/>
    <n v="4.3478260869565223E-2"/>
    <n v="2676"/>
    <x v="124"/>
    <s v="UPS Error"/>
    <s v="Breakdown"/>
    <d v="1899-12-30T20:20:00"/>
    <d v="1899-12-30T20:20:00"/>
    <d v="1899-12-30T20:54:00"/>
    <d v="1899-12-30T00:00:00"/>
    <n v="0.56666666666666465"/>
    <n v="0.56666666666666465"/>
    <s v="UPS reboot and restored."/>
    <s v="Close"/>
    <n v="2.4637681159420204E-2"/>
    <n v="1"/>
    <n v="7.2999999999999995E-2"/>
    <m/>
  </r>
  <r>
    <n v="2838"/>
    <n v="2025"/>
    <n v="2024"/>
    <s v="Year_2"/>
    <d v="2024-09-30T00:00:00"/>
    <s v="KUD11"/>
    <s v="O2R1"/>
    <s v="KSIPL"/>
    <n v="4.3478260869565223E-2"/>
    <n v="450"/>
    <x v="127"/>
    <s v="Ext. High I sum Grd inv."/>
    <s v="Breakdown"/>
    <d v="1899-12-30T04:27:00"/>
    <d v="1899-12-30T04:27:00"/>
    <d v="1899-12-30T04:35:00"/>
    <d v="1899-12-30T00:00:00"/>
    <n v="0.13333333333333286"/>
    <n v="0.13333333333333286"/>
    <s v="Auto reset"/>
    <s v="Close"/>
    <n v="5.7971014492753424E-3"/>
    <n v="1"/>
    <n v="0.46500000000000002"/>
    <m/>
  </r>
  <r>
    <n v="2839"/>
    <n v="2025"/>
    <n v="2024"/>
    <s v="Year_2"/>
    <d v="2024-09-30T00:00:00"/>
    <s v="KUD13"/>
    <s v="O2R1"/>
    <s v="KSIPL"/>
    <n v="4.3478260869565223E-2"/>
    <n v="931"/>
    <x v="186"/>
    <s v="Arc light detected"/>
    <s v="Breakdown"/>
    <d v="1899-12-30T00:00:00"/>
    <d v="1899-12-30T00:00:00"/>
    <d v="1899-12-30T23:59:59"/>
    <d v="1899-12-30T00:00:00"/>
    <n v="23.999722222222221"/>
    <n v="23.999722222222221"/>
    <s v="WTG Stop for HV transformer LV (W) Winding displacement , New transformer arrangement is Going on."/>
    <s v="Open"/>
    <n v="1.0434661835748793"/>
    <n v="1"/>
    <n v="0"/>
    <m/>
  </r>
  <r>
    <n v="2840"/>
    <n v="2025"/>
    <n v="2024"/>
    <s v="Year_2"/>
    <d v="2024-09-30T00:00:00"/>
    <s v="KUD19"/>
    <s v="O2R1"/>
    <s v="KSIPL"/>
    <n v="4.3478260869565223E-2"/>
    <n v="3273"/>
    <x v="35"/>
    <s v="YawUntwistCCW: Code__,_______°"/>
    <m/>
    <d v="1899-12-30T03:14:00"/>
    <d v="1899-12-30T03:14:00"/>
    <d v="1899-12-30T03:38:00"/>
    <d v="1899-12-30T00:00:00"/>
    <n v="0.39999999999999991"/>
    <n v="0.39999999999999991"/>
    <s v="Auto cable twist."/>
    <s v="Close"/>
    <n v="1.7391304347826084E-2"/>
    <n v="1"/>
    <n v="0.129"/>
    <m/>
  </r>
  <r>
    <n v="2841"/>
    <n v="2025"/>
    <n v="2024"/>
    <s v="Year_2"/>
    <d v="2024-09-30T00:00:00"/>
    <s v="KUD02"/>
    <s v="O2R3"/>
    <s v="JK"/>
    <n v="4.3478260869565223E-2"/>
    <n v="3273"/>
    <x v="35"/>
    <s v="YawUntwistCCW: Code__,_______°"/>
    <m/>
    <d v="1899-12-30T21:39:00"/>
    <d v="1899-12-30T21:39:00"/>
    <d v="1899-12-30T22:03:00"/>
    <d v="1899-12-30T00:00:00"/>
    <n v="0.40000000000000391"/>
    <n v="0.40000000000000391"/>
    <s v="Auto cable twist."/>
    <s v="Close"/>
    <n v="1.7391304347826261E-2"/>
    <n v="1"/>
    <n v="1.2E-2"/>
    <m/>
  </r>
  <r>
    <n v="2842"/>
    <n v="2025"/>
    <n v="2024"/>
    <s v="Year_2"/>
    <d v="2024-09-30T00:00:00"/>
    <s v="KUD05"/>
    <s v="O2R3"/>
    <s v="JK"/>
    <n v="4.3478260869565223E-2"/>
    <n v="2676"/>
    <x v="124"/>
    <s v="UPS Error"/>
    <s v="Breakdown"/>
    <d v="1899-12-30T03:02:00"/>
    <d v="1899-12-30T03:02:00"/>
    <d v="1899-12-30T04:06:00"/>
    <d v="1899-12-30T00:00:00"/>
    <n v="1.0666666666666662"/>
    <n v="1.0666666666666662"/>
    <s v="UPS Reboot and restored."/>
    <s v="Close"/>
    <n v="4.6376811594202885E-2"/>
    <n v="1"/>
    <n v="0.127"/>
    <m/>
  </r>
  <r>
    <n v="2843"/>
    <n v="2025"/>
    <n v="2024"/>
    <s v="Year_2"/>
    <d v="2024-09-30T00:00:00"/>
    <s v="KUD06"/>
    <s v="O2R3"/>
    <s v="JK"/>
    <n v="4.3478260869565223E-2"/>
    <n v="3806"/>
    <x v="147"/>
    <s v="HubSafetySystem Batt.Charg.Err"/>
    <s v="Breakdown"/>
    <d v="1899-12-30T03:00:00"/>
    <d v="1899-12-30T03:00:00"/>
    <d v="1899-12-30T03:16:00"/>
    <d v="1899-12-30T00:00:00"/>
    <n v="0.26666666666666639"/>
    <n v="0.26666666666666639"/>
    <s v="Auto start after battery fully charged."/>
    <s v="Close"/>
    <n v="1.1594202898550714E-2"/>
    <n v="1"/>
    <n v="1.4999999999999999E-2"/>
    <m/>
  </r>
  <r>
    <n v="2844"/>
    <n v="2025"/>
    <n v="2024"/>
    <s v="Year_2"/>
    <d v="2024-09-30T00:00:00"/>
    <s v="KUD06"/>
    <s v="O2R3"/>
    <s v="JK"/>
    <n v="4.3478260869565223E-2"/>
    <n v="309"/>
    <x v="149"/>
    <s v="Pause over RCS __0"/>
    <s v="ROW"/>
    <d v="1899-12-30T20:10:00"/>
    <d v="1899-12-30T20:10:00"/>
    <d v="1899-12-30T23:40:00"/>
    <d v="1899-12-30T00:00:00"/>
    <n v="3.5000000000000009"/>
    <n v="3.5000000000000009"/>
    <s v="After 220 KV Restored WTG can not approach because of ROW issue."/>
    <s v="Close"/>
    <n v="0"/>
    <n v="1"/>
    <n v="0.79100000000000004"/>
    <m/>
  </r>
  <r>
    <n v="2845"/>
    <n v="2025"/>
    <n v="2024"/>
    <s v="Year_2"/>
    <d v="2024-09-30T00:00:00"/>
    <s v="KUD07"/>
    <s v="O2R3"/>
    <s v="JK"/>
    <n v="4.3478260869565223E-2"/>
    <n v="309"/>
    <x v="149"/>
    <s v="Pause over RCS __0"/>
    <s v="ROW"/>
    <d v="1899-12-30T20:10:00"/>
    <d v="1899-12-30T20:10:00"/>
    <d v="1899-12-30T23:31:00"/>
    <d v="1899-12-30T00:00:00"/>
    <n v="3.3499999999999988"/>
    <n v="3.3499999999999988"/>
    <s v="After 220 KV Restored WTG can not approach because of ROW issue."/>
    <s v="Close"/>
    <n v="0"/>
    <n v="1"/>
    <n v="0.79"/>
    <m/>
  </r>
  <r>
    <n v="2846"/>
    <n v="2025"/>
    <n v="2024"/>
    <s v="Year_2"/>
    <d v="2024-09-30T00:00:00"/>
    <s v="KUD09"/>
    <s v="O2R3"/>
    <s v="JK"/>
    <n v="4.3478260869565223E-2"/>
    <n v="3273"/>
    <x v="35"/>
    <s v="YawUntwistCCW: Code__,_______°"/>
    <m/>
    <d v="1899-12-30T21:45:58"/>
    <d v="1899-12-30T21:45:58"/>
    <d v="1899-12-30T22:11:20"/>
    <d v="1899-12-30T00:00:00"/>
    <n v="0.42277777777777636"/>
    <n v="0.42277777777777636"/>
    <s v="Auto cable twist."/>
    <s v="Close"/>
    <n v="1.8381642512077235E-2"/>
    <n v="1"/>
    <n v="0.01"/>
    <m/>
  </r>
  <r>
    <n v="2847"/>
    <n v="2025"/>
    <n v="2024"/>
    <s v="Year_2"/>
    <d v="2024-09-30T00:00:00"/>
    <s v="KUD16"/>
    <s v="O2R2"/>
    <s v="SIL"/>
    <n v="4.3478260869565223E-2"/>
    <n v="3273"/>
    <x v="35"/>
    <s v="YawUntwistCCW: Code__,_______°"/>
    <m/>
    <d v="1899-12-30T06:13:00"/>
    <d v="1899-12-30T06:13:00"/>
    <d v="1899-12-30T06:42:00"/>
    <d v="1899-12-30T00:00:00"/>
    <n v="0.48333333333333295"/>
    <n v="0.48333333333333295"/>
    <s v="Auto cable twist."/>
    <s v="Close"/>
    <n v="2.1014492753623173E-2"/>
    <n v="1"/>
    <n v="0"/>
    <m/>
  </r>
  <r>
    <n v="2848"/>
    <n v="2025"/>
    <n v="2024"/>
    <s v="Year_2"/>
    <d v="2024-09-30T00:00:00"/>
    <s v="KUD17"/>
    <s v="O2R2"/>
    <s v="SIL"/>
    <n v="4.3478260869565223E-2"/>
    <n v="3273"/>
    <x v="35"/>
    <s v="YawUntwistCCW: Code__,_______°"/>
    <m/>
    <d v="1899-12-30T21:38:20"/>
    <d v="1899-12-30T21:38:20"/>
    <d v="1899-12-30T22:03:44"/>
    <d v="1899-12-30T00:00:00"/>
    <n v="0.4233333333333329"/>
    <n v="0.4233333333333329"/>
    <s v="Auto cable twist."/>
    <s v="Close"/>
    <n v="1.840579710144926E-2"/>
    <n v="1"/>
    <n v="-2E-3"/>
    <m/>
  </r>
  <r>
    <n v="2849"/>
    <n v="2025"/>
    <n v="2024"/>
    <s v="Year_2"/>
    <d v="2024-09-30T00:00:00"/>
    <s v="KUD21"/>
    <s v="O2R3"/>
    <s v="JK"/>
    <n v="4.3478260869565223E-2"/>
    <n v="3273"/>
    <x v="35"/>
    <s v="YawUntwistCCW: Code__,_______°"/>
    <m/>
    <d v="1899-12-30T21:38:18"/>
    <d v="1899-12-30T21:38:18"/>
    <d v="1899-12-30T21:59:43"/>
    <d v="1899-12-30T00:00:00"/>
    <n v="0.3569444444444434"/>
    <n v="0.3569444444444434"/>
    <s v="Auto cable twist."/>
    <s v="Close"/>
    <n v="1.5519323671497541E-2"/>
    <n v="1"/>
    <n v="-1E-3"/>
    <m/>
  </r>
  <r>
    <n v="2850"/>
    <n v="2025"/>
    <n v="2024"/>
    <s v="Year_2"/>
    <d v="2024-09-30T00:00:00"/>
    <s v="KUD22"/>
    <s v="O2R3"/>
    <s v="JK"/>
    <n v="4.3478260869565223E-2"/>
    <n v="3273"/>
    <x v="35"/>
    <s v="YawUntwistCCW: Code__,_______°"/>
    <m/>
    <d v="1899-12-30T03:46:00"/>
    <d v="1899-12-30T03:46:00"/>
    <d v="1899-12-30T03:50:00"/>
    <d v="1899-12-30T00:00:00"/>
    <n v="6.6666666666667096E-2"/>
    <n v="6.6666666666667096E-2"/>
    <s v="Auto cable twist."/>
    <s v="Close"/>
    <n v="2.8985507246377003E-3"/>
    <n v="1"/>
    <n v="1.4E-2"/>
    <m/>
  </r>
  <r>
    <n v="2851"/>
    <n v="2025"/>
    <n v="2024"/>
    <s v="Year_2"/>
    <d v="2024-09-30T00:00:00"/>
    <s v="KUD22"/>
    <s v="O2R3"/>
    <s v="JK"/>
    <n v="4.3478260869565223E-2"/>
    <n v="3273"/>
    <x v="35"/>
    <s v="YawUntwistCCW: Code__,_______°"/>
    <m/>
    <d v="1899-12-30T06:24:27"/>
    <d v="1899-12-30T06:24:27"/>
    <d v="1899-12-30T06:44:39"/>
    <d v="1899-12-30T00:00:00"/>
    <n v="0.33666666666666734"/>
    <n v="0.33666666666666734"/>
    <s v="Auto cable twist."/>
    <s v="Close"/>
    <n v="1.463768115942032E-2"/>
    <n v="1"/>
    <n v="4.0000000000000001E-3"/>
    <m/>
  </r>
  <r>
    <n v="2852"/>
    <n v="2025"/>
    <n v="2024"/>
    <s v="Year_2"/>
    <d v="2024-09-30T00:00:00"/>
    <s v="KUD23"/>
    <s v="O2R3"/>
    <s v="JK"/>
    <n v="4.3478260869565223E-2"/>
    <n v="3273"/>
    <x v="35"/>
    <s v="YawUntwistCCW: Code__,_______°"/>
    <m/>
    <d v="1899-12-30T07:25:25"/>
    <d v="1899-12-30T07:25:25"/>
    <d v="1899-12-30T07:47:15"/>
    <d v="1899-12-30T00:00:00"/>
    <n v="0.36388888888888937"/>
    <n v="0.36388888888888937"/>
    <s v="Auto cable twist."/>
    <s v="Close"/>
    <n v="1.5821256038647365E-2"/>
    <n v="1"/>
    <n v="2E-3"/>
    <m/>
  </r>
  <r>
    <n v="2853"/>
    <n v="2025"/>
    <n v="2024"/>
    <s v="Year_2"/>
    <d v="2024-10-01T00:00:00"/>
    <s v="KUD01"/>
    <s v="O2R1"/>
    <s v="KSIPL"/>
    <n v="4.3478260869565223E-2"/>
    <n v="3273"/>
    <x v="35"/>
    <s v="YawUntwistCCW: Code__,_______°"/>
    <m/>
    <d v="2024-10-01T01:14:29"/>
    <d v="2024-10-01T01:14:29"/>
    <d v="2024-10-01T01:34:32"/>
    <d v="1899-12-30T00:00:00"/>
    <n v="0.33416666672565043"/>
    <n v="0.33416666672565043"/>
    <s v="Auto cable twist"/>
    <s v="Close"/>
    <n v="1.4528985509810891E-2"/>
    <n v="1"/>
    <n v="0"/>
    <m/>
  </r>
  <r>
    <n v="2854"/>
    <n v="2025"/>
    <n v="2024"/>
    <s v="Year_2"/>
    <d v="2024-10-01T00:00:00"/>
    <s v="KUD10"/>
    <s v="O2R1"/>
    <s v="KSIPL"/>
    <n v="4.3478260869565223E-2"/>
    <n v="2676"/>
    <x v="124"/>
    <s v="UPS Error"/>
    <s v="Breakdown"/>
    <d v="2024-10-01T14:10:00"/>
    <d v="2024-10-01T14:10:00"/>
    <d v="2024-10-01T14:54:26"/>
    <d v="1899-12-30T00:00:00"/>
    <n v="0.74055555544327945"/>
    <n v="0.74055555544327945"/>
    <s v="UPS Reboot done."/>
    <s v="Close"/>
    <n v="3.2198067627968674E-2"/>
    <n v="1"/>
    <n v="0.05"/>
    <m/>
  </r>
  <r>
    <n v="2855"/>
    <n v="2025"/>
    <n v="2024"/>
    <s v="Year_2"/>
    <d v="2024-10-01T00:00:00"/>
    <s v="KUD11"/>
    <s v="O2R1"/>
    <s v="KSIPL"/>
    <n v="4.3478260869565223E-2"/>
    <n v="3273"/>
    <x v="35"/>
    <s v="YawUntwistCCW: Code__,_______°"/>
    <m/>
    <d v="2024-10-01T00:50:19"/>
    <d v="2024-10-01T00:50:19"/>
    <d v="2024-10-01T01:10:22"/>
    <d v="1899-12-30T00:00:00"/>
    <n v="0.33416666672565043"/>
    <n v="0.33416666672565043"/>
    <s v="Auto cable twist."/>
    <s v="Close"/>
    <n v="1.4528985509810891E-2"/>
    <n v="1"/>
    <n v="2E-3"/>
    <m/>
  </r>
  <r>
    <n v="2856"/>
    <n v="2025"/>
    <n v="2024"/>
    <s v="Year_2"/>
    <d v="2024-10-01T00:00:00"/>
    <s v="KUD12"/>
    <s v="O2R1"/>
    <s v="KSIPL"/>
    <n v="4.3478260869565223E-2"/>
    <n v="3273"/>
    <x v="35"/>
    <s v="YawUntwistCCW: Code__,_______°"/>
    <m/>
    <d v="2024-10-01T07:37:20"/>
    <d v="2024-10-01T07:37:20"/>
    <d v="2024-10-01T07:58:58"/>
    <d v="1899-12-30T00:00:00"/>
    <n v="0.36055555567145348"/>
    <n v="0.36055555567145348"/>
    <s v="Auto cable twist."/>
    <s v="Close"/>
    <n v="1.5676328507454502E-2"/>
    <n v="1"/>
    <n v="1E-3"/>
    <m/>
  </r>
  <r>
    <n v="2857"/>
    <n v="2025"/>
    <n v="2024"/>
    <s v="Year_2"/>
    <d v="2024-10-01T00:00:00"/>
    <s v="KUD13"/>
    <s v="O2R1"/>
    <s v="KSIPL"/>
    <n v="4.3478260869565223E-2"/>
    <n v="931"/>
    <x v="186"/>
    <s v="Arc light detected"/>
    <s v="Breakdown"/>
    <d v="2024-10-01T00:00:00"/>
    <d v="2024-10-01T00:00:00"/>
    <d v="2024-10-01T12:50:00"/>
    <d v="1899-12-30T00:00:00"/>
    <n v="12.833333333255723"/>
    <n v="12.833333333255723"/>
    <s v="WTG Stop for HV transformer LV (W) Winding displacement , New transformer arrangement is Going on."/>
    <s v="Open"/>
    <n v="0.55797101448937936"/>
    <n v="1"/>
    <n v="1.8120000000000001"/>
    <m/>
  </r>
  <r>
    <n v="2858"/>
    <n v="2025"/>
    <n v="2024"/>
    <s v="Year_2"/>
    <d v="2024-10-01T00:00:00"/>
    <s v="KUD13"/>
    <s v="O2R1"/>
    <s v="KSIPL"/>
    <n v="4.3478260869565223E-2"/>
    <n v="931"/>
    <x v="186"/>
    <s v="Arc light detected"/>
    <s v="Breakdown"/>
    <d v="2024-10-01T14:00:00"/>
    <d v="2024-10-01T14:00:00"/>
    <d v="2024-10-02T00:00:00"/>
    <d v="1899-12-30T00:00:00"/>
    <n v="9.9999999999417923"/>
    <n v="9.9999999999417923"/>
    <s v="WTG Stop for HV transformer LV (W) Winding displacement , New transformer arrangement is Going on."/>
    <s v="Close"/>
    <n v="0.43478260869312146"/>
    <n v="1"/>
    <n v="1.431"/>
    <m/>
  </r>
  <r>
    <n v="2859"/>
    <n v="2025"/>
    <n v="2024"/>
    <s v="Year_2"/>
    <d v="2024-10-01T00:00:00"/>
    <s v="KUD14"/>
    <s v="O2R1"/>
    <s v="KSIPL"/>
    <n v="4.3478260869565223E-2"/>
    <n v="3273"/>
    <x v="35"/>
    <s v="YawUntwistCCW: Code__,_______°"/>
    <m/>
    <d v="2024-10-01T14:22:19"/>
    <d v="2024-10-01T14:22:19"/>
    <d v="2024-10-01T14:42:22"/>
    <d v="1899-12-30T00:00:00"/>
    <n v="0.33416666655102745"/>
    <n v="0.33416666655102745"/>
    <s v="Auto cable twist."/>
    <s v="Close"/>
    <n v="1.4528985502218587E-2"/>
    <n v="1"/>
    <n v="3.0000000000000001E-3"/>
    <m/>
  </r>
  <r>
    <n v="2860"/>
    <n v="2025"/>
    <n v="2024"/>
    <s v="Year_2"/>
    <d v="2024-10-01T00:00:00"/>
    <s v="KUD15"/>
    <s v="O2R1"/>
    <s v="KSIPL"/>
    <n v="4.3478260869565223E-2"/>
    <n v="3273"/>
    <x v="35"/>
    <s v="YawUntwistCCW: Code__,_______°"/>
    <m/>
    <d v="2024-10-01T05:59:04"/>
    <d v="2024-10-01T05:59:04"/>
    <d v="2024-10-01T06:19:37"/>
    <d v="1899-12-30T00:00:00"/>
    <n v="0.34249999991152436"/>
    <n v="0.34249999991152436"/>
    <s v="Auto cable twist."/>
    <s v="Close"/>
    <n v="1.4891304343979322E-2"/>
    <n v="1"/>
    <n v="3.0000000000000001E-3"/>
    <m/>
  </r>
  <r>
    <n v="2861"/>
    <n v="2025"/>
    <n v="2024"/>
    <s v="Year_2"/>
    <d v="2024-10-01T00:00:00"/>
    <s v="KUD19"/>
    <s v="O2R1"/>
    <s v="KSIPL"/>
    <n v="4.3478260869565223E-2"/>
    <n v="3273"/>
    <x v="35"/>
    <s v="YawUntwistCCW: Code__,_______°"/>
    <m/>
    <d v="2024-10-01T07:13:30"/>
    <d v="2024-10-01T07:13:30"/>
    <d v="2024-10-01T07:34:35"/>
    <d v="1899-12-30T00:00:00"/>
    <n v="0.35138888895744458"/>
    <n v="0.35138888895744458"/>
    <s v="Auto cable twist."/>
    <s v="Close"/>
    <n v="1.5277777780758462E-2"/>
    <n v="1"/>
    <n v="1E-3"/>
    <m/>
  </r>
  <r>
    <n v="2862"/>
    <n v="2025"/>
    <n v="2024"/>
    <s v="Year_2"/>
    <d v="2024-10-01T00:00:00"/>
    <s v="KUD20"/>
    <s v="O2R1"/>
    <s v="KSIPL"/>
    <n v="4.3478260869565223E-2"/>
    <n v="3273"/>
    <x v="35"/>
    <s v="YawUntwistCCW: Code__,_______°"/>
    <m/>
    <d v="2024-10-01T07:36:28"/>
    <d v="2024-10-01T07:36:28"/>
    <d v="2024-10-01T07:58:12"/>
    <d v="1899-12-30T00:00:00"/>
    <n v="0.36222222220385447"/>
    <n v="0.36222222220385447"/>
    <s v="Auto cable twist."/>
    <s v="Close"/>
    <n v="1.5748792269732807E-2"/>
    <n v="1"/>
    <n v="1E-3"/>
    <m/>
  </r>
  <r>
    <n v="2863"/>
    <n v="2025"/>
    <n v="2024"/>
    <s v="Year_2"/>
    <d v="2024-10-01T00:00:00"/>
    <s v="KUD06"/>
    <s v="O2R3"/>
    <s v="JK"/>
    <n v="4.3478260869565223E-2"/>
    <n v="315"/>
    <x v="120"/>
    <s v="ExEx low voltage L_: ___V"/>
    <s v="Breakdown"/>
    <d v="2024-10-01T14:00:00"/>
    <d v="2024-10-01T14:00:00"/>
    <d v="2024-10-01T15:21:36"/>
    <d v="1899-12-30T00:00:00"/>
    <n v="1.3599999999278225"/>
    <n v="1.3599999999278225"/>
    <s v="Manually charged the HVCB."/>
    <s v="Close"/>
    <n v="5.9130434779470553E-2"/>
    <n v="1"/>
    <n v="6.4000000000000001E-2"/>
    <m/>
  </r>
  <r>
    <n v="2864"/>
    <n v="2025"/>
    <n v="2024"/>
    <s v="Year_2"/>
    <d v="2024-10-01T00:00:00"/>
    <s v="KUD07"/>
    <s v="O2R3"/>
    <s v="JK"/>
    <n v="4.3478260869565223E-2"/>
    <n v="3273"/>
    <x v="35"/>
    <s v="YawUntwistCCW: Code__,_______°"/>
    <m/>
    <d v="2024-10-01T06:04:49"/>
    <d v="2024-10-01T06:04:49"/>
    <d v="2024-10-01T06:26:39"/>
    <d v="1899-12-30T00:00:00"/>
    <n v="0.36388888873625547"/>
    <n v="0.36388888873625547"/>
    <s v="Auto cable twist"/>
    <s v="Close"/>
    <n v="1.5821256032011108E-2"/>
    <n v="1"/>
    <n v="1E-3"/>
    <m/>
  </r>
  <r>
    <n v="2865"/>
    <n v="2025"/>
    <n v="2024"/>
    <s v="Year_2"/>
    <d v="2024-10-01T00:00:00"/>
    <s v="KUD16"/>
    <s v="O2R2"/>
    <s v="SIL"/>
    <n v="4.3478260869565223E-2"/>
    <n v="3273"/>
    <x v="35"/>
    <s v="YawUntwistCCW: Code__,_______°"/>
    <m/>
    <d v="2024-10-01T07:05:42"/>
    <d v="2024-10-01T07:05:42"/>
    <d v="2024-10-01T07:25:39"/>
    <d v="1899-12-30T00:00:00"/>
    <n v="0.33250000001862645"/>
    <n v="0.33250000001862645"/>
    <s v="Auto cable twist"/>
    <s v="Close"/>
    <n v="1.4456521739940283E-2"/>
    <n v="1"/>
    <n v="2E-3"/>
    <m/>
  </r>
  <r>
    <n v="2866"/>
    <n v="2025"/>
    <n v="2024"/>
    <s v="Year_2"/>
    <d v="2024-10-01T00:00:00"/>
    <s v="KUD18"/>
    <s v="O2R4"/>
    <s v="SGDCIPL"/>
    <n v="4.3478260869565223E-2"/>
    <n v="3273"/>
    <x v="35"/>
    <s v="YawUntwistCCW: Code__,_______°"/>
    <m/>
    <d v="2024-10-01T07:36:10"/>
    <d v="2024-10-01T07:36:10"/>
    <d v="2024-10-01T07:58:17"/>
    <d v="1899-12-30T00:00:00"/>
    <n v="0.36861111118923873"/>
    <n v="0.36861111118923873"/>
    <s v="Auto cable twist."/>
    <s v="Close"/>
    <n v="1.6026570051706032E-2"/>
    <n v="1"/>
    <n v="2.5000000000000001E-2"/>
    <m/>
  </r>
  <r>
    <n v="2867"/>
    <n v="2025"/>
    <n v="2024"/>
    <s v="Year_2"/>
    <d v="2024-10-01T00:00:00"/>
    <s v="KUD22"/>
    <s v="O2R3"/>
    <s v="JK"/>
    <n v="4.3478260869565223E-2"/>
    <n v="3273"/>
    <x v="35"/>
    <s v="YawUntwistCCW: Code__,_______°"/>
    <m/>
    <d v="2024-10-01T01:11:42"/>
    <d v="2024-10-01T01:11:42"/>
    <d v="2024-10-01T01:34:18"/>
    <d v="1899-12-30T00:00:00"/>
    <n v="0.37666666670702398"/>
    <n v="0.37666666670702398"/>
    <s v="Auto cable twist."/>
    <s v="Close"/>
    <n v="1.6376811595957566E-2"/>
    <n v="1"/>
    <n v="4.0000000000000001E-3"/>
    <m/>
  </r>
  <r>
    <n v="2868"/>
    <n v="2025"/>
    <n v="2024"/>
    <s v="Year_2"/>
    <d v="2024-10-02T00:00:00"/>
    <s v="KUD01"/>
    <s v="O2R1"/>
    <s v="KSIPL"/>
    <n v="4.3478260869565223E-2"/>
    <n v="3273"/>
    <x v="35"/>
    <s v="YawUntwistCCW: Code__,_______°"/>
    <m/>
    <d v="1899-12-30T01:43:00"/>
    <d v="1899-12-30T01:43:00"/>
    <d v="1899-12-30T02:03:00"/>
    <d v="1899-12-30T00:00:00"/>
    <n v="0.33333333333333348"/>
    <n v="0.33333333333333348"/>
    <s v="Auto cable twist."/>
    <s v="Close"/>
    <n v="1.4492753623188415E-2"/>
    <n v="1"/>
    <n v="7.0000000000000001E-3"/>
    <m/>
  </r>
  <r>
    <n v="2869"/>
    <n v="2025"/>
    <n v="2024"/>
    <s v="Year_2"/>
    <d v="2024-10-02T00:00:00"/>
    <s v="KUD03"/>
    <s v="O2R1"/>
    <s v="KSIPL"/>
    <n v="4.3478260869565223E-2"/>
    <n v="3273"/>
    <x v="35"/>
    <s v="YawUntwistCCW: Code__,_______°"/>
    <m/>
    <d v="1899-12-30T02:36:00"/>
    <d v="1899-12-30T02:36:00"/>
    <d v="1899-12-30T02:56:00"/>
    <d v="1899-12-30T00:00:00"/>
    <n v="0.33333333333333315"/>
    <n v="0.33333333333333315"/>
    <s v="Auto cable twist."/>
    <s v="Close"/>
    <n v="1.4492753623188399E-2"/>
    <n v="1"/>
    <n v="5.3999999999999999E-2"/>
    <m/>
  </r>
  <r>
    <n v="2870"/>
    <n v="2025"/>
    <n v="2024"/>
    <s v="Year_2"/>
    <d v="2024-10-02T00:00:00"/>
    <s v="KUD08"/>
    <s v="O2R3"/>
    <s v="JK"/>
    <n v="4.3478260869565223E-2"/>
    <n v="3273"/>
    <x v="35"/>
    <s v="YawUntwistCCW: Code__,_______°"/>
    <m/>
    <d v="1899-12-30T02:20:00"/>
    <d v="1899-12-30T02:20:00"/>
    <d v="1899-12-30T02:44:00"/>
    <d v="1899-12-30T00:00:00"/>
    <n v="0.39999999999999991"/>
    <n v="0.39999999999999991"/>
    <s v="Auto cable twist."/>
    <s v="Close"/>
    <n v="1.7391304347826084E-2"/>
    <n v="1"/>
    <n v="-5.0000000000000001E-3"/>
    <m/>
  </r>
  <r>
    <n v="2871"/>
    <n v="2025"/>
    <n v="2024"/>
    <s v="Year_2"/>
    <d v="2024-10-02T00:00:00"/>
    <s v="KUD11"/>
    <s v="O2R1"/>
    <s v="KSIPL"/>
    <n v="4.3478260869565223E-2"/>
    <n v="3273"/>
    <x v="35"/>
    <s v="YawUntwistCCW: Code__,_______°"/>
    <m/>
    <d v="1899-12-30T01:43:00"/>
    <d v="1899-12-30T01:43:00"/>
    <d v="1899-12-30T02:00:00"/>
    <d v="1899-12-30T00:00:00"/>
    <n v="0.28333333333333333"/>
    <n v="0.28333333333333333"/>
    <s v="Auto cable twist."/>
    <s v="Close"/>
    <n v="1.2318840579710146E-2"/>
    <n v="1"/>
    <n v="1E-3"/>
    <m/>
  </r>
  <r>
    <n v="2872"/>
    <n v="2025"/>
    <n v="2024"/>
    <s v="Year_2"/>
    <d v="2024-10-02T00:00:00"/>
    <s v="KUD11"/>
    <s v="O2R1"/>
    <s v="KSIPL"/>
    <n v="4.3478260869565223E-2"/>
    <n v="3273"/>
    <x v="35"/>
    <s v="YawUntwistCCW: Code__,_______°"/>
    <m/>
    <d v="1899-12-30T04:59:00"/>
    <d v="1899-12-30T04:59:00"/>
    <d v="1899-12-30T05:19:00"/>
    <d v="1899-12-30T00:00:00"/>
    <n v="0.33333333333333282"/>
    <n v="0.33333333333333282"/>
    <s v="Auto cable twist."/>
    <s v="Close"/>
    <n v="1.4492753623188385E-2"/>
    <n v="1"/>
    <n v="1E-3"/>
    <m/>
  </r>
  <r>
    <n v="2873"/>
    <n v="2025"/>
    <n v="2024"/>
    <s v="Year_2"/>
    <d v="2024-10-02T00:00:00"/>
    <s v="KUD13"/>
    <s v="O2R1"/>
    <s v="KSIPL"/>
    <n v="4.3478260869565223E-2"/>
    <n v="931"/>
    <x v="186"/>
    <s v="Arc light detected"/>
    <s v="Breakdown"/>
    <d v="1899-12-30T00:00:00"/>
    <d v="1899-12-30T00:00:00"/>
    <d v="1899-12-30T23:59:59"/>
    <d v="1899-12-30T00:00:00"/>
    <n v="23.999722222222225"/>
    <n v="23.999722222222225"/>
    <s v="WTG Stop for HV transformer LV (W) Winding displacement , New transformer arrangement is Going on."/>
    <s v="Open"/>
    <n v="1.0434661835748795"/>
    <n v="1"/>
    <n v="6.9320000000000004"/>
    <m/>
  </r>
  <r>
    <n v="2874"/>
    <n v="2025"/>
    <n v="2024"/>
    <s v="Year_2"/>
    <d v="2024-10-02T00:00:00"/>
    <s v="KUD14"/>
    <s v="O2R1"/>
    <s v="KSIPL"/>
    <n v="4.3478260869565223E-2"/>
    <n v="3273"/>
    <x v="35"/>
    <s v="YawUntwistCCW: Code__,_______°"/>
    <m/>
    <d v="1899-12-30T03:03:00"/>
    <d v="1899-12-30T03:03:00"/>
    <d v="1899-12-30T03:25:00"/>
    <d v="1899-12-30T00:00:00"/>
    <n v="0.3666666666666667"/>
    <n v="0.3666666666666667"/>
    <s v="Auto cable twist."/>
    <s v="Close"/>
    <n v="1.5942028985507249E-2"/>
    <n v="1"/>
    <n v="8.9999999999999993E-3"/>
    <m/>
  </r>
  <r>
    <n v="2875"/>
    <n v="2025"/>
    <n v="2024"/>
    <s v="Year_2"/>
    <d v="2024-10-02T00:00:00"/>
    <s v="KUD15"/>
    <s v="O2R1"/>
    <s v="KSIPL"/>
    <n v="4.3478260869565223E-2"/>
    <n v="3273"/>
    <x v="35"/>
    <s v="YawUntwistCCW: Code__,_______°"/>
    <m/>
    <d v="1899-12-30T02:27:00"/>
    <d v="1899-12-30T02:27:00"/>
    <d v="1899-12-30T02:52:00"/>
    <d v="1899-12-30T00:00:00"/>
    <n v="0.41666666666666685"/>
    <n v="0.41666666666666685"/>
    <s v="Auto cable twist."/>
    <s v="Close"/>
    <n v="1.8115942028985518E-2"/>
    <n v="1"/>
    <n v="7.0000000000000001E-3"/>
    <m/>
  </r>
  <r>
    <n v="2876"/>
    <n v="2025"/>
    <n v="2024"/>
    <s v="Year_2"/>
    <d v="2024-10-02T00:00:00"/>
    <s v="KUD02"/>
    <s v="O2R3"/>
    <s v="JK"/>
    <n v="4.3478260869565223E-2"/>
    <n v="3273"/>
    <x v="35"/>
    <s v="YawUntwistCCW: Code__,_______°"/>
    <m/>
    <d v="1899-12-30T02:26:00"/>
    <d v="1899-12-30T02:26:00"/>
    <d v="1899-12-30T02:51:00"/>
    <d v="1899-12-30T00:00:00"/>
    <n v="0.41666666666666652"/>
    <n v="0.41666666666666652"/>
    <s v="Auto cable twist."/>
    <s v="Close"/>
    <n v="1.8115942028985504E-2"/>
    <n v="1"/>
    <n v="4.0000000000000001E-3"/>
    <m/>
  </r>
  <r>
    <n v="2877"/>
    <n v="2025"/>
    <n v="2024"/>
    <s v="Year_2"/>
    <d v="2024-10-02T00:00:00"/>
    <s v="KUD04"/>
    <s v="O2R3"/>
    <s v="JK"/>
    <n v="4.3478260869565223E-2"/>
    <n v="3273"/>
    <x v="35"/>
    <s v="YawUntwistCCW: Code__,_______°"/>
    <m/>
    <d v="1899-12-30T02:35:00"/>
    <d v="1899-12-30T02:35:00"/>
    <d v="1899-12-30T02:55:00"/>
    <d v="1899-12-30T00:00:00"/>
    <n v="0.33333333333333315"/>
    <n v="0.33333333333333315"/>
    <s v="Auto cable twist."/>
    <s v="Close"/>
    <n v="1.4492753623188399E-2"/>
    <n v="1"/>
    <n v="0"/>
    <m/>
  </r>
  <r>
    <n v="2878"/>
    <n v="2025"/>
    <n v="2024"/>
    <s v="Year_2"/>
    <d v="2024-10-02T00:00:00"/>
    <s v="KUD05"/>
    <s v="O2R3"/>
    <s v="JK"/>
    <n v="4.3478260869565223E-2"/>
    <n v="3273"/>
    <x v="35"/>
    <s v="YawUntwistCCW: Code__,_______°"/>
    <m/>
    <d v="1899-12-30T01:36:00"/>
    <d v="1899-12-30T01:36:00"/>
    <d v="1899-12-30T02:06:00"/>
    <d v="1899-12-30T00:00:00"/>
    <n v="0.49999999999999989"/>
    <n v="0.49999999999999989"/>
    <s v="Auto cable twist."/>
    <s v="Close"/>
    <n v="2.1739130434782608E-2"/>
    <n v="1"/>
    <n v="5.0000000000000001E-3"/>
    <m/>
  </r>
  <r>
    <n v="2879"/>
    <n v="2025"/>
    <n v="2024"/>
    <s v="Year_2"/>
    <d v="2024-10-02T00:00:00"/>
    <s v="KUD06"/>
    <s v="O2R3"/>
    <s v="JK"/>
    <n v="4.3478260869565223E-2"/>
    <n v="3273"/>
    <x v="35"/>
    <s v="YawUntwistCCW: Code__,_______°"/>
    <m/>
    <d v="1899-12-30T05:02:00"/>
    <d v="1899-12-30T05:02:00"/>
    <d v="1899-12-30T05:23:00"/>
    <d v="1899-12-30T00:00:00"/>
    <n v="0.35000000000000009"/>
    <n v="0.35000000000000009"/>
    <s v="Auto cable twist."/>
    <s v="Close"/>
    <n v="1.5217391304347832E-2"/>
    <n v="1"/>
    <n v="2E-3"/>
    <m/>
  </r>
  <r>
    <n v="2880"/>
    <n v="2025"/>
    <n v="2024"/>
    <s v="Year_2"/>
    <d v="2024-10-02T00:00:00"/>
    <s v="KUD09"/>
    <s v="O2R3"/>
    <s v="JK"/>
    <n v="4.3478260869565223E-2"/>
    <n v="5196"/>
    <x v="114"/>
    <s v="Prop Valve B Status Fault"/>
    <s v="Breakdown"/>
    <d v="1899-12-30T14:48:00"/>
    <d v="1899-12-30T14:48:00"/>
    <d v="1899-12-30T15:28:00"/>
    <d v="1899-12-30T00:00:00"/>
    <n v="0.66666666666666696"/>
    <n v="0.66666666666666696"/>
    <s v="Remote reboot done."/>
    <s v="Close"/>
    <n v="2.8985507246376829E-2"/>
    <n v="1"/>
    <n v="0.378"/>
    <m/>
  </r>
  <r>
    <n v="2881"/>
    <n v="2025"/>
    <n v="2024"/>
    <s v="Year_2"/>
    <d v="2024-10-02T00:00:00"/>
    <s v="KUD09"/>
    <s v="O2R3"/>
    <s v="JK"/>
    <n v="4.3478260869565223E-2"/>
    <n v="5196"/>
    <x v="114"/>
    <s v="Prop Valve B Status Fault"/>
    <s v="Breakdown"/>
    <d v="1899-12-30T22:55:00"/>
    <d v="1899-12-30T22:55:00"/>
    <d v="1899-12-30T23:00:00"/>
    <d v="1899-12-30T00:00:00"/>
    <n v="8.3333333333333037E-2"/>
    <n v="8.3333333333333037E-2"/>
    <s v="Auto reset."/>
    <s v="Close"/>
    <n v="3.6231884057970889E-3"/>
    <n v="1"/>
    <n v="6.7000000000000004E-2"/>
    <m/>
  </r>
  <r>
    <n v="2882"/>
    <n v="2025"/>
    <n v="2024"/>
    <s v="Year_2"/>
    <d v="2024-10-02T00:00:00"/>
    <s v="KUD16"/>
    <s v="O2R2"/>
    <s v="SIL"/>
    <n v="4.3478260869565223E-2"/>
    <n v="3273"/>
    <x v="35"/>
    <s v="YawUntwistCCW: Code__,_______°"/>
    <m/>
    <d v="1899-12-30T02:23:00"/>
    <d v="1899-12-30T02:23:00"/>
    <d v="1899-12-30T02:46:00"/>
    <d v="1899-12-30T00:00:00"/>
    <n v="0.38333333333333364"/>
    <n v="0.38333333333333364"/>
    <s v="Auto cable twist."/>
    <s v="Close"/>
    <n v="1.6666666666666684E-2"/>
    <n v="1"/>
    <n v="1E-3"/>
    <m/>
  </r>
  <r>
    <n v="2883"/>
    <n v="2025"/>
    <n v="2024"/>
    <s v="Year_2"/>
    <d v="2024-10-02T00:00:00"/>
    <s v="KUD17"/>
    <s v="O2R2"/>
    <s v="SIL"/>
    <n v="4.3478260869565223E-2"/>
    <n v="3273"/>
    <x v="35"/>
    <s v="YawUntwistCCW: Code__,_______°"/>
    <m/>
    <d v="1899-12-30T02:25:00"/>
    <d v="1899-12-30T02:25:00"/>
    <d v="1899-12-30T02:50:00"/>
    <d v="1899-12-30T00:00:00"/>
    <n v="0.41666666666666652"/>
    <n v="0.41666666666666652"/>
    <s v="Auto cable twist."/>
    <s v="Close"/>
    <n v="1.8115942028985504E-2"/>
    <n v="1"/>
    <n v="1.4999999999999999E-2"/>
    <m/>
  </r>
  <r>
    <n v="2884"/>
    <n v="2025"/>
    <n v="2024"/>
    <s v="Year_2"/>
    <d v="2024-10-02T00:00:00"/>
    <s v="KUD21"/>
    <s v="O2R3"/>
    <s v="JK"/>
    <n v="4.3478260869565223E-2"/>
    <n v="3273"/>
    <x v="35"/>
    <s v="YawUntwistCCW: Code__,_______°"/>
    <m/>
    <d v="1899-12-30T02:24:00"/>
    <d v="1899-12-30T02:24:00"/>
    <d v="1899-12-30T02:49:00"/>
    <d v="1899-12-30T00:00:00"/>
    <n v="0.41666666666666652"/>
    <n v="0.41666666666666652"/>
    <s v="Auto cable twist."/>
    <s v="Close"/>
    <n v="1.8115942028985504E-2"/>
    <n v="1"/>
    <n v="1E-3"/>
    <m/>
  </r>
  <r>
    <n v="2885"/>
    <n v="2025"/>
    <n v="2024"/>
    <s v="Year_2"/>
    <d v="2024-10-02T00:00:00"/>
    <s v="KUD22"/>
    <s v="O2R3"/>
    <s v="JK"/>
    <n v="4.3478260869565223E-2"/>
    <n v="3273"/>
    <x v="35"/>
    <s v="YawUntwistCCW: Code__,_______°"/>
    <m/>
    <d v="1899-12-30T01:42:00"/>
    <d v="1899-12-30T01:42:00"/>
    <d v="1899-12-30T02:04:00"/>
    <d v="1899-12-30T00:00:00"/>
    <n v="0.3666666666666667"/>
    <n v="0.3666666666666667"/>
    <s v="Auto cable twist."/>
    <s v="Close"/>
    <n v="1.5942028985507249E-2"/>
    <n v="1"/>
    <n v="6.0000000000000001E-3"/>
    <m/>
  </r>
  <r>
    <n v="2886"/>
    <n v="2025"/>
    <n v="2024"/>
    <s v="Year_2"/>
    <d v="2024-10-02T00:00:00"/>
    <s v="KUD22"/>
    <s v="O2R3"/>
    <s v="JK"/>
    <n v="4.3478260869565223E-2"/>
    <n v="3273"/>
    <x v="35"/>
    <s v="YawUntwistCCW: Code__,_______°"/>
    <m/>
    <d v="1899-12-30T03:20:00"/>
    <d v="1899-12-30T03:20:00"/>
    <d v="1899-12-30T03:41:00"/>
    <d v="1899-12-30T00:00:00"/>
    <n v="0.35000000000000009"/>
    <n v="0.35000000000000009"/>
    <s v="Auto cable twist."/>
    <s v="Close"/>
    <n v="1.5217391304347832E-2"/>
    <n v="1"/>
    <n v="3.3000000000000002E-2"/>
    <m/>
  </r>
  <r>
    <n v="2887"/>
    <n v="2025"/>
    <n v="2024"/>
    <s v="Year_2"/>
    <d v="2024-10-02T00:00:00"/>
    <s v="KUD23"/>
    <s v="O2R3"/>
    <s v="JK"/>
    <n v="4.3478260869565223E-2"/>
    <n v="3273"/>
    <x v="35"/>
    <s v="YawUntwistCCW: Code__,_______°"/>
    <m/>
    <d v="1899-12-30T01:46:00"/>
    <d v="1899-12-30T01:46:00"/>
    <d v="1899-12-30T02:06:00"/>
    <d v="1899-12-30T00:00:00"/>
    <n v="0.33333333333333315"/>
    <n v="0.33333333333333315"/>
    <s v="Auto cable twist."/>
    <s v="Close"/>
    <n v="1.4492753623188399E-2"/>
    <n v="1"/>
    <n v="5.0000000000000001E-3"/>
    <m/>
  </r>
  <r>
    <n v="2888"/>
    <n v="2025"/>
    <n v="2024"/>
    <s v="Year_2"/>
    <d v="2024-10-02T00:00:00"/>
    <s v="KUD23"/>
    <s v="O2R3"/>
    <s v="JK"/>
    <n v="4.3478260869565223E-2"/>
    <n v="3273"/>
    <x v="35"/>
    <s v="YawUntwistCCW: Code__,_______°"/>
    <m/>
    <d v="1899-12-30T03:20:00"/>
    <d v="1899-12-30T03:20:00"/>
    <d v="1899-12-30T03:41:00"/>
    <d v="1899-12-30T00:00:00"/>
    <n v="0.35000000000000009"/>
    <n v="0.35000000000000009"/>
    <s v="Auto cable twist."/>
    <s v="Close"/>
    <n v="1.5217391304347832E-2"/>
    <n v="1"/>
    <n v="4.3999999999999997E-2"/>
    <m/>
  </r>
  <r>
    <n v="2889"/>
    <n v="2025"/>
    <n v="2024"/>
    <s v="Year_2"/>
    <d v="2024-10-03T00:00:00"/>
    <s v="KUD01"/>
    <s v="O2R1"/>
    <s v="KSIPL"/>
    <n v="4.3478260869565223E-2"/>
    <n v="3298"/>
    <x v="47"/>
    <s v="Yaw To Cable Twist Reset"/>
    <m/>
    <d v="1899-12-30T22:20:00"/>
    <d v="1899-12-30T22:20:00"/>
    <d v="1899-12-30T22:33:00"/>
    <d v="1899-12-30T00:00:00"/>
    <n v="0.2166666666666659"/>
    <n v="0.2166666666666659"/>
    <s v="Auto cable twist."/>
    <s v="Close"/>
    <n v="9.4202898550724314E-3"/>
    <n v="1"/>
    <n v="9.6000000000000002E-2"/>
    <m/>
  </r>
  <r>
    <n v="2890"/>
    <n v="2025"/>
    <n v="2024"/>
    <s v="Year_2"/>
    <d v="2024-10-03T00:00:00"/>
    <s v="KUD03"/>
    <s v="O2R1"/>
    <s v="KSIPL"/>
    <n v="4.3478260869565223E-2"/>
    <n v="315"/>
    <x v="120"/>
    <s v="ExEx low voltage L_: ___V"/>
    <s v="Breakdown"/>
    <d v="1899-12-30T22:30:00"/>
    <d v="1899-12-30T22:30:00"/>
    <d v="1899-12-30T23:30:00"/>
    <d v="1899-12-30T00:00:00"/>
    <n v="1.0000000000000071"/>
    <n v="1.0000000000000071"/>
    <s v="Manually charged the HVCB."/>
    <s v="Close"/>
    <n v="4.3478260869565535E-2"/>
    <n v="1"/>
    <n v="0.14099999999999999"/>
    <m/>
  </r>
  <r>
    <n v="2891"/>
    <n v="2025"/>
    <n v="2024"/>
    <s v="Year_2"/>
    <d v="2024-10-03T00:00:00"/>
    <s v="KUD03"/>
    <s v="O2R1"/>
    <s v="KSIPL"/>
    <n v="4.3478260869565223E-2"/>
    <n v="3806"/>
    <x v="147"/>
    <s v="HubSafetySystem Batt.Charg.Err"/>
    <s v="Breakdown"/>
    <d v="1899-12-30T22:30:00"/>
    <d v="1899-12-30T22:30:00"/>
    <d v="1899-12-30T23:45:00"/>
    <d v="1899-12-30T00:00:00"/>
    <n v="1.2500000000000009"/>
    <n v="1.2500000000000009"/>
    <s v="Auto start after battery fully charged."/>
    <s v="Close"/>
    <n v="5.4347826086956569E-2"/>
    <n v="1"/>
    <n v="7.0000000000000007E-2"/>
    <m/>
  </r>
  <r>
    <n v="2892"/>
    <n v="2025"/>
    <n v="2024"/>
    <s v="Year_2"/>
    <d v="2024-10-03T00:00:00"/>
    <s v="KUD10"/>
    <s v="O2R1"/>
    <s v="KSIPL"/>
    <n v="4.3478260869565223E-2"/>
    <n v="2676"/>
    <x v="124"/>
    <s v="UPS Error"/>
    <s v="Breakdown"/>
    <d v="1899-12-30T22:30:00"/>
    <d v="1899-12-30T22:30:00"/>
    <d v="1899-12-30T23:30:00"/>
    <d v="1899-12-30T00:00:00"/>
    <n v="1.0000000000000071"/>
    <n v="1.0000000000000071"/>
    <s v="UPS reboot done."/>
    <s v="Close"/>
    <n v="4.3478260869565535E-2"/>
    <n v="1"/>
    <n v="0.13500000000000001"/>
    <m/>
  </r>
  <r>
    <n v="2893"/>
    <n v="2025"/>
    <n v="2024"/>
    <s v="Year_2"/>
    <d v="2024-10-03T00:00:00"/>
    <s v="KUD13"/>
    <s v="O2R1"/>
    <s v="KSIPL"/>
    <n v="4.3478260869565223E-2"/>
    <n v="931"/>
    <x v="186"/>
    <s v="Arc light detected"/>
    <s v="Breakdown"/>
    <d v="1899-12-30T00:00:00"/>
    <d v="1899-12-30T00:00:00"/>
    <d v="1899-12-30T23:59:59"/>
    <d v="1899-12-30T00:00:00"/>
    <n v="23.999722222222225"/>
    <n v="23.999722222222225"/>
    <s v="WTG Stop for HV transformer LV (W) Winding displacement , New transformer arrangement is Going on."/>
    <s v="Open"/>
    <n v="1.0434661835748795"/>
    <n v="1"/>
    <n v="9.8759999999999994"/>
    <m/>
  </r>
  <r>
    <n v="2894"/>
    <n v="2025"/>
    <n v="2024"/>
    <s v="Year_2"/>
    <d v="2024-10-03T00:00:00"/>
    <s v="KUD05"/>
    <s v="O2R3"/>
    <s v="JK"/>
    <n v="4.3478260869565223E-2"/>
    <n v="2676"/>
    <x v="124"/>
    <s v="UPS Error"/>
    <s v="Breakdown"/>
    <d v="1899-12-30T22:30:00"/>
    <d v="1899-12-30T22:30:00"/>
    <d v="1899-12-30T23:12:00"/>
    <d v="1899-12-30T00:00:00"/>
    <n v="0.70000000000000018"/>
    <n v="0.70000000000000018"/>
    <s v="UPS reboot done."/>
    <s v="Close"/>
    <n v="3.0434782608695664E-2"/>
    <n v="1"/>
    <n v="0.16700000000000001"/>
    <m/>
  </r>
  <r>
    <n v="2895"/>
    <n v="2025"/>
    <n v="2024"/>
    <s v="Year_2"/>
    <d v="2024-10-03T00:00:00"/>
    <s v="KUD06"/>
    <s v="O2R3"/>
    <s v="JK"/>
    <n v="4.3478260869565223E-2"/>
    <n v="315"/>
    <x v="120"/>
    <s v="ExEx low voltage L_: ___V"/>
    <s v="Breakdown"/>
    <d v="1899-12-30T22:30:00"/>
    <d v="1899-12-30T22:30:00"/>
    <d v="1899-12-30T23:59:59"/>
    <d v="1899-12-30T00:00:00"/>
    <n v="1.4997222222222231"/>
    <n v="1.4997222222222231"/>
    <s v="Manually charged the HVCB."/>
    <s v="Close"/>
    <n v="6.5205314009661883E-2"/>
    <n v="1"/>
    <n v="0"/>
    <m/>
  </r>
  <r>
    <n v="2896"/>
    <n v="2025"/>
    <n v="2024"/>
    <s v="Year_2"/>
    <d v="2024-10-03T00:00:00"/>
    <s v="KUD09"/>
    <s v="O2R3"/>
    <s v="JK"/>
    <n v="4.3478260869565223E-2"/>
    <n v="309"/>
    <x v="149"/>
    <s v="Pause over RCS __0"/>
    <s v="Manual Stop"/>
    <d v="1899-12-30T09:49:00"/>
    <d v="1899-12-30T09:49:00"/>
    <d v="1899-12-30T18:49:00"/>
    <d v="1899-12-30T00:00:00"/>
    <n v="9"/>
    <n v="9"/>
    <s v="WTG Manually shutdown taken for 6 month service"/>
    <s v="Close"/>
    <n v="0.39130434782608703"/>
    <n v="1"/>
    <n v="2.984"/>
    <m/>
  </r>
  <r>
    <n v="2897"/>
    <n v="2025"/>
    <n v="2024"/>
    <s v="Year_2"/>
    <d v="2024-10-04T00:00:00"/>
    <s v="KUD13"/>
    <s v="O2R1"/>
    <s v="KSIPL"/>
    <n v="4.3478260869565223E-2"/>
    <n v="931"/>
    <x v="186"/>
    <s v="Arc light detected"/>
    <s v="Breakdown"/>
    <d v="1899-12-30T00:00:00"/>
    <d v="1899-12-30T00:00:00"/>
    <d v="1899-12-30T23:59:59"/>
    <d v="1899-12-30T00:00:00"/>
    <n v="23.999722222222225"/>
    <n v="23.999722222222225"/>
    <s v="WTG Stop for HV transformer LV (W) Winding displacement , New transformer arrangement is Going on."/>
    <s v="Open"/>
    <n v="1.0434661835748795"/>
    <n v="1"/>
    <n v="7.1319999999999997"/>
    <m/>
  </r>
  <r>
    <n v="2898"/>
    <n v="2025"/>
    <n v="2024"/>
    <s v="Year_2"/>
    <d v="2024-10-05T00:00:00"/>
    <s v="KUD13"/>
    <s v="O2R1"/>
    <s v="KSIPL"/>
    <n v="4.3478260869565223E-2"/>
    <n v="931"/>
    <x v="186"/>
    <s v="Arc light detected"/>
    <s v="Breakdown"/>
    <d v="1899-12-30T00:00:00"/>
    <d v="1899-12-30T00:00:00"/>
    <d v="1899-12-30T23:59:59"/>
    <d v="1899-12-30T00:00:00"/>
    <n v="23.999722222222225"/>
    <n v="23.999722222222225"/>
    <s v="WTG Stop for HV transformer LV (W) Winding displacement , New transformer arrangement is Going on."/>
    <s v="Open"/>
    <n v="1.0434661835748795"/>
    <n v="1"/>
    <n v="4.6539999999999999"/>
    <m/>
  </r>
  <r>
    <n v="2899"/>
    <n v="2025"/>
    <n v="2024"/>
    <s v="Year_2"/>
    <d v="2024-10-06T00:00:00"/>
    <s v="KUD13"/>
    <s v="O2R1"/>
    <s v="KSIPL"/>
    <n v="4.3478260869565223E-2"/>
    <n v="931"/>
    <x v="186"/>
    <s v="Arc light detected"/>
    <s v="Breakdown"/>
    <d v="1899-12-30T00:00:00"/>
    <d v="1899-12-30T00:00:00"/>
    <d v="1899-12-30T23:59:59"/>
    <d v="1899-12-30T00:00:00"/>
    <n v="23.999722222222225"/>
    <n v="23.999722222222225"/>
    <s v="WTG Stop for HV transformer LV (W) Winding displacement , New transformer arrangement is Going on."/>
    <s v="Open"/>
    <n v="1.0434661835748795"/>
    <n v="1"/>
    <n v="2.532"/>
    <m/>
  </r>
  <r>
    <n v="2900"/>
    <n v="2025"/>
    <n v="2024"/>
    <s v="Year_2"/>
    <d v="2024-10-07T00:00:00"/>
    <s v="KUD13"/>
    <s v="O2R1"/>
    <s v="KSIPL"/>
    <n v="4.3478260869565223E-2"/>
    <n v="931"/>
    <x v="186"/>
    <s v="Arc light detected"/>
    <s v="Breakdown"/>
    <d v="1899-12-30T00:00:00"/>
    <d v="1899-12-30T00:00:00"/>
    <d v="1899-12-30T23:59:59"/>
    <d v="1899-12-30T00:00:00"/>
    <n v="23.999722222222225"/>
    <n v="23.999722222222225"/>
    <s v="WTG Stop for HV transformer LV (W) Winding displacement , New transformer Rplacement work in progress."/>
    <s v="Open"/>
    <n v="1.0434661835748795"/>
    <n v="1"/>
    <n v="8.92"/>
    <m/>
  </r>
  <r>
    <n v="2901"/>
    <n v="2025"/>
    <n v="2024"/>
    <s v="Year_2"/>
    <d v="2024-10-07T00:00:00"/>
    <s v="KUD10"/>
    <s v="O2R1"/>
    <s v="KSIPL"/>
    <n v="4.3478260869565223E-2"/>
    <n v="2676"/>
    <x v="124"/>
    <s v="UPS Error"/>
    <s v="Breakdown"/>
    <d v="1899-12-30T09:21:00"/>
    <d v="1899-12-30T09:21:00"/>
    <d v="1899-12-30T10:27:50"/>
    <d v="1899-12-30T00:00:00"/>
    <n v="1.1138888888888894"/>
    <n v="1.1138888888888894"/>
    <s v="UPS Error"/>
    <s v="Close"/>
    <n v="4.8429951690821281E-2"/>
    <n v="1"/>
    <n v="0.19400000000000001"/>
    <m/>
  </r>
  <r>
    <n v="2902"/>
    <n v="2025"/>
    <n v="2024"/>
    <s v="Year_2"/>
    <d v="2024-10-07T00:00:00"/>
    <s v="KUD19"/>
    <s v="O2R1"/>
    <s v="KSIPL"/>
    <n v="4.3478260869565223E-2"/>
    <n v="3273"/>
    <x v="35"/>
    <s v="YawUntwistCCW: Code__,_______°"/>
    <m/>
    <d v="1899-12-30T04:44:00"/>
    <d v="1899-12-30T04:44:00"/>
    <d v="1899-12-30T05:04:00"/>
    <d v="1899-12-30T00:00:00"/>
    <n v="0.33333333333333348"/>
    <n v="0.33333333333333348"/>
    <s v="YawUntwistCCW: Code 6,    540Â°"/>
    <s v="Close"/>
    <n v="1.4492753623188415E-2"/>
    <n v="1"/>
    <n v="1E-3"/>
    <m/>
  </r>
  <r>
    <n v="2903"/>
    <n v="2025"/>
    <n v="2024"/>
    <s v="Year_2"/>
    <d v="2024-10-07T00:00:00"/>
    <s v="KUD04"/>
    <s v="O2R3"/>
    <s v="JK"/>
    <n v="4.3478260869565223E-2"/>
    <n v="3273"/>
    <x v="35"/>
    <s v="YawUntwistCCW: Code__,_______°"/>
    <m/>
    <d v="1899-12-30T04:49:00"/>
    <d v="1899-12-30T04:49:00"/>
    <d v="1899-12-30T05:09:00"/>
    <d v="1899-12-30T00:00:00"/>
    <n v="0.33333333333333282"/>
    <n v="0.33333333333333282"/>
    <s v="YawUntwistCCW: Code 5,    540Â°"/>
    <s v="Close"/>
    <n v="1.4492753623188385E-2"/>
    <n v="1"/>
    <n v="8.0000000000000002E-3"/>
    <m/>
  </r>
  <r>
    <n v="2904"/>
    <n v="2025"/>
    <n v="2024"/>
    <s v="Year_2"/>
    <d v="2024-10-07T00:00:00"/>
    <s v="KUD18"/>
    <s v="O2R4"/>
    <s v="SGDCIPL"/>
    <n v="4.3478260869565223E-2"/>
    <n v="3273"/>
    <x v="35"/>
    <s v="YawUntwistCCW: Code__,_______°"/>
    <m/>
    <d v="1899-12-30T05:29:00"/>
    <d v="1899-12-30T05:29:00"/>
    <d v="1899-12-30T05:49:00"/>
    <d v="1899-12-30T00:00:00"/>
    <n v="0.33333333333333348"/>
    <n v="0.33333333333333348"/>
    <s v="YawUntwistCCW: Code 6,    543Â°"/>
    <s v="Close"/>
    <n v="1.4492753623188415E-2"/>
    <n v="1"/>
    <n v="3.6999999999999998E-2"/>
    <m/>
  </r>
  <r>
    <n v="2905"/>
    <n v="2025"/>
    <n v="2024"/>
    <s v="Year_2"/>
    <d v="2024-10-08T00:00:00"/>
    <s v="KUD01"/>
    <s v="O2R1"/>
    <s v="KSIPL"/>
    <n v="4.3478260869565223E-2"/>
    <n v="450"/>
    <x v="127"/>
    <s v="Ext. High I sum Grd inv."/>
    <s v="Breakdown"/>
    <d v="1899-12-30T02:17:00"/>
    <d v="1899-12-30T02:17:00"/>
    <d v="1899-12-30T02:20:00"/>
    <d v="1899-12-30T00:00:00"/>
    <n v="5.0000000000000155E-2"/>
    <n v="5.0000000000000155E-2"/>
    <s v="Auto reset."/>
    <s v="Close"/>
    <n v="2.1739130434782678E-3"/>
    <n v="1"/>
    <n v="1.2E-2"/>
    <m/>
  </r>
  <r>
    <n v="2906"/>
    <n v="2025"/>
    <n v="2024"/>
    <s v="Year_2"/>
    <d v="2024-10-08T00:00:00"/>
    <s v="KUD10"/>
    <s v="O2R1"/>
    <s v="KSIPL"/>
    <n v="4.3478260869565223E-2"/>
    <n v="5197"/>
    <x v="54"/>
    <s v="Prop Valve C Status Fault"/>
    <s v="Breakdown"/>
    <d v="1899-12-30T17:19:00"/>
    <d v="1899-12-30T17:19:00"/>
    <d v="1899-12-30T17:28:00"/>
    <d v="1899-12-30T00:00:00"/>
    <n v="0.14999999999999947"/>
    <n v="0.14999999999999947"/>
    <s v="Auto reset."/>
    <s v="Close"/>
    <n v="6.5217391304347606E-3"/>
    <n v="1"/>
    <n v="7.4999999999999997E-2"/>
    <m/>
  </r>
  <r>
    <n v="2907"/>
    <n v="2025"/>
    <n v="2024"/>
    <s v="Year_2"/>
    <d v="2024-10-08T00:00:00"/>
    <s v="KUD13"/>
    <s v="O2R1"/>
    <s v="KSIPL"/>
    <n v="4.3478260869565223E-2"/>
    <n v="931"/>
    <x v="186"/>
    <s v="Arc light detected"/>
    <s v="Breakdown"/>
    <d v="1899-12-30T00:00:00"/>
    <d v="1899-12-30T00:00:00"/>
    <d v="1899-12-30T18:15:00"/>
    <d v="1899-12-30T00:00:00"/>
    <n v="18.25"/>
    <n v="18.25"/>
    <s v="WTG Stop for HV transformer LV (W) Winding displacement , After replaced new HV transformer then commissioning work done and restored."/>
    <s v="Close"/>
    <n v="0.7934782608695653"/>
    <n v="1"/>
    <n v="6.1849999999999996"/>
    <m/>
  </r>
  <r>
    <n v="2908"/>
    <n v="2025"/>
    <n v="2024"/>
    <s v="Year_2"/>
    <d v="2024-10-09T00:00:00"/>
    <s v="KUD06"/>
    <s v="O2R3"/>
    <s v="JK"/>
    <n v="4.3478260869565223E-2"/>
    <n v="309"/>
    <x v="149"/>
    <s v="Pause over RCS __0"/>
    <s v="Manual Stop"/>
    <d v="1899-12-30T09:34:00"/>
    <d v="1899-12-30T09:34:00"/>
    <d v="1899-12-30T15:36:00"/>
    <d v="1899-12-30T00:00:00"/>
    <n v="6.0333333333333332"/>
    <n v="6.0333333333333332"/>
    <s v="WTG Manually shutdown taken for 6 month service"/>
    <s v="Close"/>
    <n v="0.26231884057971017"/>
    <n v="1"/>
    <n v="2.1379999999999999"/>
    <m/>
  </r>
  <r>
    <n v="2909"/>
    <n v="2025"/>
    <n v="2024"/>
    <s v="Year_2"/>
    <d v="2024-10-10T00:00:00"/>
    <s v="KUD07"/>
    <s v="O2R3"/>
    <s v="JK"/>
    <n v="4.3478260869565223E-2"/>
    <n v="309"/>
    <x v="149"/>
    <s v="Pause over RCS __0"/>
    <s v="Manual Stop"/>
    <d v="1899-12-30T09:45:00"/>
    <d v="1899-12-30T09:45:00"/>
    <d v="1899-12-30T15:39:00"/>
    <d v="1899-12-30T00:00:00"/>
    <n v="5.9"/>
    <n v="5.9"/>
    <s v="WTG Manually shutdown taken for 6 month service"/>
    <s v="Close"/>
    <n v="0.25652173913043486"/>
    <n v="1"/>
    <n v="0.34599999999999997"/>
    <m/>
  </r>
  <r>
    <n v="2910"/>
    <n v="2025"/>
    <n v="2024"/>
    <s v="Year_2"/>
    <d v="2024-10-10T00:00:00"/>
    <s v="KUD06"/>
    <s v="O2R3"/>
    <s v="JK"/>
    <n v="4.3478260869565223E-2"/>
    <n v="315"/>
    <x v="120"/>
    <s v="ExEx low voltage L_: ___V"/>
    <s v="Breakdown"/>
    <d v="1899-12-30T23:20:00"/>
    <d v="1899-12-30T23:20:00"/>
    <d v="1899-12-30T00:00:00"/>
    <d v="1899-12-30T00:00:00"/>
    <n v="0.67"/>
    <n v="0.67"/>
    <s v="WTG Rectification work in progress"/>
    <s v="Open"/>
    <n v="2.91304347826087E-2"/>
    <n v="1"/>
    <n v="0.32600000000000001"/>
    <m/>
  </r>
  <r>
    <n v="2911"/>
    <n v="2025"/>
    <n v="2024"/>
    <s v="Year_2"/>
    <d v="2024-10-10T00:00:00"/>
    <s v="KUD13"/>
    <s v="O2R1"/>
    <s v="KSIPL"/>
    <n v="4.3478260869565223E-2"/>
    <n v="6226"/>
    <x v="193"/>
    <s v="HydPressOscBlBFilt2,   8.3bar"/>
    <s v="Breakdown"/>
    <d v="1899-12-30T20:04:00"/>
    <d v="1899-12-30T20:04:00"/>
    <d v="1899-12-30T20:12:00"/>
    <d v="1899-12-30T00:00:00"/>
    <n v="0.13333333333333286"/>
    <n v="0.13333333333333286"/>
    <s v="Auto reset."/>
    <s v="Close"/>
    <n v="5.7971014492753424E-3"/>
    <n v="1"/>
    <n v="0.19900000000000001"/>
    <m/>
  </r>
  <r>
    <n v="2912"/>
    <n v="2025"/>
    <n v="2024"/>
    <s v="Year_2"/>
    <d v="2024-10-10T00:00:00"/>
    <s v="KUD18"/>
    <s v="O2R4"/>
    <s v="SGDCIPL"/>
    <n v="4.3478260869565223E-2"/>
    <n v="315"/>
    <x v="120"/>
    <s v="Prop Valve B Status Fault"/>
    <s v="Breakdown"/>
    <d v="1899-12-30T23:20:00"/>
    <d v="1899-12-30T23:20:00"/>
    <d v="1899-12-31T00:00:00"/>
    <d v="1899-12-30T00:00:00"/>
    <n v="0.66666666666666696"/>
    <n v="0.66666666666666696"/>
    <s v="WTG Rectification work in progress"/>
    <s v="Close"/>
    <n v="2.8985507246376829E-2"/>
    <n v="1"/>
    <n v="0.19900000000000001"/>
    <m/>
  </r>
  <r>
    <n v="2913"/>
    <n v="2025"/>
    <n v="2024"/>
    <s v="Year_2"/>
    <d v="2024-10-11T00:00:00"/>
    <s v="KUD13"/>
    <s v="O2R1"/>
    <s v="KSIPL"/>
    <n v="4.3478260869565223E-2"/>
    <n v="5196"/>
    <x v="114"/>
    <s v="Prop Valve B Status Fault"/>
    <s v="Breakdown"/>
    <d v="1899-12-30T17:35:00"/>
    <d v="1899-12-30T17:35:00"/>
    <d v="1899-12-30T17:43:00"/>
    <d v="1899-12-30T00:00:00"/>
    <n v="0.13333333333333552"/>
    <n v="0.13333333333333552"/>
    <s v="Auto reset"/>
    <s v="Close"/>
    <n v="5.7971014492754587E-3"/>
    <n v="1"/>
    <n v="0.19900000000000001"/>
    <m/>
  </r>
  <r>
    <n v="2914"/>
    <n v="2025"/>
    <n v="2024"/>
    <s v="Year_2"/>
    <d v="2024-10-11T00:00:00"/>
    <s v="KUD04"/>
    <s v="O2R3"/>
    <s v="JK"/>
    <n v="4.3478260869565223E-2"/>
    <n v="315"/>
    <x v="120"/>
    <s v="ExEx low voltage L_: ___V"/>
    <s v="Breakdown"/>
    <d v="1899-12-30T03:10:00"/>
    <d v="1899-12-30T03:10:00"/>
    <d v="1899-12-30T04:31:00"/>
    <d v="1899-12-30T00:00:00"/>
    <n v="1.3499999999999999"/>
    <n v="1.3499999999999999"/>
    <s v="Remote reboot done"/>
    <s v="Close"/>
    <n v="5.8695652173913045E-2"/>
    <n v="1"/>
    <n v="0.19900000000000001"/>
    <m/>
  </r>
  <r>
    <n v="2915"/>
    <n v="2025"/>
    <n v="2024"/>
    <s v="Year_2"/>
    <d v="2024-10-11T00:00:00"/>
    <s v="KUD06"/>
    <s v="O2R3"/>
    <s v="JK"/>
    <n v="4.3478260869565223E-2"/>
    <n v="315"/>
    <x v="120"/>
    <s v="ExEx low voltage L_: ___V"/>
    <s v="Breakdown"/>
    <d v="1899-12-30T00:00:00"/>
    <d v="1899-12-30T00:00:00"/>
    <d v="1899-12-30T00:20:00"/>
    <d v="1899-12-30T00:00:00"/>
    <n v="0.33333333333333331"/>
    <n v="0.33333333333333331"/>
    <s v="Manually charged the HVCB"/>
    <s v="Close"/>
    <n v="1.4492753623188408E-2"/>
    <n v="1"/>
    <n v="0.19900000000000001"/>
    <m/>
  </r>
  <r>
    <n v="2916"/>
    <n v="2025"/>
    <n v="2024"/>
    <s v="Year_2"/>
    <d v="2024-10-11T00:00:00"/>
    <s v="KUD18"/>
    <s v="O2R4"/>
    <s v="SGDCIPL"/>
    <n v="4.3478260869565223E-2"/>
    <n v="2676"/>
    <x v="124"/>
    <s v="UPS Error"/>
    <s v="Breakdown"/>
    <d v="1899-12-30T00:00:00"/>
    <d v="1899-12-30T00:00:00"/>
    <d v="1899-12-30T02:10:00"/>
    <d v="1899-12-30T00:00:00"/>
    <n v="2.1666666666666665"/>
    <n v="2.1666666666666665"/>
    <s v="UPS reboot done."/>
    <s v="Close"/>
    <n v="9.420289855072464E-2"/>
    <n v="1"/>
    <n v="0.19900000000000001"/>
    <m/>
  </r>
  <r>
    <n v="2917"/>
    <n v="2025"/>
    <n v="2024"/>
    <s v="Year_2"/>
    <d v="2024-10-11T00:00:00"/>
    <s v="KUD18"/>
    <s v="O2R4"/>
    <s v="SGDCIPL"/>
    <n v="4.3478260869565223E-2"/>
    <n v="2676"/>
    <x v="124"/>
    <s v="UPS Error"/>
    <s v="Breakdown"/>
    <d v="1899-12-30T03:20:00"/>
    <d v="1899-12-30T03:20:00"/>
    <d v="1899-12-30T03:54:00"/>
    <d v="1899-12-30T00:00:00"/>
    <n v="0.56666666666666665"/>
    <n v="0.56666666666666665"/>
    <s v="UPS reboot done."/>
    <s v="Close"/>
    <n v="2.4637681159420291E-2"/>
    <n v="1"/>
    <n v="0.19900000000000001"/>
    <m/>
  </r>
  <r>
    <n v="2918"/>
    <n v="2025"/>
    <n v="2024"/>
    <s v="Year_2"/>
    <d v="2024-10-11T00:00:00"/>
    <s v="KUD18"/>
    <s v="O2R4"/>
    <s v="SGDCIPL"/>
    <n v="4.3478260869565223E-2"/>
    <n v="2676"/>
    <x v="124"/>
    <s v="UPS Error"/>
    <s v="Breakdown"/>
    <d v="1899-12-30T07:40:00"/>
    <d v="1899-12-30T07:40:00"/>
    <d v="1899-12-30T08:20:00"/>
    <d v="1899-12-30T00:00:00"/>
    <n v="0.66666666666666696"/>
    <n v="0.66666666666666696"/>
    <s v="UPS Battery changed."/>
    <s v="Close"/>
    <n v="2.8985507246376829E-2"/>
    <n v="1"/>
    <n v="0.19900000000000001"/>
    <m/>
  </r>
  <r>
    <n v="2919"/>
    <n v="2025"/>
    <n v="2024"/>
    <s v="Year_2"/>
    <d v="2024-10-12T00:00:00"/>
    <s v="KUD08"/>
    <s v="O2R3"/>
    <s v="JK"/>
    <n v="4.3478260869565223E-2"/>
    <n v="309"/>
    <x v="149"/>
    <s v="Pause over RCS __0"/>
    <s v="Manual Stop"/>
    <d v="1899-12-30T10:21:00"/>
    <d v="1899-12-30T10:21:00"/>
    <d v="1899-12-30T15:50:00"/>
    <d v="1899-12-30T00:00:00"/>
    <n v="5.4833333333333325"/>
    <n v="5.4833333333333325"/>
    <s v="WTG Manually shutdown taken for 6 month service"/>
    <s v="Close"/>
    <n v="0.23840579710144927"/>
    <n v="1"/>
    <n v="2.1920000000000002"/>
    <m/>
  </r>
  <r>
    <n v="2920"/>
    <n v="2025"/>
    <n v="2024"/>
    <s v="Year_2"/>
    <d v="2024-10-12T00:00:00"/>
    <s v="KUD10"/>
    <s v="O2R1"/>
    <s v="KSIPL"/>
    <n v="4.3478260869565223E-2"/>
    <n v="2676"/>
    <x v="124"/>
    <s v="UPS Error"/>
    <s v="Breakdown"/>
    <d v="1899-12-30T05:35:00"/>
    <d v="1899-12-30T05:35:00"/>
    <d v="1899-12-30T07:30:00"/>
    <d v="1899-12-30T00:00:00"/>
    <n v="1.9166666666666665"/>
    <n v="1.9166666666666665"/>
    <s v="UPS reboot and restored"/>
    <s v="Close"/>
    <n v="8.3333333333333343E-2"/>
    <n v="1"/>
    <n v="0.02"/>
    <m/>
  </r>
  <r>
    <n v="2921"/>
    <n v="2025"/>
    <n v="2024"/>
    <s v="Year_2"/>
    <d v="2024-10-12T00:00:00"/>
    <s v="KUD11"/>
    <s v="O2R1"/>
    <s v="KSIPL"/>
    <n v="4.3478260869565223E-2"/>
    <n v="2908"/>
    <x v="190"/>
    <s v="Pitch A BL unlock alarm N= ___"/>
    <s v="Breakdown"/>
    <d v="1899-12-30T05:13:00"/>
    <d v="1899-12-30T05:13:00"/>
    <d v="1899-12-30T05:56:00"/>
    <d v="1899-12-30T00:00:00"/>
    <n v="0.71666666666666679"/>
    <n v="0.71666666666666679"/>
    <s v="Remote reboot done."/>
    <s v="Close"/>
    <n v="3.1159420289855081E-2"/>
    <n v="1"/>
    <n v="6.0000000000000001E-3"/>
    <m/>
  </r>
  <r>
    <n v="2922"/>
    <n v="2025"/>
    <n v="2024"/>
    <s v="Year_2"/>
    <d v="2024-10-12T00:00:00"/>
    <s v="KUD13"/>
    <s v="O2R1"/>
    <s v="KSIPL"/>
    <n v="4.3478260869565223E-2"/>
    <n v="5069"/>
    <x v="111"/>
    <s v="Pitch pos C meas. signal fault"/>
    <s v="Breakdown"/>
    <d v="1899-12-30T05:20:00"/>
    <d v="1899-12-30T05:20:00"/>
    <d v="1899-12-30T06:22:00"/>
    <d v="1899-12-30T00:00:00"/>
    <n v="1.0333333333333337"/>
    <n v="1.0333333333333337"/>
    <s v="Manually reboot done."/>
    <s v="Close"/>
    <n v="4.4927536231884078E-2"/>
    <n v="1"/>
    <n v="4.0000000000000001E-3"/>
    <m/>
  </r>
  <r>
    <n v="2923"/>
    <n v="2025"/>
    <n v="2024"/>
    <s v="Year_2"/>
    <d v="2024-10-12T00:00:00"/>
    <s v="KUD20"/>
    <s v="O2R1"/>
    <s v="KSIPL"/>
    <n v="4.3478260869565223E-2"/>
    <n v="315"/>
    <x v="120"/>
    <s v="ExEx low voltage L_: ___V"/>
    <s v="Breakdown"/>
    <d v="1899-12-30T05:10:00"/>
    <d v="1899-12-30T05:10:00"/>
    <d v="1899-12-30T06:35:00"/>
    <d v="1899-12-30T00:00:00"/>
    <n v="1.416666666666667"/>
    <n v="1.416666666666667"/>
    <s v="Manually charge HVCB"/>
    <s v="Close"/>
    <n v="6.1594202898550748E-2"/>
    <n v="1"/>
    <n v="0"/>
    <m/>
  </r>
  <r>
    <n v="2924"/>
    <n v="2025"/>
    <n v="2024"/>
    <s v="Year_2"/>
    <d v="2024-10-12T00:00:00"/>
    <s v="KUD20"/>
    <s v="O2R1"/>
    <s v="KSIPL"/>
    <n v="4.3478260869565223E-2"/>
    <n v="3806"/>
    <x v="147"/>
    <s v="HubSafetySystem Batt.Charg.Err"/>
    <s v="Breakdown"/>
    <d v="1899-12-30T06:40:00"/>
    <d v="1899-12-30T06:40:00"/>
    <d v="1899-12-30T07:20:00"/>
    <d v="1899-12-30T00:00:00"/>
    <n v="0.66666666666666696"/>
    <n v="0.66666666666666696"/>
    <s v="Turbine started after battery charged."/>
    <s v="Close"/>
    <n v="2.8985507246376829E-2"/>
    <n v="1"/>
    <n v="-1E-3"/>
    <m/>
  </r>
  <r>
    <n v="2925"/>
    <n v="2025"/>
    <n v="2024"/>
    <s v="Year_2"/>
    <d v="2024-10-12T00:00:00"/>
    <s v="KUD09"/>
    <s v="O2R3"/>
    <s v="JK"/>
    <n v="4.3478260869565223E-2"/>
    <n v="5195"/>
    <x v="49"/>
    <s v="Prop Valve A Status Fault"/>
    <s v="Breakdown"/>
    <d v="1899-12-30T15:42:00"/>
    <d v="1899-12-30T15:42:00"/>
    <d v="1899-12-30T16:56:00"/>
    <d v="1899-12-30T00:00:00"/>
    <n v="1.2333333333333343"/>
    <n v="1.2333333333333343"/>
    <s v="Manually reset done."/>
    <s v="Close"/>
    <n v="5.3623188405797148E-2"/>
    <n v="1"/>
    <n v="0.33700000000000002"/>
    <m/>
  </r>
  <r>
    <n v="2926"/>
    <n v="2025"/>
    <n v="2024"/>
    <s v="Year_2"/>
    <d v="2024-10-13T00:00:00"/>
    <s v="KUD05"/>
    <s v="O2R3"/>
    <s v="JK"/>
    <n v="4.3478260869565223E-2"/>
    <n v="315"/>
    <x v="120"/>
    <s v="ExEx low voltage L_: ___V"/>
    <s v="Breakdown"/>
    <d v="1899-12-30T06:40:00"/>
    <d v="1899-12-30T06:40:00"/>
    <d v="1899-12-30T07:10:00"/>
    <d v="1899-12-30T00:00:00"/>
    <n v="0.49999999999999956"/>
    <n v="0.49999999999999956"/>
    <s v="Remote reboot done."/>
    <s v="Close"/>
    <n v="2.1739130434782591E-2"/>
    <n v="1"/>
    <n v="0"/>
    <m/>
  </r>
  <r>
    <n v="2927"/>
    <n v="2025"/>
    <n v="2024"/>
    <s v="Year_2"/>
    <d v="2024-10-13T00:00:00"/>
    <s v="KUD18"/>
    <s v="O2R4"/>
    <s v="SGDCIPL"/>
    <n v="4.3478260869565223E-2"/>
    <n v="315"/>
    <x v="120"/>
    <s v="ExEx low voltage L_: ___V"/>
    <s v="Breakdown"/>
    <d v="1899-12-30T06:40:00"/>
    <d v="1899-12-30T06:40:00"/>
    <d v="1899-12-30T07:41:00"/>
    <d v="1899-12-30T00:00:00"/>
    <n v="1.0166666666666657"/>
    <n v="1.0166666666666657"/>
    <s v="UPS Reboot done."/>
    <s v="Close"/>
    <n v="4.4202898550724602E-2"/>
    <n v="1"/>
    <n v="0.23400000000000001"/>
    <m/>
  </r>
  <r>
    <n v="2928"/>
    <n v="2025"/>
    <n v="2024"/>
    <s v="Year_2"/>
    <d v="2024-10-13T00:00:00"/>
    <s v="KUD21"/>
    <s v="O2R3"/>
    <s v="JK"/>
    <n v="4.3478260869565223E-2"/>
    <n v="315"/>
    <x v="120"/>
    <s v="ExEx low voltage L_: ___V"/>
    <s v="Breakdown"/>
    <d v="1899-12-30T06:40:00"/>
    <d v="1899-12-30T06:40:00"/>
    <d v="1899-12-30T07:20:00"/>
    <d v="1899-12-30T00:00:00"/>
    <n v="0.66666666666666696"/>
    <n v="0.66666666666666696"/>
    <s v="Remote reboot done."/>
    <s v="Close"/>
    <n v="2.8985507246376829E-2"/>
    <n v="1"/>
    <n v="0"/>
    <m/>
  </r>
  <r>
    <n v="2929"/>
    <n v="2025"/>
    <n v="2024"/>
    <s v="Year_2"/>
    <d v="2024-10-13T00:00:00"/>
    <s v="KUD23"/>
    <s v="O2R3"/>
    <s v="JK"/>
    <n v="4.3478260869565223E-2"/>
    <n v="2676"/>
    <x v="124"/>
    <s v="UPS Error"/>
    <s v="Breakdown"/>
    <d v="1899-12-30T06:40:00"/>
    <d v="1899-12-30T06:40:00"/>
    <d v="1899-12-30T08:22:00"/>
    <d v="1899-12-30T00:00:00"/>
    <n v="1.6999999999999993"/>
    <n v="1.6999999999999993"/>
    <s v="UPS reboot and manually charged the HVCB."/>
    <s v="Close"/>
    <n v="7.3913043478260845E-2"/>
    <n v="1"/>
    <n v="0.77200000000000002"/>
    <m/>
  </r>
  <r>
    <n v="2930"/>
    <n v="2025"/>
    <n v="2024"/>
    <s v="Year_2"/>
    <d v="2024-10-14T00:00:00"/>
    <s v="KUD10"/>
    <s v="O2R1"/>
    <s v="KSIPL"/>
    <n v="4.3478260869565223E-2"/>
    <n v="309"/>
    <x v="149"/>
    <s v="Pause over RCS __0"/>
    <s v="Manual Stop"/>
    <d v="1899-12-30T10:21:00"/>
    <d v="1899-12-30T10:21:00"/>
    <d v="1899-12-30T16:22:00"/>
    <d v="1899-12-30T00:00:00"/>
    <n v="6.0166666666666666"/>
    <n v="6.0166666666666666"/>
    <s v="WTG Manually shutdown taken for 6 month service"/>
    <s v="Close"/>
    <n v="0.26159420289855073"/>
    <n v="1"/>
    <n v="0.28000000000000003"/>
    <m/>
  </r>
  <r>
    <n v="2931"/>
    <n v="2025"/>
    <n v="2024"/>
    <s v="Year_2"/>
    <d v="2024-10-15T00:00:00"/>
    <s v="KUD03"/>
    <s v="O2R1"/>
    <s v="KSIPL"/>
    <n v="4.3478260869565223E-2"/>
    <n v="315"/>
    <x v="120"/>
    <s v="Manually charged the HVCB"/>
    <s v="Breakdown"/>
    <d v="1899-12-30T11:50:00"/>
    <d v="1899-12-30T11:50:00"/>
    <d v="1899-12-30T13:58:00"/>
    <d v="1899-12-30T00:00:00"/>
    <n v="2.1333333333333337"/>
    <n v="2.1333333333333337"/>
    <s v="Manually charged the HVCB"/>
    <s v="Close"/>
    <n v="9.2753623188405826E-2"/>
    <n v="1"/>
    <n v="0.40699999999999997"/>
    <m/>
  </r>
  <r>
    <n v="2932"/>
    <n v="2025"/>
    <n v="2024"/>
    <s v="Year_2"/>
    <d v="2024-10-15T00:00:00"/>
    <s v="KUD03"/>
    <s v="O2R1"/>
    <s v="KSIPL"/>
    <n v="4.3478260869565223E-2"/>
    <n v="2676"/>
    <x v="124"/>
    <s v="UPS reboot done."/>
    <s v="Breakdown"/>
    <d v="1899-12-30T15:00:00"/>
    <d v="1899-12-30T15:00:00"/>
    <d v="1899-12-30T15:57:00"/>
    <d v="1899-12-30T00:00:00"/>
    <n v="0.94999999999999929"/>
    <n v="0.94999999999999929"/>
    <s v="UPS reboot done."/>
    <s v="Close"/>
    <n v="4.1304347826086933E-2"/>
    <n v="1"/>
    <n v="2.7E-2"/>
    <m/>
  </r>
  <r>
    <n v="2933"/>
    <n v="2025"/>
    <n v="2024"/>
    <s v="Year_2"/>
    <d v="2024-10-15T00:00:00"/>
    <s v="KUD08"/>
    <s v="O2R3"/>
    <s v="JK"/>
    <n v="4.3478260869565223E-2"/>
    <n v="3298"/>
    <x v="47"/>
    <s v="Auto cable twist"/>
    <s v="Breakdown"/>
    <d v="1899-12-30T11:50:00"/>
    <d v="1899-12-30T11:50:00"/>
    <d v="1899-12-30T12:10:00"/>
    <d v="1899-12-30T00:00:00"/>
    <n v="0.33333333333333215"/>
    <n v="0.33333333333333215"/>
    <s v="Auto cable twist"/>
    <s v="Close"/>
    <n v="1.4492753623188356E-2"/>
    <n v="1"/>
    <n v="0.112"/>
    <m/>
  </r>
  <r>
    <n v="2934"/>
    <n v="2025"/>
    <n v="2024"/>
    <s v="Year_2"/>
    <d v="2024-10-15T00:00:00"/>
    <s v="KUD11"/>
    <s v="O2R1"/>
    <s v="KSIPL"/>
    <n v="4.3478260869565223E-2"/>
    <n v="3273"/>
    <x v="35"/>
    <s v="Auto cable twist"/>
    <s v="Breakdown"/>
    <d v="1899-12-30T05:09:00"/>
    <d v="1899-12-30T05:09:00"/>
    <d v="1899-12-30T05:30:00"/>
    <d v="1899-12-30T00:00:00"/>
    <n v="0.35000000000000009"/>
    <n v="0.35000000000000009"/>
    <s v="Auto cable twist"/>
    <s v="Close"/>
    <n v="1.5217391304347832E-2"/>
    <n v="1"/>
    <n v="1E-3"/>
    <m/>
  </r>
  <r>
    <n v="2935"/>
    <n v="2025"/>
    <n v="2024"/>
    <s v="Year_2"/>
    <d v="2024-10-15T00:00:00"/>
    <s v="KUD15"/>
    <s v="O2R1"/>
    <s v="KSIPL"/>
    <n v="4.3478260869565223E-2"/>
    <n v="2676"/>
    <x v="124"/>
    <s v="UPS Reboot done."/>
    <s v="Breakdown"/>
    <d v="1899-12-30T15:00:00"/>
    <d v="1899-12-30T15:00:00"/>
    <d v="1899-12-30T16:20:00"/>
    <d v="1899-12-30T00:00:00"/>
    <n v="1.3333333333333339"/>
    <n v="1.3333333333333339"/>
    <s v="UPS Reboot done."/>
    <s v="Close"/>
    <n v="5.7971014492753659E-2"/>
    <n v="1"/>
    <n v="5.3999999999999999E-2"/>
    <m/>
  </r>
  <r>
    <n v="2936"/>
    <n v="2025"/>
    <n v="2024"/>
    <s v="Year_2"/>
    <d v="2024-10-15T00:00:00"/>
    <s v="KUD20"/>
    <s v="O2R1"/>
    <s v="KSIPL"/>
    <n v="4.3478260869565223E-2"/>
    <n v="315"/>
    <x v="120"/>
    <s v="Manually charged the HCVCB."/>
    <s v="Breakdown"/>
    <d v="1899-12-30T11:50:00"/>
    <d v="1899-12-30T11:50:00"/>
    <d v="1899-12-30T12:43:00"/>
    <d v="1899-12-30T00:00:00"/>
    <n v="0.88333333333333286"/>
    <n v="0.88333333333333286"/>
    <s v="Manually charged the HCVCB."/>
    <s v="Close"/>
    <n v="3.8405797101449257E-2"/>
    <n v="1"/>
    <n v="0.158"/>
    <m/>
  </r>
  <r>
    <n v="2937"/>
    <n v="2025"/>
    <n v="2024"/>
    <s v="Year_2"/>
    <d v="2024-10-15T00:00:00"/>
    <s v="KUD20"/>
    <s v="O2R1"/>
    <s v="KSIPL"/>
    <n v="4.3478260869565223E-2"/>
    <n v="315"/>
    <x v="120"/>
    <s v="Manually charged the HCVCB."/>
    <s v="Breakdown"/>
    <d v="1899-12-30T15:00:00"/>
    <d v="1899-12-30T15:00:00"/>
    <d v="1899-12-30T17:10:00"/>
    <d v="1899-12-30T00:00:00"/>
    <n v="2.166666666666667"/>
    <n v="2.166666666666667"/>
    <s v="Manually charged the HCVCB."/>
    <s v="Close"/>
    <n v="9.4202898550724667E-2"/>
    <n v="1"/>
    <n v="0"/>
    <m/>
  </r>
  <r>
    <n v="2938"/>
    <n v="2025"/>
    <n v="2024"/>
    <s v="Year_2"/>
    <d v="2024-10-15T00:00:00"/>
    <s v="KUD09"/>
    <s v="O2R3"/>
    <s v="JK"/>
    <n v="4.3478260869565223E-2"/>
    <n v="3273"/>
    <x v="35"/>
    <s v="Auto cable twist."/>
    <s v="Breakdown"/>
    <d v="1899-12-30T10:45:00"/>
    <d v="1899-12-30T10:45:00"/>
    <d v="1899-12-30T11:05:00"/>
    <d v="1899-12-30T00:00:00"/>
    <n v="0.33333333333333348"/>
    <n v="0.33333333333333348"/>
    <s v="Auto cable twist."/>
    <s v="Close"/>
    <n v="1.4492753623188415E-2"/>
    <n v="1"/>
    <n v="0.17100000000000001"/>
    <m/>
  </r>
  <r>
    <n v="2939"/>
    <n v="2025"/>
    <n v="2024"/>
    <s v="Year_2"/>
    <d v="2024-10-15T00:00:00"/>
    <s v="KUD18"/>
    <s v="O2R4"/>
    <s v="SGDCIPL"/>
    <n v="4.3478260869565223E-2"/>
    <n v="3273"/>
    <x v="35"/>
    <s v="Auto cable twist"/>
    <s v="Breakdown"/>
    <d v="1899-12-30T12:56:00"/>
    <d v="1899-12-30T12:56:00"/>
    <d v="1899-12-30T13:24:00"/>
    <d v="1899-12-30T00:00:00"/>
    <n v="0.46666666666666767"/>
    <n v="0.46666666666666767"/>
    <s v="Auto cable twist"/>
    <s v="Close"/>
    <n v="2.0289855072463815E-2"/>
    <n v="1"/>
    <n v="6.5000000000000002E-2"/>
    <m/>
  </r>
  <r>
    <n v="2940"/>
    <n v="2025"/>
    <n v="2024"/>
    <s v="Year_2"/>
    <d v="2024-10-16T00:00:00"/>
    <s v="KUD15"/>
    <s v="O2R1"/>
    <s v="KSIPL"/>
    <n v="4.3478260869565223E-2"/>
    <n v="2676"/>
    <x v="124"/>
    <s v="UPS Error"/>
    <s v="Breakdown"/>
    <d v="1899-12-30T21:00:00"/>
    <d v="1899-12-30T21:00:00"/>
    <d v="1899-12-30T22:20:00"/>
    <d v="1899-12-30T00:00:00"/>
    <n v="1.3333333333333339"/>
    <n v="1.3333333333333339"/>
    <s v="UPS reboot and manually charged the HCVB."/>
    <s v="Close"/>
    <n v="5.7971014492753659E-2"/>
    <n v="1"/>
    <n v="6.5000000000000002E-2"/>
    <m/>
  </r>
  <r>
    <n v="2941"/>
    <n v="2025"/>
    <n v="2024"/>
    <s v="Year_2"/>
    <d v="2024-10-16T00:00:00"/>
    <s v="KUD17"/>
    <s v="O2R2"/>
    <s v="SIL"/>
    <n v="4.3478260869565223E-2"/>
    <n v="900"/>
    <x v="100"/>
    <s v="Pause pressed on keyboard"/>
    <s v="Manual Stop"/>
    <d v="1899-12-30T13:29:00"/>
    <d v="1899-12-30T13:29:00"/>
    <d v="1899-12-30T16:32:00"/>
    <d v="1899-12-30T00:00:00"/>
    <n v="3.05"/>
    <n v="3.05"/>
    <s v="Attend and check all related components connection found intenal colling fan MCB tripped condition because of cable issue so replaced new cable and restored."/>
    <s v="Close"/>
    <n v="0.13260869565217392"/>
    <n v="1"/>
    <n v="6.5000000000000002E-2"/>
    <m/>
  </r>
  <r>
    <n v="2942"/>
    <n v="2025"/>
    <n v="2024"/>
    <s v="Year_2"/>
    <d v="2024-10-17T00:00:00"/>
    <s v="KUD04"/>
    <s v="O2R3"/>
    <s v="JK"/>
    <n v="4.3478260869565223E-2"/>
    <n v="315"/>
    <x v="120"/>
    <s v="ExEx low voltage L_: ___V"/>
    <s v="Breakdown"/>
    <d v="1899-12-30T13:50:00"/>
    <d v="1899-12-30T13:50:00"/>
    <d v="1899-12-30T14:20:00"/>
    <d v="1899-12-30T00:00:00"/>
    <n v="0.50000000000000089"/>
    <n v="0.50000000000000089"/>
    <s v="HVCB Manually charged."/>
    <s v="Close"/>
    <n v="2.173913043478265E-2"/>
    <n v="1"/>
    <n v="0"/>
    <m/>
  </r>
  <r>
    <n v="2943"/>
    <n v="2025"/>
    <n v="2024"/>
    <s v="Year_2"/>
    <d v="2024-10-17T00:00:00"/>
    <s v="KUD18"/>
    <s v="O2R4"/>
    <s v="SGDCIPL"/>
    <n v="4.3478260869565223E-2"/>
    <n v="315"/>
    <x v="120"/>
    <s v="ExEx low voltage L_: ___V"/>
    <s v="Breakdown"/>
    <d v="1899-12-30T13:50:00"/>
    <d v="1899-12-30T13:50:00"/>
    <d v="1899-12-30T14:50:00"/>
    <d v="1899-12-30T00:00:00"/>
    <n v="1.0000000000000018"/>
    <n v="1.0000000000000018"/>
    <s v="HVCB Manually charged."/>
    <s v="Close"/>
    <n v="4.3478260869565299E-2"/>
    <n v="1"/>
    <n v="0"/>
    <m/>
  </r>
  <r>
    <n v="2944"/>
    <n v="2025"/>
    <n v="2024"/>
    <s v="Year_2"/>
    <d v="2024-10-17T00:00:00"/>
    <s v="KUD21"/>
    <s v="O2R3"/>
    <s v="JK"/>
    <n v="4.3478260869565223E-2"/>
    <n v="315"/>
    <x v="120"/>
    <s v="ExEx low voltage L_: ___V"/>
    <s v="ROW"/>
    <d v="1899-12-30T13:50:00"/>
    <d v="1899-12-30T13:50:00"/>
    <d v="1899-12-30T21:10:00"/>
    <d v="1899-12-30T00:00:00"/>
    <n v="7.3333333333333339"/>
    <n v="7.3333333333333339"/>
    <s v="WTG can not attend because ROW issue."/>
    <s v="Close"/>
    <n v="0"/>
    <n v="1"/>
    <n v="0"/>
    <m/>
  </r>
  <r>
    <n v="2945"/>
    <n v="2025"/>
    <n v="2024"/>
    <s v="Year_2"/>
    <d v="2024-10-17T00:00:00"/>
    <s v="KUD21"/>
    <s v="O2R3"/>
    <s v="JK"/>
    <n v="4.3478260869565223E-2"/>
    <n v="315"/>
    <x v="120"/>
    <s v="ExEx low voltage L_: ___V"/>
    <s v="Breakdown"/>
    <d v="1899-12-30T21:10:00"/>
    <d v="1899-12-30T21:10:00"/>
    <d v="1899-12-30T21:31:00"/>
    <d v="1899-12-30T00:00:00"/>
    <n v="0.35000000000000142"/>
    <n v="0.35000000000000142"/>
    <s v="HVCB manually charged , Delay because of ROW issue"/>
    <s v="Close"/>
    <n v="1.5217391304347889E-2"/>
    <n v="1"/>
    <n v="2.5000000000000001E-2"/>
    <m/>
  </r>
  <r>
    <n v="2946"/>
    <n v="2025"/>
    <n v="2024"/>
    <s v="Year_2"/>
    <d v="2024-10-17T00:00:00"/>
    <s v="KUD23"/>
    <s v="O2R3"/>
    <s v="JK"/>
    <n v="4.3478260869565223E-2"/>
    <n v="315"/>
    <x v="120"/>
    <s v="ExEx low voltage L_: ___V"/>
    <s v="ROW"/>
    <d v="1899-12-30T13:50:00"/>
    <d v="1899-12-30T13:50:00"/>
    <d v="1899-12-30T17:00:00"/>
    <d v="1899-12-30T00:00:00"/>
    <n v="3.1666666666666687"/>
    <n v="3.1666666666666687"/>
    <s v=" Delay because of ROW Issue."/>
    <s v="Close"/>
    <n v="0"/>
    <n v="1"/>
    <n v="5.0999999999999997E-2"/>
    <m/>
  </r>
  <r>
    <n v="2947"/>
    <n v="2025"/>
    <n v="2024"/>
    <s v="Year_2"/>
    <d v="2024-10-17T00:00:00"/>
    <s v="KUD23"/>
    <s v="O2R3"/>
    <s v="JK"/>
    <n v="4.3478260869565223E-2"/>
    <n v="315"/>
    <x v="120"/>
    <s v="ExEx low voltage L_: ___V"/>
    <s v="Breakdown"/>
    <d v="1899-12-30T17:00:00"/>
    <d v="1899-12-30T17:00:00"/>
    <d v="1899-12-30T17:13:00"/>
    <d v="1899-12-30T00:00:00"/>
    <n v="0.2166666666666659"/>
    <n v="0.2166666666666659"/>
    <s v="Attend and manuaaly charged the HVCB , Delay because of ROW Issue."/>
    <s v="Close"/>
    <n v="9.4202898550724314E-3"/>
    <n v="1"/>
    <n v="-1E-3"/>
    <m/>
  </r>
  <r>
    <n v="2948"/>
    <n v="2025"/>
    <n v="2024"/>
    <s v="Year_2"/>
    <d v="2024-10-18T00:00:00"/>
    <s v="KUD10"/>
    <s v="O2R1"/>
    <s v="KSIPL"/>
    <n v="4.3478260869565223E-2"/>
    <n v="5197"/>
    <x v="54"/>
    <s v="Prop Valve C Status Fault"/>
    <s v="Breakdown"/>
    <d v="1899-12-30T21:40:00"/>
    <d v="1899-12-30T21:40:00"/>
    <d v="1899-12-30T21:50:00"/>
    <d v="1899-12-30T00:00:00"/>
    <n v="0.16666666666666607"/>
    <n v="0.16666666666666607"/>
    <s v="Auto reset"/>
    <s v="Close"/>
    <n v="7.2463768115941778E-3"/>
    <n v="1"/>
    <n v="0"/>
    <m/>
  </r>
  <r>
    <n v="2949"/>
    <n v="2025"/>
    <n v="2024"/>
    <s v="Year_2"/>
    <d v="2024-10-18T00:00:00"/>
    <s v="KUD12"/>
    <s v="O2R1"/>
    <s v="KSIPL"/>
    <n v="4.3478260869565223E-2"/>
    <n v="4560"/>
    <x v="161"/>
    <s v="BladeCEdgePeakLoad: ___.__ kNm"/>
    <s v="Breakdown"/>
    <d v="1899-12-30T02:43:00"/>
    <d v="1899-12-30T02:43:00"/>
    <d v="1899-12-30T03:43:00"/>
    <d v="1899-12-30T00:00:00"/>
    <n v="1"/>
    <n v="1"/>
    <s v="Manually reset done."/>
    <s v="Close"/>
    <n v="4.3478260869565223E-2"/>
    <n v="1"/>
    <n v="0.64100000000000001"/>
    <m/>
  </r>
  <r>
    <n v="2950"/>
    <n v="2025"/>
    <n v="2024"/>
    <s v="Year_2"/>
    <d v="2024-10-18T00:00:00"/>
    <s v="KUD05"/>
    <s v="O2R3"/>
    <s v="JK"/>
    <n v="4.3478260869565223E-2"/>
    <n v="3273"/>
    <x v="35"/>
    <s v="YawUntwistCCW: Code__,_______°"/>
    <s v="Breakdown"/>
    <d v="1899-12-30T09:06:00"/>
    <d v="1899-12-30T09:06:00"/>
    <d v="1899-12-30T09:26:00"/>
    <d v="1899-12-30T00:00:00"/>
    <n v="0.33333333333333348"/>
    <n v="0.33333333333333348"/>
    <s v="Auto cable twist"/>
    <s v="Close"/>
    <n v="1.4492753623188415E-2"/>
    <n v="1"/>
    <n v="5.0000000000000001E-3"/>
    <m/>
  </r>
  <r>
    <n v="2951"/>
    <n v="2025"/>
    <n v="2024"/>
    <s v="Year_2"/>
    <d v="2024-10-19T00:00:00"/>
    <s v="KUD12"/>
    <s v="O2R1"/>
    <s v="KSIPL"/>
    <n v="4.3478260869565223E-2"/>
    <n v="3273"/>
    <x v="35"/>
    <s v="YawUntwistCCW: Code__,_______°"/>
    <s v="Breakdown"/>
    <d v="1899-12-30T16:39:00"/>
    <d v="1899-12-30T16:39:00"/>
    <d v="1899-12-30T17:04:00"/>
    <d v="1899-12-30T00:00:00"/>
    <n v="0.41666666666666785"/>
    <n v="0.41666666666666785"/>
    <s v="Auto cable twist"/>
    <s v="Close"/>
    <n v="1.811594202898556E-2"/>
    <n v="1"/>
    <m/>
    <m/>
  </r>
  <r>
    <n v="2952"/>
    <n v="2025"/>
    <n v="2024"/>
    <s v="Year_2"/>
    <d v="2024-10-19T00:00:00"/>
    <s v="KUD13"/>
    <s v="O2R1"/>
    <s v="KSIPL"/>
    <n v="4.3478260869565223E-2"/>
    <n v="3273"/>
    <x v="35"/>
    <s v="YawUntwistCCW: Code__,_______°"/>
    <s v="Breakdown"/>
    <d v="1899-12-30T17:11:00"/>
    <d v="1899-12-30T17:11:00"/>
    <d v="1899-12-30T17:35:00"/>
    <d v="1899-12-30T00:00:00"/>
    <n v="0.39999999999999858"/>
    <n v="0.39999999999999858"/>
    <s v="Auto cable twist"/>
    <s v="Close"/>
    <n v="1.7391304347826028E-2"/>
    <n v="1"/>
    <m/>
    <m/>
  </r>
  <r>
    <n v="2953"/>
    <n v="2025"/>
    <n v="2024"/>
    <s v="Year_2"/>
    <d v="2024-10-19T00:00:00"/>
    <s v="KUD14"/>
    <s v="O2R1"/>
    <s v="KSIPL"/>
    <n v="4.3478260869565223E-2"/>
    <n v="3273"/>
    <x v="35"/>
    <s v="YawUntwistCCW: Code__,_______°"/>
    <s v="Breakdown"/>
    <d v="1899-12-30T17:06:00"/>
    <d v="1899-12-30T17:06:00"/>
    <d v="1899-12-30T17:29:00"/>
    <d v="1899-12-30T00:00:00"/>
    <n v="0.38333333333333197"/>
    <n v="0.38333333333333197"/>
    <s v="Auto cable twist"/>
    <s v="Close"/>
    <n v="1.6666666666666611E-2"/>
    <n v="1"/>
    <m/>
    <m/>
  </r>
  <r>
    <n v="2954"/>
    <n v="2025"/>
    <n v="2024"/>
    <s v="Year_2"/>
    <d v="2024-10-20T00:00:00"/>
    <s v="KUD12"/>
    <s v="O2R1"/>
    <s v="KSIPL"/>
    <n v="4.3478260869565223E-2"/>
    <n v="4560"/>
    <x v="161"/>
    <s v="BladeCEdgePeakLoad: ___.__ kNm"/>
    <s v="Breakdown"/>
    <d v="1899-12-30T09:38:00"/>
    <d v="1899-12-30T09:38:00"/>
    <d v="1899-12-30T11:30:00"/>
    <d v="1899-12-30T00:00:00"/>
    <n v="1.8666666666666667"/>
    <n v="1.8666666666666667"/>
    <s v="Manually reset done."/>
    <s v="Close"/>
    <n v="8.115942028985508E-2"/>
    <n v="1"/>
    <m/>
    <m/>
  </r>
  <r>
    <n v="2955"/>
    <n v="2025"/>
    <n v="2024"/>
    <s v="Year_2"/>
    <d v="2024-10-20T00:00:00"/>
    <s v="KUD12"/>
    <s v="O2R1"/>
    <s v="KSIPL"/>
    <n v="4.3478260869565223E-2"/>
    <n v="4560"/>
    <x v="161"/>
    <s v="BladeCEdgePeakLoad: ___.__ kNm"/>
    <s v="Breakdown"/>
    <d v="1899-12-30T12:42:00"/>
    <d v="1899-12-30T12:42:00"/>
    <d v="1899-12-30T16:15:00"/>
    <d v="1899-12-30T00:00:00"/>
    <n v="3.5500000000000007"/>
    <n v="3.5500000000000007"/>
    <s v=" found naccelle pt 100 sensor malfunction replaced by new one"/>
    <s v="Close"/>
    <n v="0.15434782608695657"/>
    <n v="1"/>
    <m/>
    <m/>
  </r>
  <r>
    <n v="2956"/>
    <n v="2025"/>
    <n v="2024"/>
    <s v="Year_2"/>
    <d v="2024-10-21T00:00:00"/>
    <s v="KUD06"/>
    <s v="O2R3"/>
    <s v="JK"/>
    <n v="4.3478260869565223E-2"/>
    <n v="987"/>
    <x v="77"/>
    <m/>
    <s v="Breakdown"/>
    <d v="1899-12-30T05:15:00"/>
    <d v="1899-12-30T05:15:00"/>
    <d v="1899-12-30T08:22:00"/>
    <d v="1899-12-30T00:00:00"/>
    <n v="3.1166666666666663"/>
    <n v="3.1166666666666663"/>
    <s v="found cooling water pump main supply fuse failure then replaced after restored."/>
    <s v="Close"/>
    <n v="0.13550724637681161"/>
    <n v="1"/>
    <m/>
    <m/>
  </r>
  <r>
    <n v="2957"/>
    <n v="2025"/>
    <n v="2024"/>
    <s v="Year_2"/>
    <d v="2024-10-21T00:00:00"/>
    <s v="KUD04"/>
    <s v="O2R3"/>
    <s v="JK"/>
    <n v="4.3478260869565223E-2"/>
    <n v="2676"/>
    <x v="124"/>
    <s v="UPS Error"/>
    <s v="Breakdown"/>
    <d v="1899-12-30T05:15:00"/>
    <d v="1899-12-30T05:15:00"/>
    <d v="1899-12-30T06:32:00"/>
    <d v="1899-12-30T00:00:00"/>
    <n v="1.2833333333333328"/>
    <n v="1.2833333333333328"/>
    <s v="Manually reset done."/>
    <s v="Close"/>
    <n v="5.5797101449275348E-2"/>
    <n v="1"/>
    <m/>
    <m/>
  </r>
  <r>
    <n v="2958"/>
    <n v="2025"/>
    <n v="2024"/>
    <s v="Year_2"/>
    <d v="2024-10-21T00:00:00"/>
    <s v="KUD23"/>
    <s v="O2R3"/>
    <s v="JK"/>
    <n v="4.3478260869565223E-2"/>
    <n v="2676"/>
    <x v="124"/>
    <s v="UPS Error"/>
    <s v="Breakdown"/>
    <d v="1899-12-30T05:15:00"/>
    <d v="1899-12-30T05:15:00"/>
    <d v="1899-12-30T07:00:00"/>
    <d v="1899-12-30T00:00:00"/>
    <n v="1.7500000000000004"/>
    <n v="1.7500000000000004"/>
    <s v="Manually reset done."/>
    <s v="Close"/>
    <n v="7.6086956521739163E-2"/>
    <n v="1"/>
    <m/>
    <m/>
  </r>
  <r>
    <n v="2959"/>
    <n v="2025"/>
    <n v="2024"/>
    <s v="Year_2"/>
    <d v="2024-10-21T00:00:00"/>
    <s v="KUD16"/>
    <s v="O2R2"/>
    <s v="SIL"/>
    <n v="4.3478260869565223E-2"/>
    <n v="2676"/>
    <x v="124"/>
    <s v="UPS Error"/>
    <s v="Breakdown"/>
    <d v="1899-12-30T05:15:00"/>
    <d v="1899-12-30T05:15:00"/>
    <d v="1899-12-30T07:47:00"/>
    <d v="1899-12-30T00:00:00"/>
    <n v="2.5333333333333337"/>
    <n v="2.5333333333333337"/>
    <s v="Manually reset done."/>
    <s v="Close"/>
    <n v="0.11014492753623191"/>
    <n v="1"/>
    <m/>
    <m/>
  </r>
  <r>
    <n v="2960"/>
    <n v="2025"/>
    <n v="2024"/>
    <s v="Year_2"/>
    <d v="2024-10-21T00:00:00"/>
    <s v="KUD18"/>
    <s v="O2R4"/>
    <s v="SGDCIPL"/>
    <n v="4.3478260869565223E-2"/>
    <n v="707"/>
    <x v="121"/>
    <m/>
    <s v="Breakdown"/>
    <d v="1899-12-30T19:27:00"/>
    <d v="1899-12-30T19:27:00"/>
    <d v="1899-12-30T20:56:00"/>
    <d v="1899-12-30T00:00:00"/>
    <n v="1.4833333333333334"/>
    <n v="1.4833333333333334"/>
    <s v="Manually reset done."/>
    <s v="Close"/>
    <n v="6.4492753623188417E-2"/>
    <n v="1"/>
    <m/>
    <m/>
  </r>
  <r>
    <n v="2961"/>
    <n v="2025"/>
    <n v="2024"/>
    <s v="Year_2"/>
    <d v="2024-10-22T00:00:00"/>
    <s v="KUD12"/>
    <s v="O2R1"/>
    <s v="KSIPL"/>
    <n v="4.3478260869565223E-2"/>
    <n v="900"/>
    <x v="100"/>
    <s v="Pause pressed on keyboard"/>
    <s v="Manual Stop"/>
    <d v="1899-12-30T09:53:00"/>
    <d v="1899-12-30T09:53:00"/>
    <d v="1899-12-30T18:00:00"/>
    <d v="1899-12-30T00:00:00"/>
    <n v="8.1166666666666671"/>
    <n v="8.1166666666666671"/>
    <s v="WTG Manually shutdown taken for 6 month service"/>
    <s v="Close"/>
    <n v="0.35289855072463777"/>
    <n v="1"/>
    <m/>
    <m/>
  </r>
  <r>
    <n v="2962"/>
    <n v="2025"/>
    <n v="2024"/>
    <s v="Year_2"/>
    <d v="2024-10-22T00:00:00"/>
    <s v="KUD02"/>
    <s v="O2R3"/>
    <s v="JK"/>
    <n v="4.3478260869565223E-2"/>
    <n v="2890"/>
    <x v="135"/>
    <m/>
    <s v="Breakdown"/>
    <d v="1899-12-30T13:31:00"/>
    <d v="1899-12-30T13:31:00"/>
    <d v="1899-12-30T15:26:00"/>
    <d v="1899-12-30T00:00:00"/>
    <n v="1.9166666666666679"/>
    <n v="1.9166666666666679"/>
    <s v=" found Nacelle main pilz malfunction so pilz hard reboot done"/>
    <s v="Close"/>
    <n v="8.3333333333333398E-2"/>
    <n v="1"/>
    <m/>
    <m/>
  </r>
  <r>
    <n v="2963"/>
    <n v="2025"/>
    <n v="2024"/>
    <s v="Year_2"/>
    <d v="2024-10-23T00:00:00"/>
    <s v="KUD04"/>
    <s v="O2R3"/>
    <s v="JK"/>
    <n v="4.3478260869565223E-2"/>
    <n v="3862"/>
    <x v="160"/>
    <m/>
    <s v="Breakdown"/>
    <d v="1899-12-30T06:35:00"/>
    <d v="1899-12-30T06:35:00"/>
    <d v="1899-12-30T07:45:00"/>
    <d v="1899-12-30T00:00:00"/>
    <n v="1.1666666666666665"/>
    <n v="1.1666666666666665"/>
    <s v="Manually reset done."/>
    <s v="Close"/>
    <n v="5.0724637681159424E-2"/>
    <n v="1"/>
    <m/>
    <m/>
  </r>
  <r>
    <n v="2964"/>
    <n v="2025"/>
    <n v="2024"/>
    <s v="Year_2"/>
    <d v="2024-10-23T00:00:00"/>
    <s v="KUD09"/>
    <s v="O2R3"/>
    <s v="JK"/>
    <n v="4.3478260869565223E-2"/>
    <n v="2676"/>
    <x v="124"/>
    <s v="UPS Error"/>
    <s v="Manual Stop"/>
    <d v="1899-12-30T11:38:00"/>
    <d v="1899-12-30T11:38:00"/>
    <d v="1899-12-30T13:48:00"/>
    <d v="1899-12-30T00:00:00"/>
    <n v="2.1666666666666656"/>
    <n v="2.1666666666666656"/>
    <s v="Technical team inspection done"/>
    <s v="Close"/>
    <n v="9.4202898550724612E-2"/>
    <n v="1"/>
    <m/>
    <m/>
  </r>
  <r>
    <n v="2965"/>
    <n v="2025"/>
    <n v="2024"/>
    <s v="Year_2"/>
    <d v="2024-10-23T00:00:00"/>
    <s v="KUD18"/>
    <s v="O2R4"/>
    <s v="SGDCIPL"/>
    <n v="4.3478260869565223E-2"/>
    <n v="900"/>
    <x v="100"/>
    <s v="Pause pressed on keyboard"/>
    <s v="Breakdown"/>
    <d v="1899-12-30T06:35:00"/>
    <d v="1899-12-30T06:35:00"/>
    <d v="1899-12-30T08:22:00"/>
    <d v="1899-12-30T00:00:00"/>
    <n v="1.7833333333333323"/>
    <n v="1.7833333333333323"/>
    <s v="Manually reset done."/>
    <s v="Close"/>
    <n v="7.7536231884057935E-2"/>
    <n v="1"/>
    <m/>
    <m/>
  </r>
  <r>
    <n v="2966"/>
    <n v="2025"/>
    <n v="2024"/>
    <s v="Year_2"/>
    <d v="2024-10-23T00:00:00"/>
    <s v="KUD21"/>
    <s v="O2R3"/>
    <s v="JK"/>
    <n v="4.3478260869565223E-2"/>
    <n v="3862"/>
    <x v="160"/>
    <m/>
    <s v="ROW"/>
    <d v="1899-12-30T06:35:00"/>
    <d v="1899-12-30T06:35:00"/>
    <d v="1899-12-30T14:13:00"/>
    <d v="1899-12-30T00:00:00"/>
    <n v="7.6333333333333329"/>
    <n v="7.6333333333333329"/>
    <s v="Manually reset done."/>
    <s v="Close"/>
    <n v="0"/>
    <n v="1"/>
    <m/>
    <m/>
  </r>
  <r>
    <n v="2967"/>
    <n v="2025"/>
    <n v="2024"/>
    <s v="Year_2"/>
    <d v="2024-10-23T00:00:00"/>
    <s v="KUD23"/>
    <s v="O2R3"/>
    <s v="JK"/>
    <n v="4.3478260869565223E-2"/>
    <n v="3862"/>
    <x v="160"/>
    <m/>
    <s v="ROW"/>
    <d v="1899-12-30T06:35:00"/>
    <d v="1899-12-30T06:35:00"/>
    <d v="1899-12-30T09:01:00"/>
    <d v="1899-12-30T00:00:00"/>
    <n v="2.4333333333333327"/>
    <n v="2.4333333333333327"/>
    <s v="Manually reset done."/>
    <s v="Close"/>
    <n v="0"/>
    <n v="1"/>
    <m/>
    <m/>
  </r>
  <r>
    <n v="2968"/>
    <n v="2025"/>
    <n v="2024"/>
    <s v="Year_2"/>
    <d v="2024-10-23T00:00:00"/>
    <s v="KUD05"/>
    <s v="O2R3"/>
    <s v="JK"/>
    <n v="4.3478260869565223E-2"/>
    <n v="2676"/>
    <x v="124"/>
    <s v="UPS Error"/>
    <s v="Breakdown"/>
    <d v="1899-12-30T06:35:00"/>
    <d v="1899-12-30T06:35:00"/>
    <d v="1899-12-30T09:45:00"/>
    <d v="1899-12-30T00:00:00"/>
    <n v="3.1666666666666661"/>
    <n v="3.1666666666666661"/>
    <s v="Manually reset done."/>
    <s v="Close"/>
    <n v="0.13768115942028986"/>
    <n v="1"/>
    <m/>
    <m/>
  </r>
  <r>
    <n v="2969"/>
    <n v="2025"/>
    <n v="2024"/>
    <s v="Year_2"/>
    <d v="2024-10-24T00:00:00"/>
    <s v="KUD13"/>
    <s v="O2R1"/>
    <s v="KSIPL"/>
    <n v="4.3478260869565223E-2"/>
    <n v="900"/>
    <x v="100"/>
    <s v="Pause pressed on keyboard"/>
    <s v="Manual Stop"/>
    <d v="1899-12-30T09:47:00"/>
    <d v="1899-12-30T09:47:00"/>
    <d v="1899-12-30T19:00:00"/>
    <d v="1899-12-30T00:00:00"/>
    <n v="9.216666666666665"/>
    <n v="9.216666666666665"/>
    <s v="WTG Manually shutdown taken for 6 month service"/>
    <s v="Close"/>
    <n v="0.4007246376811594"/>
    <n v="1"/>
    <m/>
    <m/>
  </r>
  <r>
    <n v="2970"/>
    <n v="2025"/>
    <n v="2024"/>
    <s v="Year_2"/>
    <d v="2024-10-25T00:00:00"/>
    <s v="KUD15"/>
    <s v="O2R1"/>
    <s v="KSIPL"/>
    <n v="4.3478260869565223E-2"/>
    <n v="900"/>
    <x v="100"/>
    <s v="Pause pressed on keyboard"/>
    <s v="Manual Stop"/>
    <d v="1899-12-30T10:30:00"/>
    <d v="1899-12-30T10:30:00"/>
    <d v="1899-12-30T19:45:00"/>
    <d v="1899-12-30T00:00:00"/>
    <n v="9.25"/>
    <n v="9.25"/>
    <s v="WTG Manually shutdown taken for 6 month service"/>
    <s v="Close"/>
    <n v="0.40217391304347833"/>
    <n v="1"/>
    <m/>
    <m/>
  </r>
  <r>
    <n v="2971"/>
    <n v="2025"/>
    <n v="2024"/>
    <s v="Year_2"/>
    <d v="2024-10-25T00:00:00"/>
    <s v="KUD20"/>
    <s v="O2R1"/>
    <s v="KSIPL"/>
    <n v="4.3478260869565223E-2"/>
    <n v="315"/>
    <x v="120"/>
    <s v="ExEx low voltage L_: ___V"/>
    <s v="Breakdown"/>
    <d v="1899-12-30T10:30:00"/>
    <d v="1899-12-30T10:30:00"/>
    <d v="1899-12-30T12:10:00"/>
    <d v="1899-12-30T00:00:00"/>
    <n v="1.6666666666666661"/>
    <n v="1.6666666666666661"/>
    <s v="SWG manual charge done."/>
    <s v="Close"/>
    <n v="7.2463768115942018E-2"/>
    <n v="1"/>
    <m/>
    <m/>
  </r>
  <r>
    <n v="2972"/>
    <n v="2025"/>
    <n v="2024"/>
    <s v="Year_2"/>
    <d v="2024-10-25T00:00:00"/>
    <s v="KUD10"/>
    <s v="O2R1"/>
    <s v="KSIPL"/>
    <n v="4.3478260869565223E-2"/>
    <n v="5470"/>
    <x v="34"/>
    <s v="GeneratorBreakerFBResponse"/>
    <s v="Breakdown"/>
    <d v="1899-12-30T13:40:00"/>
    <d v="1899-12-30T13:40:00"/>
    <d v="1899-12-30T16:20:00"/>
    <d v="1899-12-30T00:00:00"/>
    <n v="2.6666666666666679"/>
    <n v="2.6666666666666679"/>
    <s v="ACB undervoltage coil malfunctioning rebooted then restored"/>
    <s v="Close"/>
    <n v="0.11594202898550732"/>
    <n v="1"/>
    <m/>
    <m/>
  </r>
  <r>
    <n v="2973"/>
    <n v="2025"/>
    <n v="2024"/>
    <s v="Year_2"/>
    <d v="2024-10-26T00:00:00"/>
    <s v="KUD09"/>
    <s v="O2R3"/>
    <s v="JK"/>
    <n v="4.3478260869565223E-2"/>
    <n v="3806"/>
    <x v="147"/>
    <s v="HubSafetySystem Batt.Charg.Err"/>
    <s v="Breakdown"/>
    <d v="1899-12-30T22:30:00"/>
    <d v="1899-12-30T22:30:00"/>
    <d v="1899-12-31T00:00:00"/>
    <d v="1899-12-30T00:00:00"/>
    <n v="1.5"/>
    <n v="1.5"/>
    <s v="Trouble shoot on going"/>
    <s v="Close"/>
    <n v="6.5217391304347838E-2"/>
    <n v="1"/>
    <m/>
    <m/>
  </r>
  <r>
    <n v="2974"/>
    <n v="2025"/>
    <n v="2024"/>
    <s v="Year_2"/>
    <d v="2024-10-27T00:00:00"/>
    <s v="KUD03"/>
    <s v="O2R1"/>
    <s v="KSIPL"/>
    <n v="4.3478260869565223E-2"/>
    <n v="3273"/>
    <x v="35"/>
    <s v="YawUntwistCCW: Code 5,    540Â°"/>
    <m/>
    <d v="1899-12-30T20:37:00"/>
    <d v="1899-12-30T20:37:00"/>
    <d v="1899-12-30T20:57:00"/>
    <d v="1899-12-30T00:00:00"/>
    <n v="0.33333333333333481"/>
    <n v="0.33333333333333481"/>
    <s v="Cable Twist release"/>
    <s v="Close"/>
    <n v="1.4492753623188472E-2"/>
    <n v="1"/>
    <m/>
    <m/>
  </r>
  <r>
    <n v="2975"/>
    <n v="2025"/>
    <n v="2024"/>
    <s v="Year_2"/>
    <d v="2024-10-27T00:00:00"/>
    <s v="KUD09"/>
    <s v="O2R3"/>
    <s v="JK"/>
    <n v="4.3478260869565223E-2"/>
    <n v="3273"/>
    <x v="35"/>
    <s v="YawUntwistCCW: Code 5,    547Â°"/>
    <m/>
    <d v="1899-12-30T18:33:00"/>
    <d v="1899-12-30T18:33:00"/>
    <d v="1899-12-30T18:53:00"/>
    <d v="1899-12-30T00:00:00"/>
    <n v="0.33333333333333215"/>
    <n v="0.33333333333333215"/>
    <s v="Cable Twist release"/>
    <s v="Close"/>
    <n v="1.4492753623188356E-2"/>
    <n v="1"/>
    <m/>
    <m/>
  </r>
  <r>
    <n v="2976"/>
    <n v="2025"/>
    <n v="2024"/>
    <s v="Year_2"/>
    <d v="2024-10-27T00:00:00"/>
    <s v="KUD09"/>
    <s v="O2R3"/>
    <s v="JK"/>
    <n v="4.3478260869565223E-2"/>
    <n v="5196"/>
    <x v="114"/>
    <s v="Prop Valve B Status Fault"/>
    <s v="Breakdown"/>
    <d v="1899-12-30T00:00:00"/>
    <d v="1899-12-30T00:00:00"/>
    <d v="1899-12-30T04:50:00"/>
    <d v="1899-12-30T00:00:00"/>
    <n v="4.8333333333333339"/>
    <n v="4.8333333333333339"/>
    <s v="Found Hub CAN module malfunction so interchanged then Blade C position sensor value not detected. After that reboot the system then restored."/>
    <s v="Close"/>
    <n v="0.21014492753623193"/>
    <n v="1"/>
    <m/>
    <m/>
  </r>
  <r>
    <n v="2977"/>
    <n v="2025"/>
    <n v="2024"/>
    <s v="Year_2"/>
    <d v="2024-10-27T00:00:00"/>
    <s v="KUD10"/>
    <s v="O2R1"/>
    <s v="KSIPL"/>
    <n v="4.3478260869565223E-2"/>
    <n v="5069"/>
    <x v="111"/>
    <s v="Pitch pos C meas. signal fault"/>
    <s v="Breakdown"/>
    <d v="1899-12-30T04:13:00"/>
    <d v="1899-12-30T04:13:00"/>
    <d v="1899-12-30T05:42:00"/>
    <d v="1899-12-30T00:00:00"/>
    <n v="1.4833333333333334"/>
    <n v="1.4833333333333334"/>
    <s v="Remote reboot done"/>
    <s v="Close"/>
    <n v="6.4492753623188417E-2"/>
    <n v="1"/>
    <m/>
    <m/>
  </r>
  <r>
    <n v="2978"/>
    <n v="2025"/>
    <n v="2024"/>
    <s v="Year_2"/>
    <d v="2024-10-27T00:00:00"/>
    <s v="KUD13"/>
    <s v="O2R1"/>
    <s v="KSIPL"/>
    <n v="4.3478260869565223E-2"/>
    <n v="3273"/>
    <x v="35"/>
    <s v="YawUntwistCCW: Code 6,    540Â°"/>
    <m/>
    <d v="1899-12-30T21:22:00"/>
    <d v="1899-12-30T21:22:00"/>
    <d v="1899-12-30T21:42:00"/>
    <d v="1899-12-30T00:00:00"/>
    <n v="0.33333333333333481"/>
    <n v="0.33333333333333481"/>
    <s v="Cable Twist release"/>
    <s v="Close"/>
    <n v="1.4492753623188472E-2"/>
    <n v="1"/>
    <m/>
    <m/>
  </r>
  <r>
    <n v="2979"/>
    <n v="2025"/>
    <n v="2024"/>
    <s v="Year_2"/>
    <d v="2024-10-27T00:00:00"/>
    <s v="KUD14"/>
    <s v="O2R1"/>
    <s v="KSIPL"/>
    <n v="4.3478260869565223E-2"/>
    <n v="3273"/>
    <x v="35"/>
    <s v="YawUntwistCCW: Code 6,    540Â°"/>
    <m/>
    <d v="1899-12-30T21:22:00"/>
    <d v="1899-12-30T21:22:00"/>
    <d v="1899-12-30T21:42:00"/>
    <d v="1899-12-30T00:00:00"/>
    <n v="0.33333333333333481"/>
    <n v="0.33333333333333481"/>
    <s v="Cable Twist release"/>
    <s v="Close"/>
    <n v="1.4492753623188472E-2"/>
    <n v="1"/>
    <m/>
    <m/>
  </r>
  <r>
    <n v="2980"/>
    <n v="2025"/>
    <n v="2024"/>
    <s v="Year_2"/>
    <d v="2024-10-27T00:00:00"/>
    <s v="KUD16"/>
    <s v="O2R2"/>
    <s v="SIL"/>
    <n v="4.3478260869565223E-2"/>
    <n v="3273"/>
    <x v="35"/>
    <s v="YawUntwistCCW: Code 6,    556Â°"/>
    <m/>
    <d v="1899-12-30T18:35:00"/>
    <d v="1899-12-30T18:35:00"/>
    <d v="1899-12-30T18:56:00"/>
    <d v="1899-12-30T00:00:00"/>
    <n v="0.34999999999999876"/>
    <n v="0.34999999999999876"/>
    <s v="Cable Twist release"/>
    <s v="Close"/>
    <n v="1.5217391304347775E-2"/>
    <n v="1"/>
    <m/>
    <m/>
  </r>
  <r>
    <n v="2981"/>
    <n v="2025"/>
    <n v="2024"/>
    <s v="Year_2"/>
    <d v="2024-10-28T00:00:00"/>
    <s v="KUD20"/>
    <s v="O2R1"/>
    <s v="KSIPL"/>
    <n v="4.3478260869565223E-2"/>
    <n v="900"/>
    <x v="100"/>
    <s v="Pause pressed on keyboard"/>
    <s v="Manual Stop"/>
    <d v="1899-12-30T11:26:00"/>
    <d v="1899-12-30T11:26:00"/>
    <d v="1899-12-30T12:37:00"/>
    <d v="1899-12-30T00:00:00"/>
    <n v="1.1833333333333345"/>
    <n v="1.1833333333333345"/>
    <s v="Customer pre-service audit "/>
    <s v="Close"/>
    <n v="5.1449275362318893E-2"/>
    <n v="1"/>
    <m/>
    <m/>
  </r>
  <r>
    <n v="2982"/>
    <n v="2025"/>
    <n v="2024"/>
    <s v="Year_2"/>
    <d v="2024-10-28T00:00:00"/>
    <s v="KUD10"/>
    <s v="O2R1"/>
    <s v="KSIPL"/>
    <n v="4.3478260869565223E-2"/>
    <n v="5197"/>
    <x v="54"/>
    <s v="Prop Valve C Status Fault"/>
    <s v="Breakdown"/>
    <d v="1899-12-30T13:41:00"/>
    <d v="1899-12-30T13:41:00"/>
    <d v="1899-12-30T13:53:00"/>
    <d v="1899-12-30T00:00:00"/>
    <n v="0.20000000000000195"/>
    <n v="0.20000000000000195"/>
    <s v="Auto reset"/>
    <s v="Close"/>
    <n v="8.6956521739131303E-3"/>
    <n v="1"/>
    <m/>
    <m/>
  </r>
  <r>
    <n v="2983"/>
    <n v="2025"/>
    <n v="2024"/>
    <s v="Year_2"/>
    <d v="2024-10-28T00:00:00"/>
    <s v="KUD05"/>
    <s v="O2R3"/>
    <s v="JK"/>
    <n v="4.3478260869565223E-2"/>
    <n v="3273"/>
    <x v="35"/>
    <s v="YawUntwistCCW: Code__,_______°"/>
    <m/>
    <d v="1899-12-30T13:24:00"/>
    <d v="1899-12-30T13:24:00"/>
    <d v="1899-12-30T13:50:00"/>
    <d v="1899-12-30T00:00:00"/>
    <n v="0.43333333333333179"/>
    <n v="0.43333333333333179"/>
    <s v="Cable Twist release"/>
    <s v="Close"/>
    <n v="1.8840579710144863E-2"/>
    <n v="1"/>
    <m/>
    <m/>
  </r>
  <r>
    <n v="2984"/>
    <n v="2025"/>
    <n v="2024"/>
    <s v="Year_2"/>
    <d v="2024-10-29T00:00:00"/>
    <s v="KUD01"/>
    <s v="O2R1"/>
    <s v="KSIPL"/>
    <n v="4.3478260869565223E-2"/>
    <n v="450"/>
    <x v="127"/>
    <s v="Ext. High I sum Grd inv."/>
    <s v="Breakdown"/>
    <d v="1899-12-30T03:23:00"/>
    <d v="1899-12-30T03:23:00"/>
    <d v="1899-12-30T03:32:00"/>
    <d v="1899-12-30T00:00:00"/>
    <n v="0.15000000000000013"/>
    <n v="0.15000000000000013"/>
    <s v="Auto reset"/>
    <s v="Close"/>
    <n v="6.5217391304347892E-3"/>
    <n v="1"/>
    <m/>
    <m/>
  </r>
  <r>
    <n v="2985"/>
    <n v="2025"/>
    <n v="2024"/>
    <s v="Year_2"/>
    <d v="2024-10-29T00:00:00"/>
    <s v="KUD22"/>
    <s v="O2R3"/>
    <s v="JK"/>
    <n v="4.3478260869565223E-2"/>
    <n v="3273"/>
    <x v="35"/>
    <s v="YawUntwistCCW: Code__,_______°"/>
    <m/>
    <d v="1899-12-30T12:53:00"/>
    <d v="1899-12-30T12:53:00"/>
    <d v="1899-12-30T13:22:00"/>
    <d v="1899-12-30T00:00:00"/>
    <n v="0.48333333333333428"/>
    <n v="0.48333333333333428"/>
    <s v="Cable Twist release"/>
    <s v="Close"/>
    <n v="2.1014492753623232E-2"/>
    <n v="1"/>
    <m/>
    <m/>
  </r>
  <r>
    <n v="2986"/>
    <n v="2025"/>
    <n v="2024"/>
    <s v="Year_2"/>
    <d v="2024-10-29T00:00:00"/>
    <s v="KUD23"/>
    <s v="O2R3"/>
    <s v="JK"/>
    <n v="4.3478260869565223E-2"/>
    <n v="3273"/>
    <x v="35"/>
    <s v="YawUntwistCCW: Code__,_______°"/>
    <m/>
    <d v="1899-12-30T14:13:00"/>
    <d v="1899-12-30T14:13:00"/>
    <d v="1899-12-30T14:40:00"/>
    <d v="1899-12-30T00:00:00"/>
    <n v="0.45000000000000107"/>
    <n v="0.45000000000000107"/>
    <s v="Cable Twist release"/>
    <s v="Close"/>
    <n v="1.9565217391304398E-2"/>
    <n v="1"/>
    <m/>
    <m/>
  </r>
  <r>
    <n v="2987"/>
    <n v="2025"/>
    <n v="2024"/>
    <s v="Year_2"/>
    <d v="2024-10-30T00:00:00"/>
    <s v="KUD04"/>
    <s v="O2R3"/>
    <s v="JK"/>
    <n v="4.3478260869565223E-2"/>
    <n v="315"/>
    <x v="120"/>
    <s v="ExEx low voltage L_: ___V"/>
    <s v="Breakdown"/>
    <d v="1899-12-30T08:30:00"/>
    <d v="1899-12-30T08:30:00"/>
    <d v="1899-12-30T09:33:00"/>
    <d v="1899-12-30T00:00:00"/>
    <n v="1.0499999999999989"/>
    <n v="1.0499999999999989"/>
    <s v="After feeder charge SWG manually charge done"/>
    <s v="Close"/>
    <n v="4.5652173913043437E-2"/>
    <n v="1"/>
    <m/>
    <m/>
  </r>
  <r>
    <n v="2988"/>
    <n v="2025"/>
    <n v="2024"/>
    <s v="Year_2"/>
    <d v="2024-10-30T00:00:00"/>
    <s v="KUD18"/>
    <s v="O2R4"/>
    <s v="SGDCIPL"/>
    <n v="4.3478260869565223E-2"/>
    <n v="315"/>
    <x v="120"/>
    <s v="ExEx low voltage L_: ___V"/>
    <s v="Breakdown"/>
    <d v="1899-12-30T08:30:00"/>
    <d v="1899-12-30T08:30:00"/>
    <d v="1899-12-30T10:22:00"/>
    <d v="1899-12-30T00:00:00"/>
    <n v="1.8666666666666667"/>
    <n v="1.8666666666666667"/>
    <s v="After feeder charge SWG manually charge done"/>
    <s v="Close"/>
    <n v="8.115942028985508E-2"/>
    <n v="1"/>
    <m/>
    <m/>
  </r>
  <r>
    <n v="2989"/>
    <n v="2025"/>
    <n v="2024"/>
    <s v="Year_2"/>
    <d v="2024-10-30T00:00:00"/>
    <s v="KUD23"/>
    <s v="O2R3"/>
    <s v="JK"/>
    <n v="4.3478260869565223E-2"/>
    <n v="2676"/>
    <x v="124"/>
    <s v="UPS Error"/>
    <s v="ROW"/>
    <d v="1899-12-30T08:30:00"/>
    <d v="1899-12-30T08:30:00"/>
    <d v="1899-12-30T10:47:00"/>
    <d v="1899-12-30T00:00:00"/>
    <n v="2.2833333333333332"/>
    <n v="2.2833333333333332"/>
    <s v="UPS reboot done due to delay in ROW issue"/>
    <s v="Close"/>
    <n v="0"/>
    <n v="1"/>
    <m/>
    <m/>
  </r>
  <r>
    <n v="2990"/>
    <n v="2025"/>
    <n v="2024"/>
    <s v="Year_2"/>
    <d v="2024-10-31T00:00:00"/>
    <s v="KUD03"/>
    <s v="O2R1"/>
    <s v="KSIPL"/>
    <n v="4.3478260869565223E-2"/>
    <n v="3272"/>
    <x v="143"/>
    <s v="YawUntwistCW: Code__,_______°"/>
    <m/>
    <d v="1899-12-30T10:52:00"/>
    <d v="1899-12-30T10:52:00"/>
    <d v="1899-12-30T11:14:00"/>
    <d v="1899-12-30T00:00:00"/>
    <n v="0.3666666666666667"/>
    <n v="0.3666666666666667"/>
    <s v="Cable Twist release"/>
    <s v="Close"/>
    <n v="1.5942028985507249E-2"/>
    <n v="1"/>
    <m/>
    <m/>
  </r>
  <r>
    <n v="2991"/>
    <n v="2025"/>
    <n v="2024"/>
    <s v="Year_2"/>
    <d v="2024-10-31T00:00:00"/>
    <s v="KUD11"/>
    <s v="O2R1"/>
    <s v="KSIPL"/>
    <n v="4.3478260869565223E-2"/>
    <n v="3272"/>
    <x v="143"/>
    <s v="YawUntwistCW: Code__,_______°"/>
    <m/>
    <d v="1899-12-30T00:14:00"/>
    <d v="1899-12-30T00:14:00"/>
    <d v="1899-12-30T00:45:00"/>
    <d v="1899-12-30T00:00:00"/>
    <n v="0.51666666666666661"/>
    <n v="0.51666666666666661"/>
    <s v="Cable Twist release"/>
    <s v="Close"/>
    <n v="2.2463768115942029E-2"/>
    <n v="1"/>
    <m/>
    <m/>
  </r>
  <r>
    <n v="2992"/>
    <n v="2025"/>
    <n v="2024"/>
    <s v="Year_2"/>
    <d v="2024-10-31T00:00:00"/>
    <s v="KUD20"/>
    <s v="O2R1"/>
    <s v="KSIPL"/>
    <n v="4.3478260869565223E-2"/>
    <n v="334"/>
    <x v="182"/>
    <s v="High cur.grid inv. L_:____A"/>
    <s v="Breakdown"/>
    <d v="1899-12-30T23:03:00"/>
    <d v="1899-12-30T23:03:00"/>
    <d v="1899-12-31T00:00:00"/>
    <d v="1899-12-30T00:00:00"/>
    <n v="0.94999999999999929"/>
    <n v="0.94999999999999929"/>
    <s v="Foud SWG open condition and Check closing coil settings after that setting adjustment done. Now SWG normal operation then restored"/>
    <s v="Close"/>
    <n v="4.1304347826086933E-2"/>
    <n v="1"/>
    <m/>
    <m/>
  </r>
  <r>
    <n v="2993"/>
    <n v="2025"/>
    <n v="2024"/>
    <s v="Year_2"/>
    <d v="2024-11-01T00:00:00"/>
    <s v="KUD20"/>
    <s v="O2R1"/>
    <s v="KSIPL"/>
    <n v="4.3478260869565223E-2"/>
    <n v="334"/>
    <x v="182"/>
    <s v="High cur.grid inv. L_:____A"/>
    <s v="Breakdown"/>
    <d v="1899-12-30T00:00:00"/>
    <d v="1899-12-30T00:00:00"/>
    <d v="1899-12-30T00:47:00"/>
    <d v="1899-12-30T00:00:00"/>
    <n v="0.78333333333333344"/>
    <n v="0.78333333333333344"/>
    <s v="Foud SWG open condition and Check closing coil settings after that setting adjustment done. Now SWG normal operation then restored"/>
    <s v="Close"/>
    <n v="3.4057971014492761E-2"/>
    <n v="1"/>
    <m/>
    <m/>
  </r>
  <r>
    <n v="2994"/>
    <n v="2025"/>
    <n v="2024"/>
    <s v="Year_2"/>
    <d v="2024-11-01T00:00:00"/>
    <s v="KUD01"/>
    <s v="O2R1"/>
    <s v="KSIPL"/>
    <n v="4.3478260869565223E-2"/>
    <n v="450"/>
    <x v="127"/>
    <s v="Ext. High I sum Grd inv."/>
    <s v="Breakdown"/>
    <d v="1899-12-30T01:17:00"/>
    <d v="1899-12-30T01:17:00"/>
    <d v="1899-12-30T01:29:00"/>
    <d v="1899-12-30T00:00:00"/>
    <n v="0.20000000000000012"/>
    <n v="0.20000000000000012"/>
    <s v="Auto reset"/>
    <s v="Close"/>
    <n v="8.6956521739130505E-3"/>
    <n v="1"/>
    <m/>
    <m/>
  </r>
  <r>
    <n v="2995"/>
    <n v="2025"/>
    <n v="2024"/>
    <s v="Year_2"/>
    <d v="2024-11-01T00:00:00"/>
    <s v="KUD10"/>
    <s v="O2R1"/>
    <s v="KSIPL"/>
    <n v="4.3478260869565223E-2"/>
    <n v="5197"/>
    <x v="54"/>
    <s v="Prop Valve C Status Fault"/>
    <s v="Breakdown"/>
    <d v="1899-12-30T04:58:00"/>
    <d v="1899-12-30T04:58:00"/>
    <d v="1899-12-30T06:00:00"/>
    <d v="1899-12-30T00:00:00"/>
    <n v="1.0333333333333337"/>
    <n v="1.0333333333333337"/>
    <s v="UPS hard reboot done"/>
    <s v="Close"/>
    <n v="4.4927536231884078E-2"/>
    <n v="1"/>
    <m/>
    <m/>
  </r>
  <r>
    <n v="2996"/>
    <n v="2025"/>
    <n v="2024"/>
    <s v="Year_2"/>
    <d v="2024-11-01T00:00:00"/>
    <s v="KUD21"/>
    <s v="O2R3"/>
    <s v="JK"/>
    <n v="4.3478260869565223E-2"/>
    <n v="3272"/>
    <x v="143"/>
    <s v="YawUntwistCW: Code 3,-000551Â°"/>
    <m/>
    <d v="1899-12-30T13:59:00"/>
    <d v="1899-12-30T13:59:00"/>
    <d v="1899-12-30T14:25:00"/>
    <d v="1899-12-30T00:00:00"/>
    <n v="0.43333333333333179"/>
    <n v="0.43333333333333179"/>
    <s v="Cable Twist release"/>
    <s v="Close"/>
    <n v="1.8840579710144863E-2"/>
    <n v="1"/>
    <m/>
    <m/>
  </r>
  <r>
    <n v="2997"/>
    <n v="2025"/>
    <n v="2024"/>
    <s v="Year_2"/>
    <d v="2024-11-02T00:00:00"/>
    <s v="KUD01"/>
    <s v="O2R1"/>
    <s v="KSIPL"/>
    <n v="4.3478260869565223E-2"/>
    <n v="450"/>
    <x v="127"/>
    <s v="Ext. High I sum Grd inv."/>
    <m/>
    <d v="1899-12-30T03:49:00"/>
    <d v="1899-12-30T03:49:00"/>
    <d v="1899-12-30T04:01:00"/>
    <d v="1899-12-30T00:00:00"/>
    <n v="0.19999999999999996"/>
    <n v="0.19999999999999996"/>
    <s v="Auto reset"/>
    <s v="Close"/>
    <n v="8.6956521739130418E-3"/>
    <n v="1"/>
    <m/>
    <m/>
  </r>
  <r>
    <n v="2998"/>
    <n v="2025"/>
    <n v="2024"/>
    <s v="Year_2"/>
    <d v="2024-11-02T00:00:00"/>
    <s v="KUD03"/>
    <s v="O2R1"/>
    <s v="KSIPL"/>
    <n v="4.3478260869565223E-2"/>
    <n v="931"/>
    <x v="186"/>
    <s v="Arc light detected"/>
    <m/>
    <d v="1899-12-30T06:06:00"/>
    <d v="1899-12-30T06:06:00"/>
    <d v="1899-12-30T23:59:00"/>
    <d v="1899-12-30T00:00:00"/>
    <n v="17.883333333333333"/>
    <n v="17.883333333333333"/>
    <s v="Found SWG smoke sensor vamp activated then checked SWG power supply cable all are nomal condition then restored"/>
    <s v="Close"/>
    <n v="0.77753623188405807"/>
    <n v="1"/>
    <m/>
    <m/>
  </r>
  <r>
    <n v="2999"/>
    <n v="2025"/>
    <n v="2024"/>
    <s v="Year_2"/>
    <d v="2024-11-02T00:00:00"/>
    <s v="KUD10"/>
    <s v="O2R1"/>
    <s v="KSIPL"/>
    <n v="4.3478260869565223E-2"/>
    <n v="5069"/>
    <x v="111"/>
    <s v="Pitch pos C meas. signal fault"/>
    <m/>
    <d v="1899-12-30T14:07:00"/>
    <d v="1899-12-30T14:07:00"/>
    <d v="1899-12-30T14:29:00"/>
    <d v="1899-12-30T00:00:00"/>
    <n v="0.36666666666666536"/>
    <n v="0.36666666666666536"/>
    <s v="Auto reset"/>
    <s v="Close"/>
    <n v="1.594202898550719E-2"/>
    <n v="1"/>
    <m/>
    <m/>
  </r>
  <r>
    <n v="3000"/>
    <n v="2025"/>
    <n v="2024"/>
    <s v="Year_2"/>
    <d v="2024-11-02T00:00:00"/>
    <s v="KUD10"/>
    <s v="O2R1"/>
    <s v="KSIPL"/>
    <n v="4.3478260869565223E-2"/>
    <n v="5197"/>
    <x v="54"/>
    <s v="Prop Valve C Status Fault"/>
    <m/>
    <d v="1899-12-30T16:00:00"/>
    <d v="1899-12-30T16:00:00"/>
    <d v="1899-12-30T17:10:00"/>
    <d v="1899-12-30T00:00:00"/>
    <n v="1.1666666666666679"/>
    <n v="1.1666666666666679"/>
    <s v="Remote reboot done"/>
    <s v="Close"/>
    <n v="5.0724637681159479E-2"/>
    <n v="1"/>
    <m/>
    <m/>
  </r>
  <r>
    <n v="3001"/>
    <n v="2025"/>
    <n v="2024"/>
    <s v="Year_2"/>
    <d v="2024-11-04T00:00:00"/>
    <s v="KUD16"/>
    <s v="O2R2"/>
    <s v="SIL"/>
    <n v="4.3478260869565223E-2"/>
    <n v="309"/>
    <x v="149"/>
    <s v="Pause over RCS __0"/>
    <s v="Manual Stop"/>
    <d v="1899-12-30T10:12:00"/>
    <d v="1899-12-30T10:12:00"/>
    <d v="1899-12-30T17:57:00"/>
    <d v="1899-12-30T00:00:00"/>
    <n v="7.75"/>
    <n v="7.75"/>
    <s v="WTG Manually shutdown taken for 6 month service"/>
    <s v="Close"/>
    <n v="0.33695652173913049"/>
    <n v="1"/>
    <n v="3.5030000000000001"/>
    <m/>
  </r>
  <r>
    <n v="3002"/>
    <n v="2025"/>
    <n v="2024"/>
    <s v="Year_2"/>
    <d v="2024-11-04T00:00:00"/>
    <s v="KUD16"/>
    <s v="O2R2"/>
    <s v="SIL"/>
    <n v="4.3478260869565223E-2"/>
    <n v="3298"/>
    <x v="47"/>
    <s v="Yaw To Cable Twist Reset"/>
    <m/>
    <d v="1899-12-30T20:54:00"/>
    <d v="1899-12-30T20:54:00"/>
    <d v="1899-12-30T21:32:00"/>
    <d v="1899-12-30T00:00:00"/>
    <n v="0.63333333333333375"/>
    <n v="0.63333333333333375"/>
    <s v="Auto cable twist"/>
    <s v="Close"/>
    <n v="2.7536231884057991E-2"/>
    <n v="1"/>
    <n v="0.04"/>
    <m/>
  </r>
  <r>
    <n v="3003"/>
    <n v="2025"/>
    <n v="2024"/>
    <s v="Year_2"/>
    <d v="2024-11-05T00:00:00"/>
    <s v="KUD10"/>
    <s v="O2R1"/>
    <s v="KSIPL"/>
    <n v="4.3478260869565223E-2"/>
    <n v="5069"/>
    <x v="111"/>
    <s v="Pitch pos C meas. signal fault"/>
    <s v="Breakdown"/>
    <d v="1899-12-30T13:10:00"/>
    <d v="1899-12-30T13:10:00"/>
    <d v="1899-12-30T13:37:00"/>
    <d v="1899-12-30T00:00:00"/>
    <n v="0.4499999999999984"/>
    <n v="0.4499999999999984"/>
    <s v="Remote reboot done"/>
    <s v="Close"/>
    <n v="1.956521739130428E-2"/>
    <n v="1"/>
    <n v="9.9000000000000005E-2"/>
    <m/>
  </r>
  <r>
    <n v="3004"/>
    <n v="2025"/>
    <n v="2024"/>
    <s v="Year_2"/>
    <d v="2024-11-05T00:00:00"/>
    <s v="KUD18"/>
    <s v="O2R4"/>
    <s v="SGDCIPL"/>
    <n v="4.3478260869565223E-2"/>
    <n v="309"/>
    <x v="149"/>
    <s v="Pause over RCS __0"/>
    <s v="Manual Stop"/>
    <d v="1899-12-30T10:40:00"/>
    <d v="1899-12-30T10:40:00"/>
    <d v="1899-12-30T18:00:00"/>
    <d v="1899-12-30T00:00:00"/>
    <n v="7.3333333333333339"/>
    <n v="7.3333333333333339"/>
    <s v="WTG Manually shutdown taken for 6 month service"/>
    <s v="Close"/>
    <n v="0.31884057971014501"/>
    <n v="1"/>
    <n v="2.3959999999999999"/>
    <m/>
  </r>
  <r>
    <n v="3005"/>
    <n v="2025"/>
    <n v="2024"/>
    <s v="Year_2"/>
    <d v="2024-11-06T00:00:00"/>
    <s v="KUD10"/>
    <s v="O2R1"/>
    <s v="KSIPL"/>
    <n v="4.3478260869565223E-2"/>
    <n v="5069"/>
    <x v="111"/>
    <s v="Pitch pos C meas. signal fault"/>
    <s v="Breakdown"/>
    <d v="1899-12-30T20:14:00"/>
    <d v="1899-12-30T20:14:00"/>
    <d v="1899-12-30T21:19:00"/>
    <d v="1899-12-30T00:00:00"/>
    <n v="1.0833333333333321"/>
    <n v="1.0833333333333321"/>
    <s v="Remote reboot done"/>
    <s v="Close"/>
    <n v="4.7101449275362271E-2"/>
    <n v="1"/>
    <n v="0.11"/>
    <m/>
  </r>
  <r>
    <n v="3006"/>
    <n v="2025"/>
    <n v="2024"/>
    <s v="Year_2"/>
    <d v="2024-11-06T00:00:00"/>
    <s v="KUD19"/>
    <s v="O2R1"/>
    <s v="KSIPL"/>
    <n v="4.3478260869565223E-2"/>
    <n v="309"/>
    <x v="149"/>
    <s v="Pause over RCS __0"/>
    <m/>
    <d v="1899-12-30T09:44:00"/>
    <d v="1899-12-30T09:44:00"/>
    <d v="1899-12-30T16:38:00"/>
    <d v="1899-12-30T00:00:00"/>
    <n v="6.8999999999999995"/>
    <n v="6.8999999999999995"/>
    <s v="WTG Manually shutdown taken for 6 month service"/>
    <s v="Close"/>
    <n v="0.3"/>
    <n v="1"/>
    <n v="1.341"/>
    <m/>
  </r>
  <r>
    <n v="3007"/>
    <n v="2025"/>
    <n v="2024"/>
    <s v="Year_2"/>
    <d v="2024-11-06T00:00:00"/>
    <s v="KUD20"/>
    <s v="O2R1"/>
    <s v="KSIPL"/>
    <n v="4.3478260869565223E-2"/>
    <n v="3272"/>
    <x v="143"/>
    <s v="YawUntwistCW: Code__,_______°"/>
    <s v="Manual Stop"/>
    <d v="1899-12-30T15:05:00"/>
    <d v="1899-12-30T15:05:00"/>
    <d v="1899-12-30T15:25:00"/>
    <d v="1899-12-30T00:00:00"/>
    <n v="0.33333333333333481"/>
    <n v="0.33333333333333481"/>
    <s v="Auto cable twist"/>
    <s v="Close"/>
    <n v="1.4492753623188472E-2"/>
    <n v="1"/>
    <n v="3.6999999999999998E-2"/>
    <m/>
  </r>
  <r>
    <n v="3008"/>
    <n v="2025"/>
    <n v="2024"/>
    <s v="Year_2"/>
    <d v="2024-11-06T00:00:00"/>
    <s v="KUD10"/>
    <s v="O2R1"/>
    <s v="KSIPL"/>
    <n v="4.3478260869565223E-2"/>
    <n v="4500"/>
    <x v="138"/>
    <s v="Pitch C too low: __._° &lt; __._°"/>
    <s v="Breakdown"/>
    <d v="1899-12-30T22:12:00"/>
    <d v="1899-12-30T22:12:00"/>
    <d v="1899-12-30T22:30:00"/>
    <d v="1899-12-30T00:00:00"/>
    <n v="0.29999999999999893"/>
    <n v="0.29999999999999893"/>
    <s v="Remote reboot done"/>
    <s v="Close"/>
    <n v="1.3043478260869521E-2"/>
    <n v="1"/>
    <n v="9.6000000000000002E-2"/>
    <m/>
  </r>
  <r>
    <n v="3009"/>
    <n v="2025"/>
    <n v="2024"/>
    <s v="Year_2"/>
    <d v="2024-11-07T00:00:00"/>
    <s v="KUD08"/>
    <s v="O2R3"/>
    <s v="JK"/>
    <n v="4.3478260869565223E-2"/>
    <n v="900"/>
    <x v="100"/>
    <s v="Pause pressed on keyboard"/>
    <s v="Manual Stop"/>
    <d v="1899-12-30T12:21:00"/>
    <d v="1899-12-30T12:21:00"/>
    <d v="1899-12-30T18:11:00"/>
    <d v="1899-12-30T00:00:00"/>
    <n v="5.8333333333333339"/>
    <n v="5.8333333333333339"/>
    <s v="Manual Stop for HV transformer winding temp differance inspection work , Same time yaw claw gap adjustment work done."/>
    <s v="Close"/>
    <n v="0.25362318840579717"/>
    <n v="1"/>
    <n v="0.99399999999999999"/>
    <m/>
  </r>
  <r>
    <n v="3010"/>
    <n v="2025"/>
    <n v="2024"/>
    <s v="Year_2"/>
    <d v="2024-11-07T00:00:00"/>
    <s v="KUD10"/>
    <s v="O2R1"/>
    <s v="KSIPL"/>
    <n v="4.3478260869565223E-2"/>
    <n v="4500"/>
    <x v="138"/>
    <s v="Pitch C too low: __._° &lt; __._°"/>
    <s v="Breakdown"/>
    <d v="1899-12-30T13:13:00"/>
    <d v="1899-12-30T13:13:00"/>
    <d v="1899-12-30T13:36:00"/>
    <d v="1899-12-30T00:00:00"/>
    <n v="0.38333333333333197"/>
    <n v="0.38333333333333197"/>
    <s v="Remote reboot done."/>
    <s v="Close"/>
    <n v="1.6666666666666611E-2"/>
    <n v="1"/>
    <n v="1.6E-2"/>
    <m/>
  </r>
  <r>
    <n v="3011"/>
    <n v="2025"/>
    <n v="2024"/>
    <s v="Year_2"/>
    <d v="2024-11-07T00:00:00"/>
    <s v="KUD04"/>
    <s v="O2R3"/>
    <s v="JK"/>
    <n v="4.3478260869565223E-2"/>
    <n v="3272"/>
    <x v="143"/>
    <s v="YawUntwistCW: Code__,_______°"/>
    <m/>
    <d v="1899-12-30T15:33:00"/>
    <d v="1899-12-30T15:33:00"/>
    <d v="1899-12-30T15:54:00"/>
    <d v="1899-12-30T00:00:00"/>
    <n v="0.34999999999999876"/>
    <n v="0.34999999999999876"/>
    <s v="Auto cable twist"/>
    <s v="Close"/>
    <n v="1.5217391304347775E-2"/>
    <n v="1"/>
    <n v="4.1000000000000002E-2"/>
    <m/>
  </r>
  <r>
    <n v="3012"/>
    <n v="2025"/>
    <n v="2024"/>
    <s v="Year_2"/>
    <d v="2024-11-07T00:00:00"/>
    <s v="KUD17"/>
    <s v="O2R2"/>
    <s v="SIL"/>
    <n v="4.3478260869565223E-2"/>
    <n v="900"/>
    <x v="100"/>
    <s v="Pause pressed on keyboard"/>
    <s v="Manual Stop"/>
    <d v="1899-12-30T16:48:00"/>
    <d v="1899-12-30T16:48:00"/>
    <d v="1899-12-30T20:10:00"/>
    <d v="1899-12-30T00:00:00"/>
    <n v="3.366666666666668"/>
    <n v="3.366666666666668"/>
    <s v="Manually stop for VPC converter temp inspection found internal colling fan got failure so replaced."/>
    <s v="Close"/>
    <n v="0.14637681159420299"/>
    <n v="1"/>
    <n v="1.2589999999999999"/>
    <m/>
  </r>
  <r>
    <n v="3013"/>
    <n v="2025"/>
    <n v="2024"/>
    <s v="Year_2"/>
    <d v="2024-11-07T00:00:00"/>
    <s v="KUD17"/>
    <s v="O2R2"/>
    <s v="SIL"/>
    <n v="4.3478260869565223E-2"/>
    <n v="900"/>
    <x v="100"/>
    <s v="Pause pressed on keyboard"/>
    <s v="Manual Stop"/>
    <d v="1899-12-30T21:50:00"/>
    <d v="1899-12-30T21:50:00"/>
    <d v="1899-12-30T23:59:00"/>
    <d v="1899-12-30T00:00:00"/>
    <n v="2.1500000000000004"/>
    <n v="2.1500000000000004"/>
    <s v="Manually stop for Yaw claw gap adjustment work."/>
    <s v="Open"/>
    <n v="9.3478260869565247E-2"/>
    <n v="1"/>
    <n v="0.55000000000000004"/>
    <m/>
  </r>
  <r>
    <n v="3014"/>
    <n v="2025"/>
    <n v="2024"/>
    <s v="Year_2"/>
    <d v="2024-11-08T00:00:00"/>
    <s v="KUD10"/>
    <s v="O2R1"/>
    <s v="KSIPL"/>
    <n v="4.3478260869565223E-2"/>
    <n v="5069"/>
    <x v="111"/>
    <s v="Pitch pos C meas. signal fault"/>
    <s v="ROW"/>
    <d v="1899-12-30T11:53:00"/>
    <d v="1899-12-30T11:53:00"/>
    <d v="1899-12-30T13:00:00"/>
    <d v="1899-12-30T00:00:00"/>
    <n v="1.1166666666666654"/>
    <n v="1.1166666666666654"/>
    <s v="Remote reboot done , WTG can not access because of ROW issue."/>
    <s v="Close"/>
    <n v="0"/>
    <n v="1"/>
    <n v="0.17599999999999999"/>
    <m/>
  </r>
  <r>
    <n v="3015"/>
    <n v="2025"/>
    <n v="2024"/>
    <s v="Year_2"/>
    <d v="2024-11-08T00:00:00"/>
    <s v="KUD17"/>
    <s v="O2R2"/>
    <s v="SIL"/>
    <n v="4.3478260869565223E-2"/>
    <n v="900"/>
    <x v="100"/>
    <s v="Pause pressed on keyboard"/>
    <s v="Manual Stop"/>
    <d v="1899-12-30T00:00:00"/>
    <d v="1899-12-30T00:00:00"/>
    <d v="1899-12-30T00:41:00"/>
    <d v="1899-12-30T00:00:00"/>
    <n v="0.68333333333333335"/>
    <n v="0.68333333333333335"/>
    <s v="Manually stop for Yaw claw gap adjustment work."/>
    <s v="Close"/>
    <n v="2.9710144927536236E-2"/>
    <n v="1"/>
    <n v="0.45600000000000002"/>
    <m/>
  </r>
  <r>
    <n v="3016"/>
    <n v="2025"/>
    <n v="2024"/>
    <s v="Year_2"/>
    <d v="2024-11-09T00:00:00"/>
    <s v="KUD01"/>
    <s v="O2R1"/>
    <s v="KSIPL"/>
    <n v="4.3478260869565223E-2"/>
    <n v="450"/>
    <x v="127"/>
    <s v="Ext. High I sum Grd inv."/>
    <s v="Breakdown"/>
    <d v="1899-12-30T02:59:00"/>
    <d v="1899-12-30T02:59:00"/>
    <d v="1899-12-30T03:06:00"/>
    <d v="1899-12-30T00:00:00"/>
    <n v="0.11666666666666692"/>
    <n v="0.11666666666666692"/>
    <s v="Auto reset"/>
    <s v="Close"/>
    <n v="5.0724637681159538E-3"/>
    <n v="1"/>
    <n v="0.32800000000000001"/>
    <m/>
  </r>
  <r>
    <n v="3017"/>
    <n v="2025"/>
    <n v="2024"/>
    <s v="Year_2"/>
    <d v="2024-11-09T00:00:00"/>
    <s v="KUD11"/>
    <s v="O2R1"/>
    <s v="KSIPL"/>
    <n v="4.3478260869565223E-2"/>
    <n v="450"/>
    <x v="127"/>
    <s v="Ext. High I sum Grd inv."/>
    <s v="Breakdown"/>
    <d v="1899-12-30T01:13:00"/>
    <d v="1899-12-30T01:13:00"/>
    <d v="1899-12-30T01:20:00"/>
    <d v="1899-12-30T00:00:00"/>
    <n v="0.11666666666666659"/>
    <n v="0.11666666666666659"/>
    <s v="Auto reset"/>
    <s v="Close"/>
    <n v="5.0724637681159391E-3"/>
    <n v="1"/>
    <n v="0.11"/>
    <m/>
  </r>
  <r>
    <n v="3018"/>
    <n v="2025"/>
    <n v="2024"/>
    <s v="Year_2"/>
    <d v="2024-11-09T00:00:00"/>
    <s v="KUD11"/>
    <s v="O2R1"/>
    <s v="KSIPL"/>
    <n v="4.3478260869565223E-2"/>
    <n v="6290"/>
    <x v="91"/>
    <s v="Pitch Accu. Test active"/>
    <m/>
    <d v="1899-12-30T01:29:00"/>
    <d v="1899-12-30T01:29:00"/>
    <d v="1899-12-30T01:30:00"/>
    <d v="1899-12-30T00:00:00"/>
    <n v="1.6666666666666607E-2"/>
    <n v="1.6666666666666607E-2"/>
    <s v="Turbine self test taken"/>
    <s v="Close"/>
    <n v="7.246376811594178E-4"/>
    <n v="1"/>
    <n v="-0.02"/>
    <m/>
  </r>
  <r>
    <n v="3019"/>
    <n v="2025"/>
    <n v="2024"/>
    <s v="Year_2"/>
    <d v="2024-11-09T00:00:00"/>
    <s v="KUD20"/>
    <s v="O2R1"/>
    <s v="KSIPL"/>
    <n v="4.3478260869565223E-2"/>
    <n v="309"/>
    <x v="149"/>
    <s v="Pause over RCS __0"/>
    <s v="Manual Stop"/>
    <d v="1899-12-30T09:34:00"/>
    <d v="1899-12-30T09:34:00"/>
    <d v="1899-12-30T16:36:00"/>
    <d v="1899-12-30T00:00:00"/>
    <n v="7.0333333333333323"/>
    <n v="7.0333333333333323"/>
    <s v="WTG Manually shutdown taken for 6 month service"/>
    <s v="Close"/>
    <n v="0.30579710144927535"/>
    <n v="1"/>
    <n v="3.99"/>
    <m/>
  </r>
  <r>
    <n v="3020"/>
    <n v="2025"/>
    <n v="2024"/>
    <s v="Year_2"/>
    <d v="2024-11-10T00:00:00"/>
    <s v="KUD10"/>
    <s v="O2R1"/>
    <s v="KSIPL"/>
    <n v="4.3478260869565223E-2"/>
    <n v="5197"/>
    <x v="54"/>
    <s v="Prop Valve C Status Fault"/>
    <s v="ROW"/>
    <d v="1899-12-30T13:31:00"/>
    <d v="1899-12-30T13:31:00"/>
    <d v="1899-12-30T14:00:00"/>
    <d v="1899-12-30T00:00:00"/>
    <n v="0.48333333333333428"/>
    <n v="0.48333333333333428"/>
    <s v="Remote reboot done."/>
    <s v="Close"/>
    <n v="0"/>
    <n v="1"/>
    <n v="0.13700000000000001"/>
    <m/>
  </r>
  <r>
    <n v="3021"/>
    <n v="2025"/>
    <n v="2024"/>
    <s v="Year_2"/>
    <d v="2024-11-10T00:00:00"/>
    <s v="KUD17"/>
    <s v="O2R2"/>
    <s v="SIL"/>
    <n v="4.3478260869565223E-2"/>
    <n v="3272"/>
    <x v="143"/>
    <s v="YawUntwistCW: Code__,_______°"/>
    <m/>
    <d v="1899-12-30T12:14:00"/>
    <d v="1899-12-30T12:14:00"/>
    <d v="1899-12-30T12:35:00"/>
    <d v="1899-12-30T00:00:00"/>
    <n v="0.35000000000000142"/>
    <n v="0.35000000000000142"/>
    <s v="Auto cable twist "/>
    <s v="Close"/>
    <n v="1.5217391304347889E-2"/>
    <n v="1"/>
    <n v="7.1999999999999995E-2"/>
    <m/>
  </r>
  <r>
    <n v="3022"/>
    <n v="2025"/>
    <n v="2024"/>
    <s v="Year_2"/>
    <d v="2024-11-11T00:00:00"/>
    <s v="KUD22"/>
    <s v="O2R3"/>
    <s v="JK"/>
    <n v="4.3478260869565223E-2"/>
    <n v="309"/>
    <x v="149"/>
    <s v="Pause over RCS __0"/>
    <s v="Manual Stop"/>
    <d v="1899-12-30T11:04:00"/>
    <d v="1899-12-30T11:04:00"/>
    <d v="1899-12-30T17:16:00"/>
    <d v="1899-12-30T00:00:00"/>
    <n v="6.1999999999999993"/>
    <n v="6.1999999999999993"/>
    <s v="WTG Manually shutdown taken for 6 month service"/>
    <s v="Close"/>
    <n v="0.26956521739130435"/>
    <n v="1"/>
    <n v="2.0939999999999999"/>
    <m/>
  </r>
  <r>
    <n v="3023"/>
    <n v="2025"/>
    <n v="2024"/>
    <s v="Year_2"/>
    <d v="2024-11-12T00:00:00"/>
    <s v="KUD01"/>
    <s v="O2R1"/>
    <s v="KSIPL"/>
    <n v="4.3478260869565223E-2"/>
    <n v="450"/>
    <x v="127"/>
    <s v="Ext. High I sum Grd inv."/>
    <s v="Breakdown"/>
    <d v="1899-12-30T12:52:00"/>
    <d v="1899-12-30T12:52:00"/>
    <d v="1899-12-30T13:00:00"/>
    <d v="1899-12-30T00:00:00"/>
    <n v="0.13333333333333286"/>
    <n v="0.13333333333333286"/>
    <s v="Auto reset"/>
    <s v="Close"/>
    <n v="5.7971014492753424E-3"/>
    <n v="1"/>
    <n v="2.0939999999999999"/>
    <m/>
  </r>
  <r>
    <n v="3024"/>
    <n v="2025"/>
    <n v="2024"/>
    <s v="Year_2"/>
    <d v="2024-11-12T00:00:00"/>
    <s v="KUD14"/>
    <s v="O2R1"/>
    <s v="KSIPL"/>
    <n v="4.3478260869565223E-2"/>
    <n v="309"/>
    <x v="149"/>
    <s v="Pause over RCS __0"/>
    <s v="Manual Stop"/>
    <d v="1899-12-30T09:58:00"/>
    <d v="1899-12-30T09:58:00"/>
    <d v="1899-12-30T15:44:00"/>
    <d v="1899-12-30T00:00:00"/>
    <n v="5.7666666666666657"/>
    <n v="5.7666666666666657"/>
    <s v="WTG Manually shutdown taken for 6 month service"/>
    <s v="Close"/>
    <n v="0.25072463768115943"/>
    <n v="1"/>
    <n v="2.0939999999999999"/>
    <m/>
  </r>
  <r>
    <n v="3025"/>
    <n v="2025"/>
    <n v="2024"/>
    <s v="Year_2"/>
    <d v="2024-11-12T00:00:00"/>
    <s v="KUD20"/>
    <s v="O2R1"/>
    <s v="KSIPL"/>
    <n v="4.3478260869565223E-2"/>
    <n v="450"/>
    <x v="127"/>
    <s v="Ext. High I sum Grd inv."/>
    <s v="Breakdown"/>
    <d v="1899-12-30T05:32:00"/>
    <d v="1899-12-30T05:32:00"/>
    <d v="1899-12-30T05:40:00"/>
    <d v="1899-12-30T00:00:00"/>
    <n v="0.13333333333333286"/>
    <n v="0.13333333333333286"/>
    <s v="Auto reset"/>
    <s v="Close"/>
    <n v="5.7971014492753424E-3"/>
    <n v="1"/>
    <n v="2.0939999999999999"/>
    <m/>
  </r>
  <r>
    <n v="3026"/>
    <n v="2025"/>
    <n v="2024"/>
    <s v="Year_2"/>
    <d v="2024-11-13T00:00:00"/>
    <s v="KUD11"/>
    <s v="O2R1"/>
    <s v="KSIPL"/>
    <n v="4.3478260869565223E-2"/>
    <n v="309"/>
    <x v="149"/>
    <s v="Pause over RCS __0"/>
    <s v="Manual Stop"/>
    <d v="1899-12-30T08:07:00"/>
    <d v="1899-12-30T08:07:00"/>
    <d v="1899-12-30T16:16:00"/>
    <d v="1899-12-30T00:00:00"/>
    <n v="8.15"/>
    <n v="8.15"/>
    <s v="WTG Manually shutdown taken for 6 month service"/>
    <s v="Close"/>
    <n v="0.35434782608695659"/>
    <n v="1"/>
    <n v="2.0939999999999999"/>
    <m/>
  </r>
  <r>
    <n v="3027"/>
    <n v="2025"/>
    <n v="2024"/>
    <s v="Year_2"/>
    <d v="2024-11-14T00:00:00"/>
    <s v="KUD10"/>
    <s v="O2R1"/>
    <s v="KSIPL"/>
    <n v="4.3478260869565223E-2"/>
    <n v="5197"/>
    <x v="54"/>
    <s v="Prop Valve C Status Fault"/>
    <s v="ROW"/>
    <d v="1899-12-30T17:01:00"/>
    <d v="1899-12-30T17:01:00"/>
    <d v="1899-12-30T17:39:00"/>
    <d v="1899-12-30T00:00:00"/>
    <n v="0.63333333333333375"/>
    <n v="0.63333333333333375"/>
    <s v="Manual reset done."/>
    <s v="Close"/>
    <n v="0"/>
    <n v="1"/>
    <n v="2.0939999999999999"/>
    <m/>
  </r>
  <r>
    <n v="3028"/>
    <n v="2025"/>
    <n v="2024"/>
    <s v="Year_2"/>
    <d v="2024-11-14T00:00:00"/>
    <s v="KUD17"/>
    <s v="O2R2"/>
    <s v="SIL"/>
    <n v="4.3478260869565223E-2"/>
    <n v="309"/>
    <x v="149"/>
    <s v="Pause over RCS __0"/>
    <s v="Manual Stop"/>
    <d v="1899-12-30T11:02:00"/>
    <d v="1899-12-30T11:02:00"/>
    <d v="1899-12-30T16:20:00"/>
    <d v="1899-12-30T00:00:00"/>
    <n v="5.3000000000000007"/>
    <n v="5.3000000000000007"/>
    <s v="WTG Manually shutdown taken for 6 month service"/>
    <s v="Close"/>
    <n v="0.23043478260869571"/>
    <n v="1"/>
    <n v="2.0939999999999999"/>
    <m/>
  </r>
  <r>
    <n v="3029"/>
    <n v="2025"/>
    <n v="2024"/>
    <s v="Year_2"/>
    <d v="2024-11-15T00:00:00"/>
    <s v="KUD10"/>
    <s v="O2R1"/>
    <s v="KSIPL"/>
    <n v="4.3478260869565223E-2"/>
    <n v="5197"/>
    <x v="54"/>
    <s v="Prop Valve C Status Fault"/>
    <s v="ROW"/>
    <d v="1899-12-30T09:18:00"/>
    <d v="1899-12-30T09:18:00"/>
    <d v="1899-12-30T11:41:00"/>
    <d v="1899-12-30T00:00:00"/>
    <n v="2.3833333333333329"/>
    <n v="2.3833333333333329"/>
    <s v="Attend and pitch position sensor and pitch position to proppotional valve cable changed with new one and then restored"/>
    <s v="Close"/>
    <n v="0"/>
    <n v="1"/>
    <n v="2.0939999999999999"/>
    <m/>
  </r>
  <r>
    <n v="3030"/>
    <n v="2025"/>
    <n v="2024"/>
    <s v="Year_2"/>
    <d v="2024-11-15T00:00:00"/>
    <s v="KUD10"/>
    <s v="O2R1"/>
    <s v="KSIPL"/>
    <n v="4.3478260869565223E-2"/>
    <n v="5197"/>
    <x v="54"/>
    <s v="Prop Valve C Status Fault"/>
    <s v="Breakdown"/>
    <d v="1899-12-30T12:00:00"/>
    <d v="1899-12-30T12:00:00"/>
    <d v="1899-12-30T15:26:00"/>
    <d v="1899-12-30T00:00:00"/>
    <n v="3.4333333333333345"/>
    <n v="3.4333333333333345"/>
    <s v="Attend and pitch position sensor and pitch position to proppotional valve cable changed with new one and then restored"/>
    <s v="Close"/>
    <n v="0.14927536231884064"/>
    <n v="1"/>
    <n v="2.0939999999999999"/>
    <m/>
  </r>
  <r>
    <n v="3031"/>
    <n v="2025"/>
    <n v="2024"/>
    <s v="Year_2"/>
    <d v="2024-11-15T00:00:00"/>
    <s v="KUD20"/>
    <s v="O2R1"/>
    <s v="KSIPL"/>
    <n v="4.3478260869565223E-2"/>
    <n v="450"/>
    <x v="127"/>
    <s v="Ext. High I sum Grd inv."/>
    <s v="Breakdown"/>
    <d v="1899-12-30T13:57:00"/>
    <d v="1899-12-30T13:57:00"/>
    <d v="1899-12-30T17:00:00"/>
    <d v="1899-12-30T00:00:00"/>
    <n v="3.05"/>
    <n v="3.05"/>
    <s v="Attend and check all related components connection found intenal colling fan MCB tripped condition because of cable issue so replaced new cable and restored."/>
    <s v="Close"/>
    <n v="0.13260869565217392"/>
    <n v="1"/>
    <n v="2.0939999999999999"/>
    <m/>
  </r>
  <r>
    <n v="3032"/>
    <n v="2025"/>
    <n v="2024"/>
    <s v="Year_2"/>
    <d v="2024-11-17T00:00:00"/>
    <s v="KUD12"/>
    <s v="O2R1"/>
    <s v="KSIPL"/>
    <n v="4.3478260869565223E-2"/>
    <n v="315"/>
    <x v="120"/>
    <s v="ExEx low voltage L_: ___V"/>
    <s v="Breakdown"/>
    <d v="1899-12-30T16:30:00"/>
    <d v="1899-12-30T16:30:00"/>
    <d v="1899-12-30T17:50:00"/>
    <d v="1899-12-30T00:00:00"/>
    <n v="1.3333333333333339"/>
    <n v="1.3333333333333339"/>
    <s v="Manual charge HVCB"/>
    <s v="Close"/>
    <n v="5.7971014492753659E-2"/>
    <n v="1"/>
    <n v="2.0939999999999999"/>
    <m/>
  </r>
  <r>
    <n v="3033"/>
    <n v="2025"/>
    <n v="2024"/>
    <s v="Year_2"/>
    <d v="2024-11-17T00:00:00"/>
    <s v="KUD15"/>
    <s v="O2R1"/>
    <s v="KSIPL"/>
    <n v="4.3478260869565223E-2"/>
    <n v="2676"/>
    <x v="124"/>
    <s v="UPS Error"/>
    <s v="Breakdown"/>
    <d v="1899-12-30T16:30:00"/>
    <d v="1899-12-30T16:30:00"/>
    <d v="1899-12-30T19:22:00"/>
    <d v="1899-12-30T00:00:00"/>
    <n v="2.8666666666666671"/>
    <n v="2.8666666666666671"/>
    <s v="UPS Restarted done"/>
    <s v="Close"/>
    <n v="0.12463768115942032"/>
    <n v="1"/>
    <n v="2.0939999999999999"/>
    <m/>
  </r>
  <r>
    <n v="3034"/>
    <n v="2025"/>
    <n v="2024"/>
    <s v="Year_2"/>
    <d v="2024-11-17T00:00:00"/>
    <s v="KUD19"/>
    <s v="O2R1"/>
    <s v="KSIPL"/>
    <n v="4.3478260869565223E-2"/>
    <n v="2676"/>
    <x v="124"/>
    <s v="UPS Error"/>
    <s v="Breakdown"/>
    <d v="1899-12-30T16:30:00"/>
    <d v="1899-12-30T16:30:00"/>
    <d v="1899-12-30T18:21:00"/>
    <d v="1899-12-30T00:00:00"/>
    <n v="1.8499999999999988"/>
    <n v="1.8499999999999988"/>
    <s v="UPS Battery changed"/>
    <s v="Close"/>
    <n v="8.0434782608695604E-2"/>
    <n v="1"/>
    <n v="2.0939999999999999"/>
    <m/>
  </r>
  <r>
    <n v="3035"/>
    <n v="2025"/>
    <n v="2024"/>
    <s v="Year_2"/>
    <d v="2024-11-17T00:00:00"/>
    <s v="KUD20"/>
    <s v="O2R1"/>
    <s v="KSIPL"/>
    <n v="4.3478260869565223E-2"/>
    <n v="315"/>
    <x v="120"/>
    <s v="ExEx low voltage L_: ___V"/>
    <s v="Breakdown"/>
    <d v="1899-12-30T16:30:00"/>
    <d v="1899-12-30T16:30:00"/>
    <d v="1899-12-30T17:49:00"/>
    <d v="1899-12-30T00:00:00"/>
    <n v="1.3166666666666673"/>
    <n v="1.3166666666666673"/>
    <s v="UPS reboot done"/>
    <s v="Close"/>
    <n v="5.7246376811594238E-2"/>
    <n v="1"/>
    <n v="2.0939999999999999"/>
    <m/>
  </r>
  <r>
    <n v="3036"/>
    <n v="2025"/>
    <n v="2024"/>
    <s v="Year_2"/>
    <d v="2024-11-18T00:00:00"/>
    <s v="KUD07"/>
    <s v="O2R3"/>
    <s v="JK"/>
    <n v="4.3478260869565223E-2"/>
    <n v="315"/>
    <x v="120"/>
    <s v="ExEx low voltage L_: ___V"/>
    <s v="ROW"/>
    <d v="1899-12-30T12:24:00"/>
    <d v="1899-12-30T12:24:00"/>
    <d v="1899-12-30T15:41:00"/>
    <d v="1899-12-30T00:00:00"/>
    <n v="3.2833333333333323"/>
    <n v="3.2833333333333323"/>
    <s v="DP Isolator opened by local peson after Isolator closed restored."/>
    <s v="Close"/>
    <n v="0"/>
    <n v="1"/>
    <n v="2.0939999999999999"/>
    <m/>
  </r>
  <r>
    <n v="3037"/>
    <n v="2025"/>
    <n v="2024"/>
    <s v="Year_2"/>
    <d v="2024-11-18T00:00:00"/>
    <s v="KUD23"/>
    <s v="O2R3"/>
    <s v="JK"/>
    <n v="4.3478260869565223E-2"/>
    <n v="309"/>
    <x v="149"/>
    <s v="Pause over RCS __0"/>
    <s v="Manual Stop"/>
    <d v="1899-12-30T09:53:00"/>
    <d v="1899-12-30T09:53:00"/>
    <d v="1899-12-30T16:11:00"/>
    <d v="1899-12-30T00:00:00"/>
    <n v="6.3000000000000016"/>
    <n v="6.3000000000000016"/>
    <s v="WTG Manually shutdown taken for 6 month service"/>
    <s v="Close"/>
    <n v="0.27391304347826095"/>
    <n v="1"/>
    <n v="2.0939999999999999"/>
    <m/>
  </r>
  <r>
    <n v="3038"/>
    <n v="2025"/>
    <n v="2024"/>
    <s v="Year_2"/>
    <d v="2024-11-19T00:00:00"/>
    <s v="KUD17"/>
    <s v="O2R2"/>
    <s v="SIL"/>
    <n v="4.3478260869565223E-2"/>
    <n v="309"/>
    <x v="149"/>
    <s v="Pause over RCS __0"/>
    <s v="Manual Stop"/>
    <d v="1899-12-30T11:57:00"/>
    <d v="1899-12-30T11:57:00"/>
    <d v="1899-12-30T15:09:00"/>
    <d v="1899-12-30T00:00:00"/>
    <n v="3.1999999999999993"/>
    <n v="3.1999999999999993"/>
    <s v="Manual stop for Yaw claw inspection work."/>
    <s v="Close"/>
    <n v="0.13913043478260867"/>
    <n v="1"/>
    <n v="2.0939999999999999"/>
    <m/>
  </r>
  <r>
    <n v="3039"/>
    <n v="2025"/>
    <n v="2024"/>
    <s v="Year_2"/>
    <d v="2024-11-20T00:00:00"/>
    <s v="KUD10"/>
    <s v="O2R1"/>
    <s v="KSIPL"/>
    <n v="4.3478260869565223E-2"/>
    <n v="5069"/>
    <x v="111"/>
    <s v="Pitch pos C meas. signal fault"/>
    <s v="Breakdown"/>
    <d v="1899-12-30T10:00:00"/>
    <d v="1899-12-30T10:00:00"/>
    <d v="1899-12-30T10:32:00"/>
    <d v="1899-12-30T00:00:00"/>
    <n v="0.53333333333333277"/>
    <n v="0.53333333333333277"/>
    <s v="Remote reboot done."/>
    <s v="Close"/>
    <n v="2.3188405797101429E-2"/>
    <n v="1"/>
    <n v="0.376"/>
    <m/>
  </r>
  <r>
    <n v="3040"/>
    <n v="2025"/>
    <n v="2024"/>
    <s v="Year_2"/>
    <d v="2024-11-20T00:00:00"/>
    <s v="KUD10"/>
    <s v="O2R1"/>
    <s v="KSIPL"/>
    <n v="4.3478260869565223E-2"/>
    <n v="5069"/>
    <x v="111"/>
    <s v="Pitch pos C meas. signal fault"/>
    <s v="Breakdown"/>
    <d v="1899-12-30T20:40:00"/>
    <d v="1899-12-30T20:40:00"/>
    <d v="1899-12-30T21:21:00"/>
    <d v="1899-12-30T00:00:00"/>
    <n v="0.68333333333333091"/>
    <n v="0.68333333333333091"/>
    <s v="Remote reboot done."/>
    <s v="Close"/>
    <n v="2.9710144927536129E-2"/>
    <n v="1"/>
    <n v="0.54"/>
    <m/>
  </r>
  <r>
    <n v="3041"/>
    <n v="2025"/>
    <n v="2024"/>
    <s v="Year_2"/>
    <d v="2024-11-20T00:00:00"/>
    <s v="KUD17"/>
    <s v="O2R2"/>
    <s v="SIL"/>
    <n v="4.3478260869565223E-2"/>
    <n v="309"/>
    <x v="149"/>
    <s v="Pause over RCS __0"/>
    <s v="Manual Stop"/>
    <d v="1899-12-30T09:48:00"/>
    <d v="1899-12-30T09:48:00"/>
    <d v="1899-12-30T21:48:00"/>
    <d v="1899-12-30T00:00:00"/>
    <n v="12"/>
    <n v="12"/>
    <s v="Manual stop for Yaw claw spring package replacement work."/>
    <s v="Close"/>
    <n v="0.52173913043478271"/>
    <n v="1"/>
    <n v="3.6739999999999999"/>
    <m/>
  </r>
  <r>
    <n v="3042"/>
    <n v="2025"/>
    <n v="2024"/>
    <s v="Year_2"/>
    <d v="2024-11-21T00:00:00"/>
    <s v="KUD04"/>
    <s v="O2R3"/>
    <s v="JK"/>
    <n v="4.3478260869565223E-2"/>
    <n v="2676"/>
    <x v="124"/>
    <s v="UPS Error"/>
    <s v="Breakdown"/>
    <d v="1899-12-30T12:45:00"/>
    <d v="1899-12-30T12:45:00"/>
    <d v="1899-12-30T13:58:00"/>
    <d v="1899-12-30T00:00:00"/>
    <n v="1.2166666666666677"/>
    <n v="1.2166666666666677"/>
    <s v="UPS reboot done ."/>
    <s v="Close"/>
    <n v="5.2898550724637734E-2"/>
    <n v="1"/>
    <n v="3.6999999999999998E-2"/>
    <m/>
  </r>
  <r>
    <n v="3043"/>
    <n v="2025"/>
    <n v="2024"/>
    <s v="Year_2"/>
    <d v="2024-11-21T00:00:00"/>
    <s v="KUD05"/>
    <s v="O2R3"/>
    <s v="JK"/>
    <n v="4.3478260869565223E-2"/>
    <n v="2676"/>
    <x v="124"/>
    <s v="UPS Error"/>
    <s v="Breakdown"/>
    <d v="1899-12-30T12:45:00"/>
    <d v="1899-12-30T12:45:00"/>
    <d v="1899-12-30T14:16:00"/>
    <d v="1899-12-30T00:00:00"/>
    <n v="1.5166666666666666"/>
    <n v="1.5166666666666666"/>
    <s v="UPS reboot done ."/>
    <s v="Close"/>
    <n v="6.5942028985507259E-2"/>
    <n v="1"/>
    <n v="2.7E-2"/>
    <m/>
  </r>
  <r>
    <n v="3044"/>
    <n v="2025"/>
    <n v="2024"/>
    <s v="Year_2"/>
    <d v="2024-11-21T00:00:00"/>
    <s v="KUD23"/>
    <s v="O2R3"/>
    <s v="JK"/>
    <n v="4.3478260869565223E-2"/>
    <n v="315"/>
    <x v="120"/>
    <s v="ExEx low voltage L_: ___V"/>
    <s v="Breakdown"/>
    <d v="1899-12-30T12:45:00"/>
    <d v="1899-12-30T12:45:00"/>
    <d v="1899-12-30T14:50:00"/>
    <d v="1899-12-30T00:00:00"/>
    <n v="2.0833333333333339"/>
    <n v="2.0833333333333339"/>
    <s v="UPS Battery changed"/>
    <s v="Close"/>
    <n v="9.0579710144927578E-2"/>
    <n v="1"/>
    <n v="4.0000000000000001E-3"/>
    <m/>
  </r>
  <r>
    <n v="3045"/>
    <n v="2025"/>
    <n v="2024"/>
    <s v="Year_2"/>
    <d v="2024-11-22T00:00:00"/>
    <s v="KUD11"/>
    <s v="O2R1"/>
    <s v="KSIPL"/>
    <n v="4.3478260869565223E-2"/>
    <n v="3091"/>
    <x v="194"/>
    <s v="StatorFilter Thermo Fault"/>
    <s v="Manual Stop"/>
    <d v="1899-12-30T10:47:00"/>
    <d v="1899-12-30T10:47:00"/>
    <d v="1899-12-30T15:42:00"/>
    <d v="1899-12-30T00:00:00"/>
    <n v="4.9166666666666661"/>
    <n v="4.9166666666666661"/>
    <s v="R Phase pin insulator changed after that line charged done."/>
    <s v="Close"/>
    <n v="0.21376811594202899"/>
    <n v="1"/>
    <n v="4.0000000000000001E-3"/>
    <m/>
  </r>
  <r>
    <n v="3046"/>
    <n v="2025"/>
    <n v="2024"/>
    <s v="Year_2"/>
    <d v="2024-11-22T00:00:00"/>
    <s v="KUD14"/>
    <s v="O2R1"/>
    <s v="KSIPL"/>
    <n v="4.3478260869565223E-2"/>
    <n v="315"/>
    <x v="120"/>
    <s v="ExEx low voltage L_: ___V"/>
    <s v="Breakdown"/>
    <d v="1899-12-30T21:30:00"/>
    <d v="1899-12-30T21:30:00"/>
    <d v="1899-12-30T22:15:00"/>
    <d v="1899-12-30T00:00:00"/>
    <n v="0.75"/>
    <n v="0.75"/>
    <s v="HVCB Manual charged done."/>
    <s v="Close"/>
    <n v="3.2608695652173919E-2"/>
    <n v="1"/>
    <n v="4.0000000000000001E-3"/>
    <m/>
  </r>
  <r>
    <n v="3047"/>
    <n v="2025"/>
    <n v="2024"/>
    <s v="Year_2"/>
    <d v="2024-11-22T00:00:00"/>
    <s v="KUD15"/>
    <s v="O2R1"/>
    <s v="KSIPL"/>
    <n v="4.3478260869565223E-2"/>
    <n v="2676"/>
    <x v="124"/>
    <s v="UPS Error"/>
    <s v="Breakdown"/>
    <d v="1899-12-30T21:30:00"/>
    <d v="1899-12-30T21:30:00"/>
    <d v="1899-12-30T23:57:00"/>
    <d v="1899-12-30T00:00:00"/>
    <n v="2.4499999999999993"/>
    <n v="2.4499999999999993"/>
    <s v="UPS battery changed"/>
    <s v="Close"/>
    <n v="0.10652173913043476"/>
    <n v="1"/>
    <n v="4.0000000000000001E-3"/>
    <m/>
  </r>
  <r>
    <n v="3048"/>
    <n v="2025"/>
    <n v="2024"/>
    <s v="Year_2"/>
    <d v="2024-11-22T00:00:00"/>
    <s v="KUD19"/>
    <s v="O2R1"/>
    <s v="KSIPL"/>
    <n v="4.3478260869565223E-2"/>
    <n v="315"/>
    <x v="120"/>
    <s v="ExEx low voltage L_: ___V"/>
    <s v="Breakdown"/>
    <d v="1899-12-30T21:30:00"/>
    <d v="1899-12-30T21:30:00"/>
    <d v="1899-12-30T23:59:00"/>
    <d v="1899-12-30T00:00:00"/>
    <n v="2.4833333333333325"/>
    <n v="2.4833333333333325"/>
    <s v="After grid drop found Hub communication missing so checked related components found OFC cable from Nacelle to Hub problem so correct done."/>
    <s v="Close"/>
    <n v="0.10797101449275361"/>
    <n v="1"/>
    <n v="4.0000000000000001E-3"/>
    <m/>
  </r>
  <r>
    <n v="3049"/>
    <n v="2025"/>
    <n v="2024"/>
    <s v="Year_2"/>
    <d v="2024-11-23T00:00:00"/>
    <s v="KUD04"/>
    <s v="O2R3"/>
    <s v="JK"/>
    <n v="4.3478260869565223E-2"/>
    <n v="2676"/>
    <x v="124"/>
    <s v="UPS Error"/>
    <s v="Breakdown"/>
    <d v="1899-12-30T16:30:00"/>
    <d v="1899-12-30T16:30:00"/>
    <d v="1899-12-30T17:46:00"/>
    <d v="1899-12-30T00:00:00"/>
    <n v="1.2666666666666675"/>
    <n v="1.2666666666666675"/>
    <s v="UPS reboot done."/>
    <s v="Close"/>
    <n v="5.5072463768115983E-2"/>
    <n v="1"/>
    <n v="7.0999999999999994E-2"/>
    <m/>
  </r>
  <r>
    <n v="3050"/>
    <n v="2025"/>
    <n v="2024"/>
    <s v="Year_2"/>
    <d v="2024-11-23T00:00:00"/>
    <s v="KUD06"/>
    <s v="O2R3"/>
    <s v="JK"/>
    <n v="4.3478260869565223E-2"/>
    <n v="931"/>
    <x v="186"/>
    <s v="Arc light detected"/>
    <s v="Breakdown"/>
    <d v="1899-12-30T16:30:00"/>
    <d v="1899-12-30T16:30:00"/>
    <d v="1899-12-30T21:01:00"/>
    <d v="1899-12-30T00:00:00"/>
    <n v="4.5166666666666666"/>
    <n v="4.5166666666666666"/>
    <s v="Attend and HV transformer inspection done found all normal and restored."/>
    <s v="Close"/>
    <n v="0.19637681159420292"/>
    <n v="1"/>
    <n v="1.625"/>
    <m/>
  </r>
  <r>
    <n v="3051"/>
    <n v="2025"/>
    <n v="2024"/>
    <s v="Year_2"/>
    <d v="2024-11-23T00:00:00"/>
    <s v="KUD16"/>
    <s v="O2R2"/>
    <s v="SIL"/>
    <n v="4.3478260869565223E-2"/>
    <n v="2676"/>
    <x v="124"/>
    <s v="UPS Error"/>
    <s v="Breakdown"/>
    <d v="1899-12-30T16:30:00"/>
    <d v="1899-12-30T16:30:00"/>
    <d v="1899-12-30T18:11:00"/>
    <d v="1899-12-30T00:00:00"/>
    <n v="1.6833333333333327"/>
    <n v="1.6833333333333327"/>
    <s v="UPS reboot done"/>
    <s v="Close"/>
    <n v="7.3188405797101425E-2"/>
    <n v="1"/>
    <n v="4.2000000000000003E-2"/>
    <m/>
  </r>
  <r>
    <n v="3052"/>
    <n v="2025"/>
    <n v="2024"/>
    <s v="Year_2"/>
    <d v="2024-11-24T00:00:00"/>
    <s v="KUD10"/>
    <s v="O2R1"/>
    <s v="KSIPL"/>
    <n v="4.3478260869565223E-2"/>
    <n v="5197"/>
    <x v="54"/>
    <s v="Prop Valve C Status Fault"/>
    <s v="Breakdown"/>
    <d v="1899-12-30T06:26:00"/>
    <d v="1899-12-30T06:26:00"/>
    <d v="1899-12-30T06:50:00"/>
    <d v="1899-12-30T00:00:00"/>
    <n v="0.39999999999999991"/>
    <n v="0.39999999999999991"/>
    <s v="Prop Valve C Status Fault"/>
    <s v="Close"/>
    <n v="1.7391304347826084E-2"/>
    <n v="1"/>
    <n v="4.2000000000000003E-2"/>
    <m/>
  </r>
  <r>
    <n v="3053"/>
    <n v="2025"/>
    <n v="2024"/>
    <s v="Year_2"/>
    <d v="2024-11-25T00:00:00"/>
    <s v="KUD13"/>
    <s v="O2R1"/>
    <s v="KSIPL"/>
    <n v="4.3478260869565223E-2"/>
    <n v="309"/>
    <x v="149"/>
    <s v="Pause over RCS __0"/>
    <s v="Manual Stop"/>
    <d v="1899-12-30T13:24:00"/>
    <d v="1899-12-30T13:24:00"/>
    <d v="1899-12-30T15:56:00"/>
    <d v="1899-12-30T00:00:00"/>
    <n v="2.5333333333333323"/>
    <n v="2.5333333333333323"/>
    <s v="Manual stop for HV trafo 3 month service."/>
    <s v="Close"/>
    <n v="0.11014492753623185"/>
    <n v="1"/>
    <n v="4.2000000000000003E-2"/>
    <m/>
  </r>
  <r>
    <n v="3054"/>
    <n v="2025"/>
    <n v="2024"/>
    <s v="Year_2"/>
    <d v="2024-11-26T00:00:00"/>
    <s v="KUD12"/>
    <s v="O2R1"/>
    <s v="KSIPL"/>
    <n v="4.3478260869565223E-2"/>
    <n v="309"/>
    <x v="149"/>
    <s v="Pause over RCS __0"/>
    <s v="Manual Stop"/>
    <d v="1899-12-30T11:35:00"/>
    <d v="1899-12-30T11:35:00"/>
    <d v="1899-12-30T18:45:00"/>
    <d v="1899-12-30T00:00:00"/>
    <n v="7.1666666666666661"/>
    <n v="7.1666666666666661"/>
    <s v="Manual stop for Yaw claw Y11,Y10 Spring package changing work."/>
    <s v="Close"/>
    <n v="0.31159420289855072"/>
    <n v="1"/>
    <n v="0.85499999999999998"/>
    <m/>
  </r>
  <r>
    <n v="3055"/>
    <n v="2025"/>
    <n v="2024"/>
    <s v="Year_2"/>
    <d v="2024-11-28T00:00:00"/>
    <s v="KUD08"/>
    <s v="O2R3"/>
    <s v="JK"/>
    <n v="4.3478260869565223E-2"/>
    <n v="309"/>
    <x v="149"/>
    <s v="Pause over RCS __0"/>
    <s v="Manual Stop"/>
    <d v="1899-12-30T14:44:00"/>
    <d v="1899-12-30T14:44:00"/>
    <d v="1899-12-30T16:58:00"/>
    <d v="1899-12-30T00:00:00"/>
    <n v="2.2333333333333334"/>
    <n v="2.2333333333333334"/>
    <s v="Manual stop for yaw claw inspection work."/>
    <s v="Close"/>
    <n v="9.7101449275362336E-2"/>
    <n v="1"/>
    <n v="0.52700000000000002"/>
    <m/>
  </r>
  <r>
    <n v="3056"/>
    <n v="2025"/>
    <n v="2024"/>
    <s v="Year_2"/>
    <d v="2024-11-29T00:00:00"/>
    <s v="KUD08"/>
    <s v="O2R3"/>
    <s v="JK"/>
    <n v="4.3478260869565223E-2"/>
    <n v="309"/>
    <x v="149"/>
    <s v="Pause over RCS __0"/>
    <s v="Manual Stop"/>
    <d v="1899-12-30T11:12:00"/>
    <d v="1899-12-30T11:12:00"/>
    <d v="1899-12-30T18:31:00"/>
    <d v="1899-12-30T00:00:00"/>
    <n v="7.3166666666666673"/>
    <n v="7.3166666666666673"/>
    <s v="Manual stop for Yaw claw spring package changing work."/>
    <s v="Close"/>
    <n v="0.31811594202898558"/>
    <n v="1"/>
    <n v="1.0640000000000001"/>
    <m/>
  </r>
  <r>
    <n v="3057"/>
    <n v="2025"/>
    <n v="2024"/>
    <s v="Year_2"/>
    <d v="2024-11-30T00:00:00"/>
    <s v="KUD10"/>
    <s v="O2R1"/>
    <s v="KSIPL"/>
    <n v="4.3478260869565223E-2"/>
    <n v="5197"/>
    <x v="54"/>
    <s v="Prop Valve C Status Fault"/>
    <s v="Breakdown"/>
    <d v="1899-12-30T16:30:00"/>
    <d v="1899-12-30T16:30:00"/>
    <d v="1899-12-30T16:40:00"/>
    <d v="1899-12-30T00:00:00"/>
    <n v="0.16666666666666607"/>
    <n v="0.16666666666666607"/>
    <s v="Auto reset."/>
    <s v="Close"/>
    <n v="7.2463768115941778E-3"/>
    <n v="1"/>
    <n v="0"/>
    <m/>
  </r>
  <r>
    <n v="3058"/>
    <n v="2025"/>
    <n v="2024"/>
    <s v="Year_2"/>
    <d v="2024-11-30T00:00:00"/>
    <s v="KUD10"/>
    <s v="O2R1"/>
    <s v="KSIPL"/>
    <n v="4.3478260869565223E-2"/>
    <n v="5197"/>
    <x v="54"/>
    <s v="Prop Valve C Status Fault"/>
    <s v="Breakdown"/>
    <d v="1899-12-30T18:46:00"/>
    <d v="1899-12-30T18:46:00"/>
    <d v="1899-12-30T19:11:00"/>
    <d v="1899-12-30T00:00:00"/>
    <n v="0.41666666666666785"/>
    <n v="0.41666666666666785"/>
    <s v="Remote reboot done."/>
    <s v="Close"/>
    <n v="1.811594202898556E-2"/>
    <n v="1"/>
    <n v="0"/>
    <m/>
  </r>
  <r>
    <n v="3059"/>
    <n v="2025"/>
    <n v="2024"/>
    <s v="Year_2"/>
    <d v="2024-11-30T00:00:00"/>
    <s v="KUD10"/>
    <s v="O2R1"/>
    <s v="KSIPL"/>
    <n v="4.3478260869565223E-2"/>
    <n v="5197"/>
    <x v="54"/>
    <s v="Prop Valve C Status Fault"/>
    <s v="Breakdown"/>
    <d v="1899-12-30T20:20:00"/>
    <d v="1899-12-30T20:20:00"/>
    <d v="1899-12-30T20:30:00"/>
    <d v="1899-12-30T00:00:00"/>
    <n v="0.16666666666666607"/>
    <n v="0.16666666666666607"/>
    <s v="Auto reset."/>
    <s v="Close"/>
    <n v="7.2463768115941778E-3"/>
    <n v="1"/>
    <n v="0.16300000000000001"/>
    <m/>
  </r>
  <r>
    <n v="3060"/>
    <n v="2025"/>
    <n v="2024"/>
    <s v="Year_2"/>
    <d v="2024-11-30T00:00:00"/>
    <s v="KUD22"/>
    <s v="O2R3"/>
    <s v="JK"/>
    <n v="4.3478260869565223E-2"/>
    <n v="309"/>
    <x v="149"/>
    <s v="Pause over RCS __0"/>
    <s v="Manual Stop"/>
    <d v="1899-12-30T17:15:00"/>
    <d v="1899-12-30T17:15:00"/>
    <d v="1899-12-30T19:16:00"/>
    <d v="1899-12-30T00:00:00"/>
    <n v="2.0166666666666675"/>
    <n v="2.0166666666666675"/>
    <s v="Attend againt A blade load sensor warning and de- rating of WTG , Found that can module CT6061 malfunction so replaced and restored. "/>
    <s v="Close"/>
    <n v="8.7681159420289909E-2"/>
    <n v="1"/>
    <n v="0.49299999999999999"/>
    <m/>
  </r>
  <r>
    <n v="3061"/>
    <n v="2025"/>
    <n v="2024"/>
    <s v="Year_2"/>
    <d v="2024-12-01T00:00:00"/>
    <s v="KUD10"/>
    <s v="O2R1"/>
    <s v="KSIPL"/>
    <n v="4.3478260869565223E-2"/>
    <n v="5069"/>
    <x v="111"/>
    <s v="Pitch pos C meas. signal fault"/>
    <s v="Breakdown"/>
    <d v="1899-12-30T07:45:00"/>
    <d v="1899-12-30T07:45:00"/>
    <d v="1899-12-30T08:10:00"/>
    <d v="1899-12-30T00:00:00"/>
    <n v="0.41666666666666652"/>
    <n v="0.41666666666666652"/>
    <s v="Remote reboot done."/>
    <s v="Close"/>
    <n v="1.8115942028985504E-2"/>
    <n v="1"/>
    <n v="0.11799999999999999"/>
    <m/>
  </r>
  <r>
    <n v="3062"/>
    <n v="2025"/>
    <n v="2024"/>
    <s v="Year_2"/>
    <d v="2024-12-01T00:00:00"/>
    <s v="KUD10"/>
    <s v="O2R1"/>
    <s v="KSIPL"/>
    <n v="4.3478260869565223E-2"/>
    <n v="5069"/>
    <x v="111"/>
    <s v="Pitch pos C meas. signal fault"/>
    <s v="Breakdown"/>
    <d v="1899-12-30T16:10:00"/>
    <d v="1899-12-30T16:10:00"/>
    <d v="1899-12-30T16:50:00"/>
    <d v="1899-12-30T00:00:00"/>
    <n v="0.6666666666666643"/>
    <n v="0.6666666666666643"/>
    <s v="Remote reboot done."/>
    <s v="Close"/>
    <n v="2.8985507246376711E-2"/>
    <n v="1"/>
    <n v="0.32100000000000001"/>
    <m/>
  </r>
  <r>
    <n v="3063"/>
    <n v="2025"/>
    <n v="2024"/>
    <s v="Year_2"/>
    <d v="2024-12-01T00:00:00"/>
    <s v="KUD10"/>
    <s v="O2R1"/>
    <s v="KSIPL"/>
    <n v="4.3478260869565223E-2"/>
    <n v="5069"/>
    <x v="111"/>
    <s v="Pitch pos C meas. signal fault"/>
    <s v="Breakdown"/>
    <d v="1899-12-30T20:47:00"/>
    <d v="1899-12-30T20:47:00"/>
    <d v="1899-12-30T20:59:00"/>
    <d v="1899-12-30T00:00:00"/>
    <n v="0.19999999999999929"/>
    <n v="0.19999999999999929"/>
    <s v="Auto reset."/>
    <s v="Close"/>
    <n v="8.6956521739130141E-3"/>
    <n v="1"/>
    <n v="0.112"/>
    <m/>
  </r>
  <r>
    <n v="3064"/>
    <n v="2025"/>
    <n v="2024"/>
    <s v="Year_2"/>
    <d v="2024-12-02T00:00:00"/>
    <s v="KUD10"/>
    <s v="O2R1"/>
    <s v="KSIPL"/>
    <n v="4.3478260869565223E-2"/>
    <n v="5197"/>
    <x v="54"/>
    <s v="Prop Valve C Status Fault"/>
    <s v="Breakdown"/>
    <d v="1899-12-30T03:20:00"/>
    <d v="1899-12-30T03:20:00"/>
    <d v="1899-12-30T03:35:00"/>
    <d v="1899-12-30T00:00:00"/>
    <n v="0.24999999999999978"/>
    <n v="0.24999999999999978"/>
    <s v="Remote reboot done."/>
    <s v="Close"/>
    <n v="1.0869565217391295E-2"/>
    <n v="1"/>
    <n v="8.9999999999999993E-3"/>
    <m/>
  </r>
  <r>
    <n v="3065"/>
    <n v="2025"/>
    <n v="2024"/>
    <s v="Year_2"/>
    <d v="2024-12-02T00:00:00"/>
    <s v="KUD10"/>
    <s v="O2R1"/>
    <s v="KSIPL"/>
    <n v="4.3478260869565223E-2"/>
    <n v="5197"/>
    <x v="54"/>
    <s v="Prop Valve C Status Fault"/>
    <s v="Breakdown"/>
    <d v="1899-12-30T10:04:00"/>
    <d v="1899-12-30T10:04:00"/>
    <d v="1899-12-30T10:38:00"/>
    <d v="1899-12-30T00:00:00"/>
    <n v="0.56666666666666599"/>
    <n v="0.56666666666666599"/>
    <s v="Remote reboot done."/>
    <s v="Close"/>
    <n v="2.4637681159420263E-2"/>
    <n v="1"/>
    <n v="0.17299999999999999"/>
    <m/>
  </r>
  <r>
    <n v="3066"/>
    <n v="2025"/>
    <n v="2024"/>
    <s v="Year_2"/>
    <d v="2024-12-02T00:00:00"/>
    <s v="KUD16"/>
    <s v="O2R2"/>
    <s v="SIL"/>
    <n v="4.3478260869565223E-2"/>
    <n v="309"/>
    <x v="149"/>
    <s v="Pause over RCS __0"/>
    <s v="Manual Stop"/>
    <d v="1899-12-30T15:07:00"/>
    <d v="1899-12-30T15:07:00"/>
    <d v="1899-12-30T16:39:00"/>
    <d v="1899-12-30T00:00:00"/>
    <n v="1.5333333333333332"/>
    <n v="1.5333333333333332"/>
    <s v="Manual stop for Yaw claw inspection."/>
    <s v="Close"/>
    <n v="6.6666666666666666E-2"/>
    <n v="1"/>
    <n v="0.23"/>
    <m/>
  </r>
  <r>
    <n v="3067"/>
    <n v="2025"/>
    <n v="2024"/>
    <s v="Year_2"/>
    <d v="2024-12-03T00:00:00"/>
    <s v="KUD10"/>
    <s v="O2R1"/>
    <s v="KSIPL"/>
    <n v="4.3478260869565223E-2"/>
    <n v="5197"/>
    <x v="54"/>
    <s v="Prop Valve C Status Fault"/>
    <s v="Breakdown"/>
    <d v="1899-12-30T09:49:00"/>
    <d v="1899-12-30T09:49:00"/>
    <d v="1899-12-30T13:16:00"/>
    <d v="1899-12-30T00:00:00"/>
    <n v="3.4500000000000011"/>
    <n v="3.4500000000000011"/>
    <s v="Attend and check all related components and connection and found prop valve malfunction so replaced."/>
    <s v="Close"/>
    <n v="0.15000000000000008"/>
    <n v="1"/>
    <n v="2.8439999999999999"/>
    <m/>
  </r>
  <r>
    <n v="3068"/>
    <n v="2025"/>
    <n v="2024"/>
    <s v="Year_2"/>
    <d v="2024-12-04T00:00:00"/>
    <s v="KUD03"/>
    <s v="O2R1"/>
    <s v="KSIPL"/>
    <n v="4.3478260869565223E-2"/>
    <n v="2676"/>
    <x v="124"/>
    <s v="UPS Error"/>
    <s v="Breakdown"/>
    <d v="1899-12-30T12:10:00"/>
    <d v="1899-12-30T12:10:00"/>
    <d v="1899-12-30T15:56:00"/>
    <d v="1899-12-30T00:00:00"/>
    <n v="3.7666666666666666"/>
    <n v="3.7666666666666666"/>
    <s v="UPS Reboot done."/>
    <s v="Close"/>
    <n v="0.163768115942029"/>
    <n v="1"/>
    <n v="4.1909999999999998"/>
    <m/>
  </r>
  <r>
    <n v="3069"/>
    <n v="2025"/>
    <n v="2024"/>
    <s v="Year_2"/>
    <d v="2024-12-04T00:00:00"/>
    <s v="KUD15"/>
    <s v="O2R1"/>
    <s v="KSIPL"/>
    <n v="4.3478260869565223E-2"/>
    <n v="315"/>
    <x v="120"/>
    <s v="ExEx low voltage L_: ___V"/>
    <s v="Breakdown"/>
    <d v="1899-12-30T12:10:00"/>
    <d v="1899-12-30T12:10:00"/>
    <d v="1899-12-30T14:20:00"/>
    <d v="1899-12-30T00:00:00"/>
    <n v="2.166666666666667"/>
    <n v="2.166666666666667"/>
    <s v="Manual charged the HVCB."/>
    <s v="Close"/>
    <n v="9.4202898550724667E-2"/>
    <n v="1"/>
    <n v="0"/>
    <m/>
  </r>
  <r>
    <n v="3070"/>
    <n v="2025"/>
    <n v="2024"/>
    <s v="Year_2"/>
    <d v="2024-12-04T00:00:00"/>
    <s v="KUD19"/>
    <s v="O2R1"/>
    <s v="KSIPL"/>
    <n v="4.3478260869565223E-2"/>
    <n v="2676"/>
    <x v="124"/>
    <s v="UPS Error"/>
    <s v="Breakdown"/>
    <d v="1899-12-30T12:10:00"/>
    <d v="1899-12-30T12:10:00"/>
    <d v="1899-12-30T13:37:00"/>
    <d v="1899-12-30T00:00:00"/>
    <n v="1.4500000000000002"/>
    <n v="1.4500000000000002"/>
    <s v="UPS reboot done."/>
    <s v="Close"/>
    <n v="6.3043478260869576E-2"/>
    <n v="1"/>
    <n v="1.4019999999999999"/>
    <m/>
  </r>
  <r>
    <n v="3071"/>
    <n v="2025"/>
    <n v="2024"/>
    <s v="Year_2"/>
    <d v="2024-12-04T00:00:00"/>
    <s v="KUD04"/>
    <s v="O2R3"/>
    <s v="JK"/>
    <n v="4.3478260869565223E-2"/>
    <n v="2676"/>
    <x v="124"/>
    <s v="UPS Error"/>
    <s v="Breakdown"/>
    <d v="1899-12-30T12:25:00"/>
    <d v="1899-12-30T12:25:00"/>
    <d v="1899-12-30T13:00:00"/>
    <d v="1899-12-30T00:00:00"/>
    <n v="0.58333333333333126"/>
    <n v="0.58333333333333126"/>
    <s v="UPS Manually reset done."/>
    <s v="Close"/>
    <n v="2.5362318840579625E-2"/>
    <n v="1"/>
    <n v="0.625"/>
    <m/>
  </r>
  <r>
    <n v="3072"/>
    <n v="2025"/>
    <n v="2024"/>
    <s v="Year_2"/>
    <d v="2024-12-04T00:00:00"/>
    <s v="KUD04"/>
    <s v="O2R3"/>
    <s v="JK"/>
    <n v="4.3478260869565223E-2"/>
    <n v="2009"/>
    <x v="195"/>
    <s v="Safety System Fault"/>
    <s v="Breakdown"/>
    <d v="1899-12-30T13:00:00"/>
    <d v="1899-12-30T13:00:00"/>
    <d v="1899-12-30T14:46:00"/>
    <d v="1899-12-30T00:00:00"/>
    <n v="1.7666666666666684"/>
    <n v="1.7666666666666684"/>
    <s v="Attend and hub pliz module reset and restored."/>
    <s v="Close"/>
    <n v="7.6811594202898639E-2"/>
    <n v="1"/>
    <n v="1.752"/>
    <m/>
  </r>
  <r>
    <n v="3073"/>
    <n v="2025"/>
    <n v="2024"/>
    <s v="Year_2"/>
    <d v="2024-12-04T00:00:00"/>
    <s v="KUD05"/>
    <s v="O2R3"/>
    <s v="JK"/>
    <n v="4.3478260869565223E-2"/>
    <n v="2676"/>
    <x v="124"/>
    <s v="UPS Error"/>
    <s v="ROW"/>
    <d v="1899-12-30T12:10:00"/>
    <d v="1899-12-30T12:10:00"/>
    <d v="1899-12-30T19:52:00"/>
    <d v="1899-12-30T00:00:00"/>
    <n v="7.6999999999999993"/>
    <n v="7.6999999999999993"/>
    <s v="UPS manually reset done late due to ROW issue."/>
    <s v="Close"/>
    <n v="0"/>
    <n v="1"/>
    <n v="7.2759999999999998"/>
    <m/>
  </r>
  <r>
    <n v="3074"/>
    <n v="2025"/>
    <n v="2024"/>
    <s v="Year_2"/>
    <d v="2024-12-04T00:00:00"/>
    <s v="KUD23"/>
    <s v="O2R3"/>
    <s v="JK"/>
    <n v="4.3478260869565223E-2"/>
    <n v="315"/>
    <x v="120"/>
    <s v="ExEx low voltage L_: ___V"/>
    <s v="Breakdown"/>
    <d v="1899-12-30T12:10:00"/>
    <d v="1899-12-30T12:10:00"/>
    <d v="1899-12-30T13:51:00"/>
    <d v="1899-12-30T00:00:00"/>
    <n v="1.6833333333333327"/>
    <n v="1.6833333333333327"/>
    <s v="Manual charge HVCB."/>
    <s v="Close"/>
    <n v="7.3188405797101425E-2"/>
    <n v="1"/>
    <n v="1.849"/>
    <m/>
  </r>
  <r>
    <n v="3075"/>
    <n v="2025"/>
    <n v="2024"/>
    <s v="Year_2"/>
    <d v="2024-12-05T00:00:00"/>
    <s v="KUD21"/>
    <s v="O2R3"/>
    <s v="JK"/>
    <n v="4.3478260869565223E-2"/>
    <n v="309"/>
    <x v="149"/>
    <s v="Pause over RCS __0"/>
    <s v="ROW"/>
    <d v="1899-12-30T15:56:00"/>
    <d v="1899-12-30T15:56:00"/>
    <d v="1899-12-30T23:59:00"/>
    <d v="1899-12-30T00:00:00"/>
    <n v="8.0500000000000007"/>
    <n v="8.0500000000000007"/>
    <s v="Remote stop for 1.5 years service work stop due ROW clearleance pending from costumer end."/>
    <s v="Open"/>
    <n v="0"/>
    <n v="1"/>
    <n v="3.927"/>
    <m/>
  </r>
  <r>
    <n v="3076"/>
    <n v="2025"/>
    <n v="2024"/>
    <s v="Year_2"/>
    <d v="2024-12-06T00:00:00"/>
    <s v="KUD21"/>
    <s v="O2R3"/>
    <s v="JK"/>
    <n v="4.3478260869565223E-2"/>
    <n v="309"/>
    <x v="149"/>
    <s v="Pause over RCS __0"/>
    <s v="ROW"/>
    <d v="1899-12-30T00:00:00"/>
    <d v="1899-12-30T00:00:00"/>
    <d v="1899-12-30T23:59:00"/>
    <d v="1899-12-30T00:00:00"/>
    <n v="23.983333333333334"/>
    <n v="23.983333333333334"/>
    <s v="Remote stop for 1.5 years service work stop due ROW clearleance pending from costumer end."/>
    <s v="Open"/>
    <n v="0"/>
    <n v="1"/>
    <n v="9.5150000000000006"/>
    <m/>
  </r>
  <r>
    <n v="3077"/>
    <n v="2025"/>
    <n v="2024"/>
    <s v="Year_2"/>
    <d v="2024-12-06T00:00:00"/>
    <s v="KUD17"/>
    <s v="O2R2"/>
    <s v="SIL"/>
    <n v="4.3478260869565223E-2"/>
    <n v="309"/>
    <x v="149"/>
    <s v="Pause over RCS __0"/>
    <s v="Manual Stop"/>
    <d v="1899-12-30T11:48:00"/>
    <d v="1899-12-30T11:48:00"/>
    <d v="1899-12-30T17:34:00"/>
    <d v="1899-12-30T00:00:00"/>
    <n v="5.7666666666666657"/>
    <n v="5.7666666666666657"/>
    <s v="Manual stop for CMS alert inspection work."/>
    <s v="Close"/>
    <n v="0.25072463768115943"/>
    <n v="1"/>
    <n v="0.441"/>
    <m/>
  </r>
  <r>
    <n v="3078"/>
    <n v="2025"/>
    <n v="2024"/>
    <s v="Year_2"/>
    <d v="2024-12-07T00:00:00"/>
    <s v="KUD21"/>
    <s v="O2R3"/>
    <s v="JK"/>
    <n v="4.3478260869565223E-2"/>
    <n v="309"/>
    <x v="149"/>
    <s v="Pause over RCS __0"/>
    <s v="ROW"/>
    <d v="1899-12-30T00:00:00"/>
    <d v="1899-12-30T00:00:00"/>
    <d v="1899-12-30T23:59:00"/>
    <d v="1899-12-30T00:00:00"/>
    <n v="23.983333333333334"/>
    <n v="23.983333333333334"/>
    <s v="Remote stop for 1.5 years service work stop due ROW clearleance pending from costumer end."/>
    <s v="Open"/>
    <n v="0"/>
    <n v="1"/>
    <n v="6.18"/>
    <m/>
  </r>
  <r>
    <n v="3079"/>
    <n v="2025"/>
    <n v="2024"/>
    <s v="Year_2"/>
    <d v="2024-12-07T00:00:00"/>
    <s v="KUD01"/>
    <s v="O2R1"/>
    <s v="KSIPL"/>
    <n v="4.3478260869565223E-2"/>
    <n v="3209"/>
    <x v="101"/>
    <s v="YawSignals Invalid"/>
    <s v="Breakdown"/>
    <d v="1899-12-30T11:09:00"/>
    <d v="1899-12-30T11:09:00"/>
    <d v="1899-12-30T11:17:00"/>
    <d v="1899-12-30T00:00:00"/>
    <n v="0.13333333333333286"/>
    <n v="0.13333333333333286"/>
    <s v="Auto reset."/>
    <s v="Close"/>
    <n v="5.7971014492753424E-3"/>
    <n v="1"/>
    <n v="6.0000000000000001E-3"/>
    <m/>
  </r>
  <r>
    <n v="3080"/>
    <n v="2025"/>
    <n v="2024"/>
    <s v="Year_2"/>
    <d v="2024-12-07T00:00:00"/>
    <s v="KUD19"/>
    <s v="O2R1"/>
    <s v="KSIPL"/>
    <n v="4.3478260869565223E-2"/>
    <n v="450"/>
    <x v="127"/>
    <s v="Ext. High I sum Grd inv."/>
    <s v="Breakdown"/>
    <d v="1899-12-30T05:38:00"/>
    <d v="1899-12-30T05:38:00"/>
    <d v="1899-12-30T05:51:00"/>
    <d v="1899-12-30T00:00:00"/>
    <n v="0.21666666666666656"/>
    <n v="0.21666666666666656"/>
    <s v="Auto reset."/>
    <s v="Close"/>
    <n v="9.4202898550724608E-3"/>
    <n v="1"/>
    <n v="3.0000000000000001E-3"/>
    <m/>
  </r>
  <r>
    <n v="3081"/>
    <n v="2025"/>
    <n v="2024"/>
    <s v="Year_2"/>
    <d v="2024-12-07T00:00:00"/>
    <s v="KUD22"/>
    <s v="O2R3"/>
    <s v="JK"/>
    <n v="4.3478260869565223E-2"/>
    <n v="5068"/>
    <x v="119"/>
    <s v="Pitch pos B meas. signal fault"/>
    <s v="Breakdown"/>
    <d v="1899-12-30T05:32:00"/>
    <d v="1899-12-30T05:32:00"/>
    <d v="1899-12-30T05:45:00"/>
    <d v="1899-12-30T00:00:00"/>
    <n v="0.21666666666666656"/>
    <n v="0.21666666666666656"/>
    <s v="Auto reset."/>
    <s v="Close"/>
    <n v="9.4202898550724608E-3"/>
    <n v="1"/>
    <n v="4.9000000000000002E-2"/>
    <m/>
  </r>
  <r>
    <n v="3082"/>
    <n v="2025"/>
    <n v="2024"/>
    <s v="Year_2"/>
    <d v="2024-12-08T00:00:00"/>
    <s v="KUD11"/>
    <s v="O2R1"/>
    <s v="KSIPL"/>
    <n v="4.3478260869565223E-2"/>
    <n v="3273"/>
    <x v="35"/>
    <s v="YawUntwistCCW: Code__,_______°"/>
    <m/>
    <d v="1899-12-30T23:11:00"/>
    <d v="1899-12-30T23:11:00"/>
    <d v="1899-12-30T23:32:00"/>
    <d v="1899-12-30T00:00:00"/>
    <n v="0.34999999999999876"/>
    <n v="0.34999999999999876"/>
    <s v="YawUntwistCCW: Code 6,    540Â°"/>
    <s v="Close"/>
    <n v="1.5217391304347775E-2"/>
    <n v="1"/>
    <n v="-4.0000000000000001E-3"/>
    <m/>
  </r>
  <r>
    <n v="3083"/>
    <n v="2025"/>
    <n v="2024"/>
    <s v="Year_2"/>
    <d v="2024-12-08T00:00:00"/>
    <s v="KUD19"/>
    <s v="O2R1"/>
    <s v="KSIPL"/>
    <n v="4.3478260869565223E-2"/>
    <n v="3273"/>
    <x v="35"/>
    <s v="YawUntwistCCW: Code__,_______°"/>
    <m/>
    <d v="1899-12-30T15:20:00"/>
    <d v="1899-12-30T15:20:00"/>
    <d v="1899-12-30T15:41:00"/>
    <d v="1899-12-30T00:00:00"/>
    <n v="0.35000000000000142"/>
    <n v="0.35000000000000142"/>
    <s v="YawUntwistCCW: Code 6,    540Â°"/>
    <s v="Close"/>
    <n v="1.5217391304347889E-2"/>
    <n v="1"/>
    <n v="8.9999999999999993E-3"/>
    <m/>
  </r>
  <r>
    <n v="3084"/>
    <n v="2025"/>
    <n v="2024"/>
    <s v="Year_2"/>
    <d v="2024-12-08T00:00:00"/>
    <s v="KUD04"/>
    <s v="O2R3"/>
    <s v="JK"/>
    <n v="4.3478260869565223E-2"/>
    <n v="3273"/>
    <x v="35"/>
    <s v="YawUntwistCCW: Code__,_______°"/>
    <m/>
    <d v="1899-12-30T15:20:00"/>
    <d v="1899-12-30T15:20:00"/>
    <d v="1899-12-30T15:40:00"/>
    <d v="1899-12-30T00:00:00"/>
    <n v="0.33333333333333481"/>
    <n v="0.33333333333333481"/>
    <s v="YawUntwistCCW: Code 5,    540Â°"/>
    <s v="Close"/>
    <n v="1.4492753623188472E-2"/>
    <n v="1"/>
    <n v="1E-3"/>
    <m/>
  </r>
  <r>
    <n v="3085"/>
    <n v="2025"/>
    <n v="2024"/>
    <s v="Year_2"/>
    <d v="2024-12-08T00:00:00"/>
    <s v="KUD09"/>
    <s v="O2R3"/>
    <s v="JK"/>
    <n v="4.3478260869565223E-2"/>
    <n v="3273"/>
    <x v="35"/>
    <s v="YawUntwistCCW: Code__,_______°"/>
    <m/>
    <d v="1899-12-30T15:06:00"/>
    <d v="1899-12-30T15:06:00"/>
    <d v="1899-12-30T15:26:00"/>
    <d v="1899-12-30T00:00:00"/>
    <n v="0.33333333333333481"/>
    <n v="0.33333333333333481"/>
    <s v="YawUntwistCCW: Code 5,    540Â°"/>
    <s v="Close"/>
    <n v="1.4492753623188472E-2"/>
    <n v="1"/>
    <n v="1E-3"/>
    <m/>
  </r>
  <r>
    <n v="3086"/>
    <n v="2025"/>
    <n v="2024"/>
    <s v="Year_2"/>
    <d v="2024-12-08T00:00:00"/>
    <s v="KUD09"/>
    <s v="O2R3"/>
    <s v="JK"/>
    <n v="4.3478260869565223E-2"/>
    <n v="5195"/>
    <x v="49"/>
    <s v="Prop Valve A Status Fault"/>
    <s v="Breakdown"/>
    <d v="1899-12-30T23:04:00"/>
    <d v="1899-12-30T23:04:00"/>
    <d v="1899-12-30T23:38:00"/>
    <d v="1899-12-30T00:00:00"/>
    <n v="0.56666666666666732"/>
    <n v="0.56666666666666732"/>
    <s v="Prop Valve A Status Fault"/>
    <s v="Close"/>
    <n v="2.4637681159420322E-2"/>
    <n v="1"/>
    <n v="0.06"/>
    <m/>
  </r>
  <r>
    <n v="3087"/>
    <n v="2025"/>
    <n v="2024"/>
    <s v="Year_2"/>
    <d v="2024-12-08T00:00:00"/>
    <s v="KUD21"/>
    <s v="O2R3"/>
    <s v="JK"/>
    <n v="4.3478260869565223E-2"/>
    <n v="309"/>
    <x v="149"/>
    <s v="Pause over RCS __0"/>
    <s v="ROW"/>
    <d v="1899-12-30T00:00:00"/>
    <d v="1899-12-30T00:00:00"/>
    <d v="1899-12-30T16:10:00"/>
    <d v="1899-12-30T00:00:00"/>
    <n v="16.166666666666668"/>
    <n v="16.166666666666668"/>
    <s v="Pause over RCS 13 (Remote pause by Owner)"/>
    <s v="Close"/>
    <n v="0"/>
    <n v="1"/>
    <n v="2.2229999999999999"/>
    <m/>
  </r>
  <r>
    <n v="3088"/>
    <n v="2025"/>
    <n v="2024"/>
    <s v="Year_2"/>
    <d v="2024-12-08T00:00:00"/>
    <s v="KUD21"/>
    <s v="O2R3"/>
    <s v="JK"/>
    <n v="4.3478260869565223E-2"/>
    <n v="309"/>
    <x v="149"/>
    <s v="Pause over RCS __0"/>
    <s v="Manual Stop"/>
    <d v="1899-12-30T16:04:00"/>
    <d v="1899-12-30T16:04:00"/>
    <d v="1899-12-30T19:52:00"/>
    <d v="1899-12-30T00:00:00"/>
    <n v="3.8"/>
    <n v="3.8"/>
    <s v="Pause over RCS 13 (Remote pause by Owner)"/>
    <s v="Close"/>
    <n v="0.16521739130434784"/>
    <n v="1"/>
    <n v="-3.0000000000000001E-3"/>
    <m/>
  </r>
  <r>
    <n v="3089"/>
    <n v="2025"/>
    <n v="2024"/>
    <s v="Year_2"/>
    <d v="2024-12-08T00:00:00"/>
    <s v="KUD21"/>
    <s v="O2R3"/>
    <s v="JK"/>
    <n v="4.3478260869565223E-2"/>
    <n v="3273"/>
    <x v="35"/>
    <s v="YawUntwistCCW: Code__,_______°"/>
    <m/>
    <d v="1899-12-30T23:28:00"/>
    <d v="1899-12-30T23:28:00"/>
    <d v="1899-12-30T23:54:00"/>
    <d v="1899-12-30T00:00:00"/>
    <n v="0.43333333333333446"/>
    <n v="0.43333333333333446"/>
    <s v="YawUntwistCCW: Code 3,      0Â°"/>
    <s v="Close"/>
    <n v="1.8840579710144977E-2"/>
    <n v="1"/>
    <n v="5.8999999999999997E-2"/>
    <m/>
  </r>
  <r>
    <n v="3090"/>
    <n v="2025"/>
    <n v="2024"/>
    <s v="Year_2"/>
    <d v="2024-12-08T00:00:00"/>
    <s v="KUD22"/>
    <s v="O2R3"/>
    <s v="JK"/>
    <n v="4.3478260869565223E-2"/>
    <n v="3273"/>
    <x v="35"/>
    <s v="YawUntwistCCW: Code__,_______°"/>
    <m/>
    <d v="1899-12-30T12:12:00"/>
    <d v="1899-12-30T12:12:00"/>
    <d v="1899-12-30T12:32:00"/>
    <d v="1899-12-30T00:00:00"/>
    <n v="0.33333333333333481"/>
    <n v="0.33333333333333481"/>
    <s v="YawUntwistCCW: Code 6,    543Â°"/>
    <s v="Close"/>
    <n v="1.4492753623188472E-2"/>
    <n v="1"/>
    <n v="1E-3"/>
    <m/>
  </r>
  <r>
    <n v="3091"/>
    <n v="2025"/>
    <n v="2024"/>
    <s v="Year_2"/>
    <d v="2024-12-09T00:00:00"/>
    <s v="KUD04"/>
    <s v="O2R3"/>
    <s v="JK"/>
    <n v="4.3478260869565223E-2"/>
    <n v="3273"/>
    <x v="35"/>
    <s v="YawUntwistCCW: Code__,_______°"/>
    <m/>
    <d v="1899-12-30T05:40:00"/>
    <d v="1899-12-30T05:40:00"/>
    <d v="1899-12-30T06:03:00"/>
    <d v="1899-12-30T00:00:00"/>
    <n v="0.3833333333333333"/>
    <n v="0.3833333333333333"/>
    <s v="Auto cable twist."/>
    <s v="Close"/>
    <n v="1.6666666666666666E-2"/>
    <n v="1"/>
    <n v="0.01"/>
    <m/>
  </r>
  <r>
    <n v="3092"/>
    <n v="2025"/>
    <n v="2024"/>
    <s v="Year_2"/>
    <d v="2024-12-09T00:00:00"/>
    <s v="KUD07"/>
    <s v="O2R3"/>
    <s v="JK"/>
    <n v="4.3478260869565223E-2"/>
    <n v="3273"/>
    <x v="35"/>
    <s v="YawUntwistCCW: Code__,_______°"/>
    <m/>
    <d v="1899-12-30T18:45:00"/>
    <d v="1899-12-30T18:45:00"/>
    <d v="1899-12-30T19:15:00"/>
    <d v="1899-12-30T00:00:00"/>
    <n v="0.50000000000000089"/>
    <n v="0.50000000000000089"/>
    <s v="Auto cable twist."/>
    <s v="Close"/>
    <n v="2.173913043478265E-2"/>
    <n v="1"/>
    <n v="0.01"/>
    <m/>
  </r>
  <r>
    <n v="3093"/>
    <n v="2025"/>
    <n v="2024"/>
    <s v="Year_2"/>
    <d v="2024-12-09T00:00:00"/>
    <s v="KUD10"/>
    <s v="O2R1"/>
    <s v="KSIPL"/>
    <n v="4.3478260869565223E-2"/>
    <n v="5069"/>
    <x v="111"/>
    <s v="Pitch pos C meas. signal fault"/>
    <s v="Breakdown"/>
    <d v="1899-12-30T18:13:00"/>
    <d v="1899-12-30T18:13:00"/>
    <d v="1899-12-30T18:25:00"/>
    <d v="1899-12-30T00:00:00"/>
    <n v="0.20000000000000195"/>
    <n v="0.20000000000000195"/>
    <s v="Auto reset"/>
    <s v="Close"/>
    <n v="8.6956521739131303E-3"/>
    <n v="1"/>
    <n v="0"/>
    <m/>
  </r>
  <r>
    <n v="3094"/>
    <n v="2025"/>
    <n v="2024"/>
    <s v="Year_2"/>
    <d v="2024-12-09T00:00:00"/>
    <s v="KUD12"/>
    <s v="O2R1"/>
    <s v="KSIPL"/>
    <n v="4.3478260869565223E-2"/>
    <n v="3273"/>
    <x v="35"/>
    <s v="YawUntwistCCW: Code__,_______°"/>
    <m/>
    <d v="1899-12-30T18:21:00"/>
    <d v="1899-12-30T18:21:00"/>
    <d v="1899-12-30T18:47:00"/>
    <d v="1899-12-30T00:00:00"/>
    <n v="0.43333333333333446"/>
    <n v="0.43333333333333446"/>
    <s v="Auto cable twist."/>
    <s v="Close"/>
    <n v="1.8840579710144977E-2"/>
    <n v="1"/>
    <n v="0.02"/>
    <m/>
  </r>
  <r>
    <n v="3095"/>
    <n v="2025"/>
    <n v="2024"/>
    <s v="Year_2"/>
    <d v="2024-12-09T00:00:00"/>
    <s v="KUD18"/>
    <s v="O2R4"/>
    <s v="SGDCIPL"/>
    <n v="4.3478260869565223E-2"/>
    <n v="158"/>
    <x v="132"/>
    <s v="Rotor:__._RPM, Gen.:____._ RPM"/>
    <s v="Breakdown"/>
    <d v="1899-12-30T17:42:00"/>
    <d v="1899-12-30T17:42:00"/>
    <d v="1899-12-30T17:50:00"/>
    <d v="1899-12-30T00:00:00"/>
    <n v="0.13333333333333286"/>
    <n v="0.13333333333333286"/>
    <s v="Auto reset"/>
    <s v="Close"/>
    <n v="5.7971014492753424E-3"/>
    <n v="1"/>
    <n v="0"/>
    <m/>
  </r>
  <r>
    <n v="3096"/>
    <n v="2025"/>
    <n v="2024"/>
    <s v="Year_2"/>
    <d v="2024-12-09T00:00:00"/>
    <s v="KUD19"/>
    <s v="O2R1"/>
    <s v="KSIPL"/>
    <n v="4.3478260869565223E-2"/>
    <n v="3273"/>
    <x v="35"/>
    <s v="YawUntwistCCW: Code__,_______°"/>
    <m/>
    <d v="1899-12-30T18:02:00"/>
    <d v="1899-12-30T18:02:00"/>
    <d v="1899-12-30T18:28:00"/>
    <d v="1899-12-30T00:00:00"/>
    <n v="0.43333333333333446"/>
    <n v="0.43333333333333446"/>
    <s v="Auto cable twist."/>
    <s v="Close"/>
    <n v="1.8840579710144977E-2"/>
    <n v="1"/>
    <n v="0.03"/>
    <m/>
  </r>
  <r>
    <n v="3097"/>
    <n v="2025"/>
    <n v="2024"/>
    <s v="Year_2"/>
    <d v="2024-12-09T00:00:00"/>
    <s v="KUD20"/>
    <s v="O2R1"/>
    <s v="KSIPL"/>
    <n v="4.3478260869565223E-2"/>
    <n v="3273"/>
    <x v="35"/>
    <s v="YawUntwistCCW: Code__,_______°"/>
    <m/>
    <d v="1899-12-30T04:04:00"/>
    <d v="1899-12-30T04:04:00"/>
    <d v="1899-12-30T04:26:00"/>
    <d v="1899-12-30T00:00:00"/>
    <n v="0.3666666666666667"/>
    <n v="0.3666666666666667"/>
    <s v="Auto cable twist."/>
    <s v="Close"/>
    <n v="1.5942028985507249E-2"/>
    <n v="1"/>
    <n v="0.02"/>
    <m/>
  </r>
  <r>
    <n v="3098"/>
    <n v="2025"/>
    <n v="2024"/>
    <s v="Year_2"/>
    <d v="2024-12-09T00:00:00"/>
    <s v="KUD21"/>
    <s v="O2R3"/>
    <s v="JK"/>
    <n v="4.3478260869565223E-2"/>
    <n v="900"/>
    <x v="100"/>
    <s v="Pause pressed on keyboard"/>
    <s v="Manual Stop"/>
    <d v="1899-12-30T10:03:00"/>
    <d v="1899-12-30T10:03:00"/>
    <d v="1899-12-30T15:40:00"/>
    <d v="1899-12-30T00:00:00"/>
    <n v="5.6166666666666671"/>
    <n v="5.6166666666666671"/>
    <s v="WTG Manually shutdown taken for 6 month service,Blade inspection work."/>
    <s v="Close"/>
    <n v="0.24420289855072469"/>
    <n v="1"/>
    <n v="0.05"/>
    <m/>
  </r>
  <r>
    <n v="3099"/>
    <n v="2025"/>
    <n v="2024"/>
    <s v="Year_2"/>
    <d v="2024-12-09T00:00:00"/>
    <s v="KUD22"/>
    <s v="O2R3"/>
    <s v="JK"/>
    <n v="4.3478260869565223E-2"/>
    <n v="3273"/>
    <x v="35"/>
    <s v="YawUntwistCCW: Code__,_______°"/>
    <m/>
    <d v="1899-12-30T12:34:00"/>
    <d v="1899-12-30T12:34:00"/>
    <d v="1899-12-30T12:56:00"/>
    <d v="1899-12-30T00:00:00"/>
    <n v="0.36666666666666536"/>
    <n v="0.36666666666666536"/>
    <s v="Auto cable twist."/>
    <s v="Close"/>
    <n v="1.594202898550719E-2"/>
    <n v="1"/>
    <n v="0.01"/>
    <m/>
  </r>
  <r>
    <n v="3100"/>
    <n v="2025"/>
    <n v="2024"/>
    <s v="Year_2"/>
    <d v="2024-12-09T00:00:00"/>
    <s v="KUD22"/>
    <s v="O2R3"/>
    <s v="JK"/>
    <n v="4.3478260869565223E-2"/>
    <n v="3273"/>
    <x v="35"/>
    <s v="YawUntwistCCW: Code__,_______°"/>
    <m/>
    <d v="1899-12-30T19:15:00"/>
    <d v="1899-12-30T19:15:00"/>
    <d v="1899-12-30T19:38:00"/>
    <d v="1899-12-30T00:00:00"/>
    <n v="0.38333333333333197"/>
    <n v="0.38333333333333197"/>
    <s v="Auto cable twist."/>
    <s v="Close"/>
    <n v="1.6666666666666611E-2"/>
    <n v="1"/>
    <n v="0.06"/>
    <m/>
  </r>
  <r>
    <n v="3101"/>
    <n v="2025"/>
    <n v="2024"/>
    <s v="Year_2"/>
    <d v="2024-12-09T00:00:00"/>
    <s v="KUD23"/>
    <s v="O2R3"/>
    <s v="JK"/>
    <n v="4.3478260869565223E-2"/>
    <n v="3273"/>
    <x v="35"/>
    <s v="YawUntwistCCW: Code__,_______°"/>
    <m/>
    <d v="1899-12-30T12:37:00"/>
    <d v="1899-12-30T12:37:00"/>
    <d v="1899-12-30T12:57:00"/>
    <d v="1899-12-30T00:00:00"/>
    <n v="0.33333333333333215"/>
    <n v="0.33333333333333215"/>
    <s v="Auto cable twist."/>
    <s v="Close"/>
    <n v="1.4492753623188356E-2"/>
    <n v="1"/>
    <n v="0.01"/>
    <m/>
  </r>
  <r>
    <n v="3102"/>
    <n v="2025"/>
    <n v="2024"/>
    <s v="Year_2"/>
    <d v="2024-12-09T00:00:00"/>
    <s v="KUD23"/>
    <s v="O2R3"/>
    <s v="JK"/>
    <n v="4.3478260869565223E-2"/>
    <n v="3273"/>
    <x v="35"/>
    <s v="YawUntwistCCW: Code__,_______°"/>
    <m/>
    <d v="1899-12-30T19:39:00"/>
    <d v="1899-12-30T19:39:00"/>
    <d v="1899-12-30T20:03:00"/>
    <d v="1899-12-30T00:00:00"/>
    <n v="0.40000000000000124"/>
    <n v="0.40000000000000124"/>
    <s v="Auto cable twist."/>
    <s v="Close"/>
    <n v="1.7391304347826143E-2"/>
    <n v="1"/>
    <n v="0.18"/>
    <m/>
  </r>
  <r>
    <n v="3103"/>
    <n v="2025"/>
    <n v="2024"/>
    <s v="Year_2"/>
    <d v="2024-12-10T00:00:00"/>
    <s v="KUD01"/>
    <s v="O2R1"/>
    <s v="KSIPL"/>
    <n v="4.3478260869565223E-2"/>
    <n v="450"/>
    <x v="127"/>
    <s v="Ext. High I sum Grd inv."/>
    <s v="Breakdown"/>
    <d v="1899-12-30T10:58:00"/>
    <d v="1899-12-30T10:58:00"/>
    <d v="1899-12-30T11:06:00"/>
    <d v="1899-12-30T00:00:00"/>
    <n v="0.13333333333333419"/>
    <n v="0.13333333333333419"/>
    <s v="Auto reset"/>
    <s v="Close"/>
    <n v="5.7971014492754006E-3"/>
    <n v="1"/>
    <n v="0.74"/>
    <m/>
  </r>
  <r>
    <n v="3104"/>
    <n v="2025"/>
    <n v="2024"/>
    <s v="Year_2"/>
    <d v="2024-12-10T00:00:00"/>
    <s v="KUD15"/>
    <s v="O2R1"/>
    <s v="KSIPL"/>
    <n v="4.3478260869565223E-2"/>
    <n v="3273"/>
    <x v="35"/>
    <s v="YawUntwistCCW: Code__,_______°"/>
    <m/>
    <d v="1899-12-30T12:29:00"/>
    <d v="1899-12-30T12:29:00"/>
    <d v="1899-12-30T12:32:00"/>
    <d v="1899-12-30T00:00:00"/>
    <n v="4.9999999999999822E-2"/>
    <n v="4.9999999999999822E-2"/>
    <s v="Auto cable twist."/>
    <s v="Close"/>
    <n v="2.1739130434782535E-3"/>
    <n v="1"/>
    <n v="0.10199999999999999"/>
    <m/>
  </r>
  <r>
    <n v="3105"/>
    <n v="2025"/>
    <n v="2024"/>
    <s v="Year_2"/>
    <d v="2024-12-10T00:00:00"/>
    <s v="KUD15"/>
    <s v="O2R1"/>
    <s v="KSIPL"/>
    <n v="4.3478260869565223E-2"/>
    <n v="3273"/>
    <x v="35"/>
    <s v="YawUntwistCCW: Code__,_______°"/>
    <m/>
    <d v="1899-12-30T13:54:00"/>
    <d v="1899-12-30T13:54:00"/>
    <d v="1899-12-30T14:36:00"/>
    <d v="1899-12-30T00:00:00"/>
    <n v="0.69999999999999751"/>
    <n v="0.69999999999999751"/>
    <s v="Auto cable twist."/>
    <s v="Close"/>
    <n v="3.0434782608695549E-2"/>
    <n v="1"/>
    <n v="0.30399999999999999"/>
    <m/>
  </r>
  <r>
    <n v="3106"/>
    <n v="2025"/>
    <n v="2024"/>
    <s v="Year_2"/>
    <d v="2024-12-10T00:00:00"/>
    <s v="KUD15"/>
    <s v="O2R1"/>
    <s v="KSIPL"/>
    <n v="4.3478260869565223E-2"/>
    <n v="3273"/>
    <x v="35"/>
    <s v="YawUntwistCCW: Code__,_______°"/>
    <m/>
    <d v="1899-12-30T15:35:00"/>
    <d v="1899-12-30T15:35:00"/>
    <d v="1899-12-30T16:16:00"/>
    <d v="1899-12-30T00:00:00"/>
    <n v="0.68333333333333357"/>
    <n v="0.68333333333333357"/>
    <s v="Auto cable twist."/>
    <s v="Close"/>
    <n v="2.9710144927536247E-2"/>
    <n v="1"/>
    <n v="0.23100000000000001"/>
    <m/>
  </r>
  <r>
    <n v="3107"/>
    <n v="2025"/>
    <n v="2024"/>
    <s v="Year_2"/>
    <d v="2024-12-10T00:00:00"/>
    <s v="KUD15"/>
    <s v="O2R1"/>
    <s v="KSIPL"/>
    <n v="4.3478260869565223E-2"/>
    <n v="176"/>
    <x v="140"/>
    <s v="Error on all wind sensors"/>
    <s v="Breakdown"/>
    <d v="1899-12-30T16:56:00"/>
    <d v="1899-12-30T16:56:00"/>
    <d v="1899-12-30T17:32:00"/>
    <d v="1899-12-30T00:00:00"/>
    <n v="0.59999999999999787"/>
    <n v="0.59999999999999787"/>
    <s v="Remote reboot done."/>
    <s v="Close"/>
    <n v="2.6086956521739042E-2"/>
    <n v="1"/>
    <n v="0.29599999999999999"/>
    <m/>
  </r>
  <r>
    <n v="3108"/>
    <n v="2025"/>
    <n v="2024"/>
    <s v="Year_2"/>
    <d v="2024-12-10T00:00:00"/>
    <s v="KUD22"/>
    <s v="O2R3"/>
    <s v="JK"/>
    <n v="4.3478260869565223E-2"/>
    <n v="900"/>
    <x v="100"/>
    <s v="Pause pressed on keyboard"/>
    <s v="Breakdown"/>
    <d v="1899-12-30T12:40:00"/>
    <d v="1899-12-30T12:40:00"/>
    <d v="1899-12-30T12:52:00"/>
    <d v="1899-12-30T00:00:00"/>
    <n v="0.19999999999999929"/>
    <n v="0.19999999999999929"/>
    <s v="Remote reboot done."/>
    <s v="Close"/>
    <n v="8.6956521739130141E-3"/>
    <n v="1"/>
    <n v="8.1000000000000003E-2"/>
    <m/>
  </r>
  <r>
    <n v="3109"/>
    <n v="2025"/>
    <n v="2024"/>
    <s v="Year_2"/>
    <d v="2024-12-10T00:00:00"/>
    <s v="KUD06"/>
    <s v="O2R3"/>
    <s v="JK"/>
    <n v="4.3478260869565223E-2"/>
    <n v="315"/>
    <x v="120"/>
    <s v="ROW(Isolator opened by local person)"/>
    <s v="Breakdown"/>
    <d v="1899-12-30T13:20:00"/>
    <d v="1899-12-30T13:20:00"/>
    <d v="1899-12-30T23:59:00"/>
    <d v="1899-12-30T00:00:00"/>
    <n v="10.649999999999999"/>
    <n v="10.649999999999999"/>
    <s v="Due to row wtg stopped"/>
    <s v="Open"/>
    <n v="0.46304347826086956"/>
    <n v="1"/>
    <n v="4.5"/>
    <m/>
  </r>
  <r>
    <n v="3110"/>
    <n v="2025"/>
    <n v="2024"/>
    <s v="Year_2"/>
    <d v="2024-12-10T00:00:00"/>
    <s v="KUD07"/>
    <s v="O2R3"/>
    <s v="JK"/>
    <n v="4.3478260869565223E-2"/>
    <n v="315"/>
    <x v="120"/>
    <s v="ROW(Isolator opened by local person)"/>
    <s v="Breakdown"/>
    <d v="1899-12-30T13:20:00"/>
    <d v="1899-12-30T13:20:00"/>
    <d v="1899-12-30T23:59:00"/>
    <d v="1899-12-30T00:00:00"/>
    <n v="10.649999999999999"/>
    <n v="10.649999999999999"/>
    <s v="Due to row wtg stopped"/>
    <s v="Open"/>
    <n v="0.46304347826086956"/>
    <n v="1"/>
    <n v="4.5999999999999996"/>
    <m/>
  </r>
  <r>
    <n v="3111"/>
    <n v="2025"/>
    <n v="2024"/>
    <s v="Year_2"/>
    <d v="2024-12-10T00:00:00"/>
    <s v="KUD08"/>
    <s v="O2R3"/>
    <s v="JK"/>
    <n v="4.3478260869565223E-2"/>
    <n v="315"/>
    <x v="120"/>
    <s v="ROW(Isolator opened by local person)"/>
    <s v="Breakdown"/>
    <d v="1899-12-30T13:47:00"/>
    <d v="1899-12-30T13:47:00"/>
    <d v="1899-12-30T23:59:00"/>
    <d v="1899-12-30T00:00:00"/>
    <n v="10.200000000000001"/>
    <n v="10.200000000000001"/>
    <s v="Due to row wtg stopped"/>
    <s v="Open"/>
    <n v="0.44347826086956532"/>
    <n v="1"/>
    <n v="4.5999999999999996"/>
    <m/>
  </r>
  <r>
    <n v="3112"/>
    <n v="2025"/>
    <n v="2024"/>
    <s v="Year_2"/>
    <d v="2024-12-10T00:00:00"/>
    <s v="KUD14"/>
    <s v="O2R1"/>
    <s v="KSIPL"/>
    <n v="4.3478260869565223E-2"/>
    <n v="315"/>
    <x v="120"/>
    <s v="ROW(Isolator opened by local person)"/>
    <s v="Breakdown"/>
    <d v="1899-12-30T16:37:00"/>
    <d v="1899-12-30T16:37:00"/>
    <d v="1899-12-30T23:59:00"/>
    <d v="1899-12-30T00:00:00"/>
    <n v="7.3666666666666671"/>
    <n v="7.3666666666666671"/>
    <s v="Due to row wtg stopped"/>
    <s v="Open"/>
    <n v="0.32028985507246382"/>
    <n v="1"/>
    <n v="3.7"/>
    <m/>
  </r>
  <r>
    <n v="3113"/>
    <n v="2025"/>
    <n v="2024"/>
    <s v="Year_2"/>
    <d v="2024-12-11T00:00:00"/>
    <s v="KUD01"/>
    <s v="O2R1"/>
    <s v="KSIPL"/>
    <n v="4.3478260869565223E-2"/>
    <n v="450"/>
    <x v="127"/>
    <s v="Ext. High I sum Grd inv."/>
    <s v="Breakdown"/>
    <d v="1899-12-30T09:43:00"/>
    <d v="1899-12-30T09:43:00"/>
    <d v="1899-12-30T09:54:00"/>
    <d v="1899-12-30T00:00:00"/>
    <n v="0.18333333333333268"/>
    <n v="0.18333333333333268"/>
    <s v="Auto reset"/>
    <s v="Close"/>
    <n v="7.9710144927535951E-3"/>
    <n v="1"/>
    <n v="0.22700000000000001"/>
    <m/>
  </r>
  <r>
    <n v="3114"/>
    <n v="2025"/>
    <n v="2024"/>
    <s v="Year_2"/>
    <d v="2024-12-11T00:00:00"/>
    <s v="KUD02"/>
    <s v="O2R3"/>
    <s v="JK"/>
    <n v="4.3478260869565223E-2"/>
    <n v="900"/>
    <x v="100"/>
    <s v="Pause pressed on keyboard"/>
    <s v="Manual Stop"/>
    <d v="1899-12-30T11:09:00"/>
    <d v="1899-12-30T11:09:00"/>
    <d v="1899-12-30T16:18:00"/>
    <d v="1899-12-30T00:00:00"/>
    <n v="5.15"/>
    <n v="5.15"/>
    <s v="WTG shutdown for Blade inspection work."/>
    <s v="Close"/>
    <n v="0.22391304347826091"/>
    <n v="1"/>
    <n v="2.875"/>
    <m/>
  </r>
  <r>
    <n v="3115"/>
    <n v="2025"/>
    <n v="2024"/>
    <s v="Year_2"/>
    <d v="2024-12-11T00:00:00"/>
    <s v="KUD22"/>
    <s v="O2R3"/>
    <s v="JK"/>
    <n v="4.3478260869565223E-2"/>
    <n v="3630"/>
    <x v="164"/>
    <s v="PrevCabTwCode:3 CabTwCode:4"/>
    <s v="Breakdown"/>
    <d v="1899-12-30T10:14:00"/>
    <d v="1899-12-30T10:14:00"/>
    <d v="1899-12-30T10:17:00"/>
    <d v="1899-12-30T00:00:00"/>
    <n v="4.9999999999999822E-2"/>
    <n v="4.9999999999999822E-2"/>
    <s v="Remote reset done."/>
    <s v="Close"/>
    <n v="2.1739130434782535E-3"/>
    <n v="1"/>
    <n v="9.7000000000000003E-2"/>
    <m/>
  </r>
  <r>
    <n v="3116"/>
    <n v="2025"/>
    <n v="2024"/>
    <s v="Year_2"/>
    <d v="2024-12-11T00:00:00"/>
    <s v="KUD19"/>
    <s v="O2R1"/>
    <s v="KSIPL"/>
    <n v="4.3478260869565223E-2"/>
    <n v="5069"/>
    <x v="111"/>
    <s v="Pitch pos C meas. signal fault"/>
    <s v="Breakdown"/>
    <d v="1899-12-30T14:30:00"/>
    <d v="1899-12-30T14:30:00"/>
    <d v="1899-12-30T16:40:00"/>
    <d v="1899-12-30T00:00:00"/>
    <n v="2.166666666666667"/>
    <n v="2.166666666666667"/>
    <s v="Ups reboot done.Due to communication not available in ROW issue"/>
    <s v="Close"/>
    <n v="9.4202898550724667E-2"/>
    <n v="1"/>
    <n v="2.3980000000000001"/>
    <m/>
  </r>
  <r>
    <n v="3117"/>
    <n v="2025"/>
    <n v="2024"/>
    <s v="Year_2"/>
    <d v="2024-12-11T00:00:00"/>
    <s v="KUD06"/>
    <s v="O2R3"/>
    <s v="JK"/>
    <n v="4.3478260869565223E-2"/>
    <n v="315"/>
    <x v="120"/>
    <s v="ROW(Isolator opened by local person)"/>
    <s v="Breakdown"/>
    <d v="1899-12-30T00:00:00"/>
    <d v="1899-12-30T00:00:00"/>
    <d v="1899-12-30T23:59:00"/>
    <d v="1899-12-30T00:00:00"/>
    <n v="23.983333333333334"/>
    <n v="23.983333333333334"/>
    <s v="Due to row wtg stopped"/>
    <s v="Open"/>
    <n v="1.042753623188406"/>
    <n v="1"/>
    <n v="15.4"/>
    <m/>
  </r>
  <r>
    <n v="3118"/>
    <n v="2025"/>
    <n v="2024"/>
    <s v="Year_2"/>
    <d v="2024-12-11T00:00:00"/>
    <s v="KUD07"/>
    <s v="O2R3"/>
    <s v="JK"/>
    <n v="4.3478260869565223E-2"/>
    <n v="315"/>
    <x v="120"/>
    <s v="ROW(Isolator opened by local person)"/>
    <s v="Breakdown"/>
    <d v="1899-12-30T00:00:00"/>
    <d v="1899-12-30T00:00:00"/>
    <d v="1899-12-30T23:59:00"/>
    <d v="1899-12-30T00:00:00"/>
    <n v="23.983333333333334"/>
    <n v="23.983333333333334"/>
    <s v="Due to row wtg stopped"/>
    <s v="Open"/>
    <n v="1.042753623188406"/>
    <n v="1"/>
    <n v="15.4"/>
    <m/>
  </r>
  <r>
    <n v="3119"/>
    <n v="2025"/>
    <n v="2024"/>
    <s v="Year_2"/>
    <d v="2024-12-11T00:00:00"/>
    <s v="KUD08"/>
    <s v="O2R3"/>
    <s v="JK"/>
    <n v="4.3478260869565223E-2"/>
    <n v="315"/>
    <x v="120"/>
    <s v="ROW(Isolator opened by local person)"/>
    <s v="Breakdown"/>
    <d v="1899-12-30T00:00:00"/>
    <d v="1899-12-30T00:00:00"/>
    <d v="1899-12-30T23:59:00"/>
    <d v="1899-12-30T00:00:00"/>
    <n v="23.983333333333334"/>
    <n v="23.983333333333334"/>
    <s v="Due to row wtg stopped"/>
    <s v="Open"/>
    <n v="1.042753623188406"/>
    <n v="1"/>
    <n v="14.9"/>
    <m/>
  </r>
  <r>
    <n v="3120"/>
    <n v="2025"/>
    <n v="2024"/>
    <s v="Year_2"/>
    <d v="2024-12-11T00:00:00"/>
    <s v="KUD14"/>
    <s v="O2R1"/>
    <s v="KSIPL"/>
    <n v="4.3478260869565223E-2"/>
    <n v="315"/>
    <x v="120"/>
    <s v="ROW(Isolator opened by local person)"/>
    <s v="Breakdown"/>
    <d v="1899-12-30T00:00:00"/>
    <d v="1899-12-30T00:00:00"/>
    <d v="1899-12-30T23:59:00"/>
    <d v="1899-12-30T00:00:00"/>
    <n v="23.983333333333334"/>
    <n v="23.983333333333334"/>
    <s v="Due to row wtg stopped"/>
    <s v="Open"/>
    <n v="1.042753623188406"/>
    <n v="1"/>
    <n v="15.3"/>
    <m/>
  </r>
  <r>
    <n v="3121"/>
    <n v="2025"/>
    <n v="2024"/>
    <s v="Year_2"/>
    <d v="2024-12-12T00:00:00"/>
    <s v="KUD01"/>
    <s v="O2R1"/>
    <s v="KSIPL"/>
    <n v="4.3478260869565223E-2"/>
    <n v="450"/>
    <x v="127"/>
    <s v="Ext. High I sum Grd inv."/>
    <s v="Breakdown"/>
    <d v="1899-12-30T09:19:00"/>
    <d v="1899-12-30T09:19:00"/>
    <d v="1899-12-30T09:28:00"/>
    <d v="1899-12-30T00:00:00"/>
    <n v="0.14999999999999947"/>
    <n v="0.14999999999999947"/>
    <s v="Auto reset"/>
    <s v="Close"/>
    <n v="6.5217391304347606E-3"/>
    <n v="1"/>
    <n v="0.11700000000000001"/>
    <m/>
  </r>
  <r>
    <n v="3122"/>
    <n v="2025"/>
    <n v="2024"/>
    <s v="Year_2"/>
    <d v="2024-12-12T00:00:00"/>
    <s v="KUD06"/>
    <s v="O2R3"/>
    <s v="JK"/>
    <n v="4.3478260869565223E-2"/>
    <n v="315"/>
    <x v="120"/>
    <s v="ExEx low voltage L_: ___V"/>
    <s v="ROW"/>
    <d v="1899-12-30T00:00:00"/>
    <d v="1899-12-30T00:00:00"/>
    <d v="1899-12-30T12:09:00"/>
    <d v="1899-12-30T00:00:00"/>
    <n v="12.149999999999999"/>
    <n v="12.149999999999999"/>
    <s v="ROW  issue cleared then isolator closed after manually UPS reboot done"/>
    <s v="Close"/>
    <n v="0"/>
    <n v="1"/>
    <n v="6.1369999999999996"/>
    <m/>
  </r>
  <r>
    <n v="3123"/>
    <n v="2025"/>
    <n v="2024"/>
    <s v="Year_2"/>
    <d v="2024-12-12T00:00:00"/>
    <s v="KUD07"/>
    <s v="O2R3"/>
    <s v="JK"/>
    <n v="4.3478260869565223E-2"/>
    <n v="315"/>
    <x v="120"/>
    <s v="ExEx low voltage L_: ___V"/>
    <s v="ROW"/>
    <d v="1899-12-30T00:00:00"/>
    <d v="1899-12-30T00:00:00"/>
    <d v="1899-12-30T12:32:00"/>
    <d v="1899-12-30T00:00:00"/>
    <n v="12.533333333333335"/>
    <n v="12.533333333333335"/>
    <s v="ROW  issue cleared then isolator closed after manually UPS reboot done"/>
    <s v="Close"/>
    <n v="0"/>
    <n v="1"/>
    <n v="6.5389999999999997"/>
    <m/>
  </r>
  <r>
    <n v="3124"/>
    <n v="2025"/>
    <n v="2024"/>
    <s v="Year_2"/>
    <d v="2024-12-12T00:00:00"/>
    <s v="KUD08"/>
    <s v="O2R3"/>
    <s v="JK"/>
    <n v="4.3478260869565223E-2"/>
    <n v="315"/>
    <x v="120"/>
    <s v="ExEx low voltage L_: ___V"/>
    <s v="ROW"/>
    <d v="1899-12-30T00:00:00"/>
    <d v="1899-12-30T00:00:00"/>
    <d v="1899-12-30T11:43:00"/>
    <d v="1899-12-30T00:00:00"/>
    <n v="11.716666666666667"/>
    <n v="11.716666666666667"/>
    <s v="ROW  issue cleared then isolator closed after manually UPS reboot done"/>
    <s v="Close"/>
    <n v="0"/>
    <n v="1"/>
    <n v="6.6139999999999999"/>
    <m/>
  </r>
  <r>
    <n v="3125"/>
    <n v="2025"/>
    <n v="2024"/>
    <s v="Year_2"/>
    <d v="2024-12-12T00:00:00"/>
    <s v="KUD11"/>
    <s v="O2R1"/>
    <s v="KSIPL"/>
    <n v="4.3478260869565223E-2"/>
    <n v="450"/>
    <x v="127"/>
    <s v="Ext. High I sum Grd inv."/>
    <s v="Breakdown"/>
    <d v="1899-12-30T18:58:00"/>
    <d v="1899-12-30T18:58:00"/>
    <d v="1899-12-30T19:07:00"/>
    <d v="1899-12-30T00:00:00"/>
    <n v="0.14999999999999947"/>
    <n v="0.14999999999999947"/>
    <s v="Auto reset"/>
    <s v="Close"/>
    <n v="6.5217391304347606E-3"/>
    <n v="1"/>
    <n v="7.1999999999999995E-2"/>
    <m/>
  </r>
  <r>
    <n v="3126"/>
    <n v="2025"/>
    <n v="2024"/>
    <s v="Year_2"/>
    <d v="2024-12-12T00:00:00"/>
    <s v="KUD14"/>
    <s v="O2R1"/>
    <s v="KSIPL"/>
    <n v="4.3478260869565223E-2"/>
    <n v="315"/>
    <x v="120"/>
    <s v="ExEx low voltage L_: ___V"/>
    <s v="ROW"/>
    <d v="1899-12-30T00:00:00"/>
    <d v="1899-12-30T00:00:00"/>
    <d v="1899-12-30T12:01:00"/>
    <d v="1899-12-30T00:00:00"/>
    <n v="12.016666666666666"/>
    <n v="12.016666666666666"/>
    <s v="ROW  issue cleared then isolator closed after manually UPS reboot done"/>
    <s v="Close"/>
    <n v="0"/>
    <n v="1"/>
    <n v="6.633"/>
    <m/>
  </r>
  <r>
    <n v="3127"/>
    <n v="2025"/>
    <n v="2024"/>
    <s v="Year_2"/>
    <d v="2024-12-12T00:00:00"/>
    <s v="KUD19"/>
    <s v="O2R1"/>
    <s v="KSIPL"/>
    <n v="4.3478260869565223E-2"/>
    <n v="5197"/>
    <x v="54"/>
    <s v="Prop Valve C Status Fault"/>
    <s v="Breakdown"/>
    <d v="1899-12-30T04:50:00"/>
    <d v="1899-12-30T04:50:00"/>
    <d v="1899-12-30T07:30:00"/>
    <d v="1899-12-30T00:00:00"/>
    <n v="2.6666666666666665"/>
    <n v="2.6666666666666665"/>
    <s v="UPS reboot done"/>
    <s v="Close"/>
    <n v="0.11594202898550726"/>
    <n v="1"/>
    <n v="1.1499999999999999"/>
    <m/>
  </r>
  <r>
    <n v="3128"/>
    <n v="2025"/>
    <n v="2024"/>
    <s v="Year_2"/>
    <d v="2024-12-13T00:00:00"/>
    <s v="KUD01"/>
    <s v="O2R1"/>
    <s v="KSIPL"/>
    <n v="4.3478260869565223E-2"/>
    <n v="450"/>
    <x v="127"/>
    <s v="Ext. High I sum Grd inv."/>
    <s v="Breakdown"/>
    <d v="1899-12-30T06:22:00"/>
    <d v="1899-12-30T06:22:00"/>
    <d v="1899-12-30T06:33:00"/>
    <d v="1899-12-30T00:00:00"/>
    <n v="0.18333333333333268"/>
    <n v="0.18333333333333268"/>
    <s v="Auto reset"/>
    <s v="Close"/>
    <n v="7.9710144927535951E-3"/>
    <n v="1"/>
    <m/>
    <m/>
  </r>
  <r>
    <n v="3129"/>
    <n v="2025"/>
    <n v="2024"/>
    <s v="Year_2"/>
    <d v="2024-12-14T00:00:00"/>
    <s v="KUD19"/>
    <s v="O2R1"/>
    <s v="KSIPL"/>
    <n v="4.3478260869565223E-2"/>
    <n v="5197"/>
    <x v="54"/>
    <s v="Prop Valve C Status Fault"/>
    <s v="Breakdown"/>
    <d v="1899-12-30T05:00:00"/>
    <d v="1899-12-30T05:00:00"/>
    <d v="1899-12-30T05:10:00"/>
    <d v="1899-12-30T00:00:00"/>
    <n v="0.16666666666666674"/>
    <n v="0.16666666666666674"/>
    <s v="Auto reset"/>
    <s v="Close"/>
    <n v="7.2463768115942073E-3"/>
    <n v="1"/>
    <n v="0"/>
    <m/>
  </r>
  <r>
    <n v="3130"/>
    <n v="2025"/>
    <n v="2024"/>
    <s v="Year_2"/>
    <d v="2024-12-14T00:00:00"/>
    <s v="KUD19"/>
    <s v="O2R1"/>
    <s v="KSIPL"/>
    <n v="4.3478260869565223E-2"/>
    <n v="5197"/>
    <x v="54"/>
    <s v="Prop Valve C Status Fault"/>
    <s v="Breakdown"/>
    <d v="1899-12-30T07:30:00"/>
    <d v="1899-12-30T07:30:00"/>
    <d v="1899-12-30T07:40:00"/>
    <d v="1899-12-30T00:00:00"/>
    <n v="0.16666666666666607"/>
    <n v="0.16666666666666607"/>
    <s v="Auto reset"/>
    <s v="Close"/>
    <n v="7.2463768115941778E-3"/>
    <n v="1"/>
    <n v="0"/>
    <m/>
  </r>
  <r>
    <n v="3131"/>
    <n v="2025"/>
    <n v="2024"/>
    <s v="Year_2"/>
    <d v="2024-12-14T00:00:00"/>
    <s v="KUD19"/>
    <s v="O2R1"/>
    <s v="KSIPL"/>
    <n v="4.3478260869565223E-2"/>
    <n v="5197"/>
    <x v="54"/>
    <s v="Prop Valve C Status Fault"/>
    <s v="Breakdown"/>
    <d v="1899-12-30T07:51:00"/>
    <d v="1899-12-30T07:51:00"/>
    <d v="1899-12-30T09:57:00"/>
    <d v="1899-12-30T00:00:00"/>
    <n v="2.1000000000000005"/>
    <n v="2.1000000000000005"/>
    <s v="Attend and checked all components found Prop valave for blade C got failure so replaced."/>
    <s v="Close"/>
    <n v="9.1304347826086998E-2"/>
    <n v="1"/>
    <n v="2.9729999999999999"/>
    <m/>
  </r>
  <r>
    <n v="3132"/>
    <n v="2025"/>
    <n v="2024"/>
    <s v="Year_2"/>
    <d v="2024-12-14T00:00:00"/>
    <s v="KUD19"/>
    <s v="O2R1"/>
    <s v="KSIPL"/>
    <n v="4.3478260869565223E-2"/>
    <n v="309"/>
    <x v="149"/>
    <s v="Pause over RCS __0"/>
    <s v="Manual Stop"/>
    <d v="1899-12-30T10:20:00"/>
    <d v="1899-12-30T10:20:00"/>
    <d v="1899-12-30T14:33:00"/>
    <d v="1899-12-30T00:00:00"/>
    <n v="4.216666666666665"/>
    <n v="4.216666666666665"/>
    <s v="WTG shutdown for Blade inspection work."/>
    <s v="Close"/>
    <n v="0.18333333333333329"/>
    <n v="1"/>
    <n v="3.0369999999999999"/>
    <m/>
  </r>
  <r>
    <n v="3133"/>
    <n v="2025"/>
    <n v="2024"/>
    <s v="Year_2"/>
    <d v="2024-12-14T00:00:00"/>
    <s v="KUD05"/>
    <s v="O2R3"/>
    <s v="JK"/>
    <n v="4.3478260869565223E-2"/>
    <n v="5172"/>
    <x v="196"/>
    <s v="HubSafetyOptiStopConfig.Err __"/>
    <s v="Breakdown"/>
    <d v="1899-12-30T22:30:00"/>
    <d v="1899-12-30T22:30:00"/>
    <d v="1899-12-30T23:48:00"/>
    <d v="1899-12-30T00:00:00"/>
    <n v="1.3000000000000007"/>
    <n v="1.3000000000000007"/>
    <s v="Attend found 230v supply cable in removed condition so corrected done."/>
    <s v="Close"/>
    <n v="5.6521739130434824E-2"/>
    <n v="1"/>
    <n v="1.2849999999999999"/>
    <m/>
  </r>
  <r>
    <n v="3134"/>
    <n v="2025"/>
    <n v="2024"/>
    <s v="Year_2"/>
    <d v="2024-12-14T00:00:00"/>
    <s v="KUD17"/>
    <s v="O2R2"/>
    <s v="SIL"/>
    <n v="4.3478260869565223E-2"/>
    <n v="4917"/>
    <x v="197"/>
    <s v="RotorTachSpdSigErr._____,_____"/>
    <s v="Breakdown"/>
    <d v="1899-12-30T00:13:00"/>
    <d v="1899-12-30T00:13:00"/>
    <d v="1899-12-30T04:11:00"/>
    <d v="1899-12-30T00:00:00"/>
    <n v="3.9666666666666668"/>
    <n v="3.9666666666666668"/>
    <s v="Found CAN madule CT6061 failured so replaced."/>
    <s v="Close"/>
    <n v="0.17246376811594205"/>
    <n v="1"/>
    <n v="3.53"/>
    <m/>
  </r>
  <r>
    <n v="3135"/>
    <n v="2025"/>
    <n v="2024"/>
    <s v="Year_2"/>
    <d v="2024-12-15T00:00:00"/>
    <s v="KUD01"/>
    <s v="O2R1"/>
    <s v="KSIPL"/>
    <n v="4.3478260869565223E-2"/>
    <n v="450"/>
    <x v="127"/>
    <s v="Ext. High I sum Grd inv."/>
    <s v="Breakdown"/>
    <d v="1899-12-30T03:33:00"/>
    <d v="1899-12-30T03:33:00"/>
    <d v="1899-12-30T03:40:00"/>
    <d v="1899-12-30T00:00:00"/>
    <n v="0.11666666666666692"/>
    <n v="0.11666666666666692"/>
    <s v="Auto reset"/>
    <s v="Close"/>
    <n v="5.0724637681159538E-3"/>
    <n v="1"/>
    <n v="0.08"/>
    <m/>
  </r>
  <r>
    <n v="3136"/>
    <n v="2025"/>
    <n v="2024"/>
    <s v="Year_2"/>
    <d v="2024-12-15T00:00:00"/>
    <s v="KUD03"/>
    <s v="O2R1"/>
    <s v="KSIPL"/>
    <n v="4.3478260869565223E-2"/>
    <n v="2676"/>
    <x v="124"/>
    <s v="UPS Error"/>
    <s v="Breakdown"/>
    <d v="1899-12-30T08:59:00"/>
    <d v="1899-12-30T08:59:00"/>
    <d v="1899-12-30T11:48:00"/>
    <d v="1899-12-30T00:00:00"/>
    <n v="2.816666666666666"/>
    <n v="2.816666666666666"/>
    <s v="Manual charged the HVCB."/>
    <s v="Close"/>
    <n v="0.12246376811594202"/>
    <n v="1"/>
    <n v="2.41"/>
    <m/>
  </r>
  <r>
    <n v="3137"/>
    <n v="2025"/>
    <n v="2024"/>
    <s v="Year_2"/>
    <d v="2024-12-15T00:00:00"/>
    <s v="KUD05"/>
    <s v="O2R3"/>
    <s v="JK"/>
    <n v="4.3478260869565223E-2"/>
    <n v="5172"/>
    <x v="196"/>
    <s v="HubSafetyOptiStopConfig.Err  0"/>
    <s v="Breakdown"/>
    <d v="1899-12-30T00:00:00"/>
    <d v="1899-12-30T00:00:00"/>
    <d v="1899-12-30T01:20:00"/>
    <d v="1899-12-30T00:00:00"/>
    <n v="1.3333333333333333"/>
    <n v="1.3333333333333333"/>
    <s v="Attend found 230v supply cable in removed condition so corrected done."/>
    <s v="Close"/>
    <n v="5.7971014492753631E-2"/>
    <n v="1"/>
    <n v="0.9"/>
    <m/>
  </r>
  <r>
    <n v="3138"/>
    <n v="2025"/>
    <n v="2024"/>
    <s v="Year_2"/>
    <d v="2024-12-15T00:00:00"/>
    <s v="KUD12"/>
    <s v="O2R1"/>
    <s v="KSIPL"/>
    <n v="4.3478260869565223E-2"/>
    <n v="3862"/>
    <x v="160"/>
    <s v="SafetySystem Reset Required"/>
    <s v="Breakdown"/>
    <d v="1899-12-30T08:59:00"/>
    <d v="1899-12-30T08:59:00"/>
    <d v="1899-12-30T10:36:00"/>
    <d v="1899-12-30T00:00:00"/>
    <n v="1.6166666666666663"/>
    <n v="1.6166666666666663"/>
    <s v="manual reset done."/>
    <s v="Close"/>
    <n v="7.0289855072463756E-2"/>
    <n v="1"/>
    <n v="2.1"/>
    <m/>
  </r>
  <r>
    <n v="3139"/>
    <n v="2025"/>
    <n v="2024"/>
    <s v="Year_2"/>
    <d v="2024-12-15T00:00:00"/>
    <s v="KUD13"/>
    <s v="O2R1"/>
    <s v="KSIPL"/>
    <n v="4.3478260869565223E-2"/>
    <n v="4500"/>
    <x v="138"/>
    <s v="Pitch C too low: 80.0Â° &lt; 55.4Â°"/>
    <s v="Breakdown"/>
    <d v="1899-12-30T08:59:00"/>
    <d v="1899-12-30T08:59:00"/>
    <d v="1899-12-30T09:23:00"/>
    <d v="1899-12-30T00:00:00"/>
    <n v="0.39999999999999991"/>
    <n v="0.39999999999999991"/>
    <s v="Auto reset"/>
    <s v="Close"/>
    <n v="1.7391304347826084E-2"/>
    <n v="1"/>
    <n v="0.25"/>
    <m/>
  </r>
  <r>
    <n v="3140"/>
    <n v="2025"/>
    <n v="2024"/>
    <s v="Year_2"/>
    <d v="2024-12-15T00:00:00"/>
    <s v="KUD19"/>
    <s v="O2R1"/>
    <s v="KSIPL"/>
    <n v="4.3478260869565223E-2"/>
    <n v="2676"/>
    <x v="124"/>
    <s v="UPS Error"/>
    <s v="Breakdown"/>
    <d v="1899-12-30T08:59:00"/>
    <d v="1899-12-30T08:59:00"/>
    <d v="1899-12-30T09:55:00"/>
    <d v="1899-12-30T00:00:00"/>
    <n v="0.93333333333333268"/>
    <n v="0.93333333333333268"/>
    <s v="Manual charged the HVCB."/>
    <s v="Close"/>
    <n v="4.0579710144927512E-2"/>
    <n v="1"/>
    <n v="0.86"/>
    <m/>
  </r>
  <r>
    <n v="3141"/>
    <n v="2025"/>
    <n v="2024"/>
    <s v="Year_2"/>
    <d v="2024-12-15T00:00:00"/>
    <s v="KUD20"/>
    <s v="O2R1"/>
    <s v="KSIPL"/>
    <n v="4.3478260869565223E-2"/>
    <n v="2676"/>
    <x v="124"/>
    <s v="Ups error"/>
    <s v="Breakdown"/>
    <d v="1899-12-30T08:59:00"/>
    <d v="1899-12-30T08:59:00"/>
    <d v="1899-12-30T10:59:00"/>
    <d v="1899-12-30T00:00:00"/>
    <n v="1.9999999999999996"/>
    <n v="1.9999999999999996"/>
    <s v="Manual charged the HVCB."/>
    <s v="Close"/>
    <n v="8.6956521739130432E-2"/>
    <n v="1"/>
    <n v="2.13"/>
    <m/>
  </r>
  <r>
    <n v="3142"/>
    <n v="2025"/>
    <n v="2024"/>
    <s v="Year_2"/>
    <d v="2024-12-16T00:00:00"/>
    <s v="KUD01"/>
    <s v="O2R1"/>
    <s v="KSIPL"/>
    <n v="4.3478260869565223E-2"/>
    <n v="450"/>
    <x v="127"/>
    <s v="Ext. High I sum Grd inv."/>
    <s v="Breakdown"/>
    <d v="1899-12-30T23:06:00"/>
    <d v="1899-12-30T23:06:00"/>
    <d v="1899-12-30T23:18:00"/>
    <d v="1899-12-30T00:00:00"/>
    <n v="0.19999999999999929"/>
    <n v="0.19999999999999929"/>
    <s v="Auto reset"/>
    <s v="Close"/>
    <n v="8.6956521739130141E-3"/>
    <n v="1"/>
    <n v="0.17"/>
    <m/>
  </r>
  <r>
    <n v="3143"/>
    <n v="2025"/>
    <n v="2024"/>
    <s v="Year_2"/>
    <d v="2024-12-16T00:00:00"/>
    <s v="KUD10"/>
    <s v="O2R1"/>
    <s v="KSIPL"/>
    <n v="4.3478260869565223E-2"/>
    <n v="5195"/>
    <x v="49"/>
    <s v="Prop Valve A Status Fault"/>
    <s v="Breakdown"/>
    <d v="1899-12-30T19:07:00"/>
    <d v="1899-12-30T19:07:00"/>
    <d v="1899-12-30T19:15:00"/>
    <d v="1899-12-30T00:00:00"/>
    <n v="0.13333333333333552"/>
    <n v="0.13333333333333552"/>
    <s v="Auto reset"/>
    <s v="Close"/>
    <n v="5.7971014492754587E-3"/>
    <n v="1"/>
    <n v="0.05"/>
    <m/>
  </r>
  <r>
    <n v="3144"/>
    <n v="2025"/>
    <n v="2024"/>
    <s v="Year_2"/>
    <d v="2024-12-16T00:00:00"/>
    <s v="KUD17"/>
    <s v="O2R2"/>
    <s v="SIL"/>
    <n v="4.3478260869565223E-2"/>
    <n v="900"/>
    <x v="100"/>
    <s v="Pause pressed on keyboard"/>
    <s v="Manual Stop"/>
    <d v="1899-12-30T10:47:00"/>
    <d v="1899-12-30T10:47:00"/>
    <d v="1899-12-30T15:07:00"/>
    <d v="1899-12-30T00:00:00"/>
    <n v="4.3333333333333321"/>
    <n v="4.3333333333333321"/>
    <s v="WTG shutdown for Blade internal and external inspection work."/>
    <s v="Close"/>
    <n v="0.18840579710144925"/>
    <n v="1"/>
    <n v="0.82"/>
    <m/>
  </r>
  <r>
    <n v="3145"/>
    <n v="2025"/>
    <n v="2024"/>
    <s v="Year_2"/>
    <d v="2024-12-16T00:00:00"/>
    <s v="KUD21"/>
    <s v="O2R3"/>
    <s v="JK"/>
    <n v="4.3478260869565223E-2"/>
    <n v="3273"/>
    <x v="35"/>
    <s v="YawUntwistCCW: Code__,_______°"/>
    <m/>
    <d v="1899-12-30T15:07:00"/>
    <d v="1899-12-30T15:07:00"/>
    <d v="1899-12-30T15:39:00"/>
    <d v="1899-12-30T00:00:00"/>
    <n v="0.5333333333333341"/>
    <n v="0.5333333333333341"/>
    <s v="Auto cable twist."/>
    <s v="Close"/>
    <n v="2.3188405797101484E-2"/>
    <n v="1"/>
    <n v="0.06"/>
    <m/>
  </r>
  <r>
    <n v="3146"/>
    <n v="2025"/>
    <n v="2024"/>
    <s v="Year_2"/>
    <d v="2024-12-17T00:00:00"/>
    <s v="KUD12"/>
    <s v="O2R1"/>
    <s v="KSIPL"/>
    <n v="4.3478260869565223E-2"/>
    <n v="309"/>
    <x v="149"/>
    <s v="Pause over RCS __0"/>
    <s v="Manual Stop"/>
    <d v="1899-12-30T15:00:00"/>
    <d v="1899-12-30T15:00:00"/>
    <d v="1899-12-30T18:58:00"/>
    <d v="1899-12-30T00:00:00"/>
    <n v="3.9666666666666659"/>
    <n v="3.9666666666666659"/>
    <s v="Pause over RCS 14 (Remote pause by Manufacturer)"/>
    <s v="Close"/>
    <n v="0.17246376811594202"/>
    <n v="1"/>
    <n v="0.104"/>
    <m/>
  </r>
  <r>
    <n v="3147"/>
    <n v="2025"/>
    <n v="2024"/>
    <s v="Year_2"/>
    <d v="2024-12-17T00:00:00"/>
    <s v="KUD04"/>
    <s v="O2R3"/>
    <s v="JK"/>
    <n v="4.3478260869565223E-2"/>
    <n v="309"/>
    <x v="149"/>
    <s v="Pause over RCS __0"/>
    <s v="Manual Stop"/>
    <d v="1899-12-30T10:05:00"/>
    <d v="1899-12-30T10:05:00"/>
    <d v="1899-12-30T14:24:00"/>
    <d v="1899-12-30T00:00:00"/>
    <n v="4.3166666666666664"/>
    <n v="4.3166666666666664"/>
    <s v="Pause over RCS  0"/>
    <s v="Close"/>
    <n v="0.18768115942028987"/>
    <n v="1"/>
    <n v="0.33100000000000002"/>
    <m/>
  </r>
  <r>
    <n v="3148"/>
    <n v="2025"/>
    <n v="2024"/>
    <s v="Year_2"/>
    <d v="2024-12-17T00:00:00"/>
    <s v="KUD04"/>
    <s v="O2R3"/>
    <s v="JK"/>
    <n v="4.3478260869565223E-2"/>
    <n v="3273"/>
    <x v="35"/>
    <s v="YawUntwistCCW: Code__,_______°"/>
    <m/>
    <d v="1899-12-30T14:30:00"/>
    <d v="1899-12-30T14:30:00"/>
    <d v="1899-12-30T14:52:00"/>
    <d v="1899-12-30T00:00:00"/>
    <n v="0.36666666666666803"/>
    <n v="0.36666666666666803"/>
    <s v="YawUntwistCCW: Code 6,    604Â°"/>
    <s v="Close"/>
    <n v="1.5942028985507308E-2"/>
    <n v="1"/>
    <n v="0.11799999999999999"/>
    <m/>
  </r>
  <r>
    <n v="3149"/>
    <n v="2025"/>
    <n v="2024"/>
    <s v="Year_2"/>
    <d v="2024-12-18T00:00:00"/>
    <s v="KUD19"/>
    <s v="O2R1"/>
    <s v="KSIPL"/>
    <n v="4.3478260869565223E-2"/>
    <n v="2676"/>
    <x v="124"/>
    <s v="UPS Error"/>
    <s v="Breakdown"/>
    <d v="1899-12-30T09:00:00"/>
    <d v="1899-12-30T09:00:00"/>
    <d v="1899-12-30T09:53:00"/>
    <d v="1899-12-30T00:00:00"/>
    <n v="0.88333333333333286"/>
    <n v="0.88333333333333286"/>
    <s v="UPS Reboot done"/>
    <s v="Close"/>
    <n v="3.8405797101449257E-2"/>
    <n v="1"/>
    <n v="-0.11"/>
    <m/>
  </r>
  <r>
    <n v="3150"/>
    <n v="2025"/>
    <n v="2024"/>
    <s v="Year_2"/>
    <d v="2024-12-18T00:00:00"/>
    <s v="KUD20"/>
    <s v="O2R1"/>
    <s v="KSIPL"/>
    <n v="4.3478260869565223E-2"/>
    <n v="315"/>
    <x v="120"/>
    <s v="ExEx low voltage L_: ___V"/>
    <s v="Breakdown"/>
    <d v="1899-12-30T09:00:00"/>
    <d v="1899-12-30T09:00:00"/>
    <d v="1899-12-30T10:10:00"/>
    <d v="1899-12-30T00:00:00"/>
    <n v="1.1666666666666665"/>
    <n v="1.1666666666666665"/>
    <s v="Manual charged the HVCB."/>
    <s v="Close"/>
    <n v="5.0724637681159424E-2"/>
    <n v="1"/>
    <n v="1.6E-2"/>
    <m/>
  </r>
  <r>
    <n v="3151"/>
    <n v="2025"/>
    <n v="2024"/>
    <s v="Year_2"/>
    <d v="2024-12-18T00:00:00"/>
    <s v="KUD20"/>
    <s v="O2R1"/>
    <s v="KSIPL"/>
    <n v="4.3478260869565223E-2"/>
    <n v="309"/>
    <x v="149"/>
    <s v="Pause over RCS __0"/>
    <s v="Manual Stop"/>
    <d v="1899-12-30T10:10:00"/>
    <d v="1899-12-30T10:10:00"/>
    <d v="1899-12-30T12:10:00"/>
    <d v="1899-12-30T00:00:00"/>
    <n v="1.9999999999999996"/>
    <n v="1.9999999999999996"/>
    <s v="WTG shutdown for Blade external inspection work."/>
    <s v="Close"/>
    <n v="8.6956521739130432E-2"/>
    <n v="1"/>
    <n v="6.6000000000000003E-2"/>
    <m/>
  </r>
  <r>
    <n v="3152"/>
    <n v="2025"/>
    <n v="2024"/>
    <s v="Year_2"/>
    <d v="2024-12-18T00:00:00"/>
    <s v="KUD20"/>
    <s v="O2R1"/>
    <s v="KSIPL"/>
    <n v="4.3478260869565223E-2"/>
    <n v="309"/>
    <x v="149"/>
    <s v="Pause over RCS __0"/>
    <s v="Manual Stop"/>
    <d v="1899-12-30T12:10:00"/>
    <d v="1899-12-30T12:10:00"/>
    <d v="1899-12-30T19:59:00"/>
    <d v="1899-12-30T00:00:00"/>
    <n v="7.8166666666666682"/>
    <n v="7.8166666666666682"/>
    <s v="Manual stop for CMS alert inspection work."/>
    <s v="Close"/>
    <n v="0.33985507246376823"/>
    <n v="1"/>
    <n v="0.1"/>
    <m/>
  </r>
  <r>
    <n v="3153"/>
    <n v="2025"/>
    <n v="2024"/>
    <s v="Year_2"/>
    <d v="2024-12-19T00:00:00"/>
    <s v="KUD08"/>
    <s v="O2R3"/>
    <s v="JK"/>
    <n v="4.3478260869565223E-2"/>
    <n v="309"/>
    <x v="149"/>
    <s v="Pause over RCS __0"/>
    <s v="Manual Stop"/>
    <d v="1899-12-30T11:49:00"/>
    <d v="1899-12-30T11:49:00"/>
    <d v="1899-12-30T14:59:00"/>
    <d v="1899-12-30T00:00:00"/>
    <n v="3.1666666666666661"/>
    <n v="3.1666666666666661"/>
    <s v="WTG shutdown for Blade internal and external inspection work."/>
    <s v="Close"/>
    <n v="0.13768115942028986"/>
    <n v="1"/>
    <n v="0.14000000000000001"/>
    <m/>
  </r>
  <r>
    <n v="3154"/>
    <n v="2025"/>
    <n v="2024"/>
    <s v="Year_2"/>
    <d v="2024-12-19T00:00:00"/>
    <s v="KUD08"/>
    <s v="O2R3"/>
    <s v="JK"/>
    <n v="4.3478260869565223E-2"/>
    <n v="3273"/>
    <x v="35"/>
    <s v="YawUntwistCCW: Code__,_______°"/>
    <m/>
    <d v="1899-12-30T15:00:00"/>
    <d v="1899-12-30T15:00:00"/>
    <d v="1899-12-30T15:18:00"/>
    <d v="1899-12-30T00:00:00"/>
    <n v="0.29999999999999893"/>
    <n v="0.29999999999999893"/>
    <s v="Auto cable twist."/>
    <s v="Close"/>
    <n v="1.3043478260869521E-2"/>
    <n v="1"/>
    <n v="0.03"/>
    <m/>
  </r>
  <r>
    <n v="3155"/>
    <n v="2025"/>
    <n v="2024"/>
    <s v="Year_2"/>
    <d v="2024-12-19T00:00:00"/>
    <s v="KUD10"/>
    <s v="O2R1"/>
    <s v="KSIPL"/>
    <n v="4.3478260869565223E-2"/>
    <n v="5470"/>
    <x v="34"/>
    <s v="GeneratorBreakerFBResponse"/>
    <s v="Breakdown"/>
    <d v="1899-12-30T07:00:00"/>
    <d v="1899-12-30T07:00:00"/>
    <d v="1899-12-30T08:50:00"/>
    <d v="1899-12-30T00:00:00"/>
    <n v="1.8333333333333335"/>
    <n v="1.8333333333333335"/>
    <s v="Attend and UV coil changed in Generator breaker."/>
    <s v="Close"/>
    <n v="7.9710144927536253E-2"/>
    <n v="1"/>
    <n v="0.22500000000000001"/>
    <m/>
  </r>
  <r>
    <n v="3156"/>
    <n v="2025"/>
    <n v="2024"/>
    <s v="Year_2"/>
    <d v="2024-12-19T00:00:00"/>
    <s v="KUD10"/>
    <s v="O2R1"/>
    <s v="KSIPL"/>
    <n v="4.3478260869565223E-2"/>
    <n v="309"/>
    <x v="149"/>
    <s v="Pause over RCS __0"/>
    <s v="Manual Stop"/>
    <d v="1899-12-30T08:50:00"/>
    <d v="1899-12-30T08:50:00"/>
    <d v="1899-12-30T12:40:00"/>
    <d v="1899-12-30T00:00:00"/>
    <n v="3.833333333333333"/>
    <n v="3.833333333333333"/>
    <s v="WTG shutdown for Blade internal and external inspection work."/>
    <s v="Close"/>
    <n v="0.16666666666666669"/>
    <n v="1"/>
    <n v="0.68600000000000005"/>
    <m/>
  </r>
  <r>
    <n v="3157"/>
    <n v="2025"/>
    <n v="2024"/>
    <s v="Year_2"/>
    <d v="2024-12-19T00:00:00"/>
    <s v="KUD11"/>
    <s v="O2R1"/>
    <s v="KSIPL"/>
    <n v="4.3478260869565223E-2"/>
    <n v="3273"/>
    <x v="35"/>
    <s v="YawUntwistCCW: Code__,_______°"/>
    <m/>
    <d v="1899-12-30T15:15:00"/>
    <d v="1899-12-30T15:15:00"/>
    <d v="1899-12-30T15:46:00"/>
    <d v="1899-12-30T00:00:00"/>
    <n v="0.5166666666666675"/>
    <n v="0.5166666666666675"/>
    <s v="Auto cable twist."/>
    <s v="Close"/>
    <n v="2.2463768115942067E-2"/>
    <n v="1"/>
    <n v="8.3000000000000004E-2"/>
    <m/>
  </r>
  <r>
    <n v="3158"/>
    <n v="2025"/>
    <n v="2024"/>
    <s v="Year_2"/>
    <d v="2024-12-20T00:00:00"/>
    <s v="KUD01"/>
    <s v="O2R1"/>
    <s v="KSIPL"/>
    <n v="4.3478260869565223E-2"/>
    <n v="3273"/>
    <x v="35"/>
    <s v="YawUntwistCCW: Code 6,    540Â°"/>
    <m/>
    <d v="1899-12-30T11:20:00"/>
    <d v="1899-12-30T11:20:00"/>
    <d v="1899-12-30T11:47:00"/>
    <d v="1899-12-30T00:00:00"/>
    <n v="0.44999999999999973"/>
    <n v="0.44999999999999973"/>
    <s v="Auto cable twist."/>
    <s v="Close"/>
    <n v="1.9565217391304339E-2"/>
    <n v="1"/>
    <m/>
    <m/>
  </r>
  <r>
    <n v="3159"/>
    <n v="2025"/>
    <n v="2024"/>
    <s v="Year_2"/>
    <d v="2024-12-20T00:00:00"/>
    <s v="KUD04"/>
    <s v="O2R3"/>
    <s v="JK"/>
    <n v="4.3478260869565223E-2"/>
    <n v="3273"/>
    <x v="35"/>
    <s v="YawUntwistCCW: Code 5,    540Â°"/>
    <m/>
    <d v="1899-12-30T11:46:00"/>
    <d v="1899-12-30T11:46:00"/>
    <d v="1899-12-30T12:11:00"/>
    <d v="1899-12-30T00:00:00"/>
    <n v="0.41666666666666652"/>
    <n v="0.41666666666666652"/>
    <s v="Auto cable twist."/>
    <s v="Close"/>
    <n v="1.8115942028985504E-2"/>
    <n v="1"/>
    <m/>
    <m/>
  </r>
  <r>
    <n v="3160"/>
    <n v="2025"/>
    <n v="2024"/>
    <s v="Year_2"/>
    <d v="2024-12-20T00:00:00"/>
    <s v="KUD06"/>
    <s v="O2R3"/>
    <s v="JK"/>
    <n v="4.3478260869565223E-2"/>
    <n v="900"/>
    <x v="100"/>
    <s v="Pause pressed on keyboard"/>
    <s v="Manual Stop"/>
    <d v="1899-12-30T10:20:00"/>
    <d v="1899-12-30T10:20:00"/>
    <d v="1899-12-30T14:03:00"/>
    <d v="1899-12-30T00:00:00"/>
    <n v="3.7166666666666668"/>
    <n v="3.7166666666666668"/>
    <s v="WTG shutdown for Blade internal and external inspection work."/>
    <s v="Close"/>
    <n v="0.16159420289855075"/>
    <n v="1"/>
    <m/>
    <m/>
  </r>
  <r>
    <n v="3161"/>
    <n v="2025"/>
    <n v="2024"/>
    <s v="Year_2"/>
    <d v="2024-12-20T00:00:00"/>
    <s v="KUD06"/>
    <s v="O2R3"/>
    <s v="JK"/>
    <n v="4.3478260869565223E-2"/>
    <n v="3273"/>
    <x v="35"/>
    <s v="YawUntwistCCW: Code 6,    540Â°"/>
    <m/>
    <d v="1899-12-30T14:10:00"/>
    <d v="1899-12-30T14:10:00"/>
    <d v="1899-12-30T14:37:00"/>
    <d v="1899-12-30T00:00:00"/>
    <n v="0.4499999999999984"/>
    <n v="0.4499999999999984"/>
    <s v="Auto cable twist."/>
    <s v="Close"/>
    <n v="1.956521739130428E-2"/>
    <n v="1"/>
    <m/>
    <m/>
  </r>
  <r>
    <n v="3162"/>
    <n v="2025"/>
    <n v="2024"/>
    <s v="Year_2"/>
    <d v="2024-12-20T00:00:00"/>
    <s v="KUD07"/>
    <s v="O2R3"/>
    <s v="JK"/>
    <n v="4.3478260869565223E-2"/>
    <n v="900"/>
    <x v="100"/>
    <s v="Pause pressed on keyboard"/>
    <s v="Manual Stop"/>
    <d v="1899-12-30T10:43:00"/>
    <d v="1899-12-30T10:43:00"/>
    <d v="1899-12-30T14:37:00"/>
    <d v="1899-12-30T00:00:00"/>
    <n v="3.8999999999999981"/>
    <n v="3.8999999999999981"/>
    <s v="WTG shutdown for Blade internal and external inspection work."/>
    <s v="Close"/>
    <n v="0.16956521739130428"/>
    <n v="1"/>
    <m/>
    <m/>
  </r>
  <r>
    <n v="3163"/>
    <n v="2025"/>
    <n v="2024"/>
    <s v="Year_2"/>
    <d v="2024-12-20T00:00:00"/>
    <s v="KUD08"/>
    <s v="O2R3"/>
    <s v="JK"/>
    <n v="4.3478260869565223E-2"/>
    <n v="3273"/>
    <x v="35"/>
    <s v="YawUntwistCCW: Code 6,    540Â°"/>
    <m/>
    <d v="1899-12-30T11:55:00"/>
    <d v="1899-12-30T11:55:00"/>
    <d v="1899-12-30T12:23:00"/>
    <d v="1899-12-30T00:00:00"/>
    <n v="0.46666666666666767"/>
    <n v="0.46666666666666767"/>
    <s v="Auto cable twist."/>
    <s v="Close"/>
    <n v="2.0289855072463815E-2"/>
    <n v="1"/>
    <m/>
    <m/>
  </r>
  <r>
    <n v="3164"/>
    <n v="2025"/>
    <n v="2024"/>
    <s v="Year_2"/>
    <d v="2024-12-20T00:00:00"/>
    <s v="KUD09"/>
    <s v="O2R3"/>
    <s v="JK"/>
    <n v="4.3478260869565223E-2"/>
    <n v="3273"/>
    <x v="35"/>
    <s v="YawUntwistCCW: Code 5,    540Â°"/>
    <m/>
    <d v="1899-12-30T10:22:00"/>
    <d v="1899-12-30T10:22:00"/>
    <d v="1899-12-30T10:43:00"/>
    <d v="1899-12-30T00:00:00"/>
    <n v="0.35000000000000009"/>
    <n v="0.35000000000000009"/>
    <s v="Auto cable twist."/>
    <s v="Close"/>
    <n v="1.5217391304347832E-2"/>
    <n v="1"/>
    <m/>
    <m/>
  </r>
  <r>
    <n v="3165"/>
    <n v="2025"/>
    <n v="2024"/>
    <s v="Year_2"/>
    <d v="2024-12-20T00:00:00"/>
    <s v="KUD10"/>
    <s v="O2R1"/>
    <s v="KSIPL"/>
    <n v="4.3478260869565223E-2"/>
    <n v="3273"/>
    <x v="35"/>
    <s v="YawUntwistCCW: Code 6,    540Â°"/>
    <m/>
    <d v="1899-12-30T11:47:00"/>
    <d v="1899-12-30T11:47:00"/>
    <d v="1899-12-30T12:10:00"/>
    <d v="1899-12-30T00:00:00"/>
    <n v="0.3833333333333333"/>
    <n v="0.3833333333333333"/>
    <s v="Auto cable twist."/>
    <s v="Close"/>
    <n v="1.6666666666666666E-2"/>
    <n v="1"/>
    <m/>
    <m/>
  </r>
  <r>
    <n v="3166"/>
    <n v="2025"/>
    <n v="2024"/>
    <s v="Year_2"/>
    <d v="2024-12-20T00:00:00"/>
    <s v="KUD15"/>
    <s v="O2R1"/>
    <s v="KSIPL"/>
    <n v="4.3478260869565223E-2"/>
    <n v="3273"/>
    <x v="35"/>
    <s v="YawUntwistCCW: Code 6,    540Â°"/>
    <m/>
    <d v="1899-12-30T07:26:00"/>
    <d v="1899-12-30T07:26:00"/>
    <d v="1899-12-30T07:47:00"/>
    <d v="1899-12-30T00:00:00"/>
    <n v="0.35000000000000009"/>
    <n v="0.35000000000000009"/>
    <s v="Auto cable twist."/>
    <s v="Close"/>
    <n v="1.5217391304347832E-2"/>
    <n v="1"/>
    <m/>
    <m/>
  </r>
  <r>
    <n v="3167"/>
    <n v="2025"/>
    <n v="2024"/>
    <s v="Year_2"/>
    <d v="2024-12-20T00:00:00"/>
    <s v="KUD15"/>
    <s v="O2R1"/>
    <s v="KSIPL"/>
    <n v="4.3478260869565223E-2"/>
    <n v="3273"/>
    <x v="35"/>
    <s v="YawUntwistCCW: Code 6,    540Â°"/>
    <m/>
    <d v="1899-12-30T10:30:00"/>
    <d v="1899-12-30T10:30:00"/>
    <d v="1899-12-30T10:57:00"/>
    <d v="1899-12-30T00:00:00"/>
    <n v="0.44999999999999973"/>
    <n v="0.44999999999999973"/>
    <s v="Auto cable twist."/>
    <s v="Close"/>
    <n v="1.9565217391304339E-2"/>
    <n v="1"/>
    <m/>
    <m/>
  </r>
  <r>
    <n v="3168"/>
    <n v="2025"/>
    <n v="2024"/>
    <s v="Year_2"/>
    <d v="2024-12-20T00:00:00"/>
    <s v="KUD20"/>
    <s v="O2R1"/>
    <s v="KSIPL"/>
    <n v="4.3478260869565223E-2"/>
    <n v="3273"/>
    <x v="35"/>
    <s v="YawUntwistCCW: Code 6,    540Â°"/>
    <m/>
    <d v="1899-12-30T11:22:00"/>
    <d v="1899-12-30T11:22:00"/>
    <d v="1899-12-30T11:49:00"/>
    <d v="1899-12-30T00:00:00"/>
    <n v="0.45000000000000107"/>
    <n v="0.45000000000000107"/>
    <s v="Auto cable twist."/>
    <s v="Close"/>
    <n v="1.9565217391304398E-2"/>
    <n v="1"/>
    <m/>
    <m/>
  </r>
  <r>
    <n v="3169"/>
    <n v="2025"/>
    <n v="2024"/>
    <s v="Year_2"/>
    <d v="2024-12-20T00:00:00"/>
    <s v="KUD21"/>
    <s v="O2R3"/>
    <s v="JK"/>
    <n v="4.3478260869565223E-2"/>
    <n v="3273"/>
    <x v="35"/>
    <s v="YawUntwistCCW: Code 6,    551Â°"/>
    <m/>
    <d v="1899-12-30T12:02:00"/>
    <d v="1899-12-30T12:02:00"/>
    <d v="1899-12-30T12:23:00"/>
    <d v="1899-12-30T00:00:00"/>
    <n v="0.35000000000000142"/>
    <n v="0.35000000000000142"/>
    <s v="Auto cable twist."/>
    <s v="Close"/>
    <n v="1.5217391304347889E-2"/>
    <n v="1"/>
    <m/>
    <m/>
  </r>
  <r>
    <n v="3170"/>
    <n v="2025"/>
    <n v="2024"/>
    <s v="Year_2"/>
    <d v="2024-12-21T00:00:00"/>
    <s v="KUD03"/>
    <s v="O2R1"/>
    <s v="KSIPL"/>
    <n v="4.3478260869565223E-2"/>
    <n v="3273"/>
    <x v="35"/>
    <s v="YawUntwistCCW: Code__,_______°"/>
    <m/>
    <d v="1899-12-30T09:07:00"/>
    <d v="1899-12-30T09:07:00"/>
    <d v="1899-12-30T09:37:00"/>
    <d v="1899-12-30T00:00:00"/>
    <n v="0.50000000000000089"/>
    <n v="0.50000000000000089"/>
    <s v="Auto cable twist."/>
    <s v="Close"/>
    <n v="2.173913043478265E-2"/>
    <n v="1"/>
    <n v="2E-3"/>
    <m/>
  </r>
  <r>
    <n v="3171"/>
    <n v="2025"/>
    <n v="2024"/>
    <s v="Year_2"/>
    <d v="2024-12-21T00:00:00"/>
    <s v="KUD08"/>
    <s v="O2R3"/>
    <s v="JK"/>
    <n v="4.3478260869565223E-2"/>
    <n v="3273"/>
    <x v="35"/>
    <s v="YawUntwistCCW: Code__,_______°"/>
    <m/>
    <d v="1899-12-30T21:20:00"/>
    <d v="1899-12-30T21:20:00"/>
    <d v="1899-12-30T21:40:00"/>
    <d v="1899-12-30T00:00:00"/>
    <n v="0.33333333333333481"/>
    <n v="0.33333333333333481"/>
    <s v="Auto cable twist."/>
    <s v="Close"/>
    <n v="1.4492753623188472E-2"/>
    <n v="1"/>
    <n v="2E-3"/>
    <m/>
  </r>
  <r>
    <n v="3172"/>
    <n v="2025"/>
    <n v="2024"/>
    <s v="Year_2"/>
    <d v="2024-12-21T00:00:00"/>
    <s v="KUD10"/>
    <s v="O2R1"/>
    <s v="KSIPL"/>
    <n v="4.3478260869565223E-2"/>
    <n v="3273"/>
    <x v="35"/>
    <s v="YawUntwistCCW: Code__,_______°"/>
    <m/>
    <d v="1899-12-30T21:04:00"/>
    <d v="1899-12-30T21:04:00"/>
    <d v="1899-12-30T21:26:00"/>
    <d v="1899-12-30T00:00:00"/>
    <n v="0.36666666666666803"/>
    <n v="0.36666666666666803"/>
    <s v="Auto cable twist."/>
    <s v="Close"/>
    <n v="1.5942028985507308E-2"/>
    <n v="1"/>
    <n v="2E-3"/>
    <m/>
  </r>
  <r>
    <n v="3173"/>
    <n v="2025"/>
    <n v="2024"/>
    <s v="Year_2"/>
    <d v="2024-12-21T00:00:00"/>
    <s v="KUD11"/>
    <s v="O2R1"/>
    <s v="KSIPL"/>
    <n v="4.3478260869565223E-2"/>
    <n v="3273"/>
    <x v="35"/>
    <s v="YawUntwistCCW: Code__,_______°"/>
    <m/>
    <d v="1899-12-30T20:58:00"/>
    <d v="1899-12-30T20:58:00"/>
    <d v="1899-12-30T21:20:00"/>
    <d v="1899-12-30T00:00:00"/>
    <n v="0.36666666666666536"/>
    <n v="0.36666666666666536"/>
    <s v="Auto cable twist."/>
    <s v="Close"/>
    <n v="1.594202898550719E-2"/>
    <n v="1"/>
    <n v="2E-3"/>
    <m/>
  </r>
  <r>
    <n v="3174"/>
    <n v="2025"/>
    <n v="2024"/>
    <s v="Year_2"/>
    <d v="2024-12-21T00:00:00"/>
    <s v="KUD13"/>
    <s v="O2R1"/>
    <s v="KSIPL"/>
    <n v="4.3478260869565223E-2"/>
    <n v="3273"/>
    <x v="35"/>
    <s v="YawUntwistCCW: Code__,_______°"/>
    <m/>
    <d v="1899-12-30T01:21:00"/>
    <d v="1899-12-30T01:21:00"/>
    <d v="1899-12-30T01:49:00"/>
    <d v="1899-12-30T00:00:00"/>
    <n v="0.46666666666666651"/>
    <n v="0.46666666666666651"/>
    <s v="Auto cable twist."/>
    <s v="Close"/>
    <n v="2.0289855072463763E-2"/>
    <n v="1"/>
    <n v="3.6999999999999998E-2"/>
    <m/>
  </r>
  <r>
    <n v="3175"/>
    <n v="2025"/>
    <n v="2024"/>
    <s v="Year_2"/>
    <d v="2024-12-21T00:00:00"/>
    <s v="KUD14"/>
    <s v="O2R1"/>
    <s v="KSIPL"/>
    <n v="4.3478260869565223E-2"/>
    <n v="3273"/>
    <x v="35"/>
    <s v="YawUntwistCCW: Code__,_______°"/>
    <m/>
    <d v="1899-12-30T01:24:00"/>
    <d v="1899-12-30T01:24:00"/>
    <d v="1899-12-30T01:51:00"/>
    <d v="1899-12-30T00:00:00"/>
    <n v="0.45000000000000007"/>
    <n v="0.45000000000000007"/>
    <s v="Auto cable twist."/>
    <s v="Close"/>
    <n v="1.9565217391304353E-2"/>
    <n v="1"/>
    <n v="3.2000000000000001E-2"/>
    <m/>
  </r>
  <r>
    <n v="3176"/>
    <n v="2025"/>
    <n v="2024"/>
    <s v="Year_2"/>
    <d v="2024-12-21T00:00:00"/>
    <s v="KUD15"/>
    <s v="O2R1"/>
    <s v="KSIPL"/>
    <n v="4.3478260869565223E-2"/>
    <n v="3273"/>
    <x v="35"/>
    <s v="YawUntwistCCW: Code__,_______°"/>
    <m/>
    <d v="1899-12-30T13:16:00"/>
    <d v="1899-12-30T13:16:00"/>
    <d v="1899-12-30T13:49:00"/>
    <d v="1899-12-30T00:00:00"/>
    <n v="0.54999999999999805"/>
    <n v="0.54999999999999805"/>
    <s v="Auto cable twist."/>
    <s v="Close"/>
    <n v="2.3913043478260787E-2"/>
    <n v="1"/>
    <n v="2E-3"/>
    <m/>
  </r>
  <r>
    <n v="3177"/>
    <n v="2025"/>
    <n v="2024"/>
    <s v="Year_2"/>
    <d v="2024-12-21T00:00:00"/>
    <s v="KUD20"/>
    <s v="O2R1"/>
    <s v="KSIPL"/>
    <n v="4.3478260869565223E-2"/>
    <n v="3273"/>
    <x v="35"/>
    <s v="YawUntwistCCW: Code__,_______°"/>
    <m/>
    <d v="1899-12-30T20:15:00"/>
    <d v="1899-12-30T20:15:00"/>
    <d v="1899-12-30T20:35:00"/>
    <d v="1899-12-30T00:00:00"/>
    <n v="0.33333333333333215"/>
    <n v="0.33333333333333215"/>
    <s v="Auto cable twist."/>
    <s v="Close"/>
    <n v="1.4492753623188356E-2"/>
    <n v="1"/>
    <n v="2E-3"/>
    <m/>
  </r>
  <r>
    <n v="3178"/>
    <n v="2025"/>
    <n v="2024"/>
    <s v="Year_2"/>
    <d v="2024-12-21T00:00:00"/>
    <s v="KUD04"/>
    <s v="O2R3"/>
    <s v="JK"/>
    <n v="4.3478260869565223E-2"/>
    <n v="3273"/>
    <x v="35"/>
    <s v="YawUntwistCCW: Code__,_______°"/>
    <m/>
    <d v="1899-12-30T20:18:00"/>
    <d v="1899-12-30T20:18:00"/>
    <d v="1899-12-30T20:39:00"/>
    <d v="1899-12-30T00:00:00"/>
    <n v="0.35000000000000142"/>
    <n v="0.35000000000000142"/>
    <s v="Auto cable twist."/>
    <s v="Close"/>
    <n v="1.5217391304347889E-2"/>
    <n v="1"/>
    <n v="1E-3"/>
    <m/>
  </r>
  <r>
    <n v="3179"/>
    <n v="2025"/>
    <n v="2024"/>
    <s v="Year_2"/>
    <d v="2024-12-21T00:00:00"/>
    <s v="KUD05"/>
    <s v="O2R3"/>
    <s v="JK"/>
    <n v="4.3478260869565223E-2"/>
    <n v="3273"/>
    <x v="35"/>
    <s v="YawUntwistCCW: Code__,_______°"/>
    <m/>
    <d v="1899-12-30T09:16:00"/>
    <d v="1899-12-30T09:16:00"/>
    <d v="1899-12-30T09:36:00"/>
    <d v="1899-12-30T00:00:00"/>
    <n v="0.33333333333333348"/>
    <n v="0.33333333333333348"/>
    <s v="Auto cable twist."/>
    <s v="Close"/>
    <n v="1.4492753623188415E-2"/>
    <n v="1"/>
    <n v="4.0000000000000001E-3"/>
    <m/>
  </r>
  <r>
    <n v="3180"/>
    <n v="2025"/>
    <n v="2024"/>
    <s v="Year_2"/>
    <d v="2024-12-21T00:00:00"/>
    <s v="KUD07"/>
    <s v="O2R3"/>
    <s v="JK"/>
    <n v="4.3478260869565223E-2"/>
    <n v="3273"/>
    <x v="35"/>
    <s v="YawUntwistCCW: Code__,_______°"/>
    <m/>
    <d v="1899-12-30T21:04:00"/>
    <d v="1899-12-30T21:04:00"/>
    <d v="1899-12-30T21:23:00"/>
    <d v="1899-12-30T00:00:00"/>
    <n v="0.31666666666666821"/>
    <n v="0.31666666666666821"/>
    <s v="Auto cable twist."/>
    <s v="Close"/>
    <n v="1.3768115942029055E-2"/>
    <n v="1"/>
    <n v="1E-3"/>
    <m/>
  </r>
  <r>
    <n v="3181"/>
    <n v="2025"/>
    <n v="2024"/>
    <s v="Year_2"/>
    <d v="2024-12-21T00:00:00"/>
    <s v="KUD17"/>
    <s v="O2R2"/>
    <s v="SIL"/>
    <n v="4.3478260869565223E-2"/>
    <n v="3273"/>
    <x v="35"/>
    <s v="YawUntwistCCW: Code__,_______°"/>
    <s v="Breakdown"/>
    <d v="1899-12-30T22:19:00"/>
    <d v="1899-12-30T22:19:00"/>
    <d v="1899-12-30T23:59:00"/>
    <d v="1899-12-30T00:00:00"/>
    <n v="1.6666666666666661"/>
    <n v="1.6666666666666661"/>
    <s v="Restoration work in progress."/>
    <s v="Close"/>
    <n v="7.2463768115942018E-2"/>
    <n v="1"/>
    <n v="0.95"/>
    <m/>
  </r>
  <r>
    <n v="3182"/>
    <n v="2025"/>
    <n v="2024"/>
    <s v="Year_2"/>
    <d v="2024-12-21T00:00:00"/>
    <s v="KUD18"/>
    <s v="O2R4"/>
    <s v="SGDCIPL"/>
    <n v="4.3478260869565223E-2"/>
    <n v="3273"/>
    <x v="35"/>
    <s v="YawUntwistCCW: Code__,_______°"/>
    <m/>
    <d v="1899-12-30T01:24:00"/>
    <d v="1899-12-30T01:24:00"/>
    <d v="1899-12-30T01:51:00"/>
    <d v="1899-12-30T00:00:00"/>
    <n v="0.45000000000000007"/>
    <n v="0.45000000000000007"/>
    <s v="Auto cable twist."/>
    <s v="Close"/>
    <n v="1.9565217391304353E-2"/>
    <n v="1"/>
    <n v="4.1000000000000002E-2"/>
    <m/>
  </r>
  <r>
    <n v="3183"/>
    <n v="2025"/>
    <n v="2024"/>
    <s v="Year_2"/>
    <d v="2024-12-21T00:00:00"/>
    <s v="KUD22"/>
    <s v="O2R3"/>
    <s v="JK"/>
    <n v="4.3478260869565223E-2"/>
    <n v="3273"/>
    <x v="35"/>
    <s v="YawUntwistCCW: Code__,_______°"/>
    <m/>
    <d v="1899-12-30T09:45:00"/>
    <d v="1899-12-30T09:45:00"/>
    <d v="1899-12-30T10:06:00"/>
    <d v="1899-12-30T00:00:00"/>
    <n v="0.35000000000000009"/>
    <n v="0.35000000000000009"/>
    <s v="Auto cable twist."/>
    <s v="Close"/>
    <n v="1.5217391304347832E-2"/>
    <n v="1"/>
    <n v="1E-3"/>
    <m/>
  </r>
  <r>
    <n v="3184"/>
    <n v="2025"/>
    <n v="2024"/>
    <s v="Year_2"/>
    <d v="2024-12-21T00:00:00"/>
    <s v="KUD23"/>
    <s v="O2R3"/>
    <s v="JK"/>
    <n v="4.3478260869565223E-2"/>
    <n v="3273"/>
    <x v="35"/>
    <s v="YawUntwistCCW: Code__,_______°"/>
    <m/>
    <d v="1899-12-30T09:59:00"/>
    <d v="1899-12-30T09:59:00"/>
    <d v="1899-12-30T10:19:00"/>
    <d v="1899-12-30T00:00:00"/>
    <n v="0.33333333333333348"/>
    <n v="0.33333333333333348"/>
    <s v="Auto cable twist."/>
    <s v="Close"/>
    <n v="1.4492753623188415E-2"/>
    <n v="1"/>
    <n v="0"/>
    <m/>
  </r>
  <r>
    <n v="3185"/>
    <n v="2025"/>
    <n v="2024"/>
    <s v="Year_2"/>
    <d v="2024-12-22T00:00:00"/>
    <s v="KUD01"/>
    <s v="O2R1"/>
    <s v="KSIPL"/>
    <n v="4.3478260869565223E-2"/>
    <n v="450"/>
    <x v="127"/>
    <s v="Ext. High I sum Grd inv."/>
    <s v="Breakdown"/>
    <d v="1899-12-30T03:12:00"/>
    <d v="1899-12-30T03:12:00"/>
    <d v="1899-12-30T03:19:00"/>
    <d v="1899-12-30T00:00:00"/>
    <n v="0.11666666666666692"/>
    <n v="0.11666666666666692"/>
    <s v="Auto reset"/>
    <s v="Close"/>
    <n v="5.0724637681159538E-3"/>
    <n v="1"/>
    <n v="6.0000000000000001E-3"/>
    <m/>
  </r>
  <r>
    <n v="3186"/>
    <n v="2025"/>
    <n v="2024"/>
    <s v="Year_2"/>
    <d v="2024-12-22T00:00:00"/>
    <s v="KUD01"/>
    <s v="O2R1"/>
    <s v="KSIPL"/>
    <n v="4.3478260869565223E-2"/>
    <n v="3273"/>
    <x v="35"/>
    <s v="YawUntwistCCW: Code 6,    540Â°"/>
    <m/>
    <d v="1899-12-30T12:55:00"/>
    <d v="1899-12-30T12:55:00"/>
    <d v="1899-12-30T13:17:00"/>
    <d v="1899-12-30T00:00:00"/>
    <n v="0.36666666666666803"/>
    <n v="0.36666666666666803"/>
    <s v="Auto cable twist."/>
    <s v="Close"/>
    <n v="1.5942028985507308E-2"/>
    <n v="1"/>
    <n v="1E-3"/>
    <m/>
  </r>
  <r>
    <n v="3187"/>
    <n v="2025"/>
    <n v="2024"/>
    <s v="Year_2"/>
    <d v="2024-12-22T00:00:00"/>
    <s v="KUD02"/>
    <s v="O2R3"/>
    <s v="JK"/>
    <n v="4.3478260869565223E-2"/>
    <n v="704"/>
    <x v="134"/>
    <s v="Ch High res. load C1 Load:100%"/>
    <s v="Breakdown"/>
    <d v="1899-12-30T09:26:00"/>
    <d v="1899-12-30T09:26:00"/>
    <d v="1899-12-30T10:27:00"/>
    <d v="1899-12-30T00:00:00"/>
    <n v="1.0166666666666671"/>
    <n v="1.0166666666666671"/>
    <s v="Remote reboot done"/>
    <s v="Close"/>
    <n v="4.4202898550724658E-2"/>
    <n v="1"/>
    <n v="4.0000000000000001E-3"/>
    <m/>
  </r>
  <r>
    <n v="3188"/>
    <n v="2025"/>
    <n v="2024"/>
    <s v="Year_2"/>
    <d v="2024-12-22T00:00:00"/>
    <s v="KUD03"/>
    <s v="O2R1"/>
    <s v="KSIPL"/>
    <n v="4.3478260869565223E-2"/>
    <n v="3272"/>
    <x v="143"/>
    <s v="YawUntwistCW: Code 2,-000540Â°"/>
    <m/>
    <d v="1899-12-30T16:34:00"/>
    <d v="1899-12-30T16:34:00"/>
    <d v="1899-12-30T16:56:00"/>
    <d v="1899-12-30T00:00:00"/>
    <n v="0.36666666666666803"/>
    <n v="0.36666666666666803"/>
    <s v="Auto cable twist."/>
    <s v="Close"/>
    <n v="1.5942028985507308E-2"/>
    <n v="1"/>
    <n v="1E-3"/>
    <m/>
  </r>
  <r>
    <n v="3189"/>
    <n v="2025"/>
    <n v="2024"/>
    <s v="Year_2"/>
    <d v="2024-12-22T00:00:00"/>
    <s v="KUD11"/>
    <s v="O2R1"/>
    <s v="KSIPL"/>
    <n v="4.3478260869565223E-2"/>
    <n v="3272"/>
    <x v="143"/>
    <s v="YawUntwistCW: Code 3,-000540Â°"/>
    <m/>
    <d v="1899-12-30T15:21:00"/>
    <d v="1899-12-30T15:21:00"/>
    <d v="1899-12-30T15:43:00"/>
    <d v="1899-12-30T00:00:00"/>
    <n v="0.36666666666666803"/>
    <n v="0.36666666666666803"/>
    <s v="Auto cable twist."/>
    <s v="Close"/>
    <n v="1.5942028985507308E-2"/>
    <n v="1"/>
    <n v="2E-3"/>
    <m/>
  </r>
  <r>
    <n v="3190"/>
    <n v="2025"/>
    <n v="2024"/>
    <s v="Year_2"/>
    <d v="2024-12-22T00:00:00"/>
    <s v="KUD12"/>
    <s v="O2R1"/>
    <s v="KSIPL"/>
    <n v="4.3478260869565223E-2"/>
    <n v="3273"/>
    <x v="35"/>
    <s v="YawUntwistCCW: Code 5,    540Â°"/>
    <m/>
    <d v="1899-12-30T16:14:00"/>
    <d v="1899-12-30T16:14:00"/>
    <d v="1899-12-30T16:39:00"/>
    <d v="1899-12-30T00:00:00"/>
    <n v="0.41666666666666519"/>
    <n v="0.41666666666666519"/>
    <s v="Auto cable twist."/>
    <s v="Close"/>
    <n v="1.8115942028985445E-2"/>
    <n v="1"/>
    <n v="1E-3"/>
    <m/>
  </r>
  <r>
    <n v="3191"/>
    <n v="2025"/>
    <n v="2024"/>
    <s v="Year_2"/>
    <d v="2024-12-22T00:00:00"/>
    <s v="KUD15"/>
    <s v="O2R1"/>
    <s v="KSIPL"/>
    <n v="4.3478260869565223E-2"/>
    <n v="3273"/>
    <x v="35"/>
    <s v="YawUntwistCCW: Code 6,    540Â°"/>
    <m/>
    <d v="1899-12-30T12:19:00"/>
    <d v="1899-12-30T12:19:00"/>
    <d v="1899-12-30T12:52:00"/>
    <d v="1899-12-30T00:00:00"/>
    <n v="0.55000000000000071"/>
    <n v="0.55000000000000071"/>
    <s v="Auto cable twist."/>
    <s v="Close"/>
    <n v="2.3913043478260905E-2"/>
    <n v="1"/>
    <n v="1E-3"/>
    <m/>
  </r>
  <r>
    <n v="3192"/>
    <n v="2025"/>
    <n v="2024"/>
    <s v="Year_2"/>
    <d v="2024-12-22T00:00:00"/>
    <s v="KUD15"/>
    <s v="O2R1"/>
    <s v="KSIPL"/>
    <n v="4.3478260869565223E-2"/>
    <n v="3273"/>
    <x v="35"/>
    <s v="YawUntwistCCW: Code 6,    639Â°"/>
    <m/>
    <d v="1899-12-30T13:05:00"/>
    <d v="1899-12-30T13:05:00"/>
    <d v="1899-12-30T13:38:00"/>
    <d v="1899-12-30T00:00:00"/>
    <n v="0.55000000000000071"/>
    <n v="0.55000000000000071"/>
    <s v="Auto cable twist."/>
    <s v="Close"/>
    <n v="2.3913043478260905E-2"/>
    <n v="1"/>
    <n v="2E-3"/>
    <m/>
  </r>
  <r>
    <n v="3193"/>
    <n v="2025"/>
    <n v="2024"/>
    <s v="Year_2"/>
    <d v="2024-12-22T00:00:00"/>
    <s v="KUD15"/>
    <s v="O2R1"/>
    <s v="KSIPL"/>
    <n v="4.3478260869565223E-2"/>
    <n v="3273"/>
    <x v="35"/>
    <s v="YawUntwistCCW: Code 6,    662Â°"/>
    <m/>
    <d v="1899-12-30T14:11:00"/>
    <d v="1899-12-30T14:11:00"/>
    <d v="1899-12-30T14:36:00"/>
    <d v="1899-12-30T00:00:00"/>
    <n v="0.41666666666666519"/>
    <n v="0.41666666666666519"/>
    <s v="Auto cable twist."/>
    <s v="Close"/>
    <n v="1.8115942028985445E-2"/>
    <n v="1"/>
    <n v="2E-3"/>
    <m/>
  </r>
  <r>
    <n v="3194"/>
    <n v="2025"/>
    <n v="2024"/>
    <s v="Year_2"/>
    <d v="2024-12-22T00:00:00"/>
    <s v="KUD15"/>
    <s v="O2R1"/>
    <s v="KSIPL"/>
    <n v="4.3478260869565223E-2"/>
    <n v="3273"/>
    <x v="35"/>
    <s v="YawUntwistCCW: Code 6,    610Â°"/>
    <m/>
    <d v="1899-12-30T15:34:00"/>
    <d v="1899-12-30T15:34:00"/>
    <d v="1899-12-30T16:05:00"/>
    <d v="1899-12-30T00:00:00"/>
    <n v="0.51666666666666483"/>
    <n v="0.51666666666666483"/>
    <s v="Auto cable twist."/>
    <s v="Close"/>
    <n v="2.2463768115941952E-2"/>
    <n v="1"/>
    <n v="2E-3"/>
    <m/>
  </r>
  <r>
    <n v="3195"/>
    <n v="2025"/>
    <n v="2024"/>
    <s v="Year_2"/>
    <d v="2024-12-22T00:00:00"/>
    <s v="KUD16"/>
    <s v="O2R2"/>
    <s v="SIL"/>
    <n v="4.3478260869565223E-2"/>
    <n v="3273"/>
    <x v="35"/>
    <s v="YawUntwistCCW: Code 6,    540Â°"/>
    <m/>
    <d v="1899-12-30T13:45:00"/>
    <d v="1899-12-30T13:45:00"/>
    <d v="1899-12-30T14:05:00"/>
    <d v="1899-12-30T00:00:00"/>
    <n v="0.33333333333333481"/>
    <n v="0.33333333333333481"/>
    <s v="Auto cable twist."/>
    <s v="Close"/>
    <n v="1.4492753623188472E-2"/>
    <n v="1"/>
    <n v="2E-3"/>
    <m/>
  </r>
  <r>
    <n v="3196"/>
    <n v="2025"/>
    <n v="2024"/>
    <s v="Year_2"/>
    <d v="2024-12-22T00:00:00"/>
    <s v="KUD17"/>
    <s v="O2R2"/>
    <s v="SIL"/>
    <n v="4.3478260869565223E-2"/>
    <n v="3483"/>
    <x v="168"/>
    <s v="GearOilTempLow -26Â°C"/>
    <s v="Breakdown"/>
    <d v="1899-12-30T00:00:00"/>
    <d v="1899-12-30T00:00:00"/>
    <d v="1899-12-30T00:54:00"/>
    <d v="1899-12-30T00:00:00"/>
    <n v="0.89999999999999991"/>
    <n v="0.89999999999999991"/>
    <s v="Oil level sensor cable connector loosen condition after tightened and VCS panel temperature high warning checked internal fan was failure then replaced to VFD.Now temp normal condition"/>
    <s v="Close"/>
    <n v="3.9130434782608699E-2"/>
    <n v="1"/>
    <n v="0.26800000000000002"/>
    <m/>
  </r>
  <r>
    <n v="3197"/>
    <n v="2025"/>
    <n v="2024"/>
    <s v="Year_2"/>
    <d v="2024-12-22T00:00:00"/>
    <s v="KUD21"/>
    <s v="O2R3"/>
    <s v="JK"/>
    <n v="4.3478260869565223E-2"/>
    <n v="3273"/>
    <x v="35"/>
    <s v="YawUntwistCCW: Code 6,    540Â°"/>
    <m/>
    <d v="1899-12-30T13:14:00"/>
    <d v="1899-12-30T13:14:00"/>
    <d v="1899-12-30T13:36:00"/>
    <d v="1899-12-30T00:00:00"/>
    <n v="0.36666666666666536"/>
    <n v="0.36666666666666536"/>
    <s v="Auto cable twist."/>
    <s v="Close"/>
    <n v="1.594202898550719E-2"/>
    <n v="1"/>
    <n v="2E-3"/>
    <m/>
  </r>
  <r>
    <n v="3198"/>
    <n v="2025"/>
    <n v="2024"/>
    <s v="Year_2"/>
    <d v="2024-12-22T00:00:00"/>
    <s v="KUD22"/>
    <s v="O2R3"/>
    <s v="JK"/>
    <n v="4.3478260869565223E-2"/>
    <n v="3273"/>
    <x v="35"/>
    <s v="YawUntwistCCW: Code 6,    624Â°"/>
    <m/>
    <d v="1899-12-30T15:12:00"/>
    <d v="1899-12-30T15:12:00"/>
    <d v="1899-12-30T15:36:00"/>
    <d v="1899-12-30T00:00:00"/>
    <n v="0.40000000000000124"/>
    <n v="0.40000000000000124"/>
    <s v="Auto cable twist."/>
    <s v="Close"/>
    <n v="1.7391304347826143E-2"/>
    <n v="1"/>
    <n v="2E-3"/>
    <m/>
  </r>
  <r>
    <n v="3199"/>
    <n v="2025"/>
    <n v="2024"/>
    <s v="Year_2"/>
    <d v="2024-12-23T00:00:00"/>
    <s v="KUD07"/>
    <s v="O2R3"/>
    <s v="JK"/>
    <n v="4.3478260869565223E-2"/>
    <n v="3272"/>
    <x v="143"/>
    <s v="YawUntwistCW: Code 3,-000554Â°"/>
    <m/>
    <d v="1899-12-30T13:33:00"/>
    <d v="1899-12-30T13:33:00"/>
    <d v="1899-12-30T13:58:00"/>
    <d v="1899-12-30T00:00:00"/>
    <n v="0.41666666666666785"/>
    <n v="0.41666666666666785"/>
    <s v="Auto cable twist."/>
    <s v="Close"/>
    <n v="1.811594202898556E-2"/>
    <n v="1"/>
    <n v="0"/>
    <m/>
  </r>
  <r>
    <n v="3200"/>
    <n v="2025"/>
    <n v="2024"/>
    <s v="Year_2"/>
    <d v="2024-12-23T00:00:00"/>
    <s v="KUD09"/>
    <s v="O2R3"/>
    <s v="JK"/>
    <n v="4.3478260869565223E-2"/>
    <n v="900"/>
    <x v="100"/>
    <s v="Pause pressed on keyboard"/>
    <s v="Manual Stop"/>
    <d v="1899-12-30T10:20:00"/>
    <d v="1899-12-30T10:20:00"/>
    <d v="1899-12-30T13:46:00"/>
    <d v="1899-12-30T00:00:00"/>
    <n v="3.4333333333333318"/>
    <n v="3.4333333333333318"/>
    <s v="Blade internal and external inspection work done"/>
    <s v="Close"/>
    <n v="0.14927536231884053"/>
    <n v="1"/>
    <n v="0.23400000000000001"/>
    <m/>
  </r>
  <r>
    <n v="3201"/>
    <n v="2025"/>
    <n v="2024"/>
    <s v="Year_2"/>
    <d v="2024-12-23T00:00:00"/>
    <s v="KUD15"/>
    <s v="O2R1"/>
    <s v="KSIPL"/>
    <n v="4.3478260869565223E-2"/>
    <n v="3273"/>
    <x v="35"/>
    <s v="YawUntwistCCW: Code 6,    673Â°"/>
    <m/>
    <d v="1899-12-30T16:32:00"/>
    <d v="1899-12-30T16:32:00"/>
    <d v="1899-12-30T17:06:00"/>
    <d v="1899-12-30T00:00:00"/>
    <n v="0.56666666666666732"/>
    <n v="0.56666666666666732"/>
    <s v="Auto cable twist."/>
    <s v="Close"/>
    <n v="2.4637681159420322E-2"/>
    <n v="1"/>
    <n v="1.7999999999999999E-2"/>
    <m/>
  </r>
  <r>
    <n v="3202"/>
    <n v="2025"/>
    <n v="2024"/>
    <s v="Year_2"/>
    <d v="2024-12-23T00:00:00"/>
    <s v="KUD22"/>
    <s v="O2R3"/>
    <s v="JK"/>
    <n v="4.3478260869565223E-2"/>
    <n v="900"/>
    <x v="100"/>
    <s v="Pause pressed on keyboard"/>
    <s v="Manual Stop"/>
    <d v="1899-12-30T12:55:00"/>
    <d v="1899-12-30T12:55:00"/>
    <d v="1899-12-30T17:20:00"/>
    <d v="1899-12-30T00:00:00"/>
    <n v="4.416666666666667"/>
    <n v="4.416666666666667"/>
    <s v="Blade internal and external inspection work done"/>
    <s v="Close"/>
    <n v="0.19202898550724642"/>
    <n v="1"/>
    <n v="0.56699999999999995"/>
    <m/>
  </r>
  <r>
    <n v="3203"/>
    <n v="2025"/>
    <n v="2024"/>
    <s v="Year_2"/>
    <d v="2024-12-24T00:00:00"/>
    <s v="KUD01"/>
    <s v="O2R1"/>
    <s v="KSIPL"/>
    <n v="4.3478260869565223E-2"/>
    <n v="900"/>
    <x v="100"/>
    <s v="Pause pressed on keyboard"/>
    <s v="Manual Stop"/>
    <d v="2024-12-24T10:31:39"/>
    <d v="2024-12-24T10:31:39"/>
    <d v="2024-12-24T14:23:20"/>
    <d v="1899-12-30T00:00:00"/>
    <n v="3.8613888889085501"/>
    <n v="3.8613888889085501"/>
    <s v="Blade internal and external inspection work done"/>
    <s v="Close"/>
    <n v="0.16788647343080654"/>
    <n v="1"/>
    <n v="0.30399999999999999"/>
    <m/>
  </r>
  <r>
    <n v="3204"/>
    <n v="2025"/>
    <n v="2024"/>
    <s v="Year_2"/>
    <d v="2024-12-24T00:00:00"/>
    <s v="KUD01"/>
    <s v="O2R1"/>
    <s v="KSIPL"/>
    <n v="4.3478260869565223E-2"/>
    <n v="450"/>
    <x v="127"/>
    <s v="Ext. High I sum Grd inv."/>
    <s v="Breakdown"/>
    <d v="2024-12-24T21:36:48"/>
    <d v="2024-12-24T21:36:48"/>
    <d v="2024-12-24T21:49:14"/>
    <d v="1899-12-30T00:00:00"/>
    <n v="0.20722222229233012"/>
    <n v="0.20722222229233012"/>
    <s v="Auto reset"/>
    <s v="Close"/>
    <n v="9.0096618387969628E-3"/>
    <n v="1"/>
    <n v="6.6000000000000003E-2"/>
    <m/>
  </r>
  <r>
    <n v="3205"/>
    <n v="2025"/>
    <n v="2024"/>
    <s v="Year_2"/>
    <d v="2024-12-24T00:00:00"/>
    <s v="KUD10"/>
    <s v="O2R1"/>
    <s v="KSIPL"/>
    <n v="4.3478260869565223E-2"/>
    <n v="5197"/>
    <x v="54"/>
    <s v="Prop Valve C Status Fault"/>
    <s v="Breakdown"/>
    <d v="2024-12-24T12:32:53"/>
    <d v="2024-12-24T12:32:53"/>
    <d v="2024-12-24T12:40:44"/>
    <d v="1899-12-30T00:00:00"/>
    <n v="0.1308333333581686"/>
    <n v="0.1308333333581686"/>
    <s v="Auto reset"/>
    <s v="Close"/>
    <n v="5.6884057981812447E-3"/>
    <n v="1"/>
    <n v="4.0000000000000001E-3"/>
    <m/>
  </r>
  <r>
    <n v="3206"/>
    <n v="2025"/>
    <n v="2024"/>
    <s v="Year_2"/>
    <d v="2024-12-24T00:00:00"/>
    <s v="KUD18"/>
    <s v="O2R4"/>
    <s v="SGDCIPL"/>
    <n v="4.3478260869565223E-2"/>
    <n v="900"/>
    <x v="100"/>
    <s v="Pause pressed on keyboard"/>
    <s v="Manual Stop"/>
    <d v="2024-12-24T09:57:55"/>
    <d v="2024-12-24T09:57:55"/>
    <d v="2024-12-24T13:59:15"/>
    <d v="1899-12-30T00:00:00"/>
    <n v="4.0222222221200354"/>
    <n v="4.0222222221200354"/>
    <s v="Blade internal and external inspection work done"/>
    <s v="Close"/>
    <n v="0.17487922704869721"/>
    <n v="1"/>
    <n v="0.31900000000000001"/>
    <m/>
  </r>
  <r>
    <n v="3207"/>
    <n v="2025"/>
    <n v="2024"/>
    <s v="Year_2"/>
    <d v="2024-12-24T00:00:00"/>
    <s v="KUD22"/>
    <s v="O2R3"/>
    <s v="JK"/>
    <n v="4.3478260869565223E-2"/>
    <n v="3273"/>
    <x v="35"/>
    <s v="YawUntwistCCW: Code 6,    728Â°"/>
    <m/>
    <d v="2024-12-24T04:16:48"/>
    <d v="2024-12-24T04:16:48"/>
    <d v="2024-12-24T04:46:29"/>
    <d v="1899-12-30T00:00:00"/>
    <n v="0.49472222209442407"/>
    <n v="0.49472222209442407"/>
    <s v="Auto cable twist."/>
    <s v="Close"/>
    <n v="2.1509661830192355E-2"/>
    <n v="1"/>
    <n v="5.0000000000000001E-3"/>
    <m/>
  </r>
  <r>
    <n v="3208"/>
    <n v="2025"/>
    <n v="2024"/>
    <s v="Year_2"/>
    <d v="2024-12-25T00:00:00"/>
    <s v="KUD05"/>
    <s v="O2R3"/>
    <s v="JK"/>
    <n v="4.3478260869565223E-2"/>
    <n v="3273"/>
    <x v="35"/>
    <s v="YawUntwistCCW: Code 5,    540Â°"/>
    <m/>
    <d v="2024-12-25T12:58:12"/>
    <d v="2024-12-25T12:58:12"/>
    <d v="2024-12-25T13:20:04"/>
    <d v="1899-12-30T00:00:00"/>
    <n v="0.36444444459630176"/>
    <n v="0.36444444459630176"/>
    <s v="Auto cable twist."/>
    <s v="Close"/>
    <n v="1.5845410634621818E-2"/>
    <n v="1"/>
    <n v="2E-3"/>
    <m/>
  </r>
  <r>
    <n v="3209"/>
    <n v="2025"/>
    <n v="2024"/>
    <s v="Year_2"/>
    <d v="2024-12-25T00:00:00"/>
    <s v="KUD08"/>
    <s v="O2R3"/>
    <s v="JK"/>
    <n v="4.3478260869565223E-2"/>
    <n v="3273"/>
    <x v="35"/>
    <s v="YawUntwistCCW: Code 6,    540Â°"/>
    <m/>
    <d v="2024-12-25T13:16:07"/>
    <d v="2024-12-25T13:16:07"/>
    <d v="2024-12-25T13:36:10"/>
    <d v="1899-12-30T00:00:00"/>
    <n v="0.33416666655102745"/>
    <n v="0.33416666655102745"/>
    <s v="Auto cable twist."/>
    <s v="Close"/>
    <n v="1.4528985502218587E-2"/>
    <n v="1"/>
    <n v="1E-3"/>
    <m/>
  </r>
  <r>
    <n v="3210"/>
    <n v="2025"/>
    <n v="2024"/>
    <s v="Year_2"/>
    <d v="2024-12-25T00:00:00"/>
    <s v="KUD15"/>
    <s v="O2R1"/>
    <s v="KSIPL"/>
    <n v="4.3478260869565223E-2"/>
    <n v="3273"/>
    <x v="35"/>
    <s v="YawUntwistCCW: Code 6,    540Â°"/>
    <m/>
    <d v="2024-12-25T03:05:49"/>
    <d v="2024-12-25T03:05:49"/>
    <d v="2024-12-25T03:25:45"/>
    <d v="1899-12-30T00:00:00"/>
    <n v="0.33222222217591479"/>
    <n v="0.33222222217591479"/>
    <s v="Auto cable twist."/>
    <s v="Close"/>
    <n v="1.444444444243108E-2"/>
    <n v="1"/>
    <n v="2E-3"/>
    <m/>
  </r>
  <r>
    <n v="3211"/>
    <n v="2025"/>
    <n v="2024"/>
    <s v="Year_2"/>
    <d v="2024-12-25T00:00:00"/>
    <s v="KUD15"/>
    <s v="O2R1"/>
    <s v="KSIPL"/>
    <n v="4.3478260869565223E-2"/>
    <n v="3273"/>
    <x v="35"/>
    <s v="YawUntwistCCW: Code 6,    540Â°"/>
    <m/>
    <d v="2024-12-25T11:39:09"/>
    <d v="2024-12-25T11:39:09"/>
    <d v="2024-12-25T12:00:57"/>
    <d v="1899-12-30T00:00:00"/>
    <n v="0.36333333340007812"/>
    <n v="0.36333333340007812"/>
    <s v="Auto cable twist."/>
    <s v="Close"/>
    <n v="1.579710145217731E-2"/>
    <n v="1"/>
    <n v="2E-3"/>
    <m/>
  </r>
  <r>
    <n v="3212"/>
    <n v="2025"/>
    <n v="2024"/>
    <s v="Year_2"/>
    <d v="2024-12-25T00:00:00"/>
    <s v="KUD15"/>
    <s v="O2R1"/>
    <s v="KSIPL"/>
    <n v="4.3478260869565223E-2"/>
    <n v="3273"/>
    <x v="35"/>
    <s v="YawUntwistCCW: Code 6,    665Â°"/>
    <m/>
    <d v="2024-12-25T13:08:52"/>
    <d v="2024-12-25T13:08:52"/>
    <d v="2024-12-25T13:33:46"/>
    <d v="1899-12-30T00:00:00"/>
    <n v="0.41499999992083758"/>
    <n v="0.41499999992083758"/>
    <s v="Auto cable twist."/>
    <s v="Close"/>
    <n v="1.8043478257427723E-2"/>
    <n v="1"/>
    <n v="2E-3"/>
    <m/>
  </r>
  <r>
    <n v="3213"/>
    <n v="2025"/>
    <n v="2024"/>
    <s v="Year_2"/>
    <d v="2024-12-25T00:00:00"/>
    <s v="KUD16"/>
    <s v="O2R2"/>
    <s v="SIL"/>
    <n v="4.3478260869565223E-2"/>
    <n v="900"/>
    <x v="100"/>
    <s v="Pause pressed on keyboard"/>
    <s v="Manual Stop"/>
    <d v="1899-12-30T10:16:00"/>
    <d v="1899-12-30T10:16:00"/>
    <d v="1899-12-30T14:08:00"/>
    <d v="1899-12-30T00:00:00"/>
    <n v="3.8666666666666676"/>
    <n v="3.8666666666666676"/>
    <s v="Blade internal and external inspection work done"/>
    <s v="Close"/>
    <n v="0.16811594202898558"/>
    <n v="1"/>
    <n v="-6.0000000000000001E-3"/>
    <m/>
  </r>
  <r>
    <n v="3214"/>
    <n v="2025"/>
    <n v="2024"/>
    <s v="Year_2"/>
    <d v="2024-12-25T00:00:00"/>
    <s v="KUD23"/>
    <s v="O2R3"/>
    <s v="JK"/>
    <n v="4.3478260869565223E-2"/>
    <n v="900"/>
    <x v="100"/>
    <s v="Pause pressed on keyboard"/>
    <s v="Manual Stop"/>
    <d v="1899-12-30T10:35:00"/>
    <d v="1899-12-30T10:35:00"/>
    <d v="1899-12-30T12:41:00"/>
    <d v="1899-12-30T00:00:00"/>
    <n v="2.1000000000000005"/>
    <n v="2.1000000000000005"/>
    <s v="Blade internal  inspection work done"/>
    <s v="Close"/>
    <n v="9.1304347826086998E-2"/>
    <n v="1"/>
    <n v="-5.0000000000000001E-3"/>
    <m/>
  </r>
  <r>
    <n v="3215"/>
    <n v="2025"/>
    <n v="2024"/>
    <s v="Year_2"/>
    <d v="2024-12-26T00:00:00"/>
    <s v="KUD01"/>
    <s v="O2R1"/>
    <s v="KSIPL"/>
    <n v="4.3478260869565223E-2"/>
    <n v="2676"/>
    <x v="124"/>
    <s v="UPS Error"/>
    <s v="Breakdown"/>
    <d v="1899-12-30T17:45:00"/>
    <d v="1899-12-30T17:45:00"/>
    <d v="1899-12-30T18:22:00"/>
    <d v="1899-12-30T00:00:00"/>
    <n v="0.61666666666666448"/>
    <n v="0.61666666666666448"/>
    <s v="UPS Manually reset done."/>
    <s v="Close"/>
    <n v="2.681159420289846E-2"/>
    <n v="1"/>
    <n v="0.40699999999999997"/>
    <m/>
  </r>
  <r>
    <n v="3216"/>
    <n v="2025"/>
    <n v="2024"/>
    <s v="Year_2"/>
    <d v="2024-12-26T00:00:00"/>
    <s v="KUD04"/>
    <s v="O2R3"/>
    <s v="JK"/>
    <n v="4.3478260869565223E-2"/>
    <n v="2676"/>
    <x v="124"/>
    <s v="UPS Error"/>
    <s v="Breakdown"/>
    <d v="1899-12-30T17:45:00"/>
    <d v="1899-12-30T17:45:00"/>
    <d v="1899-12-30T18:18:00"/>
    <d v="1899-12-30T00:00:00"/>
    <n v="0.54999999999999805"/>
    <n v="0.54999999999999805"/>
    <s v="UPS Manually reset done."/>
    <s v="Close"/>
    <n v="2.3913043478260787E-2"/>
    <n v="1"/>
    <n v="0.13300000000000001"/>
    <m/>
  </r>
  <r>
    <n v="3217"/>
    <n v="2025"/>
    <n v="2024"/>
    <s v="Year_2"/>
    <d v="2024-12-26T00:00:00"/>
    <s v="KUD03"/>
    <s v="O2R1"/>
    <s v="KSIPL"/>
    <n v="4.3478260869565223E-2"/>
    <n v="4235"/>
    <x v="93"/>
    <s v="Gen Stator CB Open"/>
    <s v="Breakdown"/>
    <d v="1899-12-30T17:48:00"/>
    <d v="1899-12-30T17:48:00"/>
    <d v="1899-12-30T17:49:00"/>
    <d v="1899-12-30T00:00:00"/>
    <n v="1.6666666666666607E-2"/>
    <n v="1.6666666666666607E-2"/>
    <s v="Auto reset"/>
    <s v="Close"/>
    <n v="7.246376811594178E-4"/>
    <n v="1"/>
    <n v="0.151"/>
    <m/>
  </r>
  <r>
    <n v="3218"/>
    <n v="2025"/>
    <n v="2024"/>
    <s v="Year_2"/>
    <d v="2024-12-26T00:00:00"/>
    <s v="KUD11"/>
    <s v="O2R1"/>
    <s v="KSIPL"/>
    <n v="4.3478260869565223E-2"/>
    <n v="4235"/>
    <x v="93"/>
    <s v="Gen Stator CB Open"/>
    <s v="Breakdown"/>
    <d v="1899-12-30T17:51:00"/>
    <d v="1899-12-30T17:51:00"/>
    <d v="1899-12-30T17:52:00"/>
    <d v="1899-12-30T00:00:00"/>
    <n v="1.6666666666666607E-2"/>
    <n v="1.6666666666666607E-2"/>
    <s v="Auto reset"/>
    <s v="Close"/>
    <n v="7.246376811594178E-4"/>
    <n v="1"/>
    <n v="2.1000000000000001E-2"/>
    <m/>
  </r>
  <r>
    <n v="3219"/>
    <n v="2025"/>
    <n v="2024"/>
    <s v="Year_2"/>
    <d v="2024-12-26T00:00:00"/>
    <s v="KUD15"/>
    <s v="O2R1"/>
    <s v="KSIPL"/>
    <n v="4.3478260869565223E-2"/>
    <n v="2676"/>
    <x v="124"/>
    <s v="UPS Error"/>
    <s v="Breakdown"/>
    <d v="1899-12-30T17:45:00"/>
    <d v="1899-12-30T17:45:00"/>
    <d v="1899-12-30T18:43:00"/>
    <d v="1899-12-30T00:00:00"/>
    <n v="0.9666666666666659"/>
    <n v="0.9666666666666659"/>
    <s v="UPS Manually reset done."/>
    <s v="Close"/>
    <n v="4.2028985507246347E-2"/>
    <n v="1"/>
    <n v="0.46500000000000002"/>
    <m/>
  </r>
  <r>
    <n v="3220"/>
    <n v="2025"/>
    <n v="2024"/>
    <s v="Year_2"/>
    <d v="2024-12-26T00:00:00"/>
    <s v="KUD16"/>
    <s v="O2R2"/>
    <s v="SIL"/>
    <n v="4.3478260869565223E-2"/>
    <n v="2676"/>
    <x v="124"/>
    <s v="UPS Error"/>
    <s v="Breakdown"/>
    <d v="1899-12-30T17:45:00"/>
    <d v="1899-12-30T17:45:00"/>
    <d v="1899-12-30T18:48:00"/>
    <d v="1899-12-30T00:00:00"/>
    <n v="1.0499999999999989"/>
    <n v="1.0499999999999989"/>
    <s v="UPS Manually reset done."/>
    <s v="Close"/>
    <n v="4.5652173913043437E-2"/>
    <n v="1"/>
    <n v="0.49299999999999999"/>
    <m/>
  </r>
  <r>
    <n v="3221"/>
    <n v="2025"/>
    <n v="2024"/>
    <s v="Year_2"/>
    <d v="2024-12-26T00:00:00"/>
    <s v="KUD19"/>
    <s v="O2R1"/>
    <s v="KSIPL"/>
    <n v="4.3478260869565223E-2"/>
    <n v="3273"/>
    <x v="35"/>
    <s v="YawUntwistCCW: Code__,_______°"/>
    <m/>
    <d v="1899-12-30T02:58:00"/>
    <d v="1899-12-30T02:58:00"/>
    <d v="1899-12-30T03:23:00"/>
    <d v="1899-12-30T00:00:00"/>
    <n v="0.41666666666666652"/>
    <n v="0.41666666666666652"/>
    <s v="Auto cable twist."/>
    <s v="Close"/>
    <n v="1.8115942028985504E-2"/>
    <n v="1"/>
    <n v="0.03"/>
    <m/>
  </r>
  <r>
    <n v="3222"/>
    <n v="2025"/>
    <n v="2024"/>
    <s v="Year_2"/>
    <d v="2024-12-26T00:00:00"/>
    <s v="KUD20"/>
    <s v="O2R1"/>
    <s v="KSIPL"/>
    <n v="4.3478260869565223E-2"/>
    <n v="3806"/>
    <x v="147"/>
    <s v="HubSafetySystem Batt.Charg.Err"/>
    <s v="Breakdown"/>
    <d v="1899-12-30T17:45:00"/>
    <d v="1899-12-30T17:45:00"/>
    <d v="1899-12-30T18:21:00"/>
    <d v="1899-12-30T00:00:00"/>
    <n v="0.59999999999999787"/>
    <n v="0.59999999999999787"/>
    <s v="Auto reset"/>
    <s v="Close"/>
    <n v="2.6086956521739042E-2"/>
    <n v="1"/>
    <n v="0.29099999999999998"/>
    <m/>
  </r>
  <r>
    <n v="3223"/>
    <n v="2025"/>
    <n v="2024"/>
    <s v="Year_2"/>
    <d v="2024-12-27T00:00:00"/>
    <s v="KUD01"/>
    <s v="O2R1"/>
    <s v="KSIPL"/>
    <n v="4.3478260869565223E-2"/>
    <n v="450"/>
    <x v="127"/>
    <s v="Ext. High I sum Grd inv."/>
    <s v="Breakdown"/>
    <d v="1899-12-30T07:13:00"/>
    <d v="1899-12-30T07:13:00"/>
    <d v="1899-12-30T07:15:00"/>
    <d v="1899-12-30T00:00:00"/>
    <n v="3.3333333333333215E-2"/>
    <n v="3.3333333333333215E-2"/>
    <s v="Auto reset"/>
    <s v="Close"/>
    <n v="1.4492753623188356E-3"/>
    <n v="1"/>
    <n v="0.109"/>
    <m/>
  </r>
  <r>
    <n v="3224"/>
    <n v="2025"/>
    <n v="2024"/>
    <s v="Year_2"/>
    <d v="2024-12-27T00:00:00"/>
    <s v="KUD10"/>
    <s v="O2R1"/>
    <s v="KSIPL"/>
    <n v="4.3478260869565223E-2"/>
    <n v="5069"/>
    <x v="111"/>
    <s v="Pitch pos C meas. signal fault"/>
    <s v="Breakdown"/>
    <d v="1899-12-30T13:07:00"/>
    <d v="1899-12-30T13:07:00"/>
    <d v="1899-12-30T13:19:00"/>
    <d v="1899-12-30T00:00:00"/>
    <n v="0.20000000000000195"/>
    <n v="0.20000000000000195"/>
    <s v="Auto reset"/>
    <s v="Close"/>
    <n v="8.6956521739131303E-3"/>
    <n v="1"/>
    <n v="0.109"/>
    <m/>
  </r>
  <r>
    <n v="3225"/>
    <n v="2025"/>
    <n v="2024"/>
    <s v="Year_2"/>
    <d v="2024-12-28T00:00:00"/>
    <s v="KUD11"/>
    <s v="O2R1"/>
    <s v="KSIPL"/>
    <n v="4.3478260869565223E-2"/>
    <n v="450"/>
    <x v="127"/>
    <s v="Ext. High I sum Grd inv."/>
    <s v="Breakdown"/>
    <d v="1899-12-30T13:36:00"/>
    <d v="1899-12-30T13:36:00"/>
    <d v="1899-12-30T13:39:00"/>
    <d v="1899-12-30T00:00:00"/>
    <n v="4.9999999999999822E-2"/>
    <n v="4.9999999999999822E-2"/>
    <s v="Auto reset"/>
    <s v="Close"/>
    <n v="2.1739130434782535E-3"/>
    <n v="1"/>
    <n v="0.109"/>
    <m/>
  </r>
  <r>
    <n v="3226"/>
    <n v="2025"/>
    <n v="2024"/>
    <s v="Year_2"/>
    <d v="2024-12-29T00:00:00"/>
    <s v="KUD01"/>
    <s v="O2R1"/>
    <s v="KSIPL"/>
    <n v="4.3478260869565223E-2"/>
    <n v="450"/>
    <x v="127"/>
    <s v="Ext. High I sum Grd inv."/>
    <s v="Breakdown"/>
    <d v="1899-12-30T22:13:00"/>
    <d v="1899-12-30T22:13:00"/>
    <d v="1899-12-30T22:20:00"/>
    <d v="1899-12-30T00:00:00"/>
    <n v="0.11666666666666625"/>
    <n v="0.11666666666666625"/>
    <s v="Auto reset"/>
    <s v="Close"/>
    <n v="5.0724637681159243E-3"/>
    <n v="1"/>
    <n v="0.109"/>
    <m/>
  </r>
  <r>
    <n v="3227"/>
    <n v="2025"/>
    <n v="2024"/>
    <s v="Year_2"/>
    <d v="2024-12-30T00:00:00"/>
    <s v="KUD21"/>
    <s v="O2R3"/>
    <s v="JK"/>
    <n v="4.3478260869565223E-2"/>
    <n v="2676"/>
    <x v="124"/>
    <s v="UPS Error"/>
    <s v="Breakdown"/>
    <d v="1899-12-30T14:12:00"/>
    <d v="1899-12-30T14:12:00"/>
    <d v="1899-12-30T14:28:00"/>
    <d v="1899-12-30T00:00:00"/>
    <n v="0.26666666666666572"/>
    <n v="0.26666666666666572"/>
    <s v="UPS Manually reset done."/>
    <s v="Close"/>
    <n v="1.1594202898550685E-2"/>
    <n v="1"/>
    <n v="0.109"/>
    <m/>
  </r>
  <r>
    <n v="3228"/>
    <n v="2025"/>
    <n v="2024"/>
    <s v="Year_2"/>
    <d v="2024-12-31T00:00:00"/>
    <s v="KUD05"/>
    <s v="O2R3"/>
    <s v="JK"/>
    <n v="4.3478260869565223E-2"/>
    <n v="2676"/>
    <x v="124"/>
    <s v="UPS Error"/>
    <s v="Breakdown"/>
    <d v="1899-12-30T05:40:00"/>
    <d v="1899-12-30T05:40:00"/>
    <d v="1899-12-30T05:51:00"/>
    <d v="1899-12-30T00:00:00"/>
    <n v="0.18333333333333335"/>
    <n v="0.18333333333333335"/>
    <s v="UPS Manually reset done."/>
    <s v="Close"/>
    <n v="7.9710144927536246E-3"/>
    <n v="1"/>
    <n v="0.109"/>
    <m/>
  </r>
  <r>
    <n v="3229"/>
    <n v="2025"/>
    <n v="2024"/>
    <s v="Year_2"/>
    <d v="2024-12-31T00:00:00"/>
    <s v="KUD22"/>
    <s v="O2R3"/>
    <s v="JK"/>
    <n v="4.3478260869565223E-2"/>
    <n v="4879"/>
    <x v="198"/>
    <s v="SaftySystem Nacelle Comm Err."/>
    <s v="Breakdown"/>
    <d v="1899-12-30T05:40:00"/>
    <d v="1899-12-30T05:40:00"/>
    <d v="1899-12-30T06:31:00"/>
    <d v="1899-12-30T00:00:00"/>
    <n v="0.84999999999999964"/>
    <n v="0.84999999999999964"/>
    <s v="Nacelle safety Pilz reboot done"/>
    <s v="Close"/>
    <n v="3.6956521739130423E-2"/>
    <n v="1"/>
    <n v="0.109"/>
    <m/>
  </r>
  <r>
    <n v="3230"/>
    <n v="2025"/>
    <n v="2024"/>
    <s v="Year_2"/>
    <d v="2024-12-31T00:00:00"/>
    <s v="KUD16"/>
    <s v="O2R2"/>
    <s v="SIL"/>
    <n v="4.3478260869565223E-2"/>
    <n v="2676"/>
    <x v="124"/>
    <s v="UPS Error"/>
    <s v="Breakdown"/>
    <d v="1899-12-30T05:40:00"/>
    <d v="1899-12-30T05:40:00"/>
    <d v="1899-12-30T06:23:00"/>
    <d v="1899-12-30T00:00:00"/>
    <n v="0.71666666666666679"/>
    <n v="0.71666666666666679"/>
    <s v="UPS Manually reset done."/>
    <s v="Close"/>
    <n v="3.1159420289855081E-2"/>
    <n v="1"/>
    <n v="0.109"/>
    <m/>
  </r>
  <r>
    <n v="3231"/>
    <n v="2025"/>
    <n v="2024"/>
    <s v="Year_2"/>
    <d v="2024-12-31T00:00:00"/>
    <s v="KUD01"/>
    <s v="O2R1"/>
    <s v="KSIPL"/>
    <n v="4.3478260869565223E-2"/>
    <n v="450"/>
    <x v="127"/>
    <s v="Ext. High I sum Grd inv."/>
    <s v="Breakdown"/>
    <d v="1899-12-30T20:32:00"/>
    <d v="1899-12-30T20:32:00"/>
    <d v="1899-12-30T20:41:00"/>
    <d v="1899-12-30T00:00:00"/>
    <n v="0.15000000000000213"/>
    <n v="0.15000000000000213"/>
    <s v="Auto reset"/>
    <s v="Close"/>
    <n v="6.5217391304348759E-3"/>
    <n v="1"/>
    <n v="0.109"/>
    <m/>
  </r>
  <r>
    <n v="3232"/>
    <n v="2025"/>
    <n v="2025"/>
    <s v="Year_2"/>
    <d v="2025-01-01T00:00:00"/>
    <s v="KUD21"/>
    <s v="O2R3"/>
    <s v="JK"/>
    <n v="4.3478260869565223E-2"/>
    <n v="900"/>
    <x v="100"/>
    <s v="Pause pressed on keyboard"/>
    <s v="Manual Stop"/>
    <d v="1899-12-30T16:22:00"/>
    <d v="1899-12-30T16:22:00"/>
    <d v="1899-12-30T23:59:00"/>
    <d v="1899-12-30T00:00:00"/>
    <n v="7.6166666666666663"/>
    <n v="7.6166666666666663"/>
    <s v="Manual stop for CMS alert inspection work."/>
    <s v="Open"/>
    <n v="0.33115942028985512"/>
    <n v="1"/>
    <m/>
    <m/>
  </r>
  <r>
    <n v="3233"/>
    <n v="2025"/>
    <n v="2025"/>
    <s v="Year_2"/>
    <d v="2025-01-02T00:00:00"/>
    <s v="KUD01"/>
    <s v="O2R1"/>
    <s v="KSIPL"/>
    <n v="4.3478260869565223E-2"/>
    <n v="2676"/>
    <x v="124"/>
    <s v="UPS Error"/>
    <s v="Breakdown"/>
    <d v="1899-12-30T16:57:00"/>
    <d v="1899-12-30T16:57:00"/>
    <d v="1899-12-30T17:48:00"/>
    <d v="1899-12-30T00:00:00"/>
    <n v="0.84999999999999964"/>
    <n v="0.84999999999999964"/>
    <s v="UPS Manually reset done."/>
    <s v="Close"/>
    <n v="3.6956521739130423E-2"/>
    <n v="1"/>
    <m/>
    <m/>
  </r>
  <r>
    <n v="3234"/>
    <n v="2025"/>
    <n v="2025"/>
    <s v="Year_2"/>
    <d v="2025-01-02T00:00:00"/>
    <s v="KUD11"/>
    <s v="O2R1"/>
    <s v="KSIPL"/>
    <n v="4.3478260869565223E-2"/>
    <n v="2676"/>
    <x v="124"/>
    <s v="UPS Error"/>
    <s v="Breakdown"/>
    <d v="1899-12-30T16:57:00"/>
    <d v="1899-12-30T16:57:00"/>
    <d v="1899-12-30T18:22:00"/>
    <d v="1899-12-30T00:00:00"/>
    <n v="1.4166666666666643"/>
    <n v="1.4166666666666643"/>
    <s v="UPS Manually reset done."/>
    <s v="Close"/>
    <n v="6.159420289855063E-2"/>
    <n v="1"/>
    <m/>
    <m/>
  </r>
  <r>
    <n v="3235"/>
    <n v="2025"/>
    <n v="2025"/>
    <s v="Year_2"/>
    <d v="2025-01-02T00:00:00"/>
    <s v="KUD12"/>
    <s v="O2R1"/>
    <s v="KSIPL"/>
    <n v="4.3478260869565223E-2"/>
    <n v="2676"/>
    <x v="124"/>
    <s v="UPS Error"/>
    <s v="Breakdown"/>
    <d v="1899-12-30T16:57:00"/>
    <d v="1899-12-30T16:57:00"/>
    <d v="1899-12-30T18:16:00"/>
    <d v="1899-12-30T00:00:00"/>
    <n v="1.3166666666666647"/>
    <n v="1.3166666666666647"/>
    <s v="UPS Manually reset done."/>
    <s v="Close"/>
    <n v="5.724637681159412E-2"/>
    <n v="1"/>
    <m/>
    <m/>
  </r>
  <r>
    <n v="3236"/>
    <n v="2025"/>
    <n v="2025"/>
    <s v="Year_2"/>
    <d v="2025-01-02T00:00:00"/>
    <s v="KUD19"/>
    <s v="O2R1"/>
    <s v="KSIPL"/>
    <n v="4.3478260869565223E-2"/>
    <n v="2676"/>
    <x v="124"/>
    <s v="UPS Error"/>
    <s v="Breakdown"/>
    <d v="1899-12-30T16:57:00"/>
    <d v="1899-12-30T16:57:00"/>
    <d v="1899-12-30T17:42:00"/>
    <d v="1899-12-30T00:00:00"/>
    <n v="0.75"/>
    <n v="0.75"/>
    <s v="UPS Manually reset done."/>
    <s v="Close"/>
    <n v="3.2608695652173919E-2"/>
    <n v="1"/>
    <m/>
    <m/>
  </r>
  <r>
    <n v="3237"/>
    <n v="2025"/>
    <n v="2025"/>
    <s v="Year_2"/>
    <d v="2025-01-02T00:00:00"/>
    <s v="KUD20"/>
    <s v="O2R1"/>
    <s v="KSIPL"/>
    <n v="4.3478260869565223E-2"/>
    <n v="2676"/>
    <x v="124"/>
    <s v="UPS Error"/>
    <s v="Breakdown"/>
    <d v="1899-12-30T16:57:00"/>
    <d v="1899-12-30T16:57:00"/>
    <d v="1899-12-30T18:16:00"/>
    <d v="1899-12-30T00:00:00"/>
    <n v="1.3166666666666647"/>
    <n v="1.3166666666666647"/>
    <s v="UPS Manually reset done."/>
    <s v="Close"/>
    <n v="5.724637681159412E-2"/>
    <n v="1"/>
    <m/>
    <m/>
  </r>
  <r>
    <n v="3238"/>
    <n v="2025"/>
    <n v="2025"/>
    <s v="Year_2"/>
    <d v="2025-01-02T00:00:00"/>
    <s v="KUD21"/>
    <s v="O2R3"/>
    <s v="JK"/>
    <n v="4.3478260869565223E-2"/>
    <n v="900"/>
    <x v="100"/>
    <s v="Pause pressed on keyboard"/>
    <s v="Manual Stop"/>
    <d v="1899-12-30T00:00:00"/>
    <d v="1899-12-30T00:00:00"/>
    <d v="1899-12-30T01:54:00"/>
    <d v="1899-12-30T00:00:00"/>
    <n v="1.9"/>
    <n v="1.9"/>
    <s v="Manual stop for CMS alert inspection work."/>
    <s v="Close"/>
    <n v="8.2608695652173922E-2"/>
    <n v="1"/>
    <m/>
    <m/>
  </r>
  <r>
    <n v="3239"/>
    <n v="2025"/>
    <n v="2025"/>
    <s v="Year_2"/>
    <d v="2025-01-03T00:00:00"/>
    <s v="KUD01"/>
    <s v="O2R1"/>
    <s v="KSIPL"/>
    <n v="4.3478260869565223E-2"/>
    <n v="450"/>
    <x v="127"/>
    <s v="Ext. High I sum Grd inv."/>
    <s v="Breakdown"/>
    <d v="1899-12-30T01:39:00"/>
    <d v="1899-12-30T01:39:00"/>
    <d v="1899-12-30T01:48:00"/>
    <d v="1899-12-30T00:00:00"/>
    <n v="0.1499999999999998"/>
    <n v="0.1499999999999998"/>
    <s v="Auto reset"/>
    <s v="Close"/>
    <n v="6.5217391304347744E-3"/>
    <n v="1"/>
    <m/>
    <m/>
  </r>
  <r>
    <n v="3240"/>
    <n v="2025"/>
    <n v="2025"/>
    <s v="Year_2"/>
    <d v="2025-01-03T00:00:00"/>
    <s v="KUD01"/>
    <s v="O2R1"/>
    <s v="KSIPL"/>
    <n v="4.3478260869565223E-2"/>
    <n v="2676"/>
    <x v="124"/>
    <s v="UPS Error"/>
    <s v="Breakdown"/>
    <d v="1899-12-30T07:14:00"/>
    <d v="1899-12-30T07:14:00"/>
    <d v="1899-12-30T09:31:00"/>
    <d v="1899-12-30T00:00:00"/>
    <n v="2.2833333333333332"/>
    <n v="2.2833333333333332"/>
    <s v="UPS Manually reset done."/>
    <s v="Close"/>
    <n v="9.9275362318840585E-2"/>
    <n v="1"/>
    <m/>
    <m/>
  </r>
  <r>
    <n v="3241"/>
    <n v="2025"/>
    <n v="2025"/>
    <s v="Year_2"/>
    <d v="2025-01-03T00:00:00"/>
    <s v="KUD11"/>
    <s v="O2R1"/>
    <s v="KSIPL"/>
    <n v="4.3478260869565223E-2"/>
    <n v="3806"/>
    <x v="147"/>
    <s v="HubSafetySystem Batt.Charg.Err"/>
    <s v="Breakdown"/>
    <d v="1899-12-30T07:14:00"/>
    <d v="1899-12-30T07:14:00"/>
    <d v="1899-12-30T07:23:00"/>
    <d v="1899-12-30T00:00:00"/>
    <n v="0.1500000000000008"/>
    <n v="0.1500000000000008"/>
    <s v="Auto reset"/>
    <s v="Close"/>
    <n v="6.5217391304348178E-3"/>
    <n v="1"/>
    <m/>
    <m/>
  </r>
  <r>
    <n v="3242"/>
    <n v="2025"/>
    <n v="2025"/>
    <s v="Year_2"/>
    <d v="2025-01-03T00:00:00"/>
    <s v="KUD12"/>
    <s v="O2R1"/>
    <s v="KSIPL"/>
    <n v="4.3478260869565223E-2"/>
    <n v="931"/>
    <x v="186"/>
    <s v="Arc light detected"/>
    <s v="Breakdown"/>
    <d v="1899-12-30T07:14:00"/>
    <d v="1899-12-30T07:14:00"/>
    <d v="1899-12-30T13:00:00"/>
    <d v="1899-12-30T00:00:00"/>
    <n v="5.7666666666666657"/>
    <n v="5.7666666666666657"/>
    <s v="After feeder charged transformer vamp active so trafo inspection done found no abnormality then reset and restored"/>
    <s v="Close"/>
    <n v="0.25072463768115943"/>
    <n v="1"/>
    <m/>
    <m/>
  </r>
  <r>
    <n v="3243"/>
    <n v="2025"/>
    <n v="2025"/>
    <s v="Year_2"/>
    <d v="2025-01-03T00:00:00"/>
    <s v="KUD15"/>
    <s v="O2R1"/>
    <s v="KSIPL"/>
    <n v="4.3478260869565223E-2"/>
    <n v="2676"/>
    <x v="124"/>
    <s v="UPS Error"/>
    <s v="Breakdown"/>
    <d v="1899-12-30T07:14:00"/>
    <d v="1899-12-30T07:14:00"/>
    <d v="1899-12-30T08:29:00"/>
    <d v="1899-12-30T00:00:00"/>
    <n v="1.2500000000000009"/>
    <n v="1.2500000000000009"/>
    <s v="UPS Manually reset done."/>
    <s v="Close"/>
    <n v="5.4347826086956569E-2"/>
    <n v="1"/>
    <m/>
    <m/>
  </r>
  <r>
    <n v="3244"/>
    <n v="2025"/>
    <n v="2025"/>
    <s v="Year_2"/>
    <d v="2025-01-03T00:00:00"/>
    <s v="KUD19"/>
    <s v="O2R1"/>
    <s v="KSIPL"/>
    <n v="4.3478260869565223E-2"/>
    <n v="2676"/>
    <x v="124"/>
    <s v="UPS Error"/>
    <s v="Breakdown"/>
    <d v="1899-12-30T07:14:00"/>
    <d v="1899-12-30T07:14:00"/>
    <d v="1899-12-30T07:47:00"/>
    <d v="1899-12-30T00:00:00"/>
    <n v="0.55000000000000071"/>
    <n v="0.55000000000000071"/>
    <s v="UPS Manually reset done."/>
    <s v="Close"/>
    <n v="2.3913043478260905E-2"/>
    <n v="1"/>
    <m/>
    <m/>
  </r>
  <r>
    <n v="3245"/>
    <n v="2025"/>
    <n v="2025"/>
    <s v="Year_2"/>
    <d v="2025-01-03T00:00:00"/>
    <s v="KUD20"/>
    <s v="O2R1"/>
    <s v="KSIPL"/>
    <n v="4.3478260869565223E-2"/>
    <n v="837"/>
    <x v="145"/>
    <s v="RT AGO2Sta.Cyc. Count_,____V"/>
    <s v="Breakdown"/>
    <d v="1899-12-30T07:14:00"/>
    <d v="1899-12-30T07:14:00"/>
    <d v="1899-12-30T08:29:00"/>
    <d v="1899-12-30T00:00:00"/>
    <n v="1.2500000000000009"/>
    <n v="1.2500000000000009"/>
    <s v="Remote reboot done."/>
    <s v="Close"/>
    <n v="5.4347826086956569E-2"/>
    <n v="1"/>
    <m/>
    <m/>
  </r>
  <r>
    <n v="3246"/>
    <n v="2025"/>
    <n v="2025"/>
    <s v="Year_2"/>
    <d v="2025-01-04T00:00:00"/>
    <s v="KUD11"/>
    <s v="O2R1"/>
    <s v="KSIPL"/>
    <n v="4.3478260869565223E-2"/>
    <n v="450"/>
    <x v="127"/>
    <s v="Ext. High I sum Grd inv."/>
    <s v="Breakdown"/>
    <d v="1899-12-30T12:47:00"/>
    <d v="1899-12-30T12:47:00"/>
    <d v="1899-12-30T12:56:00"/>
    <d v="1899-12-30T00:00:00"/>
    <n v="0.14999999999999947"/>
    <n v="0.14999999999999947"/>
    <s v="Auto reset"/>
    <s v="Close"/>
    <n v="6.5217391304347606E-3"/>
    <n v="1"/>
    <m/>
    <m/>
  </r>
  <r>
    <n v="3247"/>
    <n v="2025"/>
    <n v="2025"/>
    <s v="Year_2"/>
    <d v="2025-01-05T00:00:00"/>
    <s v="KUD01"/>
    <s v="O2R1"/>
    <s v="KSIPL"/>
    <n v="4.3478260869565223E-2"/>
    <n v="450"/>
    <x v="127"/>
    <s v="Ext. High I sum Grd inv."/>
    <s v="Breakdown"/>
    <d v="1899-12-30T10:18:00"/>
    <d v="1899-12-30T10:18:00"/>
    <d v="1899-12-30T10:29:00"/>
    <d v="1899-12-30T00:00:00"/>
    <n v="0.18333333333333401"/>
    <n v="0.18333333333333401"/>
    <s v="Auto reset"/>
    <s v="Close"/>
    <n v="7.9710144927536541E-3"/>
    <n v="1"/>
    <m/>
    <m/>
  </r>
  <r>
    <n v="3248"/>
    <n v="2025"/>
    <n v="2025"/>
    <s v="Year_2"/>
    <d v="2025-01-05T00:00:00"/>
    <s v="KUD01"/>
    <s v="O2R1"/>
    <s v="KSIPL"/>
    <n v="4.3478260869565223E-2"/>
    <n v="2676"/>
    <x v="124"/>
    <s v="UPS Error"/>
    <s v="Breakdown"/>
    <d v="1899-12-30T19:10:00"/>
    <d v="1899-12-30T19:10:00"/>
    <d v="1899-12-30T21:20:00"/>
    <d v="1899-12-30T00:00:00"/>
    <n v="2.1666666666666643"/>
    <n v="2.1666666666666643"/>
    <s v="UPS Manually reset done."/>
    <s v="Close"/>
    <n v="9.4202898550724543E-2"/>
    <n v="1"/>
    <m/>
    <m/>
  </r>
  <r>
    <n v="3249"/>
    <n v="2025"/>
    <n v="2025"/>
    <s v="Year_2"/>
    <d v="2025-01-05T00:00:00"/>
    <s v="KUD04"/>
    <s v="O2R3"/>
    <s v="JK"/>
    <n v="4.3478260869565223E-2"/>
    <n v="5470"/>
    <x v="34"/>
    <s v="GeneratorBreakerFBResponse"/>
    <s v="Breakdown"/>
    <d v="1899-12-30T19:10:00"/>
    <d v="1899-12-30T19:10:00"/>
    <d v="1899-12-30T19:15:00"/>
    <d v="1899-12-30T00:00:00"/>
    <n v="8.3333333333333037E-2"/>
    <n v="8.3333333333333037E-2"/>
    <s v="Auto reset"/>
    <s v="Close"/>
    <n v="3.6231884057970889E-3"/>
    <n v="1"/>
    <m/>
    <m/>
  </r>
  <r>
    <n v="3250"/>
    <n v="2025"/>
    <n v="2025"/>
    <s v="Year_2"/>
    <d v="2025-01-05T00:00:00"/>
    <s v="KUD05"/>
    <s v="O2R3"/>
    <s v="JK"/>
    <n v="4.3478260869565223E-2"/>
    <n v="2676"/>
    <x v="124"/>
    <s v="UPS Error"/>
    <s v="Breakdown"/>
    <d v="1899-12-30T19:10:00"/>
    <d v="1899-12-30T19:10:00"/>
    <d v="1899-12-30T19:55:00"/>
    <d v="1899-12-30T00:00:00"/>
    <n v="0.75"/>
    <n v="0.75"/>
    <s v="UPS Manually reset done."/>
    <s v="Close"/>
    <n v="3.2608695652173919E-2"/>
    <n v="1"/>
    <m/>
    <m/>
  </r>
  <r>
    <n v="3251"/>
    <n v="2025"/>
    <n v="2025"/>
    <s v="Year_2"/>
    <d v="2025-01-05T00:00:00"/>
    <s v="KUD11"/>
    <s v="O2R1"/>
    <s v="KSIPL"/>
    <n v="4.3478260869565223E-2"/>
    <n v="3806"/>
    <x v="147"/>
    <s v="HubSafetySystem Batt.Charg.Err"/>
    <s v="Breakdown"/>
    <d v="1899-12-30T19:10:00"/>
    <d v="1899-12-30T19:10:00"/>
    <d v="1899-12-30T19:21:00"/>
    <d v="1899-12-30T00:00:00"/>
    <n v="0.18333333333333268"/>
    <n v="0.18333333333333268"/>
    <s v="Auto reset"/>
    <s v="Close"/>
    <n v="7.9710144927535951E-3"/>
    <n v="1"/>
    <m/>
    <m/>
  </r>
  <r>
    <n v="3252"/>
    <n v="2025"/>
    <n v="2025"/>
    <s v="Year_2"/>
    <d v="2025-01-05T00:00:00"/>
    <s v="KUD12"/>
    <s v="O2R1"/>
    <s v="KSIPL"/>
    <n v="4.3478260869565223E-2"/>
    <n v="2676"/>
    <x v="124"/>
    <s v="UPS Error"/>
    <s v="Breakdown"/>
    <d v="1899-12-30T19:10:00"/>
    <d v="1899-12-30T19:10:00"/>
    <d v="1899-12-30T19:59:00"/>
    <d v="1899-12-30T00:00:00"/>
    <n v="0.81666666666666643"/>
    <n v="0.81666666666666643"/>
    <s v="Manually charged HVCB."/>
    <s v="Close"/>
    <n v="3.5507246376811588E-2"/>
    <n v="1"/>
    <m/>
    <m/>
  </r>
  <r>
    <n v="3253"/>
    <n v="2025"/>
    <n v="2025"/>
    <s v="Year_2"/>
    <d v="2025-01-05T00:00:00"/>
    <s v="KUD16"/>
    <s v="O2R2"/>
    <s v="SIL"/>
    <n v="4.3478260869565223E-2"/>
    <n v="2676"/>
    <x v="124"/>
    <s v="UPS Error"/>
    <s v="Breakdown"/>
    <d v="1899-12-30T19:10:00"/>
    <d v="1899-12-30T19:10:00"/>
    <d v="1899-12-30T20:28:00"/>
    <d v="1899-12-30T00:00:00"/>
    <n v="1.299999999999998"/>
    <n v="1.299999999999998"/>
    <s v="UPS Manually reset done."/>
    <s v="Close"/>
    <n v="5.6521739130434706E-2"/>
    <n v="1"/>
    <m/>
    <m/>
  </r>
  <r>
    <n v="3254"/>
    <n v="2025"/>
    <n v="2025"/>
    <s v="Year_2"/>
    <d v="2025-01-05T00:00:00"/>
    <s v="KUD19"/>
    <s v="O2R1"/>
    <s v="KSIPL"/>
    <n v="4.3478260869565223E-2"/>
    <n v="2676"/>
    <x v="124"/>
    <s v="UPS Error"/>
    <s v="Breakdown"/>
    <d v="1899-12-30T19:10:00"/>
    <d v="1899-12-30T19:10:00"/>
    <d v="1899-12-30T19:49:00"/>
    <d v="1899-12-30T00:00:00"/>
    <n v="0.64999999999999769"/>
    <n v="0.64999999999999769"/>
    <s v="UPS Manually reset done."/>
    <s v="Close"/>
    <n v="2.8260869565217294E-2"/>
    <n v="1"/>
    <m/>
    <m/>
  </r>
  <r>
    <n v="3255"/>
    <n v="2025"/>
    <n v="2025"/>
    <s v="Year_2"/>
    <d v="2025-01-05T00:00:00"/>
    <s v="KUD20"/>
    <s v="O2R1"/>
    <s v="KSIPL"/>
    <n v="4.3478260869565223E-2"/>
    <n v="450"/>
    <x v="127"/>
    <s v="Ext. High I sum Grd inv."/>
    <s v="Breakdown"/>
    <d v="1899-12-30T11:36:00"/>
    <d v="1899-12-30T11:36:00"/>
    <d v="1899-12-30T11:45:00"/>
    <d v="1899-12-30T00:00:00"/>
    <n v="0.14999999999999947"/>
    <n v="0.14999999999999947"/>
    <s v="Auto reset"/>
    <s v="Close"/>
    <n v="6.5217391304347606E-3"/>
    <n v="1"/>
    <m/>
    <m/>
  </r>
  <r>
    <n v="3256"/>
    <n v="2025"/>
    <n v="2025"/>
    <s v="Year_2"/>
    <d v="2025-01-05T00:00:00"/>
    <s v="KUD20"/>
    <s v="O2R1"/>
    <s v="KSIPL"/>
    <n v="4.3478260869565223E-2"/>
    <n v="3806"/>
    <x v="147"/>
    <s v="HubSafetySystem Batt.Charg.Err"/>
    <s v="Breakdown"/>
    <d v="1899-12-30T19:10:00"/>
    <d v="1899-12-30T19:10:00"/>
    <d v="1899-12-30T19:28:00"/>
    <d v="1899-12-30T00:00:00"/>
    <n v="0.29999999999999893"/>
    <n v="0.29999999999999893"/>
    <s v="Auto reset"/>
    <s v="Close"/>
    <n v="1.3043478260869521E-2"/>
    <n v="1"/>
    <m/>
    <m/>
  </r>
  <r>
    <n v="3257"/>
    <n v="2025"/>
    <n v="2025"/>
    <s v="Year_2"/>
    <d v="2025-01-05T00:00:00"/>
    <s v="KUD21"/>
    <s v="O2R3"/>
    <s v="JK"/>
    <n v="4.3478260869565223E-2"/>
    <n v="2676"/>
    <x v="124"/>
    <s v="UPS Error"/>
    <s v="Breakdown"/>
    <d v="1899-12-30T19:10:00"/>
    <d v="1899-12-30T19:10:00"/>
    <d v="1899-12-30T20:06:00"/>
    <d v="1899-12-30T00:00:00"/>
    <n v="0.93333333333333268"/>
    <n v="0.93333333333333268"/>
    <s v="UPS Manually reset done."/>
    <s v="Close"/>
    <n v="4.0579710144927512E-2"/>
    <n v="1"/>
    <m/>
    <m/>
  </r>
  <r>
    <n v="3258"/>
    <n v="2025"/>
    <n v="2025"/>
    <s v="Year_2"/>
    <d v="2025-01-05T00:00:00"/>
    <s v="KUD23"/>
    <s v="O2R3"/>
    <s v="JK"/>
    <n v="4.3478260869565223E-2"/>
    <n v="707"/>
    <x v="121"/>
    <s v="Ch hardware error C_"/>
    <s v="Breakdown"/>
    <d v="1899-12-30T19:10:00"/>
    <d v="1899-12-30T19:10:00"/>
    <d v="1899-12-30T19:21:00"/>
    <d v="1899-12-30T00:00:00"/>
    <n v="0.18333333333333268"/>
    <n v="0.18333333333333268"/>
    <s v="Remote reboot done."/>
    <s v="Close"/>
    <n v="7.9710144927535951E-3"/>
    <n v="1"/>
    <m/>
    <m/>
  </r>
  <r>
    <n v="3259"/>
    <n v="2025"/>
    <n v="2025"/>
    <s v="Year_2"/>
    <d v="2025-01-06T00:00:00"/>
    <s v="KUD01"/>
    <s v="O2R1"/>
    <s v="KSIPL"/>
    <n v="4.3478260869565223E-2"/>
    <n v="450"/>
    <x v="127"/>
    <s v="Ext. High I sum Grd inv."/>
    <s v="Breakdown"/>
    <d v="1899-12-30T02:32:00"/>
    <d v="1899-12-30T02:32:00"/>
    <d v="1899-12-30T02:40:00"/>
    <d v="1899-12-30T00:00:00"/>
    <n v="0.13333333333333319"/>
    <n v="0.13333333333333319"/>
    <s v="Auto reset"/>
    <s v="Close"/>
    <n v="5.7971014492753572E-3"/>
    <n v="1"/>
    <m/>
    <m/>
  </r>
  <r>
    <n v="3260"/>
    <n v="2025"/>
    <n v="2025"/>
    <s v="Year_2"/>
    <d v="2025-01-06T00:00:00"/>
    <s v="KUD01"/>
    <s v="O2R1"/>
    <s v="KSIPL"/>
    <n v="4.3478260869565223E-2"/>
    <n v="450"/>
    <x v="127"/>
    <s v="Ext. High I sum Grd inv."/>
    <s v="Breakdown"/>
    <d v="1899-12-30T21:17:00"/>
    <d v="1899-12-30T21:17:00"/>
    <d v="1899-12-30T21:26:00"/>
    <d v="1899-12-30T00:00:00"/>
    <n v="0.15000000000000213"/>
    <n v="0.15000000000000213"/>
    <s v="Auto reset"/>
    <s v="Close"/>
    <n v="6.5217391304348759E-3"/>
    <n v="1"/>
    <m/>
    <m/>
  </r>
  <r>
    <n v="3261"/>
    <n v="2025"/>
    <n v="2025"/>
    <s v="Year_2"/>
    <d v="2025-01-06T00:00:00"/>
    <s v="KUD03"/>
    <s v="O2R1"/>
    <s v="KSIPL"/>
    <n v="4.3478260869565223E-2"/>
    <n v="900"/>
    <x v="100"/>
    <s v="Pause pressed on keyboard"/>
    <s v="Breakdown"/>
    <d v="1899-12-30T12:11:00"/>
    <d v="1899-12-30T12:11:00"/>
    <d v="1899-12-30T17:58:00"/>
    <d v="1899-12-30T00:00:00"/>
    <n v="5.7833333333333341"/>
    <n v="5.7833333333333341"/>
    <s v="WTG shutdown for Blade internal and external inspection work and N2 refilling work was completed."/>
    <s v="Close"/>
    <n v="0.25144927536231892"/>
    <n v="1"/>
    <m/>
    <m/>
  </r>
  <r>
    <n v="3262"/>
    <n v="2025"/>
    <n v="2025"/>
    <s v="Year_2"/>
    <d v="2025-01-06T00:00:00"/>
    <s v="KUD15"/>
    <s v="O2R1"/>
    <s v="KSIPL"/>
    <n v="4.3478260869565223E-2"/>
    <n v="3273"/>
    <x v="35"/>
    <s v="YawUntwistCCW: Code__,_______°"/>
    <s v="Breakdown"/>
    <d v="1899-12-30T12:38:00"/>
    <d v="1899-12-30T12:38:00"/>
    <d v="1899-12-30T13:03:00"/>
    <d v="1899-12-30T00:00:00"/>
    <n v="0.41666666666666519"/>
    <n v="0.41666666666666519"/>
    <s v="Auto cable twist."/>
    <s v="Close"/>
    <n v="1.8115942028985445E-2"/>
    <n v="1"/>
    <m/>
    <m/>
  </r>
  <r>
    <n v="3263"/>
    <n v="2025"/>
    <n v="2025"/>
    <s v="Year_2"/>
    <d v="2025-01-07T00:00:00"/>
    <s v="KUD01"/>
    <s v="O2R1"/>
    <s v="KSIPL"/>
    <n v="4.3478260869565223E-2"/>
    <n v="450"/>
    <x v="127"/>
    <s v="Ext. High I sum Grd inv."/>
    <s v="Breakdown"/>
    <d v="1899-12-30T15:45:00"/>
    <d v="1899-12-30T15:45:00"/>
    <d v="1899-12-30T15:56:00"/>
    <d v="1899-12-30T00:00:00"/>
    <n v="0.18333333333333268"/>
    <n v="0.18333333333333268"/>
    <s v="Auto reset"/>
    <s v="Close"/>
    <n v="7.9710144927535951E-3"/>
    <n v="1"/>
    <m/>
    <m/>
  </r>
  <r>
    <n v="3264"/>
    <n v="2025"/>
    <n v="2025"/>
    <s v="Year_2"/>
    <d v="2025-01-07T00:00:00"/>
    <s v="KUD08"/>
    <s v="O2R3"/>
    <s v="JK"/>
    <n v="4.3478260869565223E-2"/>
    <n v="151"/>
    <x v="148"/>
    <s v="High temp. Gen bearing _:___°C"/>
    <s v="Breakdown"/>
    <d v="1899-12-30T02:16:00"/>
    <d v="1899-12-30T02:16:00"/>
    <d v="1899-12-30T03:24:00"/>
    <d v="1899-12-30T00:00:00"/>
    <n v="1.1333333333333333"/>
    <n v="1.1333333333333333"/>
    <s v="Remote reset done."/>
    <s v="Close"/>
    <n v="4.9275362318840582E-2"/>
    <n v="1"/>
    <m/>
    <m/>
  </r>
  <r>
    <n v="3265"/>
    <n v="2025"/>
    <n v="2025"/>
    <s v="Year_2"/>
    <d v="2025-01-07T00:00:00"/>
    <s v="KUD08"/>
    <s v="O2R3"/>
    <s v="JK"/>
    <n v="4.3478260869565223E-2"/>
    <n v="151"/>
    <x v="148"/>
    <s v="High temp. Gen bearing _:___°C"/>
    <s v="Breakdown"/>
    <d v="1899-12-30T07:58:00"/>
    <d v="1899-12-30T07:58:00"/>
    <d v="1899-12-30T10:00:00"/>
    <d v="1899-12-30T00:00:00"/>
    <n v="2.0333333333333341"/>
    <n v="2.0333333333333341"/>
    <s v="We checked and found generator high speed fan fuse got failure so replaced new fuse then reset the wtg."/>
    <s v="Close"/>
    <n v="8.8405797101449315E-2"/>
    <n v="1"/>
    <m/>
    <m/>
  </r>
  <r>
    <n v="3266"/>
    <n v="2025"/>
    <n v="2025"/>
    <s v="Year_2"/>
    <d v="2025-01-07T00:00:00"/>
    <s v="KUD08"/>
    <s v="O2R3"/>
    <s v="JK"/>
    <n v="4.3478260869565223E-2"/>
    <n v="900"/>
    <x v="100"/>
    <s v="Pause pressed on keyboard"/>
    <s v="Manual Stop"/>
    <d v="1899-12-30T10:00:00"/>
    <d v="1899-12-30T10:00:00"/>
    <d v="1899-12-30T11:44:00"/>
    <d v="1899-12-30T00:00:00"/>
    <n v="1.7333333333333325"/>
    <n v="1.7333333333333325"/>
    <s v="Wtg shutdown for N2 recharge work was done."/>
    <s v="Close"/>
    <n v="7.5362318840579687E-2"/>
    <n v="1"/>
    <m/>
    <m/>
  </r>
  <r>
    <n v="3267"/>
    <n v="2025"/>
    <n v="2025"/>
    <s v="Year_2"/>
    <d v="2025-01-08T00:00:00"/>
    <s v="KUD01"/>
    <s v="O2R1"/>
    <s v="KSIPL"/>
    <n v="4.3478260869565223E-2"/>
    <n v="450"/>
    <x v="127"/>
    <s v="Ext. High I sum Grd inv."/>
    <s v="Breakdown"/>
    <d v="1899-12-30T20:02:00"/>
    <d v="1899-12-30T20:02:00"/>
    <d v="1899-12-30T20:10:00"/>
    <d v="1899-12-30T00:00:00"/>
    <n v="0.13333333333333286"/>
    <n v="0.13333333333333286"/>
    <s v="Auto reset"/>
    <s v="Close"/>
    <n v="5.7971014492753424E-3"/>
    <n v="1"/>
    <n v="9.6000000000000002E-2"/>
    <m/>
  </r>
  <r>
    <n v="3268"/>
    <n v="2025"/>
    <n v="2025"/>
    <s v="Year_2"/>
    <d v="2025-01-08T00:00:00"/>
    <s v="KUD11"/>
    <s v="O2R1"/>
    <s v="KSIPL"/>
    <n v="4.3478260869565223E-2"/>
    <n v="450"/>
    <x v="127"/>
    <s v="Ext. High I sum Grd inv."/>
    <s v="Breakdown"/>
    <d v="1899-12-30T11:53:00"/>
    <d v="1899-12-30T11:53:00"/>
    <d v="1899-12-30T12:00:00"/>
    <d v="1899-12-30T00:00:00"/>
    <n v="0.11666666666666625"/>
    <n v="0.11666666666666625"/>
    <s v="Auto reset"/>
    <s v="Close"/>
    <n v="5.0724637681159243E-3"/>
    <n v="1"/>
    <n v="0"/>
    <m/>
  </r>
  <r>
    <n v="3269"/>
    <n v="2025"/>
    <n v="2025"/>
    <s v="Year_2"/>
    <d v="2025-01-08T00:00:00"/>
    <s v="KUD11"/>
    <s v="O2R1"/>
    <s v="KSIPL"/>
    <n v="4.3478260869565223E-2"/>
    <n v="2908"/>
    <x v="190"/>
    <s v="Pitch A BL unlock alarm N= ___"/>
    <s v="Breakdown"/>
    <d v="1899-12-30T12:01:00"/>
    <d v="1899-12-30T12:01:00"/>
    <d v="1899-12-30T12:39:00"/>
    <d v="1899-12-30T00:00:00"/>
    <n v="0.63333333333333375"/>
    <n v="0.63333333333333375"/>
    <s v="Remote reset done."/>
    <s v="Close"/>
    <n v="2.7536231884057991E-2"/>
    <n v="1"/>
    <n v="0.222"/>
    <m/>
  </r>
  <r>
    <n v="3270"/>
    <n v="2025"/>
    <n v="2025"/>
    <s v="Year_2"/>
    <d v="2025-01-08T00:00:00"/>
    <s v="KUD13"/>
    <s v="O2R1"/>
    <s v="KSIPL"/>
    <n v="4.3478260869565223E-2"/>
    <n v="309"/>
    <x v="149"/>
    <s v="Pause over RCS __0"/>
    <s v="Manual Stop"/>
    <d v="1899-12-30T10:05:00"/>
    <d v="1899-12-30T10:05:00"/>
    <d v="1899-12-30T14:42:00"/>
    <d v="1899-12-30T00:00:00"/>
    <n v="4.6166666666666671"/>
    <n v="4.6166666666666671"/>
    <s v="WTG shutdown for Blade internal and external inspection and N2 refilling work was completed."/>
    <s v="Close"/>
    <n v="0.20072463768115947"/>
    <n v="1"/>
    <n v="1.3129999999999999"/>
    <m/>
  </r>
  <r>
    <n v="3271"/>
    <n v="2025"/>
    <n v="2025"/>
    <s v="Year_2"/>
    <d v="2025-01-10T00:00:00"/>
    <s v="KUD08"/>
    <s v="O2R3"/>
    <s v="JK"/>
    <n v="4.3478260869565223E-2"/>
    <n v="309"/>
    <x v="149"/>
    <s v="Pause over RCS __0"/>
    <s v="Manual Stop"/>
    <d v="1899-12-30T15:23:00"/>
    <d v="1899-12-30T15:23:00"/>
    <d v="1899-12-30T23:15:00"/>
    <d v="1899-12-30T00:00:00"/>
    <n v="7.8666666666666654"/>
    <n v="7.8666666666666654"/>
    <s v="Manual stop for CMS alert inspection work."/>
    <s v="Close"/>
    <n v="0.34202898550724636"/>
    <n v="1"/>
    <n v="6.7960000000000003"/>
    <m/>
  </r>
  <r>
    <n v="3272"/>
    <n v="2025"/>
    <n v="2025"/>
    <s v="Year_2"/>
    <d v="2025-01-10T00:00:00"/>
    <s v="KUD14"/>
    <s v="O2R1"/>
    <s v="KSIPL"/>
    <n v="4.3478260869565223E-2"/>
    <n v="309"/>
    <x v="149"/>
    <s v="Pause over RCS __0"/>
    <s v="Manual Stop"/>
    <d v="1899-12-30T11:10:00"/>
    <d v="1899-12-30T11:10:00"/>
    <d v="1899-12-30T11:21:00"/>
    <d v="1899-12-30T00:00:00"/>
    <n v="0.18333333333333268"/>
    <n v="0.18333333333333268"/>
    <s v="Manual stop for blade inspection but plan cancelled because of wind seed is high."/>
    <s v="Close"/>
    <n v="7.9710144927535951E-3"/>
    <n v="1"/>
    <n v="0.32300000000000001"/>
    <m/>
  </r>
  <r>
    <n v="3273"/>
    <n v="2025"/>
    <n v="2025"/>
    <s v="Year_2"/>
    <d v="2025-01-11T00:00:00"/>
    <s v="KUD01"/>
    <s v="O2R1"/>
    <s v="KSIPL"/>
    <n v="4.3478260869565223E-2"/>
    <n v="2676"/>
    <x v="124"/>
    <s v="UPS Error"/>
    <s v="Breakdown"/>
    <d v="2025-01-11T07:22:06"/>
    <d v="2025-01-11T07:22:06"/>
    <d v="2025-01-11T11:10:10"/>
    <d v="1899-12-30T00:00:00"/>
    <n v="3.8011111111845821"/>
    <n v="3.8011111111845821"/>
    <s v="UPS Manually reset done."/>
    <s v="Close"/>
    <n v="0.16526570048628619"/>
    <n v="1"/>
    <n v="1.8"/>
    <m/>
  </r>
  <r>
    <n v="3274"/>
    <n v="2025"/>
    <n v="2025"/>
    <s v="Year_2"/>
    <d v="2025-01-11T00:00:00"/>
    <s v="KUD01"/>
    <s v="O2R1"/>
    <s v="KSIPL"/>
    <n v="4.3478260869565223E-2"/>
    <n v="450"/>
    <x v="127"/>
    <s v="Ext. High I sum Grd inv."/>
    <s v="Breakdown"/>
    <d v="2025-01-11T18:28:01"/>
    <d v="2025-01-11T18:28:01"/>
    <d v="2025-01-11T18:36:02"/>
    <d v="1899-12-30T00:00:00"/>
    <n v="0.13361111108679324"/>
    <n v="0.13361111108679324"/>
    <s v="Auto reset"/>
    <s v="Close"/>
    <n v="5.809178742904055E-3"/>
    <n v="1"/>
    <n v="0.159"/>
    <m/>
  </r>
  <r>
    <n v="3275"/>
    <n v="2025"/>
    <n v="2025"/>
    <s v="Year_2"/>
    <d v="2025-01-11T00:00:00"/>
    <s v="KUD03"/>
    <s v="O2R1"/>
    <s v="KSIPL"/>
    <n v="4.3478260869565223E-2"/>
    <n v="4235"/>
    <x v="93"/>
    <s v="Gen Stator CB Open"/>
    <s v="Breakdown"/>
    <d v="2025-01-11T07:35:44"/>
    <d v="2025-01-11T07:35:44"/>
    <d v="2025-01-11T07:40:00"/>
    <d v="1899-12-30T00:00:00"/>
    <n v="7.1111111145000905E-2"/>
    <n v="7.1111111145000905E-2"/>
    <s v="Auto reset"/>
    <s v="Close"/>
    <n v="3.0917874410869963E-3"/>
    <n v="1"/>
    <n v="0.15"/>
    <m/>
  </r>
  <r>
    <n v="3276"/>
    <n v="2025"/>
    <n v="2025"/>
    <s v="Year_2"/>
    <d v="2025-01-11T00:00:00"/>
    <s v="KUD03"/>
    <s v="O2R1"/>
    <s v="KSIPL"/>
    <n v="4.3478260869565223E-2"/>
    <n v="6290"/>
    <x v="91"/>
    <s v="Pitch Accu. Test active"/>
    <m/>
    <d v="2025-01-11T07:46:44"/>
    <d v="2025-01-11T07:46:44"/>
    <d v="2025-01-11T07:50:00"/>
    <d v="1899-12-30T00:00:00"/>
    <n v="5.4444444424007088E-2"/>
    <n v="5.4444444424007088E-2"/>
    <s v="Turbine self test taken"/>
    <s v="Close"/>
    <n v="2.3671497575655258E-3"/>
    <n v="1"/>
    <n v="9.6000000000000002E-2"/>
    <m/>
  </r>
  <r>
    <n v="3277"/>
    <n v="2025"/>
    <n v="2025"/>
    <s v="Year_2"/>
    <d v="2025-01-11T00:00:00"/>
    <s v="KUD10"/>
    <s v="O2R1"/>
    <s v="KSIPL"/>
    <n v="4.3478260869565223E-2"/>
    <n v="2676"/>
    <x v="124"/>
    <s v="UPS Error"/>
    <s v="Breakdown"/>
    <d v="2025-01-11T07:40:41"/>
    <d v="2025-01-11T07:40:41"/>
    <d v="2025-01-11T10:12:23"/>
    <d v="1899-12-30T00:00:00"/>
    <n v="2.528333333262708"/>
    <n v="2.528333333262708"/>
    <s v="UPS Manually reset done."/>
    <s v="Close"/>
    <n v="0.10992753622881341"/>
    <n v="1"/>
    <n v="1.512"/>
    <m/>
  </r>
  <r>
    <n v="3278"/>
    <n v="2025"/>
    <n v="2025"/>
    <s v="Year_2"/>
    <d v="2025-01-11T00:00:00"/>
    <s v="KUD11"/>
    <s v="O2R1"/>
    <s v="KSIPL"/>
    <n v="4.3478260869565223E-2"/>
    <n v="707"/>
    <x v="121"/>
    <s v="Ch hardware error C_"/>
    <s v="Breakdown"/>
    <d v="2025-01-11T07:39:49"/>
    <d v="2025-01-11T07:39:49"/>
    <d v="2025-01-11T07:40:00"/>
    <d v="1899-12-30T00:00:00"/>
    <n v="3.0555555713362992E-3"/>
    <n v="3.0555555713362992E-3"/>
    <s v="Auto reset"/>
    <s v="Close"/>
    <n v="1.3285024223201302E-4"/>
    <n v="1"/>
    <n v="2.9000000000000001E-2"/>
    <m/>
  </r>
  <r>
    <n v="3279"/>
    <n v="2025"/>
    <n v="2025"/>
    <s v="Year_2"/>
    <d v="2025-01-11T00:00:00"/>
    <s v="KUD12"/>
    <s v="O2R1"/>
    <s v="KSIPL"/>
    <n v="4.3478260869565223E-2"/>
    <n v="2676"/>
    <x v="124"/>
    <s v="UPS Error"/>
    <s v="Breakdown"/>
    <d v="2025-01-11T07:30:00"/>
    <d v="2025-01-11T07:30:00"/>
    <d v="2025-01-11T10:27:41"/>
    <d v="1899-12-30T00:00:00"/>
    <n v="2.9613888889434747"/>
    <n v="2.9613888889434747"/>
    <s v="Manually charged HVCB."/>
    <s v="Close"/>
    <n v="0.1287560386497163"/>
    <n v="1"/>
    <n v="1.556"/>
    <m/>
  </r>
  <r>
    <n v="3280"/>
    <n v="2025"/>
    <n v="2025"/>
    <s v="Year_2"/>
    <d v="2025-01-11T00:00:00"/>
    <s v="KUD13"/>
    <s v="O2R1"/>
    <s v="KSIPL"/>
    <n v="4.3478260869565223E-2"/>
    <n v="6290"/>
    <x v="91"/>
    <s v="Pitch Accu. Test active"/>
    <m/>
    <d v="2025-01-11T07:36:40"/>
    <d v="2025-01-11T07:36:40"/>
    <d v="2025-01-11T07:40:00"/>
    <d v="1899-12-30T00:00:00"/>
    <n v="5.5555555620230734E-2"/>
    <n v="5.5555555620230734E-2"/>
    <s v="Turbine Self test"/>
    <s v="Close"/>
    <n v="2.4154589400100322E-3"/>
    <n v="1"/>
    <n v="5.8999999999999997E-2"/>
    <m/>
  </r>
  <r>
    <n v="3281"/>
    <n v="2025"/>
    <n v="2025"/>
    <s v="Year_2"/>
    <d v="2025-01-11T00:00:00"/>
    <s v="KUD13"/>
    <s v="O2R1"/>
    <s v="KSIPL"/>
    <n v="4.3478260869565223E-2"/>
    <n v="900"/>
    <x v="100"/>
    <s v="Pause pressed on keyboard"/>
    <s v="Manual Stop"/>
    <d v="2025-01-11T21:30:00"/>
    <d v="2025-01-11T21:30:00"/>
    <d v="2025-01-11T21:42:15"/>
    <d v="1899-12-30T00:00:00"/>
    <n v="0.20416666654637083"/>
    <n v="0.20416666654637083"/>
    <s v="Remote reboot done"/>
    <s v="Close"/>
    <n v="8.8768115889726468E-3"/>
    <n v="1"/>
    <n v="0.28699999999999998"/>
    <m/>
  </r>
  <r>
    <n v="3282"/>
    <n v="2025"/>
    <n v="2025"/>
    <s v="Year_2"/>
    <d v="2025-01-11T00:00:00"/>
    <s v="KUD14"/>
    <s v="O2R1"/>
    <s v="KSIPL"/>
    <n v="4.3478260869565223E-2"/>
    <n v="315"/>
    <x v="120"/>
    <s v="ExEx low voltage L_: ___V"/>
    <s v="Breakdown"/>
    <d v="2025-01-11T07:30:00"/>
    <d v="2025-01-11T07:30:00"/>
    <d v="2025-01-11T09:24:26"/>
    <d v="1899-12-30T00:00:00"/>
    <n v="1.907222222245764"/>
    <n v="1.907222222245764"/>
    <s v="Manual SWG charged"/>
    <s v="Close"/>
    <n v="8.2922705315033221E-2"/>
    <n v="1"/>
    <n v="1.016"/>
    <m/>
  </r>
  <r>
    <n v="3283"/>
    <n v="2025"/>
    <n v="2025"/>
    <s v="Year_2"/>
    <d v="2025-01-11T00:00:00"/>
    <s v="KUD19"/>
    <s v="O2R1"/>
    <s v="KSIPL"/>
    <n v="4.3478260869565223E-2"/>
    <n v="2676"/>
    <x v="124"/>
    <s v="UPS Error"/>
    <s v="Breakdown"/>
    <d v="2025-01-11T07:27:37"/>
    <d v="2025-01-11T07:27:37"/>
    <d v="2025-01-11T09:09:16"/>
    <d v="1899-12-30T00:00:00"/>
    <n v="1.6941666666534729"/>
    <n v="1.6941666666534729"/>
    <s v="UPS Manually reset done."/>
    <s v="Close"/>
    <n v="7.3659420289281435E-2"/>
    <n v="1"/>
    <n v="1.3140000000000001"/>
    <m/>
  </r>
  <r>
    <n v="3284"/>
    <n v="2025"/>
    <n v="2025"/>
    <s v="Year_2"/>
    <d v="2025-01-11T00:00:00"/>
    <s v="KUD20"/>
    <s v="O2R1"/>
    <s v="KSIPL"/>
    <n v="4.3478260869565223E-2"/>
    <n v="315"/>
    <x v="120"/>
    <s v="ExEx low voltage L_: ___V"/>
    <s v="Breakdown"/>
    <d v="2025-01-11T07:30:00"/>
    <d v="2025-01-11T07:30:00"/>
    <d v="2025-01-11T10:32:10"/>
    <d v="1899-12-30T00:00:00"/>
    <n v="3.0361111111706123"/>
    <n v="3.0361111111706123"/>
    <s v="SWG UV coil setting adjustment done"/>
    <s v="Close"/>
    <n v="0.13200483092046142"/>
    <n v="1"/>
    <n v="1.895"/>
    <m/>
  </r>
  <r>
    <n v="3285"/>
    <n v="2025"/>
    <n v="2025"/>
    <s v="Year_2"/>
    <d v="2025-01-13T00:00:00"/>
    <s v="KUD01"/>
    <s v="O2R1"/>
    <s v="KSIPL"/>
    <n v="4.3478260869565223E-2"/>
    <n v="450"/>
    <x v="127"/>
    <s v="Ext. High I sum Grd inv."/>
    <s v="Breakdown"/>
    <d v="1899-12-30T20:18:00"/>
    <d v="1899-12-30T20:18:00"/>
    <d v="1899-12-30T20:20:00"/>
    <d v="1899-12-30T00:00:00"/>
    <n v="3.3333333333333215E-2"/>
    <n v="3.3333333333333215E-2"/>
    <s v="Auto reset"/>
    <s v="Close"/>
    <n v="1.4492753623188356E-3"/>
    <n v="1"/>
    <n v="1.0999999999999999E-2"/>
    <m/>
  </r>
  <r>
    <n v="3286"/>
    <n v="2025"/>
    <n v="2025"/>
    <s v="Year_2"/>
    <d v="2025-01-13T00:00:00"/>
    <s v="KUD01"/>
    <s v="O2R1"/>
    <s v="KSIPL"/>
    <n v="4.3478260869565223E-2"/>
    <n v="6293"/>
    <x v="32"/>
    <s v="Pitch valves test acitve"/>
    <m/>
    <d v="1899-12-30T20:23:00"/>
    <d v="1899-12-30T20:23:00"/>
    <d v="1899-12-30T20:30:00"/>
    <d v="1899-12-30T00:00:00"/>
    <n v="0.11666666666666625"/>
    <n v="0.11666666666666625"/>
    <s v="Turbine self test taken"/>
    <s v="Close"/>
    <n v="5.0724637681159243E-3"/>
    <n v="1"/>
    <n v="9.7000000000000003E-2"/>
    <m/>
  </r>
  <r>
    <n v="3287"/>
    <n v="2025"/>
    <n v="2025"/>
    <s v="Year_2"/>
    <d v="2025-01-13T00:00:00"/>
    <s v="KUD20"/>
    <s v="O2R1"/>
    <s v="KSIPL"/>
    <n v="4.3478260869565223E-2"/>
    <n v="450"/>
    <x v="127"/>
    <s v="Ext. High I sum Grd inv."/>
    <s v="Breakdown"/>
    <d v="1899-12-30T18:09:00"/>
    <d v="1899-12-30T18:09:00"/>
    <d v="1899-12-30T18:18:00"/>
    <d v="1899-12-30T00:00:00"/>
    <n v="0.14999999999999947"/>
    <n v="0.14999999999999947"/>
    <s v="Auto reset"/>
    <s v="Close"/>
    <n v="6.5217391304347606E-3"/>
    <n v="1"/>
    <n v="9.7000000000000003E-2"/>
    <m/>
  </r>
  <r>
    <n v="3288"/>
    <n v="2025"/>
    <n v="2025"/>
    <s v="Year_2"/>
    <d v="2025-01-13T00:00:00"/>
    <s v="KUD20"/>
    <s v="O2R1"/>
    <s v="KSIPL"/>
    <n v="4.3478260869565223E-2"/>
    <n v="4235"/>
    <x v="93"/>
    <s v="Gen Stator CB Open"/>
    <s v="Breakdown"/>
    <d v="1899-12-30T18:29:00"/>
    <d v="1899-12-30T18:29:00"/>
    <d v="1899-12-30T18:30:00"/>
    <d v="1899-12-30T00:00:00"/>
    <n v="1.6666666666666607E-2"/>
    <n v="1.6666666666666607E-2"/>
    <s v="Auto reset"/>
    <s v="Close"/>
    <n v="7.246376811594178E-4"/>
    <n v="1"/>
    <n v="2.8000000000000001E-2"/>
    <m/>
  </r>
  <r>
    <n v="3289"/>
    <n v="2025"/>
    <n v="2025"/>
    <s v="Year_2"/>
    <d v="2025-01-13T00:00:00"/>
    <s v="KUD06"/>
    <s v="O2R3"/>
    <s v="JK"/>
    <n v="4.3478260869565223E-2"/>
    <n v="309"/>
    <x v="149"/>
    <s v="Pause over RCS __0"/>
    <s v="Manual Stop"/>
    <d v="1899-12-30T14:53:00"/>
    <d v="1899-12-30T14:53:00"/>
    <d v="1899-12-30T17:30:00"/>
    <d v="1899-12-30T00:00:00"/>
    <n v="2.6166666666666654"/>
    <n v="2.6166666666666654"/>
    <s v="Wtg shutdown for N2 recharge and VTM alerat inspection work ."/>
    <s v="Close"/>
    <n v="0.11376811594202894"/>
    <n v="1"/>
    <n v="0.66500000000000004"/>
    <m/>
  </r>
  <r>
    <n v="3290"/>
    <n v="2025"/>
    <n v="2025"/>
    <s v="Year_2"/>
    <d v="2025-01-13T00:00:00"/>
    <s v="KUD07"/>
    <s v="O2R3"/>
    <s v="JK"/>
    <n v="4.3478260869565223E-2"/>
    <n v="309"/>
    <x v="149"/>
    <s v="Pause over RCS __0"/>
    <s v="Manual Stop"/>
    <d v="1899-12-30T11:30:00"/>
    <d v="1899-12-30T11:30:00"/>
    <d v="1899-12-30T17:29:00"/>
    <d v="1899-12-30T00:00:00"/>
    <n v="5.9833333333333325"/>
    <n v="5.9833333333333325"/>
    <s v="Wtg shutdown for N2 recharge work ."/>
    <s v="Close"/>
    <n v="0.26014492753623186"/>
    <n v="1"/>
    <n v="0.66500000000000004"/>
    <m/>
  </r>
  <r>
    <n v="3291"/>
    <n v="2025"/>
    <n v="2025"/>
    <s v="Year_2"/>
    <d v="2025-01-14T00:00:00"/>
    <s v="KUD11"/>
    <s v="O2R1"/>
    <s v="KSIPL"/>
    <n v="4.3478260869565223E-2"/>
    <n v="450"/>
    <x v="127"/>
    <s v="Ext. High I sum Grd inv."/>
    <s v="Breakdown"/>
    <d v="2025-01-14T07:33:09"/>
    <d v="2025-01-14T07:33:09"/>
    <d v="2025-01-14T07:33:09"/>
    <d v="1899-12-30T00:00:00"/>
    <n v="0"/>
    <n v="0"/>
    <s v="Auto reset"/>
    <s v="Close"/>
    <n v="0"/>
    <n v="1"/>
    <n v="0.66500000000000004"/>
    <m/>
  </r>
  <r>
    <n v="3292"/>
    <n v="2025"/>
    <n v="2025"/>
    <s v="Year_2"/>
    <d v="2025-01-16T00:00:00"/>
    <s v="KUD01"/>
    <s v="O2R1"/>
    <s v="KSIPL"/>
    <n v="4.3478260869565223E-2"/>
    <n v="450"/>
    <x v="127"/>
    <s v="Ext. High I sum Grd inv."/>
    <s v="Breakdown"/>
    <d v="1899-12-30T03:22:00"/>
    <d v="1899-12-30T03:22:00"/>
    <d v="1899-12-30T03:30:00"/>
    <d v="1899-12-30T00:00:00"/>
    <n v="0.13333333333333353"/>
    <n v="0.13333333333333353"/>
    <s v="Auto reset"/>
    <s v="Close"/>
    <n v="5.7971014492753711E-3"/>
    <n v="1"/>
    <n v="0.24399999999999999"/>
    <m/>
  </r>
  <r>
    <n v="3293"/>
    <n v="2025"/>
    <n v="2025"/>
    <s v="Year_2"/>
    <d v="2025-01-16T00:00:00"/>
    <s v="KUD02"/>
    <s v="O2R3"/>
    <s v="JK"/>
    <n v="4.3478260869565223E-2"/>
    <n v="6290"/>
    <x v="91"/>
    <s v="Pitch Accu. Test active"/>
    <m/>
    <d v="1899-12-30T10:17:00"/>
    <d v="1899-12-30T10:17:00"/>
    <d v="1899-12-30T10:20:00"/>
    <d v="1899-12-30T00:00:00"/>
    <n v="5.0000000000001155E-2"/>
    <n v="5.0000000000001155E-2"/>
    <s v="Turbine self test taken"/>
    <s v="Close"/>
    <n v="2.1739130434783112E-3"/>
    <n v="1"/>
    <n v="5.7000000000000002E-2"/>
    <m/>
  </r>
  <r>
    <n v="3294"/>
    <n v="2025"/>
    <n v="2025"/>
    <s v="Year_2"/>
    <d v="2025-01-16T00:00:00"/>
    <s v="KUD04"/>
    <s v="O2R3"/>
    <s v="JK"/>
    <n v="4.3478260869565223E-2"/>
    <n v="315"/>
    <x v="120"/>
    <s v="ExEx low voltage L_: ___V"/>
    <s v="Breakdown"/>
    <d v="1899-12-30T13:30:00"/>
    <d v="1899-12-30T13:30:00"/>
    <d v="1899-12-30T14:20:00"/>
    <d v="1899-12-30T00:00:00"/>
    <n v="0.83333333333333304"/>
    <n v="0.83333333333333304"/>
    <s v="Manual SWG charged"/>
    <s v="Close"/>
    <n v="3.6231884057971009E-2"/>
    <n v="1"/>
    <m/>
    <m/>
  </r>
  <r>
    <n v="3295"/>
    <n v="2025"/>
    <n v="2025"/>
    <s v="Year_2"/>
    <d v="2025-01-16T00:00:00"/>
    <s v="KUD05"/>
    <s v="O2R3"/>
    <s v="JK"/>
    <n v="4.3478260869565223E-2"/>
    <n v="2676"/>
    <x v="124"/>
    <s v="UPS Error"/>
    <s v="Breakdown"/>
    <d v="1899-12-30T13:23:00"/>
    <d v="1899-12-30T13:23:00"/>
    <d v="1899-12-30T14:44:00"/>
    <d v="1899-12-30T00:00:00"/>
    <n v="1.3500000000000005"/>
    <n v="1.3500000000000005"/>
    <s v="UPS Manually reset done."/>
    <s v="Close"/>
    <n v="5.8695652173913072E-2"/>
    <n v="1"/>
    <n v="0.90100000000000002"/>
    <m/>
  </r>
  <r>
    <n v="3296"/>
    <n v="2025"/>
    <n v="2025"/>
    <s v="Year_2"/>
    <d v="2025-01-16T00:00:00"/>
    <s v="KUD16"/>
    <s v="O2R2"/>
    <s v="SIL"/>
    <n v="4.3478260869565223E-2"/>
    <n v="2676"/>
    <x v="124"/>
    <s v="UPS Error"/>
    <s v="Breakdown"/>
    <d v="1899-12-30T10:20:00"/>
    <d v="1899-12-30T10:20:00"/>
    <d v="1899-12-30T11:10:00"/>
    <d v="1899-12-30T00:00:00"/>
    <n v="0.83333333333333304"/>
    <n v="0.83333333333333304"/>
    <s v="UPS Manually reset done."/>
    <s v="Close"/>
    <n v="3.6231884057971009E-2"/>
    <n v="1"/>
    <n v="0.83599999999999997"/>
    <m/>
  </r>
  <r>
    <n v="3297"/>
    <n v="2025"/>
    <n v="2025"/>
    <s v="Year_2"/>
    <d v="2025-01-16T00:00:00"/>
    <s v="KUD16"/>
    <s v="O2R2"/>
    <s v="SIL"/>
    <n v="4.3478260869565223E-2"/>
    <n v="2676"/>
    <x v="124"/>
    <s v="UPS Error"/>
    <s v="Breakdown"/>
    <d v="1899-12-30T13:30:00"/>
    <d v="1899-12-30T13:30:00"/>
    <d v="1899-12-30T15:30:00"/>
    <d v="1899-12-30T00:00:00"/>
    <n v="2.0000000000000009"/>
    <n v="2.0000000000000009"/>
    <s v="UPS Manually reset done."/>
    <s v="Close"/>
    <n v="8.6956521739130488E-2"/>
    <n v="1"/>
    <n v="1.3720000000000001"/>
    <m/>
  </r>
  <r>
    <n v="3298"/>
    <n v="2025"/>
    <n v="2025"/>
    <s v="Year_2"/>
    <d v="2025-01-16T00:00:00"/>
    <s v="KUD17"/>
    <s v="O2R2"/>
    <s v="SIL"/>
    <n v="4.3478260869565223E-2"/>
    <n v="3806"/>
    <x v="147"/>
    <s v="HubSafetySystem Batt.Charg.Err"/>
    <s v="Breakdown"/>
    <d v="1899-12-30T13:28:00"/>
    <d v="1899-12-30T13:28:00"/>
    <d v="1899-12-30T13:30:00"/>
    <d v="1899-12-30T00:00:00"/>
    <n v="3.3333333333333215E-2"/>
    <n v="3.3333333333333215E-2"/>
    <s v="Auto reset after battery charged"/>
    <s v="Close"/>
    <n v="1.4492753623188356E-3"/>
    <n v="1"/>
    <n v="6.6000000000000003E-2"/>
    <m/>
  </r>
  <r>
    <n v="3299"/>
    <n v="2025"/>
    <n v="2025"/>
    <s v="Year_2"/>
    <d v="2025-01-16T00:00:00"/>
    <s v="KUD21"/>
    <s v="O2R3"/>
    <s v="JK"/>
    <n v="4.3478260869565223E-2"/>
    <n v="315"/>
    <x v="120"/>
    <s v="ExEx low voltage L_: ___V"/>
    <s v="Breakdown"/>
    <d v="1899-12-30T13:30:00"/>
    <d v="1899-12-30T13:30:00"/>
    <d v="1899-12-30T13:50:00"/>
    <d v="1899-12-30T00:00:00"/>
    <n v="0.33333333333333215"/>
    <n v="0.33333333333333215"/>
    <s v="Remote reset"/>
    <s v="Close"/>
    <n v="1.4492753623188356E-2"/>
    <n v="1"/>
    <n v="2E-3"/>
    <m/>
  </r>
  <r>
    <n v="3300"/>
    <n v="2025"/>
    <n v="2025"/>
    <s v="Year_2"/>
    <d v="2025-01-16T00:00:00"/>
    <s v="KUD22"/>
    <s v="O2R3"/>
    <s v="JK"/>
    <n v="4.3478260869565223E-2"/>
    <n v="315"/>
    <x v="120"/>
    <s v="ExEx low voltage L_: ___V"/>
    <s v="Breakdown"/>
    <d v="1899-12-30T13:30:00"/>
    <d v="1899-12-30T13:30:00"/>
    <d v="1899-12-30T13:50:00"/>
    <d v="1899-12-30T00:00:00"/>
    <n v="0.33333333333333215"/>
    <n v="0.33333333333333215"/>
    <s v="Remote reset"/>
    <s v="Close"/>
    <n v="1.4492753623188356E-2"/>
    <n v="1"/>
    <n v="9.2999999999999999E-2"/>
    <m/>
  </r>
  <r>
    <n v="3301"/>
    <n v="2025"/>
    <n v="2025"/>
    <s v="Year_2"/>
    <d v="2025-01-17T00:00:00"/>
    <s v="KUD01"/>
    <s v="O2R1"/>
    <s v="KSIPL"/>
    <n v="4.3478260869565223E-2"/>
    <n v="450"/>
    <x v="127"/>
    <s v="Ext. High I sum Grd inv."/>
    <m/>
    <d v="1899-12-30T16:22:00"/>
    <d v="1899-12-30T16:22:00"/>
    <d v="1899-12-30T16:40:00"/>
    <d v="1899-12-30T00:00:00"/>
    <n v="0.29999999999999893"/>
    <n v="0.29999999999999893"/>
    <s v="Turbine self test taken"/>
    <s v="Close"/>
    <n v="1.3043478260869521E-2"/>
    <n v="1"/>
    <n v="8.2000000000000003E-2"/>
    <m/>
  </r>
  <r>
    <n v="3302"/>
    <n v="2025"/>
    <n v="2025"/>
    <s v="Year_2"/>
    <d v="2025-01-17T00:00:00"/>
    <s v="KUD10"/>
    <s v="O2R1"/>
    <s v="KSIPL"/>
    <n v="4.3478260869565223E-2"/>
    <n v="5069"/>
    <x v="111"/>
    <s v="Pitch pos C meas. signal fault"/>
    <s v="Breakdown"/>
    <d v="1899-12-30T14:35:00"/>
    <d v="1899-12-30T14:35:00"/>
    <d v="1899-12-30T16:20:00"/>
    <d v="1899-12-30T00:00:00"/>
    <n v="1.7500000000000018"/>
    <n v="1.7500000000000018"/>
    <s v="Remote reboot done"/>
    <s v="Close"/>
    <n v="7.6086956521739219E-2"/>
    <n v="1"/>
    <n v="1.0009999999999999"/>
    <m/>
  </r>
  <r>
    <n v="3303"/>
    <n v="2025"/>
    <n v="2025"/>
    <s v="Year_2"/>
    <d v="2025-01-17T00:00:00"/>
    <s v="KUD14"/>
    <s v="O2R1"/>
    <s v="KSIPL"/>
    <n v="4.3478260869565223E-2"/>
    <n v="309"/>
    <x v="149"/>
    <s v="Pause over RCS __0"/>
    <s v="Breakdown"/>
    <d v="1899-12-30T11:25:00"/>
    <d v="1899-12-30T11:25:00"/>
    <d v="1899-12-30T16:45:00"/>
    <d v="1899-12-30T00:00:00"/>
    <n v="5.333333333333333"/>
    <n v="5.333333333333333"/>
    <s v="Manual stop for Blade internal , External and N2 recharged work."/>
    <s v="Close"/>
    <n v="0.23188405797101452"/>
    <n v="1"/>
    <n v="4.4950000000000001"/>
    <m/>
  </r>
  <r>
    <n v="3304"/>
    <n v="2025"/>
    <n v="2025"/>
    <s v="Year_2"/>
    <d v="2025-01-18T00:00:00"/>
    <s v="KUD20"/>
    <s v="O2R1"/>
    <s v="KSIPL"/>
    <n v="4.3478260869565223E-2"/>
    <n v="309"/>
    <x v="149"/>
    <s v="Pause over RCS __0"/>
    <s v="Manual Stop"/>
    <d v="1899-12-30T14:50:00"/>
    <d v="1899-12-30T14:50:00"/>
    <d v="1899-12-30T17:55:00"/>
    <d v="1899-12-30T00:00:00"/>
    <n v="3.083333333333333"/>
    <n v="3.083333333333333"/>
    <s v="Manual stop for N2 rechared work."/>
    <s v="Close"/>
    <n v="0.13405797101449277"/>
    <n v="1"/>
    <n v="1.78"/>
    <m/>
  </r>
  <r>
    <n v="3305"/>
    <n v="2025"/>
    <n v="2025"/>
    <s v="Year_2"/>
    <d v="2025-01-19T00:00:00"/>
    <s v="KUD11"/>
    <s v="O2R1"/>
    <s v="KSIPL"/>
    <n v="4.3478260869565223E-2"/>
    <n v="450"/>
    <x v="127"/>
    <s v="Ext. High I sum Grd inv."/>
    <s v="Breakdown"/>
    <d v="1899-12-30T07:03:00"/>
    <d v="1899-12-30T07:03:00"/>
    <d v="1899-12-30T07:10:00"/>
    <d v="1899-12-30T00:00:00"/>
    <n v="0.11666666666666625"/>
    <n v="0.11666666666666625"/>
    <s v="Auto start"/>
    <s v="Close"/>
    <n v="5.0724637681159243E-3"/>
    <n v="1"/>
    <n v="0.29299999999999998"/>
    <m/>
  </r>
  <r>
    <n v="3306"/>
    <n v="2025"/>
    <n v="2025"/>
    <s v="Year_2"/>
    <d v="2025-01-19T00:00:00"/>
    <s v="KUD23"/>
    <s v="O2R3"/>
    <s v="JK"/>
    <n v="4.3478260869565223E-2"/>
    <n v="309"/>
    <x v="149"/>
    <s v="Pause over RCS __0"/>
    <s v="Manual Stop"/>
    <d v="1899-12-30T11:10:00"/>
    <d v="1899-12-30T11:10:00"/>
    <d v="1899-12-30T14:40:00"/>
    <d v="1899-12-30T00:00:00"/>
    <n v="3.5000000000000009"/>
    <n v="3.5000000000000009"/>
    <s v="Manual stop for N2 rechared and software udate work."/>
    <s v="Close"/>
    <n v="0.15217391304347833"/>
    <n v="1"/>
    <n v="0.63700000000000001"/>
    <m/>
  </r>
  <r>
    <n v="3307"/>
    <n v="2025"/>
    <n v="2025"/>
    <s v="Year_2"/>
    <d v="2025-01-20T00:00:00"/>
    <s v="KUD01"/>
    <s v="O2R1"/>
    <s v="KSIPL"/>
    <n v="4.3478260869565223E-2"/>
    <n v="450"/>
    <x v="127"/>
    <s v="Ext. High I sum Grd inv."/>
    <s v="Breakdown"/>
    <d v="1899-12-30T09:42:00"/>
    <d v="1899-12-30T09:42:00"/>
    <d v="1899-12-30T09:50:00"/>
    <d v="1899-12-30T00:00:00"/>
    <n v="0.13333333333333286"/>
    <n v="0.13333333333333286"/>
    <s v="Auto start"/>
    <s v="Close"/>
    <n v="5.7971014492753424E-3"/>
    <n v="1"/>
    <n v="5.1999999999999998E-2"/>
    <m/>
  </r>
  <r>
    <n v="3308"/>
    <n v="2025"/>
    <n v="2025"/>
    <s v="Year_2"/>
    <d v="2025-01-20T00:00:00"/>
    <s v="KUD15"/>
    <s v="O2R1"/>
    <s v="KSIPL"/>
    <n v="4.3478260869565223E-2"/>
    <n v="309"/>
    <x v="149"/>
    <s v="Pause over RCS __0"/>
    <s v="Manual Stop"/>
    <d v="1899-12-30T10:20:00"/>
    <d v="1899-12-30T10:20:00"/>
    <d v="1899-12-30T16:50:00"/>
    <d v="1899-12-30T00:00:00"/>
    <n v="6.4999999999999982"/>
    <n v="6.4999999999999982"/>
    <s v="Manual stop for N2 rechared,Blade inspection and software udate work."/>
    <s v="Close"/>
    <n v="0.28260869565217389"/>
    <n v="1"/>
    <n v="0.112"/>
    <m/>
  </r>
  <r>
    <n v="3309"/>
    <n v="2025"/>
    <n v="2025"/>
    <s v="Year_2"/>
    <d v="2025-01-21T00:00:00"/>
    <s v="KUD01"/>
    <s v="O2R1"/>
    <s v="KSIPL"/>
    <n v="4.3478260869565223E-2"/>
    <n v="450"/>
    <x v="127"/>
    <s v="Ext. High I sum Grd inv."/>
    <s v="Breakdown"/>
    <d v="1899-12-30T09:55:00"/>
    <d v="1899-12-30T09:55:00"/>
    <d v="1899-12-30T10:00:00"/>
    <d v="1899-12-30T00:00:00"/>
    <n v="8.333333333333437E-2"/>
    <n v="8.333333333333437E-2"/>
    <s v="Auto start"/>
    <s v="Close"/>
    <n v="3.623188405797147E-3"/>
    <n v="1"/>
    <n v="1.2999999999999999E-2"/>
    <m/>
  </r>
  <r>
    <n v="3310"/>
    <n v="2025"/>
    <n v="2025"/>
    <s v="Year_2"/>
    <d v="2025-01-21T00:00:00"/>
    <s v="KUD19"/>
    <s v="O2R1"/>
    <s v="KSIPL"/>
    <n v="4.3478260869565223E-2"/>
    <n v="309"/>
    <x v="149"/>
    <s v="Pause over RCS __0"/>
    <s v="Manual Stop"/>
    <d v="1899-12-30T15:30:00"/>
    <d v="1899-12-30T15:30:00"/>
    <d v="1899-12-30T19:05:00"/>
    <d v="1899-12-30T00:00:00"/>
    <n v="3.5833333333333313"/>
    <n v="3.5833333333333313"/>
    <s v="Manual stop for N2 rechared and software udate work."/>
    <s v="Close"/>
    <n v="0.1557971014492753"/>
    <n v="1"/>
    <n v="1.335"/>
    <m/>
  </r>
  <r>
    <n v="3311"/>
    <n v="2025"/>
    <n v="2025"/>
    <s v="Year_2"/>
    <d v="2025-01-21T00:00:00"/>
    <s v="KUD02"/>
    <s v="O2R3"/>
    <s v="JK"/>
    <n v="4.3478260869565223E-2"/>
    <n v="309"/>
    <x v="149"/>
    <s v="Pause over RCS __0"/>
    <s v="Manual Stop"/>
    <d v="1899-12-30T10:30:00"/>
    <d v="1899-12-30T10:30:00"/>
    <d v="1899-12-30T13:20:00"/>
    <d v="1899-12-30T00:00:00"/>
    <n v="2.8333333333333339"/>
    <n v="2.8333333333333339"/>
    <s v="Manual stop for N2 rechared and software udate work."/>
    <s v="Close"/>
    <n v="0.1231884057971015"/>
    <n v="1"/>
    <n v="1.087"/>
    <m/>
  </r>
  <r>
    <n v="3312"/>
    <n v="2025"/>
    <n v="2025"/>
    <s v="Year_2"/>
    <d v="2025-01-21T00:00:00"/>
    <s v="KUD09"/>
    <s v="O2R3"/>
    <s v="JK"/>
    <n v="4.3478260869565223E-2"/>
    <n v="309"/>
    <x v="149"/>
    <s v="Pause over RCS __0"/>
    <s v="Manual Stop"/>
    <d v="1899-12-30T13:50:00"/>
    <d v="1899-12-30T13:50:00"/>
    <d v="1899-12-30T16:28:00"/>
    <d v="1899-12-30T00:00:00"/>
    <n v="2.6333333333333346"/>
    <n v="2.6333333333333346"/>
    <s v="Manual stop for N2 rechared and software udate work."/>
    <s v="Close"/>
    <n v="0.11449275362318848"/>
    <n v="1"/>
    <n v="1.0820000000000001"/>
    <m/>
  </r>
  <r>
    <n v="3313"/>
    <n v="2025"/>
    <n v="2025"/>
    <s v="Year_2"/>
    <d v="2025-01-21T00:00:00"/>
    <s v="KUD16"/>
    <s v="O2R2"/>
    <s v="SIL"/>
    <n v="4.3478260869565223E-2"/>
    <n v="309"/>
    <x v="149"/>
    <s v="Pause over RCS __0"/>
    <s v="Manual Stop"/>
    <d v="1899-12-30T10:10:00"/>
    <d v="1899-12-30T10:10:00"/>
    <d v="1899-12-30T14:09:00"/>
    <d v="1899-12-30T00:00:00"/>
    <n v="3.9833333333333338"/>
    <n v="3.9833333333333338"/>
    <s v="Manual stop for N2 rechared and software udate work."/>
    <s v="Close"/>
    <n v="0.17318840579710149"/>
    <n v="1"/>
    <n v="1.244"/>
    <m/>
  </r>
  <r>
    <n v="3314"/>
    <n v="2025"/>
    <n v="2025"/>
    <s v="Year_2"/>
    <d v="2025-01-22T00:00:00"/>
    <s v="KUD01"/>
    <s v="O2R1"/>
    <s v="KSIPL"/>
    <n v="4.3478260869565223E-2"/>
    <n v="309"/>
    <x v="149"/>
    <s v="Pause over RCS __0"/>
    <s v="Manual Stop"/>
    <d v="1899-12-30T13:37:00"/>
    <d v="1899-12-30T13:37:00"/>
    <d v="1899-12-30T16:39:00"/>
    <d v="1899-12-30T00:00:00"/>
    <n v="3.0333333333333332"/>
    <n v="3.0333333333333332"/>
    <s v="Manual stop for N2 rechared and software udate work."/>
    <s v="Close"/>
    <n v="0.13188405797101452"/>
    <n v="1"/>
    <n v="0.90300000000000002"/>
    <m/>
  </r>
  <r>
    <n v="3315"/>
    <n v="2025"/>
    <n v="2025"/>
    <s v="Year_2"/>
    <d v="2025-01-22T00:00:00"/>
    <s v="KUD08"/>
    <s v="O2R3"/>
    <s v="JK"/>
    <n v="4.3478260869565223E-2"/>
    <n v="309"/>
    <x v="149"/>
    <s v="Pause over RCS __0"/>
    <s v="Manual Stop"/>
    <d v="1899-12-30T10:00:00"/>
    <d v="1899-12-30T10:00:00"/>
    <d v="1899-12-30T13:02:00"/>
    <d v="1899-12-30T00:00:00"/>
    <n v="3.0333333333333319"/>
    <n v="3.0333333333333319"/>
    <s v="Manual stop for N2 rechared and software udate work."/>
    <s v="Close"/>
    <n v="0.13188405797101443"/>
    <n v="1"/>
    <n v="1.43"/>
    <m/>
  </r>
  <r>
    <n v="3316"/>
    <n v="2025"/>
    <n v="2025"/>
    <s v="Year_2"/>
    <d v="2025-01-23T00:00:00"/>
    <s v="KUD01"/>
    <s v="O2R1"/>
    <s v="KSIPL"/>
    <n v="4.3478260869565223E-2"/>
    <n v="450"/>
    <x v="127"/>
    <s v="Ext. High I sum Grd inv."/>
    <s v="Breakdown"/>
    <d v="2025-01-23T19:47:32"/>
    <d v="2025-01-23T19:47:32"/>
    <d v="2025-01-23T19:55:18"/>
    <d v="1899-12-30T00:00:00"/>
    <n v="0.12944444449385628"/>
    <n v="0.12944444449385628"/>
    <s v="Auto start"/>
    <s v="Close"/>
    <n v="5.6280193258198387E-3"/>
    <n v="1"/>
    <m/>
    <m/>
  </r>
  <r>
    <n v="3317"/>
    <n v="2025"/>
    <n v="2025"/>
    <s v="Year_2"/>
    <d v="2025-01-23T00:00:00"/>
    <s v="KUD04"/>
    <s v="O2R3"/>
    <s v="JK"/>
    <n v="4.3478260869565223E-2"/>
    <n v="900"/>
    <x v="100"/>
    <s v="Pause pressed on keyboard"/>
    <s v="Manual Stop"/>
    <d v="2025-01-23T10:32:14"/>
    <d v="2025-01-23T10:32:14"/>
    <d v="2025-01-23T13:58:10"/>
    <d v="1899-12-30T00:00:00"/>
    <n v="3.4322222223272547"/>
    <n v="3.4322222223272547"/>
    <s v="Manual stop for N2 Recharge and software udate work."/>
    <s v="Close"/>
    <n v="0.14922705314466328"/>
    <n v="1"/>
    <m/>
    <m/>
  </r>
  <r>
    <n v="3318"/>
    <n v="2025"/>
    <n v="2025"/>
    <s v="Year_2"/>
    <d v="2025-01-23T00:00:00"/>
    <s v="KUD12"/>
    <s v="O2R1"/>
    <s v="KSIPL"/>
    <n v="4.3478260869565223E-2"/>
    <n v="900"/>
    <x v="100"/>
    <s v="Pause pressed on keyboard"/>
    <s v="Manual Stop"/>
    <d v="2025-01-23T14:17:01"/>
    <d v="2025-01-23T14:17:01"/>
    <d v="2025-01-23T17:17:52"/>
    <d v="1899-12-30T00:00:00"/>
    <n v="3.0141666666604578"/>
    <n v="3.0141666666604578"/>
    <s v="Manual stop for N2 Recharge and software udate work."/>
    <s v="Close"/>
    <n v="0.13105072463741121"/>
    <n v="1"/>
    <m/>
    <m/>
  </r>
  <r>
    <n v="3319"/>
    <n v="2025"/>
    <n v="2025"/>
    <s v="Year_2"/>
    <d v="2025-01-23T00:00:00"/>
    <s v="KUD17"/>
    <s v="O2R2"/>
    <s v="SIL"/>
    <n v="4.3478260869565223E-2"/>
    <n v="217"/>
    <x v="117"/>
    <s v="Thermoerror Int.Gen.Fan F___A"/>
    <s v="Breakdown"/>
    <d v="2025-01-23T19:47:29"/>
    <d v="2025-01-23T19:47:29"/>
    <d v="2025-01-23T20:06:37"/>
    <d v="1899-12-30T00:00:00"/>
    <n v="0.31888888886896893"/>
    <n v="0.31888888886896893"/>
    <s v="Auto start"/>
    <s v="Close"/>
    <n v="1.3864734298650825E-2"/>
    <n v="1"/>
    <m/>
    <m/>
  </r>
  <r>
    <n v="3320"/>
    <n v="2025"/>
    <n v="2025"/>
    <s v="Year_2"/>
    <d v="2025-01-23T00:00:00"/>
    <s v="KUD21"/>
    <s v="O2R3"/>
    <s v="JK"/>
    <n v="4.3478260869565223E-2"/>
    <n v="900"/>
    <x v="100"/>
    <s v="Pause pressed on keyboard"/>
    <s v="Manual Stop"/>
    <d v="2025-01-23T10:12:04"/>
    <d v="2025-01-23T10:12:04"/>
    <d v="2025-01-23T14:36:57"/>
    <d v="1899-12-30T00:00:00"/>
    <n v="4.4147222221945412"/>
    <n v="4.4147222221945412"/>
    <s v="Manual stop for N2 Recharge and software udate work."/>
    <s v="Close"/>
    <n v="0.19194444444324094"/>
    <n v="1"/>
    <m/>
    <m/>
  </r>
  <r>
    <n v="3321"/>
    <n v="2025"/>
    <n v="2025"/>
    <s v="Year_2"/>
    <d v="2025-01-23T00:00:00"/>
    <s v="KUD22"/>
    <s v="O2R3"/>
    <s v="JK"/>
    <n v="4.3478260869565223E-2"/>
    <n v="900"/>
    <x v="100"/>
    <s v="Pause pressed on keyboard"/>
    <s v="ROW"/>
    <d v="2025-01-23T09:58:44"/>
    <d v="2025-01-23T09:58:44"/>
    <d v="2025-01-23T10:15:54"/>
    <d v="1899-12-30T00:00:00"/>
    <n v="0.28611111111240461"/>
    <n v="0.28611111111240461"/>
    <s v="ROW  issue plan cancelled for N2 recharge work"/>
    <s v="Close"/>
    <n v="0"/>
    <n v="1"/>
    <m/>
    <m/>
  </r>
  <r>
    <n v="3322"/>
    <n v="2025"/>
    <n v="2025"/>
    <s v="Year_2"/>
    <d v="2025-01-23T00:00:00"/>
    <s v="KUD10"/>
    <s v="O2R1"/>
    <s v="KSIPL"/>
    <n v="4.3478260869565223E-2"/>
    <n v="5069"/>
    <x v="111"/>
    <s v="Pitch pos C meas. signal fault"/>
    <s v="Breakdown"/>
    <d v="1899-12-30T19:50:00"/>
    <d v="1899-12-30T19:50:00"/>
    <d v="1899-12-30T22:05:00"/>
    <d v="1899-12-30T00:00:00"/>
    <n v="2.25"/>
    <n v="2.25"/>
    <s v="Remote reset done due to delay of network issue"/>
    <s v="Close"/>
    <n v="9.7826086956521757E-2"/>
    <n v="1"/>
    <m/>
    <m/>
  </r>
  <r>
    <n v="3323"/>
    <n v="2025"/>
    <n v="2025"/>
    <s v="Year_2"/>
    <d v="2025-01-24T00:00:00"/>
    <s v="KUD10"/>
    <s v="O2R1"/>
    <s v="KSIPL"/>
    <n v="4.3478260869565223E-2"/>
    <n v="5069"/>
    <x v="111"/>
    <s v="Pitch pos C meas. signal fault"/>
    <s v="Breakdown"/>
    <d v="1899-12-30T00:30:00"/>
    <d v="1899-12-30T00:30:00"/>
    <d v="1899-12-30T03:00:00"/>
    <d v="1899-12-30T00:00:00"/>
    <n v="2.5"/>
    <n v="2.5"/>
    <s v="Checked Prop valve cable connection all are normal condition then restored"/>
    <s v="Close"/>
    <n v="0.10869565217391305"/>
    <n v="1"/>
    <m/>
    <m/>
  </r>
  <r>
    <n v="3324"/>
    <n v="2025"/>
    <n v="2025"/>
    <s v="Year_2"/>
    <d v="2025-01-24T00:00:00"/>
    <s v="KUD10"/>
    <s v="O2R1"/>
    <s v="KSIPL"/>
    <n v="4.3478260869565223E-2"/>
    <n v="900"/>
    <x v="100"/>
    <s v="Pause pressed on keyboard"/>
    <s v="Manual Stop"/>
    <d v="1899-12-30T11:03:00"/>
    <d v="1899-12-30T11:03:00"/>
    <d v="1899-12-30T12:59:00"/>
    <d v="1899-12-30T00:00:00"/>
    <n v="1.9333333333333331"/>
    <n v="1.9333333333333331"/>
    <s v="Manual stop for software udate work after repeated error checked work under process"/>
    <s v="Open"/>
    <n v="8.4057971014492749E-2"/>
    <n v="1"/>
    <m/>
    <m/>
  </r>
  <r>
    <n v="3325"/>
    <n v="2025"/>
    <n v="2025"/>
    <s v="Year_2"/>
    <d v="2025-01-25T00:00:00"/>
    <s v="KUD10"/>
    <s v="O2R1"/>
    <s v="KSIPL"/>
    <n v="4.3478260869565223E-2"/>
    <n v="309"/>
    <x v="149"/>
    <s v="Pause over RCS __0"/>
    <s v="Manual Stop"/>
    <d v="1899-12-30T00:00:00"/>
    <d v="1899-12-30T00:00:00"/>
    <d v="1899-12-30T02:37:00"/>
    <d v="1899-12-30T00:00:00"/>
    <n v="2.6166666666666667"/>
    <n v="2.6166666666666667"/>
    <s v="Manual stop for repeted error clearing work found blade C proptional valve cable internal failure so replaced , After replation found error in Blde B encoder so blade calibration done and then restored."/>
    <s v="Close"/>
    <n v="0.113768115942029"/>
    <n v="1"/>
    <m/>
    <m/>
  </r>
  <r>
    <n v="3326"/>
    <n v="2025"/>
    <n v="2025"/>
    <s v="Year_2"/>
    <d v="2025-01-27T00:00:00"/>
    <s v="KUD06"/>
    <s v="O2R3"/>
    <s v="JK"/>
    <n v="4.3478260869565223E-2"/>
    <n v="309"/>
    <x v="149"/>
    <s v="Pause over RCS __0"/>
    <s v="Manual Stop"/>
    <d v="1899-12-30T09:59:00"/>
    <d v="1899-12-30T09:59:00"/>
    <d v="1899-12-30T11:17:00"/>
    <d v="1899-12-30T00:00:00"/>
    <n v="1.2999999999999994"/>
    <n v="1.2999999999999994"/>
    <s v="Manual stop for new Software updation work."/>
    <s v="Close"/>
    <n v="5.6521739130434762E-2"/>
    <n v="1"/>
    <m/>
    <m/>
  </r>
  <r>
    <n v="3327"/>
    <n v="2025"/>
    <n v="2025"/>
    <s v="Year_2"/>
    <d v="2025-01-27T00:00:00"/>
    <s v="KUD07"/>
    <s v="O2R3"/>
    <s v="JK"/>
    <n v="4.3478260869565223E-2"/>
    <n v="309"/>
    <x v="149"/>
    <s v="Pause over RCS __0"/>
    <s v="Manual Stop"/>
    <d v="1899-12-30T11:15:00"/>
    <d v="1899-12-30T11:15:00"/>
    <d v="1899-12-30T12:16:00"/>
    <d v="1899-12-30T00:00:00"/>
    <n v="1.0166666666666657"/>
    <n v="1.0166666666666657"/>
    <s v="Manual stop for new Software updation work."/>
    <s v="Close"/>
    <n v="4.4202898550724602E-2"/>
    <n v="1"/>
    <m/>
    <m/>
  </r>
  <r>
    <n v="3328"/>
    <n v="2025"/>
    <n v="2025"/>
    <s v="Year_2"/>
    <d v="2025-01-27T00:00:00"/>
    <s v="KUD08"/>
    <s v="O2R3"/>
    <s v="JK"/>
    <n v="4.3478260869565223E-2"/>
    <n v="309"/>
    <x v="149"/>
    <s v="Pause over RCS __0"/>
    <s v="Manual Stop"/>
    <d v="1899-12-30T12:35:00"/>
    <d v="1899-12-30T12:35:00"/>
    <d v="1899-12-30T13:40:00"/>
    <d v="1899-12-30T00:00:00"/>
    <n v="1.0833333333333321"/>
    <n v="1.0833333333333321"/>
    <s v="Manual stop for new Software updation work."/>
    <s v="Close"/>
    <n v="4.7101449275362271E-2"/>
    <n v="1"/>
    <m/>
    <m/>
  </r>
  <r>
    <n v="3329"/>
    <n v="2025"/>
    <n v="2025"/>
    <s v="Year_2"/>
    <d v="2025-01-27T00:00:00"/>
    <s v="KUD20"/>
    <s v="O2R1"/>
    <s v="KSIPL"/>
    <n v="4.3478260869565223E-2"/>
    <n v="309"/>
    <x v="149"/>
    <s v="Pause over RCS __0"/>
    <s v="Manual Stop"/>
    <d v="1899-12-30T15:05:00"/>
    <d v="1899-12-30T15:05:00"/>
    <d v="1899-12-30T16:00:00"/>
    <d v="1899-12-30T00:00:00"/>
    <n v="0.91666666666666607"/>
    <n v="0.91666666666666607"/>
    <s v="Manual stop for new Software updation work."/>
    <s v="Close"/>
    <n v="3.9855072463768099E-2"/>
    <n v="1"/>
    <m/>
    <m/>
  </r>
  <r>
    <n v="3330"/>
    <n v="2025"/>
    <n v="2025"/>
    <s v="Year_2"/>
    <d v="2025-01-28T00:00:00"/>
    <s v="KUD11"/>
    <s v="O2R1"/>
    <s v="KSIPL"/>
    <n v="4.3478260869565223E-2"/>
    <n v="309"/>
    <x v="149"/>
    <s v="Pause over RCS __1"/>
    <s v="Manual Stop"/>
    <d v="1899-12-30T11:15:00"/>
    <d v="1899-12-30T11:15:00"/>
    <d v="1899-12-30T15:00:00"/>
    <d v="1899-12-30T00:00:00"/>
    <n v="3.75"/>
    <n v="3.75"/>
    <s v="Manual stop for new Software updation and Blade inspection  work."/>
    <s v="Close"/>
    <n v="0.1630434782608696"/>
    <n v="1"/>
    <m/>
    <m/>
  </r>
  <r>
    <n v="3331"/>
    <n v="2025"/>
    <n v="2025"/>
    <s v="Year_2"/>
    <d v="2025-01-28T00:00:00"/>
    <s v="KUD13"/>
    <s v="O2R1"/>
    <s v="KSIPL"/>
    <n v="4.3478260869565223E-2"/>
    <n v="309"/>
    <x v="149"/>
    <s v="Pause over RCS __2"/>
    <s v="Manual Stop"/>
    <d v="1899-12-30T15:31:00"/>
    <d v="1899-12-30T15:31:00"/>
    <d v="1899-12-30T16:50:00"/>
    <d v="1899-12-30T00:00:00"/>
    <n v="1.3166666666666647"/>
    <n v="1.3166666666666647"/>
    <s v="Manual stop for new Software updation work."/>
    <s v="Close"/>
    <n v="5.724637681159412E-2"/>
    <n v="1"/>
    <m/>
    <m/>
  </r>
  <r>
    <n v="3332"/>
    <n v="2025"/>
    <n v="2025"/>
    <s v="Year_2"/>
    <d v="2025-01-29T00:00:00"/>
    <s v="KUD03"/>
    <s v="O2R1"/>
    <s v="KSIPL"/>
    <n v="4.3478260869565223E-2"/>
    <n v="309"/>
    <x v="149"/>
    <s v="Pause over RCS __0"/>
    <s v="Manual Stop"/>
    <d v="1899-12-30T10:40:00"/>
    <d v="1899-12-30T10:40:00"/>
    <d v="1899-12-30T11:35:00"/>
    <d v="1899-12-30T00:00:00"/>
    <n v="0.91666666666666741"/>
    <n v="0.91666666666666741"/>
    <s v="Manual stop for new Software updation work."/>
    <s v="Close"/>
    <n v="3.9855072463768154E-2"/>
    <n v="1"/>
    <m/>
    <m/>
  </r>
  <r>
    <n v="3333"/>
    <n v="2025"/>
    <n v="2025"/>
    <s v="Year_2"/>
    <d v="2025-01-29T00:00:00"/>
    <s v="KUD22"/>
    <s v="O2R3"/>
    <s v="JK"/>
    <n v="4.3478260869565223E-2"/>
    <n v="309"/>
    <x v="149"/>
    <s v="Pause over RCS __0"/>
    <s v="Manual Stop"/>
    <d v="1899-12-30T15:03:00"/>
    <d v="1899-12-30T15:03:00"/>
    <d v="1899-12-30T17:25:00"/>
    <d v="1899-12-30T00:00:00"/>
    <n v="2.3666666666666663"/>
    <n v="2.3666666666666663"/>
    <s v="Manual stop for N2 rechared and software udate work."/>
    <s v="Close"/>
    <n v="0.10289855072463767"/>
    <n v="1"/>
    <m/>
    <m/>
  </r>
  <r>
    <n v="3334"/>
    <n v="2025"/>
    <n v="2025"/>
    <s v="Year_2"/>
    <d v="2025-01-29T00:00:00"/>
    <s v="KUD20"/>
    <s v="O2R1"/>
    <s v="KSIPL"/>
    <n v="4.3478260869565223E-2"/>
    <n v="315"/>
    <x v="120"/>
    <s v="ExEx low voltage L_: ___V"/>
    <s v="Breakdown"/>
    <d v="1899-12-30T17:50:00"/>
    <d v="1899-12-30T17:50:00"/>
    <d v="1899-12-30T18:55:00"/>
    <d v="1899-12-30T00:00:00"/>
    <n v="1.0833333333333321"/>
    <n v="1.0833333333333321"/>
    <s v="Manual charged HVCB"/>
    <s v="Close"/>
    <n v="4.7101449275362271E-2"/>
    <n v="1"/>
    <m/>
    <m/>
  </r>
  <r>
    <n v="3335"/>
    <n v="2025"/>
    <n v="2025"/>
    <s v="Year_2"/>
    <d v="2025-01-29T00:00:00"/>
    <s v="KUD15"/>
    <s v="O2R1"/>
    <s v="KSIPL"/>
    <n v="4.3478260869565223E-2"/>
    <n v="2676"/>
    <x v="124"/>
    <s v="UPS Error"/>
    <s v="Breakdown"/>
    <d v="1899-12-30T17:50:00"/>
    <d v="1899-12-30T17:50:00"/>
    <d v="1899-12-30T19:28:00"/>
    <d v="1899-12-30T00:00:00"/>
    <n v="1.6333333333333329"/>
    <n v="1.6333333333333329"/>
    <s v="UPS Manually reset done."/>
    <s v="Close"/>
    <n v="7.1014492753623176E-2"/>
    <n v="1"/>
    <m/>
    <m/>
  </r>
  <r>
    <n v="3336"/>
    <n v="2025"/>
    <n v="2025"/>
    <s v="Year_2"/>
    <d v="2025-01-29T00:00:00"/>
    <s v="KUD11"/>
    <s v="O2R1"/>
    <s v="KSIPL"/>
    <n v="4.3478260869565223E-2"/>
    <n v="2676"/>
    <x v="124"/>
    <s v="UPS Error"/>
    <s v="Breakdown"/>
    <d v="1899-12-30T17:50:00"/>
    <d v="1899-12-30T17:50:00"/>
    <d v="1899-12-30T19:28:00"/>
    <d v="1899-12-30T00:00:00"/>
    <n v="1.6333333333333329"/>
    <n v="1.6333333333333329"/>
    <s v="UPS Manually reset done."/>
    <s v="Close"/>
    <n v="7.1014492753623176E-2"/>
    <n v="1"/>
    <m/>
    <m/>
  </r>
  <r>
    <n v="3337"/>
    <n v="2025"/>
    <n v="2025"/>
    <s v="Year_2"/>
    <d v="2025-01-30T00:00:00"/>
    <s v="KUD03"/>
    <s v="O2R1"/>
    <s v="KSIPL"/>
    <n v="4.3478260869565223E-2"/>
    <n v="3273"/>
    <x v="35"/>
    <s v="YawUntwistCCW: Code 5,    554Â°"/>
    <m/>
    <d v="1899-12-30T12:52:00"/>
    <d v="1899-12-30T12:52:00"/>
    <d v="1899-12-30T13:13:00"/>
    <d v="1899-12-30T00:00:00"/>
    <n v="0.35000000000000142"/>
    <n v="0.35000000000000142"/>
    <s v="Auto cable twist."/>
    <s v="Close"/>
    <n v="1.5217391304347889E-2"/>
    <n v="1"/>
    <m/>
    <m/>
  </r>
  <r>
    <n v="3338"/>
    <n v="2025"/>
    <n v="2025"/>
    <s v="Year_2"/>
    <d v="2025-01-30T00:00:00"/>
    <s v="KUD05"/>
    <s v="O2R3"/>
    <s v="JK"/>
    <n v="4.3478260869565223E-2"/>
    <n v="2676"/>
    <x v="124"/>
    <s v="UPS Error"/>
    <s v="Breakdown"/>
    <d v="1899-12-30T16:38:00"/>
    <d v="1899-12-30T16:38:00"/>
    <d v="1899-12-30T17:11:00"/>
    <d v="1899-12-30T00:00:00"/>
    <n v="0.55000000000000071"/>
    <n v="0.55000000000000071"/>
    <s v="During running time voltage fluctuation occurred so this error came then we checked and UPS manually reset done.."/>
    <s v="Close"/>
    <n v="2.3913043478260905E-2"/>
    <n v="1"/>
    <m/>
    <m/>
  </r>
  <r>
    <n v="3339"/>
    <n v="2025"/>
    <n v="2025"/>
    <s v="Year_2"/>
    <d v="2025-01-30T00:00:00"/>
    <s v="KUD10"/>
    <s v="O2R1"/>
    <s v="KSIPL"/>
    <n v="4.3478260869565223E-2"/>
    <n v="900"/>
    <x v="100"/>
    <s v="Pause pressed on keyboard"/>
    <s v="Manual Stop"/>
    <d v="1899-12-30T14:04:00"/>
    <d v="1899-12-30T14:04:00"/>
    <d v="1899-12-30T15:10:00"/>
    <d v="1899-12-30T00:00:00"/>
    <n v="1.0999999999999988"/>
    <n v="1.0999999999999988"/>
    <s v="Manual stop for N2 rechared  work."/>
    <s v="Close"/>
    <n v="4.7826086956521692E-2"/>
    <n v="1"/>
    <m/>
    <m/>
  </r>
  <r>
    <n v="3340"/>
    <n v="2025"/>
    <n v="2025"/>
    <s v="Year_2"/>
    <d v="2025-01-30T00:00:00"/>
    <s v="KUD12"/>
    <s v="O2R1"/>
    <s v="KSIPL"/>
    <n v="4.3478260869565223E-2"/>
    <n v="2676"/>
    <x v="124"/>
    <s v="UPS Error"/>
    <s v="Breakdown"/>
    <d v="1899-12-30T16:32:00"/>
    <d v="1899-12-30T16:32:00"/>
    <d v="1899-12-30T18:22:00"/>
    <d v="1899-12-30T00:00:00"/>
    <n v="1.8333333333333321"/>
    <n v="1.8333333333333321"/>
    <s v="During running time voltage fluctuation occurred so this error came then we checked and manually charged the HVCB."/>
    <s v="Close"/>
    <n v="7.9710144927536197E-2"/>
    <n v="1"/>
    <m/>
    <m/>
  </r>
  <r>
    <n v="3341"/>
    <n v="2025"/>
    <n v="2025"/>
    <s v="Year_2"/>
    <d v="2025-01-30T00:00:00"/>
    <s v="KUD14"/>
    <s v="O2R1"/>
    <s v="KSIPL"/>
    <n v="4.3478260869565223E-2"/>
    <n v="3273"/>
    <x v="35"/>
    <s v="YawUntwistCCW: Code 6,    540Â°"/>
    <m/>
    <d v="1899-12-30T14:14:00"/>
    <d v="1899-12-30T14:14:00"/>
    <d v="1899-12-30T14:40:00"/>
    <d v="1899-12-30T00:00:00"/>
    <n v="0.43333333333333446"/>
    <n v="0.43333333333333446"/>
    <s v="Auto cable twist."/>
    <s v="Close"/>
    <n v="1.8840579710144977E-2"/>
    <n v="1"/>
    <m/>
    <m/>
  </r>
  <r>
    <n v="3342"/>
    <n v="2025"/>
    <n v="2025"/>
    <s v="Year_2"/>
    <d v="2025-01-30T00:00:00"/>
    <s v="KUD16"/>
    <s v="O2R2"/>
    <s v="SIL"/>
    <n v="4.3478260869565223E-2"/>
    <n v="2676"/>
    <x v="124"/>
    <s v="UPS Error"/>
    <s v="Breakdown"/>
    <d v="1899-12-30T16:31:00"/>
    <d v="1899-12-30T16:31:00"/>
    <d v="1899-12-30T17:56:00"/>
    <d v="1899-12-30T00:00:00"/>
    <n v="1.416666666666667"/>
    <n v="1.416666666666667"/>
    <s v="During running time voltage fluctuation occurred so this error came then we checked and manually charged the HVCB."/>
    <s v="Close"/>
    <n v="6.1594202898550748E-2"/>
    <n v="1"/>
    <m/>
    <m/>
  </r>
  <r>
    <n v="3343"/>
    <n v="2025"/>
    <n v="2025"/>
    <s v="Year_2"/>
    <d v="2025-01-30T00:00:00"/>
    <s v="KUD17"/>
    <s v="O2R2"/>
    <s v="SIL"/>
    <n v="4.3478260869565223E-2"/>
    <n v="900"/>
    <x v="100"/>
    <s v="Pause pressed on keyboard"/>
    <s v="Manual Stop"/>
    <d v="1899-12-30T10:15:00"/>
    <d v="1899-12-30T10:15:00"/>
    <d v="1899-12-30T12:50:00"/>
    <d v="1899-12-30T00:00:00"/>
    <n v="2.5833333333333335"/>
    <n v="2.5833333333333335"/>
    <s v="Manual stop for N2 rechared and software udate work."/>
    <s v="Close"/>
    <n v="0.11231884057971017"/>
    <n v="1"/>
    <m/>
    <m/>
  </r>
  <r>
    <n v="3344"/>
    <n v="2025"/>
    <n v="2025"/>
    <s v="Year_2"/>
    <d v="2025-01-30T00:00:00"/>
    <s v="KUD19"/>
    <s v="O2R1"/>
    <s v="KSIPL"/>
    <n v="4.3478260869565223E-2"/>
    <n v="3024"/>
    <x v="113"/>
    <s v="ArcNetReconfigMaxLimit      10"/>
    <s v="Breakdown"/>
    <d v="1899-12-30T14:38:00"/>
    <d v="1899-12-30T14:38:00"/>
    <d v="1899-12-30T16:55:00"/>
    <d v="1899-12-30T00:00:00"/>
    <n v="2.2833333333333332"/>
    <n v="2.2833333333333332"/>
    <s v="Found Hub media converter ARC signal low then Media converter OFC properly clean after restored"/>
    <s v="Close"/>
    <n v="9.9275362318840585E-2"/>
    <n v="1"/>
    <m/>
    <m/>
  </r>
  <r>
    <n v="3345"/>
    <n v="2025"/>
    <n v="2025"/>
    <s v="Year_2"/>
    <d v="2025-01-30T00:00:00"/>
    <s v="KUD21"/>
    <s v="O2R3"/>
    <s v="JK"/>
    <n v="4.3478260869565223E-2"/>
    <n v="2676"/>
    <x v="124"/>
    <s v="UPS Error"/>
    <s v="Breakdown"/>
    <d v="1899-12-30T16:32:00"/>
    <d v="1899-12-30T16:32:00"/>
    <d v="1899-12-30T17:31:00"/>
    <d v="1899-12-30T00:00:00"/>
    <n v="0.9833333333333325"/>
    <n v="0.9833333333333325"/>
    <s v="During running time voltage fluctuation occurred so this error came then we checked and manually charged the HVCB."/>
    <s v="Close"/>
    <n v="4.2753623188405768E-2"/>
    <n v="1"/>
    <m/>
    <m/>
  </r>
  <r>
    <n v="3346"/>
    <n v="2025"/>
    <n v="2025"/>
    <s v="Year_2"/>
    <d v="2025-01-30T00:00:00"/>
    <s v="KUD22"/>
    <s v="O2R3"/>
    <s v="JK"/>
    <n v="4.3478260869565223E-2"/>
    <n v="3209"/>
    <x v="101"/>
    <s v="YawSignals Invalid"/>
    <s v="Breakdown"/>
    <d v="1899-12-30T14:17:00"/>
    <d v="1899-12-30T14:17:00"/>
    <d v="1899-12-30T14:56:00"/>
    <d v="1899-12-30T00:00:00"/>
    <n v="0.65000000000000036"/>
    <n v="0.65000000000000036"/>
    <s v="Auto start"/>
    <s v="Close"/>
    <n v="2.8260869565217412E-2"/>
    <n v="1"/>
    <m/>
    <m/>
  </r>
  <r>
    <n v="3347"/>
    <n v="2025"/>
    <n v="2025"/>
    <s v="Year_2"/>
    <d v="2025-01-31T00:00:00"/>
    <s v="KUD01"/>
    <s v="O2R1"/>
    <s v="KSIPL"/>
    <n v="4.3478260869565223E-2"/>
    <n v="450"/>
    <x v="127"/>
    <s v="Ext. High I sum Grd inv."/>
    <s v="Breakdown"/>
    <d v="1899-12-30T09:07:00"/>
    <d v="1899-12-30T09:07:00"/>
    <d v="1899-12-30T09:14:00"/>
    <d v="1899-12-30T00:00:00"/>
    <n v="0.11666666666666758"/>
    <n v="0.11666666666666758"/>
    <s v="Auto reset"/>
    <s v="Close"/>
    <n v="5.0724637681159824E-3"/>
    <n v="1"/>
    <m/>
    <m/>
  </r>
  <r>
    <n v="3348"/>
    <n v="2025"/>
    <n v="2025"/>
    <s v="Year_2"/>
    <d v="2025-01-31T00:00:00"/>
    <s v="KUD05"/>
    <s v="O2R3"/>
    <s v="JK"/>
    <n v="4.3478260869565223E-2"/>
    <n v="3209"/>
    <x v="101"/>
    <s v="YawSignals Invalid"/>
    <s v="Breakdown"/>
    <d v="1899-12-30T11:59:00"/>
    <d v="1899-12-30T11:59:00"/>
    <d v="1899-12-30T12:23:00"/>
    <d v="1899-12-30T00:00:00"/>
    <n v="0.40000000000000124"/>
    <n v="0.40000000000000124"/>
    <s v="Remote reset done."/>
    <s v="Close"/>
    <n v="1.7391304347826143E-2"/>
    <n v="1"/>
    <m/>
    <m/>
  </r>
  <r>
    <n v="3349"/>
    <n v="2025"/>
    <n v="2025"/>
    <s v="Year_2"/>
    <d v="2025-01-31T00:00:00"/>
    <s v="KUD08"/>
    <s v="O2R3"/>
    <s v="JK"/>
    <n v="4.3478260869565223E-2"/>
    <n v="3273"/>
    <x v="35"/>
    <s v="YawUntwistCCW: Code 6,    540Â°"/>
    <m/>
    <d v="1899-12-30T12:26:00"/>
    <d v="1899-12-30T12:26:00"/>
    <d v="1899-12-30T12:46:00"/>
    <d v="1899-12-30T00:00:00"/>
    <n v="0.33333333333333215"/>
    <n v="0.33333333333333215"/>
    <s v="Auto cable twist."/>
    <s v="Close"/>
    <n v="1.4492753623188356E-2"/>
    <n v="1"/>
    <m/>
    <m/>
  </r>
  <r>
    <n v="3350"/>
    <n v="2025"/>
    <n v="2025"/>
    <s v="Year_2"/>
    <d v="2025-01-31T00:00:00"/>
    <s v="KUD20"/>
    <s v="O2R1"/>
    <s v="KSIPL"/>
    <n v="4.3478260869565223E-2"/>
    <n v="450"/>
    <x v="127"/>
    <s v="Ext. High I sum Grd inv."/>
    <s v="Breakdown"/>
    <d v="1899-12-30T06:13:00"/>
    <d v="1899-12-30T06:13:00"/>
    <d v="1899-12-30T06:20:00"/>
    <d v="1899-12-30T00:00:00"/>
    <n v="0.11666666666666625"/>
    <n v="0.11666666666666625"/>
    <s v="Auto reset"/>
    <s v="Close"/>
    <n v="5.0724637681159243E-3"/>
    <n v="1"/>
    <m/>
    <m/>
  </r>
  <r>
    <n v="3351"/>
    <n v="2025"/>
    <n v="2025"/>
    <s v="Year_2"/>
    <d v="2025-01-31T00:00:00"/>
    <s v="KUD20"/>
    <s v="O2R1"/>
    <s v="KSIPL"/>
    <n v="4.3478260869565223E-2"/>
    <n v="900"/>
    <x v="100"/>
    <s v="Pause pressed on keyboard"/>
    <s v="Manual Stop"/>
    <d v="1899-12-30T15:23:00"/>
    <d v="1899-12-30T15:23:00"/>
    <d v="1899-12-30T17:05:00"/>
    <d v="1899-12-30T00:00:00"/>
    <n v="1.6999999999999993"/>
    <n v="1.6999999999999993"/>
    <s v=" we checked  main bearing temp related connections all are normal and Main bearing grease filling done"/>
    <s v="Close"/>
    <n v="7.3913043478260845E-2"/>
    <n v="1"/>
    <m/>
    <m/>
  </r>
  <r>
    <n v="3352"/>
    <n v="2025"/>
    <n v="2025"/>
    <s v="Year_2"/>
    <d v="2025-02-01T00:00:00"/>
    <s v="KUD09"/>
    <s v="O2R3"/>
    <s v="JK"/>
    <n v="4.3478260869565223E-2"/>
    <n v="3272"/>
    <x v="143"/>
    <s v="YawUntwistCW: Code 3,-000540Â°"/>
    <m/>
    <d v="1899-12-30T14:43:00"/>
    <d v="1899-12-30T14:43:00"/>
    <d v="1899-12-30T15:05:00"/>
    <d v="1899-12-30T00:00:00"/>
    <n v="0.36666666666666536"/>
    <n v="0.36666666666666536"/>
    <s v="Auto cable twist."/>
    <s v="Close"/>
    <n v="1.594202898550719E-2"/>
    <n v="1"/>
    <m/>
    <m/>
  </r>
  <r>
    <n v="3353"/>
    <n v="2025"/>
    <n v="2025"/>
    <s v="Year_2"/>
    <d v="2025-02-01T00:00:00"/>
    <s v="KUD18"/>
    <s v="O2R4"/>
    <s v="SGDCIPL"/>
    <n v="4.3478260869565223E-2"/>
    <n v="3209"/>
    <x v="101"/>
    <s v="YawSignals Invalid"/>
    <s v="Breakdown"/>
    <d v="1899-12-30T01:14:00"/>
    <d v="1899-12-30T01:14:00"/>
    <d v="1899-12-30T02:53:00"/>
    <d v="1899-12-30T00:00:00"/>
    <n v="1.6500000000000001"/>
    <n v="1.6500000000000001"/>
    <s v="Remote reset done."/>
    <s v="Close"/>
    <n v="7.1739130434782625E-2"/>
    <n v="1"/>
    <m/>
    <m/>
  </r>
  <r>
    <n v="3354"/>
    <n v="2025"/>
    <n v="2025"/>
    <s v="Year_2"/>
    <d v="2025-02-02T00:00:00"/>
    <s v="KUD01"/>
    <s v="O2R1"/>
    <s v="KSIPL"/>
    <n v="4.3478260869565223E-2"/>
    <n v="450"/>
    <x v="127"/>
    <s v="Ext. High I sum Grd inv."/>
    <s v="Breakdown"/>
    <d v="1899-12-30T13:34:00"/>
    <d v="1899-12-30T13:34:00"/>
    <d v="1899-12-30T13:41:00"/>
    <d v="1899-12-30T00:00:00"/>
    <n v="0.11666666666666625"/>
    <n v="0.11666666666666625"/>
    <s v="Auto reset"/>
    <s v="Close"/>
    <n v="5.0724637681159243E-3"/>
    <n v="1"/>
    <m/>
    <m/>
  </r>
  <r>
    <n v="3355"/>
    <n v="2025"/>
    <n v="2025"/>
    <s v="Year_2"/>
    <d v="2025-02-02T00:00:00"/>
    <s v="KUD11"/>
    <s v="O2R1"/>
    <s v="KSIPL"/>
    <n v="4.3478260869565223E-2"/>
    <n v="450"/>
    <x v="127"/>
    <s v="Ext. High I sum Grd inv."/>
    <s v="Breakdown"/>
    <d v="1899-12-30T09:29:00"/>
    <d v="1899-12-30T09:29:00"/>
    <d v="1899-12-30T09:33:00"/>
    <d v="1899-12-30T00:00:00"/>
    <n v="6.666666666666643E-2"/>
    <n v="6.666666666666643E-2"/>
    <s v="Auto reset"/>
    <s v="Close"/>
    <n v="2.8985507246376712E-3"/>
    <n v="1"/>
    <m/>
    <m/>
  </r>
  <r>
    <n v="3356"/>
    <n v="2025"/>
    <n v="2025"/>
    <s v="Year_2"/>
    <d v="2025-02-06T00:00:00"/>
    <s v="KUD04"/>
    <s v="O2R3"/>
    <s v="JK"/>
    <n v="4.3478260869565223E-2"/>
    <n v="2676"/>
    <x v="124"/>
    <s v="UPS Error"/>
    <s v="Breakdown"/>
    <d v="1899-12-30T14:40:00"/>
    <d v="1899-12-30T14:40:00"/>
    <d v="1899-12-30T15:02:00"/>
    <d v="1899-12-30T00:00:00"/>
    <n v="0.36666666666666536"/>
    <n v="0.36666666666666536"/>
    <s v="ups Battery Replaced and SWG charged"/>
    <s v="Close"/>
    <n v="1.594202898550719E-2"/>
    <n v="1"/>
    <m/>
    <m/>
  </r>
  <r>
    <n v="3357"/>
    <n v="2025"/>
    <n v="2025"/>
    <s v="Year_2"/>
    <d v="2025-02-06T00:00:00"/>
    <s v="KUD05"/>
    <s v="O2R3"/>
    <s v="JK"/>
    <n v="4.3478260869565223E-2"/>
    <n v="2676"/>
    <x v="124"/>
    <s v="UPS Error"/>
    <s v="Breakdown"/>
    <d v="1899-12-30T14:40:00"/>
    <d v="1899-12-30T14:40:00"/>
    <d v="1899-12-30T16:36:00"/>
    <d v="1899-12-30T00:00:00"/>
    <n v="1.9333333333333318"/>
    <n v="1.9333333333333318"/>
    <s v="ups Battery Replaced and SWG charged"/>
    <s v="Close"/>
    <n v="8.4057971014492694E-2"/>
    <n v="1"/>
    <m/>
    <m/>
  </r>
  <r>
    <n v="3358"/>
    <n v="2025"/>
    <n v="2025"/>
    <s v="Year_2"/>
    <d v="2025-02-06T00:00:00"/>
    <s v="KUD07"/>
    <s v="O2R3"/>
    <s v="JK"/>
    <n v="4.3478260869565223E-2"/>
    <n v="4234"/>
    <x v="78"/>
    <s v="Grid Converter CB Open"/>
    <s v="Breakdown"/>
    <d v="1899-12-30T14:40:00"/>
    <d v="1899-12-30T14:40:00"/>
    <d v="1899-12-30T20:05:00"/>
    <d v="1899-12-30T00:00:00"/>
    <n v="5.4166666666666661"/>
    <n v="5.4166666666666661"/>
    <s v="Found CB trip condition after rpm related error occur.Hub GYRO sensor malfunctioning then safety reset done"/>
    <s v="Close"/>
    <n v="0.23550724637681161"/>
    <n v="1"/>
    <m/>
    <m/>
  </r>
  <r>
    <n v="3359"/>
    <n v="2025"/>
    <n v="2025"/>
    <s v="Year_2"/>
    <d v="2025-02-06T00:00:00"/>
    <s v="KUD09"/>
    <s v="O2R3"/>
    <s v="JK"/>
    <n v="4.3478260869565223E-2"/>
    <n v="3742"/>
    <x v="115"/>
    <s v="TripHVButtonActivated 1"/>
    <s v="Breakdown"/>
    <d v="1899-12-30T14:40:00"/>
    <d v="1899-12-30T14:40:00"/>
    <d v="1899-12-30T17:15:00"/>
    <d v="1899-12-30T00:00:00"/>
    <n v="2.5833333333333321"/>
    <n v="2.5833333333333321"/>
    <s v="UPS rebooted and  SWG charged"/>
    <s v="Close"/>
    <n v="0.1123188405797101"/>
    <n v="1"/>
    <m/>
    <m/>
  </r>
  <r>
    <n v="3360"/>
    <n v="2025"/>
    <n v="2025"/>
    <s v="Year_2"/>
    <d v="2025-02-06T00:00:00"/>
    <s v="KUD10"/>
    <s v="O2R1"/>
    <s v="KSIPL"/>
    <n v="4.3478260869565223E-2"/>
    <n v="2676"/>
    <x v="124"/>
    <s v="UPS Error"/>
    <s v="Breakdown"/>
    <d v="1899-12-30T14:40:00"/>
    <d v="1899-12-30T14:40:00"/>
    <d v="1899-12-30T16:23:00"/>
    <d v="1899-12-30T00:00:00"/>
    <n v="1.7166666666666659"/>
    <n v="1.7166666666666659"/>
    <s v="ups Battery Replaced and SWG charged"/>
    <s v="Close"/>
    <n v="7.4637681159420266E-2"/>
    <n v="1"/>
    <m/>
    <m/>
  </r>
  <r>
    <n v="3361"/>
    <n v="2025"/>
    <n v="2025"/>
    <s v="Year_2"/>
    <d v="2025-02-06T00:00:00"/>
    <s v="KUD20"/>
    <s v="O2R1"/>
    <s v="KSIPL"/>
    <n v="4.3478260869565223E-2"/>
    <n v="2676"/>
    <x v="124"/>
    <s v="UPS Error"/>
    <s v="Breakdown"/>
    <d v="1899-12-30T14:40:00"/>
    <d v="1899-12-30T14:40:00"/>
    <d v="1899-12-30T16:06:00"/>
    <d v="1899-12-30T00:00:00"/>
    <n v="1.4333333333333309"/>
    <n v="1.4333333333333309"/>
    <s v="ups Battery Replaced and SWG charged"/>
    <s v="Close"/>
    <n v="6.2318840579710044E-2"/>
    <n v="1"/>
    <m/>
    <m/>
  </r>
  <r>
    <n v="3362"/>
    <n v="2025"/>
    <n v="2025"/>
    <s v="Year_2"/>
    <d v="2025-02-06T00:00:00"/>
    <s v="KUD22"/>
    <s v="O2R3"/>
    <s v="JK"/>
    <n v="4.3478260869565223E-2"/>
    <n v="931"/>
    <x v="186"/>
    <s v="Arc light detected"/>
    <s v="Breakdown"/>
    <d v="1899-12-30T14:40:00"/>
    <d v="1899-12-30T14:40:00"/>
    <d v="1899-12-30T21:09:00"/>
    <d v="1899-12-30T00:00:00"/>
    <n v="6.4833333333333316"/>
    <n v="6.4833333333333316"/>
    <s v="Found VAMP activated then checked TRAFO after restored"/>
    <s v="Close"/>
    <n v="0.28188405797101446"/>
    <n v="1"/>
    <m/>
    <m/>
  </r>
  <r>
    <n v="3363"/>
    <n v="2025"/>
    <n v="2025"/>
    <s v="Year_2"/>
    <d v="2025-02-06T00:00:00"/>
    <s v="KUD23"/>
    <s v="O2R3"/>
    <s v="JK"/>
    <n v="4.3478260869565223E-2"/>
    <n v="2676"/>
    <x v="124"/>
    <s v="UPS Error"/>
    <s v="Breakdown"/>
    <d v="1899-12-30T14:40:00"/>
    <d v="1899-12-30T14:40:00"/>
    <d v="1899-12-30T17:00:00"/>
    <d v="1899-12-30T00:00:00"/>
    <n v="2.333333333333333"/>
    <n v="2.333333333333333"/>
    <s v="UPS rebooted then restored"/>
    <s v="Close"/>
    <n v="0.10144927536231885"/>
    <n v="1"/>
    <m/>
    <m/>
  </r>
  <r>
    <n v="3364"/>
    <n v="2025"/>
    <n v="2025"/>
    <s v="Year_2"/>
    <d v="2025-02-07T00:00:00"/>
    <s v="KUD01"/>
    <s v="O2R1"/>
    <s v="KSIPL"/>
    <n v="4.3478260869565223E-2"/>
    <n v="450"/>
    <x v="127"/>
    <s v="Ext. High I sum Grd inv."/>
    <s v="Breakdown"/>
    <d v="1899-12-30T09:48:00"/>
    <d v="1899-12-30T09:48:00"/>
    <d v="1899-12-30T09:55:00"/>
    <d v="1899-12-30T00:00:00"/>
    <n v="0.11666666666666625"/>
    <n v="0.11666666666666625"/>
    <s v="Auto reset"/>
    <s v="Close"/>
    <n v="5.0724637681159243E-3"/>
    <n v="1"/>
    <m/>
    <m/>
  </r>
  <r>
    <n v="3365"/>
    <n v="2025"/>
    <n v="2025"/>
    <s v="Year_2"/>
    <d v="2025-02-08T00:00:00"/>
    <s v="KUD13"/>
    <s v="O2R1"/>
    <s v="KSIPL"/>
    <n v="4.3478260869565223E-2"/>
    <n v="5197"/>
    <x v="54"/>
    <s v="Prop Valve C Status Fault"/>
    <s v="Breakdown"/>
    <d v="1899-12-30T07:50:00"/>
    <d v="1899-12-30T07:50:00"/>
    <d v="1899-12-30T13:36:00"/>
    <d v="1899-12-30T00:00:00"/>
    <n v="5.7666666666666657"/>
    <n v="5.7666666666666657"/>
    <s v="Found Blade C proportional valve malfunction then replaced to new one after restored"/>
    <s v="Close"/>
    <n v="0.25072463768115943"/>
    <n v="1"/>
    <m/>
    <m/>
  </r>
  <r>
    <n v="3366"/>
    <n v="2025"/>
    <n v="2025"/>
    <s v="Year_2"/>
    <d v="2025-02-09T00:00:00"/>
    <s v="KUD08"/>
    <s v="O2R3"/>
    <s v="JK"/>
    <n v="4.3478260869565223E-2"/>
    <n v="151"/>
    <x v="148"/>
    <s v="High temp. Gen bearing _:___°C"/>
    <s v="Breakdown"/>
    <d v="1899-12-30T22:21:00"/>
    <d v="1899-12-30T22:21:00"/>
    <d v="1899-12-30T23:59:00"/>
    <d v="1899-12-30T00:00:00"/>
    <n v="1.6333333333333329"/>
    <n v="1.6333333333333329"/>
    <s v="Attend and found Generator colling fan high speed fuse failured so replaced and restored."/>
    <s v="Close"/>
    <n v="7.1014492753623176E-2"/>
    <n v="1"/>
    <n v="1.6579999999999999"/>
    <m/>
  </r>
  <r>
    <n v="3367"/>
    <n v="2025"/>
    <n v="2025"/>
    <s v="Year_2"/>
    <d v="2025-02-09T00:00:00"/>
    <s v="KUD11"/>
    <s v="O2R1"/>
    <s v="KSIPL"/>
    <n v="4.3478260869565223E-2"/>
    <n v="450"/>
    <x v="127"/>
    <s v="Ext. High I sum Grd inv."/>
    <s v="Breakdown"/>
    <d v="1899-12-30T10:33:00"/>
    <d v="1899-12-30T10:33:00"/>
    <d v="1899-12-30T10:40:00"/>
    <d v="1899-12-30T00:00:00"/>
    <n v="0.11666666666666625"/>
    <n v="0.11666666666666625"/>
    <s v="Auto Reset"/>
    <s v="Close"/>
    <n v="5.0724637681159243E-3"/>
    <n v="1"/>
    <n v="7.5999999999999998E-2"/>
    <m/>
  </r>
  <r>
    <n v="3368"/>
    <n v="2025"/>
    <n v="2025"/>
    <s v="Year_2"/>
    <d v="2025-02-10T00:00:00"/>
    <s v="KUD08"/>
    <s v="O2R3"/>
    <s v="JK"/>
    <n v="4.3478260869565223E-2"/>
    <n v="151"/>
    <x v="148"/>
    <s v="High temp. Gen bearing _:___°C"/>
    <s v="Breakdown"/>
    <d v="1899-12-30T00:00:00"/>
    <d v="1899-12-30T00:00:00"/>
    <d v="1899-12-30T00:58:00"/>
    <d v="1899-12-30T00:00:00"/>
    <n v="0.96666666666666679"/>
    <n v="0.96666666666666679"/>
    <s v="Attend and found Generator colling fan high speed fuse failured so replaced and restored."/>
    <s v="Close"/>
    <n v="4.2028985507246389E-2"/>
    <n v="1"/>
    <n v="0.68200000000000005"/>
    <m/>
  </r>
  <r>
    <n v="3369"/>
    <n v="2025"/>
    <n v="2025"/>
    <s v="Year_2"/>
    <d v="2025-02-10T00:00:00"/>
    <s v="KUD05"/>
    <s v="O2R3"/>
    <s v="JK"/>
    <n v="4.3478260869565223E-2"/>
    <n v="309"/>
    <x v="149"/>
    <s v="Pause over RCS __0"/>
    <s v="Breakdown"/>
    <d v="1899-12-30T16:24:00"/>
    <d v="1899-12-30T16:24:00"/>
    <d v="1899-12-30T17:50:00"/>
    <d v="1899-12-30T00:00:00"/>
    <n v="1.4333333333333336"/>
    <n v="1.4333333333333336"/>
    <s v="Manual stop for new software updation work."/>
    <s v="Close"/>
    <n v="6.2318840579710162E-2"/>
    <n v="1"/>
    <n v="0.44600000000000001"/>
    <m/>
  </r>
  <r>
    <n v="3370"/>
    <n v="2025"/>
    <n v="2025"/>
    <s v="Year_2"/>
    <d v="2025-02-11T00:00:00"/>
    <s v="KUD06"/>
    <s v="O2R3"/>
    <s v="JK"/>
    <n v="4.3478260869565223E-2"/>
    <n v="4500"/>
    <x v="138"/>
    <s v="Pitch C too low: __._° &lt; __._°"/>
    <s v="Breakdown"/>
    <d v="1899-12-30T22:33:00"/>
    <d v="1899-12-30T22:33:00"/>
    <d v="1899-12-30T23:30:00"/>
    <d v="1899-12-30T00:00:00"/>
    <n v="0.94999999999999929"/>
    <n v="0.94999999999999929"/>
    <s v="Remote reboot done"/>
    <s v="Close"/>
    <n v="4.1304347826086933E-2"/>
    <n v="1"/>
    <n v="0.153"/>
    <m/>
  </r>
  <r>
    <n v="3371"/>
    <n v="2025"/>
    <n v="2025"/>
    <s v="Year_2"/>
    <d v="2025-02-11T00:00:00"/>
    <s v="KUD16"/>
    <s v="O2R2"/>
    <s v="SIL"/>
    <n v="4.3478260869565223E-2"/>
    <n v="309"/>
    <x v="149"/>
    <s v="Pause over RCS __0"/>
    <s v="Breakdown"/>
    <d v="1899-12-30T08:24:00"/>
    <d v="1899-12-30T08:24:00"/>
    <d v="1899-12-30T19:21:00"/>
    <d v="1899-12-30T00:00:00"/>
    <n v="10.950000000000001"/>
    <n v="10.950000000000001"/>
    <s v="Manual stop for CMS alert and yaw claw inspection work."/>
    <s v="Close"/>
    <n v="0.47608695652173921"/>
    <n v="1"/>
    <n v="3.5379999999999998"/>
    <m/>
  </r>
  <r>
    <n v="3372"/>
    <n v="2025"/>
    <n v="2025"/>
    <s v="Year_2"/>
    <d v="2025-02-12T00:00:00"/>
    <s v="KUD01"/>
    <s v="O2R1"/>
    <s v="KSIPL"/>
    <n v="4.3478260869565223E-2"/>
    <n v="335"/>
    <x v="152"/>
    <s v="ExtHighIRotorInv phase: _"/>
    <s v="Breakdown"/>
    <d v="1899-12-30T09:09:00"/>
    <d v="1899-12-30T09:09:00"/>
    <d v="1899-12-30T09:16:00"/>
    <d v="1899-12-30T00:00:00"/>
    <n v="0.11666666666666758"/>
    <n v="0.11666666666666758"/>
    <s v="Auto reset"/>
    <s v="Close"/>
    <n v="5.0724637681159824E-3"/>
    <n v="1"/>
    <n v="2E-3"/>
    <m/>
  </r>
  <r>
    <n v="3373"/>
    <n v="2025"/>
    <n v="2025"/>
    <s v="Year_2"/>
    <d v="2025-02-12T00:00:00"/>
    <s v="KUD03"/>
    <s v="O2R1"/>
    <s v="KSIPL"/>
    <n v="4.3478260869565223E-2"/>
    <n v="3296"/>
    <x v="46"/>
    <s v="Yaw To Nacelle Position Reset"/>
    <m/>
    <d v="1899-12-30T15:43:00"/>
    <d v="1899-12-30T15:43:00"/>
    <d v="1899-12-30T15:57:00"/>
    <d v="1899-12-30T00:00:00"/>
    <n v="0.2333333333333325"/>
    <n v="0.2333333333333325"/>
    <s v="Auto cable twist"/>
    <s v="Close"/>
    <n v="1.0144927536231849E-2"/>
    <n v="1"/>
    <n v="8.1000000000000003E-2"/>
    <m/>
  </r>
  <r>
    <n v="3374"/>
    <n v="2025"/>
    <n v="2025"/>
    <s v="Year_2"/>
    <d v="2025-02-12T00:00:00"/>
    <s v="KUD02"/>
    <s v="O2R3"/>
    <s v="JK"/>
    <n v="4.3478260869565223E-2"/>
    <n v="309"/>
    <x v="149"/>
    <s v="Pause over RCS __0"/>
    <s v="Manual Stop"/>
    <d v="1899-12-30T10:32:00"/>
    <d v="1899-12-30T10:32:00"/>
    <d v="1899-12-30T15:22:00"/>
    <d v="1899-12-30T00:00:00"/>
    <n v="4.8333333333333321"/>
    <n v="4.8333333333333321"/>
    <s v="Manual stop for yearly generator aligment work."/>
    <s v="Close"/>
    <n v="0.21014492753623187"/>
    <n v="1"/>
    <n v="1.5189999999999999"/>
    <m/>
  </r>
  <r>
    <n v="3375"/>
    <n v="2025"/>
    <n v="2025"/>
    <s v="Year_2"/>
    <d v="2025-02-13T00:00:00"/>
    <s v="KUD04"/>
    <s v="O2R3"/>
    <s v="JK"/>
    <n v="4.3478260869565223E-2"/>
    <n v="309"/>
    <x v="149"/>
    <s v="Pause over RCS __0"/>
    <s v="Manual Stop"/>
    <d v="1899-12-30T08:58:00"/>
    <d v="1899-12-30T08:58:00"/>
    <d v="1899-12-30T12:47:00"/>
    <d v="1899-12-30T00:00:00"/>
    <n v="3.8166666666666664"/>
    <n v="3.8166666666666664"/>
    <s v="Manual stop for yearly generator aligment work."/>
    <s v="Close"/>
    <n v="0.16594202898550725"/>
    <n v="1"/>
    <n v="0.44900000000000001"/>
    <m/>
  </r>
  <r>
    <n v="3376"/>
    <n v="2025"/>
    <n v="2025"/>
    <s v="Year_2"/>
    <d v="2025-02-14T00:00:00"/>
    <s v="KUD10"/>
    <s v="O2R1"/>
    <s v="KSIPL"/>
    <n v="4.3478260869565223E-2"/>
    <n v="3273"/>
    <x v="35"/>
    <s v="YawUntwistCCW: Code__,_______°"/>
    <m/>
    <d v="1899-12-30T11:08:00"/>
    <d v="1899-12-30T11:08:00"/>
    <d v="1899-12-30T11:28:00"/>
    <d v="1899-12-30T00:00:00"/>
    <n v="0.33333333333333348"/>
    <n v="0.33333333333333348"/>
    <s v="Auto cable twist"/>
    <s v="Close"/>
    <n v="1.4492753623188415E-2"/>
    <n v="1"/>
    <n v="0.44900000000000001"/>
    <m/>
  </r>
  <r>
    <n v="3377"/>
    <n v="2025"/>
    <n v="2025"/>
    <s v="Year_2"/>
    <d v="2025-02-14T00:00:00"/>
    <s v="KUD19"/>
    <s v="O2R1"/>
    <s v="KSIPL"/>
    <n v="4.3478260869565223E-2"/>
    <n v="3273"/>
    <x v="35"/>
    <s v="YawUntwistCCW: Code__,_______°"/>
    <m/>
    <d v="1899-12-30T19:49:00"/>
    <d v="1899-12-30T19:49:00"/>
    <d v="1899-12-30T20:10:00"/>
    <d v="1899-12-30T00:00:00"/>
    <n v="0.35000000000000142"/>
    <n v="0.35000000000000142"/>
    <s v="Auto cable twist"/>
    <s v="Close"/>
    <n v="1.5217391304347889E-2"/>
    <n v="1"/>
    <n v="0.44900000000000001"/>
    <m/>
  </r>
  <r>
    <n v="3378"/>
    <n v="2025"/>
    <n v="2025"/>
    <s v="Year_2"/>
    <d v="2025-02-14T00:00:00"/>
    <s v="KUD05"/>
    <s v="O2R3"/>
    <s v="JK"/>
    <n v="4.3478260869565223E-2"/>
    <n v="3273"/>
    <x v="35"/>
    <s v="YawUntwistCCW: Code__,_______°"/>
    <m/>
    <d v="1899-12-30T06:25:00"/>
    <d v="1899-12-30T06:25:00"/>
    <d v="1899-12-30T06:30:00"/>
    <d v="1899-12-30T00:00:00"/>
    <n v="8.3333333333333037E-2"/>
    <n v="8.3333333333333037E-2"/>
    <s v="Auto cable twist"/>
    <s v="Close"/>
    <n v="3.6231884057970889E-3"/>
    <n v="1"/>
    <n v="0.44900000000000001"/>
    <m/>
  </r>
  <r>
    <n v="3379"/>
    <n v="2025"/>
    <n v="2025"/>
    <s v="Year_2"/>
    <d v="2025-02-14T00:00:00"/>
    <s v="KUD06"/>
    <s v="O2R3"/>
    <s v="JK"/>
    <n v="4.3478260869565223E-2"/>
    <n v="309"/>
    <x v="149"/>
    <s v="Pause over RCS __0"/>
    <s v="Manual Stop"/>
    <d v="1899-12-30T10:17:00"/>
    <d v="1899-12-30T10:17:00"/>
    <d v="1899-12-30T13:34:00"/>
    <d v="1899-12-30T00:00:00"/>
    <n v="3.2833333333333337"/>
    <n v="3.2833333333333337"/>
    <s v="Manual stop for yearly generator aligment work."/>
    <s v="Close"/>
    <n v="0.14275362318840584"/>
    <n v="1"/>
    <n v="0.44900000000000001"/>
    <m/>
  </r>
  <r>
    <n v="3380"/>
    <n v="2025"/>
    <n v="2025"/>
    <s v="Year_2"/>
    <d v="2025-02-14T00:00:00"/>
    <s v="KUD07"/>
    <s v="O2R3"/>
    <s v="JK"/>
    <n v="4.3478260869565223E-2"/>
    <n v="3273"/>
    <x v="35"/>
    <s v="YawUntwistCCW: Code__,_______°"/>
    <m/>
    <d v="1899-12-30T14:33:00"/>
    <d v="1899-12-30T14:33:00"/>
    <d v="1899-12-30T14:55:00"/>
    <d v="1899-12-30T00:00:00"/>
    <n v="0.36666666666666803"/>
    <n v="0.36666666666666803"/>
    <s v="Auto cable twist"/>
    <s v="Close"/>
    <n v="1.5942028985507308E-2"/>
    <n v="1"/>
    <n v="0.44900000000000001"/>
    <m/>
  </r>
  <r>
    <n v="3381"/>
    <n v="2025"/>
    <n v="2025"/>
    <s v="Year_2"/>
    <d v="2025-02-14T00:00:00"/>
    <s v="KUD16"/>
    <s v="O2R2"/>
    <s v="SIL"/>
    <n v="4.3478260869565223E-2"/>
    <n v="3272"/>
    <x v="143"/>
    <s v="YawUntwistCW: Code__,_______°"/>
    <m/>
    <d v="1899-12-30T16:40:00"/>
    <d v="1899-12-30T16:40:00"/>
    <d v="1899-12-30T17:10:00"/>
    <d v="1899-12-30T00:00:00"/>
    <n v="0.50000000000000089"/>
    <n v="0.50000000000000089"/>
    <s v="Auto cable twist"/>
    <s v="Close"/>
    <n v="2.173913043478265E-2"/>
    <n v="1"/>
    <n v="0.44900000000000001"/>
    <m/>
  </r>
  <r>
    <n v="3382"/>
    <n v="2025"/>
    <n v="2025"/>
    <s v="Year_2"/>
    <d v="2025-02-14T00:00:00"/>
    <s v="KUD22"/>
    <s v="O2R3"/>
    <s v="JK"/>
    <n v="4.3478260869565223E-2"/>
    <n v="3273"/>
    <x v="35"/>
    <s v="YawUntwistCCW: Code__,_______°"/>
    <m/>
    <d v="1899-12-30T05:42:00"/>
    <d v="1899-12-30T05:42:00"/>
    <d v="1899-12-30T05:56:00"/>
    <d v="1899-12-30T00:00:00"/>
    <n v="0.23333333333333384"/>
    <n v="0.23333333333333384"/>
    <s v="Auto cable twist"/>
    <s v="Close"/>
    <n v="1.0144927536231908E-2"/>
    <n v="1"/>
    <n v="0.44900000000000001"/>
    <m/>
  </r>
  <r>
    <n v="3383"/>
    <n v="2025"/>
    <n v="2025"/>
    <s v="Year_2"/>
    <d v="2025-02-14T00:00:00"/>
    <s v="KUD23"/>
    <s v="O2R3"/>
    <s v="JK"/>
    <n v="4.3478260869565223E-2"/>
    <n v="3272"/>
    <x v="143"/>
    <s v="YawUntwistCW: Code__,_______°"/>
    <m/>
    <d v="1899-12-30T12:49:00"/>
    <d v="1899-12-30T12:49:00"/>
    <d v="1899-12-30T13:11:00"/>
    <d v="1899-12-30T00:00:00"/>
    <n v="0.36666666666666803"/>
    <n v="0.36666666666666803"/>
    <s v="Auto cable twist"/>
    <s v="Close"/>
    <n v="1.5942028985507308E-2"/>
    <n v="1"/>
    <n v="0.44900000000000001"/>
    <m/>
  </r>
  <r>
    <n v="3384"/>
    <n v="2025"/>
    <n v="2025"/>
    <s v="Year_2"/>
    <d v="2025-02-15T00:00:00"/>
    <s v="KUD17"/>
    <s v="O2R2"/>
    <s v="SIL"/>
    <n v="4.3478260869565223E-2"/>
    <n v="3273"/>
    <x v="35"/>
    <s v="YawUntwistCCW: Code__,_______°"/>
    <m/>
    <d v="1899-12-30T02:08:00"/>
    <d v="1899-12-30T02:08:00"/>
    <d v="1899-12-30T02:31:00"/>
    <d v="1899-12-30T00:00:00"/>
    <n v="0.3833333333333333"/>
    <n v="0.3833333333333333"/>
    <s v="Auto cable twist"/>
    <s v="Close"/>
    <n v="1.6666666666666666E-2"/>
    <n v="1"/>
    <n v="2E-3"/>
    <m/>
  </r>
  <r>
    <n v="3385"/>
    <n v="2025"/>
    <n v="2025"/>
    <s v="Year_2"/>
    <d v="2025-02-15T00:00:00"/>
    <s v="KUD17"/>
    <s v="O2R2"/>
    <s v="SIL"/>
    <n v="4.3478260869565223E-2"/>
    <n v="3806"/>
    <x v="147"/>
    <s v="HubSafetySystem Batt.Charg.Err"/>
    <s v="Breakdown"/>
    <d v="1899-12-30T13:06:00"/>
    <d v="1899-12-30T13:06:00"/>
    <d v="1899-12-30T13:10:00"/>
    <d v="1899-12-30T00:00:00"/>
    <n v="6.6666666666669094E-2"/>
    <n v="6.6666666666669094E-2"/>
    <s v="Auto start after battery fully charged."/>
    <s v="Close"/>
    <n v="2.898550724637787E-3"/>
    <n v="1"/>
    <n v="0"/>
    <m/>
  </r>
  <r>
    <n v="3386"/>
    <n v="2025"/>
    <n v="2025"/>
    <s v="Year_2"/>
    <d v="2025-02-15T00:00:00"/>
    <s v="KUD18"/>
    <s v="O2R4"/>
    <s v="SGDCIPL"/>
    <n v="4.3478260869565223E-2"/>
    <n v="3273"/>
    <x v="35"/>
    <s v="YawUntwistCCW: Code__,_______°"/>
    <m/>
    <d v="1899-12-30T12:03:00"/>
    <d v="1899-12-30T12:03:00"/>
    <d v="1899-12-30T12:20:00"/>
    <d v="1899-12-30T00:00:00"/>
    <n v="0.28333333333333233"/>
    <n v="0.28333333333333233"/>
    <s v="Auto cable twist"/>
    <s v="Close"/>
    <n v="1.2318840579710102E-2"/>
    <n v="1"/>
    <n v="1E-3"/>
    <m/>
  </r>
  <r>
    <n v="3387"/>
    <n v="2025"/>
    <n v="2025"/>
    <s v="Year_2"/>
    <d v="2025-02-15T00:00:00"/>
    <s v="KUD18"/>
    <s v="O2R4"/>
    <s v="SGDCIPL"/>
    <n v="4.3478260869565223E-2"/>
    <n v="315"/>
    <x v="120"/>
    <s v="ExEx low voltage L_: ___V"/>
    <s v="Breakdown"/>
    <d v="1899-12-30T13:10:00"/>
    <d v="1899-12-30T13:10:00"/>
    <d v="1899-12-30T15:00:00"/>
    <d v="1899-12-30T00:00:00"/>
    <n v="1.8333333333333321"/>
    <n v="1.8333333333333321"/>
    <s v="Manually charged HVCB."/>
    <s v="Close"/>
    <n v="7.9710144927536197E-2"/>
    <n v="1"/>
    <n v="1.4999999999999999E-2"/>
    <m/>
  </r>
  <r>
    <n v="3388"/>
    <n v="2025"/>
    <n v="2025"/>
    <s v="Year_2"/>
    <d v="2025-02-15T00:00:00"/>
    <s v="KUD23"/>
    <s v="O2R3"/>
    <s v="JK"/>
    <n v="4.3478260869565223E-2"/>
    <n v="2676"/>
    <x v="124"/>
    <s v="UPS Error"/>
    <s v="Breakdown"/>
    <d v="1899-12-30T13:10:00"/>
    <d v="1899-12-30T13:10:00"/>
    <d v="1899-12-30T14:30:00"/>
    <d v="1899-12-30T00:00:00"/>
    <n v="1.3333333333333313"/>
    <n v="1.3333333333333313"/>
    <s v="UPS reboot done"/>
    <s v="Close"/>
    <n v="5.7971014492753541E-2"/>
    <n v="1"/>
    <n v="2.9000000000000001E-2"/>
    <m/>
  </r>
  <r>
    <n v="3389"/>
    <n v="2025"/>
    <n v="2025"/>
    <s v="Year_2"/>
    <d v="2025-02-15T00:00:00"/>
    <s v="KUD03"/>
    <s v="O2R1"/>
    <s v="KSIPL"/>
    <n v="4.3478260869565223E-2"/>
    <n v="309"/>
    <x v="149"/>
    <s v="Pause over RCS __0"/>
    <s v="Manual Stop"/>
    <d v="1899-12-30T08:52:00"/>
    <d v="1899-12-30T08:52:00"/>
    <d v="1899-12-30T12:12:00"/>
    <d v="1899-12-30T00:00:00"/>
    <n v="3.3333333333333321"/>
    <n v="3.3333333333333321"/>
    <s v="Manual stop for yearly generator aligment work."/>
    <s v="Close"/>
    <n v="0.14492753623188404"/>
    <n v="1"/>
    <n v="1.0999999999999999E-2"/>
    <m/>
  </r>
  <r>
    <n v="3390"/>
    <n v="2025"/>
    <n v="2025"/>
    <s v="Year_2"/>
    <d v="2025-02-15T00:00:00"/>
    <s v="KUD03"/>
    <s v="O2R1"/>
    <s v="KSIPL"/>
    <n v="4.3478260869565223E-2"/>
    <n v="3806"/>
    <x v="147"/>
    <s v="HubSafetySystem Batt.Charg.Err"/>
    <s v="Breakdown"/>
    <d v="1899-12-30T13:18:00"/>
    <d v="1899-12-30T13:18:00"/>
    <d v="1899-12-30T13:23:00"/>
    <d v="1899-12-30T00:00:00"/>
    <n v="8.3333333333333037E-2"/>
    <n v="8.3333333333333037E-2"/>
    <s v="Auto start after battery fully charged."/>
    <s v="Close"/>
    <n v="3.6231884057970889E-3"/>
    <n v="1"/>
    <n v="0.47"/>
    <m/>
  </r>
  <r>
    <n v="3391"/>
    <n v="2025"/>
    <n v="2025"/>
    <s v="Year_2"/>
    <d v="2025-02-15T00:00:00"/>
    <s v="KUD08"/>
    <s v="O2R3"/>
    <s v="JK"/>
    <n v="4.3478260869565223E-2"/>
    <n v="3298"/>
    <x v="47"/>
    <s v="Yaw To Cable Twist Reset"/>
    <m/>
    <d v="1899-12-30T13:00:00"/>
    <d v="1899-12-30T13:00:00"/>
    <d v="1899-12-30T13:16:00"/>
    <d v="1899-12-30T00:00:00"/>
    <n v="0.26666666666666838"/>
    <n v="0.26666666666666838"/>
    <s v="Auto cable twist"/>
    <s v="Close"/>
    <n v="1.1594202898550801E-2"/>
    <n v="1"/>
    <n v="0.57999999999999996"/>
    <m/>
  </r>
  <r>
    <n v="3392"/>
    <n v="2025"/>
    <n v="2025"/>
    <s v="Year_2"/>
    <d v="2025-02-15T00:00:00"/>
    <s v="KUD11"/>
    <s v="O2R1"/>
    <s v="KSIPL"/>
    <n v="4.3478260869565223E-2"/>
    <n v="2676"/>
    <x v="124"/>
    <s v="UPS Error"/>
    <s v="Breakdown"/>
    <d v="1899-12-30T13:02:00"/>
    <d v="1899-12-30T13:02:00"/>
    <d v="1899-12-30T14:00:00"/>
    <d v="1899-12-30T00:00:00"/>
    <n v="0.96666666666666856"/>
    <n v="0.96666666666666856"/>
    <s v="UPS Battary replaced."/>
    <s v="Close"/>
    <n v="4.2028985507246465E-2"/>
    <n v="1"/>
    <n v="2.1000000000000001E-2"/>
    <m/>
  </r>
  <r>
    <n v="3393"/>
    <n v="2025"/>
    <n v="2025"/>
    <s v="Year_2"/>
    <d v="2025-02-15T00:00:00"/>
    <s v="KUD13"/>
    <s v="O2R1"/>
    <s v="KSIPL"/>
    <n v="4.3478260869565223E-2"/>
    <n v="3273"/>
    <x v="35"/>
    <s v="YawUntwistCCW: Code__,_______°"/>
    <m/>
    <d v="1899-12-30T12:07:00"/>
    <d v="1899-12-30T12:07:00"/>
    <d v="1899-12-30T12:30:00"/>
    <d v="1899-12-30T00:00:00"/>
    <n v="0.38333333333333464"/>
    <n v="0.38333333333333464"/>
    <s v="Auto cable twist"/>
    <s v="Close"/>
    <n v="1.6666666666666725E-2"/>
    <n v="1"/>
    <n v="2.3E-2"/>
    <m/>
  </r>
  <r>
    <n v="3394"/>
    <n v="2025"/>
    <n v="2025"/>
    <s v="Year_2"/>
    <d v="2025-02-15T00:00:00"/>
    <s v="KUD14"/>
    <s v="O2R1"/>
    <s v="KSIPL"/>
    <n v="4.3478260869565223E-2"/>
    <n v="3273"/>
    <x v="35"/>
    <s v="YawUntwistCCW: Code__,_______°"/>
    <m/>
    <d v="1899-12-30T02:48:00"/>
    <d v="1899-12-30T02:48:00"/>
    <d v="1899-12-30T03:18:00"/>
    <d v="1899-12-30T00:00:00"/>
    <n v="0.50000000000000022"/>
    <n v="0.50000000000000022"/>
    <s v="Auto cable twist"/>
    <s v="Close"/>
    <n v="2.1739130434782622E-2"/>
    <n v="1"/>
    <n v="0"/>
    <m/>
  </r>
  <r>
    <n v="3395"/>
    <n v="2025"/>
    <n v="2025"/>
    <s v="Year_2"/>
    <d v="2025-02-15T00:00:00"/>
    <s v="KUD20"/>
    <s v="O2R1"/>
    <s v="KSIPL"/>
    <n v="4.3478260869565223E-2"/>
    <n v="3273"/>
    <x v="35"/>
    <s v="YawUntwistCCW: Code__,_______°"/>
    <m/>
    <d v="1899-12-30T11:13:00"/>
    <d v="1899-12-30T11:13:00"/>
    <d v="1899-12-30T11:33:00"/>
    <d v="1899-12-30T00:00:00"/>
    <n v="0.33333333333333348"/>
    <n v="0.33333333333333348"/>
    <s v="Auto cable twist"/>
    <s v="Close"/>
    <n v="1.4492753623188415E-2"/>
    <n v="1"/>
    <n v="0.02"/>
    <m/>
  </r>
  <r>
    <n v="3396"/>
    <n v="2025"/>
    <n v="2025"/>
    <s v="Year_2"/>
    <d v="2025-02-15T00:00:00"/>
    <s v="KUD02"/>
    <s v="O2R3"/>
    <s v="JK"/>
    <n v="4.3478260869565223E-2"/>
    <n v="3273"/>
    <x v="35"/>
    <s v="YawUntwistCCW: Code__,_______°"/>
    <m/>
    <d v="1899-12-30T02:07:00"/>
    <d v="1899-12-30T02:07:00"/>
    <d v="1899-12-30T02:29:00"/>
    <d v="1899-12-30T00:00:00"/>
    <n v="0.36666666666666636"/>
    <n v="0.36666666666666636"/>
    <s v="Auto cable twist"/>
    <s v="Close"/>
    <n v="1.5942028985507235E-2"/>
    <n v="1"/>
    <n v="0.01"/>
    <m/>
  </r>
  <r>
    <n v="3397"/>
    <n v="2025"/>
    <n v="2025"/>
    <s v="Year_2"/>
    <d v="2025-02-15T00:00:00"/>
    <s v="KUD04"/>
    <s v="O2R3"/>
    <s v="JK"/>
    <n v="4.3478260869565223E-2"/>
    <n v="3273"/>
    <x v="35"/>
    <s v="YawUntwistCCW: Code__,_______°"/>
    <m/>
    <d v="1899-12-30T11:58:00"/>
    <d v="1899-12-30T11:58:00"/>
    <d v="1899-12-30T12:19:00"/>
    <d v="1899-12-30T00:00:00"/>
    <n v="0.34999999999999876"/>
    <n v="0.34999999999999876"/>
    <s v="Auto cable twist"/>
    <s v="Close"/>
    <n v="1.5217391304347775E-2"/>
    <n v="1"/>
    <n v="0.03"/>
    <m/>
  </r>
  <r>
    <n v="3398"/>
    <n v="2025"/>
    <n v="2025"/>
    <s v="Year_2"/>
    <d v="2025-02-15T00:00:00"/>
    <s v="KUD05"/>
    <s v="O2R3"/>
    <s v="JK"/>
    <n v="4.3478260869565223E-2"/>
    <n v="3273"/>
    <x v="35"/>
    <s v="YawUntwistCCW: Code__,_______°"/>
    <m/>
    <d v="1899-12-30T04:36:00"/>
    <d v="1899-12-30T04:36:00"/>
    <d v="1899-12-30T04:56:00"/>
    <d v="1899-12-30T00:00:00"/>
    <n v="0.33333333333333282"/>
    <n v="0.33333333333333282"/>
    <s v="Auto cable twist"/>
    <s v="Close"/>
    <n v="1.4492753623188385E-2"/>
    <n v="1"/>
    <n v="0.03"/>
    <m/>
  </r>
  <r>
    <n v="3399"/>
    <n v="2025"/>
    <n v="2025"/>
    <s v="Year_2"/>
    <d v="2025-02-15T00:00:00"/>
    <s v="KUD06"/>
    <s v="O2R3"/>
    <s v="JK"/>
    <n v="4.3478260869565223E-2"/>
    <n v="5069"/>
    <x v="111"/>
    <s v="Pitch pos C meas. signal fault"/>
    <s v="Breakdown"/>
    <d v="1899-12-30T00:33:00"/>
    <d v="1899-12-30T00:33:00"/>
    <d v="1899-12-30T01:00:00"/>
    <d v="1899-12-30T00:00:00"/>
    <n v="0.44999999999999996"/>
    <n v="0.44999999999999996"/>
    <s v="Remote reset done."/>
    <s v="Close"/>
    <n v="1.9565217391304349E-2"/>
    <n v="1"/>
    <n v="1E-3"/>
    <m/>
  </r>
  <r>
    <n v="3400"/>
    <n v="2025"/>
    <n v="2025"/>
    <s v="Year_2"/>
    <d v="2025-02-15T00:00:00"/>
    <s v="KUD07"/>
    <s v="O2R3"/>
    <s v="JK"/>
    <n v="4.3478260869565223E-2"/>
    <n v="3273"/>
    <x v="35"/>
    <s v="YawUntwistCCW: Code__,_______°"/>
    <m/>
    <d v="1899-12-30T11:09:00"/>
    <d v="1899-12-30T11:09:00"/>
    <d v="1899-12-30T11:31:00"/>
    <d v="1899-12-30T00:00:00"/>
    <n v="0.3666666666666667"/>
    <n v="0.3666666666666667"/>
    <s v="Auto cable twist"/>
    <s v="Close"/>
    <n v="1.5942028985507249E-2"/>
    <n v="1"/>
    <n v="1E-3"/>
    <m/>
  </r>
  <r>
    <n v="3401"/>
    <n v="2025"/>
    <n v="2025"/>
    <s v="Year_2"/>
    <d v="2025-02-15T00:00:00"/>
    <s v="KUD09"/>
    <s v="O2R3"/>
    <s v="JK"/>
    <n v="4.3478260869565223E-2"/>
    <n v="931"/>
    <x v="186"/>
    <s v="Arc light detected"/>
    <s v="Breakdown"/>
    <d v="1899-12-30T13:10:00"/>
    <d v="1899-12-30T13:10:00"/>
    <d v="1899-12-30T17:03:00"/>
    <d v="1899-12-30T00:00:00"/>
    <n v="3.8833333333333329"/>
    <n v="3.8833333333333329"/>
    <s v="Found VAMP activated then checked TRAFO after restored"/>
    <s v="Close"/>
    <n v="0.16884057971014493"/>
    <n v="1"/>
    <n v="0.08"/>
    <m/>
  </r>
  <r>
    <n v="3402"/>
    <n v="2025"/>
    <n v="2025"/>
    <s v="Year_2"/>
    <d v="2025-02-15T00:00:00"/>
    <s v="KUD16"/>
    <s v="O2R2"/>
    <s v="SIL"/>
    <n v="4.3478260869565223E-2"/>
    <n v="3273"/>
    <x v="35"/>
    <s v="YawUntwistCCW: Code__,_______°"/>
    <m/>
    <d v="1899-12-30T15:35:00"/>
    <d v="1899-12-30T15:35:00"/>
    <d v="1899-12-30T15:56:00"/>
    <d v="1899-12-30T00:00:00"/>
    <n v="0.34999999999999876"/>
    <n v="0.34999999999999876"/>
    <s v="Auto cable twist"/>
    <s v="Close"/>
    <n v="1.5217391304347775E-2"/>
    <n v="1"/>
    <n v="9.1999999999999998E-2"/>
    <m/>
  </r>
  <r>
    <n v="3403"/>
    <n v="2025"/>
    <n v="2025"/>
    <s v="Year_2"/>
    <d v="2025-02-16T00:00:00"/>
    <s v="KUD01"/>
    <s v="O2R1"/>
    <s v="KSIPL"/>
    <n v="4.3478260869565223E-2"/>
    <n v="335"/>
    <x v="152"/>
    <s v="ExtHighIRotorInv phase: _"/>
    <s v="Breakdown"/>
    <d v="1899-12-30T05:23:00"/>
    <d v="1899-12-30T05:23:00"/>
    <d v="1899-12-30T05:30:00"/>
    <d v="1899-12-30T00:00:00"/>
    <n v="0.11666666666666625"/>
    <n v="0.11666666666666625"/>
    <s v="Auto Reset"/>
    <s v="Close"/>
    <n v="5.0724637681159243E-3"/>
    <n v="1"/>
    <n v="0.13500000000000001"/>
    <m/>
  </r>
  <r>
    <n v="3404"/>
    <n v="2025"/>
    <n v="2025"/>
    <s v="Year_2"/>
    <d v="2025-02-16T00:00:00"/>
    <s v="KUD03"/>
    <s v="O2R1"/>
    <s v="KSIPL"/>
    <n v="4.3478260869565223E-2"/>
    <n v="3273"/>
    <x v="35"/>
    <s v="YawUntwistCCW: Code__,_______°"/>
    <m/>
    <d v="1899-12-30T08:53:00"/>
    <d v="1899-12-30T08:53:00"/>
    <d v="1899-12-30T09:13:00"/>
    <d v="1899-12-30T00:00:00"/>
    <n v="0.33333333333333348"/>
    <n v="0.33333333333333348"/>
    <s v="Auto cable twist"/>
    <s v="Close"/>
    <n v="1.4492753623188415E-2"/>
    <n v="1"/>
    <n v="0.104"/>
    <m/>
  </r>
  <r>
    <n v="3405"/>
    <n v="2025"/>
    <n v="2025"/>
    <s v="Year_2"/>
    <d v="2025-02-16T00:00:00"/>
    <s v="KUD11"/>
    <s v="O2R1"/>
    <s v="KSIPL"/>
    <n v="4.3478260869565223E-2"/>
    <n v="450"/>
    <x v="127"/>
    <s v="Ext. High I sum Grd inv."/>
    <s v="Breakdown"/>
    <d v="1899-12-30T05:56:00"/>
    <d v="1899-12-30T05:56:00"/>
    <d v="1899-12-30T06:00:00"/>
    <d v="1899-12-30T00:00:00"/>
    <n v="6.666666666666643E-2"/>
    <n v="6.666666666666643E-2"/>
    <s v="Auto Reset"/>
    <s v="Close"/>
    <n v="2.8985507246376712E-3"/>
    <n v="1"/>
    <n v="0.108"/>
    <m/>
  </r>
  <r>
    <n v="3406"/>
    <n v="2025"/>
    <n v="2025"/>
    <s v="Year_2"/>
    <d v="2025-02-16T00:00:00"/>
    <s v="KUD11"/>
    <s v="O2R1"/>
    <s v="KSIPL"/>
    <n v="4.3478260869565223E-2"/>
    <n v="6293"/>
    <x v="32"/>
    <s v="Pitch valves test acitve"/>
    <m/>
    <d v="1899-12-30T06:06:00"/>
    <d v="1899-12-30T06:06:00"/>
    <d v="1899-12-30T06:10:00"/>
    <d v="1899-12-30T00:00:00"/>
    <n v="6.666666666666643E-2"/>
    <n v="6.666666666666643E-2"/>
    <s v="Turbine self test"/>
    <s v="Close"/>
    <n v="2.8985507246376712E-3"/>
    <n v="1"/>
    <n v="0.126"/>
    <m/>
  </r>
  <r>
    <n v="3407"/>
    <n v="2025"/>
    <n v="2025"/>
    <s v="Year_2"/>
    <d v="2025-02-16T00:00:00"/>
    <s v="KUD04"/>
    <s v="O2R3"/>
    <s v="JK"/>
    <n v="4.3478260869565223E-2"/>
    <n v="327"/>
    <x v="162"/>
    <s v="Grid inv. HW error L_"/>
    <s v="Breakdown"/>
    <d v="1899-12-30T14:29:00"/>
    <d v="1899-12-30T14:29:00"/>
    <d v="1899-12-30T21:55:00"/>
    <d v="1899-12-30T00:00:00"/>
    <n v="7.4333333333333336"/>
    <n v="7.4333333333333336"/>
    <s v="Attend found grid inverter L3 and Grid contactor got failure so replaced and restored."/>
    <s v="Close"/>
    <n v="0.32318840579710151"/>
    <n v="1"/>
    <m/>
    <m/>
  </r>
  <r>
    <n v="3408"/>
    <n v="2025"/>
    <n v="2025"/>
    <s v="Year_2"/>
    <d v="2025-02-17T00:00:00"/>
    <s v="KUD09"/>
    <s v="O2R3"/>
    <s v="JK"/>
    <n v="4.3478260869565223E-2"/>
    <n v="309"/>
    <x v="149"/>
    <s v="Pause over RCS __0"/>
    <s v="Manual Stop"/>
    <d v="1899-12-30T14:04:00"/>
    <d v="1899-12-30T14:04:00"/>
    <d v="1899-12-30T18:14:00"/>
    <d v="1899-12-30T00:00:00"/>
    <n v="4.1666666666666652"/>
    <n v="4.1666666666666652"/>
    <s v="Manual stop for yearly generator aligment work."/>
    <s v="Close"/>
    <n v="0.18115942028985504"/>
    <n v="1"/>
    <n v="0.96599999999999997"/>
    <m/>
  </r>
  <r>
    <n v="3409"/>
    <n v="2025"/>
    <n v="2025"/>
    <s v="Year_2"/>
    <d v="2025-02-18T00:00:00"/>
    <s v="KUD07"/>
    <s v="O2R3"/>
    <s v="JK"/>
    <n v="4.3478260869565223E-2"/>
    <n v="309"/>
    <x v="149"/>
    <s v="Pause over RCS __0"/>
    <s v="Manual Stop"/>
    <d v="1899-12-30T13:50:00"/>
    <d v="1899-12-30T13:50:00"/>
    <d v="1899-12-30T18:20:00"/>
    <d v="1899-12-30T00:00:00"/>
    <n v="4.5"/>
    <n v="4.5"/>
    <s v="Manual stop for yearly generator aligment work."/>
    <s v="Close"/>
    <n v="0.19565217391304351"/>
    <n v="1"/>
    <n v="0.95199999999999996"/>
    <m/>
  </r>
  <r>
    <n v="3410"/>
    <n v="2025"/>
    <n v="2025"/>
    <s v="Year_2"/>
    <d v="2025-02-18T00:00:00"/>
    <s v="KUD07"/>
    <s v="O2R3"/>
    <s v="JK"/>
    <n v="4.3478260869565223E-2"/>
    <n v="4234"/>
    <x v="78"/>
    <s v="Grid Converter CB Open"/>
    <s v="Breakdown"/>
    <d v="1899-12-30T18:20:00"/>
    <d v="1899-12-30T18:20:00"/>
    <d v="1899-12-30T22:34:00"/>
    <d v="1899-12-30T00:00:00"/>
    <n v="4.2333333333333343"/>
    <n v="4.2333333333333343"/>
    <s v="Attend and found that generator Encoder got failure so replaced."/>
    <s v="Close"/>
    <n v="0.18405797101449281"/>
    <n v="1"/>
    <n v="1.714"/>
    <m/>
  </r>
  <r>
    <n v="3411"/>
    <n v="2025"/>
    <n v="2025"/>
    <s v="Year_2"/>
    <d v="2025-02-18T00:00:00"/>
    <s v="KUD18"/>
    <s v="O2R4"/>
    <s v="SGDCIPL"/>
    <n v="4.3478260869565223E-2"/>
    <n v="30"/>
    <x v="44"/>
    <s v="Internal subLogic error"/>
    <s v="Breakdown"/>
    <d v="1899-12-30T22:30:00"/>
    <d v="1899-12-30T22:30:00"/>
    <d v="1899-12-30T22:50:00"/>
    <d v="1899-12-30T00:00:00"/>
    <n v="0.33333333333333215"/>
    <n v="0.33333333333333215"/>
    <s v="Auto Reset"/>
    <s v="Close"/>
    <n v="1.4492753623188356E-2"/>
    <n v="1"/>
    <n v="0"/>
    <m/>
  </r>
  <r>
    <n v="3412"/>
    <n v="2025"/>
    <n v="2025"/>
    <s v="Year_2"/>
    <d v="2025-02-18T00:00:00"/>
    <s v="KUD23"/>
    <s v="O2R3"/>
    <s v="JK"/>
    <n v="4.3478260869565223E-2"/>
    <n v="309"/>
    <x v="149"/>
    <s v="Pause over RCS __0"/>
    <s v="Manual Stop"/>
    <d v="1899-12-30T10:27:00"/>
    <d v="1899-12-30T10:27:00"/>
    <d v="1899-12-30T11:17:00"/>
    <d v="1899-12-30T00:00:00"/>
    <n v="0.83333333333333304"/>
    <n v="0.83333333333333304"/>
    <s v="Attend to inspect Genartor bearing Tem."/>
    <s v="Close"/>
    <n v="3.6231884057971009E-2"/>
    <n v="1"/>
    <n v="8.7999999999999995E-2"/>
    <m/>
  </r>
  <r>
    <n v="3413"/>
    <n v="2025"/>
    <n v="2025"/>
    <s v="Year_2"/>
    <d v="2025-02-19T00:00:00"/>
    <s v="KUD01"/>
    <s v="O2R1"/>
    <s v="KSIPL"/>
    <n v="4.3478260869565223E-2"/>
    <n v="3273"/>
    <x v="35"/>
    <s v="YawUntwistCCW: Code__,_______°"/>
    <m/>
    <d v="1899-12-30T13:52:00"/>
    <d v="1899-12-30T13:52:00"/>
    <d v="1899-12-30T14:13:00"/>
    <d v="1899-12-30T00:00:00"/>
    <n v="0.35000000000000142"/>
    <n v="0.35000000000000142"/>
    <s v="Turbine self test"/>
    <s v="Close"/>
    <n v="1.5217391304347889E-2"/>
    <n v="1"/>
    <m/>
    <m/>
  </r>
  <r>
    <n v="3414"/>
    <n v="2025"/>
    <n v="2025"/>
    <s v="Year_2"/>
    <d v="2025-02-19T00:00:00"/>
    <s v="KUD02"/>
    <s v="O2R3"/>
    <s v="JK"/>
    <n v="4.3478260869565223E-2"/>
    <n v="3273"/>
    <x v="35"/>
    <s v="YawUntwistCCW: Code__,_______°"/>
    <m/>
    <d v="1899-12-30T23:47:00"/>
    <d v="1899-12-30T23:47:00"/>
    <d v="1899-12-30T00:11:00"/>
    <d v="1899-12-30T00:00:00"/>
    <n v="-23.6"/>
    <n v="-23.6"/>
    <s v="Turbine self test"/>
    <s v="Close"/>
    <n v="-1.0260869565217394"/>
    <n v="1"/>
    <m/>
    <m/>
  </r>
  <r>
    <n v="3415"/>
    <n v="2025"/>
    <n v="2025"/>
    <s v="Year_2"/>
    <d v="2025-02-19T00:00:00"/>
    <s v="KUD06"/>
    <s v="O2R3"/>
    <s v="JK"/>
    <n v="4.3478260869565223E-2"/>
    <n v="3273"/>
    <x v="35"/>
    <s v="YawUntwistCCW: Code__,_______°"/>
    <m/>
    <d v="1899-12-30T13:39:00"/>
    <d v="1899-12-30T13:39:00"/>
    <d v="1899-12-30T14:01:00"/>
    <d v="1899-12-30T00:00:00"/>
    <n v="0.36666666666666803"/>
    <n v="0.36666666666666803"/>
    <s v="Turbine self test"/>
    <s v="Close"/>
    <n v="1.5942028985507308E-2"/>
    <n v="1"/>
    <m/>
    <m/>
  </r>
  <r>
    <n v="3416"/>
    <n v="2025"/>
    <n v="2025"/>
    <s v="Year_2"/>
    <d v="2025-02-19T00:00:00"/>
    <s v="KUD08"/>
    <s v="O2R3"/>
    <s v="JK"/>
    <n v="4.3478260869565223E-2"/>
    <n v="3273"/>
    <x v="35"/>
    <s v="YawUntwistCCW: Code__,_______°"/>
    <m/>
    <d v="1899-12-30T14:27:00"/>
    <d v="1899-12-30T14:27:00"/>
    <d v="1899-12-30T14:53:00"/>
    <d v="1899-12-30T00:00:00"/>
    <n v="0.43333333333333446"/>
    <n v="0.43333333333333446"/>
    <s v="Turbine self test"/>
    <s v="Close"/>
    <n v="1.8840579710144977E-2"/>
    <n v="1"/>
    <m/>
    <m/>
  </r>
  <r>
    <n v="3417"/>
    <n v="2025"/>
    <n v="2025"/>
    <s v="Year_2"/>
    <d v="2025-02-19T00:00:00"/>
    <s v="KUD09"/>
    <s v="O2R3"/>
    <s v="JK"/>
    <n v="4.3478260869565223E-2"/>
    <n v="3273"/>
    <x v="35"/>
    <s v="YawUntwistCCW: Code__,_______°"/>
    <m/>
    <d v="1899-12-30T14:33:00"/>
    <d v="1899-12-30T14:33:00"/>
    <d v="1899-12-30T14:55:00"/>
    <d v="1899-12-30T00:00:00"/>
    <n v="0.36666666666666803"/>
    <n v="0.36666666666666803"/>
    <s v="Turbine self test"/>
    <s v="Close"/>
    <n v="1.5942028985507308E-2"/>
    <n v="1"/>
    <m/>
    <m/>
  </r>
  <r>
    <n v="3418"/>
    <n v="2025"/>
    <n v="2025"/>
    <s v="Year_2"/>
    <d v="2025-02-19T00:00:00"/>
    <s v="KUD10"/>
    <s v="O2R1"/>
    <s v="KSIPL"/>
    <n v="4.3478260869565223E-2"/>
    <n v="3273"/>
    <x v="35"/>
    <s v="YawUntwistCCW: Code__,_______°"/>
    <m/>
    <d v="1899-12-30T23:29:00"/>
    <d v="1899-12-30T23:29:00"/>
    <d v="1899-12-30T23:52:00"/>
    <d v="1899-12-30T00:00:00"/>
    <n v="0.38333333333333464"/>
    <n v="0.38333333333333464"/>
    <s v="Turbine self test"/>
    <s v="Close"/>
    <n v="1.6666666666666725E-2"/>
    <n v="1"/>
    <m/>
    <m/>
  </r>
  <r>
    <n v="3419"/>
    <n v="2025"/>
    <n v="2025"/>
    <s v="Year_2"/>
    <d v="2025-02-19T00:00:00"/>
    <s v="KUD12"/>
    <s v="O2R1"/>
    <s v="KSIPL"/>
    <n v="4.3478260869565223E-2"/>
    <n v="3273"/>
    <x v="35"/>
    <s v="YawUntwistCCW: Code__,_______°"/>
    <m/>
    <d v="1899-12-30T14:01:00"/>
    <d v="1899-12-30T14:01:00"/>
    <d v="1899-12-30T14:24:00"/>
    <d v="1899-12-30T00:00:00"/>
    <n v="0.38333333333333197"/>
    <n v="0.38333333333333197"/>
    <s v="Turbine self test"/>
    <s v="Close"/>
    <n v="1.6666666666666611E-2"/>
    <n v="1"/>
    <m/>
    <m/>
  </r>
  <r>
    <n v="3420"/>
    <n v="2025"/>
    <n v="2025"/>
    <s v="Year_2"/>
    <d v="2025-02-19T00:00:00"/>
    <s v="KUD13"/>
    <s v="O2R1"/>
    <s v="KSIPL"/>
    <n v="4.3478260869565223E-2"/>
    <n v="3273"/>
    <x v="35"/>
    <s v="YawUntwistCCW: Code__,_______°"/>
    <m/>
    <d v="1899-12-30T15:12:00"/>
    <d v="1899-12-30T15:12:00"/>
    <d v="1899-12-30T15:33:00"/>
    <d v="1899-12-30T00:00:00"/>
    <n v="0.35000000000000142"/>
    <n v="0.35000000000000142"/>
    <s v="Turbine self test"/>
    <s v="Close"/>
    <n v="1.5217391304347889E-2"/>
    <n v="1"/>
    <m/>
    <m/>
  </r>
  <r>
    <n v="3421"/>
    <n v="2025"/>
    <n v="2025"/>
    <s v="Year_2"/>
    <d v="2025-02-19T00:00:00"/>
    <s v="KUD14"/>
    <s v="O2R1"/>
    <s v="KSIPL"/>
    <n v="4.3478260869565223E-2"/>
    <n v="3273"/>
    <x v="35"/>
    <s v="YawUntwistCCW: Code__,_______°"/>
    <m/>
    <d v="1899-12-30T03:06:00"/>
    <d v="1899-12-30T03:06:00"/>
    <d v="1899-12-30T03:29:00"/>
    <d v="1899-12-30T00:00:00"/>
    <n v="0.3833333333333333"/>
    <n v="0.3833333333333333"/>
    <s v="Turbine self test"/>
    <s v="Close"/>
    <n v="1.6666666666666666E-2"/>
    <n v="1"/>
    <m/>
    <m/>
  </r>
  <r>
    <n v="3422"/>
    <n v="2025"/>
    <n v="2025"/>
    <s v="Year_2"/>
    <d v="2025-02-19T00:00:00"/>
    <s v="KUD14"/>
    <s v="O2R1"/>
    <s v="KSIPL"/>
    <n v="4.3478260869565223E-2"/>
    <n v="900"/>
    <x v="100"/>
    <s v="Pause pressed on keyboard"/>
    <s v="Manual Stop"/>
    <d v="1899-12-30T15:11:00"/>
    <d v="1899-12-30T15:11:00"/>
    <d v="1899-12-30T17:52:00"/>
    <d v="1899-12-30T00:00:00"/>
    <n v="2.6833333333333345"/>
    <n v="2.6833333333333345"/>
    <s v="Manual stop for yearly generator aligment work."/>
    <s v="Close"/>
    <n v="0.11666666666666672"/>
    <n v="1"/>
    <m/>
    <m/>
  </r>
  <r>
    <n v="3423"/>
    <n v="2025"/>
    <n v="2025"/>
    <s v="Year_2"/>
    <d v="2025-02-19T00:00:00"/>
    <s v="KUD15"/>
    <s v="O2R1"/>
    <s v="KSIPL"/>
    <n v="4.3478260869565223E-2"/>
    <n v="158"/>
    <x v="132"/>
    <s v="Rotor:__._RPM, Gen.:____._ RPM"/>
    <s v="Breakdown"/>
    <d v="1899-12-30T14:57:00"/>
    <d v="1899-12-30T14:57:00"/>
    <d v="1899-12-30T15:04:00"/>
    <d v="1899-12-30T00:00:00"/>
    <n v="0.11666666666666625"/>
    <n v="0.11666666666666625"/>
    <s v="Auto Reset"/>
    <s v="Close"/>
    <n v="5.0724637681159243E-3"/>
    <n v="1"/>
    <m/>
    <m/>
  </r>
  <r>
    <n v="3424"/>
    <n v="2025"/>
    <n v="2025"/>
    <s v="Year_2"/>
    <d v="2025-02-19T00:00:00"/>
    <s v="KUD15"/>
    <s v="O2R1"/>
    <s v="KSIPL"/>
    <n v="4.3478260869565223E-2"/>
    <n v="3273"/>
    <x v="35"/>
    <s v="YawUntwistCCW: Code__,_______°"/>
    <m/>
    <d v="1899-12-30T16:28:00"/>
    <d v="1899-12-30T16:28:00"/>
    <d v="1899-12-30T16:52:00"/>
    <d v="1899-12-30T00:00:00"/>
    <n v="0.39999999999999858"/>
    <n v="0.39999999999999858"/>
    <s v="Turbine self test"/>
    <s v="Close"/>
    <n v="1.7391304347826028E-2"/>
    <n v="1"/>
    <m/>
    <m/>
  </r>
  <r>
    <n v="3425"/>
    <n v="2025"/>
    <n v="2025"/>
    <s v="Year_2"/>
    <d v="2025-02-19T00:00:00"/>
    <s v="KUD16"/>
    <s v="O2R2"/>
    <s v="SIL"/>
    <n v="4.3478260869565223E-2"/>
    <n v="3273"/>
    <x v="35"/>
    <s v="YawUntwistCCW: Code__,_______°"/>
    <m/>
    <d v="1899-12-30T13:07:00"/>
    <d v="1899-12-30T13:07:00"/>
    <d v="1899-12-30T13:31:00"/>
    <d v="1899-12-30T00:00:00"/>
    <n v="0.40000000000000124"/>
    <n v="0.40000000000000124"/>
    <s v="Turbine self test"/>
    <s v="Close"/>
    <n v="1.7391304347826143E-2"/>
    <n v="1"/>
    <m/>
    <m/>
  </r>
  <r>
    <n v="3426"/>
    <n v="2025"/>
    <n v="2025"/>
    <s v="Year_2"/>
    <d v="2025-02-19T00:00:00"/>
    <s v="KUD17"/>
    <s v="O2R2"/>
    <s v="SIL"/>
    <n v="4.3478260869565223E-2"/>
    <n v="3273"/>
    <x v="35"/>
    <s v="YawUntwistCCW: Code__,_______°"/>
    <m/>
    <d v="1899-12-30T23:47:00"/>
    <d v="1899-12-30T23:47:00"/>
    <d v="1899-12-30T23:59:00"/>
    <d v="1899-12-30T00:00:00"/>
    <n v="0.19999999999999929"/>
    <n v="0.19999999999999929"/>
    <s v="Turbine self test"/>
    <s v="Close"/>
    <n v="8.6956521739130141E-3"/>
    <n v="1"/>
    <m/>
    <m/>
  </r>
  <r>
    <n v="3427"/>
    <n v="2025"/>
    <n v="2025"/>
    <s v="Year_2"/>
    <d v="2025-02-19T00:00:00"/>
    <s v="KUD18"/>
    <s v="O2R4"/>
    <s v="SGDCIPL"/>
    <n v="4.3478260869565223E-2"/>
    <n v="3661"/>
    <x v="116"/>
    <s v="GenBreakerOpen,US12___UL12___"/>
    <s v="Breakdown"/>
    <d v="1899-12-30T12:43:00"/>
    <d v="1899-12-30T12:43:00"/>
    <d v="1899-12-30T14:05:00"/>
    <d v="1899-12-30T00:00:00"/>
    <n v="1.3666666666666671"/>
    <n v="1.3666666666666671"/>
    <s v="SWG manual charge done"/>
    <s v="Close"/>
    <n v="5.9420289855072493E-2"/>
    <n v="1"/>
    <m/>
    <m/>
  </r>
  <r>
    <n v="3428"/>
    <n v="2025"/>
    <n v="2025"/>
    <s v="Year_2"/>
    <d v="2025-02-19T00:00:00"/>
    <s v="KUD18"/>
    <s v="O2R4"/>
    <s v="SGDCIPL"/>
    <n v="4.3478260869565223E-2"/>
    <n v="3661"/>
    <x v="116"/>
    <s v="GenBreakerOpen,US12___UL12___"/>
    <m/>
    <d v="1899-12-30T14:50:00"/>
    <d v="1899-12-30T14:50:00"/>
    <d v="1899-12-30T15:13:00"/>
    <d v="1899-12-30T00:00:00"/>
    <n v="0.38333333333333197"/>
    <n v="0.38333333333333197"/>
    <s v="Turbine self test"/>
    <s v="Close"/>
    <n v="1.6666666666666611E-2"/>
    <n v="1"/>
    <m/>
    <m/>
  </r>
  <r>
    <n v="3429"/>
    <n v="2025"/>
    <n v="2025"/>
    <s v="Year_2"/>
    <d v="2025-02-19T00:00:00"/>
    <s v="KUD19"/>
    <s v="O2R1"/>
    <s v="KSIPL"/>
    <n v="4.3478260869565223E-2"/>
    <n v="3273"/>
    <x v="35"/>
    <s v="YawUntwistCCW: Code__,_______°"/>
    <m/>
    <d v="1899-12-30T13:46:00"/>
    <d v="1899-12-30T13:46:00"/>
    <d v="1899-12-30T14:06:00"/>
    <d v="1899-12-30T00:00:00"/>
    <n v="0.33333333333333481"/>
    <n v="0.33333333333333481"/>
    <s v="Turbine self test"/>
    <s v="Close"/>
    <n v="1.4492753623188472E-2"/>
    <n v="1"/>
    <m/>
    <m/>
  </r>
  <r>
    <n v="3430"/>
    <n v="2025"/>
    <n v="2025"/>
    <s v="Year_2"/>
    <d v="2025-02-19T00:00:00"/>
    <s v="KUD20"/>
    <s v="O2R1"/>
    <s v="KSIPL"/>
    <n v="4.3478260869565223E-2"/>
    <n v="3488"/>
    <x v="199"/>
    <s v="Gear HSBearB Temp:___°C"/>
    <s v="Breakdown"/>
    <d v="1899-12-30T02:08:00"/>
    <d v="1899-12-30T02:08:00"/>
    <d v="1899-12-30T03:01:00"/>
    <d v="1899-12-30T00:00:00"/>
    <n v="0.88333333333333319"/>
    <n v="0.88333333333333319"/>
    <s v="Remote reboot done"/>
    <s v="Close"/>
    <n v="3.8405797101449271E-2"/>
    <n v="1"/>
    <m/>
    <m/>
  </r>
  <r>
    <n v="3431"/>
    <n v="2025"/>
    <n v="2025"/>
    <s v="Year_2"/>
    <d v="2025-02-19T00:00:00"/>
    <s v="KUD21"/>
    <s v="O2R3"/>
    <s v="JK"/>
    <n v="4.3478260869565223E-2"/>
    <n v="3273"/>
    <x v="35"/>
    <s v="YawUntwistCCW: Code__,_______°"/>
    <m/>
    <d v="1899-12-30T14:14:00"/>
    <d v="1899-12-30T14:14:00"/>
    <d v="1899-12-30T14:34:00"/>
    <d v="1899-12-30T00:00:00"/>
    <n v="0.33333333333333215"/>
    <n v="0.33333333333333215"/>
    <s v="Turbine self test"/>
    <s v="Close"/>
    <n v="1.4492753623188356E-2"/>
    <n v="1"/>
    <m/>
    <m/>
  </r>
  <r>
    <n v="3432"/>
    <n v="2025"/>
    <n v="2025"/>
    <s v="Year_2"/>
    <d v="2025-02-19T00:00:00"/>
    <s v="KUD23"/>
    <s v="O2R3"/>
    <s v="JK"/>
    <n v="4.3478260869565223E-2"/>
    <n v="900"/>
    <x v="100"/>
    <s v="Pause pressed on keyboard"/>
    <s v="Manual Stop"/>
    <d v="1899-12-30T10:33:00"/>
    <d v="1899-12-30T10:33:00"/>
    <d v="1899-12-30T11:30:00"/>
    <d v="1899-12-30T00:00:00"/>
    <n v="0.95000000000000062"/>
    <n v="0.95000000000000062"/>
    <s v="Manual stop for Generator winding temp high inspection found Generator cooling fan main supply fuse failure then replaced after restored"/>
    <s v="Close"/>
    <n v="4.1304347826086989E-2"/>
    <n v="1"/>
    <m/>
    <m/>
  </r>
  <r>
    <n v="3433"/>
    <n v="2025"/>
    <n v="2025"/>
    <s v="Year_2"/>
    <d v="2025-02-20T00:00:00"/>
    <s v="KUD01"/>
    <s v="O2R1"/>
    <s v="KSIPL"/>
    <n v="4.3478260869565223E-2"/>
    <n v="3273"/>
    <x v="35"/>
    <s v="YawUntwistCCW: Code__,_______°"/>
    <m/>
    <d v="1899-12-30T03:07:00"/>
    <d v="1899-12-30T03:07:00"/>
    <d v="1899-12-30T03:27:00"/>
    <d v="1899-12-30T00:00:00"/>
    <n v="0.33333333333333282"/>
    <n v="0.33333333333333282"/>
    <s v="Auto cable twist"/>
    <s v="Close"/>
    <n v="1.4492753623188385E-2"/>
    <n v="1"/>
    <n v="2E-3"/>
    <m/>
  </r>
  <r>
    <n v="3434"/>
    <n v="2025"/>
    <n v="2025"/>
    <s v="Year_2"/>
    <d v="2025-02-20T00:00:00"/>
    <s v="KUD03"/>
    <s v="O2R1"/>
    <s v="KSIPL"/>
    <n v="4.3478260869565223E-2"/>
    <n v="3273"/>
    <x v="35"/>
    <s v="YawUntwistCCW: Code__,_______°"/>
    <m/>
    <d v="1899-12-30T01:21:00"/>
    <d v="1899-12-30T01:21:00"/>
    <d v="1899-12-30T01:47:00"/>
    <d v="1899-12-30T00:00:00"/>
    <n v="0.43333333333333329"/>
    <n v="0.43333333333333329"/>
    <s v="Auto cable twist"/>
    <s v="Close"/>
    <n v="1.8840579710144929E-2"/>
    <n v="1"/>
    <n v="2E-3"/>
    <m/>
  </r>
  <r>
    <n v="3435"/>
    <n v="2025"/>
    <n v="2025"/>
    <s v="Year_2"/>
    <d v="2025-02-20T00:00:00"/>
    <s v="KUD12"/>
    <s v="O2R1"/>
    <s v="KSIPL"/>
    <n v="4.3478260869565223E-2"/>
    <n v="4560"/>
    <x v="161"/>
    <s v="BladeCEdgePeakLoad: ___.__ kNm"/>
    <s v="Breakdown"/>
    <d v="1899-12-30T17:24:00"/>
    <d v="1899-12-30T17:24:00"/>
    <d v="1899-12-30T19:04:00"/>
    <d v="1899-12-30T00:00:00"/>
    <n v="1.6666666666666661"/>
    <n v="1.6666666666666661"/>
    <s v="System calibration done."/>
    <s v="Close"/>
    <n v="7.2463768115942018E-2"/>
    <n v="1"/>
    <n v="1.056"/>
    <m/>
  </r>
  <r>
    <n v="3436"/>
    <n v="2025"/>
    <n v="2025"/>
    <s v="Year_2"/>
    <d v="2025-02-20T00:00:00"/>
    <s v="KUD13"/>
    <s v="O2R1"/>
    <s v="KSIPL"/>
    <n v="4.3478260869565223E-2"/>
    <n v="309"/>
    <x v="149"/>
    <s v="Pause over RCS __0"/>
    <s v="Manual Stop"/>
    <d v="1899-12-30T07:09:00"/>
    <d v="1899-12-30T07:09:00"/>
    <d v="1899-12-30T10:29:00"/>
    <d v="1899-12-30T00:00:00"/>
    <n v="3.3333333333333335"/>
    <n v="3.3333333333333335"/>
    <s v="Manual stop for yearly generator aligment work."/>
    <s v="Close"/>
    <n v="0.14492753623188409"/>
    <n v="1"/>
    <n v="0.02"/>
    <m/>
  </r>
  <r>
    <n v="3437"/>
    <n v="2025"/>
    <n v="2025"/>
    <s v="Year_2"/>
    <d v="2025-02-20T00:00:00"/>
    <s v="KUD20"/>
    <s v="O2R1"/>
    <s v="KSIPL"/>
    <n v="4.3478260869565223E-2"/>
    <n v="3488"/>
    <x v="199"/>
    <s v="Gear HSBearB Temp:___°C"/>
    <s v="Breakdown"/>
    <d v="1899-12-30T02:38:00"/>
    <d v="1899-12-30T02:38:00"/>
    <d v="1899-12-30T05:02:00"/>
    <d v="1899-12-30T00:00:00"/>
    <n v="2.4000000000000004"/>
    <n v="2.4000000000000004"/>
    <s v="Remote reboot done."/>
    <s v="Close"/>
    <n v="0.10434782608695656"/>
    <n v="1"/>
    <n v="0"/>
    <m/>
  </r>
  <r>
    <n v="3438"/>
    <n v="2025"/>
    <n v="2025"/>
    <s v="Year_2"/>
    <d v="2025-02-20T00:00:00"/>
    <s v="KUD20"/>
    <s v="O2R1"/>
    <s v="KSIPL"/>
    <n v="4.3478260869565223E-2"/>
    <n v="309"/>
    <x v="149"/>
    <s v="Pause over RCS __0"/>
    <s v="Manual Stop"/>
    <d v="1899-12-30T11:25:00"/>
    <d v="1899-12-30T11:25:00"/>
    <d v="1899-12-30T12:19:00"/>
    <d v="1899-12-30T00:00:00"/>
    <n v="0.89999999999999947"/>
    <n v="0.89999999999999947"/>
    <s v="Attend to clear repeted error Gear box HS bearing temp , Temp sensor cable changed and restored."/>
    <s v="Close"/>
    <n v="3.9130434782608678E-2"/>
    <n v="1"/>
    <n v="6.0999999999999999E-2"/>
    <m/>
  </r>
  <r>
    <n v="3439"/>
    <n v="2025"/>
    <n v="2025"/>
    <s v="Year_2"/>
    <d v="2025-02-20T00:00:00"/>
    <s v="KUD02"/>
    <s v="O2R3"/>
    <s v="JK"/>
    <n v="4.3478260869565223E-2"/>
    <n v="3273"/>
    <x v="35"/>
    <s v="YawUntwistCCW: Code__,_______°"/>
    <m/>
    <d v="1899-12-30T00:18:00"/>
    <d v="1899-12-30T00:18:00"/>
    <d v="1899-12-30T00:20:00"/>
    <d v="1899-12-30T00:00:00"/>
    <n v="3.3333333333333298E-2"/>
    <n v="3.3333333333333298E-2"/>
    <s v="Auto cable twist"/>
    <s v="Close"/>
    <n v="1.4492753623188393E-3"/>
    <n v="1"/>
    <n v="0"/>
    <m/>
  </r>
  <r>
    <n v="3440"/>
    <n v="2025"/>
    <n v="2025"/>
    <s v="Year_2"/>
    <d v="2025-02-20T00:00:00"/>
    <s v="KUD02"/>
    <s v="O2R3"/>
    <s v="JK"/>
    <n v="4.3478260869565223E-2"/>
    <n v="3272"/>
    <x v="143"/>
    <s v="YawUntwistCW: Code__,_______°"/>
    <m/>
    <d v="1899-12-30T14:41:00"/>
    <d v="1899-12-30T14:41:00"/>
    <d v="1899-12-30T15:06:00"/>
    <d v="1899-12-30T00:00:00"/>
    <n v="0.41666666666666519"/>
    <n v="0.41666666666666519"/>
    <s v="Auto cable twist"/>
    <s v="Close"/>
    <n v="1.8115942028985445E-2"/>
    <n v="1"/>
    <n v="0"/>
    <m/>
  </r>
  <r>
    <n v="3441"/>
    <n v="2025"/>
    <n v="2025"/>
    <s v="Year_2"/>
    <d v="2025-02-20T00:00:00"/>
    <s v="KUD17"/>
    <s v="O2R2"/>
    <s v="SIL"/>
    <n v="4.3478260869565223E-2"/>
    <n v="3273"/>
    <x v="35"/>
    <s v="YawUntwistCCW: Code__,_______°"/>
    <m/>
    <d v="1899-12-30T00:19:00"/>
    <d v="1899-12-30T00:19:00"/>
    <d v="1899-12-30T00:20:00"/>
    <d v="1899-12-30T00:00:00"/>
    <n v="1.6666666666666649E-2"/>
    <n v="1.6666666666666649E-2"/>
    <s v="Auto cable twist"/>
    <s v="Close"/>
    <n v="7.2463768115941965E-4"/>
    <n v="1"/>
    <n v="1.2999999999999999E-2"/>
    <m/>
  </r>
  <r>
    <n v="3442"/>
    <n v="2025"/>
    <n v="2025"/>
    <s v="Year_2"/>
    <d v="2025-02-20T00:00:00"/>
    <s v="KUD23"/>
    <s v="O2R3"/>
    <s v="JK"/>
    <n v="4.3478260869565223E-2"/>
    <n v="3273"/>
    <x v="35"/>
    <s v="YawUntwistCCW: Code__,_______°"/>
    <m/>
    <d v="1899-12-30T03:08:00"/>
    <d v="1899-12-30T03:08:00"/>
    <d v="1899-12-30T03:28:00"/>
    <d v="1899-12-30T00:00:00"/>
    <n v="0.33333333333333282"/>
    <n v="0.33333333333333282"/>
    <s v="Auto cable twist"/>
    <s v="Close"/>
    <n v="1.4492753623188385E-2"/>
    <n v="1"/>
    <n v="1E-3"/>
    <m/>
  </r>
  <r>
    <n v="3443"/>
    <n v="2025"/>
    <n v="2025"/>
    <s v="Year_2"/>
    <d v="2025-02-21T00:00:00"/>
    <s v="KUD01"/>
    <s v="O2R1"/>
    <s v="KSIPL"/>
    <n v="4.3478260869565223E-2"/>
    <n v="450"/>
    <x v="127"/>
    <s v="Ext. High I sum Grd inv."/>
    <s v="Breakdown"/>
    <d v="1899-12-30T12:25:00"/>
    <d v="1899-12-30T12:25:00"/>
    <d v="1899-12-30T12:30:00"/>
    <d v="1899-12-30T00:00:00"/>
    <n v="8.3333333333333037E-2"/>
    <n v="8.3333333333333037E-2"/>
    <s v="Auto reset"/>
    <s v="Close"/>
    <n v="3.6231884057970889E-3"/>
    <n v="1"/>
    <n v="8.0000000000000002E-3"/>
    <m/>
  </r>
  <r>
    <n v="3444"/>
    <n v="2025"/>
    <n v="2025"/>
    <s v="Year_2"/>
    <d v="2025-02-21T00:00:00"/>
    <s v="KUD12"/>
    <s v="O2R1"/>
    <s v="KSIPL"/>
    <n v="4.3478260869565223E-2"/>
    <n v="309"/>
    <x v="149"/>
    <s v="Pause over RCS __0"/>
    <s v="Manual Stop"/>
    <d v="1899-12-30T09:57:00"/>
    <d v="1899-12-30T09:57:00"/>
    <d v="1899-12-30T15:21:00"/>
    <d v="1899-12-30T00:00:00"/>
    <n v="5.3999999999999986"/>
    <n v="5.3999999999999986"/>
    <s v="Manual stop for yearly generator aligment work."/>
    <s v="Close"/>
    <n v="0.23478260869565215"/>
    <n v="1"/>
    <n v="0.69299999999999995"/>
    <m/>
  </r>
  <r>
    <n v="3445"/>
    <n v="2025"/>
    <n v="2025"/>
    <s v="Year_2"/>
    <d v="2025-02-22T00:00:00"/>
    <s v="KUD10"/>
    <s v="O2R1"/>
    <s v="KSIPL"/>
    <n v="4.3478260869565223E-2"/>
    <n v="309"/>
    <x v="149"/>
    <s v="Pause over RCS __0"/>
    <s v="Manual Stop"/>
    <d v="1899-12-30T15:32:00"/>
    <d v="1899-12-30T15:32:00"/>
    <d v="1899-12-30T17:50:00"/>
    <d v="1899-12-30T00:00:00"/>
    <n v="2.2999999999999998"/>
    <n v="2.2999999999999998"/>
    <s v="Manual stop for yearly generator aligment work."/>
    <s v="Close"/>
    <n v="0.1"/>
    <n v="1"/>
    <n v="0.30199999999999999"/>
    <m/>
  </r>
  <r>
    <n v="3446"/>
    <n v="2025"/>
    <n v="2025"/>
    <s v="Year_2"/>
    <d v="2025-02-22T00:00:00"/>
    <s v="KUD13"/>
    <s v="O2R1"/>
    <s v="KSIPL"/>
    <n v="4.3478260869565223E-2"/>
    <n v="3273"/>
    <x v="35"/>
    <s v="YawUntwistCCW: Code__,_______°"/>
    <m/>
    <d v="1899-12-30T08:11:00"/>
    <d v="1899-12-30T08:11:00"/>
    <d v="1899-12-30T08:32:00"/>
    <d v="1899-12-30T00:00:00"/>
    <n v="0.35000000000000009"/>
    <n v="0.35000000000000009"/>
    <s v="Auto cable twist"/>
    <s v="Close"/>
    <n v="1.5217391304347832E-2"/>
    <n v="1"/>
    <n v="1E-3"/>
    <m/>
  </r>
  <r>
    <n v="3447"/>
    <n v="2025"/>
    <n v="2025"/>
    <s v="Year_2"/>
    <d v="2025-02-22T00:00:00"/>
    <s v="KUD15"/>
    <s v="O2R1"/>
    <s v="KSIPL"/>
    <n v="4.3478260869565223E-2"/>
    <n v="309"/>
    <x v="149"/>
    <s v="Pause over RCS __0"/>
    <s v="Manual Stop"/>
    <d v="1899-12-30T07:58:00"/>
    <d v="1899-12-30T07:58:00"/>
    <d v="1899-12-30T11:56:00"/>
    <d v="1899-12-30T00:00:00"/>
    <n v="3.9666666666666672"/>
    <n v="3.9666666666666672"/>
    <s v="Manual stop for yearly generator aligment work."/>
    <s v="Close"/>
    <n v="0.17246376811594208"/>
    <n v="1"/>
    <n v="0.32600000000000001"/>
    <m/>
  </r>
  <r>
    <n v="3448"/>
    <n v="2025"/>
    <n v="2025"/>
    <s v="Year_2"/>
    <d v="2025-02-22T00:00:00"/>
    <s v="KUD05"/>
    <s v="O2R3"/>
    <s v="JK"/>
    <n v="4.3478260869565223E-2"/>
    <n v="3630"/>
    <x v="164"/>
    <s v="PrevCabTwCode:_ CabTwCode:_"/>
    <m/>
    <d v="1899-12-30T12:47:00"/>
    <d v="1899-12-30T12:47:00"/>
    <d v="1899-12-30T13:14:00"/>
    <d v="1899-12-30T00:00:00"/>
    <n v="0.45000000000000107"/>
    <n v="0.45000000000000107"/>
    <s v="Auto cable twist"/>
    <s v="Close"/>
    <n v="1.9565217391304398E-2"/>
    <n v="1"/>
    <n v="0"/>
    <m/>
  </r>
  <r>
    <n v="3449"/>
    <n v="2025"/>
    <n v="2025"/>
    <s v="Year_2"/>
    <d v="2025-02-22T00:00:00"/>
    <s v="KUD09"/>
    <s v="O2R3"/>
    <s v="JK"/>
    <n v="4.3478260869565223E-2"/>
    <n v="3273"/>
    <x v="35"/>
    <s v="YawUntwistCCW: Code__,_______°"/>
    <m/>
    <d v="1899-12-30T15:45:00"/>
    <d v="1899-12-30T15:45:00"/>
    <d v="1899-12-30T16:07:00"/>
    <d v="1899-12-30T00:00:00"/>
    <n v="0.36666666666666536"/>
    <n v="0.36666666666666536"/>
    <s v="Auto cable twist"/>
    <s v="Close"/>
    <n v="1.594202898550719E-2"/>
    <n v="1"/>
    <n v="1.4999999999999999E-2"/>
    <m/>
  </r>
  <r>
    <n v="3450"/>
    <n v="2025"/>
    <n v="2025"/>
    <s v="Year_2"/>
    <d v="2025-02-23T00:00:00"/>
    <s v="KUD01"/>
    <s v="O2R1"/>
    <s v="KSIPL"/>
    <n v="4.3478260869565223E-2"/>
    <n v="450"/>
    <x v="127"/>
    <s v="Ext. High I sum Grd inv."/>
    <s v="Breakdown"/>
    <d v="1899-12-30T08:38:00"/>
    <d v="1899-12-30T08:38:00"/>
    <d v="1899-12-30T08:40:00"/>
    <d v="1899-12-30T00:00:00"/>
    <n v="3.3333333333333215E-2"/>
    <n v="3.3333333333333215E-2"/>
    <s v="Auto reset"/>
    <s v="Close"/>
    <n v="1.4492753623188356E-3"/>
    <n v="1"/>
    <n v="8.0000000000000002E-3"/>
    <m/>
  </r>
  <r>
    <n v="3451"/>
    <n v="2025"/>
    <n v="2025"/>
    <s v="Year_2"/>
    <d v="2025-02-23T00:00:00"/>
    <s v="KUD01"/>
    <s v="O2R1"/>
    <s v="KSIPL"/>
    <n v="4.3478260869565223E-2"/>
    <n v="450"/>
    <x v="127"/>
    <s v="Ext. High I sum Grd inv."/>
    <s v="Breakdown"/>
    <d v="1899-12-30T18:43:00"/>
    <d v="1899-12-30T18:43:00"/>
    <d v="1899-12-30T18:50:00"/>
    <d v="1899-12-30T00:00:00"/>
    <n v="0.11666666666666625"/>
    <n v="0.11666666666666625"/>
    <s v="Auto reset"/>
    <s v="Close"/>
    <n v="5.0724637681159243E-3"/>
    <n v="1"/>
    <n v="0.16500000000000001"/>
    <m/>
  </r>
  <r>
    <n v="3452"/>
    <n v="2025"/>
    <n v="2025"/>
    <s v="Year_2"/>
    <d v="2025-02-23T00:00:00"/>
    <s v="KUD11"/>
    <s v="O2R1"/>
    <s v="KSIPL"/>
    <n v="4.3478260869565223E-2"/>
    <n v="450"/>
    <x v="127"/>
    <s v="Ext. High I sum Grd inv."/>
    <s v="Breakdown"/>
    <d v="1899-12-30T23:27:00"/>
    <d v="1899-12-30T23:27:00"/>
    <d v="1899-12-30T23:30:00"/>
    <d v="1899-12-30T00:00:00"/>
    <n v="4.9999999999999822E-2"/>
    <n v="4.9999999999999822E-2"/>
    <s v="Auto reset"/>
    <s v="Close"/>
    <n v="2.1739130434782535E-3"/>
    <n v="1"/>
    <n v="7.0000000000000007E-2"/>
    <m/>
  </r>
  <r>
    <n v="3453"/>
    <n v="2025"/>
    <n v="2025"/>
    <s v="Year_2"/>
    <d v="2025-02-25T00:00:00"/>
    <s v="KUD12"/>
    <s v="O2R1"/>
    <s v="KSIPL"/>
    <n v="4.3478260869565223E-2"/>
    <n v="4560"/>
    <x v="161"/>
    <s v="BladeCEdgePeakLoad: ___.__ kNm"/>
    <s v="Breakdown"/>
    <d v="1899-12-30T09:17:00"/>
    <d v="1899-12-30T09:17:00"/>
    <d v="1899-12-30T10:40:00"/>
    <d v="1899-12-30T00:00:00"/>
    <n v="1.3833333333333324"/>
    <n v="1.3833333333333324"/>
    <s v="Manually reset done."/>
    <s v="Close"/>
    <n v="6.0144927536231851E-2"/>
    <n v="1"/>
    <n v="1.571"/>
    <m/>
  </r>
  <r>
    <n v="3454"/>
    <n v="2025"/>
    <n v="2025"/>
    <s v="Year_2"/>
    <d v="2025-02-26T00:00:00"/>
    <s v="KUD08"/>
    <s v="O2R3"/>
    <s v="JK"/>
    <n v="4.3478260869565223E-2"/>
    <n v="309"/>
    <x v="149"/>
    <s v="Pause over RCS __0"/>
    <s v="Manual Stop"/>
    <d v="1899-12-30T14:51:00"/>
    <d v="1899-12-30T14:51:00"/>
    <d v="1899-12-30T16:16:00"/>
    <d v="1899-12-30T00:00:00"/>
    <n v="1.416666666666667"/>
    <n v="1.416666666666667"/>
    <s v="Manual stop for yearly generator aligment work."/>
    <s v="Close"/>
    <n v="6.1594202898550748E-2"/>
    <n v="1"/>
    <n v="1.272"/>
    <m/>
  </r>
  <r>
    <n v="3455"/>
    <n v="2025"/>
    <n v="2025"/>
    <s v="Year_2"/>
    <d v="2025-02-26T00:00:00"/>
    <s v="KUD12"/>
    <s v="O2R1"/>
    <s v="KSIPL"/>
    <n v="4.3478260869565223E-2"/>
    <n v="4560"/>
    <x v="161"/>
    <s v="BladeCEdgePeakLoad: ___.__ kNm"/>
    <s v="Breakdown"/>
    <d v="1899-12-30T05:30:00"/>
    <d v="1899-12-30T05:30:00"/>
    <d v="1899-12-30T06:20:00"/>
    <d v="1899-12-30T00:00:00"/>
    <n v="0.8333333333333337"/>
    <n v="0.8333333333333337"/>
    <s v="Manually reset done."/>
    <s v="Close"/>
    <n v="3.6231884057971037E-2"/>
    <n v="1"/>
    <n v="1.31"/>
    <m/>
  </r>
  <r>
    <n v="3456"/>
    <n v="2025"/>
    <n v="2025"/>
    <s v="Year_2"/>
    <d v="2025-02-28T00:00:00"/>
    <s v="KUD04"/>
    <s v="O2R3"/>
    <s v="JK"/>
    <n v="4.3478260869565223E-2"/>
    <n v="3807"/>
    <x v="200"/>
    <s v="HubSafetySystem Batt.Level Err"/>
    <s v="Breakdown"/>
    <d v="1899-12-30T19:30:00"/>
    <d v="1899-12-30T19:30:00"/>
    <d v="1899-12-30T22:10:00"/>
    <d v="1899-12-30T00:00:00"/>
    <n v="2.6666666666666679"/>
    <n v="2.6666666666666679"/>
    <s v="Attend found Hub battery out put cable in lose so correction done."/>
    <s v="Close"/>
    <n v="0.11594202898550732"/>
    <n v="1"/>
    <n v="2.8050000000000002"/>
    <m/>
  </r>
  <r>
    <n v="3457"/>
    <n v="2025"/>
    <n v="2025"/>
    <s v="Year_2"/>
    <d v="2025-02-28T00:00:00"/>
    <s v="KUD05"/>
    <s v="O2R3"/>
    <s v="JK"/>
    <n v="4.3478260869565223E-2"/>
    <n v="309"/>
    <x v="149"/>
    <s v="Pause over RCS __0"/>
    <s v="Manual Stop"/>
    <d v="1899-12-30T06:56:00"/>
    <d v="1899-12-30T06:56:00"/>
    <d v="1899-12-30T11:35:00"/>
    <d v="1899-12-30T00:00:00"/>
    <n v="4.6500000000000004"/>
    <n v="4.6500000000000004"/>
    <s v="Manual stop for yearly generator aligment work."/>
    <s v="Close"/>
    <n v="0.20217391304347831"/>
    <n v="1"/>
    <n v="3.831"/>
    <m/>
  </r>
  <r>
    <n v="3458"/>
    <n v="2025"/>
    <n v="2025"/>
    <s v="Year_2"/>
    <d v="2025-03-01T00:00:00"/>
    <s v="KUD18"/>
    <s v="O2R4"/>
    <s v="SGDCIPL"/>
    <n v="4.3478260869565223E-2"/>
    <n v="900"/>
    <x v="100"/>
    <s v="Pause pressed on keyboard"/>
    <s v="Manual Stop"/>
    <d v="1899-12-30T09:53:00"/>
    <d v="1899-12-30T09:53:00"/>
    <d v="1899-12-30T13:12:00"/>
    <d v="1899-12-30T00:00:00"/>
    <n v="3.3166666666666682"/>
    <n v="3.3166666666666682"/>
    <s v="Manual stop for yearly generator aligment work."/>
    <s v="Close"/>
    <n v="0.14420289855072471"/>
    <n v="1"/>
    <n v="0.90400000000000003"/>
    <m/>
  </r>
  <r>
    <n v="3459"/>
    <n v="2025"/>
    <n v="2025"/>
    <s v="Year_2"/>
    <d v="2025-03-01T00:00:00"/>
    <s v="KUD19"/>
    <s v="O2R1"/>
    <s v="KSIPL"/>
    <n v="4.3478260869565223E-2"/>
    <n v="900"/>
    <x v="100"/>
    <s v="Pause pressed on keyboard"/>
    <s v="Manual Stop"/>
    <d v="1899-12-30T14:00:00"/>
    <d v="1899-12-30T14:00:00"/>
    <d v="1899-12-30T18:35:00"/>
    <d v="1899-12-30T00:00:00"/>
    <n v="4.583333333333333"/>
    <n v="4.583333333333333"/>
    <s v="Manual stop for yearly generator aligment work."/>
    <s v="Close"/>
    <n v="0.1992753623188406"/>
    <n v="1"/>
    <n v="0.55600000000000005"/>
    <m/>
  </r>
  <r>
    <n v="3460"/>
    <n v="2025"/>
    <n v="2025"/>
    <s v="Year_2"/>
    <d v="2025-03-02T00:00:00"/>
    <s v="KUD20"/>
    <s v="O2R1"/>
    <s v="KSIPL"/>
    <n v="4.3478260869565223E-2"/>
    <n v="900"/>
    <x v="100"/>
    <s v="Pause pressed on keyboard"/>
    <s v="Manual Stop"/>
    <d v="1899-12-30T10:44:00"/>
    <d v="1899-12-30T10:44:00"/>
    <d v="1899-12-30T13:32:00"/>
    <d v="1899-12-30T00:00:00"/>
    <n v="2.7999999999999994"/>
    <n v="2.7999999999999994"/>
    <s v="Manual stop for yearly generator aligment work."/>
    <s v="Close"/>
    <n v="0.1217391304347826"/>
    <n v="1"/>
    <n v="1.0609999999999999"/>
    <m/>
  </r>
  <r>
    <n v="3461"/>
    <n v="2025"/>
    <n v="2025"/>
    <s v="Year_2"/>
    <d v="2025-03-02T00:00:00"/>
    <s v="KUD11"/>
    <s v="O2R1"/>
    <s v="KSIPL"/>
    <n v="4.3478260869565223E-2"/>
    <n v="3806"/>
    <x v="147"/>
    <s v="HubSafetySystem Batt.Charg.Err"/>
    <s v="Breakdown"/>
    <d v="1899-12-30T13:05:00"/>
    <d v="1899-12-30T13:05:00"/>
    <d v="1899-12-30T13:19:00"/>
    <d v="1899-12-30T00:00:00"/>
    <n v="0.23333333333333517"/>
    <n v="0.23333333333333517"/>
    <s v="Auto reset"/>
    <s v="Close"/>
    <n v="1.0144927536231965E-2"/>
    <n v="1"/>
    <n v="3.2000000000000001E-2"/>
    <m/>
  </r>
  <r>
    <n v="3462"/>
    <n v="2025"/>
    <n v="2025"/>
    <s v="Year_2"/>
    <d v="2025-03-03T00:00:00"/>
    <s v="KUD21"/>
    <s v="O2R3"/>
    <s v="JK"/>
    <n v="4.3478260869565223E-2"/>
    <n v="315"/>
    <x v="120"/>
    <s v="ExEx low voltage L_: ___V"/>
    <s v="Breakdown"/>
    <d v="1899-12-30T13:05:00"/>
    <d v="1899-12-30T13:05:00"/>
    <d v="1899-12-30T13:39:00"/>
    <d v="1899-12-30T00:00:00"/>
    <n v="0.56666666666666732"/>
    <n v="0.56666666666666732"/>
    <s v="UPS reboot done"/>
    <s v="Close"/>
    <n v="2.4637681159420322E-2"/>
    <n v="1"/>
    <n v="3.2000000000000001E-2"/>
    <m/>
  </r>
  <r>
    <n v="3463"/>
    <n v="2025"/>
    <n v="2025"/>
    <s v="Year_2"/>
    <d v="2025-03-04T00:00:00"/>
    <s v="KUD01"/>
    <s v="O2R1"/>
    <s v="KSIPL"/>
    <n v="4.3478260869565223E-2"/>
    <n v="450"/>
    <x v="127"/>
    <s v="Ext. High I sum Grd inv."/>
    <s v="Breakdown"/>
    <d v="1899-12-30T08:57:00"/>
    <d v="1899-12-30T08:57:00"/>
    <d v="1899-12-30T09:05:00"/>
    <d v="1899-12-30T00:00:00"/>
    <n v="0.13333333333333286"/>
    <n v="0.13333333333333286"/>
    <s v="Auto reset"/>
    <s v="Close"/>
    <n v="5.7971014492753424E-3"/>
    <n v="1"/>
    <m/>
    <m/>
  </r>
  <r>
    <n v="3464"/>
    <n v="2025"/>
    <n v="2025"/>
    <s v="Year_2"/>
    <d v="2025-03-05T00:00:00"/>
    <s v="KUD03"/>
    <s v="O2R1"/>
    <s v="KSIPL"/>
    <n v="4.3478260869565223E-2"/>
    <n v="3273"/>
    <x v="35"/>
    <s v="YawUntwistCCW: Code__,_______°"/>
    <m/>
    <d v="1899-12-30T10:35:00"/>
    <d v="1899-12-30T10:35:00"/>
    <d v="1899-12-30T10:58:00"/>
    <d v="1899-12-30T00:00:00"/>
    <n v="0.3833333333333333"/>
    <n v="0.3833333333333333"/>
    <s v="Auto cable twist"/>
    <s v="Close"/>
    <n v="1.6666666666666666E-2"/>
    <n v="1"/>
    <m/>
    <m/>
  </r>
  <r>
    <n v="3465"/>
    <n v="2025"/>
    <n v="2025"/>
    <s v="Year_2"/>
    <d v="2025-03-05T00:00:00"/>
    <s v="KUD05"/>
    <s v="O2R3"/>
    <s v="JK"/>
    <n v="4.3478260869565223E-2"/>
    <n v="3273"/>
    <x v="35"/>
    <s v="YawUntwistCCW: Code__,_______°"/>
    <m/>
    <d v="1899-12-30T11:49:00"/>
    <d v="1899-12-30T11:49:00"/>
    <d v="1899-12-30T12:16:00"/>
    <d v="1899-12-30T00:00:00"/>
    <n v="0.4499999999999984"/>
    <n v="0.4499999999999984"/>
    <s v="Auto cable twist"/>
    <s v="Close"/>
    <n v="1.956521739130428E-2"/>
    <n v="1"/>
    <m/>
    <m/>
  </r>
  <r>
    <n v="3466"/>
    <n v="2025"/>
    <n v="2025"/>
    <s v="Year_2"/>
    <d v="2025-03-05T00:00:00"/>
    <s v="KUD06"/>
    <s v="O2R3"/>
    <s v="JK"/>
    <n v="4.3478260869565223E-2"/>
    <n v="3273"/>
    <x v="35"/>
    <s v="YawUntwistCCW: Code__,_______°"/>
    <m/>
    <d v="1899-12-30T12:32:00"/>
    <d v="1899-12-30T12:32:00"/>
    <d v="1899-12-30T12:59:00"/>
    <d v="1899-12-30T00:00:00"/>
    <n v="0.4499999999999984"/>
    <n v="0.4499999999999984"/>
    <s v="Auto cable twist"/>
    <s v="Close"/>
    <n v="1.956521739130428E-2"/>
    <n v="1"/>
    <m/>
    <m/>
  </r>
  <r>
    <n v="3467"/>
    <n v="2025"/>
    <n v="2025"/>
    <s v="Year_2"/>
    <d v="2025-03-05T00:00:00"/>
    <s v="KUD11"/>
    <s v="O2R1"/>
    <s v="KSIPL"/>
    <n v="4.3478260869565223E-2"/>
    <n v="3273"/>
    <x v="35"/>
    <s v="YawUntwistCCW: Code__,_______°"/>
    <m/>
    <d v="1899-12-30T11:26:00"/>
    <d v="1899-12-30T11:26:00"/>
    <d v="1899-12-30T11:51:00"/>
    <d v="1899-12-30T00:00:00"/>
    <n v="0.41666666666666785"/>
    <n v="0.41666666666666785"/>
    <s v="Auto cable twist"/>
    <s v="Close"/>
    <n v="1.811594202898556E-2"/>
    <n v="1"/>
    <m/>
    <m/>
  </r>
  <r>
    <n v="3468"/>
    <n v="2025"/>
    <n v="2025"/>
    <s v="Year_2"/>
    <d v="2025-03-05T00:00:00"/>
    <s v="KUD11"/>
    <s v="O2R1"/>
    <s v="KSIPL"/>
    <n v="4.3478260869565223E-2"/>
    <n v="450"/>
    <x v="127"/>
    <s v="Ext. High I sum Grd inv."/>
    <s v="Breakdown"/>
    <d v="1899-12-30T17:35:00"/>
    <d v="1899-12-30T17:35:00"/>
    <d v="1899-12-30T17:39:00"/>
    <d v="1899-12-30T00:00:00"/>
    <n v="6.6666666666669094E-2"/>
    <n v="6.6666666666669094E-2"/>
    <s v="Auto reset"/>
    <s v="Close"/>
    <n v="2.898550724637787E-3"/>
    <n v="1"/>
    <m/>
    <m/>
  </r>
  <r>
    <n v="3469"/>
    <n v="2025"/>
    <n v="2025"/>
    <s v="Year_2"/>
    <d v="2025-03-05T00:00:00"/>
    <s v="KUD16"/>
    <s v="O2R2"/>
    <s v="SIL"/>
    <n v="4.3478260869565223E-2"/>
    <n v="900"/>
    <x v="100"/>
    <s v="Pause pressed on keyboard"/>
    <s v="Manual Stop"/>
    <d v="1899-12-30T11:45:00"/>
    <d v="1899-12-30T11:45:00"/>
    <d v="1899-12-30T14:10:00"/>
    <d v="1899-12-30T00:00:00"/>
    <n v="2.4166666666666674"/>
    <n v="2.4166666666666674"/>
    <s v="Manual stop for yearly generator aligment work."/>
    <s v="Close"/>
    <n v="0.10507246376811599"/>
    <n v="1"/>
    <m/>
    <m/>
  </r>
  <r>
    <n v="3470"/>
    <n v="2025"/>
    <n v="2025"/>
    <s v="Year_2"/>
    <d v="2025-03-06T00:00:00"/>
    <s v="KUD04"/>
    <s v="O2R3"/>
    <s v="JK"/>
    <n v="4.3478260869565223E-2"/>
    <n v="3273"/>
    <x v="35"/>
    <s v="YawUntwistCCW: Code 5,    540Â°"/>
    <m/>
    <d v="1899-12-30T03:24:00"/>
    <d v="1899-12-30T03:24:00"/>
    <d v="1899-12-30T03:47:00"/>
    <d v="1899-12-30T00:00:00"/>
    <n v="0.3833333333333333"/>
    <n v="0.3833333333333333"/>
    <s v="Auto cable twist"/>
    <s v="Close"/>
    <n v="1.6666666666666666E-2"/>
    <n v="1"/>
    <m/>
    <m/>
  </r>
  <r>
    <n v="3471"/>
    <n v="2025"/>
    <n v="2025"/>
    <s v="Year_2"/>
    <d v="2025-03-06T00:00:00"/>
    <s v="KUD11"/>
    <s v="O2R1"/>
    <s v="KSIPL"/>
    <n v="4.3478260869565223E-2"/>
    <n v="3272"/>
    <x v="143"/>
    <s v="YawUntwistCW: Code 3,-000540Â°"/>
    <m/>
    <d v="1899-12-30T12:33:00"/>
    <d v="1899-12-30T12:33:00"/>
    <d v="1899-12-30T12:53:00"/>
    <d v="1899-12-30T00:00:00"/>
    <n v="0.33333333333333215"/>
    <n v="0.33333333333333215"/>
    <s v="Auto cable twist"/>
    <s v="Close"/>
    <n v="1.4492753623188356E-2"/>
    <n v="1"/>
    <m/>
    <m/>
  </r>
  <r>
    <n v="3472"/>
    <n v="2025"/>
    <n v="2025"/>
    <s v="Year_2"/>
    <d v="2025-03-06T00:00:00"/>
    <s v="KUD17"/>
    <s v="O2R2"/>
    <s v="SIL"/>
    <n v="4.3478260869565223E-2"/>
    <n v="3273"/>
    <x v="35"/>
    <s v="YawUntwistCCW: Code 6,    564Â°"/>
    <m/>
    <d v="1899-12-30T14:00:00"/>
    <d v="1899-12-30T14:00:00"/>
    <d v="1899-12-30T14:22:00"/>
    <d v="1899-12-30T00:00:00"/>
    <n v="0.36666666666666536"/>
    <n v="0.36666666666666536"/>
    <s v="Auto cable twist"/>
    <s v="Close"/>
    <n v="1.594202898550719E-2"/>
    <n v="1"/>
    <m/>
    <m/>
  </r>
  <r>
    <n v="3473"/>
    <n v="2025"/>
    <n v="2025"/>
    <s v="Year_2"/>
    <d v="2025-03-06T00:00:00"/>
    <s v="KUD18"/>
    <s v="O2R4"/>
    <s v="SGDCIPL"/>
    <n v="4.3478260869565223E-2"/>
    <n v="3272"/>
    <x v="143"/>
    <s v="YawUntwistCW: Code 3,-000553Â°"/>
    <m/>
    <d v="1899-12-30T12:04:00"/>
    <d v="1899-12-30T12:04:00"/>
    <d v="1899-12-30T12:26:00"/>
    <d v="1899-12-30T00:00:00"/>
    <n v="0.36666666666666803"/>
    <n v="0.36666666666666803"/>
    <s v="Auto cable twist"/>
    <s v="Close"/>
    <n v="1.5942028985507308E-2"/>
    <n v="1"/>
    <m/>
    <m/>
  </r>
  <r>
    <n v="3474"/>
    <n v="2025"/>
    <n v="2025"/>
    <s v="Year_2"/>
    <d v="2025-03-06T00:00:00"/>
    <s v="KUD18"/>
    <s v="O2R4"/>
    <s v="SGDCIPL"/>
    <n v="4.3478260869565223E-2"/>
    <n v="315"/>
    <x v="120"/>
    <s v="ExEx low voltage L_: ___V"/>
    <s v="Breakdown"/>
    <d v="1899-12-30T13:40:00"/>
    <d v="1899-12-30T13:40:00"/>
    <d v="1899-12-30T15:21:00"/>
    <d v="1899-12-30T00:00:00"/>
    <n v="1.6833333333333327"/>
    <n v="1.6833333333333327"/>
    <s v="HVCB Manual charged done."/>
    <s v="Close"/>
    <n v="7.3188405797101425E-2"/>
    <n v="1"/>
    <m/>
    <m/>
  </r>
  <r>
    <n v="3475"/>
    <n v="2025"/>
    <n v="2025"/>
    <s v="Year_2"/>
    <d v="2025-03-07T00:00:00"/>
    <s v="KUD09"/>
    <s v="O2R3"/>
    <s v="JK"/>
    <n v="4.3478260869565223E-2"/>
    <n v="900"/>
    <x v="100"/>
    <s v="Pause pressed on keyboard"/>
    <s v="Major Breakdown"/>
    <d v="1899-12-30T12:30:00"/>
    <d v="1899-12-30T12:30:00"/>
    <d v="1899-12-30T16:13:00"/>
    <d v="1899-12-30T00:00:00"/>
    <n v="3.7166666666666668"/>
    <n v="3.7166666666666668"/>
    <s v="Manual stop for CIM3184 implementation  work done."/>
    <s v="Close"/>
    <n v="0.16159420289855075"/>
    <n v="1"/>
    <m/>
    <m/>
  </r>
  <r>
    <n v="3476"/>
    <n v="2025"/>
    <n v="2025"/>
    <s v="Year_2"/>
    <d v="2025-03-07T00:00:00"/>
    <s v="KUD18"/>
    <s v="O2R4"/>
    <s v="SGDCIPL"/>
    <n v="4.3478260869565223E-2"/>
    <n v="3273"/>
    <x v="35"/>
    <s v="YawUntwistCCW: Code 6,    540Â°"/>
    <m/>
    <d v="1899-12-30T12:14:00"/>
    <d v="1899-12-30T12:14:00"/>
    <d v="1899-12-30T12:37:00"/>
    <d v="1899-12-30T00:00:00"/>
    <n v="0.38333333333333464"/>
    <n v="0.38333333333333464"/>
    <s v="Auto cable twist"/>
    <s v="Close"/>
    <n v="1.6666666666666725E-2"/>
    <n v="1"/>
    <m/>
    <m/>
  </r>
  <r>
    <n v="3477"/>
    <n v="2025"/>
    <n v="2025"/>
    <s v="Year_2"/>
    <d v="2025-03-08T00:00:00"/>
    <s v="KUD01"/>
    <s v="O2R1"/>
    <s v="KSIPL"/>
    <n v="4.3478260869565223E-2"/>
    <n v="3273"/>
    <x v="35"/>
    <s v="YawUntwistCCW: Code__,_______°"/>
    <m/>
    <d v="1899-12-30T12:13:00"/>
    <d v="1899-12-30T12:13:00"/>
    <d v="1899-12-30T12:34:00"/>
    <d v="1899-12-30T00:00:00"/>
    <n v="0.35000000000000142"/>
    <n v="0.35000000000000142"/>
    <s v="Auto cable twist"/>
    <s v="Close"/>
    <n v="1.5217391304347889E-2"/>
    <n v="1"/>
    <n v="1E-3"/>
    <m/>
  </r>
  <r>
    <n v="3478"/>
    <n v="2025"/>
    <n v="2025"/>
    <s v="Year_2"/>
    <d v="2025-03-08T00:00:00"/>
    <s v="KUD15"/>
    <s v="O2R1"/>
    <s v="KSIPL"/>
    <n v="4.3478260869565223E-2"/>
    <n v="3273"/>
    <x v="35"/>
    <s v="YawUntwistCCW: Code__,_______°"/>
    <m/>
    <d v="1899-12-30T12:38:00"/>
    <d v="1899-12-30T12:38:00"/>
    <d v="1899-12-30T12:58:00"/>
    <d v="1899-12-30T00:00:00"/>
    <n v="0.33333333333333215"/>
    <n v="0.33333333333333215"/>
    <s v="Auto cable twist"/>
    <s v="Close"/>
    <n v="1.4492753623188356E-2"/>
    <n v="1"/>
    <n v="2E-3"/>
    <m/>
  </r>
  <r>
    <n v="3479"/>
    <n v="2025"/>
    <n v="2025"/>
    <s v="Year_2"/>
    <d v="2025-03-08T00:00:00"/>
    <s v="KUD20"/>
    <s v="O2R1"/>
    <s v="KSIPL"/>
    <n v="4.3478260869565223E-2"/>
    <n v="309"/>
    <x v="149"/>
    <s v="Pause over RCS __0"/>
    <s v="Manual Stop"/>
    <d v="1899-12-30T08:40:00"/>
    <d v="1899-12-30T08:40:00"/>
    <d v="1899-12-30T21:21:00"/>
    <d v="1899-12-30T00:00:00"/>
    <n v="12.683333333333334"/>
    <n v="12.683333333333334"/>
    <s v="Manual stop for yearly generator aligment  and CIM workwork."/>
    <s v="Close"/>
    <n v="0.55144927536231891"/>
    <n v="1"/>
    <n v="1.4159999999999999"/>
    <m/>
  </r>
  <r>
    <n v="3480"/>
    <n v="2025"/>
    <n v="2025"/>
    <s v="Year_2"/>
    <d v="2025-03-08T00:00:00"/>
    <s v="KUD02"/>
    <s v="O2R3"/>
    <s v="JK"/>
    <n v="4.3478260869565223E-2"/>
    <n v="3273"/>
    <x v="35"/>
    <s v="YawUntwistCCW: Code__,_______°"/>
    <m/>
    <d v="1899-12-30T12:46:00"/>
    <d v="1899-12-30T12:46:00"/>
    <d v="1899-12-30T13:06:00"/>
    <d v="1899-12-30T00:00:00"/>
    <n v="0.33333333333333215"/>
    <n v="0.33333333333333215"/>
    <s v="Auto cable twist"/>
    <s v="Close"/>
    <n v="1.4492753623188356E-2"/>
    <n v="1"/>
    <n v="3.0000000000000001E-3"/>
    <m/>
  </r>
  <r>
    <n v="3481"/>
    <n v="2025"/>
    <n v="2025"/>
    <s v="Year_2"/>
    <d v="2025-03-08T00:00:00"/>
    <s v="KUD06"/>
    <s v="O2R3"/>
    <s v="JK"/>
    <n v="4.3478260869565223E-2"/>
    <n v="3273"/>
    <x v="35"/>
    <s v="YawUntwistCCW: Code__,_______°"/>
    <m/>
    <d v="1899-12-30T12:27:00"/>
    <d v="1899-12-30T12:27:00"/>
    <d v="1899-12-30T12:49:00"/>
    <d v="1899-12-30T00:00:00"/>
    <n v="0.36666666666666536"/>
    <n v="0.36666666666666536"/>
    <s v="Auto cable twist"/>
    <s v="Close"/>
    <n v="1.594202898550719E-2"/>
    <n v="1"/>
    <n v="0"/>
    <m/>
  </r>
  <r>
    <n v="3482"/>
    <n v="2025"/>
    <n v="2025"/>
    <s v="Year_2"/>
    <d v="2025-03-08T00:00:00"/>
    <s v="KUD23"/>
    <s v="O2R3"/>
    <s v="JK"/>
    <n v="4.3478260869565223E-2"/>
    <n v="3273"/>
    <x v="35"/>
    <s v="YawUntwistCCW: Code__,_______°"/>
    <m/>
    <d v="1899-12-30T05:42:00"/>
    <d v="1899-12-30T05:42:00"/>
    <d v="1899-12-30T05:51:00"/>
    <d v="1899-12-30T00:00:00"/>
    <n v="0.15000000000000013"/>
    <n v="0.15000000000000013"/>
    <s v="Auto cable twist"/>
    <s v="Close"/>
    <n v="6.5217391304347892E-3"/>
    <n v="1"/>
    <n v="1E-3"/>
    <m/>
  </r>
  <r>
    <n v="3483"/>
    <n v="2025"/>
    <n v="2025"/>
    <s v="Year_2"/>
    <d v="2025-03-10T00:00:00"/>
    <s v="KUD23"/>
    <s v="O2R3"/>
    <s v="JK"/>
    <n v="4.3478260869565223E-2"/>
    <n v="309"/>
    <x v="149"/>
    <s v="Pause over RCS __0"/>
    <s v="Manual Stop"/>
    <d v="1899-12-30T07:47:00"/>
    <d v="1899-12-30T07:47:00"/>
    <d v="1899-12-30T10:49:00"/>
    <d v="1899-12-30T00:00:00"/>
    <n v="3.0333333333333332"/>
    <n v="3.0333333333333332"/>
    <s v="Manual stop for yearly generator aligment  and CIM workwork."/>
    <s v="Close"/>
    <n v="0.13188405797101452"/>
    <n v="1"/>
    <n v="1.8839999999999999"/>
    <m/>
  </r>
  <r>
    <n v="3484"/>
    <n v="2025"/>
    <n v="2025"/>
    <s v="Year_2"/>
    <d v="2025-03-11T00:00:00"/>
    <s v="KUD21"/>
    <s v="O2R3"/>
    <s v="JK"/>
    <n v="4.3478260869565223E-2"/>
    <n v="3806"/>
    <x v="147"/>
    <s v="Pause over RCS __1"/>
    <s v="Breakdown"/>
    <d v="1899-12-30T12:30:00"/>
    <d v="1899-12-30T12:30:00"/>
    <d v="1899-12-30T13:14:00"/>
    <d v="1899-12-30T00:00:00"/>
    <n v="0.73333333333333339"/>
    <n v="0.73333333333333339"/>
    <s v="Auto reset after hub battery fully chrged."/>
    <s v="Close"/>
    <n v="3.1884057971014498E-2"/>
    <n v="1"/>
    <n v="0.53700000000000003"/>
    <m/>
  </r>
  <r>
    <n v="3485"/>
    <n v="2025"/>
    <n v="2025"/>
    <s v="Year_2"/>
    <d v="2025-03-11T00:00:00"/>
    <s v="KUD23"/>
    <s v="O2R3"/>
    <s v="JK"/>
    <n v="4.3478260869565223E-2"/>
    <n v="309"/>
    <x v="149"/>
    <s v="Pause over RCS __2"/>
    <s v="Manual Stop"/>
    <d v="1899-12-30T11:29:00"/>
    <d v="1899-12-30T11:29:00"/>
    <d v="1899-12-30T11:48:00"/>
    <d v="1899-12-30T00:00:00"/>
    <n v="0.31666666666666554"/>
    <n v="0.31666666666666554"/>
    <s v="Manual stop for Generator aligment but plan cancelled for high wind speed."/>
    <s v="Close"/>
    <n v="1.3768115942028938E-2"/>
    <n v="1"/>
    <n v="0.30299999999999999"/>
    <m/>
  </r>
  <r>
    <n v="3486"/>
    <n v="2025"/>
    <n v="2025"/>
    <s v="Year_2"/>
    <d v="2025-03-12T00:00:00"/>
    <s v="KUD02"/>
    <s v="O2R3"/>
    <s v="JK"/>
    <n v="4.3478260869565223E-2"/>
    <n v="309"/>
    <x v="149"/>
    <s v="Pause over RCS __2"/>
    <s v="Manual Stop"/>
    <d v="1899-12-30T11:41:00"/>
    <d v="1899-12-30T11:41:00"/>
    <d v="1899-12-30T18:00:00"/>
    <d v="1899-12-30T00:00:00"/>
    <n v="6.3166666666666664"/>
    <n v="6.3166666666666664"/>
    <s v="Manual stop for trafo inspection ."/>
    <s v="Close"/>
    <n v="0.27463768115942033"/>
    <n v="1"/>
    <n v="2.218"/>
    <m/>
  </r>
  <r>
    <n v="3487"/>
    <n v="2025"/>
    <n v="2025"/>
    <s v="Year_2"/>
    <d v="2025-03-13T00:00:00"/>
    <s v="KUD09"/>
    <s v="O2R3"/>
    <s v="JK"/>
    <n v="4.3478260869565223E-2"/>
    <n v="5068"/>
    <x v="119"/>
    <s v="Pause over RCS __3"/>
    <s v="Breakdown"/>
    <d v="1899-12-30T17:08:00"/>
    <d v="1899-12-30T17:08:00"/>
    <d v="1899-12-30T18:13:00"/>
    <d v="1899-12-30T00:00:00"/>
    <n v="1.0833333333333321"/>
    <n v="1.0833333333333321"/>
    <s v="Remote reboot done"/>
    <s v="Close"/>
    <n v="4.7101449275362271E-2"/>
    <n v="1"/>
    <n v="0.52800000000000002"/>
    <m/>
  </r>
  <r>
    <n v="3488"/>
    <n v="2025"/>
    <n v="2025"/>
    <s v="Year_2"/>
    <d v="2025-03-14T00:00:00"/>
    <s v="KUD03"/>
    <s v="O2R1"/>
    <s v="KSIPL"/>
    <n v="4.3478260869565223E-2"/>
    <n v="3273"/>
    <x v="35"/>
    <s v="YawUntwistCCW: Code__,_______°"/>
    <m/>
    <d v="1899-12-30T14:09:00"/>
    <d v="1899-12-30T14:09:00"/>
    <d v="1899-12-30T14:29:00"/>
    <d v="1899-12-30T00:00:00"/>
    <n v="0.33333333333333215"/>
    <n v="0.33333333333333215"/>
    <s v="Auto cable twist"/>
    <s v="Close"/>
    <n v="1.4492753623188356E-2"/>
    <n v="1"/>
    <n v="0.13400000000000001"/>
    <m/>
  </r>
  <r>
    <n v="3489"/>
    <n v="2025"/>
    <n v="2025"/>
    <s v="Year_2"/>
    <d v="2025-03-14T00:00:00"/>
    <s v="KUD10"/>
    <s v="O2R1"/>
    <s v="KSIPL"/>
    <n v="4.3478260869565223E-2"/>
    <n v="3273"/>
    <x v="35"/>
    <s v="YawUntwistCCW: Code__,_______°"/>
    <m/>
    <d v="1899-12-30T10:17:00"/>
    <d v="1899-12-30T10:17:00"/>
    <d v="1899-12-30T10:48:00"/>
    <d v="1899-12-30T00:00:00"/>
    <n v="0.5166666666666675"/>
    <n v="0.5166666666666675"/>
    <s v="Auto cable twist"/>
    <s v="Close"/>
    <n v="2.2463768115942067E-2"/>
    <n v="1"/>
    <n v="4.8000000000000001E-2"/>
    <m/>
  </r>
  <r>
    <n v="3490"/>
    <n v="2025"/>
    <n v="2025"/>
    <s v="Year_2"/>
    <d v="2025-03-14T00:00:00"/>
    <s v="KUD04"/>
    <s v="O2R3"/>
    <s v="JK"/>
    <n v="4.3478260869565223E-2"/>
    <n v="3273"/>
    <x v="35"/>
    <s v="YawUntwistCCW: Code__,_______°"/>
    <m/>
    <d v="1899-12-30T08:16:00"/>
    <d v="1899-12-30T08:16:00"/>
    <d v="1899-12-30T08:44:00"/>
    <d v="1899-12-30T00:00:00"/>
    <n v="0.46666666666666634"/>
    <n v="0.46666666666666634"/>
    <s v="Auto cable twist"/>
    <s v="Close"/>
    <n v="2.0289855072463756E-2"/>
    <n v="1"/>
    <n v="3.6999999999999998E-2"/>
    <m/>
  </r>
  <r>
    <n v="3491"/>
    <n v="2025"/>
    <n v="2025"/>
    <s v="Year_2"/>
    <d v="2025-03-14T00:00:00"/>
    <s v="KUD09"/>
    <s v="O2R3"/>
    <s v="JK"/>
    <n v="4.3478260869565223E-2"/>
    <n v="5068"/>
    <x v="119"/>
    <s v="Pitch pos B meas. signal fault"/>
    <s v="Breakdown"/>
    <d v="1899-12-30T05:50:00"/>
    <d v="1899-12-30T05:50:00"/>
    <d v="1899-12-30T08:58:00"/>
    <d v="1899-12-30T00:00:00"/>
    <n v="3.1333333333333337"/>
    <n v="3.1333333333333337"/>
    <s v="Attend and changed blade B prop valve"/>
    <s v="Close"/>
    <n v="0.13623188405797104"/>
    <n v="1"/>
    <n v="0.496"/>
    <m/>
  </r>
  <r>
    <n v="3492"/>
    <n v="2025"/>
    <n v="2025"/>
    <s v="Year_2"/>
    <d v="2025-03-14T00:00:00"/>
    <s v="KUD18"/>
    <s v="O2R4"/>
    <s v="SGDCIPL"/>
    <n v="4.3478260869565223E-2"/>
    <n v="3273"/>
    <x v="35"/>
    <s v="YawUntwistCCW: Code__,_______°"/>
    <m/>
    <d v="1899-12-30T13:05:00"/>
    <d v="1899-12-30T13:05:00"/>
    <d v="1899-12-30T13:33:00"/>
    <d v="1899-12-30T00:00:00"/>
    <n v="0.46666666666666767"/>
    <n v="0.46666666666666767"/>
    <s v="Auto cable twist"/>
    <s v="Close"/>
    <n v="2.0289855072463815E-2"/>
    <n v="1"/>
    <n v="-0.01"/>
    <m/>
  </r>
  <r>
    <n v="3493"/>
    <n v="2025"/>
    <n v="2025"/>
    <s v="Year_2"/>
    <d v="2025-03-14T00:00:00"/>
    <s v="KUD22"/>
    <s v="O2R3"/>
    <s v="JK"/>
    <n v="4.3478260869565223E-2"/>
    <n v="3273"/>
    <x v="35"/>
    <s v="YawUntwistCCW: Code__,_______°"/>
    <m/>
    <d v="1899-12-30T11:50:00"/>
    <d v="1899-12-30T11:50:00"/>
    <d v="1899-12-30T12:11:00"/>
    <d v="1899-12-30T00:00:00"/>
    <n v="0.34999999999999876"/>
    <n v="0.34999999999999876"/>
    <s v="Auto cable twist"/>
    <s v="Close"/>
    <n v="1.5217391304347775E-2"/>
    <n v="1"/>
    <n v="0"/>
    <m/>
  </r>
  <r>
    <n v="3494"/>
    <n v="2025"/>
    <n v="2025"/>
    <s v="Year_2"/>
    <d v="2025-03-15T00:00:00"/>
    <s v="KUD03"/>
    <s v="O2R1"/>
    <s v="KSIPL"/>
    <n v="4.3478260869565223E-2"/>
    <n v="309"/>
    <x v="149"/>
    <s v="Pause over RCS __0"/>
    <s v="Manual Stop"/>
    <d v="1899-12-30T11:04:00"/>
    <d v="1899-12-30T11:04:00"/>
    <d v="1899-12-30T17:31:00"/>
    <d v="1899-12-30T00:00:00"/>
    <n v="6.4499999999999984"/>
    <n v="6.4499999999999984"/>
    <s v="Manual stop for trafo inspection ."/>
    <s v="Close"/>
    <n v="0.28043478260869564"/>
    <n v="1"/>
    <n v="2.3050000000000002"/>
    <m/>
  </r>
  <r>
    <n v="3495"/>
    <n v="2025"/>
    <n v="2025"/>
    <s v="Year_2"/>
    <d v="2025-03-15T00:00:00"/>
    <s v="KUD08"/>
    <s v="O2R3"/>
    <s v="JK"/>
    <n v="4.3478260869565223E-2"/>
    <n v="151"/>
    <x v="148"/>
    <s v="High temp. Gen bearing _:___°C"/>
    <s v="Breakdown"/>
    <d v="1899-12-30T21:24:00"/>
    <d v="1899-12-30T21:24:00"/>
    <d v="1899-12-30T23:32:00"/>
    <d v="1899-12-30T00:00:00"/>
    <n v="2.1333333333333311"/>
    <n v="2.1333333333333311"/>
    <s v="Attnd found generator colling fan fuse got failured so replacd."/>
    <s v="Close"/>
    <n v="9.2753623188405715E-2"/>
    <n v="1"/>
    <n v="2.5379999999999998"/>
    <m/>
  </r>
  <r>
    <n v="3496"/>
    <n v="2025"/>
    <n v="2025"/>
    <s v="Year_2"/>
    <d v="2025-03-16T00:00:00"/>
    <s v="KUD21"/>
    <s v="O2R3"/>
    <s v="JK"/>
    <n v="4.3478260869565223E-2"/>
    <n v="309"/>
    <x v="149"/>
    <s v="Pause over RCS __0"/>
    <s v="Manual Stop"/>
    <d v="1899-12-30T16:49:00"/>
    <d v="1899-12-30T16:49:00"/>
    <d v="1899-12-30T19:59:00"/>
    <d v="1899-12-30T00:00:00"/>
    <n v="3.1666666666666687"/>
    <n v="3.1666666666666687"/>
    <s v="Manual stop for yearly generator aligment  and CIM workwork."/>
    <s v="Close"/>
    <n v="0.13768115942028997"/>
    <n v="1"/>
    <n v="0.93200000000000005"/>
    <m/>
  </r>
  <r>
    <n v="3497"/>
    <n v="2025"/>
    <n v="2025"/>
    <s v="Year_2"/>
    <d v="2025-03-16T00:00:00"/>
    <s v="KUD23"/>
    <s v="O2R3"/>
    <s v="JK"/>
    <n v="4.3478260869565223E-2"/>
    <n v="309"/>
    <x v="149"/>
    <s v="Pause over RCS __0"/>
    <s v="Manual Stop"/>
    <d v="1899-12-30T10:17:00"/>
    <d v="1899-12-30T10:17:00"/>
    <d v="1899-12-30T14:50:00"/>
    <d v="1899-12-30T00:00:00"/>
    <n v="4.5500000000000007"/>
    <n v="4.5500000000000007"/>
    <s v="Manual stop for yearly generator aligment  and CIM workwork."/>
    <s v="Close"/>
    <n v="0.19782608695652179"/>
    <n v="1"/>
    <n v="1.2829999999999999"/>
    <m/>
  </r>
  <r>
    <n v="3498"/>
    <n v="2025"/>
    <n v="2025"/>
    <s v="Year_2"/>
    <d v="2025-03-17T00:00:00"/>
    <s v="KUD08"/>
    <s v="O2R3"/>
    <s v="JK"/>
    <n v="4.3478260869565223E-2"/>
    <n v="3273"/>
    <x v="35"/>
    <s v="YawUntwistCCW: Code__,_______°"/>
    <m/>
    <d v="1899-12-30T22:21:00"/>
    <d v="1899-12-30T22:21:00"/>
    <d v="1899-12-30T22:42:00"/>
    <d v="1899-12-30T00:00:00"/>
    <n v="0.34999999999999876"/>
    <n v="0.34999999999999876"/>
    <s v="Auto cable twist"/>
    <s v="Close"/>
    <n v="1.5217391304347775E-2"/>
    <n v="1"/>
    <n v="0.215"/>
    <m/>
  </r>
  <r>
    <n v="3499"/>
    <n v="2025"/>
    <n v="2025"/>
    <s v="Year_2"/>
    <d v="2025-03-17T00:00:00"/>
    <s v="KUD10"/>
    <s v="O2R1"/>
    <s v="KSIPL"/>
    <n v="4.3478260869565223E-2"/>
    <n v="2676"/>
    <x v="124"/>
    <s v="UPS Error"/>
    <s v="Breakdown"/>
    <d v="1899-12-30T04:00:00"/>
    <d v="1899-12-30T04:00:00"/>
    <d v="1899-12-30T05:21:00"/>
    <d v="1899-12-30T00:00:00"/>
    <n v="1.3500000000000005"/>
    <n v="1.3500000000000005"/>
    <s v="UPS Reboot done."/>
    <s v="Close"/>
    <n v="5.8695652173913072E-2"/>
    <n v="1"/>
    <n v="0.64200000000000002"/>
    <m/>
  </r>
  <r>
    <n v="3500"/>
    <n v="2025"/>
    <n v="2025"/>
    <s v="Year_2"/>
    <d v="2025-03-17T00:00:00"/>
    <s v="KUD10"/>
    <s v="O2R1"/>
    <s v="KSIPL"/>
    <n v="4.3478260869565223E-2"/>
    <n v="3273"/>
    <x v="35"/>
    <s v="YawUntwistCCW: Code__,_______°"/>
    <m/>
    <d v="1899-12-30T22:28:00"/>
    <d v="1899-12-30T22:28:00"/>
    <d v="1899-12-30T22:50:00"/>
    <d v="1899-12-30T00:00:00"/>
    <n v="0.36666666666666536"/>
    <n v="0.36666666666666536"/>
    <s v="Auto cable twist"/>
    <s v="Close"/>
    <n v="1.594202898550719E-2"/>
    <n v="1"/>
    <n v="0.67"/>
    <m/>
  </r>
  <r>
    <n v="3501"/>
    <n v="2025"/>
    <n v="2025"/>
    <s v="Year_2"/>
    <d v="2025-03-17T00:00:00"/>
    <s v="KUD11"/>
    <s v="O2R1"/>
    <s v="KSIPL"/>
    <n v="4.3478260869565223E-2"/>
    <n v="3273"/>
    <x v="35"/>
    <s v="YawUntwistCCW: Code__,_______°"/>
    <m/>
    <d v="1899-12-30T12:45:00"/>
    <d v="1899-12-30T12:45:00"/>
    <d v="1899-12-30T13:07:00"/>
    <d v="1899-12-30T00:00:00"/>
    <n v="0.36666666666666536"/>
    <n v="0.36666666666666536"/>
    <s v="Auto cable twist"/>
    <s v="Close"/>
    <n v="1.594202898550719E-2"/>
    <n v="1"/>
    <n v="0.214"/>
    <m/>
  </r>
  <r>
    <n v="3502"/>
    <n v="2025"/>
    <n v="2025"/>
    <s v="Year_2"/>
    <d v="2025-03-17T00:00:00"/>
    <s v="KUD12"/>
    <s v="O2R1"/>
    <s v="KSIPL"/>
    <n v="4.3478260869565223E-2"/>
    <n v="3273"/>
    <x v="35"/>
    <s v="YawUntwistCCW: Code__,_______°"/>
    <m/>
    <d v="1899-12-30T22:39:00"/>
    <d v="1899-12-30T22:39:00"/>
    <d v="1899-12-30T23:01:00"/>
    <d v="1899-12-30T00:00:00"/>
    <n v="0.36666666666666803"/>
    <n v="0.36666666666666803"/>
    <s v="Auto cable twist"/>
    <s v="Close"/>
    <n v="1.5942028985507308E-2"/>
    <n v="1"/>
    <n v="0.28799999999999998"/>
    <m/>
  </r>
  <r>
    <n v="3503"/>
    <n v="2025"/>
    <n v="2025"/>
    <s v="Year_2"/>
    <d v="2025-03-17T00:00:00"/>
    <s v="KUD13"/>
    <s v="O2R1"/>
    <s v="KSIPL"/>
    <n v="4.3478260869565223E-2"/>
    <n v="3273"/>
    <x v="35"/>
    <s v="YawUntwistCCW: Code__,_______°"/>
    <m/>
    <d v="1899-12-30T22:41:00"/>
    <d v="1899-12-30T22:41:00"/>
    <d v="1899-12-30T23:04:00"/>
    <d v="1899-12-30T00:00:00"/>
    <n v="0.38333333333333464"/>
    <n v="0.38333333333333464"/>
    <s v="Auto cable twist"/>
    <s v="Close"/>
    <n v="1.6666666666666725E-2"/>
    <n v="1"/>
    <n v="0.248"/>
    <m/>
  </r>
  <r>
    <n v="3504"/>
    <n v="2025"/>
    <n v="2025"/>
    <s v="Year_2"/>
    <d v="2025-03-17T00:00:00"/>
    <s v="KUD19"/>
    <s v="O2R1"/>
    <s v="KSIPL"/>
    <n v="4.3478260869565223E-2"/>
    <n v="3273"/>
    <x v="35"/>
    <s v="YawUntwistCCW: Code__,_______°"/>
    <m/>
    <d v="1899-12-30T13:07:00"/>
    <d v="1899-12-30T13:07:00"/>
    <d v="1899-12-30T13:27:00"/>
    <d v="1899-12-30T00:00:00"/>
    <n v="0.33333333333333481"/>
    <n v="0.33333333333333481"/>
    <s v="Auto cable twist"/>
    <s v="Close"/>
    <n v="1.4492753623188472E-2"/>
    <n v="1"/>
    <n v="0.129"/>
    <m/>
  </r>
  <r>
    <n v="3505"/>
    <n v="2025"/>
    <n v="2025"/>
    <s v="Year_2"/>
    <d v="2025-03-17T00:00:00"/>
    <s v="KUD04"/>
    <s v="O2R3"/>
    <s v="JK"/>
    <n v="4.3478260869565223E-2"/>
    <n v="3273"/>
    <x v="35"/>
    <s v="YawUntwistCCW: Code__,_______°"/>
    <m/>
    <d v="1899-12-30T22:42:00"/>
    <d v="1899-12-30T22:42:00"/>
    <d v="1899-12-30T23:04:00"/>
    <d v="1899-12-30T00:00:00"/>
    <n v="0.36666666666666803"/>
    <n v="0.36666666666666803"/>
    <s v="Auto cable twist"/>
    <s v="Close"/>
    <n v="1.5942028985507308E-2"/>
    <n v="1"/>
    <n v="3.5000000000000003E-2"/>
    <m/>
  </r>
  <r>
    <n v="3506"/>
    <n v="2025"/>
    <n v="2025"/>
    <s v="Year_2"/>
    <d v="2025-03-17T00:00:00"/>
    <s v="KUD05"/>
    <s v="O2R3"/>
    <s v="JK"/>
    <n v="4.3478260869565223E-2"/>
    <n v="3273"/>
    <x v="35"/>
    <s v="YawUntwistCCW: Code__,_______°"/>
    <m/>
    <d v="1899-12-30T14:10:00"/>
    <d v="1899-12-30T14:10:00"/>
    <d v="1899-12-30T14:32:00"/>
    <d v="1899-12-30T00:00:00"/>
    <n v="0.36666666666666536"/>
    <n v="0.36666666666666536"/>
    <s v="Auto cable twist"/>
    <s v="Close"/>
    <n v="1.594202898550719E-2"/>
    <n v="1"/>
    <n v="1.4999999999999999E-2"/>
    <m/>
  </r>
  <r>
    <n v="3507"/>
    <n v="2025"/>
    <n v="2025"/>
    <s v="Year_2"/>
    <d v="2025-03-17T00:00:00"/>
    <s v="KUD06"/>
    <s v="O2R3"/>
    <s v="JK"/>
    <n v="4.3478260869565223E-2"/>
    <n v="3273"/>
    <x v="35"/>
    <s v="YawUntwistCCW: Code__,_______°"/>
    <m/>
    <d v="1899-12-30T11:55:00"/>
    <d v="1899-12-30T11:55:00"/>
    <d v="1899-12-30T12:16:00"/>
    <d v="1899-12-30T00:00:00"/>
    <n v="0.34999999999999876"/>
    <n v="0.34999999999999876"/>
    <s v="Auto cable twist"/>
    <s v="Close"/>
    <n v="1.5217391304347775E-2"/>
    <n v="1"/>
    <n v="1.7999999999999999E-2"/>
    <m/>
  </r>
  <r>
    <n v="3508"/>
    <n v="2025"/>
    <n v="2025"/>
    <s v="Year_2"/>
    <d v="2025-03-17T00:00:00"/>
    <s v="KUD07"/>
    <s v="O2R3"/>
    <s v="JK"/>
    <n v="4.3478260869565223E-2"/>
    <n v="3273"/>
    <x v="35"/>
    <s v="YawUntwistCCW: Code__,_______°"/>
    <m/>
    <d v="1899-12-30T14:25:00"/>
    <d v="1899-12-30T14:25:00"/>
    <d v="1899-12-30T14:45:00"/>
    <d v="1899-12-30T00:00:00"/>
    <n v="0.33333333333333481"/>
    <n v="0.33333333333333481"/>
    <s v="Auto cable twist"/>
    <s v="Close"/>
    <n v="1.4492753623188472E-2"/>
    <n v="1"/>
    <n v="2.9000000000000001E-2"/>
    <m/>
  </r>
  <r>
    <n v="3509"/>
    <n v="2025"/>
    <n v="2025"/>
    <s v="Year_2"/>
    <d v="2025-03-17T00:00:00"/>
    <s v="KUD09"/>
    <s v="O2R3"/>
    <s v="JK"/>
    <n v="4.3478260869565223E-2"/>
    <n v="3273"/>
    <x v="35"/>
    <s v="YawUntwistCCW: Code__,_______°"/>
    <m/>
    <d v="1899-12-30T12:48:00"/>
    <d v="1899-12-30T12:48:00"/>
    <d v="1899-12-30T13:08:00"/>
    <d v="1899-12-30T00:00:00"/>
    <n v="0.33333333333333481"/>
    <n v="0.33333333333333481"/>
    <s v="Auto cable twist"/>
    <s v="Close"/>
    <n v="1.4492753623188472E-2"/>
    <n v="1"/>
    <n v="0.01"/>
    <m/>
  </r>
  <r>
    <n v="3510"/>
    <n v="2025"/>
    <n v="2025"/>
    <s v="Year_2"/>
    <d v="2025-03-17T00:00:00"/>
    <s v="KUD16"/>
    <s v="O2R2"/>
    <s v="SIL"/>
    <n v="4.3478260869565223E-2"/>
    <n v="3273"/>
    <x v="35"/>
    <s v="YawUntwistCCW: Code__,_______°"/>
    <m/>
    <d v="1899-12-30T22:41:00"/>
    <d v="1899-12-30T22:41:00"/>
    <d v="1899-12-30T23:02:00"/>
    <d v="1899-12-30T00:00:00"/>
    <n v="0.35000000000000142"/>
    <n v="0.35000000000000142"/>
    <s v="Auto cable twist"/>
    <s v="Close"/>
    <n v="1.5217391304347889E-2"/>
    <n v="1"/>
    <n v="0.10299999999999999"/>
    <m/>
  </r>
  <r>
    <n v="3511"/>
    <n v="2025"/>
    <n v="2025"/>
    <s v="Year_2"/>
    <d v="2025-03-17T00:00:00"/>
    <s v="KUD17"/>
    <s v="O2R2"/>
    <s v="SIL"/>
    <n v="4.3478260869565223E-2"/>
    <n v="3273"/>
    <x v="35"/>
    <s v="YawUntwistCCW: Code__,_______°"/>
    <m/>
    <d v="1899-12-30T22:40:00"/>
    <d v="1899-12-30T22:40:00"/>
    <d v="1899-12-30T23:02:00"/>
    <d v="1899-12-30T00:00:00"/>
    <n v="0.36666666666666803"/>
    <n v="0.36666666666666803"/>
    <s v="Auto cable twist"/>
    <s v="Close"/>
    <n v="1.5942028985507308E-2"/>
    <n v="1"/>
    <n v="0.11700000000000001"/>
    <m/>
  </r>
  <r>
    <n v="3512"/>
    <n v="2025"/>
    <n v="2025"/>
    <s v="Year_2"/>
    <d v="2025-03-17T00:00:00"/>
    <s v="KUD23"/>
    <s v="O2R3"/>
    <s v="JK"/>
    <n v="4.3478260869565223E-2"/>
    <n v="3273"/>
    <x v="35"/>
    <s v="YawUntwistCCW: Code__,_______°"/>
    <m/>
    <d v="1899-12-30T12:45:00"/>
    <d v="1899-12-30T12:45:00"/>
    <d v="1899-12-30T13:06:00"/>
    <d v="1899-12-30T00:00:00"/>
    <n v="0.34999999999999876"/>
    <n v="0.34999999999999876"/>
    <s v="Auto cable twist"/>
    <s v="Close"/>
    <n v="1.5217391304347775E-2"/>
    <n v="1"/>
    <n v="0"/>
    <m/>
  </r>
  <r>
    <n v="3513"/>
    <n v="2025"/>
    <n v="2025"/>
    <s v="Year_2"/>
    <d v="2025-03-18T00:00:00"/>
    <s v="KUD12"/>
    <s v="O2R1"/>
    <s v="KSIPL"/>
    <n v="4.3478260869565223E-2"/>
    <n v="4560"/>
    <x v="161"/>
    <s v="BladeCEdgePeakLoad: ___.__ kNm"/>
    <m/>
    <d v="1899-12-30T17:40:00"/>
    <d v="1899-12-30T17:40:00"/>
    <d v="1899-12-30T18:20:00"/>
    <d v="1899-12-30T00:00:00"/>
    <n v="0.6666666666666643"/>
    <n v="0.6666666666666643"/>
    <s v="manual reset done."/>
    <s v="Close"/>
    <n v="2.8985507246376711E-2"/>
    <n v="1"/>
    <n v="0.13700000000000001"/>
    <m/>
  </r>
  <r>
    <n v="3514"/>
    <n v="2025"/>
    <n v="2025"/>
    <s v="Year_2"/>
    <d v="2025-03-18T00:00:00"/>
    <s v="KUD14"/>
    <s v="O2R1"/>
    <s v="KSIPL"/>
    <n v="4.3478260869565223E-2"/>
    <n v="3273"/>
    <x v="35"/>
    <s v="YawUntwistCCW: Code__,_______°"/>
    <m/>
    <d v="1899-12-30T05:46:00"/>
    <d v="1899-12-30T05:46:00"/>
    <d v="1899-12-30T06:15:00"/>
    <d v="1899-12-30T00:00:00"/>
    <n v="0.48333333333333361"/>
    <n v="0.48333333333333361"/>
    <s v="Auto cable twist"/>
    <s v="Close"/>
    <n v="2.1014492753623205E-2"/>
    <n v="1"/>
    <n v="0"/>
    <m/>
  </r>
  <r>
    <n v="3515"/>
    <n v="2025"/>
    <n v="2025"/>
    <s v="Year_2"/>
    <d v="2025-03-18T00:00:00"/>
    <s v="KUD05"/>
    <s v="O2R3"/>
    <s v="JK"/>
    <n v="4.3478260869565223E-2"/>
    <n v="3273"/>
    <x v="35"/>
    <s v="YawUntwistCCW: Code__,_______°"/>
    <m/>
    <d v="1899-12-30T06:19:00"/>
    <d v="1899-12-30T06:19:00"/>
    <d v="1899-12-30T06:40:00"/>
    <d v="1899-12-30T00:00:00"/>
    <n v="0.35000000000000009"/>
    <n v="0.35000000000000009"/>
    <s v="Auto cable twist"/>
    <s v="Close"/>
    <n v="1.5217391304347832E-2"/>
    <n v="1"/>
    <n v="0"/>
    <m/>
  </r>
  <r>
    <n v="3516"/>
    <n v="2025"/>
    <n v="2025"/>
    <s v="Year_2"/>
    <d v="2025-03-18T00:00:00"/>
    <s v="KUD05"/>
    <s v="O2R3"/>
    <s v="JK"/>
    <n v="4.3478260869565223E-2"/>
    <n v="309"/>
    <x v="149"/>
    <s v="Pause over RCS __0"/>
    <m/>
    <d v="1899-12-30T13:01:00"/>
    <d v="1899-12-30T13:01:00"/>
    <d v="1899-12-30T17:52:00"/>
    <d v="1899-12-30T00:00:00"/>
    <n v="4.8500000000000014"/>
    <n v="4.8500000000000014"/>
    <s v="Manual stop for Blade internal and external inspection"/>
    <s v="Close"/>
    <n v="0.21086956521739139"/>
    <n v="1"/>
    <n v="0.94099999999999995"/>
    <m/>
  </r>
  <r>
    <n v="3517"/>
    <n v="2025"/>
    <n v="2025"/>
    <s v="Year_2"/>
    <d v="2025-03-18T00:00:00"/>
    <s v="KUD22"/>
    <s v="O2R3"/>
    <s v="JK"/>
    <n v="4.3478260869565223E-2"/>
    <n v="3273"/>
    <x v="35"/>
    <s v="YawUntwistCCW: Code__,_______°"/>
    <m/>
    <d v="1899-12-30T06:34:00"/>
    <d v="1899-12-30T06:34:00"/>
    <d v="1899-12-30T06:55:00"/>
    <d v="1899-12-30T00:00:00"/>
    <n v="0.34999999999999876"/>
    <n v="0.34999999999999876"/>
    <s v="Auto cable twist"/>
    <s v="Close"/>
    <n v="1.5217391304347775E-2"/>
    <n v="1"/>
    <n v="2.1999999999999999E-2"/>
    <m/>
  </r>
  <r>
    <n v="3518"/>
    <n v="2025"/>
    <n v="2025"/>
    <s v="Year_2"/>
    <d v="2025-03-19T00:00:00"/>
    <s v="KUD10"/>
    <s v="O2R1"/>
    <s v="KSIPL"/>
    <n v="4.3478260869565223E-2"/>
    <n v="2676"/>
    <x v="124"/>
    <s v="UPS Error"/>
    <s v="Breakdown"/>
    <d v="1899-12-30T07:00:00"/>
    <d v="1899-12-30T07:00:00"/>
    <d v="1899-12-30T09:30:00"/>
    <d v="1899-12-30T00:00:00"/>
    <n v="2.4999999999999991"/>
    <n v="2.4999999999999991"/>
    <s v="UPS Reboot done"/>
    <s v="Close"/>
    <n v="0.10869565217391301"/>
    <n v="1"/>
    <n v="0.35599999999999998"/>
    <m/>
  </r>
  <r>
    <n v="3519"/>
    <n v="2025"/>
    <n v="2025"/>
    <s v="Year_2"/>
    <d v="2025-03-19T00:00:00"/>
    <s v="KUD09"/>
    <s v="O2R3"/>
    <s v="JK"/>
    <n v="4.3478260869565223E-2"/>
    <n v="3272"/>
    <x v="143"/>
    <s v="YawUntwistCW: Code__,_______°"/>
    <m/>
    <d v="1899-12-30T16:02:00"/>
    <d v="1899-12-30T16:02:00"/>
    <d v="1899-12-30T16:22:00"/>
    <d v="1899-12-30T00:00:00"/>
    <n v="0.33333333333333481"/>
    <n v="0.33333333333333481"/>
    <s v="Auto cable twist"/>
    <s v="Close"/>
    <n v="1.4492753623188472E-2"/>
    <n v="1"/>
    <n v="7.0000000000000001E-3"/>
    <m/>
  </r>
  <r>
    <n v="3520"/>
    <n v="2025"/>
    <n v="2025"/>
    <s v="Year_2"/>
    <d v="2025-03-19T00:00:00"/>
    <s v="KUD22"/>
    <s v="O2R3"/>
    <s v="JK"/>
    <n v="4.3478260869565223E-2"/>
    <n v="3273"/>
    <x v="35"/>
    <s v="YawUntwistCCW: Code__,_______°"/>
    <m/>
    <d v="1899-12-30T12:50:00"/>
    <d v="1899-12-30T12:50:00"/>
    <d v="1899-12-30T13:10:00"/>
    <d v="1899-12-30T00:00:00"/>
    <n v="0.33333333333333481"/>
    <n v="0.33333333333333481"/>
    <s v="Auto cable twist"/>
    <s v="Close"/>
    <n v="1.4492753623188472E-2"/>
    <n v="1"/>
    <n v="4.0000000000000001E-3"/>
    <m/>
  </r>
  <r>
    <n v="3521"/>
    <n v="2025"/>
    <n v="2025"/>
    <s v="Year_2"/>
    <d v="2025-03-20T00:00:00"/>
    <s v="KUD03"/>
    <s v="O2R1"/>
    <s v="KSIPL"/>
    <n v="4.3478260869565223E-2"/>
    <n v="309"/>
    <x v="149"/>
    <s v="Pause over RCS __0"/>
    <s v="Manual Stop"/>
    <d v="1899-12-30T07:40:00"/>
    <d v="1899-12-30T07:40:00"/>
    <d v="1899-12-30T15:10:00"/>
    <d v="1899-12-30T00:00:00"/>
    <n v="7.5"/>
    <n v="7.5"/>
    <s v="Manual stop for 2 years service Day-2"/>
    <s v="Close"/>
    <n v="0.32608695652173919"/>
    <n v="1"/>
    <n v="0.26300000000000001"/>
    <m/>
  </r>
  <r>
    <n v="3522"/>
    <n v="2025"/>
    <n v="2025"/>
    <s v="Year_2"/>
    <d v="2025-03-21T00:00:00"/>
    <s v="KUD20"/>
    <s v="O2R1"/>
    <s v="KSIPL"/>
    <n v="4.3478260869565223E-2"/>
    <n v="3273"/>
    <x v="35"/>
    <s v="YawUntwistCCW: Code__,_______°"/>
    <m/>
    <d v="1899-12-30T14:33:00"/>
    <d v="1899-12-30T14:33:00"/>
    <d v="1899-12-30T14:53:00"/>
    <d v="1899-12-30T00:00:00"/>
    <n v="0.33333333333333481"/>
    <n v="0.33333333333333481"/>
    <s v="Auto cable twist"/>
    <s v="Close"/>
    <n v="1.4492753623188472E-2"/>
    <n v="1"/>
    <n v="1E-3"/>
    <m/>
  </r>
  <r>
    <n v="3523"/>
    <n v="2025"/>
    <n v="2025"/>
    <s v="Year_2"/>
    <d v="2025-03-21T00:00:00"/>
    <s v="KUD02"/>
    <s v="O2R3"/>
    <s v="JK"/>
    <n v="4.3478260869565223E-2"/>
    <n v="309"/>
    <x v="149"/>
    <s v="Pause over RCS __0"/>
    <s v="Manual Stop"/>
    <d v="1899-12-30T08:36:00"/>
    <d v="1899-12-30T08:36:00"/>
    <d v="1899-12-30T16:24:00"/>
    <d v="1899-12-30T00:00:00"/>
    <n v="7.8000000000000007"/>
    <n v="7.8000000000000007"/>
    <s v="Manual stop for 2 years service Day-2"/>
    <s v="Close"/>
    <n v="0.33913043478260879"/>
    <n v="1"/>
    <n v="0.14499999999999999"/>
    <m/>
  </r>
  <r>
    <n v="3524"/>
    <n v="2025"/>
    <n v="2025"/>
    <s v="Year_2"/>
    <d v="2025-03-21T00:00:00"/>
    <s v="KUD06"/>
    <s v="O2R3"/>
    <s v="JK"/>
    <n v="4.3478260869565223E-2"/>
    <n v="3273"/>
    <x v="35"/>
    <s v="YawUntwistCCW: Code__,_______°"/>
    <m/>
    <d v="1899-12-30T13:57:00"/>
    <d v="1899-12-30T13:57:00"/>
    <d v="1899-12-30T14:02:00"/>
    <d v="1899-12-30T00:00:00"/>
    <n v="8.3333333333333037E-2"/>
    <n v="8.3333333333333037E-2"/>
    <s v="Auto cable twist"/>
    <s v="Close"/>
    <n v="3.6231884057970889E-3"/>
    <n v="1"/>
    <n v="1E-3"/>
    <m/>
  </r>
  <r>
    <n v="3525"/>
    <n v="2025"/>
    <n v="2025"/>
    <s v="Year_2"/>
    <d v="2025-03-21T00:00:00"/>
    <s v="KUD18"/>
    <s v="O2R4"/>
    <s v="SGDCIPL"/>
    <n v="4.3478260869565223E-2"/>
    <n v="3273"/>
    <x v="35"/>
    <s v="YawUntwistCCW: Code__,_______°"/>
    <m/>
    <d v="1899-12-30T16:05:00"/>
    <d v="1899-12-30T16:05:00"/>
    <d v="1899-12-30T16:25:00"/>
    <d v="1899-12-30T00:00:00"/>
    <n v="0.33333333333333481"/>
    <n v="0.33333333333333481"/>
    <s v="Auto cable twist"/>
    <s v="Close"/>
    <n v="1.4492753623188472E-2"/>
    <n v="1"/>
    <n v="1E-3"/>
    <m/>
  </r>
  <r>
    <n v="3526"/>
    <n v="2025"/>
    <n v="2025"/>
    <s v="Year_2"/>
    <d v="2025-03-21T00:00:00"/>
    <s v="KUD22"/>
    <s v="O2R3"/>
    <s v="JK"/>
    <n v="4.3478260869565223E-2"/>
    <n v="3273"/>
    <x v="35"/>
    <s v="YawUntwistCCW: Code__,_______°"/>
    <m/>
    <d v="1899-12-30T13:18:00"/>
    <d v="1899-12-30T13:18:00"/>
    <d v="1899-12-30T13:39:00"/>
    <d v="1899-12-30T00:00:00"/>
    <n v="0.34999999999999876"/>
    <n v="0.34999999999999876"/>
    <s v="Auto cable twist"/>
    <s v="Close"/>
    <n v="1.5217391304347775E-2"/>
    <n v="1"/>
    <n v="2E-3"/>
    <m/>
  </r>
  <r>
    <n v="3527"/>
    <n v="2025"/>
    <n v="2025"/>
    <s v="Year_2"/>
    <d v="2025-03-21T00:00:00"/>
    <s v="KUD23"/>
    <s v="O2R3"/>
    <s v="JK"/>
    <n v="4.3478260869565223E-2"/>
    <n v="3273"/>
    <x v="35"/>
    <s v="YawUntwistCCW: Code__,_______°"/>
    <m/>
    <d v="1899-12-30T15:33:00"/>
    <d v="1899-12-30T15:33:00"/>
    <d v="1899-12-30T15:53:00"/>
    <d v="1899-12-30T00:00:00"/>
    <n v="0.33333333333333215"/>
    <n v="0.33333333333333215"/>
    <s v="Auto cable twist"/>
    <s v="Close"/>
    <n v="1.4492753623188356E-2"/>
    <n v="1"/>
    <n v="1E-3"/>
    <m/>
  </r>
  <r>
    <n v="3528"/>
    <n v="2025"/>
    <n v="2025"/>
    <s v="Year_2"/>
    <d v="2025-03-22T00:00:00"/>
    <s v="KUD01"/>
    <s v="O2R1"/>
    <s v="KSIPL"/>
    <n v="4.3478260869565223E-2"/>
    <n v="3273"/>
    <x v="35"/>
    <s v="YawUntwistCCW: Code__,_______°"/>
    <m/>
    <d v="1899-12-30T11:29:00"/>
    <d v="1899-12-30T11:29:00"/>
    <d v="1899-12-30T11:49:00"/>
    <d v="1899-12-30T00:00:00"/>
    <n v="0.33333333333333348"/>
    <n v="0.33333333333333348"/>
    <s v="Auto cable twist"/>
    <s v="Close"/>
    <n v="1.4492753623188415E-2"/>
    <n v="1"/>
    <n v="2.4E-2"/>
    <m/>
  </r>
  <r>
    <n v="3529"/>
    <n v="2025"/>
    <n v="2025"/>
    <s v="Year_2"/>
    <d v="2025-03-22T00:00:00"/>
    <s v="KUD08"/>
    <s v="O2R3"/>
    <s v="JK"/>
    <n v="4.3478260869565223E-2"/>
    <n v="3273"/>
    <x v="35"/>
    <s v="YawUntwistCCW: Code__,_______°"/>
    <m/>
    <d v="1899-12-30T11:28:00"/>
    <d v="1899-12-30T11:28:00"/>
    <d v="1899-12-30T11:49:00"/>
    <d v="1899-12-30T00:00:00"/>
    <n v="0.35000000000000009"/>
    <n v="0.35000000000000009"/>
    <s v="Auto cable twist"/>
    <s v="Close"/>
    <n v="1.5217391304347832E-2"/>
    <n v="1"/>
    <n v="1.2999999999999999E-2"/>
    <m/>
  </r>
  <r>
    <n v="3530"/>
    <n v="2025"/>
    <n v="2025"/>
    <s v="Year_2"/>
    <d v="2025-03-22T00:00:00"/>
    <s v="KUD11"/>
    <s v="O2R1"/>
    <s v="KSIPL"/>
    <n v="4.3478260869565223E-2"/>
    <n v="3273"/>
    <x v="35"/>
    <s v="YawUntwistCCW: Code__,_______°"/>
    <m/>
    <d v="1899-12-30T10:42:00"/>
    <d v="1899-12-30T10:42:00"/>
    <d v="1899-12-30T11:02:00"/>
    <d v="1899-12-30T00:00:00"/>
    <n v="0.33333333333333215"/>
    <n v="0.33333333333333215"/>
    <s v="Auto cable twist"/>
    <s v="Close"/>
    <n v="1.4492753623188356E-2"/>
    <n v="1"/>
    <n v="0"/>
    <m/>
  </r>
  <r>
    <n v="3531"/>
    <n v="2025"/>
    <n v="2025"/>
    <s v="Year_2"/>
    <d v="2025-03-22T00:00:00"/>
    <s v="KUD11"/>
    <s v="O2R1"/>
    <s v="KSIPL"/>
    <n v="4.3478260869565223E-2"/>
    <n v="309"/>
    <x v="149"/>
    <s v="Pause over RCS __0"/>
    <s v="Manual Stop"/>
    <d v="1899-12-30T14:45:00"/>
    <d v="1899-12-30T14:45:00"/>
    <d v="1899-12-30T19:55:00"/>
    <d v="1899-12-30T00:00:00"/>
    <n v="5.166666666666667"/>
    <n v="5.166666666666667"/>
    <s v="Manual stop for N2 Recharge and CIM6092 Implementation work."/>
    <s v="Close"/>
    <n v="0.22463768115942034"/>
    <n v="1"/>
    <n v="0.35099999999999998"/>
    <m/>
  </r>
  <r>
    <n v="3532"/>
    <n v="2025"/>
    <n v="2025"/>
    <s v="Year_2"/>
    <d v="2025-03-22T00:00:00"/>
    <s v="KUD12"/>
    <s v="O2R1"/>
    <s v="KSIPL"/>
    <n v="4.3478260869565223E-2"/>
    <n v="3273"/>
    <x v="35"/>
    <s v="YawUntwistCCW: Code__,_______°"/>
    <m/>
    <d v="1899-12-30T12:06:00"/>
    <d v="1899-12-30T12:06:00"/>
    <d v="1899-12-30T12:27:00"/>
    <d v="1899-12-30T00:00:00"/>
    <n v="0.35000000000000142"/>
    <n v="0.35000000000000142"/>
    <s v="Auto cable twist"/>
    <s v="Close"/>
    <n v="1.5217391304347889E-2"/>
    <n v="1"/>
    <n v="3.0000000000000001E-3"/>
    <m/>
  </r>
  <r>
    <n v="3533"/>
    <n v="2025"/>
    <n v="2025"/>
    <s v="Year_2"/>
    <d v="2025-03-22T00:00:00"/>
    <s v="KUD06"/>
    <s v="O2R3"/>
    <s v="JK"/>
    <n v="4.3478260869565223E-2"/>
    <n v="3273"/>
    <x v="35"/>
    <s v="YawUntwistCCW: Code__,_______°"/>
    <m/>
    <d v="1899-12-30T10:12:00"/>
    <d v="1899-12-30T10:12:00"/>
    <d v="1899-12-30T10:34:00"/>
    <d v="1899-12-30T00:00:00"/>
    <n v="0.3666666666666667"/>
    <n v="0.3666666666666667"/>
    <s v="Auto cable twist"/>
    <s v="Close"/>
    <n v="1.5942028985507249E-2"/>
    <n v="1"/>
    <n v="1E-3"/>
    <m/>
  </r>
  <r>
    <n v="3534"/>
    <n v="2025"/>
    <n v="2025"/>
    <s v="Year_2"/>
    <d v="2025-03-22T00:00:00"/>
    <s v="KUD07"/>
    <s v="O2R3"/>
    <s v="JK"/>
    <n v="4.3478260869565223E-2"/>
    <n v="3273"/>
    <x v="35"/>
    <s v="YawUntwistCCW: Code__,_______°"/>
    <m/>
    <d v="1899-12-30T12:04:00"/>
    <d v="1899-12-30T12:04:00"/>
    <d v="1899-12-30T12:24:00"/>
    <d v="1899-12-30T00:00:00"/>
    <n v="0.33333333333333481"/>
    <n v="0.33333333333333481"/>
    <s v="Auto cable twist"/>
    <s v="Close"/>
    <n v="1.4492753623188472E-2"/>
    <n v="1"/>
    <n v="2E-3"/>
    <m/>
  </r>
  <r>
    <n v="3535"/>
    <n v="2025"/>
    <n v="2025"/>
    <s v="Year_2"/>
    <d v="2025-03-22T00:00:00"/>
    <s v="KUD16"/>
    <s v="O2R2"/>
    <s v="SIL"/>
    <n v="4.3478260869565223E-2"/>
    <n v="3272"/>
    <x v="143"/>
    <s v="YawUntwistCW: Code__,_______°"/>
    <m/>
    <d v="1899-12-30T15:00:00"/>
    <d v="1899-12-30T15:00:00"/>
    <d v="1899-12-30T15:31:00"/>
    <d v="1899-12-30T00:00:00"/>
    <n v="0.5166666666666675"/>
    <n v="0.5166666666666675"/>
    <s v="Auto cable twist"/>
    <s v="Close"/>
    <n v="2.2463768115942067E-2"/>
    <n v="1"/>
    <n v="3.2000000000000001E-2"/>
    <m/>
  </r>
  <r>
    <n v="3536"/>
    <n v="2025"/>
    <n v="2025"/>
    <s v="Year_2"/>
    <d v="2025-03-22T00:00:00"/>
    <s v="KUD17"/>
    <s v="O2R2"/>
    <s v="SIL"/>
    <n v="4.3478260869565223E-2"/>
    <n v="3273"/>
    <x v="35"/>
    <s v="YawUntwistCCW: Code__,_______°"/>
    <m/>
    <d v="1899-12-30T12:06:00"/>
    <d v="1899-12-30T12:06:00"/>
    <d v="1899-12-30T12:26:00"/>
    <d v="1899-12-30T00:00:00"/>
    <n v="0.33333333333333481"/>
    <n v="0.33333333333333481"/>
    <s v="Auto cable twist"/>
    <s v="Close"/>
    <n v="1.4492753623188472E-2"/>
    <n v="1"/>
    <n v="1.7999999999999999E-2"/>
    <m/>
  </r>
  <r>
    <n v="3537"/>
    <n v="2025"/>
    <n v="2025"/>
    <s v="Year_2"/>
    <d v="2025-03-23T00:00:00"/>
    <s v="KUD01"/>
    <s v="O2R1"/>
    <s v="KSIPL"/>
    <n v="4.3478260869565223E-2"/>
    <n v="3273"/>
    <x v="35"/>
    <s v="YawUntwistCCW: Code__,_______°"/>
    <m/>
    <d v="1899-12-30T08:56:00"/>
    <d v="1899-12-30T08:56:00"/>
    <d v="1899-12-30T09:19:00"/>
    <d v="1899-12-30T00:00:00"/>
    <n v="0.3833333333333333"/>
    <n v="0.3833333333333333"/>
    <s v="Auto cable twist"/>
    <s v="Close"/>
    <n v="1.6666666666666666E-2"/>
    <n v="1"/>
    <n v="1E-3"/>
    <m/>
  </r>
  <r>
    <n v="3538"/>
    <n v="2025"/>
    <n v="2025"/>
    <s v="Year_2"/>
    <d v="2025-03-23T00:00:00"/>
    <s v="KUD03"/>
    <s v="O2R1"/>
    <s v="KSIPL"/>
    <n v="4.3478260869565223E-2"/>
    <n v="3273"/>
    <x v="35"/>
    <s v="YawUntwistCCW: Code__,_______°"/>
    <m/>
    <d v="1899-12-30T08:14:00"/>
    <d v="1899-12-30T08:14:00"/>
    <d v="1899-12-30T08:46:00"/>
    <d v="1899-12-30T00:00:00"/>
    <n v="0.53333333333333277"/>
    <n v="0.53333333333333277"/>
    <s v="Auto cable twist"/>
    <s v="Close"/>
    <n v="2.3188405797101429E-2"/>
    <n v="1"/>
    <n v="2E-3"/>
    <m/>
  </r>
  <r>
    <n v="3539"/>
    <n v="2025"/>
    <n v="2025"/>
    <s v="Year_2"/>
    <d v="2025-03-23T00:00:00"/>
    <s v="KUD08"/>
    <s v="O2R3"/>
    <s v="JK"/>
    <n v="4.3478260869565223E-2"/>
    <n v="3273"/>
    <x v="35"/>
    <s v="YawUntwistCCW: Code__,_______°"/>
    <m/>
    <d v="1899-12-30T06:08:00"/>
    <d v="1899-12-30T06:08:00"/>
    <d v="1899-12-30T06:39:00"/>
    <d v="1899-12-30T00:00:00"/>
    <n v="0.5166666666666675"/>
    <n v="0.5166666666666675"/>
    <s v="Auto cable twist"/>
    <s v="Close"/>
    <n v="2.2463768115942067E-2"/>
    <n v="1"/>
    <n v="0.20699999999999999"/>
    <m/>
  </r>
  <r>
    <n v="3540"/>
    <n v="2025"/>
    <n v="2025"/>
    <s v="Year_2"/>
    <d v="2025-03-23T00:00:00"/>
    <s v="KUD10"/>
    <s v="O2R1"/>
    <s v="KSIPL"/>
    <n v="4.3478260869565223E-2"/>
    <n v="3273"/>
    <x v="35"/>
    <s v="YawUntwistCCW: Code__,_______°"/>
    <m/>
    <d v="1899-12-30T12:09:00"/>
    <d v="1899-12-30T12:09:00"/>
    <d v="1899-12-30T12:29:00"/>
    <d v="1899-12-30T00:00:00"/>
    <n v="0.33333333333333481"/>
    <n v="0.33333333333333481"/>
    <s v="Auto cable twist"/>
    <s v="Close"/>
    <n v="1.4492753623188472E-2"/>
    <n v="1"/>
    <n v="3.0000000000000001E-3"/>
    <m/>
  </r>
  <r>
    <n v="3541"/>
    <n v="2025"/>
    <n v="2025"/>
    <s v="Year_2"/>
    <d v="2025-03-23T00:00:00"/>
    <s v="KUD11"/>
    <s v="O2R1"/>
    <s v="KSIPL"/>
    <n v="4.3478260869565223E-2"/>
    <n v="3273"/>
    <x v="35"/>
    <s v="YawUntwistCCW: Code__,_______°"/>
    <m/>
    <d v="1899-12-30T08:10:00"/>
    <d v="1899-12-30T08:10:00"/>
    <d v="1899-12-30T08:30:00"/>
    <d v="1899-12-30T00:00:00"/>
    <n v="0.33333333333333348"/>
    <n v="0.33333333333333348"/>
    <s v="Auto cable twist"/>
    <s v="Close"/>
    <n v="1.4492753623188415E-2"/>
    <n v="1"/>
    <n v="1.2E-2"/>
    <m/>
  </r>
  <r>
    <n v="3542"/>
    <n v="2025"/>
    <n v="2025"/>
    <s v="Year_2"/>
    <d v="2025-03-23T00:00:00"/>
    <s v="KUD12"/>
    <s v="O2R1"/>
    <s v="KSIPL"/>
    <n v="4.3478260869565223E-2"/>
    <n v="4560"/>
    <x v="161"/>
    <s v="BladeCEdgePeakLoad: ___.__ kNm"/>
    <s v="Breakdown"/>
    <d v="1899-12-30T17:50:00"/>
    <d v="1899-12-30T17:50:00"/>
    <d v="1899-12-30T18:30:00"/>
    <d v="1899-12-30T00:00:00"/>
    <n v="0.66666666666666696"/>
    <n v="0.66666666666666696"/>
    <s v="manual reset done."/>
    <s v="Close"/>
    <n v="2.8985507246376829E-2"/>
    <n v="1"/>
    <n v="0.64200000000000002"/>
    <m/>
  </r>
  <r>
    <n v="3543"/>
    <n v="2025"/>
    <n v="2025"/>
    <s v="Year_2"/>
    <d v="2025-03-23T00:00:00"/>
    <s v="KUD14"/>
    <s v="O2R1"/>
    <s v="KSIPL"/>
    <n v="4.3478260869565223E-2"/>
    <n v="3273"/>
    <x v="35"/>
    <s v="YawUntwistCCW: Code__,_______°"/>
    <m/>
    <d v="1899-12-30T07:19:00"/>
    <d v="1899-12-30T07:19:00"/>
    <d v="1899-12-30T07:49:00"/>
    <d v="1899-12-30T00:00:00"/>
    <n v="0.49999999999999956"/>
    <n v="0.49999999999999956"/>
    <s v="Auto cable twist"/>
    <s v="Close"/>
    <n v="2.1739130434782591E-2"/>
    <n v="1"/>
    <n v="0.124"/>
    <m/>
  </r>
  <r>
    <n v="3544"/>
    <n v="2025"/>
    <n v="2025"/>
    <s v="Year_2"/>
    <d v="2025-03-23T00:00:00"/>
    <s v="KUD19"/>
    <s v="O2R1"/>
    <s v="KSIPL"/>
    <n v="4.3478260869565223E-2"/>
    <n v="3273"/>
    <x v="35"/>
    <s v="YawUntwistCCW: Code__,_______°"/>
    <m/>
    <d v="1899-12-30T07:56:00"/>
    <d v="1899-12-30T07:56:00"/>
    <d v="1899-12-30T08:27:00"/>
    <d v="1899-12-30T00:00:00"/>
    <n v="0.5166666666666675"/>
    <n v="0.5166666666666675"/>
    <s v="Auto cable twist"/>
    <s v="Close"/>
    <n v="2.2463768115942067E-2"/>
    <n v="1"/>
    <n v="3.4000000000000002E-2"/>
    <m/>
  </r>
  <r>
    <n v="3545"/>
    <n v="2025"/>
    <n v="2025"/>
    <s v="Year_2"/>
    <d v="2025-03-23T00:00:00"/>
    <s v="KUD19"/>
    <s v="O2R1"/>
    <s v="KSIPL"/>
    <n v="4.3478260869565223E-2"/>
    <n v="3273"/>
    <x v="35"/>
    <s v="YawUntwistCCW: Code__,_______°"/>
    <m/>
    <d v="1899-12-30T22:28:00"/>
    <d v="1899-12-30T22:28:00"/>
    <d v="1899-12-30T23:14:00"/>
    <d v="1899-12-30T00:00:00"/>
    <n v="0.76666666666666661"/>
    <n v="0.76666666666666661"/>
    <s v="Auto cable twist"/>
    <s v="Close"/>
    <n v="3.3333333333333333E-2"/>
    <n v="1"/>
    <n v="0.51400000000000001"/>
    <m/>
  </r>
  <r>
    <n v="3546"/>
    <n v="2025"/>
    <n v="2025"/>
    <s v="Year_2"/>
    <d v="2025-03-23T00:00:00"/>
    <s v="KUD20"/>
    <s v="O2R1"/>
    <s v="KSIPL"/>
    <n v="4.3478260869565223E-2"/>
    <n v="3273"/>
    <x v="35"/>
    <s v="YawUntwistCCW: Code__,_______°"/>
    <m/>
    <d v="1899-12-30T09:01:00"/>
    <d v="1899-12-30T09:01:00"/>
    <d v="1899-12-30T09:23:00"/>
    <d v="1899-12-30T00:00:00"/>
    <n v="0.3666666666666667"/>
    <n v="0.3666666666666667"/>
    <s v="Auto cable twist"/>
    <s v="Close"/>
    <n v="1.5942028985507249E-2"/>
    <n v="1"/>
    <n v="2E-3"/>
    <m/>
  </r>
  <r>
    <n v="3547"/>
    <n v="2025"/>
    <n v="2025"/>
    <s v="Year_2"/>
    <d v="2025-03-23T00:00:00"/>
    <s v="KUD05"/>
    <s v="O2R3"/>
    <s v="JK"/>
    <n v="4.3478260869565223E-2"/>
    <n v="3273"/>
    <x v="35"/>
    <s v="YawUntwistCCW: Code__,_______°"/>
    <m/>
    <d v="1899-12-30T07:58:00"/>
    <d v="1899-12-30T07:58:00"/>
    <d v="1899-12-30T08:19:00"/>
    <d v="1899-12-30T00:00:00"/>
    <n v="0.35000000000000009"/>
    <n v="0.35000000000000009"/>
    <s v="Auto cable twist"/>
    <s v="Close"/>
    <n v="1.5217391304347832E-2"/>
    <n v="1"/>
    <n v="1.9E-2"/>
    <m/>
  </r>
  <r>
    <n v="3548"/>
    <n v="2025"/>
    <n v="2025"/>
    <s v="Year_2"/>
    <d v="2025-03-23T00:00:00"/>
    <s v="KUD06"/>
    <s v="O2R3"/>
    <s v="JK"/>
    <n v="4.3478260869565223E-2"/>
    <n v="3273"/>
    <x v="35"/>
    <s v="YawUntwistCCW: Code__,_______°"/>
    <m/>
    <d v="1899-12-30T08:20:00"/>
    <d v="1899-12-30T08:20:00"/>
    <d v="1899-12-30T08:40:00"/>
    <d v="1899-12-30T00:00:00"/>
    <n v="0.33333333333333348"/>
    <n v="0.33333333333333348"/>
    <s v="Auto cable twist"/>
    <s v="Close"/>
    <n v="1.4492753623188415E-2"/>
    <n v="1"/>
    <n v="1.2999999999999999E-2"/>
    <m/>
  </r>
  <r>
    <n v="3549"/>
    <n v="2025"/>
    <n v="2025"/>
    <s v="Year_2"/>
    <d v="2025-03-23T00:00:00"/>
    <s v="KUD21"/>
    <s v="O2R3"/>
    <s v="JK"/>
    <n v="4.3478260869565223E-2"/>
    <n v="3273"/>
    <x v="35"/>
    <s v="YawUntwistCCW: Code__,_______°"/>
    <m/>
    <d v="1899-12-30T13:52:00"/>
    <d v="1899-12-30T13:52:00"/>
    <d v="1899-12-30T14:16:00"/>
    <d v="1899-12-30T00:00:00"/>
    <n v="0.40000000000000124"/>
    <n v="0.40000000000000124"/>
    <s v="Auto cable twist"/>
    <s v="Close"/>
    <n v="1.7391304347826143E-2"/>
    <n v="1"/>
    <n v="4.0000000000000001E-3"/>
    <m/>
  </r>
  <r>
    <n v="3550"/>
    <n v="2025"/>
    <n v="2025"/>
    <s v="Year_2"/>
    <d v="2025-03-23T00:00:00"/>
    <s v="KUD22"/>
    <s v="O2R3"/>
    <s v="JK"/>
    <n v="4.3478260869565223E-2"/>
    <n v="3273"/>
    <x v="35"/>
    <s v="YawUntwistCCW: Code__,_______°"/>
    <m/>
    <d v="1899-12-30T07:54:00"/>
    <d v="1899-12-30T07:54:00"/>
    <d v="1899-12-30T08:15:00"/>
    <d v="1899-12-30T00:00:00"/>
    <n v="0.35000000000000009"/>
    <n v="0.35000000000000009"/>
    <s v="Auto cable twist"/>
    <s v="Close"/>
    <n v="1.5217391304347832E-2"/>
    <n v="1"/>
    <n v="6.3E-2"/>
    <m/>
  </r>
  <r>
    <n v="3551"/>
    <n v="2025"/>
    <n v="2025"/>
    <s v="Year_2"/>
    <d v="2025-03-24T00:00:00"/>
    <s v="KUD01"/>
    <s v="O2R1"/>
    <s v="KSIPL"/>
    <n v="4.3478260869565223E-2"/>
    <n v="3273"/>
    <x v="35"/>
    <s v="YawUntwistCCW: Code__,_______°"/>
    <m/>
    <d v="1899-12-30T13:17:00"/>
    <d v="1899-12-30T13:17:00"/>
    <d v="1899-12-30T13:44:00"/>
    <d v="1899-12-30T00:00:00"/>
    <n v="0.4499999999999984"/>
    <n v="0.4499999999999984"/>
    <s v="Auto cable twist"/>
    <s v="Close"/>
    <n v="1.956521739130428E-2"/>
    <n v="1"/>
    <n v="2.1999999999999999E-2"/>
    <m/>
  </r>
  <r>
    <n v="3552"/>
    <n v="2025"/>
    <n v="2025"/>
    <s v="Year_2"/>
    <d v="2025-03-24T00:00:00"/>
    <s v="KUD08"/>
    <s v="O2R3"/>
    <s v="JK"/>
    <n v="4.3478260869565223E-2"/>
    <n v="3273"/>
    <x v="35"/>
    <s v="YawUntwistCCW: Code__,_______°"/>
    <m/>
    <d v="1899-12-30T11:16:00"/>
    <d v="1899-12-30T11:16:00"/>
    <d v="1899-12-30T11:38:00"/>
    <d v="1899-12-30T00:00:00"/>
    <n v="0.3666666666666667"/>
    <n v="0.3666666666666667"/>
    <s v="Auto cable twist"/>
    <s v="Close"/>
    <n v="1.5942028985507249E-2"/>
    <n v="1"/>
    <n v="0"/>
    <m/>
  </r>
  <r>
    <n v="3553"/>
    <n v="2025"/>
    <n v="2025"/>
    <s v="Year_2"/>
    <d v="2025-03-24T00:00:00"/>
    <s v="KUD10"/>
    <s v="O2R1"/>
    <s v="KSIPL"/>
    <n v="4.3478260869565223E-2"/>
    <n v="3273"/>
    <x v="35"/>
    <s v="YawUntwistCCW: Code__,_______°"/>
    <m/>
    <d v="1899-12-30T12:13:00"/>
    <d v="1899-12-30T12:13:00"/>
    <d v="1899-12-30T12:34:00"/>
    <d v="1899-12-30T00:00:00"/>
    <n v="0.35000000000000142"/>
    <n v="0.35000000000000142"/>
    <s v="Auto cable twist"/>
    <s v="Close"/>
    <n v="1.5217391304347889E-2"/>
    <n v="1"/>
    <n v="5.0000000000000001E-3"/>
    <m/>
  </r>
  <r>
    <n v="3554"/>
    <n v="2025"/>
    <n v="2025"/>
    <s v="Year_2"/>
    <d v="2025-03-24T00:00:00"/>
    <s v="KUD11"/>
    <s v="O2R1"/>
    <s v="KSIPL"/>
    <n v="4.3478260869565223E-2"/>
    <n v="309"/>
    <x v="149"/>
    <s v="Pause over RCS __0"/>
    <s v="Manual Stop"/>
    <d v="1899-12-30T11:29:00"/>
    <d v="1899-12-30T11:29:00"/>
    <d v="1899-12-30T18:11:00"/>
    <d v="1899-12-30T00:00:00"/>
    <n v="6.6999999999999993"/>
    <n v="6.6999999999999993"/>
    <s v="Manual stop for Y11,Y10 Yaw claw spring package replacement work."/>
    <s v="Close"/>
    <n v="0.29130434782608694"/>
    <n v="1"/>
    <n v="0.88900000000000001"/>
    <m/>
  </r>
  <r>
    <n v="3555"/>
    <n v="2025"/>
    <n v="2025"/>
    <s v="Year_2"/>
    <d v="2025-03-24T00:00:00"/>
    <s v="KUD12"/>
    <s v="O2R1"/>
    <s v="KSIPL"/>
    <n v="4.3478260869565223E-2"/>
    <n v="3273"/>
    <x v="35"/>
    <s v="YawUntwistCCW: Code__,_______°"/>
    <m/>
    <d v="1899-12-30T10:49:00"/>
    <d v="1899-12-30T10:49:00"/>
    <d v="1899-12-30T11:10:00"/>
    <d v="1899-12-30T00:00:00"/>
    <n v="0.35000000000000009"/>
    <n v="0.35000000000000009"/>
    <s v="Auto cable twist"/>
    <s v="Close"/>
    <n v="1.5217391304347832E-2"/>
    <n v="1"/>
    <n v="2E-3"/>
    <m/>
  </r>
  <r>
    <n v="3556"/>
    <n v="2025"/>
    <n v="2025"/>
    <s v="Year_2"/>
    <d v="2025-03-24T00:00:00"/>
    <s v="KUD13"/>
    <s v="O2R1"/>
    <s v="KSIPL"/>
    <n v="4.3478260869565223E-2"/>
    <n v="3273"/>
    <x v="35"/>
    <s v="YawUntwistCCW: Code__,_______°"/>
    <m/>
    <d v="1899-12-30T11:55:00"/>
    <d v="1899-12-30T11:55:00"/>
    <d v="1899-12-30T12:18:00"/>
    <d v="1899-12-30T00:00:00"/>
    <n v="0.38333333333333197"/>
    <n v="0.38333333333333197"/>
    <s v="Auto cable twist"/>
    <s v="Close"/>
    <n v="1.6666666666666611E-2"/>
    <n v="1"/>
    <n v="1E-3"/>
    <m/>
  </r>
  <r>
    <n v="3557"/>
    <n v="2025"/>
    <n v="2025"/>
    <s v="Year_2"/>
    <d v="2025-03-24T00:00:00"/>
    <s v="KUD14"/>
    <s v="O2R1"/>
    <s v="KSIPL"/>
    <n v="4.3478260869565223E-2"/>
    <n v="3273"/>
    <x v="35"/>
    <s v="YawUntwistCCW: Code__,_______°"/>
    <m/>
    <d v="1899-12-30T12:30:00"/>
    <d v="1899-12-30T12:30:00"/>
    <d v="1899-12-30T12:52:00"/>
    <d v="1899-12-30T00:00:00"/>
    <n v="0.36666666666666536"/>
    <n v="0.36666666666666536"/>
    <s v="Auto cable twist"/>
    <s v="Close"/>
    <n v="1.594202898550719E-2"/>
    <n v="1"/>
    <n v="1E-3"/>
    <m/>
  </r>
  <r>
    <n v="3558"/>
    <n v="2025"/>
    <n v="2025"/>
    <s v="Year_2"/>
    <d v="2025-03-24T00:00:00"/>
    <s v="KUD20"/>
    <s v="O2R1"/>
    <s v="KSIPL"/>
    <n v="4.3478260869565223E-2"/>
    <n v="3273"/>
    <x v="35"/>
    <s v="YawUntwistCCW: Code__,_______°"/>
    <m/>
    <d v="1899-12-30T12:35:00"/>
    <d v="1899-12-30T12:35:00"/>
    <d v="1899-12-30T13:07:00"/>
    <d v="1899-12-30T00:00:00"/>
    <n v="0.53333333333333144"/>
    <n v="0.53333333333333144"/>
    <s v="Auto cable twist"/>
    <s v="Close"/>
    <n v="2.318840579710137E-2"/>
    <n v="1"/>
    <n v="1E-3"/>
    <m/>
  </r>
  <r>
    <n v="3559"/>
    <n v="2025"/>
    <n v="2025"/>
    <s v="Year_2"/>
    <d v="2025-03-24T00:00:00"/>
    <s v="KUD04"/>
    <s v="O2R3"/>
    <s v="JK"/>
    <n v="4.3478260869565223E-2"/>
    <n v="3273"/>
    <x v="35"/>
    <s v="YawUntwistCCW: Code__,_______°"/>
    <m/>
    <d v="1899-12-30T07:55:00"/>
    <d v="1899-12-30T07:55:00"/>
    <d v="1899-12-30T08:24:00"/>
    <d v="1899-12-30T00:00:00"/>
    <n v="0.48333333333333295"/>
    <n v="0.48333333333333295"/>
    <s v="Auto cable twist"/>
    <s v="Close"/>
    <n v="2.1014492753623173E-2"/>
    <n v="1"/>
    <n v="0"/>
    <m/>
  </r>
  <r>
    <n v="3560"/>
    <n v="2025"/>
    <n v="2025"/>
    <s v="Year_2"/>
    <d v="2025-03-24T00:00:00"/>
    <s v="KUD04"/>
    <s v="O2R3"/>
    <s v="JK"/>
    <n v="4.3478260869565223E-2"/>
    <n v="315"/>
    <x v="120"/>
    <s v="ExEx low voltage L_: ___V"/>
    <s v="ROW"/>
    <d v="1899-12-30T11:18:00"/>
    <d v="1899-12-30T11:18:00"/>
    <d v="1899-12-30T15:00:00"/>
    <d v="1899-12-30T00:00:00"/>
    <n v="3.7"/>
    <n v="3.7"/>
    <s v="Internal DP open by local person afetr DP closed then restored"/>
    <s v="Close"/>
    <n v="0"/>
    <n v="1"/>
    <n v="4.3999999999999997E-2"/>
    <m/>
  </r>
  <r>
    <n v="3561"/>
    <n v="2025"/>
    <n v="2025"/>
    <s v="Year_2"/>
    <d v="2025-03-24T00:00:00"/>
    <s v="KUD05"/>
    <s v="O2R3"/>
    <s v="JK"/>
    <n v="4.3478260869565223E-2"/>
    <n v="3273"/>
    <x v="35"/>
    <s v="YawUntwistCCW: Code__,_______°"/>
    <m/>
    <d v="1899-12-30T08:41:00"/>
    <d v="1899-12-30T08:41:00"/>
    <d v="1899-12-30T09:01:00"/>
    <d v="1899-12-30T00:00:00"/>
    <n v="0.33333333333333348"/>
    <n v="0.33333333333333348"/>
    <s v="Auto cable twist"/>
    <s v="Close"/>
    <n v="1.4492753623188415E-2"/>
    <n v="1"/>
    <n v="1E-3"/>
    <m/>
  </r>
  <r>
    <n v="3562"/>
    <n v="2025"/>
    <n v="2025"/>
    <s v="Year_2"/>
    <d v="2025-03-24T00:00:00"/>
    <s v="KUD07"/>
    <s v="O2R3"/>
    <s v="JK"/>
    <n v="4.3478260869565223E-2"/>
    <n v="3273"/>
    <x v="35"/>
    <s v="YawUntwistCCW: Code__,_______°"/>
    <m/>
    <d v="1899-12-30T08:16:00"/>
    <d v="1899-12-30T08:16:00"/>
    <d v="1899-12-30T08:45:00"/>
    <d v="1899-12-30T00:00:00"/>
    <n v="0.48333333333333295"/>
    <n v="0.48333333333333295"/>
    <s v="Auto cable twist"/>
    <s v="Close"/>
    <n v="2.1014492753623173E-2"/>
    <n v="1"/>
    <n v="0"/>
    <m/>
  </r>
  <r>
    <n v="3563"/>
    <n v="2025"/>
    <n v="2025"/>
    <s v="Year_2"/>
    <d v="2025-03-24T00:00:00"/>
    <s v="KUD16"/>
    <s v="O2R2"/>
    <s v="SIL"/>
    <n v="4.3478260869565223E-2"/>
    <n v="3273"/>
    <x v="35"/>
    <s v="YawUntwistCCW: Code__,_______°"/>
    <m/>
    <d v="1899-12-30T12:35:00"/>
    <d v="1899-12-30T12:35:00"/>
    <d v="1899-12-30T12:58:00"/>
    <d v="1899-12-30T00:00:00"/>
    <n v="0.38333333333333197"/>
    <n v="0.38333333333333197"/>
    <s v="Auto cable twist"/>
    <s v="Close"/>
    <n v="1.6666666666666611E-2"/>
    <n v="1"/>
    <n v="1.2999999999999999E-2"/>
    <m/>
  </r>
  <r>
    <n v="3564"/>
    <n v="2025"/>
    <n v="2025"/>
    <s v="Year_2"/>
    <d v="2025-03-24T00:00:00"/>
    <s v="KUD18"/>
    <s v="O2R4"/>
    <s v="SGDCIPL"/>
    <n v="4.3478260869565223E-2"/>
    <n v="3273"/>
    <x v="35"/>
    <s v="YawUntwistCCW: Code__,_______°"/>
    <m/>
    <d v="1899-12-30T11:28:00"/>
    <d v="1899-12-30T11:28:00"/>
    <d v="1899-12-30T11:50:00"/>
    <d v="1899-12-30T00:00:00"/>
    <n v="0.3666666666666667"/>
    <n v="0.3666666666666667"/>
    <s v="Auto cable twist"/>
    <s v="Close"/>
    <n v="1.5942028985507249E-2"/>
    <n v="1"/>
    <n v="1E-3"/>
    <m/>
  </r>
  <r>
    <n v="3565"/>
    <n v="2025"/>
    <n v="2025"/>
    <s v="Year_2"/>
    <d v="2025-03-24T00:00:00"/>
    <s v="KUD22"/>
    <s v="O2R3"/>
    <s v="JK"/>
    <n v="4.3478260869565223E-2"/>
    <n v="3273"/>
    <x v="35"/>
    <s v="YawUntwistCCW: Code__,_______°"/>
    <m/>
    <d v="1899-12-30T09:15:00"/>
    <d v="1899-12-30T09:15:00"/>
    <d v="1899-12-30T09:37:00"/>
    <d v="1899-12-30T00:00:00"/>
    <n v="0.3666666666666667"/>
    <n v="0.3666666666666667"/>
    <s v="Auto cable twist"/>
    <s v="Close"/>
    <n v="1.5942028985507249E-2"/>
    <n v="1"/>
    <n v="2E-3"/>
    <m/>
  </r>
  <r>
    <n v="3566"/>
    <n v="2025"/>
    <n v="2025"/>
    <s v="Year_2"/>
    <d v="2025-03-25T00:00:00"/>
    <s v="KUD03"/>
    <s v="O2R1"/>
    <s v="KSIPL"/>
    <n v="4.3478260869565223E-2"/>
    <n v="3273"/>
    <x v="35"/>
    <s v="YawUntwistCCW: Code__,_______°"/>
    <m/>
    <d v="1899-12-30T08:22:00"/>
    <d v="1899-12-30T08:22:00"/>
    <d v="1899-12-30T08:44:00"/>
    <d v="1899-12-30T00:00:00"/>
    <n v="0.3666666666666667"/>
    <n v="0.3666666666666667"/>
    <s v="Auto cable twist"/>
    <s v="Close"/>
    <n v="1.5942028985507249E-2"/>
    <n v="1"/>
    <n v="1E-3"/>
    <m/>
  </r>
  <r>
    <n v="3567"/>
    <n v="2025"/>
    <n v="2025"/>
    <s v="Year_2"/>
    <d v="2025-03-25T00:00:00"/>
    <s v="KUD11"/>
    <s v="O2R1"/>
    <s v="KSIPL"/>
    <n v="4.3478260869565223E-2"/>
    <n v="3273"/>
    <x v="35"/>
    <s v="YawUntwistCCW: Code__,_______°"/>
    <m/>
    <d v="1899-12-30T22:12:00"/>
    <d v="1899-12-30T22:12:00"/>
    <d v="1899-12-30T22:32:00"/>
    <d v="1899-12-30T00:00:00"/>
    <n v="0.33333333333333215"/>
    <n v="0.33333333333333215"/>
    <s v="Auto cable twist"/>
    <s v="Close"/>
    <n v="1.4492753623188356E-2"/>
    <n v="1"/>
    <n v="6.0000000000000001E-3"/>
    <m/>
  </r>
  <r>
    <n v="3568"/>
    <n v="2025"/>
    <n v="2025"/>
    <s v="Year_2"/>
    <d v="2025-03-25T00:00:00"/>
    <s v="KUD04"/>
    <s v="O2R3"/>
    <s v="JK"/>
    <n v="4.3478260869565223E-2"/>
    <n v="309"/>
    <x v="149"/>
    <s v="Pause over RCS __0"/>
    <m/>
    <d v="1899-12-30T09:43:00"/>
    <d v="1899-12-30T09:43:00"/>
    <d v="1899-12-30T16:50:00"/>
    <d v="1899-12-30T00:00:00"/>
    <n v="7.1166666666666654"/>
    <n v="7.1166666666666654"/>
    <s v="Manual stop for 2 years service Day-1"/>
    <s v="Close"/>
    <n v="0.30942028985507247"/>
    <n v="1"/>
    <n v="0.70399999999999996"/>
    <m/>
  </r>
  <r>
    <n v="3569"/>
    <n v="2025"/>
    <n v="2025"/>
    <s v="Year_2"/>
    <d v="2025-03-25T00:00:00"/>
    <s v="KUD05"/>
    <s v="O2R3"/>
    <s v="JK"/>
    <n v="4.3478260869565223E-2"/>
    <n v="3273"/>
    <x v="35"/>
    <s v="YawUntwistCCW: Code__,_______°"/>
    <m/>
    <d v="1899-12-30T21:49:00"/>
    <d v="1899-12-30T21:49:00"/>
    <d v="1899-12-30T22:09:00"/>
    <d v="1899-12-30T00:00:00"/>
    <n v="0.33333333333333481"/>
    <n v="0.33333333333333481"/>
    <s v="Auto cable twist"/>
    <s v="Close"/>
    <n v="1.4492753623188472E-2"/>
    <n v="1"/>
    <n v="3.0000000000000001E-3"/>
    <m/>
  </r>
  <r>
    <n v="3570"/>
    <n v="2025"/>
    <n v="2025"/>
    <s v="Year_2"/>
    <d v="2025-03-25T00:00:00"/>
    <s v="KUD07"/>
    <s v="O2R3"/>
    <s v="JK"/>
    <n v="4.3478260869565223E-2"/>
    <n v="3273"/>
    <x v="35"/>
    <s v="YawUntwistCCW: Code__,_______°"/>
    <m/>
    <d v="1899-12-30T23:16:00"/>
    <d v="1899-12-30T23:16:00"/>
    <d v="1899-12-30T23:38:00"/>
    <d v="1899-12-30T00:00:00"/>
    <n v="0.36666666666666803"/>
    <n v="0.36666666666666803"/>
    <s v="Auto cable twist"/>
    <s v="Close"/>
    <n v="1.5942028985507308E-2"/>
    <n v="1"/>
    <n v="2E-3"/>
    <m/>
  </r>
  <r>
    <n v="3571"/>
    <n v="2025"/>
    <n v="2025"/>
    <s v="Year_2"/>
    <d v="2025-03-25T00:00:00"/>
    <s v="KUD09"/>
    <s v="O2R3"/>
    <s v="JK"/>
    <n v="4.3478260869565223E-2"/>
    <n v="3273"/>
    <x v="35"/>
    <s v="YawUntwistCCW: Code__,_______°"/>
    <m/>
    <d v="1899-12-30T11:07:00"/>
    <d v="1899-12-30T11:07:00"/>
    <d v="1899-12-30T11:27:00"/>
    <d v="1899-12-30T00:00:00"/>
    <n v="0.33333333333333348"/>
    <n v="0.33333333333333348"/>
    <s v="Auto cable twist"/>
    <s v="Close"/>
    <n v="1.4492753623188415E-2"/>
    <n v="1"/>
    <n v="3.5999999999999997E-2"/>
    <m/>
  </r>
  <r>
    <n v="3572"/>
    <n v="2025"/>
    <n v="2025"/>
    <s v="Year_2"/>
    <d v="2025-03-25T00:00:00"/>
    <s v="KUD22"/>
    <s v="O2R3"/>
    <s v="JK"/>
    <n v="4.3478260869565223E-2"/>
    <n v="3273"/>
    <x v="35"/>
    <s v="YawUntwistCCW: Code__,_______°"/>
    <m/>
    <d v="1899-12-30T21:55:00"/>
    <d v="1899-12-30T21:55:00"/>
    <d v="1899-12-30T22:16:00"/>
    <d v="1899-12-30T00:00:00"/>
    <n v="0.35000000000000142"/>
    <n v="0.35000000000000142"/>
    <s v="Auto cable twist"/>
    <s v="Close"/>
    <n v="1.5217391304347889E-2"/>
    <n v="1"/>
    <n v="2E-3"/>
    <m/>
  </r>
  <r>
    <n v="3573"/>
    <n v="2025"/>
    <n v="2025"/>
    <s v="Year_2"/>
    <d v="2025-03-26T00:00:00"/>
    <s v="KUD03"/>
    <s v="O2R1"/>
    <s v="KSIPL"/>
    <n v="4.3478260869565223E-2"/>
    <n v="315"/>
    <x v="120"/>
    <s v="ExEx low voltage L_: ___V"/>
    <s v="Breakdown"/>
    <d v="1899-12-30T11:40:00"/>
    <d v="1899-12-30T11:40:00"/>
    <d v="1899-12-30T18:20:00"/>
    <d v="1899-12-30T00:00:00"/>
    <n v="6.6666666666666661"/>
    <n v="6.6666666666666661"/>
    <s v="After feeder charged HVCB Not charged automatic so attend and checked 400 v supply MCB of nacelle in tripped condition so reseled the trip and restored."/>
    <s v="Close"/>
    <n v="0.28985507246376813"/>
    <n v="1"/>
    <n v="0.36499999999999999"/>
    <m/>
  </r>
  <r>
    <n v="3574"/>
    <n v="2025"/>
    <n v="2025"/>
    <s v="Year_2"/>
    <d v="2025-03-26T00:00:00"/>
    <s v="KUD08"/>
    <s v="O2R3"/>
    <s v="JK"/>
    <n v="4.3478260869565223E-2"/>
    <n v="3272"/>
    <x v="143"/>
    <s v="YawUntwistCW: Code__,_______°"/>
    <m/>
    <d v="1899-12-30T14:07:00"/>
    <d v="1899-12-30T14:07:00"/>
    <d v="1899-12-30T14:27:00"/>
    <d v="1899-12-30T00:00:00"/>
    <n v="0.33333333333333215"/>
    <n v="0.33333333333333215"/>
    <s v="Auto cable twist"/>
    <s v="Close"/>
    <n v="1.4492753623188356E-2"/>
    <n v="1"/>
    <n v="1E-3"/>
    <m/>
  </r>
  <r>
    <n v="3575"/>
    <n v="2025"/>
    <n v="2025"/>
    <s v="Year_2"/>
    <d v="2025-03-26T00:00:00"/>
    <s v="KUD10"/>
    <s v="O2R1"/>
    <s v="KSIPL"/>
    <n v="4.3478260869565223E-2"/>
    <n v="3272"/>
    <x v="143"/>
    <s v="YawUntwistCW: Code__,_______°"/>
    <m/>
    <d v="1899-12-30T11:40:00"/>
    <d v="1899-12-30T11:40:00"/>
    <d v="1899-12-30T11:53:00"/>
    <d v="1899-12-30T00:00:00"/>
    <n v="0.21666666666666723"/>
    <n v="0.21666666666666723"/>
    <s v="Auto cable twist"/>
    <s v="Close"/>
    <n v="9.4202898550724886E-3"/>
    <n v="1"/>
    <n v="4.3999999999999997E-2"/>
    <m/>
  </r>
  <r>
    <n v="3576"/>
    <n v="2025"/>
    <n v="2025"/>
    <s v="Year_2"/>
    <d v="2025-03-26T00:00:00"/>
    <s v="KUD04"/>
    <s v="O2R3"/>
    <s v="JK"/>
    <n v="4.3478260869565223E-2"/>
    <n v="309"/>
    <x v="149"/>
    <s v="Pause over RCS __0"/>
    <s v="Manual Stop"/>
    <d v="1899-12-30T10:00:00"/>
    <d v="1899-12-30T10:00:00"/>
    <d v="1899-12-30T14:47:00"/>
    <d v="1899-12-30T00:00:00"/>
    <n v="4.7833333333333332"/>
    <n v="4.7833333333333332"/>
    <s v="Manual stop for 2 years service Day-2"/>
    <s v="Close"/>
    <n v="0.20797101449275365"/>
    <n v="1"/>
    <n v="0"/>
    <m/>
  </r>
  <r>
    <n v="3577"/>
    <n v="2025"/>
    <n v="2025"/>
    <s v="Year_2"/>
    <d v="2025-03-26T00:00:00"/>
    <s v="KUD17"/>
    <s v="O2R2"/>
    <s v="SIL"/>
    <n v="4.3478260869565223E-2"/>
    <n v="3273"/>
    <x v="35"/>
    <s v="YawUntwistCCW: Code__,_______°"/>
    <m/>
    <d v="1899-12-30T10:27:00"/>
    <d v="1899-12-30T10:27:00"/>
    <d v="1899-12-30T10:48:00"/>
    <d v="1899-12-30T00:00:00"/>
    <n v="0.35000000000000009"/>
    <n v="0.35000000000000009"/>
    <s v="Auto cable twist"/>
    <s v="Close"/>
    <n v="1.5217391304347832E-2"/>
    <n v="1"/>
    <n v="2E-3"/>
    <m/>
  </r>
  <r>
    <n v="3578"/>
    <n v="2025"/>
    <n v="2025"/>
    <s v="Year_2"/>
    <d v="2025-03-26T00:00:00"/>
    <s v="KUD21"/>
    <s v="O2R3"/>
    <s v="JK"/>
    <n v="4.3478260869565223E-2"/>
    <n v="3273"/>
    <x v="35"/>
    <s v="YawUntwistCCW: Code__,_______°"/>
    <m/>
    <d v="1899-12-30T02:10:00"/>
    <d v="1899-12-30T02:10:00"/>
    <d v="1899-12-30T02:30:00"/>
    <d v="1899-12-30T00:00:00"/>
    <n v="0.33333333333333348"/>
    <n v="0.33333333333333348"/>
    <s v="Auto cable twist"/>
    <s v="Close"/>
    <n v="1.4492753623188415E-2"/>
    <n v="1"/>
    <n v="2E-3"/>
    <m/>
  </r>
  <r>
    <n v="3579"/>
    <n v="2025"/>
    <n v="2025"/>
    <s v="Year_2"/>
    <d v="2025-03-27T00:00:00"/>
    <s v="KUD06"/>
    <s v="O2R3"/>
    <s v="JK"/>
    <n v="4.3478260869565223E-2"/>
    <n v="309"/>
    <x v="149"/>
    <s v="Pause over RCS __0"/>
    <s v="Manual Stop"/>
    <d v="1899-12-30T10:25:00"/>
    <d v="1899-12-30T10:25:00"/>
    <d v="1899-12-30T17:30:00"/>
    <d v="1899-12-30T00:00:00"/>
    <n v="7.0833333333333321"/>
    <n v="7.0833333333333321"/>
    <s v="Manual stop for 2 years service Day-1"/>
    <s v="Close"/>
    <n v="0.3079710144927536"/>
    <n v="1"/>
    <n v="0.48199999999999998"/>
    <m/>
  </r>
  <r>
    <n v="3580"/>
    <n v="2025"/>
    <n v="2025"/>
    <s v="Year_2"/>
    <d v="2025-03-28T00:00:00"/>
    <s v="KUD01"/>
    <s v="O2R1"/>
    <s v="KSIPL"/>
    <n v="4.3478260869565223E-2"/>
    <n v="3272"/>
    <x v="143"/>
    <s v="YawUntwistCW: Code__,_______°"/>
    <m/>
    <d v="1899-12-30T15:48:00"/>
    <d v="1899-12-30T15:48:00"/>
    <d v="1899-12-30T16:08:00"/>
    <d v="1899-12-30T00:00:00"/>
    <n v="0.33333333333333481"/>
    <n v="0.33333333333333481"/>
    <s v="Auto cable twist"/>
    <s v="Close"/>
    <n v="1.4492753623188472E-2"/>
    <n v="1"/>
    <n v="1E-3"/>
    <m/>
  </r>
  <r>
    <n v="3581"/>
    <n v="2025"/>
    <n v="2025"/>
    <s v="Year_2"/>
    <d v="2025-03-28T00:00:00"/>
    <s v="KUD03"/>
    <s v="O2R1"/>
    <s v="KSIPL"/>
    <n v="4.3478260869565223E-2"/>
    <n v="3273"/>
    <x v="35"/>
    <s v="YawUntwistCCW: Code__,_______°"/>
    <m/>
    <d v="1899-12-30T16:59:00"/>
    <d v="1899-12-30T16:59:00"/>
    <d v="1899-12-30T17:27:00"/>
    <d v="1899-12-30T00:00:00"/>
    <n v="0.46666666666666501"/>
    <n v="0.46666666666666501"/>
    <s v="Auto cable twist"/>
    <s v="Close"/>
    <n v="2.0289855072463697E-2"/>
    <n v="1"/>
    <n v="1E-3"/>
    <m/>
  </r>
  <r>
    <n v="3582"/>
    <n v="2025"/>
    <n v="2025"/>
    <s v="Year_2"/>
    <d v="2025-03-28T00:00:00"/>
    <s v="KUD10"/>
    <s v="O2R1"/>
    <s v="KSIPL"/>
    <n v="4.3478260869565223E-2"/>
    <n v="3272"/>
    <x v="143"/>
    <s v="YawUntwistCW: Code__,_______°"/>
    <m/>
    <d v="1899-12-30T16:39:00"/>
    <d v="1899-12-30T16:39:00"/>
    <d v="1899-12-30T16:58:00"/>
    <d v="1899-12-30T00:00:00"/>
    <n v="0.31666666666666821"/>
    <n v="0.31666666666666821"/>
    <s v="Auto cable twist"/>
    <s v="Close"/>
    <n v="1.3768115942029055E-2"/>
    <n v="1"/>
    <n v="0.01"/>
    <m/>
  </r>
  <r>
    <n v="3583"/>
    <n v="2025"/>
    <n v="2025"/>
    <s v="Year_2"/>
    <d v="2025-03-28T00:00:00"/>
    <s v="KUD11"/>
    <s v="O2R1"/>
    <s v="KSIPL"/>
    <n v="4.3478260869565223E-2"/>
    <n v="3272"/>
    <x v="143"/>
    <s v="YawUntwistCW: Code__,_______°"/>
    <m/>
    <d v="1899-12-30T14:02:00"/>
    <d v="1899-12-30T14:02:00"/>
    <d v="1899-12-30T14:23:00"/>
    <d v="1899-12-30T00:00:00"/>
    <n v="0.34999999999999876"/>
    <n v="0.34999999999999876"/>
    <s v="Auto cable twist"/>
    <s v="Close"/>
    <n v="1.5217391304347775E-2"/>
    <n v="1"/>
    <n v="1E-3"/>
    <m/>
  </r>
  <r>
    <n v="3584"/>
    <n v="2025"/>
    <n v="2025"/>
    <s v="Year_2"/>
    <d v="2025-03-28T00:00:00"/>
    <s v="KUD04"/>
    <s v="O2R3"/>
    <s v="JK"/>
    <n v="4.3478260869565223E-2"/>
    <n v="315"/>
    <x v="120"/>
    <s v="ExEx low voltage L_: ___V"/>
    <s v="Breakdown"/>
    <d v="1899-12-30T11:07:00"/>
    <d v="1899-12-30T11:07:00"/>
    <d v="1899-12-30T14:10:00"/>
    <d v="1899-12-30T00:00:00"/>
    <n v="3.05"/>
    <n v="3.05"/>
    <s v="HVCB Manual charged done."/>
    <s v="Close"/>
    <n v="0.13260869565217392"/>
    <n v="1"/>
    <n v="4.3999999999999997E-2"/>
    <m/>
  </r>
  <r>
    <n v="3585"/>
    <n v="2025"/>
    <n v="2025"/>
    <s v="Year_2"/>
    <d v="2025-03-28T00:00:00"/>
    <s v="KUD05"/>
    <s v="O2R3"/>
    <s v="JK"/>
    <n v="4.3478260869565223E-2"/>
    <n v="3272"/>
    <x v="143"/>
    <s v="YawUntwistCW: Code__,_______°"/>
    <m/>
    <d v="1899-12-30T16:46:00"/>
    <d v="1899-12-30T16:46:00"/>
    <d v="1899-12-30T17:08:00"/>
    <d v="1899-12-30T00:00:00"/>
    <n v="0.36666666666666803"/>
    <n v="0.36666666666666803"/>
    <s v="Auto cable twist"/>
    <s v="Close"/>
    <n v="1.5942028985507308E-2"/>
    <n v="1"/>
    <n v="2.5999999999999999E-2"/>
    <m/>
  </r>
  <r>
    <n v="3586"/>
    <n v="2025"/>
    <n v="2025"/>
    <s v="Year_2"/>
    <d v="2025-03-28T00:00:00"/>
    <s v="KUD06"/>
    <s v="O2R3"/>
    <s v="JK"/>
    <n v="4.3478260869565223E-2"/>
    <n v="309"/>
    <x v="149"/>
    <s v="Pause over RCS __0"/>
    <s v="Manual Stop"/>
    <d v="1899-12-30T11:01:00"/>
    <d v="1899-12-30T11:01:00"/>
    <d v="1899-12-30T15:04:00"/>
    <d v="1899-12-30T00:00:00"/>
    <n v="4.0500000000000007"/>
    <n v="4.0500000000000007"/>
    <s v="Manual stop for 2 years service Day-2"/>
    <s v="Close"/>
    <n v="0.1760869565217392"/>
    <n v="1"/>
    <n v="-1E-3"/>
    <m/>
  </r>
  <r>
    <n v="3587"/>
    <n v="2025"/>
    <n v="2025"/>
    <s v="Year_2"/>
    <d v="2025-03-28T00:00:00"/>
    <s v="KUD23"/>
    <s v="O2R3"/>
    <s v="JK"/>
    <n v="4.3478260869565223E-2"/>
    <n v="3272"/>
    <x v="143"/>
    <s v="YawUntwistCW: Code__,_______°"/>
    <m/>
    <d v="1899-12-30T13:44:00"/>
    <d v="1899-12-30T13:44:00"/>
    <d v="1899-12-30T14:06:00"/>
    <d v="1899-12-30T00:00:00"/>
    <n v="0.36666666666666803"/>
    <n v="0.36666666666666803"/>
    <s v="Auto cable twist"/>
    <s v="Close"/>
    <n v="1.5942028985507308E-2"/>
    <n v="1"/>
    <n v="2E-3"/>
    <m/>
  </r>
  <r>
    <n v="3588"/>
    <n v="2025"/>
    <n v="2025"/>
    <s v="Year_2"/>
    <d v="2025-03-29T00:00:00"/>
    <s v="KUD10"/>
    <s v="O2R1"/>
    <s v="KSIPL"/>
    <n v="4.3478260869565223E-2"/>
    <n v="3272"/>
    <x v="143"/>
    <s v="YawUntwistCW: Code__,_______°"/>
    <m/>
    <d v="1899-12-30T13:21:00"/>
    <d v="1899-12-30T13:21:00"/>
    <d v="1899-12-30T13:41:00"/>
    <d v="1899-12-30T00:00:00"/>
    <n v="0.33333333333333215"/>
    <n v="0.33333333333333215"/>
    <s v="Auto cable twist"/>
    <s v="Close"/>
    <n v="1.4492753623188356E-2"/>
    <n v="1"/>
    <n v="3.5999999999999997E-2"/>
    <m/>
  </r>
  <r>
    <n v="3589"/>
    <n v="2025"/>
    <n v="2025"/>
    <s v="Year_2"/>
    <d v="2025-03-29T00:00:00"/>
    <s v="KUD20"/>
    <s v="O2R1"/>
    <s v="KSIPL"/>
    <n v="4.3478260869565223E-2"/>
    <n v="309"/>
    <x v="149"/>
    <s v="Pause over RCS __0"/>
    <s v="Manual Stop"/>
    <d v="1899-12-30T15:06:00"/>
    <d v="1899-12-30T15:06:00"/>
    <d v="1899-12-30T16:32:00"/>
    <d v="1899-12-30T00:00:00"/>
    <n v="1.4333333333333336"/>
    <n v="1.4333333333333336"/>
    <s v="Manual stop for Yaw claw re torquing work."/>
    <s v="Close"/>
    <n v="6.2318840579710162E-2"/>
    <n v="1"/>
    <n v="0.46300000000000002"/>
    <m/>
  </r>
  <r>
    <n v="3590"/>
    <n v="2025"/>
    <n v="2025"/>
    <s v="Year_2"/>
    <d v="2025-03-30T00:00:00"/>
    <s v="KUD08"/>
    <s v="O2R3"/>
    <s v="JK"/>
    <n v="4.3478260869565223E-2"/>
    <n v="3272"/>
    <x v="143"/>
    <s v="YawUntwistCW: Code__,_______°"/>
    <m/>
    <d v="1899-12-30T14:51:00"/>
    <d v="1899-12-30T14:51:00"/>
    <d v="1899-12-30T15:12:00"/>
    <d v="1899-12-30T00:00:00"/>
    <n v="0.34999999999999876"/>
    <n v="0.34999999999999876"/>
    <s v="Auto cable twist"/>
    <s v="Close"/>
    <n v="1.5217391304347775E-2"/>
    <n v="1"/>
    <n v="1E-3"/>
    <m/>
  </r>
  <r>
    <n v="3591"/>
    <n v="2025"/>
    <n v="2025"/>
    <s v="Year_2"/>
    <d v="2025-03-30T00:00:00"/>
    <s v="KUD13"/>
    <s v="O2R1"/>
    <s v="KSIPL"/>
    <n v="4.3478260869565223E-2"/>
    <n v="3272"/>
    <x v="143"/>
    <s v="YawUntwistCW: Code__,_______°"/>
    <m/>
    <d v="1899-12-30T12:19:00"/>
    <d v="1899-12-30T12:19:00"/>
    <d v="1899-12-30T12:39:00"/>
    <d v="1899-12-30T00:00:00"/>
    <n v="0.33333333333333481"/>
    <n v="0.33333333333333481"/>
    <s v="Auto cable twist"/>
    <s v="Close"/>
    <n v="1.4492753623188472E-2"/>
    <n v="1"/>
    <n v="3.0000000000000001E-3"/>
    <m/>
  </r>
  <r>
    <n v="3592"/>
    <n v="2025"/>
    <n v="2025"/>
    <s v="Year_2"/>
    <d v="2025-03-30T00:00:00"/>
    <s v="KUD09"/>
    <s v="O2R3"/>
    <s v="JK"/>
    <n v="4.3478260869565223E-2"/>
    <n v="3272"/>
    <x v="143"/>
    <s v="YawUntwistCW: Code__,_______°"/>
    <m/>
    <d v="1899-12-30T14:10:00"/>
    <d v="1899-12-30T14:10:00"/>
    <d v="1899-12-30T14:33:00"/>
    <d v="1899-12-30T00:00:00"/>
    <n v="0.38333333333333197"/>
    <n v="0.38333333333333197"/>
    <s v="Auto cable twist"/>
    <s v="Close"/>
    <n v="1.6666666666666611E-2"/>
    <n v="1"/>
    <n v="4.0000000000000001E-3"/>
    <m/>
  </r>
  <r>
    <n v="3593"/>
    <n v="2025"/>
    <n v="2025"/>
    <s v="Year_2"/>
    <d v="2025-03-30T00:00:00"/>
    <s v="KUD22"/>
    <s v="O2R3"/>
    <s v="JK"/>
    <n v="4.3478260869565223E-2"/>
    <n v="5069"/>
    <x v="111"/>
    <s v="Pitch pos C meas. signal fault"/>
    <s v="ROW"/>
    <d v="1899-12-30T14:30:00"/>
    <d v="1899-12-30T14:30:00"/>
    <d v="1899-12-30T18:30:00"/>
    <d v="1899-12-30T00:00:00"/>
    <n v="4.0000000000000018"/>
    <n v="4.0000000000000018"/>
    <s v="WTG can not attend because ROW issue."/>
    <s v="Close"/>
    <n v="0"/>
    <n v="1"/>
    <n v="0"/>
    <m/>
  </r>
  <r>
    <n v="3594"/>
    <n v="2025"/>
    <n v="2025"/>
    <s v="Year_2"/>
    <d v="2025-03-30T00:00:00"/>
    <s v="KUD22"/>
    <s v="O2R3"/>
    <s v="JK"/>
    <n v="4.3478260869565223E-2"/>
    <n v="5069"/>
    <x v="111"/>
    <s v="Pitch pos C meas. signal fault"/>
    <s v="Breakdown"/>
    <d v="1899-12-30T18:30:00"/>
    <d v="1899-12-30T18:30:00"/>
    <d v="1899-12-30T20:29:00"/>
    <d v="1899-12-30T00:00:00"/>
    <n v="1.9833333333333316"/>
    <n v="1.9833333333333316"/>
    <s v="Attend and HUB CT6061 Module changed."/>
    <s v="Close"/>
    <n v="8.6231884057970956E-2"/>
    <n v="1"/>
    <n v="0.76200000000000001"/>
    <m/>
  </r>
  <r>
    <n v="3595"/>
    <n v="2025"/>
    <n v="2025"/>
    <s v="Year_2"/>
    <d v="2025-03-31T00:00:00"/>
    <s v="KUD01"/>
    <s v="O2R1"/>
    <s v="KSIPL"/>
    <n v="4.3478260869565223E-2"/>
    <n v="3272"/>
    <x v="143"/>
    <s v="YawUntwistCW: Code__,_______°"/>
    <m/>
    <d v="1899-12-30T13:22:00"/>
    <d v="1899-12-30T13:22:00"/>
    <d v="1899-12-30T13:46:00"/>
    <d v="1899-12-30T00:00:00"/>
    <n v="0.39999999999999858"/>
    <n v="0.39999999999999858"/>
    <s v="Auto cable twist"/>
    <s v="Close"/>
    <n v="1.7391304347826028E-2"/>
    <n v="1"/>
    <n v="5.8000000000000003E-2"/>
    <m/>
  </r>
  <r>
    <n v="3596"/>
    <n v="2025"/>
    <n v="2025"/>
    <s v="Year_2"/>
    <d v="2025-03-31T00:00:00"/>
    <s v="KUD11"/>
    <s v="O2R1"/>
    <s v="KSIPL"/>
    <n v="4.3478260869565223E-2"/>
    <n v="309"/>
    <x v="149"/>
    <s v="Pause over RCS __0"/>
    <s v="Manual Stop"/>
    <d v="1899-12-30T11:53:00"/>
    <d v="1899-12-30T11:53:00"/>
    <d v="1899-12-30T13:42:00"/>
    <d v="1899-12-30T00:00:00"/>
    <n v="1.8166666666666655"/>
    <n v="1.8166666666666655"/>
    <s v="Manual stop for Yearly generator Aligment work."/>
    <s v="Close"/>
    <n v="7.8985507246376777E-2"/>
    <n v="1"/>
    <n v="0.05"/>
    <m/>
  </r>
  <r>
    <n v="3597"/>
    <n v="2025"/>
    <n v="2025"/>
    <s v="Year_2"/>
    <d v="2025-03-31T00:00:00"/>
    <s v="KUD05"/>
    <s v="O2R3"/>
    <s v="JK"/>
    <n v="4.3478260869565223E-2"/>
    <n v="3273"/>
    <x v="35"/>
    <s v="YawUntwistCCW: Code__,_______°"/>
    <m/>
    <d v="1899-12-30T09:22:00"/>
    <d v="1899-12-30T09:22:00"/>
    <d v="1899-12-30T09:43:00"/>
    <d v="1899-12-30T00:00:00"/>
    <n v="0.35000000000000009"/>
    <n v="0.35000000000000009"/>
    <s v="Auto cable twist"/>
    <s v="Close"/>
    <n v="1.5217391304347832E-2"/>
    <n v="1"/>
    <n v="0"/>
    <m/>
  </r>
  <r>
    <n v="3598"/>
    <n v="2025"/>
    <n v="2025"/>
    <s v="Year_2"/>
    <d v="2025-03-31T00:00:00"/>
    <s v="KUD07"/>
    <s v="O2R3"/>
    <s v="JK"/>
    <n v="4.3478260869565223E-2"/>
    <n v="3272"/>
    <x v="143"/>
    <s v="YawUntwistCW: Code__,_______°"/>
    <m/>
    <d v="1899-12-30T13:09:00"/>
    <d v="1899-12-30T13:09:00"/>
    <d v="1899-12-30T13:29:00"/>
    <d v="1899-12-30T00:00:00"/>
    <n v="0.33333333333333215"/>
    <n v="0.33333333333333215"/>
    <s v="Auto cable twist"/>
    <s v="Close"/>
    <n v="1.4492753623188356E-2"/>
    <n v="1"/>
    <n v="1E-3"/>
    <m/>
  </r>
  <r>
    <n v="3599"/>
    <n v="2025"/>
    <n v="2025"/>
    <s v="Year_2"/>
    <d v="2025-03-31T00:00:00"/>
    <s v="KUD09"/>
    <s v="O2R3"/>
    <s v="JK"/>
    <n v="4.3478260869565223E-2"/>
    <n v="3272"/>
    <x v="143"/>
    <s v="YawUntwistCW: Code__,_______°"/>
    <m/>
    <d v="1899-12-30T12:38:00"/>
    <d v="1899-12-30T12:38:00"/>
    <d v="1899-12-30T12:59:00"/>
    <d v="1899-12-30T00:00:00"/>
    <n v="0.34999999999999876"/>
    <n v="0.34999999999999876"/>
    <s v="Auto cable twist"/>
    <s v="Close"/>
    <n v="1.5217391304347775E-2"/>
    <n v="1"/>
    <n v="8.0000000000000002E-3"/>
    <m/>
  </r>
  <r>
    <n v="3600"/>
    <n v="2025"/>
    <n v="2025"/>
    <s v="Year_2"/>
    <d v="2025-03-31T00:00:00"/>
    <s v="KUD18"/>
    <s v="O2R4"/>
    <s v="SGDCIPL"/>
    <n v="4.3478260869565223E-2"/>
    <n v="3273"/>
    <x v="35"/>
    <s v="YawUntwistCCW: Code__,_______°"/>
    <m/>
    <d v="1899-12-30T14:49:00"/>
    <d v="1899-12-30T14:49:00"/>
    <d v="1899-12-30T15:13:00"/>
    <d v="1899-12-30T00:00:00"/>
    <n v="0.39999999999999858"/>
    <n v="0.39999999999999858"/>
    <s v="Auto cable twist"/>
    <s v="Close"/>
    <n v="1.7391304347826028E-2"/>
    <n v="1"/>
    <n v="6.8000000000000005E-2"/>
    <m/>
  </r>
  <r>
    <n v="3601"/>
    <n v="2025"/>
    <n v="2025"/>
    <s v="Year_2"/>
    <d v="2025-03-31T00:00:00"/>
    <s v="KUD22"/>
    <s v="O2R3"/>
    <s v="JK"/>
    <n v="4.3478260869565223E-2"/>
    <n v="3273"/>
    <x v="35"/>
    <s v="YawUntwistCCW: Code__,_______°"/>
    <m/>
    <d v="1899-12-30T10:08:00"/>
    <d v="1899-12-30T10:08:00"/>
    <d v="1899-12-30T10:28:00"/>
    <d v="1899-12-30T00:00:00"/>
    <n v="0.33333333333333348"/>
    <n v="0.33333333333333348"/>
    <s v="Auto cable twist"/>
    <s v="Close"/>
    <n v="1.4492753623188415E-2"/>
    <n v="1"/>
    <n v="2E-3"/>
    <m/>
  </r>
  <r>
    <n v="3602"/>
    <n v="2025"/>
    <n v="2025"/>
    <s v="Year_2"/>
    <d v="2025-03-31T00:00:00"/>
    <s v="KUD23"/>
    <s v="O2R3"/>
    <s v="JK"/>
    <n v="4.3478260869565223E-2"/>
    <n v="3273"/>
    <x v="35"/>
    <s v="YawUntwistCCW: Code__,_______°"/>
    <m/>
    <d v="1899-12-30T16:13:00"/>
    <d v="1899-12-30T16:13:00"/>
    <d v="1899-12-30T16:41:00"/>
    <d v="1899-12-30T00:00:00"/>
    <n v="0.46666666666666501"/>
    <n v="0.46666666666666501"/>
    <s v="Auto cable twist"/>
    <s v="Close"/>
    <n v="2.0289855072463697E-2"/>
    <n v="1"/>
    <n v="8.8999999999999996E-2"/>
    <m/>
  </r>
  <r>
    <n v="3603"/>
    <n v="2026"/>
    <n v="2025"/>
    <s v="Year_2"/>
    <d v="2025-04-01T00:00:00"/>
    <s v="KUD10"/>
    <s v="O2R1"/>
    <s v="KSIPL"/>
    <n v="4.3478260869565223E-2"/>
    <n v="3273"/>
    <x v="35"/>
    <s v="YawUntwistCCW: Code__,_______°"/>
    <m/>
    <d v="1899-12-30T09:25:00"/>
    <d v="1899-12-30T09:25:00"/>
    <d v="1899-12-30T09:45:00"/>
    <d v="1899-12-30T00:00:00"/>
    <n v="0.33333333333333348"/>
    <n v="0.33333333333333348"/>
    <s v="Auto cable twist"/>
    <s v="Close"/>
    <n v="1.4492753623188415E-2"/>
    <n v="1"/>
    <n v="1E-3"/>
    <m/>
  </r>
  <r>
    <n v="3604"/>
    <n v="2026"/>
    <n v="2025"/>
    <s v="Year_2"/>
    <d v="2025-04-01T00:00:00"/>
    <s v="KUD11"/>
    <s v="O2R1"/>
    <s v="KSIPL"/>
    <n v="4.3478260869565223E-2"/>
    <n v="3273"/>
    <x v="35"/>
    <s v="YawUntwistCCW: Code__,_______°"/>
    <m/>
    <d v="1899-12-30T09:16:00"/>
    <d v="1899-12-30T09:16:00"/>
    <d v="1899-12-30T09:36:00"/>
    <d v="1899-12-30T00:00:00"/>
    <n v="0.33333333333333348"/>
    <n v="0.33333333333333348"/>
    <s v="Auto cable twist"/>
    <s v="Close"/>
    <n v="1.4492753623188415E-2"/>
    <n v="1"/>
    <n v="1E-3"/>
    <m/>
  </r>
  <r>
    <n v="3605"/>
    <n v="2026"/>
    <n v="2025"/>
    <s v="Year_2"/>
    <d v="2025-04-01T00:00:00"/>
    <s v="KUD12"/>
    <s v="O2R1"/>
    <s v="KSIPL"/>
    <n v="4.3478260869565223E-2"/>
    <n v="3273"/>
    <x v="35"/>
    <s v="YawUntwistCCW: Code__,_______°"/>
    <m/>
    <d v="1899-12-30T09:49:00"/>
    <d v="1899-12-30T09:49:00"/>
    <d v="1899-12-30T10:11:00"/>
    <d v="1899-12-30T00:00:00"/>
    <n v="0.3666666666666667"/>
    <n v="0.3666666666666667"/>
    <s v="Auto cable twist"/>
    <s v="Close"/>
    <n v="1.5942028985507249E-2"/>
    <n v="1"/>
    <n v="1E-3"/>
    <m/>
  </r>
  <r>
    <n v="3606"/>
    <n v="2026"/>
    <n v="2025"/>
    <s v="Year_2"/>
    <d v="2025-04-01T00:00:00"/>
    <s v="KUD15"/>
    <s v="O2R1"/>
    <s v="KSIPL"/>
    <n v="4.3478260869565223E-2"/>
    <n v="3273"/>
    <x v="35"/>
    <s v="YawUntwistCCW: Code__,_______°"/>
    <m/>
    <d v="1899-12-30T09:30:00"/>
    <d v="1899-12-30T09:30:00"/>
    <d v="1899-12-30T09:51:00"/>
    <d v="1899-12-30T00:00:00"/>
    <n v="0.35000000000000009"/>
    <n v="0.35000000000000009"/>
    <s v="Auto cable twist"/>
    <s v="Close"/>
    <n v="1.5217391304347832E-2"/>
    <n v="1"/>
    <n v="1E-3"/>
    <m/>
  </r>
  <r>
    <n v="3607"/>
    <n v="2026"/>
    <n v="2025"/>
    <s v="Year_2"/>
    <d v="2025-04-01T00:00:00"/>
    <s v="KUD19"/>
    <s v="O2R1"/>
    <s v="KSIPL"/>
    <n v="4.3478260869565223E-2"/>
    <n v="3273"/>
    <x v="35"/>
    <s v="YawUntwistCCW: Code__,_______°"/>
    <m/>
    <d v="1899-12-30T09:22:00"/>
    <d v="1899-12-30T09:22:00"/>
    <d v="1899-12-30T09:42:00"/>
    <d v="1899-12-30T00:00:00"/>
    <n v="0.33333333333333348"/>
    <n v="0.33333333333333348"/>
    <s v="Auto cable twist"/>
    <s v="Close"/>
    <n v="1.4492753623188415E-2"/>
    <n v="1"/>
    <n v="2E-3"/>
    <m/>
  </r>
  <r>
    <n v="3608"/>
    <n v="2026"/>
    <n v="2025"/>
    <s v="Year_2"/>
    <d v="2025-04-01T00:00:00"/>
    <s v="KUD20"/>
    <s v="O2R1"/>
    <s v="KSIPL"/>
    <n v="4.3478260869565223E-2"/>
    <n v="3273"/>
    <x v="35"/>
    <s v="YawUntwistCCW: Code__,_______°"/>
    <m/>
    <d v="1899-12-30T09:01:00"/>
    <d v="1899-12-30T09:01:00"/>
    <d v="1899-12-30T09:22:00"/>
    <d v="1899-12-30T00:00:00"/>
    <n v="0.35000000000000009"/>
    <n v="0.35000000000000009"/>
    <s v="Auto cable twist"/>
    <s v="Close"/>
    <n v="1.5217391304347832E-2"/>
    <n v="1"/>
    <n v="2E-3"/>
    <m/>
  </r>
  <r>
    <n v="3609"/>
    <n v="2026"/>
    <n v="2025"/>
    <s v="Year_2"/>
    <d v="2025-04-01T00:00:00"/>
    <s v="KUD17"/>
    <s v="O2R2"/>
    <s v="SIL"/>
    <n v="4.3478260869565223E-2"/>
    <n v="3273"/>
    <x v="35"/>
    <s v="YawUntwistCCW: Code__,_______°"/>
    <m/>
    <d v="1899-12-30T12:03:00"/>
    <d v="1899-12-30T12:03:00"/>
    <d v="1899-12-30T12:23:00"/>
    <d v="1899-12-30T00:00:00"/>
    <n v="0.33333333333333481"/>
    <n v="0.33333333333333481"/>
    <s v="Auto cable twist"/>
    <s v="Close"/>
    <n v="1.4492753623188472E-2"/>
    <n v="1"/>
    <n v="1E-3"/>
    <m/>
  </r>
  <r>
    <n v="3610"/>
    <n v="2026"/>
    <n v="2025"/>
    <s v="Year_2"/>
    <d v="2025-04-01T00:00:00"/>
    <s v="KUD18"/>
    <s v="O2R4"/>
    <s v="SGDCIPL"/>
    <n v="4.3478260869565223E-2"/>
    <n v="3273"/>
    <x v="35"/>
    <s v="YawUntwistCCW: Code__,_______°"/>
    <m/>
    <d v="1899-12-30T09:48:00"/>
    <d v="1899-12-30T13:03:00"/>
    <d v="1899-12-30T13:23:00"/>
    <d v="1900-01-02T06:00:00"/>
    <n v="0.33333333333333748"/>
    <n v="3.5833333333333366"/>
    <s v="Auto cable twist"/>
    <s v="Close"/>
    <n v="0.15579710144927553"/>
    <n v="1"/>
    <n v="1E-3"/>
    <m/>
  </r>
  <r>
    <n v="3611"/>
    <n v="2026"/>
    <n v="2025"/>
    <s v="Year_2"/>
    <d v="2025-04-01T00:00:00"/>
    <s v="KUD22"/>
    <s v="O2R3"/>
    <s v="JK"/>
    <n v="4.3478260869565223E-2"/>
    <n v="3273"/>
    <x v="35"/>
    <s v="YawUntwistCCW: Code__,_______°"/>
    <m/>
    <d v="1899-12-30T10:48:00"/>
    <d v="1899-12-30T14:03:00"/>
    <d v="1899-12-30T14:23:00"/>
    <d v="1900-01-02T06:00:00"/>
    <n v="0.33333333333333481"/>
    <n v="3.5833333333333433"/>
    <s v="Auto cable twist"/>
    <s v="Close"/>
    <n v="0.1557971014492758"/>
    <n v="1"/>
    <n v="0.16500000000000001"/>
    <m/>
  </r>
  <r>
    <n v="3612"/>
    <n v="2026"/>
    <n v="2025"/>
    <s v="Year_2"/>
    <d v="2025-04-02T00:00:00"/>
    <s v="KUD04"/>
    <s v="O2R3"/>
    <s v="JK"/>
    <n v="4.3478260869565223E-2"/>
    <n v="3487"/>
    <x v="201"/>
    <s v="Gear HSBearA Temp:___°C"/>
    <m/>
    <d v="1899-12-30T02:22:00"/>
    <d v="1899-12-30T02:22:00"/>
    <d v="1899-12-30T02:45:00"/>
    <d v="1899-12-30T00:00:00"/>
    <n v="0.3833333333333333"/>
    <n v="0.3833333333333333"/>
    <s v="Auto reset"/>
    <s v="Close"/>
    <n v="1.6666666666666666E-2"/>
    <n v="1"/>
    <m/>
    <m/>
  </r>
  <r>
    <n v="3613"/>
    <n v="2026"/>
    <n v="2025"/>
    <s v="Year_2"/>
    <d v="2025-04-02T00:00:00"/>
    <s v="KUD04"/>
    <s v="O2R3"/>
    <s v="JK"/>
    <n v="4.3478260869565223E-2"/>
    <n v="3487"/>
    <x v="201"/>
    <s v="Gear HSBearA Temp:___°C"/>
    <m/>
    <d v="1899-12-30T07:42:00"/>
    <d v="1899-12-30T07:42:00"/>
    <d v="1899-12-30T09:19:00"/>
    <d v="1899-12-30T00:00:00"/>
    <n v="1.6166666666666663"/>
    <n v="1.6166666666666663"/>
    <s v="Ups reboot done."/>
    <s v="Close"/>
    <n v="7.0289855072463756E-2"/>
    <n v="1"/>
    <m/>
    <m/>
  </r>
  <r>
    <n v="3614"/>
    <n v="2026"/>
    <n v="2025"/>
    <s v="Year_2"/>
    <d v="2025-04-02T00:00:00"/>
    <s v="KUD07"/>
    <s v="O2R3"/>
    <s v="JK"/>
    <n v="4.3478260869565223E-2"/>
    <n v="309"/>
    <x v="149"/>
    <s v="Pause over RCS __0"/>
    <m/>
    <d v="1899-12-30T10:03:00"/>
    <d v="1899-12-30T10:03:00"/>
    <d v="1899-12-30T17:56:00"/>
    <d v="1899-12-30T00:00:00"/>
    <n v="7.8833333333333329"/>
    <n v="7.8833333333333329"/>
    <s v="Manual stop for 2 years service Day-1"/>
    <s v="Close"/>
    <n v="0.3427536231884058"/>
    <n v="1"/>
    <m/>
    <m/>
  </r>
  <r>
    <n v="3615"/>
    <n v="2026"/>
    <n v="2025"/>
    <s v="Year_2"/>
    <d v="2025-04-02T00:00:00"/>
    <s v="KUD17"/>
    <s v="O2R2"/>
    <s v="SIL"/>
    <n v="4.3478260869565223E-2"/>
    <n v="3483"/>
    <x v="168"/>
    <s v="GearOilTempLow ___°C"/>
    <m/>
    <d v="1899-12-30T06:00:00"/>
    <d v="1899-12-30T06:00:00"/>
    <d v="1899-12-30T08:37:00"/>
    <d v="1899-12-30T00:00:00"/>
    <n v="2.6166666666666667"/>
    <n v="2.6166666666666667"/>
    <s v="we checked and found that PT100 sensor was malfunctioning so once rebooted system and found temp normal."/>
    <s v="Close"/>
    <n v="0.113768115942029"/>
    <n v="1"/>
    <m/>
    <m/>
  </r>
  <r>
    <n v="3616"/>
    <n v="2026"/>
    <n v="2025"/>
    <s v="Year_2"/>
    <d v="2025-04-03T00:00:00"/>
    <s v="KUD01"/>
    <s v="O2R1"/>
    <s v="KSIPL"/>
    <n v="4.3478260869565223E-2"/>
    <n v="3273"/>
    <x v="35"/>
    <s v="YawUntwistCCW: Code 6,    540Â°"/>
    <m/>
    <d v="1899-12-30T05:02:00"/>
    <d v="1899-12-30T05:02:00"/>
    <d v="1899-12-30T05:22:00"/>
    <d v="1899-12-30T00:00:00"/>
    <n v="0.33333333333333348"/>
    <n v="0.33333333333333348"/>
    <s v="Auto cable twist"/>
    <s v="Close"/>
    <n v="1.4492753623188415E-2"/>
    <n v="1"/>
    <m/>
    <m/>
  </r>
  <r>
    <n v="3617"/>
    <n v="2026"/>
    <n v="2025"/>
    <s v="Year_2"/>
    <d v="2025-04-03T00:00:00"/>
    <s v="KUD02"/>
    <s v="O2R3"/>
    <s v="JK"/>
    <n v="4.3478260869565223E-2"/>
    <n v="3273"/>
    <x v="35"/>
    <s v="YawUntwistCCW: Code 6,    651Â°"/>
    <m/>
    <d v="1899-12-30T20:14:00"/>
    <d v="1899-12-30T20:14:00"/>
    <d v="1899-12-30T20:43:00"/>
    <d v="1899-12-30T00:00:00"/>
    <n v="0.48333333333333428"/>
    <n v="0.48333333333333428"/>
    <s v="Auto cable twist"/>
    <s v="Close"/>
    <n v="2.1014492753623232E-2"/>
    <n v="1"/>
    <m/>
    <m/>
  </r>
  <r>
    <n v="3618"/>
    <n v="2026"/>
    <n v="2025"/>
    <s v="Year_2"/>
    <d v="2025-04-03T00:00:00"/>
    <s v="KUD05"/>
    <s v="O2R3"/>
    <s v="JK"/>
    <n v="4.3478260869565223E-2"/>
    <n v="3273"/>
    <x v="35"/>
    <s v="YawUntwistCCW: Code 5,    540Â°"/>
    <m/>
    <d v="1899-12-30T03:37:00"/>
    <d v="1899-12-30T03:37:00"/>
    <d v="1899-12-30T03:58:00"/>
    <d v="1899-12-30T00:00:00"/>
    <n v="0.35000000000000009"/>
    <n v="0.35000000000000009"/>
    <s v="Auto cable twist"/>
    <s v="Close"/>
    <n v="1.5217391304347832E-2"/>
    <n v="1"/>
    <m/>
    <m/>
  </r>
  <r>
    <n v="3619"/>
    <n v="2026"/>
    <n v="2025"/>
    <s v="Year_2"/>
    <d v="2025-04-03T00:00:00"/>
    <s v="KUD05"/>
    <s v="O2R3"/>
    <s v="JK"/>
    <n v="4.3478260869565223E-2"/>
    <n v="158"/>
    <x v="132"/>
    <s v="Rotor: 1.5RPM, Gen.:-172.4 RPM"/>
    <s v="Breakdown"/>
    <d v="1899-12-30T19:57:00"/>
    <d v="1899-12-30T19:57:00"/>
    <d v="1899-12-30T20:03:00"/>
    <d v="1899-12-30T00:00:00"/>
    <n v="9.9999999999999645E-2"/>
    <n v="9.9999999999999645E-2"/>
    <s v="Auto reset"/>
    <s v="Close"/>
    <n v="4.347826086956507E-3"/>
    <n v="1"/>
    <m/>
    <m/>
  </r>
  <r>
    <n v="3620"/>
    <n v="2026"/>
    <n v="2025"/>
    <s v="Year_2"/>
    <d v="2025-04-03T00:00:00"/>
    <s v="KUD05"/>
    <s v="O2R3"/>
    <s v="JK"/>
    <n v="4.3478260869565223E-2"/>
    <n v="3273"/>
    <x v="35"/>
    <s v="YawUntwistCCW: Code 5,    540Â°"/>
    <m/>
    <d v="1899-12-30T21:05:00"/>
    <d v="1899-12-30T21:05:00"/>
    <d v="1899-12-30T21:27:00"/>
    <d v="1899-12-30T00:00:00"/>
    <n v="0.36666666666666803"/>
    <n v="0.36666666666666803"/>
    <s v="Auto cable twist"/>
    <s v="Close"/>
    <n v="1.5942028985507308E-2"/>
    <n v="1"/>
    <m/>
    <m/>
  </r>
  <r>
    <n v="3621"/>
    <n v="2026"/>
    <n v="2025"/>
    <s v="Year_2"/>
    <d v="2025-04-03T00:00:00"/>
    <s v="KUD07"/>
    <s v="O2R3"/>
    <s v="JK"/>
    <n v="4.3478260869565223E-2"/>
    <n v="309"/>
    <x v="149"/>
    <s v="Pause over RCS __0"/>
    <s v="Manual Stop"/>
    <d v="1899-12-30T10:27:00"/>
    <d v="1899-12-30T10:27:00"/>
    <d v="1899-12-30T16:07:00"/>
    <d v="1899-12-30T00:00:00"/>
    <n v="5.6666666666666652"/>
    <n v="5.6666666666666652"/>
    <s v="Manual stop for 2 years service Day-2"/>
    <s v="Close"/>
    <n v="0.24637681159420285"/>
    <n v="1"/>
    <m/>
    <m/>
  </r>
  <r>
    <n v="3622"/>
    <n v="2026"/>
    <n v="2025"/>
    <s v="Year_2"/>
    <d v="2025-04-03T00:00:00"/>
    <s v="KUD09"/>
    <s v="O2R3"/>
    <s v="JK"/>
    <n v="4.3478260869565223E-2"/>
    <n v="3273"/>
    <x v="35"/>
    <s v="YawUntwistCCW: Code 5,    540Â°"/>
    <m/>
    <d v="1899-12-30T06:48:00"/>
    <d v="1899-12-30T06:48:00"/>
    <d v="1899-12-30T07:08:00"/>
    <d v="1899-12-30T00:00:00"/>
    <n v="0.33333333333333348"/>
    <n v="0.33333333333333348"/>
    <s v="Auto cable twist"/>
    <s v="Close"/>
    <n v="1.4492753623188415E-2"/>
    <n v="1"/>
    <m/>
    <m/>
  </r>
  <r>
    <n v="3623"/>
    <n v="2026"/>
    <n v="2025"/>
    <s v="Year_2"/>
    <d v="2025-04-03T00:00:00"/>
    <s v="KUD10"/>
    <s v="O2R1"/>
    <s v="KSIPL"/>
    <n v="4.3478260869565223E-2"/>
    <n v="3273"/>
    <x v="35"/>
    <s v="YawUntwistCCW: Code 6,    603Â°"/>
    <m/>
    <d v="1899-12-30T20:19:00"/>
    <d v="1899-12-30T20:19:00"/>
    <d v="1899-12-30T20:46:00"/>
    <d v="1899-12-30T00:00:00"/>
    <n v="0.45000000000000107"/>
    <n v="0.45000000000000107"/>
    <s v="Auto cable twist"/>
    <s v="Close"/>
    <n v="1.9565217391304398E-2"/>
    <n v="1"/>
    <m/>
    <m/>
  </r>
  <r>
    <n v="3624"/>
    <n v="2026"/>
    <n v="2025"/>
    <s v="Year_2"/>
    <d v="2025-04-03T00:00:00"/>
    <s v="KUD11"/>
    <s v="O2R1"/>
    <s v="KSIPL"/>
    <n v="4.3478260869565223E-2"/>
    <n v="3273"/>
    <x v="35"/>
    <s v="YawUntwistCCW: Code 6,    555Â°"/>
    <m/>
    <d v="1899-12-30T05:06:00"/>
    <d v="1899-12-30T05:06:00"/>
    <d v="1899-12-30T05:27:00"/>
    <d v="1899-12-30T00:00:00"/>
    <n v="0.35000000000000009"/>
    <n v="0.35000000000000009"/>
    <s v="Auto cable twist"/>
    <s v="Close"/>
    <n v="1.5217391304347832E-2"/>
    <n v="1"/>
    <m/>
    <m/>
  </r>
  <r>
    <n v="3625"/>
    <n v="2026"/>
    <n v="2025"/>
    <s v="Year_2"/>
    <d v="2025-04-03T00:00:00"/>
    <s v="KUD12"/>
    <s v="O2R1"/>
    <s v="KSIPL"/>
    <n v="4.3478260869565223E-2"/>
    <n v="3273"/>
    <x v="35"/>
    <s v="YawUntwistCCW: Code 6,    613Â°"/>
    <m/>
    <d v="1899-12-30T20:25:00"/>
    <d v="1899-12-30T20:25:00"/>
    <d v="1899-12-30T20:52:00"/>
    <d v="1899-12-30T00:00:00"/>
    <n v="0.45000000000000107"/>
    <n v="0.45000000000000107"/>
    <s v="Auto cable twist"/>
    <s v="Close"/>
    <n v="1.9565217391304398E-2"/>
    <n v="1"/>
    <m/>
    <m/>
  </r>
  <r>
    <n v="3626"/>
    <n v="2026"/>
    <n v="2025"/>
    <s v="Year_2"/>
    <d v="2025-04-03T00:00:00"/>
    <s v="KUD13"/>
    <s v="O2R1"/>
    <s v="KSIPL"/>
    <n v="4.3478260869565223E-2"/>
    <n v="5069"/>
    <x v="111"/>
    <s v="Pitch pos C meas. signal fault"/>
    <s v="Breakdown"/>
    <d v="1899-12-30T12:41:00"/>
    <d v="1899-12-30T12:41:00"/>
    <d v="1899-12-30T15:39:00"/>
    <d v="1899-12-30T00:00:00"/>
    <n v="2.9666666666666668"/>
    <n v="2.9666666666666668"/>
    <s v="Ups reboot done."/>
    <s v="Close"/>
    <n v="0.12898550724637683"/>
    <n v="1"/>
    <m/>
    <m/>
  </r>
  <r>
    <n v="3627"/>
    <n v="2026"/>
    <n v="2025"/>
    <s v="Year_2"/>
    <d v="2025-04-03T00:00:00"/>
    <s v="KUD13"/>
    <s v="O2R1"/>
    <s v="KSIPL"/>
    <n v="4.3478260869565223E-2"/>
    <n v="3273"/>
    <x v="35"/>
    <s v="YawUntwistCCW: Code 6,    550Â°"/>
    <m/>
    <d v="1899-12-30T20:22:00"/>
    <d v="1899-12-30T20:22:00"/>
    <d v="1899-12-30T20:49:00"/>
    <d v="1899-12-30T00:00:00"/>
    <n v="0.45000000000000107"/>
    <n v="0.45000000000000107"/>
    <s v="Auto cable twist"/>
    <s v="Close"/>
    <n v="1.9565217391304398E-2"/>
    <n v="1"/>
    <m/>
    <m/>
  </r>
  <r>
    <n v="3628"/>
    <n v="2026"/>
    <n v="2025"/>
    <s v="Year_2"/>
    <d v="2025-04-03T00:00:00"/>
    <s v="KUD14"/>
    <s v="O2R1"/>
    <s v="KSIPL"/>
    <n v="4.3478260869565223E-2"/>
    <n v="3273"/>
    <x v="35"/>
    <s v="YawUntwistCCW: Code 6,    578Â°"/>
    <m/>
    <d v="1899-12-30T20:44:00"/>
    <d v="1899-12-30T20:44:00"/>
    <d v="1899-12-30T21:07:00"/>
    <d v="1899-12-30T00:00:00"/>
    <n v="0.38333333333333197"/>
    <n v="0.38333333333333197"/>
    <s v="Auto cable twist"/>
    <s v="Close"/>
    <n v="1.6666666666666611E-2"/>
    <n v="1"/>
    <m/>
    <m/>
  </r>
  <r>
    <n v="3629"/>
    <n v="2026"/>
    <n v="2025"/>
    <s v="Year_2"/>
    <d v="2025-04-03T00:00:00"/>
    <s v="KUD17"/>
    <s v="O2R2"/>
    <s v="SIL"/>
    <n v="4.3478260869565223E-2"/>
    <n v="3273"/>
    <x v="35"/>
    <s v="YawUntwistCCW: Code 6,    664Â°"/>
    <m/>
    <d v="1899-12-30T20:13:00"/>
    <d v="1899-12-30T20:13:00"/>
    <d v="1899-12-30T20:42:00"/>
    <d v="1899-12-30T00:00:00"/>
    <n v="0.48333333333333428"/>
    <n v="0.48333333333333428"/>
    <s v="Auto cable twist"/>
    <s v="Close"/>
    <n v="2.1014492753623232E-2"/>
    <n v="1"/>
    <m/>
    <m/>
  </r>
  <r>
    <n v="3630"/>
    <n v="2026"/>
    <n v="2025"/>
    <s v="Year_2"/>
    <d v="2025-04-03T00:00:00"/>
    <s v="KUD19"/>
    <s v="O2R1"/>
    <s v="KSIPL"/>
    <n v="4.3478260869565223E-2"/>
    <n v="2676"/>
    <x v="124"/>
    <s v="UPS Error"/>
    <s v="Breakdown"/>
    <d v="1899-12-30T12:33:00"/>
    <d v="1899-12-30T12:33:00"/>
    <d v="1899-12-30T15:33:00"/>
    <d v="1899-12-30T00:00:00"/>
    <n v="3"/>
    <n v="3"/>
    <s v="Ups reboot done."/>
    <s v="Close"/>
    <n v="0.13043478260869568"/>
    <n v="1"/>
    <m/>
    <m/>
  </r>
  <r>
    <n v="3631"/>
    <n v="2026"/>
    <n v="2025"/>
    <s v="Year_2"/>
    <d v="2025-04-03T00:00:00"/>
    <s v="KUD19"/>
    <s v="O2R1"/>
    <s v="KSIPL"/>
    <n v="4.3478260869565223E-2"/>
    <n v="3273"/>
    <x v="35"/>
    <s v="YawUntwistCCW: Code 6,    643Â°"/>
    <m/>
    <d v="1899-12-30T20:14:00"/>
    <d v="1899-12-30T20:14:00"/>
    <d v="1899-12-30T20:42:00"/>
    <d v="1899-12-30T00:00:00"/>
    <n v="0.46666666666666767"/>
    <n v="0.46666666666666767"/>
    <s v="Auto cable twist"/>
    <s v="Close"/>
    <n v="2.0289855072463815E-2"/>
    <n v="1"/>
    <m/>
    <m/>
  </r>
  <r>
    <n v="3632"/>
    <n v="2026"/>
    <n v="2025"/>
    <s v="Year_2"/>
    <d v="2025-04-03T00:00:00"/>
    <s v="KUD21"/>
    <s v="O2R3"/>
    <s v="JK"/>
    <n v="4.3478260869565223E-2"/>
    <n v="158"/>
    <x v="132"/>
    <s v="Rotor: 1.7RPM, Gen.:-186.3 RPM"/>
    <s v="Breakdown"/>
    <d v="1899-12-30T19:51:00"/>
    <d v="1899-12-30T19:51:00"/>
    <d v="1899-12-30T19:58:00"/>
    <d v="1899-12-30T00:00:00"/>
    <n v="0.11666666666666892"/>
    <n v="0.11666666666666892"/>
    <s v="Auto reset"/>
    <s v="Close"/>
    <n v="5.0724637681160405E-3"/>
    <n v="1"/>
    <m/>
    <m/>
  </r>
  <r>
    <n v="3633"/>
    <n v="2026"/>
    <n v="2025"/>
    <s v="Year_2"/>
    <d v="2025-04-03T00:00:00"/>
    <s v="KUD22"/>
    <s v="O2R3"/>
    <s v="JK"/>
    <n v="4.3478260869565223E-2"/>
    <n v="3273"/>
    <x v="35"/>
    <s v="YawUntwistCCW: Code 6,    564Â°"/>
    <m/>
    <d v="1899-12-30T04:40:00"/>
    <d v="1899-12-30T04:40:00"/>
    <d v="1899-12-30T05:03:00"/>
    <d v="1899-12-30T00:00:00"/>
    <n v="0.3833333333333333"/>
    <n v="0.3833333333333333"/>
    <s v="Auto cable twist"/>
    <s v="Close"/>
    <n v="1.6666666666666666E-2"/>
    <n v="1"/>
    <m/>
    <m/>
  </r>
  <r>
    <n v="3634"/>
    <n v="2026"/>
    <n v="2025"/>
    <s v="Year_2"/>
    <d v="2025-04-04T00:00:00"/>
    <s v="KUD12"/>
    <s v="O2R1"/>
    <s v="KSIPL"/>
    <n v="4.3478260869565223E-2"/>
    <n v="4560"/>
    <x v="161"/>
    <s v="BladeCEdgePeakLoad: ___.__ kNm"/>
    <s v="Breakdown"/>
    <d v="1899-12-30T16:20:00"/>
    <d v="1899-12-30T16:20:00"/>
    <d v="1899-12-30T17:01:00"/>
    <d v="1899-12-30T00:00:00"/>
    <n v="0.68333333333333357"/>
    <n v="0.68333333333333357"/>
    <s v="manual reset done."/>
    <s v="Close"/>
    <n v="2.9710144927536247E-2"/>
    <n v="1"/>
    <m/>
    <m/>
  </r>
  <r>
    <n v="3635"/>
    <n v="2026"/>
    <n v="2025"/>
    <s v="Year_2"/>
    <d v="2025-04-04T00:00:00"/>
    <s v="KUD13"/>
    <s v="O2R1"/>
    <s v="KSIPL"/>
    <n v="4.3478260869565223E-2"/>
    <n v="4500"/>
    <x v="138"/>
    <s v="Pitch C too low: __._° &lt; __._°"/>
    <s v="Breakdown"/>
    <d v="1899-12-30T06:00:00"/>
    <d v="1899-12-30T06:00:00"/>
    <d v="1899-12-30T07:30:00"/>
    <d v="1899-12-30T00:00:00"/>
    <n v="1.5"/>
    <n v="1.5"/>
    <s v="remote reboot done"/>
    <s v="Close"/>
    <n v="6.5217391304347838E-2"/>
    <n v="1"/>
    <m/>
    <m/>
  </r>
  <r>
    <n v="3636"/>
    <n v="2026"/>
    <n v="2025"/>
    <s v="Year_2"/>
    <d v="2025-04-04T00:00:00"/>
    <s v="KUD13"/>
    <s v="O2R1"/>
    <s v="KSIPL"/>
    <n v="4.3478260869565223E-2"/>
    <n v="309"/>
    <x v="149"/>
    <s v="Pause over RCS __0"/>
    <s v="Manual Stop"/>
    <d v="1899-12-30T09:50:00"/>
    <d v="1899-12-30T09:50:00"/>
    <d v="1899-12-30T17:10:00"/>
    <d v="1899-12-30T00:00:00"/>
    <n v="7.3333333333333339"/>
    <n v="7.3333333333333339"/>
    <s v="Manual stop for 2 years service das-01"/>
    <s v="Close"/>
    <n v="0.31884057971014501"/>
    <n v="1"/>
    <m/>
    <m/>
  </r>
  <r>
    <n v="3637"/>
    <n v="2026"/>
    <n v="2025"/>
    <s v="Year_2"/>
    <d v="2025-04-04T00:00:00"/>
    <s v="KUD17"/>
    <s v="O2R2"/>
    <s v="SIL"/>
    <n v="4.3478260869565223E-2"/>
    <n v="2676"/>
    <x v="124"/>
    <s v="UPS Error"/>
    <s v="Breakdown"/>
    <d v="1899-12-30T15:30:00"/>
    <d v="1899-12-30T15:30:00"/>
    <d v="1899-12-30T16:30:00"/>
    <d v="1899-12-30T00:00:00"/>
    <n v="0.99999999999999911"/>
    <n v="0.99999999999999911"/>
    <s v="UPS reboot done"/>
    <s v="Close"/>
    <n v="4.3478260869565181E-2"/>
    <n v="1"/>
    <m/>
    <m/>
  </r>
  <r>
    <n v="3638"/>
    <n v="2026"/>
    <n v="2025"/>
    <s v="Year_2"/>
    <d v="2025-04-04T00:00:00"/>
    <s v="KUD21"/>
    <s v="O2R3"/>
    <s v="JK"/>
    <n v="4.3478260869565223E-2"/>
    <n v="315"/>
    <x v="120"/>
    <s v="ExEx low voltage L_: ___V"/>
    <s v="Breakdown"/>
    <d v="1899-12-30T15:30:00"/>
    <d v="1899-12-30T15:30:00"/>
    <d v="1899-12-30T16:20:00"/>
    <d v="1899-12-30T00:00:00"/>
    <n v="0.83333333333333304"/>
    <n v="0.83333333333333304"/>
    <s v="Manually charge HVCB"/>
    <s v="Close"/>
    <n v="3.6231884057971009E-2"/>
    <n v="1"/>
    <m/>
    <m/>
  </r>
  <r>
    <n v="3639"/>
    <n v="2026"/>
    <n v="2025"/>
    <s v="Year_2"/>
    <d v="2025-04-05T00:00:00"/>
    <s v="KUD03"/>
    <s v="O2R1"/>
    <s v="KSIPL"/>
    <n v="4.3478260869565223E-2"/>
    <n v="3273"/>
    <x v="35"/>
    <s v="YawUntwistCCW: Code__,_______°"/>
    <m/>
    <d v="1899-12-30T07:49:00"/>
    <d v="1899-12-30T07:49:00"/>
    <d v="1899-12-30T08:09:00"/>
    <d v="1899-12-30T00:00:00"/>
    <n v="0.33333333333333348"/>
    <n v="0.33333333333333348"/>
    <s v="Auto cable twist"/>
    <s v="Close"/>
    <n v="1.4492753623188415E-2"/>
    <n v="1"/>
    <m/>
    <m/>
  </r>
  <r>
    <n v="3640"/>
    <n v="2026"/>
    <n v="2025"/>
    <s v="Year_2"/>
    <d v="2025-04-05T00:00:00"/>
    <s v="KUD13"/>
    <s v="O2R1"/>
    <s v="KSIPL"/>
    <n v="4.3478260869565223E-2"/>
    <n v="309"/>
    <x v="149"/>
    <s v="Pause over RCS __0"/>
    <s v="Manual Stop"/>
    <d v="1899-12-30T09:56:00"/>
    <d v="1899-12-30T09:56:00"/>
    <d v="1899-12-30T15:51:00"/>
    <d v="1899-12-30T00:00:00"/>
    <n v="5.916666666666667"/>
    <n v="5.916666666666667"/>
    <s v="Manual stop for 2 years service das-02"/>
    <s v="Close"/>
    <n v="0.25724637681159424"/>
    <n v="1"/>
    <m/>
    <m/>
  </r>
  <r>
    <n v="3641"/>
    <n v="2026"/>
    <n v="2025"/>
    <s v="Year_2"/>
    <d v="2025-04-05T00:00:00"/>
    <s v="KDL04"/>
    <s v=""/>
    <s v=""/>
    <s v=""/>
    <n v="3273"/>
    <x v="35"/>
    <s v="YawUntwistCCW: Code__,_______°"/>
    <m/>
    <d v="1899-12-30T07:33:00"/>
    <d v="1899-12-30T07:33:00"/>
    <d v="1899-12-30T08:03:00"/>
    <d v="1899-12-30T00:00:00"/>
    <n v="0.49999999999999956"/>
    <n v="0.49999999999999956"/>
    <s v="Auto cable twist"/>
    <s v="Close"/>
    <s v=""/>
    <n v="1"/>
    <m/>
    <m/>
  </r>
  <r>
    <n v="3642"/>
    <n v="2026"/>
    <n v="2025"/>
    <s v="Year_2"/>
    <d v="2025-04-05T00:00:00"/>
    <s v="KUD16"/>
    <s v="O2R2"/>
    <s v="SIL"/>
    <n v="4.3478260869565223E-2"/>
    <n v="3807"/>
    <x v="200"/>
    <s v="HubSafetySystem Batt.Level Err"/>
    <s v="ROW"/>
    <d v="1899-12-30T12:06:00"/>
    <d v="1899-12-30T12:06:00"/>
    <d v="1899-12-30T14:20:00"/>
    <d v="1899-12-30T00:00:00"/>
    <n v="2.2333333333333334"/>
    <n v="2.2333333333333334"/>
    <s v="WTG attend late because of ROW issue"/>
    <s v="Close"/>
    <n v="0"/>
    <n v="1"/>
    <m/>
    <m/>
  </r>
  <r>
    <n v="3643"/>
    <n v="2026"/>
    <n v="2025"/>
    <s v="Year_2"/>
    <d v="2025-04-05T00:00:00"/>
    <s v="KUD16"/>
    <s v="O2R2"/>
    <s v="SIL"/>
    <n v="4.3478260869565223E-2"/>
    <n v="3807"/>
    <x v="200"/>
    <s v="HubSafetySystem Batt.Level Err"/>
    <s v="Breakdown"/>
    <d v="1899-12-30T14:20:00"/>
    <d v="1899-12-30T14:20:00"/>
    <d v="1899-12-30T15:11:00"/>
    <d v="1899-12-30T00:00:00"/>
    <n v="0.84999999999999964"/>
    <n v="0.84999999999999964"/>
    <s v="Attend and change hub battery"/>
    <s v="Close"/>
    <n v="3.6956521739130423E-2"/>
    <n v="1"/>
    <m/>
    <m/>
  </r>
  <r>
    <n v="3644"/>
    <n v="2026"/>
    <n v="2025"/>
    <s v="Year_2"/>
    <d v="2025-04-05T00:00:00"/>
    <s v="KUD17"/>
    <s v="O2R2"/>
    <s v="SIL"/>
    <n v="4.3478260869565223E-2"/>
    <n v="3273"/>
    <x v="35"/>
    <s v="YawUntwistCCW: Code__,_______°"/>
    <m/>
    <d v="1899-12-30T07:59:00"/>
    <d v="1899-12-30T07:59:00"/>
    <d v="1899-12-30T08:28:00"/>
    <d v="1899-12-30T00:00:00"/>
    <n v="0.48333333333333428"/>
    <n v="0.48333333333333428"/>
    <s v="Auto cable twist"/>
    <s v="Close"/>
    <n v="2.1014492753623232E-2"/>
    <n v="1"/>
    <m/>
    <m/>
  </r>
  <r>
    <n v="3645"/>
    <n v="2026"/>
    <n v="2025"/>
    <s v="Year_2"/>
    <d v="2025-04-06T00:00:00"/>
    <s v="KUD01"/>
    <s v="O2R1"/>
    <s v="KSIPL"/>
    <n v="4.3478260869565223E-2"/>
    <n v="3273"/>
    <x v="35"/>
    <s v="YawUntwistCCW: Code__,_______°"/>
    <m/>
    <d v="1899-12-30T10:13:11"/>
    <d v="1899-12-30T10:13:11"/>
    <d v="1899-12-30T10:33:11"/>
    <d v="1899-12-30T00:00:00"/>
    <n v="0.33333333333333348"/>
    <n v="0.33333333333333348"/>
    <s v="Auto cable twist"/>
    <s v="Close"/>
    <n v="1.4492753623188415E-2"/>
    <n v="1"/>
    <n v="4.0000000000000001E-3"/>
    <m/>
  </r>
  <r>
    <n v="3646"/>
    <n v="2026"/>
    <n v="2025"/>
    <s v="Year_2"/>
    <d v="2025-04-06T00:00:00"/>
    <s v="KUD03"/>
    <s v="O2R1"/>
    <s v="KSIPL"/>
    <n v="4.3478260869565223E-2"/>
    <n v="3273"/>
    <x v="35"/>
    <s v="YawUntwistCCW: Code__,_______°"/>
    <m/>
    <d v="1899-12-30T08:08:01"/>
    <d v="1899-12-30T08:08:01"/>
    <d v="1899-12-30T08:29:23"/>
    <d v="1899-12-30T00:00:00"/>
    <n v="0.35611111111111127"/>
    <n v="0.35611111111111127"/>
    <s v="Auto cable twist"/>
    <s v="Close"/>
    <n v="1.5483091787439623E-2"/>
    <n v="1"/>
    <n v="1E-3"/>
    <m/>
  </r>
  <r>
    <n v="3647"/>
    <n v="2026"/>
    <n v="2025"/>
    <s v="Year_2"/>
    <d v="2025-04-06T00:00:00"/>
    <s v="KUD08"/>
    <s v="O2R3"/>
    <s v="JK"/>
    <n v="4.3478260869565223E-2"/>
    <n v="3273"/>
    <x v="35"/>
    <s v="YawUntwistCCW: Code__,_______°"/>
    <m/>
    <d v="1899-12-30T17:21:19"/>
    <d v="1899-12-30T17:21:19"/>
    <d v="1899-12-30T17:46:33"/>
    <d v="1899-12-30T00:00:00"/>
    <n v="0.42055555555555557"/>
    <n v="0.42055555555555557"/>
    <s v="Auto cable twist"/>
    <s v="Close"/>
    <n v="1.8285024154589376E-2"/>
    <n v="1"/>
    <n v="2E-3"/>
    <m/>
  </r>
  <r>
    <n v="3648"/>
    <n v="2026"/>
    <n v="2025"/>
    <s v="Year_2"/>
    <d v="2025-04-06T00:00:00"/>
    <s v="KUD10"/>
    <s v="O2R1"/>
    <s v="KSIPL"/>
    <n v="4.3478260869565223E-2"/>
    <n v="3273"/>
    <x v="35"/>
    <s v="YawUntwistCCW: Code__,_______°"/>
    <m/>
    <d v="1899-12-30T06:53:04"/>
    <d v="1899-12-30T06:53:04"/>
    <d v="1899-12-30T07:15:26"/>
    <d v="1899-12-30T00:00:00"/>
    <n v="0.37277777777777787"/>
    <n v="0.37277777777777787"/>
    <s v="Auto cable twist"/>
    <s v="Close"/>
    <n v="1.6207729468599039E-2"/>
    <n v="1"/>
    <n v="4.1000000000000002E-2"/>
    <m/>
  </r>
  <r>
    <n v="3649"/>
    <n v="2026"/>
    <n v="2025"/>
    <s v="Year_2"/>
    <d v="2025-04-06T00:00:00"/>
    <s v="KUD11"/>
    <s v="O2R1"/>
    <s v="KSIPL"/>
    <n v="4.3478260869565223E-2"/>
    <n v="3273"/>
    <x v="35"/>
    <s v="YawUntwistCCW: Code__,_______°"/>
    <m/>
    <d v="1899-12-30T07:00:55"/>
    <d v="1899-12-30T07:00:55"/>
    <d v="1899-12-30T07:25:17"/>
    <d v="1899-12-30T00:00:00"/>
    <n v="0.40611111111111109"/>
    <n v="0.40611111111111109"/>
    <s v="Auto cable twist"/>
    <s v="Close"/>
    <n v="1.7657004830917877E-2"/>
    <n v="1"/>
    <n v="3.5000000000000003E-2"/>
    <m/>
  </r>
  <r>
    <n v="3650"/>
    <n v="2026"/>
    <n v="2025"/>
    <s v="Year_2"/>
    <d v="2025-04-06T00:00:00"/>
    <s v="KUD12"/>
    <s v="O2R1"/>
    <s v="KSIPL"/>
    <n v="4.3478260869565223E-2"/>
    <n v="3273"/>
    <x v="35"/>
    <s v="YawUntwistCCW: Code__,_______°"/>
    <m/>
    <d v="1899-12-30T07:47:47"/>
    <d v="1899-12-30T07:47:47"/>
    <d v="1899-12-30T08:07:51"/>
    <d v="1899-12-30T00:00:00"/>
    <n v="0.33444444444444388"/>
    <n v="0.33444444444444388"/>
    <s v="Auto cable twist"/>
    <s v="Close"/>
    <n v="1.4541062801932344E-2"/>
    <n v="1"/>
    <n v="1.9E-2"/>
    <m/>
  </r>
  <r>
    <n v="3651"/>
    <n v="2026"/>
    <n v="2025"/>
    <s v="Year_2"/>
    <d v="2025-04-06T00:00:00"/>
    <s v="KUD13"/>
    <s v="O2R1"/>
    <s v="KSIPL"/>
    <n v="4.3478260869565223E-2"/>
    <n v="3273"/>
    <x v="35"/>
    <s v="YawUntwistCCW: Code__,_______°"/>
    <m/>
    <d v="1899-12-30T08:15:28"/>
    <d v="1899-12-30T08:15:28"/>
    <d v="1899-12-30T08:37:17"/>
    <d v="1899-12-30T00:00:00"/>
    <n v="0.36361111111111111"/>
    <n v="0.36361111111111111"/>
    <s v="Auto cable twist"/>
    <s v="Close"/>
    <n v="1.5809178743961354E-2"/>
    <n v="1"/>
    <n v="1E-3"/>
    <m/>
  </r>
  <r>
    <n v="3652"/>
    <n v="2026"/>
    <n v="2025"/>
    <s v="Year_2"/>
    <d v="2025-04-06T00:00:00"/>
    <s v="KUD14"/>
    <s v="O2R1"/>
    <s v="KSIPL"/>
    <n v="4.3478260869565223E-2"/>
    <n v="3273"/>
    <x v="35"/>
    <s v="YawUntwistCCW: Code__,_______°"/>
    <m/>
    <d v="1899-12-30T08:18:40"/>
    <d v="1899-12-30T08:18:40"/>
    <d v="1899-12-30T08:40:30"/>
    <d v="1899-12-30T00:00:00"/>
    <n v="0.36388888888888937"/>
    <n v="0.36388888888888937"/>
    <s v="Auto cable twist"/>
    <s v="Close"/>
    <n v="1.5821256038647365E-2"/>
    <n v="1"/>
    <n v="1E-3"/>
    <m/>
  </r>
  <r>
    <n v="3653"/>
    <n v="2026"/>
    <n v="2025"/>
    <s v="Year_2"/>
    <d v="2025-04-06T00:00:00"/>
    <s v="KUD19"/>
    <s v="O2R1"/>
    <s v="KSIPL"/>
    <n v="4.3478260869565223E-2"/>
    <n v="3273"/>
    <x v="35"/>
    <s v="YawUntwistCCW: Code__,_______°"/>
    <m/>
    <d v="1899-12-30T17:03:07"/>
    <d v="1899-12-30T17:03:07"/>
    <d v="1899-12-30T17:27:38"/>
    <d v="1899-12-30T00:00:00"/>
    <n v="0.40861111111111015"/>
    <n v="0.40861111111111015"/>
    <s v="Auto cable twist"/>
    <s v="Close"/>
    <n v="1.7765700483091749E-2"/>
    <n v="1"/>
    <n v="1E-3"/>
    <m/>
  </r>
  <r>
    <n v="3654"/>
    <n v="2026"/>
    <n v="2025"/>
    <s v="Year_2"/>
    <d v="2025-04-06T00:00:00"/>
    <s v="KUD20"/>
    <s v="O2R1"/>
    <s v="KSIPL"/>
    <n v="4.3478260869565223E-2"/>
    <n v="3273"/>
    <x v="35"/>
    <s v="YawUntwistCCW: Code__,_______°"/>
    <m/>
    <d v="1899-12-30T07:51:32"/>
    <d v="1899-12-30T07:51:32"/>
    <d v="1899-12-30T08:17:26"/>
    <d v="1899-12-30T00:00:00"/>
    <n v="0.43166666666666753"/>
    <n v="0.43166666666666753"/>
    <s v="Auto cable twist"/>
    <s v="Close"/>
    <n v="1.8768115942029026E-2"/>
    <n v="1"/>
    <n v="1E-3"/>
    <m/>
  </r>
  <r>
    <n v="3655"/>
    <n v="2026"/>
    <n v="2025"/>
    <s v="Year_2"/>
    <d v="2025-04-06T00:00:00"/>
    <s v="KUD02"/>
    <s v="O2R3"/>
    <s v="JK"/>
    <n v="4.3478260869565223E-2"/>
    <n v="3273"/>
    <x v="35"/>
    <s v="YawUntwistCCW: Code__,_______°"/>
    <m/>
    <d v="1899-12-30T07:53:07"/>
    <d v="1899-12-30T07:53:07"/>
    <d v="1899-12-30T08:13:06"/>
    <d v="1899-12-30T00:00:00"/>
    <n v="0.33305555555555655"/>
    <n v="0.33305555555555655"/>
    <s v="Auto cable twist"/>
    <s v="Close"/>
    <n v="1.4480676328502461E-2"/>
    <n v="1"/>
    <n v="1E-3"/>
    <m/>
  </r>
  <r>
    <n v="3656"/>
    <n v="2026"/>
    <n v="2025"/>
    <s v="Year_2"/>
    <d v="2025-04-06T00:00:00"/>
    <s v="KUD02"/>
    <s v="O2R3"/>
    <s v="JK"/>
    <n v="4.3478260869565223E-2"/>
    <n v="3273"/>
    <x v="35"/>
    <s v="YawUntwistCCW: Code__,_______°"/>
    <m/>
    <d v="1899-12-30T17:47:51"/>
    <d v="1899-12-30T17:47:51"/>
    <d v="1899-12-30T18:19:12"/>
    <d v="1899-12-30T00:00:00"/>
    <n v="0.52249999999999908"/>
    <n v="0.52249999999999908"/>
    <s v="Auto cable twist"/>
    <s v="Close"/>
    <n v="2.271739130434779E-2"/>
    <n v="1"/>
    <n v="0.432"/>
    <m/>
  </r>
  <r>
    <n v="3657"/>
    <n v="2026"/>
    <n v="2025"/>
    <s v="Year_2"/>
    <d v="2025-04-06T00:00:00"/>
    <s v="KUD04"/>
    <s v="O2R3"/>
    <s v="JK"/>
    <n v="4.3478260869565223E-2"/>
    <n v="3273"/>
    <x v="35"/>
    <s v="YawUntwistCCW: Code__,_______°"/>
    <m/>
    <d v="1899-12-30T15:50:34"/>
    <d v="1899-12-30T15:50:34"/>
    <d v="1899-12-30T16:17:07"/>
    <d v="1899-12-30T00:00:00"/>
    <n v="0.44249999999999989"/>
    <n v="0.44249999999999989"/>
    <s v="Auto cable twist"/>
    <s v="Close"/>
    <n v="1.9239130434782606E-2"/>
    <n v="1"/>
    <n v="0.187"/>
    <m/>
  </r>
  <r>
    <n v="3658"/>
    <n v="2026"/>
    <n v="2025"/>
    <s v="Year_2"/>
    <d v="2025-04-06T00:00:00"/>
    <s v="KUD05"/>
    <s v="O2R3"/>
    <s v="JK"/>
    <n v="4.3478260869565223E-2"/>
    <n v="3273"/>
    <x v="35"/>
    <s v="YawUntwistCCW: Code__,_______°"/>
    <m/>
    <d v="1899-12-30T10:30:29"/>
    <d v="1899-12-30T10:30:29"/>
    <d v="1899-12-30T10:50:38"/>
    <d v="1899-12-30T00:00:00"/>
    <n v="0.33583333333333387"/>
    <n v="0.33583333333333387"/>
    <s v="Auto cable twist"/>
    <s v="Close"/>
    <n v="1.4601449275362345E-2"/>
    <n v="1"/>
    <n v="6.0999999999999999E-2"/>
    <m/>
  </r>
  <r>
    <n v="3659"/>
    <n v="2026"/>
    <n v="2025"/>
    <s v="Year_2"/>
    <d v="2025-04-06T00:00:00"/>
    <s v="KUD06"/>
    <s v="O2R3"/>
    <s v="JK"/>
    <n v="4.3478260869565223E-2"/>
    <n v="3273"/>
    <x v="35"/>
    <s v="YawUntwistCCW: Code__,_______°"/>
    <m/>
    <d v="1899-12-30T06:50:48"/>
    <d v="1899-12-30T06:50:48"/>
    <d v="1899-12-30T07:15:51"/>
    <d v="1899-12-30T00:00:00"/>
    <n v="0.41749999999999998"/>
    <n v="0.41749999999999998"/>
    <s v="Auto cable twist"/>
    <s v="Close"/>
    <n v="1.8152173913043478E-2"/>
    <n v="1"/>
    <n v="2E-3"/>
    <m/>
  </r>
  <r>
    <n v="3660"/>
    <n v="2026"/>
    <n v="2025"/>
    <s v="Year_2"/>
    <d v="2025-04-06T00:00:00"/>
    <s v="KUD07"/>
    <s v="O2R3"/>
    <s v="JK"/>
    <n v="4.3478260869565223E-2"/>
    <n v="3273"/>
    <x v="35"/>
    <s v="YawUntwistCCW: Code__,_______°"/>
    <m/>
    <d v="1899-12-30T17:15:32"/>
    <d v="1899-12-30T17:15:32"/>
    <d v="1899-12-30T17:41:50"/>
    <d v="1899-12-30T00:00:00"/>
    <n v="0.43833333333333258"/>
    <n v="0.43833333333333258"/>
    <s v="Auto cable twist"/>
    <s v="Close"/>
    <n v="1.9057971014492723E-2"/>
    <n v="1"/>
    <n v="4.2000000000000003E-2"/>
    <m/>
  </r>
  <r>
    <n v="3661"/>
    <n v="2026"/>
    <n v="2025"/>
    <s v="Year_2"/>
    <d v="2025-04-06T00:00:00"/>
    <s v="KUD09"/>
    <s v="O2R3"/>
    <s v="JK"/>
    <n v="4.3478260869565223E-2"/>
    <n v="3273"/>
    <x v="35"/>
    <s v="YawUntwistCCW: Code__,_______°"/>
    <m/>
    <d v="1899-12-30T07:47:01"/>
    <d v="1899-12-30T07:47:01"/>
    <d v="1899-12-30T08:06:54"/>
    <d v="1899-12-30T00:00:00"/>
    <n v="0.33138888888888962"/>
    <n v="0.33138888888888962"/>
    <s v="Auto cable twist"/>
    <s v="Close"/>
    <n v="1.4408212560386506E-2"/>
    <n v="1"/>
    <n v="1E-3"/>
    <m/>
  </r>
  <r>
    <n v="3662"/>
    <n v="2026"/>
    <n v="2025"/>
    <s v="Year_2"/>
    <d v="2025-04-06T00:00:00"/>
    <s v="KUD09"/>
    <s v="O2R3"/>
    <s v="JK"/>
    <n v="4.3478260869565223E-2"/>
    <n v="3273"/>
    <x v="35"/>
    <s v="YawUntwistCCW: Code__,_______°"/>
    <m/>
    <d v="1899-12-30T17:08:13"/>
    <d v="1899-12-30T17:08:13"/>
    <d v="1899-12-30T17:32:14"/>
    <d v="1899-12-30T00:00:00"/>
    <n v="0.40027777777777818"/>
    <n v="0.40027777777777818"/>
    <s v="Auto cable twist"/>
    <s v="Close"/>
    <n v="1.7403381642512098E-2"/>
    <n v="1"/>
    <n v="3.0000000000000001E-3"/>
    <m/>
  </r>
  <r>
    <n v="3663"/>
    <n v="2026"/>
    <n v="2025"/>
    <s v="Year_2"/>
    <d v="2025-04-06T00:00:00"/>
    <s v="KUD16"/>
    <s v="O2R2"/>
    <s v="SIL"/>
    <n v="4.3478260869565223E-2"/>
    <n v="3273"/>
    <x v="35"/>
    <s v="YawUntwistCCW: Code__,_______°"/>
    <m/>
    <d v="1899-12-30T17:41:43"/>
    <d v="1899-12-30T17:41:43"/>
    <d v="1899-12-30T18:11:25"/>
    <d v="1899-12-30T00:00:00"/>
    <n v="0.49500000000000011"/>
    <n v="0.49500000000000011"/>
    <s v="Auto cable twist"/>
    <s v="Close"/>
    <n v="2.152173913043479E-2"/>
    <n v="1"/>
    <n v="0.40600000000000003"/>
    <m/>
  </r>
  <r>
    <n v="3664"/>
    <n v="2026"/>
    <n v="2025"/>
    <s v="Year_2"/>
    <d v="2025-04-06T00:00:00"/>
    <s v="KUD18"/>
    <s v="O2R4"/>
    <s v="SGDCIPL"/>
    <n v="4.3478260869565223E-2"/>
    <n v="3273"/>
    <x v="35"/>
    <s v="YawUntwistCCW: Code__,_______°"/>
    <m/>
    <d v="1899-12-30T07:59:42"/>
    <d v="1899-12-30T07:59:42"/>
    <d v="1899-12-30T08:20:00"/>
    <d v="1899-12-30T00:00:00"/>
    <n v="0.33833333333333293"/>
    <n v="0.33833333333333293"/>
    <s v="Auto cable twist"/>
    <s v="Close"/>
    <n v="1.4710144927536216E-2"/>
    <n v="1"/>
    <n v="5.0000000000000001E-3"/>
    <m/>
  </r>
  <r>
    <n v="3665"/>
    <n v="2026"/>
    <n v="2025"/>
    <s v="Year_2"/>
    <d v="2025-04-06T00:00:00"/>
    <s v="KUD21"/>
    <s v="O2R3"/>
    <s v="JK"/>
    <n v="4.3478260869565223E-2"/>
    <n v="3273"/>
    <x v="35"/>
    <s v="YawUntwistCCW: Code__,_______°"/>
    <m/>
    <d v="1899-12-30T07:45:39"/>
    <d v="1899-12-30T07:45:39"/>
    <d v="1899-12-30T08:05:51"/>
    <d v="1899-12-30T00:00:00"/>
    <n v="0.33666666666666734"/>
    <n v="0.33666666666666734"/>
    <s v="Auto cable twist"/>
    <s v="Close"/>
    <n v="1.463768115942032E-2"/>
    <n v="1"/>
    <n v="1E-3"/>
    <m/>
  </r>
  <r>
    <n v="3666"/>
    <n v="2026"/>
    <n v="2025"/>
    <s v="Year_2"/>
    <d v="2025-04-06T00:00:00"/>
    <s v="KUD21"/>
    <s v="O2R3"/>
    <s v="JK"/>
    <n v="4.3478260869565223E-2"/>
    <n v="3273"/>
    <x v="35"/>
    <s v="YawUntwistCCW: Code__,_______°"/>
    <m/>
    <d v="1899-12-30T17:52:08"/>
    <d v="1899-12-30T17:52:08"/>
    <d v="1899-12-30T18:21:49"/>
    <d v="1899-12-30T00:00:00"/>
    <n v="0.49472222222222317"/>
    <n v="0.49472222222222317"/>
    <s v="Auto cable twist"/>
    <s v="Close"/>
    <n v="2.1509661835748838E-2"/>
    <n v="1"/>
    <n v="0.42499999999999999"/>
    <m/>
  </r>
  <r>
    <n v="3667"/>
    <n v="2026"/>
    <n v="2025"/>
    <s v="Year_2"/>
    <d v="2025-04-06T00:00:00"/>
    <s v="KUD22"/>
    <s v="O2R3"/>
    <s v="JK"/>
    <n v="4.3478260869565223E-2"/>
    <n v="3273"/>
    <x v="35"/>
    <s v="YawUntwistCCW: Code__,_______°"/>
    <m/>
    <d v="1899-12-30T07:16:48"/>
    <d v="1899-12-30T07:16:48"/>
    <d v="1899-12-30T07:42:45"/>
    <d v="1899-12-30T00:00:00"/>
    <n v="0.43249999999999966"/>
    <n v="0.43249999999999966"/>
    <s v="Auto cable twist"/>
    <s v="Close"/>
    <n v="1.8804347826086944E-2"/>
    <n v="1"/>
    <n v="2E-3"/>
    <m/>
  </r>
  <r>
    <n v="3668"/>
    <n v="2026"/>
    <n v="2025"/>
    <s v="Year_2"/>
    <d v="2025-04-06T00:00:00"/>
    <s v="KUD23"/>
    <s v="O2R3"/>
    <s v="JK"/>
    <n v="4.3478260869565223E-2"/>
    <n v="3273"/>
    <x v="35"/>
    <s v="YawUntwistCCW: Code__,_______°"/>
    <m/>
    <d v="1899-12-30T07:10:07"/>
    <d v="1899-12-30T07:10:07"/>
    <d v="1899-12-30T07:35:32"/>
    <d v="1899-12-30T00:00:00"/>
    <n v="0.42361111111111116"/>
    <n v="0.42361111111111116"/>
    <s v="Auto cable twist"/>
    <s v="Close"/>
    <n v="1.8417874396135271E-2"/>
    <n v="1"/>
    <n v="2E-3"/>
    <m/>
  </r>
  <r>
    <n v="3669"/>
    <n v="2026"/>
    <n v="2025"/>
    <s v="Year_2"/>
    <d v="2025-04-07T00:00:00"/>
    <s v="KUD03"/>
    <s v="O2R1"/>
    <s v="KSIPL"/>
    <n v="4.3478260869565223E-2"/>
    <n v="3273"/>
    <x v="35"/>
    <s v="YawUntwistCCW: Code__,_______°"/>
    <m/>
    <d v="1899-12-30T14:28:00"/>
    <d v="1899-12-30T14:28:00"/>
    <d v="1899-12-30T14:49:00"/>
    <d v="1899-12-30T00:00:00"/>
    <n v="0.35000000000000142"/>
    <n v="0.35000000000000142"/>
    <s v="Auto cable twist"/>
    <s v="Close"/>
    <n v="1.5217391304347889E-2"/>
    <n v="1"/>
    <n v="2E-3"/>
    <m/>
  </r>
  <r>
    <n v="3670"/>
    <n v="2026"/>
    <n v="2025"/>
    <s v="Year_2"/>
    <d v="2025-04-07T00:00:00"/>
    <s v="KUD08"/>
    <s v="O2R3"/>
    <s v="JK"/>
    <n v="4.3478260869565223E-2"/>
    <n v="309"/>
    <x v="149"/>
    <s v="Pause over RCS __0"/>
    <s v="Manual Stop"/>
    <d v="1899-12-30T09:59:00"/>
    <d v="1899-12-30T09:59:00"/>
    <d v="1899-12-30T18:34:00"/>
    <d v="1899-12-30T00:00:00"/>
    <n v="8.5833333333333339"/>
    <n v="8.5833333333333339"/>
    <s v="Manual stop for 2 years service das-01"/>
    <s v="Close"/>
    <n v="0.3731884057971015"/>
    <n v="1"/>
    <n v="0.85199999999999998"/>
    <m/>
  </r>
  <r>
    <n v="3671"/>
    <n v="2026"/>
    <n v="2025"/>
    <s v="Year_2"/>
    <d v="2025-04-07T00:00:00"/>
    <s v="KUD10"/>
    <s v="O2R1"/>
    <s v="KSIPL"/>
    <n v="4.3478260869565223E-2"/>
    <n v="3273"/>
    <x v="35"/>
    <s v="YawUntwistCCW: Code__,_______°"/>
    <m/>
    <d v="1899-12-30T11:50:00"/>
    <d v="1899-12-30T11:50:00"/>
    <d v="1899-12-30T12:10:00"/>
    <d v="1899-12-30T00:00:00"/>
    <n v="0.33333333333333215"/>
    <n v="0.33333333333333215"/>
    <s v="Auto cable twist"/>
    <s v="Close"/>
    <n v="1.4492753623188356E-2"/>
    <n v="1"/>
    <n v="1E-3"/>
    <m/>
  </r>
  <r>
    <n v="3672"/>
    <n v="2026"/>
    <n v="2025"/>
    <s v="Year_2"/>
    <d v="2025-04-07T00:00:00"/>
    <s v="KUD12"/>
    <s v="O2R1"/>
    <s v="KSIPL"/>
    <n v="4.3478260869565223E-2"/>
    <n v="3273"/>
    <x v="35"/>
    <s v="YawUntwistCCW: Code__,_______°"/>
    <m/>
    <d v="1899-12-30T17:09:00"/>
    <d v="1899-12-30T17:09:00"/>
    <d v="1899-12-30T17:32:00"/>
    <d v="1899-12-30T00:00:00"/>
    <n v="0.38333333333333197"/>
    <n v="0.38333333333333197"/>
    <s v="Auto cable twist"/>
    <s v="Close"/>
    <n v="1.6666666666666611E-2"/>
    <n v="1"/>
    <n v="0.153"/>
    <m/>
  </r>
  <r>
    <n v="3673"/>
    <n v="2026"/>
    <n v="2025"/>
    <s v="Year_2"/>
    <d v="2025-04-07T00:00:00"/>
    <s v="KUD13"/>
    <s v="O2R1"/>
    <s v="KSIPL"/>
    <n v="4.3478260869565223E-2"/>
    <n v="3273"/>
    <x v="35"/>
    <s v="YawUntwistCCW: Code__,_______°"/>
    <m/>
    <d v="1899-12-30T13:50:00"/>
    <d v="1899-12-30T13:50:00"/>
    <d v="1899-12-30T14:12:00"/>
    <d v="1899-12-30T00:00:00"/>
    <n v="0.36666666666666803"/>
    <n v="0.36666666666666803"/>
    <s v="Auto cable twist"/>
    <s v="Close"/>
    <n v="1.5942028985507308E-2"/>
    <n v="1"/>
    <n v="1E-3"/>
    <m/>
  </r>
  <r>
    <n v="3674"/>
    <n v="2026"/>
    <n v="2025"/>
    <s v="Year_2"/>
    <d v="2025-04-07T00:00:00"/>
    <s v="KUD15"/>
    <s v="O2R1"/>
    <s v="KSIPL"/>
    <n v="4.3478260869565223E-2"/>
    <n v="3273"/>
    <x v="35"/>
    <s v="YawUntwistCCW: Code__,_______°"/>
    <m/>
    <d v="1899-12-30T02:38:00"/>
    <d v="1899-12-30T02:38:00"/>
    <d v="1899-12-30T03:02:00"/>
    <d v="1899-12-30T00:00:00"/>
    <n v="0.39999999999999991"/>
    <n v="0.39999999999999991"/>
    <s v="Auto cable twist"/>
    <s v="Close"/>
    <n v="1.7391304347826084E-2"/>
    <n v="1"/>
    <n v="3.5000000000000003E-2"/>
    <m/>
  </r>
  <r>
    <n v="3675"/>
    <n v="2026"/>
    <n v="2025"/>
    <s v="Year_2"/>
    <d v="2025-04-07T00:00:00"/>
    <s v="KUD20"/>
    <s v="O2R1"/>
    <s v="KSIPL"/>
    <n v="4.3478260869565223E-2"/>
    <n v="3273"/>
    <x v="35"/>
    <s v="YawUntwistCCW: Code__,_______°"/>
    <m/>
    <d v="1899-12-30T07:06:00"/>
    <d v="1899-12-30T07:06:00"/>
    <d v="1899-12-30T07:28:00"/>
    <d v="1899-12-30T00:00:00"/>
    <n v="0.3666666666666667"/>
    <n v="0.3666666666666667"/>
    <s v="Auto cable twist"/>
    <s v="Close"/>
    <n v="1.5942028985507249E-2"/>
    <n v="1"/>
    <n v="2E-3"/>
    <m/>
  </r>
  <r>
    <n v="3676"/>
    <n v="2026"/>
    <n v="2025"/>
    <s v="Year_2"/>
    <d v="2025-04-07T00:00:00"/>
    <s v="KUD04"/>
    <s v="O2R3"/>
    <s v="JK"/>
    <n v="4.3478260869565223E-2"/>
    <n v="3273"/>
    <x v="35"/>
    <s v="YawUntwistCCW: Code__,_______°"/>
    <m/>
    <d v="1899-12-30T15:51:00"/>
    <d v="1899-12-30T15:51:00"/>
    <d v="1899-12-30T16:12:00"/>
    <d v="1899-12-30T00:00:00"/>
    <n v="0.35000000000000142"/>
    <n v="0.35000000000000142"/>
    <s v="Auto cable twist"/>
    <s v="Close"/>
    <n v="1.5217391304347889E-2"/>
    <n v="1"/>
    <n v="0.14399999999999999"/>
    <m/>
  </r>
  <r>
    <n v="3677"/>
    <n v="2026"/>
    <n v="2025"/>
    <s v="Year_2"/>
    <d v="2025-04-07T00:00:00"/>
    <s v="KUD05"/>
    <s v="O2R3"/>
    <s v="JK"/>
    <n v="4.3478260869565223E-2"/>
    <n v="3273"/>
    <x v="35"/>
    <s v="YawUntwistCCW: Code__,_______°"/>
    <m/>
    <d v="1899-12-30T04:07:00"/>
    <d v="1899-12-30T04:07:00"/>
    <d v="1899-12-30T04:27:00"/>
    <d v="1899-12-30T00:00:00"/>
    <n v="0.33333333333333348"/>
    <n v="0.33333333333333348"/>
    <s v="Auto cable twist"/>
    <s v="Close"/>
    <n v="1.4492753623188415E-2"/>
    <n v="1"/>
    <n v="1E-3"/>
    <m/>
  </r>
  <r>
    <n v="3678"/>
    <n v="2026"/>
    <n v="2025"/>
    <s v="Year_2"/>
    <d v="2025-04-07T00:00:00"/>
    <s v="KUD06"/>
    <s v="O2R3"/>
    <s v="JK"/>
    <n v="4.3478260869565223E-2"/>
    <n v="3273"/>
    <x v="35"/>
    <s v="YawUntwistCCW: Code__,_______°"/>
    <m/>
    <d v="1899-12-30T05:01:00"/>
    <d v="1899-12-30T05:01:00"/>
    <d v="1899-12-30T05:21:00"/>
    <d v="1899-12-30T00:00:00"/>
    <n v="0.33333333333333348"/>
    <n v="0.33333333333333348"/>
    <s v="Auto cable twist"/>
    <s v="Close"/>
    <n v="1.4492753623188415E-2"/>
    <n v="1"/>
    <n v="0"/>
    <m/>
  </r>
  <r>
    <n v="3679"/>
    <n v="2026"/>
    <n v="2025"/>
    <s v="Year_2"/>
    <d v="2025-04-07T00:00:00"/>
    <s v="KUD07"/>
    <s v="O2R3"/>
    <s v="JK"/>
    <n v="4.3478260869565223E-2"/>
    <n v="3273"/>
    <x v="35"/>
    <s v="YawUntwistCCW: Code__,_______°"/>
    <m/>
    <d v="1899-12-30T12:32:00"/>
    <d v="1899-12-30T12:32:00"/>
    <d v="1899-12-30T12:53:00"/>
    <d v="1899-12-30T00:00:00"/>
    <n v="0.34999999999999876"/>
    <n v="0.34999999999999876"/>
    <s v="Auto cable twist"/>
    <s v="Close"/>
    <n v="1.5217391304347775E-2"/>
    <n v="1"/>
    <n v="1E-3"/>
    <m/>
  </r>
  <r>
    <n v="3680"/>
    <n v="2026"/>
    <n v="2025"/>
    <s v="Year_2"/>
    <d v="2025-04-07T00:00:00"/>
    <s v="KUD17"/>
    <s v="O2R2"/>
    <s v="SIL"/>
    <n v="4.3478260869565223E-2"/>
    <n v="3273"/>
    <x v="35"/>
    <s v="YawUntwistCCW: Code__,_______°"/>
    <m/>
    <d v="1899-12-30T02:40:00"/>
    <d v="1899-12-30T02:40:00"/>
    <d v="1899-12-30T03:05:00"/>
    <d v="1899-12-30T00:00:00"/>
    <n v="0.41666666666666652"/>
    <n v="0.41666666666666652"/>
    <s v="Auto cable twist"/>
    <s v="Close"/>
    <n v="1.8115942028985504E-2"/>
    <n v="1"/>
    <n v="0"/>
    <m/>
  </r>
  <r>
    <n v="3681"/>
    <n v="2026"/>
    <n v="2025"/>
    <s v="Year_2"/>
    <d v="2025-04-07T00:00:00"/>
    <s v="KUD22"/>
    <s v="O2R3"/>
    <s v="JK"/>
    <n v="4.3478260869565223E-2"/>
    <n v="3273"/>
    <x v="35"/>
    <s v="YawUntwistCCW: Code__,_______°"/>
    <m/>
    <d v="1899-12-30T04:02:00"/>
    <d v="1899-12-30T04:02:00"/>
    <d v="1899-12-30T04:23:00"/>
    <d v="1899-12-30T00:00:00"/>
    <n v="0.34999999999999942"/>
    <n v="0.34999999999999942"/>
    <s v="Auto cable twist"/>
    <s v="Close"/>
    <n v="1.5217391304347802E-2"/>
    <n v="1"/>
    <n v="6.0000000000000001E-3"/>
    <m/>
  </r>
  <r>
    <n v="3682"/>
    <n v="2026"/>
    <n v="2025"/>
    <s v="Year_2"/>
    <d v="2025-04-07T00:00:00"/>
    <s v="KUD23"/>
    <s v="O2R3"/>
    <s v="JK"/>
    <n v="4.3478260869565223E-2"/>
    <n v="3273"/>
    <x v="35"/>
    <s v="YawUntwistCCW: Code__,_______°"/>
    <m/>
    <d v="1899-12-30T04:54:00"/>
    <d v="1899-12-30T04:54:00"/>
    <d v="1899-12-30T05:15:00"/>
    <d v="1899-12-30T00:00:00"/>
    <n v="0.35000000000000009"/>
    <n v="0.35000000000000009"/>
    <s v="Auto cable twist"/>
    <s v="Close"/>
    <n v="1.5217391304347832E-2"/>
    <n v="1"/>
    <n v="5.0000000000000001E-3"/>
    <m/>
  </r>
  <r>
    <n v="3683"/>
    <n v="2026"/>
    <n v="2025"/>
    <s v="Year_2"/>
    <d v="2025-04-08T00:00:00"/>
    <s v="KUD08"/>
    <s v="O2R3"/>
    <s v="JK"/>
    <n v="4.3478260869565223E-2"/>
    <n v="309"/>
    <x v="149"/>
    <s v="Pause over RCS __0"/>
    <s v="Manual Stop"/>
    <d v="1899-12-30T10:24:00"/>
    <d v="1899-12-30T10:24:00"/>
    <d v="1899-12-30T17:29:00"/>
    <d v="1899-12-30T00:00:00"/>
    <n v="7.0833333333333321"/>
    <n v="7.0833333333333321"/>
    <s v="Manual stop for 2 years service das-02"/>
    <s v="Close"/>
    <n v="0.3079710144927536"/>
    <n v="1"/>
    <n v="5.1999999999999998E-2"/>
    <m/>
  </r>
  <r>
    <n v="3684"/>
    <n v="2026"/>
    <n v="2025"/>
    <s v="Year_2"/>
    <d v="2025-04-09T00:00:00"/>
    <s v="KUD03"/>
    <s v="O2R1"/>
    <s v="KSIPL"/>
    <n v="4.3478260869565223E-2"/>
    <n v="3273"/>
    <x v="35"/>
    <s v="YawUntwistCCW: Code__,_______°"/>
    <m/>
    <d v="1899-12-30T03:42:00"/>
    <d v="1899-12-30T03:42:00"/>
    <d v="1899-12-30T04:09:00"/>
    <d v="1899-12-30T00:00:00"/>
    <n v="0.44999999999999973"/>
    <n v="0.44999999999999973"/>
    <s v="Auto cable twist"/>
    <s v="Close"/>
    <n v="1.9565217391304339E-2"/>
    <n v="1"/>
    <n v="2.1999999999999999E-2"/>
    <m/>
  </r>
  <r>
    <n v="3685"/>
    <n v="2026"/>
    <n v="2025"/>
    <s v="Year_2"/>
    <d v="2025-04-09T00:00:00"/>
    <s v="KUD11"/>
    <s v="O2R1"/>
    <s v="KSIPL"/>
    <n v="4.3478260869565223E-2"/>
    <n v="3273"/>
    <x v="35"/>
    <s v="YawUntwistCCW: Code__,_______°"/>
    <m/>
    <d v="1899-12-30T13:18:00"/>
    <d v="1899-12-30T13:18:00"/>
    <d v="1899-12-30T13:38:00"/>
    <d v="1899-12-30T00:00:00"/>
    <n v="0.33333333333333215"/>
    <n v="0.33333333333333215"/>
    <s v="Auto cable twist"/>
    <s v="Close"/>
    <n v="1.4492753623188356E-2"/>
    <n v="1"/>
    <n v="1.2999999999999999E-2"/>
    <m/>
  </r>
  <r>
    <n v="3686"/>
    <n v="2026"/>
    <n v="2025"/>
    <s v="Year_2"/>
    <d v="2025-04-09T00:00:00"/>
    <s v="KUD14"/>
    <s v="O2R1"/>
    <s v="KSIPL"/>
    <n v="4.3478260869565223E-2"/>
    <n v="3273"/>
    <x v="35"/>
    <s v="YawUntwistCCW: Code__,_______°"/>
    <m/>
    <d v="1899-12-30T15:13:00"/>
    <d v="1899-12-30T15:13:00"/>
    <d v="1899-12-30T15:39:00"/>
    <d v="1899-12-30T00:00:00"/>
    <n v="0.43333333333333446"/>
    <n v="0.43333333333333446"/>
    <s v="Auto cable twist"/>
    <s v="Close"/>
    <n v="1.8840579710144977E-2"/>
    <n v="1"/>
    <n v="8.9999999999999993E-3"/>
    <m/>
  </r>
  <r>
    <n v="3687"/>
    <n v="2026"/>
    <n v="2025"/>
    <s v="Year_2"/>
    <d v="2025-04-09T00:00:00"/>
    <s v="KUD05"/>
    <s v="O2R3"/>
    <s v="JK"/>
    <n v="4.3478260869565223E-2"/>
    <n v="309"/>
    <x v="149"/>
    <s v="Pause over RCS __0"/>
    <s v="Manual Stop"/>
    <d v="1899-12-30T10:07:00"/>
    <d v="1899-12-30T10:07:00"/>
    <d v="1899-12-30T17:29:00"/>
    <d v="1899-12-30T00:00:00"/>
    <n v="7.3666666666666654"/>
    <n v="7.3666666666666654"/>
    <s v="Manual stop for 2 years service day-01"/>
    <s v="Close"/>
    <n v="0.32028985507246377"/>
    <n v="1"/>
    <n v="6.9000000000000006E-2"/>
    <m/>
  </r>
  <r>
    <n v="3688"/>
    <n v="2026"/>
    <n v="2025"/>
    <s v="Year_2"/>
    <d v="2025-04-09T00:00:00"/>
    <s v="KUD07"/>
    <s v="O2R3"/>
    <s v="JK"/>
    <n v="4.3478260869565223E-2"/>
    <n v="3273"/>
    <x v="35"/>
    <s v="YawUntwistCCW: Code__,_______°"/>
    <m/>
    <d v="1899-12-30T03:28:00"/>
    <d v="1899-12-30T03:28:00"/>
    <d v="1899-12-30T03:49:00"/>
    <d v="1899-12-30T00:00:00"/>
    <n v="0.35000000000000009"/>
    <n v="0.35000000000000009"/>
    <s v="Auto cable twist"/>
    <s v="Close"/>
    <n v="1.5217391304347832E-2"/>
    <n v="1"/>
    <n v="1E-3"/>
    <m/>
  </r>
  <r>
    <n v="3689"/>
    <n v="2026"/>
    <n v="2025"/>
    <s v="Year_2"/>
    <d v="2025-04-09T00:00:00"/>
    <s v="KUD07"/>
    <s v="O2R3"/>
    <s v="JK"/>
    <n v="4.3478260869565223E-2"/>
    <n v="3272"/>
    <x v="143"/>
    <s v="YawUntwistCW: Code__,_______°"/>
    <m/>
    <d v="1899-12-30T12:38:00"/>
    <d v="1899-12-30T12:38:00"/>
    <d v="1899-12-30T13:00:00"/>
    <d v="1899-12-30T00:00:00"/>
    <n v="0.36666666666666536"/>
    <n v="0.36666666666666536"/>
    <s v="Auto cable twist"/>
    <s v="Close"/>
    <n v="1.594202898550719E-2"/>
    <n v="1"/>
    <n v="0"/>
    <m/>
  </r>
  <r>
    <n v="3690"/>
    <n v="2026"/>
    <n v="2025"/>
    <s v="Year_2"/>
    <d v="2025-04-09T00:00:00"/>
    <s v="KUD07"/>
    <s v="O2R3"/>
    <s v="JK"/>
    <n v="4.3478260869565223E-2"/>
    <n v="3273"/>
    <x v="35"/>
    <s v="YawUntwistCCW: Code__,_______°"/>
    <m/>
    <d v="1899-12-30T15:37:00"/>
    <d v="1899-12-30T15:37:00"/>
    <d v="1899-12-30T16:00:00"/>
    <d v="1899-12-30T00:00:00"/>
    <n v="0.38333333333333197"/>
    <n v="0.38333333333333197"/>
    <s v="Auto cable twist"/>
    <s v="Close"/>
    <n v="1.6666666666666611E-2"/>
    <n v="1"/>
    <n v="2.1000000000000001E-2"/>
    <m/>
  </r>
  <r>
    <n v="3691"/>
    <n v="2026"/>
    <n v="2025"/>
    <s v="Year_2"/>
    <d v="2025-04-09T00:00:00"/>
    <s v="KUD16"/>
    <s v="O2R2"/>
    <s v="SIL"/>
    <n v="4.3478260869565223E-2"/>
    <n v="3273"/>
    <x v="35"/>
    <s v="YawUntwistCCW: Code__,_______°"/>
    <m/>
    <d v="1899-12-30T12:06:00"/>
    <d v="1899-12-30T12:06:00"/>
    <d v="1899-12-30T12:31:00"/>
    <d v="1899-12-30T00:00:00"/>
    <n v="0.41666666666666785"/>
    <n v="0.41666666666666785"/>
    <s v="Auto cable twist"/>
    <s v="Close"/>
    <n v="1.811594202898556E-2"/>
    <n v="1"/>
    <n v="1.0999999999999999E-2"/>
    <m/>
  </r>
  <r>
    <n v="3692"/>
    <n v="2026"/>
    <n v="2025"/>
    <s v="Year_2"/>
    <d v="2025-04-09T00:00:00"/>
    <s v="KUD21"/>
    <s v="O2R3"/>
    <s v="JK"/>
    <n v="4.3478260869565223E-2"/>
    <n v="3273"/>
    <x v="35"/>
    <s v="YawUntwistCCW: Code__,_______°"/>
    <m/>
    <d v="1899-12-30T03:19:00"/>
    <d v="1899-12-30T03:19:00"/>
    <d v="1899-12-30T03:41:00"/>
    <d v="1899-12-30T00:00:00"/>
    <n v="0.3666666666666667"/>
    <n v="0.3666666666666667"/>
    <s v="Auto cable twist"/>
    <s v="Close"/>
    <n v="1.5942028985507249E-2"/>
    <n v="1"/>
    <n v="1.4999999999999999E-2"/>
    <m/>
  </r>
  <r>
    <n v="3693"/>
    <n v="2026"/>
    <n v="2025"/>
    <s v="Year_2"/>
    <d v="2025-04-10T00:00:00"/>
    <s v="KUD02"/>
    <s v="O2R3"/>
    <s v="JK"/>
    <n v="4.3478260869565223E-2"/>
    <n v="704"/>
    <x v="134"/>
    <s v="Ch High res. load C1 Load:100%"/>
    <s v="Breakdown"/>
    <d v="1899-12-30T22:53:00"/>
    <d v="1899-12-30T22:53:00"/>
    <d v="1899-12-30T23:24:00"/>
    <d v="1899-12-30T00:00:00"/>
    <n v="0.51666666666666483"/>
    <n v="0.51666666666666483"/>
    <s v="Remote reset done"/>
    <s v="Close"/>
    <n v="2.2463768115941952E-2"/>
    <n v="1"/>
    <m/>
    <m/>
  </r>
  <r>
    <n v="3694"/>
    <n v="2026"/>
    <n v="2025"/>
    <s v="Year_2"/>
    <d v="2025-04-10T00:00:00"/>
    <s v="KUD05"/>
    <s v="O2R3"/>
    <s v="JK"/>
    <n v="4.3478260869565223E-2"/>
    <n v="309"/>
    <x v="149"/>
    <s v="Pause over RCS __0"/>
    <s v="Manual Stop"/>
    <d v="1899-12-30T10:39:00"/>
    <d v="1899-12-30T10:39:00"/>
    <d v="1899-12-30T14:15:00"/>
    <d v="1899-12-30T00:00:00"/>
    <n v="3.6000000000000005"/>
    <n v="3.6000000000000005"/>
    <s v="Manual stop for 2 years service day-02"/>
    <s v="Close"/>
    <n v="0.15652173913043482"/>
    <n v="1"/>
    <m/>
    <m/>
  </r>
  <r>
    <n v="3695"/>
    <n v="2026"/>
    <n v="2025"/>
    <s v="Year_2"/>
    <d v="2025-04-10T00:00:00"/>
    <s v="KUD07"/>
    <s v="O2R3"/>
    <s v="JK"/>
    <n v="4.3478260869565223E-2"/>
    <n v="2676"/>
    <x v="124"/>
    <s v="UPS Error"/>
    <s v="Breakdown"/>
    <d v="1899-12-30T20:52:00"/>
    <d v="1899-12-30T20:52:00"/>
    <d v="1899-12-30T20:53:00"/>
    <d v="1899-12-30T00:00:00"/>
    <n v="1.6666666666666607E-2"/>
    <n v="1.6666666666666607E-2"/>
    <s v="UPS reboot done"/>
    <s v="Close"/>
    <n v="7.246376811594178E-4"/>
    <n v="1"/>
    <m/>
    <m/>
  </r>
  <r>
    <n v="3696"/>
    <n v="2026"/>
    <n v="2025"/>
    <s v="Year_2"/>
    <d v="2025-04-10T00:00:00"/>
    <s v="KUD10"/>
    <s v="O2R1"/>
    <s v="KSIPL"/>
    <n v="4.3478260869565223E-2"/>
    <n v="3806"/>
    <x v="147"/>
    <s v="HubSafetySystem Batt.Charg.Err"/>
    <s v="Breakdown"/>
    <d v="1899-12-30T19:40:00"/>
    <d v="1899-12-30T19:40:00"/>
    <d v="1899-12-30T19:55:00"/>
    <d v="1899-12-30T00:00:00"/>
    <n v="0.25000000000000178"/>
    <n v="0.25000000000000178"/>
    <s v="Auto reset"/>
    <s v="Close"/>
    <n v="1.0869565217391384E-2"/>
    <n v="1"/>
    <m/>
    <m/>
  </r>
  <r>
    <n v="3697"/>
    <n v="2026"/>
    <n v="2025"/>
    <s v="Year_2"/>
    <d v="2025-04-10T00:00:00"/>
    <s v="KUD11"/>
    <s v="O2R1"/>
    <s v="KSIPL"/>
    <n v="4.3478260869565223E-2"/>
    <n v="3298"/>
    <x v="47"/>
    <s v="Yaw To Cable Twist Reset"/>
    <s v="Breakdown"/>
    <d v="1899-12-30T20:38:00"/>
    <d v="1899-12-30T20:38:00"/>
    <d v="1899-12-30T21:01:00"/>
    <d v="1899-12-30T00:00:00"/>
    <n v="0.38333333333333197"/>
    <n v="0.38333333333333197"/>
    <s v="Remote reset done"/>
    <s v="Close"/>
    <n v="1.6666666666666611E-2"/>
    <n v="1"/>
    <m/>
    <m/>
  </r>
  <r>
    <n v="3698"/>
    <n v="2026"/>
    <n v="2025"/>
    <s v="Year_2"/>
    <d v="2025-04-10T00:00:00"/>
    <s v="KUD12"/>
    <s v="O2R1"/>
    <s v="KSIPL"/>
    <n v="4.3478260869565223E-2"/>
    <n v="704"/>
    <x v="134"/>
    <s v="Ch High res. load C1 Load:100%"/>
    <s v="Breakdown"/>
    <d v="1899-12-30T21:11:00"/>
    <d v="1899-12-30T21:11:00"/>
    <d v="1899-12-30T21:20:00"/>
    <d v="1899-12-30T00:00:00"/>
    <n v="0.14999999999999947"/>
    <n v="0.14999999999999947"/>
    <s v="Remote reset done"/>
    <s v="Close"/>
    <n v="6.5217391304347606E-3"/>
    <n v="1"/>
    <m/>
    <m/>
  </r>
  <r>
    <n v="3699"/>
    <n v="2026"/>
    <n v="2025"/>
    <s v="Year_2"/>
    <d v="2025-04-10T00:00:00"/>
    <s v="KUD17"/>
    <s v="O2R2"/>
    <s v="SIL"/>
    <n v="4.3478260869565223E-2"/>
    <n v="2676"/>
    <x v="124"/>
    <s v="UPS Error"/>
    <s v="Breakdown"/>
    <d v="1899-12-30T21:01:00"/>
    <d v="1899-12-30T21:01:00"/>
    <d v="1899-12-30T21:05:00"/>
    <d v="1899-12-30T00:00:00"/>
    <n v="6.666666666666643E-2"/>
    <n v="6.666666666666643E-2"/>
    <s v="UPS reboot done"/>
    <s v="Close"/>
    <n v="2.8985507246376712E-3"/>
    <n v="1"/>
    <m/>
    <m/>
  </r>
  <r>
    <n v="3700"/>
    <n v="2026"/>
    <n v="2025"/>
    <s v="Year_2"/>
    <d v="2025-04-10T00:00:00"/>
    <s v="KUD21"/>
    <s v="O2R3"/>
    <s v="JK"/>
    <n v="4.3478260869565223E-2"/>
    <n v="704"/>
    <x v="134"/>
    <s v="Ch High res. load C2 Load:100%"/>
    <s v="Breakdown"/>
    <d v="1899-12-30T22:38:00"/>
    <d v="1899-12-30T22:38:00"/>
    <d v="1899-12-30T23:20:00"/>
    <d v="1899-12-30T00:00:00"/>
    <n v="0.70000000000000018"/>
    <n v="0.70000000000000018"/>
    <s v="Remote reset done"/>
    <s v="Close"/>
    <n v="3.0434782608695664E-2"/>
    <n v="1"/>
    <m/>
    <m/>
  </r>
  <r>
    <n v="3701"/>
    <n v="2026"/>
    <n v="2025"/>
    <s v="Year_2"/>
    <d v="2025-04-10T00:00:00"/>
    <s v="KUD22"/>
    <s v="O2R3"/>
    <s v="JK"/>
    <n v="4.3478260869565223E-2"/>
    <n v="931"/>
    <x v="186"/>
    <s v="Arc light detected"/>
    <s v="Breakdown"/>
    <d v="1899-12-30T19:12:00"/>
    <d v="1899-12-30T19:12:00"/>
    <d v="1899-12-30T23:59:00"/>
    <d v="1899-12-30T00:00:00"/>
    <n v="4.7833333333333323"/>
    <n v="4.7833333333333323"/>
    <s v="After feeder charged Vamp activated inspection work in progress.."/>
    <s v="Open"/>
    <n v="0.2079710144927536"/>
    <n v="1"/>
    <m/>
    <m/>
  </r>
  <r>
    <n v="3702"/>
    <n v="2026"/>
    <n v="2025"/>
    <s v="Year_2"/>
    <d v="2025-04-10T00:00:00"/>
    <s v="KUD23"/>
    <s v="O2R3"/>
    <s v="JK"/>
    <n v="4.3478260869565223E-2"/>
    <n v="2676"/>
    <x v="124"/>
    <s v="UPS Error"/>
    <s v="Breakdown"/>
    <d v="1899-12-30T20:05:00"/>
    <d v="1899-12-30T20:05:00"/>
    <d v="1899-12-30T20:21:00"/>
    <d v="1899-12-30T00:00:00"/>
    <n v="0.26666666666666572"/>
    <n v="0.26666666666666572"/>
    <s v="UPS reboot done"/>
    <s v="Close"/>
    <n v="1.1594202898550685E-2"/>
    <n v="1"/>
    <m/>
    <m/>
  </r>
  <r>
    <n v="3703"/>
    <n v="1900"/>
    <m/>
    <m/>
    <m/>
    <m/>
    <m/>
    <m/>
    <m/>
    <m/>
    <x v="202"/>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1"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7" rowHeaderCaption="Errors">
  <location ref="A47:C251" firstHeaderRow="0" firstDataRow="1" firstDataCol="1"/>
  <pivotFields count="25">
    <pivotField showAll="0"/>
    <pivotField showAll="0"/>
    <pivotField showAll="0"/>
    <pivotField showAll="0"/>
    <pivotField showAll="0"/>
    <pivotField showAll="0"/>
    <pivotField showAll="0"/>
    <pivotField showAll="0"/>
    <pivotField showAll="0"/>
    <pivotField showAll="0"/>
    <pivotField axis="axisRow" dataField="1" showAll="0" sortType="descending">
      <items count="205">
        <item x="27"/>
        <item x="29"/>
        <item x="28"/>
        <item x="20"/>
        <item x="37"/>
        <item x="104"/>
        <item x="103"/>
        <item x="9"/>
        <item x="23"/>
        <item x="25"/>
        <item x="1"/>
        <item x="98"/>
        <item x="70"/>
        <item x="41"/>
        <item x="13"/>
        <item x="83"/>
        <item x="61"/>
        <item x="87"/>
        <item x="24"/>
        <item x="72"/>
        <item x="74"/>
        <item x="71"/>
        <item x="51"/>
        <item x="16"/>
        <item x="26"/>
        <item x="39"/>
        <item x="12"/>
        <item x="86"/>
        <item x="85"/>
        <item x="31"/>
        <item x="88"/>
        <item x="6"/>
        <item x="90"/>
        <item x="62"/>
        <item x="93"/>
        <item x="15"/>
        <item x="19"/>
        <item x="34"/>
        <item x="42"/>
        <item x="78"/>
        <item x="81"/>
        <item x="17"/>
        <item x="43"/>
        <item x="30"/>
        <item x="8"/>
        <item x="40"/>
        <item x="22"/>
        <item x="44"/>
        <item x="63"/>
        <item x="5"/>
        <item x="94"/>
        <item x="97"/>
        <item x="52"/>
        <item x="106"/>
        <item x="2"/>
        <item x="99"/>
        <item x="79"/>
        <item x="73"/>
        <item x="89"/>
        <item x="75"/>
        <item x="92"/>
        <item x="100"/>
        <item x="58"/>
        <item x="91"/>
        <item x="105"/>
        <item x="102"/>
        <item x="33"/>
        <item x="109"/>
        <item x="49"/>
        <item x="54"/>
        <item x="4"/>
        <item x="107"/>
        <item x="82"/>
        <item x="80"/>
        <item x="36"/>
        <item x="77"/>
        <item x="108"/>
        <item x="110"/>
        <item x="95"/>
        <item x="96"/>
        <item x="38"/>
        <item x="0"/>
        <item x="21"/>
        <item x="3"/>
        <item x="18"/>
        <item x="47"/>
        <item x="84"/>
        <item x="46"/>
        <item x="101"/>
        <item x="76"/>
        <item x="11"/>
        <item x="65"/>
        <item x="10"/>
        <item x="48"/>
        <item x="57"/>
        <item x="64"/>
        <item x="55"/>
        <item x="60"/>
        <item x="50"/>
        <item x="45"/>
        <item x="53"/>
        <item x="56"/>
        <item x="69"/>
        <item x="66"/>
        <item x="67"/>
        <item x="14"/>
        <item x="68"/>
        <item x="59"/>
        <item x="7"/>
        <item m="1" x="203"/>
        <item x="159"/>
        <item x="35"/>
        <item x="111"/>
        <item x="112"/>
        <item x="113"/>
        <item x="114"/>
        <item x="115"/>
        <item x="116"/>
        <item x="117"/>
        <item x="118"/>
        <item x="119"/>
        <item x="120"/>
        <item x="121"/>
        <item x="122"/>
        <item x="123"/>
        <item x="124"/>
        <item x="125"/>
        <item x="126"/>
        <item x="127"/>
        <item x="128"/>
        <item x="129"/>
        <item x="130"/>
        <item x="32"/>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2" showAll="0"/>
    <pivotField numFmtId="2" showAll="0"/>
    <pivotField dataField="1" numFmtId="2" showAll="0"/>
    <pivotField showAll="0"/>
    <pivotField showAll="0"/>
    <pivotField showAll="0"/>
    <pivotField showAll="0"/>
    <pivotField showAll="0"/>
    <pivotField showAll="0"/>
  </pivotFields>
  <rowFields count="1">
    <field x="10"/>
  </rowFields>
  <rowItems count="204">
    <i>
      <x v="61"/>
    </i>
    <i>
      <x v="187"/>
    </i>
    <i>
      <x v="151"/>
    </i>
    <i>
      <x v="54"/>
    </i>
    <i>
      <x v="121"/>
    </i>
    <i>
      <x v="160"/>
    </i>
    <i>
      <x v="111"/>
    </i>
    <i>
      <x v="125"/>
    </i>
    <i>
      <x v="150"/>
    </i>
    <i>
      <x v="37"/>
    </i>
    <i>
      <x v="56"/>
    </i>
    <i>
      <x v="145"/>
    </i>
    <i>
      <x v="82"/>
    </i>
    <i>
      <x v="113"/>
    </i>
    <i>
      <x v="4"/>
    </i>
    <i>
      <x v="55"/>
    </i>
    <i>
      <x v="115"/>
    </i>
    <i>
      <x v="74"/>
    </i>
    <i>
      <x v="84"/>
    </i>
    <i>
      <x v="112"/>
    </i>
    <i>
      <x v="162"/>
    </i>
    <i>
      <x v="57"/>
    </i>
    <i>
      <x v="75"/>
    </i>
    <i>
      <x v="193"/>
    </i>
    <i>
      <x v="159"/>
    </i>
    <i>
      <x v="114"/>
    </i>
    <i>
      <x v="14"/>
    </i>
    <i>
      <x v="88"/>
    </i>
    <i>
      <x v="39"/>
    </i>
    <i>
      <x v="2"/>
    </i>
    <i>
      <x v="41"/>
    </i>
    <i>
      <x v="116"/>
    </i>
    <i>
      <x v="23"/>
    </i>
    <i>
      <x v="12"/>
    </i>
    <i>
      <x v="120"/>
    </i>
    <i>
      <x v="122"/>
    </i>
    <i>
      <x v="137"/>
    </i>
    <i>
      <x v="1"/>
    </i>
    <i>
      <x v="161"/>
    </i>
    <i>
      <x v="42"/>
    </i>
    <i>
      <x v="38"/>
    </i>
    <i>
      <x v="144"/>
    </i>
    <i>
      <x v="163"/>
    </i>
    <i>
      <x v="70"/>
    </i>
    <i>
      <x v="19"/>
    </i>
    <i>
      <x v="31"/>
    </i>
    <i>
      <x v="81"/>
    </i>
    <i>
      <x v="48"/>
    </i>
    <i>
      <x v="117"/>
    </i>
    <i>
      <x v="26"/>
    </i>
    <i>
      <x v="170"/>
    </i>
    <i>
      <x v="131"/>
    </i>
    <i>
      <x v="64"/>
    </i>
    <i>
      <x v="174"/>
    </i>
    <i>
      <x v="49"/>
    </i>
    <i>
      <x v="66"/>
    </i>
    <i>
      <x v="85"/>
    </i>
    <i>
      <x v="59"/>
    </i>
    <i>
      <x v="47"/>
    </i>
    <i>
      <x v="127"/>
    </i>
    <i>
      <x v="133"/>
    </i>
    <i>
      <x v="52"/>
    </i>
    <i>
      <x v="126"/>
    </i>
    <i>
      <x v="16"/>
    </i>
    <i>
      <x v="92"/>
    </i>
    <i>
      <x v="201"/>
    </i>
    <i>
      <x v="87"/>
    </i>
    <i>
      <x v="169"/>
    </i>
    <i>
      <x v="171"/>
    </i>
    <i>
      <x v="129"/>
    </i>
    <i>
      <x v="195"/>
    </i>
    <i>
      <x v="140"/>
    </i>
    <i>
      <x v="119"/>
    </i>
    <i>
      <x v="65"/>
    </i>
    <i>
      <x v="181"/>
    </i>
    <i>
      <x v="93"/>
    </i>
    <i>
      <x v="136"/>
    </i>
    <i>
      <x v="198"/>
    </i>
    <i>
      <x v="191"/>
    </i>
    <i>
      <x v="147"/>
    </i>
    <i>
      <x v="89"/>
    </i>
    <i>
      <x v="8"/>
    </i>
    <i>
      <x v="62"/>
    </i>
    <i>
      <x v="200"/>
    </i>
    <i>
      <x v="63"/>
    </i>
    <i>
      <x v="13"/>
    </i>
    <i>
      <x v="124"/>
    </i>
    <i>
      <x v="5"/>
    </i>
    <i>
      <x v="148"/>
    </i>
    <i>
      <x v="158"/>
    </i>
    <i>
      <x v="173"/>
    </i>
    <i>
      <x v="60"/>
    </i>
    <i>
      <x v="177"/>
    </i>
    <i>
      <x v="28"/>
    </i>
    <i>
      <x v="51"/>
    </i>
    <i>
      <x v="154"/>
    </i>
    <i>
      <x v="134"/>
    </i>
    <i>
      <x v="165"/>
    </i>
    <i>
      <x v="44"/>
    </i>
    <i>
      <x v="197"/>
    </i>
    <i>
      <x v="7"/>
    </i>
    <i>
      <x v="72"/>
    </i>
    <i>
      <x v="130"/>
    </i>
    <i>
      <x v="166"/>
    </i>
    <i>
      <x v="164"/>
    </i>
    <i>
      <x v="40"/>
    </i>
    <i>
      <x v="167"/>
    </i>
    <i>
      <x v="15"/>
    </i>
    <i>
      <x v="11"/>
    </i>
    <i>
      <x v="58"/>
    </i>
    <i>
      <x v="178"/>
    </i>
    <i>
      <x v="202"/>
    </i>
    <i>
      <x v="24"/>
    </i>
    <i>
      <x v="183"/>
    </i>
    <i>
      <x v="71"/>
    </i>
    <i>
      <x v="22"/>
    </i>
    <i>
      <x v="118"/>
    </i>
    <i>
      <x v="196"/>
    </i>
    <i>
      <x v="77"/>
    </i>
    <i>
      <x v="78"/>
    </i>
    <i>
      <x v="21"/>
    </i>
    <i>
      <x v="155"/>
    </i>
    <i>
      <x v="99"/>
    </i>
    <i>
      <x v="33"/>
    </i>
    <i>
      <x v="76"/>
    </i>
    <i>
      <x v="172"/>
    </i>
    <i>
      <x v="90"/>
    </i>
    <i>
      <x v="79"/>
    </i>
    <i>
      <x v="73"/>
    </i>
    <i>
      <x v="143"/>
    </i>
    <i>
      <x v="108"/>
    </i>
    <i>
      <x v="141"/>
    </i>
    <i>
      <x v="53"/>
    </i>
    <i>
      <x v="29"/>
    </i>
    <i>
      <x v="142"/>
    </i>
    <i>
      <x v="190"/>
    </i>
    <i>
      <x v="199"/>
    </i>
    <i>
      <x v="10"/>
    </i>
    <i>
      <x v="96"/>
    </i>
    <i>
      <x v="107"/>
    </i>
    <i>
      <x v="106"/>
    </i>
    <i>
      <x v="123"/>
    </i>
    <i>
      <x v="6"/>
    </i>
    <i>
      <x v="94"/>
    </i>
    <i>
      <x v="105"/>
    </i>
    <i>
      <x v="189"/>
    </i>
    <i>
      <x v="9"/>
    </i>
    <i>
      <x v="104"/>
    </i>
    <i>
      <x v="86"/>
    </i>
    <i>
      <x v="110"/>
    </i>
    <i>
      <x v="188"/>
    </i>
    <i>
      <x v="36"/>
    </i>
    <i>
      <x v="100"/>
    </i>
    <i>
      <x v="102"/>
    </i>
    <i>
      <x v="27"/>
    </i>
    <i>
      <x v="91"/>
    </i>
    <i>
      <x v="35"/>
    </i>
    <i>
      <x v="152"/>
    </i>
    <i>
      <x v="103"/>
    </i>
    <i>
      <x v="20"/>
    </i>
    <i>
      <x v="95"/>
    </i>
    <i>
      <x v="67"/>
    </i>
    <i>
      <x v="101"/>
    </i>
    <i>
      <x v="98"/>
    </i>
    <i>
      <x v="97"/>
    </i>
    <i>
      <x v="3"/>
    </i>
    <i>
      <x v="185"/>
    </i>
    <i>
      <x v="175"/>
    </i>
    <i>
      <x v="153"/>
    </i>
    <i>
      <x v="17"/>
    </i>
    <i>
      <x v="30"/>
    </i>
    <i>
      <x v="157"/>
    </i>
    <i>
      <x v="182"/>
    </i>
    <i>
      <x v="156"/>
    </i>
    <i>
      <x v="176"/>
    </i>
    <i>
      <x v="43"/>
    </i>
    <i>
      <x v="32"/>
    </i>
    <i>
      <x v="179"/>
    </i>
    <i>
      <x v="194"/>
    </i>
    <i>
      <x v="186"/>
    </i>
    <i>
      <x v="168"/>
    </i>
    <i>
      <x v="135"/>
    </i>
    <i>
      <x v="18"/>
    </i>
    <i>
      <x/>
    </i>
    <i>
      <x v="139"/>
    </i>
    <i>
      <x v="192"/>
    </i>
    <i>
      <x v="46"/>
    </i>
    <i>
      <x v="146"/>
    </i>
    <i>
      <x v="80"/>
    </i>
    <i>
      <x v="180"/>
    </i>
    <i>
      <x v="25"/>
    </i>
    <i>
      <x v="203"/>
    </i>
    <i>
      <x v="83"/>
    </i>
    <i>
      <x v="34"/>
    </i>
    <i>
      <x v="132"/>
    </i>
    <i>
      <x v="128"/>
    </i>
    <i>
      <x v="68"/>
    </i>
    <i>
      <x v="184"/>
    </i>
    <i>
      <x v="69"/>
    </i>
    <i>
      <x v="50"/>
    </i>
    <i>
      <x v="138"/>
    </i>
    <i>
      <x v="45"/>
    </i>
    <i>
      <x v="149"/>
    </i>
    <i t="grand">
      <x/>
    </i>
  </rowItems>
  <colFields count="1">
    <field x="-2"/>
  </colFields>
  <colItems count="2">
    <i>
      <x/>
    </i>
    <i i="1">
      <x v="1"/>
    </i>
  </colItems>
  <dataFields count="2">
    <dataField name="Sum of Breakdown Time" fld="18" baseField="0" baseItem="0"/>
    <dataField name="Count of Error Text" fld="10" subtotal="count" baseField="0" baseItem="0"/>
  </dataFields>
  <formats count="24">
    <format dxfId="393">
      <pivotArea type="all" dataOnly="0" outline="0" fieldPosition="0"/>
    </format>
    <format dxfId="392">
      <pivotArea outline="0" collapsedLevelsAreSubtotals="1" fieldPosition="0"/>
    </format>
    <format dxfId="391">
      <pivotArea field="10" type="button" dataOnly="0" labelOnly="1" outline="0" fieldPosition="0"/>
    </format>
    <format dxfId="390">
      <pivotArea dataOnly="0" labelOnly="1" fieldPosition="0">
        <references count="1">
          <reference field="10" count="50">
            <x v="1"/>
            <x v="2"/>
            <x v="4"/>
            <x v="5"/>
            <x v="8"/>
            <x v="12"/>
            <x v="13"/>
            <x v="14"/>
            <x v="16"/>
            <x v="19"/>
            <x v="23"/>
            <x v="26"/>
            <x v="28"/>
            <x v="31"/>
            <x v="37"/>
            <x v="38"/>
            <x v="39"/>
            <x v="41"/>
            <x v="42"/>
            <x v="44"/>
            <x v="45"/>
            <x v="47"/>
            <x v="48"/>
            <x v="49"/>
            <x v="51"/>
            <x v="52"/>
            <x v="57"/>
            <x v="59"/>
            <x v="60"/>
            <x v="61"/>
            <x v="62"/>
            <x v="65"/>
            <x v="66"/>
            <x v="68"/>
            <x v="69"/>
            <x v="70"/>
            <x v="74"/>
            <x v="75"/>
            <x v="81"/>
            <x v="82"/>
            <x v="84"/>
            <x v="88"/>
            <x v="92"/>
            <x v="93"/>
            <x v="112"/>
            <x v="113"/>
            <x v="114"/>
            <x v="115"/>
            <x v="119"/>
            <x v="120"/>
          </reference>
        </references>
      </pivotArea>
    </format>
    <format dxfId="389">
      <pivotArea dataOnly="0" labelOnly="1" fieldPosition="0">
        <references count="1">
          <reference field="10" count="50">
            <x v="6"/>
            <x v="7"/>
            <x v="9"/>
            <x v="10"/>
            <x v="11"/>
            <x v="15"/>
            <x v="20"/>
            <x v="21"/>
            <x v="22"/>
            <x v="24"/>
            <x v="27"/>
            <x v="29"/>
            <x v="33"/>
            <x v="34"/>
            <x v="35"/>
            <x v="36"/>
            <x v="40"/>
            <x v="50"/>
            <x v="53"/>
            <x v="58"/>
            <x v="63"/>
            <x v="64"/>
            <x v="71"/>
            <x v="72"/>
            <x v="73"/>
            <x v="76"/>
            <x v="77"/>
            <x v="78"/>
            <x v="79"/>
            <x v="85"/>
            <x v="86"/>
            <x v="89"/>
            <x v="90"/>
            <x v="91"/>
            <x v="94"/>
            <x v="95"/>
            <x v="96"/>
            <x v="99"/>
            <x v="100"/>
            <x v="102"/>
            <x v="103"/>
            <x v="104"/>
            <x v="105"/>
            <x v="106"/>
            <x v="107"/>
            <x v="108"/>
            <x v="111"/>
            <x v="116"/>
            <x v="117"/>
            <x v="118"/>
          </reference>
        </references>
      </pivotArea>
    </format>
    <format dxfId="388">
      <pivotArea dataOnly="0" labelOnly="1" fieldPosition="0">
        <references count="1">
          <reference field="10" count="18">
            <x v="0"/>
            <x v="3"/>
            <x v="17"/>
            <x v="18"/>
            <x v="25"/>
            <x v="30"/>
            <x v="32"/>
            <x v="43"/>
            <x v="46"/>
            <x v="67"/>
            <x v="80"/>
            <x v="83"/>
            <x v="87"/>
            <x v="97"/>
            <x v="98"/>
            <x v="101"/>
            <x v="109"/>
            <x v="110"/>
          </reference>
        </references>
      </pivotArea>
    </format>
    <format dxfId="387">
      <pivotArea dataOnly="0" labelOnly="1" grandRow="1" outline="0" fieldPosition="0"/>
    </format>
    <format dxfId="386">
      <pivotArea dataOnly="0" labelOnly="1" outline="0" fieldPosition="0"/>
    </format>
    <format dxfId="385">
      <pivotArea type="all" dataOnly="0" outline="0" fieldPosition="0"/>
    </format>
    <format dxfId="384">
      <pivotArea outline="0" collapsedLevelsAreSubtotals="1" fieldPosition="0"/>
    </format>
    <format dxfId="383">
      <pivotArea field="10" type="button" dataOnly="0" labelOnly="1" outline="0" fieldPosition="0"/>
    </format>
    <format dxfId="382">
      <pivotArea dataOnly="0" labelOnly="1" fieldPosition="0">
        <references count="1">
          <reference field="10" count="50">
            <x v="1"/>
            <x v="2"/>
            <x v="4"/>
            <x v="5"/>
            <x v="8"/>
            <x v="12"/>
            <x v="13"/>
            <x v="14"/>
            <x v="16"/>
            <x v="19"/>
            <x v="23"/>
            <x v="26"/>
            <x v="28"/>
            <x v="31"/>
            <x v="37"/>
            <x v="38"/>
            <x v="39"/>
            <x v="41"/>
            <x v="42"/>
            <x v="44"/>
            <x v="45"/>
            <x v="47"/>
            <x v="48"/>
            <x v="49"/>
            <x v="51"/>
            <x v="52"/>
            <x v="57"/>
            <x v="59"/>
            <x v="60"/>
            <x v="61"/>
            <x v="62"/>
            <x v="65"/>
            <x v="66"/>
            <x v="68"/>
            <x v="69"/>
            <x v="70"/>
            <x v="74"/>
            <x v="75"/>
            <x v="81"/>
            <x v="82"/>
            <x v="84"/>
            <x v="88"/>
            <x v="92"/>
            <x v="93"/>
            <x v="112"/>
            <x v="113"/>
            <x v="114"/>
            <x v="115"/>
            <x v="119"/>
            <x v="120"/>
          </reference>
        </references>
      </pivotArea>
    </format>
    <format dxfId="381">
      <pivotArea dataOnly="0" labelOnly="1" fieldPosition="0">
        <references count="1">
          <reference field="10" count="50">
            <x v="6"/>
            <x v="7"/>
            <x v="9"/>
            <x v="10"/>
            <x v="11"/>
            <x v="15"/>
            <x v="20"/>
            <x v="21"/>
            <x v="22"/>
            <x v="24"/>
            <x v="27"/>
            <x v="29"/>
            <x v="33"/>
            <x v="34"/>
            <x v="35"/>
            <x v="36"/>
            <x v="40"/>
            <x v="50"/>
            <x v="53"/>
            <x v="58"/>
            <x v="63"/>
            <x v="64"/>
            <x v="71"/>
            <x v="72"/>
            <x v="73"/>
            <x v="76"/>
            <x v="77"/>
            <x v="78"/>
            <x v="79"/>
            <x v="85"/>
            <x v="86"/>
            <x v="89"/>
            <x v="90"/>
            <x v="91"/>
            <x v="94"/>
            <x v="95"/>
            <x v="96"/>
            <x v="99"/>
            <x v="100"/>
            <x v="102"/>
            <x v="103"/>
            <x v="104"/>
            <x v="105"/>
            <x v="106"/>
            <x v="107"/>
            <x v="108"/>
            <x v="111"/>
            <x v="116"/>
            <x v="117"/>
            <x v="118"/>
          </reference>
        </references>
      </pivotArea>
    </format>
    <format dxfId="380">
      <pivotArea dataOnly="0" labelOnly="1" fieldPosition="0">
        <references count="1">
          <reference field="10" count="18">
            <x v="0"/>
            <x v="3"/>
            <x v="17"/>
            <x v="18"/>
            <x v="25"/>
            <x v="30"/>
            <x v="32"/>
            <x v="43"/>
            <x v="46"/>
            <x v="67"/>
            <x v="80"/>
            <x v="83"/>
            <x v="87"/>
            <x v="97"/>
            <x v="98"/>
            <x v="101"/>
            <x v="109"/>
            <x v="110"/>
          </reference>
        </references>
      </pivotArea>
    </format>
    <format dxfId="379">
      <pivotArea dataOnly="0" labelOnly="1" grandRow="1" outline="0" fieldPosition="0"/>
    </format>
    <format dxfId="378">
      <pivotArea dataOnly="0" labelOnly="1" outline="0" fieldPosition="0"/>
    </format>
    <format dxfId="377">
      <pivotArea type="all" dataOnly="0" outline="0" fieldPosition="0"/>
    </format>
    <format dxfId="376">
      <pivotArea outline="0" collapsedLevelsAreSubtotals="1" fieldPosition="0"/>
    </format>
    <format dxfId="375">
      <pivotArea field="10" type="button" dataOnly="0" labelOnly="1" outline="0" fieldPosition="0"/>
    </format>
    <format dxfId="374">
      <pivotArea dataOnly="0" labelOnly="1" fieldPosition="0">
        <references count="1">
          <reference field="10" count="50">
            <x v="1"/>
            <x v="2"/>
            <x v="4"/>
            <x v="5"/>
            <x v="8"/>
            <x v="12"/>
            <x v="13"/>
            <x v="14"/>
            <x v="16"/>
            <x v="19"/>
            <x v="23"/>
            <x v="26"/>
            <x v="31"/>
            <x v="37"/>
            <x v="38"/>
            <x v="39"/>
            <x v="41"/>
            <x v="42"/>
            <x v="45"/>
            <x v="47"/>
            <x v="48"/>
            <x v="49"/>
            <x v="52"/>
            <x v="54"/>
            <x v="55"/>
            <x v="56"/>
            <x v="57"/>
            <x v="59"/>
            <x v="60"/>
            <x v="61"/>
            <x v="62"/>
            <x v="65"/>
            <x v="66"/>
            <x v="68"/>
            <x v="69"/>
            <x v="70"/>
            <x v="74"/>
            <x v="75"/>
            <x v="81"/>
            <x v="82"/>
            <x v="84"/>
            <x v="88"/>
            <x v="92"/>
            <x v="93"/>
            <x v="112"/>
            <x v="113"/>
            <x v="114"/>
            <x v="115"/>
            <x v="119"/>
            <x v="120"/>
          </reference>
        </references>
      </pivotArea>
    </format>
    <format dxfId="373">
      <pivotArea dataOnly="0" labelOnly="1" fieldPosition="0">
        <references count="1">
          <reference field="10" count="50">
            <x v="6"/>
            <x v="7"/>
            <x v="9"/>
            <x v="10"/>
            <x v="11"/>
            <x v="15"/>
            <x v="21"/>
            <x v="22"/>
            <x v="24"/>
            <x v="27"/>
            <x v="28"/>
            <x v="29"/>
            <x v="33"/>
            <x v="34"/>
            <x v="35"/>
            <x v="36"/>
            <x v="40"/>
            <x v="44"/>
            <x v="50"/>
            <x v="51"/>
            <x v="53"/>
            <x v="58"/>
            <x v="64"/>
            <x v="71"/>
            <x v="72"/>
            <x v="73"/>
            <x v="76"/>
            <x v="77"/>
            <x v="78"/>
            <x v="79"/>
            <x v="85"/>
            <x v="86"/>
            <x v="89"/>
            <x v="90"/>
            <x v="91"/>
            <x v="94"/>
            <x v="96"/>
            <x v="99"/>
            <x v="100"/>
            <x v="102"/>
            <x v="103"/>
            <x v="104"/>
            <x v="105"/>
            <x v="106"/>
            <x v="107"/>
            <x v="108"/>
            <x v="111"/>
            <x v="116"/>
            <x v="117"/>
            <x v="118"/>
          </reference>
        </references>
      </pivotArea>
    </format>
    <format dxfId="372">
      <pivotArea dataOnly="0" labelOnly="1" fieldPosition="0">
        <references count="1">
          <reference field="10" count="21">
            <x v="0"/>
            <x v="3"/>
            <x v="17"/>
            <x v="18"/>
            <x v="20"/>
            <x v="25"/>
            <x v="30"/>
            <x v="32"/>
            <x v="43"/>
            <x v="46"/>
            <x v="63"/>
            <x v="67"/>
            <x v="80"/>
            <x v="83"/>
            <x v="87"/>
            <x v="95"/>
            <x v="97"/>
            <x v="98"/>
            <x v="101"/>
            <x v="109"/>
            <x v="110"/>
          </reference>
        </references>
      </pivotArea>
    </format>
    <format dxfId="371">
      <pivotArea dataOnly="0" labelOnly="1" grandRow="1" outline="0" fieldPosition="0"/>
    </format>
    <format dxfId="370">
      <pivotArea dataOnly="0" labelOnly="1" outline="0" fieldPosition="0">
        <references count="1">
          <reference field="4294967294" count="2">
            <x v="0"/>
            <x v="1"/>
          </reference>
        </references>
      </pivotArea>
    </format>
  </formats>
  <chartFormats count="2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0" count="1" selected="0">
            <x v="61"/>
          </reference>
        </references>
      </pivotArea>
    </chartFormat>
    <chartFormat chart="2" format="2">
      <pivotArea type="data" outline="0" fieldPosition="0">
        <references count="2">
          <reference field="4294967294" count="1" selected="0">
            <x v="0"/>
          </reference>
          <reference field="10" count="1" selected="0">
            <x v="126"/>
          </reference>
        </references>
      </pivotArea>
    </chartFormat>
    <chartFormat chart="2" format="3">
      <pivotArea type="data" outline="0" fieldPosition="0">
        <references count="2">
          <reference field="4294967294" count="1" selected="0">
            <x v="0"/>
          </reference>
          <reference field="10" count="1" selected="0">
            <x v="68"/>
          </reference>
        </references>
      </pivotArea>
    </chartFormat>
    <chartFormat chart="2" format="4">
      <pivotArea type="data" outline="0" fieldPosition="0">
        <references count="2">
          <reference field="4294967294" count="1" selected="0">
            <x v="0"/>
          </reference>
          <reference field="10" count="1" selected="0">
            <x v="125"/>
          </reference>
        </references>
      </pivotArea>
    </chartFormat>
    <chartFormat chart="2" format="5">
      <pivotArea type="data" outline="0" fieldPosition="0">
        <references count="2">
          <reference field="4294967294" count="1" selected="0">
            <x v="0"/>
          </reference>
          <reference field="10" count="1" selected="0">
            <x v="121"/>
          </reference>
        </references>
      </pivotArea>
    </chartFormat>
    <chartFormat chart="2" format="6">
      <pivotArea type="data" outline="0" fieldPosition="0">
        <references count="2">
          <reference field="4294967294" count="1" selected="0">
            <x v="0"/>
          </reference>
          <reference field="10" count="1" selected="0">
            <x v="45"/>
          </reference>
        </references>
      </pivotArea>
    </chartFormat>
    <chartFormat chart="2" format="7">
      <pivotArea type="data" outline="0" fieldPosition="0">
        <references count="2">
          <reference field="4294967294" count="1" selected="0">
            <x v="0"/>
          </reference>
          <reference field="10" count="1" selected="0">
            <x v="47"/>
          </reference>
        </references>
      </pivotArea>
    </chartFormat>
    <chartFormat chart="2" format="8">
      <pivotArea type="data" outline="0" fieldPosition="0">
        <references count="2">
          <reference field="4294967294" count="1" selected="0">
            <x v="0"/>
          </reference>
          <reference field="10" count="1" selected="0">
            <x v="122"/>
          </reference>
        </references>
      </pivotArea>
    </chartFormat>
    <chartFormat chart="2" format="9">
      <pivotArea type="data" outline="0" fieldPosition="0">
        <references count="2">
          <reference field="4294967294" count="1" selected="0">
            <x v="0"/>
          </reference>
          <reference field="10" count="1" selected="0">
            <x v="118"/>
          </reference>
        </references>
      </pivotArea>
    </chartFormat>
    <chartFormat chart="2" format="10">
      <pivotArea type="data" outline="0" fieldPosition="0">
        <references count="2">
          <reference field="4294967294" count="1" selected="0">
            <x v="0"/>
          </reference>
          <reference field="10" count="1" selected="0">
            <x v="127"/>
          </reference>
        </references>
      </pivotArea>
    </chartFormat>
    <chartFormat chart="2" format="11" series="1">
      <pivotArea type="data" outline="0" fieldPosition="0">
        <references count="1">
          <reference field="4294967294" count="1" selected="0">
            <x v="1"/>
          </reference>
        </references>
      </pivotArea>
    </chartFormat>
    <chartFormat chart="2" format="12">
      <pivotArea type="data" outline="0" fieldPosition="0">
        <references count="2">
          <reference field="4294967294" count="1" selected="0">
            <x v="1"/>
          </reference>
          <reference field="10" count="1" selected="0">
            <x v="61"/>
          </reference>
        </references>
      </pivotArea>
    </chartFormat>
    <chartFormat chart="2" format="13">
      <pivotArea type="data" outline="0" fieldPosition="0">
        <references count="2">
          <reference field="4294967294" count="1" selected="0">
            <x v="1"/>
          </reference>
          <reference field="10" count="1" selected="0">
            <x v="126"/>
          </reference>
        </references>
      </pivotArea>
    </chartFormat>
    <chartFormat chart="2" format="14">
      <pivotArea type="data" outline="0" fieldPosition="0">
        <references count="2">
          <reference field="4294967294" count="1" selected="0">
            <x v="1"/>
          </reference>
          <reference field="10" count="1" selected="0">
            <x v="68"/>
          </reference>
        </references>
      </pivotArea>
    </chartFormat>
    <chartFormat chart="2" format="15">
      <pivotArea type="data" outline="0" fieldPosition="0">
        <references count="2">
          <reference field="4294967294" count="1" selected="0">
            <x v="1"/>
          </reference>
          <reference field="10" count="1" selected="0">
            <x v="125"/>
          </reference>
        </references>
      </pivotArea>
    </chartFormat>
    <chartFormat chart="2" format="16">
      <pivotArea type="data" outline="0" fieldPosition="0">
        <references count="2">
          <reference field="4294967294" count="1" selected="0">
            <x v="1"/>
          </reference>
          <reference field="10" count="1" selected="0">
            <x v="121"/>
          </reference>
        </references>
      </pivotArea>
    </chartFormat>
    <chartFormat chart="2" format="17">
      <pivotArea type="data" outline="0" fieldPosition="0">
        <references count="2">
          <reference field="4294967294" count="1" selected="0">
            <x v="1"/>
          </reference>
          <reference field="10" count="1" selected="0">
            <x v="45"/>
          </reference>
        </references>
      </pivotArea>
    </chartFormat>
    <chartFormat chart="2" format="18">
      <pivotArea type="data" outline="0" fieldPosition="0">
        <references count="2">
          <reference field="4294967294" count="1" selected="0">
            <x v="1"/>
          </reference>
          <reference field="10" count="1" selected="0">
            <x v="47"/>
          </reference>
        </references>
      </pivotArea>
    </chartFormat>
    <chartFormat chart="2" format="19">
      <pivotArea type="data" outline="0" fieldPosition="0">
        <references count="2">
          <reference field="4294967294" count="1" selected="0">
            <x v="1"/>
          </reference>
          <reference field="10" count="1" selected="0">
            <x v="122"/>
          </reference>
        </references>
      </pivotArea>
    </chartFormat>
    <chartFormat chart="2" format="20">
      <pivotArea type="data" outline="0" fieldPosition="0">
        <references count="2">
          <reference field="4294967294" count="1" selected="0">
            <x v="1"/>
          </reference>
          <reference field="10" count="1" selected="0">
            <x v="118"/>
          </reference>
        </references>
      </pivotArea>
    </chartFormat>
    <chartFormat chart="2" format="21">
      <pivotArea type="data" outline="0" fieldPosition="0">
        <references count="2">
          <reference field="4294967294" count="1" selected="0">
            <x v="1"/>
          </reference>
          <reference field="10" count="1" selected="0">
            <x v="12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13" displayName="Table13" ref="A1:AS609" totalsRowShown="0" headerRowDxfId="369" dataDxfId="367" totalsRowDxfId="365" headerRowBorderDxfId="368" tableBorderDxfId="366" totalsRowBorderDxfId="364">
  <autoFilter ref="A1:AS609" xr:uid="{00000000-0009-0000-0100-000004000000}"/>
  <tableColumns count="45">
    <tableColumn id="1" xr3:uid="{00000000-0010-0000-0000-000001000000}" name="Date" dataDxfId="363" totalsRowDxfId="362" dataCellStyle="Normal 26"/>
    <tableColumn id="2" xr3:uid="{00000000-0010-0000-0000-000002000000}" name="Financial Year" dataDxfId="361" totalsRowDxfId="360" dataCellStyle="Normal 26">
      <calculatedColumnFormula>YEAR(Table13[[#This Row],[Date]])+IF(MONTH(Table13[[#This Row],[Date]])&gt;=4,1,0)</calculatedColumnFormula>
    </tableColumn>
    <tableColumn id="3" xr3:uid="{00000000-0010-0000-0000-000003000000}" name="Calendar Year" dataDxfId="359" totalsRowDxfId="358" dataCellStyle="Normal 26">
      <calculatedColumnFormula>YEAR(Table13[[#This Row],[Date]])</calculatedColumnFormula>
    </tableColumn>
    <tableColumn id="4" xr3:uid="{00000000-0010-0000-0000-000004000000}" name="Month Year" dataDxfId="357" totalsRowDxfId="356" dataCellStyle="Normal 26">
      <calculatedColumnFormula>Table13[[#This Row],[Date]]-DAY(Table13[[#This Row],[Date]])+1</calculatedColumnFormula>
    </tableColumn>
    <tableColumn id="5" xr3:uid="{00000000-0010-0000-0000-000005000000}" name="Days" dataDxfId="355" totalsRowDxfId="354" dataCellStyle="Normal 26">
      <calculatedColumnFormula>DAY(EOMONTH(A2,0))</calculatedColumnFormula>
    </tableColumn>
    <tableColumn id="6" xr3:uid="{00000000-0010-0000-0000-000006000000}" name="Operating Hours" dataDxfId="353" dataCellStyle="Percent">
      <calculatedColumnFormula>IFERROR(_xlfn.XLOOKUP($A2,Input_Raw!$E:$E,Input_Raw!DC:DC),"")</calculatedColumnFormula>
    </tableColumn>
    <tableColumn id="7" xr3:uid="{00000000-0010-0000-0000-000007000000}" name="GHI-UP (KWh/m2)" dataDxfId="352" totalsRowDxfId="351" dataCellStyle="Percent"/>
    <tableColumn id="8" xr3:uid="{00000000-0010-0000-0000-000008000000}" name="GHI-Down(KWh/m2)" dataDxfId="350" totalsRowDxfId="349" dataCellStyle="Percent"/>
    <tableColumn id="9" xr3:uid="{00000000-0010-0000-0000-000009000000}" name="POA-UP(KWh/m2)" dataDxfId="348" totalsRowDxfId="347" dataCellStyle="Percent"/>
    <tableColumn id="10" xr3:uid="{00000000-0010-0000-0000-00000A000000}" name="POA-Down(KWh/m2)" dataDxfId="346" totalsRowDxfId="345" dataCellStyle="Percent"/>
    <tableColumn id="11" xr3:uid="{00000000-0010-0000-0000-00000B000000}" name="Amb_Temp(°C)" dataDxfId="344" totalsRowDxfId="343" dataCellStyle="Percent"/>
    <tableColumn id="12" xr3:uid="{00000000-0010-0000-0000-00000C000000}" name="Mod_Temp(°C)" dataDxfId="342" totalsRowDxfId="341" dataCellStyle="Percent"/>
    <tableColumn id="13" xr3:uid="{00000000-0010-0000-0000-00000D000000}" name="WS_Avg(m/s)" dataDxfId="340" totalsRowDxfId="339" dataCellStyle="Percent">
      <calculatedColumnFormula>IFERROR(_xlfn.XLOOKUP($A2,Input_Raw!$E:$E,Input_Raw!$BM:$BM),"")</calculatedColumnFormula>
    </tableColumn>
    <tableColumn id="14" xr3:uid="{00000000-0010-0000-0000-00000E000000}" name="WS_Max(m/s)" dataDxfId="338" totalsRowDxfId="337" dataCellStyle="Percent">
      <calculatedColumnFormula>IFERROR(_xlfn.XLOOKUP($A2,Input_Raw!$E:$E,Input_Raw!$BN:$BN),"")</calculatedColumnFormula>
    </tableColumn>
    <tableColumn id="15" xr3:uid="{00000000-0010-0000-0000-00000F000000}" name="PA(%)" dataDxfId="336" totalsRowDxfId="335" dataCellStyle="Percent">
      <calculatedColumnFormula>IFERROR(P2*Q2,"")</calculatedColumnFormula>
    </tableColumn>
    <tableColumn id="16" xr3:uid="{00000000-0010-0000-0000-000010000000}" name="MA (%)" dataDxfId="334" totalsRowDxfId="333" dataCellStyle="Percent">
      <calculatedColumnFormula>IFERROR(1-SUMIF(WTG_BD!$F:$F,$A2,WTG_BD!$AA:$AA)/($AA2+SUMIF(WTG_BD!$F:$F,$A2,WTG_BD!$AA:$AA)),"")</calculatedColumnFormula>
    </tableColumn>
    <tableColumn id="17" xr3:uid="{00000000-0010-0000-0000-000011000000}" name="IGA (%)" dataDxfId="332" totalsRowDxfId="331" dataCellStyle="Percent">
      <calculatedColumnFormula>IFERROR(1-SUMIF(IGA_BD!$F:$F,$A2,IGA_BD!$W:$W)/($AA2+SUMIF(IGA_BD!$F:$F,$A2,IGA_BD!$W:$W)),"")</calculatedColumnFormula>
    </tableColumn>
    <tableColumn id="18" xr3:uid="{00000000-0010-0000-0000-000012000000}" name="EGA(%)" dataDxfId="330" totalsRowDxfId="329" dataCellStyle="Percent">
      <calculatedColumnFormula>IFERROR(1-SUMIF(Grid_BD!$F:$F,$A2,Grid_BD!$Y:$Y)/($AA2+SUMIF(Grid_BD!$F:$F,$A2,Grid_BD!$Y:$Y)),"")</calculatedColumnFormula>
    </tableColumn>
    <tableColumn id="19" xr3:uid="{00000000-0010-0000-0000-000013000000}" name="EMA (%)" dataDxfId="328" totalsRowDxfId="327"/>
    <tableColumn id="20" xr3:uid="{00000000-0010-0000-0000-000014000000}" name="TA (%)" dataDxfId="326" totalsRowDxfId="325" dataCellStyle="Percent"/>
    <tableColumn id="21" xr3:uid="{00000000-0010-0000-0000-000015000000}" name="PR(%)" dataDxfId="324" totalsRowDxfId="323" dataCellStyle="Percent"/>
    <tableColumn id="22" xr3:uid="{00000000-0010-0000-0000-000016000000}" name="WPR(%)" dataDxfId="322" totalsRowDxfId="321"/>
    <tableColumn id="23" xr3:uid="{00000000-0010-0000-0000-000017000000}" name="CUF(%)" dataDxfId="320" totalsRowDxfId="319" dataCellStyle="Percent">
      <calculatedColumnFormula>IFERROR(X2/(24*AR2*1000),"")</calculatedColumnFormula>
    </tableColumn>
    <tableColumn id="24" xr3:uid="{00000000-0010-0000-0000-000018000000}" name="Gen_Exp (kWh)" dataDxfId="318" totalsRowDxfId="317">
      <calculatedColumnFormula>IFERROR(_xlfn.XLOOKUP($A2,Input_Raw!$E:$E,Input_Raw!BG:BG),"")</calculatedColumnFormula>
    </tableColumn>
    <tableColumn id="25" xr3:uid="{00000000-0010-0000-0000-000019000000}" name="Mtr_Export (kWh)" dataDxfId="316">
      <calculatedColumnFormula>IFERROR(_xlfn.XLOOKUP($A2,Input_Raw!$E:$E,Input_Raw!DF:DF),"")</calculatedColumnFormula>
    </tableColumn>
    <tableColumn id="26" xr3:uid="{00000000-0010-0000-0000-00001A000000}" name="Mtr_Import (kWh)" dataDxfId="315" totalsRowDxfId="314">
      <calculatedColumnFormula>IFERROR(_xlfn.XLOOKUP(A2,Input_Raw!E:E,Input_Raw!CT:CT)/_xlfn.XLOOKUP(A2,Input_Raw!E:E,Input_Raw!CS:CS)*Table13[[#This Row],[Mtr_Export (kWh)]],"")</calculatedColumnFormula>
    </tableColumn>
    <tableColumn id="27" xr3:uid="{00000000-0010-0000-0000-00001B000000}" name="Mtr_Net_Exp (KWh)" dataDxfId="313" totalsRowDxfId="312">
      <calculatedColumnFormula>IFERROR(Y2-Z2,"")</calculatedColumnFormula>
    </tableColumn>
    <tableColumn id="28" xr3:uid="{00000000-0010-0000-0000-00001C000000}" name="Operational Capacity (MW)" dataDxfId="311" totalsRowDxfId="310">
      <calculatedColumnFormula>IFERROR(_xlfn.XLOOKUP($A2,Input_Raw!$E:$E,Input_Raw!$CZ:$CZ),"")</calculatedColumnFormula>
    </tableColumn>
    <tableColumn id="29" xr3:uid="{00000000-0010-0000-0000-00001D000000}" name="Bugt_Resource" dataDxfId="309" totalsRowDxfId="308">
      <calculatedColumnFormula>IFERROR(_xlfn.XLOOKUP($D2,'Modelling New'!$D:$D,'Modelling New'!$J:$J),"")</calculatedColumnFormula>
    </tableColumn>
    <tableColumn id="30" xr3:uid="{00000000-0010-0000-0000-00001E000000}" name="Bugt_Energy" dataDxfId="307" totalsRowDxfId="306">
      <calculatedColumnFormula>IFERROR(_xlfn.XLOOKUP($D2,'Modelling New'!$D:$D,'Modelling New'!$T:$T)*1000,"")</calculatedColumnFormula>
    </tableColumn>
    <tableColumn id="43" xr3:uid="{00000000-0010-0000-0000-00002B000000}" name="Bugt PR" dataDxfId="305" totalsRowDxfId="304" dataCellStyle="Percent"/>
    <tableColumn id="42" xr3:uid="{00000000-0010-0000-0000-00002A000000}" name="Bugt CUF" dataDxfId="303" totalsRowDxfId="302" dataCellStyle="Percent">
      <calculatedColumnFormula>IFERROR(_xlfn.XLOOKUP($D2,'Modelling New'!$D:$D,'Modelling New'!$W:$W),"")</calculatedColumnFormula>
    </tableColumn>
    <tableColumn id="31" xr3:uid="{00000000-0010-0000-0000-00001F000000}" name="Bugt_PA" dataDxfId="301" totalsRowDxfId="300" dataCellStyle="Percent">
      <calculatedColumnFormula>IFERROR(_xlfn.XLOOKUP($D2,'Modelling New'!$D:$D,'Modelling New'!$AE:$AE),"")</calculatedColumnFormula>
    </tableColumn>
    <tableColumn id="32" xr3:uid="{00000000-0010-0000-0000-000020000000}" name="Bugt_EGA" dataDxfId="299" totalsRowDxfId="298" dataCellStyle="Percent">
      <calculatedColumnFormula>IFERROR(_xlfn.XLOOKUP($D2,'Modelling New'!$D:$D,'Modelling New'!$AF:$AF),"")</calculatedColumnFormula>
    </tableColumn>
    <tableColumn id="33" xr3:uid="{00000000-0010-0000-0000-000021000000}" name="Expected Energy" dataDxfId="297" totalsRowDxfId="296">
      <calculatedColumnFormula>IFERROR(_xlfn.XLOOKUP($A2,Input_Raw!$E:$E,Input_Raw!$DG:$DG),"")</calculatedColumnFormula>
    </tableColumn>
    <tableColumn id="34" xr3:uid="{00000000-0010-0000-0000-000022000000}" name="Actual Energy WPR" dataDxfId="295" totalsRowDxfId="294"/>
    <tableColumn id="35" xr3:uid="{00000000-0010-0000-0000-000023000000}" name="RA (%)" dataDxfId="293" totalsRowDxfId="292"/>
    <tableColumn id="36" xr3:uid="{00000000-0010-0000-0000-000024000000}" name="Mod Clean Dry (Num)" dataDxfId="291" totalsRowDxfId="290"/>
    <tableColumn id="37" xr3:uid="{00000000-0010-0000-0000-000025000000}" name="Mod Clean Wet (Num)" dataDxfId="289" totalsRowDxfId="288"/>
    <tableColumn id="38" xr3:uid="{00000000-0010-0000-0000-000026000000}" name="Line Loss(%)" dataDxfId="287" totalsRowDxfId="286" dataCellStyle="Percent">
      <calculatedColumnFormula>IFERROR(_xlfn.XLOOKUP($A2,Input_Raw!$E:$E,Input_Raw!$CY:$CY),"")</calculatedColumnFormula>
    </tableColumn>
    <tableColumn id="39" xr3:uid="{00000000-0010-0000-0000-000027000000}" name="Reactive Power (%)" dataDxfId="285" dataCellStyle="Percent">
      <calculatedColumnFormula>IFERROR((_xlfn.XLOOKUP($A2,'WTG Reactive Power'!$A:$A,'WTG Reactive Power'!AB:AB))/X2,"")</calculatedColumnFormula>
    </tableColumn>
    <tableColumn id="40" xr3:uid="{00000000-0010-0000-0000-000028000000}" name="Bugt Line loss (%) (Wind)" dataDxfId="284" totalsRowDxfId="283" dataCellStyle="Percent">
      <calculatedColumnFormula>IFERROR(_xlfn.XLOOKUP($D2,'Modelling New'!$D:$D,'Modelling New'!AK:AK),"")</calculatedColumnFormula>
    </tableColumn>
    <tableColumn id="41" xr3:uid="{00000000-0010-0000-0000-000029000000}" name="Bugt Reactive Power (%) (Wind)" dataDxfId="282" totalsRowDxfId="281" dataCellStyle="Percent">
      <calculatedColumnFormula>IFERROR(_xlfn.XLOOKUP($D2,'Modelling New'!$D:$D,'Modelling New'!AL:AL),"")</calculatedColumnFormula>
    </tableColumn>
    <tableColumn id="44" xr3:uid="{00000000-0010-0000-0000-00002C000000}" name="Bugt Capacity" dataDxfId="280" totalsRowDxfId="279">
      <calculatedColumnFormula>IFERROR(_xlfn.XLOOKUP($D2,'Modelling New'!$D:$D,'Modelling New'!$N:$N),"")</calculatedColumnFormula>
    </tableColumn>
    <tableColumn id="45" xr3:uid="{00000000-0010-0000-0000-00002D000000}" name="CC*Bugt" dataDxfId="278" totalsRowDxfId="277"/>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RD" displayName="RD" ref="A4:DI157" totalsRowShown="0">
  <tableColumns count="113">
    <tableColumn id="1" xr3:uid="{00000000-0010-0000-0100-000001000000}" name="Finacial Year" dataDxfId="276">
      <calculatedColumnFormula>YEAR(RD[[#This Row],[Date]])+IF(MONTH(RD[[#This Row],[Date]])&gt;=4,1,0)</calculatedColumnFormula>
    </tableColumn>
    <tableColumn id="2" xr3:uid="{00000000-0010-0000-0100-000002000000}" name="Calendar Year" dataDxfId="275">
      <calculatedColumnFormula>YEAR(RD[[#This Row],[Date]])</calculatedColumnFormula>
    </tableColumn>
    <tableColumn id="3" xr3:uid="{00000000-0010-0000-0100-000003000000}" name="Month Year" dataDxfId="274">
      <calculatedColumnFormula>E5-DAY(E5)+1</calculatedColumnFormula>
    </tableColumn>
    <tableColumn id="4" xr3:uid="{00000000-0010-0000-0100-000004000000}" name="Days" dataDxfId="273">
      <calculatedColumnFormula>DAY(EOMONTH(RD[[#This Row],[Date]],0))</calculatedColumnFormula>
    </tableColumn>
    <tableColumn id="5" xr3:uid="{00000000-0010-0000-0100-000005000000}" name="Date" dataDxfId="272">
      <calculatedColumnFormula>E4+1</calculatedColumnFormula>
    </tableColumn>
    <tableColumn id="149" xr3:uid="{00000000-0010-0000-0100-000095000000}" name="Sunrise Time (POA&gt;20 W/m2)" dataDxfId="271"/>
    <tableColumn id="148" xr3:uid="{00000000-0010-0000-0100-000094000000}" name="Sunset Time (POA&lt;20 W/m2)" dataDxfId="270"/>
    <tableColumn id="6" xr3:uid="{00000000-0010-0000-0100-000006000000}" name="KUD01" dataDxfId="269"/>
    <tableColumn id="7" xr3:uid="{00000000-0010-0000-0100-000007000000}" name="KUD02" dataDxfId="268"/>
    <tableColumn id="8" xr3:uid="{00000000-0010-0000-0100-000008000000}" name="KUD03" dataDxfId="267"/>
    <tableColumn id="9" xr3:uid="{00000000-0010-0000-0100-000009000000}" name="KUD04" dataDxfId="266"/>
    <tableColumn id="10" xr3:uid="{00000000-0010-0000-0100-00000A000000}" name="KUD05" dataDxfId="265"/>
    <tableColumn id="11" xr3:uid="{00000000-0010-0000-0100-00000B000000}" name="KUD06" dataDxfId="264"/>
    <tableColumn id="12" xr3:uid="{00000000-0010-0000-0100-00000C000000}" name="KUD07" dataDxfId="263"/>
    <tableColumn id="13" xr3:uid="{00000000-0010-0000-0100-00000D000000}" name="KUD08" dataDxfId="262"/>
    <tableColumn id="14" xr3:uid="{00000000-0010-0000-0100-00000E000000}" name="KUD09" dataDxfId="261"/>
    <tableColumn id="15" xr3:uid="{00000000-0010-0000-0100-00000F000000}" name="KUD10" dataDxfId="260"/>
    <tableColumn id="16" xr3:uid="{00000000-0010-0000-0100-000010000000}" name="KUD11" dataDxfId="259"/>
    <tableColumn id="17" xr3:uid="{00000000-0010-0000-0100-000011000000}" name="KUD12" dataDxfId="258"/>
    <tableColumn id="18" xr3:uid="{00000000-0010-0000-0100-000012000000}" name="KUD13" dataDxfId="257"/>
    <tableColumn id="19" xr3:uid="{00000000-0010-0000-0100-000013000000}" name="KUD14" dataDxfId="256"/>
    <tableColumn id="20" xr3:uid="{00000000-0010-0000-0100-000014000000}" name="KUD15" dataDxfId="255"/>
    <tableColumn id="21" xr3:uid="{00000000-0010-0000-0100-000015000000}" name="KUD16" dataDxfId="254"/>
    <tableColumn id="22" xr3:uid="{00000000-0010-0000-0100-000016000000}" name="KUD17" dataDxfId="253"/>
    <tableColumn id="23" xr3:uid="{00000000-0010-0000-0100-000017000000}" name="KUD18" dataDxfId="252"/>
    <tableColumn id="24" xr3:uid="{00000000-0010-0000-0100-000018000000}" name="KUD19" dataDxfId="251"/>
    <tableColumn id="25" xr3:uid="{00000000-0010-0000-0100-000019000000}" name="KUD20" dataDxfId="250"/>
    <tableColumn id="26" xr3:uid="{00000000-0010-0000-0100-00001A000000}" name="KUD21" dataDxfId="249"/>
    <tableColumn id="27" xr3:uid="{00000000-0010-0000-0100-00001B000000}" name="KUD22" dataDxfId="248"/>
    <tableColumn id="28" xr3:uid="{00000000-0010-0000-0100-00001C000000}" name="KUD23" dataDxfId="247"/>
    <tableColumn id="29" xr3:uid="{00000000-0010-0000-0100-00001D000000}" name="WS_KUD01" dataDxfId="246"/>
    <tableColumn id="30" xr3:uid="{00000000-0010-0000-0100-00001E000000}" name="WS_KUD02" dataDxfId="245"/>
    <tableColumn id="31" xr3:uid="{00000000-0010-0000-0100-00001F000000}" name="WS_KUD03" dataDxfId="244"/>
    <tableColumn id="32" xr3:uid="{00000000-0010-0000-0100-000020000000}" name="WS_KUD04" dataDxfId="243"/>
    <tableColumn id="33" xr3:uid="{00000000-0010-0000-0100-000021000000}" name="WS_KUD05" dataDxfId="242"/>
    <tableColumn id="34" xr3:uid="{00000000-0010-0000-0100-000022000000}" name="WS_KUD06" dataDxfId="241"/>
    <tableColumn id="35" xr3:uid="{00000000-0010-0000-0100-000023000000}" name="WS_KUD07" dataDxfId="240"/>
    <tableColumn id="36" xr3:uid="{00000000-0010-0000-0100-000024000000}" name="WS_KUD08" dataDxfId="239"/>
    <tableColumn id="37" xr3:uid="{00000000-0010-0000-0100-000025000000}" name="WS_KUD09" dataDxfId="238"/>
    <tableColumn id="38" xr3:uid="{00000000-0010-0000-0100-000026000000}" name="WS_KUD10" dataDxfId="237"/>
    <tableColumn id="39" xr3:uid="{00000000-0010-0000-0100-000027000000}" name="WS_KUD11" dataDxfId="236"/>
    <tableColumn id="40" xr3:uid="{00000000-0010-0000-0100-000028000000}" name="WS_KUD12" dataDxfId="235"/>
    <tableColumn id="41" xr3:uid="{00000000-0010-0000-0100-000029000000}" name="WS_KUD13" dataDxfId="234"/>
    <tableColumn id="42" xr3:uid="{00000000-0010-0000-0100-00002A000000}" name="WS_KUD14" dataDxfId="233"/>
    <tableColumn id="43" xr3:uid="{00000000-0010-0000-0100-00002B000000}" name="WS_KUD15" dataDxfId="232"/>
    <tableColumn id="44" xr3:uid="{00000000-0010-0000-0100-00002C000000}" name="WS_KUD16" dataDxfId="231"/>
    <tableColumn id="45" xr3:uid="{00000000-0010-0000-0100-00002D000000}" name="WS_KUD17" dataDxfId="230"/>
    <tableColumn id="46" xr3:uid="{00000000-0010-0000-0100-00002E000000}" name="WS_KUD18" dataDxfId="229"/>
    <tableColumn id="47" xr3:uid="{00000000-0010-0000-0100-00002F000000}" name="WS_KUD19" dataDxfId="228"/>
    <tableColumn id="48" xr3:uid="{00000000-0010-0000-0100-000030000000}" name="WS_KUD20" dataDxfId="227"/>
    <tableColumn id="49" xr3:uid="{00000000-0010-0000-0100-000031000000}" name="WS_KUD21" dataDxfId="226"/>
    <tableColumn id="50" xr3:uid="{00000000-0010-0000-0100-000032000000}" name="WS_KUD22" dataDxfId="225"/>
    <tableColumn id="51" xr3:uid="{00000000-0010-0000-0100-000033000000}" name="WS_KUD23" dataDxfId="224"/>
    <tableColumn id="70" xr3:uid="{00000000-0010-0000-0100-000046000000}" name="WTG Total Gneration (MWh) O2R1" dataDxfId="223">
      <calculatedColumnFormula>SUM($H5,$J5,$Q5:$V5,$Z5:$AA5)</calculatedColumnFormula>
    </tableColumn>
    <tableColumn id="71" xr3:uid="{00000000-0010-0000-0100-000047000000}" name="WTG Total Gneration (MWh) O2R2" dataDxfId="222">
      <calculatedColumnFormula>SUM($W5:$X5)</calculatedColumnFormula>
    </tableColumn>
    <tableColumn id="72" xr3:uid="{00000000-0010-0000-0100-000048000000}" name="WTG Total Gneration (MWh) O2R5" dataDxfId="221">
      <calculatedColumnFormula>SUM($I5,$K5:$P5,$AB5:$AD5)</calculatedColumnFormula>
    </tableColumn>
    <tableColumn id="73" xr3:uid="{00000000-0010-0000-0100-000049000000}" name="WTG Total Gneration (MWh) O2R4" dataDxfId="220">
      <calculatedColumnFormula>Y5</calculatedColumnFormula>
    </tableColumn>
    <tableColumn id="111" xr3:uid="{00000000-0010-0000-0100-00006F000000}" name="WTG Total Gneration (MWh) O2R16" dataDxfId="219"/>
    <tableColumn id="106" xr3:uid="{00000000-0010-0000-0100-00006A000000}" name="WTG Total Gneration (MWh)" dataDxfId="218">
      <calculatedColumnFormula>SUM(RD[[#This Row],[KUD01]:[KUD23]])</calculatedColumnFormula>
    </tableColumn>
    <tableColumn id="74" xr3:uid="{00000000-0010-0000-0100-00004A000000}" name="Wind Speed Average (m/S)-O2R1" dataDxfId="217">
      <calculatedColumnFormula>IFERROR(AVERAGE(AE5,AG5,AN5:AS5,AW5:AX5),"")</calculatedColumnFormula>
    </tableColumn>
    <tableColumn id="75" xr3:uid="{00000000-0010-0000-0100-00004B000000}" name="Wind Speed Average (m/S)-O2R2" dataDxfId="216">
      <calculatedColumnFormula>IFERROR(AVERAGE(AT5,AU5),"")</calculatedColumnFormula>
    </tableColumn>
    <tableColumn id="76" xr3:uid="{00000000-0010-0000-0100-00004C000000}" name="Wind Speed Average (m/S)-O2R5" dataDxfId="215">
      <calculatedColumnFormula>IFERROR(AVERAGE(AF5,AH5:AM5,AY5:BA5),"")</calculatedColumnFormula>
    </tableColumn>
    <tableColumn id="77" xr3:uid="{00000000-0010-0000-0100-00004D000000}" name="Wind Speed Average (m/S)-O2R4" dataDxfId="214">
      <calculatedColumnFormula>AV5</calculatedColumnFormula>
    </tableColumn>
    <tableColumn id="85" xr3:uid="{2CCE4559-43F7-4007-8684-8E7C8C9185A2}" name="Wind Speed Average (m/S)-O2R16" dataDxfId="213">
      <calculatedColumnFormula>IFERROR(AVERAGE(AK5:AL5,),"")</calculatedColumnFormula>
    </tableColumn>
    <tableColumn id="107" xr3:uid="{00000000-0010-0000-0100-00006B000000}" name="Wind Speed Average cumulative (m/S)2" dataDxfId="212">
      <calculatedColumnFormula>IFERROR(AVERAGE(RD[[#This Row],[WS_KUD01]:[WS_KUD23]]),"")</calculatedColumnFormula>
    </tableColumn>
    <tableColumn id="108" xr3:uid="{00000000-0010-0000-0100-00006C000000}" name="Wind Speed Max (m/S)" dataDxfId="211">
      <calculatedColumnFormula>IFERROR(MAX(RD[[#This Row],[WS_KUD01]:[WS_KUD23]]),"")</calculatedColumnFormula>
    </tableColumn>
    <tableColumn id="52" xr3:uid="{00000000-0010-0000-0100-000034000000}" name="33 kV_Wind_F1_Export reading" dataDxfId="210"/>
    <tableColumn id="53" xr3:uid="{00000000-0010-0000-0100-000035000000}" name="33 kV_Wind_F2_Export_reading" dataDxfId="209"/>
    <tableColumn id="54" xr3:uid="{00000000-0010-0000-0100-000036000000}" name="33 kV_Wind_F3_Export_Reading" dataDxfId="208"/>
    <tableColumn id="55" xr3:uid="{00000000-0010-0000-0100-000037000000}" name="33 kV_Wind_F4_Export Reading" dataDxfId="207"/>
    <tableColumn id="56" xr3:uid="{00000000-0010-0000-0100-000038000000}" name="33 kV_Solar_F1_Export Reading" dataDxfId="206"/>
    <tableColumn id="57" xr3:uid="{00000000-0010-0000-0100-000039000000}" name="33kV_Solar_F2_Export Reading" dataDxfId="205"/>
    <tableColumn id="58" xr3:uid="{00000000-0010-0000-0100-00003A000000}" name="33 kV_Solar_F3_Export reading" dataDxfId="204"/>
    <tableColumn id="59" xr3:uid="{00000000-0010-0000-0100-00003B000000}" name="32kV_Solar_F4_Export reading" dataDxfId="203"/>
    <tableColumn id="60" xr3:uid="{00000000-0010-0000-0100-00003C000000}" name="33kV_OG1_Export reading" dataDxfId="202"/>
    <tableColumn id="61" xr3:uid="{00000000-0010-0000-0100-00003D000000}" name="33kV_OG2_Export reading" dataDxfId="201"/>
    <tableColumn id="62" xr3:uid="{00000000-0010-0000-0100-00003E000000}" name="220kV_TX1_Export reading" dataDxfId="200"/>
    <tableColumn id="63" xr3:uid="{00000000-0010-0000-0100-00003F000000}" name="220kV_Tx2_Export reading" dataDxfId="199"/>
    <tableColumn id="65" xr3:uid="{00000000-0010-0000-0100-000041000000}" name="220kV_TL_TVM Export Reading" dataDxfId="198"/>
    <tableColumn id="66" xr3:uid="{00000000-0010-0000-0100-000042000000}" name="220kV_C&amp;R_PQM reading" dataDxfId="197"/>
    <tableColumn id="68" xr3:uid="{00000000-0010-0000-0100-000044000000}" name="220KV_C&amp;R_PQM Import Reading" dataDxfId="196"/>
    <tableColumn id="64" xr3:uid="{00000000-0010-0000-0100-000040000000}" name="33kV_Aux1 Import Reading" dataDxfId="195"/>
    <tableColumn id="67" xr3:uid="{00000000-0010-0000-0100-000043000000}" name="33kV_Aux2_Import reading" dataDxfId="194"/>
    <tableColumn id="86" xr3:uid="{00000000-0010-0000-0100-000056000000}" name="33 kV_Wind_F1_Energy (MWh)" dataDxfId="193">
      <calculatedColumnFormula>IF((RD[[#This Row],[33 kV_Wind_F1_Export reading]]-BO4)*165000&lt;=0,"",(RD[[#This Row],[33 kV_Wind_F1_Export reading]]-BO4)*165000)</calculatedColumnFormula>
    </tableColumn>
    <tableColumn id="87" xr3:uid="{00000000-0010-0000-0100-000057000000}" name="33 kV_Wind_F2_Export_reading2" dataDxfId="192">
      <calculatedColumnFormula>IF((RD[[#This Row],[33 kV_Wind_F2_Export_reading]]-BP4)*165000&lt;=0,"",(RD[[#This Row],[33 kV_Wind_F2_Export_reading]]-BP4)*165000)</calculatedColumnFormula>
    </tableColumn>
    <tableColumn id="88" xr3:uid="{00000000-0010-0000-0100-000058000000}" name="33 kV_Wind_F3_Export_Reading3" dataDxfId="191"/>
    <tableColumn id="89" xr3:uid="{00000000-0010-0000-0100-000059000000}" name="33 kV_Wind_F4_Energy (MWh)" dataDxfId="190"/>
    <tableColumn id="90" xr3:uid="{00000000-0010-0000-0100-00005A000000}" name="33 kV_Solar_F1_Energy (kWh)" dataDxfId="189">
      <calculatedColumnFormula>IF((RD[[#This Row],[33 kV_Solar_F1_Export Reading]]-BS4)*225000&lt;=0,"",(RD[[#This Row],[33 kV_Solar_F1_Export Reading]]-BS4)*225000)</calculatedColumnFormula>
    </tableColumn>
    <tableColumn id="91" xr3:uid="{00000000-0010-0000-0100-00005B000000}" name="32kV_Solar_F2_Energy (MWh)" dataDxfId="188"/>
    <tableColumn id="92" xr3:uid="{00000000-0010-0000-0100-00005C000000}" name="33 kV_Solar_F3_Energy (MWh)" dataDxfId="187">
      <calculatedColumnFormula>IF((RD[[#This Row],[33 kV_Solar_F3_Export reading]]-BU4)*225000&lt;=0,"",(RD[[#This Row],[33 kV_Solar_F3_Export reading]]-BU4)*225000)</calculatedColumnFormula>
    </tableColumn>
    <tableColumn id="93" xr3:uid="{00000000-0010-0000-0100-00005D000000}" name="32kV_Solar_F4_Energy (MWh)" dataDxfId="186"/>
    <tableColumn id="94" xr3:uid="{00000000-0010-0000-0100-00005E000000}" name="33kV_OG1_Energy (MWh)" dataDxfId="185">
      <calculatedColumnFormula>IF((RD[[#This Row],[33kV_OG1_Export reading]]-BW4)*1000&lt;=0,0,(RD[[#This Row],[33kV_OG1_Export reading]]-BW4)*1000)</calculatedColumnFormula>
    </tableColumn>
    <tableColumn id="95" xr3:uid="{00000000-0010-0000-0100-00005F000000}" name="33kV_OG2_Energy (MWh)" dataDxfId="184">
      <calculatedColumnFormula>IFERROR(IF((RD[[#This Row],[33kV_OG2_Export reading]]-BX4)*1000&lt;=0,0,(RD[[#This Row],[33kV_OG2_Export reading]]-BX4)*1000),0)</calculatedColumnFormula>
    </tableColumn>
    <tableColumn id="96" xr3:uid="{00000000-0010-0000-0100-000060000000}" name="220kV_TX1_Energy (MWh)" dataDxfId="183">
      <calculatedColumnFormula>(RD[[#This Row],[220kV_TX1_Export reading]]-BY2)</calculatedColumnFormula>
    </tableColumn>
    <tableColumn id="97" xr3:uid="{00000000-0010-0000-0100-000061000000}" name="220kV_Tx2_Energy (MWh)" dataDxfId="182">
      <calculatedColumnFormula>IF((RD[[#This Row],[220kV_Tx2_Export reading]]-BZ4)*800000&lt;=0,0,(RD[[#This Row],[220kV_Tx2_Export reading]]-BZ4)*800000)</calculatedColumnFormula>
    </tableColumn>
    <tableColumn id="98" xr3:uid="{00000000-0010-0000-0100-000062000000}" name="220kV_TL_TVM Energy (MWh)" dataDxfId="181">
      <calculatedColumnFormula>IF((RD[[#This Row],[220kV_TL_TVM Export Reading]]-CA4)*1600000&lt;=0,0,(RD[[#This Row],[220kV_TL_TVM Export Reading]]-CA4)*1600000)</calculatedColumnFormula>
    </tableColumn>
    <tableColumn id="99" xr3:uid="{00000000-0010-0000-0100-000063000000}" name="220kV_C&amp;R_PQM xport (MWh)" dataDxfId="180">
      <calculatedColumnFormula>IF((RD[[#This Row],[220kV_C&amp;R_PQM reading]]-CB4)*1600000&lt;=0,"",(RD[[#This Row],[220kV_C&amp;R_PQM reading]]-CB4)*1600000)</calculatedColumnFormula>
    </tableColumn>
    <tableColumn id="100" xr3:uid="{00000000-0010-0000-0100-000064000000}" name="220KV_C&amp;R_PQM Import (MWh)" dataDxfId="179">
      <calculatedColumnFormula>IFERROR(IF((RD[[#This Row],[220KV_C&amp;R_PQM Import Reading]]-CC4)*1600000&lt;=0,0,(RD[[#This Row],[220KV_C&amp;R_PQM Import Reading]]-CC4)*1600000),"")</calculatedColumnFormula>
    </tableColumn>
    <tableColumn id="101" xr3:uid="{00000000-0010-0000-0100-000065000000}" name="33kV_Aux1 Import (MWh)" dataDxfId="178">
      <calculatedColumnFormula>(RD[[#This Row],[33kV_Aux1 Import Reading]]-CD2)</calculatedColumnFormula>
    </tableColumn>
    <tableColumn id="102" xr3:uid="{00000000-0010-0000-0100-000066000000}" name="33kV_Aux2_Import (MWh)" dataDxfId="177">
      <calculatedColumnFormula>IF((RD[[#This Row],[33kV_Aux2_Import reading]]-CE4)*1000&lt;=0,"",(RD[[#This Row],[33kV_Aux2_Import reading]]-CE4)*1000)</calculatedColumnFormula>
    </tableColumn>
    <tableColumn id="103" xr3:uid="{00000000-0010-0000-0100-000067000000}" name="33 kV Total Export (MWH)" dataDxfId="176">
      <calculatedColumnFormula>IFERROR(RD[[#This Row],[33kV_OG1_Energy (MWh)]]+RD[[#This Row],[33kV_OG2_Energy (MWh)]],"")</calculatedColumnFormula>
    </tableColumn>
    <tableColumn id="104" xr3:uid="{00000000-0010-0000-0100-000068000000}" name="220 KV Net Export (MWh)" dataDxfId="175">
      <calculatedColumnFormula>IFERROR(RD[[#This Row],[220kV_TL_TVM Energy (MWh)]]-RD[[#This Row],[220KV_C&amp;R_PQM Import (MWh)]],"")</calculatedColumnFormula>
    </tableColumn>
    <tableColumn id="105" xr3:uid="{00000000-0010-0000-0100-000069000000}" name="33 kV Line Loss (%)" dataDxfId="174">
      <calculatedColumnFormula>IFERROR(RD[[#This Row],[33 kV Total Export (MWH)]]/RD[[#This Row],[220 KV Net Export (MWh)]]-1,"")</calculatedColumnFormula>
    </tableColumn>
    <tableColumn id="69" xr3:uid="{00000000-0010-0000-0100-000045000000}" name="Connected Wind AC Capcity(MW)" dataDxfId="173">
      <calculatedColumnFormula>23*2.2</calculatedColumnFormula>
    </tableColumn>
    <tableColumn id="78" xr3:uid="{00000000-0010-0000-0100-00004E000000}" name="Forecasting Data count received on Forecasting Portal" dataDxfId="172"/>
    <tableColumn id="79" xr3:uid="{00000000-0010-0000-0100-00004F000000}" name="Forecasting Penalties (INR)" dataDxfId="171"/>
    <tableColumn id="80" xr3:uid="{00000000-0010-0000-0100-000050000000}" name="Solar Operating Hours" dataDxfId="170">
      <calculatedColumnFormula>IFERROR((RD[[#This Row],[Sunset Time (POA&lt;20 W/m2)]]-RD[[#This Row],[Sunrise Time (POA&gt;20 W/m2)]])*24,0)</calculatedColumnFormula>
    </tableColumn>
    <tableColumn id="81" xr3:uid="{00000000-0010-0000-0100-000051000000}" name="Solar Export (33 KV)" dataDxfId="169">
      <calculatedColumnFormula>IFERROR(SUM(RD[[#This Row],[33 kV_Solar_F1_Energy (kWh)]:[32kV_Solar_F4_Energy (MWh)]]),"")</calculatedColumnFormula>
    </tableColumn>
    <tableColumn id="82" xr3:uid="{00000000-0010-0000-0100-000052000000}" name="Connected DC Capcity (MWp)" dataDxfId="168"/>
    <tableColumn id="83" xr3:uid="{00000000-0010-0000-0100-000053000000}" name="Wind Export (33 KV)" dataDxfId="167">
      <calculatedColumnFormula>SUM(RD[[#This Row],[33 kV_Wind_F1_Energy (MWh)]:[33 kV_Wind_F4_Energy (MWh)]])</calculatedColumnFormula>
    </tableColumn>
    <tableColumn id="84" xr3:uid="{00000000-0010-0000-0100-000054000000}" name="Expected Energy as per power curve. (MWh)"/>
    <tableColumn id="109" xr3:uid="{00000000-0010-0000-0100-00006D000000}" name="Reactive Energy (MVArH)"/>
    <tableColumn id="110" xr3:uid="{00000000-0010-0000-0100-00006E000000}" name="Remark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WTG_BD" displayName="WTG_BD" ref="A1:AD709" totalsRowShown="0" headerRowDxfId="166">
  <autoFilter ref="A1:AD709" xr:uid="{00000000-0009-0000-0100-000008000000}"/>
  <tableColumns count="30">
    <tableColumn id="1" xr3:uid="{00000000-0010-0000-0300-000001000000}" name="Sr. No." dataDxfId="165">
      <calculatedColumnFormula>A1+1</calculatedColumnFormula>
    </tableColumn>
    <tableColumn id="2" xr3:uid="{00000000-0010-0000-0300-000002000000}" name="Financial Year" dataDxfId="164">
      <calculatedColumnFormula>YEAR(WTG_BD[[#This Row],[Date]])+IF(MONTH(WTG_BD[[#This Row],[Date]])&gt;=4,1,0)</calculatedColumnFormula>
    </tableColumn>
    <tableColumn id="3" xr3:uid="{00000000-0010-0000-0300-000003000000}" name="Calendar Year" dataDxfId="163"/>
    <tableColumn id="5" xr3:uid="{00000000-0010-0000-0300-000005000000}" name="Operating Year" dataDxfId="162"/>
    <tableColumn id="28" xr3:uid="{562800DE-C3F6-4BF9-AB5B-A8A4CBB56983}" name="Month" dataDxfId="161">
      <calculatedColumnFormula>WTG_BD[[#This Row],[Date]]-DAY(WTG_BD[[#This Row],[Date]])+1</calculatedColumnFormula>
    </tableColumn>
    <tableColumn id="6" xr3:uid="{00000000-0010-0000-0300-000006000000}" name="Date" dataDxfId="160"/>
    <tableColumn id="7" xr3:uid="{00000000-0010-0000-0300-000007000000}" name="Affected WTG"/>
    <tableColumn id="21" xr3:uid="{00000000-0010-0000-0300-000015000000}" name="SPV" dataDxfId="159"/>
    <tableColumn id="10" xr3:uid="{00000000-0010-0000-0300-00000A000000}" name="Consumer" dataDxfId="158"/>
    <tableColumn id="4" xr3:uid="{00000000-0010-0000-0300-000004000000}" name="Plant Equivalent Weightage" dataDxfId="157" dataCellStyle="Percent"/>
    <tableColumn id="8" xr3:uid="{00000000-0010-0000-0300-000008000000}" name="Error Code" dataDxfId="156"/>
    <tableColumn id="9" xr3:uid="{00000000-0010-0000-0300-000009000000}" name="Error Text"/>
    <tableColumn id="11" xr3:uid="{00000000-0010-0000-0300-00000B000000}" name="Breakdown Description"/>
    <tableColumn id="24" xr3:uid="{00000000-0010-0000-0300-000018000000}" name="Stoppage Type"/>
    <tableColumn id="12" xr3:uid="{00000000-0010-0000-0300-00000C000000}" name="Fault Start TimeStamp" dataDxfId="155"/>
    <tableColumn id="13" xr3:uid="{00000000-0010-0000-0300-00000D000000}" name="Work Start TimeStamp" dataDxfId="154"/>
    <tableColumn id="14" xr3:uid="{00000000-0010-0000-0300-00000E000000}" name="Fault Clearance time" dataDxfId="153"/>
    <tableColumn id="15" xr3:uid="{00000000-0010-0000-0300-00000F000000}" name="Response Time" dataDxfId="152"/>
    <tableColumn id="16" xr3:uid="{00000000-0010-0000-0300-000010000000}" name="Resolution Time" dataDxfId="151"/>
    <tableColumn id="17" xr3:uid="{00000000-0010-0000-0300-000011000000}" name="Breakdown Time" dataDxfId="150"/>
    <tableColumn id="18" xr3:uid="{00000000-0010-0000-0300-000012000000}" name="Action taken"/>
    <tableColumn id="19" xr3:uid="{00000000-0010-0000-0300-000013000000}" name="Status" dataDxfId="149"/>
    <tableColumn id="22" xr3:uid="{00000000-0010-0000-0300-000016000000}" name="Plant Equivalent breakdown" dataDxfId="148"/>
    <tableColumn id="27" xr3:uid="{0F45F2A5-E0BA-4111-AF55-E92597EBE375}" name="Fault Category" dataDxfId="147" dataCellStyle="Comma"/>
    <tableColumn id="23" xr3:uid="{00000000-0010-0000-0300-000017000000}" name="Paired WTG for Enegy based MA" dataDxfId="146"/>
    <tableColumn id="30" xr3:uid="{AB059E62-630A-4D54-AD97-906A42ED9AF9}" name="Paired WTG Generation for loss calculation" dataDxfId="145"/>
    <tableColumn id="20" xr3:uid="{00000000-0010-0000-0300-000014000000}" name="Estimated Energy Loss (kWh)" dataDxfId="144"/>
    <tableColumn id="31" xr3:uid="{B578887D-6C84-4371-B590-532819A69FD2}" name="Special Remarks" dataDxfId="143"/>
    <tableColumn id="25" xr3:uid="{00000000-0010-0000-0300-000019000000}" name="PTW No."/>
    <tableColumn id="26" xr3:uid="{A3714EE7-E38B-4EDE-B36D-47912B36A7E6}" name="Job Card No."/>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7" displayName="Table7" ref="A2:AB609" totalsRowShown="0" headerRowDxfId="142" dataDxfId="140" headerRowBorderDxfId="141" tableBorderDxfId="139" totalsRowBorderDxfId="138" headerRowCellStyle="Normal 26 41">
  <tableColumns count="28">
    <tableColumn id="1" xr3:uid="{00000000-0010-0000-0200-000001000000}" name="Date" dataDxfId="137">
      <calculatedColumnFormula>A2+1</calculatedColumnFormula>
    </tableColumn>
    <tableColumn id="2" xr3:uid="{00000000-0010-0000-0200-000002000000}" name="Financial Year" dataDxfId="136">
      <calculatedColumnFormula>YEAR(Table13[[#This Row],[Date]])+IF(MONTH(Table13[[#This Row],[Date]])&gt;=4,1,0)</calculatedColumnFormula>
    </tableColumn>
    <tableColumn id="3" xr3:uid="{00000000-0010-0000-0200-000003000000}" name="Calendar Year" dataDxfId="135">
      <calculatedColumnFormula>YEAR(Table13[[#This Row],[Date]])</calculatedColumnFormula>
    </tableColumn>
    <tableColumn id="4" xr3:uid="{00000000-0010-0000-0200-000004000000}" name="Month Year" dataDxfId="134">
      <calculatedColumnFormula>Table13[[#This Row],[Date]]-DAY(Table13[[#This Row],[Date]])+1</calculatedColumnFormula>
    </tableColumn>
    <tableColumn id="5" xr3:uid="{00000000-0010-0000-0200-000005000000}" name=" Reactive Power WTG1" dataDxfId="133"/>
    <tableColumn id="6" xr3:uid="{00000000-0010-0000-0200-000006000000}" name=" Reactive Power WTG2" dataDxfId="132"/>
    <tableColumn id="7" xr3:uid="{00000000-0010-0000-0200-000007000000}" name=" Reactive Power WTG3" dataDxfId="131"/>
    <tableColumn id="8" xr3:uid="{00000000-0010-0000-0200-000008000000}" name=" Reactive Power WTG4" dataDxfId="130"/>
    <tableColumn id="9" xr3:uid="{00000000-0010-0000-0200-000009000000}" name=" Reactive Power WTG5" dataDxfId="129"/>
    <tableColumn id="10" xr3:uid="{00000000-0010-0000-0200-00000A000000}" name=" Reactive Power WTG6" dataDxfId="128"/>
    <tableColumn id="11" xr3:uid="{00000000-0010-0000-0200-00000B000000}" name=" Reactive Power WTG7" dataDxfId="127"/>
    <tableColumn id="12" xr3:uid="{00000000-0010-0000-0200-00000C000000}" name=" Reactive Power WTG8" dataDxfId="126"/>
    <tableColumn id="13" xr3:uid="{00000000-0010-0000-0200-00000D000000}" name=" Reactive Power WTG9" dataDxfId="125"/>
    <tableColumn id="14" xr3:uid="{00000000-0010-0000-0200-00000E000000}" name=" Reactive Power WTG10" dataDxfId="124"/>
    <tableColumn id="15" xr3:uid="{00000000-0010-0000-0200-00000F000000}" name=" Reactive Power WTG11" dataDxfId="123"/>
    <tableColumn id="16" xr3:uid="{00000000-0010-0000-0200-000010000000}" name=" Reactive Power WTG12" dataDxfId="122"/>
    <tableColumn id="17" xr3:uid="{00000000-0010-0000-0200-000011000000}" name=" Reactive Power WTG13" dataDxfId="121"/>
    <tableColumn id="18" xr3:uid="{00000000-0010-0000-0200-000012000000}" name=" Reactive Power WTG14" dataDxfId="120"/>
    <tableColumn id="19" xr3:uid="{00000000-0010-0000-0200-000013000000}" name=" Reactive Power WTG15" dataDxfId="119"/>
    <tableColumn id="20" xr3:uid="{00000000-0010-0000-0200-000014000000}" name=" Reactive Power WTG16" dataDxfId="118"/>
    <tableColumn id="21" xr3:uid="{00000000-0010-0000-0200-000015000000}" name=" Reactive Power WTG17" dataDxfId="117"/>
    <tableColumn id="22" xr3:uid="{00000000-0010-0000-0200-000016000000}" name=" Reactive Power WTG18" dataDxfId="116"/>
    <tableColumn id="23" xr3:uid="{00000000-0010-0000-0200-000017000000}" name=" Reactive Power WTG19" dataDxfId="115"/>
    <tableColumn id="24" xr3:uid="{00000000-0010-0000-0200-000018000000}" name=" Reactive Power WTG20" dataDxfId="114"/>
    <tableColumn id="25" xr3:uid="{00000000-0010-0000-0200-000019000000}" name=" Reactive Power WTG21" dataDxfId="113"/>
    <tableColumn id="26" xr3:uid="{00000000-0010-0000-0200-00001A000000}" name=" Reactive Power WTG22" dataDxfId="112"/>
    <tableColumn id="27" xr3:uid="{00000000-0010-0000-0200-00001B000000}" name=" Reactive Power WTG23" dataDxfId="111"/>
    <tableColumn id="51" xr3:uid="{00000000-0010-0000-0200-000033000000}" name="Total Reactive Power (kVArh)" dataDxfId="110">
      <calculatedColumnFormula>SUM(E3:AA3)</calculatedColumnFormula>
    </tableColumn>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IGA_BD" displayName="IGA_BD" ref="A4:Z311" totalsRowShown="0">
  <autoFilter ref="A4:Z311" xr:uid="{00000000-0009-0000-0100-000003000000}"/>
  <tableColumns count="26">
    <tableColumn id="1" xr3:uid="{00000000-0010-0000-0400-000001000000}" name="Sr. No." dataDxfId="109"/>
    <tableColumn id="2" xr3:uid="{00000000-0010-0000-0400-000002000000}" name="Finacial Year" dataDxfId="108"/>
    <tableColumn id="3" xr3:uid="{00000000-0010-0000-0400-000003000000}" name="Calendor Year" dataDxfId="107"/>
    <tableColumn id="5" xr3:uid="{00000000-0010-0000-0400-000005000000}" name="Operating Year" dataDxfId="106"/>
    <tableColumn id="20" xr3:uid="{7D6CAA50-5BB4-4F31-A5F2-AD8836974465}" name="Month" dataDxfId="105">
      <calculatedColumnFormula>IGA_BD[[#This Row],[Date]]-DAY(IGA_BD[[#This Row],[Date]])+1</calculatedColumnFormula>
    </tableColumn>
    <tableColumn id="6" xr3:uid="{00000000-0010-0000-0400-000006000000}" name="Date" dataDxfId="104"/>
    <tableColumn id="7" xr3:uid="{00000000-0010-0000-0400-000007000000}" name="Affected Feeder "/>
    <tableColumn id="21" xr3:uid="{00000000-0010-0000-0400-000015000000}" name="SPV" dataDxfId="103">
      <calculatedColumnFormula>IFERROR(VLOOKUP(IGA_BD[[#This Row],[Affected Feeder ]],'Basic Data'!$A$3:$E$50,2,0),"")</calculatedColumnFormula>
    </tableColumn>
    <tableColumn id="10" xr3:uid="{00000000-0010-0000-0400-00000A000000}" name="Consumer" dataDxfId="102">
      <calculatedColumnFormula>IFERROR(VLOOKUP(IGA_BD[[#This Row],[Affected Feeder ]],'Basic Data'!$A$3:$E$50,3,0),"")</calculatedColumnFormula>
    </tableColumn>
    <tableColumn id="4" xr3:uid="{00000000-0010-0000-0400-000004000000}" name="Plant Equivalent Weightage" dataDxfId="101">
      <calculatedColumnFormula>IFERROR(VLOOKUP(IGA_BD[[#This Row],[Affected Feeder ]],'Basic Data'!$A$3:$E$50,5,0),"")</calculatedColumnFormula>
    </tableColumn>
    <tableColumn id="11" xr3:uid="{00000000-0010-0000-0400-00000B000000}" name="Breakdown Description"/>
    <tableColumn id="12" xr3:uid="{00000000-0010-0000-0400-00000C000000}" name="Fault Start TimeStamp" dataDxfId="100"/>
    <tableColumn id="13" xr3:uid="{00000000-0010-0000-0400-00000D000000}" name="Work Start TimeStamp" dataDxfId="99"/>
    <tableColumn id="14" xr3:uid="{00000000-0010-0000-0400-00000E000000}" name="Fault Clearance time" dataDxfId="98"/>
    <tableColumn id="15" xr3:uid="{00000000-0010-0000-0400-00000F000000}" name="Response Time" dataDxfId="97">
      <calculatedColumnFormula>(IGA_BD[[#This Row],[Work Start TimeStamp]]-IGA_BD[[#This Row],[Fault Start TimeStamp]])*24</calculatedColumnFormula>
    </tableColumn>
    <tableColumn id="16" xr3:uid="{00000000-0010-0000-0400-000010000000}" name="Resolution Time" dataDxfId="96">
      <calculatedColumnFormula>(IGA_BD[[#This Row],[Fault Clearance time]]-IGA_BD[[#This Row],[Work Start TimeStamp]])*24</calculatedColumnFormula>
    </tableColumn>
    <tableColumn id="17" xr3:uid="{00000000-0010-0000-0400-000011000000}" name="Breakdown Time" dataDxfId="95">
      <calculatedColumnFormula>(IGA_BD[[#This Row],[Fault Clearance time]]-IGA_BD[[#This Row],[Fault Start TimeStamp]])*24</calculatedColumnFormula>
    </tableColumn>
    <tableColumn id="18" xr3:uid="{00000000-0010-0000-0400-000012000000}" name="Action taken"/>
    <tableColumn id="19" xr3:uid="{00000000-0010-0000-0400-000013000000}" name="Status" dataDxfId="94"/>
    <tableColumn id="22" xr3:uid="{00000000-0010-0000-0400-000016000000}" name="Plant Equivalent breakdown" dataDxfId="93">
      <calculatedColumnFormula>IFERROR(IGA_BD[[#This Row],[Breakdown Time]]*IGA_BD[[#This Row],[Plant Equivalent Weightage]],"")</calculatedColumnFormula>
    </tableColumn>
    <tableColumn id="9" xr3:uid="{5600DC4C-E64F-4CBB-A13F-1177432BC77F}" name="Fault Category" dataDxfId="92"/>
    <tableColumn id="26" xr3:uid="{26817A8F-7A59-4D5E-8D07-46D17833E487}" name="Loss of KWH" dataDxfId="91"/>
    <tableColumn id="8" xr3:uid="{00000000-0010-0000-0400-000008000000}" name="Estimated Energy Loss (kWh)" dataDxfId="90">
      <calculatedColumnFormula>#REF!*#REF!*IGA_BD[[#This Row],[Breakdown Time]]</calculatedColumnFormula>
    </tableColumn>
    <tableColumn id="23" xr3:uid="{C4F2EDD4-B2CB-4B02-8524-BE63D0C97788}" name="Scope"/>
    <tableColumn id="24" xr3:uid="{7590570D-4248-406F-9762-8E6B180F0D06}" name="PTW No."/>
    <tableColumn id="25" xr3:uid="{EAF7A820-7398-461F-B4EE-BEE5955FC441}" name="Job Card No."/>
  </tableColumns>
  <tableStyleInfo name="TableStyleMedium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Grid_BD" displayName="Grid_BD" ref="A1:AC22" totalsRowShown="0">
  <autoFilter ref="A1:AC22" xr:uid="{00000000-0009-0000-0100-000006000000}"/>
  <tableColumns count="29">
    <tableColumn id="1" xr3:uid="{00000000-0010-0000-0500-000001000000}" name="Sr. No." dataDxfId="89">
      <calculatedColumnFormula>A1+1</calculatedColumnFormula>
    </tableColumn>
    <tableColumn id="2" xr3:uid="{00000000-0010-0000-0500-000002000000}" name="Finacial Year" dataDxfId="88">
      <calculatedColumnFormula>YEAR(Grid_BD[[#This Row],[Date]])+IF(MONTH(Grid_BD[[#This Row],[Date]])&gt;=4,1,0)</calculatedColumnFormula>
    </tableColumn>
    <tableColumn id="3" xr3:uid="{00000000-0010-0000-0500-000003000000}" name="Calendor Year" dataDxfId="87"/>
    <tableColumn id="5" xr3:uid="{00000000-0010-0000-0500-000005000000}" name="Operating Year" dataDxfId="86"/>
    <tableColumn id="25" xr3:uid="{563112F1-89DD-4DFF-B4D9-91124BCDD78A}" name="Month" dataDxfId="85">
      <calculatedColumnFormula>Grid_BD[[#This Row],[Date]]-DAY(Grid_BD[[#This Row],[Date]])+1</calculatedColumnFormula>
    </tableColumn>
    <tableColumn id="6" xr3:uid="{00000000-0010-0000-0500-000006000000}" name="Date" dataDxfId="84"/>
    <tableColumn id="7" xr3:uid="{00000000-0010-0000-0500-000007000000}" name="Affected Feeder "/>
    <tableColumn id="21" xr3:uid="{00000000-0010-0000-0500-000015000000}" name="SPV" dataDxfId="83"/>
    <tableColumn id="10" xr3:uid="{00000000-0010-0000-0500-00000A000000}" name="Concumaer" dataDxfId="82"/>
    <tableColumn id="4" xr3:uid="{00000000-0010-0000-0500-000004000000}" name="Plant Equivalent Weightage" dataDxfId="81">
      <calculatedColumnFormula>IFERROR(_xlfn.XLOOKUP(Grid_BD[[#This Row],[Affected Feeder ]],'Basic Data'!$A:$A,'Basic Data'!$E:$E),"")</calculatedColumnFormula>
    </tableColumn>
    <tableColumn id="11" xr3:uid="{00000000-0010-0000-0500-00000B000000}" name="Breakdown Description"/>
    <tableColumn id="8" xr3:uid="{00000000-0010-0000-0500-000008000000}" name="Breakdown Type"/>
    <tableColumn id="12" xr3:uid="{00000000-0010-0000-0500-00000C000000}" name="Fault Start TimeStamp" dataDxfId="80"/>
    <tableColumn id="13" xr3:uid="{00000000-0010-0000-0500-00000D000000}" name="Work Start TimeStamp" dataDxfId="79"/>
    <tableColumn id="14" xr3:uid="{00000000-0010-0000-0500-00000E000000}" name="Fault Clearance time" dataDxfId="78"/>
    <tableColumn id="15" xr3:uid="{00000000-0010-0000-0500-00000F000000}" name="Response Time" dataDxfId="77">
      <calculatedColumnFormula>Grid_BD[[#This Row],[Work Start TimeStamp]]-Grid_BD[[#This Row],[Fault Start TimeStamp]]</calculatedColumnFormula>
    </tableColumn>
    <tableColumn id="16" xr3:uid="{00000000-0010-0000-0500-000010000000}" name="Resolution Time" dataDxfId="76">
      <calculatedColumnFormula>(Grid_BD[[#This Row],[Fault Clearance time]]-Grid_BD[[#This Row],[Work Start TimeStamp]])*24</calculatedColumnFormula>
    </tableColumn>
    <tableColumn id="17" xr3:uid="{00000000-0010-0000-0500-000011000000}" name="Breakdown Time" dataDxfId="75">
      <calculatedColumnFormula>(Grid_BD[[#This Row],[Fault Clearance time]]-Grid_BD[[#This Row],[Fault Start TimeStamp]])*24</calculatedColumnFormula>
    </tableColumn>
    <tableColumn id="18" xr3:uid="{00000000-0010-0000-0500-000012000000}" name="Action taken"/>
    <tableColumn id="19" xr3:uid="{00000000-0010-0000-0500-000013000000}" name="Status" dataDxfId="74"/>
    <tableColumn id="22" xr3:uid="{00000000-0010-0000-0500-000016000000}" name="Plant Equivalent breakdown" dataDxfId="73">
      <calculatedColumnFormula>IFERROR(Grid_BD[[#This Row],[Breakdown Time]]*Grid_BD[[#This Row],[Plant Equivalent Weightage]],"")</calculatedColumnFormula>
    </tableColumn>
    <tableColumn id="24" xr3:uid="{8A9BA109-3667-43C9-AC6B-13D920A88EC2}" name="Fault Category" dataDxfId="72" dataCellStyle="Comma"/>
    <tableColumn id="28" xr3:uid="{069F993C-12F9-4EA3-903E-3798E2E113F5}" name="Paired WTG for Enegy based MA" dataDxfId="71" dataCellStyle="Comma"/>
    <tableColumn id="29" xr3:uid="{DAABC4C8-599F-4926-9185-A6DFD8FD30C8}" name="Loss of KWH" dataDxfId="70" dataCellStyle="Comma"/>
    <tableColumn id="9" xr3:uid="{00000000-0010-0000-0500-000009000000}" name="Estimated Energy Loss (kWh)" dataDxfId="69"/>
    <tableColumn id="20" xr3:uid="{00000000-0010-0000-0500-000014000000}" name="Curtailment Order imit."/>
    <tableColumn id="23" xr3:uid="{00000000-0010-0000-0500-000017000000}" name="EGA_Including_CurtailmentOrder" dataDxfId="68">
      <calculatedColumnFormula>IF(Grid_BD[[#This Row],[Breakdown Type]]="Curtailment Order",(((100%*(24-Grid_BD[[#This Row],[Plant Equivalent breakdown]]))+(((Grid_BD[[#This Row],[Curtailment Order imit.]])/50.6)*Grid_BD[[#This Row],[Plant Equivalent breakdown]]))/24),1)</calculatedColumnFormula>
    </tableColumn>
    <tableColumn id="26" xr3:uid="{330E1D45-C016-4759-BA97-F82E51DAE214}" name="PTW No."/>
    <tableColumn id="27" xr3:uid="{8FACCEAA-D813-41C9-9126-91F1213292BF}" name="Job Card No."/>
  </tableColumns>
  <tableStyleInfo name="TableStyleMedium1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6000000}" name="Table1" displayName="Table1" ref="A2:L186" totalsRowShown="0" dataDxfId="67" dataCellStyle="Normal 3">
  <autoFilter ref="A2:L186" xr:uid="{00000000-0009-0000-0100-000001000000}"/>
  <tableColumns count="12">
    <tableColumn id="1" xr3:uid="{00000000-0010-0000-0600-000001000000}" name="Sr. No." dataDxfId="66" dataCellStyle="Normal 3"/>
    <tableColumn id="2" xr3:uid="{00000000-0010-0000-0600-000002000000}" name="Location No." dataDxfId="65" dataCellStyle="Normal 3"/>
    <tableColumn id="3" xr3:uid="{00000000-0010-0000-0600-000003000000}" name="Location Type" dataDxfId="64" dataCellStyle="Normal 3"/>
    <tableColumn id="4" xr3:uid="{00000000-0010-0000-0600-000004000000}" name="FY" dataDxfId="63" dataCellStyle="Normal 3"/>
    <tableColumn id="5" xr3:uid="{00000000-0010-0000-0600-000005000000}" name="CY" dataDxfId="62" dataCellStyle="Normal 3"/>
    <tableColumn id="6" xr3:uid="{00000000-0010-0000-0600-000006000000}" name="Cycle No." dataDxfId="61" dataCellStyle="Normal 3"/>
    <tableColumn id="7" xr3:uid="{00000000-0010-0000-0600-000007000000}" name="Frequency" dataDxfId="60" dataCellStyle="Normal 3"/>
    <tableColumn id="8" xr3:uid="{00000000-0010-0000-0600-000008000000}" name="PM Title" dataDxfId="59" dataCellStyle="Normal 3"/>
    <tableColumn id="9" xr3:uid="{00000000-0010-0000-0600-000009000000}" name="Planned Maintenance Date" dataDxfId="58" dataCellStyle="Normal 3"/>
    <tableColumn id="10" xr3:uid="{00000000-0010-0000-0600-00000A000000}" name="Actual Maintenance Date" dataDxfId="57" dataCellStyle="Normal 3"/>
    <tableColumn id="11" xr3:uid="{00000000-0010-0000-0600-00000B000000}" name="Delay" dataDxfId="56" dataCellStyle="Normal 3">
      <calculatedColumnFormula>J3-I3</calculatedColumnFormula>
    </tableColumn>
    <tableColumn id="13" xr3:uid="{00000000-0010-0000-0600-00000D000000}" name="Remark" dataDxfId="55" dataCellStyle="Normal 3"/>
  </tableColumns>
  <tableStyleInfo name="TableStyleMedium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7000000}" name="Table14" displayName="Table14" ref="A1:AN39" totalsRowShown="0" headerRowDxfId="54" dataDxfId="52" headerRowBorderDxfId="53" tableBorderDxfId="51" totalsRowBorderDxfId="50">
  <tableColumns count="40">
    <tableColumn id="1" xr3:uid="{00000000-0010-0000-0700-000001000000}" name="Sr. No." dataDxfId="49"/>
    <tableColumn id="2" xr3:uid="{00000000-0010-0000-0700-000002000000}" name="Month Name" dataDxfId="48" dataCellStyle="Comma 42"/>
    <tableColumn id="3" xr3:uid="{00000000-0010-0000-0700-000003000000}" name="Month Number" dataDxfId="47"/>
    <tableColumn id="4" xr3:uid="{00000000-0010-0000-0700-000004000000}" name="Month" dataDxfId="46" dataCellStyle="Comma 42"/>
    <tableColumn id="5" xr3:uid="{00000000-0010-0000-0700-000005000000}" name="CY" dataDxfId="45">
      <calculatedColumnFormula>YEAR(D2)</calculatedColumnFormula>
    </tableColumn>
    <tableColumn id="6" xr3:uid="{00000000-0010-0000-0700-000006000000}" name="FY" dataDxfId="44"/>
    <tableColumn id="7" xr3:uid="{00000000-0010-0000-0700-000007000000}" name="No. of Days in Month" dataDxfId="43">
      <calculatedColumnFormula>DAY(EOMONTH(D2,0))</calculatedColumnFormula>
    </tableColumn>
    <tableColumn id="8" xr3:uid="{00000000-0010-0000-0700-000008000000}" name="GHI" dataDxfId="42"/>
    <tableColumn id="9" xr3:uid="{00000000-0010-0000-0700-000009000000}" name="POA" dataDxfId="41"/>
    <tableColumn id="10" xr3:uid="{00000000-0010-0000-0700-00000A000000}" name="WS" dataDxfId="40"/>
    <tableColumn id="11" xr3:uid="{00000000-0010-0000-0700-00000B000000}" name="Tamb" dataDxfId="39"/>
    <tableColumn id="12" xr3:uid="{00000000-0010-0000-0700-00000C000000}" name="Tmod" dataDxfId="38"/>
    <tableColumn id="13" xr3:uid="{00000000-0010-0000-0700-00000D000000}" name="Egrid (MWh)" dataDxfId="37"/>
    <tableColumn id="14" xr3:uid="{00000000-0010-0000-0700-00000E000000}" name="Bugt_Capacity" dataDxfId="36"/>
    <tableColumn id="15" xr3:uid="{00000000-0010-0000-0700-00000F000000}" name="PR" dataDxfId="35"/>
    <tableColumn id="16" xr3:uid="{00000000-0010-0000-0700-000010000000}" name="Daily POA" dataDxfId="34"/>
    <tableColumn id="17" xr3:uid="{00000000-0010-0000-0700-000011000000}" name="Days Operated" dataDxfId="33">
      <calculatedColumnFormula>COUNTIFS('Daily KPI'!D:D,D2,'Daily KPI'!M:M,"&gt;0")</calculatedColumnFormula>
    </tableColumn>
    <tableColumn id="18" xr3:uid="{00000000-0010-0000-0700-000012000000}" name="MTD POA" dataDxfId="32"/>
    <tableColumn id="27" xr3:uid="{00000000-0010-0000-0700-00001B000000}" name="YTD POA" dataDxfId="31"/>
    <tableColumn id="19" xr3:uid="{00000000-0010-0000-0700-000013000000}" name="Daily Energy (MWh)" dataDxfId="30">
      <calculatedColumnFormula>M2/G2</calculatedColumnFormula>
    </tableColumn>
    <tableColumn id="20" xr3:uid="{00000000-0010-0000-0700-000014000000}" name="MTD Energy (MWh)" dataDxfId="29">
      <calculatedColumnFormula>M2/G2*Q2</calculatedColumnFormula>
    </tableColumn>
    <tableColumn id="28" xr3:uid="{00000000-0010-0000-0700-00001C000000}" name="YTD Energy (MWh)" dataDxfId="28">
      <calculatedColumnFormula>SUMIF($F$2:F2,F2,$U$2:U2)</calculatedColumnFormula>
    </tableColumn>
    <tableColumn id="38" xr3:uid="{00000000-0010-0000-0700-000026000000}" name="Bugt CUF (%)" dataDxfId="27" dataCellStyle="Percent">
      <calculatedColumnFormula>IFERROR(T2/(24*N2),"")</calculatedColumnFormula>
    </tableColumn>
    <tableColumn id="37" xr3:uid="{00000000-0010-0000-0700-000025000000}" name="Bugt CUF (%) MTD" dataDxfId="26" dataCellStyle="Percent">
      <calculatedColumnFormula>IFERROR(U2/(24*N2*Q2),"")</calculatedColumnFormula>
    </tableColumn>
    <tableColumn id="36" xr3:uid="{00000000-0010-0000-0700-000024000000}" name="Bugt CUF (%)YTD" dataDxfId="25" dataCellStyle="Percent">
      <calculatedColumnFormula>IFERROR(V2/(24*N2*SUMIFS($Q:$Q,$F:$F,$F2,$D:$D,"&lt;="&amp;D2)),"")</calculatedColumnFormula>
    </tableColumn>
    <tableColumn id="21" xr3:uid="{00000000-0010-0000-0700-000015000000}" name="Ave. Cap MTD" dataDxfId="24">
      <calculatedColumnFormula>IFERROR(AVERAGEIF('Daily KPI'!D:D,Table14[[#This Row],[Month]],'Daily KPI'!AB:AB),"")</calculatedColumnFormula>
    </tableColumn>
    <tableColumn id="29" xr3:uid="{00000000-0010-0000-0700-00001D000000}" name="Ave. Cap YTD" dataDxfId="23">
      <calculatedColumnFormula>IFERROR(AVERAGEIF($F$2:F2,F2,$Z$2:Z2),"")</calculatedColumnFormula>
    </tableColumn>
    <tableColumn id="22" xr3:uid="{00000000-0010-0000-0700-000016000000}" name="CC Energy MTD" dataDxfId="22"/>
    <tableColumn id="31" xr3:uid="{00000000-0010-0000-0700-00001F000000}" name="WS MTD" dataDxfId="21"/>
    <tableColumn id="23" xr3:uid="{00000000-0010-0000-0700-000017000000}" name="WS YTD" dataDxfId="20">
      <calculatedColumnFormula>AVERAGEIF($F$2:F2,F2,$AC$2:AC2)</calculatedColumnFormula>
    </tableColumn>
    <tableColumn id="24" xr3:uid="{00000000-0010-0000-0700-000018000000}" name="Bugt PA" dataDxfId="19" dataCellStyle="Percent 43">
      <calculatedColumnFormula>IFERROR(AF2*AH2*AI2,"")</calculatedColumnFormula>
    </tableColumn>
    <tableColumn id="25" xr3:uid="{00000000-0010-0000-0700-000019000000}" name="Bugt EGA" dataDxfId="18" dataCellStyle="Percent 43"/>
    <tableColumn id="35" xr3:uid="{00000000-0010-0000-0700-000023000000}" name="Bugt TA" dataDxfId="17" dataCellStyle="Percent"/>
    <tableColumn id="26" xr3:uid="{00000000-0010-0000-0700-00001A000000}" name="Bugt MA" dataDxfId="16" dataCellStyle="Percent"/>
    <tableColumn id="30" xr3:uid="{00000000-0010-0000-0700-00001E000000}" name="Bugt IGA" dataDxfId="15" dataCellStyle="Percent"/>
    <tableColumn id="32" xr3:uid="{00000000-0010-0000-0700-000020000000}" name="Corelation" dataDxfId="14" dataCellStyle="Percent"/>
    <tableColumn id="33" xr3:uid="{00000000-0010-0000-0700-000021000000}" name="Bugt Line loss" dataDxfId="13" dataCellStyle="Percent"/>
    <tableColumn id="34" xr3:uid="{00000000-0010-0000-0700-000022000000}" name="Bugt Reactive Power" dataDxfId="12" dataCellStyle="Percent"/>
    <tableColumn id="39" xr3:uid="{00000000-0010-0000-0700-000027000000}" name="Bugt Capacity" dataDxfId="11" dataCellStyle="Percent"/>
    <tableColumn id="40" xr3:uid="{00000000-0010-0000-0700-000028000000}" name="CC*Bugt" dataDxfId="10" dataCellStyle="Percent"/>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Pass@123"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8" Type="http://schemas.openxmlformats.org/officeDocument/2006/relationships/hyperlink" Target="mailto:O@R1" TargetMode="External"/><Relationship Id="rId13" Type="http://schemas.openxmlformats.org/officeDocument/2006/relationships/hyperlink" Target="mailto:O@R1" TargetMode="External"/><Relationship Id="rId18" Type="http://schemas.openxmlformats.org/officeDocument/2006/relationships/hyperlink" Target="mailto:O@R1" TargetMode="External"/><Relationship Id="rId26" Type="http://schemas.openxmlformats.org/officeDocument/2006/relationships/hyperlink" Target="mailto:O@R1" TargetMode="External"/><Relationship Id="rId3" Type="http://schemas.openxmlformats.org/officeDocument/2006/relationships/hyperlink" Target="mailto:O@R1" TargetMode="External"/><Relationship Id="rId21" Type="http://schemas.openxmlformats.org/officeDocument/2006/relationships/hyperlink" Target="mailto:O@R1" TargetMode="External"/><Relationship Id="rId7" Type="http://schemas.openxmlformats.org/officeDocument/2006/relationships/hyperlink" Target="mailto:O@R1" TargetMode="External"/><Relationship Id="rId12" Type="http://schemas.openxmlformats.org/officeDocument/2006/relationships/hyperlink" Target="mailto:O@R1" TargetMode="External"/><Relationship Id="rId17" Type="http://schemas.openxmlformats.org/officeDocument/2006/relationships/hyperlink" Target="mailto:O@R1" TargetMode="External"/><Relationship Id="rId25" Type="http://schemas.openxmlformats.org/officeDocument/2006/relationships/hyperlink" Target="mailto:O@R1" TargetMode="External"/><Relationship Id="rId2" Type="http://schemas.openxmlformats.org/officeDocument/2006/relationships/hyperlink" Target="mailto:O@R1" TargetMode="External"/><Relationship Id="rId16" Type="http://schemas.openxmlformats.org/officeDocument/2006/relationships/hyperlink" Target="mailto:O@R1" TargetMode="External"/><Relationship Id="rId20" Type="http://schemas.openxmlformats.org/officeDocument/2006/relationships/hyperlink" Target="mailto:O@R1" TargetMode="External"/><Relationship Id="rId29" Type="http://schemas.openxmlformats.org/officeDocument/2006/relationships/hyperlink" Target="mailto:O@R1" TargetMode="External"/><Relationship Id="rId1" Type="http://schemas.openxmlformats.org/officeDocument/2006/relationships/hyperlink" Target="mailto:O@R1" TargetMode="External"/><Relationship Id="rId6" Type="http://schemas.openxmlformats.org/officeDocument/2006/relationships/hyperlink" Target="mailto:O@R1" TargetMode="External"/><Relationship Id="rId11" Type="http://schemas.openxmlformats.org/officeDocument/2006/relationships/hyperlink" Target="mailto:O@R1" TargetMode="External"/><Relationship Id="rId24" Type="http://schemas.openxmlformats.org/officeDocument/2006/relationships/hyperlink" Target="mailto:O@R1" TargetMode="External"/><Relationship Id="rId5" Type="http://schemas.openxmlformats.org/officeDocument/2006/relationships/hyperlink" Target="mailto:O@R1" TargetMode="External"/><Relationship Id="rId15" Type="http://schemas.openxmlformats.org/officeDocument/2006/relationships/hyperlink" Target="mailto:O@R1" TargetMode="External"/><Relationship Id="rId23" Type="http://schemas.openxmlformats.org/officeDocument/2006/relationships/hyperlink" Target="mailto:O@R1" TargetMode="External"/><Relationship Id="rId28" Type="http://schemas.openxmlformats.org/officeDocument/2006/relationships/hyperlink" Target="mailto:O@R1" TargetMode="External"/><Relationship Id="rId10" Type="http://schemas.openxmlformats.org/officeDocument/2006/relationships/hyperlink" Target="mailto:O@R1" TargetMode="External"/><Relationship Id="rId19" Type="http://schemas.openxmlformats.org/officeDocument/2006/relationships/hyperlink" Target="mailto:O@R1" TargetMode="External"/><Relationship Id="rId4" Type="http://schemas.openxmlformats.org/officeDocument/2006/relationships/hyperlink" Target="mailto:O@R1" TargetMode="External"/><Relationship Id="rId9" Type="http://schemas.openxmlformats.org/officeDocument/2006/relationships/hyperlink" Target="mailto:O@R1" TargetMode="External"/><Relationship Id="rId14" Type="http://schemas.openxmlformats.org/officeDocument/2006/relationships/hyperlink" Target="mailto:O@R1" TargetMode="External"/><Relationship Id="rId22" Type="http://schemas.openxmlformats.org/officeDocument/2006/relationships/hyperlink" Target="mailto:O@R1" TargetMode="External"/><Relationship Id="rId27" Type="http://schemas.openxmlformats.org/officeDocument/2006/relationships/hyperlink" Target="mailto:O@R1" TargetMode="External"/><Relationship Id="rId30" Type="http://schemas.openxmlformats.org/officeDocument/2006/relationships/hyperlink" Target="mailto:O@R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6"/>
  <sheetViews>
    <sheetView showGridLines="0" tabSelected="1" topLeftCell="A2" workbookViewId="0">
      <selection activeCell="A2" sqref="A2:F56"/>
    </sheetView>
  </sheetViews>
  <sheetFormatPr defaultColWidth="9" defaultRowHeight="14.5"/>
  <cols>
    <col min="1" max="1" width="17" style="118" customWidth="1"/>
    <col min="2" max="2" width="22.26953125" style="119" customWidth="1"/>
    <col min="3" max="3" width="13.7265625" style="119" customWidth="1"/>
    <col min="4" max="4" width="12.453125" style="120" customWidth="1"/>
    <col min="5" max="5" width="11.54296875" style="118" customWidth="1"/>
    <col min="6" max="6" width="35.7265625" style="119" customWidth="1"/>
    <col min="7" max="7" width="0.7265625" style="119" customWidth="1"/>
    <col min="8" max="8" width="1.26953125" style="119" customWidth="1"/>
    <col min="9" max="9" width="16.26953125" style="119" customWidth="1"/>
    <col min="10" max="10" width="18" style="119" customWidth="1"/>
    <col min="11" max="11" width="15.7265625" style="119" customWidth="1"/>
    <col min="12" max="12" width="18" style="119" customWidth="1"/>
    <col min="13" max="16384" width="9" style="119"/>
  </cols>
  <sheetData>
    <row r="1" spans="1:16" ht="4.1500000000000004" hidden="1" customHeight="1"/>
    <row r="2" spans="1:16" ht="25.5" customHeight="1">
      <c r="A2" s="371" t="s">
        <v>0</v>
      </c>
      <c r="B2" s="372"/>
      <c r="C2" s="372"/>
      <c r="D2" s="372"/>
      <c r="E2" s="372"/>
      <c r="F2" s="373"/>
    </row>
    <row r="3" spans="1:16">
      <c r="A3" s="121" t="s">
        <v>1</v>
      </c>
      <c r="B3" s="122">
        <v>45839</v>
      </c>
      <c r="C3" s="123"/>
      <c r="D3" s="123"/>
      <c r="E3" s="123"/>
      <c r="F3" s="124"/>
    </row>
    <row r="4" spans="1:16">
      <c r="A4" s="121" t="s">
        <v>2</v>
      </c>
      <c r="B4" s="125">
        <v>45857</v>
      </c>
      <c r="C4" s="123"/>
      <c r="D4" s="123"/>
      <c r="E4" s="123"/>
      <c r="F4" s="124"/>
      <c r="G4" s="126"/>
      <c r="H4" s="126"/>
      <c r="I4" s="126"/>
      <c r="J4" s="126"/>
      <c r="K4" s="126"/>
      <c r="L4" s="126"/>
      <c r="M4" s="126"/>
      <c r="N4" s="126"/>
      <c r="O4" s="126"/>
      <c r="P4" s="126"/>
    </row>
    <row r="5" spans="1:16" s="117" customFormat="1">
      <c r="A5" s="121" t="s">
        <v>3</v>
      </c>
      <c r="B5" s="122" t="s">
        <v>4468</v>
      </c>
      <c r="C5" s="123"/>
      <c r="D5" s="123"/>
      <c r="E5" s="123"/>
      <c r="F5" s="124"/>
      <c r="G5" s="119"/>
      <c r="H5" s="119"/>
      <c r="I5" s="119"/>
      <c r="J5" s="119"/>
      <c r="K5" s="119"/>
      <c r="L5" s="119"/>
      <c r="M5" s="119"/>
      <c r="N5" s="119"/>
    </row>
    <row r="6" spans="1:16">
      <c r="A6" s="121" t="s">
        <v>4</v>
      </c>
      <c r="B6" s="125">
        <v>45748</v>
      </c>
      <c r="C6" s="123"/>
      <c r="D6" s="123"/>
      <c r="E6" s="123"/>
      <c r="F6" s="124"/>
    </row>
    <row r="7" spans="1:16">
      <c r="A7" s="127" t="s">
        <v>5</v>
      </c>
      <c r="B7" s="128">
        <v>46112</v>
      </c>
      <c r="C7" s="129"/>
      <c r="D7" s="129"/>
      <c r="E7" s="129"/>
      <c r="F7" s="130"/>
    </row>
    <row r="8" spans="1:16" ht="4.5" customHeight="1">
      <c r="A8" s="131"/>
      <c r="B8" s="132"/>
      <c r="C8" s="132"/>
      <c r="D8" s="132"/>
      <c r="E8" s="132"/>
      <c r="F8" s="132"/>
    </row>
    <row r="9" spans="1:16" ht="19.5" customHeight="1">
      <c r="A9" s="133" t="s">
        <v>6</v>
      </c>
      <c r="B9" s="134" t="s">
        <v>7</v>
      </c>
      <c r="C9" s="134" t="s">
        <v>8</v>
      </c>
      <c r="D9" s="134" t="s">
        <v>9</v>
      </c>
      <c r="E9" s="134" t="s">
        <v>10</v>
      </c>
      <c r="F9" s="135" t="s">
        <v>11</v>
      </c>
      <c r="I9" s="135" t="s">
        <v>12</v>
      </c>
      <c r="J9" s="157" t="s">
        <v>13</v>
      </c>
      <c r="K9" s="135" t="s">
        <v>14</v>
      </c>
      <c r="L9" s="135" t="s">
        <v>13</v>
      </c>
    </row>
    <row r="10" spans="1:16">
      <c r="A10" s="377">
        <v>1</v>
      </c>
      <c r="B10" s="136" t="s">
        <v>15</v>
      </c>
      <c r="C10" s="171">
        <f>_xlfn.XLOOKUP($B$4,'Daily KPI'!$A:$A,'Daily KPI'!$AD:$AD)/1000</f>
        <v>815.98322580645163</v>
      </c>
      <c r="D10" s="137">
        <f>_xlfn.XLOOKUP($B$4,'Daily KPI'!$A:$A,'Daily KPI'!$X:$X,"")*(1+MonthlyKPI!Q4)/1000</f>
        <v>571.91230089220767</v>
      </c>
      <c r="E10" s="278">
        <f>D10/C10-1</f>
        <v>-0.29911267437271649</v>
      </c>
      <c r="F10" s="138"/>
      <c r="I10" s="161" t="str">
        <f>_xlfn.XLOOKUP(1,Analytics!40:40,Analytics!$5:$5)</f>
        <v>KUD16</v>
      </c>
      <c r="J10" s="162">
        <f>_xlfn.XLOOKUP(I10,Analytics!$5:$5,Analytics!37:37)/1000</f>
        <v>29.6023</v>
      </c>
      <c r="K10" s="163" t="str">
        <f>_xlfn.XLOOKUP(23,Analytics!40:40,Analytics!$5:$5)</f>
        <v>KUD10</v>
      </c>
      <c r="L10" s="162">
        <f>_xlfn.XLOOKUP(K10,Analytics!$5:$5,Analytics!37:37)/1000</f>
        <v>22.170900000000003</v>
      </c>
    </row>
    <row r="11" spans="1:16">
      <c r="A11" s="378"/>
      <c r="B11" s="139" t="s">
        <v>16</v>
      </c>
      <c r="C11" s="140">
        <f>MonthlyKPI!E4</f>
        <v>15503.68129032258</v>
      </c>
      <c r="D11" s="141">
        <f>MonthlyKPI!F4*(1+MonthlyKPI!Q4)</f>
        <v>15198.790462886096</v>
      </c>
      <c r="E11" s="279">
        <f t="shared" ref="E11:E12" si="0">D11/C11-1</f>
        <v>-1.9665705307474135E-2</v>
      </c>
      <c r="F11" s="142"/>
      <c r="I11" s="163" t="str">
        <f>_xlfn.XLOOKUP(1,Analytics!41:41,Analytics!$5:$5)</f>
        <v>KUD15</v>
      </c>
      <c r="J11" s="162">
        <f>_xlfn.XLOOKUP(I11,Analytics!$5:$5,Analytics!38:38)/1000</f>
        <v>731.7595</v>
      </c>
      <c r="K11" s="163" t="str">
        <f>_xlfn.XLOOKUP(23,Analytics!41:41,Analytics!$5:$5)</f>
        <v>KUD04</v>
      </c>
      <c r="L11" s="162">
        <f>_xlfn.XLOOKUP(K11,Analytics!$5:$5,Analytics!38:38)/1000</f>
        <v>622.00959999999998</v>
      </c>
    </row>
    <row r="12" spans="1:16" ht="15" thickBot="1">
      <c r="A12" s="379"/>
      <c r="B12" s="143" t="s">
        <v>17</v>
      </c>
      <c r="C12" s="144">
        <f>AnnualKPI!E4</f>
        <v>58695.951290322584</v>
      </c>
      <c r="D12" s="145">
        <f>AnnualKPI!F4*(1+AnnualKPI!Q4)</f>
        <v>55137.543872305432</v>
      </c>
      <c r="E12" s="280">
        <f t="shared" si="0"/>
        <v>-6.0624410028155329E-2</v>
      </c>
      <c r="F12" s="146"/>
      <c r="I12" s="163" t="str">
        <f>_xlfn.XLOOKUP(1,Analytics!42:42,Analytics!$5:$5)</f>
        <v>KUD15</v>
      </c>
      <c r="J12" s="162">
        <f>_xlfn.XLOOKUP(I12,Analytics!$5:$5,Analytics!39:39)/1000</f>
        <v>2730.6632</v>
      </c>
      <c r="K12" s="163" t="str">
        <f>_xlfn.XLOOKUP(23,Analytics!42:42,Analytics!$5:$5)</f>
        <v>KUD04</v>
      </c>
      <c r="L12" s="162">
        <f>_xlfn.XLOOKUP(K12,Analytics!$5:$5,Analytics!39:39)/1000</f>
        <v>2253.1535999999996</v>
      </c>
    </row>
    <row r="13" spans="1:16" ht="15" thickBot="1">
      <c r="A13" s="377">
        <v>2</v>
      </c>
      <c r="B13" s="136" t="s">
        <v>18</v>
      </c>
      <c r="C13" s="147">
        <f>_xlfn.XLOOKUP($B$3,'Modelling New'!$D:$D,'Modelling New'!$J:$J)</f>
        <v>10.303759359817088</v>
      </c>
      <c r="D13" s="147">
        <f>_xlfn.XLOOKUP($B$4,'Daily KPI'!$A:$A,'Daily KPI'!$M:$M,0)</f>
        <v>7.1608695652173919</v>
      </c>
      <c r="E13" s="278">
        <f t="shared" ref="E13:E39" si="1">(D13-C13)/(C13)</f>
        <v>-0.30502360205115353</v>
      </c>
      <c r="F13" s="138"/>
    </row>
    <row r="14" spans="1:16" ht="15" customHeight="1" thickBot="1">
      <c r="A14" s="378"/>
      <c r="B14" s="139" t="s">
        <v>19</v>
      </c>
      <c r="C14" s="148">
        <f>_xlfn.XLOOKUP($B$3,'Modelling New'!$D:$D,'Modelling New'!$AC:$AC)</f>
        <v>10.303759359817088</v>
      </c>
      <c r="D14" s="148">
        <f>MonthlyKPI!D4</f>
        <v>9.0608695652173896</v>
      </c>
      <c r="E14" s="279">
        <f t="shared" si="1"/>
        <v>-0.12062488565549746</v>
      </c>
      <c r="F14" s="142"/>
      <c r="L14" s="369" t="s">
        <v>20</v>
      </c>
      <c r="M14" s="370"/>
    </row>
    <row r="15" spans="1:16" ht="13.5" customHeight="1" thickBot="1">
      <c r="A15" s="379"/>
      <c r="B15" s="143" t="s">
        <v>21</v>
      </c>
      <c r="C15" s="149">
        <f>_xlfn.XLOOKUP($B$3,'Modelling New'!$D:$D,'Modelling New'!$AD:$AD)</f>
        <v>8.1297392112031996</v>
      </c>
      <c r="D15" s="149">
        <f>AnnualKPI!D4</f>
        <v>6.7503737478557042</v>
      </c>
      <c r="E15" s="280">
        <f t="shared" si="1"/>
        <v>-0.16966909116182458</v>
      </c>
      <c r="F15" s="146"/>
      <c r="I15" s="135" t="s">
        <v>22</v>
      </c>
    </row>
    <row r="16" spans="1:16">
      <c r="A16" s="377">
        <v>3</v>
      </c>
      <c r="B16" s="136" t="s">
        <v>23</v>
      </c>
      <c r="C16" s="156">
        <f>_xlfn.XLOOKUP($B$3,'Modelling New'!$D:$D,'Modelling New'!$AH:$AH)</f>
        <v>0.97</v>
      </c>
      <c r="D16" s="156">
        <f>_xlfn.XLOOKUP($B$4,'Daily KPI'!$A:$A,'Daily KPI'!$P:$P,0)</f>
        <v>0.99343493762741697</v>
      </c>
      <c r="E16" s="278">
        <f t="shared" si="1"/>
        <v>2.4159729512801029E-2</v>
      </c>
      <c r="F16" s="138"/>
      <c r="I16" s="164">
        <f>SUMIF(WTG_BD!F:F,O2Summary!B4,WTG_BD!AA:AA)/1000</f>
        <v>3.6549999999999998</v>
      </c>
    </row>
    <row r="17" spans="1:9">
      <c r="A17" s="378"/>
      <c r="B17" s="139" t="s">
        <v>24</v>
      </c>
      <c r="C17" s="170">
        <f>_xlfn.XLOOKUP($B$3,'Modelling New'!$D:$D,'Modelling New'!$AH:$AH)</f>
        <v>0.97</v>
      </c>
      <c r="D17" s="170">
        <f>MonthlyKPI!L4</f>
        <v>0.99597607933976484</v>
      </c>
      <c r="E17" s="279">
        <f t="shared" si="1"/>
        <v>2.6779463236870998E-2</v>
      </c>
      <c r="F17" s="142"/>
      <c r="I17" s="165">
        <f>SUMIFS(WTG_BD!AA:AA,WTG_BD!F:F,"&gt;="&amp;O2Summary!B3,WTG_BD!F:F,"&lt;="&amp;O2Summary!B4)/1000</f>
        <v>59.223300000000002</v>
      </c>
    </row>
    <row r="18" spans="1:9" ht="15" thickBot="1">
      <c r="A18" s="379"/>
      <c r="B18" s="143" t="s">
        <v>25</v>
      </c>
      <c r="C18" s="202">
        <f>_xlfn.XLOOKUP($B$3,'Modelling New'!$D:$D,'Modelling New'!$AH:$AH)</f>
        <v>0.97</v>
      </c>
      <c r="D18" s="202">
        <f>AnnualKPI!L4</f>
        <v>0.99617668631301737</v>
      </c>
      <c r="E18" s="280">
        <f t="shared" si="1"/>
        <v>2.6986274549502469E-2</v>
      </c>
      <c r="F18" s="146"/>
      <c r="I18" s="166">
        <f>SUMIFS(WTG_BD!AA:AA,WTG_BD!F:F,"&gt;="&amp;O2Summary!B6,WTG_BD!F:F,"&lt;="&amp;O2Summary!B4)/1000</f>
        <v>194.75508399999998</v>
      </c>
    </row>
    <row r="19" spans="1:9">
      <c r="A19" s="377">
        <v>4</v>
      </c>
      <c r="B19" s="136" t="s">
        <v>26</v>
      </c>
      <c r="C19" s="156">
        <f>_xlfn.XLOOKUP($B$3,'Modelling New'!$D:$D,'Modelling New'!$AF:$AF)</f>
        <v>0.995</v>
      </c>
      <c r="D19" s="156">
        <f>_xlfn.XLOOKUP($B$4,'Daily KPI'!$A:$A,'Daily KPI'!$R:$R,0)</f>
        <v>1</v>
      </c>
      <c r="E19" s="278">
        <f t="shared" si="1"/>
        <v>5.0251256281407079E-3</v>
      </c>
      <c r="F19" s="138"/>
      <c r="I19" s="164">
        <f>SUMIF(Grid_BD!F:F,O2Summary!B4,Grid_BD!Y:Y)/1000</f>
        <v>0</v>
      </c>
    </row>
    <row r="20" spans="1:9">
      <c r="A20" s="378"/>
      <c r="B20" s="139" t="s">
        <v>27</v>
      </c>
      <c r="C20" s="170">
        <f>_xlfn.XLOOKUP($B$3,'Modelling New'!$D:$D,'Modelling New'!$AF:$AF)</f>
        <v>0.995</v>
      </c>
      <c r="D20" s="170">
        <f>MonthlyKPI!J4</f>
        <v>1</v>
      </c>
      <c r="E20" s="279">
        <f t="shared" si="1"/>
        <v>5.0251256281407079E-3</v>
      </c>
      <c r="F20" s="142"/>
      <c r="I20" s="165">
        <f>SUMIFS(Grid_BD!Y:Y,Grid_BD!F:F,"&gt;="&amp;O2Summary!B3,Grid_BD!F:F,"&lt;="&amp;O2Summary!B4)/1000</f>
        <v>0</v>
      </c>
    </row>
    <row r="21" spans="1:9" ht="15" thickBot="1">
      <c r="A21" s="379"/>
      <c r="B21" s="143" t="s">
        <v>28</v>
      </c>
      <c r="C21" s="202">
        <f>_xlfn.XLOOKUP($B$3,'Modelling New'!$D:$D,'Modelling New'!$AF:$AF)</f>
        <v>0.995</v>
      </c>
      <c r="D21" s="202">
        <f>AnnualKPI!J4</f>
        <v>0.99192067130477879</v>
      </c>
      <c r="E21" s="280">
        <f t="shared" si="1"/>
        <v>-3.0948027087650313E-3</v>
      </c>
      <c r="F21" s="146"/>
      <c r="I21" s="166">
        <f>SUMIFS(Grid_BD!Y:Y,Grid_BD!F:F,"&gt;="&amp;O2Summary!B6,Grid_BD!F:F,"&lt;="&amp;O2Summary!B4)/1000</f>
        <v>605.88499999999999</v>
      </c>
    </row>
    <row r="22" spans="1:9">
      <c r="A22" s="377">
        <v>5</v>
      </c>
      <c r="B22" s="136" t="s">
        <v>29</v>
      </c>
      <c r="C22" s="156">
        <f>_xlfn.XLOOKUP($B$3,'Modelling New'!$D:$D,'Modelling New'!$AI:$AI)</f>
        <v>0.99</v>
      </c>
      <c r="D22" s="156">
        <f>_xlfn.XLOOKUP($B$4,'Daily KPI'!$A:$A,'Daily KPI'!$Q:$Q,0)</f>
        <v>0.99613490722696696</v>
      </c>
      <c r="E22" s="278">
        <f t="shared" ref="E22:E24" si="2">(D22-C22)/(C22)</f>
        <v>6.1968759868353211E-3</v>
      </c>
      <c r="F22" s="138"/>
      <c r="I22" s="164">
        <f>SUMIF(IGA_BD!F:F,O2Summary!B4,IGA_BD!W:W)/1000</f>
        <v>2.1459999999999999</v>
      </c>
    </row>
    <row r="23" spans="1:9">
      <c r="A23" s="378"/>
      <c r="B23" s="139" t="s">
        <v>30</v>
      </c>
      <c r="C23" s="170">
        <f>_xlfn.XLOOKUP($B$3,'Modelling New'!$D:$D,'Modelling New'!$AI:$AI)</f>
        <v>0.99</v>
      </c>
      <c r="D23" s="170">
        <f>MonthlyKPI!N4</f>
        <v>0.99418047282832811</v>
      </c>
      <c r="E23" s="279">
        <f t="shared" si="2"/>
        <v>4.2226998265940596E-3</v>
      </c>
      <c r="F23" s="142"/>
      <c r="I23" s="165">
        <f>SUMIFS(IGA_BD!W:W,IGA_BD!F:F,"&gt;="&amp;O2Summary!B3,IGA_BD!F:F,"&lt;="&amp;O2Summary!B4)/1000</f>
        <v>61.850999999999999</v>
      </c>
    </row>
    <row r="24" spans="1:9" ht="15" thickBot="1">
      <c r="A24" s="379"/>
      <c r="B24" s="143" t="s">
        <v>31</v>
      </c>
      <c r="C24" s="202">
        <f>_xlfn.XLOOKUP($B$3,'Modelling New'!$D:$D,'Modelling New'!$AI:$AI)</f>
        <v>0.99</v>
      </c>
      <c r="D24" s="202">
        <f>AnnualKPI!N4</f>
        <v>0.9713563862606176</v>
      </c>
      <c r="E24" s="280">
        <f t="shared" si="2"/>
        <v>-1.8831933070083226E-2</v>
      </c>
      <c r="F24" s="146"/>
      <c r="I24" s="166">
        <f>SUMIFS(IGA_BD!W:W,IGA_BD!F:F,"&gt;="&amp;O2Summary!B6,IGA_BD!F:F,"&lt;="&amp;O2Summary!B4)/1000</f>
        <v>922.654</v>
      </c>
    </row>
    <row r="25" spans="1:9">
      <c r="A25" s="377">
        <v>6</v>
      </c>
      <c r="B25" s="136" t="s">
        <v>32</v>
      </c>
      <c r="C25" s="150">
        <f>C10/24/'Basic Data'!$N$3</f>
        <v>0.67192294615155768</v>
      </c>
      <c r="D25" s="151">
        <f>D10/24/_xlfn.XLOOKUP($B$4,RD[Date],RD[Connected Wind AC Capcity(MW)])</f>
        <v>0.47094227675577049</v>
      </c>
      <c r="E25" s="278">
        <f t="shared" si="1"/>
        <v>-0.29911267437271649</v>
      </c>
      <c r="F25" s="138"/>
    </row>
    <row r="26" spans="1:9">
      <c r="A26" s="378"/>
      <c r="B26" s="139" t="s">
        <v>33</v>
      </c>
      <c r="C26" s="152">
        <f>C11/(24*DAY(B4))/'Basic Data'!$N$3</f>
        <v>0.67192294615155768</v>
      </c>
      <c r="D26" s="153">
        <f>D11/(24*DAY(B4))/'Basic Data'!$N$3</f>
        <v>0.65870910750321132</v>
      </c>
      <c r="E26" s="279">
        <f t="shared" si="1"/>
        <v>-1.9665705307474149E-2</v>
      </c>
      <c r="F26" s="142"/>
    </row>
    <row r="27" spans="1:9" ht="15" thickBot="1">
      <c r="A27" s="379"/>
      <c r="B27" s="143" t="s">
        <v>34</v>
      </c>
      <c r="C27" s="154">
        <f>C12/(24*(B4-B6+1))/'Basic Data'!$N$3</f>
        <v>0.4393935747568764</v>
      </c>
      <c r="D27" s="155">
        <f>D12/(24*(B4-B6+1))/'Basic Data'!$N$3</f>
        <v>0.4127555985170786</v>
      </c>
      <c r="E27" s="280">
        <f t="shared" si="1"/>
        <v>-6.0624410028155336E-2</v>
      </c>
      <c r="F27" s="146"/>
    </row>
    <row r="28" spans="1:9">
      <c r="A28" s="377">
        <v>7</v>
      </c>
      <c r="B28" s="136" t="s">
        <v>35</v>
      </c>
      <c r="C28" s="151">
        <f>_xlfn.XLOOKUP($B$3,'Modelling New'!$D:$D,'Modelling New'!$AE:$AE)</f>
        <v>0.95549849999999992</v>
      </c>
      <c r="D28" s="151">
        <f>D16*D19*D22</f>
        <v>0.98959521942951467</v>
      </c>
      <c r="E28" s="278">
        <f t="shared" si="1"/>
        <v>3.5684744067640876E-2</v>
      </c>
      <c r="F28" s="138"/>
      <c r="I28" s="164">
        <f t="shared" ref="I28:I30" si="3">SUM(I16,I19,I22)</f>
        <v>5.8010000000000002</v>
      </c>
    </row>
    <row r="29" spans="1:9">
      <c r="A29" s="378"/>
      <c r="B29" s="139" t="s">
        <v>36</v>
      </c>
      <c r="C29" s="153">
        <f>_xlfn.XLOOKUP($B$3,'Modelling New'!$D:$D,'Modelling New'!$AE:$AE)</f>
        <v>0.95549849999999992</v>
      </c>
      <c r="D29" s="153">
        <f t="shared" ref="D29" si="4">D17*D20*D23</f>
        <v>0.9901799694837119</v>
      </c>
      <c r="E29" s="279">
        <f t="shared" si="1"/>
        <v>3.6296728339931444E-2</v>
      </c>
      <c r="F29" s="142"/>
      <c r="I29" s="165">
        <f t="shared" si="3"/>
        <v>121.07429999999999</v>
      </c>
    </row>
    <row r="30" spans="1:9" ht="15" thickBot="1">
      <c r="A30" s="379"/>
      <c r="B30" s="143" t="s">
        <v>37</v>
      </c>
      <c r="C30" s="155">
        <f>_xlfn.XLOOKUP($B$3,'Modelling New'!$D:$D,'Modelling New'!$AE:$AE)</f>
        <v>0.95549849999999992</v>
      </c>
      <c r="D30" s="155">
        <f t="shared" ref="D30" si="5">D18*D21*D24</f>
        <v>0.95982468358154138</v>
      </c>
      <c r="E30" s="280">
        <f t="shared" si="1"/>
        <v>4.5276717666657409E-3</v>
      </c>
      <c r="F30" s="146"/>
      <c r="I30" s="166">
        <f t="shared" si="3"/>
        <v>1723.2940840000001</v>
      </c>
    </row>
    <row r="31" spans="1:9">
      <c r="A31" s="377">
        <v>8</v>
      </c>
      <c r="B31" s="136" t="s">
        <v>4462</v>
      </c>
      <c r="C31" s="151">
        <f>_xlfn.XLOOKUP(B4,'Daily KPI'!$A:$A,'Daily KPI'!AP:AP)</f>
        <v>0.05</v>
      </c>
      <c r="D31" s="151">
        <f>_xlfn.XLOOKUP($B$4,'Daily KPI'!$A:$A,'Daily KPI'!AN:AN)</f>
        <v>1.0952712100147366E-2</v>
      </c>
      <c r="E31" s="278">
        <f>-(D31-C31)/(C31)</f>
        <v>0.78094575799705268</v>
      </c>
      <c r="F31" s="138"/>
      <c r="I31" s="164"/>
    </row>
    <row r="32" spans="1:9">
      <c r="A32" s="378"/>
      <c r="B32" s="139" t="s">
        <v>4453</v>
      </c>
      <c r="C32" s="153">
        <f>_xlfn.XLOOKUP($B$3,'Modelling New'!$D:$D,'Modelling New'!AK:AK)</f>
        <v>0.05</v>
      </c>
      <c r="D32" s="153">
        <f>MonthlyKPI!$T$4</f>
        <v>7.3154590323238839E-3</v>
      </c>
      <c r="E32" s="279">
        <f t="shared" ref="E32:E33" si="6">-(D32-C32)/(C32)</f>
        <v>0.85369081935352231</v>
      </c>
      <c r="F32" s="142"/>
      <c r="I32" s="165"/>
    </row>
    <row r="33" spans="1:9" ht="15" thickBot="1">
      <c r="A33" s="379"/>
      <c r="B33" s="143" t="s">
        <v>4454</v>
      </c>
      <c r="C33" s="153">
        <f>_xlfn.XLOOKUP($B$3,'Modelling New'!$D:$D,'Modelling New'!AK:AK)</f>
        <v>0.05</v>
      </c>
      <c r="D33" s="155">
        <f>AnnualKPI!$S$4</f>
        <v>7.8330866602196285E-3</v>
      </c>
      <c r="E33" s="280">
        <f t="shared" si="6"/>
        <v>0.84333826679560742</v>
      </c>
      <c r="F33" s="146"/>
      <c r="I33" s="166"/>
    </row>
    <row r="34" spans="1:9">
      <c r="A34" s="377">
        <v>9</v>
      </c>
      <c r="B34" s="136" t="s">
        <v>4455</v>
      </c>
      <c r="C34" s="151">
        <f>_xlfn.XLOOKUP(B7,'Daily KPI'!$A:$A,'Daily KPI'!AQ:AQ)</f>
        <v>0.05</v>
      </c>
      <c r="D34" s="156">
        <f>_xlfn.XLOOKUP($B$4,'Daily KPI'!$A:$A,'Daily KPI'!AO:AO)</f>
        <v>0.12936646434386603</v>
      </c>
      <c r="E34" s="278">
        <f>-(D34-C34)/(C34)</f>
        <v>-1.5873292868773206</v>
      </c>
      <c r="F34" s="138"/>
      <c r="I34" s="164"/>
    </row>
    <row r="35" spans="1:9">
      <c r="A35" s="378"/>
      <c r="B35" s="139" t="s">
        <v>4456</v>
      </c>
      <c r="C35" s="153">
        <f>_xlfn.XLOOKUP($B$3,'Modelling New'!$D:$D,'Modelling New'!AL:AL)</f>
        <v>0.05</v>
      </c>
      <c r="D35" s="170">
        <f>MonthlyKPI!$U$4</f>
        <v>8.1969077916983574E-2</v>
      </c>
      <c r="E35" s="279">
        <f>-(D35-C35)/(C35)</f>
        <v>-0.63938155833967136</v>
      </c>
      <c r="F35" s="142"/>
      <c r="I35" s="165"/>
    </row>
    <row r="36" spans="1:9" ht="15" thickBot="1">
      <c r="A36" s="379"/>
      <c r="B36" s="143" t="s">
        <v>4457</v>
      </c>
      <c r="C36" s="153">
        <f>_xlfn.XLOOKUP($B$3,'Modelling New'!$D:$D,'Modelling New'!AL:AL)</f>
        <v>0.05</v>
      </c>
      <c r="D36" s="202">
        <f>AnnualKPI!$T$4</f>
        <v>0.22238767758393047</v>
      </c>
      <c r="E36" s="280">
        <f>-(D36-C36)/(C36)</f>
        <v>-3.4477535516786095</v>
      </c>
      <c r="F36" s="146"/>
      <c r="I36" s="166"/>
    </row>
    <row r="37" spans="1:9">
      <c r="A37" s="377">
        <v>10</v>
      </c>
      <c r="B37" s="136" t="s">
        <v>4458</v>
      </c>
      <c r="C37" s="171">
        <f>_xlfn.XLOOKUP($B$4,'Daily KPI'!$A:$A,'Daily KPI'!$AI:$AI)</f>
        <v>577.61</v>
      </c>
      <c r="D37" s="171">
        <f>IFERROR(_xlfn.XLOOKUP($B$4,'Daily KPI'!$A:$A,'Daily KPI'!$X:$X)/1000,"")</f>
        <v>575.21939999999995</v>
      </c>
      <c r="E37" s="278">
        <f t="shared" si="1"/>
        <v>-4.1387787607556365E-3</v>
      </c>
      <c r="F37" s="138"/>
      <c r="I37" s="164"/>
    </row>
    <row r="38" spans="1:9">
      <c r="A38" s="378"/>
      <c r="B38" s="139" t="s">
        <v>4459</v>
      </c>
      <c r="C38" s="140">
        <f>MonthlyKPI!$S$4</f>
        <v>15304.79</v>
      </c>
      <c r="D38" s="140">
        <f>IFERROR(SUMIF('WTG Reactive Power'!$D:$D,O2Summary!$B$3,'Daily KPI'!$X:$X)/1000,"")</f>
        <v>15286.677900000001</v>
      </c>
      <c r="E38" s="279">
        <f t="shared" si="1"/>
        <v>-1.183426887922035E-3</v>
      </c>
      <c r="F38" s="142"/>
      <c r="I38" s="165"/>
    </row>
    <row r="39" spans="1:9" ht="15" thickBot="1">
      <c r="A39" s="379"/>
      <c r="B39" s="143" t="s">
        <v>4460</v>
      </c>
      <c r="C39" s="144">
        <f>AnnualKPI!$R$4</f>
        <v>56851.24000000002</v>
      </c>
      <c r="D39" s="144">
        <f>IFERROR(SUMIFS('Daily KPI'!$X:$X,'Daily KPI'!$A:$A,"&gt;="&amp;O2Summary!$B$6,'Daily KPI'!$A:$A,"&lt;="&amp;O2Summary!$B$4)/1000,"")</f>
        <v>56392.44249999999</v>
      </c>
      <c r="E39" s="280">
        <f t="shared" si="1"/>
        <v>-8.0701405985169287E-3</v>
      </c>
      <c r="F39" s="146"/>
      <c r="I39" s="166"/>
    </row>
    <row r="40" spans="1:9">
      <c r="B40" s="239"/>
    </row>
    <row r="41" spans="1:9">
      <c r="B41" s="239"/>
    </row>
    <row r="42" spans="1:9">
      <c r="B42" s="239"/>
    </row>
    <row r="44" spans="1:9" ht="15.5">
      <c r="A44" s="371" t="s">
        <v>38</v>
      </c>
      <c r="B44" s="372"/>
      <c r="C44" s="372"/>
      <c r="D44" s="372"/>
      <c r="E44" s="372"/>
      <c r="F44" s="373"/>
    </row>
    <row r="45" spans="1:9">
      <c r="A45" s="121" t="s">
        <v>1</v>
      </c>
      <c r="B45" s="122">
        <f>B3</f>
        <v>45839</v>
      </c>
      <c r="D45" s="123"/>
      <c r="E45" s="123"/>
      <c r="F45" s="124"/>
    </row>
    <row r="46" spans="1:9">
      <c r="A46" s="121" t="s">
        <v>2</v>
      </c>
      <c r="B46" s="125">
        <f>B4</f>
        <v>45857</v>
      </c>
      <c r="C46" s="123"/>
      <c r="D46" s="123"/>
      <c r="E46" s="123"/>
      <c r="F46" s="124"/>
    </row>
    <row r="47" spans="1:9">
      <c r="A47" s="121" t="s">
        <v>3</v>
      </c>
      <c r="B47" s="122" t="str">
        <f>B5</f>
        <v>Year-3</v>
      </c>
      <c r="C47" s="123"/>
      <c r="D47" s="123"/>
      <c r="E47" s="123"/>
      <c r="F47" s="124"/>
    </row>
    <row r="48" spans="1:9">
      <c r="A48" s="121" t="s">
        <v>4</v>
      </c>
      <c r="B48" s="125">
        <f>B6</f>
        <v>45748</v>
      </c>
      <c r="C48" s="123"/>
      <c r="D48" s="123"/>
      <c r="E48" s="123"/>
      <c r="F48" s="124"/>
    </row>
    <row r="49" spans="1:6">
      <c r="A49" s="127" t="s">
        <v>5</v>
      </c>
      <c r="B49" s="128">
        <f>B7</f>
        <v>46112</v>
      </c>
      <c r="C49" s="129"/>
      <c r="D49" s="129"/>
      <c r="E49" s="129"/>
      <c r="F49" s="130"/>
    </row>
    <row r="50" spans="1:6" ht="5.65" customHeight="1">
      <c r="A50" s="374"/>
      <c r="B50" s="375"/>
      <c r="C50" s="375"/>
      <c r="D50" s="375"/>
      <c r="E50" s="375"/>
      <c r="F50" s="376"/>
    </row>
    <row r="51" spans="1:6" s="117" customFormat="1" ht="39">
      <c r="A51" s="133" t="s">
        <v>6</v>
      </c>
      <c r="B51" s="134" t="s">
        <v>39</v>
      </c>
      <c r="C51" s="134" t="s">
        <v>40</v>
      </c>
      <c r="D51" s="134" t="s">
        <v>41</v>
      </c>
      <c r="E51" s="369" t="s">
        <v>11</v>
      </c>
      <c r="F51" s="370"/>
    </row>
    <row r="52" spans="1:6">
      <c r="A52" s="158">
        <v>1</v>
      </c>
      <c r="B52" s="159" t="s">
        <v>42</v>
      </c>
      <c r="C52" s="160">
        <f>SUMIFS(RD[[#All],[WTG Total Gneration (MWh) O2R1]],RD[[#All],[Date]],"&gt;="&amp;O2Summary!$B$48,RD[[#All],[Month Year]],O2Summary!$B$45)/1000</f>
        <v>6613.7925999999998</v>
      </c>
      <c r="D52" s="160">
        <f>C52*(1+MonthlyKPI!$Q$4)</f>
        <v>6575.7680347530995</v>
      </c>
      <c r="E52" s="380"/>
      <c r="F52" s="381"/>
    </row>
    <row r="53" spans="1:6">
      <c r="A53" s="158">
        <v>2</v>
      </c>
      <c r="B53" s="159" t="s">
        <v>43</v>
      </c>
      <c r="C53" s="160">
        <f>SUMIFS(RD[[#All],[WTG Total Gneration (MWh) O2R2]],RD[[#All],[Date]],"&gt;="&amp;O2Summary!$B$48,RD[[#All],[Month Year]],O2Summary!$B$45)/1000</f>
        <v>1442.2472999999998</v>
      </c>
      <c r="D53" s="160">
        <f>C53*(1+MonthlyKPI!$Q$4)</f>
        <v>1433.9554121411309</v>
      </c>
      <c r="E53" s="367"/>
      <c r="F53" s="368"/>
    </row>
    <row r="54" spans="1:6">
      <c r="A54" s="158">
        <v>3</v>
      </c>
      <c r="B54" s="159" t="s">
        <v>44</v>
      </c>
      <c r="C54" s="160">
        <f>SUMIFS(RD[[#All],[WTG Total Gneration (MWh) O2R5]],RD[[#All],[Date]],"&gt;="&amp;O2Summary!$B$48,RD[[#All],[Month Year]],O2Summary!$B$45)/1000</f>
        <v>5277.0918000000011</v>
      </c>
      <c r="D54" s="160">
        <f>C54*(1+MonthlyKPI!$Q$4)</f>
        <v>5246.7523059156256</v>
      </c>
      <c r="E54" s="367"/>
      <c r="F54" s="368"/>
    </row>
    <row r="55" spans="1:6">
      <c r="A55" s="158">
        <v>4</v>
      </c>
      <c r="B55" s="159" t="s">
        <v>45</v>
      </c>
      <c r="C55" s="160">
        <f>SUMIFS(RD[[#All],[WTG Total Gneration (MWh) O2R4]],RD[[#All],[Date]],"&gt;="&amp;O2Summary!$B$48,RD[[#All],[Month Year]],O2Summary!$B$45)/1000</f>
        <v>663.10890000000018</v>
      </c>
      <c r="D55" s="160">
        <f>C55*(1+MonthlyKPI!$Q$4)</f>
        <v>659.29649928549179</v>
      </c>
      <c r="E55" s="367"/>
      <c r="F55" s="368"/>
    </row>
    <row r="56" spans="1:6">
      <c r="A56" s="158">
        <v>4</v>
      </c>
      <c r="B56" s="159" t="s">
        <v>4490</v>
      </c>
      <c r="C56" s="160">
        <f>SUMIFS(RD[[#All],[WTG Total Gneration (MWh) O2R16]],RD[[#All],[Date]],"&gt;="&amp;O2Summary!$B$48,RD[[#All],[Month Year]],O2Summary!$B$45)/1000</f>
        <v>1290.4373000000001</v>
      </c>
      <c r="D56" s="160">
        <f>C56*(1+MonthlyKPI!$Q$4)</f>
        <v>1283.018210790749</v>
      </c>
      <c r="E56" s="367"/>
      <c r="F56" s="368"/>
    </row>
  </sheetData>
  <sheetProtection algorithmName="SHA-512" hashValue="E8Tx7Sj9/kBbiNwghml9QnEqCgcI5+9+vr1+J0OKIjcv9z5OgoA3pi7pjME6O7IA0WSc2cpKJ+jG3BN3qriZBQ==" saltValue="VUEbkP0bQZXz0ollA4pKbg==" spinCount="100000" sheet="1" objects="1" scenarios="1"/>
  <protectedRanges>
    <protectedRange sqref="A6:B6 A48:B48" name="Range1_1"/>
    <protectedRange sqref="B3:B4 B45:B46" name="Range1_1_2"/>
  </protectedRanges>
  <mergeCells count="20">
    <mergeCell ref="A2:F2"/>
    <mergeCell ref="E52:F52"/>
    <mergeCell ref="E53:F53"/>
    <mergeCell ref="E54:F54"/>
    <mergeCell ref="A10:A12"/>
    <mergeCell ref="E56:F56"/>
    <mergeCell ref="L14:M14"/>
    <mergeCell ref="A44:F44"/>
    <mergeCell ref="A50:F50"/>
    <mergeCell ref="E51:F51"/>
    <mergeCell ref="A25:A27"/>
    <mergeCell ref="A28:A30"/>
    <mergeCell ref="A13:A15"/>
    <mergeCell ref="A16:A18"/>
    <mergeCell ref="A19:A21"/>
    <mergeCell ref="A22:A24"/>
    <mergeCell ref="A31:A33"/>
    <mergeCell ref="A34:A36"/>
    <mergeCell ref="A37:A39"/>
    <mergeCell ref="E55:F55"/>
  </mergeCells>
  <conditionalFormatting sqref="E10:E39">
    <cfRule type="iconSet" priority="1">
      <iconSet iconSet="3Arrows">
        <cfvo type="percent" val="0"/>
        <cfvo type="num" val="-5.0000000000000001E-3"/>
        <cfvo type="num" val="0"/>
      </iconSet>
    </cfRule>
    <cfRule type="dataBar" priority="2">
      <dataBar>
        <cfvo type="min"/>
        <cfvo type="max"/>
        <color theme="4" tint="0.79998168889431442"/>
      </dataBar>
      <extLst>
        <ext xmlns:x14="http://schemas.microsoft.com/office/spreadsheetml/2009/9/main" uri="{B025F937-C7B1-47D3-B67F-A62EFF666E3E}">
          <x14:id>{6317A8C9-BC18-4D22-84E7-8F73598D6FC5}</x14:id>
        </ext>
      </extLst>
    </cfRule>
  </conditionalFormatting>
  <conditionalFormatting sqref="E52:E56">
    <cfRule type="cellIs" dxfId="9" priority="10" operator="greaterThan">
      <formula>0.01</formula>
    </cfRule>
    <cfRule type="cellIs" dxfId="8" priority="11" operator="lessThan">
      <formula>-0.005</formula>
    </cfRule>
    <cfRule type="cellIs" dxfId="7" priority="12" operator="lessThan">
      <formula>-0.01</formula>
    </cfRule>
  </conditionalFormatting>
  <pageMargins left="0.7" right="0.7" top="0.75" bottom="0.75" header="0.3" footer="0.3"/>
  <pageSetup orientation="portrait"/>
  <headerFooter>
    <oddFooter>&amp;C&amp;1#&amp;"Calibri"&amp;8&amp;K000000Classification: Confidential</oddFooter>
  </headerFooter>
  <ignoredErrors>
    <ignoredError sqref="K10:K12" formula="1"/>
  </ignoredErrors>
  <drawing r:id="rId1"/>
  <extLst>
    <ext xmlns:x14="http://schemas.microsoft.com/office/spreadsheetml/2009/9/main" uri="{78C0D931-6437-407d-A8EE-F0AAD7539E65}">
      <x14:conditionalFormattings>
        <x14:conditionalFormatting xmlns:xm="http://schemas.microsoft.com/office/excel/2006/main">
          <x14:cfRule type="dataBar" id="{6317A8C9-BC18-4D22-84E7-8F73598D6FC5}">
            <x14:dataBar minLength="0" maxLength="100" border="1" negativeBarBorderColorSameAsPositive="0">
              <x14:cfvo type="autoMin"/>
              <x14:cfvo type="autoMax"/>
              <x14:borderColor theme="4" tint="0.79998168889431442"/>
              <x14:negativeFillColor theme="5" tint="0.79998168889431442"/>
              <x14:negativeBorderColor theme="5" tint="0.79998168889431442"/>
              <x14:axisColor rgb="FF000000"/>
            </x14:dataBar>
          </x14:cfRule>
          <xm:sqref>E10:E39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
  <sheetViews>
    <sheetView workbookViewId="0">
      <selection activeCell="Q4" sqref="Q4"/>
    </sheetView>
  </sheetViews>
  <sheetFormatPr defaultColWidth="8.7265625" defaultRowHeight="14.5"/>
  <cols>
    <col min="1" max="1" width="11" customWidth="1"/>
    <col min="2" max="2" width="10.453125" customWidth="1"/>
    <col min="3" max="3" width="14.453125" customWidth="1"/>
    <col min="4" max="5" width="13.453125" customWidth="1"/>
    <col min="6" max="6" width="14" customWidth="1"/>
    <col min="7" max="7" width="9.7265625" customWidth="1"/>
    <col min="8" max="8" width="10.453125" customWidth="1"/>
    <col min="10" max="10" width="9.453125" customWidth="1"/>
    <col min="11" max="11" width="9" customWidth="1"/>
    <col min="12" max="12" width="9.453125" customWidth="1"/>
    <col min="14" max="14" width="9.453125" customWidth="1"/>
    <col min="15" max="15" width="9.7265625" customWidth="1"/>
    <col min="16" max="16" width="10.453125" customWidth="1"/>
    <col min="20" max="20" width="9.453125" bestFit="1" customWidth="1"/>
  </cols>
  <sheetData>
    <row r="1" spans="1:20">
      <c r="A1" s="98" t="s">
        <v>46</v>
      </c>
      <c r="B1" s="99">
        <f>O2Summary!B4</f>
        <v>45857</v>
      </c>
      <c r="C1" s="105">
        <f>O2Summary!$B$3</f>
        <v>45839</v>
      </c>
    </row>
    <row r="2" spans="1:20" ht="21">
      <c r="A2" s="382" t="s">
        <v>47</v>
      </c>
      <c r="B2" s="383"/>
      <c r="C2" s="383"/>
      <c r="D2" s="383"/>
      <c r="E2" s="383"/>
      <c r="F2" s="383"/>
      <c r="G2" s="383"/>
      <c r="H2" s="383"/>
      <c r="I2" s="383"/>
      <c r="J2" s="383"/>
      <c r="K2" s="383"/>
      <c r="L2" s="383"/>
      <c r="M2" s="383"/>
      <c r="N2" s="383"/>
      <c r="O2" s="383"/>
      <c r="P2" s="383"/>
      <c r="Q2" s="383"/>
    </row>
    <row r="3" spans="1:20" ht="31.15" customHeight="1">
      <c r="A3" s="116" t="s">
        <v>48</v>
      </c>
      <c r="B3" s="116" t="s">
        <v>49</v>
      </c>
      <c r="C3" s="104" t="s">
        <v>50</v>
      </c>
      <c r="D3" s="104" t="s">
        <v>51</v>
      </c>
      <c r="E3" s="104" t="s">
        <v>52</v>
      </c>
      <c r="F3" s="104" t="s">
        <v>53</v>
      </c>
      <c r="G3" s="104" t="s">
        <v>54</v>
      </c>
      <c r="H3" s="104" t="s">
        <v>55</v>
      </c>
      <c r="I3" s="104" t="s">
        <v>56</v>
      </c>
      <c r="J3" s="104" t="s">
        <v>57</v>
      </c>
      <c r="K3" s="104" t="s">
        <v>58</v>
      </c>
      <c r="L3" s="104" t="s">
        <v>59</v>
      </c>
      <c r="M3" s="104" t="s">
        <v>60</v>
      </c>
      <c r="N3" s="104" t="s">
        <v>61</v>
      </c>
      <c r="O3" s="104" t="s">
        <v>62</v>
      </c>
      <c r="P3" s="104" t="s">
        <v>63</v>
      </c>
      <c r="Q3" s="114" t="s">
        <v>64</v>
      </c>
      <c r="R3" s="114" t="s">
        <v>4342</v>
      </c>
      <c r="S3" s="114" t="s">
        <v>4463</v>
      </c>
      <c r="T3" s="114" t="s">
        <v>4422</v>
      </c>
    </row>
    <row r="4" spans="1:20" s="45" customFormat="1" ht="15.75" customHeight="1">
      <c r="A4" s="330">
        <f>YEAR($B$1)+IF(MONTH($B$1)&gt;=4,1,0)</f>
        <v>2026</v>
      </c>
      <c r="B4" s="106">
        <f>$B$1-(O2Summary!$B$6)+1</f>
        <v>110</v>
      </c>
      <c r="C4" s="107">
        <f>_xlfn.XLOOKUP($C$1,'Modelling New'!$D:$D,'Modelling New'!$AD:$AD)</f>
        <v>8.1297392112031996</v>
      </c>
      <c r="D4" s="108">
        <f>AVERAGEIFS('Daily KPI'!$M:$M,'Daily KPI'!$A:$A,"&gt;="&amp;O2Summary!$B$6,'Daily KPI'!$A:$A,"&lt;="&amp;AnnualKPI!$B$1)</f>
        <v>6.7503737478557042</v>
      </c>
      <c r="E4" s="106">
        <f>_xlfn.XLOOKUP($C$1,'Modelling New'!$D:$D,'Modelling New'!$V:$V)</f>
        <v>58695.951290322584</v>
      </c>
      <c r="F4" s="109">
        <f>SUMIFS('Daily KPI'!$X:$X,'Daily KPI'!$A:$A,"&gt;="&amp;O2Summary!$B$6,'Daily KPI'!$A:$A,"&lt;="&amp;AnnualKPI!$B$1)/1000</f>
        <v>56392.44249999999</v>
      </c>
      <c r="G4" s="254">
        <f>_xlfn.XLOOKUP($C$1,'Modelling New'!$D:$D,'Modelling New'!$Y:$Y)</f>
        <v>0.43939357475687657</v>
      </c>
      <c r="H4" s="111">
        <f>IFERROR(F4/(B4*24*_xlfn.XLOOKUP($C$1,'Modelling New'!$D:$D,'Modelling New'!$N:$N)),"")</f>
        <v>0.42214967735656977</v>
      </c>
      <c r="I4" s="110">
        <f>_xlfn.XLOOKUP($C$1,'Modelling New'!$D:$D,'Modelling New'!$AF:$AF)</f>
        <v>0.995</v>
      </c>
      <c r="J4" s="113">
        <f>AVERAGEIFS('Daily KPI'!$R:$R,'Daily KPI'!$A:$A,"&gt;="&amp;O2Summary!$B$6,'Daily KPI'!$A:$A,"&lt;="&amp;AnnualKPI!$B$1)</f>
        <v>0.99192067130477879</v>
      </c>
      <c r="K4" s="110">
        <f>_xlfn.XLOOKUP($C$1,'Modelling New'!$D:$D,'Modelling New'!$AH:$AH)</f>
        <v>0.97</v>
      </c>
      <c r="L4" s="113">
        <f>AVERAGEIFS('Daily KPI'!$P:$P,'Daily KPI'!$A:$A,"&gt;="&amp;O2Summary!$B$6,'Daily KPI'!$A:$A,"&lt;="&amp;AnnualKPI!$B$1)</f>
        <v>0.99617668631301737</v>
      </c>
      <c r="M4" s="110">
        <f>_xlfn.XLOOKUP($C$1,'Modelling New'!$D:$D,'Modelling New'!$AI:$AI)</f>
        <v>0.99</v>
      </c>
      <c r="N4" s="113">
        <f>AVERAGEIFS('Daily KPI'!$Q:$Q,'Daily KPI'!$A:$A,"&gt;="&amp;O2Summary!$B$6,'Daily KPI'!$A:$A,"&lt;="&amp;AnnualKPI!$B$1)</f>
        <v>0.9713563862606176</v>
      </c>
      <c r="O4" s="106">
        <f>SUMIFS(Input_Raw!CS:CS,Input_Raw!E:E,"&gt;="&amp;O2Summary!$B$6,Input_Raw!E:E,"&lt;="&amp;AnnualKPI!$B$1)/1000</f>
        <v>123988.79999999997</v>
      </c>
      <c r="P4" s="112">
        <f>(SUMIFS(Input_Raw!$DD:$DD,Input_Raw!$E:$E,"&gt;="&amp;O2Summary!$B$6,Input_Raw!$E:$E,"&lt;="&amp;AnnualKPI!$B$1)/1000)+F4</f>
        <v>126747.9175</v>
      </c>
      <c r="Q4" s="324">
        <f>1-P4/O4</f>
        <v>-2.225295752519596E-2</v>
      </c>
      <c r="R4" s="109">
        <f>SUMIFS('Daily KPI'!$AI:$AI,'Daily KPI'!$A:$A,"&lt;="&amp;$B$1,'Daily KPI'!$B:$B,"="&amp;$A$4)</f>
        <v>56851.24000000002</v>
      </c>
      <c r="S4" s="113">
        <f>AVERAGEIFS('Daily KPI'!AN:AN,'Daily KPI'!$A:$A,"&gt;="&amp;O2Summary!$B$6,'Daily KPI'!$A:$A,"&lt;="&amp;AnnualKPI!$B$1)</f>
        <v>7.8330866602196285E-3</v>
      </c>
      <c r="T4" s="113">
        <f>AVERAGEIFS('Daily KPI'!AO:AO,'Daily KPI'!$A:$A,"&gt;="&amp;O2Summary!$B$6,'Daily KPI'!$A:$A,"&lt;="&amp;AnnualKPI!$B$1)</f>
        <v>0.22238767758393047</v>
      </c>
    </row>
    <row r="5" spans="1:20" ht="26.25" customHeight="1"/>
  </sheetData>
  <sheetProtection algorithmName="SHA-512" hashValue="unNU5k1JhT/vjarZ4RkrJoWpngPHTiLiYasM5pKWuoTmFL4DA/skd6b9AFGkVJHMO12VTSl4ELFbkvhvVhWPGA==" saltValue="uO8happUZOcVEF4rDAICgw==" spinCount="100000" sheet="1" objects="1" scenarios="1"/>
  <mergeCells count="1">
    <mergeCell ref="A2:Q2"/>
  </mergeCells>
  <pageMargins left="0.7" right="0.7" top="0.75" bottom="0.75" header="0.3" footer="0.3"/>
  <pageSetup orientation="portrait"/>
  <headerFooter>
    <oddFooter>&amp;C&amp;1#&amp;"Calibri"&amp;8&amp;K000000Classification: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1"/>
  <sheetViews>
    <sheetView zoomScale="78" zoomScaleNormal="78" workbookViewId="0">
      <pane xSplit="2" ySplit="4" topLeftCell="I5" activePane="bottomRight" state="frozen"/>
      <selection pane="topRight"/>
      <selection pane="bottomLeft"/>
      <selection pane="bottomRight" activeCell="Q4" sqref="Q4"/>
    </sheetView>
  </sheetViews>
  <sheetFormatPr defaultColWidth="8.7265625" defaultRowHeight="29.25" customHeight="1"/>
  <cols>
    <col min="1" max="1" width="41.26953125" customWidth="1"/>
    <col min="2" max="2" width="20.7265625" customWidth="1"/>
    <col min="3" max="3" width="12.26953125" customWidth="1"/>
    <col min="4" max="4" width="12" customWidth="1"/>
    <col min="5" max="5" width="14.7265625" customWidth="1"/>
    <col min="6" max="14" width="12.26953125" customWidth="1"/>
    <col min="15" max="15" width="12" customWidth="1"/>
    <col min="16" max="16" width="14.26953125" customWidth="1"/>
    <col min="17" max="24" width="11.26953125" customWidth="1"/>
  </cols>
  <sheetData>
    <row r="1" spans="1:21" ht="29.25" customHeight="1">
      <c r="A1" s="98" t="s">
        <v>46</v>
      </c>
      <c r="B1" s="99">
        <f>O2Summary!$B$4</f>
        <v>45857</v>
      </c>
      <c r="C1" s="100">
        <v>0</v>
      </c>
      <c r="D1" s="100">
        <v>0</v>
      </c>
      <c r="E1" s="100">
        <v>0</v>
      </c>
      <c r="F1" s="100">
        <v>0</v>
      </c>
    </row>
    <row r="2" spans="1:21" ht="29.25" customHeight="1">
      <c r="A2" s="101" t="s">
        <v>65</v>
      </c>
      <c r="B2" s="102"/>
      <c r="C2" s="102"/>
      <c r="D2" s="102"/>
      <c r="E2" s="102"/>
      <c r="F2" s="102"/>
      <c r="G2" s="102"/>
      <c r="H2" s="102"/>
      <c r="I2" s="102"/>
      <c r="J2" s="102"/>
      <c r="K2" s="102"/>
      <c r="L2" s="102"/>
      <c r="M2" s="102"/>
      <c r="N2" s="102"/>
      <c r="O2" s="102"/>
      <c r="P2" s="102"/>
    </row>
    <row r="3" spans="1:21" ht="29.25" customHeight="1">
      <c r="A3" s="103" t="s">
        <v>48</v>
      </c>
      <c r="B3" s="103" t="s">
        <v>49</v>
      </c>
      <c r="C3" s="104" t="s">
        <v>50</v>
      </c>
      <c r="D3" s="104" t="s">
        <v>51</v>
      </c>
      <c r="E3" s="104" t="s">
        <v>52</v>
      </c>
      <c r="F3" s="104" t="s">
        <v>53</v>
      </c>
      <c r="G3" s="104" t="s">
        <v>54</v>
      </c>
      <c r="H3" s="104" t="s">
        <v>55</v>
      </c>
      <c r="I3" s="104" t="s">
        <v>56</v>
      </c>
      <c r="J3" s="104" t="s">
        <v>57</v>
      </c>
      <c r="K3" s="104" t="s">
        <v>58</v>
      </c>
      <c r="L3" s="104" t="s">
        <v>59</v>
      </c>
      <c r="M3" s="104" t="s">
        <v>66</v>
      </c>
      <c r="N3" s="104" t="s">
        <v>61</v>
      </c>
      <c r="O3" s="104" t="s">
        <v>62</v>
      </c>
      <c r="P3" s="104" t="s">
        <v>63</v>
      </c>
      <c r="Q3" s="114" t="s">
        <v>64</v>
      </c>
      <c r="R3" s="104" t="s">
        <v>4330</v>
      </c>
      <c r="S3" s="114" t="s">
        <v>4342</v>
      </c>
      <c r="T3" s="114" t="s">
        <v>4463</v>
      </c>
      <c r="U3" s="114" t="s">
        <v>4422</v>
      </c>
    </row>
    <row r="4" spans="1:21" s="45" customFormat="1" ht="29.25" customHeight="1">
      <c r="A4" s="105">
        <f>O2Summary!$B$3</f>
        <v>45839</v>
      </c>
      <c r="B4" s="106">
        <f>DAY(B1)</f>
        <v>19</v>
      </c>
      <c r="C4" s="107">
        <f>_xlfn.XLOOKUP($A$4,'Modelling New'!$D:$D,'Modelling New'!AC:AC)</f>
        <v>10.303759359817088</v>
      </c>
      <c r="D4" s="108">
        <f>AVERAGEIF('Daily KPI'!$A:$A,$A$4,'Daily KPI'!$M:$M)</f>
        <v>9.0608695652173896</v>
      </c>
      <c r="E4" s="106">
        <f>_xlfn.XLOOKUP($A$4,'Modelling New'!$D:$D,'Modelling New'!$U:$U)</f>
        <v>15503.68129032258</v>
      </c>
      <c r="F4" s="109">
        <f>SUMIF('Daily KPI'!$D:$D,$A$4,'Daily KPI'!$X:$X)/1000</f>
        <v>15286.677900000001</v>
      </c>
      <c r="G4" s="110">
        <f>_xlfn.XLOOKUP($A$4,'Modelling New'!$D:$D,'Modelling New'!$X:$X)</f>
        <v>0.6719229461515579</v>
      </c>
      <c r="H4" s="111">
        <f>F4/(24*B4*AVERAGEIF(RD[Month Year],$A$4,RD[Connected Wind AC Capcity(MW)]))</f>
        <v>0.66251811160807184</v>
      </c>
      <c r="I4" s="110">
        <f>_xlfn.XLOOKUP($A$4,'Modelling New'!$D:$D,'Modelling New'!$AF:$AF)</f>
        <v>0.995</v>
      </c>
      <c r="J4" s="113">
        <f>AVERAGEIF('Daily KPI'!$D:$D,$A$4,'Daily KPI'!R:R)</f>
        <v>1</v>
      </c>
      <c r="K4" s="110">
        <f>_xlfn.XLOOKUP($A$4,'Modelling New'!$D:$D,'Modelling New'!$AH:$AH)</f>
        <v>0.97</v>
      </c>
      <c r="L4" s="111">
        <f>AVERAGEIF('Daily KPI'!$D:$D,$A$4,'Daily KPI'!$P:$P)</f>
        <v>0.99597607933976484</v>
      </c>
      <c r="M4" s="110">
        <f>_xlfn.XLOOKUP($A$4,'Modelling New'!$D:$D,'Modelling New'!$AI:$AI)</f>
        <v>0.99</v>
      </c>
      <c r="N4" s="111">
        <f>AVERAGEIF('Daily KPI'!$D:$D,$A$4,'Daily KPI'!$Q:$Q)</f>
        <v>0.99418047282832811</v>
      </c>
      <c r="O4" s="106">
        <f>SUMIF(Input_Raw!C:C,A4,Input_Raw!CS:CS)/1000</f>
        <v>25103.999999999993</v>
      </c>
      <c r="P4" s="112">
        <f>(SUMIF(Input_Raw!$C:$C,A4,Input_Raw!$DF:$DF)+SUMIF(Input_Raw!$C:$C,A4,Input_Raw!$DD:$DD))/1000</f>
        <v>25248.330000000024</v>
      </c>
      <c r="Q4" s="115">
        <f>1-P4/O4</f>
        <v>-5.7492829827927583E-3</v>
      </c>
      <c r="R4" s="106">
        <f>SUMIFS(Input_Raw!DG:DG,Input_Raw!E:E,"&gt;="&amp;A4,Input_Raw!E:E,"&lt;="&amp;B1)</f>
        <v>15304.79</v>
      </c>
      <c r="S4" s="106">
        <f>SUMIF('Daily KPI'!D:D,MonthlyKPI!A4,'Daily KPI'!AI:AI)</f>
        <v>15304.79</v>
      </c>
      <c r="T4" s="111">
        <f>AVERAGEIF('Daily KPI'!$D:$D,$A$4,'Daily KPI'!AN:AN)</f>
        <v>7.3154590323238839E-3</v>
      </c>
      <c r="U4" s="111">
        <f>AVERAGEIF('Daily KPI'!$D:$D,$A$4,'Daily KPI'!AO:AO)</f>
        <v>8.1969077916983574E-2</v>
      </c>
    </row>
    <row r="6" spans="1:21" ht="29.25" customHeight="1">
      <c r="O6" s="49"/>
    </row>
    <row r="7" spans="1:21" ht="29.25" customHeight="1">
      <c r="A7" s="98" t="s">
        <v>67</v>
      </c>
      <c r="B7" s="99">
        <f>B8-6</f>
        <v>45851</v>
      </c>
      <c r="D7" s="40"/>
      <c r="F7" s="40"/>
      <c r="P7">
        <v>31596.720000000005</v>
      </c>
    </row>
    <row r="8" spans="1:21" ht="29.25" customHeight="1">
      <c r="A8" s="98" t="s">
        <v>68</v>
      </c>
      <c r="B8" s="99">
        <f>B1</f>
        <v>45857</v>
      </c>
    </row>
    <row r="9" spans="1:21" ht="29.25" customHeight="1">
      <c r="A9" s="384" t="s">
        <v>65</v>
      </c>
      <c r="B9" s="385"/>
      <c r="C9" s="385"/>
      <c r="D9" s="385"/>
      <c r="E9" s="385"/>
      <c r="F9" s="385"/>
      <c r="G9" s="385"/>
      <c r="H9" s="385"/>
      <c r="I9" s="385"/>
      <c r="J9" s="385"/>
      <c r="K9" s="385"/>
      <c r="L9" s="385"/>
      <c r="M9" s="385"/>
      <c r="N9" s="385"/>
    </row>
    <row r="10" spans="1:21" ht="29.25" customHeight="1">
      <c r="A10" s="103" t="s">
        <v>48</v>
      </c>
      <c r="B10" s="103" t="s">
        <v>49</v>
      </c>
      <c r="C10" s="104" t="s">
        <v>50</v>
      </c>
      <c r="D10" s="104" t="s">
        <v>51</v>
      </c>
      <c r="E10" s="104" t="s">
        <v>52</v>
      </c>
      <c r="F10" s="104" t="s">
        <v>53</v>
      </c>
      <c r="G10" s="104" t="s">
        <v>54</v>
      </c>
      <c r="H10" s="104" t="s">
        <v>55</v>
      </c>
      <c r="I10" s="104" t="s">
        <v>56</v>
      </c>
      <c r="J10" s="104" t="s">
        <v>57</v>
      </c>
      <c r="K10" s="104" t="s">
        <v>58</v>
      </c>
      <c r="L10" s="104" t="s">
        <v>59</v>
      </c>
      <c r="M10" s="104" t="s">
        <v>66</v>
      </c>
      <c r="N10" s="104" t="s">
        <v>61</v>
      </c>
      <c r="O10" s="104" t="s">
        <v>4330</v>
      </c>
    </row>
    <row r="11" spans="1:21" s="45" customFormat="1" ht="29.25" customHeight="1">
      <c r="A11" s="105">
        <f>O2Summary!$B$3</f>
        <v>45839</v>
      </c>
      <c r="B11" s="106">
        <f>(B8-B7)+1</f>
        <v>7</v>
      </c>
      <c r="C11" s="107">
        <f>_xlfn.XLOOKUP($A$11,'Modelling New'!$D:$D,'Modelling New'!AC:AC)</f>
        <v>10.303759359817088</v>
      </c>
      <c r="D11" s="108">
        <f>AVERAGEIFS('Daily KPI'!$M:$M,'Daily KPI'!$A:$A,"&gt;="&amp;$B$7,'Daily KPI'!$A:$A,"&lt;="&amp;$B$8)</f>
        <v>7.4975155279503101</v>
      </c>
      <c r="E11" s="106">
        <f>SUMIFS('Daily KPI'!$AD:$AD,'Daily KPI'!$A:$A,"&gt;="&amp;$B$7,'Daily KPI'!$A:$A,"&lt;="&amp;$B$8)/1000</f>
        <v>5711.8825806451605</v>
      </c>
      <c r="F11" s="109">
        <f>SUMIFS('Daily KPI'!$X:$X,'Daily KPI'!$A:$A,"&gt;="&amp;B7,'Daily KPI'!$A:$A,"&lt;="&amp;B8)/1000</f>
        <v>4429.4360999999999</v>
      </c>
      <c r="G11" s="110">
        <f>E11/(24*$B$11*50.6)</f>
        <v>0.67192294615155745</v>
      </c>
      <c r="H11" s="111">
        <f>F11/(24*B11*50.6)</f>
        <v>0.52106108836815346</v>
      </c>
      <c r="I11" s="110">
        <f>_xlfn.XLOOKUP($A$11,'Modelling New'!$D:$D,'Modelling New'!$AF:$AF)</f>
        <v>0.995</v>
      </c>
      <c r="J11" s="111">
        <f>AVERAGEIFS('Daily KPI'!$R:$R,'Daily KPI'!$A:$A,"&gt;="&amp;$B$7,'Daily KPI'!$A:$A,"&lt;="&amp;$B$8)</f>
        <v>1</v>
      </c>
      <c r="K11" s="110">
        <f>_xlfn.XLOOKUP($A$11,'Modelling New'!$D:$D,'Modelling New'!$AH:$AH)</f>
        <v>0.97</v>
      </c>
      <c r="L11" s="111">
        <f>AVERAGEIFS('Daily KPI'!$P:$P,'Daily KPI'!$A:$A,"&gt;="&amp;$B$7,'Daily KPI'!$A:$A,"&lt;="&amp;$B$8)</f>
        <v>0.99150747039542486</v>
      </c>
      <c r="M11" s="110">
        <f>_xlfn.XLOOKUP($A$11,'Modelling New'!$D:$D,'Modelling New'!$AI:$AI)</f>
        <v>0.99</v>
      </c>
      <c r="N11" s="111">
        <f>AVERAGEIFS('Daily KPI'!$Q:$Q,'Daily KPI'!$A:$A,"&gt;="&amp;$B$7,'Daily KPI'!$A:$A,"&lt;="&amp;$B$8)</f>
        <v>0.99242058798412813</v>
      </c>
      <c r="O11" s="106">
        <f>SUMIFS(Input_Raw!DG:DG,Input_Raw!E:E,"&gt;="&amp;B7,Input_Raw!E:E,"&lt;="&amp;B8)</f>
        <v>4435.21</v>
      </c>
      <c r="P11"/>
    </row>
  </sheetData>
  <sheetProtection algorithmName="SHA-512" hashValue="wnjiCVrNnRQw2aqQF/Lr6p/jmaCC0opKalpr8ihsuxbPsUWaqYY8aS8Akwl14QQcx72um8KOPoDU6fdbUB/SKA==" saltValue="4RZiSuUs0fCDaoXDyP7eBg==" spinCount="100000" sheet="1" objects="1" scenarios="1"/>
  <mergeCells count="1">
    <mergeCell ref="A9:N9"/>
  </mergeCells>
  <pageMargins left="0.7" right="0.7" top="0.75" bottom="0.75" header="0.3" footer="0.3"/>
  <pageSetup paperSize="9" orientation="portrait"/>
  <headerFooter>
    <oddFooter>&amp;C&amp;1#&amp;"Calibri"&amp;8&amp;K000000Classification: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AH251"/>
  <sheetViews>
    <sheetView zoomScale="70" zoomScaleNormal="70" workbookViewId="0">
      <pane xSplit="2" ySplit="1" topLeftCell="C5" activePane="bottomRight" state="frozen"/>
      <selection pane="topRight"/>
      <selection pane="bottomLeft"/>
      <selection pane="bottomRight" activeCell="S31" sqref="S31"/>
    </sheetView>
  </sheetViews>
  <sheetFormatPr defaultColWidth="8.7265625" defaultRowHeight="29.25" customHeight="1"/>
  <cols>
    <col min="1" max="1" width="51.7265625" style="75" bestFit="1" customWidth="1"/>
    <col min="2" max="2" width="26.26953125" style="75" bestFit="1" customWidth="1"/>
    <col min="3" max="3" width="20.7265625" style="75" bestFit="1" customWidth="1"/>
    <col min="4" max="4" width="12" style="75" customWidth="1"/>
    <col min="5" max="5" width="14.7265625" style="75" customWidth="1"/>
    <col min="6" max="14" width="12.26953125" style="75" customWidth="1"/>
    <col min="15" max="15" width="12" style="75" customWidth="1"/>
    <col min="16" max="16" width="14.26953125" style="75" customWidth="1"/>
    <col min="17" max="21" width="13.453125" style="75" bestFit="1" customWidth="1"/>
    <col min="22" max="22" width="13.453125" style="75" customWidth="1"/>
    <col min="23" max="24" width="13.453125" style="75" bestFit="1" customWidth="1"/>
    <col min="25" max="25" width="10.7265625" style="75" customWidth="1"/>
    <col min="26" max="26" width="10.453125" style="75" customWidth="1"/>
    <col min="27" max="27" width="13.7265625" style="75" customWidth="1"/>
    <col min="28" max="29" width="15.7265625" style="75" customWidth="1"/>
    <col min="30" max="31" width="13.26953125" style="75" bestFit="1" customWidth="1"/>
    <col min="32" max="33" width="12.26953125" style="75" bestFit="1" customWidth="1"/>
    <col min="34" max="16384" width="8.7265625" style="75"/>
  </cols>
  <sheetData>
    <row r="3" spans="1:34" ht="29.25" customHeight="1">
      <c r="A3" s="76" t="s">
        <v>67</v>
      </c>
      <c r="B3" s="77">
        <v>45352</v>
      </c>
      <c r="C3" s="78" t="s">
        <v>69</v>
      </c>
      <c r="D3" s="78" t="s">
        <v>70</v>
      </c>
    </row>
    <row r="4" spans="1:34" ht="29.25" customHeight="1">
      <c r="A4" s="76" t="s">
        <v>68</v>
      </c>
      <c r="B4" s="77">
        <v>45747</v>
      </c>
      <c r="C4" s="79">
        <f>((B4-B3)*1)*24</f>
        <v>9480</v>
      </c>
      <c r="D4" s="80">
        <f>MEDIAN(B30:X30)</f>
        <v>4.5764919540229876</v>
      </c>
      <c r="AA4" s="75" t="s">
        <v>71</v>
      </c>
      <c r="AB4" s="75" t="s">
        <v>72</v>
      </c>
      <c r="AC4" s="75" t="s">
        <v>73</v>
      </c>
      <c r="AD4" s="75" t="s">
        <v>74</v>
      </c>
      <c r="AE4" s="75" t="s">
        <v>4477</v>
      </c>
    </row>
    <row r="5" spans="1:34" ht="29.25" customHeight="1">
      <c r="A5" s="81" t="s">
        <v>75</v>
      </c>
      <c r="B5" s="82" t="s">
        <v>76</v>
      </c>
      <c r="C5" s="82" t="s">
        <v>77</v>
      </c>
      <c r="D5" s="82" t="s">
        <v>78</v>
      </c>
      <c r="E5" s="82" t="s">
        <v>79</v>
      </c>
      <c r="F5" s="82" t="s">
        <v>80</v>
      </c>
      <c r="G5" s="82" t="s">
        <v>81</v>
      </c>
      <c r="H5" s="82" t="s">
        <v>82</v>
      </c>
      <c r="I5" s="82" t="s">
        <v>83</v>
      </c>
      <c r="J5" s="82" t="s">
        <v>84</v>
      </c>
      <c r="K5" s="82" t="s">
        <v>85</v>
      </c>
      <c r="L5" s="82" t="s">
        <v>86</v>
      </c>
      <c r="M5" s="82" t="s">
        <v>87</v>
      </c>
      <c r="N5" s="82" t="s">
        <v>88</v>
      </c>
      <c r="O5" s="82" t="s">
        <v>89</v>
      </c>
      <c r="P5" s="82" t="s">
        <v>90</v>
      </c>
      <c r="Q5" s="82" t="s">
        <v>91</v>
      </c>
      <c r="R5" s="82" t="s">
        <v>92</v>
      </c>
      <c r="S5" s="82" t="s">
        <v>93</v>
      </c>
      <c r="T5" s="82" t="s">
        <v>94</v>
      </c>
      <c r="U5" s="82" t="s">
        <v>95</v>
      </c>
      <c r="V5" s="82" t="s">
        <v>96</v>
      </c>
      <c r="W5" s="82" t="s">
        <v>97</v>
      </c>
      <c r="X5" s="82" t="s">
        <v>98</v>
      </c>
      <c r="AA5" s="95"/>
      <c r="AB5" s="95"/>
      <c r="AC5" s="95"/>
      <c r="AD5" s="95"/>
    </row>
    <row r="6" spans="1:34" ht="29.25" customHeight="1">
      <c r="A6" s="81" t="s">
        <v>99</v>
      </c>
      <c r="B6" s="83">
        <f>($C$4-(SUM(B7,B15)))/$C$4</f>
        <v>0.99995780590717298</v>
      </c>
      <c r="C6" s="83">
        <f t="shared" ref="C6:X6" si="0">($C$4-(SUM(C7,C15)))/$C$4</f>
        <v>1</v>
      </c>
      <c r="D6" s="83">
        <f t="shared" si="0"/>
        <v>1</v>
      </c>
      <c r="E6" s="83">
        <f t="shared" si="0"/>
        <v>1</v>
      </c>
      <c r="F6" s="83">
        <f t="shared" si="0"/>
        <v>0.99996308016877633</v>
      </c>
      <c r="G6" s="83">
        <f t="shared" si="0"/>
        <v>1</v>
      </c>
      <c r="H6" s="83">
        <f t="shared" si="0"/>
        <v>0.99996483825597748</v>
      </c>
      <c r="I6" s="83">
        <f t="shared" si="0"/>
        <v>0.99996308016877633</v>
      </c>
      <c r="J6" s="83">
        <f t="shared" si="0"/>
        <v>0.99992264416315046</v>
      </c>
      <c r="K6" s="83">
        <f t="shared" si="0"/>
        <v>0.99996483825597748</v>
      </c>
      <c r="L6" s="83">
        <f t="shared" si="0"/>
        <v>0.99980836849507726</v>
      </c>
      <c r="M6" s="83">
        <f t="shared" si="0"/>
        <v>1</v>
      </c>
      <c r="N6" s="83">
        <f t="shared" si="0"/>
        <v>0.99996483825597748</v>
      </c>
      <c r="O6" s="83">
        <f t="shared" si="0"/>
        <v>1</v>
      </c>
      <c r="P6" s="83">
        <f t="shared" si="0"/>
        <v>1</v>
      </c>
      <c r="Q6" s="83">
        <f t="shared" si="0"/>
        <v>1</v>
      </c>
      <c r="R6" s="83">
        <f t="shared" si="0"/>
        <v>1</v>
      </c>
      <c r="S6" s="83">
        <f t="shared" si="0"/>
        <v>0.99995780590717298</v>
      </c>
      <c r="T6" s="83">
        <f t="shared" si="0"/>
        <v>1</v>
      </c>
      <c r="U6" s="83">
        <f t="shared" si="0"/>
        <v>0.99984880450070335</v>
      </c>
      <c r="V6" s="83">
        <f t="shared" si="0"/>
        <v>1</v>
      </c>
      <c r="W6" s="83">
        <f t="shared" si="0"/>
        <v>0.99933368495077346</v>
      </c>
      <c r="X6" s="83">
        <f t="shared" si="0"/>
        <v>0.99995077355836848</v>
      </c>
      <c r="Z6" s="95"/>
      <c r="AA6" s="95">
        <f>AVERAGE(B6,D6,K6:P6,T6:U6)</f>
        <v>0.99995446554149081</v>
      </c>
      <c r="AB6" s="95">
        <f>AVERAGE(Q6:R6)</f>
        <v>1</v>
      </c>
      <c r="AC6" s="95">
        <f>AVERAGE(S6)</f>
        <v>0.99995780590717298</v>
      </c>
      <c r="AD6" s="95">
        <f>AVERAGE(C6,E6:G6,J6,V6:X6)</f>
        <v>0.99989627285513361</v>
      </c>
      <c r="AE6" s="95">
        <f>AVERAGE(H6:I6)</f>
        <v>0.99996395921237691</v>
      </c>
      <c r="AF6" s="95"/>
      <c r="AG6" s="95"/>
      <c r="AH6" s="95"/>
    </row>
    <row r="7" spans="1:34" ht="29.25" customHeight="1">
      <c r="A7" s="84" t="s">
        <v>100</v>
      </c>
      <c r="B7" s="85">
        <f>(SUMIFS(WTG_BD!$T:$T,WTG_BD!$G:$G,Analytics!B$5,WTG_BD!$F:$F,"&gt;="&amp;Analytics!$B$3,WTG_BD!$F:$F,"&lt;="&amp;Analytics!$B$4))</f>
        <v>0.39999999999999858</v>
      </c>
      <c r="C7" s="85">
        <f>(SUMIFS(WTG_BD!$T:$T,WTG_BD!$G:$G,Analytics!C$5,WTG_BD!$F:$F,"&gt;="&amp;Analytics!$B$3,WTG_BD!$F:$F,"&lt;="&amp;Analytics!$B$4))</f>
        <v>0</v>
      </c>
      <c r="D7" s="85">
        <f>(SUMIFS(WTG_BD!$T:$T,WTG_BD!$G:$G,Analytics!D$5,WTG_BD!$F:$F,"&gt;="&amp;Analytics!$B$3,WTG_BD!$F:$F,"&lt;="&amp;Analytics!$B$4))</f>
        <v>0</v>
      </c>
      <c r="E7" s="85">
        <f>(SUMIFS(WTG_BD!$T:$T,WTG_BD!$G:$G,Analytics!E$5,WTG_BD!$F:$F,"&gt;="&amp;Analytics!$B$3,WTG_BD!$F:$F,"&lt;="&amp;Analytics!$B$4))</f>
        <v>0</v>
      </c>
      <c r="F7" s="85">
        <f>(SUMIFS(WTG_BD!$T:$T,WTG_BD!$G:$G,Analytics!F$5,WTG_BD!$F:$F,"&gt;="&amp;Analytics!$B$3,WTG_BD!$F:$F,"&lt;="&amp;Analytics!$B$4))</f>
        <v>0.35000000000000009</v>
      </c>
      <c r="G7" s="85">
        <f>(SUMIFS(WTG_BD!$T:$T,WTG_BD!$G:$G,Analytics!G$5,WTG_BD!$F:$F,"&gt;="&amp;Analytics!$B$3,WTG_BD!$F:$F,"&lt;="&amp;Analytics!$B$4))</f>
        <v>0</v>
      </c>
      <c r="H7" s="85">
        <f>(SUMIFS(WTG_BD!$T:$T,WTG_BD!$G:$G,Analytics!H$5,WTG_BD!$F:$F,"&gt;="&amp;Analytics!$B$3,WTG_BD!$F:$F,"&lt;="&amp;Analytics!$B$4))</f>
        <v>0.33333333333333215</v>
      </c>
      <c r="I7" s="85">
        <f>(SUMIFS(WTG_BD!$T:$T,WTG_BD!$G:$G,Analytics!I$5,WTG_BD!$F:$F,"&gt;="&amp;Analytics!$B$3,WTG_BD!$F:$F,"&lt;="&amp;Analytics!$B$4))</f>
        <v>0.34999999999999876</v>
      </c>
      <c r="J7" s="85">
        <f>(SUMIFS(WTG_BD!$T:$T,WTG_BD!$G:$G,Analytics!J$5,WTG_BD!$F:$F,"&gt;="&amp;Analytics!$B$3,WTG_BD!$F:$F,"&lt;="&amp;Analytics!$B$4))</f>
        <v>0.73333333333333073</v>
      </c>
      <c r="K7" s="85">
        <f>(SUMIFS(WTG_BD!$T:$T,WTG_BD!$G:$G,Analytics!K$5,WTG_BD!$F:$F,"&gt;="&amp;Analytics!$B$3,WTG_BD!$F:$F,"&lt;="&amp;Analytics!$B$4))</f>
        <v>0.33333333333333215</v>
      </c>
      <c r="L7" s="85">
        <f>(SUMIFS(WTG_BD!$T:$T,WTG_BD!$G:$G,Analytics!L$5,WTG_BD!$F:$F,"&gt;="&amp;Analytics!$B$3,WTG_BD!$F:$F,"&lt;="&amp;Analytics!$B$4))</f>
        <v>1.8166666666666655</v>
      </c>
      <c r="M7" s="85">
        <f>(SUMIFS(WTG_BD!$T:$T,WTG_BD!$G:$G,Analytics!M$5,WTG_BD!$F:$F,"&gt;="&amp;Analytics!$B$3,WTG_BD!$F:$F,"&lt;="&amp;Analytics!$B$4))</f>
        <v>0</v>
      </c>
      <c r="N7" s="85">
        <f>(SUMIFS(WTG_BD!$T:$T,WTG_BD!$G:$G,Analytics!N$5,WTG_BD!$F:$F,"&gt;="&amp;Analytics!$B$3,WTG_BD!$F:$F,"&lt;="&amp;Analytics!$B$4))</f>
        <v>0.33333333333333481</v>
      </c>
      <c r="O7" s="85">
        <f>(SUMIFS(WTG_BD!$T:$T,WTG_BD!$G:$G,Analytics!O$5,WTG_BD!$F:$F,"&gt;="&amp;Analytics!$B$3,WTG_BD!$F:$F,"&lt;="&amp;Analytics!$B$4))</f>
        <v>0</v>
      </c>
      <c r="P7" s="85">
        <f>(SUMIFS(WTG_BD!$T:$T,WTG_BD!$G:$G,Analytics!P$5,WTG_BD!$F:$F,"&gt;="&amp;Analytics!$B$3,WTG_BD!$F:$F,"&lt;="&amp;Analytics!$B$4))</f>
        <v>0</v>
      </c>
      <c r="Q7" s="85">
        <f>(SUMIFS(WTG_BD!$T:$T,WTG_BD!$G:$G,Analytics!Q$5,WTG_BD!$F:$F,"&gt;="&amp;Analytics!$B$3,WTG_BD!$F:$F,"&lt;="&amp;Analytics!$B$4))</f>
        <v>0</v>
      </c>
      <c r="R7" s="85">
        <f>(SUMIFS(WTG_BD!$T:$T,WTG_BD!$G:$G,Analytics!R$5,WTG_BD!$F:$F,"&gt;="&amp;Analytics!$B$3,WTG_BD!$F:$F,"&lt;="&amp;Analytics!$B$4))</f>
        <v>0</v>
      </c>
      <c r="S7" s="85">
        <f>(SUMIFS(WTG_BD!$T:$T,WTG_BD!$G:$G,Analytics!S$5,WTG_BD!$F:$F,"&gt;="&amp;Analytics!$B$3,WTG_BD!$F:$F,"&lt;="&amp;Analytics!$B$4))</f>
        <v>0.39999999999999858</v>
      </c>
      <c r="T7" s="85">
        <f>(SUMIFS(WTG_BD!$T:$T,WTG_BD!$G:$G,Analytics!T$5,WTG_BD!$F:$F,"&gt;="&amp;Analytics!$B$3,WTG_BD!$F:$F,"&lt;="&amp;Analytics!$B$4))</f>
        <v>0</v>
      </c>
      <c r="U7" s="85">
        <f>(SUMIFS(WTG_BD!$T:$T,WTG_BD!$G:$G,Analytics!U$5,WTG_BD!$F:$F,"&gt;="&amp;Analytics!$B$3,WTG_BD!$F:$F,"&lt;="&amp;Analytics!$B$4))</f>
        <v>1.4333333333333336</v>
      </c>
      <c r="V7" s="85">
        <f>(SUMIFS(WTG_BD!$T:$T,WTG_BD!$G:$G,Analytics!V$5,WTG_BD!$F:$F,"&gt;="&amp;Analytics!$B$3,WTG_BD!$F:$F,"&lt;="&amp;Analytics!$B$4))</f>
        <v>0</v>
      </c>
      <c r="W7" s="85">
        <f>(SUMIFS(WTG_BD!$T:$T,WTG_BD!$G:$G,Analytics!W$5,WTG_BD!$F:$F,"&gt;="&amp;Analytics!$B$3,WTG_BD!$F:$F,"&lt;="&amp;Analytics!$B$4))</f>
        <v>6.3166666666666664</v>
      </c>
      <c r="X7" s="85">
        <f>(SUMIFS(WTG_BD!$T:$T,WTG_BD!$G:$G,Analytics!X$5,WTG_BD!$F:$F,"&gt;="&amp;Analytics!$B$3,WTG_BD!$F:$F,"&lt;="&amp;Analytics!$B$4))</f>
        <v>0.46666666666666501</v>
      </c>
      <c r="Y7" s="96"/>
      <c r="Z7" s="95"/>
      <c r="AA7" s="95">
        <f t="shared" ref="AA7:AA18" si="1">AVERAGE(B7,D7,K7:P7,T7:U7)</f>
        <v>0.43166666666666648</v>
      </c>
      <c r="AB7" s="95">
        <f t="shared" ref="AB7:AB18" si="2">AVERAGE(Q7:R7)</f>
        <v>0</v>
      </c>
      <c r="AC7" s="95">
        <f t="shared" ref="AC7:AC18" si="3">AVERAGE(S7)</f>
        <v>0.39999999999999858</v>
      </c>
      <c r="AD7" s="95">
        <f t="shared" ref="AD7:AD31" si="4">AVERAGE(C7,E7:G7,J7,V7:X7)</f>
        <v>0.98333333333333273</v>
      </c>
      <c r="AE7" s="95">
        <f t="shared" ref="AE7:AE27" si="5">AVERAGE(H7:I7)</f>
        <v>0.34166666666666545</v>
      </c>
      <c r="AF7" s="95"/>
      <c r="AG7" s="95"/>
    </row>
    <row r="8" spans="1:34" ht="29.25" customHeight="1">
      <c r="A8" s="81" t="s">
        <v>101</v>
      </c>
      <c r="B8" s="83">
        <f>($C$4-(SUM(B9:B13)))/$C$4</f>
        <v>1</v>
      </c>
      <c r="C8" s="83">
        <f t="shared" ref="C8:X8" si="6">($C$4-(SUM(C9:C13)))/$C$4</f>
        <v>1</v>
      </c>
      <c r="D8" s="83">
        <f t="shared" si="6"/>
        <v>1</v>
      </c>
      <c r="E8" s="83">
        <f t="shared" si="6"/>
        <v>1</v>
      </c>
      <c r="F8" s="83">
        <f t="shared" si="6"/>
        <v>1</v>
      </c>
      <c r="G8" s="83">
        <f t="shared" si="6"/>
        <v>1</v>
      </c>
      <c r="H8" s="83">
        <f t="shared" si="6"/>
        <v>1</v>
      </c>
      <c r="I8" s="83">
        <f t="shared" si="6"/>
        <v>1</v>
      </c>
      <c r="J8" s="83">
        <f t="shared" si="6"/>
        <v>1</v>
      </c>
      <c r="K8" s="83">
        <f t="shared" si="6"/>
        <v>1</v>
      </c>
      <c r="L8" s="83">
        <f t="shared" si="6"/>
        <v>1</v>
      </c>
      <c r="M8" s="83">
        <f t="shared" si="6"/>
        <v>1</v>
      </c>
      <c r="N8" s="83">
        <f t="shared" si="6"/>
        <v>1</v>
      </c>
      <c r="O8" s="83">
        <f t="shared" si="6"/>
        <v>1</v>
      </c>
      <c r="P8" s="83">
        <f t="shared" si="6"/>
        <v>1</v>
      </c>
      <c r="Q8" s="83">
        <f t="shared" si="6"/>
        <v>1</v>
      </c>
      <c r="R8" s="83">
        <f t="shared" si="6"/>
        <v>1</v>
      </c>
      <c r="S8" s="83">
        <f t="shared" si="6"/>
        <v>1</v>
      </c>
      <c r="T8" s="83">
        <f t="shared" si="6"/>
        <v>1</v>
      </c>
      <c r="U8" s="83">
        <f t="shared" si="6"/>
        <v>1</v>
      </c>
      <c r="V8" s="83">
        <f t="shared" si="6"/>
        <v>1</v>
      </c>
      <c r="W8" s="83">
        <f t="shared" si="6"/>
        <v>1</v>
      </c>
      <c r="X8" s="83">
        <f t="shared" si="6"/>
        <v>1</v>
      </c>
      <c r="Z8" s="95"/>
      <c r="AA8" s="95">
        <f t="shared" si="1"/>
        <v>1</v>
      </c>
      <c r="AB8" s="95">
        <f t="shared" si="2"/>
        <v>1</v>
      </c>
      <c r="AC8" s="95">
        <f t="shared" si="3"/>
        <v>1</v>
      </c>
      <c r="AD8" s="95">
        <f t="shared" si="4"/>
        <v>1</v>
      </c>
      <c r="AE8" s="95">
        <f t="shared" si="5"/>
        <v>1</v>
      </c>
      <c r="AF8" s="95"/>
      <c r="AG8" s="95"/>
    </row>
    <row r="9" spans="1:34" ht="29.25" hidden="1" customHeight="1">
      <c r="A9" s="84" t="s">
        <v>102</v>
      </c>
      <c r="B9" s="85">
        <f>SUMIFS(IGA_BD!$Q:$Q,IGA_BD!$G:$G,(VLOOKUP(B$5,'Basic Data'!$A:$J,7,0)),IGA_BD!$F:$F,"&gt;="&amp;Analytics!$B$3,IGA_BD!$F:$F,"&lt;="&amp;Analytics!$B$4)</f>
        <v>0</v>
      </c>
      <c r="C9" s="85">
        <f>SUMIFS(IGA_BD!$Q:$Q,IGA_BD!$G:$G,(VLOOKUP(C$5,'Basic Data'!$A:$J,7,0)),IGA_BD!$F:$F,"&gt;="&amp;Analytics!$B$3,IGA_BD!$F:$F,"&lt;="&amp;Analytics!$B$4)</f>
        <v>0</v>
      </c>
      <c r="D9" s="85">
        <f>SUMIFS(IGA_BD!$Q:$Q,IGA_BD!$G:$G,(VLOOKUP(D$5,'Basic Data'!$A:$J,7,0)),IGA_BD!$F:$F,"&gt;="&amp;Analytics!$B$3,IGA_BD!$F:$F,"&lt;="&amp;Analytics!$B$4)</f>
        <v>0</v>
      </c>
      <c r="E9" s="85">
        <f>SUMIFS(IGA_BD!$Q:$Q,IGA_BD!$G:$G,(VLOOKUP(E$5,'Basic Data'!$A:$J,7,0)),IGA_BD!$F:$F,"&gt;="&amp;Analytics!$B$3,IGA_BD!$F:$F,"&lt;="&amp;Analytics!$B$4)</f>
        <v>0</v>
      </c>
      <c r="F9" s="85">
        <f>SUMIFS(IGA_BD!$Q:$Q,IGA_BD!$G:$G,(VLOOKUP(F$5,'Basic Data'!$A:$J,7,0)),IGA_BD!$F:$F,"&gt;="&amp;Analytics!$B$3,IGA_BD!$F:$F,"&lt;="&amp;Analytics!$B$4)</f>
        <v>0</v>
      </c>
      <c r="G9" s="85">
        <f>SUMIFS(IGA_BD!$Q:$Q,IGA_BD!$G:$G,(VLOOKUP(G$5,'Basic Data'!$A:$J,7,0)),IGA_BD!$F:$F,"&gt;="&amp;Analytics!$B$3,IGA_BD!$F:$F,"&lt;="&amp;Analytics!$B$4)</f>
        <v>0</v>
      </c>
      <c r="H9" s="85">
        <f>SUMIFS(IGA_BD!$Q:$Q,IGA_BD!$G:$G,(VLOOKUP(H$5,'Basic Data'!$A:$J,7,0)),IGA_BD!$F:$F,"&gt;="&amp;Analytics!$B$3,IGA_BD!$F:$F,"&lt;="&amp;Analytics!$B$4)</f>
        <v>0</v>
      </c>
      <c r="I9" s="85">
        <f>SUMIFS(IGA_BD!$Q:$Q,IGA_BD!$G:$G,(VLOOKUP(I$5,'Basic Data'!$A:$J,7,0)),IGA_BD!$F:$F,"&gt;="&amp;Analytics!$B$3,IGA_BD!$F:$F,"&lt;="&amp;Analytics!$B$4)</f>
        <v>0</v>
      </c>
      <c r="J9" s="85">
        <f>SUMIFS(IGA_BD!$Q:$Q,IGA_BD!$G:$G,(VLOOKUP(J$5,'Basic Data'!$A:$J,7,0)),IGA_BD!$F:$F,"&gt;="&amp;Analytics!$B$3,IGA_BD!$F:$F,"&lt;="&amp;Analytics!$B$4)</f>
        <v>0</v>
      </c>
      <c r="K9" s="85">
        <f>SUMIFS(IGA_BD!$Q:$Q,IGA_BD!$G:$G,(VLOOKUP(K$5,'Basic Data'!$A:$J,7,0)),IGA_BD!$F:$F,"&gt;="&amp;Analytics!$B$3,IGA_BD!$F:$F,"&lt;="&amp;Analytics!$B$4)</f>
        <v>0</v>
      </c>
      <c r="L9" s="85">
        <f>SUMIFS(IGA_BD!$Q:$Q,IGA_BD!$G:$G,(VLOOKUP(L$5,'Basic Data'!$A:$J,7,0)),IGA_BD!$F:$F,"&gt;="&amp;Analytics!$B$3,IGA_BD!$F:$F,"&lt;="&amp;Analytics!$B$4)</f>
        <v>0</v>
      </c>
      <c r="M9" s="85">
        <f>SUMIFS(IGA_BD!$Q:$Q,IGA_BD!$G:$G,(VLOOKUP(M$5,'Basic Data'!$A:$J,7,0)),IGA_BD!$F:$F,"&gt;="&amp;Analytics!$B$3,IGA_BD!$F:$F,"&lt;="&amp;Analytics!$B$4)</f>
        <v>0</v>
      </c>
      <c r="N9" s="85">
        <f>SUMIFS(IGA_BD!$Q:$Q,IGA_BD!$G:$G,(VLOOKUP(N$5,'Basic Data'!$A:$J,7,0)),IGA_BD!$F:$F,"&gt;="&amp;Analytics!$B$3,IGA_BD!$F:$F,"&lt;="&amp;Analytics!$B$4)</f>
        <v>0</v>
      </c>
      <c r="O9" s="85">
        <f>SUMIFS(IGA_BD!$Q:$Q,IGA_BD!$G:$G,(VLOOKUP(O$5,'Basic Data'!$A:$J,7,0)),IGA_BD!$F:$F,"&gt;="&amp;Analytics!$B$3,IGA_BD!$F:$F,"&lt;="&amp;Analytics!$B$4)</f>
        <v>0</v>
      </c>
      <c r="P9" s="85">
        <f>SUMIFS(IGA_BD!$Q:$Q,IGA_BD!$G:$G,(VLOOKUP(P$5,'Basic Data'!$A:$J,7,0)),IGA_BD!$F:$F,"&gt;="&amp;Analytics!$B$3,IGA_BD!$F:$F,"&lt;="&amp;Analytics!$B$4)</f>
        <v>0</v>
      </c>
      <c r="Q9" s="85">
        <f>SUMIFS(IGA_BD!$Q:$Q,IGA_BD!$G:$G,(VLOOKUP(Q$5,'Basic Data'!$A:$J,7,0)),IGA_BD!$F:$F,"&gt;="&amp;Analytics!$B$3,IGA_BD!$F:$F,"&lt;="&amp;Analytics!$B$4)</f>
        <v>0</v>
      </c>
      <c r="R9" s="85">
        <f>SUMIFS(IGA_BD!$Q:$Q,IGA_BD!$G:$G,(VLOOKUP(R$5,'Basic Data'!$A:$J,7,0)),IGA_BD!$F:$F,"&gt;="&amp;Analytics!$B$3,IGA_BD!$F:$F,"&lt;="&amp;Analytics!$B$4)</f>
        <v>0</v>
      </c>
      <c r="S9" s="85">
        <f>SUMIFS(IGA_BD!$Q:$Q,IGA_BD!$G:$G,(VLOOKUP(S$5,'Basic Data'!$A:$J,7,0)),IGA_BD!$F:$F,"&gt;="&amp;Analytics!$B$3,IGA_BD!$F:$F,"&lt;="&amp;Analytics!$B$4)</f>
        <v>0</v>
      </c>
      <c r="T9" s="85">
        <f>SUMIFS(IGA_BD!$Q:$Q,IGA_BD!$G:$G,(VLOOKUP(T$5,'Basic Data'!$A:$J,7,0)),IGA_BD!$F:$F,"&gt;="&amp;Analytics!$B$3,IGA_BD!$F:$F,"&lt;="&amp;Analytics!$B$4)</f>
        <v>0</v>
      </c>
      <c r="U9" s="85">
        <f>SUMIFS(IGA_BD!$Q:$Q,IGA_BD!$G:$G,(VLOOKUP(U$5,'Basic Data'!$A:$J,7,0)),IGA_BD!$F:$F,"&gt;="&amp;Analytics!$B$3,IGA_BD!$F:$F,"&lt;="&amp;Analytics!$B$4)</f>
        <v>0</v>
      </c>
      <c r="V9" s="85">
        <f>SUMIFS(IGA_BD!$Q:$Q,IGA_BD!$G:$G,(VLOOKUP(V$5,'Basic Data'!$A:$J,7,0)),IGA_BD!$F:$F,"&gt;="&amp;Analytics!$B$3,IGA_BD!$F:$F,"&lt;="&amp;Analytics!$B$4)</f>
        <v>0</v>
      </c>
      <c r="W9" s="85">
        <f>SUMIFS(IGA_BD!$Q:$Q,IGA_BD!$G:$G,(VLOOKUP(W$5,'Basic Data'!$A:$J,7,0)),IGA_BD!$F:$F,"&gt;="&amp;Analytics!$B$3,IGA_BD!$F:$F,"&lt;="&amp;Analytics!$B$4)</f>
        <v>0</v>
      </c>
      <c r="X9" s="85">
        <f>SUMIFS(IGA_BD!$Q:$Q,IGA_BD!$G:$G,(VLOOKUP(X$5,'Basic Data'!$A:$J,7,0)),IGA_BD!$F:$F,"&gt;="&amp;Analytics!$B$3,IGA_BD!$F:$F,"&lt;="&amp;Analytics!$B$4)</f>
        <v>0</v>
      </c>
      <c r="Y9" s="96"/>
      <c r="Z9" s="95"/>
      <c r="AA9" s="95">
        <f t="shared" si="1"/>
        <v>0</v>
      </c>
      <c r="AB9" s="95">
        <f t="shared" si="2"/>
        <v>0</v>
      </c>
      <c r="AC9" s="95">
        <f t="shared" si="3"/>
        <v>0</v>
      </c>
      <c r="AD9" s="95">
        <f t="shared" si="4"/>
        <v>0</v>
      </c>
      <c r="AE9" s="95">
        <f t="shared" si="5"/>
        <v>0</v>
      </c>
      <c r="AF9" s="95"/>
      <c r="AG9" s="95"/>
    </row>
    <row r="10" spans="1:34" ht="29.25" hidden="1" customHeight="1">
      <c r="A10" s="84" t="s">
        <v>103</v>
      </c>
      <c r="B10" s="85">
        <f>SUMIFS(IGA_BD!$Q:$Q,IGA_BD!$G:$G,(VLOOKUP(B$5,'Basic Data'!$A:$H,8,0)),IGA_BD!$F:$F,"&gt;="&amp;Analytics!$B$3,IGA_BD!$F:$F,"&lt;="&amp;Analytics!$B$4)</f>
        <v>0</v>
      </c>
      <c r="C10" s="85">
        <f>SUMIFS(IGA_BD!$Q:$Q,IGA_BD!$G:$G,(VLOOKUP(C$5,'Basic Data'!$A:$H,8,0)),IGA_BD!$F:$F,"&gt;="&amp;Analytics!$B$3,IGA_BD!$F:$F,"&lt;="&amp;Analytics!$B$4)</f>
        <v>0</v>
      </c>
      <c r="D10" s="85">
        <f>SUMIFS(IGA_BD!$Q:$Q,IGA_BD!$G:$G,(VLOOKUP(D$5,'Basic Data'!$A:$H,8,0)),IGA_BD!$F:$F,"&gt;="&amp;Analytics!$B$3,IGA_BD!$F:$F,"&lt;="&amp;Analytics!$B$4)</f>
        <v>0</v>
      </c>
      <c r="E10" s="85">
        <f>SUMIFS(IGA_BD!$Q:$Q,IGA_BD!$G:$G,(VLOOKUP(E$5,'Basic Data'!$A:$H,8,0)),IGA_BD!$F:$F,"&gt;="&amp;Analytics!$B$3,IGA_BD!$F:$F,"&lt;="&amp;Analytics!$B$4)</f>
        <v>0</v>
      </c>
      <c r="F10" s="85">
        <f>SUMIFS(IGA_BD!$Q:$Q,IGA_BD!$G:$G,(VLOOKUP(F$5,'Basic Data'!$A:$H,8,0)),IGA_BD!$F:$F,"&gt;="&amp;Analytics!$B$3,IGA_BD!$F:$F,"&lt;="&amp;Analytics!$B$4)</f>
        <v>0</v>
      </c>
      <c r="G10" s="85">
        <f>SUMIFS(IGA_BD!$Q:$Q,IGA_BD!$G:$G,(VLOOKUP(G$5,'Basic Data'!$A:$H,8,0)),IGA_BD!$F:$F,"&gt;="&amp;Analytics!$B$3,IGA_BD!$F:$F,"&lt;="&amp;Analytics!$B$4)</f>
        <v>0</v>
      </c>
      <c r="H10" s="85">
        <f>SUMIFS(IGA_BD!$Q:$Q,IGA_BD!$G:$G,(VLOOKUP(H$5,'Basic Data'!$A:$H,8,0)),IGA_BD!$F:$F,"&gt;="&amp;Analytics!$B$3,IGA_BD!$F:$F,"&lt;="&amp;Analytics!$B$4)</f>
        <v>0</v>
      </c>
      <c r="I10" s="85">
        <f>SUMIFS(IGA_BD!$Q:$Q,IGA_BD!$G:$G,(VLOOKUP(I$5,'Basic Data'!$A:$H,8,0)),IGA_BD!$F:$F,"&gt;="&amp;Analytics!$B$3,IGA_BD!$F:$F,"&lt;="&amp;Analytics!$B$4)</f>
        <v>0</v>
      </c>
      <c r="J10" s="85">
        <f>SUMIFS(IGA_BD!$Q:$Q,IGA_BD!$G:$G,(VLOOKUP(J$5,'Basic Data'!$A:$H,8,0)),IGA_BD!$F:$F,"&gt;="&amp;Analytics!$B$3,IGA_BD!$F:$F,"&lt;="&amp;Analytics!$B$4)</f>
        <v>0</v>
      </c>
      <c r="K10" s="85">
        <f>SUMIFS(IGA_BD!$Q:$Q,IGA_BD!$G:$G,(VLOOKUP(K$5,'Basic Data'!$A:$H,8,0)),IGA_BD!$F:$F,"&gt;="&amp;Analytics!$B$3,IGA_BD!$F:$F,"&lt;="&amp;Analytics!$B$4)</f>
        <v>0</v>
      </c>
      <c r="L10" s="85">
        <f>SUMIFS(IGA_BD!$Q:$Q,IGA_BD!$G:$G,(VLOOKUP(L$5,'Basic Data'!$A:$H,8,0)),IGA_BD!$F:$F,"&gt;="&amp;Analytics!$B$3,IGA_BD!$F:$F,"&lt;="&amp;Analytics!$B$4)</f>
        <v>0</v>
      </c>
      <c r="M10" s="85">
        <f>SUMIFS(IGA_BD!$Q:$Q,IGA_BD!$G:$G,(VLOOKUP(M$5,'Basic Data'!$A:$H,8,0)),IGA_BD!$F:$F,"&gt;="&amp;Analytics!$B$3,IGA_BD!$F:$F,"&lt;="&amp;Analytics!$B$4)</f>
        <v>0</v>
      </c>
      <c r="N10" s="85">
        <f>SUMIFS(IGA_BD!$Q:$Q,IGA_BD!$G:$G,(VLOOKUP(N$5,'Basic Data'!$A:$H,8,0)),IGA_BD!$F:$F,"&gt;="&amp;Analytics!$B$3,IGA_BD!$F:$F,"&lt;="&amp;Analytics!$B$4)</f>
        <v>0</v>
      </c>
      <c r="O10" s="85">
        <f>SUMIFS(IGA_BD!$Q:$Q,IGA_BD!$G:$G,(VLOOKUP(O$5,'Basic Data'!$A:$H,8,0)),IGA_BD!$F:$F,"&gt;="&amp;Analytics!$B$3,IGA_BD!$F:$F,"&lt;="&amp;Analytics!$B$4)</f>
        <v>0</v>
      </c>
      <c r="P10" s="85">
        <f>SUMIFS(IGA_BD!$Q:$Q,IGA_BD!$G:$G,(VLOOKUP(P$5,'Basic Data'!$A:$H,8,0)),IGA_BD!$F:$F,"&gt;="&amp;Analytics!$B$3,IGA_BD!$F:$F,"&lt;="&amp;Analytics!$B$4)</f>
        <v>0</v>
      </c>
      <c r="Q10" s="85">
        <f>SUMIFS(IGA_BD!$Q:$Q,IGA_BD!$G:$G,(VLOOKUP(Q$5,'Basic Data'!$A:$H,8,0)),IGA_BD!$F:$F,"&gt;="&amp;Analytics!$B$3,IGA_BD!$F:$F,"&lt;="&amp;Analytics!$B$4)</f>
        <v>0</v>
      </c>
      <c r="R10" s="85">
        <f>SUMIFS(IGA_BD!$Q:$Q,IGA_BD!$G:$G,(VLOOKUP(R$5,'Basic Data'!$A:$H,8,0)),IGA_BD!$F:$F,"&gt;="&amp;Analytics!$B$3,IGA_BD!$F:$F,"&lt;="&amp;Analytics!$B$4)</f>
        <v>0</v>
      </c>
      <c r="S10" s="85">
        <f>SUMIFS(IGA_BD!$Q:$Q,IGA_BD!$G:$G,(VLOOKUP(S$5,'Basic Data'!$A:$H,8,0)),IGA_BD!$F:$F,"&gt;="&amp;Analytics!$B$3,IGA_BD!$F:$F,"&lt;="&amp;Analytics!$B$4)</f>
        <v>0</v>
      </c>
      <c r="T10" s="85">
        <f>SUMIFS(IGA_BD!$Q:$Q,IGA_BD!$G:$G,(VLOOKUP(T$5,'Basic Data'!$A:$H,8,0)),IGA_BD!$F:$F,"&gt;="&amp;Analytics!$B$3,IGA_BD!$F:$F,"&lt;="&amp;Analytics!$B$4)</f>
        <v>0</v>
      </c>
      <c r="U10" s="85">
        <f>SUMIFS(IGA_BD!$Q:$Q,IGA_BD!$G:$G,(VLOOKUP(U$5,'Basic Data'!$A:$H,8,0)),IGA_BD!$F:$F,"&gt;="&amp;Analytics!$B$3,IGA_BD!$F:$F,"&lt;="&amp;Analytics!$B$4)</f>
        <v>0</v>
      </c>
      <c r="V10" s="85">
        <f>SUMIFS(IGA_BD!$Q:$Q,IGA_BD!$G:$G,(VLOOKUP(V$5,'Basic Data'!$A:$H,8,0)),IGA_BD!$F:$F,"&gt;="&amp;Analytics!$B$3,IGA_BD!$F:$F,"&lt;="&amp;Analytics!$B$4)</f>
        <v>0</v>
      </c>
      <c r="W10" s="85">
        <f>SUMIFS(IGA_BD!$Q:$Q,IGA_BD!$G:$G,(VLOOKUP(W$5,'Basic Data'!$A:$H,8,0)),IGA_BD!$F:$F,"&gt;="&amp;Analytics!$B$3,IGA_BD!$F:$F,"&lt;="&amp;Analytics!$B$4)</f>
        <v>0</v>
      </c>
      <c r="X10" s="85">
        <f>SUMIFS(IGA_BD!$Q:$Q,IGA_BD!$G:$G,(VLOOKUP(X$5,'Basic Data'!$A:$H,8,0)),IGA_BD!$F:$F,"&gt;="&amp;Analytics!$B$3,IGA_BD!$F:$F,"&lt;="&amp;Analytics!$B$4)</f>
        <v>0</v>
      </c>
      <c r="Y10" s="96"/>
      <c r="Z10" s="95"/>
      <c r="AA10" s="95">
        <f t="shared" si="1"/>
        <v>0</v>
      </c>
      <c r="AB10" s="95">
        <f t="shared" si="2"/>
        <v>0</v>
      </c>
      <c r="AC10" s="95">
        <f t="shared" si="3"/>
        <v>0</v>
      </c>
      <c r="AD10" s="95">
        <f t="shared" si="4"/>
        <v>0</v>
      </c>
      <c r="AE10" s="95">
        <f t="shared" si="5"/>
        <v>0</v>
      </c>
      <c r="AF10" s="95"/>
      <c r="AG10" s="95"/>
    </row>
    <row r="11" spans="1:34" ht="29.25" hidden="1" customHeight="1">
      <c r="A11" s="84" t="s">
        <v>104</v>
      </c>
      <c r="B11" s="85">
        <f>SUMIFS(IGA_BD!$Q:$Q,IGA_BD!$G:$G,(VLOOKUP(B$5,'Basic Data'!$A:$I,9,0)),IGA_BD!$F:$F,"&gt;="&amp;Analytics!$B$3,IGA_BD!$F:$F,"&lt;="&amp;Analytics!$B$4)</f>
        <v>0</v>
      </c>
      <c r="C11" s="85">
        <f>SUMIFS(IGA_BD!$Q:$Q,IGA_BD!$G:$G,(VLOOKUP(C$5,'Basic Data'!$A:$I,9,0)),IGA_BD!$F:$F,"&gt;="&amp;Analytics!$B$3,IGA_BD!$F:$F,"&lt;="&amp;Analytics!$B$4)</f>
        <v>0</v>
      </c>
      <c r="D11" s="85">
        <f>SUMIFS(IGA_BD!$Q:$Q,IGA_BD!$G:$G,(VLOOKUP(D$5,'Basic Data'!$A:$I,9,0)),IGA_BD!$F:$F,"&gt;="&amp;Analytics!$B$3,IGA_BD!$F:$F,"&lt;="&amp;Analytics!$B$4)</f>
        <v>0</v>
      </c>
      <c r="E11" s="85">
        <f>SUMIFS(IGA_BD!$Q:$Q,IGA_BD!$G:$G,(VLOOKUP(E$5,'Basic Data'!$A:$I,9,0)),IGA_BD!$F:$F,"&gt;="&amp;Analytics!$B$3,IGA_BD!$F:$F,"&lt;="&amp;Analytics!$B$4)</f>
        <v>0</v>
      </c>
      <c r="F11" s="85">
        <f>SUMIFS(IGA_BD!$Q:$Q,IGA_BD!$G:$G,(VLOOKUP(F$5,'Basic Data'!$A:$I,9,0)),IGA_BD!$F:$F,"&gt;="&amp;Analytics!$B$3,IGA_BD!$F:$F,"&lt;="&amp;Analytics!$B$4)</f>
        <v>0</v>
      </c>
      <c r="G11" s="85">
        <f>SUMIFS(IGA_BD!$Q:$Q,IGA_BD!$G:$G,(VLOOKUP(G$5,'Basic Data'!$A:$I,9,0)),IGA_BD!$F:$F,"&gt;="&amp;Analytics!$B$3,IGA_BD!$F:$F,"&lt;="&amp;Analytics!$B$4)</f>
        <v>0</v>
      </c>
      <c r="H11" s="85">
        <f>SUMIFS(IGA_BD!$Q:$Q,IGA_BD!$G:$G,(VLOOKUP(H$5,'Basic Data'!$A:$I,9,0)),IGA_BD!$F:$F,"&gt;="&amp;Analytics!$B$3,IGA_BD!$F:$F,"&lt;="&amp;Analytics!$B$4)</f>
        <v>0</v>
      </c>
      <c r="I11" s="85">
        <f>SUMIFS(IGA_BD!$Q:$Q,IGA_BD!$G:$G,(VLOOKUP(I$5,'Basic Data'!$A:$I,9,0)),IGA_BD!$F:$F,"&gt;="&amp;Analytics!$B$3,IGA_BD!$F:$F,"&lt;="&amp;Analytics!$B$4)</f>
        <v>0</v>
      </c>
      <c r="J11" s="85">
        <f>SUMIFS(IGA_BD!$Q:$Q,IGA_BD!$G:$G,(VLOOKUP(J$5,'Basic Data'!$A:$I,9,0)),IGA_BD!$F:$F,"&gt;="&amp;Analytics!$B$3,IGA_BD!$F:$F,"&lt;="&amp;Analytics!$B$4)</f>
        <v>0</v>
      </c>
      <c r="K11" s="85">
        <f>SUMIFS(IGA_BD!$Q:$Q,IGA_BD!$G:$G,(VLOOKUP(K$5,'Basic Data'!$A:$I,9,0)),IGA_BD!$F:$F,"&gt;="&amp;Analytics!$B$3,IGA_BD!$F:$F,"&lt;="&amp;Analytics!$B$4)</f>
        <v>0</v>
      </c>
      <c r="L11" s="85">
        <f>SUMIFS(IGA_BD!$Q:$Q,IGA_BD!$G:$G,(VLOOKUP(L$5,'Basic Data'!$A:$I,9,0)),IGA_BD!$F:$F,"&gt;="&amp;Analytics!$B$3,IGA_BD!$F:$F,"&lt;="&amp;Analytics!$B$4)</f>
        <v>0</v>
      </c>
      <c r="M11" s="85">
        <f>SUMIFS(IGA_BD!$Q:$Q,IGA_BD!$G:$G,(VLOOKUP(M$5,'Basic Data'!$A:$I,9,0)),IGA_BD!$F:$F,"&gt;="&amp;Analytics!$B$3,IGA_BD!$F:$F,"&lt;="&amp;Analytics!$B$4)</f>
        <v>0</v>
      </c>
      <c r="N11" s="85">
        <f>SUMIFS(IGA_BD!$Q:$Q,IGA_BD!$G:$G,(VLOOKUP(N$5,'Basic Data'!$A:$I,9,0)),IGA_BD!$F:$F,"&gt;="&amp;Analytics!$B$3,IGA_BD!$F:$F,"&lt;="&amp;Analytics!$B$4)</f>
        <v>0</v>
      </c>
      <c r="O11" s="85">
        <f>SUMIFS(IGA_BD!$Q:$Q,IGA_BD!$G:$G,(VLOOKUP(O$5,'Basic Data'!$A:$I,9,0)),IGA_BD!$F:$F,"&gt;="&amp;Analytics!$B$3,IGA_BD!$F:$F,"&lt;="&amp;Analytics!$B$4)</f>
        <v>0</v>
      </c>
      <c r="P11" s="85">
        <f>SUMIFS(IGA_BD!$Q:$Q,IGA_BD!$G:$G,(VLOOKUP(P$5,'Basic Data'!$A:$I,9,0)),IGA_BD!$F:$F,"&gt;="&amp;Analytics!$B$3,IGA_BD!$F:$F,"&lt;="&amp;Analytics!$B$4)</f>
        <v>0</v>
      </c>
      <c r="Q11" s="85">
        <f>SUMIFS(IGA_BD!$Q:$Q,IGA_BD!$G:$G,(VLOOKUP(Q$5,'Basic Data'!$A:$I,9,0)),IGA_BD!$F:$F,"&gt;="&amp;Analytics!$B$3,IGA_BD!$F:$F,"&lt;="&amp;Analytics!$B$4)</f>
        <v>0</v>
      </c>
      <c r="R11" s="85">
        <f>SUMIFS(IGA_BD!$Q:$Q,IGA_BD!$G:$G,(VLOOKUP(R$5,'Basic Data'!$A:$I,9,0)),IGA_BD!$F:$F,"&gt;="&amp;Analytics!$B$3,IGA_BD!$F:$F,"&lt;="&amp;Analytics!$B$4)</f>
        <v>0</v>
      </c>
      <c r="S11" s="85">
        <f>SUMIFS(IGA_BD!$Q:$Q,IGA_BD!$G:$G,(VLOOKUP(S$5,'Basic Data'!$A:$I,9,0)),IGA_BD!$F:$F,"&gt;="&amp;Analytics!$B$3,IGA_BD!$F:$F,"&lt;="&amp;Analytics!$B$4)</f>
        <v>0</v>
      </c>
      <c r="T11" s="85">
        <f>SUMIFS(IGA_BD!$Q:$Q,IGA_BD!$G:$G,(VLOOKUP(T$5,'Basic Data'!$A:$I,9,0)),IGA_BD!$F:$F,"&gt;="&amp;Analytics!$B$3,IGA_BD!$F:$F,"&lt;="&amp;Analytics!$B$4)</f>
        <v>0</v>
      </c>
      <c r="U11" s="85">
        <f>SUMIFS(IGA_BD!$Q:$Q,IGA_BD!$G:$G,(VLOOKUP(U$5,'Basic Data'!$A:$I,9,0)),IGA_BD!$F:$F,"&gt;="&amp;Analytics!$B$3,IGA_BD!$F:$F,"&lt;="&amp;Analytics!$B$4)</f>
        <v>0</v>
      </c>
      <c r="V11" s="85">
        <f>SUMIFS(IGA_BD!$Q:$Q,IGA_BD!$G:$G,(VLOOKUP(V$5,'Basic Data'!$A:$I,9,0)),IGA_BD!$F:$F,"&gt;="&amp;Analytics!$B$3,IGA_BD!$F:$F,"&lt;="&amp;Analytics!$B$4)</f>
        <v>0</v>
      </c>
      <c r="W11" s="85">
        <f>SUMIFS(IGA_BD!$Q:$Q,IGA_BD!$G:$G,(VLOOKUP(W$5,'Basic Data'!$A:$I,9,0)),IGA_BD!$F:$F,"&gt;="&amp;Analytics!$B$3,IGA_BD!$F:$F,"&lt;="&amp;Analytics!$B$4)</f>
        <v>0</v>
      </c>
      <c r="X11" s="85">
        <f>SUMIFS(IGA_BD!$Q:$Q,IGA_BD!$G:$G,(VLOOKUP(X$5,'Basic Data'!$A:$I,9,0)),IGA_BD!$F:$F,"&gt;="&amp;Analytics!$B$3,IGA_BD!$F:$F,"&lt;="&amp;Analytics!$B$4)</f>
        <v>0</v>
      </c>
      <c r="Y11" s="96"/>
      <c r="Z11" s="95"/>
      <c r="AA11" s="95">
        <f t="shared" si="1"/>
        <v>0</v>
      </c>
      <c r="AB11" s="95">
        <f t="shared" si="2"/>
        <v>0</v>
      </c>
      <c r="AC11" s="95">
        <f t="shared" si="3"/>
        <v>0</v>
      </c>
      <c r="AD11" s="95">
        <f t="shared" si="4"/>
        <v>0</v>
      </c>
      <c r="AE11" s="95">
        <f t="shared" si="5"/>
        <v>0</v>
      </c>
      <c r="AF11" s="95"/>
      <c r="AG11" s="95"/>
    </row>
    <row r="12" spans="1:34" ht="29.25" hidden="1" customHeight="1">
      <c r="A12" s="84" t="s">
        <v>105</v>
      </c>
      <c r="B12" s="85">
        <f>SUMIFS(IGA_BD!$Q:$Q,IGA_BD!$G:$G,(VLOOKUP(B$5,'Basic Data'!$A:$J,10,0)),IGA_BD!$F:$F,"&gt;="&amp;Analytics!$B$3,IGA_BD!$F:$F,"&lt;="&amp;Analytics!$B$4)</f>
        <v>0</v>
      </c>
      <c r="C12" s="85">
        <f>SUMIFS(IGA_BD!$Q:$Q,IGA_BD!$G:$G,(VLOOKUP(C$5,'Basic Data'!$A:$J,10,0)),IGA_BD!$F:$F,"&gt;="&amp;Analytics!$B$3,IGA_BD!$F:$F,"&lt;="&amp;Analytics!$B$4)</f>
        <v>0</v>
      </c>
      <c r="D12" s="85">
        <f>SUMIFS(IGA_BD!$Q:$Q,IGA_BD!$G:$G,(VLOOKUP(D$5,'Basic Data'!$A:$J,10,0)),IGA_BD!$F:$F,"&gt;="&amp;Analytics!$B$3,IGA_BD!$F:$F,"&lt;="&amp;Analytics!$B$4)</f>
        <v>0</v>
      </c>
      <c r="E12" s="85">
        <f>SUMIFS(IGA_BD!$Q:$Q,IGA_BD!$G:$G,(VLOOKUP(E$5,'Basic Data'!$A:$J,10,0)),IGA_BD!$F:$F,"&gt;="&amp;Analytics!$B$3,IGA_BD!$F:$F,"&lt;="&amp;Analytics!$B$4)</f>
        <v>0</v>
      </c>
      <c r="F12" s="85">
        <f>SUMIFS(IGA_BD!$Q:$Q,IGA_BD!$G:$G,(VLOOKUP(F$5,'Basic Data'!$A:$J,10,0)),IGA_BD!$F:$F,"&gt;="&amp;Analytics!$B$3,IGA_BD!$F:$F,"&lt;="&amp;Analytics!$B$4)</f>
        <v>0</v>
      </c>
      <c r="G12" s="85">
        <f>SUMIFS(IGA_BD!$Q:$Q,IGA_BD!$G:$G,(VLOOKUP(G$5,'Basic Data'!$A:$J,10,0)),IGA_BD!$F:$F,"&gt;="&amp;Analytics!$B$3,IGA_BD!$F:$F,"&lt;="&amp;Analytics!$B$4)</f>
        <v>0</v>
      </c>
      <c r="H12" s="85">
        <f>SUMIFS(IGA_BD!$Q:$Q,IGA_BD!$G:$G,(VLOOKUP(H$5,'Basic Data'!$A:$J,10,0)),IGA_BD!$F:$F,"&gt;="&amp;Analytics!$B$3,IGA_BD!$F:$F,"&lt;="&amp;Analytics!$B$4)</f>
        <v>0</v>
      </c>
      <c r="I12" s="85">
        <f>SUMIFS(IGA_BD!$Q:$Q,IGA_BD!$G:$G,(VLOOKUP(I$5,'Basic Data'!$A:$J,10,0)),IGA_BD!$F:$F,"&gt;="&amp;Analytics!$B$3,IGA_BD!$F:$F,"&lt;="&amp;Analytics!$B$4)</f>
        <v>0</v>
      </c>
      <c r="J12" s="85">
        <f>SUMIFS(IGA_BD!$Q:$Q,IGA_BD!$G:$G,(VLOOKUP(J$5,'Basic Data'!$A:$J,10,0)),IGA_BD!$F:$F,"&gt;="&amp;Analytics!$B$3,IGA_BD!$F:$F,"&lt;="&amp;Analytics!$B$4)</f>
        <v>0</v>
      </c>
      <c r="K12" s="85">
        <f>SUMIFS(IGA_BD!$Q:$Q,IGA_BD!$G:$G,(VLOOKUP(K$5,'Basic Data'!$A:$J,10,0)),IGA_BD!$F:$F,"&gt;="&amp;Analytics!$B$3,IGA_BD!$F:$F,"&lt;="&amp;Analytics!$B$4)</f>
        <v>0</v>
      </c>
      <c r="L12" s="85">
        <f>SUMIFS(IGA_BD!$Q:$Q,IGA_BD!$G:$G,(VLOOKUP(L$5,'Basic Data'!$A:$J,10,0)),IGA_BD!$F:$F,"&gt;="&amp;Analytics!$B$3,IGA_BD!$F:$F,"&lt;="&amp;Analytics!$B$4)</f>
        <v>0</v>
      </c>
      <c r="M12" s="85">
        <f>SUMIFS(IGA_BD!$Q:$Q,IGA_BD!$G:$G,(VLOOKUP(M$5,'Basic Data'!$A:$J,10,0)),IGA_BD!$F:$F,"&gt;="&amp;Analytics!$B$3,IGA_BD!$F:$F,"&lt;="&amp;Analytics!$B$4)</f>
        <v>0</v>
      </c>
      <c r="N12" s="85">
        <f>SUMIFS(IGA_BD!$Q:$Q,IGA_BD!$G:$G,(VLOOKUP(N$5,'Basic Data'!$A:$J,10,0)),IGA_BD!$F:$F,"&gt;="&amp;Analytics!$B$3,IGA_BD!$F:$F,"&lt;="&amp;Analytics!$B$4)</f>
        <v>0</v>
      </c>
      <c r="O12" s="85">
        <f>SUMIFS(IGA_BD!$Q:$Q,IGA_BD!$G:$G,(VLOOKUP(O$5,'Basic Data'!$A:$J,10,0)),IGA_BD!$F:$F,"&gt;="&amp;Analytics!$B$3,IGA_BD!$F:$F,"&lt;="&amp;Analytics!$B$4)</f>
        <v>0</v>
      </c>
      <c r="P12" s="85">
        <f>SUMIFS(IGA_BD!$Q:$Q,IGA_BD!$G:$G,(VLOOKUP(P$5,'Basic Data'!$A:$J,10,0)),IGA_BD!$F:$F,"&gt;="&amp;Analytics!$B$3,IGA_BD!$F:$F,"&lt;="&amp;Analytics!$B$4)</f>
        <v>0</v>
      </c>
      <c r="Q12" s="85">
        <f>SUMIFS(IGA_BD!$Q:$Q,IGA_BD!$G:$G,(VLOOKUP(Q$5,'Basic Data'!$A:$J,10,0)),IGA_BD!$F:$F,"&gt;="&amp;Analytics!$B$3,IGA_BD!$F:$F,"&lt;="&amp;Analytics!$B$4)</f>
        <v>0</v>
      </c>
      <c r="R12" s="85">
        <f>SUMIFS(IGA_BD!$Q:$Q,IGA_BD!$G:$G,(VLOOKUP(R$5,'Basic Data'!$A:$J,10,0)),IGA_BD!$F:$F,"&gt;="&amp;Analytics!$B$3,IGA_BD!$F:$F,"&lt;="&amp;Analytics!$B$4)</f>
        <v>0</v>
      </c>
      <c r="S12" s="85">
        <f>SUMIFS(IGA_BD!$Q:$Q,IGA_BD!$G:$G,(VLOOKUP(S$5,'Basic Data'!$A:$J,10,0)),IGA_BD!$F:$F,"&gt;="&amp;Analytics!$B$3,IGA_BD!$F:$F,"&lt;="&amp;Analytics!$B$4)</f>
        <v>0</v>
      </c>
      <c r="T12" s="85">
        <f>SUMIFS(IGA_BD!$Q:$Q,IGA_BD!$G:$G,(VLOOKUP(T$5,'Basic Data'!$A:$J,10,0)),IGA_BD!$F:$F,"&gt;="&amp;Analytics!$B$3,IGA_BD!$F:$F,"&lt;="&amp;Analytics!$B$4)</f>
        <v>0</v>
      </c>
      <c r="U12" s="85">
        <f>SUMIFS(IGA_BD!$Q:$Q,IGA_BD!$G:$G,(VLOOKUP(U$5,'Basic Data'!$A:$J,10,0)),IGA_BD!$F:$F,"&gt;="&amp;Analytics!$B$3,IGA_BD!$F:$F,"&lt;="&amp;Analytics!$B$4)</f>
        <v>0</v>
      </c>
      <c r="V12" s="85">
        <f>SUMIFS(IGA_BD!$Q:$Q,IGA_BD!$G:$G,(VLOOKUP(V$5,'Basic Data'!$A:$J,10,0)),IGA_BD!$F:$F,"&gt;="&amp;Analytics!$B$3,IGA_BD!$F:$F,"&lt;="&amp;Analytics!$B$4)</f>
        <v>0</v>
      </c>
      <c r="W12" s="85">
        <f>SUMIFS(IGA_BD!$Q:$Q,IGA_BD!$G:$G,(VLOOKUP(W$5,'Basic Data'!$A:$J,10,0)),IGA_BD!$F:$F,"&gt;="&amp;Analytics!$B$3,IGA_BD!$F:$F,"&lt;="&amp;Analytics!$B$4)</f>
        <v>0</v>
      </c>
      <c r="X12" s="85">
        <f>SUMIFS(IGA_BD!$Q:$Q,IGA_BD!$G:$G,(VLOOKUP(X$5,'Basic Data'!$A:$J,10,0)),IGA_BD!$F:$F,"&gt;="&amp;Analytics!$B$3,IGA_BD!$F:$F,"&lt;="&amp;Analytics!$B$4)</f>
        <v>0</v>
      </c>
      <c r="Y12" s="96"/>
      <c r="Z12" s="95"/>
      <c r="AA12" s="95">
        <f t="shared" si="1"/>
        <v>0</v>
      </c>
      <c r="AB12" s="95">
        <f t="shared" si="2"/>
        <v>0</v>
      </c>
      <c r="AC12" s="95">
        <f t="shared" si="3"/>
        <v>0</v>
      </c>
      <c r="AD12" s="95">
        <f t="shared" si="4"/>
        <v>0</v>
      </c>
      <c r="AE12" s="95">
        <f t="shared" si="5"/>
        <v>0</v>
      </c>
      <c r="AF12" s="95"/>
      <c r="AG12" s="95"/>
    </row>
    <row r="13" spans="1:34" ht="29.25" hidden="1" customHeight="1">
      <c r="A13" s="84" t="s">
        <v>106</v>
      </c>
      <c r="B13" s="85">
        <f>SUMIFS(IGA_BD!$Q:$Q,IGA_BD!$F:$F,"&gt;="&amp;Analytics!$B$3,IGA_BD!$F:$F,"&lt;="&amp;Analytics!$B$4,IGA_BD!$G:$G,Analytics!B$5)</f>
        <v>0</v>
      </c>
      <c r="C13" s="85">
        <f>SUMIFS(IGA_BD!$Q:$Q,IGA_BD!$F:$F,"&gt;="&amp;Analytics!$B$3,IGA_BD!$F:$F,"&lt;="&amp;Analytics!$B$4,IGA_BD!$G:$G,Analytics!C$5)</f>
        <v>0</v>
      </c>
      <c r="D13" s="85">
        <f>SUMIFS(IGA_BD!$Q:$Q,IGA_BD!$F:$F,"&gt;="&amp;Analytics!$B$3,IGA_BD!$F:$F,"&lt;="&amp;Analytics!$B$4,IGA_BD!$G:$G,Analytics!D$5)</f>
        <v>0</v>
      </c>
      <c r="E13" s="85">
        <f>SUMIFS(IGA_BD!$Q:$Q,IGA_BD!$F:$F,"&gt;="&amp;Analytics!$B$3,IGA_BD!$F:$F,"&lt;="&amp;Analytics!$B$4,IGA_BD!$G:$G,Analytics!E$5)</f>
        <v>0</v>
      </c>
      <c r="F13" s="85">
        <f>SUMIFS(IGA_BD!$Q:$Q,IGA_BD!$F:$F,"&gt;="&amp;Analytics!$B$3,IGA_BD!$F:$F,"&lt;="&amp;Analytics!$B$4,IGA_BD!$G:$G,Analytics!F$5)</f>
        <v>0</v>
      </c>
      <c r="G13" s="85">
        <f>SUMIFS(IGA_BD!$Q:$Q,IGA_BD!$F:$F,"&gt;="&amp;Analytics!$B$3,IGA_BD!$F:$F,"&lt;="&amp;Analytics!$B$4,IGA_BD!$G:$G,Analytics!G$5)</f>
        <v>0</v>
      </c>
      <c r="H13" s="85">
        <f>SUMIFS(IGA_BD!$Q:$Q,IGA_BD!$F:$F,"&gt;="&amp;Analytics!$B$3,IGA_BD!$F:$F,"&lt;="&amp;Analytics!$B$4,IGA_BD!$G:$G,Analytics!H$5)</f>
        <v>0</v>
      </c>
      <c r="I13" s="85">
        <f>SUMIFS(IGA_BD!$Q:$Q,IGA_BD!$F:$F,"&gt;="&amp;Analytics!$B$3,IGA_BD!$F:$F,"&lt;="&amp;Analytics!$B$4,IGA_BD!$G:$G,Analytics!I$5)</f>
        <v>0</v>
      </c>
      <c r="J13" s="85">
        <f>SUMIFS(IGA_BD!$Q:$Q,IGA_BD!$F:$F,"&gt;="&amp;Analytics!$B$3,IGA_BD!$F:$F,"&lt;="&amp;Analytics!$B$4,IGA_BD!$G:$G,Analytics!J$5)</f>
        <v>0</v>
      </c>
      <c r="K13" s="85">
        <f>SUMIFS(IGA_BD!$Q:$Q,IGA_BD!$F:$F,"&gt;="&amp;Analytics!$B$3,IGA_BD!$F:$F,"&lt;="&amp;Analytics!$B$4,IGA_BD!$G:$G,Analytics!K$5)</f>
        <v>0</v>
      </c>
      <c r="L13" s="85">
        <f>SUMIFS(IGA_BD!$Q:$Q,IGA_BD!$F:$F,"&gt;="&amp;Analytics!$B$3,IGA_BD!$F:$F,"&lt;="&amp;Analytics!$B$4,IGA_BD!$G:$G,Analytics!L$5)</f>
        <v>0</v>
      </c>
      <c r="M13" s="85">
        <f>SUMIFS(IGA_BD!$Q:$Q,IGA_BD!$F:$F,"&gt;="&amp;Analytics!$B$3,IGA_BD!$F:$F,"&lt;="&amp;Analytics!$B$4,IGA_BD!$G:$G,Analytics!M$5)</f>
        <v>0</v>
      </c>
      <c r="N13" s="85">
        <f>SUMIFS(IGA_BD!$Q:$Q,IGA_BD!$F:$F,"&gt;="&amp;Analytics!$B$3,IGA_BD!$F:$F,"&lt;="&amp;Analytics!$B$4,IGA_BD!$G:$G,Analytics!N$5)</f>
        <v>0</v>
      </c>
      <c r="O13" s="85">
        <f>SUMIFS(IGA_BD!$Q:$Q,IGA_BD!$F:$F,"&gt;="&amp;Analytics!$B$3,IGA_BD!$F:$F,"&lt;="&amp;Analytics!$B$4,IGA_BD!$G:$G,Analytics!O$5)</f>
        <v>0</v>
      </c>
      <c r="P13" s="85">
        <f>SUMIFS(IGA_BD!$Q:$Q,IGA_BD!$F:$F,"&gt;="&amp;Analytics!$B$3,IGA_BD!$F:$F,"&lt;="&amp;Analytics!$B$4,IGA_BD!$G:$G,Analytics!P$5)</f>
        <v>0</v>
      </c>
      <c r="Q13" s="85">
        <f>SUMIFS(IGA_BD!$Q:$Q,IGA_BD!$F:$F,"&gt;="&amp;Analytics!$B$3,IGA_BD!$F:$F,"&lt;="&amp;Analytics!$B$4,IGA_BD!$G:$G,Analytics!Q$5)</f>
        <v>0</v>
      </c>
      <c r="R13" s="85">
        <f>SUMIFS(IGA_BD!$Q:$Q,IGA_BD!$F:$F,"&gt;="&amp;Analytics!$B$3,IGA_BD!$F:$F,"&lt;="&amp;Analytics!$B$4,IGA_BD!$G:$G,Analytics!R$5)</f>
        <v>0</v>
      </c>
      <c r="S13" s="85">
        <f>SUMIFS(IGA_BD!$Q:$Q,IGA_BD!$F:$F,"&gt;="&amp;Analytics!$B$3,IGA_BD!$F:$F,"&lt;="&amp;Analytics!$B$4,IGA_BD!$G:$G,Analytics!S$5)</f>
        <v>0</v>
      </c>
      <c r="T13" s="85">
        <f>SUMIFS(IGA_BD!$Q:$Q,IGA_BD!$F:$F,"&gt;="&amp;Analytics!$B$3,IGA_BD!$F:$F,"&lt;="&amp;Analytics!$B$4,IGA_BD!$G:$G,Analytics!T$5)</f>
        <v>0</v>
      </c>
      <c r="U13" s="85">
        <f>SUMIFS(IGA_BD!$Q:$Q,IGA_BD!$F:$F,"&gt;="&amp;Analytics!$B$3,IGA_BD!$F:$F,"&lt;="&amp;Analytics!$B$4,IGA_BD!$G:$G,Analytics!U$5)</f>
        <v>0</v>
      </c>
      <c r="V13" s="85">
        <f>SUMIFS(IGA_BD!$Q:$Q,IGA_BD!$F:$F,"&gt;="&amp;Analytics!$B$3,IGA_BD!$F:$F,"&lt;="&amp;Analytics!$B$4,IGA_BD!$G:$G,Analytics!V$5)</f>
        <v>0</v>
      </c>
      <c r="W13" s="85">
        <f>SUMIFS(IGA_BD!$Q:$Q,IGA_BD!$F:$F,"&gt;="&amp;Analytics!$B$3,IGA_BD!$F:$F,"&lt;="&amp;Analytics!$B$4,IGA_BD!$G:$G,Analytics!W$5)</f>
        <v>0</v>
      </c>
      <c r="X13" s="85">
        <f>SUMIFS(IGA_BD!$Q:$Q,IGA_BD!$F:$F,"&gt;="&amp;Analytics!$B$3,IGA_BD!$F:$F,"&lt;="&amp;Analytics!$B$4,IGA_BD!$G:$G,Analytics!X$5)</f>
        <v>0</v>
      </c>
      <c r="Y13" s="96"/>
      <c r="Z13" s="95"/>
      <c r="AA13" s="95">
        <f t="shared" si="1"/>
        <v>0</v>
      </c>
      <c r="AB13" s="95">
        <f t="shared" si="2"/>
        <v>0</v>
      </c>
      <c r="AC13" s="95">
        <f t="shared" si="3"/>
        <v>0</v>
      </c>
      <c r="AD13" s="95">
        <f t="shared" si="4"/>
        <v>0</v>
      </c>
      <c r="AE13" s="95">
        <f t="shared" si="5"/>
        <v>0</v>
      </c>
      <c r="AF13" s="95"/>
      <c r="AG13" s="95"/>
    </row>
    <row r="14" spans="1:34" ht="29.25" hidden="1" customHeight="1">
      <c r="A14" s="84" t="s">
        <v>107</v>
      </c>
      <c r="B14" s="85">
        <f>SUMIFS(WTG_BD!$T:$T,WTG_BD!$G:$G,Analytics!B$5,WTG_BD!$F:$F,"&gt;="&amp;Analytics!$B$3,WTG_BD!$F:$F,"&lt;="&amp;Analytics!$B$4,WTG_BD!$N:$N,'Basic Data'!$X$4)</f>
        <v>0</v>
      </c>
      <c r="C14" s="85">
        <f>SUMIFS(WTG_BD!$T:$T,WTG_BD!$G:$G,Analytics!C$5,WTG_BD!$F:$F,"&gt;="&amp;Analytics!$B$3,WTG_BD!$F:$F,"&lt;="&amp;Analytics!$B$4,WTG_BD!$N:$N,'Basic Data'!$X$4)</f>
        <v>0</v>
      </c>
      <c r="D14" s="85">
        <f>SUMIFS(WTG_BD!$T:$T,WTG_BD!$G:$G,Analytics!D$5,WTG_BD!$F:$F,"&gt;="&amp;Analytics!$B$3,WTG_BD!$F:$F,"&lt;="&amp;Analytics!$B$4,WTG_BD!$N:$N,'Basic Data'!$X$4)</f>
        <v>0</v>
      </c>
      <c r="E14" s="85">
        <f>SUMIFS(WTG_BD!$T:$T,WTG_BD!$G:$G,Analytics!E$5,WTG_BD!$F:$F,"&gt;="&amp;Analytics!$B$3,WTG_BD!$F:$F,"&lt;="&amp;Analytics!$B$4,WTG_BD!$N:$N,'Basic Data'!$X$4)</f>
        <v>0</v>
      </c>
      <c r="F14" s="85">
        <f>SUMIFS(WTG_BD!$T:$T,WTG_BD!$G:$G,Analytics!F$5,WTG_BD!$F:$F,"&gt;="&amp;Analytics!$B$3,WTG_BD!$F:$F,"&lt;="&amp;Analytics!$B$4,WTG_BD!$N:$N,'Basic Data'!$X$4)</f>
        <v>0</v>
      </c>
      <c r="G14" s="85">
        <f>SUMIFS(WTG_BD!$T:$T,WTG_BD!$G:$G,Analytics!G$5,WTG_BD!$F:$F,"&gt;="&amp;Analytics!$B$3,WTG_BD!$F:$F,"&lt;="&amp;Analytics!$B$4,WTG_BD!$N:$N,'Basic Data'!$X$4)</f>
        <v>0</v>
      </c>
      <c r="H14" s="85">
        <f>SUMIFS(WTG_BD!$T:$T,WTG_BD!$G:$G,Analytics!H$5,WTG_BD!$F:$F,"&gt;="&amp;Analytics!$B$3,WTG_BD!$F:$F,"&lt;="&amp;Analytics!$B$4,WTG_BD!$N:$N,'Basic Data'!$X$4)</f>
        <v>0</v>
      </c>
      <c r="I14" s="85">
        <f>SUMIFS(WTG_BD!$T:$T,WTG_BD!$G:$G,Analytics!I$5,WTG_BD!$F:$F,"&gt;="&amp;Analytics!$B$3,WTG_BD!$F:$F,"&lt;="&amp;Analytics!$B$4,WTG_BD!$N:$N,'Basic Data'!$X$4)</f>
        <v>0</v>
      </c>
      <c r="J14" s="85">
        <f>SUMIFS(WTG_BD!$T:$T,WTG_BD!$G:$G,Analytics!J$5,WTG_BD!$F:$F,"&gt;="&amp;Analytics!$B$3,WTG_BD!$F:$F,"&lt;="&amp;Analytics!$B$4,WTG_BD!$N:$N,'Basic Data'!$X$4)</f>
        <v>0</v>
      </c>
      <c r="K14" s="85">
        <f>SUMIFS(WTG_BD!$T:$T,WTG_BD!$G:$G,Analytics!K$5,WTG_BD!$F:$F,"&gt;="&amp;Analytics!$B$3,WTG_BD!$F:$F,"&lt;="&amp;Analytics!$B$4,WTG_BD!$N:$N,'Basic Data'!$X$4)</f>
        <v>0</v>
      </c>
      <c r="L14" s="85">
        <f>SUMIFS(WTG_BD!$T:$T,WTG_BD!$G:$G,Analytics!L$5,WTG_BD!$F:$F,"&gt;="&amp;Analytics!$B$3,WTG_BD!$F:$F,"&lt;="&amp;Analytics!$B$4,WTG_BD!$N:$N,'Basic Data'!$X$4)</f>
        <v>0</v>
      </c>
      <c r="M14" s="85">
        <f>SUMIFS(WTG_BD!$T:$T,WTG_BD!$G:$G,Analytics!M$5,WTG_BD!$F:$F,"&gt;="&amp;Analytics!$B$3,WTG_BD!$F:$F,"&lt;="&amp;Analytics!$B$4,WTG_BD!$N:$N,'Basic Data'!$X$4)</f>
        <v>0</v>
      </c>
      <c r="N14" s="85">
        <f>SUMIFS(WTG_BD!$T:$T,WTG_BD!$G:$G,Analytics!N$5,WTG_BD!$F:$F,"&gt;="&amp;Analytics!$B$3,WTG_BD!$F:$F,"&lt;="&amp;Analytics!$B$4,WTG_BD!$N:$N,'Basic Data'!$X$4)</f>
        <v>0</v>
      </c>
      <c r="O14" s="85">
        <f>SUMIFS(WTG_BD!$T:$T,WTG_BD!$G:$G,Analytics!O$5,WTG_BD!$F:$F,"&gt;="&amp;Analytics!$B$3,WTG_BD!$F:$F,"&lt;="&amp;Analytics!$B$4,WTG_BD!$N:$N,'Basic Data'!$X$4)</f>
        <v>0</v>
      </c>
      <c r="P14" s="85">
        <f>SUMIFS(WTG_BD!$T:$T,WTG_BD!$G:$G,Analytics!P$5,WTG_BD!$F:$F,"&gt;="&amp;Analytics!$B$3,WTG_BD!$F:$F,"&lt;="&amp;Analytics!$B$4,WTG_BD!$N:$N,'Basic Data'!$X$4)</f>
        <v>0</v>
      </c>
      <c r="Q14" s="85">
        <f>SUMIFS(WTG_BD!$T:$T,WTG_BD!$G:$G,Analytics!Q$5,WTG_BD!$F:$F,"&gt;="&amp;Analytics!$B$3,WTG_BD!$F:$F,"&lt;="&amp;Analytics!$B$4,WTG_BD!$N:$N,'Basic Data'!$X$4)</f>
        <v>0</v>
      </c>
      <c r="R14" s="85">
        <f>SUMIFS(WTG_BD!$T:$T,WTG_BD!$G:$G,Analytics!R$5,WTG_BD!$F:$F,"&gt;="&amp;Analytics!$B$3,WTG_BD!$F:$F,"&lt;="&amp;Analytics!$B$4,WTG_BD!$N:$N,'Basic Data'!$X$4)</f>
        <v>0</v>
      </c>
      <c r="S14" s="85">
        <f>SUMIFS(WTG_BD!$T:$T,WTG_BD!$G:$G,Analytics!S$5,WTG_BD!$F:$F,"&gt;="&amp;Analytics!$B$3,WTG_BD!$F:$F,"&lt;="&amp;Analytics!$B$4,WTG_BD!$N:$N,'Basic Data'!$X$4)</f>
        <v>0</v>
      </c>
      <c r="T14" s="85">
        <f>SUMIFS(WTG_BD!$T:$T,WTG_BD!$G:$G,Analytics!T$5,WTG_BD!$F:$F,"&gt;="&amp;Analytics!$B$3,WTG_BD!$F:$F,"&lt;="&amp;Analytics!$B$4,WTG_BD!$N:$N,'Basic Data'!$X$4)</f>
        <v>0</v>
      </c>
      <c r="U14" s="85">
        <f>SUMIFS(WTG_BD!$T:$T,WTG_BD!$G:$G,Analytics!U$5,WTG_BD!$F:$F,"&gt;="&amp;Analytics!$B$3,WTG_BD!$F:$F,"&lt;="&amp;Analytics!$B$4,WTG_BD!$N:$N,'Basic Data'!$X$4)</f>
        <v>0</v>
      </c>
      <c r="V14" s="85">
        <f>SUMIFS(WTG_BD!$T:$T,WTG_BD!$G:$G,Analytics!V$5,WTG_BD!$F:$F,"&gt;="&amp;Analytics!$B$3,WTG_BD!$F:$F,"&lt;="&amp;Analytics!$B$4,WTG_BD!$N:$N,'Basic Data'!$X$4)</f>
        <v>0</v>
      </c>
      <c r="W14" s="85">
        <f>SUMIFS(WTG_BD!$T:$T,WTG_BD!$G:$G,Analytics!W$5,WTG_BD!$F:$F,"&gt;="&amp;Analytics!$B$3,WTG_BD!$F:$F,"&lt;="&amp;Analytics!$B$4,WTG_BD!$N:$N,'Basic Data'!$X$4)</f>
        <v>4.0000000000000018</v>
      </c>
      <c r="X14" s="85">
        <f>SUMIFS(WTG_BD!$T:$T,WTG_BD!$G:$G,Analytics!X$5,WTG_BD!$F:$F,"&gt;="&amp;Analytics!$B$3,WTG_BD!$F:$F,"&lt;="&amp;Analytics!$B$4,WTG_BD!$N:$N,'Basic Data'!$X$4)</f>
        <v>0</v>
      </c>
      <c r="Y14" s="96"/>
      <c r="Z14" s="95"/>
      <c r="AA14" s="95">
        <f t="shared" si="1"/>
        <v>0</v>
      </c>
      <c r="AB14" s="95">
        <f t="shared" si="2"/>
        <v>0</v>
      </c>
      <c r="AC14" s="95">
        <f t="shared" si="3"/>
        <v>0</v>
      </c>
      <c r="AD14" s="95">
        <f t="shared" si="4"/>
        <v>0.50000000000000022</v>
      </c>
      <c r="AE14" s="95">
        <f t="shared" si="5"/>
        <v>0</v>
      </c>
      <c r="AF14" s="95"/>
      <c r="AG14" s="95"/>
    </row>
    <row r="15" spans="1:34" ht="29.25" hidden="1" customHeight="1">
      <c r="A15" s="84" t="s">
        <v>108</v>
      </c>
      <c r="B15" s="85">
        <f>SUMIFS(WTG_BD!$T:$T,WTG_BD!$G:$G,Analytics!B$5,WTG_BD!$F:$F,"&gt;="&amp;Analytics!$B$3,WTG_BD!$F:$F,"&lt;="&amp;Analytics!$B$4,WTG_BD!$N:$N,'Basic Data'!$X$1)</f>
        <v>0</v>
      </c>
      <c r="C15" s="85">
        <f>SUMIFS(WTG_BD!$T:$T,WTG_BD!$G:$G,Analytics!C$5,WTG_BD!$F:$F,"&gt;="&amp;Analytics!$B$3,WTG_BD!$F:$F,"&lt;="&amp;Analytics!$B$4,WTG_BD!$N:$N,'Basic Data'!$X$1)</f>
        <v>0</v>
      </c>
      <c r="D15" s="85">
        <f>SUMIFS(WTG_BD!$T:$T,WTG_BD!$G:$G,Analytics!D$5,WTG_BD!$F:$F,"&gt;="&amp;Analytics!$B$3,WTG_BD!$F:$F,"&lt;="&amp;Analytics!$B$4,WTG_BD!$N:$N,'Basic Data'!$X$1)</f>
        <v>0</v>
      </c>
      <c r="E15" s="85">
        <f>SUMIFS(WTG_BD!$T:$T,WTG_BD!$G:$G,Analytics!E$5,WTG_BD!$F:$F,"&gt;="&amp;Analytics!$B$3,WTG_BD!$F:$F,"&lt;="&amp;Analytics!$B$4,WTG_BD!$N:$N,'Basic Data'!$X$1)</f>
        <v>0</v>
      </c>
      <c r="F15" s="85">
        <f>SUMIFS(WTG_BD!$T:$T,WTG_BD!$G:$G,Analytics!F$5,WTG_BD!$F:$F,"&gt;="&amp;Analytics!$B$3,WTG_BD!$F:$F,"&lt;="&amp;Analytics!$B$4,WTG_BD!$N:$N,'Basic Data'!$X$1)</f>
        <v>0</v>
      </c>
      <c r="G15" s="85">
        <f>SUMIFS(WTG_BD!$T:$T,WTG_BD!$G:$G,Analytics!G$5,WTG_BD!$F:$F,"&gt;="&amp;Analytics!$B$3,WTG_BD!$F:$F,"&lt;="&amp;Analytics!$B$4,WTG_BD!$N:$N,'Basic Data'!$X$1)</f>
        <v>0</v>
      </c>
      <c r="H15" s="85">
        <f>SUMIFS(WTG_BD!$T:$T,WTG_BD!$G:$G,Analytics!H$5,WTG_BD!$F:$F,"&gt;="&amp;Analytics!$B$3,WTG_BD!$F:$F,"&lt;="&amp;Analytics!$B$4,WTG_BD!$N:$N,'Basic Data'!$X$1)</f>
        <v>0</v>
      </c>
      <c r="I15" s="85">
        <f>SUMIFS(WTG_BD!$T:$T,WTG_BD!$G:$G,Analytics!I$5,WTG_BD!$F:$F,"&gt;="&amp;Analytics!$B$3,WTG_BD!$F:$F,"&lt;="&amp;Analytics!$B$4,WTG_BD!$N:$N,'Basic Data'!$X$1)</f>
        <v>0</v>
      </c>
      <c r="J15" s="85">
        <f>SUMIFS(WTG_BD!$T:$T,WTG_BD!$G:$G,Analytics!J$5,WTG_BD!$F:$F,"&gt;="&amp;Analytics!$B$3,WTG_BD!$F:$F,"&lt;="&amp;Analytics!$B$4,WTG_BD!$N:$N,'Basic Data'!$X$1)</f>
        <v>0</v>
      </c>
      <c r="K15" s="85">
        <f>SUMIFS(WTG_BD!$T:$T,WTG_BD!$G:$G,Analytics!K$5,WTG_BD!$F:$F,"&gt;="&amp;Analytics!$B$3,WTG_BD!$F:$F,"&lt;="&amp;Analytics!$B$4,WTG_BD!$N:$N,'Basic Data'!$X$1)</f>
        <v>0</v>
      </c>
      <c r="L15" s="85">
        <f>SUMIFS(WTG_BD!$T:$T,WTG_BD!$G:$G,Analytics!L$5,WTG_BD!$F:$F,"&gt;="&amp;Analytics!$B$3,WTG_BD!$F:$F,"&lt;="&amp;Analytics!$B$4,WTG_BD!$N:$N,'Basic Data'!$X$1)</f>
        <v>0</v>
      </c>
      <c r="M15" s="85">
        <f>SUMIFS(WTG_BD!$T:$T,WTG_BD!$G:$G,Analytics!M$5,WTG_BD!$F:$F,"&gt;="&amp;Analytics!$B$3,WTG_BD!$F:$F,"&lt;="&amp;Analytics!$B$4,WTG_BD!$N:$N,'Basic Data'!$X$1)</f>
        <v>0</v>
      </c>
      <c r="N15" s="85">
        <f>SUMIFS(WTG_BD!$T:$T,WTG_BD!$G:$G,Analytics!N$5,WTG_BD!$F:$F,"&gt;="&amp;Analytics!$B$3,WTG_BD!$F:$F,"&lt;="&amp;Analytics!$B$4,WTG_BD!$N:$N,'Basic Data'!$X$1)</f>
        <v>0</v>
      </c>
      <c r="O15" s="85">
        <f>SUMIFS(WTG_BD!$T:$T,WTG_BD!$G:$G,Analytics!O$5,WTG_BD!$F:$F,"&gt;="&amp;Analytics!$B$3,WTG_BD!$F:$F,"&lt;="&amp;Analytics!$B$4,WTG_BD!$N:$N,'Basic Data'!$X$1)</f>
        <v>0</v>
      </c>
      <c r="P15" s="85">
        <f>SUMIFS(WTG_BD!$T:$T,WTG_BD!$G:$G,Analytics!P$5,WTG_BD!$F:$F,"&gt;="&amp;Analytics!$B$3,WTG_BD!$F:$F,"&lt;="&amp;Analytics!$B$4,WTG_BD!$N:$N,'Basic Data'!$X$1)</f>
        <v>0</v>
      </c>
      <c r="Q15" s="85">
        <f>SUMIFS(WTG_BD!$T:$T,WTG_BD!$G:$G,Analytics!Q$5,WTG_BD!$F:$F,"&gt;="&amp;Analytics!$B$3,WTG_BD!$F:$F,"&lt;="&amp;Analytics!$B$4,WTG_BD!$N:$N,'Basic Data'!$X$1)</f>
        <v>0</v>
      </c>
      <c r="R15" s="85">
        <f>SUMIFS(WTG_BD!$T:$T,WTG_BD!$G:$G,Analytics!R$5,WTG_BD!$F:$F,"&gt;="&amp;Analytics!$B$3,WTG_BD!$F:$F,"&lt;="&amp;Analytics!$B$4,WTG_BD!$N:$N,'Basic Data'!$X$1)</f>
        <v>0</v>
      </c>
      <c r="S15" s="85">
        <f>SUMIFS(WTG_BD!$T:$T,WTG_BD!$G:$G,Analytics!S$5,WTG_BD!$F:$F,"&gt;="&amp;Analytics!$B$3,WTG_BD!$F:$F,"&lt;="&amp;Analytics!$B$4,WTG_BD!$N:$N,'Basic Data'!$X$1)</f>
        <v>0</v>
      </c>
      <c r="T15" s="85">
        <f>SUMIFS(WTG_BD!$T:$T,WTG_BD!$G:$G,Analytics!T$5,WTG_BD!$F:$F,"&gt;="&amp;Analytics!$B$3,WTG_BD!$F:$F,"&lt;="&amp;Analytics!$B$4,WTG_BD!$N:$N,'Basic Data'!$X$1)</f>
        <v>0</v>
      </c>
      <c r="U15" s="85">
        <f>SUMIFS(WTG_BD!$T:$T,WTG_BD!$G:$G,Analytics!U$5,WTG_BD!$F:$F,"&gt;="&amp;Analytics!$B$3,WTG_BD!$F:$F,"&lt;="&amp;Analytics!$B$4,WTG_BD!$N:$N,'Basic Data'!$X$1)</f>
        <v>0</v>
      </c>
      <c r="V15" s="85">
        <f>SUMIFS(WTG_BD!$T:$T,WTG_BD!$G:$G,Analytics!V$5,WTG_BD!$F:$F,"&gt;="&amp;Analytics!$B$3,WTG_BD!$F:$F,"&lt;="&amp;Analytics!$B$4,WTG_BD!$N:$N,'Basic Data'!$X$1)</f>
        <v>0</v>
      </c>
      <c r="W15" s="85">
        <f>SUMIFS(WTG_BD!$T:$T,WTG_BD!$G:$G,Analytics!W$5,WTG_BD!$F:$F,"&gt;="&amp;Analytics!$B$3,WTG_BD!$F:$F,"&lt;="&amp;Analytics!$B$4,WTG_BD!$N:$N,'Basic Data'!$X$1)</f>
        <v>0</v>
      </c>
      <c r="X15" s="85">
        <f>SUMIFS(WTG_BD!$T:$T,WTG_BD!$G:$G,Analytics!X$5,WTG_BD!$F:$F,"&gt;="&amp;Analytics!$B$3,WTG_BD!$F:$F,"&lt;="&amp;Analytics!$B$4,WTG_BD!$N:$N,'Basic Data'!$X$1)</f>
        <v>0</v>
      </c>
      <c r="Y15" s="96"/>
      <c r="Z15" s="95"/>
      <c r="AA15" s="95">
        <f t="shared" si="1"/>
        <v>0</v>
      </c>
      <c r="AB15" s="95">
        <f t="shared" si="2"/>
        <v>0</v>
      </c>
      <c r="AC15" s="95">
        <f t="shared" si="3"/>
        <v>0</v>
      </c>
      <c r="AD15" s="95">
        <f t="shared" si="4"/>
        <v>0</v>
      </c>
      <c r="AE15" s="95">
        <f t="shared" si="5"/>
        <v>0</v>
      </c>
      <c r="AF15" s="95"/>
      <c r="AG15" s="95"/>
    </row>
    <row r="16" spans="1:34" ht="29.25" customHeight="1">
      <c r="A16" s="81" t="s">
        <v>109</v>
      </c>
      <c r="B16" s="83">
        <f>($C$4-(B20+B23))/$C$4</f>
        <v>1</v>
      </c>
      <c r="C16" s="83">
        <f t="shared" ref="C16:X16" si="7">($C$4-(C20+C23))/$C$4</f>
        <v>1</v>
      </c>
      <c r="D16" s="83">
        <f t="shared" si="7"/>
        <v>1</v>
      </c>
      <c r="E16" s="83">
        <f t="shared" si="7"/>
        <v>1</v>
      </c>
      <c r="F16" s="83">
        <f t="shared" si="7"/>
        <v>1</v>
      </c>
      <c r="G16" s="83">
        <f t="shared" si="7"/>
        <v>1</v>
      </c>
      <c r="H16" s="83">
        <f t="shared" si="7"/>
        <v>1</v>
      </c>
      <c r="I16" s="83">
        <f t="shared" si="7"/>
        <v>1</v>
      </c>
      <c r="J16" s="83">
        <f t="shared" si="7"/>
        <v>1</v>
      </c>
      <c r="K16" s="83">
        <f t="shared" si="7"/>
        <v>1</v>
      </c>
      <c r="L16" s="83">
        <f t="shared" si="7"/>
        <v>1</v>
      </c>
      <c r="M16" s="83">
        <f t="shared" si="7"/>
        <v>1</v>
      </c>
      <c r="N16" s="83">
        <f t="shared" si="7"/>
        <v>1</v>
      </c>
      <c r="O16" s="83">
        <f t="shared" si="7"/>
        <v>1</v>
      </c>
      <c r="P16" s="83">
        <f t="shared" si="7"/>
        <v>1</v>
      </c>
      <c r="Q16" s="83">
        <f t="shared" si="7"/>
        <v>1</v>
      </c>
      <c r="R16" s="83">
        <f t="shared" si="7"/>
        <v>1</v>
      </c>
      <c r="S16" s="83">
        <f t="shared" si="7"/>
        <v>1</v>
      </c>
      <c r="T16" s="83">
        <f t="shared" si="7"/>
        <v>1</v>
      </c>
      <c r="U16" s="83">
        <f t="shared" si="7"/>
        <v>1</v>
      </c>
      <c r="V16" s="83">
        <f t="shared" si="7"/>
        <v>1</v>
      </c>
      <c r="W16" s="83">
        <f t="shared" si="7"/>
        <v>1</v>
      </c>
      <c r="X16" s="83">
        <f t="shared" si="7"/>
        <v>1</v>
      </c>
      <c r="Z16" s="95"/>
      <c r="AA16" s="95">
        <f t="shared" si="1"/>
        <v>1</v>
      </c>
      <c r="AB16" s="95">
        <f t="shared" si="2"/>
        <v>1</v>
      </c>
      <c r="AC16" s="95">
        <f t="shared" si="3"/>
        <v>1</v>
      </c>
      <c r="AD16" s="95">
        <f t="shared" si="4"/>
        <v>1</v>
      </c>
      <c r="AE16" s="95">
        <f t="shared" si="5"/>
        <v>1</v>
      </c>
      <c r="AF16" s="95"/>
      <c r="AG16" s="95"/>
    </row>
    <row r="17" spans="1:33" ht="29.25" customHeight="1">
      <c r="A17" s="81" t="s">
        <v>110</v>
      </c>
      <c r="B17" s="83">
        <f>(B24-B21)/B24</f>
        <v>1</v>
      </c>
      <c r="C17" s="83">
        <f t="shared" ref="C17:X17" si="8">(C24-C21)/C24</f>
        <v>1</v>
      </c>
      <c r="D17" s="83">
        <f t="shared" si="8"/>
        <v>1</v>
      </c>
      <c r="E17" s="83">
        <f t="shared" si="8"/>
        <v>1</v>
      </c>
      <c r="F17" s="83">
        <f t="shared" si="8"/>
        <v>1</v>
      </c>
      <c r="G17" s="83">
        <f t="shared" si="8"/>
        <v>1</v>
      </c>
      <c r="H17" s="83">
        <f t="shared" si="8"/>
        <v>1</v>
      </c>
      <c r="I17" s="83">
        <f t="shared" si="8"/>
        <v>1</v>
      </c>
      <c r="J17" s="83">
        <f t="shared" si="8"/>
        <v>1</v>
      </c>
      <c r="K17" s="83">
        <f t="shared" si="8"/>
        <v>1</v>
      </c>
      <c r="L17" s="83">
        <f t="shared" si="8"/>
        <v>1</v>
      </c>
      <c r="M17" s="83">
        <f t="shared" si="8"/>
        <v>1</v>
      </c>
      <c r="N17" s="83">
        <f t="shared" si="8"/>
        <v>1</v>
      </c>
      <c r="O17" s="83">
        <f t="shared" si="8"/>
        <v>1</v>
      </c>
      <c r="P17" s="83">
        <f t="shared" si="8"/>
        <v>1</v>
      </c>
      <c r="Q17" s="83">
        <f t="shared" si="8"/>
        <v>1</v>
      </c>
      <c r="R17" s="83">
        <f t="shared" si="8"/>
        <v>1</v>
      </c>
      <c r="S17" s="83">
        <f t="shared" si="8"/>
        <v>1</v>
      </c>
      <c r="T17" s="83">
        <f t="shared" si="8"/>
        <v>1</v>
      </c>
      <c r="U17" s="83">
        <f t="shared" si="8"/>
        <v>1</v>
      </c>
      <c r="V17" s="83">
        <f t="shared" si="8"/>
        <v>1</v>
      </c>
      <c r="W17" s="83">
        <f t="shared" si="8"/>
        <v>1</v>
      </c>
      <c r="X17" s="83">
        <f t="shared" si="8"/>
        <v>1</v>
      </c>
      <c r="Z17" s="95"/>
      <c r="AA17" s="95">
        <f t="shared" si="1"/>
        <v>1</v>
      </c>
      <c r="AB17" s="95">
        <f t="shared" si="2"/>
        <v>1</v>
      </c>
      <c r="AC17" s="95">
        <f t="shared" si="3"/>
        <v>1</v>
      </c>
      <c r="AD17" s="95">
        <f t="shared" si="4"/>
        <v>1</v>
      </c>
      <c r="AE17" s="95">
        <f t="shared" si="5"/>
        <v>1</v>
      </c>
      <c r="AF17" s="95"/>
      <c r="AG17" s="95"/>
    </row>
    <row r="18" spans="1:33" ht="29.25" customHeight="1">
      <c r="A18" s="81" t="s">
        <v>111</v>
      </c>
      <c r="B18" s="83">
        <f>B17*B16</f>
        <v>1</v>
      </c>
      <c r="C18" s="83">
        <f t="shared" ref="C18:X18" si="9">C17*C16</f>
        <v>1</v>
      </c>
      <c r="D18" s="83">
        <f t="shared" si="9"/>
        <v>1</v>
      </c>
      <c r="E18" s="83">
        <f t="shared" si="9"/>
        <v>1</v>
      </c>
      <c r="F18" s="83">
        <f t="shared" si="9"/>
        <v>1</v>
      </c>
      <c r="G18" s="83">
        <f t="shared" si="9"/>
        <v>1</v>
      </c>
      <c r="H18" s="83">
        <f t="shared" si="9"/>
        <v>1</v>
      </c>
      <c r="I18" s="83">
        <f t="shared" si="9"/>
        <v>1</v>
      </c>
      <c r="J18" s="83">
        <f t="shared" si="9"/>
        <v>1</v>
      </c>
      <c r="K18" s="83">
        <f t="shared" si="9"/>
        <v>1</v>
      </c>
      <c r="L18" s="83">
        <f t="shared" si="9"/>
        <v>1</v>
      </c>
      <c r="M18" s="83">
        <f t="shared" si="9"/>
        <v>1</v>
      </c>
      <c r="N18" s="83">
        <f t="shared" si="9"/>
        <v>1</v>
      </c>
      <c r="O18" s="83">
        <f t="shared" si="9"/>
        <v>1</v>
      </c>
      <c r="P18" s="83">
        <f t="shared" si="9"/>
        <v>1</v>
      </c>
      <c r="Q18" s="83">
        <f t="shared" si="9"/>
        <v>1</v>
      </c>
      <c r="R18" s="83">
        <f t="shared" si="9"/>
        <v>1</v>
      </c>
      <c r="S18" s="83">
        <f t="shared" si="9"/>
        <v>1</v>
      </c>
      <c r="T18" s="83">
        <f t="shared" si="9"/>
        <v>1</v>
      </c>
      <c r="U18" s="83">
        <f t="shared" si="9"/>
        <v>1</v>
      </c>
      <c r="V18" s="83">
        <f t="shared" si="9"/>
        <v>1</v>
      </c>
      <c r="W18" s="83">
        <f t="shared" si="9"/>
        <v>1</v>
      </c>
      <c r="X18" s="83">
        <f t="shared" si="9"/>
        <v>1</v>
      </c>
      <c r="Z18" s="95"/>
      <c r="AA18" s="95">
        <f t="shared" si="1"/>
        <v>1</v>
      </c>
      <c r="AB18" s="95">
        <f t="shared" si="2"/>
        <v>1</v>
      </c>
      <c r="AC18" s="95">
        <f t="shared" si="3"/>
        <v>1</v>
      </c>
      <c r="AD18" s="95">
        <f t="shared" si="4"/>
        <v>1</v>
      </c>
      <c r="AE18" s="95">
        <f t="shared" si="5"/>
        <v>1</v>
      </c>
      <c r="AF18" s="95"/>
      <c r="AG18" s="95"/>
    </row>
    <row r="19" spans="1:33" ht="29.25" hidden="1" customHeight="1">
      <c r="A19" s="84" t="s">
        <v>112</v>
      </c>
      <c r="B19" s="85">
        <f>SUM(B20:B23)</f>
        <v>1</v>
      </c>
      <c r="C19" s="85">
        <f t="shared" ref="C19:X19" si="10">$B$19</f>
        <v>1</v>
      </c>
      <c r="D19" s="85">
        <f t="shared" si="10"/>
        <v>1</v>
      </c>
      <c r="E19" s="85">
        <f t="shared" si="10"/>
        <v>1</v>
      </c>
      <c r="F19" s="85">
        <f t="shared" si="10"/>
        <v>1</v>
      </c>
      <c r="G19" s="85">
        <f t="shared" si="10"/>
        <v>1</v>
      </c>
      <c r="H19" s="85">
        <f t="shared" si="10"/>
        <v>1</v>
      </c>
      <c r="I19" s="85">
        <f t="shared" si="10"/>
        <v>1</v>
      </c>
      <c r="J19" s="85">
        <f t="shared" si="10"/>
        <v>1</v>
      </c>
      <c r="K19" s="85">
        <f t="shared" si="10"/>
        <v>1</v>
      </c>
      <c r="L19" s="85">
        <f t="shared" si="10"/>
        <v>1</v>
      </c>
      <c r="M19" s="85">
        <f t="shared" si="10"/>
        <v>1</v>
      </c>
      <c r="N19" s="85">
        <f t="shared" si="10"/>
        <v>1</v>
      </c>
      <c r="O19" s="85">
        <f t="shared" si="10"/>
        <v>1</v>
      </c>
      <c r="P19" s="85">
        <f t="shared" si="10"/>
        <v>1</v>
      </c>
      <c r="Q19" s="85">
        <f t="shared" si="10"/>
        <v>1</v>
      </c>
      <c r="R19" s="85">
        <f t="shared" si="10"/>
        <v>1</v>
      </c>
      <c r="S19" s="85">
        <f t="shared" si="10"/>
        <v>1</v>
      </c>
      <c r="T19" s="85">
        <f t="shared" si="10"/>
        <v>1</v>
      </c>
      <c r="U19" s="85">
        <f t="shared" si="10"/>
        <v>1</v>
      </c>
      <c r="V19" s="85">
        <f t="shared" si="10"/>
        <v>1</v>
      </c>
      <c r="W19" s="85">
        <f t="shared" si="10"/>
        <v>1</v>
      </c>
      <c r="X19" s="85">
        <f t="shared" si="10"/>
        <v>1</v>
      </c>
      <c r="Y19" s="96"/>
      <c r="Z19" s="95"/>
      <c r="AA19" s="95">
        <f t="shared" ref="AA19:AA30" si="11">AVERAGE(B19,D19,K19:P19,T19:U19)</f>
        <v>1</v>
      </c>
      <c r="AB19" s="95">
        <f t="shared" ref="AB19:AB31" si="12">AVERAGE(Q19:R19)</f>
        <v>1</v>
      </c>
      <c r="AC19" s="95">
        <f t="shared" ref="AC19:AC31" si="13">AVERAGE(S19)</f>
        <v>1</v>
      </c>
      <c r="AD19" s="95">
        <f t="shared" si="4"/>
        <v>1</v>
      </c>
      <c r="AE19" s="95">
        <f t="shared" si="5"/>
        <v>1</v>
      </c>
      <c r="AF19" s="95"/>
      <c r="AG19" s="95"/>
    </row>
    <row r="20" spans="1:33" ht="29.25" hidden="1" customHeight="1">
      <c r="A20" s="84" t="s">
        <v>113</v>
      </c>
      <c r="B20" s="85">
        <f>SUMIFS(Grid_BD!$R:$R,Grid_BD!$F:$F,"&gt;="&amp;Analytics!$B$3,Grid_BD!$F:$F,"&lt;="&amp;Analytics!$B$4,Grid_BD!$L:$L,Analytics!$A20)</f>
        <v>0</v>
      </c>
      <c r="C20" s="85">
        <f>SUMIFS(Grid_BD!$R:$R,Grid_BD!$F:$F,"&gt;="&amp;Analytics!$B$3,Grid_BD!$F:$F,"&lt;="&amp;Analytics!$B$4,Grid_BD!$L:$L,Analytics!$A20)</f>
        <v>0</v>
      </c>
      <c r="D20" s="85">
        <f>SUMIFS(Grid_BD!$R:$R,Grid_BD!$F:$F,"&gt;="&amp;Analytics!$B$3,Grid_BD!$F:$F,"&lt;="&amp;Analytics!$B$4,Grid_BD!$L:$L,Analytics!$A20)</f>
        <v>0</v>
      </c>
      <c r="E20" s="85">
        <f>SUMIFS(Grid_BD!$R:$R,Grid_BD!$F:$F,"&gt;="&amp;Analytics!$B$3,Grid_BD!$F:$F,"&lt;="&amp;Analytics!$B$4,Grid_BD!$L:$L,Analytics!$A20)</f>
        <v>0</v>
      </c>
      <c r="F20" s="85">
        <f>SUMIFS(Grid_BD!$R:$R,Grid_BD!$F:$F,"&gt;="&amp;Analytics!$B$3,Grid_BD!$F:$F,"&lt;="&amp;Analytics!$B$4,Grid_BD!$L:$L,Analytics!$A20)</f>
        <v>0</v>
      </c>
      <c r="G20" s="85">
        <f>SUMIFS(Grid_BD!$R:$R,Grid_BD!$F:$F,"&gt;="&amp;Analytics!$B$3,Grid_BD!$F:$F,"&lt;="&amp;Analytics!$B$4,Grid_BD!$L:$L,Analytics!$A20)</f>
        <v>0</v>
      </c>
      <c r="H20" s="85">
        <f>SUMIFS(Grid_BD!$R:$R,Grid_BD!$F:$F,"&gt;="&amp;Analytics!$B$3,Grid_BD!$F:$F,"&lt;="&amp;Analytics!$B$4,Grid_BD!$L:$L,Analytics!$A20)</f>
        <v>0</v>
      </c>
      <c r="I20" s="85">
        <f>SUMIFS(Grid_BD!$R:$R,Grid_BD!$F:$F,"&gt;="&amp;Analytics!$B$3,Grid_BD!$F:$F,"&lt;="&amp;Analytics!$B$4,Grid_BD!$L:$L,Analytics!$A20)</f>
        <v>0</v>
      </c>
      <c r="J20" s="85">
        <f>SUMIFS(Grid_BD!$R:$R,Grid_BD!$F:$F,"&gt;="&amp;Analytics!$B$3,Grid_BD!$F:$F,"&lt;="&amp;Analytics!$B$4,Grid_BD!$L:$L,Analytics!$A20)</f>
        <v>0</v>
      </c>
      <c r="K20" s="85">
        <f>SUMIFS(Grid_BD!$R:$R,Grid_BD!$F:$F,"&gt;="&amp;Analytics!$B$3,Grid_BD!$F:$F,"&lt;="&amp;Analytics!$B$4,Grid_BD!$L:$L,Analytics!$A20)</f>
        <v>0</v>
      </c>
      <c r="L20" s="85">
        <f>SUMIFS(Grid_BD!$R:$R,Grid_BD!$F:$F,"&gt;="&amp;Analytics!$B$3,Grid_BD!$F:$F,"&lt;="&amp;Analytics!$B$4,Grid_BD!$L:$L,Analytics!$A20)</f>
        <v>0</v>
      </c>
      <c r="M20" s="85">
        <f>SUMIFS(Grid_BD!$R:$R,Grid_BD!$F:$F,"&gt;="&amp;Analytics!$B$3,Grid_BD!$F:$F,"&lt;="&amp;Analytics!$B$4,Grid_BD!$L:$L,Analytics!$A20)</f>
        <v>0</v>
      </c>
      <c r="N20" s="85">
        <f>SUMIFS(Grid_BD!$R:$R,Grid_BD!$F:$F,"&gt;="&amp;Analytics!$B$3,Grid_BD!$F:$F,"&lt;="&amp;Analytics!$B$4,Grid_BD!$L:$L,Analytics!$A20)</f>
        <v>0</v>
      </c>
      <c r="O20" s="85">
        <f>SUMIFS(Grid_BD!$R:$R,Grid_BD!$F:$F,"&gt;="&amp;Analytics!$B$3,Grid_BD!$F:$F,"&lt;="&amp;Analytics!$B$4,Grid_BD!$L:$L,Analytics!$A20)</f>
        <v>0</v>
      </c>
      <c r="P20" s="85">
        <f>SUMIFS(Grid_BD!$R:$R,Grid_BD!$F:$F,"&gt;="&amp;Analytics!$B$3,Grid_BD!$F:$F,"&lt;="&amp;Analytics!$B$4,Grid_BD!$L:$L,Analytics!$A20)</f>
        <v>0</v>
      </c>
      <c r="Q20" s="85">
        <f>SUMIFS(Grid_BD!$R:$R,Grid_BD!$F:$F,"&gt;="&amp;Analytics!$B$3,Grid_BD!$F:$F,"&lt;="&amp;Analytics!$B$4,Grid_BD!$L:$L,Analytics!$A20)</f>
        <v>0</v>
      </c>
      <c r="R20" s="85">
        <f>SUMIFS(Grid_BD!$R:$R,Grid_BD!$F:$F,"&gt;="&amp;Analytics!$B$3,Grid_BD!$F:$F,"&lt;="&amp;Analytics!$B$4,Grid_BD!$L:$L,Analytics!$A20)</f>
        <v>0</v>
      </c>
      <c r="S20" s="85">
        <f>SUMIFS(Grid_BD!$R:$R,Grid_BD!$F:$F,"&gt;="&amp;Analytics!$B$3,Grid_BD!$F:$F,"&lt;="&amp;Analytics!$B$4,Grid_BD!$L:$L,Analytics!$A20)</f>
        <v>0</v>
      </c>
      <c r="T20" s="85">
        <f>SUMIFS(Grid_BD!$R:$R,Grid_BD!$F:$F,"&gt;="&amp;Analytics!$B$3,Grid_BD!$F:$F,"&lt;="&amp;Analytics!$B$4,Grid_BD!$L:$L,Analytics!$A20)</f>
        <v>0</v>
      </c>
      <c r="U20" s="85">
        <f>SUMIFS(Grid_BD!$R:$R,Grid_BD!$F:$F,"&gt;="&amp;Analytics!$B$3,Grid_BD!$F:$F,"&lt;="&amp;Analytics!$B$4,Grid_BD!$L:$L,Analytics!$A20)</f>
        <v>0</v>
      </c>
      <c r="V20" s="85">
        <f>SUMIFS(Grid_BD!$R:$R,Grid_BD!$F:$F,"&gt;="&amp;Analytics!$B$3,Grid_BD!$F:$F,"&lt;="&amp;Analytics!$B$4,Grid_BD!$L:$L,Analytics!$A20)</f>
        <v>0</v>
      </c>
      <c r="W20" s="85">
        <f>SUMIFS(Grid_BD!$R:$R,Grid_BD!$F:$F,"&gt;="&amp;Analytics!$B$3,Grid_BD!$F:$F,"&lt;="&amp;Analytics!$B$4,Grid_BD!$L:$L,Analytics!$A20)</f>
        <v>0</v>
      </c>
      <c r="X20" s="85">
        <f>SUMIFS(Grid_BD!$R:$R,Grid_BD!$F:$F,"&gt;="&amp;Analytics!$B$3,Grid_BD!$F:$F,"&lt;="&amp;Analytics!$B$4,Grid_BD!$L:$L,Analytics!$A20)</f>
        <v>0</v>
      </c>
      <c r="Y20" s="96"/>
      <c r="Z20" s="95"/>
      <c r="AA20" s="95">
        <f t="shared" si="11"/>
        <v>0</v>
      </c>
      <c r="AB20" s="95">
        <f t="shared" si="12"/>
        <v>0</v>
      </c>
      <c r="AC20" s="95">
        <f t="shared" si="13"/>
        <v>0</v>
      </c>
      <c r="AD20" s="95">
        <f t="shared" si="4"/>
        <v>0</v>
      </c>
      <c r="AE20" s="95">
        <f t="shared" si="5"/>
        <v>0</v>
      </c>
      <c r="AF20" s="95"/>
      <c r="AG20" s="95"/>
    </row>
    <row r="21" spans="1:33" ht="29.25" hidden="1" customHeight="1">
      <c r="A21" s="84" t="s">
        <v>114</v>
      </c>
      <c r="B21" s="85">
        <f>SUMIFS(Grid_BD!$Y:$Y,Grid_BD!$F:$F,"&gt;="&amp;Analytics!$B$3,Grid_BD!$F:$F,"&lt;="&amp;Analytics!$B$4,Grid_BD!$L:$L,Analytics!$A21)</f>
        <v>0</v>
      </c>
      <c r="C21" s="85">
        <f>SUMIFS(Grid_BD!$Y:$Y,Grid_BD!$F:$F,"&gt;="&amp;Analytics!$B$3,Grid_BD!$F:$F,"&lt;="&amp;Analytics!$B$4,Grid_BD!$L:$L,Analytics!$A21)</f>
        <v>0</v>
      </c>
      <c r="D21" s="85">
        <f>SUMIFS(Grid_BD!$Y:$Y,Grid_BD!$F:$F,"&gt;="&amp;Analytics!$B$3,Grid_BD!$F:$F,"&lt;="&amp;Analytics!$B$4,Grid_BD!$L:$L,Analytics!$A21)</f>
        <v>0</v>
      </c>
      <c r="E21" s="85">
        <f>SUMIFS(Grid_BD!$Y:$Y,Grid_BD!$F:$F,"&gt;="&amp;Analytics!$B$3,Grid_BD!$F:$F,"&lt;="&amp;Analytics!$B$4,Grid_BD!$L:$L,Analytics!$A21)</f>
        <v>0</v>
      </c>
      <c r="F21" s="85">
        <f>SUMIFS(Grid_BD!$Y:$Y,Grid_BD!$F:$F,"&gt;="&amp;Analytics!$B$3,Grid_BD!$F:$F,"&lt;="&amp;Analytics!$B$4,Grid_BD!$L:$L,Analytics!$A21)</f>
        <v>0</v>
      </c>
      <c r="G21" s="85">
        <f>SUMIFS(Grid_BD!$Y:$Y,Grid_BD!$F:$F,"&gt;="&amp;Analytics!$B$3,Grid_BD!$F:$F,"&lt;="&amp;Analytics!$B$4,Grid_BD!$L:$L,Analytics!$A21)</f>
        <v>0</v>
      </c>
      <c r="H21" s="85">
        <f>SUMIFS(Grid_BD!$Y:$Y,Grid_BD!$F:$F,"&gt;="&amp;Analytics!$B$3,Grid_BD!$F:$F,"&lt;="&amp;Analytics!$B$4,Grid_BD!$L:$L,Analytics!$A21)</f>
        <v>0</v>
      </c>
      <c r="I21" s="85">
        <f>SUMIFS(Grid_BD!$Y:$Y,Grid_BD!$F:$F,"&gt;="&amp;Analytics!$B$3,Grid_BD!$F:$F,"&lt;="&amp;Analytics!$B$4,Grid_BD!$L:$L,Analytics!$A21)</f>
        <v>0</v>
      </c>
      <c r="J21" s="85">
        <f>SUMIFS(Grid_BD!$Y:$Y,Grid_BD!$F:$F,"&gt;="&amp;Analytics!$B$3,Grid_BD!$F:$F,"&lt;="&amp;Analytics!$B$4,Grid_BD!$L:$L,Analytics!$A21)</f>
        <v>0</v>
      </c>
      <c r="K21" s="85">
        <f>SUMIFS(Grid_BD!$Y:$Y,Grid_BD!$F:$F,"&gt;="&amp;Analytics!$B$3,Grid_BD!$F:$F,"&lt;="&amp;Analytics!$B$4,Grid_BD!$L:$L,Analytics!$A21)</f>
        <v>0</v>
      </c>
      <c r="L21" s="85">
        <f>SUMIFS(Grid_BD!$Y:$Y,Grid_BD!$F:$F,"&gt;="&amp;Analytics!$B$3,Grid_BD!$F:$F,"&lt;="&amp;Analytics!$B$4,Grid_BD!$L:$L,Analytics!$A21)</f>
        <v>0</v>
      </c>
      <c r="M21" s="85">
        <f>SUMIFS(Grid_BD!$Y:$Y,Grid_BD!$F:$F,"&gt;="&amp;Analytics!$B$3,Grid_BD!$F:$F,"&lt;="&amp;Analytics!$B$4,Grid_BD!$L:$L,Analytics!$A21)</f>
        <v>0</v>
      </c>
      <c r="N21" s="85">
        <f>SUMIFS(Grid_BD!$Y:$Y,Grid_BD!$F:$F,"&gt;="&amp;Analytics!$B$3,Grid_BD!$F:$F,"&lt;="&amp;Analytics!$B$4,Grid_BD!$L:$L,Analytics!$A21)</f>
        <v>0</v>
      </c>
      <c r="O21" s="85">
        <f>SUMIFS(Grid_BD!$Y:$Y,Grid_BD!$F:$F,"&gt;="&amp;Analytics!$B$3,Grid_BD!$F:$F,"&lt;="&amp;Analytics!$B$4,Grid_BD!$L:$L,Analytics!$A21)</f>
        <v>0</v>
      </c>
      <c r="P21" s="85">
        <f>SUMIFS(Grid_BD!$Y:$Y,Grid_BD!$F:$F,"&gt;="&amp;Analytics!$B$3,Grid_BD!$F:$F,"&lt;="&amp;Analytics!$B$4,Grid_BD!$L:$L,Analytics!$A21)</f>
        <v>0</v>
      </c>
      <c r="Q21" s="85">
        <f>SUMIFS(Grid_BD!$Y:$Y,Grid_BD!$F:$F,"&gt;="&amp;Analytics!$B$3,Grid_BD!$F:$F,"&lt;="&amp;Analytics!$B$4,Grid_BD!$L:$L,Analytics!$A21)</f>
        <v>0</v>
      </c>
      <c r="R21" s="85">
        <f>SUMIFS(Grid_BD!$Y:$Y,Grid_BD!$F:$F,"&gt;="&amp;Analytics!$B$3,Grid_BD!$F:$F,"&lt;="&amp;Analytics!$B$4,Grid_BD!$L:$L,Analytics!$A21)</f>
        <v>0</v>
      </c>
      <c r="S21" s="85">
        <f>SUMIFS(Grid_BD!$Y:$Y,Grid_BD!$F:$F,"&gt;="&amp;Analytics!$B$3,Grid_BD!$F:$F,"&lt;="&amp;Analytics!$B$4,Grid_BD!$L:$L,Analytics!$A21)</f>
        <v>0</v>
      </c>
      <c r="T21" s="85">
        <f>SUMIFS(Grid_BD!$Y:$Y,Grid_BD!$F:$F,"&gt;="&amp;Analytics!$B$3,Grid_BD!$F:$F,"&lt;="&amp;Analytics!$B$4,Grid_BD!$L:$L,Analytics!$A21)</f>
        <v>0</v>
      </c>
      <c r="U21" s="85">
        <f>SUMIFS(Grid_BD!$Y:$Y,Grid_BD!$F:$F,"&gt;="&amp;Analytics!$B$3,Grid_BD!$F:$F,"&lt;="&amp;Analytics!$B$4,Grid_BD!$L:$L,Analytics!$A21)</f>
        <v>0</v>
      </c>
      <c r="V21" s="85">
        <f>SUMIFS(Grid_BD!$Y:$Y,Grid_BD!$F:$F,"&gt;="&amp;Analytics!$B$3,Grid_BD!$F:$F,"&lt;="&amp;Analytics!$B$4,Grid_BD!$L:$L,Analytics!$A21)</f>
        <v>0</v>
      </c>
      <c r="W21" s="85">
        <f>SUMIFS(Grid_BD!$Y:$Y,Grid_BD!$F:$F,"&gt;="&amp;Analytics!$B$3,Grid_BD!$F:$F,"&lt;="&amp;Analytics!$B$4,Grid_BD!$L:$L,Analytics!$A21)</f>
        <v>0</v>
      </c>
      <c r="X21" s="85">
        <f>SUMIFS(Grid_BD!$Y:$Y,Grid_BD!$F:$F,"&gt;="&amp;Analytics!$B$3,Grid_BD!$F:$F,"&lt;="&amp;Analytics!$B$4,Grid_BD!$L:$L,Analytics!$A21)</f>
        <v>0</v>
      </c>
      <c r="Y21" s="96"/>
      <c r="Z21" s="95"/>
      <c r="AA21" s="95">
        <f t="shared" si="11"/>
        <v>0</v>
      </c>
      <c r="AB21" s="95">
        <f t="shared" si="12"/>
        <v>0</v>
      </c>
      <c r="AC21" s="95">
        <f t="shared" si="13"/>
        <v>0</v>
      </c>
      <c r="AD21" s="95">
        <f t="shared" si="4"/>
        <v>0</v>
      </c>
      <c r="AE21" s="95">
        <f t="shared" si="5"/>
        <v>0</v>
      </c>
      <c r="AF21" s="95"/>
      <c r="AG21" s="95"/>
    </row>
    <row r="22" spans="1:33" ht="29.25" hidden="1" customHeight="1">
      <c r="A22" s="84" t="s">
        <v>115</v>
      </c>
      <c r="B22" s="86">
        <f>IFERROR(AVERAGEIFS(Grid_BD!$AA:$AA,Grid_BD!$F:$F,"&gt;="&amp;Analytics!$B$3,Grid_BD!$F:$F,"&lt;="&amp;Analytics!$B$4,Grid_BD!$L:$L,'Basic Data'!$AB$2),1)</f>
        <v>1</v>
      </c>
      <c r="C22" s="86">
        <f>IFERROR(AVERAGEIFS(Grid_BD!$AA:$AA,Grid_BD!$F:$F,"&gt;="&amp;Analytics!$B$3,Grid_BD!$F:$F,"&lt;="&amp;Analytics!$B$4,Grid_BD!$L:$L,'Basic Data'!$AB$2),1)</f>
        <v>1</v>
      </c>
      <c r="D22" s="86">
        <f>IFERROR(AVERAGEIFS(Grid_BD!$AA:$AA,Grid_BD!$F:$F,"&gt;="&amp;Analytics!$B$3,Grid_BD!$F:$F,"&lt;="&amp;Analytics!$B$4,Grid_BD!$L:$L,'Basic Data'!$AB$2),1)</f>
        <v>1</v>
      </c>
      <c r="E22" s="86">
        <f>IFERROR(AVERAGEIFS(Grid_BD!$AA:$AA,Grid_BD!$F:$F,"&gt;="&amp;Analytics!$B$3,Grid_BD!$F:$F,"&lt;="&amp;Analytics!$B$4,Grid_BD!$L:$L,'Basic Data'!$AB$2),1)</f>
        <v>1</v>
      </c>
      <c r="F22" s="86">
        <f>IFERROR(AVERAGEIFS(Grid_BD!$AA:$AA,Grid_BD!$F:$F,"&gt;="&amp;Analytics!$B$3,Grid_BD!$F:$F,"&lt;="&amp;Analytics!$B$4,Grid_BD!$L:$L,'Basic Data'!$AB$2),1)</f>
        <v>1</v>
      </c>
      <c r="G22" s="86">
        <f>IFERROR(AVERAGEIFS(Grid_BD!$AA:$AA,Grid_BD!$F:$F,"&gt;="&amp;Analytics!$B$3,Grid_BD!$F:$F,"&lt;="&amp;Analytics!$B$4,Grid_BD!$L:$L,'Basic Data'!$AB$2),1)</f>
        <v>1</v>
      </c>
      <c r="H22" s="86">
        <f>IFERROR(AVERAGEIFS(Grid_BD!$AA:$AA,Grid_BD!$F:$F,"&gt;="&amp;Analytics!$B$3,Grid_BD!$F:$F,"&lt;="&amp;Analytics!$B$4,Grid_BD!$L:$L,'Basic Data'!$AB$2),1)</f>
        <v>1</v>
      </c>
      <c r="I22" s="86">
        <f>IFERROR(AVERAGEIFS(Grid_BD!$AA:$AA,Grid_BD!$F:$F,"&gt;="&amp;Analytics!$B$3,Grid_BD!$F:$F,"&lt;="&amp;Analytics!$B$4,Grid_BD!$L:$L,'Basic Data'!$AB$2),1)</f>
        <v>1</v>
      </c>
      <c r="J22" s="86">
        <f>IFERROR(AVERAGEIFS(Grid_BD!$AA:$AA,Grid_BD!$F:$F,"&gt;="&amp;Analytics!$B$3,Grid_BD!$F:$F,"&lt;="&amp;Analytics!$B$4,Grid_BD!$L:$L,'Basic Data'!$AB$2),1)</f>
        <v>1</v>
      </c>
      <c r="K22" s="86">
        <f>IFERROR(AVERAGEIFS(Grid_BD!$AA:$AA,Grid_BD!$F:$F,"&gt;="&amp;Analytics!$B$3,Grid_BD!$F:$F,"&lt;="&amp;Analytics!$B$4,Grid_BD!$L:$L,'Basic Data'!$AB$2),1)</f>
        <v>1</v>
      </c>
      <c r="L22" s="86">
        <f>IFERROR(AVERAGEIFS(Grid_BD!$AA:$AA,Grid_BD!$F:$F,"&gt;="&amp;Analytics!$B$3,Grid_BD!$F:$F,"&lt;="&amp;Analytics!$B$4,Grid_BD!$L:$L,'Basic Data'!$AB$2),1)</f>
        <v>1</v>
      </c>
      <c r="M22" s="86">
        <f>IFERROR(AVERAGEIFS(Grid_BD!$AA:$AA,Grid_BD!$F:$F,"&gt;="&amp;Analytics!$B$3,Grid_BD!$F:$F,"&lt;="&amp;Analytics!$B$4,Grid_BD!$L:$L,'Basic Data'!$AB$2),1)</f>
        <v>1</v>
      </c>
      <c r="N22" s="86">
        <f>IFERROR(AVERAGEIFS(Grid_BD!$AA:$AA,Grid_BD!$F:$F,"&gt;="&amp;Analytics!$B$3,Grid_BD!$F:$F,"&lt;="&amp;Analytics!$B$4,Grid_BD!$L:$L,'Basic Data'!$AB$2),1)</f>
        <v>1</v>
      </c>
      <c r="O22" s="86">
        <f>IFERROR(AVERAGEIFS(Grid_BD!$AA:$AA,Grid_BD!$F:$F,"&gt;="&amp;Analytics!$B$3,Grid_BD!$F:$F,"&lt;="&amp;Analytics!$B$4,Grid_BD!$L:$L,'Basic Data'!$AB$2),1)</f>
        <v>1</v>
      </c>
      <c r="P22" s="86">
        <f>IFERROR(AVERAGEIFS(Grid_BD!$AA:$AA,Grid_BD!$F:$F,"&gt;="&amp;Analytics!$B$3,Grid_BD!$F:$F,"&lt;="&amp;Analytics!$B$4,Grid_BD!$L:$L,'Basic Data'!$AB$2),1)</f>
        <v>1</v>
      </c>
      <c r="Q22" s="86">
        <f>IFERROR(AVERAGEIFS(Grid_BD!$AA:$AA,Grid_BD!$F:$F,"&gt;="&amp;Analytics!$B$3,Grid_BD!$F:$F,"&lt;="&amp;Analytics!$B$4,Grid_BD!$L:$L,'Basic Data'!$AB$2),1)</f>
        <v>1</v>
      </c>
      <c r="R22" s="86">
        <f>IFERROR(AVERAGEIFS(Grid_BD!$AA:$AA,Grid_BD!$F:$F,"&gt;="&amp;Analytics!$B$3,Grid_BD!$F:$F,"&lt;="&amp;Analytics!$B$4,Grid_BD!$L:$L,'Basic Data'!$AB$2),1)</f>
        <v>1</v>
      </c>
      <c r="S22" s="86">
        <f>IFERROR(AVERAGEIFS(Grid_BD!$AA:$AA,Grid_BD!$F:$F,"&gt;="&amp;Analytics!$B$3,Grid_BD!$F:$F,"&lt;="&amp;Analytics!$B$4,Grid_BD!$L:$L,'Basic Data'!$AB$2),1)</f>
        <v>1</v>
      </c>
      <c r="T22" s="86">
        <f>IFERROR(AVERAGEIFS(Grid_BD!$AA:$AA,Grid_BD!$F:$F,"&gt;="&amp;Analytics!$B$3,Grid_BD!$F:$F,"&lt;="&amp;Analytics!$B$4,Grid_BD!$L:$L,'Basic Data'!$AB$2),1)</f>
        <v>1</v>
      </c>
      <c r="U22" s="86">
        <f>IFERROR(AVERAGEIFS(Grid_BD!$AA:$AA,Grid_BD!$F:$F,"&gt;="&amp;Analytics!$B$3,Grid_BD!$F:$F,"&lt;="&amp;Analytics!$B$4,Grid_BD!$L:$L,'Basic Data'!$AB$2),1)</f>
        <v>1</v>
      </c>
      <c r="V22" s="86">
        <f>IFERROR(AVERAGEIFS(Grid_BD!$AA:$AA,Grid_BD!$F:$F,"&gt;="&amp;Analytics!$B$3,Grid_BD!$F:$F,"&lt;="&amp;Analytics!$B$4,Grid_BD!$L:$L,'Basic Data'!$AB$2),1)</f>
        <v>1</v>
      </c>
      <c r="W22" s="86">
        <f>IFERROR(AVERAGEIFS(Grid_BD!$AA:$AA,Grid_BD!$F:$F,"&gt;="&amp;Analytics!$B$3,Grid_BD!$F:$F,"&lt;="&amp;Analytics!$B$4,Grid_BD!$L:$L,'Basic Data'!$AB$2),1)</f>
        <v>1</v>
      </c>
      <c r="X22" s="86">
        <f>IFERROR(AVERAGEIFS(Grid_BD!$AA:$AA,Grid_BD!$F:$F,"&gt;="&amp;Analytics!$B$3,Grid_BD!$F:$F,"&lt;="&amp;Analytics!$B$4,Grid_BD!$L:$L,'Basic Data'!$AB$2),1)</f>
        <v>1</v>
      </c>
      <c r="Y22" s="96"/>
      <c r="Z22" s="95"/>
      <c r="AA22" s="95">
        <f t="shared" si="11"/>
        <v>1</v>
      </c>
      <c r="AB22" s="95">
        <f t="shared" si="12"/>
        <v>1</v>
      </c>
      <c r="AC22" s="95">
        <f t="shared" si="13"/>
        <v>1</v>
      </c>
      <c r="AD22" s="95">
        <f t="shared" si="4"/>
        <v>1</v>
      </c>
      <c r="AE22" s="95">
        <f t="shared" si="5"/>
        <v>1</v>
      </c>
      <c r="AF22" s="95"/>
      <c r="AG22" s="95"/>
    </row>
    <row r="23" spans="1:33" ht="29.25" hidden="1" customHeight="1">
      <c r="A23" s="84" t="s">
        <v>116</v>
      </c>
      <c r="B23" s="85">
        <f>SUMIFS(Grid_BD!$R:$R,Grid_BD!$F:$F,"&gt;="&amp;Analytics!$B$3,Grid_BD!$F:$F,"&lt;="&amp;Analytics!$B$4,Grid_BD!$L:$L,Analytics!$A23)</f>
        <v>0</v>
      </c>
      <c r="C23" s="85">
        <f>SUMIFS(Grid_BD!$R:$R,Grid_BD!$F:$F,"&gt;="&amp;Analytics!$B$3,Grid_BD!$F:$F,"&lt;="&amp;Analytics!$B$4,Grid_BD!$L:$L,Analytics!$A23)</f>
        <v>0</v>
      </c>
      <c r="D23" s="85">
        <f>SUMIFS(Grid_BD!$R:$R,Grid_BD!$F:$F,"&gt;="&amp;Analytics!$B$3,Grid_BD!$F:$F,"&lt;="&amp;Analytics!$B$4,Grid_BD!$L:$L,Analytics!$A23)</f>
        <v>0</v>
      </c>
      <c r="E23" s="85">
        <f>SUMIFS(Grid_BD!$R:$R,Grid_BD!$F:$F,"&gt;="&amp;Analytics!$B$3,Grid_BD!$F:$F,"&lt;="&amp;Analytics!$B$4,Grid_BD!$L:$L,Analytics!$A23)</f>
        <v>0</v>
      </c>
      <c r="F23" s="85">
        <f>SUMIFS(Grid_BD!$R:$R,Grid_BD!$F:$F,"&gt;="&amp;Analytics!$B$3,Grid_BD!$F:$F,"&lt;="&amp;Analytics!$B$4,Grid_BD!$L:$L,Analytics!$A23)</f>
        <v>0</v>
      </c>
      <c r="G23" s="85">
        <f>SUMIFS(Grid_BD!$R:$R,Grid_BD!$F:$F,"&gt;="&amp;Analytics!$B$3,Grid_BD!$F:$F,"&lt;="&amp;Analytics!$B$4,Grid_BD!$L:$L,Analytics!$A23)</f>
        <v>0</v>
      </c>
      <c r="H23" s="85">
        <f>SUMIFS(Grid_BD!$R:$R,Grid_BD!$F:$F,"&gt;="&amp;Analytics!$B$3,Grid_BD!$F:$F,"&lt;="&amp;Analytics!$B$4,Grid_BD!$L:$L,Analytics!$A23)</f>
        <v>0</v>
      </c>
      <c r="I23" s="85">
        <f>SUMIFS(Grid_BD!$R:$R,Grid_BD!$F:$F,"&gt;="&amp;Analytics!$B$3,Grid_BD!$F:$F,"&lt;="&amp;Analytics!$B$4,Grid_BD!$L:$L,Analytics!$A23)</f>
        <v>0</v>
      </c>
      <c r="J23" s="85">
        <f>SUMIFS(Grid_BD!$R:$R,Grid_BD!$F:$F,"&gt;="&amp;Analytics!$B$3,Grid_BD!$F:$F,"&lt;="&amp;Analytics!$B$4,Grid_BD!$L:$L,Analytics!$A23)</f>
        <v>0</v>
      </c>
      <c r="K23" s="85">
        <f>SUMIFS(Grid_BD!$R:$R,Grid_BD!$F:$F,"&gt;="&amp;Analytics!$B$3,Grid_BD!$F:$F,"&lt;="&amp;Analytics!$B$4,Grid_BD!$L:$L,Analytics!$A23)</f>
        <v>0</v>
      </c>
      <c r="L23" s="85">
        <f>SUMIFS(Grid_BD!$R:$R,Grid_BD!$F:$F,"&gt;="&amp;Analytics!$B$3,Grid_BD!$F:$F,"&lt;="&amp;Analytics!$B$4,Grid_BD!$L:$L,Analytics!$A23)</f>
        <v>0</v>
      </c>
      <c r="M23" s="85">
        <f>SUMIFS(Grid_BD!$R:$R,Grid_BD!$F:$F,"&gt;="&amp;Analytics!$B$3,Grid_BD!$F:$F,"&lt;="&amp;Analytics!$B$4,Grid_BD!$L:$L,Analytics!$A23)</f>
        <v>0</v>
      </c>
      <c r="N23" s="85">
        <f>SUMIFS(Grid_BD!$R:$R,Grid_BD!$F:$F,"&gt;="&amp;Analytics!$B$3,Grid_BD!$F:$F,"&lt;="&amp;Analytics!$B$4,Grid_BD!$L:$L,Analytics!$A23)</f>
        <v>0</v>
      </c>
      <c r="O23" s="85">
        <f>SUMIFS(Grid_BD!$R:$R,Grid_BD!$F:$F,"&gt;="&amp;Analytics!$B$3,Grid_BD!$F:$F,"&lt;="&amp;Analytics!$B$4,Grid_BD!$L:$L,Analytics!$A23)</f>
        <v>0</v>
      </c>
      <c r="P23" s="85">
        <f>SUMIFS(Grid_BD!$R:$R,Grid_BD!$F:$F,"&gt;="&amp;Analytics!$B$3,Grid_BD!$F:$F,"&lt;="&amp;Analytics!$B$4,Grid_BD!$L:$L,Analytics!$A23)</f>
        <v>0</v>
      </c>
      <c r="Q23" s="85">
        <f>SUMIFS(Grid_BD!$R:$R,Grid_BD!$F:$F,"&gt;="&amp;Analytics!$B$3,Grid_BD!$F:$F,"&lt;="&amp;Analytics!$B$4,Grid_BD!$L:$L,Analytics!$A23)</f>
        <v>0</v>
      </c>
      <c r="R23" s="85">
        <f>SUMIFS(Grid_BD!$R:$R,Grid_BD!$F:$F,"&gt;="&amp;Analytics!$B$3,Grid_BD!$F:$F,"&lt;="&amp;Analytics!$B$4,Grid_BD!$L:$L,Analytics!$A23)</f>
        <v>0</v>
      </c>
      <c r="S23" s="85">
        <f>SUMIFS(Grid_BD!$R:$R,Grid_BD!$F:$F,"&gt;="&amp;Analytics!$B$3,Grid_BD!$F:$F,"&lt;="&amp;Analytics!$B$4,Grid_BD!$L:$L,Analytics!$A23)</f>
        <v>0</v>
      </c>
      <c r="T23" s="85">
        <f>SUMIFS(Grid_BD!$R:$R,Grid_BD!$F:$F,"&gt;="&amp;Analytics!$B$3,Grid_BD!$F:$F,"&lt;="&amp;Analytics!$B$4,Grid_BD!$L:$L,Analytics!$A23)</f>
        <v>0</v>
      </c>
      <c r="U23" s="85">
        <f>SUMIFS(Grid_BD!$R:$R,Grid_BD!$F:$F,"&gt;="&amp;Analytics!$B$3,Grid_BD!$F:$F,"&lt;="&amp;Analytics!$B$4,Grid_BD!$L:$L,Analytics!$A23)</f>
        <v>0</v>
      </c>
      <c r="V23" s="85">
        <f>SUMIFS(Grid_BD!$R:$R,Grid_BD!$F:$F,"&gt;="&amp;Analytics!$B$3,Grid_BD!$F:$F,"&lt;="&amp;Analytics!$B$4,Grid_BD!$L:$L,Analytics!$A23)</f>
        <v>0</v>
      </c>
      <c r="W23" s="85">
        <f>SUMIFS(Grid_BD!$R:$R,Grid_BD!$F:$F,"&gt;="&amp;Analytics!$B$3,Grid_BD!$F:$F,"&lt;="&amp;Analytics!$B$4,Grid_BD!$L:$L,Analytics!$A23)</f>
        <v>0</v>
      </c>
      <c r="X23" s="85">
        <f>SUMIFS(Grid_BD!$R:$R,Grid_BD!$F:$F,"&gt;="&amp;Analytics!$B$3,Grid_BD!$F:$F,"&lt;="&amp;Analytics!$B$4,Grid_BD!$L:$L,Analytics!$A23)</f>
        <v>0</v>
      </c>
      <c r="Y23" s="96"/>
      <c r="Z23" s="95"/>
      <c r="AA23" s="95">
        <f t="shared" si="11"/>
        <v>0</v>
      </c>
      <c r="AB23" s="95">
        <f t="shared" si="12"/>
        <v>0</v>
      </c>
      <c r="AC23" s="95">
        <f t="shared" si="13"/>
        <v>0</v>
      </c>
      <c r="AD23" s="95">
        <f t="shared" si="4"/>
        <v>0</v>
      </c>
      <c r="AE23" s="95">
        <f t="shared" si="5"/>
        <v>0</v>
      </c>
      <c r="AF23" s="95"/>
      <c r="AG23" s="95"/>
    </row>
    <row r="24" spans="1:33" ht="29.25" customHeight="1">
      <c r="A24" s="81" t="s">
        <v>13</v>
      </c>
      <c r="B24" s="87">
        <f>SUMIFS(Input_Raw!H:H,Input_Raw!$E:$E,"&gt;="&amp;Analytics!$B$3,Input_Raw!$E:$E,"&lt;="&amp;Analytics!$B$4)/1000</f>
        <v>25.785</v>
      </c>
      <c r="C24" s="87">
        <f>SUMIFS(Input_Raw!I:I,Input_Raw!$E:$E,"&gt;="&amp;Analytics!$B$3,Input_Raw!$E:$E,"&lt;="&amp;Analytics!$B$4)/1000</f>
        <v>25.012</v>
      </c>
      <c r="D24" s="87">
        <f>SUMIFS(Input_Raw!J:J,Input_Raw!$E:$E,"&gt;="&amp;Analytics!$B$3,Input_Raw!$E:$E,"&lt;="&amp;Analytics!$B$4)/1000</f>
        <v>20.727</v>
      </c>
      <c r="E24" s="87">
        <f>SUMIFS(Input_Raw!K:K,Input_Raw!$E:$E,"&gt;="&amp;Analytics!$B$3,Input_Raw!$E:$E,"&lt;="&amp;Analytics!$B$4)/1000</f>
        <v>21.838999999999999</v>
      </c>
      <c r="F24" s="87">
        <f>SUMIFS(Input_Raw!L:L,Input_Raw!$E:$E,"&gt;="&amp;Analytics!$B$3,Input_Raw!$E:$E,"&lt;="&amp;Analytics!$B$4)/1000</f>
        <v>20.474</v>
      </c>
      <c r="G24" s="87">
        <f>SUMIFS(Input_Raw!M:M,Input_Raw!$E:$E,"&gt;="&amp;Analytics!$B$3,Input_Raw!$E:$E,"&lt;="&amp;Analytics!$B$4)/1000</f>
        <v>21.167999999999999</v>
      </c>
      <c r="H24" s="87">
        <f>SUMIFS(Input_Raw!N:N,Input_Raw!$E:$E,"&gt;="&amp;Analytics!$B$3,Input_Raw!$E:$E,"&lt;="&amp;Analytics!$B$4)/1000</f>
        <v>20.399999999999999</v>
      </c>
      <c r="I24" s="87">
        <f>SUMIFS(Input_Raw!O:O,Input_Raw!$E:$E,"&gt;="&amp;Analytics!$B$3,Input_Raw!$E:$E,"&lt;="&amp;Analytics!$B$4)/1000</f>
        <v>21.498999999999999</v>
      </c>
      <c r="J24" s="87">
        <f>SUMIFS(Input_Raw!P:P,Input_Raw!$E:$E,"&gt;="&amp;Analytics!$B$3,Input_Raw!$E:$E,"&lt;="&amp;Analytics!$B$4)/1000</f>
        <v>20.279</v>
      </c>
      <c r="K24" s="87">
        <f>SUMIFS(Input_Raw!Q:Q,Input_Raw!$E:$E,"&gt;="&amp;Analytics!$B$3,Input_Raw!$E:$E,"&lt;="&amp;Analytics!$B$4)/1000</f>
        <v>20.234999999999999</v>
      </c>
      <c r="L24" s="87">
        <f>SUMIFS(Input_Raw!R:R,Input_Raw!$E:$E,"&gt;="&amp;Analytics!$B$3,Input_Raw!$E:$E,"&lt;="&amp;Analytics!$B$4)/1000</f>
        <v>20.856999999999999</v>
      </c>
      <c r="M24" s="87">
        <f>SUMIFS(Input_Raw!S:S,Input_Raw!$E:$E,"&gt;="&amp;Analytics!$B$3,Input_Raw!$E:$E,"&lt;="&amp;Analytics!$B$4)/1000</f>
        <v>24.677</v>
      </c>
      <c r="N24" s="87">
        <f>SUMIFS(Input_Raw!T:T,Input_Raw!$E:$E,"&gt;="&amp;Analytics!$B$3,Input_Raw!$E:$E,"&lt;="&amp;Analytics!$B$4)/1000</f>
        <v>20.481000000000002</v>
      </c>
      <c r="O24" s="87">
        <f>SUMIFS(Input_Raw!U:U,Input_Raw!$E:$E,"&gt;="&amp;Analytics!$B$3,Input_Raw!$E:$E,"&lt;="&amp;Analytics!$B$4)/1000</f>
        <v>19.297999999999998</v>
      </c>
      <c r="P24" s="87">
        <f>SUMIFS(Input_Raw!V:V,Input_Raw!$E:$E,"&gt;="&amp;Analytics!$B$3,Input_Raw!$E:$E,"&lt;="&amp;Analytics!$B$4)/1000</f>
        <v>24.364000000000001</v>
      </c>
      <c r="Q24" s="87">
        <f>SUMIFS(Input_Raw!W:W,Input_Raw!$E:$E,"&gt;="&amp;Analytics!$B$3,Input_Raw!$E:$E,"&lt;="&amp;Analytics!$B$4)/1000</f>
        <v>24.713000000000001</v>
      </c>
      <c r="R24" s="87">
        <f>SUMIFS(Input_Raw!X:X,Input_Raw!$E:$E,"&gt;="&amp;Analytics!$B$3,Input_Raw!$E:$E,"&lt;="&amp;Analytics!$B$4)/1000</f>
        <v>25.87</v>
      </c>
      <c r="S24" s="87">
        <f>SUMIFS(Input_Raw!Y:Y,Input_Raw!$E:$E,"&gt;="&amp;Analytics!$B$3,Input_Raw!$E:$E,"&lt;="&amp;Analytics!$B$4)/1000</f>
        <v>20.396999999999998</v>
      </c>
      <c r="T24" s="87">
        <f>SUMIFS(Input_Raw!Z:Z,Input_Raw!$E:$E,"&gt;="&amp;Analytics!$B$3,Input_Raw!$E:$E,"&lt;="&amp;Analytics!$B$4)/1000</f>
        <v>20.803999999999998</v>
      </c>
      <c r="U24" s="87">
        <f>SUMIFS(Input_Raw!AA:AA,Input_Raw!$E:$E,"&gt;="&amp;Analytics!$B$3,Input_Raw!$E:$E,"&lt;="&amp;Analytics!$B$4)/1000</f>
        <v>21.925999999999998</v>
      </c>
      <c r="V24" s="87">
        <f>SUMIFS(Input_Raw!AB:AB,Input_Raw!$E:$E,"&gt;="&amp;Analytics!$B$3,Input_Raw!$E:$E,"&lt;="&amp;Analytics!$B$4)/1000</f>
        <v>24.323</v>
      </c>
      <c r="W24" s="87">
        <f>SUMIFS(Input_Raw!AC:AC,Input_Raw!$E:$E,"&gt;="&amp;Analytics!$B$3,Input_Raw!$E:$E,"&lt;="&amp;Analytics!$B$4)/1000</f>
        <v>19.273</v>
      </c>
      <c r="X24" s="87">
        <f>SUMIFS(Input_Raw!AD:AD,Input_Raw!$E:$E,"&gt;="&amp;Analytics!$B$3,Input_Raw!$E:$E,"&lt;="&amp;Analytics!$B$4)/1000</f>
        <v>23.974</v>
      </c>
      <c r="Z24" s="95"/>
      <c r="AA24" s="273">
        <f>SUM(B24,D24,K24:P24,T24:U24)</f>
        <v>219.154</v>
      </c>
      <c r="AB24" s="273">
        <f>SUM(Q24:R24)</f>
        <v>50.582999999999998</v>
      </c>
      <c r="AC24" s="273">
        <f>SUM(S24)</f>
        <v>20.396999999999998</v>
      </c>
      <c r="AD24" s="273">
        <f>SUM(C24,E24:G24,J24,V24:X24)</f>
        <v>176.34199999999998</v>
      </c>
      <c r="AE24" s="273">
        <f>SUM(H24:I24)</f>
        <v>41.899000000000001</v>
      </c>
      <c r="AF24" s="95"/>
      <c r="AG24" s="95"/>
    </row>
    <row r="25" spans="1:33" ht="29.25" customHeight="1">
      <c r="A25" s="81" t="s">
        <v>117</v>
      </c>
      <c r="B25" s="83">
        <f>(($C$4-SUM(B19:B20,B23,B7,B9:B15))/$C$4)*B22</f>
        <v>0.99985232067510554</v>
      </c>
      <c r="C25" s="83">
        <f t="shared" ref="C25:X25" si="14">(($C$4-SUM(C19:C20,C23,C7,C9:C15))/$C$4)*C22</f>
        <v>0.99989451476793245</v>
      </c>
      <c r="D25" s="83">
        <f t="shared" si="14"/>
        <v>0.99989451476793245</v>
      </c>
      <c r="E25" s="83">
        <f t="shared" si="14"/>
        <v>0.99989451476793245</v>
      </c>
      <c r="F25" s="83">
        <f t="shared" si="14"/>
        <v>0.99985759493670878</v>
      </c>
      <c r="G25" s="83">
        <f t="shared" si="14"/>
        <v>0.99989451476793245</v>
      </c>
      <c r="H25" s="83">
        <f t="shared" si="14"/>
        <v>0.99985935302390994</v>
      </c>
      <c r="I25" s="83">
        <f t="shared" si="14"/>
        <v>0.99985759493670878</v>
      </c>
      <c r="J25" s="83">
        <f t="shared" si="14"/>
        <v>0.99981715893108292</v>
      </c>
      <c r="K25" s="83">
        <f t="shared" si="14"/>
        <v>0.99985935302390994</v>
      </c>
      <c r="L25" s="83">
        <f t="shared" si="14"/>
        <v>0.99970288326300971</v>
      </c>
      <c r="M25" s="83">
        <f t="shared" si="14"/>
        <v>0.99989451476793245</v>
      </c>
      <c r="N25" s="83">
        <f t="shared" si="14"/>
        <v>0.99985935302390994</v>
      </c>
      <c r="O25" s="83">
        <f t="shared" si="14"/>
        <v>0.99989451476793245</v>
      </c>
      <c r="P25" s="83">
        <f t="shared" si="14"/>
        <v>0.99989451476793245</v>
      </c>
      <c r="Q25" s="83">
        <f t="shared" si="14"/>
        <v>0.99989451476793245</v>
      </c>
      <c r="R25" s="83">
        <f t="shared" si="14"/>
        <v>0.99989451476793245</v>
      </c>
      <c r="S25" s="83">
        <f t="shared" si="14"/>
        <v>0.99985232067510554</v>
      </c>
      <c r="T25" s="83">
        <f t="shared" si="14"/>
        <v>0.99989451476793245</v>
      </c>
      <c r="U25" s="83">
        <f t="shared" si="14"/>
        <v>0.9997433192686358</v>
      </c>
      <c r="V25" s="83">
        <f t="shared" si="14"/>
        <v>0.99989451476793245</v>
      </c>
      <c r="W25" s="83">
        <f t="shared" si="14"/>
        <v>0.99880625879043594</v>
      </c>
      <c r="X25" s="83">
        <f t="shared" si="14"/>
        <v>0.99984528832630093</v>
      </c>
      <c r="Z25" s="95"/>
      <c r="AA25" s="95">
        <f>AVERAGE(B25,D25,K25:P25,T25:U25)</f>
        <v>0.99984898030942326</v>
      </c>
      <c r="AB25" s="95">
        <f>AVERAGE(Q25:R25)</f>
        <v>0.99989451476793245</v>
      </c>
      <c r="AC25" s="95">
        <f t="shared" si="13"/>
        <v>0.99985232067510554</v>
      </c>
      <c r="AD25" s="95">
        <f t="shared" si="4"/>
        <v>0.99973804500703234</v>
      </c>
      <c r="AE25" s="95">
        <f t="shared" si="5"/>
        <v>0.99985847398030936</v>
      </c>
      <c r="AF25" s="95"/>
      <c r="AG25" s="95"/>
    </row>
    <row r="26" spans="1:33" ht="29.25" hidden="1" customHeight="1">
      <c r="A26" s="84" t="s">
        <v>118</v>
      </c>
      <c r="B26" s="85">
        <f>(SUMIFS(WTG_BD!$T:$T,WTG_BD!$G:$G,Analytics!B$5,WTG_BD!$F:$F,"&gt;="&amp;Analytics!$B$3,WTG_BD!$F:$F,"&lt;="&amp;Analytics!$B$4,WTG_BD!$N:$N,"breakdown"))</f>
        <v>0</v>
      </c>
      <c r="C26" s="85">
        <f>(SUMIFS(WTG_BD!$T:$T,WTG_BD!$G:$G,Analytics!C$5,WTG_BD!$F:$F,"&gt;="&amp;Analytics!$B$3,WTG_BD!$F:$F,"&lt;="&amp;Analytics!$B$4,WTG_BD!$N:$N,"breakdown"))</f>
        <v>0</v>
      </c>
      <c r="D26" s="85">
        <f>(SUMIFS(WTG_BD!$T:$T,WTG_BD!$G:$G,Analytics!D$5,WTG_BD!$F:$F,"&gt;="&amp;Analytics!$B$3,WTG_BD!$F:$F,"&lt;="&amp;Analytics!$B$4,WTG_BD!$N:$N,"breakdown"))</f>
        <v>0</v>
      </c>
      <c r="E26" s="85">
        <f>(SUMIFS(WTG_BD!$T:$T,WTG_BD!$G:$G,Analytics!E$5,WTG_BD!$F:$F,"&gt;="&amp;Analytics!$B$3,WTG_BD!$F:$F,"&lt;="&amp;Analytics!$B$4,WTG_BD!$N:$N,"breakdown"))</f>
        <v>0</v>
      </c>
      <c r="F26" s="85">
        <f>(SUMIFS(WTG_BD!$T:$T,WTG_BD!$G:$G,Analytics!F$5,WTG_BD!$F:$F,"&gt;="&amp;Analytics!$B$3,WTG_BD!$F:$F,"&lt;="&amp;Analytics!$B$4,WTG_BD!$N:$N,"breakdown"))</f>
        <v>0</v>
      </c>
      <c r="G26" s="85">
        <f>(SUMIFS(WTG_BD!$T:$T,WTG_BD!$G:$G,Analytics!G$5,WTG_BD!$F:$F,"&gt;="&amp;Analytics!$B$3,WTG_BD!$F:$F,"&lt;="&amp;Analytics!$B$4,WTG_BD!$N:$N,"breakdown"))</f>
        <v>0</v>
      </c>
      <c r="H26" s="85">
        <f>(SUMIFS(WTG_BD!$T:$T,WTG_BD!$G:$G,Analytics!H$5,WTG_BD!$F:$F,"&gt;="&amp;Analytics!$B$3,WTG_BD!$F:$F,"&lt;="&amp;Analytics!$B$4,WTG_BD!$N:$N,"breakdown"))</f>
        <v>0</v>
      </c>
      <c r="I26" s="85">
        <f>(SUMIFS(WTG_BD!$T:$T,WTG_BD!$G:$G,Analytics!I$5,WTG_BD!$F:$F,"&gt;="&amp;Analytics!$B$3,WTG_BD!$F:$F,"&lt;="&amp;Analytics!$B$4,WTG_BD!$N:$N,"breakdown"))</f>
        <v>0</v>
      </c>
      <c r="J26" s="85">
        <f>(SUMIFS(WTG_BD!$T:$T,WTG_BD!$G:$G,Analytics!J$5,WTG_BD!$F:$F,"&gt;="&amp;Analytics!$B$3,WTG_BD!$F:$F,"&lt;="&amp;Analytics!$B$4,WTG_BD!$N:$N,"breakdown"))</f>
        <v>0</v>
      </c>
      <c r="K26" s="85">
        <f>(SUMIFS(WTG_BD!$T:$T,WTG_BD!$G:$G,Analytics!K$5,WTG_BD!$F:$F,"&gt;="&amp;Analytics!$B$3,WTG_BD!$F:$F,"&lt;="&amp;Analytics!$B$4,WTG_BD!$N:$N,"breakdown"))</f>
        <v>0</v>
      </c>
      <c r="L26" s="85">
        <f>(SUMIFS(WTG_BD!$T:$T,WTG_BD!$G:$G,Analytics!L$5,WTG_BD!$F:$F,"&gt;="&amp;Analytics!$B$3,WTG_BD!$F:$F,"&lt;="&amp;Analytics!$B$4,WTG_BD!$N:$N,"breakdown"))</f>
        <v>0</v>
      </c>
      <c r="M26" s="85">
        <f>(SUMIFS(WTG_BD!$T:$T,WTG_BD!$G:$G,Analytics!M$5,WTG_BD!$F:$F,"&gt;="&amp;Analytics!$B$3,WTG_BD!$F:$F,"&lt;="&amp;Analytics!$B$4,WTG_BD!$N:$N,"breakdown"))</f>
        <v>0</v>
      </c>
      <c r="N26" s="85">
        <f>(SUMIFS(WTG_BD!$T:$T,WTG_BD!$G:$G,Analytics!N$5,WTG_BD!$F:$F,"&gt;="&amp;Analytics!$B$3,WTG_BD!$F:$F,"&lt;="&amp;Analytics!$B$4,WTG_BD!$N:$N,"breakdown"))</f>
        <v>0</v>
      </c>
      <c r="O26" s="85">
        <f>(SUMIFS(WTG_BD!$T:$T,WTG_BD!$G:$G,Analytics!O$5,WTG_BD!$F:$F,"&gt;="&amp;Analytics!$B$3,WTG_BD!$F:$F,"&lt;="&amp;Analytics!$B$4,WTG_BD!$N:$N,"breakdown"))</f>
        <v>0</v>
      </c>
      <c r="P26" s="85">
        <f>(SUMIFS(WTG_BD!$T:$T,WTG_BD!$G:$G,Analytics!P$5,WTG_BD!$F:$F,"&gt;="&amp;Analytics!$B$3,WTG_BD!$F:$F,"&lt;="&amp;Analytics!$B$4,WTG_BD!$N:$N,"breakdown"))</f>
        <v>0</v>
      </c>
      <c r="Q26" s="85">
        <f>(SUMIFS(WTG_BD!$T:$T,WTG_BD!$G:$G,Analytics!Q$5,WTG_BD!$F:$F,"&gt;="&amp;Analytics!$B$3,WTG_BD!$F:$F,"&lt;="&amp;Analytics!$B$4,WTG_BD!$N:$N,"breakdown"))</f>
        <v>0</v>
      </c>
      <c r="R26" s="85">
        <f>(SUMIFS(WTG_BD!$T:$T,WTG_BD!$G:$G,Analytics!R$5,WTG_BD!$F:$F,"&gt;="&amp;Analytics!$B$3,WTG_BD!$F:$F,"&lt;="&amp;Analytics!$B$4,WTG_BD!$N:$N,"breakdown"))</f>
        <v>0</v>
      </c>
      <c r="S26" s="85">
        <f>(SUMIFS(WTG_BD!$T:$T,WTG_BD!$G:$G,Analytics!S$5,WTG_BD!$F:$F,"&gt;="&amp;Analytics!$B$3,WTG_BD!$F:$F,"&lt;="&amp;Analytics!$B$4,WTG_BD!$N:$N,"breakdown"))</f>
        <v>0</v>
      </c>
      <c r="T26" s="85">
        <f>(SUMIFS(WTG_BD!$T:$T,WTG_BD!$G:$G,Analytics!T$5,WTG_BD!$F:$F,"&gt;="&amp;Analytics!$B$3,WTG_BD!$F:$F,"&lt;="&amp;Analytics!$B$4,WTG_BD!$N:$N,"breakdown"))</f>
        <v>0</v>
      </c>
      <c r="U26" s="85">
        <f>(SUMIFS(WTG_BD!$T:$T,WTG_BD!$G:$G,Analytics!U$5,WTG_BD!$F:$F,"&gt;="&amp;Analytics!$B$3,WTG_BD!$F:$F,"&lt;="&amp;Analytics!$B$4,WTG_BD!$N:$N,"breakdown"))</f>
        <v>0</v>
      </c>
      <c r="V26" s="85">
        <f>(SUMIFS(WTG_BD!$T:$T,WTG_BD!$G:$G,Analytics!V$5,WTG_BD!$F:$F,"&gt;="&amp;Analytics!$B$3,WTG_BD!$F:$F,"&lt;="&amp;Analytics!$B$4,WTG_BD!$N:$N,"breakdown"))</f>
        <v>0</v>
      </c>
      <c r="W26" s="85">
        <f>(SUMIFS(WTG_BD!$T:$T,WTG_BD!$G:$G,Analytics!W$5,WTG_BD!$F:$F,"&gt;="&amp;Analytics!$B$3,WTG_BD!$F:$F,"&lt;="&amp;Analytics!$B$4,WTG_BD!$N:$N,"breakdown"))</f>
        <v>1.9833333333333316</v>
      </c>
      <c r="X26" s="85">
        <f>(SUMIFS(WTG_BD!$T:$T,WTG_BD!$G:$G,Analytics!X$5,WTG_BD!$F:$F,"&gt;="&amp;Analytics!$B$3,WTG_BD!$F:$F,"&lt;="&amp;Analytics!$B$4,WTG_BD!$N:$N,"breakdown"))</f>
        <v>0</v>
      </c>
      <c r="Y26" s="96">
        <f t="shared" ref="Y26:Y27" si="15">SUM(B26:X26)</f>
        <v>1.9833333333333316</v>
      </c>
      <c r="Z26" s="95"/>
      <c r="AA26" s="95">
        <f t="shared" si="11"/>
        <v>0</v>
      </c>
      <c r="AB26" s="95">
        <f t="shared" si="12"/>
        <v>0</v>
      </c>
      <c r="AC26" s="95">
        <f t="shared" si="13"/>
        <v>0</v>
      </c>
      <c r="AD26" s="95">
        <f t="shared" si="4"/>
        <v>0.24791666666666645</v>
      </c>
      <c r="AE26" s="95">
        <f t="shared" si="5"/>
        <v>0</v>
      </c>
      <c r="AF26" s="95"/>
      <c r="AG26" s="95"/>
    </row>
    <row r="27" spans="1:33" ht="29.25" hidden="1" customHeight="1">
      <c r="A27" s="84" t="s">
        <v>119</v>
      </c>
      <c r="B27" s="87">
        <f>COUNTIFS(WTG_BD!$G:$G,Analytics!B$5,WTG_BD!$F:$F,"&gt;="&amp;Analytics!$B$3,WTG_BD!$F:$F,"&lt;="&amp;Analytics!$B$4,WTG_BD!$N:$N,"breakdown")</f>
        <v>0</v>
      </c>
      <c r="C27" s="87">
        <f>COUNTIFS(WTG_BD!$G:$G,Analytics!C$5,WTG_BD!$F:$F,"&gt;="&amp;Analytics!$B$3,WTG_BD!$F:$F,"&lt;="&amp;Analytics!$B$4,WTG_BD!$N:$N,"breakdown")</f>
        <v>0</v>
      </c>
      <c r="D27" s="87">
        <f>COUNTIFS(WTG_BD!$G:$G,Analytics!D$5,WTG_BD!$F:$F,"&gt;="&amp;Analytics!$B$3,WTG_BD!$F:$F,"&lt;="&amp;Analytics!$B$4,WTG_BD!$N:$N,"breakdown")</f>
        <v>0</v>
      </c>
      <c r="E27" s="87">
        <f>COUNTIFS(WTG_BD!$G:$G,Analytics!E$5,WTG_BD!$F:$F,"&gt;="&amp;Analytics!$B$3,WTG_BD!$F:$F,"&lt;="&amp;Analytics!$B$4,WTG_BD!$N:$N,"breakdown")</f>
        <v>0</v>
      </c>
      <c r="F27" s="87">
        <f>COUNTIFS(WTG_BD!$G:$G,Analytics!F$5,WTG_BD!$F:$F,"&gt;="&amp;Analytics!$B$3,WTG_BD!$F:$F,"&lt;="&amp;Analytics!$B$4,WTG_BD!$N:$N,"breakdown")</f>
        <v>0</v>
      </c>
      <c r="G27" s="87">
        <f>COUNTIFS(WTG_BD!$G:$G,Analytics!G$5,WTG_BD!$F:$F,"&gt;="&amp;Analytics!$B$3,WTG_BD!$F:$F,"&lt;="&amp;Analytics!$B$4,WTG_BD!$N:$N,"breakdown")</f>
        <v>0</v>
      </c>
      <c r="H27" s="87">
        <f>COUNTIFS(WTG_BD!$G:$G,Analytics!H$5,WTG_BD!$F:$F,"&gt;="&amp;Analytics!$B$3,WTG_BD!$F:$F,"&lt;="&amp;Analytics!$B$4,WTG_BD!$N:$N,"breakdown")</f>
        <v>0</v>
      </c>
      <c r="I27" s="87">
        <f>COUNTIFS(WTG_BD!$G:$G,Analytics!I$5,WTG_BD!$F:$F,"&gt;="&amp;Analytics!$B$3,WTG_BD!$F:$F,"&lt;="&amp;Analytics!$B$4,WTG_BD!$N:$N,"breakdown")</f>
        <v>0</v>
      </c>
      <c r="J27" s="87">
        <f>COUNTIFS(WTG_BD!$G:$G,Analytics!J$5,WTG_BD!$F:$F,"&gt;="&amp;Analytics!$B$3,WTG_BD!$F:$F,"&lt;="&amp;Analytics!$B$4,WTG_BD!$N:$N,"breakdown")</f>
        <v>0</v>
      </c>
      <c r="K27" s="87">
        <f>COUNTIFS(WTG_BD!$G:$G,Analytics!K$5,WTG_BD!$F:$F,"&gt;="&amp;Analytics!$B$3,WTG_BD!$F:$F,"&lt;="&amp;Analytics!$B$4,WTG_BD!$N:$N,"breakdown")</f>
        <v>0</v>
      </c>
      <c r="L27" s="87">
        <f>COUNTIFS(WTG_BD!$G:$G,Analytics!L$5,WTG_BD!$F:$F,"&gt;="&amp;Analytics!$B$3,WTG_BD!$F:$F,"&lt;="&amp;Analytics!$B$4,WTG_BD!$N:$N,"breakdown")</f>
        <v>0</v>
      </c>
      <c r="M27" s="87">
        <f>COUNTIFS(WTG_BD!$G:$G,Analytics!M$5,WTG_BD!$F:$F,"&gt;="&amp;Analytics!$B$3,WTG_BD!$F:$F,"&lt;="&amp;Analytics!$B$4,WTG_BD!$N:$N,"breakdown")</f>
        <v>0</v>
      </c>
      <c r="N27" s="87">
        <f>COUNTIFS(WTG_BD!$G:$G,Analytics!N$5,WTG_BD!$F:$F,"&gt;="&amp;Analytics!$B$3,WTG_BD!$F:$F,"&lt;="&amp;Analytics!$B$4,WTG_BD!$N:$N,"breakdown")</f>
        <v>0</v>
      </c>
      <c r="O27" s="87">
        <f>COUNTIFS(WTG_BD!$G:$G,Analytics!O$5,WTG_BD!$F:$F,"&gt;="&amp;Analytics!$B$3,WTG_BD!$F:$F,"&lt;="&amp;Analytics!$B$4,WTG_BD!$N:$N,"breakdown")</f>
        <v>0</v>
      </c>
      <c r="P27" s="87">
        <f>COUNTIFS(WTG_BD!$G:$G,Analytics!P$5,WTG_BD!$F:$F,"&gt;="&amp;Analytics!$B$3,WTG_BD!$F:$F,"&lt;="&amp;Analytics!$B$4,WTG_BD!$N:$N,"breakdown")</f>
        <v>0</v>
      </c>
      <c r="Q27" s="87">
        <f>COUNTIFS(WTG_BD!$G:$G,Analytics!Q$5,WTG_BD!$F:$F,"&gt;="&amp;Analytics!$B$3,WTG_BD!$F:$F,"&lt;="&amp;Analytics!$B$4,WTG_BD!$N:$N,"breakdown")</f>
        <v>0</v>
      </c>
      <c r="R27" s="87">
        <f>COUNTIFS(WTG_BD!$G:$G,Analytics!R$5,WTG_BD!$F:$F,"&gt;="&amp;Analytics!$B$3,WTG_BD!$F:$F,"&lt;="&amp;Analytics!$B$4,WTG_BD!$N:$N,"breakdown")</f>
        <v>0</v>
      </c>
      <c r="S27" s="87">
        <f>COUNTIFS(WTG_BD!$G:$G,Analytics!S$5,WTG_BD!$F:$F,"&gt;="&amp;Analytics!$B$3,WTG_BD!$F:$F,"&lt;="&amp;Analytics!$B$4,WTG_BD!$N:$N,"breakdown")</f>
        <v>0</v>
      </c>
      <c r="T27" s="87">
        <f>COUNTIFS(WTG_BD!$G:$G,Analytics!T$5,WTG_BD!$F:$F,"&gt;="&amp;Analytics!$B$3,WTG_BD!$F:$F,"&lt;="&amp;Analytics!$B$4,WTG_BD!$N:$N,"breakdown")</f>
        <v>0</v>
      </c>
      <c r="U27" s="87">
        <f>COUNTIFS(WTG_BD!$G:$G,Analytics!U$5,WTG_BD!$F:$F,"&gt;="&amp;Analytics!$B$3,WTG_BD!$F:$F,"&lt;="&amp;Analytics!$B$4,WTG_BD!$N:$N,"breakdown")</f>
        <v>0</v>
      </c>
      <c r="V27" s="87">
        <f>COUNTIFS(WTG_BD!$G:$G,Analytics!V$5,WTG_BD!$F:$F,"&gt;="&amp;Analytics!$B$3,WTG_BD!$F:$F,"&lt;="&amp;Analytics!$B$4,WTG_BD!$N:$N,"breakdown")</f>
        <v>0</v>
      </c>
      <c r="W27" s="87">
        <f>COUNTIFS(WTG_BD!$G:$G,Analytics!W$5,WTG_BD!$F:$F,"&gt;="&amp;Analytics!$B$3,WTG_BD!$F:$F,"&lt;="&amp;Analytics!$B$4,WTG_BD!$N:$N,"breakdown")</f>
        <v>1</v>
      </c>
      <c r="X27" s="87">
        <f>COUNTIFS(WTG_BD!$G:$G,Analytics!X$5,WTG_BD!$F:$F,"&gt;="&amp;Analytics!$B$3,WTG_BD!$F:$F,"&lt;="&amp;Analytics!$B$4,WTG_BD!$N:$N,"breakdown")</f>
        <v>0</v>
      </c>
      <c r="Y27" s="96">
        <f t="shared" si="15"/>
        <v>1</v>
      </c>
      <c r="Z27" s="95"/>
      <c r="AA27" s="95">
        <f t="shared" si="11"/>
        <v>0</v>
      </c>
      <c r="AB27" s="95">
        <f t="shared" si="12"/>
        <v>0</v>
      </c>
      <c r="AC27" s="95">
        <f t="shared" si="13"/>
        <v>0</v>
      </c>
      <c r="AD27" s="95">
        <f t="shared" si="4"/>
        <v>0.125</v>
      </c>
      <c r="AE27" s="95">
        <f t="shared" si="5"/>
        <v>0</v>
      </c>
      <c r="AF27" s="95"/>
      <c r="AG27" s="95"/>
    </row>
    <row r="28" spans="1:33" ht="29.25" customHeight="1">
      <c r="A28" s="81" t="s">
        <v>120</v>
      </c>
      <c r="B28" s="88">
        <f>IFERROR(B26/B27,0)</f>
        <v>0</v>
      </c>
      <c r="C28" s="88">
        <f t="shared" ref="C28:X28" si="16">IFERROR(C26/C27,0)</f>
        <v>0</v>
      </c>
      <c r="D28" s="88">
        <f t="shared" si="16"/>
        <v>0</v>
      </c>
      <c r="E28" s="88">
        <f t="shared" si="16"/>
        <v>0</v>
      </c>
      <c r="F28" s="88">
        <f t="shared" si="16"/>
        <v>0</v>
      </c>
      <c r="G28" s="88">
        <f t="shared" si="16"/>
        <v>0</v>
      </c>
      <c r="H28" s="88">
        <f t="shared" si="16"/>
        <v>0</v>
      </c>
      <c r="I28" s="88">
        <f t="shared" si="16"/>
        <v>0</v>
      </c>
      <c r="J28" s="88">
        <f t="shared" si="16"/>
        <v>0</v>
      </c>
      <c r="K28" s="88">
        <f t="shared" si="16"/>
        <v>0</v>
      </c>
      <c r="L28" s="88">
        <f t="shared" si="16"/>
        <v>0</v>
      </c>
      <c r="M28" s="88">
        <f t="shared" si="16"/>
        <v>0</v>
      </c>
      <c r="N28" s="88">
        <f t="shared" si="16"/>
        <v>0</v>
      </c>
      <c r="O28" s="88">
        <f t="shared" si="16"/>
        <v>0</v>
      </c>
      <c r="P28" s="88">
        <f t="shared" si="16"/>
        <v>0</v>
      </c>
      <c r="Q28" s="88">
        <f t="shared" si="16"/>
        <v>0</v>
      </c>
      <c r="R28" s="88">
        <f t="shared" si="16"/>
        <v>0</v>
      </c>
      <c r="S28" s="88">
        <f t="shared" si="16"/>
        <v>0</v>
      </c>
      <c r="T28" s="88">
        <f t="shared" si="16"/>
        <v>0</v>
      </c>
      <c r="U28" s="88">
        <f t="shared" si="16"/>
        <v>0</v>
      </c>
      <c r="V28" s="88">
        <f t="shared" si="16"/>
        <v>0</v>
      </c>
      <c r="W28" s="88">
        <f t="shared" si="16"/>
        <v>1.9833333333333316</v>
      </c>
      <c r="X28" s="88">
        <f t="shared" si="16"/>
        <v>0</v>
      </c>
      <c r="Y28" s="88">
        <f t="shared" ref="Y28" si="17">IFERROR(Y26/Y27,0)</f>
        <v>1.9833333333333316</v>
      </c>
      <c r="Z28" s="95"/>
      <c r="AA28" s="274">
        <f>SUM(B28,D28,K28:P28,T28:U28)</f>
        <v>0</v>
      </c>
      <c r="AB28" s="274">
        <f>SUM(Q28:R28)</f>
        <v>0</v>
      </c>
      <c r="AC28" s="274">
        <f>SUM(S28)</f>
        <v>0</v>
      </c>
      <c r="AD28" s="274">
        <f>SUM(C28,E28:G28,J28,V28:X28)</f>
        <v>1.9833333333333316</v>
      </c>
      <c r="AE28" s="274">
        <f>SUM(H28:I28)</f>
        <v>0</v>
      </c>
      <c r="AF28" s="95"/>
      <c r="AG28" s="95"/>
    </row>
    <row r="29" spans="1:33" ht="29.25" customHeight="1">
      <c r="A29" s="81" t="s">
        <v>121</v>
      </c>
      <c r="B29" s="88">
        <f>IFERROR(($C$4-B26)/B27,$C$4)</f>
        <v>9480</v>
      </c>
      <c r="C29" s="88">
        <f t="shared" ref="C29:X29" si="18">IFERROR(($C$4-C26)/C27,$C$4)</f>
        <v>9480</v>
      </c>
      <c r="D29" s="88">
        <f t="shared" si="18"/>
        <v>9480</v>
      </c>
      <c r="E29" s="88">
        <f t="shared" si="18"/>
        <v>9480</v>
      </c>
      <c r="F29" s="88">
        <f t="shared" si="18"/>
        <v>9480</v>
      </c>
      <c r="G29" s="88">
        <f t="shared" si="18"/>
        <v>9480</v>
      </c>
      <c r="H29" s="88">
        <f t="shared" si="18"/>
        <v>9480</v>
      </c>
      <c r="I29" s="88">
        <f t="shared" si="18"/>
        <v>9480</v>
      </c>
      <c r="J29" s="88">
        <f t="shared" si="18"/>
        <v>9480</v>
      </c>
      <c r="K29" s="88">
        <f t="shared" si="18"/>
        <v>9480</v>
      </c>
      <c r="L29" s="88">
        <f t="shared" si="18"/>
        <v>9480</v>
      </c>
      <c r="M29" s="88">
        <f t="shared" si="18"/>
        <v>9480</v>
      </c>
      <c r="N29" s="88">
        <f t="shared" si="18"/>
        <v>9480</v>
      </c>
      <c r="O29" s="88">
        <f t="shared" si="18"/>
        <v>9480</v>
      </c>
      <c r="P29" s="88">
        <f t="shared" si="18"/>
        <v>9480</v>
      </c>
      <c r="Q29" s="88">
        <f>IFERROR(($C$4-Q26)/Q27,$C$4)</f>
        <v>9480</v>
      </c>
      <c r="R29" s="88">
        <f t="shared" si="18"/>
        <v>9480</v>
      </c>
      <c r="S29" s="88">
        <f t="shared" si="18"/>
        <v>9480</v>
      </c>
      <c r="T29" s="88">
        <f t="shared" si="18"/>
        <v>9480</v>
      </c>
      <c r="U29" s="88">
        <f t="shared" si="18"/>
        <v>9480</v>
      </c>
      <c r="V29" s="88">
        <f t="shared" si="18"/>
        <v>9480</v>
      </c>
      <c r="W29" s="88">
        <f t="shared" si="18"/>
        <v>9478.0166666666664</v>
      </c>
      <c r="X29" s="88">
        <f t="shared" si="18"/>
        <v>9480</v>
      </c>
      <c r="Y29" s="88"/>
      <c r="Z29" s="95"/>
      <c r="AA29" s="274">
        <f>SUM(B29,D29,K29:P29,T29:U29)</f>
        <v>94800</v>
      </c>
      <c r="AB29" s="274">
        <f>SUM(Q29:R29)</f>
        <v>18960</v>
      </c>
      <c r="AC29" s="274">
        <f>SUM(S29)</f>
        <v>9480</v>
      </c>
      <c r="AD29" s="274">
        <f>SUM(C29,E29:G29,J29,V29:X29)</f>
        <v>75838.016666666663</v>
      </c>
      <c r="AE29" s="274">
        <f>SUM(H29:I29)</f>
        <v>18960</v>
      </c>
      <c r="AF29" s="95"/>
      <c r="AG29" s="95"/>
    </row>
    <row r="30" spans="1:33" ht="29.25" customHeight="1">
      <c r="A30" s="81" t="s">
        <v>122</v>
      </c>
      <c r="B30" s="85">
        <f>AVERAGEIFS(Input_Raw!AE:AE,Input_Raw!$E:$E,"&gt;="&amp;Analytics!$B$3,Input_Raw!$E:$E,"&lt;="&amp;Analytics!$B$4)</f>
        <v>4.7089793103448274</v>
      </c>
      <c r="C30" s="85">
        <f>AVERAGEIFS(Input_Raw!AF:AF,Input_Raw!$E:$E,"&gt;="&amp;Analytics!$B$3,Input_Raw!$E:$E,"&lt;="&amp;Analytics!$B$4)</f>
        <v>4.6975793103448273</v>
      </c>
      <c r="D30" s="85">
        <f>AVERAGEIFS(Input_Raw!AG:AG,Input_Raw!$E:$E,"&gt;="&amp;Analytics!$B$3,Input_Raw!$E:$E,"&lt;="&amp;Analytics!$B$4)</f>
        <v>4.6241448275862078</v>
      </c>
      <c r="E30" s="85">
        <f>AVERAGEIFS(Input_Raw!AH:AH,Input_Raw!$E:$E,"&gt;="&amp;Analytics!$B$3,Input_Raw!$E:$E,"&lt;="&amp;Analytics!$B$4)</f>
        <v>4.3757540229885068</v>
      </c>
      <c r="F30" s="85">
        <f>AVERAGEIFS(Input_Raw!AI:AI,Input_Raw!$E:$E,"&gt;="&amp;Analytics!$B$3,Input_Raw!$E:$E,"&lt;="&amp;Analytics!$B$4)</f>
        <v>4.4242965517241366</v>
      </c>
      <c r="G30" s="85">
        <f>AVERAGEIFS(Input_Raw!AJ:AJ,Input_Raw!$E:$E,"&gt;="&amp;Analytics!$B$3,Input_Raw!$E:$E,"&lt;="&amp;Analytics!$B$4)</f>
        <v>4.4857126436781609</v>
      </c>
      <c r="H30" s="85">
        <f>AVERAGEIFS(Input_Raw!AK:AK,Input_Raw!$E:$E,"&gt;="&amp;Analytics!$B$3,Input_Raw!$E:$E,"&lt;="&amp;Analytics!$B$4)</f>
        <v>4.4802827586206888</v>
      </c>
      <c r="I30" s="85">
        <f>AVERAGEIFS(Input_Raw!AL:AL,Input_Raw!$E:$E,"&gt;="&amp;Analytics!$B$3,Input_Raw!$E:$E,"&lt;="&amp;Analytics!$B$4)</f>
        <v>4.5475885057471261</v>
      </c>
      <c r="J30" s="85">
        <f>AVERAGEIFS(Input_Raw!AM:AM,Input_Raw!$E:$E,"&gt;="&amp;Analytics!$B$3,Input_Raw!$E:$E,"&lt;="&amp;Analytics!$B$4)</f>
        <v>4.5764919540229876</v>
      </c>
      <c r="K30" s="85">
        <f>AVERAGEIFS(Input_Raw!AN:AN,Input_Raw!$E:$E,"&gt;="&amp;Analytics!$B$3,Input_Raw!$E:$E,"&lt;="&amp;Analytics!$B$4)</f>
        <v>4.4010298850574694</v>
      </c>
      <c r="L30" s="85">
        <f>AVERAGEIFS(Input_Raw!AO:AO,Input_Raw!$E:$E,"&gt;="&amp;Analytics!$B$3,Input_Raw!$E:$E,"&lt;="&amp;Analytics!$B$4)</f>
        <v>4.5822091954022985</v>
      </c>
      <c r="M30" s="85">
        <f>AVERAGEIFS(Input_Raw!AP:AP,Input_Raw!$E:$E,"&gt;="&amp;Analytics!$B$3,Input_Raw!$E:$E,"&lt;="&amp;Analytics!$B$4)</f>
        <v>4.5945540229885067</v>
      </c>
      <c r="N30" s="85">
        <f>AVERAGEIFS(Input_Raw!AQ:AQ,Input_Raw!$E:$E,"&gt;="&amp;Analytics!$B$3,Input_Raw!$E:$E,"&lt;="&amp;Analytics!$B$4)</f>
        <v>4.4120137931034478</v>
      </c>
      <c r="O30" s="85">
        <f>AVERAGEIFS(Input_Raw!AR:AR,Input_Raw!$E:$E,"&gt;="&amp;Analytics!$B$3,Input_Raw!$E:$E,"&lt;="&amp;Analytics!$B$4)</f>
        <v>4.3286735632183913</v>
      </c>
      <c r="P30" s="85">
        <f>AVERAGEIFS(Input_Raw!AS:AS,Input_Raw!$E:$E,"&gt;="&amp;Analytics!$B$3,Input_Raw!$E:$E,"&lt;="&amp;Analytics!$B$4)</f>
        <v>4.8205839080459763</v>
      </c>
      <c r="Q30" s="85">
        <f>AVERAGEIFS(Input_Raw!AT:AT,Input_Raw!$E:$E,"&gt;="&amp;Analytics!$B$3,Input_Raw!$E:$E,"&lt;="&amp;Analytics!$B$4)</f>
        <v>4.7143770114942534</v>
      </c>
      <c r="R30" s="85">
        <f>AVERAGEIFS(Input_Raw!AU:AU,Input_Raw!$E:$E,"&gt;="&amp;Analytics!$B$3,Input_Raw!$E:$E,"&lt;="&amp;Analytics!$B$4)</f>
        <v>4.7879218390804592</v>
      </c>
      <c r="S30" s="85">
        <f>AVERAGEIFS(Input_Raw!AV:AV,Input_Raw!$E:$E,"&gt;="&amp;Analytics!$B$3,Input_Raw!$E:$E,"&lt;="&amp;Analytics!$B$4)</f>
        <v>4.4685540229885055</v>
      </c>
      <c r="T30" s="85">
        <f>AVERAGEIFS(Input_Raw!AW:AW,Input_Raw!$E:$E,"&gt;="&amp;Analytics!$B$3,Input_Raw!$E:$E,"&lt;="&amp;Analytics!$B$4)</f>
        <v>4.4595218390804616</v>
      </c>
      <c r="U30" s="85">
        <f>AVERAGEIFS(Input_Raw!AX:AX,Input_Raw!$E:$E,"&gt;="&amp;Analytics!$B$3,Input_Raw!$E:$E,"&lt;="&amp;Analytics!$B$4)</f>
        <v>4.5278459770114949</v>
      </c>
      <c r="V30" s="85">
        <f>AVERAGEIFS(Input_Raw!AY:AY,Input_Raw!$E:$E,"&gt;="&amp;Analytics!$B$3,Input_Raw!$E:$E,"&lt;="&amp;Analytics!$B$4)</f>
        <v>4.7895011494252868</v>
      </c>
      <c r="W30" s="85">
        <f>AVERAGEIFS(Input_Raw!AZ:AZ,Input_Raw!$E:$E,"&gt;="&amp;Analytics!$B$3,Input_Raw!$E:$E,"&lt;="&amp;Analytics!$B$4)</f>
        <v>4.5881713826910069</v>
      </c>
      <c r="X30" s="85">
        <f>AVERAGEIFS(Input_Raw!BA:BA,Input_Raw!$E:$E,"&gt;="&amp;Analytics!$B$3,Input_Raw!$E:$E,"&lt;="&amp;Analytics!$B$4)</f>
        <v>4.6878068965517237</v>
      </c>
      <c r="Z30" s="167"/>
      <c r="AA30" s="97">
        <f t="shared" si="11"/>
        <v>4.5459556321839081</v>
      </c>
      <c r="AB30" s="97">
        <f t="shared" si="12"/>
        <v>4.7511494252873563</v>
      </c>
      <c r="AC30" s="97">
        <f t="shared" si="13"/>
        <v>4.4685540229885055</v>
      </c>
      <c r="AD30" s="96">
        <f>AVERAGE(C30,E30:G30,J30,V30:X30)</f>
        <v>4.5781642389283306</v>
      </c>
      <c r="AE30" s="96">
        <f>AVERAGE(H30:I30)</f>
        <v>4.513935632183907</v>
      </c>
      <c r="AF30" s="167"/>
      <c r="AG30" s="167"/>
    </row>
    <row r="31" spans="1:33" ht="29.25" customHeight="1">
      <c r="A31" s="81" t="s">
        <v>123</v>
      </c>
      <c r="B31" s="89">
        <f>B24/$C$4/2.2</f>
        <v>1.2363348676639816E-3</v>
      </c>
      <c r="C31" s="89">
        <f t="shared" ref="C31:X31" si="19">C24/$C$4/2.2</f>
        <v>1.199271192942079E-3</v>
      </c>
      <c r="D31" s="89">
        <f t="shared" si="19"/>
        <v>9.9381472957422328E-4</v>
      </c>
      <c r="E31" s="89">
        <f t="shared" si="19"/>
        <v>1.0471327196010739E-3</v>
      </c>
      <c r="F31" s="89">
        <f t="shared" si="19"/>
        <v>9.8168392788645941E-4</v>
      </c>
      <c r="G31" s="89">
        <f t="shared" si="19"/>
        <v>1.0149597238204831E-3</v>
      </c>
      <c r="H31" s="89">
        <f t="shared" si="19"/>
        <v>9.7813578826237029E-4</v>
      </c>
      <c r="I31" s="89">
        <f t="shared" si="19"/>
        <v>1.0308304564633677E-3</v>
      </c>
      <c r="J31" s="89">
        <f t="shared" si="19"/>
        <v>9.7233410049865729E-4</v>
      </c>
      <c r="K31" s="89">
        <f t="shared" si="19"/>
        <v>9.7022439585730711E-4</v>
      </c>
      <c r="L31" s="89">
        <f t="shared" si="19"/>
        <v>1.0000479478327578E-3</v>
      </c>
      <c r="M31" s="89">
        <f t="shared" si="19"/>
        <v>1.1832086689681626E-3</v>
      </c>
      <c r="N31" s="89">
        <f t="shared" si="19"/>
        <v>9.8201956271576525E-4</v>
      </c>
      <c r="O31" s="89">
        <f t="shared" si="19"/>
        <v>9.2529727656309908E-4</v>
      </c>
      <c r="P31" s="89">
        <f t="shared" si="19"/>
        <v>1.1682009973149213E-3</v>
      </c>
      <c r="Q31" s="89">
        <f t="shared" si="19"/>
        <v>1.1849347909474489E-3</v>
      </c>
      <c r="R31" s="89">
        <f t="shared" si="19"/>
        <v>1.2404104334484082E-3</v>
      </c>
      <c r="S31" s="89">
        <f t="shared" si="19"/>
        <v>9.7799194476409649E-4</v>
      </c>
      <c r="T31" s="89">
        <f t="shared" si="19"/>
        <v>9.9750671269658599E-4</v>
      </c>
      <c r="U31" s="89">
        <f t="shared" si="19"/>
        <v>1.0513041810510163E-3</v>
      </c>
      <c r="V31" s="89">
        <f t="shared" si="19"/>
        <v>1.1662351361718451E-3</v>
      </c>
      <c r="W31" s="89">
        <f t="shared" si="19"/>
        <v>9.2409858074415029E-4</v>
      </c>
      <c r="X31" s="89">
        <f t="shared" si="19"/>
        <v>1.149501342539317E-3</v>
      </c>
      <c r="Z31" s="95"/>
      <c r="AA31" s="95">
        <f>AVERAGE(B31,D31,K31:P31,T31:U31)</f>
        <v>1.0507959340237819E-3</v>
      </c>
      <c r="AB31" s="95">
        <f t="shared" si="12"/>
        <v>1.2126726121979286E-3</v>
      </c>
      <c r="AC31" s="95">
        <f t="shared" si="13"/>
        <v>9.7799194476409649E-4</v>
      </c>
      <c r="AD31" s="95">
        <f t="shared" si="4"/>
        <v>1.0569020905255083E-3</v>
      </c>
      <c r="AE31" s="95">
        <f>AVERAGE(H31:I31)</f>
        <v>1.004483122362869E-3</v>
      </c>
      <c r="AF31" s="95"/>
      <c r="AG31" s="95"/>
    </row>
    <row r="32" spans="1:33" ht="29.25" customHeight="1">
      <c r="A32" s="235" t="s">
        <v>4451</v>
      </c>
      <c r="B32" s="253"/>
      <c r="C32" s="253"/>
      <c r="D32" s="253"/>
      <c r="E32" s="253"/>
      <c r="F32" s="253"/>
      <c r="G32" s="253"/>
      <c r="H32" s="253"/>
      <c r="I32" s="253"/>
      <c r="J32" s="253"/>
      <c r="K32" s="253"/>
      <c r="L32" s="253"/>
      <c r="M32" s="253"/>
      <c r="N32" s="253"/>
      <c r="O32" s="253"/>
      <c r="P32" s="253"/>
      <c r="Q32" s="253"/>
      <c r="R32" s="253"/>
      <c r="S32" s="253"/>
      <c r="T32" s="253"/>
      <c r="U32" s="253"/>
      <c r="V32" s="253"/>
      <c r="W32" s="253"/>
      <c r="X32" s="253"/>
      <c r="Z32" s="95"/>
      <c r="AA32" s="95"/>
      <c r="AB32" s="95"/>
      <c r="AC32" s="95"/>
      <c r="AD32" s="95"/>
      <c r="AE32" s="95"/>
      <c r="AF32" s="95"/>
      <c r="AG32" s="95"/>
    </row>
    <row r="33" spans="1:33" ht="29.25" customHeight="1">
      <c r="A33" s="235" t="s">
        <v>4452</v>
      </c>
      <c r="B33" s="253"/>
      <c r="C33" s="253"/>
      <c r="D33" s="253"/>
      <c r="E33" s="253"/>
      <c r="F33" s="253"/>
      <c r="G33" s="253"/>
      <c r="H33" s="253"/>
      <c r="I33" s="253"/>
      <c r="J33" s="253"/>
      <c r="K33" s="253"/>
      <c r="L33" s="253"/>
      <c r="M33" s="253"/>
      <c r="N33" s="253"/>
      <c r="O33" s="253"/>
      <c r="P33" s="253"/>
      <c r="Q33" s="253"/>
      <c r="R33" s="253"/>
      <c r="S33" s="253"/>
      <c r="T33" s="253"/>
      <c r="U33" s="253"/>
      <c r="V33" s="253"/>
      <c r="W33" s="253"/>
      <c r="X33" s="253"/>
      <c r="Z33" s="95"/>
      <c r="AA33" s="95"/>
      <c r="AB33" s="95"/>
      <c r="AC33" s="95"/>
      <c r="AD33" s="95"/>
      <c r="AE33" s="95"/>
      <c r="AF33" s="95"/>
      <c r="AG33" s="95"/>
    </row>
    <row r="34" spans="1:33" ht="29.25" customHeight="1">
      <c r="A34" s="235" t="s">
        <v>4341</v>
      </c>
      <c r="B34" s="253"/>
      <c r="C34" s="253"/>
      <c r="D34" s="253"/>
      <c r="E34" s="253"/>
      <c r="F34" s="253"/>
      <c r="G34" s="253"/>
      <c r="H34" s="253"/>
      <c r="I34" s="253"/>
      <c r="J34" s="253"/>
      <c r="K34" s="253"/>
      <c r="L34" s="253"/>
      <c r="M34" s="253"/>
      <c r="N34" s="253"/>
      <c r="O34" s="253"/>
      <c r="P34" s="253"/>
      <c r="Q34" s="253"/>
      <c r="R34" s="253"/>
      <c r="S34" s="253"/>
      <c r="T34" s="253"/>
      <c r="U34" s="253"/>
      <c r="V34" s="253"/>
      <c r="W34" s="253"/>
      <c r="X34" s="253"/>
      <c r="Z34" s="95"/>
      <c r="AA34" s="95"/>
      <c r="AB34" s="95"/>
      <c r="AC34" s="95"/>
      <c r="AD34" s="95"/>
      <c r="AE34" s="95"/>
      <c r="AF34" s="95"/>
      <c r="AG34" s="95"/>
    </row>
    <row r="35" spans="1:33" ht="29.25" customHeight="1">
      <c r="A35" s="91"/>
      <c r="B35" s="253"/>
      <c r="C35" s="253"/>
      <c r="D35" s="253"/>
      <c r="E35" s="253"/>
      <c r="F35" s="253"/>
      <c r="G35" s="253"/>
      <c r="H35" s="253"/>
      <c r="I35" s="253"/>
      <c r="J35" s="253"/>
      <c r="K35" s="253"/>
      <c r="L35" s="253"/>
      <c r="M35" s="253"/>
      <c r="N35" s="253"/>
      <c r="O35" s="253"/>
      <c r="P35" s="253"/>
      <c r="Q35" s="253"/>
      <c r="R35" s="253"/>
      <c r="S35" s="253"/>
      <c r="T35" s="253"/>
      <c r="U35" s="253"/>
      <c r="V35" s="253"/>
      <c r="W35" s="253"/>
      <c r="X35" s="253"/>
      <c r="Z35" s="95"/>
      <c r="AA35" s="95"/>
      <c r="AB35" s="95"/>
      <c r="AC35" s="95"/>
      <c r="AD35" s="95"/>
      <c r="AE35" s="95"/>
      <c r="AF35" s="95"/>
      <c r="AG35" s="95"/>
    </row>
    <row r="37" spans="1:33" ht="29.25" hidden="1" customHeight="1">
      <c r="A37" s="84" t="s">
        <v>124</v>
      </c>
      <c r="B37" s="90">
        <f>VLOOKUP(O2Summary!$B$4,Input_Raw!$E:$AD,Input_Raw!H1,0)</f>
        <v>27311</v>
      </c>
      <c r="C37" s="90">
        <f>VLOOKUP(O2Summary!$B$4,Input_Raw!$E:$AD,Input_Raw!I1,0)</f>
        <v>27759</v>
      </c>
      <c r="D37" s="90">
        <f>VLOOKUP(O2Summary!$B$4,Input_Raw!$E:$AD,Input_Raw!J1,0)</f>
        <v>22546.400000000001</v>
      </c>
      <c r="E37" s="90">
        <f>VLOOKUP(O2Summary!$B$4,Input_Raw!$E:$AD,Input_Raw!K1,0)</f>
        <v>22807.9</v>
      </c>
      <c r="F37" s="90">
        <f>VLOOKUP(O2Summary!$B$4,Input_Raw!$E:$AD,Input_Raw!L1,0)</f>
        <v>23961.7</v>
      </c>
      <c r="G37" s="90">
        <f>VLOOKUP(O2Summary!$B$4,Input_Raw!$E:$AD,Input_Raw!M1,0)</f>
        <v>23660.1</v>
      </c>
      <c r="H37" s="90">
        <f>VLOOKUP(O2Summary!$B$4,Input_Raw!$E:$AD,Input_Raw!N1,0)</f>
        <v>22378.799999999999</v>
      </c>
      <c r="I37" s="90">
        <f>VLOOKUP(O2Summary!$B$4,Input_Raw!$E:$AD,Input_Raw!O1,0)</f>
        <v>23178.5</v>
      </c>
      <c r="J37" s="90">
        <f>VLOOKUP(O2Summary!$B$4,Input_Raw!$E:$AD,Input_Raw!P1,0)</f>
        <v>23456.7</v>
      </c>
      <c r="K37" s="90">
        <f>VLOOKUP(O2Summary!$B$4,Input_Raw!$E:$AD,Input_Raw!Q1,0)</f>
        <v>22170.9</v>
      </c>
      <c r="L37" s="90">
        <f>VLOOKUP(O2Summary!$B$4,Input_Raw!$E:$AD,Input_Raw!R1,0)</f>
        <v>23179.4</v>
      </c>
      <c r="M37" s="90">
        <f>VLOOKUP(O2Summary!$B$4,Input_Raw!$E:$AD,Input_Raw!S1,0)</f>
        <v>23594.6</v>
      </c>
      <c r="N37" s="90">
        <f>VLOOKUP(O2Summary!$B$4,Input_Raw!$E:$AD,Input_Raw!T1,0)</f>
        <v>26286.7</v>
      </c>
      <c r="O37" s="90">
        <f>VLOOKUP(O2Summary!$B$4,Input_Raw!$E:$AD,Input_Raw!U1,0)</f>
        <v>23025.4</v>
      </c>
      <c r="P37" s="90">
        <f>VLOOKUP(O2Summary!$B$4,Input_Raw!$E:$AD,Input_Raw!V1,0)</f>
        <v>27365.7</v>
      </c>
      <c r="Q37" s="90">
        <f>VLOOKUP(O2Summary!$B$4,Input_Raw!$E:$AD,Input_Raw!W1,0)</f>
        <v>29602.3</v>
      </c>
      <c r="R37" s="90">
        <f>VLOOKUP(O2Summary!$B$4,Input_Raw!$E:$AD,Input_Raw!X1,0)</f>
        <v>27965.1</v>
      </c>
      <c r="S37" s="90">
        <f>VLOOKUP(O2Summary!$B$4,Input_Raw!$E:$AD,Input_Raw!Y1,0)</f>
        <v>24919.5</v>
      </c>
      <c r="T37" s="90">
        <f>VLOOKUP(O2Summary!$B$4,Input_Raw!$E:$AD,Input_Raw!Z1,0)</f>
        <v>26384.1</v>
      </c>
      <c r="U37" s="90">
        <f>VLOOKUP(O2Summary!$B$4,Input_Raw!$E:$AD,Input_Raw!AA1,0)</f>
        <v>22262.3</v>
      </c>
      <c r="V37" s="90">
        <f>VLOOKUP(O2Summary!$B$4,Input_Raw!$E:$AD,Input_Raw!AB1,0)</f>
        <v>26952</v>
      </c>
      <c r="W37" s="90">
        <f>VLOOKUP(O2Summary!$B$4,Input_Raw!$E:$AD,Input_Raw!AC1,0)</f>
        <v>26177.5</v>
      </c>
      <c r="X37" s="90">
        <f>VLOOKUP(O2Summary!$B$4,Input_Raw!$E:$AD,Input_Raw!AD1,0)</f>
        <v>28273.8</v>
      </c>
    </row>
    <row r="38" spans="1:33" ht="29.25" hidden="1" customHeight="1">
      <c r="A38" s="84" t="s">
        <v>125</v>
      </c>
      <c r="B38" s="90">
        <f>SUMIFS(Input_Raw!H:H,Input_Raw!$E:$E,"&gt;="&amp;MonthlyKPI!$A$4,Input_Raw!$E:$E,"&lt;="&amp;O2Summary!$B$4)</f>
        <v>678140.39999999991</v>
      </c>
      <c r="C38" s="90">
        <f>SUMIFS(Input_Raw!I:I,Input_Raw!$E:$E,"&gt;="&amp;MonthlyKPI!$A$4,Input_Raw!$E:$E,"&lt;="&amp;O2Summary!$B$4)</f>
        <v>697650.2</v>
      </c>
      <c r="D38" s="90">
        <f>SUMIFS(Input_Raw!J:J,Input_Raw!$E:$E,"&gt;="&amp;MonthlyKPI!$A$4,Input_Raw!$E:$E,"&lt;="&amp;O2Summary!$B$4)</f>
        <v>622348.6</v>
      </c>
      <c r="E38" s="90">
        <f>SUMIFS(Input_Raw!K:K,Input_Raw!$E:$E,"&gt;="&amp;MonthlyKPI!$A$4,Input_Raw!$E:$E,"&lt;="&amp;O2Summary!$B$4)</f>
        <v>622009.59999999998</v>
      </c>
      <c r="F38" s="90">
        <f>SUMIFS(Input_Raw!L:L,Input_Raw!$E:$E,"&gt;="&amp;MonthlyKPI!$A$4,Input_Raw!$E:$E,"&lt;="&amp;O2Summary!$B$4)</f>
        <v>668878.29999999981</v>
      </c>
      <c r="G38" s="90">
        <f>SUMIFS(Input_Raw!M:M,Input_Raw!$E:$E,"&gt;="&amp;MonthlyKPI!$A$4,Input_Raw!$E:$E,"&lt;="&amp;O2Summary!$B$4)</f>
        <v>635369.19999999995</v>
      </c>
      <c r="H38" s="90">
        <f>SUMIFS(Input_Raw!N:N,Input_Raw!$E:$E,"&gt;="&amp;MonthlyKPI!$A$4,Input_Raw!$E:$E,"&lt;="&amp;O2Summary!$B$4)</f>
        <v>627087.80000000005</v>
      </c>
      <c r="I38" s="90">
        <f>SUMIFS(Input_Raw!O:O,Input_Raw!$E:$E,"&gt;="&amp;MonthlyKPI!$A$4,Input_Raw!$E:$E,"&lt;="&amp;O2Summary!$B$4)</f>
        <v>663349.5</v>
      </c>
      <c r="J38" s="90">
        <f>SUMIFS(Input_Raw!P:P,Input_Raw!$E:$E,"&gt;="&amp;MonthlyKPI!$A$4,Input_Raw!$E:$E,"&lt;="&amp;O2Summary!$B$4)</f>
        <v>632072</v>
      </c>
      <c r="K38" s="90">
        <f>SUMIFS(Input_Raw!Q:Q,Input_Raw!$E:$E,"&gt;="&amp;MonthlyKPI!$A$4,Input_Raw!$E:$E,"&lt;="&amp;O2Summary!$B$4)</f>
        <v>648583</v>
      </c>
      <c r="L38" s="90">
        <f>SUMIFS(Input_Raw!R:R,Input_Raw!$E:$E,"&gt;="&amp;MonthlyKPI!$A$4,Input_Raw!$E:$E,"&lt;="&amp;O2Summary!$B$4)</f>
        <v>638556.10000000009</v>
      </c>
      <c r="M38" s="90">
        <f>SUMIFS(Input_Raw!S:S,Input_Raw!$E:$E,"&gt;="&amp;MonthlyKPI!$A$4,Input_Raw!$E:$E,"&lt;="&amp;O2Summary!$B$4)</f>
        <v>651585.1</v>
      </c>
      <c r="N38" s="90">
        <f>SUMIFS(Input_Raw!T:T,Input_Raw!$E:$E,"&gt;="&amp;MonthlyKPI!$A$4,Input_Raw!$E:$E,"&lt;="&amp;O2Summary!$B$4)</f>
        <v>674176.2</v>
      </c>
      <c r="O38" s="90">
        <f>SUMIFS(Input_Raw!U:U,Input_Raw!$E:$E,"&gt;="&amp;MonthlyKPI!$A$4,Input_Raw!$E:$E,"&lt;="&amp;O2Summary!$B$4)</f>
        <v>645132.19999999995</v>
      </c>
      <c r="P38" s="90">
        <f>SUMIFS(Input_Raw!V:V,Input_Raw!$E:$E,"&gt;="&amp;MonthlyKPI!$A$4,Input_Raw!$E:$E,"&lt;="&amp;O2Summary!$B$4)</f>
        <v>731759.5</v>
      </c>
      <c r="Q38" s="90">
        <f>SUMIFS(Input_Raw!W:W,Input_Raw!$E:$E,"&gt;="&amp;MonthlyKPI!$A$4,Input_Raw!$E:$E,"&lt;="&amp;O2Summary!$B$4)</f>
        <v>719996.4</v>
      </c>
      <c r="R38" s="90">
        <f>SUMIFS(Input_Raw!X:X,Input_Raw!$E:$E,"&gt;="&amp;MonthlyKPI!$A$4,Input_Raw!$E:$E,"&lt;="&amp;O2Summary!$B$4)</f>
        <v>722250.9</v>
      </c>
      <c r="S38" s="90">
        <f>SUMIFS(Input_Raw!Y:Y,Input_Raw!$E:$E,"&gt;="&amp;MonthlyKPI!$A$4,Input_Raw!$E:$E,"&lt;="&amp;O2Summary!$B$4)</f>
        <v>663108.90000000014</v>
      </c>
      <c r="T38" s="90">
        <f>SUMIFS(Input_Raw!Z:Z,Input_Raw!$E:$E,"&gt;="&amp;MonthlyKPI!$A$4,Input_Raw!$E:$E,"&lt;="&amp;O2Summary!$B$4)</f>
        <v>682616.79999999993</v>
      </c>
      <c r="U38" s="90">
        <f>SUMIFS(Input_Raw!AA:AA,Input_Raw!$E:$E,"&gt;="&amp;MonthlyKPI!$A$4,Input_Raw!$E:$E,"&lt;="&amp;O2Summary!$B$4)</f>
        <v>640894.69999999995</v>
      </c>
      <c r="V38" s="90">
        <f>SUMIFS(Input_Raw!AB:AB,Input_Raw!$E:$E,"&gt;="&amp;MonthlyKPI!$A$4,Input_Raw!$E:$E,"&lt;="&amp;O2Summary!$B$4)</f>
        <v>659849.00000000012</v>
      </c>
      <c r="W38" s="90">
        <f>SUMIFS(Input_Raw!AC:AC,Input_Raw!$E:$E,"&gt;="&amp;MonthlyKPI!$A$4,Input_Raw!$E:$E,"&lt;="&amp;O2Summary!$B$4)</f>
        <v>654251.6</v>
      </c>
      <c r="X38" s="90">
        <f>SUMIFS(Input_Raw!AD:AD,Input_Raw!$E:$E,"&gt;="&amp;MonthlyKPI!$A$4,Input_Raw!$E:$E,"&lt;="&amp;O2Summary!$B$4)</f>
        <v>707011.9</v>
      </c>
    </row>
    <row r="39" spans="1:33" ht="29.25" hidden="1" customHeight="1">
      <c r="A39" s="84" t="s">
        <v>126</v>
      </c>
      <c r="B39" s="90">
        <f>SUMIFS(Input_Raw!H:H,Input_Raw!$E:$E,"&gt;="&amp;O2Summary!$B$6,Input_Raw!$E:$E,"&lt;="&amp;O2Summary!$B$4)</f>
        <v>2620666.6999999997</v>
      </c>
      <c r="C39" s="90">
        <f>SUMIFS(Input_Raw!I:I,Input_Raw!$E:$E,"&gt;="&amp;O2Summary!$B$6,Input_Raw!$E:$E,"&lt;="&amp;O2Summary!$B$4)</f>
        <v>2578208.4000000004</v>
      </c>
      <c r="D39" s="90">
        <f>SUMIFS(Input_Raw!J:J,Input_Raw!$E:$E,"&gt;="&amp;O2Summary!$B$6,Input_Raw!$E:$E,"&lt;="&amp;O2Summary!$B$4)</f>
        <v>2360481.6</v>
      </c>
      <c r="E39" s="90">
        <f>SUMIFS(Input_Raw!K:K,Input_Raw!$E:$E,"&gt;="&amp;O2Summary!$B$6,Input_Raw!$E:$E,"&lt;="&amp;O2Summary!$B$4)</f>
        <v>2253153.5999999996</v>
      </c>
      <c r="F39" s="90">
        <f>SUMIFS(Input_Raw!L:L,Input_Raw!$E:$E,"&gt;="&amp;O2Summary!$B$6,Input_Raw!$E:$E,"&lt;="&amp;O2Summary!$B$4)</f>
        <v>2395786.8000000007</v>
      </c>
      <c r="G39" s="90">
        <f>SUMIFS(Input_Raw!M:M,Input_Raw!$E:$E,"&gt;="&amp;O2Summary!$B$6,Input_Raw!$E:$E,"&lt;="&amp;O2Summary!$B$4)</f>
        <v>2359799.4</v>
      </c>
      <c r="H39" s="90">
        <f>SUMIFS(Input_Raw!N:N,Input_Raw!$E:$E,"&gt;="&amp;O2Summary!$B$6,Input_Raw!$E:$E,"&lt;="&amp;O2Summary!$B$4)</f>
        <v>2339954</v>
      </c>
      <c r="I39" s="90">
        <f>SUMIFS(Input_Raw!O:O,Input_Raw!$E:$E,"&gt;="&amp;O2Summary!$B$6,Input_Raw!$E:$E,"&lt;="&amp;O2Summary!$B$4)</f>
        <v>2490754.3000000007</v>
      </c>
      <c r="J39" s="90">
        <f>SUMIFS(Input_Raw!P:P,Input_Raw!$E:$E,"&gt;="&amp;O2Summary!$B$6,Input_Raw!$E:$E,"&lt;="&amp;O2Summary!$B$4)</f>
        <v>2368795.4000000004</v>
      </c>
      <c r="K39" s="90">
        <f>SUMIFS(Input_Raw!Q:Q,Input_Raw!$E:$E,"&gt;="&amp;O2Summary!$B$6,Input_Raw!$E:$E,"&lt;="&amp;O2Summary!$B$4)</f>
        <v>2391098.6</v>
      </c>
      <c r="L39" s="90">
        <f>SUMIFS(Input_Raw!R:R,Input_Raw!$E:$E,"&gt;="&amp;O2Summary!$B$6,Input_Raw!$E:$E,"&lt;="&amp;O2Summary!$B$4)</f>
        <v>2362650.9000000004</v>
      </c>
      <c r="M39" s="90">
        <f>SUMIFS(Input_Raw!S:S,Input_Raw!$E:$E,"&gt;="&amp;O2Summary!$B$6,Input_Raw!$E:$E,"&lt;="&amp;O2Summary!$B$4)</f>
        <v>2454206.3000000003</v>
      </c>
      <c r="N39" s="90">
        <f>SUMIFS(Input_Raw!T:T,Input_Raw!$E:$E,"&gt;="&amp;O2Summary!$B$6,Input_Raw!$E:$E,"&lt;="&amp;O2Summary!$B$4)</f>
        <v>2479185.6000000006</v>
      </c>
      <c r="O39" s="90">
        <f>SUMIFS(Input_Raw!U:U,Input_Raw!$E:$E,"&gt;="&amp;O2Summary!$B$6,Input_Raw!$E:$E,"&lt;="&amp;O2Summary!$B$4)</f>
        <v>2367448.6999999997</v>
      </c>
      <c r="P39" s="90">
        <f>SUMIFS(Input_Raw!V:V,Input_Raw!$E:$E,"&gt;="&amp;O2Summary!$B$6,Input_Raw!$E:$E,"&lt;="&amp;O2Summary!$B$4)</f>
        <v>2730663.2</v>
      </c>
      <c r="Q39" s="90">
        <f>SUMIFS(Input_Raw!W:W,Input_Raw!$E:$E,"&gt;="&amp;O2Summary!$B$6,Input_Raw!$E:$E,"&lt;="&amp;O2Summary!$B$4)</f>
        <v>2666230.9999999991</v>
      </c>
      <c r="R39" s="90">
        <f>SUMIFS(Input_Raw!X:X,Input_Raw!$E:$E,"&gt;="&amp;O2Summary!$B$6,Input_Raw!$E:$E,"&lt;="&amp;O2Summary!$B$4)</f>
        <v>2643788.0000000005</v>
      </c>
      <c r="S39" s="90">
        <f>SUMIFS(Input_Raw!Y:Y,Input_Raw!$E:$E,"&gt;="&amp;O2Summary!$B$6,Input_Raw!$E:$E,"&lt;="&amp;O2Summary!$B$4)</f>
        <v>2365252</v>
      </c>
      <c r="T39" s="90">
        <f>SUMIFS(Input_Raw!Z:Z,Input_Raw!$E:$E,"&gt;="&amp;O2Summary!$B$6,Input_Raw!$E:$E,"&lt;="&amp;O2Summary!$B$4)</f>
        <v>2472480.0000000014</v>
      </c>
      <c r="U39" s="90">
        <f>SUMIFS(Input_Raw!AA:AA,Input_Raw!$E:$E,"&gt;="&amp;O2Summary!$B$6,Input_Raw!$E:$E,"&lt;="&amp;O2Summary!$B$4)</f>
        <v>2334607.7000000002</v>
      </c>
      <c r="V39" s="90">
        <f>SUMIFS(Input_Raw!AB:AB,Input_Raw!$E:$E,"&gt;="&amp;O2Summary!$B$6,Input_Raw!$E:$E,"&lt;="&amp;O2Summary!$B$4)</f>
        <v>2426535.9999999991</v>
      </c>
      <c r="W39" s="90">
        <f>SUMIFS(Input_Raw!AC:AC,Input_Raw!$E:$E,"&gt;="&amp;O2Summary!$B$6,Input_Raw!$E:$E,"&lt;="&amp;O2Summary!$B$4)</f>
        <v>2387790</v>
      </c>
      <c r="X39" s="90">
        <f>SUMIFS(Input_Raw!AD:AD,Input_Raw!$E:$E,"&gt;="&amp;O2Summary!$B$6,Input_Raw!$E:$E,"&lt;="&amp;O2Summary!$B$4)</f>
        <v>2542904.3000000003</v>
      </c>
    </row>
    <row r="40" spans="1:33" ht="29.25" hidden="1" customHeight="1">
      <c r="A40" s="84" t="s">
        <v>127</v>
      </c>
      <c r="B40" s="90">
        <f>RANK(B37,$B37:$X37)</f>
        <v>6</v>
      </c>
      <c r="C40" s="90">
        <f t="shared" ref="C40:X40" si="20">RANK(C37,$B37:$X37)</f>
        <v>4</v>
      </c>
      <c r="D40" s="90">
        <f t="shared" si="20"/>
        <v>20</v>
      </c>
      <c r="E40" s="90">
        <f t="shared" si="20"/>
        <v>19</v>
      </c>
      <c r="F40" s="90">
        <f t="shared" si="20"/>
        <v>12</v>
      </c>
      <c r="G40" s="90">
        <f t="shared" si="20"/>
        <v>13</v>
      </c>
      <c r="H40" s="90">
        <f t="shared" si="20"/>
        <v>21</v>
      </c>
      <c r="I40" s="90">
        <f t="shared" si="20"/>
        <v>17</v>
      </c>
      <c r="J40" s="90">
        <f t="shared" si="20"/>
        <v>15</v>
      </c>
      <c r="K40" s="90">
        <f t="shared" si="20"/>
        <v>23</v>
      </c>
      <c r="L40" s="90">
        <f t="shared" si="20"/>
        <v>16</v>
      </c>
      <c r="M40" s="90">
        <f t="shared" si="20"/>
        <v>14</v>
      </c>
      <c r="N40" s="90">
        <f t="shared" si="20"/>
        <v>9</v>
      </c>
      <c r="O40" s="90">
        <f t="shared" si="20"/>
        <v>18</v>
      </c>
      <c r="P40" s="90">
        <f t="shared" si="20"/>
        <v>5</v>
      </c>
      <c r="Q40" s="90">
        <f t="shared" si="20"/>
        <v>1</v>
      </c>
      <c r="R40" s="90">
        <f t="shared" si="20"/>
        <v>3</v>
      </c>
      <c r="S40" s="90">
        <f t="shared" si="20"/>
        <v>11</v>
      </c>
      <c r="T40" s="90">
        <f t="shared" si="20"/>
        <v>8</v>
      </c>
      <c r="U40" s="90">
        <f t="shared" si="20"/>
        <v>22</v>
      </c>
      <c r="V40" s="90">
        <f t="shared" si="20"/>
        <v>7</v>
      </c>
      <c r="W40" s="90">
        <f t="shared" si="20"/>
        <v>10</v>
      </c>
      <c r="X40" s="90">
        <f t="shared" si="20"/>
        <v>2</v>
      </c>
    </row>
    <row r="41" spans="1:33" ht="29.25" hidden="1" customHeight="1">
      <c r="A41" s="84" t="s">
        <v>128</v>
      </c>
      <c r="B41" s="90">
        <f t="shared" ref="B41:X41" si="21">RANK(B38,$B38:$X38)</f>
        <v>7</v>
      </c>
      <c r="C41" s="90">
        <f t="shared" si="21"/>
        <v>5</v>
      </c>
      <c r="D41" s="90">
        <f t="shared" si="21"/>
        <v>22</v>
      </c>
      <c r="E41" s="90">
        <f t="shared" si="21"/>
        <v>23</v>
      </c>
      <c r="F41" s="90">
        <f t="shared" si="21"/>
        <v>9</v>
      </c>
      <c r="G41" s="90">
        <f t="shared" si="21"/>
        <v>19</v>
      </c>
      <c r="H41" s="90">
        <f t="shared" si="21"/>
        <v>21</v>
      </c>
      <c r="I41" s="90">
        <f t="shared" si="21"/>
        <v>10</v>
      </c>
      <c r="J41" s="90">
        <f t="shared" si="21"/>
        <v>20</v>
      </c>
      <c r="K41" s="90">
        <f t="shared" si="21"/>
        <v>15</v>
      </c>
      <c r="L41" s="90">
        <f t="shared" si="21"/>
        <v>18</v>
      </c>
      <c r="M41" s="90">
        <f t="shared" si="21"/>
        <v>14</v>
      </c>
      <c r="N41" s="90">
        <f t="shared" si="21"/>
        <v>8</v>
      </c>
      <c r="O41" s="90">
        <f t="shared" si="21"/>
        <v>16</v>
      </c>
      <c r="P41" s="90">
        <f t="shared" si="21"/>
        <v>1</v>
      </c>
      <c r="Q41" s="90">
        <f t="shared" si="21"/>
        <v>3</v>
      </c>
      <c r="R41" s="90">
        <f t="shared" si="21"/>
        <v>2</v>
      </c>
      <c r="S41" s="90">
        <f t="shared" si="21"/>
        <v>11</v>
      </c>
      <c r="T41" s="90">
        <f t="shared" si="21"/>
        <v>6</v>
      </c>
      <c r="U41" s="90">
        <f t="shared" si="21"/>
        <v>17</v>
      </c>
      <c r="V41" s="90">
        <f t="shared" si="21"/>
        <v>12</v>
      </c>
      <c r="W41" s="90">
        <f t="shared" si="21"/>
        <v>13</v>
      </c>
      <c r="X41" s="90">
        <f t="shared" si="21"/>
        <v>4</v>
      </c>
    </row>
    <row r="42" spans="1:33" ht="29.25" hidden="1" customHeight="1">
      <c r="A42" s="84" t="s">
        <v>129</v>
      </c>
      <c r="B42" s="90">
        <f t="shared" ref="B42:X42" si="22">RANK(B39,$B39:$X39)</f>
        <v>4</v>
      </c>
      <c r="C42" s="90">
        <f t="shared" si="22"/>
        <v>5</v>
      </c>
      <c r="D42" s="90">
        <f t="shared" si="22"/>
        <v>19</v>
      </c>
      <c r="E42" s="90">
        <f t="shared" si="22"/>
        <v>23</v>
      </c>
      <c r="F42" s="90">
        <f t="shared" si="22"/>
        <v>12</v>
      </c>
      <c r="G42" s="90">
        <f t="shared" si="22"/>
        <v>20</v>
      </c>
      <c r="H42" s="90">
        <f t="shared" si="22"/>
        <v>21</v>
      </c>
      <c r="I42" s="90">
        <f t="shared" si="22"/>
        <v>7</v>
      </c>
      <c r="J42" s="90">
        <f t="shared" si="22"/>
        <v>15</v>
      </c>
      <c r="K42" s="90">
        <f t="shared" si="22"/>
        <v>13</v>
      </c>
      <c r="L42" s="90">
        <f t="shared" si="22"/>
        <v>18</v>
      </c>
      <c r="M42" s="90">
        <f t="shared" si="22"/>
        <v>10</v>
      </c>
      <c r="N42" s="90">
        <f t="shared" si="22"/>
        <v>8</v>
      </c>
      <c r="O42" s="90">
        <f t="shared" si="22"/>
        <v>16</v>
      </c>
      <c r="P42" s="90">
        <f t="shared" si="22"/>
        <v>1</v>
      </c>
      <c r="Q42" s="90">
        <f t="shared" si="22"/>
        <v>2</v>
      </c>
      <c r="R42" s="90">
        <f t="shared" si="22"/>
        <v>3</v>
      </c>
      <c r="S42" s="90">
        <f t="shared" si="22"/>
        <v>17</v>
      </c>
      <c r="T42" s="90">
        <f t="shared" si="22"/>
        <v>9</v>
      </c>
      <c r="U42" s="90">
        <f t="shared" si="22"/>
        <v>22</v>
      </c>
      <c r="V42" s="90">
        <f t="shared" si="22"/>
        <v>11</v>
      </c>
      <c r="W42" s="90">
        <f t="shared" si="22"/>
        <v>14</v>
      </c>
      <c r="X42" s="90">
        <f t="shared" si="22"/>
        <v>6</v>
      </c>
    </row>
    <row r="43" spans="1:33" ht="29.25" customHeight="1">
      <c r="A43" s="91"/>
      <c r="B43" s="90" t="s">
        <v>130</v>
      </c>
      <c r="C43" s="90" t="s">
        <v>131</v>
      </c>
    </row>
    <row r="44" spans="1:33" ht="29.25" customHeight="1">
      <c r="B44" s="92">
        <f>C44</f>
        <v>2616</v>
      </c>
      <c r="C44" s="90">
        <f>(O2Summary!B4-O2Summary!B6)*24</f>
        <v>2616</v>
      </c>
    </row>
    <row r="47" spans="1:33" ht="15.5">
      <c r="A47" s="282" t="s">
        <v>132</v>
      </c>
      <c r="B47" s="294" t="s">
        <v>133</v>
      </c>
      <c r="C47" s="295" t="s">
        <v>134</v>
      </c>
      <c r="D47" s="93" t="s">
        <v>135</v>
      </c>
      <c r="E47" s="93" t="s">
        <v>136</v>
      </c>
    </row>
    <row r="48" spans="1:33" ht="15.5">
      <c r="A48" s="290" t="s">
        <v>137</v>
      </c>
      <c r="B48" s="286">
        <v>1364.985833333305</v>
      </c>
      <c r="C48" s="287">
        <v>354</v>
      </c>
      <c r="D48" s="94">
        <f>B48/C48</f>
        <v>3.8558921845573586</v>
      </c>
      <c r="E48" s="94">
        <f>($B$44-B48)/C48</f>
        <v>3.5339383239172175</v>
      </c>
    </row>
    <row r="49" spans="1:5" ht="15.5">
      <c r="A49" s="283" t="s">
        <v>1472</v>
      </c>
      <c r="B49" s="288">
        <v>1029.7419444443085</v>
      </c>
      <c r="C49" s="284">
        <v>49</v>
      </c>
      <c r="D49" s="94">
        <f t="shared" ref="D49:D112" si="23">B49/C49</f>
        <v>21.015141723353235</v>
      </c>
      <c r="E49" s="94">
        <f t="shared" ref="E49:E112" si="24">($B$44-B49)/C49</f>
        <v>32.372613378687582</v>
      </c>
    </row>
    <row r="50" spans="1:5" ht="15.5">
      <c r="A50" s="283" t="s">
        <v>871</v>
      </c>
      <c r="B50" s="288">
        <v>615.25833333325761</v>
      </c>
      <c r="C50" s="284">
        <v>139</v>
      </c>
      <c r="D50" s="94">
        <f t="shared" si="23"/>
        <v>4.4263189448435796</v>
      </c>
      <c r="E50" s="94">
        <f t="shared" si="24"/>
        <v>14.393824940048505</v>
      </c>
    </row>
    <row r="51" spans="1:5" ht="15.5">
      <c r="A51" s="290" t="s">
        <v>257</v>
      </c>
      <c r="B51" s="288">
        <v>315.71666666666658</v>
      </c>
      <c r="C51" s="284">
        <v>101</v>
      </c>
      <c r="D51" s="94">
        <f t="shared" si="23"/>
        <v>3.1259075907590752</v>
      </c>
      <c r="E51" s="94">
        <f t="shared" si="24"/>
        <v>22.775082508250826</v>
      </c>
    </row>
    <row r="52" spans="1:5" ht="15.5">
      <c r="A52" s="283" t="s">
        <v>141</v>
      </c>
      <c r="B52" s="288">
        <v>293.93194444430162</v>
      </c>
      <c r="C52" s="284">
        <v>95</v>
      </c>
      <c r="D52" s="94">
        <f t="shared" si="23"/>
        <v>3.094020467834754</v>
      </c>
      <c r="E52" s="94">
        <f t="shared" si="24"/>
        <v>24.442821637428402</v>
      </c>
    </row>
    <row r="53" spans="1:5" ht="15.5">
      <c r="A53" s="283" t="s">
        <v>785</v>
      </c>
      <c r="B53" s="288">
        <v>250.41194444442772</v>
      </c>
      <c r="C53" s="284">
        <v>15</v>
      </c>
      <c r="D53" s="94">
        <f t="shared" si="23"/>
        <v>16.694129629628513</v>
      </c>
      <c r="E53" s="94">
        <f t="shared" si="24"/>
        <v>157.70587037037149</v>
      </c>
    </row>
    <row r="54" spans="1:5" ht="15.5">
      <c r="A54" s="290" t="s">
        <v>1963</v>
      </c>
      <c r="B54" s="288">
        <v>226.07833333358178</v>
      </c>
      <c r="C54" s="284">
        <v>615</v>
      </c>
      <c r="D54" s="94">
        <f t="shared" si="23"/>
        <v>0.3676070460708647</v>
      </c>
      <c r="E54" s="94">
        <f t="shared" si="24"/>
        <v>3.8860514905145012</v>
      </c>
    </row>
    <row r="55" spans="1:5" ht="15.5">
      <c r="A55" s="283" t="s">
        <v>140</v>
      </c>
      <c r="B55" s="288">
        <v>178.98083333297762</v>
      </c>
      <c r="C55" s="284">
        <v>114</v>
      </c>
      <c r="D55" s="94">
        <f t="shared" si="23"/>
        <v>1.5700073099384002</v>
      </c>
      <c r="E55" s="94">
        <f t="shared" si="24"/>
        <v>21.377361111114233</v>
      </c>
    </row>
    <row r="56" spans="1:5" ht="15.5">
      <c r="A56" s="283" t="s">
        <v>720</v>
      </c>
      <c r="B56" s="288">
        <v>144.16444444444443</v>
      </c>
      <c r="C56" s="284">
        <v>19</v>
      </c>
      <c r="D56" s="94">
        <f t="shared" si="23"/>
        <v>7.5876023391812852</v>
      </c>
      <c r="E56" s="94">
        <f t="shared" si="24"/>
        <v>130.09660818713451</v>
      </c>
    </row>
    <row r="57" spans="1:5" ht="15.5">
      <c r="A57" s="291" t="s">
        <v>291</v>
      </c>
      <c r="B57" s="288">
        <v>61.165555555474327</v>
      </c>
      <c r="C57" s="284">
        <v>29</v>
      </c>
      <c r="D57" s="94">
        <f t="shared" si="23"/>
        <v>2.1091570881198045</v>
      </c>
      <c r="E57" s="94">
        <f t="shared" si="24"/>
        <v>88.097739463604327</v>
      </c>
    </row>
    <row r="58" spans="1:5" ht="15.5">
      <c r="A58" s="292" t="s">
        <v>332</v>
      </c>
      <c r="B58" s="288">
        <v>59.394444444002346</v>
      </c>
      <c r="C58" s="284">
        <v>20</v>
      </c>
      <c r="D58" s="94">
        <f t="shared" si="23"/>
        <v>2.9697222222001174</v>
      </c>
      <c r="E58" s="94">
        <f t="shared" si="24"/>
        <v>127.83027777779989</v>
      </c>
    </row>
    <row r="59" spans="1:5" ht="15.5">
      <c r="A59" s="283" t="s">
        <v>378</v>
      </c>
      <c r="B59" s="288">
        <v>55.336666666526753</v>
      </c>
      <c r="C59" s="284">
        <v>144</v>
      </c>
      <c r="D59" s="94">
        <f t="shared" si="23"/>
        <v>0.38428240740643577</v>
      </c>
      <c r="E59" s="94">
        <f t="shared" si="24"/>
        <v>17.78238425926023</v>
      </c>
    </row>
    <row r="60" spans="1:5" ht="15.5">
      <c r="A60" s="291" t="s">
        <v>279</v>
      </c>
      <c r="B60" s="288">
        <v>53.451944444679846</v>
      </c>
      <c r="C60" s="284">
        <v>31</v>
      </c>
      <c r="D60" s="94">
        <f t="shared" si="23"/>
        <v>1.7242562724090273</v>
      </c>
      <c r="E60" s="94">
        <f t="shared" si="24"/>
        <v>82.662840501784515</v>
      </c>
    </row>
    <row r="61" spans="1:5" ht="15.5">
      <c r="A61" s="293" t="s">
        <v>704</v>
      </c>
      <c r="B61" s="288">
        <v>48.433333333333479</v>
      </c>
      <c r="C61" s="284">
        <v>26</v>
      </c>
      <c r="D61" s="94">
        <f t="shared" si="23"/>
        <v>1.8628205128205184</v>
      </c>
      <c r="E61" s="94">
        <f t="shared" si="24"/>
        <v>98.752564102564094</v>
      </c>
    </row>
    <row r="62" spans="1:5" ht="15.5">
      <c r="A62" s="293" t="s">
        <v>293</v>
      </c>
      <c r="B62" s="288">
        <v>45.03333333333336</v>
      </c>
      <c r="C62" s="284">
        <v>4</v>
      </c>
      <c r="D62" s="94">
        <f t="shared" si="23"/>
        <v>11.25833333333334</v>
      </c>
      <c r="E62" s="94">
        <f t="shared" si="24"/>
        <v>642.74166666666667</v>
      </c>
    </row>
    <row r="63" spans="1:5" ht="15.5">
      <c r="A63" s="293" t="s">
        <v>352</v>
      </c>
      <c r="B63" s="288">
        <v>43.739722222222191</v>
      </c>
      <c r="C63" s="284">
        <v>12</v>
      </c>
      <c r="D63" s="94">
        <f t="shared" si="23"/>
        <v>3.6449768518518493</v>
      </c>
      <c r="E63" s="94">
        <f t="shared" si="24"/>
        <v>214.35502314814815</v>
      </c>
    </row>
    <row r="64" spans="1:5" ht="15.5">
      <c r="A64" s="293" t="s">
        <v>364</v>
      </c>
      <c r="B64" s="288">
        <v>37.128611111073404</v>
      </c>
      <c r="C64" s="284">
        <v>84</v>
      </c>
      <c r="D64" s="94">
        <f t="shared" si="23"/>
        <v>0.44200727513182625</v>
      </c>
      <c r="E64" s="94">
        <f t="shared" si="24"/>
        <v>30.700849867725317</v>
      </c>
    </row>
    <row r="65" spans="1:5" ht="15.5">
      <c r="A65" s="293" t="s">
        <v>292</v>
      </c>
      <c r="B65" s="288">
        <v>34.430277777777825</v>
      </c>
      <c r="C65" s="284">
        <v>13</v>
      </c>
      <c r="D65" s="94">
        <f t="shared" si="23"/>
        <v>2.6484829059829096</v>
      </c>
      <c r="E65" s="94">
        <f t="shared" si="24"/>
        <v>198.58228632478631</v>
      </c>
    </row>
    <row r="66" spans="1:5" ht="15.5">
      <c r="A66" s="293" t="s">
        <v>276</v>
      </c>
      <c r="B66" s="288">
        <v>34.200000000000209</v>
      </c>
      <c r="C66" s="284">
        <v>82</v>
      </c>
      <c r="D66" s="94">
        <f t="shared" si="23"/>
        <v>0.41707317073170985</v>
      </c>
      <c r="E66" s="94">
        <f t="shared" si="24"/>
        <v>31.485365853658532</v>
      </c>
    </row>
    <row r="67" spans="1:5" ht="15.5">
      <c r="A67" s="292" t="s">
        <v>365</v>
      </c>
      <c r="B67" s="288">
        <v>33.35</v>
      </c>
      <c r="C67" s="284">
        <v>26</v>
      </c>
      <c r="D67" s="94">
        <f t="shared" si="23"/>
        <v>1.2826923076923078</v>
      </c>
      <c r="E67" s="94">
        <f t="shared" si="24"/>
        <v>99.332692307692312</v>
      </c>
    </row>
    <row r="68" spans="1:5" ht="15.5">
      <c r="A68" s="283" t="s">
        <v>3042</v>
      </c>
      <c r="B68" s="288">
        <v>29.151944444444442</v>
      </c>
      <c r="C68" s="284">
        <v>18</v>
      </c>
      <c r="D68" s="94">
        <f t="shared" si="23"/>
        <v>1.6195524691358023</v>
      </c>
      <c r="E68" s="94">
        <f t="shared" si="24"/>
        <v>143.71378086419753</v>
      </c>
    </row>
    <row r="69" spans="1:5" ht="15.5">
      <c r="A69" s="291" t="s">
        <v>326</v>
      </c>
      <c r="B69" s="288">
        <v>28.366666666666703</v>
      </c>
      <c r="C69" s="284">
        <v>3</v>
      </c>
      <c r="D69" s="94">
        <f t="shared" si="23"/>
        <v>9.4555555555555681</v>
      </c>
      <c r="E69" s="94">
        <f t="shared" si="24"/>
        <v>862.54444444444437</v>
      </c>
    </row>
    <row r="70" spans="1:5" ht="15.5">
      <c r="A70" s="292" t="s">
        <v>330</v>
      </c>
      <c r="B70" s="288">
        <v>27.250000000000021</v>
      </c>
      <c r="C70" s="284">
        <v>13</v>
      </c>
      <c r="D70" s="94">
        <f t="shared" si="23"/>
        <v>2.0961538461538476</v>
      </c>
      <c r="E70" s="94">
        <f t="shared" si="24"/>
        <v>199.13461538461539</v>
      </c>
    </row>
    <row r="71" spans="1:5" ht="15.5">
      <c r="A71" s="283" t="s">
        <v>1451</v>
      </c>
      <c r="B71" s="288">
        <v>25.916666666666664</v>
      </c>
      <c r="C71" s="284">
        <v>3</v>
      </c>
      <c r="D71" s="94">
        <f t="shared" si="23"/>
        <v>8.6388888888888875</v>
      </c>
      <c r="E71" s="94">
        <f t="shared" si="24"/>
        <v>863.3611111111112</v>
      </c>
    </row>
    <row r="72" spans="1:5" ht="15.5">
      <c r="A72" s="283" t="s">
        <v>1242</v>
      </c>
      <c r="B72" s="288">
        <v>25.730277777758893</v>
      </c>
      <c r="C72" s="284">
        <v>16</v>
      </c>
      <c r="D72" s="94">
        <f t="shared" si="23"/>
        <v>1.6081423611099308</v>
      </c>
      <c r="E72" s="94">
        <f t="shared" si="24"/>
        <v>161.89185763889006</v>
      </c>
    </row>
    <row r="73" spans="1:5" ht="15.5">
      <c r="A73" s="291" t="s">
        <v>1739</v>
      </c>
      <c r="B73" s="288">
        <v>24.866666666666802</v>
      </c>
      <c r="C73" s="284">
        <v>21</v>
      </c>
      <c r="D73" s="94">
        <f t="shared" si="23"/>
        <v>1.1841269841269906</v>
      </c>
      <c r="E73" s="94">
        <f t="shared" si="24"/>
        <v>123.38730158730158</v>
      </c>
    </row>
    <row r="74" spans="1:5" ht="15.5">
      <c r="A74" s="293" t="s">
        <v>271</v>
      </c>
      <c r="B74" s="288">
        <v>24.633333333333336</v>
      </c>
      <c r="C74" s="284">
        <v>2</v>
      </c>
      <c r="D74" s="94">
        <f t="shared" si="23"/>
        <v>12.316666666666668</v>
      </c>
      <c r="E74" s="94">
        <f t="shared" si="24"/>
        <v>1295.6833333333334</v>
      </c>
    </row>
    <row r="75" spans="1:5" ht="15.5">
      <c r="A75" s="293" t="s">
        <v>353</v>
      </c>
      <c r="B75" s="288">
        <v>22.238611111010496</v>
      </c>
      <c r="C75" s="284">
        <v>51</v>
      </c>
      <c r="D75" s="94">
        <f t="shared" si="23"/>
        <v>0.43605119825510774</v>
      </c>
      <c r="E75" s="94">
        <f t="shared" si="24"/>
        <v>50.858066448803719</v>
      </c>
    </row>
    <row r="76" spans="1:5" ht="15.5">
      <c r="A76" s="293" t="s">
        <v>331</v>
      </c>
      <c r="B76" s="288">
        <v>20.949999999999996</v>
      </c>
      <c r="C76" s="284">
        <v>4</v>
      </c>
      <c r="D76" s="94">
        <f t="shared" si="23"/>
        <v>5.2374999999999989</v>
      </c>
      <c r="E76" s="94">
        <f t="shared" si="24"/>
        <v>648.76250000000005</v>
      </c>
    </row>
    <row r="77" spans="1:5" ht="15.5">
      <c r="A77" s="293" t="s">
        <v>286</v>
      </c>
      <c r="B77" s="288">
        <v>20.716666666666683</v>
      </c>
      <c r="C77" s="284">
        <v>2</v>
      </c>
      <c r="D77" s="94">
        <f t="shared" si="23"/>
        <v>10.358333333333341</v>
      </c>
      <c r="E77" s="94">
        <f t="shared" si="24"/>
        <v>1297.6416666666667</v>
      </c>
    </row>
    <row r="78" spans="1:5" ht="15.5">
      <c r="A78" s="292" t="s">
        <v>275</v>
      </c>
      <c r="B78" s="288">
        <v>20.1666666666667</v>
      </c>
      <c r="C78" s="284">
        <v>5</v>
      </c>
      <c r="D78" s="94">
        <f t="shared" si="23"/>
        <v>4.0333333333333403</v>
      </c>
      <c r="E78" s="94">
        <f t="shared" si="24"/>
        <v>519.16666666666674</v>
      </c>
    </row>
    <row r="79" spans="1:5" ht="15.5">
      <c r="A79" s="290" t="s">
        <v>374</v>
      </c>
      <c r="B79" s="288">
        <v>19.912777777931986</v>
      </c>
      <c r="C79" s="284">
        <v>14</v>
      </c>
      <c r="D79" s="94">
        <f t="shared" si="23"/>
        <v>1.4223412698522846</v>
      </c>
      <c r="E79" s="94">
        <f t="shared" si="24"/>
        <v>185.43480158729056</v>
      </c>
    </row>
    <row r="80" spans="1:5" ht="15.5">
      <c r="A80" s="291" t="s">
        <v>274</v>
      </c>
      <c r="B80" s="288">
        <v>17.25</v>
      </c>
      <c r="C80" s="284">
        <v>2</v>
      </c>
      <c r="D80" s="94">
        <f t="shared" si="23"/>
        <v>8.625</v>
      </c>
      <c r="E80" s="94">
        <f t="shared" si="24"/>
        <v>1299.375</v>
      </c>
    </row>
    <row r="81" spans="1:5" ht="15.5">
      <c r="A81" s="293" t="s">
        <v>323</v>
      </c>
      <c r="B81" s="288">
        <v>16.951111112390976</v>
      </c>
      <c r="C81" s="284">
        <v>24</v>
      </c>
      <c r="D81" s="94">
        <f t="shared" si="23"/>
        <v>0.70629629634962399</v>
      </c>
      <c r="E81" s="94">
        <f t="shared" si="24"/>
        <v>108.29370370365037</v>
      </c>
    </row>
    <row r="82" spans="1:5" ht="15.5">
      <c r="A82" s="292" t="s">
        <v>366</v>
      </c>
      <c r="B82" s="288">
        <v>16.819444444414941</v>
      </c>
      <c r="C82" s="284">
        <v>14</v>
      </c>
      <c r="D82" s="94">
        <f t="shared" si="23"/>
        <v>1.2013888888867814</v>
      </c>
      <c r="E82" s="94">
        <f t="shared" si="24"/>
        <v>185.65575396825608</v>
      </c>
    </row>
    <row r="83" spans="1:5" ht="15.5">
      <c r="A83" s="283" t="s">
        <v>144</v>
      </c>
      <c r="B83" s="288">
        <v>16.279722222298549</v>
      </c>
      <c r="C83" s="284">
        <v>32</v>
      </c>
      <c r="D83" s="94">
        <f t="shared" si="23"/>
        <v>0.50874131944682965</v>
      </c>
      <c r="E83" s="94">
        <f t="shared" si="24"/>
        <v>81.241258680553173</v>
      </c>
    </row>
    <row r="84" spans="1:5" ht="15.5">
      <c r="A84" s="283" t="s">
        <v>1623</v>
      </c>
      <c r="B84" s="288">
        <v>15.865555555555551</v>
      </c>
      <c r="C84" s="284">
        <v>8</v>
      </c>
      <c r="D84" s="94">
        <f t="shared" si="23"/>
        <v>1.9831944444444438</v>
      </c>
      <c r="E84" s="94">
        <f t="shared" si="24"/>
        <v>325.01680555555555</v>
      </c>
    </row>
    <row r="85" spans="1:5" ht="15.5">
      <c r="A85" s="290" t="s">
        <v>287</v>
      </c>
      <c r="B85" s="288">
        <v>15.566666666666663</v>
      </c>
      <c r="C85" s="284">
        <v>3</v>
      </c>
      <c r="D85" s="94">
        <f t="shared" si="23"/>
        <v>5.1888888888888873</v>
      </c>
      <c r="E85" s="94">
        <f t="shared" si="24"/>
        <v>866.81111111111113</v>
      </c>
    </row>
    <row r="86" spans="1:5" ht="15.5">
      <c r="A86" s="283" t="s">
        <v>2101</v>
      </c>
      <c r="B86" s="288">
        <v>15.416666666666664</v>
      </c>
      <c r="C86" s="284">
        <v>8</v>
      </c>
      <c r="D86" s="94">
        <f t="shared" si="23"/>
        <v>1.927083333333333</v>
      </c>
      <c r="E86" s="94">
        <f t="shared" si="24"/>
        <v>325.07291666666669</v>
      </c>
    </row>
    <row r="87" spans="1:5" ht="15.5">
      <c r="A87" s="291" t="s">
        <v>298</v>
      </c>
      <c r="B87" s="288">
        <v>14.426111111111108</v>
      </c>
      <c r="C87" s="284">
        <v>3</v>
      </c>
      <c r="D87" s="94">
        <f t="shared" si="23"/>
        <v>4.8087037037037028</v>
      </c>
      <c r="E87" s="94">
        <f t="shared" si="24"/>
        <v>867.1912962962964</v>
      </c>
    </row>
    <row r="88" spans="1:5" ht="15.5">
      <c r="A88" s="292" t="s">
        <v>297</v>
      </c>
      <c r="B88" s="288">
        <v>13.690277777777776</v>
      </c>
      <c r="C88" s="284">
        <v>8</v>
      </c>
      <c r="D88" s="94">
        <f t="shared" si="23"/>
        <v>1.7112847222222221</v>
      </c>
      <c r="E88" s="94">
        <f t="shared" si="24"/>
        <v>325.28871527777778</v>
      </c>
    </row>
    <row r="89" spans="1:5" ht="15.5">
      <c r="A89" s="283" t="s">
        <v>377</v>
      </c>
      <c r="B89" s="288">
        <v>13.366666666666678</v>
      </c>
      <c r="C89" s="284">
        <v>14</v>
      </c>
      <c r="D89" s="94">
        <f t="shared" si="23"/>
        <v>0.95476190476190559</v>
      </c>
      <c r="E89" s="94">
        <f t="shared" si="24"/>
        <v>185.90238095238095</v>
      </c>
    </row>
    <row r="90" spans="1:5" ht="15.5">
      <c r="A90" s="283" t="s">
        <v>899</v>
      </c>
      <c r="B90" s="288">
        <v>12.900000000000002</v>
      </c>
      <c r="C90" s="284">
        <v>4</v>
      </c>
      <c r="D90" s="94">
        <f t="shared" si="23"/>
        <v>3.2250000000000005</v>
      </c>
      <c r="E90" s="94">
        <f t="shared" si="24"/>
        <v>650.77499999999998</v>
      </c>
    </row>
    <row r="91" spans="1:5" ht="15.5">
      <c r="A91" s="291" t="s">
        <v>260</v>
      </c>
      <c r="B91" s="288">
        <v>12.583333333333343</v>
      </c>
      <c r="C91" s="284">
        <v>4</v>
      </c>
      <c r="D91" s="94">
        <f t="shared" si="23"/>
        <v>3.1458333333333357</v>
      </c>
      <c r="E91" s="94">
        <f t="shared" si="24"/>
        <v>650.85416666666663</v>
      </c>
    </row>
    <row r="92" spans="1:5" ht="15.5">
      <c r="A92" s="293" t="s">
        <v>325</v>
      </c>
      <c r="B92" s="288">
        <v>12.433333333333476</v>
      </c>
      <c r="C92" s="284">
        <v>34</v>
      </c>
      <c r="D92" s="94">
        <f t="shared" si="23"/>
        <v>0.36568627450980812</v>
      </c>
      <c r="E92" s="94">
        <f t="shared" si="24"/>
        <v>76.575490196078434</v>
      </c>
    </row>
    <row r="93" spans="1:5" ht="15.5">
      <c r="A93" s="293" t="s">
        <v>263</v>
      </c>
      <c r="B93" s="288">
        <v>12.283333333333328</v>
      </c>
      <c r="C93" s="284">
        <v>2</v>
      </c>
      <c r="D93" s="94">
        <f t="shared" si="23"/>
        <v>6.1416666666666639</v>
      </c>
      <c r="E93" s="94">
        <f t="shared" si="24"/>
        <v>1301.8583333333333</v>
      </c>
    </row>
    <row r="94" spans="1:5" ht="15.5">
      <c r="A94" s="293" t="s">
        <v>254</v>
      </c>
      <c r="B94" s="288">
        <v>12.033333333333314</v>
      </c>
      <c r="C94" s="284">
        <v>2</v>
      </c>
      <c r="D94" s="94">
        <f t="shared" si="23"/>
        <v>6.0166666666666568</v>
      </c>
      <c r="E94" s="94">
        <f t="shared" si="24"/>
        <v>1301.9833333333333</v>
      </c>
    </row>
    <row r="95" spans="1:5" ht="15.5">
      <c r="A95" s="292" t="s">
        <v>316</v>
      </c>
      <c r="B95" s="288">
        <v>11.950000000000008</v>
      </c>
      <c r="C95" s="284">
        <v>1</v>
      </c>
      <c r="D95" s="94">
        <f t="shared" si="23"/>
        <v>11.950000000000008</v>
      </c>
      <c r="E95" s="94">
        <f t="shared" si="24"/>
        <v>2604.0500000000002</v>
      </c>
    </row>
    <row r="96" spans="1:5" ht="15.5">
      <c r="A96" s="290" t="s">
        <v>379</v>
      </c>
      <c r="B96" s="288">
        <v>11.933333333333358</v>
      </c>
      <c r="C96" s="284">
        <v>8</v>
      </c>
      <c r="D96" s="94">
        <f t="shared" si="23"/>
        <v>1.4916666666666698</v>
      </c>
      <c r="E96" s="94">
        <f t="shared" si="24"/>
        <v>325.50833333333333</v>
      </c>
    </row>
    <row r="97" spans="1:5" ht="15.5">
      <c r="A97" s="290" t="s">
        <v>269</v>
      </c>
      <c r="B97" s="288">
        <v>11.333055555555553</v>
      </c>
      <c r="C97" s="284">
        <v>2</v>
      </c>
      <c r="D97" s="94">
        <f t="shared" si="23"/>
        <v>5.6665277777777767</v>
      </c>
      <c r="E97" s="94">
        <f t="shared" si="24"/>
        <v>1302.3334722222223</v>
      </c>
    </row>
    <row r="98" spans="1:5" ht="15.5">
      <c r="A98" s="283" t="s">
        <v>2569</v>
      </c>
      <c r="B98" s="288">
        <v>11.016666666666666</v>
      </c>
      <c r="C98" s="284">
        <v>4</v>
      </c>
      <c r="D98" s="94">
        <f t="shared" si="23"/>
        <v>2.7541666666666664</v>
      </c>
      <c r="E98" s="94">
        <f t="shared" si="24"/>
        <v>651.24583333333328</v>
      </c>
    </row>
    <row r="99" spans="1:5" ht="15.5">
      <c r="A99" s="283" t="s">
        <v>370</v>
      </c>
      <c r="B99" s="288">
        <v>10.602222222222212</v>
      </c>
      <c r="C99" s="284">
        <v>5</v>
      </c>
      <c r="D99" s="94">
        <f t="shared" si="23"/>
        <v>2.1204444444444421</v>
      </c>
      <c r="E99" s="94">
        <f t="shared" si="24"/>
        <v>521.07955555555554</v>
      </c>
    </row>
    <row r="100" spans="1:5" ht="15.5">
      <c r="A100" s="290" t="s">
        <v>357</v>
      </c>
      <c r="B100" s="288">
        <v>10.549999999999997</v>
      </c>
      <c r="C100" s="284">
        <v>3</v>
      </c>
      <c r="D100" s="94">
        <f t="shared" si="23"/>
        <v>3.5166666666666657</v>
      </c>
      <c r="E100" s="94">
        <f t="shared" si="24"/>
        <v>868.48333333333323</v>
      </c>
    </row>
    <row r="101" spans="1:5" ht="15.5">
      <c r="A101" s="283" t="s">
        <v>2570</v>
      </c>
      <c r="B101" s="288">
        <v>10.541666666731341</v>
      </c>
      <c r="C101" s="284">
        <v>2</v>
      </c>
      <c r="D101" s="94">
        <f t="shared" si="23"/>
        <v>5.2708333333656707</v>
      </c>
      <c r="E101" s="94">
        <f t="shared" si="24"/>
        <v>1302.7291666666342</v>
      </c>
    </row>
    <row r="102" spans="1:5" ht="15.5">
      <c r="A102" s="291" t="s">
        <v>261</v>
      </c>
      <c r="B102" s="288">
        <v>10.39999999999999</v>
      </c>
      <c r="C102" s="284">
        <v>4</v>
      </c>
      <c r="D102" s="94">
        <f t="shared" si="23"/>
        <v>2.5999999999999974</v>
      </c>
      <c r="E102" s="94">
        <f t="shared" si="24"/>
        <v>651.4</v>
      </c>
    </row>
    <row r="103" spans="1:5" ht="15.5">
      <c r="A103" s="292" t="s">
        <v>290</v>
      </c>
      <c r="B103" s="288">
        <v>8.8711111097397986</v>
      </c>
      <c r="C103" s="284">
        <v>54</v>
      </c>
      <c r="D103" s="94">
        <f t="shared" si="23"/>
        <v>0.16427983536555182</v>
      </c>
      <c r="E103" s="94">
        <f t="shared" si="24"/>
        <v>48.280164609078888</v>
      </c>
    </row>
    <row r="104" spans="1:5" ht="15.5">
      <c r="A104" s="290" t="s">
        <v>301</v>
      </c>
      <c r="B104" s="288">
        <v>8.7974999999001504</v>
      </c>
      <c r="C104" s="284">
        <v>30</v>
      </c>
      <c r="D104" s="94">
        <f t="shared" si="23"/>
        <v>0.29324999999667167</v>
      </c>
      <c r="E104" s="94">
        <f t="shared" si="24"/>
        <v>86.906750000003328</v>
      </c>
    </row>
    <row r="105" spans="1:5" ht="15.5">
      <c r="A105" s="291" t="s">
        <v>328</v>
      </c>
      <c r="B105" s="288">
        <v>8.7024999992339502</v>
      </c>
      <c r="C105" s="284">
        <v>6</v>
      </c>
      <c r="D105" s="94">
        <f t="shared" si="23"/>
        <v>1.4504166665389917</v>
      </c>
      <c r="E105" s="94">
        <f t="shared" si="24"/>
        <v>434.54958333346099</v>
      </c>
    </row>
    <row r="106" spans="1:5" ht="15.5">
      <c r="A106" s="292" t="s">
        <v>143</v>
      </c>
      <c r="B106" s="288">
        <v>8.6147222221370008</v>
      </c>
      <c r="C106" s="284">
        <v>35</v>
      </c>
      <c r="D106" s="94">
        <f t="shared" si="23"/>
        <v>0.24613492063248574</v>
      </c>
      <c r="E106" s="94">
        <f t="shared" si="24"/>
        <v>74.496722222224662</v>
      </c>
    </row>
    <row r="107" spans="1:5" ht="15.5">
      <c r="A107" s="283" t="s">
        <v>146</v>
      </c>
      <c r="B107" s="288">
        <v>8.3663888888783013</v>
      </c>
      <c r="C107" s="284">
        <v>83</v>
      </c>
      <c r="D107" s="94">
        <f t="shared" si="23"/>
        <v>0.10079986613106387</v>
      </c>
      <c r="E107" s="94">
        <f t="shared" si="24"/>
        <v>31.417272423025565</v>
      </c>
    </row>
    <row r="108" spans="1:5" ht="15.5">
      <c r="A108" s="283" t="s">
        <v>768</v>
      </c>
      <c r="B108" s="288">
        <v>7.9611111111007791</v>
      </c>
      <c r="C108" s="284">
        <v>8</v>
      </c>
      <c r="D108" s="94">
        <f t="shared" si="23"/>
        <v>0.99513888888759738</v>
      </c>
      <c r="E108" s="94">
        <f t="shared" si="24"/>
        <v>326.0048611111124</v>
      </c>
    </row>
    <row r="109" spans="1:5" ht="15.5">
      <c r="A109" s="290" t="s">
        <v>305</v>
      </c>
      <c r="B109" s="288">
        <v>7.1425000000000116</v>
      </c>
      <c r="C109" s="284">
        <v>5</v>
      </c>
      <c r="D109" s="94">
        <f t="shared" si="23"/>
        <v>1.4285000000000023</v>
      </c>
      <c r="E109" s="94">
        <f t="shared" si="24"/>
        <v>521.77150000000006</v>
      </c>
    </row>
    <row r="110" spans="1:5" ht="15.5">
      <c r="A110" s="283" t="s">
        <v>138</v>
      </c>
      <c r="B110" s="288">
        <v>6.1166666666666636</v>
      </c>
      <c r="C110" s="284">
        <v>1</v>
      </c>
      <c r="D110" s="94">
        <f t="shared" si="23"/>
        <v>6.1166666666666636</v>
      </c>
      <c r="E110" s="94">
        <f t="shared" si="24"/>
        <v>2609.8833333333332</v>
      </c>
    </row>
    <row r="111" spans="1:5" ht="15.5">
      <c r="A111" s="291" t="s">
        <v>314</v>
      </c>
      <c r="B111" s="288">
        <v>5.9499999999999726</v>
      </c>
      <c r="C111" s="284">
        <v>15</v>
      </c>
      <c r="D111" s="94">
        <f t="shared" si="23"/>
        <v>0.39666666666666484</v>
      </c>
      <c r="E111" s="94">
        <f t="shared" si="24"/>
        <v>174.00333333333336</v>
      </c>
    </row>
    <row r="112" spans="1:5" ht="15.5">
      <c r="A112" s="292" t="s">
        <v>267</v>
      </c>
      <c r="B112" s="288">
        <v>5.7666666666665733</v>
      </c>
      <c r="C112" s="284">
        <v>15</v>
      </c>
      <c r="D112" s="94">
        <f t="shared" si="23"/>
        <v>0.3844444444444382</v>
      </c>
      <c r="E112" s="94">
        <f t="shared" si="24"/>
        <v>174.01555555555558</v>
      </c>
    </row>
    <row r="113" spans="1:5" ht="15.5">
      <c r="A113" s="283" t="s">
        <v>2378</v>
      </c>
      <c r="B113" s="288">
        <v>5.7500000000000009</v>
      </c>
      <c r="C113" s="284">
        <v>3</v>
      </c>
      <c r="D113" s="94">
        <f t="shared" ref="D113:D169" si="25">B113/C113</f>
        <v>1.916666666666667</v>
      </c>
      <c r="E113" s="94">
        <f t="shared" ref="E113:E169" si="26">($B$44-B113)/C113</f>
        <v>870.08333333333337</v>
      </c>
    </row>
    <row r="114" spans="1:5" ht="15.5">
      <c r="A114" s="290" t="s">
        <v>300</v>
      </c>
      <c r="B114" s="288">
        <v>5.5888888888932886</v>
      </c>
      <c r="C114" s="284">
        <v>17</v>
      </c>
      <c r="D114" s="94">
        <f t="shared" si="25"/>
        <v>0.32875816993489931</v>
      </c>
      <c r="E114" s="94">
        <f t="shared" si="26"/>
        <v>153.55359477124156</v>
      </c>
    </row>
    <row r="115" spans="1:5" ht="15.5">
      <c r="A115" s="283" t="s">
        <v>2111</v>
      </c>
      <c r="B115" s="288">
        <v>5.5558333334668228</v>
      </c>
      <c r="C115" s="284">
        <v>3</v>
      </c>
      <c r="D115" s="94">
        <f t="shared" si="25"/>
        <v>1.851944444488941</v>
      </c>
      <c r="E115" s="94">
        <f t="shared" si="26"/>
        <v>870.14805555551095</v>
      </c>
    </row>
    <row r="116" spans="1:5" ht="15.5">
      <c r="A116" s="283" t="s">
        <v>886</v>
      </c>
      <c r="B116" s="288">
        <v>5.306111111111111</v>
      </c>
      <c r="C116" s="284">
        <v>8</v>
      </c>
      <c r="D116" s="94">
        <f t="shared" si="25"/>
        <v>0.66326388888888888</v>
      </c>
      <c r="E116" s="94">
        <f t="shared" si="26"/>
        <v>326.33673611111112</v>
      </c>
    </row>
    <row r="117" spans="1:5" ht="15.5">
      <c r="A117" s="283" t="s">
        <v>369</v>
      </c>
      <c r="B117" s="288">
        <v>5.0272222222222309</v>
      </c>
      <c r="C117" s="284">
        <v>3</v>
      </c>
      <c r="D117" s="94">
        <f t="shared" si="25"/>
        <v>1.6757407407407436</v>
      </c>
      <c r="E117" s="94">
        <f t="shared" si="26"/>
        <v>870.32425925925929</v>
      </c>
    </row>
    <row r="118" spans="1:5" ht="15.5">
      <c r="A118" s="283" t="s">
        <v>1797</v>
      </c>
      <c r="B118" s="288">
        <v>4.9166666666666661</v>
      </c>
      <c r="C118" s="284">
        <v>1</v>
      </c>
      <c r="D118" s="94">
        <f t="shared" si="25"/>
        <v>4.9166666666666661</v>
      </c>
      <c r="E118" s="94">
        <f t="shared" si="26"/>
        <v>2611.0833333333335</v>
      </c>
    </row>
    <row r="119" spans="1:5" ht="15.5">
      <c r="A119" s="283" t="s">
        <v>2990</v>
      </c>
      <c r="B119" s="288">
        <v>4.7500000000000053</v>
      </c>
      <c r="C119" s="284">
        <v>8</v>
      </c>
      <c r="D119" s="94">
        <f t="shared" si="25"/>
        <v>0.59375000000000067</v>
      </c>
      <c r="E119" s="94">
        <f t="shared" si="26"/>
        <v>326.40625</v>
      </c>
    </row>
    <row r="120" spans="1:5" ht="15.5">
      <c r="A120" s="291" t="s">
        <v>3041</v>
      </c>
      <c r="B120" s="288">
        <v>4.5166666666666559</v>
      </c>
      <c r="C120" s="284">
        <v>1</v>
      </c>
      <c r="D120" s="94">
        <f t="shared" si="25"/>
        <v>4.5166666666666559</v>
      </c>
      <c r="E120" s="94">
        <f t="shared" si="26"/>
        <v>2611.4833333333331</v>
      </c>
    </row>
    <row r="121" spans="1:5" ht="15.5">
      <c r="A121" s="292" t="s">
        <v>354</v>
      </c>
      <c r="B121" s="288">
        <v>4.3999999999999924</v>
      </c>
      <c r="C121" s="284">
        <v>1</v>
      </c>
      <c r="D121" s="94">
        <f t="shared" si="25"/>
        <v>4.3999999999999924</v>
      </c>
      <c r="E121" s="94">
        <f t="shared" si="26"/>
        <v>2611.6</v>
      </c>
    </row>
    <row r="122" spans="1:5" ht="15.5">
      <c r="A122" s="283" t="s">
        <v>1873</v>
      </c>
      <c r="B122" s="288">
        <v>4.2999999999999989</v>
      </c>
      <c r="C122" s="284">
        <v>2</v>
      </c>
      <c r="D122" s="94">
        <f t="shared" si="25"/>
        <v>2.1499999999999995</v>
      </c>
      <c r="E122" s="94">
        <f t="shared" si="26"/>
        <v>1305.8499999999999</v>
      </c>
    </row>
    <row r="123" spans="1:5" ht="15.5">
      <c r="A123" s="290" t="s">
        <v>302</v>
      </c>
      <c r="B123" s="288">
        <v>4.0841666666666532</v>
      </c>
      <c r="C123" s="284">
        <v>10</v>
      </c>
      <c r="D123" s="94">
        <f t="shared" si="25"/>
        <v>0.40841666666666532</v>
      </c>
      <c r="E123" s="94">
        <f t="shared" si="26"/>
        <v>261.19158333333337</v>
      </c>
    </row>
    <row r="124" spans="1:5" ht="15.5">
      <c r="A124" s="283" t="s">
        <v>372</v>
      </c>
      <c r="B124" s="288">
        <v>4.0761111112466537</v>
      </c>
      <c r="C124" s="284">
        <v>7</v>
      </c>
      <c r="D124" s="94">
        <f t="shared" si="25"/>
        <v>0.5823015873209505</v>
      </c>
      <c r="E124" s="94">
        <f t="shared" si="26"/>
        <v>373.13198412696477</v>
      </c>
    </row>
    <row r="125" spans="1:5" ht="15.5">
      <c r="A125" s="283" t="s">
        <v>3335</v>
      </c>
      <c r="B125" s="288">
        <v>3.9666666666666668</v>
      </c>
      <c r="C125" s="284">
        <v>1</v>
      </c>
      <c r="D125" s="94">
        <f t="shared" si="25"/>
        <v>3.9666666666666668</v>
      </c>
      <c r="E125" s="94">
        <f t="shared" si="26"/>
        <v>2612.0333333333333</v>
      </c>
    </row>
    <row r="126" spans="1:5" ht="15.5">
      <c r="A126" s="283" t="s">
        <v>1640</v>
      </c>
      <c r="B126" s="288">
        <v>3.8444444443176797</v>
      </c>
      <c r="C126" s="284">
        <v>6</v>
      </c>
      <c r="D126" s="94">
        <f t="shared" si="25"/>
        <v>0.64074074071961329</v>
      </c>
      <c r="E126" s="94">
        <f t="shared" si="26"/>
        <v>435.35925925928041</v>
      </c>
    </row>
    <row r="127" spans="1:5" ht="15.5">
      <c r="A127" s="283" t="s">
        <v>1382</v>
      </c>
      <c r="B127" s="288">
        <v>3.7077777777565712</v>
      </c>
      <c r="C127" s="284">
        <v>3</v>
      </c>
      <c r="D127" s="94">
        <f t="shared" si="25"/>
        <v>1.2359259259188571</v>
      </c>
      <c r="E127" s="94">
        <f t="shared" si="26"/>
        <v>870.76407407408112</v>
      </c>
    </row>
    <row r="128" spans="1:5" ht="15.5">
      <c r="A128" s="290" t="s">
        <v>329</v>
      </c>
      <c r="B128" s="288">
        <v>3.6833333333333629</v>
      </c>
      <c r="C128" s="284">
        <v>7</v>
      </c>
      <c r="D128" s="94">
        <f t="shared" si="25"/>
        <v>0.52619047619048043</v>
      </c>
      <c r="E128" s="94">
        <f t="shared" si="26"/>
        <v>373.18809523809523</v>
      </c>
    </row>
    <row r="129" spans="1:5" ht="15.5">
      <c r="A129" s="291" t="s">
        <v>281</v>
      </c>
      <c r="B129" s="288">
        <v>3.466666666666681</v>
      </c>
      <c r="C129" s="284">
        <v>1</v>
      </c>
      <c r="D129" s="94">
        <f t="shared" si="25"/>
        <v>3.466666666666681</v>
      </c>
      <c r="E129" s="94">
        <f t="shared" si="26"/>
        <v>2612.5333333333333</v>
      </c>
    </row>
    <row r="130" spans="1:5" ht="15.5">
      <c r="A130" s="292" t="s">
        <v>311</v>
      </c>
      <c r="B130" s="288">
        <v>3.4466666666666885</v>
      </c>
      <c r="C130" s="284">
        <v>1</v>
      </c>
      <c r="D130" s="94">
        <f t="shared" si="25"/>
        <v>3.4466666666666885</v>
      </c>
      <c r="E130" s="94">
        <f t="shared" si="26"/>
        <v>2612.5533333333333</v>
      </c>
    </row>
    <row r="131" spans="1:5" ht="15.5">
      <c r="A131" s="283" t="s">
        <v>2115</v>
      </c>
      <c r="B131" s="288">
        <v>3.2833333333333337</v>
      </c>
      <c r="C131" s="284">
        <v>2</v>
      </c>
      <c r="D131" s="94">
        <f t="shared" si="25"/>
        <v>1.6416666666666668</v>
      </c>
      <c r="E131" s="94">
        <f t="shared" si="26"/>
        <v>1306.3583333333333</v>
      </c>
    </row>
    <row r="132" spans="1:5" ht="15.5">
      <c r="A132" s="290" t="s">
        <v>344</v>
      </c>
      <c r="B132" s="288">
        <v>3.1847222242439535</v>
      </c>
      <c r="C132" s="284">
        <v>50</v>
      </c>
      <c r="D132" s="94">
        <f t="shared" si="25"/>
        <v>6.369444448487907E-2</v>
      </c>
      <c r="E132" s="94">
        <f t="shared" si="26"/>
        <v>52.256305555515119</v>
      </c>
    </row>
    <row r="133" spans="1:5" ht="15.5">
      <c r="A133" s="290" t="s">
        <v>296</v>
      </c>
      <c r="B133" s="288">
        <v>3.1802777780726812</v>
      </c>
      <c r="C133" s="284">
        <v>9</v>
      </c>
      <c r="D133" s="94">
        <f t="shared" si="25"/>
        <v>0.35336419756363124</v>
      </c>
      <c r="E133" s="94">
        <f t="shared" si="26"/>
        <v>290.31330246910306</v>
      </c>
    </row>
    <row r="134" spans="1:5" ht="15.5">
      <c r="A134" s="283" t="s">
        <v>904</v>
      </c>
      <c r="B134" s="288">
        <v>3.1775000000005313</v>
      </c>
      <c r="C134" s="284">
        <v>3</v>
      </c>
      <c r="D134" s="94">
        <f t="shared" si="25"/>
        <v>1.0591666666668438</v>
      </c>
      <c r="E134" s="94">
        <f t="shared" si="26"/>
        <v>870.9408333333331</v>
      </c>
    </row>
    <row r="135" spans="1:5" ht="15.5">
      <c r="A135" s="290" t="s">
        <v>356</v>
      </c>
      <c r="B135" s="288">
        <v>3.1388888888889142</v>
      </c>
      <c r="C135" s="284">
        <v>4</v>
      </c>
      <c r="D135" s="94">
        <f t="shared" si="25"/>
        <v>0.78472222222222854</v>
      </c>
      <c r="E135" s="94">
        <f t="shared" si="26"/>
        <v>653.21527777777783</v>
      </c>
    </row>
    <row r="136" spans="1:5" ht="15.5">
      <c r="A136" s="283" t="s">
        <v>380</v>
      </c>
      <c r="B136" s="288">
        <v>3.0833333333333517</v>
      </c>
      <c r="C136" s="284">
        <v>1</v>
      </c>
      <c r="D136" s="94">
        <f t="shared" si="25"/>
        <v>3.0833333333333517</v>
      </c>
      <c r="E136" s="94">
        <f t="shared" si="26"/>
        <v>2612.9166666666665</v>
      </c>
    </row>
    <row r="137" spans="1:5" ht="15.5">
      <c r="A137" s="283" t="s">
        <v>3003</v>
      </c>
      <c r="B137" s="288">
        <v>3.0761111111111115</v>
      </c>
      <c r="C137" s="284">
        <v>2</v>
      </c>
      <c r="D137" s="94">
        <f t="shared" si="25"/>
        <v>1.5380555555555557</v>
      </c>
      <c r="E137" s="94">
        <f t="shared" si="26"/>
        <v>1306.4619444444445</v>
      </c>
    </row>
    <row r="138" spans="1:5" ht="15.5">
      <c r="A138" s="283" t="s">
        <v>2247</v>
      </c>
      <c r="B138" s="288">
        <v>3.0702777777777772</v>
      </c>
      <c r="C138" s="284">
        <v>1</v>
      </c>
      <c r="D138" s="94">
        <f t="shared" si="25"/>
        <v>3.0702777777777772</v>
      </c>
      <c r="E138" s="94">
        <f t="shared" si="26"/>
        <v>2612.9297222222222</v>
      </c>
    </row>
    <row r="139" spans="1:5" ht="15.5">
      <c r="A139" s="290" t="s">
        <v>345</v>
      </c>
      <c r="B139" s="288">
        <v>3.0127777776215225</v>
      </c>
      <c r="C139" s="284">
        <v>1</v>
      </c>
      <c r="D139" s="94">
        <f t="shared" si="25"/>
        <v>3.0127777776215225</v>
      </c>
      <c r="E139" s="94">
        <f t="shared" si="26"/>
        <v>2612.9872222223785</v>
      </c>
    </row>
    <row r="140" spans="1:5" ht="15.5">
      <c r="A140" s="283" t="s">
        <v>644</v>
      </c>
      <c r="B140" s="288">
        <v>3.0083333333333346</v>
      </c>
      <c r="C140" s="284">
        <v>3</v>
      </c>
      <c r="D140" s="94">
        <f t="shared" si="25"/>
        <v>1.0027777777777782</v>
      </c>
      <c r="E140" s="94">
        <f t="shared" si="26"/>
        <v>870.99722222222226</v>
      </c>
    </row>
    <row r="141" spans="1:5" ht="15.5">
      <c r="A141" s="291" t="s">
        <v>338</v>
      </c>
      <c r="B141" s="288">
        <v>2.9500000000000122</v>
      </c>
      <c r="C141" s="284">
        <v>7</v>
      </c>
      <c r="D141" s="94">
        <f t="shared" si="25"/>
        <v>0.42142857142857315</v>
      </c>
      <c r="E141" s="94">
        <f t="shared" si="26"/>
        <v>373.29285714285714</v>
      </c>
    </row>
    <row r="142" spans="1:5" ht="15.5">
      <c r="A142" s="292" t="s">
        <v>350</v>
      </c>
      <c r="B142" s="288">
        <v>2.8961111111110993</v>
      </c>
      <c r="C142" s="284">
        <v>4</v>
      </c>
      <c r="D142" s="94">
        <f t="shared" si="25"/>
        <v>0.72402777777777483</v>
      </c>
      <c r="E142" s="94">
        <f t="shared" si="26"/>
        <v>653.27597222222221</v>
      </c>
    </row>
    <row r="143" spans="1:5" ht="15.5">
      <c r="A143" s="283" t="s">
        <v>907</v>
      </c>
      <c r="B143" s="288">
        <v>2.8905555554851872</v>
      </c>
      <c r="C143" s="284">
        <v>10</v>
      </c>
      <c r="D143" s="94">
        <f t="shared" si="25"/>
        <v>0.28905555554851869</v>
      </c>
      <c r="E143" s="94">
        <f t="shared" si="26"/>
        <v>261.31094444445148</v>
      </c>
    </row>
    <row r="144" spans="1:5" ht="15.5">
      <c r="A144" s="283" t="s">
        <v>727</v>
      </c>
      <c r="B144" s="288">
        <v>2.8513888888994816</v>
      </c>
      <c r="C144" s="284">
        <v>23</v>
      </c>
      <c r="D144" s="94">
        <f t="shared" si="25"/>
        <v>0.12397342995215137</v>
      </c>
      <c r="E144" s="94">
        <f t="shared" si="26"/>
        <v>113.61515700483045</v>
      </c>
    </row>
    <row r="145" spans="1:5" ht="15.5">
      <c r="A145" s="283" t="s">
        <v>2220</v>
      </c>
      <c r="B145" s="288">
        <v>2.8266666665831064</v>
      </c>
      <c r="C145" s="284">
        <v>5</v>
      </c>
      <c r="D145" s="94">
        <f t="shared" si="25"/>
        <v>0.56533333331662128</v>
      </c>
      <c r="E145" s="94">
        <f t="shared" si="26"/>
        <v>522.63466666668342</v>
      </c>
    </row>
    <row r="146" spans="1:5" ht="15.5">
      <c r="A146" s="290" t="s">
        <v>265</v>
      </c>
      <c r="B146" s="288">
        <v>2.7833333333333501</v>
      </c>
      <c r="C146" s="284">
        <v>2</v>
      </c>
      <c r="D146" s="94">
        <f t="shared" si="25"/>
        <v>1.391666666666675</v>
      </c>
      <c r="E146" s="94">
        <f t="shared" si="26"/>
        <v>1306.6083333333333</v>
      </c>
    </row>
    <row r="147" spans="1:5" ht="15.5">
      <c r="A147" s="283" t="s">
        <v>3521</v>
      </c>
      <c r="B147" s="288">
        <v>2.6333333333333337</v>
      </c>
      <c r="C147" s="284">
        <v>2</v>
      </c>
      <c r="D147" s="94">
        <f t="shared" si="25"/>
        <v>1.3166666666666669</v>
      </c>
      <c r="E147" s="94">
        <f t="shared" si="26"/>
        <v>1306.6833333333334</v>
      </c>
    </row>
    <row r="148" spans="1:5" ht="15.5">
      <c r="A148" s="291" t="s">
        <v>266</v>
      </c>
      <c r="B148" s="288">
        <v>2.616666666666672</v>
      </c>
      <c r="C148" s="284">
        <v>1</v>
      </c>
      <c r="D148" s="94">
        <f t="shared" si="25"/>
        <v>2.616666666666672</v>
      </c>
      <c r="E148" s="94">
        <f t="shared" si="26"/>
        <v>2613.3833333333332</v>
      </c>
    </row>
    <row r="149" spans="1:5" ht="15.5">
      <c r="A149" s="292" t="s">
        <v>335</v>
      </c>
      <c r="B149" s="288">
        <v>2.533333333333339</v>
      </c>
      <c r="C149" s="284">
        <v>1</v>
      </c>
      <c r="D149" s="94">
        <f t="shared" si="25"/>
        <v>2.533333333333339</v>
      </c>
      <c r="E149" s="94">
        <f t="shared" si="26"/>
        <v>2613.4666666666667</v>
      </c>
    </row>
    <row r="150" spans="1:5" ht="15.5">
      <c r="A150" s="283" t="s">
        <v>908</v>
      </c>
      <c r="B150" s="288">
        <v>2.4127777779358439</v>
      </c>
      <c r="C150" s="284">
        <v>2</v>
      </c>
      <c r="D150" s="94">
        <f t="shared" si="25"/>
        <v>1.206388888967922</v>
      </c>
      <c r="E150" s="94">
        <f t="shared" si="26"/>
        <v>1306.7936111110321</v>
      </c>
    </row>
    <row r="151" spans="1:5" ht="15.5">
      <c r="A151" s="283" t="s">
        <v>927</v>
      </c>
      <c r="B151" s="288">
        <v>2.3922222223650307</v>
      </c>
      <c r="C151" s="284">
        <v>40</v>
      </c>
      <c r="D151" s="94">
        <f t="shared" si="25"/>
        <v>5.980555555912577E-2</v>
      </c>
      <c r="E151" s="94">
        <f t="shared" si="26"/>
        <v>65.340194444440868</v>
      </c>
    </row>
    <row r="152" spans="1:5" ht="15.5">
      <c r="A152" s="283" t="s">
        <v>3073</v>
      </c>
      <c r="B152" s="288">
        <v>2.3833333333333315</v>
      </c>
      <c r="C152" s="284">
        <v>5</v>
      </c>
      <c r="D152" s="94">
        <f t="shared" si="25"/>
        <v>0.47666666666666629</v>
      </c>
      <c r="E152" s="94">
        <f t="shared" si="26"/>
        <v>522.72333333333336</v>
      </c>
    </row>
    <row r="153" spans="1:5" ht="15.5">
      <c r="A153" s="290" t="s">
        <v>334</v>
      </c>
      <c r="B153" s="288">
        <v>2.3166666666666673</v>
      </c>
      <c r="C153" s="284">
        <v>1</v>
      </c>
      <c r="D153" s="94">
        <f t="shared" si="25"/>
        <v>2.3166666666666673</v>
      </c>
      <c r="E153" s="94">
        <f t="shared" si="26"/>
        <v>2613.6833333333334</v>
      </c>
    </row>
    <row r="154" spans="1:5" ht="15.5">
      <c r="A154" s="283" t="s">
        <v>1994</v>
      </c>
      <c r="B154" s="288">
        <v>2.316666666666666</v>
      </c>
      <c r="C154" s="284">
        <v>2</v>
      </c>
      <c r="D154" s="94">
        <f t="shared" si="25"/>
        <v>1.158333333333333</v>
      </c>
      <c r="E154" s="94">
        <f t="shared" si="26"/>
        <v>1306.8416666666667</v>
      </c>
    </row>
    <row r="155" spans="1:5" ht="15.5">
      <c r="A155" s="291" t="s">
        <v>336</v>
      </c>
      <c r="B155" s="288">
        <v>2.2000000000000055</v>
      </c>
      <c r="C155" s="284">
        <v>2</v>
      </c>
      <c r="D155" s="94">
        <f t="shared" si="25"/>
        <v>1.1000000000000028</v>
      </c>
      <c r="E155" s="94">
        <f t="shared" si="26"/>
        <v>1306.9000000000001</v>
      </c>
    </row>
    <row r="156" spans="1:5" ht="15.5">
      <c r="A156" s="293" t="s">
        <v>351</v>
      </c>
      <c r="B156" s="288">
        <v>2.1538888888889014</v>
      </c>
      <c r="C156" s="284">
        <v>1</v>
      </c>
      <c r="D156" s="94">
        <f t="shared" si="25"/>
        <v>2.1538888888889014</v>
      </c>
      <c r="E156" s="94">
        <f t="shared" si="26"/>
        <v>2613.846111111111</v>
      </c>
    </row>
    <row r="157" spans="1:5" ht="15.5">
      <c r="A157" s="292" t="s">
        <v>342</v>
      </c>
      <c r="B157" s="288">
        <v>2.0650000009336509</v>
      </c>
      <c r="C157" s="284">
        <v>2</v>
      </c>
      <c r="D157" s="94">
        <f t="shared" si="25"/>
        <v>1.0325000004668254</v>
      </c>
      <c r="E157" s="94">
        <f t="shared" si="26"/>
        <v>1306.9674999995332</v>
      </c>
    </row>
    <row r="158" spans="1:5" ht="15.5">
      <c r="A158" s="283" t="s">
        <v>713</v>
      </c>
      <c r="B158" s="288">
        <v>2.0413888888433576</v>
      </c>
      <c r="C158" s="284">
        <v>8</v>
      </c>
      <c r="D158" s="94">
        <f t="shared" si="25"/>
        <v>0.2551736111054197</v>
      </c>
      <c r="E158" s="94">
        <f t="shared" si="26"/>
        <v>326.74482638889458</v>
      </c>
    </row>
    <row r="159" spans="1:5" ht="15.5">
      <c r="A159" s="283" t="s">
        <v>2114</v>
      </c>
      <c r="B159" s="288">
        <v>1.9999999999999996</v>
      </c>
      <c r="C159" s="284">
        <v>2</v>
      </c>
      <c r="D159" s="94">
        <f t="shared" si="25"/>
        <v>0.99999999999999978</v>
      </c>
      <c r="E159" s="94">
        <f t="shared" si="26"/>
        <v>1307</v>
      </c>
    </row>
    <row r="160" spans="1:5" ht="15.5">
      <c r="A160" s="290" t="s">
        <v>284</v>
      </c>
      <c r="B160" s="288">
        <v>1.999999999999988</v>
      </c>
      <c r="C160" s="284">
        <v>7</v>
      </c>
      <c r="D160" s="94">
        <f t="shared" si="25"/>
        <v>0.28571428571428398</v>
      </c>
      <c r="E160" s="94">
        <f t="shared" si="26"/>
        <v>373.42857142857144</v>
      </c>
    </row>
    <row r="161" spans="1:5" ht="15.5">
      <c r="A161" s="283" t="s">
        <v>906</v>
      </c>
      <c r="B161" s="288">
        <v>1.9499999999999986</v>
      </c>
      <c r="C161" s="284">
        <v>4</v>
      </c>
      <c r="D161" s="94">
        <f t="shared" si="25"/>
        <v>0.48749999999999966</v>
      </c>
      <c r="E161" s="94">
        <f t="shared" si="26"/>
        <v>653.51250000000005</v>
      </c>
    </row>
    <row r="162" spans="1:5" ht="15.5">
      <c r="A162" s="291" t="s">
        <v>359</v>
      </c>
      <c r="B162" s="288">
        <v>1.9455555555555355</v>
      </c>
      <c r="C162" s="284">
        <v>1</v>
      </c>
      <c r="D162" s="94">
        <f t="shared" si="25"/>
        <v>1.9455555555555355</v>
      </c>
      <c r="E162" s="94">
        <f t="shared" si="26"/>
        <v>2614.0544444444445</v>
      </c>
    </row>
    <row r="163" spans="1:5" ht="15.5">
      <c r="A163" s="293" t="s">
        <v>304</v>
      </c>
      <c r="B163" s="288">
        <v>1.8666666666666707</v>
      </c>
      <c r="C163" s="284">
        <v>1</v>
      </c>
      <c r="D163" s="94">
        <f t="shared" si="25"/>
        <v>1.8666666666666707</v>
      </c>
      <c r="E163" s="94">
        <f t="shared" si="26"/>
        <v>2614.1333333333332</v>
      </c>
    </row>
    <row r="164" spans="1:5" ht="15.5">
      <c r="A164" s="292" t="s">
        <v>145</v>
      </c>
      <c r="B164" s="288">
        <v>1.7902777777578915</v>
      </c>
      <c r="C164" s="284">
        <v>6</v>
      </c>
      <c r="D164" s="94">
        <f t="shared" si="25"/>
        <v>0.29837962962631526</v>
      </c>
      <c r="E164" s="94">
        <f t="shared" si="26"/>
        <v>435.70162037037363</v>
      </c>
    </row>
    <row r="165" spans="1:5" ht="15.5">
      <c r="A165" s="283" t="s">
        <v>1558</v>
      </c>
      <c r="B165" s="288">
        <v>1.7666666666666684</v>
      </c>
      <c r="C165" s="284">
        <v>1</v>
      </c>
      <c r="D165" s="94">
        <f t="shared" si="25"/>
        <v>1.7666666666666684</v>
      </c>
      <c r="E165" s="94">
        <f t="shared" si="26"/>
        <v>2614.2333333333331</v>
      </c>
    </row>
    <row r="166" spans="1:5" ht="15.5">
      <c r="A166" s="291" t="s">
        <v>362</v>
      </c>
      <c r="B166" s="288">
        <v>1.7311111111111197</v>
      </c>
      <c r="C166" s="284">
        <v>1</v>
      </c>
      <c r="D166" s="94">
        <f t="shared" si="25"/>
        <v>1.7311111111111197</v>
      </c>
      <c r="E166" s="94">
        <f t="shared" si="26"/>
        <v>2614.2688888888888</v>
      </c>
    </row>
    <row r="167" spans="1:5" ht="15.5">
      <c r="A167" s="293" t="s">
        <v>348</v>
      </c>
      <c r="B167" s="288">
        <v>1.6666666666666794</v>
      </c>
      <c r="C167" s="284">
        <v>1</v>
      </c>
      <c r="D167" s="94">
        <f t="shared" si="25"/>
        <v>1.6666666666666794</v>
      </c>
      <c r="E167" s="94">
        <f t="shared" si="26"/>
        <v>2614.3333333333335</v>
      </c>
    </row>
    <row r="168" spans="1:5" ht="15.5">
      <c r="A168" s="292" t="s">
        <v>324</v>
      </c>
      <c r="B168" s="288">
        <v>1.5333333333333359</v>
      </c>
      <c r="C168" s="284">
        <v>1</v>
      </c>
      <c r="D168" s="94">
        <f t="shared" si="25"/>
        <v>1.5333333333333359</v>
      </c>
      <c r="E168" s="94">
        <f t="shared" si="26"/>
        <v>2614.4666666666667</v>
      </c>
    </row>
    <row r="169" spans="1:5" ht="15.5">
      <c r="A169" s="283" t="s">
        <v>3332</v>
      </c>
      <c r="B169" s="288">
        <v>1.4333333333333309</v>
      </c>
      <c r="C169" s="284">
        <v>1</v>
      </c>
      <c r="D169" s="94">
        <f t="shared" si="25"/>
        <v>1.4333333333333309</v>
      </c>
      <c r="E169" s="94">
        <f t="shared" si="26"/>
        <v>2614.5666666666666</v>
      </c>
    </row>
    <row r="170" spans="1:5" ht="15.5">
      <c r="A170" s="291" t="s">
        <v>299</v>
      </c>
      <c r="B170" s="288">
        <v>1.300000000000006</v>
      </c>
      <c r="C170" s="284">
        <v>3</v>
      </c>
    </row>
    <row r="171" spans="1:5" ht="15.5">
      <c r="A171" s="293" t="s">
        <v>315</v>
      </c>
      <c r="B171" s="288">
        <v>1.2666666666666728</v>
      </c>
      <c r="C171" s="284">
        <v>1</v>
      </c>
    </row>
    <row r="172" spans="1:5" ht="15.5">
      <c r="A172" s="292" t="s">
        <v>360</v>
      </c>
      <c r="B172" s="288">
        <v>1.1483333333333263</v>
      </c>
      <c r="C172" s="284">
        <v>1</v>
      </c>
    </row>
    <row r="173" spans="1:5" ht="15.5">
      <c r="A173" s="283" t="s">
        <v>3006</v>
      </c>
      <c r="B173" s="288">
        <v>1.1224999999999992</v>
      </c>
      <c r="C173" s="284">
        <v>3</v>
      </c>
    </row>
    <row r="174" spans="1:5" ht="15.5">
      <c r="A174" s="291" t="s">
        <v>268</v>
      </c>
      <c r="B174" s="288">
        <v>1.116666666666696</v>
      </c>
      <c r="C174" s="284">
        <v>3</v>
      </c>
    </row>
    <row r="175" spans="1:5" ht="15.5">
      <c r="A175" s="293" t="s">
        <v>349</v>
      </c>
      <c r="B175" s="288">
        <v>1.1119444444444335</v>
      </c>
      <c r="C175" s="284">
        <v>1</v>
      </c>
    </row>
    <row r="176" spans="1:5" ht="15.5">
      <c r="A176" s="292" t="s">
        <v>333</v>
      </c>
      <c r="B176" s="288">
        <v>1.1000000000000147</v>
      </c>
      <c r="C176" s="284">
        <v>1</v>
      </c>
    </row>
    <row r="177" spans="1:3" ht="15.5">
      <c r="A177" s="283" t="s">
        <v>1678</v>
      </c>
      <c r="B177" s="288">
        <v>1.0999999999999988</v>
      </c>
      <c r="C177" s="284">
        <v>5</v>
      </c>
    </row>
    <row r="178" spans="1:3" ht="15.5">
      <c r="A178" s="290" t="s">
        <v>264</v>
      </c>
      <c r="B178" s="288">
        <v>1.0999999999999908</v>
      </c>
      <c r="C178" s="284">
        <v>3</v>
      </c>
    </row>
    <row r="179" spans="1:3" ht="15.5">
      <c r="A179" s="283" t="s">
        <v>375</v>
      </c>
      <c r="B179" s="288">
        <v>1.0666666666666602</v>
      </c>
      <c r="C179" s="284">
        <v>3</v>
      </c>
    </row>
    <row r="180" spans="1:3" ht="15.5">
      <c r="A180" s="291" t="s">
        <v>358</v>
      </c>
      <c r="B180" s="288">
        <v>1.0347222222222223</v>
      </c>
      <c r="C180" s="284">
        <v>1</v>
      </c>
    </row>
    <row r="181" spans="1:3" ht="15.5">
      <c r="A181" s="292" t="s">
        <v>289</v>
      </c>
      <c r="B181" s="288">
        <v>0.98333333333332984</v>
      </c>
      <c r="C181" s="284">
        <v>1</v>
      </c>
    </row>
    <row r="182" spans="1:3" ht="15.5">
      <c r="A182" s="283" t="s">
        <v>376</v>
      </c>
      <c r="B182" s="288">
        <v>0.97888888900581872</v>
      </c>
      <c r="C182" s="284">
        <v>4</v>
      </c>
    </row>
    <row r="183" spans="1:3" ht="15.5">
      <c r="A183" s="283" t="s">
        <v>903</v>
      </c>
      <c r="B183" s="288">
        <v>0.9313888888573274</v>
      </c>
      <c r="C183" s="284">
        <v>1</v>
      </c>
    </row>
    <row r="184" spans="1:3" ht="15.5">
      <c r="A184" s="283" t="s">
        <v>3300</v>
      </c>
      <c r="B184" s="288">
        <v>0.84999999999999964</v>
      </c>
      <c r="C184" s="284">
        <v>1</v>
      </c>
    </row>
    <row r="185" spans="1:3" ht="15.5">
      <c r="A185" s="291" t="s">
        <v>256</v>
      </c>
      <c r="B185" s="288">
        <v>0.83333333333332771</v>
      </c>
      <c r="C185" s="284">
        <v>1</v>
      </c>
    </row>
    <row r="186" spans="1:3" ht="15.5">
      <c r="A186" s="293" t="s">
        <v>308</v>
      </c>
      <c r="B186" s="288">
        <v>0.81972222222220736</v>
      </c>
      <c r="C186" s="284">
        <v>2</v>
      </c>
    </row>
    <row r="187" spans="1:3" ht="15.5">
      <c r="A187" s="293" t="s">
        <v>312</v>
      </c>
      <c r="B187" s="288">
        <v>0.76722222222220848</v>
      </c>
      <c r="C187" s="284">
        <v>1</v>
      </c>
    </row>
    <row r="188" spans="1:3" ht="15.5">
      <c r="A188" s="292" t="s">
        <v>321</v>
      </c>
      <c r="B188" s="288">
        <v>0.75</v>
      </c>
      <c r="C188" s="284">
        <v>1</v>
      </c>
    </row>
    <row r="189" spans="1:3" ht="15.5">
      <c r="A189" s="283" t="s">
        <v>367</v>
      </c>
      <c r="B189" s="288">
        <v>0.73333333333334405</v>
      </c>
      <c r="C189" s="284">
        <v>2</v>
      </c>
    </row>
    <row r="190" spans="1:3" ht="15.5">
      <c r="A190" s="291" t="s">
        <v>355</v>
      </c>
      <c r="B190" s="288">
        <v>0.71666666666666634</v>
      </c>
      <c r="C190" s="284">
        <v>1</v>
      </c>
    </row>
    <row r="191" spans="1:3" ht="15.5">
      <c r="A191" s="293" t="s">
        <v>310</v>
      </c>
      <c r="B191" s="288">
        <v>0.71416666666664141</v>
      </c>
      <c r="C191" s="284">
        <v>2</v>
      </c>
    </row>
    <row r="192" spans="1:3" ht="15.5">
      <c r="A192" s="292" t="s">
        <v>272</v>
      </c>
      <c r="B192" s="288">
        <v>0.66666666666664831</v>
      </c>
      <c r="C192" s="284">
        <v>1</v>
      </c>
    </row>
    <row r="193" spans="1:3" ht="15.5">
      <c r="A193" s="283" t="s">
        <v>1252</v>
      </c>
      <c r="B193" s="288">
        <v>0.65000000000000036</v>
      </c>
      <c r="C193" s="284">
        <v>1</v>
      </c>
    </row>
    <row r="194" spans="1:3" ht="15.5">
      <c r="A194" s="291" t="s">
        <v>283</v>
      </c>
      <c r="B194" s="288">
        <v>0.55305555525131433</v>
      </c>
      <c r="C194" s="284">
        <v>4</v>
      </c>
    </row>
    <row r="195" spans="1:3" ht="15.5">
      <c r="A195" s="293" t="s">
        <v>320</v>
      </c>
      <c r="B195" s="288">
        <v>0.54999999999998472</v>
      </c>
      <c r="C195" s="284">
        <v>1</v>
      </c>
    </row>
    <row r="196" spans="1:3" ht="15.5">
      <c r="A196" s="292" t="s">
        <v>337</v>
      </c>
      <c r="B196" s="288">
        <v>0.51666666666667416</v>
      </c>
      <c r="C196" s="284">
        <v>2</v>
      </c>
    </row>
    <row r="197" spans="1:3" ht="15.5">
      <c r="A197" s="290" t="s">
        <v>4496</v>
      </c>
      <c r="B197" s="288">
        <v>0.50055555570094512</v>
      </c>
      <c r="C197" s="284">
        <v>8</v>
      </c>
    </row>
    <row r="198" spans="1:3" ht="15.5">
      <c r="A198" s="283" t="s">
        <v>813</v>
      </c>
      <c r="B198" s="288">
        <v>0.49999999999999956</v>
      </c>
      <c r="C198" s="284">
        <v>1</v>
      </c>
    </row>
    <row r="199" spans="1:3" ht="15.5">
      <c r="A199" s="291" t="s">
        <v>277</v>
      </c>
      <c r="B199" s="288">
        <v>0.49999999999999156</v>
      </c>
      <c r="C199" s="284">
        <v>1</v>
      </c>
    </row>
    <row r="200" spans="1:3" ht="15.5">
      <c r="A200" s="293" t="s">
        <v>306</v>
      </c>
      <c r="B200" s="288">
        <v>0.46666666666667966</v>
      </c>
      <c r="C200" s="284">
        <v>1</v>
      </c>
    </row>
    <row r="201" spans="1:3" ht="15.5">
      <c r="A201" s="293" t="s">
        <v>322</v>
      </c>
      <c r="B201" s="288">
        <v>0.46666666666665435</v>
      </c>
      <c r="C201" s="284">
        <v>1</v>
      </c>
    </row>
    <row r="202" spans="1:3" ht="15.5">
      <c r="A202" s="293" t="s">
        <v>339</v>
      </c>
      <c r="B202" s="288">
        <v>0.4500000000000024</v>
      </c>
      <c r="C202" s="284">
        <v>1</v>
      </c>
    </row>
    <row r="203" spans="1:3" ht="15.5">
      <c r="A203" s="293" t="s">
        <v>318</v>
      </c>
      <c r="B203" s="288">
        <v>0.4499999999999984</v>
      </c>
      <c r="C203" s="284">
        <v>1</v>
      </c>
    </row>
    <row r="204" spans="1:3" ht="15.5">
      <c r="A204" s="292" t="s">
        <v>273</v>
      </c>
      <c r="B204" s="288">
        <v>0.43333333333334512</v>
      </c>
      <c r="C204" s="284">
        <v>1</v>
      </c>
    </row>
    <row r="205" spans="1:3" ht="15.5">
      <c r="A205" s="283" t="s">
        <v>1828</v>
      </c>
      <c r="B205" s="288">
        <v>0.43333333333332913</v>
      </c>
      <c r="C205" s="284">
        <v>1</v>
      </c>
    </row>
    <row r="206" spans="1:3" ht="15.5">
      <c r="A206" s="290" t="s">
        <v>319</v>
      </c>
      <c r="B206" s="288">
        <v>0.43333333333331847</v>
      </c>
      <c r="C206" s="284">
        <v>1</v>
      </c>
    </row>
    <row r="207" spans="1:3" ht="15.5">
      <c r="A207" s="291" t="s">
        <v>327</v>
      </c>
      <c r="B207" s="288">
        <v>0.40000000000000657</v>
      </c>
      <c r="C207" s="284">
        <v>2</v>
      </c>
    </row>
    <row r="208" spans="1:3" ht="15.5">
      <c r="A208" s="293" t="s">
        <v>317</v>
      </c>
      <c r="B208" s="288">
        <v>0.38333333333332931</v>
      </c>
      <c r="C208" s="284">
        <v>1</v>
      </c>
    </row>
    <row r="209" spans="1:3" ht="15.5">
      <c r="A209" s="293" t="s">
        <v>361</v>
      </c>
      <c r="B209" s="288">
        <v>0.37000000000000988</v>
      </c>
      <c r="C209" s="284">
        <v>1</v>
      </c>
    </row>
    <row r="210" spans="1:3" ht="15.5">
      <c r="A210" s="293" t="s">
        <v>309</v>
      </c>
      <c r="B210" s="288">
        <v>0.3694444444444307</v>
      </c>
      <c r="C210" s="284">
        <v>1</v>
      </c>
    </row>
    <row r="211" spans="1:3" ht="15.5">
      <c r="A211" s="293" t="s">
        <v>303</v>
      </c>
      <c r="B211" s="288">
        <v>0.36666666666667336</v>
      </c>
      <c r="C211" s="284">
        <v>1</v>
      </c>
    </row>
    <row r="212" spans="1:3" ht="15.5">
      <c r="A212" s="293" t="s">
        <v>313</v>
      </c>
      <c r="B212" s="288">
        <v>0.36305555555555991</v>
      </c>
      <c r="C212" s="284">
        <v>1</v>
      </c>
    </row>
    <row r="213" spans="1:3" ht="15.5">
      <c r="A213" s="292" t="s">
        <v>278</v>
      </c>
      <c r="B213" s="288">
        <v>0.33333333333333481</v>
      </c>
      <c r="C213" s="284">
        <v>1</v>
      </c>
    </row>
    <row r="214" spans="1:3" ht="15.5">
      <c r="A214" s="283" t="s">
        <v>696</v>
      </c>
      <c r="B214" s="288">
        <v>0.26666666666666705</v>
      </c>
      <c r="C214" s="284">
        <v>2</v>
      </c>
    </row>
    <row r="215" spans="1:3" ht="15.5">
      <c r="A215" s="283" t="s">
        <v>651</v>
      </c>
      <c r="B215" s="288">
        <v>0.25361111111111123</v>
      </c>
      <c r="C215" s="284">
        <v>2</v>
      </c>
    </row>
    <row r="216" spans="1:3" ht="15.5">
      <c r="A216" s="283" t="s">
        <v>1998</v>
      </c>
      <c r="B216" s="288">
        <v>0.25000000000000178</v>
      </c>
      <c r="C216" s="284">
        <v>8</v>
      </c>
    </row>
    <row r="217" spans="1:3" ht="15.5">
      <c r="A217" s="291" t="s">
        <v>340</v>
      </c>
      <c r="B217" s="288">
        <v>0.20000000000000162</v>
      </c>
      <c r="C217" s="284">
        <v>1</v>
      </c>
    </row>
    <row r="218" spans="1:3" ht="15.5">
      <c r="A218" s="292" t="s">
        <v>341</v>
      </c>
      <c r="B218" s="288">
        <v>0.20000000000000162</v>
      </c>
      <c r="C218" s="284">
        <v>1</v>
      </c>
    </row>
    <row r="219" spans="1:3" ht="15.5">
      <c r="A219" s="283" t="s">
        <v>1155</v>
      </c>
      <c r="B219" s="288">
        <v>0.17222222222222339</v>
      </c>
      <c r="C219" s="284">
        <v>1</v>
      </c>
    </row>
    <row r="220" spans="1:3" ht="15.5">
      <c r="A220" s="283" t="s">
        <v>2371</v>
      </c>
      <c r="B220" s="288">
        <v>0.17194444448687118</v>
      </c>
      <c r="C220" s="284">
        <v>2</v>
      </c>
    </row>
    <row r="221" spans="1:3" ht="15.5">
      <c r="A221" s="283" t="s">
        <v>1720</v>
      </c>
      <c r="B221" s="288">
        <v>0.15722222222222104</v>
      </c>
      <c r="C221" s="284">
        <v>1</v>
      </c>
    </row>
    <row r="222" spans="1:3" ht="15.5">
      <c r="A222" s="283" t="s">
        <v>648</v>
      </c>
      <c r="B222" s="288">
        <v>0.15694444444444411</v>
      </c>
      <c r="C222" s="284">
        <v>8</v>
      </c>
    </row>
    <row r="223" spans="1:3" ht="15.5">
      <c r="A223" s="291" t="s">
        <v>288</v>
      </c>
      <c r="B223" s="288">
        <v>0.1500000000000008</v>
      </c>
      <c r="C223" s="284">
        <v>1</v>
      </c>
    </row>
    <row r="224" spans="1:3" ht="15.5">
      <c r="A224" s="292" t="s">
        <v>343</v>
      </c>
      <c r="B224" s="288">
        <v>0.14194444322492927</v>
      </c>
      <c r="C224" s="284">
        <v>1</v>
      </c>
    </row>
    <row r="225" spans="1:3" ht="15.5">
      <c r="A225" s="283" t="s">
        <v>2291</v>
      </c>
      <c r="B225" s="288">
        <v>0.13694444444444365</v>
      </c>
      <c r="C225" s="284">
        <v>1</v>
      </c>
    </row>
    <row r="226" spans="1:3" ht="15.5">
      <c r="A226" s="283" t="s">
        <v>4324</v>
      </c>
      <c r="B226" s="288">
        <v>0.13333333333333286</v>
      </c>
      <c r="C226" s="284">
        <v>1</v>
      </c>
    </row>
    <row r="227" spans="1:3" ht="15.5">
      <c r="A227" s="283" t="s">
        <v>722</v>
      </c>
      <c r="B227" s="288">
        <v>0.11722222220851108</v>
      </c>
      <c r="C227" s="284">
        <v>1</v>
      </c>
    </row>
    <row r="228" spans="1:3" ht="15.5">
      <c r="A228" s="283" t="s">
        <v>909</v>
      </c>
      <c r="B228" s="288">
        <v>0.10027777777777924</v>
      </c>
      <c r="C228" s="284">
        <v>1</v>
      </c>
    </row>
    <row r="229" spans="1:3" ht="15.5">
      <c r="A229" s="283" t="s">
        <v>371</v>
      </c>
      <c r="B229" s="288">
        <v>8.3888888888902891E-2</v>
      </c>
      <c r="C229" s="284">
        <v>2</v>
      </c>
    </row>
    <row r="230" spans="1:3" ht="15.5">
      <c r="A230" s="291" t="s">
        <v>282</v>
      </c>
      <c r="B230" s="288">
        <v>8.3333333333351689E-2</v>
      </c>
      <c r="C230" s="284">
        <v>1</v>
      </c>
    </row>
    <row r="231" spans="1:3" ht="15.5">
      <c r="A231" s="292" t="s">
        <v>285</v>
      </c>
      <c r="B231" s="288">
        <v>8.3333333333327708E-2</v>
      </c>
      <c r="C231" s="284">
        <v>1</v>
      </c>
    </row>
    <row r="232" spans="1:3" ht="15.5">
      <c r="A232" s="283" t="s">
        <v>905</v>
      </c>
      <c r="B232" s="288">
        <v>6.9444444444446751E-2</v>
      </c>
      <c r="C232" s="284">
        <v>2</v>
      </c>
    </row>
    <row r="233" spans="1:3" ht="15.5">
      <c r="A233" s="283" t="s">
        <v>1642</v>
      </c>
      <c r="B233" s="288">
        <v>3.4999999974388629E-2</v>
      </c>
      <c r="C233" s="284">
        <v>1</v>
      </c>
    </row>
    <row r="234" spans="1:3" ht="15.5">
      <c r="A234" s="290" t="s">
        <v>280</v>
      </c>
      <c r="B234" s="288">
        <v>3.3333333333335879E-2</v>
      </c>
      <c r="C234" s="284">
        <v>1</v>
      </c>
    </row>
    <row r="235" spans="1:3" ht="15.5">
      <c r="A235" s="283" t="s">
        <v>1021</v>
      </c>
      <c r="B235" s="288">
        <v>3.3333333333335879E-2</v>
      </c>
      <c r="C235" s="284">
        <v>1</v>
      </c>
    </row>
    <row r="236" spans="1:3" ht="15.5">
      <c r="A236" s="290" t="s">
        <v>294</v>
      </c>
      <c r="B236" s="288">
        <v>3.3333333333335879E-2</v>
      </c>
      <c r="C236" s="284">
        <v>1</v>
      </c>
    </row>
    <row r="237" spans="1:3" ht="15.5">
      <c r="A237" s="283" t="s">
        <v>705</v>
      </c>
      <c r="B237" s="288">
        <v>1.6666666666666607E-2</v>
      </c>
      <c r="C237" s="284">
        <v>1</v>
      </c>
    </row>
    <row r="238" spans="1:3" ht="15.5">
      <c r="A238" s="290" t="s">
        <v>295</v>
      </c>
      <c r="B238" s="288">
        <v>1.6666666666655949E-2</v>
      </c>
      <c r="C238" s="284">
        <v>1</v>
      </c>
    </row>
    <row r="239" spans="1:3" ht="15.5">
      <c r="A239" s="283" t="s">
        <v>426</v>
      </c>
      <c r="B239" s="288"/>
      <c r="C239" s="284">
        <v>1</v>
      </c>
    </row>
    <row r="240" spans="1:3" ht="15.5">
      <c r="A240" s="290" t="s">
        <v>258</v>
      </c>
      <c r="B240" s="288">
        <v>-5.3833333333333195</v>
      </c>
      <c r="C240" s="284">
        <v>1</v>
      </c>
    </row>
    <row r="241" spans="1:3" ht="15.5">
      <c r="A241" s="290" t="s">
        <v>346</v>
      </c>
      <c r="B241" s="288" t="e">
        <v>#REF!</v>
      </c>
      <c r="C241" s="284">
        <v>114</v>
      </c>
    </row>
    <row r="242" spans="1:3" ht="15.5">
      <c r="A242" s="283" t="s">
        <v>4303</v>
      </c>
      <c r="B242" s="288" t="e">
        <v>#REF!</v>
      </c>
      <c r="C242" s="284">
        <v>123</v>
      </c>
    </row>
    <row r="243" spans="1:3" ht="15.5">
      <c r="A243" s="283" t="s">
        <v>368</v>
      </c>
      <c r="B243" s="288" t="e">
        <v>#REF!</v>
      </c>
      <c r="C243" s="284">
        <v>160</v>
      </c>
    </row>
    <row r="244" spans="1:3" ht="15.5">
      <c r="A244" s="290" t="s">
        <v>139</v>
      </c>
      <c r="B244" s="288" t="e">
        <v>#REF!</v>
      </c>
      <c r="C244" s="284">
        <v>38</v>
      </c>
    </row>
    <row r="245" spans="1:3" ht="15.5">
      <c r="A245" s="283" t="s">
        <v>3374</v>
      </c>
      <c r="B245" s="288" t="e">
        <v>#REF!</v>
      </c>
      <c r="C245" s="284">
        <v>3</v>
      </c>
    </row>
    <row r="246" spans="1:3" ht="15.5">
      <c r="A246" s="290" t="s">
        <v>307</v>
      </c>
      <c r="B246" s="288" t="e">
        <v>#REF!</v>
      </c>
      <c r="C246" s="284">
        <v>93</v>
      </c>
    </row>
    <row r="247" spans="1:3" ht="15.5">
      <c r="A247" s="290" t="s">
        <v>347</v>
      </c>
      <c r="B247" s="288" t="e">
        <v>#REF!</v>
      </c>
      <c r="C247" s="284">
        <v>6</v>
      </c>
    </row>
    <row r="248" spans="1:3" ht="15.5">
      <c r="A248" s="283" t="s">
        <v>373</v>
      </c>
      <c r="B248" s="288" t="e">
        <v>#REF!</v>
      </c>
      <c r="C248" s="284">
        <v>18</v>
      </c>
    </row>
    <row r="249" spans="1:3" ht="15.5">
      <c r="A249" s="290" t="s">
        <v>142</v>
      </c>
      <c r="B249" s="288" t="e">
        <v>#REF!</v>
      </c>
      <c r="C249" s="284">
        <v>54</v>
      </c>
    </row>
    <row r="250" spans="1:3" ht="15.5">
      <c r="A250" s="283" t="s">
        <v>381</v>
      </c>
      <c r="B250" s="288" t="e">
        <v>#REF!</v>
      </c>
      <c r="C250" s="284">
        <v>102</v>
      </c>
    </row>
    <row r="251" spans="1:3" ht="15.5">
      <c r="A251" s="290" t="s">
        <v>147</v>
      </c>
      <c r="B251" s="289" t="e">
        <v>#REF!</v>
      </c>
      <c r="C251" s="285">
        <v>3703</v>
      </c>
    </row>
  </sheetData>
  <protectedRanges>
    <protectedRange sqref="B3:B4" name="Range1"/>
  </protectedRanges>
  <conditionalFormatting sqref="B6:X6">
    <cfRule type="colorScale" priority="14">
      <colorScale>
        <cfvo type="min"/>
        <cfvo type="percentile" val="50"/>
        <cfvo type="max"/>
        <color rgb="FFF8696B"/>
        <color rgb="FFFFEB84"/>
        <color rgb="FF63BE7B"/>
      </colorScale>
    </cfRule>
  </conditionalFormatting>
  <conditionalFormatting sqref="B8:X8">
    <cfRule type="colorScale" priority="13">
      <colorScale>
        <cfvo type="min"/>
        <cfvo type="percentile" val="50"/>
        <cfvo type="max"/>
        <color rgb="FFF8696B"/>
        <color rgb="FFFFEB84"/>
        <color rgb="FF63BE7B"/>
      </colorScale>
    </cfRule>
  </conditionalFormatting>
  <conditionalFormatting sqref="B16:X16">
    <cfRule type="cellIs" dxfId="6" priority="12" operator="lessThan">
      <formula>0.998</formula>
    </cfRule>
  </conditionalFormatting>
  <conditionalFormatting sqref="B17:X17">
    <cfRule type="colorScale" priority="5">
      <colorScale>
        <cfvo type="min"/>
        <cfvo type="percentile" val="50"/>
        <cfvo type="max"/>
        <color rgb="FFF8696B"/>
        <color rgb="FFFFEB84"/>
        <color rgb="FF63BE7B"/>
      </colorScale>
    </cfRule>
  </conditionalFormatting>
  <conditionalFormatting sqref="B18:X18">
    <cfRule type="colorScale" priority="4">
      <colorScale>
        <cfvo type="min"/>
        <cfvo type="percentile" val="50"/>
        <cfvo type="max"/>
        <color rgb="FFF8696B"/>
        <color rgb="FFFFEB84"/>
        <color rgb="FF63BE7B"/>
      </colorScale>
    </cfRule>
  </conditionalFormatting>
  <conditionalFormatting sqref="B24:X24">
    <cfRule type="colorScale" priority="11">
      <colorScale>
        <cfvo type="min"/>
        <cfvo type="percentile" val="50"/>
        <cfvo type="max"/>
        <color rgb="FFF8696B"/>
        <color rgb="FFFFEB84"/>
        <color rgb="FF63BE7B"/>
      </colorScale>
    </cfRule>
  </conditionalFormatting>
  <conditionalFormatting sqref="B25:X25">
    <cfRule type="colorScale" priority="10">
      <colorScale>
        <cfvo type="min"/>
        <cfvo type="percentile" val="50"/>
        <cfvo type="max"/>
        <color rgb="FFF8696B"/>
        <color rgb="FFFFEB84"/>
        <color rgb="FF63BE7B"/>
      </colorScale>
    </cfRule>
  </conditionalFormatting>
  <conditionalFormatting sqref="B30:X30">
    <cfRule type="cellIs" dxfId="5" priority="6" operator="lessThan">
      <formula>$D$4</formula>
    </cfRule>
    <cfRule type="cellIs" dxfId="4" priority="7" operator="greaterThan">
      <formula>$D$4</formula>
    </cfRule>
  </conditionalFormatting>
  <conditionalFormatting sqref="B31:X35">
    <cfRule type="colorScale" priority="3">
      <colorScale>
        <cfvo type="min"/>
        <cfvo type="percentile" val="50"/>
        <cfvo type="max"/>
        <color rgb="FFF8696B"/>
        <color rgb="FFFFEB84"/>
        <color rgb="FF63BE7B"/>
      </colorScale>
    </cfRule>
  </conditionalFormatting>
  <conditionalFormatting sqref="B28:Y28">
    <cfRule type="colorScale" priority="9">
      <colorScale>
        <cfvo type="min"/>
        <cfvo type="percentile" val="50"/>
        <cfvo type="max"/>
        <color rgb="FF63BE7B"/>
        <color rgb="FFFFEB84"/>
        <color rgb="FFF8696B"/>
      </colorScale>
    </cfRule>
  </conditionalFormatting>
  <conditionalFormatting sqref="B29:Y29">
    <cfRule type="colorScale" priority="8">
      <colorScale>
        <cfvo type="min"/>
        <cfvo type="percentile" val="50"/>
        <cfvo type="max"/>
        <color rgb="FFF8696B"/>
        <color rgb="FFFFEB84"/>
        <color rgb="FF63BE7B"/>
      </colorScale>
    </cfRule>
  </conditionalFormatting>
  <conditionalFormatting sqref="D48:D169">
    <cfRule type="colorScale" priority="2">
      <colorScale>
        <cfvo type="min"/>
        <cfvo type="percentile" val="50"/>
        <cfvo type="max"/>
        <color rgb="FF63BE7B"/>
        <color rgb="FFFFEB84"/>
        <color rgb="FFF8696B"/>
      </colorScale>
    </cfRule>
  </conditionalFormatting>
  <conditionalFormatting sqref="E48:E169">
    <cfRule type="colorScale" priority="1">
      <colorScale>
        <cfvo type="min"/>
        <cfvo type="percentile" val="50"/>
        <cfvo type="max"/>
        <color rgb="FFF8696B"/>
        <color rgb="FFFFEB84"/>
        <color rgb="FF63BE7B"/>
      </colorScale>
    </cfRule>
  </conditionalFormatting>
  <dataValidations disablePrompts="1" count="4">
    <dataValidation allowBlank="1" showInputMessage="1" showErrorMessage="1" promptTitle="Info" prompt="EGA (Energy Availability) - means the External Grid Availability including Availability of Grid down due to any reason + Grid limited availability due to curtailment order." sqref="A18" xr:uid="{00000000-0002-0000-0300-000000000000}"/>
    <dataValidation allowBlank="1" showInputMessage="1" showErrorMessage="1" prompt="All breakdown including FM, EGA, IGA etc." sqref="A25" xr:uid="{00000000-0002-0000-0300-000001000000}"/>
    <dataValidation allowBlank="1" showInputMessage="1" showErrorMessage="1" promptTitle="Info" prompt="Mean Time to repair (MTTR) - means the mean time to repair the multiple breakdowns during the period._x000a__x000a_Formula = Total Breakdown Hours/Total Number of Breakdowns_x000a_" sqref="A28" xr:uid="{00000000-0002-0000-0300-000002000000}"/>
    <dataValidation allowBlank="1" showInputMessage="1" showErrorMessage="1" promptTitle="Info" prompt="Mean Time Between Failure (MTBF) - means the mean the time interval after the breakdown is being recorded._x000a__x000a_Formula = (Total duration - breakdown duration)/Total Number of Breakdowns_x000a_" sqref="A29" xr:uid="{00000000-0002-0000-0300-000003000000}"/>
  </dataValidations>
  <pageMargins left="0.7" right="0.7" top="0.75" bottom="0.75" header="0.3" footer="0.3"/>
  <pageSetup paperSize="9" orientation="portrait"/>
  <headerFooter>
    <oddFooter>&amp;C&amp;1#&amp;"Calibri"&amp;8&amp;K000000Classification: Confidential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609"/>
  <sheetViews>
    <sheetView workbookViewId="0">
      <pane xSplit="1" ySplit="1" topLeftCell="U102" activePane="bottomRight" state="frozen"/>
      <selection activeCell="AB39" sqref="AB39"/>
      <selection pane="topRight" activeCell="AB39" sqref="AB39"/>
      <selection pane="bottomLeft" activeCell="AB39" sqref="AB39"/>
      <selection pane="bottomRight" activeCell="Z113" sqref="Z113"/>
    </sheetView>
  </sheetViews>
  <sheetFormatPr defaultRowHeight="14.5"/>
  <cols>
    <col min="1" max="1" width="10.26953125" bestFit="1" customWidth="1"/>
    <col min="2" max="5" width="9" customWidth="1"/>
    <col min="6" max="9" width="10.26953125" customWidth="1"/>
    <col min="10" max="12" width="11.26953125" customWidth="1"/>
    <col min="13" max="13" width="15.26953125" bestFit="1" customWidth="1"/>
    <col min="14" max="25" width="11.26953125" customWidth="1"/>
    <col min="26" max="26" width="15.7265625" bestFit="1" customWidth="1"/>
    <col min="27" max="39" width="11.26953125" customWidth="1"/>
    <col min="40" max="40" width="11.26953125" style="41" customWidth="1"/>
    <col min="41" max="43" width="11.26953125" customWidth="1"/>
  </cols>
  <sheetData>
    <row r="1" spans="1:45" ht="58">
      <c r="A1" s="305" t="s">
        <v>148</v>
      </c>
      <c r="B1" s="306" t="s">
        <v>4388</v>
      </c>
      <c r="C1" s="306" t="s">
        <v>4310</v>
      </c>
      <c r="D1" s="306" t="s">
        <v>151</v>
      </c>
      <c r="E1" s="306" t="s">
        <v>49</v>
      </c>
      <c r="F1" s="307" t="s">
        <v>4389</v>
      </c>
      <c r="G1" s="307" t="s">
        <v>4390</v>
      </c>
      <c r="H1" s="307" t="s">
        <v>4391</v>
      </c>
      <c r="I1" s="307" t="s">
        <v>4392</v>
      </c>
      <c r="J1" s="307" t="s">
        <v>4393</v>
      </c>
      <c r="K1" s="307" t="s">
        <v>4394</v>
      </c>
      <c r="L1" s="307" t="s">
        <v>4395</v>
      </c>
      <c r="M1" s="307" t="s">
        <v>4396</v>
      </c>
      <c r="N1" s="307" t="s">
        <v>4397</v>
      </c>
      <c r="O1" s="307" t="s">
        <v>4302</v>
      </c>
      <c r="P1" s="307" t="s">
        <v>4398</v>
      </c>
      <c r="Q1" s="307" t="s">
        <v>4399</v>
      </c>
      <c r="R1" s="307" t="s">
        <v>4400</v>
      </c>
      <c r="S1" s="307" t="s">
        <v>4401</v>
      </c>
      <c r="T1" s="307" t="s">
        <v>4402</v>
      </c>
      <c r="U1" s="307" t="s">
        <v>4403</v>
      </c>
      <c r="V1" s="307" t="s">
        <v>4404</v>
      </c>
      <c r="W1" s="307" t="s">
        <v>4405</v>
      </c>
      <c r="X1" s="307" t="s">
        <v>4406</v>
      </c>
      <c r="Y1" s="307" t="s">
        <v>4407</v>
      </c>
      <c r="Z1" s="307" t="s">
        <v>4408</v>
      </c>
      <c r="AA1" s="307" t="s">
        <v>4409</v>
      </c>
      <c r="AB1" s="307" t="s">
        <v>4410</v>
      </c>
      <c r="AC1" s="307" t="s">
        <v>4411</v>
      </c>
      <c r="AD1" s="307" t="s">
        <v>4412</v>
      </c>
      <c r="AE1" s="307" t="s">
        <v>4413</v>
      </c>
      <c r="AF1" s="307" t="s">
        <v>4414</v>
      </c>
      <c r="AG1" s="307" t="s">
        <v>4415</v>
      </c>
      <c r="AH1" s="307" t="s">
        <v>4416</v>
      </c>
      <c r="AI1" s="307" t="s">
        <v>4342</v>
      </c>
      <c r="AJ1" s="307" t="s">
        <v>4417</v>
      </c>
      <c r="AK1" s="307" t="s">
        <v>4418</v>
      </c>
      <c r="AL1" s="307" t="s">
        <v>4419</v>
      </c>
      <c r="AM1" s="307" t="s">
        <v>4420</v>
      </c>
      <c r="AN1" s="308" t="s">
        <v>4421</v>
      </c>
      <c r="AO1" s="307" t="s">
        <v>4422</v>
      </c>
      <c r="AP1" s="307" t="s">
        <v>4423</v>
      </c>
      <c r="AQ1" s="307" t="s">
        <v>4424</v>
      </c>
      <c r="AR1" s="307" t="s">
        <v>4508</v>
      </c>
      <c r="AS1" s="307" t="s">
        <v>4509</v>
      </c>
    </row>
    <row r="2" spans="1:45">
      <c r="A2" s="32">
        <v>45745</v>
      </c>
      <c r="B2" s="43">
        <f>YEAR(Table13[[#This Row],[Date]])+IF(MONTH(Table13[[#This Row],[Date]])&gt;=4,1,0)</f>
        <v>2025</v>
      </c>
      <c r="C2" s="10">
        <f>YEAR(Table13[[#This Row],[Date]])</f>
        <v>2025</v>
      </c>
      <c r="D2" s="309">
        <f>Table13[[#This Row],[Date]]-DAY(Table13[[#This Row],[Date]])+1</f>
        <v>45717</v>
      </c>
      <c r="E2" s="10">
        <f t="shared" ref="E2:E6" si="0">DAY(EOMONTH(A2,0))</f>
        <v>31</v>
      </c>
      <c r="F2" s="241">
        <f>IFERROR(_xlfn.XLOOKUP($A2,Input_Raw!$E:$E,Input_Raw!DC:DC),"")</f>
        <v>11.483333333333333</v>
      </c>
      <c r="G2" s="313"/>
      <c r="H2" s="313"/>
      <c r="I2" s="313"/>
      <c r="J2" s="313"/>
      <c r="K2" s="243"/>
      <c r="L2" s="242"/>
      <c r="M2" s="242">
        <f>IFERROR(_xlfn.XLOOKUP($A2,Input_Raw!$E:$E,Input_Raw!$BM:$BM),"")</f>
        <v>4.6281532233883071</v>
      </c>
      <c r="N2" s="242">
        <f>IFERROR(_xlfn.XLOOKUP($A2,Input_Raw!$E:$E,Input_Raw!$BN:$BN),"")</f>
        <v>4.8999172413793106</v>
      </c>
      <c r="O2" s="311" t="str">
        <f t="shared" ref="O2:O6" si="1">IFERROR(P2*Q2,"")</f>
        <v/>
      </c>
      <c r="P2" s="311" t="str">
        <f>IFERROR(1-SUMIF(WTG_BD!$F:$F,$A2,WTG_BD!$AA:$AA)/($AA2+SUMIF(WTG_BD!$F:$F,$A2,WTG_BD!$AA:$AA)),"")</f>
        <v/>
      </c>
      <c r="Q2" s="328" t="str">
        <f>IFERROR(1-SUMIF(IGA_BD!$F:$F,$A2,IGA_BD!$W:$W)/($AA2+SUMIF(IGA_BD!$F:$F,$A2,IGA_BD!$W:$W)),"")</f>
        <v/>
      </c>
      <c r="R2" s="47" t="str">
        <f>IFERROR(1-SUMIF(Grid_BD!$F:$F,$A2,Grid_BD!$Y:$Y)/($AA2+SUMIF(Grid_BD!$F:$F,$A2,Grid_BD!$Y:$Y)),"")</f>
        <v/>
      </c>
      <c r="S2" s="10"/>
      <c r="T2" s="310"/>
      <c r="U2" s="311"/>
      <c r="V2" s="10"/>
      <c r="W2" s="312" t="str">
        <f t="shared" ref="W2:W6" si="2">IFERROR(X2/(24*AR2*1000),"")</f>
        <v/>
      </c>
      <c r="X2" s="10">
        <f>IFERROR(_xlfn.XLOOKUP($A2,Input_Raw!$E:$E,Input_Raw!BG:BG),"")</f>
        <v>161352</v>
      </c>
      <c r="Y2" s="10" t="str">
        <f>IFERROR(_xlfn.XLOOKUP($A2,Input_Raw!$E:$E,Input_Raw!DF:DF),"")</f>
        <v/>
      </c>
      <c r="Z2" s="319" t="str">
        <f>IFERROR(_xlfn.XLOOKUP(A2,Input_Raw!E:E,Input_Raw!CT:CT)/_xlfn.XLOOKUP(A2,Input_Raw!E:E,Input_Raw!CS:CS)*Table13[[#This Row],[Mtr_Export (kWh)]],"")</f>
        <v/>
      </c>
      <c r="AA2" s="43" t="str">
        <f t="shared" ref="AA2:AA6" si="3">IFERROR(Y2-Z2,"")</f>
        <v/>
      </c>
      <c r="AB2" s="10">
        <f>IFERROR(_xlfn.XLOOKUP($A2,Input_Raw!$E:$E,Input_Raw!$CZ:$CZ),"")</f>
        <v>50.6</v>
      </c>
      <c r="AC2" s="313">
        <f>IFERROR(_xlfn.XLOOKUP($D2,'Modelling New'!$D:$D,'Modelling New'!$J:$J),"")</f>
        <v>5.9681800514432695</v>
      </c>
      <c r="AD2" s="43">
        <f>IFERROR(_xlfn.XLOOKUP($D2,'Modelling New'!$D:$D,'Modelling New'!$T:$T)*1000,"")</f>
        <v>280595.00659025437</v>
      </c>
      <c r="AE2" s="312"/>
      <c r="AF2" s="312">
        <f>IFERROR(_xlfn.XLOOKUP($D2,'Modelling New'!$D:$D,'Modelling New'!$W:$W),"")</f>
        <v>0.23105649422781166</v>
      </c>
      <c r="AG2" s="312">
        <f>IFERROR(_xlfn.XLOOKUP($D2,'Modelling New'!$D:$D,'Modelling New'!$AE:$AE),"")</f>
        <v>0.95549849999999992</v>
      </c>
      <c r="AH2" s="312">
        <f>IFERROR(_xlfn.XLOOKUP($D2,'Modelling New'!$D:$D,'Modelling New'!$AF:$AF),"")</f>
        <v>0.995</v>
      </c>
      <c r="AI2" s="10">
        <f>IFERROR(_xlfn.XLOOKUP($A2,Input_Raw!$E:$E,Input_Raw!$DG:$DG),"")</f>
        <v>0</v>
      </c>
      <c r="AJ2" s="10"/>
      <c r="AK2" s="10"/>
      <c r="AL2" s="10"/>
      <c r="AM2" s="10"/>
      <c r="AN2" s="314" t="str">
        <f>IFERROR(_xlfn.XLOOKUP($A2,Input_Raw!$E:$E,Input_Raw!$CY:$CY),"")</f>
        <v/>
      </c>
      <c r="AO2" s="312">
        <f>IFERROR((_xlfn.XLOOKUP($A2,'WTG Reactive Power'!$A:$A,'WTG Reactive Power'!AB:AB))/X2,"")</f>
        <v>3.1099707471862765E-3</v>
      </c>
      <c r="AP2" s="312">
        <f>IFERROR(_xlfn.XLOOKUP($D2,'Modelling New'!$D:$D,'Modelling New'!AK:AK),"")</f>
        <v>0.05</v>
      </c>
      <c r="AQ2" s="312">
        <f>IFERROR(_xlfn.XLOOKUP($D2,'Modelling New'!$D:$D,'Modelling New'!AL:AL),"")</f>
        <v>0.05</v>
      </c>
      <c r="AR2" s="331" t="s">
        <v>4568</v>
      </c>
      <c r="AS2" s="325"/>
    </row>
    <row r="3" spans="1:45">
      <c r="A3" s="32">
        <f t="shared" ref="A3:A8" si="4">A2+1</f>
        <v>45746</v>
      </c>
      <c r="B3" s="43">
        <f>YEAR(Table13[[#This Row],[Date]])+IF(MONTH(Table13[[#This Row],[Date]])&gt;=4,1,0)</f>
        <v>2025</v>
      </c>
      <c r="C3" s="10">
        <f>YEAR(Table13[[#This Row],[Date]])</f>
        <v>2025</v>
      </c>
      <c r="D3" s="309">
        <f>Table13[[#This Row],[Date]]-DAY(Table13[[#This Row],[Date]])+1</f>
        <v>45717</v>
      </c>
      <c r="E3" s="10">
        <f t="shared" si="0"/>
        <v>31</v>
      </c>
      <c r="F3" s="241">
        <f>IFERROR(_xlfn.XLOOKUP($A3,Input_Raw!$E:$E,Input_Raw!DC:DC),"")</f>
        <v>11.45</v>
      </c>
      <c r="G3" s="242"/>
      <c r="H3" s="242"/>
      <c r="I3" s="242"/>
      <c r="J3" s="242"/>
      <c r="K3" s="243"/>
      <c r="L3" s="242"/>
      <c r="M3" s="242">
        <f>IFERROR(_xlfn.XLOOKUP($A3,Input_Raw!$E:$E,Input_Raw!$BM:$BM),"")</f>
        <v>4.393957886497927</v>
      </c>
      <c r="N3" s="242">
        <f>IFERROR(_xlfn.XLOOKUP($A3,Input_Raw!$E:$E,Input_Raw!$BN:$BN),"")</f>
        <v>4.6498206896551713</v>
      </c>
      <c r="O3" s="311">
        <f t="shared" si="1"/>
        <v>0.9999950195907954</v>
      </c>
      <c r="P3" s="311">
        <f>IFERROR(1-SUMIF(WTG_BD!$F:$F,$A3,WTG_BD!$AA:$AA)/($AA3+SUMIF(WTG_BD!$F:$F,$A3,WTG_BD!$AA:$AA)),"")</f>
        <v>0.9999950195907954</v>
      </c>
      <c r="Q3" s="328">
        <f>IFERROR(1-SUMIF(IGA_BD!$F:$F,$A3,IGA_BD!$W:$W)/($AA3+SUMIF(IGA_BD!$F:$F,$A3,IGA_BD!$W:$W)),"")</f>
        <v>1</v>
      </c>
      <c r="R3" s="311">
        <f>IFERROR(1-SUMIF(Grid_BD!$F:$F,$A3,Grid_BD!$Y:$Y)/($AA3+SUMIF(Grid_BD!$F:$F,$A3,Grid_BD!$Y:$Y)),"")</f>
        <v>1</v>
      </c>
      <c r="S3" s="10"/>
      <c r="T3" s="310"/>
      <c r="U3" s="311"/>
      <c r="V3" s="10"/>
      <c r="W3" s="312">
        <f t="shared" si="2"/>
        <v>0.12907855731225301</v>
      </c>
      <c r="X3" s="10">
        <f>IFERROR(_xlfn.XLOOKUP($A3,Input_Raw!$E:$E,Input_Raw!BG:BG),"")</f>
        <v>156753</v>
      </c>
      <c r="Y3" s="10">
        <f>IFERROR(_xlfn.XLOOKUP($A3,Input_Raw!$E:$E,Input_Raw!DF:DF),"")</f>
        <v>154604.99999999726</v>
      </c>
      <c r="Z3" s="319">
        <f>IFERROR(_xlfn.XLOOKUP(A3,Input_Raw!E:E,Input_Raw!CT:CT)/_xlfn.XLOOKUP(A3,Input_Raw!E:E,Input_Raw!CS:CS)*Table13[[#This Row],[Mtr_Export (kWh)]],"")</f>
        <v>0</v>
      </c>
      <c r="AA3" s="43">
        <f t="shared" si="3"/>
        <v>154604.99999999726</v>
      </c>
      <c r="AB3" s="10">
        <f>IFERROR(_xlfn.XLOOKUP($A3,Input_Raw!$E:$E,Input_Raw!$CZ:$CZ),"")</f>
        <v>50.6</v>
      </c>
      <c r="AC3" s="313">
        <f>IFERROR(_xlfn.XLOOKUP($D3,'Modelling New'!$D:$D,'Modelling New'!$J:$J),"")</f>
        <v>5.9681800514432695</v>
      </c>
      <c r="AD3" s="43">
        <f>IFERROR(_xlfn.XLOOKUP($D3,'Modelling New'!$D:$D,'Modelling New'!$T:$T)*1000,"")</f>
        <v>280595.00659025437</v>
      </c>
      <c r="AE3" s="312"/>
      <c r="AF3" s="312">
        <f>IFERROR(_xlfn.XLOOKUP($D3,'Modelling New'!$D:$D,'Modelling New'!$W:$W),"")</f>
        <v>0.23105649422781166</v>
      </c>
      <c r="AG3" s="312">
        <f>IFERROR(_xlfn.XLOOKUP($D3,'Modelling New'!$D:$D,'Modelling New'!$AE:$AE),"")</f>
        <v>0.95549849999999992</v>
      </c>
      <c r="AH3" s="312">
        <f>IFERROR(_xlfn.XLOOKUP($D3,'Modelling New'!$D:$D,'Modelling New'!$AF:$AF),"")</f>
        <v>0.995</v>
      </c>
      <c r="AI3" s="10">
        <f>IFERROR(_xlfn.XLOOKUP($A3,Input_Raw!$E:$E,Input_Raw!$DG:$DG),"")</f>
        <v>0</v>
      </c>
      <c r="AJ3" s="10"/>
      <c r="AK3" s="10"/>
      <c r="AL3" s="10"/>
      <c r="AM3" s="10"/>
      <c r="AN3" s="314">
        <f>IFERROR(_xlfn.XLOOKUP($A3,Input_Raw!$E:$E,Input_Raw!$CY:$CY),"")</f>
        <v>7.4626865671616471E-3</v>
      </c>
      <c r="AO3" s="312">
        <f>IFERROR((_xlfn.XLOOKUP($A3,'WTG Reactive Power'!$A:$A,'WTG Reactive Power'!AB:AB))/X3,"")</f>
        <v>7.3083130785375726E-3</v>
      </c>
      <c r="AP3" s="312">
        <f>IFERROR(_xlfn.XLOOKUP($D3,'Modelling New'!$D:$D,'Modelling New'!AK:AK),"")</f>
        <v>0.05</v>
      </c>
      <c r="AQ3" s="312">
        <f>IFERROR(_xlfn.XLOOKUP($D3,'Modelling New'!$D:$D,'Modelling New'!AL:AL),"")</f>
        <v>0.05</v>
      </c>
      <c r="AR3" s="325">
        <f>IFERROR(_xlfn.XLOOKUP($D3,'Modelling New'!$D:$D,'Modelling New'!$N:$N),"")</f>
        <v>50.59999999999998</v>
      </c>
      <c r="AS3" s="325"/>
    </row>
    <row r="4" spans="1:45">
      <c r="A4" s="32">
        <f t="shared" si="4"/>
        <v>45747</v>
      </c>
      <c r="B4" s="43">
        <f>YEAR(Table13[[#This Row],[Date]])+IF(MONTH(Table13[[#This Row],[Date]])&gt;=4,1,0)</f>
        <v>2025</v>
      </c>
      <c r="C4" s="10">
        <f>YEAR(Table13[[#This Row],[Date]])</f>
        <v>2025</v>
      </c>
      <c r="D4" s="309">
        <f>Table13[[#This Row],[Date]]-DAY(Table13[[#This Row],[Date]])+1</f>
        <v>45717</v>
      </c>
      <c r="E4" s="10">
        <f t="shared" si="0"/>
        <v>31</v>
      </c>
      <c r="F4" s="241">
        <f>IFERROR(_xlfn.XLOOKUP($A4,Input_Raw!$E:$E,Input_Raw!DC:DC),"")</f>
        <v>11.533333333333331</v>
      </c>
      <c r="G4" s="313"/>
      <c r="H4" s="313"/>
      <c r="I4" s="313"/>
      <c r="J4" s="313"/>
      <c r="K4" s="243"/>
      <c r="L4" s="242"/>
      <c r="M4" s="242">
        <f>IFERROR(_xlfn.XLOOKUP($A4,Input_Raw!$E:$E,Input_Raw!$BM:$BM),"")</f>
        <v>4.684444677661169</v>
      </c>
      <c r="N4" s="242">
        <f>IFERROR(_xlfn.XLOOKUP($A4,Input_Raw!$E:$E,Input_Raw!$BN:$BN),"")</f>
        <v>5.0213586206896554</v>
      </c>
      <c r="O4" s="311">
        <f t="shared" si="1"/>
        <v>0.99999852232791431</v>
      </c>
      <c r="P4" s="311">
        <f>IFERROR(1-SUMIF(WTG_BD!$F:$F,$A4,WTG_BD!$AA:$AA)/($AA4+SUMIF(WTG_BD!$F:$F,$A4,WTG_BD!$AA:$AA)),"")</f>
        <v>0.99999852232791431</v>
      </c>
      <c r="Q4" s="328">
        <f>IFERROR(1-SUMIF(IGA_BD!$F:$F,$A4,IGA_BD!$W:$W)/($AA4+SUMIF(IGA_BD!$F:$F,$A4,IGA_BD!$W:$W)),"")</f>
        <v>1</v>
      </c>
      <c r="R4" s="47">
        <f>IFERROR(1-SUMIF(Grid_BD!$F:$F,$A4,Grid_BD!$Y:$Y)/($AA4+SUMIF(Grid_BD!$F:$F,$A4,Grid_BD!$Y:$Y)),"")</f>
        <v>1</v>
      </c>
      <c r="S4" s="10"/>
      <c r="T4" s="310"/>
      <c r="U4" s="311"/>
      <c r="V4" s="10"/>
      <c r="W4" s="312">
        <f t="shared" si="2"/>
        <v>0.15667819499341246</v>
      </c>
      <c r="X4" s="10">
        <f>IFERROR(_xlfn.XLOOKUP($A4,Input_Raw!$E:$E,Input_Raw!BG:BG),"")</f>
        <v>190270</v>
      </c>
      <c r="Y4" s="10">
        <f>IFERROR(_xlfn.XLOOKUP($A4,Input_Raw!$E:$E,Input_Raw!DF:DF),"")</f>
        <v>186780.00000000553</v>
      </c>
      <c r="Z4" s="319">
        <f>IFERROR(_xlfn.XLOOKUP(A4,Input_Raw!E:E,Input_Raw!CT:CT)/_xlfn.XLOOKUP(A4,Input_Raw!E:E,Input_Raw!CS:CS)*Table13[[#This Row],[Mtr_Export (kWh)]],"")</f>
        <v>0</v>
      </c>
      <c r="AA4" s="43">
        <f t="shared" si="3"/>
        <v>186780.00000000553</v>
      </c>
      <c r="AB4" s="10">
        <f>IFERROR(_xlfn.XLOOKUP($A4,Input_Raw!$E:$E,Input_Raw!$CZ:$CZ),"")</f>
        <v>50.6</v>
      </c>
      <c r="AC4" s="313">
        <f>IFERROR(_xlfn.XLOOKUP($D4,'Modelling New'!$D:$D,'Modelling New'!$J:$J),"")</f>
        <v>5.9681800514432695</v>
      </c>
      <c r="AD4" s="43">
        <f>IFERROR(_xlfn.XLOOKUP($D4,'Modelling New'!$D:$D,'Modelling New'!$T:$T)*1000,"")</f>
        <v>280595.00659025437</v>
      </c>
      <c r="AE4" s="312"/>
      <c r="AF4" s="312">
        <f>IFERROR(_xlfn.XLOOKUP($D4,'Modelling New'!$D:$D,'Modelling New'!$W:$W),"")</f>
        <v>0.23105649422781166</v>
      </c>
      <c r="AG4" s="312">
        <f>IFERROR(_xlfn.XLOOKUP($D4,'Modelling New'!$D:$D,'Modelling New'!$AE:$AE),"")</f>
        <v>0.95549849999999992</v>
      </c>
      <c r="AH4" s="312">
        <f>IFERROR(_xlfn.XLOOKUP($D4,'Modelling New'!$D:$D,'Modelling New'!$AF:$AF),"")</f>
        <v>0.995</v>
      </c>
      <c r="AI4" s="10">
        <f>IFERROR(_xlfn.XLOOKUP($A4,Input_Raw!$E:$E,Input_Raw!$DG:$DG),"")</f>
        <v>0</v>
      </c>
      <c r="AJ4" s="10"/>
      <c r="AK4" s="10"/>
      <c r="AL4" s="10"/>
      <c r="AM4" s="10"/>
      <c r="AN4" s="314">
        <f>IFERROR(_xlfn.XLOOKUP($A4,Input_Raw!$E:$E,Input_Raw!$CY:$CY),"")</f>
        <v>1.0135135135122653E-2</v>
      </c>
      <c r="AO4" s="312">
        <f>IFERROR((_xlfn.XLOOKUP($A4,'WTG Reactive Power'!$A:$A,'WTG Reactive Power'!AB:AB))/X4,"")</f>
        <v>4.7080464602932675E-3</v>
      </c>
      <c r="AP4" s="312">
        <f>IFERROR(_xlfn.XLOOKUP($D4,'Modelling New'!$D:$D,'Modelling New'!AK:AK),"")</f>
        <v>0.05</v>
      </c>
      <c r="AQ4" s="312">
        <f>IFERROR(_xlfn.XLOOKUP($D4,'Modelling New'!$D:$D,'Modelling New'!AL:AL),"")</f>
        <v>0.05</v>
      </c>
      <c r="AR4" s="325">
        <f>IFERROR(_xlfn.XLOOKUP($D4,'Modelling New'!$D:$D,'Modelling New'!$N:$N),"")</f>
        <v>50.59999999999998</v>
      </c>
      <c r="AS4" s="325"/>
    </row>
    <row r="5" spans="1:45">
      <c r="A5" s="32">
        <f t="shared" si="4"/>
        <v>45748</v>
      </c>
      <c r="B5" s="43">
        <f>YEAR(Table13[[#This Row],[Date]])+IF(MONTH(Table13[[#This Row],[Date]])&gt;=4,1,0)</f>
        <v>2026</v>
      </c>
      <c r="C5" s="10">
        <f>YEAR(Table13[[#This Row],[Date]])</f>
        <v>2025</v>
      </c>
      <c r="D5" s="309">
        <f>Table13[[#This Row],[Date]]-DAY(Table13[[#This Row],[Date]])+1</f>
        <v>45748</v>
      </c>
      <c r="E5" s="10">
        <f t="shared" si="0"/>
        <v>30</v>
      </c>
      <c r="F5" s="241">
        <f>IFERROR(_xlfn.XLOOKUP($A5,Input_Raw!$E:$E,Input_Raw!DC:DC),"")</f>
        <v>11.599999999999998</v>
      </c>
      <c r="G5" s="242"/>
      <c r="H5" s="242"/>
      <c r="I5" s="242"/>
      <c r="J5" s="242"/>
      <c r="K5" s="243"/>
      <c r="L5" s="242"/>
      <c r="M5" s="242">
        <f>IFERROR(_xlfn.XLOOKUP($A5,Input_Raw!$E:$E,Input_Raw!$BM:$BM),"")</f>
        <v>4.9657616191904053</v>
      </c>
      <c r="N5" s="242">
        <f>IFERROR(_xlfn.XLOOKUP($A5,Input_Raw!$E:$E,Input_Raw!$BN:$BN),"")</f>
        <v>5.2482827586206886</v>
      </c>
      <c r="O5" s="311">
        <f t="shared" si="1"/>
        <v>0.99999939090889978</v>
      </c>
      <c r="P5" s="311">
        <f>IFERROR(1-SUMIF(WTG_BD!$F:$F,$A5,WTG_BD!$AA:$AA)/($AA5+SUMIF(WTG_BD!$F:$F,$A5,WTG_BD!$AA:$AA)),"")</f>
        <v>0.99999939090889978</v>
      </c>
      <c r="Q5" s="328">
        <f>IFERROR(1-SUMIF(IGA_BD!$F:$F,$A5,IGA_BD!$W:$W)/($AA5+SUMIF(IGA_BD!$F:$F,$A5,IGA_BD!$W:$W)),"")</f>
        <v>1</v>
      </c>
      <c r="R5" s="311">
        <f>IFERROR(1-SUMIF(Grid_BD!$F:$F,$A5,Grid_BD!$Y:$Y)/($AA5+SUMIF(Grid_BD!$F:$F,$A5,Grid_BD!$Y:$Y)),"")</f>
        <v>1</v>
      </c>
      <c r="S5" s="10"/>
      <c r="T5" s="310"/>
      <c r="U5" s="311"/>
      <c r="V5" s="10"/>
      <c r="W5" s="312">
        <f t="shared" si="2"/>
        <v>0.24012928194993421</v>
      </c>
      <c r="X5" s="10">
        <f>IFERROR(_xlfn.XLOOKUP($A5,Input_Raw!$E:$E,Input_Raw!BG:BG),"")</f>
        <v>291613</v>
      </c>
      <c r="Y5" s="10">
        <f>IFERROR(_xlfn.XLOOKUP($A5,Input_Raw!$E:$E,Input_Raw!DF:DF),"")</f>
        <v>287759.99999999994</v>
      </c>
      <c r="Z5" s="319">
        <f>IFERROR(_xlfn.XLOOKUP(A5,Input_Raw!E:E,Input_Raw!CT:CT)/_xlfn.XLOOKUP(A5,Input_Raw!E:E,Input_Raw!CS:CS)*Table13[[#This Row],[Mtr_Export (kWh)]],"")</f>
        <v>446.83229813664246</v>
      </c>
      <c r="AA5" s="43">
        <f t="shared" si="3"/>
        <v>287313.16770186328</v>
      </c>
      <c r="AB5" s="10">
        <f>IFERROR(_xlfn.XLOOKUP($A5,Input_Raw!$E:$E,Input_Raw!$CZ:$CZ),"")</f>
        <v>50.6</v>
      </c>
      <c r="AC5" s="313">
        <f>IFERROR(_xlfn.XLOOKUP($D5,'Modelling New'!$D:$D,'Modelling New'!$J:$J),"")</f>
        <v>5.6310997427836513</v>
      </c>
      <c r="AD5" s="43">
        <f>IFERROR(_xlfn.XLOOKUP($D5,'Modelling New'!$D:$D,'Modelling New'!$T:$T)*1000,"")</f>
        <v>273284.33333333331</v>
      </c>
      <c r="AE5" s="312"/>
      <c r="AF5" s="312">
        <f>IFERROR(_xlfn.XLOOKUP($D5,'Modelling New'!$D:$D,'Modelling New'!$W:$W),"")</f>
        <v>0.22503650636802819</v>
      </c>
      <c r="AG5" s="312">
        <f>IFERROR(_xlfn.XLOOKUP($D5,'Modelling New'!$D:$D,'Modelling New'!$AE:$AE),"")</f>
        <v>0.95549849999999992</v>
      </c>
      <c r="AH5" s="312">
        <f>IFERROR(_xlfn.XLOOKUP($D5,'Modelling New'!$D:$D,'Modelling New'!$AF:$AF),"")</f>
        <v>0.995</v>
      </c>
      <c r="AI5" s="10">
        <f>IFERROR(_xlfn.XLOOKUP($A5,Input_Raw!$E:$E,Input_Raw!$DG:$DG),"")</f>
        <v>292.87</v>
      </c>
      <c r="AJ5" s="10"/>
      <c r="AK5" s="10"/>
      <c r="AL5" s="10"/>
      <c r="AM5" s="10"/>
      <c r="AN5" s="314">
        <f>IFERROR(_xlfn.XLOOKUP($A5,Input_Raw!$E:$E,Input_Raw!$CY:$CY),"")</f>
        <v>9.3167701863638985E-3</v>
      </c>
      <c r="AO5" s="312">
        <f>IFERROR((_xlfn.XLOOKUP($A5,'WTG Reactive Power'!$A:$A,'WTG Reactive Power'!AB:AB))/X5,"")</f>
        <v>5.2583389629406087E-3</v>
      </c>
      <c r="AP5" s="312">
        <f>IFERROR(_xlfn.XLOOKUP($D5,'Modelling New'!$D:$D,'Modelling New'!AK:AK),"")</f>
        <v>0.05</v>
      </c>
      <c r="AQ5" s="312">
        <f>IFERROR(_xlfn.XLOOKUP($D5,'Modelling New'!$D:$D,'Modelling New'!AL:AL),"")</f>
        <v>0.05</v>
      </c>
      <c r="AR5" s="325">
        <f>IFERROR(_xlfn.XLOOKUP($D5,'Modelling New'!$D:$D,'Modelling New'!$N:$N),"")</f>
        <v>50.59999999999998</v>
      </c>
      <c r="AS5" s="325"/>
    </row>
    <row r="6" spans="1:45">
      <c r="A6" s="32">
        <f t="shared" si="4"/>
        <v>45749</v>
      </c>
      <c r="B6" s="43">
        <f>YEAR(Table13[[#This Row],[Date]])+IF(MONTH(Table13[[#This Row],[Date]])&gt;=4,1,0)</f>
        <v>2026</v>
      </c>
      <c r="C6" s="10">
        <f>YEAR(Table13[[#This Row],[Date]])</f>
        <v>2025</v>
      </c>
      <c r="D6" s="309">
        <f>Table13[[#This Row],[Date]]-DAY(Table13[[#This Row],[Date]])+1</f>
        <v>45748</v>
      </c>
      <c r="E6" s="10">
        <f t="shared" si="0"/>
        <v>30</v>
      </c>
      <c r="F6" s="241">
        <f>IFERROR(_xlfn.XLOOKUP($A6,Input_Raw!$E:$E,Input_Raw!DC:DC),"")</f>
        <v>10.983333333333334</v>
      </c>
      <c r="G6" s="313"/>
      <c r="H6" s="313"/>
      <c r="I6" s="313"/>
      <c r="J6" s="313"/>
      <c r="K6" s="243"/>
      <c r="L6" s="242"/>
      <c r="M6" s="242">
        <f>IFERROR(_xlfn.XLOOKUP($A6,Input_Raw!$E:$E,Input_Raw!$BM:$BM),"")</f>
        <v>4.7846447789602848</v>
      </c>
      <c r="N6" s="242">
        <f>IFERROR(_xlfn.XLOOKUP($A6,Input_Raw!$E:$E,Input_Raw!$BN:$BN),"")</f>
        <v>5.1333448275862077</v>
      </c>
      <c r="O6" s="311">
        <f t="shared" si="1"/>
        <v>1</v>
      </c>
      <c r="P6" s="311">
        <f>IFERROR(1-SUMIF(WTG_BD!$F:$F,$A6,WTG_BD!$AA:$AA)/($AA6+SUMIF(WTG_BD!$F:$F,$A6,WTG_BD!$AA:$AA)),"")</f>
        <v>1</v>
      </c>
      <c r="Q6" s="328">
        <f>IFERROR(1-SUMIF(IGA_BD!$F:$F,$A6,IGA_BD!$W:$W)/($AA6+SUMIF(IGA_BD!$F:$F,$A6,IGA_BD!$W:$W)),"")</f>
        <v>1</v>
      </c>
      <c r="R6" s="47">
        <f>IFERROR(1-SUMIF(Grid_BD!$F:$F,$A6,Grid_BD!$Y:$Y)/($AA6+SUMIF(Grid_BD!$F:$F,$A6,Grid_BD!$Y:$Y)),"")</f>
        <v>1</v>
      </c>
      <c r="S6" s="10"/>
      <c r="T6" s="310"/>
      <c r="U6" s="311"/>
      <c r="V6" s="10"/>
      <c r="W6" s="312">
        <f t="shared" si="2"/>
        <v>0.17301218708827412</v>
      </c>
      <c r="X6" s="10">
        <f>IFERROR(_xlfn.XLOOKUP($A6,Input_Raw!$E:$E,Input_Raw!BG:BG),"")</f>
        <v>210106</v>
      </c>
      <c r="Y6" s="10">
        <f>IFERROR(_xlfn.XLOOKUP($A6,Input_Raw!$E:$E,Input_Raw!DF:DF),"")</f>
        <v>204764.9999999929</v>
      </c>
      <c r="Z6" s="319">
        <f>IFERROR(_xlfn.XLOOKUP(A6,Input_Raw!E:E,Input_Raw!CT:CT)/_xlfn.XLOOKUP(A6,Input_Raw!E:E,Input_Raw!CS:CS)*Table13[[#This Row],[Mtr_Export (kWh)]],"")</f>
        <v>0</v>
      </c>
      <c r="AA6" s="43">
        <f t="shared" si="3"/>
        <v>204764.9999999929</v>
      </c>
      <c r="AB6" s="10">
        <f>IFERROR(_xlfn.XLOOKUP($A6,Input_Raw!$E:$E,Input_Raw!$CZ:$CZ),"")</f>
        <v>50.6</v>
      </c>
      <c r="AC6" s="313">
        <f>IFERROR(_xlfn.XLOOKUP($D6,'Modelling New'!$D:$D,'Modelling New'!$J:$J),"")</f>
        <v>5.6310997427836513</v>
      </c>
      <c r="AD6" s="43">
        <f>IFERROR(_xlfn.XLOOKUP($D6,'Modelling New'!$D:$D,'Modelling New'!$T:$T)*1000,"")</f>
        <v>273284.33333333331</v>
      </c>
      <c r="AE6" s="312"/>
      <c r="AF6" s="312">
        <f>IFERROR(_xlfn.XLOOKUP($D6,'Modelling New'!$D:$D,'Modelling New'!$W:$W),"")</f>
        <v>0.22503650636802819</v>
      </c>
      <c r="AG6" s="312">
        <f>IFERROR(_xlfn.XLOOKUP($D6,'Modelling New'!$D:$D,'Modelling New'!$AE:$AE),"")</f>
        <v>0.95549849999999992</v>
      </c>
      <c r="AH6" s="312">
        <f>IFERROR(_xlfn.XLOOKUP($D6,'Modelling New'!$D:$D,'Modelling New'!$AF:$AF),"")</f>
        <v>0.995</v>
      </c>
      <c r="AI6" s="10">
        <f>IFERROR(_xlfn.XLOOKUP($A6,Input_Raw!$E:$E,Input_Raw!$DG:$DG),"")</f>
        <v>210.58</v>
      </c>
      <c r="AJ6" s="10"/>
      <c r="AK6" s="10"/>
      <c r="AL6" s="10"/>
      <c r="AM6" s="10"/>
      <c r="AN6" s="314">
        <f>IFERROR(_xlfn.XLOOKUP($A6,Input_Raw!$E:$E,Input_Raw!$CY:$CY),"")</f>
        <v>7.5622775800501252E-3</v>
      </c>
      <c r="AO6" s="312">
        <f>IFERROR((_xlfn.XLOOKUP($A6,'WTG Reactive Power'!$A:$A,'WTG Reactive Power'!AB:AB))/X6,"")</f>
        <v>4.3654155521498667E-3</v>
      </c>
      <c r="AP6" s="312">
        <f>IFERROR(_xlfn.XLOOKUP($D6,'Modelling New'!$D:$D,'Modelling New'!AK:AK),"")</f>
        <v>0.05</v>
      </c>
      <c r="AQ6" s="312">
        <f>IFERROR(_xlfn.XLOOKUP($D6,'Modelling New'!$D:$D,'Modelling New'!AL:AL),"")</f>
        <v>0.05</v>
      </c>
      <c r="AR6" s="325">
        <f>IFERROR(_xlfn.XLOOKUP($D6,'Modelling New'!$D:$D,'Modelling New'!$N:$N),"")</f>
        <v>50.59999999999998</v>
      </c>
      <c r="AS6" s="325"/>
    </row>
    <row r="7" spans="1:45">
      <c r="A7" s="32">
        <f t="shared" si="4"/>
        <v>45750</v>
      </c>
      <c r="B7" s="43">
        <f>YEAR(Table13[[#This Row],[Date]])+IF(MONTH(Table13[[#This Row],[Date]])&gt;=4,1,0)</f>
        <v>2026</v>
      </c>
      <c r="C7" s="10">
        <f>YEAR(Table13[[#This Row],[Date]])</f>
        <v>2025</v>
      </c>
      <c r="D7" s="309">
        <f>Table13[[#This Row],[Date]]-DAY(Table13[[#This Row],[Date]])+1</f>
        <v>45748</v>
      </c>
      <c r="E7" s="10">
        <f t="shared" ref="E7:E70" si="5">DAY(EOMONTH(A7,0))</f>
        <v>30</v>
      </c>
      <c r="F7" s="241">
        <f>IFERROR(_xlfn.XLOOKUP($A7,Input_Raw!$E:$E,Input_Raw!DC:DC),"")</f>
        <v>11.600000000000001</v>
      </c>
      <c r="G7" s="242"/>
      <c r="H7" s="242"/>
      <c r="I7" s="242"/>
      <c r="J7" s="242"/>
      <c r="K7" s="243"/>
      <c r="L7" s="242"/>
      <c r="M7" s="242">
        <f>IFERROR(_xlfn.XLOOKUP($A7,Input_Raw!$E:$E,Input_Raw!$BM:$BM),"")</f>
        <v>4.1396537649833478</v>
      </c>
      <c r="N7" s="242">
        <f>IFERROR(_xlfn.XLOOKUP($A7,Input_Raw!$E:$E,Input_Raw!$BN:$BN),"")</f>
        <v>4.4785391304347817</v>
      </c>
      <c r="O7" s="311">
        <f t="shared" ref="O7:O70" si="6">IFERROR(P7*Q7,"")</f>
        <v>0.92657403374876357</v>
      </c>
      <c r="P7" s="311">
        <f>IFERROR(1-SUMIF(WTG_BD!$F:$F,$A7,WTG_BD!$AA:$AA)/($AA7+SUMIF(WTG_BD!$F:$F,$A7,WTG_BD!$AA:$AA)),"")</f>
        <v>1</v>
      </c>
      <c r="Q7" s="328">
        <f>IFERROR(1-SUMIF(IGA_BD!$F:$F,$A7,IGA_BD!$W:$W)/($AA7+SUMIF(IGA_BD!$F:$F,$A7,IGA_BD!$W:$W)),"")</f>
        <v>0.92657403374876357</v>
      </c>
      <c r="R7" s="311">
        <f>IFERROR(1-SUMIF(Grid_BD!$F:$F,$A7,Grid_BD!$Y:$Y)/($AA7+SUMIF(Grid_BD!$F:$F,$A7,Grid_BD!$Y:$Y)),"")</f>
        <v>1</v>
      </c>
      <c r="S7" s="10"/>
      <c r="T7" s="310"/>
      <c r="U7" s="311"/>
      <c r="V7" s="10"/>
      <c r="W7" s="312">
        <f t="shared" ref="W7:W70" si="7">IFERROR(X7/(24*AR7*1000),"")</f>
        <v>0.10613883399209491</v>
      </c>
      <c r="X7" s="10">
        <f>IFERROR(_xlfn.XLOOKUP($A7,Input_Raw!$E:$E,Input_Raw!BG:BG),"")</f>
        <v>128895</v>
      </c>
      <c r="Y7" s="10">
        <f>IFERROR(_xlfn.XLOOKUP($A7,Input_Raw!$E:$E,Input_Raw!DF:DF),"")</f>
        <v>128535.00000001348</v>
      </c>
      <c r="Z7" s="319">
        <f>IFERROR(_xlfn.XLOOKUP(A7,Input_Raw!E:E,Input_Raw!CT:CT)/_xlfn.XLOOKUP(A7,Input_Raw!E:E,Input_Raw!CS:CS)*Table13[[#This Row],[Mtr_Export (kWh)]],"")</f>
        <v>248.61702127662397</v>
      </c>
      <c r="AA7" s="43">
        <f t="shared" ref="AA7:AA70" si="8">IFERROR(Y7-Z7,"")</f>
        <v>128286.38297873684</v>
      </c>
      <c r="AB7" s="10">
        <f>IFERROR(_xlfn.XLOOKUP($A7,Input_Raw!$E:$E,Input_Raw!$CZ:$CZ),"")</f>
        <v>50.6</v>
      </c>
      <c r="AC7" s="313">
        <f>IFERROR(_xlfn.XLOOKUP($D7,'Modelling New'!$D:$D,'Modelling New'!$J:$J),"")</f>
        <v>5.6310997427836513</v>
      </c>
      <c r="AD7" s="43">
        <f>IFERROR(_xlfn.XLOOKUP($D7,'Modelling New'!$D:$D,'Modelling New'!$T:$T)*1000,"")</f>
        <v>273284.33333333331</v>
      </c>
      <c r="AE7" s="312"/>
      <c r="AF7" s="312">
        <f>IFERROR(_xlfn.XLOOKUP($D7,'Modelling New'!$D:$D,'Modelling New'!$W:$W),"")</f>
        <v>0.22503650636802819</v>
      </c>
      <c r="AG7" s="312">
        <f>IFERROR(_xlfn.XLOOKUP($D7,'Modelling New'!$D:$D,'Modelling New'!$AE:$AE),"")</f>
        <v>0.95549849999999992</v>
      </c>
      <c r="AH7" s="312">
        <f>IFERROR(_xlfn.XLOOKUP($D7,'Modelling New'!$D:$D,'Modelling New'!$AF:$AF),"")</f>
        <v>0.995</v>
      </c>
      <c r="AI7" s="10">
        <f>IFERROR(_xlfn.XLOOKUP($A7,Input_Raw!$E:$E,Input_Raw!$DG:$DG),"")</f>
        <v>133.1</v>
      </c>
      <c r="AJ7" s="10"/>
      <c r="AK7" s="10"/>
      <c r="AL7" s="10"/>
      <c r="AM7" s="10"/>
      <c r="AN7" s="314">
        <f>IFERROR(_xlfn.XLOOKUP($A7,Input_Raw!$E:$E,Input_Raw!$CY:$CY),"")</f>
        <v>8.2205029012971664E-3</v>
      </c>
      <c r="AO7" s="312">
        <f>IFERROR((_xlfn.XLOOKUP($A7,'WTG Reactive Power'!$A:$A,'WTG Reactive Power'!AB:AB))/X7,"")</f>
        <v>1.0785523100197834E-2</v>
      </c>
      <c r="AP7" s="312">
        <f>IFERROR(_xlfn.XLOOKUP($D7,'Modelling New'!$D:$D,'Modelling New'!AK:AK),"")</f>
        <v>0.05</v>
      </c>
      <c r="AQ7" s="312">
        <f>IFERROR(_xlfn.XLOOKUP($D7,'Modelling New'!$D:$D,'Modelling New'!AL:AL),"")</f>
        <v>0.05</v>
      </c>
      <c r="AR7" s="325">
        <f>IFERROR(_xlfn.XLOOKUP($D7,'Modelling New'!$D:$D,'Modelling New'!$N:$N),"")</f>
        <v>50.59999999999998</v>
      </c>
      <c r="AS7" s="325"/>
    </row>
    <row r="8" spans="1:45">
      <c r="A8" s="32">
        <f t="shared" si="4"/>
        <v>45751</v>
      </c>
      <c r="B8" s="43">
        <f>YEAR(Table13[[#This Row],[Date]])+IF(MONTH(Table13[[#This Row],[Date]])&gt;=4,1,0)</f>
        <v>2026</v>
      </c>
      <c r="C8" s="10">
        <f>YEAR(Table13[[#This Row],[Date]])</f>
        <v>2025</v>
      </c>
      <c r="D8" s="309">
        <f>Table13[[#This Row],[Date]]-DAY(Table13[[#This Row],[Date]])+1</f>
        <v>45748</v>
      </c>
      <c r="E8" s="10">
        <f t="shared" si="5"/>
        <v>30</v>
      </c>
      <c r="F8" s="241">
        <f>IFERROR(_xlfn.XLOOKUP($A8,Input_Raw!$E:$E,Input_Raw!DC:DC),"")</f>
        <v>11.466666666666665</v>
      </c>
      <c r="G8" s="313"/>
      <c r="H8" s="313"/>
      <c r="I8" s="313"/>
      <c r="J8" s="313"/>
      <c r="K8" s="243"/>
      <c r="L8" s="242"/>
      <c r="M8" s="242">
        <f>IFERROR(_xlfn.XLOOKUP($A8,Input_Raw!$E:$E,Input_Raw!$BM:$BM),"")</f>
        <v>4.3539046000869153</v>
      </c>
      <c r="N8" s="242">
        <f>IFERROR(_xlfn.XLOOKUP($A8,Input_Raw!$E:$E,Input_Raw!$BN:$BN),"")</f>
        <v>4.7728661417322842</v>
      </c>
      <c r="O8" s="311">
        <f t="shared" si="6"/>
        <v>0.92964056613379176</v>
      </c>
      <c r="P8" s="311">
        <f>IFERROR(1-SUMIF(WTG_BD!$F:$F,$A8,WTG_BD!$AA:$AA)/($AA8+SUMIF(WTG_BD!$F:$F,$A8,WTG_BD!$AA:$AA)),"")</f>
        <v>1</v>
      </c>
      <c r="Q8" s="328">
        <f>IFERROR(1-SUMIF(IGA_BD!$F:$F,$A8,IGA_BD!$W:$W)/($AA8+SUMIF(IGA_BD!$F:$F,$A8,IGA_BD!$W:$W)),"")</f>
        <v>0.92964056613379176</v>
      </c>
      <c r="R8" s="47">
        <f>IFERROR(1-SUMIF(Grid_BD!$F:$F,$A8,Grid_BD!$Y:$Y)/($AA8+SUMIF(Grid_BD!$F:$F,$A8,Grid_BD!$Y:$Y)),"")</f>
        <v>1</v>
      </c>
      <c r="S8" s="10"/>
      <c r="T8" s="310"/>
      <c r="U8" s="311"/>
      <c r="V8" s="10"/>
      <c r="W8" s="312">
        <f t="shared" si="7"/>
        <v>0.13714015151515158</v>
      </c>
      <c r="X8" s="10">
        <f>IFERROR(_xlfn.XLOOKUP($A8,Input_Raw!$E:$E,Input_Raw!BG:BG),"")</f>
        <v>166543</v>
      </c>
      <c r="Y8" s="10">
        <f>IFERROR(_xlfn.XLOOKUP($A8,Input_Raw!$E:$E,Input_Raw!DF:DF),"")</f>
        <v>164339.99999999214</v>
      </c>
      <c r="Z8" s="319">
        <f>IFERROR(_xlfn.XLOOKUP(A8,Input_Raw!E:E,Input_Raw!CT:CT)/_xlfn.XLOOKUP(A8,Input_Raw!E:E,Input_Raw!CS:CS)*Table13[[#This Row],[Mtr_Export (kWh)]],"")</f>
        <v>0</v>
      </c>
      <c r="AA8" s="43">
        <f t="shared" si="8"/>
        <v>164339.99999999214</v>
      </c>
      <c r="AB8" s="10">
        <f>IFERROR(_xlfn.XLOOKUP($A8,Input_Raw!$E:$E,Input_Raw!$CZ:$CZ),"")</f>
        <v>50.6</v>
      </c>
      <c r="AC8" s="313">
        <f>IFERROR(_xlfn.XLOOKUP($D8,'Modelling New'!$D:$D,'Modelling New'!$J:$J),"")</f>
        <v>5.6310997427836513</v>
      </c>
      <c r="AD8" s="43">
        <f>IFERROR(_xlfn.XLOOKUP($D8,'Modelling New'!$D:$D,'Modelling New'!$T:$T)*1000,"")</f>
        <v>273284.33333333331</v>
      </c>
      <c r="AE8" s="312"/>
      <c r="AF8" s="312">
        <f>IFERROR(_xlfn.XLOOKUP($D8,'Modelling New'!$D:$D,'Modelling New'!$W:$W),"")</f>
        <v>0.22503650636802819</v>
      </c>
      <c r="AG8" s="312">
        <f>IFERROR(_xlfn.XLOOKUP($D8,'Modelling New'!$D:$D,'Modelling New'!$AE:$AE),"")</f>
        <v>0.95549849999999992</v>
      </c>
      <c r="AH8" s="312">
        <f>IFERROR(_xlfn.XLOOKUP($D8,'Modelling New'!$D:$D,'Modelling New'!$AF:$AF),"")</f>
        <v>0.995</v>
      </c>
      <c r="AI8" s="10">
        <f>IFERROR(_xlfn.XLOOKUP($A8,Input_Raw!$E:$E,Input_Raw!$DG:$DG),"")</f>
        <v>168.01</v>
      </c>
      <c r="AJ8" s="10"/>
      <c r="AK8" s="10"/>
      <c r="AL8" s="10"/>
      <c r="AM8" s="10"/>
      <c r="AN8" s="314">
        <f>IFERROR(_xlfn.XLOOKUP($A8,Input_Raw!$E:$E,Input_Raw!$CY:$CY),"")</f>
        <v>7.6121794872330284E-3</v>
      </c>
      <c r="AO8" s="312">
        <f>IFERROR((_xlfn.XLOOKUP($A8,'WTG Reactive Power'!$A:$A,'WTG Reactive Power'!AB:AB))/X8,"")</f>
        <v>1.0537218616213231E-2</v>
      </c>
      <c r="AP8" s="312">
        <f>IFERROR(_xlfn.XLOOKUP($D8,'Modelling New'!$D:$D,'Modelling New'!AK:AK),"")</f>
        <v>0.05</v>
      </c>
      <c r="AQ8" s="312">
        <f>IFERROR(_xlfn.XLOOKUP($D8,'Modelling New'!$D:$D,'Modelling New'!AL:AL),"")</f>
        <v>0.05</v>
      </c>
      <c r="AR8" s="325">
        <f>IFERROR(_xlfn.XLOOKUP($D8,'Modelling New'!$D:$D,'Modelling New'!$N:$N),"")</f>
        <v>50.59999999999998</v>
      </c>
      <c r="AS8" s="325"/>
    </row>
    <row r="9" spans="1:45">
      <c r="A9" s="32">
        <f t="shared" ref="A9:A72" si="9">A8+1</f>
        <v>45752</v>
      </c>
      <c r="B9" s="43">
        <f>YEAR(Table13[[#This Row],[Date]])+IF(MONTH(Table13[[#This Row],[Date]])&gt;=4,1,0)</f>
        <v>2026</v>
      </c>
      <c r="C9" s="10">
        <f>YEAR(Table13[[#This Row],[Date]])</f>
        <v>2025</v>
      </c>
      <c r="D9" s="309">
        <f>Table13[[#This Row],[Date]]-DAY(Table13[[#This Row],[Date]])+1</f>
        <v>45748</v>
      </c>
      <c r="E9" s="10">
        <f t="shared" si="5"/>
        <v>30</v>
      </c>
      <c r="F9" s="241">
        <f>IFERROR(_xlfn.XLOOKUP($A9,Input_Raw!$E:$E,Input_Raw!DC:DC),"")</f>
        <v>11.683333333333334</v>
      </c>
      <c r="G9" s="242"/>
      <c r="H9" s="242"/>
      <c r="I9" s="242"/>
      <c r="J9" s="242"/>
      <c r="K9" s="243"/>
      <c r="L9" s="242"/>
      <c r="M9" s="242">
        <f>IFERROR(_xlfn.XLOOKUP($A9,Input_Raw!$E:$E,Input_Raw!$BM:$BM),"")</f>
        <v>4.7084943588254893</v>
      </c>
      <c r="N9" s="242">
        <f>IFERROR(_xlfn.XLOOKUP($A9,Input_Raw!$E:$E,Input_Raw!$BN:$BN),"")</f>
        <v>4.9533517241379306</v>
      </c>
      <c r="O9" s="311">
        <f t="shared" si="6"/>
        <v>1</v>
      </c>
      <c r="P9" s="311">
        <f>IFERROR(1-SUMIF(WTG_BD!$F:$F,$A9,WTG_BD!$AA:$AA)/($AA9+SUMIF(WTG_BD!$F:$F,$A9,WTG_BD!$AA:$AA)),"")</f>
        <v>1</v>
      </c>
      <c r="Q9" s="328">
        <f>IFERROR(1-SUMIF(IGA_BD!$F:$F,$A9,IGA_BD!$W:$W)/($AA9+SUMIF(IGA_BD!$F:$F,$A9,IGA_BD!$W:$W)),"")</f>
        <v>1</v>
      </c>
      <c r="R9" s="311">
        <f>IFERROR(1-SUMIF(Grid_BD!$F:$F,$A9,Grid_BD!$Y:$Y)/($AA9+SUMIF(Grid_BD!$F:$F,$A9,Grid_BD!$Y:$Y)),"")</f>
        <v>1</v>
      </c>
      <c r="S9" s="10"/>
      <c r="T9" s="310"/>
      <c r="U9" s="311"/>
      <c r="V9" s="10"/>
      <c r="W9" s="312">
        <f t="shared" si="7"/>
        <v>0.1498674242424243</v>
      </c>
      <c r="X9" s="10">
        <f>IFERROR(_xlfn.XLOOKUP($A9,Input_Raw!$E:$E,Input_Raw!BG:BG),"")</f>
        <v>181999</v>
      </c>
      <c r="Y9" s="10">
        <f>IFERROR(_xlfn.XLOOKUP($A9,Input_Raw!$E:$E,Input_Raw!DF:DF),"")</f>
        <v>176880.00000000044</v>
      </c>
      <c r="Z9" s="319">
        <f>IFERROR(_xlfn.XLOOKUP(A9,Input_Raw!E:E,Input_Raw!CT:CT)/_xlfn.XLOOKUP(A9,Input_Raw!E:E,Input_Raw!CS:CS)*Table13[[#This Row],[Mtr_Export (kWh)]],"")</f>
        <v>0</v>
      </c>
      <c r="AA9" s="43">
        <f t="shared" si="8"/>
        <v>176880.00000000044</v>
      </c>
      <c r="AB9" s="10">
        <f>IFERROR(_xlfn.XLOOKUP($A9,Input_Raw!$E:$E,Input_Raw!$CZ:$CZ),"")</f>
        <v>50.6</v>
      </c>
      <c r="AC9" s="313">
        <f>IFERROR(_xlfn.XLOOKUP($D9,'Modelling New'!$D:$D,'Modelling New'!$J:$J),"")</f>
        <v>5.6310997427836513</v>
      </c>
      <c r="AD9" s="43">
        <f>IFERROR(_xlfn.XLOOKUP($D9,'Modelling New'!$D:$D,'Modelling New'!$T:$T)*1000,"")</f>
        <v>273284.33333333331</v>
      </c>
      <c r="AE9" s="312"/>
      <c r="AF9" s="312">
        <f>IFERROR(_xlfn.XLOOKUP($D9,'Modelling New'!$D:$D,'Modelling New'!$W:$W),"")</f>
        <v>0.22503650636802819</v>
      </c>
      <c r="AG9" s="312">
        <f>IFERROR(_xlfn.XLOOKUP($D9,'Modelling New'!$D:$D,'Modelling New'!$AE:$AE),"")</f>
        <v>0.95549849999999992</v>
      </c>
      <c r="AH9" s="312">
        <f>IFERROR(_xlfn.XLOOKUP($D9,'Modelling New'!$D:$D,'Modelling New'!$AF:$AF),"")</f>
        <v>0.995</v>
      </c>
      <c r="AI9" s="10">
        <f>IFERROR(_xlfn.XLOOKUP($A9,Input_Raw!$E:$E,Input_Raw!$DG:$DG),"")</f>
        <v>182.18</v>
      </c>
      <c r="AJ9" s="10"/>
      <c r="AK9" s="10"/>
      <c r="AL9" s="10"/>
      <c r="AM9" s="10"/>
      <c r="AN9" s="314">
        <f>IFERROR(_xlfn.XLOOKUP($A9,Input_Raw!$E:$E,Input_Raw!$CY:$CY),"")</f>
        <v>9.0361445782831673E-3</v>
      </c>
      <c r="AO9" s="312">
        <f>IFERROR((_xlfn.XLOOKUP($A9,'WTG Reactive Power'!$A:$A,'WTG Reactive Power'!AB:AB))/X9,"")</f>
        <v>4.2258473947659045E-3</v>
      </c>
      <c r="AP9" s="312">
        <f>IFERROR(_xlfn.XLOOKUP($D9,'Modelling New'!$D:$D,'Modelling New'!AK:AK),"")</f>
        <v>0.05</v>
      </c>
      <c r="AQ9" s="312">
        <f>IFERROR(_xlfn.XLOOKUP($D9,'Modelling New'!$D:$D,'Modelling New'!AL:AL),"")</f>
        <v>0.05</v>
      </c>
      <c r="AR9" s="325">
        <f>IFERROR(_xlfn.XLOOKUP($D9,'Modelling New'!$D:$D,'Modelling New'!$N:$N),"")</f>
        <v>50.59999999999998</v>
      </c>
      <c r="AS9" s="325"/>
    </row>
    <row r="10" spans="1:45">
      <c r="A10" s="32">
        <f t="shared" si="9"/>
        <v>45753</v>
      </c>
      <c r="B10" s="43">
        <f>YEAR(Table13[[#This Row],[Date]])+IF(MONTH(Table13[[#This Row],[Date]])&gt;=4,1,0)</f>
        <v>2026</v>
      </c>
      <c r="C10" s="10">
        <f>YEAR(Table13[[#This Row],[Date]])</f>
        <v>2025</v>
      </c>
      <c r="D10" s="309">
        <f>Table13[[#This Row],[Date]]-DAY(Table13[[#This Row],[Date]])+1</f>
        <v>45748</v>
      </c>
      <c r="E10" s="10">
        <f t="shared" si="5"/>
        <v>30</v>
      </c>
      <c r="F10" s="241">
        <f>IFERROR(_xlfn.XLOOKUP($A10,Input_Raw!$E:$E,Input_Raw!DC:DC),"")</f>
        <v>11.516666666666666</v>
      </c>
      <c r="G10" s="313"/>
      <c r="H10" s="313"/>
      <c r="I10" s="313"/>
      <c r="J10" s="313"/>
      <c r="K10" s="243"/>
      <c r="L10" s="242"/>
      <c r="M10" s="242">
        <f>IFERROR(_xlfn.XLOOKUP($A10,Input_Raw!$E:$E,Input_Raw!$BM:$BM),"")</f>
        <v>4.4630746626686655</v>
      </c>
      <c r="N10" s="242">
        <f>IFERROR(_xlfn.XLOOKUP($A10,Input_Raw!$E:$E,Input_Raw!$BN:$BN),"")</f>
        <v>4.7008965517241377</v>
      </c>
      <c r="O10" s="311">
        <f t="shared" si="6"/>
        <v>0.99998934158709973</v>
      </c>
      <c r="P10" s="311">
        <f>IFERROR(1-SUMIF(WTG_BD!$F:$F,$A10,WTG_BD!$AA:$AA)/($AA10+SUMIF(WTG_BD!$F:$F,$A10,WTG_BD!$AA:$AA)),"")</f>
        <v>0.99998934158709973</v>
      </c>
      <c r="Q10" s="328">
        <f>IFERROR(1-SUMIF(IGA_BD!$F:$F,$A10,IGA_BD!$W:$W)/($AA10+SUMIF(IGA_BD!$F:$F,$A10,IGA_BD!$W:$W)),"")</f>
        <v>1</v>
      </c>
      <c r="R10" s="47">
        <f>IFERROR(1-SUMIF(Grid_BD!$F:$F,$A10,Grid_BD!$Y:$Y)/($AA10+SUMIF(Grid_BD!$F:$F,$A10,Grid_BD!$Y:$Y)),"")</f>
        <v>1</v>
      </c>
      <c r="S10" s="10"/>
      <c r="T10" s="310"/>
      <c r="U10" s="311"/>
      <c r="V10" s="10"/>
      <c r="W10" s="312">
        <f t="shared" si="7"/>
        <v>0.13035408432147569</v>
      </c>
      <c r="X10" s="10">
        <f>IFERROR(_xlfn.XLOOKUP($A10,Input_Raw!$E:$E,Input_Raw!BG:BG),"")</f>
        <v>158302</v>
      </c>
      <c r="Y10" s="10">
        <f>IFERROR(_xlfn.XLOOKUP($A10,Input_Raw!$E:$E,Input_Raw!DF:DF),"")</f>
        <v>157245.00000000518</v>
      </c>
      <c r="Z10" s="319">
        <f>IFERROR(_xlfn.XLOOKUP(A10,Input_Raw!E:E,Input_Raw!CT:CT)/_xlfn.XLOOKUP(A10,Input_Raw!E:E,Input_Raw!CS:CS)*Table13[[#This Row],[Mtr_Export (kWh)]],"")</f>
        <v>0</v>
      </c>
      <c r="AA10" s="43">
        <f t="shared" si="8"/>
        <v>157245.00000000518</v>
      </c>
      <c r="AB10" s="10">
        <f>IFERROR(_xlfn.XLOOKUP($A10,Input_Raw!$E:$E,Input_Raw!$CZ:$CZ),"")</f>
        <v>50.6</v>
      </c>
      <c r="AC10" s="313">
        <f>IFERROR(_xlfn.XLOOKUP($D10,'Modelling New'!$D:$D,'Modelling New'!$J:$J),"")</f>
        <v>5.6310997427836513</v>
      </c>
      <c r="AD10" s="43">
        <f>IFERROR(_xlfn.XLOOKUP($D10,'Modelling New'!$D:$D,'Modelling New'!$T:$T)*1000,"")</f>
        <v>273284.33333333331</v>
      </c>
      <c r="AE10" s="312"/>
      <c r="AF10" s="312">
        <f>IFERROR(_xlfn.XLOOKUP($D10,'Modelling New'!$D:$D,'Modelling New'!$W:$W),"")</f>
        <v>0.22503650636802819</v>
      </c>
      <c r="AG10" s="312">
        <f>IFERROR(_xlfn.XLOOKUP($D10,'Modelling New'!$D:$D,'Modelling New'!$AE:$AE),"")</f>
        <v>0.95549849999999992</v>
      </c>
      <c r="AH10" s="312">
        <f>IFERROR(_xlfn.XLOOKUP($D10,'Modelling New'!$D:$D,'Modelling New'!$AF:$AF),"")</f>
        <v>0.995</v>
      </c>
      <c r="AI10" s="10">
        <f>IFERROR(_xlfn.XLOOKUP($A10,Input_Raw!$E:$E,Input_Raw!$DG:$DG),"")</f>
        <v>159.01</v>
      </c>
      <c r="AJ10" s="10"/>
      <c r="AK10" s="10"/>
      <c r="AL10" s="10"/>
      <c r="AM10" s="10"/>
      <c r="AN10" s="314">
        <f>IFERROR(_xlfn.XLOOKUP($A10,Input_Raw!$E:$E,Input_Raw!$CY:$CY),"")</f>
        <v>1.0025597269602615E-2</v>
      </c>
      <c r="AO10" s="312">
        <f>IFERROR((_xlfn.XLOOKUP($A10,'WTG Reactive Power'!$A:$A,'WTG Reactive Power'!AB:AB))/X10,"")</f>
        <v>6.8097686700104862E-3</v>
      </c>
      <c r="AP10" s="312">
        <f>IFERROR(_xlfn.XLOOKUP($D10,'Modelling New'!$D:$D,'Modelling New'!AK:AK),"")</f>
        <v>0.05</v>
      </c>
      <c r="AQ10" s="312">
        <f>IFERROR(_xlfn.XLOOKUP($D10,'Modelling New'!$D:$D,'Modelling New'!AL:AL),"")</f>
        <v>0.05</v>
      </c>
      <c r="AR10" s="325">
        <f>IFERROR(_xlfn.XLOOKUP($D10,'Modelling New'!$D:$D,'Modelling New'!$N:$N),"")</f>
        <v>50.59999999999998</v>
      </c>
      <c r="AS10" s="325"/>
    </row>
    <row r="11" spans="1:45">
      <c r="A11" s="32">
        <f t="shared" si="9"/>
        <v>45754</v>
      </c>
      <c r="B11" s="43">
        <f>YEAR(Table13[[#This Row],[Date]])+IF(MONTH(Table13[[#This Row],[Date]])&gt;=4,1,0)</f>
        <v>2026</v>
      </c>
      <c r="C11" s="10">
        <f>YEAR(Table13[[#This Row],[Date]])</f>
        <v>2025</v>
      </c>
      <c r="D11" s="309">
        <f>Table13[[#This Row],[Date]]-DAY(Table13[[#This Row],[Date]])+1</f>
        <v>45748</v>
      </c>
      <c r="E11" s="10">
        <f t="shared" si="5"/>
        <v>30</v>
      </c>
      <c r="F11" s="241">
        <f>IFERROR(_xlfn.XLOOKUP($A11,Input_Raw!$E:$E,Input_Raw!DC:DC),"")</f>
        <v>11.233333333333334</v>
      </c>
      <c r="G11" s="242"/>
      <c r="H11" s="242"/>
      <c r="I11" s="242"/>
      <c r="J11" s="242"/>
      <c r="K11" s="243"/>
      <c r="L11" s="242"/>
      <c r="M11" s="242">
        <f>IFERROR(_xlfn.XLOOKUP($A11,Input_Raw!$E:$E,Input_Raw!$BM:$BM),"")</f>
        <v>3.92</v>
      </c>
      <c r="N11" s="242">
        <f>IFERROR(_xlfn.XLOOKUP($A11,Input_Raw!$E:$E,Input_Raw!$BN:$BN),"")</f>
        <v>4.5119999999999996</v>
      </c>
      <c r="O11" s="311">
        <f t="shared" si="6"/>
        <v>0.99999099374174127</v>
      </c>
      <c r="P11" s="311">
        <f>IFERROR(1-SUMIF(WTG_BD!$F:$F,$A11,WTG_BD!$AA:$AA)/($AA11+SUMIF(WTG_BD!$F:$F,$A11,WTG_BD!$AA:$AA)),"")</f>
        <v>0.99999099374174127</v>
      </c>
      <c r="Q11" s="328">
        <f>IFERROR(1-SUMIF(IGA_BD!$F:$F,$A11,IGA_BD!$W:$W)/($AA11+SUMIF(IGA_BD!$F:$F,$A11,IGA_BD!$W:$W)),"")</f>
        <v>1</v>
      </c>
      <c r="R11" s="311">
        <f>IFERROR(1-SUMIF(Grid_BD!$F:$F,$A11,Grid_BD!$Y:$Y)/($AA11+SUMIF(Grid_BD!$F:$F,$A11,Grid_BD!$Y:$Y)),"")</f>
        <v>1</v>
      </c>
      <c r="S11" s="10"/>
      <c r="T11" s="310"/>
      <c r="U11" s="311"/>
      <c r="V11" s="10"/>
      <c r="W11" s="312">
        <f t="shared" si="7"/>
        <v>0.10885128458498028</v>
      </c>
      <c r="X11" s="10">
        <f>IFERROR(_xlfn.XLOOKUP($A11,Input_Raw!$E:$E,Input_Raw!BG:BG),"")</f>
        <v>132189</v>
      </c>
      <c r="Y11" s="10">
        <f>IFERROR(_xlfn.XLOOKUP($A11,Input_Raw!$E:$E,Input_Raw!DF:DF),"")</f>
        <v>133814.99999998708</v>
      </c>
      <c r="Z11" s="319">
        <f>IFERROR(_xlfn.XLOOKUP(A11,Input_Raw!E:E,Input_Raw!CT:CT)/_xlfn.XLOOKUP(A11,Input_Raw!E:E,Input_Raw!CS:CS)*Table13[[#This Row],[Mtr_Export (kWh)]],"")</f>
        <v>242.41847826084344</v>
      </c>
      <c r="AA11" s="43">
        <f t="shared" si="8"/>
        <v>133572.58152172624</v>
      </c>
      <c r="AB11" s="10">
        <f>IFERROR(_xlfn.XLOOKUP($A11,Input_Raw!$E:$E,Input_Raw!$CZ:$CZ),"")</f>
        <v>50.6</v>
      </c>
      <c r="AC11" s="313">
        <f>IFERROR(_xlfn.XLOOKUP($D11,'Modelling New'!$D:$D,'Modelling New'!$J:$J),"")</f>
        <v>5.6310997427836513</v>
      </c>
      <c r="AD11" s="43">
        <f>IFERROR(_xlfn.XLOOKUP($D11,'Modelling New'!$D:$D,'Modelling New'!$T:$T)*1000,"")</f>
        <v>273284.33333333331</v>
      </c>
      <c r="AE11" s="312"/>
      <c r="AF11" s="312">
        <f>IFERROR(_xlfn.XLOOKUP($D11,'Modelling New'!$D:$D,'Modelling New'!$W:$W),"")</f>
        <v>0.22503650636802819</v>
      </c>
      <c r="AG11" s="312">
        <f>IFERROR(_xlfn.XLOOKUP($D11,'Modelling New'!$D:$D,'Modelling New'!$AE:$AE),"")</f>
        <v>0.95549849999999992</v>
      </c>
      <c r="AH11" s="312">
        <f>IFERROR(_xlfn.XLOOKUP($D11,'Modelling New'!$D:$D,'Modelling New'!$AF:$AF),"")</f>
        <v>0.995</v>
      </c>
      <c r="AI11" s="10">
        <f>IFERROR(_xlfn.XLOOKUP($A11,Input_Raw!$E:$E,Input_Raw!$DG:$DG),"")</f>
        <v>133.9</v>
      </c>
      <c r="AJ11" s="10"/>
      <c r="AK11" s="10"/>
      <c r="AL11" s="10"/>
      <c r="AM11" s="10"/>
      <c r="AN11" s="314">
        <f>IFERROR(_xlfn.XLOOKUP($A11,Input_Raw!$E:$E,Input_Raw!$CY:$CY),"")</f>
        <v>6.5670289855122022E-3</v>
      </c>
      <c r="AO11" s="312">
        <f>IFERROR((_xlfn.XLOOKUP($A11,'WTG Reactive Power'!$A:$A,'WTG Reactive Power'!AB:AB))/X11,"")</f>
        <v>1.1600057493437425E-2</v>
      </c>
      <c r="AP11" s="312">
        <f>IFERROR(_xlfn.XLOOKUP($D11,'Modelling New'!$D:$D,'Modelling New'!AK:AK),"")</f>
        <v>0.05</v>
      </c>
      <c r="AQ11" s="312">
        <f>IFERROR(_xlfn.XLOOKUP($D11,'Modelling New'!$D:$D,'Modelling New'!AL:AL),"")</f>
        <v>0.05</v>
      </c>
      <c r="AR11" s="325">
        <f>IFERROR(_xlfn.XLOOKUP($D11,'Modelling New'!$D:$D,'Modelling New'!$N:$N),"")</f>
        <v>50.59999999999998</v>
      </c>
      <c r="AS11" s="325"/>
    </row>
    <row r="12" spans="1:45">
      <c r="A12" s="32">
        <f t="shared" si="9"/>
        <v>45755</v>
      </c>
      <c r="B12" s="43">
        <f>YEAR(Table13[[#This Row],[Date]])+IF(MONTH(Table13[[#This Row],[Date]])&gt;=4,1,0)</f>
        <v>2026</v>
      </c>
      <c r="C12" s="10">
        <f>YEAR(Table13[[#This Row],[Date]])</f>
        <v>2025</v>
      </c>
      <c r="D12" s="309">
        <f>Table13[[#This Row],[Date]]-DAY(Table13[[#This Row],[Date]])+1</f>
        <v>45748</v>
      </c>
      <c r="E12" s="10">
        <f t="shared" si="5"/>
        <v>30</v>
      </c>
      <c r="F12" s="241">
        <f>IFERROR(_xlfn.XLOOKUP($A12,Input_Raw!$E:$E,Input_Raw!DC:DC),"")</f>
        <v>11.6</v>
      </c>
      <c r="G12" s="313"/>
      <c r="H12" s="313"/>
      <c r="I12" s="313"/>
      <c r="J12" s="313"/>
      <c r="K12" s="243"/>
      <c r="L12" s="242"/>
      <c r="M12" s="242">
        <f>IFERROR(_xlfn.XLOOKUP($A12,Input_Raw!$E:$E,Input_Raw!$BM:$BM),"")</f>
        <v>4.5</v>
      </c>
      <c r="N12" s="242">
        <f>IFERROR(_xlfn.XLOOKUP($A12,Input_Raw!$E:$E,Input_Raw!$BN:$BN),"")</f>
        <v>4.9000000000000004</v>
      </c>
      <c r="O12" s="311">
        <f t="shared" si="6"/>
        <v>0.9999997588741858</v>
      </c>
      <c r="P12" s="311">
        <f>IFERROR(1-SUMIF(WTG_BD!$F:$F,$A12,WTG_BD!$AA:$AA)/($AA12+SUMIF(WTG_BD!$F:$F,$A12,WTG_BD!$AA:$AA)),"")</f>
        <v>0.9999997588741858</v>
      </c>
      <c r="Q12" s="328">
        <f>IFERROR(1-SUMIF(IGA_BD!$F:$F,$A12,IGA_BD!$W:$W)/($AA12+SUMIF(IGA_BD!$F:$F,$A12,IGA_BD!$W:$W)),"")</f>
        <v>1</v>
      </c>
      <c r="R12" s="47">
        <f>IFERROR(1-SUMIF(Grid_BD!$F:$F,$A12,Grid_BD!$Y:$Y)/($AA12+SUMIF(Grid_BD!$F:$F,$A12,Grid_BD!$Y:$Y)),"")</f>
        <v>1</v>
      </c>
      <c r="S12" s="10"/>
      <c r="T12" s="310"/>
      <c r="U12" s="311"/>
      <c r="V12" s="10"/>
      <c r="W12" s="312">
        <f t="shared" si="7"/>
        <v>0.18145174571805014</v>
      </c>
      <c r="X12" s="10">
        <f>IFERROR(_xlfn.XLOOKUP($A12,Input_Raw!$E:$E,Input_Raw!BG:BG),"")</f>
        <v>220355</v>
      </c>
      <c r="Y12" s="10">
        <f>IFERROR(_xlfn.XLOOKUP($A12,Input_Raw!$E:$E,Input_Raw!DF:DF),"")</f>
        <v>215655.00000001208</v>
      </c>
      <c r="Z12" s="319">
        <f>IFERROR(_xlfn.XLOOKUP(A12,Input_Raw!E:E,Input_Raw!CT:CT)/_xlfn.XLOOKUP(A12,Input_Raw!E:E,Input_Raw!CS:CS)*Table13[[#This Row],[Mtr_Export (kWh)]],"")</f>
        <v>0</v>
      </c>
      <c r="AA12" s="43">
        <f t="shared" si="8"/>
        <v>215655.00000001208</v>
      </c>
      <c r="AB12" s="10">
        <f>IFERROR(_xlfn.XLOOKUP($A12,Input_Raw!$E:$E,Input_Raw!$CZ:$CZ),"")</f>
        <v>50.6</v>
      </c>
      <c r="AC12" s="313">
        <f>IFERROR(_xlfn.XLOOKUP($D12,'Modelling New'!$D:$D,'Modelling New'!$J:$J),"")</f>
        <v>5.6310997427836513</v>
      </c>
      <c r="AD12" s="43">
        <f>IFERROR(_xlfn.XLOOKUP($D12,'Modelling New'!$D:$D,'Modelling New'!$T:$T)*1000,"")</f>
        <v>273284.33333333331</v>
      </c>
      <c r="AE12" s="312"/>
      <c r="AF12" s="312">
        <f>IFERROR(_xlfn.XLOOKUP($D12,'Modelling New'!$D:$D,'Modelling New'!$W:$W),"")</f>
        <v>0.22503650636802819</v>
      </c>
      <c r="AG12" s="312">
        <f>IFERROR(_xlfn.XLOOKUP($D12,'Modelling New'!$D:$D,'Modelling New'!$AE:$AE),"")</f>
        <v>0.95549849999999992</v>
      </c>
      <c r="AH12" s="312">
        <f>IFERROR(_xlfn.XLOOKUP($D12,'Modelling New'!$D:$D,'Modelling New'!$AF:$AF),"")</f>
        <v>0.995</v>
      </c>
      <c r="AI12" s="10">
        <f>IFERROR(_xlfn.XLOOKUP($A12,Input_Raw!$E:$E,Input_Raw!$DG:$DG),"")</f>
        <v>228.59</v>
      </c>
      <c r="AJ12" s="10"/>
      <c r="AK12" s="10"/>
      <c r="AL12" s="10"/>
      <c r="AM12" s="10"/>
      <c r="AN12" s="314">
        <f>IFERROR(_xlfn.XLOOKUP($A12,Input_Raw!$E:$E,Input_Raw!$CY:$CY),"")</f>
        <v>1.017441860469237E-2</v>
      </c>
      <c r="AO12" s="312">
        <f>IFERROR((_xlfn.XLOOKUP($A12,'WTG Reactive Power'!$A:$A,'WTG Reactive Power'!AB:AB))/X12,"")</f>
        <v>9.1956161648249421E-3</v>
      </c>
      <c r="AP12" s="312">
        <f>IFERROR(_xlfn.XLOOKUP($D12,'Modelling New'!$D:$D,'Modelling New'!AK:AK),"")</f>
        <v>0.05</v>
      </c>
      <c r="AQ12" s="312">
        <f>IFERROR(_xlfn.XLOOKUP($D12,'Modelling New'!$D:$D,'Modelling New'!AL:AL),"")</f>
        <v>0.05</v>
      </c>
      <c r="AR12" s="325">
        <f>IFERROR(_xlfn.XLOOKUP($D12,'Modelling New'!$D:$D,'Modelling New'!$N:$N),"")</f>
        <v>50.59999999999998</v>
      </c>
      <c r="AS12" s="325"/>
    </row>
    <row r="13" spans="1:45">
      <c r="A13" s="32">
        <f t="shared" si="9"/>
        <v>45756</v>
      </c>
      <c r="B13" s="43">
        <f>YEAR(Table13[[#This Row],[Date]])+IF(MONTH(Table13[[#This Row],[Date]])&gt;=4,1,0)</f>
        <v>2026</v>
      </c>
      <c r="C13" s="10">
        <f>YEAR(Table13[[#This Row],[Date]])</f>
        <v>2025</v>
      </c>
      <c r="D13" s="309">
        <f>Table13[[#This Row],[Date]]-DAY(Table13[[#This Row],[Date]])+1</f>
        <v>45748</v>
      </c>
      <c r="E13" s="10">
        <f t="shared" si="5"/>
        <v>30</v>
      </c>
      <c r="F13" s="241">
        <f>IFERROR(_xlfn.XLOOKUP($A13,Input_Raw!$E:$E,Input_Raw!DC:DC),"")</f>
        <v>11.583333333333334</v>
      </c>
      <c r="G13" s="242"/>
      <c r="H13" s="242"/>
      <c r="I13" s="242"/>
      <c r="J13" s="242"/>
      <c r="K13" s="243"/>
      <c r="L13" s="242"/>
      <c r="M13" s="242">
        <f>IFERROR(_xlfn.XLOOKUP($A13,Input_Raw!$E:$E,Input_Raw!$BM:$BM),"")</f>
        <v>3.6519565217391299</v>
      </c>
      <c r="N13" s="242">
        <f>IFERROR(_xlfn.XLOOKUP($A13,Input_Raw!$E:$E,Input_Raw!$BN:$BN),"")</f>
        <v>3.9220000000000002</v>
      </c>
      <c r="O13" s="311">
        <f t="shared" si="6"/>
        <v>0.99999885815236567</v>
      </c>
      <c r="P13" s="311">
        <f>IFERROR(1-SUMIF(WTG_BD!$F:$F,$A13,WTG_BD!$AA:$AA)/($AA13+SUMIF(WTG_BD!$F:$F,$A13,WTG_BD!$AA:$AA)),"")</f>
        <v>0.99999885815236567</v>
      </c>
      <c r="Q13" s="328">
        <f>IFERROR(1-SUMIF(IGA_BD!$F:$F,$A13,IGA_BD!$W:$W)/($AA13+SUMIF(IGA_BD!$F:$F,$A13,IGA_BD!$W:$W)),"")</f>
        <v>1</v>
      </c>
      <c r="R13" s="311">
        <f>IFERROR(1-SUMIF(Grid_BD!$F:$F,$A13,Grid_BD!$Y:$Y)/($AA13+SUMIF(Grid_BD!$F:$F,$A13,Grid_BD!$Y:$Y)),"")</f>
        <v>1</v>
      </c>
      <c r="S13" s="10"/>
      <c r="T13" s="310"/>
      <c r="U13" s="311"/>
      <c r="V13" s="10"/>
      <c r="W13" s="312">
        <f t="shared" si="7"/>
        <v>0.11694581686429517</v>
      </c>
      <c r="X13" s="10">
        <f>IFERROR(_xlfn.XLOOKUP($A13,Input_Raw!$E:$E,Input_Raw!BG:BG),"")</f>
        <v>142019</v>
      </c>
      <c r="Y13" s="10">
        <f>IFERROR(_xlfn.XLOOKUP($A13,Input_Raw!$E:$E,Input_Raw!DF:DF),"")</f>
        <v>141240.00000000378</v>
      </c>
      <c r="Z13" s="319">
        <f>IFERROR(_xlfn.XLOOKUP(A13,Input_Raw!E:E,Input_Raw!CT:CT)/_xlfn.XLOOKUP(A13,Input_Raw!E:E,Input_Raw!CS:CS)*Table13[[#This Row],[Mtr_Export (kWh)]],"")</f>
        <v>240.61328790460499</v>
      </c>
      <c r="AA13" s="43">
        <f t="shared" si="8"/>
        <v>140999.38671209919</v>
      </c>
      <c r="AB13" s="10">
        <f>IFERROR(_xlfn.XLOOKUP($A13,Input_Raw!$E:$E,Input_Raw!$CZ:$CZ),"")</f>
        <v>50.6</v>
      </c>
      <c r="AC13" s="313">
        <f>IFERROR(_xlfn.XLOOKUP($D13,'Modelling New'!$D:$D,'Modelling New'!$J:$J),"")</f>
        <v>5.6310997427836513</v>
      </c>
      <c r="AD13" s="43">
        <f>IFERROR(_xlfn.XLOOKUP($D13,'Modelling New'!$D:$D,'Modelling New'!$T:$T)*1000,"")</f>
        <v>273284.33333333331</v>
      </c>
      <c r="AE13" s="312"/>
      <c r="AF13" s="312">
        <f>IFERROR(_xlfn.XLOOKUP($D13,'Modelling New'!$D:$D,'Modelling New'!$W:$W),"")</f>
        <v>0.22503650636802819</v>
      </c>
      <c r="AG13" s="312">
        <f>IFERROR(_xlfn.XLOOKUP($D13,'Modelling New'!$D:$D,'Modelling New'!$AE:$AE),"")</f>
        <v>0.95549849999999992</v>
      </c>
      <c r="AH13" s="312">
        <f>IFERROR(_xlfn.XLOOKUP($D13,'Modelling New'!$D:$D,'Modelling New'!$AF:$AF),"")</f>
        <v>0.995</v>
      </c>
      <c r="AI13" s="10">
        <f>IFERROR(_xlfn.XLOOKUP($A13,Input_Raw!$E:$E,Input_Raw!$DG:$DG),"")</f>
        <v>144.28</v>
      </c>
      <c r="AJ13" s="10"/>
      <c r="AK13" s="10"/>
      <c r="AL13" s="10"/>
      <c r="AM13" s="10"/>
      <c r="AN13" s="314">
        <f>IFERROR(_xlfn.XLOOKUP($A13,Input_Raw!$E:$E,Input_Raw!$CY:$CY),"")</f>
        <v>1.0025597269643471E-2</v>
      </c>
      <c r="AO13" s="312">
        <f>IFERROR((_xlfn.XLOOKUP($A13,'WTG Reactive Power'!$A:$A,'WTG Reactive Power'!AB:AB))/X13,"")</f>
        <v>4.0809328329308059E-2</v>
      </c>
      <c r="AP13" s="312">
        <f>IFERROR(_xlfn.XLOOKUP($D13,'Modelling New'!$D:$D,'Modelling New'!AK:AK),"")</f>
        <v>0.05</v>
      </c>
      <c r="AQ13" s="312">
        <f>IFERROR(_xlfn.XLOOKUP($D13,'Modelling New'!$D:$D,'Modelling New'!AL:AL),"")</f>
        <v>0.05</v>
      </c>
      <c r="AR13" s="325">
        <f>IFERROR(_xlfn.XLOOKUP($D13,'Modelling New'!$D:$D,'Modelling New'!$N:$N),"")</f>
        <v>50.59999999999998</v>
      </c>
      <c r="AS13" s="325"/>
    </row>
    <row r="14" spans="1:45">
      <c r="A14" s="32">
        <f t="shared" si="9"/>
        <v>45757</v>
      </c>
      <c r="B14" s="43">
        <f>YEAR(Table13[[#This Row],[Date]])+IF(MONTH(Table13[[#This Row],[Date]])&gt;=4,1,0)</f>
        <v>2026</v>
      </c>
      <c r="C14" s="10">
        <f>YEAR(Table13[[#This Row],[Date]])</f>
        <v>2025</v>
      </c>
      <c r="D14" s="309">
        <f>Table13[[#This Row],[Date]]-DAY(Table13[[#This Row],[Date]])+1</f>
        <v>45748</v>
      </c>
      <c r="E14" s="10">
        <f t="shared" si="5"/>
        <v>30</v>
      </c>
      <c r="F14" s="241">
        <f>IFERROR(_xlfn.XLOOKUP($A14,Input_Raw!$E:$E,Input_Raw!DC:DC),"")</f>
        <v>11.816666666666666</v>
      </c>
      <c r="G14" s="313"/>
      <c r="H14" s="313"/>
      <c r="I14" s="313"/>
      <c r="J14" s="313"/>
      <c r="K14" s="243"/>
      <c r="L14" s="242"/>
      <c r="M14" s="242">
        <f>IFERROR(_xlfn.XLOOKUP($A14,Input_Raw!$E:$E,Input_Raw!$BM:$BM),"")</f>
        <v>6.2826086956521738</v>
      </c>
      <c r="N14" s="242">
        <f>IFERROR(_xlfn.XLOOKUP($A14,Input_Raw!$E:$E,Input_Raw!$BN:$BN),"")</f>
        <v>7</v>
      </c>
      <c r="O14" s="311">
        <f t="shared" si="6"/>
        <v>0.98213177463580836</v>
      </c>
      <c r="P14" s="311">
        <f>IFERROR(1-SUMIF(WTG_BD!$F:$F,$A14,WTG_BD!$AA:$AA)/($AA14+SUMIF(WTG_BD!$F:$F,$A14,WTG_BD!$AA:$AA)),"")</f>
        <v>1</v>
      </c>
      <c r="Q14" s="328">
        <f>IFERROR(1-SUMIF(IGA_BD!$F:$F,$A14,IGA_BD!$W:$W)/($AA14+SUMIF(IGA_BD!$F:$F,$A14,IGA_BD!$W:$W)),"")</f>
        <v>0.98213177463580836</v>
      </c>
      <c r="R14" s="47">
        <f>IFERROR(1-SUMIF(Grid_BD!$F:$F,$A14,Grid_BD!$Y:$Y)/($AA14+SUMIF(Grid_BD!$F:$F,$A14,Grid_BD!$Y:$Y)),"")</f>
        <v>1</v>
      </c>
      <c r="S14" s="10"/>
      <c r="T14" s="310"/>
      <c r="U14" s="311"/>
      <c r="V14" s="10"/>
      <c r="W14" s="312">
        <f t="shared" si="7"/>
        <v>0.29283020421607392</v>
      </c>
      <c r="X14" s="10">
        <f>IFERROR(_xlfn.XLOOKUP($A14,Input_Raw!$E:$E,Input_Raw!BG:BG),"")</f>
        <v>355613</v>
      </c>
      <c r="Y14" s="10">
        <f>IFERROR(_xlfn.XLOOKUP($A14,Input_Raw!$E:$E,Input_Raw!DF:DF),"")</f>
        <v>348149.9999999929</v>
      </c>
      <c r="Z14" s="319">
        <f>IFERROR(_xlfn.XLOOKUP(A14,Input_Raw!E:E,Input_Raw!CT:CT)/_xlfn.XLOOKUP(A14,Input_Raw!E:E,Input_Raw!CS:CS)*Table13[[#This Row],[Mtr_Export (kWh)]],"")</f>
        <v>0</v>
      </c>
      <c r="AA14" s="43">
        <f t="shared" si="8"/>
        <v>348149.9999999929</v>
      </c>
      <c r="AB14" s="10">
        <f>IFERROR(_xlfn.XLOOKUP($A14,Input_Raw!$E:$E,Input_Raw!$CZ:$CZ),"")</f>
        <v>50.6</v>
      </c>
      <c r="AC14" s="313">
        <f>IFERROR(_xlfn.XLOOKUP($D14,'Modelling New'!$D:$D,'Modelling New'!$J:$J),"")</f>
        <v>5.6310997427836513</v>
      </c>
      <c r="AD14" s="43">
        <f>IFERROR(_xlfn.XLOOKUP($D14,'Modelling New'!$D:$D,'Modelling New'!$T:$T)*1000,"")</f>
        <v>273284.33333333331</v>
      </c>
      <c r="AE14" s="312"/>
      <c r="AF14" s="312">
        <f>IFERROR(_xlfn.XLOOKUP($D14,'Modelling New'!$D:$D,'Modelling New'!$W:$W),"")</f>
        <v>0.22503650636802819</v>
      </c>
      <c r="AG14" s="312">
        <f>IFERROR(_xlfn.XLOOKUP($D14,'Modelling New'!$D:$D,'Modelling New'!$AE:$AE),"")</f>
        <v>0.95549849999999992</v>
      </c>
      <c r="AH14" s="312">
        <f>IFERROR(_xlfn.XLOOKUP($D14,'Modelling New'!$D:$D,'Modelling New'!$AF:$AF),"")</f>
        <v>0.995</v>
      </c>
      <c r="AI14" s="10">
        <f>IFERROR(_xlfn.XLOOKUP($A14,Input_Raw!$E:$E,Input_Raw!$DG:$DG),"")</f>
        <v>380.75</v>
      </c>
      <c r="AJ14" s="10"/>
      <c r="AK14" s="10"/>
      <c r="AL14" s="10"/>
      <c r="AM14" s="10"/>
      <c r="AN14" s="314">
        <f>IFERROR(_xlfn.XLOOKUP($A14,Input_Raw!$E:$E,Input_Raw!$CY:$CY),"")</f>
        <v>7.1480938416181861E-3</v>
      </c>
      <c r="AO14" s="312">
        <f>IFERROR((_xlfn.XLOOKUP($A14,'WTG Reactive Power'!$A:$A,'WTG Reactive Power'!AB:AB))/X14,"")</f>
        <v>1.3413176683642046E-2</v>
      </c>
      <c r="AP14" s="312">
        <f>IFERROR(_xlfn.XLOOKUP($D14,'Modelling New'!$D:$D,'Modelling New'!AK:AK),"")</f>
        <v>0.05</v>
      </c>
      <c r="AQ14" s="312">
        <f>IFERROR(_xlfn.XLOOKUP($D14,'Modelling New'!$D:$D,'Modelling New'!AL:AL),"")</f>
        <v>0.05</v>
      </c>
      <c r="AR14" s="325">
        <f>IFERROR(_xlfn.XLOOKUP($D14,'Modelling New'!$D:$D,'Modelling New'!$N:$N),"")</f>
        <v>50.59999999999998</v>
      </c>
      <c r="AS14" s="325"/>
    </row>
    <row r="15" spans="1:45">
      <c r="A15" s="32">
        <f t="shared" si="9"/>
        <v>45758</v>
      </c>
      <c r="B15" s="43">
        <f>YEAR(Table13[[#This Row],[Date]])+IF(MONTH(Table13[[#This Row],[Date]])&gt;=4,1,0)</f>
        <v>2026</v>
      </c>
      <c r="C15" s="10">
        <f>YEAR(Table13[[#This Row],[Date]])</f>
        <v>2025</v>
      </c>
      <c r="D15" s="309">
        <f>Table13[[#This Row],[Date]]-DAY(Table13[[#This Row],[Date]])+1</f>
        <v>45748</v>
      </c>
      <c r="E15" s="10">
        <f t="shared" si="5"/>
        <v>30</v>
      </c>
      <c r="F15" s="241">
        <f>IFERROR(_xlfn.XLOOKUP($A15,Input_Raw!$E:$E,Input_Raw!DC:DC),"")</f>
        <v>11.283333333333335</v>
      </c>
      <c r="G15" s="242"/>
      <c r="H15" s="242"/>
      <c r="I15" s="242"/>
      <c r="J15" s="242"/>
      <c r="K15" s="243"/>
      <c r="L15" s="242"/>
      <c r="M15" s="242">
        <f>IFERROR(_xlfn.XLOOKUP($A15,Input_Raw!$E:$E,Input_Raw!$BM:$BM),"")</f>
        <v>6.3011082959020008</v>
      </c>
      <c r="N15" s="242">
        <f>IFERROR(_xlfn.XLOOKUP($A15,Input_Raw!$E:$E,Input_Raw!$BN:$BN),"")</f>
        <v>6.7292896551724137</v>
      </c>
      <c r="O15" s="311">
        <f t="shared" si="6"/>
        <v>0.99998696642609408</v>
      </c>
      <c r="P15" s="311">
        <f>IFERROR(1-SUMIF(WTG_BD!$F:$F,$A15,WTG_BD!$AA:$AA)/($AA15+SUMIF(WTG_BD!$F:$F,$A15,WTG_BD!$AA:$AA)),"")</f>
        <v>0.99998696642609408</v>
      </c>
      <c r="Q15" s="328">
        <f>IFERROR(1-SUMIF(IGA_BD!$F:$F,$A15,IGA_BD!$W:$W)/($AA15+SUMIF(IGA_BD!$F:$F,$A15,IGA_BD!$W:$W)),"")</f>
        <v>1</v>
      </c>
      <c r="R15" s="311">
        <f>IFERROR(1-SUMIF(Grid_BD!$F:$F,$A15,Grid_BD!$Y:$Y)/($AA15+SUMIF(Grid_BD!$F:$F,$A15,Grid_BD!$Y:$Y)),"")</f>
        <v>1</v>
      </c>
      <c r="S15" s="10"/>
      <c r="T15" s="310"/>
      <c r="U15" s="311"/>
      <c r="V15" s="10"/>
      <c r="W15" s="312">
        <f t="shared" si="7"/>
        <v>0.35608119235836638</v>
      </c>
      <c r="X15" s="10">
        <f>IFERROR(_xlfn.XLOOKUP($A15,Input_Raw!$E:$E,Input_Raw!BG:BG),"")</f>
        <v>432425</v>
      </c>
      <c r="Y15" s="10">
        <f>IFERROR(_xlfn.XLOOKUP($A15,Input_Raw!$E:$E,Input_Raw!DF:DF),"")</f>
        <v>419100.00000000803</v>
      </c>
      <c r="Z15" s="319">
        <f>IFERROR(_xlfn.XLOOKUP(A15,Input_Raw!E:E,Input_Raw!CT:CT)/_xlfn.XLOOKUP(A15,Input_Raw!E:E,Input_Raw!CS:CS)*Table13[[#This Row],[Mtr_Export (kWh)]],"")</f>
        <v>570.98092643053337</v>
      </c>
      <c r="AA15" s="43">
        <f t="shared" si="8"/>
        <v>418529.01907357748</v>
      </c>
      <c r="AB15" s="10">
        <f>IFERROR(_xlfn.XLOOKUP($A15,Input_Raw!$E:$E,Input_Raw!$CZ:$CZ),"")</f>
        <v>50.6</v>
      </c>
      <c r="AC15" s="313">
        <f>IFERROR(_xlfn.XLOOKUP($D15,'Modelling New'!$D:$D,'Modelling New'!$J:$J),"")</f>
        <v>5.6310997427836513</v>
      </c>
      <c r="AD15" s="43">
        <f>IFERROR(_xlfn.XLOOKUP($D15,'Modelling New'!$D:$D,'Modelling New'!$T:$T)*1000,"")</f>
        <v>273284.33333333331</v>
      </c>
      <c r="AE15" s="312"/>
      <c r="AF15" s="312">
        <f>IFERROR(_xlfn.XLOOKUP($D15,'Modelling New'!$D:$D,'Modelling New'!$W:$W),"")</f>
        <v>0.22503650636802819</v>
      </c>
      <c r="AG15" s="312">
        <f>IFERROR(_xlfn.XLOOKUP($D15,'Modelling New'!$D:$D,'Modelling New'!$AE:$AE),"")</f>
        <v>0.95549849999999992</v>
      </c>
      <c r="AH15" s="312">
        <f>IFERROR(_xlfn.XLOOKUP($D15,'Modelling New'!$D:$D,'Modelling New'!$AF:$AF),"")</f>
        <v>0.995</v>
      </c>
      <c r="AI15" s="10">
        <f>IFERROR(_xlfn.XLOOKUP($A15,Input_Raw!$E:$E,Input_Raw!$DG:$DG),"")</f>
        <v>432.78</v>
      </c>
      <c r="AJ15" s="10"/>
      <c r="AK15" s="10"/>
      <c r="AL15" s="10"/>
      <c r="AM15" s="10"/>
      <c r="AN15" s="314">
        <f>IFERROR(_xlfn.XLOOKUP($A15,Input_Raw!$E:$E,Input_Raw!$CY:$CY),"")</f>
        <v>6.4713896457577746E-3</v>
      </c>
      <c r="AO15" s="312">
        <f>IFERROR((_xlfn.XLOOKUP($A15,'WTG Reactive Power'!$A:$A,'WTG Reactive Power'!AB:AB))/X15,"")</f>
        <v>0.19534346996589003</v>
      </c>
      <c r="AP15" s="312">
        <f>IFERROR(_xlfn.XLOOKUP($D15,'Modelling New'!$D:$D,'Modelling New'!AK:AK),"")</f>
        <v>0.05</v>
      </c>
      <c r="AQ15" s="312">
        <f>IFERROR(_xlfn.XLOOKUP($D15,'Modelling New'!$D:$D,'Modelling New'!AL:AL),"")</f>
        <v>0.05</v>
      </c>
      <c r="AR15" s="325">
        <f>IFERROR(_xlfn.XLOOKUP($D15,'Modelling New'!$D:$D,'Modelling New'!$N:$N),"")</f>
        <v>50.59999999999998</v>
      </c>
      <c r="AS15" s="325"/>
    </row>
    <row r="16" spans="1:45">
      <c r="A16" s="32">
        <f t="shared" si="9"/>
        <v>45759</v>
      </c>
      <c r="B16" s="43">
        <f>YEAR(Table13[[#This Row],[Date]])+IF(MONTH(Table13[[#This Row],[Date]])&gt;=4,1,0)</f>
        <v>2026</v>
      </c>
      <c r="C16" s="10">
        <f>YEAR(Table13[[#This Row],[Date]])</f>
        <v>2025</v>
      </c>
      <c r="D16" s="309">
        <f>Table13[[#This Row],[Date]]-DAY(Table13[[#This Row],[Date]])+1</f>
        <v>45748</v>
      </c>
      <c r="E16" s="10">
        <f t="shared" si="5"/>
        <v>30</v>
      </c>
      <c r="F16" s="241">
        <f>IFERROR(_xlfn.XLOOKUP($A16,Input_Raw!$E:$E,Input_Raw!DC:DC),"")</f>
        <v>11.649999999999999</v>
      </c>
      <c r="G16" s="313"/>
      <c r="H16" s="313"/>
      <c r="I16" s="313"/>
      <c r="J16" s="313"/>
      <c r="K16" s="243"/>
      <c r="L16" s="242"/>
      <c r="M16" s="242">
        <f>IFERROR(_xlfn.XLOOKUP($A16,Input_Raw!$E:$E,Input_Raw!$BM:$BM),"")</f>
        <v>6.4485128627175774</v>
      </c>
      <c r="N16" s="242">
        <f>IFERROR(_xlfn.XLOOKUP($A16,Input_Raw!$E:$E,Input_Raw!$BN:$BN),"")</f>
        <v>6.9490992907801434</v>
      </c>
      <c r="O16" s="311">
        <f t="shared" si="6"/>
        <v>0.99998693959039386</v>
      </c>
      <c r="P16" s="311">
        <f>IFERROR(1-SUMIF(WTG_BD!$F:$F,$A16,WTG_BD!$AA:$AA)/($AA16+SUMIF(WTG_BD!$F:$F,$A16,WTG_BD!$AA:$AA)),"")</f>
        <v>0.99998693959039386</v>
      </c>
      <c r="Q16" s="328">
        <f>IFERROR(1-SUMIF(IGA_BD!$F:$F,$A16,IGA_BD!$W:$W)/($AA16+SUMIF(IGA_BD!$F:$F,$A16,IGA_BD!$W:$W)),"")</f>
        <v>1</v>
      </c>
      <c r="R16" s="47">
        <f>IFERROR(1-SUMIF(Grid_BD!$F:$F,$A16,Grid_BD!$Y:$Y)/($AA16+SUMIF(Grid_BD!$F:$F,$A16,Grid_BD!$Y:$Y)),"")</f>
        <v>1</v>
      </c>
      <c r="S16" s="10"/>
      <c r="T16" s="310"/>
      <c r="U16" s="311"/>
      <c r="V16" s="10"/>
      <c r="W16" s="312">
        <f t="shared" si="7"/>
        <v>0.33224555335968392</v>
      </c>
      <c r="X16" s="10">
        <f>IFERROR(_xlfn.XLOOKUP($A16,Input_Raw!$E:$E,Input_Raw!BG:BG),"")</f>
        <v>403479</v>
      </c>
      <c r="Y16" s="10">
        <f>IFERROR(_xlfn.XLOOKUP($A16,Input_Raw!$E:$E,Input_Raw!DF:DF),"")</f>
        <v>386430.00000000215</v>
      </c>
      <c r="Z16" s="319">
        <f>IFERROR(_xlfn.XLOOKUP(A16,Input_Raw!E:E,Input_Raw!CT:CT)/_xlfn.XLOOKUP(A16,Input_Raw!E:E,Input_Raw!CS:CS)*Table13[[#This Row],[Mtr_Export (kWh)]],"")</f>
        <v>0</v>
      </c>
      <c r="AA16" s="43">
        <f t="shared" si="8"/>
        <v>386430.00000000215</v>
      </c>
      <c r="AB16" s="10">
        <f>IFERROR(_xlfn.XLOOKUP($A16,Input_Raw!$E:$E,Input_Raw!$CZ:$CZ),"")</f>
        <v>50.6</v>
      </c>
      <c r="AC16" s="313">
        <f>IFERROR(_xlfn.XLOOKUP($D16,'Modelling New'!$D:$D,'Modelling New'!$J:$J),"")</f>
        <v>5.6310997427836513</v>
      </c>
      <c r="AD16" s="43">
        <f>IFERROR(_xlfn.XLOOKUP($D16,'Modelling New'!$D:$D,'Modelling New'!$T:$T)*1000,"")</f>
        <v>273284.33333333331</v>
      </c>
      <c r="AE16" s="312"/>
      <c r="AF16" s="312">
        <f>IFERROR(_xlfn.XLOOKUP($D16,'Modelling New'!$D:$D,'Modelling New'!$W:$W),"")</f>
        <v>0.22503650636802819</v>
      </c>
      <c r="AG16" s="312">
        <f>IFERROR(_xlfn.XLOOKUP($D16,'Modelling New'!$D:$D,'Modelling New'!$AE:$AE),"")</f>
        <v>0.95549849999999992</v>
      </c>
      <c r="AH16" s="312">
        <f>IFERROR(_xlfn.XLOOKUP($D16,'Modelling New'!$D:$D,'Modelling New'!$AF:$AF),"")</f>
        <v>0.995</v>
      </c>
      <c r="AI16" s="10">
        <f>IFERROR(_xlfn.XLOOKUP($A16,Input_Raw!$E:$E,Input_Raw!$DG:$DG),"")</f>
        <v>407.49</v>
      </c>
      <c r="AJ16" s="10"/>
      <c r="AK16" s="10"/>
      <c r="AL16" s="10"/>
      <c r="AM16" s="10"/>
      <c r="AN16" s="314">
        <f>IFERROR(_xlfn.XLOOKUP($A16,Input_Raw!$E:$E,Input_Raw!$CY:$CY),"")</f>
        <v>8.5836909871068734E-3</v>
      </c>
      <c r="AO16" s="312">
        <f>IFERROR((_xlfn.XLOOKUP($A16,'WTG Reactive Power'!$A:$A,'WTG Reactive Power'!AB:AB))/X16,"")</f>
        <v>9.2295509803484221E-2</v>
      </c>
      <c r="AP16" s="312">
        <f>IFERROR(_xlfn.XLOOKUP($D16,'Modelling New'!$D:$D,'Modelling New'!AK:AK),"")</f>
        <v>0.05</v>
      </c>
      <c r="AQ16" s="312">
        <f>IFERROR(_xlfn.XLOOKUP($D16,'Modelling New'!$D:$D,'Modelling New'!AL:AL),"")</f>
        <v>0.05</v>
      </c>
      <c r="AR16" s="325">
        <f>IFERROR(_xlfn.XLOOKUP($D16,'Modelling New'!$D:$D,'Modelling New'!$N:$N),"")</f>
        <v>50.59999999999998</v>
      </c>
      <c r="AS16" s="325"/>
    </row>
    <row r="17" spans="1:45">
      <c r="A17" s="32">
        <f t="shared" si="9"/>
        <v>45760</v>
      </c>
      <c r="B17" s="43">
        <f>YEAR(Table13[[#This Row],[Date]])+IF(MONTH(Table13[[#This Row],[Date]])&gt;=4,1,0)</f>
        <v>2026</v>
      </c>
      <c r="C17" s="10">
        <f>YEAR(Table13[[#This Row],[Date]])</f>
        <v>2025</v>
      </c>
      <c r="D17" s="309">
        <f>Table13[[#This Row],[Date]]-DAY(Table13[[#This Row],[Date]])+1</f>
        <v>45748</v>
      </c>
      <c r="E17" s="10">
        <f t="shared" si="5"/>
        <v>30</v>
      </c>
      <c r="F17" s="241">
        <f>IFERROR(_xlfn.XLOOKUP($A17,Input_Raw!$E:$E,Input_Raw!DC:DC),"")</f>
        <v>11.5</v>
      </c>
      <c r="G17" s="242"/>
      <c r="H17" s="242"/>
      <c r="I17" s="242"/>
      <c r="J17" s="242"/>
      <c r="K17" s="243"/>
      <c r="L17" s="242"/>
      <c r="M17" s="242">
        <f>IFERROR(_xlfn.XLOOKUP($A17,Input_Raw!$E:$E,Input_Raw!$BM:$BM),"")</f>
        <v>4.1157085457271361</v>
      </c>
      <c r="N17" s="242">
        <f>IFERROR(_xlfn.XLOOKUP($A17,Input_Raw!$E:$E,Input_Raw!$BN:$BN),"")</f>
        <v>4.4312137931034501</v>
      </c>
      <c r="O17" s="311">
        <f t="shared" si="6"/>
        <v>0.99998341203457308</v>
      </c>
      <c r="P17" s="311">
        <f>IFERROR(1-SUMIF(WTG_BD!$F:$F,$A17,WTG_BD!$AA:$AA)/($AA17+SUMIF(WTG_BD!$F:$F,$A17,WTG_BD!$AA:$AA)),"")</f>
        <v>0.99998341203457308</v>
      </c>
      <c r="Q17" s="328">
        <f>IFERROR(1-SUMIF(IGA_BD!$F:$F,$A17,IGA_BD!$W:$W)/($AA17+SUMIF(IGA_BD!$F:$F,$A17,IGA_BD!$W:$W)),"")</f>
        <v>1</v>
      </c>
      <c r="R17" s="311">
        <f>IFERROR(1-SUMIF(Grid_BD!$F:$F,$A17,Grid_BD!$Y:$Y)/($AA17+SUMIF(Grid_BD!$F:$F,$A17,Grid_BD!$Y:$Y)),"")</f>
        <v>1</v>
      </c>
      <c r="S17" s="10"/>
      <c r="T17" s="310"/>
      <c r="U17" s="311"/>
      <c r="V17" s="10"/>
      <c r="W17" s="312">
        <f t="shared" si="7"/>
        <v>9.2528820816864324E-2</v>
      </c>
      <c r="X17" s="10">
        <f>IFERROR(_xlfn.XLOOKUP($A17,Input_Raw!$E:$E,Input_Raw!BG:BG),"")</f>
        <v>112367</v>
      </c>
      <c r="Y17" s="10">
        <f>IFERROR(_xlfn.XLOOKUP($A17,Input_Raw!$E:$E,Input_Raw!DF:DF),"")</f>
        <v>109064.99999999553</v>
      </c>
      <c r="Z17" s="319">
        <f>IFERROR(_xlfn.XLOOKUP(A17,Input_Raw!E:E,Input_Raw!CT:CT)/_xlfn.XLOOKUP(A17,Input_Raw!E:E,Input_Raw!CS:CS)*Table13[[#This Row],[Mtr_Export (kWh)]],"")</f>
        <v>192.69434628974892</v>
      </c>
      <c r="AA17" s="43">
        <f t="shared" si="8"/>
        <v>108872.30565370579</v>
      </c>
      <c r="AB17" s="10">
        <f>IFERROR(_xlfn.XLOOKUP($A17,Input_Raw!$E:$E,Input_Raw!$CZ:$CZ),"")</f>
        <v>50.6</v>
      </c>
      <c r="AC17" s="313">
        <f>IFERROR(_xlfn.XLOOKUP($D17,'Modelling New'!$D:$D,'Modelling New'!$J:$J),"")</f>
        <v>5.6310997427836513</v>
      </c>
      <c r="AD17" s="43">
        <f>IFERROR(_xlfn.XLOOKUP($D17,'Modelling New'!$D:$D,'Modelling New'!$T:$T)*1000,"")</f>
        <v>273284.33333333331</v>
      </c>
      <c r="AE17" s="312"/>
      <c r="AF17" s="312">
        <f>IFERROR(_xlfn.XLOOKUP($D17,'Modelling New'!$D:$D,'Modelling New'!$W:$W),"")</f>
        <v>0.22503650636802819</v>
      </c>
      <c r="AG17" s="312">
        <f>IFERROR(_xlfn.XLOOKUP($D17,'Modelling New'!$D:$D,'Modelling New'!$AE:$AE),"")</f>
        <v>0.95549849999999992</v>
      </c>
      <c r="AH17" s="312">
        <f>IFERROR(_xlfn.XLOOKUP($D17,'Modelling New'!$D:$D,'Modelling New'!$AF:$AF),"")</f>
        <v>0.995</v>
      </c>
      <c r="AI17" s="10">
        <f>IFERROR(_xlfn.XLOOKUP($A17,Input_Raw!$E:$E,Input_Raw!$DG:$DG),"")</f>
        <v>113.37</v>
      </c>
      <c r="AJ17" s="10"/>
      <c r="AK17" s="10"/>
      <c r="AL17" s="10"/>
      <c r="AM17" s="10"/>
      <c r="AN17" s="314">
        <f>IFERROR(_xlfn.XLOOKUP($A17,Input_Raw!$E:$E,Input_Raw!$CY:$CY),"")</f>
        <v>1.0638297872344493E-2</v>
      </c>
      <c r="AO17" s="312">
        <f>IFERROR((_xlfn.XLOOKUP($A17,'WTG Reactive Power'!$A:$A,'WTG Reactive Power'!AB:AB))/X17,"")</f>
        <v>0.1144490820258617</v>
      </c>
      <c r="AP17" s="312">
        <f>IFERROR(_xlfn.XLOOKUP($D17,'Modelling New'!$D:$D,'Modelling New'!AK:AK),"")</f>
        <v>0.05</v>
      </c>
      <c r="AQ17" s="312">
        <f>IFERROR(_xlfn.XLOOKUP($D17,'Modelling New'!$D:$D,'Modelling New'!AL:AL),"")</f>
        <v>0.05</v>
      </c>
      <c r="AR17" s="325">
        <f>IFERROR(_xlfn.XLOOKUP($D17,'Modelling New'!$D:$D,'Modelling New'!$N:$N),"")</f>
        <v>50.59999999999998</v>
      </c>
      <c r="AS17" s="325"/>
    </row>
    <row r="18" spans="1:45">
      <c r="A18" s="32">
        <f t="shared" si="9"/>
        <v>45761</v>
      </c>
      <c r="B18" s="43">
        <f>YEAR(Table13[[#This Row],[Date]])+IF(MONTH(Table13[[#This Row],[Date]])&gt;=4,1,0)</f>
        <v>2026</v>
      </c>
      <c r="C18" s="10">
        <f>YEAR(Table13[[#This Row],[Date]])</f>
        <v>2025</v>
      </c>
      <c r="D18" s="309">
        <f>Table13[[#This Row],[Date]]-DAY(Table13[[#This Row],[Date]])+1</f>
        <v>45748</v>
      </c>
      <c r="E18" s="10">
        <f t="shared" si="5"/>
        <v>30</v>
      </c>
      <c r="F18" s="241">
        <f>IFERROR(_xlfn.XLOOKUP($A18,Input_Raw!$E:$E,Input_Raw!DC:DC),"")</f>
        <v>11.7</v>
      </c>
      <c r="G18" s="313"/>
      <c r="H18" s="313"/>
      <c r="I18" s="313"/>
      <c r="J18" s="313"/>
      <c r="K18" s="243"/>
      <c r="L18" s="242"/>
      <c r="M18" s="242">
        <f>IFERROR(_xlfn.XLOOKUP($A18,Input_Raw!$E:$E,Input_Raw!$BM:$BM),"")</f>
        <v>4.3423558382352283</v>
      </c>
      <c r="N18" s="242">
        <f>IFERROR(_xlfn.XLOOKUP($A18,Input_Raw!$E:$E,Input_Raw!$BN:$BN),"")</f>
        <v>5.1541888888888892</v>
      </c>
      <c r="O18" s="311">
        <f t="shared" si="6"/>
        <v>0.96121773893088913</v>
      </c>
      <c r="P18" s="311">
        <f>IFERROR(1-SUMIF(WTG_BD!$F:$F,$A18,WTG_BD!$AA:$AA)/($AA18+SUMIF(WTG_BD!$F:$F,$A18,WTG_BD!$AA:$AA)),"")</f>
        <v>0.99998141587524525</v>
      </c>
      <c r="Q18" s="328">
        <f>IFERROR(1-SUMIF(IGA_BD!$F:$F,$A18,IGA_BD!$W:$W)/($AA18+SUMIF(IGA_BD!$F:$F,$A18,IGA_BD!$W:$W)),"")</f>
        <v>0.96123560265324759</v>
      </c>
      <c r="R18" s="47">
        <f>IFERROR(1-SUMIF(Grid_BD!$F:$F,$A18,Grid_BD!$Y:$Y)/($AA18+SUMIF(Grid_BD!$F:$F,$A18,Grid_BD!$Y:$Y)),"")</f>
        <v>1</v>
      </c>
      <c r="S18" s="10"/>
      <c r="T18" s="310"/>
      <c r="U18" s="311"/>
      <c r="V18" s="10"/>
      <c r="W18" s="312">
        <f t="shared" si="7"/>
        <v>0.12099061264822139</v>
      </c>
      <c r="X18" s="10">
        <f>IFERROR(_xlfn.XLOOKUP($A18,Input_Raw!$E:$E,Input_Raw!BG:BG),"")</f>
        <v>146931</v>
      </c>
      <c r="Y18" s="10">
        <f>IFERROR(_xlfn.XLOOKUP($A18,Input_Raw!$E:$E,Input_Raw!DF:DF),"")</f>
        <v>144044.99999999371</v>
      </c>
      <c r="Z18" s="319">
        <f>IFERROR(_xlfn.XLOOKUP(A18,Input_Raw!E:E,Input_Raw!CT:CT)/_xlfn.XLOOKUP(A18,Input_Raw!E:E,Input_Raw!CS:CS)*Table13[[#This Row],[Mtr_Export (kWh)]],"")</f>
        <v>0</v>
      </c>
      <c r="AA18" s="43">
        <f t="shared" si="8"/>
        <v>144044.99999999371</v>
      </c>
      <c r="AB18" s="10">
        <f>IFERROR(_xlfn.XLOOKUP($A18,Input_Raw!$E:$E,Input_Raw!$CZ:$CZ),"")</f>
        <v>50.6</v>
      </c>
      <c r="AC18" s="313">
        <f>IFERROR(_xlfn.XLOOKUP($D18,'Modelling New'!$D:$D,'Modelling New'!$J:$J),"")</f>
        <v>5.6310997427836513</v>
      </c>
      <c r="AD18" s="43">
        <f>IFERROR(_xlfn.XLOOKUP($D18,'Modelling New'!$D:$D,'Modelling New'!$T:$T)*1000,"")</f>
        <v>273284.33333333331</v>
      </c>
      <c r="AE18" s="312"/>
      <c r="AF18" s="312">
        <f>IFERROR(_xlfn.XLOOKUP($D18,'Modelling New'!$D:$D,'Modelling New'!$W:$W),"")</f>
        <v>0.22503650636802819</v>
      </c>
      <c r="AG18" s="312">
        <f>IFERROR(_xlfn.XLOOKUP($D18,'Modelling New'!$D:$D,'Modelling New'!$AE:$AE),"")</f>
        <v>0.95549849999999992</v>
      </c>
      <c r="AH18" s="312">
        <f>IFERROR(_xlfn.XLOOKUP($D18,'Modelling New'!$D:$D,'Modelling New'!$AF:$AF),"")</f>
        <v>0.995</v>
      </c>
      <c r="AI18" s="10">
        <f>IFERROR(_xlfn.XLOOKUP($A18,Input_Raw!$E:$E,Input_Raw!$DG:$DG),"")</f>
        <v>151.65</v>
      </c>
      <c r="AJ18" s="10"/>
      <c r="AK18" s="10"/>
      <c r="AL18" s="10"/>
      <c r="AM18" s="10"/>
      <c r="AN18" s="314">
        <f>IFERROR(_xlfn.XLOOKUP($A18,Input_Raw!$E:$E,Input_Raw!$CY:$CY),"")</f>
        <v>5.4806070826971531E-3</v>
      </c>
      <c r="AO18" s="312">
        <f>IFERROR((_xlfn.XLOOKUP($A18,'WTG Reactive Power'!$A:$A,'WTG Reactive Power'!AB:AB))/X18,"")</f>
        <v>0.142001347571309</v>
      </c>
      <c r="AP18" s="312">
        <f>IFERROR(_xlfn.XLOOKUP($D18,'Modelling New'!$D:$D,'Modelling New'!AK:AK),"")</f>
        <v>0.05</v>
      </c>
      <c r="AQ18" s="312">
        <f>IFERROR(_xlfn.XLOOKUP($D18,'Modelling New'!$D:$D,'Modelling New'!AL:AL),"")</f>
        <v>0.05</v>
      </c>
      <c r="AR18" s="325">
        <f>IFERROR(_xlfn.XLOOKUP($D18,'Modelling New'!$D:$D,'Modelling New'!$N:$N),"")</f>
        <v>50.59999999999998</v>
      </c>
      <c r="AS18" s="325"/>
    </row>
    <row r="19" spans="1:45">
      <c r="A19" s="32">
        <f t="shared" si="9"/>
        <v>45762</v>
      </c>
      <c r="B19" s="43">
        <f>YEAR(Table13[[#This Row],[Date]])+IF(MONTH(Table13[[#This Row],[Date]])&gt;=4,1,0)</f>
        <v>2026</v>
      </c>
      <c r="C19" s="10">
        <f>YEAR(Table13[[#This Row],[Date]])</f>
        <v>2025</v>
      </c>
      <c r="D19" s="309">
        <f>Table13[[#This Row],[Date]]-DAY(Table13[[#This Row],[Date]])+1</f>
        <v>45748</v>
      </c>
      <c r="E19" s="10">
        <f t="shared" si="5"/>
        <v>30</v>
      </c>
      <c r="F19" s="241">
        <f>IFERROR(_xlfn.XLOOKUP($A19,Input_Raw!$E:$E,Input_Raw!DC:DC),"")</f>
        <v>11.7</v>
      </c>
      <c r="G19" s="242"/>
      <c r="H19" s="242"/>
      <c r="I19" s="242"/>
      <c r="J19" s="242"/>
      <c r="K19" s="243"/>
      <c r="L19" s="242"/>
      <c r="M19" s="242">
        <f>IFERROR(_xlfn.XLOOKUP($A19,Input_Raw!$E:$E,Input_Raw!$BM:$BM),"")</f>
        <v>5.1282381546627036</v>
      </c>
      <c r="N19" s="242">
        <f>IFERROR(_xlfn.XLOOKUP($A19,Input_Raw!$E:$E,Input_Raw!$BN:$BN),"")</f>
        <v>5.6830781249999989</v>
      </c>
      <c r="O19" s="311">
        <f t="shared" si="6"/>
        <v>0.96851846064868352</v>
      </c>
      <c r="P19" s="311">
        <f>IFERROR(1-SUMIF(WTG_BD!$F:$F,$A19,WTG_BD!$AA:$AA)/($AA19+SUMIF(WTG_BD!$F:$F,$A19,WTG_BD!$AA:$AA)),"")</f>
        <v>0.99999638736667118</v>
      </c>
      <c r="Q19" s="328">
        <f>IFERROR(1-SUMIF(IGA_BD!$F:$F,$A19,IGA_BD!$W:$W)/($AA19+SUMIF(IGA_BD!$F:$F,$A19,IGA_BD!$W:$W)),"")</f>
        <v>0.96852195956339437</v>
      </c>
      <c r="R19" s="311">
        <f>IFERROR(1-SUMIF(Grid_BD!$F:$F,$A19,Grid_BD!$Y:$Y)/($AA19+SUMIF(Grid_BD!$F:$F,$A19,Grid_BD!$Y:$Y)),"")</f>
        <v>1</v>
      </c>
      <c r="S19" s="10"/>
      <c r="T19" s="310"/>
      <c r="U19" s="311"/>
      <c r="V19" s="10"/>
      <c r="W19" s="312">
        <f t="shared" si="7"/>
        <v>0.20165184453227938</v>
      </c>
      <c r="X19" s="10">
        <f>IFERROR(_xlfn.XLOOKUP($A19,Input_Raw!$E:$E,Input_Raw!BG:BG),"")</f>
        <v>244886</v>
      </c>
      <c r="Y19" s="10">
        <f>IFERROR(_xlfn.XLOOKUP($A19,Input_Raw!$E:$E,Input_Raw!DF:DF),"")</f>
        <v>236115.00000001129</v>
      </c>
      <c r="Z19" s="319">
        <f>IFERROR(_xlfn.XLOOKUP(A19,Input_Raw!E:E,Input_Raw!CT:CT)/_xlfn.XLOOKUP(A19,Input_Raw!E:E,Input_Raw!CS:CS)*Table13[[#This Row],[Mtr_Export (kWh)]],"")</f>
        <v>0</v>
      </c>
      <c r="AA19" s="43">
        <f t="shared" si="8"/>
        <v>236115.00000001129</v>
      </c>
      <c r="AB19" s="10">
        <f>IFERROR(_xlfn.XLOOKUP($A19,Input_Raw!$E:$E,Input_Raw!$CZ:$CZ),"")</f>
        <v>50.6</v>
      </c>
      <c r="AC19" s="313">
        <f>IFERROR(_xlfn.XLOOKUP($D19,'Modelling New'!$D:$D,'Modelling New'!$J:$J),"")</f>
        <v>5.6310997427836513</v>
      </c>
      <c r="AD19" s="43">
        <f>IFERROR(_xlfn.XLOOKUP($D19,'Modelling New'!$D:$D,'Modelling New'!$T:$T)*1000,"")</f>
        <v>273284.33333333331</v>
      </c>
      <c r="AE19" s="312"/>
      <c r="AF19" s="312">
        <f>IFERROR(_xlfn.XLOOKUP($D19,'Modelling New'!$D:$D,'Modelling New'!$W:$W),"")</f>
        <v>0.22503650636802819</v>
      </c>
      <c r="AG19" s="312">
        <f>IFERROR(_xlfn.XLOOKUP($D19,'Modelling New'!$D:$D,'Modelling New'!$AE:$AE),"")</f>
        <v>0.95549849999999992</v>
      </c>
      <c r="AH19" s="312">
        <f>IFERROR(_xlfn.XLOOKUP($D19,'Modelling New'!$D:$D,'Modelling New'!$AF:$AF),"")</f>
        <v>0.995</v>
      </c>
      <c r="AI19" s="10">
        <f>IFERROR(_xlfn.XLOOKUP($A19,Input_Raw!$E:$E,Input_Raw!$DG:$DG),"")</f>
        <v>246.29</v>
      </c>
      <c r="AJ19" s="10"/>
      <c r="AK19" s="10"/>
      <c r="AL19" s="10"/>
      <c r="AM19" s="10"/>
      <c r="AN19" s="314">
        <f>IFERROR(_xlfn.XLOOKUP($A19,Input_Raw!$E:$E,Input_Raw!$CY:$CY),"")</f>
        <v>1.0186757215622011E-2</v>
      </c>
      <c r="AO19" s="312">
        <f>IFERROR((_xlfn.XLOOKUP($A19,'WTG Reactive Power'!$A:$A,'WTG Reactive Power'!AB:AB))/X19,"")</f>
        <v>0.13827903595958937</v>
      </c>
      <c r="AP19" s="312">
        <f>IFERROR(_xlfn.XLOOKUP($D19,'Modelling New'!$D:$D,'Modelling New'!AK:AK),"")</f>
        <v>0.05</v>
      </c>
      <c r="AQ19" s="312">
        <f>IFERROR(_xlfn.XLOOKUP($D19,'Modelling New'!$D:$D,'Modelling New'!AL:AL),"")</f>
        <v>0.05</v>
      </c>
      <c r="AR19" s="325">
        <f>IFERROR(_xlfn.XLOOKUP($D19,'Modelling New'!$D:$D,'Modelling New'!$N:$N),"")</f>
        <v>50.59999999999998</v>
      </c>
      <c r="AS19" s="325"/>
    </row>
    <row r="20" spans="1:45">
      <c r="A20" s="32">
        <f t="shared" si="9"/>
        <v>45763</v>
      </c>
      <c r="B20" s="43">
        <f>YEAR(Table13[[#This Row],[Date]])+IF(MONTH(Table13[[#This Row],[Date]])&gt;=4,1,0)</f>
        <v>2026</v>
      </c>
      <c r="C20" s="10">
        <f>YEAR(Table13[[#This Row],[Date]])</f>
        <v>2025</v>
      </c>
      <c r="D20" s="309">
        <f>Table13[[#This Row],[Date]]-DAY(Table13[[#This Row],[Date]])+1</f>
        <v>45748</v>
      </c>
      <c r="E20" s="10">
        <f t="shared" si="5"/>
        <v>30</v>
      </c>
      <c r="F20" s="241">
        <f>IFERROR(_xlfn.XLOOKUP($A20,Input_Raw!$E:$E,Input_Raw!DC:DC),"")</f>
        <v>11.816666666666666</v>
      </c>
      <c r="G20" s="313"/>
      <c r="H20" s="313"/>
      <c r="I20" s="313"/>
      <c r="J20" s="313"/>
      <c r="K20" s="243"/>
      <c r="L20" s="242"/>
      <c r="M20" s="242">
        <f>IFERROR(_xlfn.XLOOKUP($A20,Input_Raw!$E:$E,Input_Raw!$BM:$BM),"")</f>
        <v>5.2800399172686054</v>
      </c>
      <c r="N20" s="242">
        <f>IFERROR(_xlfn.XLOOKUP($A20,Input_Raw!$E:$E,Input_Raw!$BN:$BN),"")</f>
        <v>6.1219080459770128</v>
      </c>
      <c r="O20" s="311">
        <f t="shared" si="6"/>
        <v>0.90138686509907706</v>
      </c>
      <c r="P20" s="311">
        <f>IFERROR(1-SUMIF(WTG_BD!$F:$F,$A20,WTG_BD!$AA:$AA)/($AA20+SUMIF(WTG_BD!$F:$F,$A20,WTG_BD!$AA:$AA)),"")</f>
        <v>0.99998474101709622</v>
      </c>
      <c r="Q20" s="328">
        <f>IFERROR(1-SUMIF(IGA_BD!$F:$F,$A20,IGA_BD!$W:$W)/($AA20+SUMIF(IGA_BD!$F:$F,$A20,IGA_BD!$W:$W)),"")</f>
        <v>0.90140061955572026</v>
      </c>
      <c r="R20" s="47">
        <f>IFERROR(1-SUMIF(Grid_BD!$F:$F,$A20,Grid_BD!$Y:$Y)/($AA20+SUMIF(Grid_BD!$F:$F,$A20,Grid_BD!$Y:$Y)),"")</f>
        <v>1</v>
      </c>
      <c r="S20" s="10"/>
      <c r="T20" s="310"/>
      <c r="U20" s="311"/>
      <c r="V20" s="10"/>
      <c r="W20" s="312">
        <f t="shared" si="7"/>
        <v>0.17265316205533604</v>
      </c>
      <c r="X20" s="10">
        <f>IFERROR(_xlfn.XLOOKUP($A20,Input_Raw!$E:$E,Input_Raw!BG:BG),"")</f>
        <v>209670</v>
      </c>
      <c r="Y20" s="10">
        <f>IFERROR(_xlfn.XLOOKUP($A20,Input_Raw!$E:$E,Input_Raw!DF:DF),"")</f>
        <v>204269.99999999994</v>
      </c>
      <c r="Z20" s="319">
        <f>IFERROR(_xlfn.XLOOKUP(A20,Input_Raw!E:E,Input_Raw!CT:CT)/_xlfn.XLOOKUP(A20,Input_Raw!E:E,Input_Raw!CS:CS)*Table13[[#This Row],[Mtr_Export (kWh)]],"")</f>
        <v>0</v>
      </c>
      <c r="AA20" s="43">
        <f t="shared" si="8"/>
        <v>204269.99999999994</v>
      </c>
      <c r="AB20" s="10">
        <f>IFERROR(_xlfn.XLOOKUP($A20,Input_Raw!$E:$E,Input_Raw!$CZ:$CZ),"")</f>
        <v>50.6</v>
      </c>
      <c r="AC20" s="313">
        <f>IFERROR(_xlfn.XLOOKUP($D20,'Modelling New'!$D:$D,'Modelling New'!$J:$J),"")</f>
        <v>5.6310997427836513</v>
      </c>
      <c r="AD20" s="43">
        <f>IFERROR(_xlfn.XLOOKUP($D20,'Modelling New'!$D:$D,'Modelling New'!$T:$T)*1000,"")</f>
        <v>273284.33333333331</v>
      </c>
      <c r="AE20" s="312"/>
      <c r="AF20" s="312">
        <f>IFERROR(_xlfn.XLOOKUP($D20,'Modelling New'!$D:$D,'Modelling New'!$W:$W),"")</f>
        <v>0.22503650636802819</v>
      </c>
      <c r="AG20" s="312">
        <f>IFERROR(_xlfn.XLOOKUP($D20,'Modelling New'!$D:$D,'Modelling New'!$AE:$AE),"")</f>
        <v>0.95549849999999992</v>
      </c>
      <c r="AH20" s="312">
        <f>IFERROR(_xlfn.XLOOKUP($D20,'Modelling New'!$D:$D,'Modelling New'!$AF:$AF),"")</f>
        <v>0.995</v>
      </c>
      <c r="AI20" s="10">
        <f>IFERROR(_xlfn.XLOOKUP($A20,Input_Raw!$E:$E,Input_Raw!$DG:$DG),"")</f>
        <v>216.2</v>
      </c>
      <c r="AJ20" s="10"/>
      <c r="AK20" s="10"/>
      <c r="AL20" s="10"/>
      <c r="AM20" s="10"/>
      <c r="AN20" s="314">
        <f>IFERROR(_xlfn.XLOOKUP($A20,Input_Raw!$E:$E,Input_Raw!$CY:$CY),"")</f>
        <v>9.2374213836095009E-3</v>
      </c>
      <c r="AO20" s="312">
        <f>IFERROR((_xlfn.XLOOKUP($A20,'WTG Reactive Power'!$A:$A,'WTG Reactive Power'!AB:AB))/X20,"")</f>
        <v>0.15605809128630704</v>
      </c>
      <c r="AP20" s="312">
        <f>IFERROR(_xlfn.XLOOKUP($D20,'Modelling New'!$D:$D,'Modelling New'!AK:AK),"")</f>
        <v>0.05</v>
      </c>
      <c r="AQ20" s="312">
        <f>IFERROR(_xlfn.XLOOKUP($D20,'Modelling New'!$D:$D,'Modelling New'!AL:AL),"")</f>
        <v>0.05</v>
      </c>
      <c r="AR20" s="325">
        <f>IFERROR(_xlfn.XLOOKUP($D20,'Modelling New'!$D:$D,'Modelling New'!$N:$N),"")</f>
        <v>50.59999999999998</v>
      </c>
      <c r="AS20" s="325"/>
    </row>
    <row r="21" spans="1:45">
      <c r="A21" s="32">
        <f t="shared" si="9"/>
        <v>45764</v>
      </c>
      <c r="B21" s="43">
        <f>YEAR(Table13[[#This Row],[Date]])+IF(MONTH(Table13[[#This Row],[Date]])&gt;=4,1,0)</f>
        <v>2026</v>
      </c>
      <c r="C21" s="10">
        <f>YEAR(Table13[[#This Row],[Date]])</f>
        <v>2025</v>
      </c>
      <c r="D21" s="309">
        <f>Table13[[#This Row],[Date]]-DAY(Table13[[#This Row],[Date]])+1</f>
        <v>45748</v>
      </c>
      <c r="E21" s="10">
        <f t="shared" si="5"/>
        <v>30</v>
      </c>
      <c r="F21" s="241">
        <f>IFERROR(_xlfn.XLOOKUP($A21,Input_Raw!$E:$E,Input_Raw!DC:DC),"")</f>
        <v>11.866666666666665</v>
      </c>
      <c r="G21" s="242"/>
      <c r="H21" s="242"/>
      <c r="I21" s="242"/>
      <c r="J21" s="242"/>
      <c r="K21" s="243"/>
      <c r="L21" s="242"/>
      <c r="M21" s="242">
        <f>IFERROR(_xlfn.XLOOKUP($A21,Input_Raw!$E:$E,Input_Raw!$BM:$BM),"")</f>
        <v>5.1847613404998185</v>
      </c>
      <c r="N21" s="242">
        <f>IFERROR(_xlfn.XLOOKUP($A21,Input_Raw!$E:$E,Input_Raw!$BN:$BN),"")</f>
        <v>5.7761010101010104</v>
      </c>
      <c r="O21" s="311">
        <f t="shared" si="6"/>
        <v>0.9644939753738655</v>
      </c>
      <c r="P21" s="311">
        <f>IFERROR(1-SUMIF(WTG_BD!$F:$F,$A21,WTG_BD!$AA:$AA)/($AA21+SUMIF(WTG_BD!$F:$F,$A21,WTG_BD!$AA:$AA)),"")</f>
        <v>0.99998855179678847</v>
      </c>
      <c r="Q21" s="328">
        <f>IFERROR(1-SUMIF(IGA_BD!$F:$F,$A21,IGA_BD!$W:$W)/($AA21+SUMIF(IGA_BD!$F:$F,$A21,IGA_BD!$W:$W)),"")</f>
        <v>0.96450501722330118</v>
      </c>
      <c r="R21" s="311">
        <f>IFERROR(1-SUMIF(Grid_BD!$F:$F,$A21,Grid_BD!$Y:$Y)/($AA21+SUMIF(Grid_BD!$F:$F,$A21,Grid_BD!$Y:$Y)),"")</f>
        <v>1</v>
      </c>
      <c r="S21" s="10"/>
      <c r="T21" s="310"/>
      <c r="U21" s="311"/>
      <c r="V21" s="10"/>
      <c r="W21" s="312">
        <f t="shared" si="7"/>
        <v>0.18093379446640323</v>
      </c>
      <c r="X21" s="10">
        <f>IFERROR(_xlfn.XLOOKUP($A21,Input_Raw!$E:$E,Input_Raw!BG:BG),"")</f>
        <v>219726</v>
      </c>
      <c r="Y21" s="10">
        <f>IFERROR(_xlfn.XLOOKUP($A21,Input_Raw!$E:$E,Input_Raw!DF:DF),"")</f>
        <v>212519.99999998306</v>
      </c>
      <c r="Z21" s="319">
        <f>IFERROR(_xlfn.XLOOKUP(A21,Input_Raw!E:E,Input_Raw!CT:CT)/_xlfn.XLOOKUP(A21,Input_Raw!E:E,Input_Raw!CS:CS)*Table13[[#This Row],[Mtr_Export (kWh)]],"")</f>
        <v>0</v>
      </c>
      <c r="AA21" s="43">
        <f t="shared" si="8"/>
        <v>212519.99999998306</v>
      </c>
      <c r="AB21" s="10">
        <f>IFERROR(_xlfn.XLOOKUP($A21,Input_Raw!$E:$E,Input_Raw!$CZ:$CZ),"")</f>
        <v>50.6</v>
      </c>
      <c r="AC21" s="313">
        <f>IFERROR(_xlfn.XLOOKUP($D21,'Modelling New'!$D:$D,'Modelling New'!$J:$J),"")</f>
        <v>5.6310997427836513</v>
      </c>
      <c r="AD21" s="43">
        <f>IFERROR(_xlfn.XLOOKUP($D21,'Modelling New'!$D:$D,'Modelling New'!$T:$T)*1000,"")</f>
        <v>273284.33333333331</v>
      </c>
      <c r="AE21" s="312"/>
      <c r="AF21" s="312">
        <f>IFERROR(_xlfn.XLOOKUP($D21,'Modelling New'!$D:$D,'Modelling New'!$W:$W),"")</f>
        <v>0.22503650636802819</v>
      </c>
      <c r="AG21" s="312">
        <f>IFERROR(_xlfn.XLOOKUP($D21,'Modelling New'!$D:$D,'Modelling New'!$AE:$AE),"")</f>
        <v>0.95549849999999992</v>
      </c>
      <c r="AH21" s="312">
        <f>IFERROR(_xlfn.XLOOKUP($D21,'Modelling New'!$D:$D,'Modelling New'!$AF:$AF),"")</f>
        <v>0.995</v>
      </c>
      <c r="AI21" s="10">
        <f>IFERROR(_xlfn.XLOOKUP($A21,Input_Raw!$E:$E,Input_Raw!$DG:$DG),"")</f>
        <v>220.44</v>
      </c>
      <c r="AJ21" s="10"/>
      <c r="AK21" s="10"/>
      <c r="AL21" s="10"/>
      <c r="AM21" s="10"/>
      <c r="AN21" s="314">
        <f>IFERROR(_xlfn.XLOOKUP($A21,Input_Raw!$E:$E,Input_Raw!$CY:$CY),"")</f>
        <v>5.8593750000215383E-3</v>
      </c>
      <c r="AO21" s="312">
        <f>IFERROR((_xlfn.XLOOKUP($A21,'WTG Reactive Power'!$A:$A,'WTG Reactive Power'!AB:AB))/X21,"")</f>
        <v>0.18930258594795335</v>
      </c>
      <c r="AP21" s="312">
        <f>IFERROR(_xlfn.XLOOKUP($D21,'Modelling New'!$D:$D,'Modelling New'!AK:AK),"")</f>
        <v>0.05</v>
      </c>
      <c r="AQ21" s="312">
        <f>IFERROR(_xlfn.XLOOKUP($D21,'Modelling New'!$D:$D,'Modelling New'!AL:AL),"")</f>
        <v>0.05</v>
      </c>
      <c r="AR21" s="325">
        <f>IFERROR(_xlfn.XLOOKUP($D21,'Modelling New'!$D:$D,'Modelling New'!$N:$N),"")</f>
        <v>50.59999999999998</v>
      </c>
      <c r="AS21" s="325"/>
    </row>
    <row r="22" spans="1:45">
      <c r="A22" s="32">
        <f t="shared" si="9"/>
        <v>45765</v>
      </c>
      <c r="B22" s="43">
        <f>YEAR(Table13[[#This Row],[Date]])+IF(MONTH(Table13[[#This Row],[Date]])&gt;=4,1,0)</f>
        <v>2026</v>
      </c>
      <c r="C22" s="10">
        <f>YEAR(Table13[[#This Row],[Date]])</f>
        <v>2025</v>
      </c>
      <c r="D22" s="309">
        <f>Table13[[#This Row],[Date]]-DAY(Table13[[#This Row],[Date]])+1</f>
        <v>45748</v>
      </c>
      <c r="E22" s="10">
        <f t="shared" si="5"/>
        <v>30</v>
      </c>
      <c r="F22" s="241">
        <f>IFERROR(_xlfn.XLOOKUP($A22,Input_Raw!$E:$E,Input_Raw!DC:DC),"")</f>
        <v>10.816666666666666</v>
      </c>
      <c r="G22" s="313"/>
      <c r="H22" s="313"/>
      <c r="I22" s="313"/>
      <c r="J22" s="313"/>
      <c r="K22" s="243"/>
      <c r="L22" s="242"/>
      <c r="M22" s="242">
        <f>IFERROR(_xlfn.XLOOKUP($A22,Input_Raw!$E:$E,Input_Raw!$BM:$BM),"")</f>
        <v>5.4002938215088685</v>
      </c>
      <c r="N22" s="242">
        <f>IFERROR(_xlfn.XLOOKUP($A22,Input_Raw!$E:$E,Input_Raw!$BN:$BN),"")</f>
        <v>5.7737809523809531</v>
      </c>
      <c r="O22" s="311">
        <f t="shared" si="6"/>
        <v>0.97574785316599111</v>
      </c>
      <c r="P22" s="311">
        <f>IFERROR(1-SUMIF(WTG_BD!$F:$F,$A22,WTG_BD!$AA:$AA)/($AA22+SUMIF(WTG_BD!$F:$F,$A22,WTG_BD!$AA:$AA)),"")</f>
        <v>1</v>
      </c>
      <c r="Q22" s="328">
        <f>IFERROR(1-SUMIF(IGA_BD!$F:$F,$A22,IGA_BD!$W:$W)/($AA22+SUMIF(IGA_BD!$F:$F,$A22,IGA_BD!$W:$W)),"")</f>
        <v>0.97574785316599111</v>
      </c>
      <c r="R22" s="47">
        <f>IFERROR(1-SUMIF(Grid_BD!$F:$F,$A22,Grid_BD!$Y:$Y)/($AA22+SUMIF(Grid_BD!$F:$F,$A22,Grid_BD!$Y:$Y)),"")</f>
        <v>1</v>
      </c>
      <c r="S22" s="10"/>
      <c r="T22" s="310"/>
      <c r="U22" s="311"/>
      <c r="V22" s="10"/>
      <c r="W22" s="312">
        <f t="shared" si="7"/>
        <v>0.21008563899868254</v>
      </c>
      <c r="X22" s="10">
        <f>IFERROR(_xlfn.XLOOKUP($A22,Input_Raw!$E:$E,Input_Raw!BG:BG),"")</f>
        <v>255128</v>
      </c>
      <c r="Y22" s="10">
        <f>IFERROR(_xlfn.XLOOKUP($A22,Input_Raw!$E:$E,Input_Raw!DF:DF),"")</f>
        <v>248160.00000000783</v>
      </c>
      <c r="Z22" s="319">
        <f>IFERROR(_xlfn.XLOOKUP(A22,Input_Raw!E:E,Input_Raw!CT:CT)/_xlfn.XLOOKUP(A22,Input_Raw!E:E,Input_Raw!CS:CS)*Table13[[#This Row],[Mtr_Export (kWh)]],"")</f>
        <v>0</v>
      </c>
      <c r="AA22" s="43">
        <f>IFERROR(Y22-Z22,"")</f>
        <v>248160.00000000783</v>
      </c>
      <c r="AB22" s="10">
        <f>IFERROR(_xlfn.XLOOKUP($A22,Input_Raw!$E:$E,Input_Raw!$CZ:$CZ),"")</f>
        <v>50.6</v>
      </c>
      <c r="AC22" s="313">
        <f>IFERROR(_xlfn.XLOOKUP($D22,'Modelling New'!$D:$D,'Modelling New'!$J:$J),"")</f>
        <v>5.6310997427836513</v>
      </c>
      <c r="AD22" s="43">
        <f>IFERROR(_xlfn.XLOOKUP($D22,'Modelling New'!$D:$D,'Modelling New'!$T:$T)*1000,"")</f>
        <v>273284.33333333331</v>
      </c>
      <c r="AE22" s="312"/>
      <c r="AF22" s="312">
        <f>IFERROR(_xlfn.XLOOKUP($D22,'Modelling New'!$D:$D,'Modelling New'!$W:$W),"")</f>
        <v>0.22503650636802819</v>
      </c>
      <c r="AG22" s="312">
        <f>IFERROR(_xlfn.XLOOKUP($D22,'Modelling New'!$D:$D,'Modelling New'!$AE:$AE),"")</f>
        <v>0.95549849999999992</v>
      </c>
      <c r="AH22" s="312">
        <f>IFERROR(_xlfn.XLOOKUP($D22,'Modelling New'!$D:$D,'Modelling New'!$AF:$AF),"")</f>
        <v>0.995</v>
      </c>
      <c r="AI22" s="10">
        <f>IFERROR(_xlfn.XLOOKUP($A22,Input_Raw!$E:$E,Input_Raw!$DG:$DG),"")</f>
        <v>256.23</v>
      </c>
      <c r="AJ22" s="10"/>
      <c r="AK22" s="10"/>
      <c r="AL22" s="10"/>
      <c r="AM22" s="10"/>
      <c r="AN22" s="314">
        <f>IFERROR(_xlfn.XLOOKUP($A22,Input_Raw!$E:$E,Input_Raw!$CY:$CY),"")</f>
        <v>7.0532915359970971E-3</v>
      </c>
      <c r="AO22" s="312">
        <f>IFERROR((_xlfn.XLOOKUP($A22,'WTG Reactive Power'!$A:$A,'WTG Reactive Power'!AB:AB))/X22,"")</f>
        <v>0.22066374525728252</v>
      </c>
      <c r="AP22" s="312">
        <f>IFERROR(_xlfn.XLOOKUP($D22,'Modelling New'!$D:$D,'Modelling New'!AK:AK),"")</f>
        <v>0.05</v>
      </c>
      <c r="AQ22" s="312">
        <f>IFERROR(_xlfn.XLOOKUP($D22,'Modelling New'!$D:$D,'Modelling New'!AL:AL),"")</f>
        <v>0.05</v>
      </c>
      <c r="AR22" s="325">
        <f>IFERROR(_xlfn.XLOOKUP($D22,'Modelling New'!$D:$D,'Modelling New'!$N:$N),"")</f>
        <v>50.59999999999998</v>
      </c>
      <c r="AS22" s="325"/>
    </row>
    <row r="23" spans="1:45">
      <c r="A23" s="32">
        <f t="shared" si="9"/>
        <v>45766</v>
      </c>
      <c r="B23" s="43">
        <f>YEAR(Table13[[#This Row],[Date]])+IF(MONTH(Table13[[#This Row],[Date]])&gt;=4,1,0)</f>
        <v>2026</v>
      </c>
      <c r="C23" s="10">
        <f>YEAR(Table13[[#This Row],[Date]])</f>
        <v>2025</v>
      </c>
      <c r="D23" s="309">
        <f>Table13[[#This Row],[Date]]-DAY(Table13[[#This Row],[Date]])+1</f>
        <v>45748</v>
      </c>
      <c r="E23" s="10">
        <f t="shared" si="5"/>
        <v>30</v>
      </c>
      <c r="F23" s="241">
        <f>IFERROR(_xlfn.XLOOKUP($A23,Input_Raw!$E:$E,Input_Raw!DC:DC),"")</f>
        <v>11.866666666666665</v>
      </c>
      <c r="G23" s="242"/>
      <c r="H23" s="242"/>
      <c r="I23" s="242"/>
      <c r="J23" s="242"/>
      <c r="K23" s="243"/>
      <c r="L23" s="242"/>
      <c r="M23" s="242">
        <f>IFERROR(_xlfn.XLOOKUP($A23,Input_Raw!$E:$E,Input_Raw!$BM:$BM),"")</f>
        <v>5.4139706605309081</v>
      </c>
      <c r="N23" s="242">
        <f>IFERROR(_xlfn.XLOOKUP($A23,Input_Raw!$E:$E,Input_Raw!$BN:$BN),"")</f>
        <v>6.0562357142857133</v>
      </c>
      <c r="O23" s="311">
        <f t="shared" si="6"/>
        <v>0.97323125033947167</v>
      </c>
      <c r="P23" s="311">
        <f>IFERROR(1-SUMIF(WTG_BD!$F:$F,$A23,WTG_BD!$AA:$AA)/($AA23+SUMIF(WTG_BD!$F:$F,$A23,WTG_BD!$AA:$AA)),"")</f>
        <v>0.99999783690712329</v>
      </c>
      <c r="Q23" s="328">
        <f>IFERROR(1-SUMIF(IGA_BD!$F:$F,$A23,IGA_BD!$W:$W)/($AA23+SUMIF(IGA_BD!$F:$F,$A23,IGA_BD!$W:$W)),"")</f>
        <v>0.97323335553361034</v>
      </c>
      <c r="R23" s="311">
        <f>IFERROR(1-SUMIF(Grid_BD!$F:$F,$A23,Grid_BD!$Y:$Y)/($AA23+SUMIF(Grid_BD!$F:$F,$A23,Grid_BD!$Y:$Y)),"")</f>
        <v>1</v>
      </c>
      <c r="S23" s="10"/>
      <c r="T23" s="310"/>
      <c r="U23" s="311"/>
      <c r="V23" s="10"/>
      <c r="W23" s="312">
        <f t="shared" si="7"/>
        <v>0.21752799736495396</v>
      </c>
      <c r="X23" s="10">
        <f>IFERROR(_xlfn.XLOOKUP($A23,Input_Raw!$E:$E,Input_Raw!BG:BG),"")</f>
        <v>264166</v>
      </c>
      <c r="Y23" s="10">
        <f>IFERROR(_xlfn.XLOOKUP($A23,Input_Raw!$E:$E,Input_Raw!DF:DF),"")</f>
        <v>254264.99999999948</v>
      </c>
      <c r="Z23" s="319">
        <f>IFERROR(_xlfn.XLOOKUP(A23,Input_Raw!E:E,Input_Raw!CT:CT)/_xlfn.XLOOKUP(A23,Input_Raw!E:E,Input_Raw!CS:CS)*Table13[[#This Row],[Mtr_Export (kWh)]],"")</f>
        <v>0</v>
      </c>
      <c r="AA23" s="43">
        <f t="shared" si="8"/>
        <v>254264.99999999948</v>
      </c>
      <c r="AB23" s="10">
        <f>IFERROR(_xlfn.XLOOKUP($A23,Input_Raw!$E:$E,Input_Raw!$CZ:$CZ),"")</f>
        <v>50.6</v>
      </c>
      <c r="AC23" s="313">
        <f>IFERROR(_xlfn.XLOOKUP($D23,'Modelling New'!$D:$D,'Modelling New'!$J:$J),"")</f>
        <v>5.6310997427836513</v>
      </c>
      <c r="AD23" s="43">
        <f>IFERROR(_xlfn.XLOOKUP($D23,'Modelling New'!$D:$D,'Modelling New'!$T:$T)*1000,"")</f>
        <v>273284.33333333331</v>
      </c>
      <c r="AE23" s="312"/>
      <c r="AF23" s="312">
        <f>IFERROR(_xlfn.XLOOKUP($D23,'Modelling New'!$D:$D,'Modelling New'!$W:$W),"")</f>
        <v>0.22503650636802819</v>
      </c>
      <c r="AG23" s="312">
        <f>IFERROR(_xlfn.XLOOKUP($D23,'Modelling New'!$D:$D,'Modelling New'!$AE:$AE),"")</f>
        <v>0.95549849999999992</v>
      </c>
      <c r="AH23" s="312">
        <f>IFERROR(_xlfn.XLOOKUP($D23,'Modelling New'!$D:$D,'Modelling New'!$AF:$AF),"")</f>
        <v>0.995</v>
      </c>
      <c r="AI23" s="10">
        <f>IFERROR(_xlfn.XLOOKUP($A23,Input_Raw!$E:$E,Input_Raw!$DG:$DG),"")</f>
        <v>265.02999999999997</v>
      </c>
      <c r="AJ23" s="10"/>
      <c r="AK23" s="10"/>
      <c r="AL23" s="10"/>
      <c r="AM23" s="10"/>
      <c r="AN23" s="314">
        <f>IFERROR(_xlfn.XLOOKUP($A23,Input_Raw!$E:$E,Input_Raw!$CY:$CY),"")</f>
        <v>1.0726072607269765E-2</v>
      </c>
      <c r="AO23" s="312">
        <f>IFERROR((_xlfn.XLOOKUP($A23,'WTG Reactive Power'!$A:$A,'WTG Reactive Power'!AB:AB))/X23,"")</f>
        <v>9.7070402701331729E-2</v>
      </c>
      <c r="AP23" s="312">
        <f>IFERROR(_xlfn.XLOOKUP($D23,'Modelling New'!$D:$D,'Modelling New'!AK:AK),"")</f>
        <v>0.05</v>
      </c>
      <c r="AQ23" s="312">
        <f>IFERROR(_xlfn.XLOOKUP($D23,'Modelling New'!$D:$D,'Modelling New'!AL:AL),"")</f>
        <v>0.05</v>
      </c>
      <c r="AR23" s="325">
        <f>IFERROR(_xlfn.XLOOKUP($D23,'Modelling New'!$D:$D,'Modelling New'!$N:$N),"")</f>
        <v>50.59999999999998</v>
      </c>
      <c r="AS23" s="325"/>
    </row>
    <row r="24" spans="1:45">
      <c r="A24" s="32">
        <f t="shared" si="9"/>
        <v>45767</v>
      </c>
      <c r="B24" s="43">
        <f>YEAR(Table13[[#This Row],[Date]])+IF(MONTH(Table13[[#This Row],[Date]])&gt;=4,1,0)</f>
        <v>2026</v>
      </c>
      <c r="C24" s="10">
        <f>YEAR(Table13[[#This Row],[Date]])</f>
        <v>2025</v>
      </c>
      <c r="D24" s="309">
        <f>Table13[[#This Row],[Date]]-DAY(Table13[[#This Row],[Date]])+1</f>
        <v>45748</v>
      </c>
      <c r="E24" s="10">
        <f t="shared" si="5"/>
        <v>30</v>
      </c>
      <c r="F24" s="241">
        <f>IFERROR(_xlfn.XLOOKUP($A24,Input_Raw!$E:$E,Input_Raw!DC:DC),"")</f>
        <v>11.383333333333335</v>
      </c>
      <c r="G24" s="313"/>
      <c r="H24" s="313"/>
      <c r="I24" s="313"/>
      <c r="J24" s="313"/>
      <c r="K24" s="243"/>
      <c r="L24" s="242"/>
      <c r="M24" s="242">
        <f>IFERROR(_xlfn.XLOOKUP($A24,Input_Raw!$E:$E,Input_Raw!$BM:$BM),"")</f>
        <v>5.4142613080676485</v>
      </c>
      <c r="N24" s="242">
        <f>IFERROR(_xlfn.XLOOKUP($A24,Input_Raw!$E:$E,Input_Raw!$BN:$BN),"")</f>
        <v>6.2722588235294134</v>
      </c>
      <c r="O24" s="311">
        <f t="shared" si="6"/>
        <v>0.9632368536908219</v>
      </c>
      <c r="P24" s="311">
        <f>IFERROR(1-SUMIF(WTG_BD!$F:$F,$A24,WTG_BD!$AA:$AA)/($AA24+SUMIF(WTG_BD!$F:$F,$A24,WTG_BD!$AA:$AA)),"")</f>
        <v>0.99997741357328551</v>
      </c>
      <c r="Q24" s="328">
        <f>IFERROR(1-SUMIF(IGA_BD!$F:$F,$A24,IGA_BD!$W:$W)/($AA24+SUMIF(IGA_BD!$F:$F,$A24,IGA_BD!$W:$W)),"")</f>
        <v>0.96325861026082971</v>
      </c>
      <c r="R24" s="47">
        <f>IFERROR(1-SUMIF(Grid_BD!$F:$F,$A24,Grid_BD!$Y:$Y)/($AA24+SUMIF(Grid_BD!$F:$F,$A24,Grid_BD!$Y:$Y)),"")</f>
        <v>0.89657084364071049</v>
      </c>
      <c r="S24" s="10"/>
      <c r="T24" s="310"/>
      <c r="U24" s="311"/>
      <c r="V24" s="10"/>
      <c r="W24" s="312">
        <f t="shared" si="7"/>
        <v>0.18163866930171285</v>
      </c>
      <c r="X24" s="10">
        <f>IFERROR(_xlfn.XLOOKUP($A24,Input_Raw!$E:$E,Input_Raw!BG:BG),"")</f>
        <v>220582</v>
      </c>
      <c r="Y24" s="10">
        <f>IFERROR(_xlfn.XLOOKUP($A24,Input_Raw!$E:$E,Input_Raw!DF:DF),"")</f>
        <v>210210.00000000955</v>
      </c>
      <c r="Z24" s="319">
        <f>IFERROR(_xlfn.XLOOKUP(A24,Input_Raw!E:E,Input_Raw!CT:CT)/_xlfn.XLOOKUP(A24,Input_Raw!E:E,Input_Raw!CS:CS)*Table13[[#This Row],[Mtr_Export (kWh)]],"")</f>
        <v>0</v>
      </c>
      <c r="AA24" s="43">
        <f t="shared" si="8"/>
        <v>210210.00000000955</v>
      </c>
      <c r="AB24" s="10">
        <f>IFERROR(_xlfn.XLOOKUP($A24,Input_Raw!$E:$E,Input_Raw!$CZ:$CZ),"")</f>
        <v>50.6</v>
      </c>
      <c r="AC24" s="313">
        <f>IFERROR(_xlfn.XLOOKUP($D24,'Modelling New'!$D:$D,'Modelling New'!$J:$J),"")</f>
        <v>5.6310997427836513</v>
      </c>
      <c r="AD24" s="43">
        <f>IFERROR(_xlfn.XLOOKUP($D24,'Modelling New'!$D:$D,'Modelling New'!$T:$T)*1000,"")</f>
        <v>273284.33333333331</v>
      </c>
      <c r="AE24" s="312"/>
      <c r="AF24" s="312">
        <f>IFERROR(_xlfn.XLOOKUP($D24,'Modelling New'!$D:$D,'Modelling New'!$W:$W),"")</f>
        <v>0.22503650636802819</v>
      </c>
      <c r="AG24" s="312">
        <f>IFERROR(_xlfn.XLOOKUP($D24,'Modelling New'!$D:$D,'Modelling New'!$AE:$AE),"")</f>
        <v>0.95549849999999992</v>
      </c>
      <c r="AH24" s="312">
        <f>IFERROR(_xlfn.XLOOKUP($D24,'Modelling New'!$D:$D,'Modelling New'!$AF:$AF),"")</f>
        <v>0.995</v>
      </c>
      <c r="AI24" s="10">
        <f>IFERROR(_xlfn.XLOOKUP($A24,Input_Raw!$E:$E,Input_Raw!$DG:$DG),"")</f>
        <v>220.06</v>
      </c>
      <c r="AJ24" s="10"/>
      <c r="AK24" s="10"/>
      <c r="AL24" s="10"/>
      <c r="AM24" s="10"/>
      <c r="AN24" s="314">
        <f>IFERROR(_xlfn.XLOOKUP($A24,Input_Raw!$E:$E,Input_Raw!$CY:$CY),"")</f>
        <v>9.6153846154012346E-3</v>
      </c>
      <c r="AO24" s="312">
        <f>IFERROR((_xlfn.XLOOKUP($A24,'WTG Reactive Power'!$A:$A,'WTG Reactive Power'!AB:AB))/X24,"")</f>
        <v>0.12394257010998178</v>
      </c>
      <c r="AP24" s="312">
        <f>IFERROR(_xlfn.XLOOKUP($D24,'Modelling New'!$D:$D,'Modelling New'!AK:AK),"")</f>
        <v>0.05</v>
      </c>
      <c r="AQ24" s="312">
        <f>IFERROR(_xlfn.XLOOKUP($D24,'Modelling New'!$D:$D,'Modelling New'!AL:AL),"")</f>
        <v>0.05</v>
      </c>
      <c r="AR24" s="325">
        <f>IFERROR(_xlfn.XLOOKUP($D24,'Modelling New'!$D:$D,'Modelling New'!$N:$N),"")</f>
        <v>50.59999999999998</v>
      </c>
      <c r="AS24" s="325"/>
    </row>
    <row r="25" spans="1:45">
      <c r="A25" s="32">
        <f t="shared" si="9"/>
        <v>45768</v>
      </c>
      <c r="B25" s="43">
        <f>YEAR(Table13[[#This Row],[Date]])+IF(MONTH(Table13[[#This Row],[Date]])&gt;=4,1,0)</f>
        <v>2026</v>
      </c>
      <c r="C25" s="10">
        <f>YEAR(Table13[[#This Row],[Date]])</f>
        <v>2025</v>
      </c>
      <c r="D25" s="309">
        <f>Table13[[#This Row],[Date]]-DAY(Table13[[#This Row],[Date]])+1</f>
        <v>45748</v>
      </c>
      <c r="E25" s="10">
        <f t="shared" si="5"/>
        <v>30</v>
      </c>
      <c r="F25" s="241">
        <f>IFERROR(_xlfn.XLOOKUP($A25,Input_Raw!$E:$E,Input_Raw!DC:DC),"")</f>
        <v>11.783333333333333</v>
      </c>
      <c r="G25" s="242"/>
      <c r="H25" s="242"/>
      <c r="I25" s="242"/>
      <c r="J25" s="242"/>
      <c r="K25" s="243"/>
      <c r="L25" s="242"/>
      <c r="M25" s="242">
        <f>IFERROR(_xlfn.XLOOKUP($A25,Input_Raw!$E:$E,Input_Raw!$BM:$BM),"")</f>
        <v>4.1889253030507918</v>
      </c>
      <c r="N25" s="242">
        <f>IFERROR(_xlfn.XLOOKUP($A25,Input_Raw!$E:$E,Input_Raw!$BN:$BN),"")</f>
        <v>4.6773861386138593</v>
      </c>
      <c r="O25" s="311">
        <f t="shared" si="6"/>
        <v>0.9627370375281753</v>
      </c>
      <c r="P25" s="311">
        <f>IFERROR(1-SUMIF(WTG_BD!$F:$F,$A25,WTG_BD!$AA:$AA)/($AA25+SUMIF(WTG_BD!$F:$F,$A25,WTG_BD!$AA:$AA)),"")</f>
        <v>1</v>
      </c>
      <c r="Q25" s="328">
        <f>IFERROR(1-SUMIF(IGA_BD!$F:$F,$A25,IGA_BD!$W:$W)/($AA25+SUMIF(IGA_BD!$F:$F,$A25,IGA_BD!$W:$W)),"")</f>
        <v>0.9627370375281753</v>
      </c>
      <c r="R25" s="311">
        <f>IFERROR(1-SUMIF(Grid_BD!$F:$F,$A25,Grid_BD!$Y:$Y)/($AA25+SUMIF(Grid_BD!$F:$F,$A25,Grid_BD!$Y:$Y)),"")</f>
        <v>0.96812908387784702</v>
      </c>
      <c r="S25" s="10"/>
      <c r="T25" s="310"/>
      <c r="U25" s="311"/>
      <c r="V25" s="10"/>
      <c r="W25" s="312">
        <f t="shared" si="7"/>
        <v>9.6958168642951287E-2</v>
      </c>
      <c r="X25" s="10">
        <f>IFERROR(_xlfn.XLOOKUP($A25,Input_Raw!$E:$E,Input_Raw!BG:BG),"")</f>
        <v>117746</v>
      </c>
      <c r="Y25" s="10">
        <f>IFERROR(_xlfn.XLOOKUP($A25,Input_Raw!$E:$E,Input_Raw!DF:DF),"")</f>
        <v>116159.99999998719</v>
      </c>
      <c r="Z25" s="319">
        <f>IFERROR(_xlfn.XLOOKUP(A25,Input_Raw!E:E,Input_Raw!CT:CT)/_xlfn.XLOOKUP(A25,Input_Raw!E:E,Input_Raw!CS:CS)*Table13[[#This Row],[Mtr_Export (kWh)]],"")</f>
        <v>0</v>
      </c>
      <c r="AA25" s="43">
        <f t="shared" si="8"/>
        <v>116159.99999998719</v>
      </c>
      <c r="AB25" s="10">
        <f>IFERROR(_xlfn.XLOOKUP($A25,Input_Raw!$E:$E,Input_Raw!$CZ:$CZ),"")</f>
        <v>50.6</v>
      </c>
      <c r="AC25" s="313">
        <f>IFERROR(_xlfn.XLOOKUP($D25,'Modelling New'!$D:$D,'Modelling New'!$J:$J),"")</f>
        <v>5.6310997427836513</v>
      </c>
      <c r="AD25" s="43">
        <f>IFERROR(_xlfn.XLOOKUP($D25,'Modelling New'!$D:$D,'Modelling New'!$T:$T)*1000,"")</f>
        <v>273284.33333333331</v>
      </c>
      <c r="AE25" s="312"/>
      <c r="AF25" s="312">
        <f>IFERROR(_xlfn.XLOOKUP($D25,'Modelling New'!$D:$D,'Modelling New'!$W:$W),"")</f>
        <v>0.22503650636802819</v>
      </c>
      <c r="AG25" s="312">
        <f>IFERROR(_xlfn.XLOOKUP($D25,'Modelling New'!$D:$D,'Modelling New'!$AE:$AE),"")</f>
        <v>0.95549849999999992</v>
      </c>
      <c r="AH25" s="312">
        <f>IFERROR(_xlfn.XLOOKUP($D25,'Modelling New'!$D:$D,'Modelling New'!$AF:$AF),"")</f>
        <v>0.995</v>
      </c>
      <c r="AI25" s="10">
        <f>IFERROR(_xlfn.XLOOKUP($A25,Input_Raw!$E:$E,Input_Raw!$DG:$DG),"")</f>
        <v>130.46</v>
      </c>
      <c r="AJ25" s="10"/>
      <c r="AK25" s="10"/>
      <c r="AL25" s="10"/>
      <c r="AM25" s="10"/>
      <c r="AN25" s="314">
        <f>IFERROR(_xlfn.XLOOKUP($A25,Input_Raw!$E:$E,Input_Raw!$CY:$CY),"")</f>
        <v>7.7433628318623882E-3</v>
      </c>
      <c r="AO25" s="312">
        <f>IFERROR((_xlfn.XLOOKUP($A25,'WTG Reactive Power'!$A:$A,'WTG Reactive Power'!AB:AB))/X25,"")</f>
        <v>0.85663037385558738</v>
      </c>
      <c r="AP25" s="312">
        <f>IFERROR(_xlfn.XLOOKUP($D25,'Modelling New'!$D:$D,'Modelling New'!AK:AK),"")</f>
        <v>0.05</v>
      </c>
      <c r="AQ25" s="312">
        <f>IFERROR(_xlfn.XLOOKUP($D25,'Modelling New'!$D:$D,'Modelling New'!AL:AL),"")</f>
        <v>0.05</v>
      </c>
      <c r="AR25" s="325">
        <f>IFERROR(_xlfn.XLOOKUP($D25,'Modelling New'!$D:$D,'Modelling New'!$N:$N),"")</f>
        <v>50.59999999999998</v>
      </c>
      <c r="AS25" s="325"/>
    </row>
    <row r="26" spans="1:45">
      <c r="A26" s="32">
        <f t="shared" si="9"/>
        <v>45769</v>
      </c>
      <c r="B26" s="43">
        <f>YEAR(Table13[[#This Row],[Date]])+IF(MONTH(Table13[[#This Row],[Date]])&gt;=4,1,0)</f>
        <v>2026</v>
      </c>
      <c r="C26" s="10">
        <f>YEAR(Table13[[#This Row],[Date]])</f>
        <v>2025</v>
      </c>
      <c r="D26" s="309">
        <f>Table13[[#This Row],[Date]]-DAY(Table13[[#This Row],[Date]])+1</f>
        <v>45748</v>
      </c>
      <c r="E26" s="10">
        <f t="shared" si="5"/>
        <v>30</v>
      </c>
      <c r="F26" s="241">
        <f>IFERROR(_xlfn.XLOOKUP($A26,Input_Raw!$E:$E,Input_Raw!DC:DC),"")</f>
        <v>11.7</v>
      </c>
      <c r="G26" s="313"/>
      <c r="H26" s="313"/>
      <c r="I26" s="313"/>
      <c r="J26" s="313"/>
      <c r="K26" s="243"/>
      <c r="L26" s="242"/>
      <c r="M26" s="242">
        <f>IFERROR(_xlfn.XLOOKUP($A26,Input_Raw!$E:$E,Input_Raw!$BM:$BM),"")</f>
        <v>4.1137216398333738</v>
      </c>
      <c r="N26" s="242">
        <f>IFERROR(_xlfn.XLOOKUP($A26,Input_Raw!$E:$E,Input_Raw!$BN:$BN),"")</f>
        <v>4.6029898989898985</v>
      </c>
      <c r="O26" s="311">
        <f t="shared" si="6"/>
        <v>0.96123473320991826</v>
      </c>
      <c r="P26" s="311">
        <f>IFERROR(1-SUMIF(WTG_BD!$F:$F,$A26,WTG_BD!$AA:$AA)/($AA26+SUMIF(WTG_BD!$F:$F,$A26,WTG_BD!$AA:$AA)),"")</f>
        <v>0.99997590475836029</v>
      </c>
      <c r="Q26" s="328">
        <f>IFERROR(1-SUMIF(IGA_BD!$F:$F,$A26,IGA_BD!$W:$W)/($AA26+SUMIF(IGA_BD!$F:$F,$A26,IGA_BD!$W:$W)),"")</f>
        <v>0.9612578949511752</v>
      </c>
      <c r="R26" s="47">
        <f>IFERROR(1-SUMIF(Grid_BD!$F:$F,$A26,Grid_BD!$Y:$Y)/($AA26+SUMIF(Grid_BD!$F:$F,$A26,Grid_BD!$Y:$Y)),"")</f>
        <v>0.98133718882542287</v>
      </c>
      <c r="S26" s="10"/>
      <c r="T26" s="310"/>
      <c r="U26" s="311"/>
      <c r="V26" s="10"/>
      <c r="W26" s="312">
        <f t="shared" si="7"/>
        <v>8.4508399209486204E-2</v>
      </c>
      <c r="X26" s="10">
        <f>IFERROR(_xlfn.XLOOKUP($A26,Input_Raw!$E:$E,Input_Raw!BG:BG),"")</f>
        <v>102627</v>
      </c>
      <c r="Y26" s="10">
        <f>IFERROR(_xlfn.XLOOKUP($A26,Input_Raw!$E:$E,Input_Raw!DF:DF),"")</f>
        <v>99824.999999993626</v>
      </c>
      <c r="Z26" s="319">
        <f>IFERROR(_xlfn.XLOOKUP(A26,Input_Raw!E:E,Input_Raw!CT:CT)/_xlfn.XLOOKUP(A26,Input_Raw!E:E,Input_Raw!CS:CS)*Table13[[#This Row],[Mtr_Export (kWh)]],"")</f>
        <v>181.17059891105873</v>
      </c>
      <c r="AA26" s="43">
        <f t="shared" si="8"/>
        <v>99643.829401082563</v>
      </c>
      <c r="AB26" s="10">
        <f>IFERROR(_xlfn.XLOOKUP($A26,Input_Raw!$E:$E,Input_Raw!$CZ:$CZ),"")</f>
        <v>50.6</v>
      </c>
      <c r="AC26" s="313">
        <f>IFERROR(_xlfn.XLOOKUP($D26,'Modelling New'!$D:$D,'Modelling New'!$J:$J),"")</f>
        <v>5.6310997427836513</v>
      </c>
      <c r="AD26" s="43">
        <f>IFERROR(_xlfn.XLOOKUP($D26,'Modelling New'!$D:$D,'Modelling New'!$T:$T)*1000,"")</f>
        <v>273284.33333333331</v>
      </c>
      <c r="AE26" s="312"/>
      <c r="AF26" s="312">
        <f>IFERROR(_xlfn.XLOOKUP($D26,'Modelling New'!$D:$D,'Modelling New'!$W:$W),"")</f>
        <v>0.22503650636802819</v>
      </c>
      <c r="AG26" s="312">
        <f>IFERROR(_xlfn.XLOOKUP($D26,'Modelling New'!$D:$D,'Modelling New'!$AE:$AE),"")</f>
        <v>0.95549849999999992</v>
      </c>
      <c r="AH26" s="312">
        <f>IFERROR(_xlfn.XLOOKUP($D26,'Modelling New'!$D:$D,'Modelling New'!$AF:$AF),"")</f>
        <v>0.995</v>
      </c>
      <c r="AI26" s="10">
        <f>IFERROR(_xlfn.XLOOKUP($A26,Input_Raw!$E:$E,Input_Raw!$DG:$DG),"")</f>
        <v>106.17</v>
      </c>
      <c r="AJ26" s="10"/>
      <c r="AK26" s="10"/>
      <c r="AL26" s="10"/>
      <c r="AM26" s="10"/>
      <c r="AN26" s="314">
        <f>IFERROR(_xlfn.XLOOKUP($A26,Input_Raw!$E:$E,Input_Raw!$CY:$CY),"")</f>
        <v>8.3938294011547399E-3</v>
      </c>
      <c r="AO26" s="312">
        <f>IFERROR((_xlfn.XLOOKUP($A26,'WTG Reactive Power'!$A:$A,'WTG Reactive Power'!AB:AB))/X26,"")</f>
        <v>0.15977861576388278</v>
      </c>
      <c r="AP26" s="312">
        <f>IFERROR(_xlfn.XLOOKUP($D26,'Modelling New'!$D:$D,'Modelling New'!AK:AK),"")</f>
        <v>0.05</v>
      </c>
      <c r="AQ26" s="312">
        <f>IFERROR(_xlfn.XLOOKUP($D26,'Modelling New'!$D:$D,'Modelling New'!AL:AL),"")</f>
        <v>0.05</v>
      </c>
      <c r="AR26" s="325">
        <f>IFERROR(_xlfn.XLOOKUP($D26,'Modelling New'!$D:$D,'Modelling New'!$N:$N),"")</f>
        <v>50.59999999999998</v>
      </c>
      <c r="AS26" s="325"/>
    </row>
    <row r="27" spans="1:45">
      <c r="A27" s="32">
        <f t="shared" si="9"/>
        <v>45770</v>
      </c>
      <c r="B27" s="43">
        <f>YEAR(Table13[[#This Row],[Date]])+IF(MONTH(Table13[[#This Row],[Date]])&gt;=4,1,0)</f>
        <v>2026</v>
      </c>
      <c r="C27" s="10">
        <f>YEAR(Table13[[#This Row],[Date]])</f>
        <v>2025</v>
      </c>
      <c r="D27" s="309">
        <f>Table13[[#This Row],[Date]]-DAY(Table13[[#This Row],[Date]])+1</f>
        <v>45748</v>
      </c>
      <c r="E27" s="10">
        <f t="shared" si="5"/>
        <v>30</v>
      </c>
      <c r="F27" s="241">
        <f>IFERROR(_xlfn.XLOOKUP($A27,Input_Raw!$E:$E,Input_Raw!DC:DC),"")</f>
        <v>11.716666666666667</v>
      </c>
      <c r="G27" s="242"/>
      <c r="H27" s="242"/>
      <c r="I27" s="242"/>
      <c r="J27" s="242"/>
      <c r="K27" s="243"/>
      <c r="L27" s="242"/>
      <c r="M27" s="242">
        <f>IFERROR(_xlfn.XLOOKUP($A27,Input_Raw!$E:$E,Input_Raw!$BM:$BM),"")</f>
        <v>4.2939565217391307</v>
      </c>
      <c r="N27" s="242">
        <f>IFERROR(_xlfn.XLOOKUP($A27,Input_Raw!$E:$E,Input_Raw!$BN:$BN),"")</f>
        <v>5.3869999999999996</v>
      </c>
      <c r="O27" s="311">
        <f t="shared" si="6"/>
        <v>0.96264644287084988</v>
      </c>
      <c r="P27" s="311">
        <f>IFERROR(1-SUMIF(WTG_BD!$F:$F,$A27,WTG_BD!$AA:$AA)/($AA27+SUMIF(WTG_BD!$F:$F,$A27,WTG_BD!$AA:$AA)),"")</f>
        <v>0.99998084438019985</v>
      </c>
      <c r="Q27" s="328">
        <f>IFERROR(1-SUMIF(IGA_BD!$F:$F,$A27,IGA_BD!$W:$W)/($AA27+SUMIF(IGA_BD!$F:$F,$A27,IGA_BD!$W:$W)),"")</f>
        <v>0.96266488331334954</v>
      </c>
      <c r="R27" s="311">
        <f>IFERROR(1-SUMIF(Grid_BD!$F:$F,$A27,Grid_BD!$Y:$Y)/($AA27+SUMIF(Grid_BD!$F:$F,$A27,Grid_BD!$Y:$Y)),"")</f>
        <v>1</v>
      </c>
      <c r="S27" s="10"/>
      <c r="T27" s="310"/>
      <c r="U27" s="311"/>
      <c r="V27" s="10"/>
      <c r="W27" s="312">
        <f t="shared" si="7"/>
        <v>0.10643362977602112</v>
      </c>
      <c r="X27" s="10">
        <f>IFERROR(_xlfn.XLOOKUP($A27,Input_Raw!$E:$E,Input_Raw!BG:BG),"")</f>
        <v>129253</v>
      </c>
      <c r="Y27" s="10">
        <f>IFERROR(_xlfn.XLOOKUP($A27,Input_Raw!$E:$E,Input_Raw!DF:DF),"")</f>
        <v>125235.0000000071</v>
      </c>
      <c r="Z27" s="319">
        <f>IFERROR(_xlfn.XLOOKUP(A27,Input_Raw!E:E,Input_Raw!CT:CT)/_xlfn.XLOOKUP(A27,Input_Raw!E:E,Input_Raw!CS:CS)*Table13[[#This Row],[Mtr_Export (kWh)]],"")</f>
        <v>0</v>
      </c>
      <c r="AA27" s="43">
        <f t="shared" si="8"/>
        <v>125235.0000000071</v>
      </c>
      <c r="AB27" s="10">
        <f>IFERROR(_xlfn.XLOOKUP($A27,Input_Raw!$E:$E,Input_Raw!$CZ:$CZ),"")</f>
        <v>50.6</v>
      </c>
      <c r="AC27" s="313">
        <f>IFERROR(_xlfn.XLOOKUP($D27,'Modelling New'!$D:$D,'Modelling New'!$J:$J),"")</f>
        <v>5.6310997427836513</v>
      </c>
      <c r="AD27" s="43">
        <f>IFERROR(_xlfn.XLOOKUP($D27,'Modelling New'!$D:$D,'Modelling New'!$T:$T)*1000,"")</f>
        <v>273284.33333333331</v>
      </c>
      <c r="AE27" s="312"/>
      <c r="AF27" s="312">
        <f>IFERROR(_xlfn.XLOOKUP($D27,'Modelling New'!$D:$D,'Modelling New'!$W:$W),"")</f>
        <v>0.22503650636802819</v>
      </c>
      <c r="AG27" s="312">
        <f>IFERROR(_xlfn.XLOOKUP($D27,'Modelling New'!$D:$D,'Modelling New'!$AE:$AE),"")</f>
        <v>0.95549849999999992</v>
      </c>
      <c r="AH27" s="312">
        <f>IFERROR(_xlfn.XLOOKUP($D27,'Modelling New'!$D:$D,'Modelling New'!$AF:$AF),"")</f>
        <v>0.995</v>
      </c>
      <c r="AI27" s="10">
        <f>IFERROR(_xlfn.XLOOKUP($A27,Input_Raw!$E:$E,Input_Raw!$DG:$DG),"")</f>
        <v>130.34</v>
      </c>
      <c r="AJ27" s="10"/>
      <c r="AK27" s="10"/>
      <c r="AL27" s="10"/>
      <c r="AM27" s="10"/>
      <c r="AN27" s="314">
        <f>IFERROR(_xlfn.XLOOKUP($A27,Input_Raw!$E:$E,Input_Raw!$CY:$CY),"")</f>
        <v>8.3049403747081918E-3</v>
      </c>
      <c r="AO27" s="312">
        <f>IFERROR((_xlfn.XLOOKUP($A27,'WTG Reactive Power'!$A:$A,'WTG Reactive Power'!AB:AB))/X27,"")</f>
        <v>0.10972975482193835</v>
      </c>
      <c r="AP27" s="312">
        <f>IFERROR(_xlfn.XLOOKUP($D27,'Modelling New'!$D:$D,'Modelling New'!AK:AK),"")</f>
        <v>0.05</v>
      </c>
      <c r="AQ27" s="312">
        <f>IFERROR(_xlfn.XLOOKUP($D27,'Modelling New'!$D:$D,'Modelling New'!AL:AL),"")</f>
        <v>0.05</v>
      </c>
      <c r="AR27" s="325">
        <f>IFERROR(_xlfn.XLOOKUP($D27,'Modelling New'!$D:$D,'Modelling New'!$N:$N),"")</f>
        <v>50.59999999999998</v>
      </c>
      <c r="AS27" s="325"/>
    </row>
    <row r="28" spans="1:45">
      <c r="A28" s="32">
        <f t="shared" si="9"/>
        <v>45771</v>
      </c>
      <c r="B28" s="43">
        <f>YEAR(Table13[[#This Row],[Date]])+IF(MONTH(Table13[[#This Row],[Date]])&gt;=4,1,0)</f>
        <v>2026</v>
      </c>
      <c r="C28" s="10">
        <f>YEAR(Table13[[#This Row],[Date]])</f>
        <v>2025</v>
      </c>
      <c r="D28" s="309">
        <f>Table13[[#This Row],[Date]]-DAY(Table13[[#This Row],[Date]])+1</f>
        <v>45748</v>
      </c>
      <c r="E28" s="10">
        <f t="shared" si="5"/>
        <v>30</v>
      </c>
      <c r="F28" s="241">
        <f>IFERROR(_xlfn.XLOOKUP($A28,Input_Raw!$E:$E,Input_Raw!DC:DC),"")</f>
        <v>11.766666666666666</v>
      </c>
      <c r="G28" s="313"/>
      <c r="H28" s="313"/>
      <c r="I28" s="313"/>
      <c r="J28" s="313"/>
      <c r="K28" s="243"/>
      <c r="L28" s="242"/>
      <c r="M28" s="242">
        <f>IFERROR(_xlfn.XLOOKUP($A28,Input_Raw!$E:$E,Input_Raw!$BM:$BM),"")</f>
        <v>4.3585754938728858</v>
      </c>
      <c r="N28" s="242">
        <f>IFERROR(_xlfn.XLOOKUP($A28,Input_Raw!$E:$E,Input_Raw!$BN:$BN),"")</f>
        <v>5.1146944444444449</v>
      </c>
      <c r="O28" s="311">
        <f t="shared" si="6"/>
        <v>0.96606670534379757</v>
      </c>
      <c r="P28" s="311">
        <f>IFERROR(1-SUMIF(WTG_BD!$F:$F,$A28,WTG_BD!$AA:$AA)/($AA28+SUMIF(WTG_BD!$F:$F,$A28,WTG_BD!$AA:$AA)),"")</f>
        <v>0.99999704909982601</v>
      </c>
      <c r="Q28" s="328">
        <f>IFERROR(1-SUMIF(IGA_BD!$F:$F,$A28,IGA_BD!$W:$W)/($AA28+SUMIF(IGA_BD!$F:$F,$A28,IGA_BD!$W:$W)),"")</f>
        <v>0.96606955611861878</v>
      </c>
      <c r="R28" s="47">
        <f>IFERROR(1-SUMIF(Grid_BD!$F:$F,$A28,Grid_BD!$Y:$Y)/($AA28+SUMIF(Grid_BD!$F:$F,$A28,Grid_BD!$Y:$Y)),"")</f>
        <v>1</v>
      </c>
      <c r="S28" s="10"/>
      <c r="T28" s="310"/>
      <c r="U28" s="311"/>
      <c r="V28" s="10"/>
      <c r="W28" s="312">
        <f t="shared" si="7"/>
        <v>0.12073287220026355</v>
      </c>
      <c r="X28" s="10">
        <f>IFERROR(_xlfn.XLOOKUP($A28,Input_Raw!$E:$E,Input_Raw!BG:BG),"")</f>
        <v>146618</v>
      </c>
      <c r="Y28" s="10">
        <f>IFERROR(_xlfn.XLOOKUP($A28,Input_Raw!$E:$E,Input_Raw!DF:DF),"")</f>
        <v>142230.00000001321</v>
      </c>
      <c r="Z28" s="319">
        <f>IFERROR(_xlfn.XLOOKUP(A28,Input_Raw!E:E,Input_Raw!CT:CT)/_xlfn.XLOOKUP(A28,Input_Raw!E:E,Input_Raw!CS:CS)*Table13[[#This Row],[Mtr_Export (kWh)]],"")</f>
        <v>239.84822934235396</v>
      </c>
      <c r="AA28" s="43">
        <f t="shared" si="8"/>
        <v>141990.15177067087</v>
      </c>
      <c r="AB28" s="10">
        <f>IFERROR(_xlfn.XLOOKUP($A28,Input_Raw!$E:$E,Input_Raw!$CZ:$CZ),"")</f>
        <v>50.6</v>
      </c>
      <c r="AC28" s="313">
        <f>IFERROR(_xlfn.XLOOKUP($D28,'Modelling New'!$D:$D,'Modelling New'!$J:$J),"")</f>
        <v>5.6310997427836513</v>
      </c>
      <c r="AD28" s="43">
        <f>IFERROR(_xlfn.XLOOKUP($D28,'Modelling New'!$D:$D,'Modelling New'!$T:$T)*1000,"")</f>
        <v>273284.33333333331</v>
      </c>
      <c r="AE28" s="312"/>
      <c r="AF28" s="312">
        <f>IFERROR(_xlfn.XLOOKUP($D28,'Modelling New'!$D:$D,'Modelling New'!$W:$W),"")</f>
        <v>0.22503650636802819</v>
      </c>
      <c r="AG28" s="312">
        <f>IFERROR(_xlfn.XLOOKUP($D28,'Modelling New'!$D:$D,'Modelling New'!$AE:$AE),"")</f>
        <v>0.95549849999999992</v>
      </c>
      <c r="AH28" s="312">
        <f>IFERROR(_xlfn.XLOOKUP($D28,'Modelling New'!$D:$D,'Modelling New'!$AF:$AF),"")</f>
        <v>0.995</v>
      </c>
      <c r="AI28" s="10">
        <f>IFERROR(_xlfn.XLOOKUP($A28,Input_Raw!$E:$E,Input_Raw!$DG:$DG),"")</f>
        <v>148.16</v>
      </c>
      <c r="AJ28" s="10"/>
      <c r="AK28" s="10"/>
      <c r="AL28" s="10"/>
      <c r="AM28" s="10"/>
      <c r="AN28" s="314">
        <f>IFERROR(_xlfn.XLOOKUP($A28,Input_Raw!$E:$E,Input_Raw!$CY:$CY),"")</f>
        <v>9.9407783418199447E-3</v>
      </c>
      <c r="AO28" s="312">
        <f>IFERROR((_xlfn.XLOOKUP($A28,'WTG Reactive Power'!$A:$A,'WTG Reactive Power'!AB:AB))/X28,"")</f>
        <v>0.25656126805712803</v>
      </c>
      <c r="AP28" s="312">
        <f>IFERROR(_xlfn.XLOOKUP($D28,'Modelling New'!$D:$D,'Modelling New'!AK:AK),"")</f>
        <v>0.05</v>
      </c>
      <c r="AQ28" s="312">
        <f>IFERROR(_xlfn.XLOOKUP($D28,'Modelling New'!$D:$D,'Modelling New'!AL:AL),"")</f>
        <v>0.05</v>
      </c>
      <c r="AR28" s="325">
        <f>IFERROR(_xlfn.XLOOKUP($D28,'Modelling New'!$D:$D,'Modelling New'!$N:$N),"")</f>
        <v>50.59999999999998</v>
      </c>
      <c r="AS28" s="325"/>
    </row>
    <row r="29" spans="1:45">
      <c r="A29" s="32">
        <f t="shared" si="9"/>
        <v>45772</v>
      </c>
      <c r="B29" s="43">
        <f>YEAR(Table13[[#This Row],[Date]])+IF(MONTH(Table13[[#This Row],[Date]])&gt;=4,1,0)</f>
        <v>2026</v>
      </c>
      <c r="C29" s="10">
        <f>YEAR(Table13[[#This Row],[Date]])</f>
        <v>2025</v>
      </c>
      <c r="D29" s="309">
        <f>Table13[[#This Row],[Date]]-DAY(Table13[[#This Row],[Date]])+1</f>
        <v>45748</v>
      </c>
      <c r="E29" s="10">
        <f t="shared" si="5"/>
        <v>30</v>
      </c>
      <c r="F29" s="241">
        <f>IFERROR(_xlfn.XLOOKUP($A29,Input_Raw!$E:$E,Input_Raw!DC:DC),"")</f>
        <v>11.733333333333333</v>
      </c>
      <c r="G29" s="242"/>
      <c r="H29" s="242"/>
      <c r="I29" s="242"/>
      <c r="J29" s="242"/>
      <c r="K29" s="243"/>
      <c r="L29" s="242"/>
      <c r="M29" s="242">
        <f>IFERROR(_xlfn.XLOOKUP($A29,Input_Raw!$E:$E,Input_Raw!$BM:$BM),"")</f>
        <v>4.8209111997967611</v>
      </c>
      <c r="N29" s="242">
        <f>IFERROR(_xlfn.XLOOKUP($A29,Input_Raw!$E:$E,Input_Raw!$BN:$BN),"")</f>
        <v>5.6159633027522933</v>
      </c>
      <c r="O29" s="311">
        <f t="shared" si="6"/>
        <v>0.93071476653514851</v>
      </c>
      <c r="P29" s="311">
        <f>IFERROR(1-SUMIF(WTG_BD!$F:$F,$A29,WTG_BD!$AA:$AA)/($AA29+SUMIF(WTG_BD!$F:$F,$A29,WTG_BD!$AA:$AA)),"")</f>
        <v>1</v>
      </c>
      <c r="Q29" s="328">
        <f>IFERROR(1-SUMIF(IGA_BD!$F:$F,$A29,IGA_BD!$W:$W)/($AA29+SUMIF(IGA_BD!$F:$F,$A29,IGA_BD!$W:$W)),"")</f>
        <v>0.93071476653514851</v>
      </c>
      <c r="R29" s="311">
        <f>IFERROR(1-SUMIF(Grid_BD!$F:$F,$A29,Grid_BD!$Y:$Y)/($AA29+SUMIF(Grid_BD!$F:$F,$A29,Grid_BD!$Y:$Y)),"")</f>
        <v>1</v>
      </c>
      <c r="S29" s="10"/>
      <c r="T29" s="310"/>
      <c r="U29" s="311"/>
      <c r="V29" s="10"/>
      <c r="W29" s="312">
        <f t="shared" si="7"/>
        <v>0.16160161396574446</v>
      </c>
      <c r="X29" s="10">
        <f>IFERROR(_xlfn.XLOOKUP($A29,Input_Raw!$E:$E,Input_Raw!BG:BG),"")</f>
        <v>196249</v>
      </c>
      <c r="Y29" s="10">
        <f>IFERROR(_xlfn.XLOOKUP($A29,Input_Raw!$E:$E,Input_Raw!DF:DF),"")</f>
        <v>189419.99999999936</v>
      </c>
      <c r="Z29" s="319">
        <f>IFERROR(_xlfn.XLOOKUP(A29,Input_Raw!E:E,Input_Raw!CT:CT)/_xlfn.XLOOKUP(A29,Input_Raw!E:E,Input_Raw!CS:CS)*Table13[[#This Row],[Mtr_Export (kWh)]],"")</f>
        <v>0</v>
      </c>
      <c r="AA29" s="43">
        <f t="shared" si="8"/>
        <v>189419.99999999936</v>
      </c>
      <c r="AB29" s="10">
        <f>IFERROR(_xlfn.XLOOKUP($A29,Input_Raw!$E:$E,Input_Raw!$CZ:$CZ),"")</f>
        <v>50.6</v>
      </c>
      <c r="AC29" s="313">
        <f>IFERROR(_xlfn.XLOOKUP($D29,'Modelling New'!$D:$D,'Modelling New'!$J:$J),"")</f>
        <v>5.6310997427836513</v>
      </c>
      <c r="AD29" s="43">
        <f>IFERROR(_xlfn.XLOOKUP($D29,'Modelling New'!$D:$D,'Modelling New'!$T:$T)*1000,"")</f>
        <v>273284.33333333331</v>
      </c>
      <c r="AE29" s="312"/>
      <c r="AF29" s="312">
        <f>IFERROR(_xlfn.XLOOKUP($D29,'Modelling New'!$D:$D,'Modelling New'!$W:$W),"")</f>
        <v>0.22503650636802819</v>
      </c>
      <c r="AG29" s="312">
        <f>IFERROR(_xlfn.XLOOKUP($D29,'Modelling New'!$D:$D,'Modelling New'!$AE:$AE),"")</f>
        <v>0.95549849999999992</v>
      </c>
      <c r="AH29" s="312">
        <f>IFERROR(_xlfn.XLOOKUP($D29,'Modelling New'!$D:$D,'Modelling New'!$AF:$AF),"")</f>
        <v>0.995</v>
      </c>
      <c r="AI29" s="10">
        <f>IFERROR(_xlfn.XLOOKUP($A29,Input_Raw!$E:$E,Input_Raw!$DG:$DG),"")</f>
        <v>197.44</v>
      </c>
      <c r="AJ29" s="10"/>
      <c r="AK29" s="10"/>
      <c r="AL29" s="10"/>
      <c r="AM29" s="10"/>
      <c r="AN29" s="314">
        <f>IFERROR(_xlfn.XLOOKUP($A29,Input_Raw!$E:$E,Input_Raw!$CY:$CY),"")</f>
        <v>9.5338983051276305E-3</v>
      </c>
      <c r="AO29" s="312">
        <f>IFERROR((_xlfn.XLOOKUP($A29,'WTG Reactive Power'!$A:$A,'WTG Reactive Power'!AB:AB))/X29,"")</f>
        <v>0.30273784834572404</v>
      </c>
      <c r="AP29" s="312">
        <f>IFERROR(_xlfn.XLOOKUP($D29,'Modelling New'!$D:$D,'Modelling New'!AK:AK),"")</f>
        <v>0.05</v>
      </c>
      <c r="AQ29" s="312">
        <f>IFERROR(_xlfn.XLOOKUP($D29,'Modelling New'!$D:$D,'Modelling New'!AL:AL),"")</f>
        <v>0.05</v>
      </c>
      <c r="AR29" s="325">
        <f>IFERROR(_xlfn.XLOOKUP($D29,'Modelling New'!$D:$D,'Modelling New'!$N:$N),"")</f>
        <v>50.59999999999998</v>
      </c>
      <c r="AS29" s="325"/>
    </row>
    <row r="30" spans="1:45">
      <c r="A30" s="32">
        <f t="shared" si="9"/>
        <v>45773</v>
      </c>
      <c r="B30" s="43">
        <f>YEAR(Table13[[#This Row],[Date]])+IF(MONTH(Table13[[#This Row],[Date]])&gt;=4,1,0)</f>
        <v>2026</v>
      </c>
      <c r="C30" s="10">
        <f>YEAR(Table13[[#This Row],[Date]])</f>
        <v>2025</v>
      </c>
      <c r="D30" s="309">
        <f>Table13[[#This Row],[Date]]-DAY(Table13[[#This Row],[Date]])+1</f>
        <v>45748</v>
      </c>
      <c r="E30" s="10">
        <f t="shared" si="5"/>
        <v>30</v>
      </c>
      <c r="F30" s="241">
        <f>IFERROR(_xlfn.XLOOKUP($A30,Input_Raw!$E:$E,Input_Raw!DC:DC),"")</f>
        <v>11.799999999999999</v>
      </c>
      <c r="G30" s="313"/>
      <c r="H30" s="313"/>
      <c r="I30" s="313"/>
      <c r="J30" s="313"/>
      <c r="K30" s="243"/>
      <c r="L30" s="242"/>
      <c r="M30" s="242">
        <f>IFERROR(_xlfn.XLOOKUP($A30,Input_Raw!$E:$E,Input_Raw!$BM:$BM),"")</f>
        <v>3.9118779464112738</v>
      </c>
      <c r="N30" s="242">
        <f>IFERROR(_xlfn.XLOOKUP($A30,Input_Raw!$E:$E,Input_Raw!$BN:$BN),"")</f>
        <v>4.9561237113402061</v>
      </c>
      <c r="O30" s="311">
        <f t="shared" si="6"/>
        <v>0.78170033746221879</v>
      </c>
      <c r="P30" s="311">
        <f>IFERROR(1-SUMIF(WTG_BD!$F:$F,$A30,WTG_BD!$AA:$AA)/($AA30+SUMIF(WTG_BD!$F:$F,$A30,WTG_BD!$AA:$AA)),"")</f>
        <v>0.99999600703680536</v>
      </c>
      <c r="Q30" s="328">
        <f>IFERROR(1-SUMIF(IGA_BD!$F:$F,$A30,IGA_BD!$W:$W)/($AA30+SUMIF(IGA_BD!$F:$F,$A30,IGA_BD!$W:$W)),"")</f>
        <v>0.78170345877535885</v>
      </c>
      <c r="R30" s="47">
        <f>IFERROR(1-SUMIF(Grid_BD!$F:$F,$A30,Grid_BD!$Y:$Y)/($AA30+SUMIF(Grid_BD!$F:$F,$A30,Grid_BD!$Y:$Y)),"")</f>
        <v>1</v>
      </c>
      <c r="S30" s="10"/>
      <c r="T30" s="310"/>
      <c r="U30" s="311"/>
      <c r="V30" s="10"/>
      <c r="W30" s="312">
        <f t="shared" si="7"/>
        <v>7.0709815546772095E-2</v>
      </c>
      <c r="X30" s="10">
        <f>IFERROR(_xlfn.XLOOKUP($A30,Input_Raw!$E:$E,Input_Raw!BG:BG),"")</f>
        <v>85870</v>
      </c>
      <c r="Y30" s="10">
        <f>IFERROR(_xlfn.XLOOKUP($A30,Input_Raw!$E:$E,Input_Raw!DF:DF),"")</f>
        <v>83819.999999982858</v>
      </c>
      <c r="Z30" s="319">
        <f>IFERROR(_xlfn.XLOOKUP(A30,Input_Raw!E:E,Input_Raw!CT:CT)/_xlfn.XLOOKUP(A30,Input_Raw!E:E,Input_Raw!CS:CS)*Table13[[#This Row],[Mtr_Export (kWh)]],"")</f>
        <v>173.18181818178479</v>
      </c>
      <c r="AA30" s="43">
        <f t="shared" si="8"/>
        <v>83646.818181801078</v>
      </c>
      <c r="AB30" s="10">
        <f>IFERROR(_xlfn.XLOOKUP($A30,Input_Raw!$E:$E,Input_Raw!$CZ:$CZ),"")</f>
        <v>50.6</v>
      </c>
      <c r="AC30" s="313">
        <f>IFERROR(_xlfn.XLOOKUP($D30,'Modelling New'!$D:$D,'Modelling New'!$J:$J),"")</f>
        <v>5.6310997427836513</v>
      </c>
      <c r="AD30" s="43">
        <f>IFERROR(_xlfn.XLOOKUP($D30,'Modelling New'!$D:$D,'Modelling New'!$T:$T)*1000,"")</f>
        <v>273284.33333333331</v>
      </c>
      <c r="AE30" s="312"/>
      <c r="AF30" s="312">
        <f>IFERROR(_xlfn.XLOOKUP($D30,'Modelling New'!$D:$D,'Modelling New'!$W:$W),"")</f>
        <v>0.22503650636802819</v>
      </c>
      <c r="AG30" s="312">
        <f>IFERROR(_xlfn.XLOOKUP($D30,'Modelling New'!$D:$D,'Modelling New'!$AE:$AE),"")</f>
        <v>0.95549849999999992</v>
      </c>
      <c r="AH30" s="312">
        <f>IFERROR(_xlfn.XLOOKUP($D30,'Modelling New'!$D:$D,'Modelling New'!$AF:$AF),"")</f>
        <v>0.995</v>
      </c>
      <c r="AI30" s="10">
        <f>IFERROR(_xlfn.XLOOKUP($A30,Input_Raw!$E:$E,Input_Raw!$DG:$DG),"")</f>
        <v>82.27</v>
      </c>
      <c r="AJ30" s="10"/>
      <c r="AK30" s="10"/>
      <c r="AL30" s="10"/>
      <c r="AM30" s="10"/>
      <c r="AN30" s="314">
        <f>IFERROR(_xlfn.XLOOKUP($A30,Input_Raw!$E:$E,Input_Raw!$CY:$CY),"")</f>
        <v>9.3167701862575392E-3</v>
      </c>
      <c r="AO30" s="312">
        <f>IFERROR((_xlfn.XLOOKUP($A30,'WTG Reactive Power'!$A:$A,'WTG Reactive Power'!AB:AB))/X30,"")</f>
        <v>0.97473855828578082</v>
      </c>
      <c r="AP30" s="312">
        <f>IFERROR(_xlfn.XLOOKUP($D30,'Modelling New'!$D:$D,'Modelling New'!AK:AK),"")</f>
        <v>0.05</v>
      </c>
      <c r="AQ30" s="312">
        <f>IFERROR(_xlfn.XLOOKUP($D30,'Modelling New'!$D:$D,'Modelling New'!AL:AL),"")</f>
        <v>0.05</v>
      </c>
      <c r="AR30" s="325">
        <f>IFERROR(_xlfn.XLOOKUP($D30,'Modelling New'!$D:$D,'Modelling New'!$N:$N),"")</f>
        <v>50.59999999999998</v>
      </c>
      <c r="AS30" s="325"/>
    </row>
    <row r="31" spans="1:45">
      <c r="A31" s="32">
        <f t="shared" si="9"/>
        <v>45774</v>
      </c>
      <c r="B31" s="43">
        <f>YEAR(Table13[[#This Row],[Date]])+IF(MONTH(Table13[[#This Row],[Date]])&gt;=4,1,0)</f>
        <v>2026</v>
      </c>
      <c r="C31" s="10">
        <f>YEAR(Table13[[#This Row],[Date]])</f>
        <v>2025</v>
      </c>
      <c r="D31" s="309">
        <f>Table13[[#This Row],[Date]]-DAY(Table13[[#This Row],[Date]])+1</f>
        <v>45748</v>
      </c>
      <c r="E31" s="10">
        <f t="shared" si="5"/>
        <v>30</v>
      </c>
      <c r="F31" s="241">
        <f>IFERROR(_xlfn.XLOOKUP($A31,Input_Raw!$E:$E,Input_Raw!DC:DC),"")</f>
        <v>11.433333333333334</v>
      </c>
      <c r="G31" s="242"/>
      <c r="H31" s="242"/>
      <c r="I31" s="242"/>
      <c r="J31" s="242"/>
      <c r="K31" s="243"/>
      <c r="L31" s="242"/>
      <c r="M31" s="242">
        <f>IFERROR(_xlfn.XLOOKUP($A31,Input_Raw!$E:$E,Input_Raw!$BM:$BM),"")</f>
        <v>4.3601803142663575</v>
      </c>
      <c r="N31" s="242">
        <f>IFERROR(_xlfn.XLOOKUP($A31,Input_Raw!$E:$E,Input_Raw!$BN:$BN),"")</f>
        <v>5.1666788990825721</v>
      </c>
      <c r="O31" s="311">
        <f t="shared" si="6"/>
        <v>0.85790661452858119</v>
      </c>
      <c r="P31" s="311">
        <f>IFERROR(1-SUMIF(WTG_BD!$F:$F,$A31,WTG_BD!$AA:$AA)/($AA31+SUMIF(WTG_BD!$F:$F,$A31,WTG_BD!$AA:$AA)),"")</f>
        <v>0.99998824495569583</v>
      </c>
      <c r="Q31" s="328">
        <f>IFERROR(1-SUMIF(IGA_BD!$F:$F,$A31,IGA_BD!$W:$W)/($AA31+SUMIF(IGA_BD!$F:$F,$A31,IGA_BD!$W:$W)),"")</f>
        <v>0.85791669937739168</v>
      </c>
      <c r="R31" s="311">
        <f>IFERROR(1-SUMIF(Grid_BD!$F:$F,$A31,Grid_BD!$Y:$Y)/($AA31+SUMIF(Grid_BD!$F:$F,$A31,Grid_BD!$Y:$Y)),"")</f>
        <v>0.98720006670975036</v>
      </c>
      <c r="S31" s="10"/>
      <c r="T31" s="310"/>
      <c r="U31" s="311"/>
      <c r="V31" s="10"/>
      <c r="W31" s="312">
        <f t="shared" si="7"/>
        <v>0.12102849143610017</v>
      </c>
      <c r="X31" s="10">
        <f>IFERROR(_xlfn.XLOOKUP($A31,Input_Raw!$E:$E,Input_Raw!BG:BG),"")</f>
        <v>146977</v>
      </c>
      <c r="Y31" s="10">
        <f>IFERROR(_xlfn.XLOOKUP($A31,Input_Raw!$E:$E,Input_Raw!DF:DF),"")</f>
        <v>142065.00000000303</v>
      </c>
      <c r="Z31" s="319">
        <f>IFERROR(_xlfn.XLOOKUP(A31,Input_Raw!E:E,Input_Raw!CT:CT)/_xlfn.XLOOKUP(A31,Input_Raw!E:E,Input_Raw!CS:CS)*Table13[[#This Row],[Mtr_Export (kWh)]],"")</f>
        <v>0</v>
      </c>
      <c r="AA31" s="43">
        <f t="shared" si="8"/>
        <v>142065.00000000303</v>
      </c>
      <c r="AB31" s="10">
        <f>IFERROR(_xlfn.XLOOKUP($A31,Input_Raw!$E:$E,Input_Raw!$CZ:$CZ),"")</f>
        <v>50.6</v>
      </c>
      <c r="AC31" s="313">
        <f>IFERROR(_xlfn.XLOOKUP($D31,'Modelling New'!$D:$D,'Modelling New'!$J:$J),"")</f>
        <v>5.6310997427836513</v>
      </c>
      <c r="AD31" s="43">
        <f>IFERROR(_xlfn.XLOOKUP($D31,'Modelling New'!$D:$D,'Modelling New'!$T:$T)*1000,"")</f>
        <v>273284.33333333331</v>
      </c>
      <c r="AE31" s="312"/>
      <c r="AF31" s="312">
        <f>IFERROR(_xlfn.XLOOKUP($D31,'Modelling New'!$D:$D,'Modelling New'!$W:$W),"")</f>
        <v>0.22503650636802819</v>
      </c>
      <c r="AG31" s="312">
        <f>IFERROR(_xlfn.XLOOKUP($D31,'Modelling New'!$D:$D,'Modelling New'!$AE:$AE),"")</f>
        <v>0.95549849999999992</v>
      </c>
      <c r="AH31" s="312">
        <f>IFERROR(_xlfn.XLOOKUP($D31,'Modelling New'!$D:$D,'Modelling New'!$AF:$AF),"")</f>
        <v>0.995</v>
      </c>
      <c r="AI31" s="10">
        <f>IFERROR(_xlfn.XLOOKUP($A31,Input_Raw!$E:$E,Input_Raw!$DG:$DG),"")</f>
        <v>148.97</v>
      </c>
      <c r="AJ31" s="10"/>
      <c r="AK31" s="10"/>
      <c r="AL31" s="10"/>
      <c r="AM31" s="10"/>
      <c r="AN31" s="314">
        <f>IFERROR(_xlfn.XLOOKUP($A31,Input_Raw!$E:$E,Input_Raw!$CY:$CY),"")</f>
        <v>1.0914760914772392E-2</v>
      </c>
      <c r="AO31" s="312">
        <f>IFERROR((_xlfn.XLOOKUP($A31,'WTG Reactive Power'!$A:$A,'WTG Reactive Power'!AB:AB))/X31,"")</f>
        <v>0.81183858698980105</v>
      </c>
      <c r="AP31" s="312">
        <f>IFERROR(_xlfn.XLOOKUP($D31,'Modelling New'!$D:$D,'Modelling New'!AK:AK),"")</f>
        <v>0.05</v>
      </c>
      <c r="AQ31" s="312">
        <f>IFERROR(_xlfn.XLOOKUP($D31,'Modelling New'!$D:$D,'Modelling New'!AL:AL),"")</f>
        <v>0.05</v>
      </c>
      <c r="AR31" s="325">
        <f>IFERROR(_xlfn.XLOOKUP($D31,'Modelling New'!$D:$D,'Modelling New'!$N:$N),"")</f>
        <v>50.59999999999998</v>
      </c>
      <c r="AS31" s="325"/>
    </row>
    <row r="32" spans="1:45">
      <c r="A32" s="32">
        <f t="shared" si="9"/>
        <v>45775</v>
      </c>
      <c r="B32" s="43">
        <f>YEAR(Table13[[#This Row],[Date]])+IF(MONTH(Table13[[#This Row],[Date]])&gt;=4,1,0)</f>
        <v>2026</v>
      </c>
      <c r="C32" s="10">
        <f>YEAR(Table13[[#This Row],[Date]])</f>
        <v>2025</v>
      </c>
      <c r="D32" s="309">
        <f>Table13[[#This Row],[Date]]-DAY(Table13[[#This Row],[Date]])+1</f>
        <v>45748</v>
      </c>
      <c r="E32" s="10">
        <f t="shared" si="5"/>
        <v>30</v>
      </c>
      <c r="F32" s="241">
        <f>IFERROR(_xlfn.XLOOKUP($A32,Input_Raw!$E:$E,Input_Raw!DC:DC),"")</f>
        <v>11.95</v>
      </c>
      <c r="G32" s="313"/>
      <c r="H32" s="313"/>
      <c r="I32" s="313"/>
      <c r="J32" s="313"/>
      <c r="K32" s="243"/>
      <c r="L32" s="242"/>
      <c r="M32" s="242">
        <f>IFERROR(_xlfn.XLOOKUP($A32,Input_Raw!$E:$E,Input_Raw!$BM:$BM),"")</f>
        <v>3.2192477341149663</v>
      </c>
      <c r="N32" s="242">
        <f>IFERROR(_xlfn.XLOOKUP($A32,Input_Raw!$E:$E,Input_Raw!$BN:$BN),"")</f>
        <v>3.5229811320754716</v>
      </c>
      <c r="O32" s="311">
        <f t="shared" si="6"/>
        <v>0.93245278197842529</v>
      </c>
      <c r="P32" s="311">
        <f>IFERROR(1-SUMIF(WTG_BD!$F:$F,$A32,WTG_BD!$AA:$AA)/($AA32+SUMIF(WTG_BD!$F:$F,$A32,WTG_BD!$AA:$AA)),"")</f>
        <v>0.99999276364045941</v>
      </c>
      <c r="Q32" s="328">
        <f>IFERROR(1-SUMIF(IGA_BD!$F:$F,$A32,IGA_BD!$W:$W)/($AA32+SUMIF(IGA_BD!$F:$F,$A32,IGA_BD!$W:$W)),"")</f>
        <v>0.93245952959083844</v>
      </c>
      <c r="R32" s="47">
        <f>IFERROR(1-SUMIF(Grid_BD!$F:$F,$A32,Grid_BD!$Y:$Y)/($AA32+SUMIF(Grid_BD!$F:$F,$A32,Grid_BD!$Y:$Y)),"")</f>
        <v>1</v>
      </c>
      <c r="S32" s="10"/>
      <c r="T32" s="310"/>
      <c r="U32" s="311"/>
      <c r="V32" s="10"/>
      <c r="W32" s="312">
        <f t="shared" si="7"/>
        <v>3.6093544137022412E-2</v>
      </c>
      <c r="X32" s="10">
        <f>IFERROR(_xlfn.XLOOKUP($A32,Input_Raw!$E:$E,Input_Raw!BG:BG),"")</f>
        <v>43832</v>
      </c>
      <c r="Y32" s="10">
        <f>IFERROR(_xlfn.XLOOKUP($A32,Input_Raw!$E:$E,Input_Raw!DF:DF),"")</f>
        <v>43890.000000007916</v>
      </c>
      <c r="Z32" s="319">
        <f>IFERROR(_xlfn.XLOOKUP(A32,Input_Raw!E:E,Input_Raw!CT:CT)/_xlfn.XLOOKUP(A32,Input_Raw!E:E,Input_Raw!CS:CS)*Table13[[#This Row],[Mtr_Export (kWh)]],"")</f>
        <v>83.759541984747855</v>
      </c>
      <c r="AA32" s="43">
        <f t="shared" si="8"/>
        <v>43806.240458023167</v>
      </c>
      <c r="AB32" s="10">
        <f>IFERROR(_xlfn.XLOOKUP($A32,Input_Raw!$E:$E,Input_Raw!$CZ:$CZ),"")</f>
        <v>50.6</v>
      </c>
      <c r="AC32" s="313">
        <f>IFERROR(_xlfn.XLOOKUP($D32,'Modelling New'!$D:$D,'Modelling New'!$J:$J),"")</f>
        <v>5.6310997427836513</v>
      </c>
      <c r="AD32" s="43">
        <f>IFERROR(_xlfn.XLOOKUP($D32,'Modelling New'!$D:$D,'Modelling New'!$T:$T)*1000,"")</f>
        <v>273284.33333333331</v>
      </c>
      <c r="AE32" s="312"/>
      <c r="AF32" s="312">
        <f>IFERROR(_xlfn.XLOOKUP($D32,'Modelling New'!$D:$D,'Modelling New'!$W:$W),"")</f>
        <v>0.22503650636802819</v>
      </c>
      <c r="AG32" s="312">
        <f>IFERROR(_xlfn.XLOOKUP($D32,'Modelling New'!$D:$D,'Modelling New'!$AE:$AE),"")</f>
        <v>0.95549849999999992</v>
      </c>
      <c r="AH32" s="312">
        <f>IFERROR(_xlfn.XLOOKUP($D32,'Modelling New'!$D:$D,'Modelling New'!$AF:$AF),"")</f>
        <v>0.995</v>
      </c>
      <c r="AI32" s="10">
        <f>IFERROR(_xlfn.XLOOKUP($A32,Input_Raw!$E:$E,Input_Raw!$DG:$DG),"")</f>
        <v>45.94</v>
      </c>
      <c r="AJ32" s="10"/>
      <c r="AK32" s="10"/>
      <c r="AL32" s="10"/>
      <c r="AM32" s="10"/>
      <c r="AN32" s="314">
        <f>IFERROR(_xlfn.XLOOKUP($A32,Input_Raw!$E:$E,Input_Raw!$CY:$CY),"")</f>
        <v>6.6793893130208115E-3</v>
      </c>
      <c r="AO32" s="312">
        <f>IFERROR((_xlfn.XLOOKUP($A32,'WTG Reactive Power'!$A:$A,'WTG Reactive Power'!AB:AB))/X32,"")</f>
        <v>1.9138255156050372</v>
      </c>
      <c r="AP32" s="312">
        <f>IFERROR(_xlfn.XLOOKUP($D32,'Modelling New'!$D:$D,'Modelling New'!AK:AK),"")</f>
        <v>0.05</v>
      </c>
      <c r="AQ32" s="312">
        <f>IFERROR(_xlfn.XLOOKUP($D32,'Modelling New'!$D:$D,'Modelling New'!AL:AL),"")</f>
        <v>0.05</v>
      </c>
      <c r="AR32" s="325">
        <f>IFERROR(_xlfn.XLOOKUP($D32,'Modelling New'!$D:$D,'Modelling New'!$N:$N),"")</f>
        <v>50.59999999999998</v>
      </c>
      <c r="AS32" s="325"/>
    </row>
    <row r="33" spans="1:45">
      <c r="A33" s="32">
        <f t="shared" si="9"/>
        <v>45776</v>
      </c>
      <c r="B33" s="43">
        <f>YEAR(Table13[[#This Row],[Date]])+IF(MONTH(Table13[[#This Row],[Date]])&gt;=4,1,0)</f>
        <v>2026</v>
      </c>
      <c r="C33" s="10">
        <f>YEAR(Table13[[#This Row],[Date]])</f>
        <v>2025</v>
      </c>
      <c r="D33" s="309">
        <f>Table13[[#This Row],[Date]]-DAY(Table13[[#This Row],[Date]])+1</f>
        <v>45748</v>
      </c>
      <c r="E33" s="10">
        <f t="shared" si="5"/>
        <v>30</v>
      </c>
      <c r="F33" s="241">
        <f>IFERROR(_xlfn.XLOOKUP($A33,Input_Raw!$E:$E,Input_Raw!DC:DC),"")</f>
        <v>11.833333333333334</v>
      </c>
      <c r="G33" s="242"/>
      <c r="H33" s="242"/>
      <c r="I33" s="242"/>
      <c r="J33" s="242"/>
      <c r="K33" s="243"/>
      <c r="L33" s="242"/>
      <c r="M33" s="242">
        <f>IFERROR(_xlfn.XLOOKUP($A33,Input_Raw!$E:$E,Input_Raw!$BM:$BM),"")</f>
        <v>4.4261047260999655</v>
      </c>
      <c r="N33" s="242">
        <f>IFERROR(_xlfn.XLOOKUP($A33,Input_Raw!$E:$E,Input_Raw!$BN:$BN),"")</f>
        <v>5.0232968749999989</v>
      </c>
      <c r="O33" s="311">
        <f t="shared" si="6"/>
        <v>0.95830906878572586</v>
      </c>
      <c r="P33" s="311">
        <f>IFERROR(1-SUMIF(WTG_BD!$F:$F,$A33,WTG_BD!$AA:$AA)/($AA33+SUMIF(WTG_BD!$F:$F,$A33,WTG_BD!$AA:$AA)),"")</f>
        <v>0.9999913326752059</v>
      </c>
      <c r="Q33" s="328">
        <f>IFERROR(1-SUMIF(IGA_BD!$F:$F,$A33,IGA_BD!$W:$W)/($AA33+SUMIF(IGA_BD!$F:$F,$A33,IGA_BD!$W:$W)),"")</f>
        <v>0.95831737483366941</v>
      </c>
      <c r="R33" s="311">
        <f>IFERROR(1-SUMIF(Grid_BD!$F:$F,$A33,Grid_BD!$Y:$Y)/($AA33+SUMIF(Grid_BD!$F:$F,$A33,Grid_BD!$Y:$Y)),"")</f>
        <v>1</v>
      </c>
      <c r="S33" s="10"/>
      <c r="T33" s="310"/>
      <c r="U33" s="311"/>
      <c r="V33" s="10"/>
      <c r="W33" s="312">
        <f t="shared" si="7"/>
        <v>0.11724720026350466</v>
      </c>
      <c r="X33" s="10">
        <f>IFERROR(_xlfn.XLOOKUP($A33,Input_Raw!$E:$E,Input_Raw!BG:BG),"")</f>
        <v>142385</v>
      </c>
      <c r="Y33" s="10">
        <f>IFERROR(_xlfn.XLOOKUP($A33,Input_Raw!$E:$E,Input_Raw!DF:DF),"")</f>
        <v>138929.99999999744</v>
      </c>
      <c r="Z33" s="319">
        <f>IFERROR(_xlfn.XLOOKUP(A33,Input_Raw!E:E,Input_Raw!CT:CT)/_xlfn.XLOOKUP(A33,Input_Raw!E:E,Input_Raw!CS:CS)*Table13[[#This Row],[Mtr_Export (kWh)]],"")</f>
        <v>249.42549371633214</v>
      </c>
      <c r="AA33" s="43">
        <f t="shared" si="8"/>
        <v>138680.57450628112</v>
      </c>
      <c r="AB33" s="10">
        <f>IFERROR(_xlfn.XLOOKUP($A33,Input_Raw!$E:$E,Input_Raw!$CZ:$CZ),"")</f>
        <v>50.6</v>
      </c>
      <c r="AC33" s="313">
        <f>IFERROR(_xlfn.XLOOKUP($D33,'Modelling New'!$D:$D,'Modelling New'!$J:$J),"")</f>
        <v>5.6310997427836513</v>
      </c>
      <c r="AD33" s="43">
        <f>IFERROR(_xlfn.XLOOKUP($D33,'Modelling New'!$D:$D,'Modelling New'!$T:$T)*1000,"")</f>
        <v>273284.33333333331</v>
      </c>
      <c r="AE33" s="312"/>
      <c r="AF33" s="312">
        <f>IFERROR(_xlfn.XLOOKUP($D33,'Modelling New'!$D:$D,'Modelling New'!$W:$W),"")</f>
        <v>0.22503650636802819</v>
      </c>
      <c r="AG33" s="312">
        <f>IFERROR(_xlfn.XLOOKUP($D33,'Modelling New'!$D:$D,'Modelling New'!$AE:$AE),"")</f>
        <v>0.95549849999999992</v>
      </c>
      <c r="AH33" s="312">
        <f>IFERROR(_xlfn.XLOOKUP($D33,'Modelling New'!$D:$D,'Modelling New'!$AF:$AF),"")</f>
        <v>0.995</v>
      </c>
      <c r="AI33" s="10">
        <f>IFERROR(_xlfn.XLOOKUP($A33,Input_Raw!$E:$E,Input_Raw!$DG:$DG),"")</f>
        <v>147.47999999999999</v>
      </c>
      <c r="AJ33" s="10"/>
      <c r="AK33" s="10"/>
      <c r="AL33" s="10"/>
      <c r="AM33" s="10"/>
      <c r="AN33" s="314">
        <f>IFERROR(_xlfn.XLOOKUP($A33,Input_Raw!$E:$E,Input_Raw!$CY:$CY),"")</f>
        <v>1.083032490973479E-2</v>
      </c>
      <c r="AO33" s="312">
        <f>IFERROR((_xlfn.XLOOKUP($A33,'WTG Reactive Power'!$A:$A,'WTG Reactive Power'!AB:AB))/X33,"")</f>
        <v>0.39436387259893957</v>
      </c>
      <c r="AP33" s="312">
        <f>IFERROR(_xlfn.XLOOKUP($D33,'Modelling New'!$D:$D,'Modelling New'!AK:AK),"")</f>
        <v>0.05</v>
      </c>
      <c r="AQ33" s="312">
        <f>IFERROR(_xlfn.XLOOKUP($D33,'Modelling New'!$D:$D,'Modelling New'!AL:AL),"")</f>
        <v>0.05</v>
      </c>
      <c r="AR33" s="325">
        <f>IFERROR(_xlfn.XLOOKUP($D33,'Modelling New'!$D:$D,'Modelling New'!$N:$N),"")</f>
        <v>50.59999999999998</v>
      </c>
      <c r="AS33" s="325"/>
    </row>
    <row r="34" spans="1:45">
      <c r="A34" s="32">
        <f t="shared" si="9"/>
        <v>45777</v>
      </c>
      <c r="B34" s="43">
        <f>YEAR(Table13[[#This Row],[Date]])+IF(MONTH(Table13[[#This Row],[Date]])&gt;=4,1,0)</f>
        <v>2026</v>
      </c>
      <c r="C34" s="10">
        <f>YEAR(Table13[[#This Row],[Date]])</f>
        <v>2025</v>
      </c>
      <c r="D34" s="309">
        <f>Table13[[#This Row],[Date]]-DAY(Table13[[#This Row],[Date]])+1</f>
        <v>45748</v>
      </c>
      <c r="E34" s="10">
        <f t="shared" si="5"/>
        <v>30</v>
      </c>
      <c r="F34" s="241">
        <f>IFERROR(_xlfn.XLOOKUP($A34,Input_Raw!$E:$E,Input_Raw!DC:DC),"")</f>
        <v>12.066666666666666</v>
      </c>
      <c r="G34" s="313"/>
      <c r="H34" s="313"/>
      <c r="I34" s="313"/>
      <c r="J34" s="313"/>
      <c r="K34" s="243"/>
      <c r="L34" s="242"/>
      <c r="M34" s="242">
        <f>IFERROR(_xlfn.XLOOKUP($A34,Input_Raw!$E:$E,Input_Raw!$BM:$BM),"")</f>
        <v>5.9632173913043465</v>
      </c>
      <c r="N34" s="242">
        <f>IFERROR(_xlfn.XLOOKUP($A34,Input_Raw!$E:$E,Input_Raw!$BN:$BN),"")</f>
        <v>6.5990000000000002</v>
      </c>
      <c r="O34" s="311">
        <f t="shared" si="6"/>
        <v>0.99999336009331796</v>
      </c>
      <c r="P34" s="311">
        <f>IFERROR(1-SUMIF(WTG_BD!$F:$F,$A34,WTG_BD!$AA:$AA)/($AA34+SUMIF(WTG_BD!$F:$F,$A34,WTG_BD!$AA:$AA)),"")</f>
        <v>0.99999336009331796</v>
      </c>
      <c r="Q34" s="328">
        <f>IFERROR(1-SUMIF(IGA_BD!$F:$F,$A34,IGA_BD!$W:$W)/($AA34+SUMIF(IGA_BD!$F:$F,$A34,IGA_BD!$W:$W)),"")</f>
        <v>1</v>
      </c>
      <c r="R34" s="47">
        <f>IFERROR(1-SUMIF(Grid_BD!$F:$F,$A34,Grid_BD!$Y:$Y)/($AA34+SUMIF(Grid_BD!$F:$F,$A34,Grid_BD!$Y:$Y)),"")</f>
        <v>1</v>
      </c>
      <c r="S34" s="10"/>
      <c r="T34" s="310"/>
      <c r="U34" s="311"/>
      <c r="V34" s="10"/>
      <c r="W34" s="312">
        <f t="shared" si="7"/>
        <v>0.28291831357048758</v>
      </c>
      <c r="X34" s="10">
        <f>IFERROR(_xlfn.XLOOKUP($A34,Input_Raw!$E:$E,Input_Raw!BG:BG),"")</f>
        <v>343576</v>
      </c>
      <c r="Y34" s="10">
        <f>IFERROR(_xlfn.XLOOKUP($A34,Input_Raw!$E:$E,Input_Raw!DF:DF),"")</f>
        <v>333135.00000000559</v>
      </c>
      <c r="Z34" s="319">
        <f>IFERROR(_xlfn.XLOOKUP(A34,Input_Raw!E:E,Input_Raw!CT:CT)/_xlfn.XLOOKUP(A34,Input_Raw!E:E,Input_Raw!CS:CS)*Table13[[#This Row],[Mtr_Export (kWh)]],"")</f>
        <v>0</v>
      </c>
      <c r="AA34" s="43">
        <f t="shared" si="8"/>
        <v>333135.00000000559</v>
      </c>
      <c r="AB34" s="10">
        <f>IFERROR(_xlfn.XLOOKUP($A34,Input_Raw!$E:$E,Input_Raw!$CZ:$CZ),"")</f>
        <v>50.6</v>
      </c>
      <c r="AC34" s="313">
        <f>IFERROR(_xlfn.XLOOKUP($D34,'Modelling New'!$D:$D,'Modelling New'!$J:$J),"")</f>
        <v>5.6310997427836513</v>
      </c>
      <c r="AD34" s="43">
        <f>IFERROR(_xlfn.XLOOKUP($D34,'Modelling New'!$D:$D,'Modelling New'!$T:$T)*1000,"")</f>
        <v>273284.33333333331</v>
      </c>
      <c r="AE34" s="312"/>
      <c r="AF34" s="312">
        <f>IFERROR(_xlfn.XLOOKUP($D34,'Modelling New'!$D:$D,'Modelling New'!$W:$W),"")</f>
        <v>0.22503650636802819</v>
      </c>
      <c r="AG34" s="312">
        <f>IFERROR(_xlfn.XLOOKUP($D34,'Modelling New'!$D:$D,'Modelling New'!$AE:$AE),"")</f>
        <v>0.95549849999999992</v>
      </c>
      <c r="AH34" s="312">
        <f>IFERROR(_xlfn.XLOOKUP($D34,'Modelling New'!$D:$D,'Modelling New'!$AF:$AF),"")</f>
        <v>0.995</v>
      </c>
      <c r="AI34" s="10">
        <f>IFERROR(_xlfn.XLOOKUP($A34,Input_Raw!$E:$E,Input_Raw!$DG:$DG),"")</f>
        <v>334.67</v>
      </c>
      <c r="AJ34" s="10"/>
      <c r="AK34" s="10"/>
      <c r="AL34" s="10"/>
      <c r="AM34" s="10"/>
      <c r="AN34" s="314">
        <f>IFERROR(_xlfn.XLOOKUP($A34,Input_Raw!$E:$E,Input_Raw!$CY:$CY),"")</f>
        <v>6.69319826334136E-3</v>
      </c>
      <c r="AO34" s="312">
        <f>IFERROR((_xlfn.XLOOKUP($A34,'WTG Reactive Power'!$A:$A,'WTG Reactive Power'!AB:AB))/X34,"")</f>
        <v>3.8600775374298554E-2</v>
      </c>
      <c r="AP34" s="312">
        <f>IFERROR(_xlfn.XLOOKUP($D34,'Modelling New'!$D:$D,'Modelling New'!AK:AK),"")</f>
        <v>0.05</v>
      </c>
      <c r="AQ34" s="312">
        <f>IFERROR(_xlfn.XLOOKUP($D34,'Modelling New'!$D:$D,'Modelling New'!AL:AL),"")</f>
        <v>0.05</v>
      </c>
      <c r="AR34" s="325">
        <f>IFERROR(_xlfn.XLOOKUP($D34,'Modelling New'!$D:$D,'Modelling New'!$N:$N),"")</f>
        <v>50.59999999999998</v>
      </c>
      <c r="AS34" s="325"/>
    </row>
    <row r="35" spans="1:45">
      <c r="A35" s="32">
        <f t="shared" si="9"/>
        <v>45778</v>
      </c>
      <c r="B35" s="43">
        <f>YEAR(Table13[[#This Row],[Date]])+IF(MONTH(Table13[[#This Row],[Date]])&gt;=4,1,0)</f>
        <v>2026</v>
      </c>
      <c r="C35" s="10">
        <f>YEAR(Table13[[#This Row],[Date]])</f>
        <v>2025</v>
      </c>
      <c r="D35" s="309">
        <f>Table13[[#This Row],[Date]]-DAY(Table13[[#This Row],[Date]])+1</f>
        <v>45778</v>
      </c>
      <c r="E35" s="10">
        <f t="shared" si="5"/>
        <v>31</v>
      </c>
      <c r="F35" s="241">
        <f>IFERROR(_xlfn.XLOOKUP($A35,Input_Raw!$E:$E,Input_Raw!DC:DC),"")</f>
        <v>12.033333333333333</v>
      </c>
      <c r="G35" s="242"/>
      <c r="H35" s="242"/>
      <c r="I35" s="242"/>
      <c r="J35" s="242"/>
      <c r="K35" s="243"/>
      <c r="L35" s="242"/>
      <c r="M35" s="242">
        <f>IFERROR(_xlfn.XLOOKUP($A35,Input_Raw!$E:$E,Input_Raw!$BM:$BM),"")</f>
        <v>5.3269391304347824</v>
      </c>
      <c r="N35" s="242">
        <f>IFERROR(_xlfn.XLOOKUP($A35,Input_Raw!$E:$E,Input_Raw!$BN:$BN),"")</f>
        <v>5.8545862068965508</v>
      </c>
      <c r="O35" s="311">
        <f t="shared" si="6"/>
        <v>0.99999886506858271</v>
      </c>
      <c r="P35" s="311">
        <f>IFERROR(1-SUMIF(WTG_BD!$F:$F,$A35,WTG_BD!$AA:$AA)/($AA35+SUMIF(WTG_BD!$F:$F,$A35,WTG_BD!$AA:$AA)),"")</f>
        <v>0.99999886506858271</v>
      </c>
      <c r="Q35" s="328">
        <f>IFERROR(1-SUMIF(IGA_BD!$F:$F,$A35,IGA_BD!$W:$W)/($AA35+SUMIF(IGA_BD!$F:$F,$A35,IGA_BD!$W:$W)),"")</f>
        <v>1</v>
      </c>
      <c r="R35" s="311">
        <f>IFERROR(1-SUMIF(Grid_BD!$F:$F,$A35,Grid_BD!$Y:$Y)/($AA35+SUMIF(Grid_BD!$F:$F,$A35,Grid_BD!$Y:$Y)),"")</f>
        <v>1</v>
      </c>
      <c r="S35" s="10"/>
      <c r="T35" s="310"/>
      <c r="U35" s="311"/>
      <c r="V35" s="10"/>
      <c r="W35" s="312">
        <f t="shared" si="7"/>
        <v>0.26116518445322801</v>
      </c>
      <c r="X35" s="10">
        <f>IFERROR(_xlfn.XLOOKUP($A35,Input_Raw!$E:$E,Input_Raw!BG:BG),"")</f>
        <v>317159</v>
      </c>
      <c r="Y35" s="10">
        <f>IFERROR(_xlfn.XLOOKUP($A35,Input_Raw!$E:$E,Input_Raw!DF:DF),"")</f>
        <v>305745.0000000014</v>
      </c>
      <c r="Z35" s="319">
        <f>IFERROR(_xlfn.XLOOKUP(A35,Input_Raw!E:E,Input_Raw!CT:CT)/_xlfn.XLOOKUP(A35,Input_Raw!E:E,Input_Raw!CS:CS)*Table13[[#This Row],[Mtr_Export (kWh)]],"")</f>
        <v>0</v>
      </c>
      <c r="AA35" s="43">
        <f t="shared" si="8"/>
        <v>305745.0000000014</v>
      </c>
      <c r="AB35" s="10">
        <f>IFERROR(_xlfn.XLOOKUP($A35,Input_Raw!$E:$E,Input_Raw!$CZ:$CZ),"")</f>
        <v>50.6</v>
      </c>
      <c r="AC35" s="313">
        <f>IFERROR(_xlfn.XLOOKUP($D35,'Modelling New'!$D:$D,'Modelling New'!$J:$J),"")</f>
        <v>7.1310648756787653</v>
      </c>
      <c r="AD35" s="43">
        <f>IFERROR(_xlfn.XLOOKUP($D35,'Modelling New'!$D:$D,'Modelling New'!$T:$T)*1000,"")</f>
        <v>445081.61290322582</v>
      </c>
      <c r="AE35" s="312"/>
      <c r="AF35" s="312">
        <f>IFERROR(_xlfn.XLOOKUP($D35,'Modelling New'!$D:$D,'Modelling New'!$W:$W),"")</f>
        <v>0.36650330443282769</v>
      </c>
      <c r="AG35" s="312">
        <f>IFERROR(_xlfn.XLOOKUP($D35,'Modelling New'!$D:$D,'Modelling New'!$AE:$AE),"")</f>
        <v>0.95549849999999992</v>
      </c>
      <c r="AH35" s="312">
        <f>IFERROR(_xlfn.XLOOKUP($D35,'Modelling New'!$D:$D,'Modelling New'!$AF:$AF),"")</f>
        <v>0.995</v>
      </c>
      <c r="AI35" s="10">
        <f>IFERROR(_xlfn.XLOOKUP($A35,Input_Raw!$E:$E,Input_Raw!$DG:$DG),"")</f>
        <v>317.83</v>
      </c>
      <c r="AJ35" s="10"/>
      <c r="AK35" s="10"/>
      <c r="AL35" s="10"/>
      <c r="AM35" s="10"/>
      <c r="AN35" s="314">
        <f>IFERROR(_xlfn.XLOOKUP($A35,Input_Raw!$E:$E,Input_Raw!$CY:$CY),"")</f>
        <v>9.683098591578565E-3</v>
      </c>
      <c r="AO35" s="312">
        <f>IFERROR((_xlfn.XLOOKUP($A35,'WTG Reactive Power'!$A:$A,'WTG Reactive Power'!AB:AB))/X35,"")</f>
        <v>4.7788648595814727E-2</v>
      </c>
      <c r="AP35" s="312">
        <f>IFERROR(_xlfn.XLOOKUP($D35,'Modelling New'!$D:$D,'Modelling New'!AK:AK),"")</f>
        <v>0.05</v>
      </c>
      <c r="AQ35" s="312">
        <f>IFERROR(_xlfn.XLOOKUP($D35,'Modelling New'!$D:$D,'Modelling New'!AL:AL),"")</f>
        <v>0.05</v>
      </c>
      <c r="AR35" s="325">
        <f>IFERROR(_xlfn.XLOOKUP($D35,'Modelling New'!$D:$D,'Modelling New'!$N:$N),"")</f>
        <v>50.59999999999998</v>
      </c>
      <c r="AS35" s="325"/>
    </row>
    <row r="36" spans="1:45">
      <c r="A36" s="32">
        <f t="shared" si="9"/>
        <v>45779</v>
      </c>
      <c r="B36" s="43">
        <f>YEAR(Table13[[#This Row],[Date]])+IF(MONTH(Table13[[#This Row],[Date]])&gt;=4,1,0)</f>
        <v>2026</v>
      </c>
      <c r="C36" s="10">
        <f>YEAR(Table13[[#This Row],[Date]])</f>
        <v>2025</v>
      </c>
      <c r="D36" s="309">
        <f>Table13[[#This Row],[Date]]-DAY(Table13[[#This Row],[Date]])+1</f>
        <v>45778</v>
      </c>
      <c r="E36" s="10">
        <f t="shared" si="5"/>
        <v>31</v>
      </c>
      <c r="F36" s="241">
        <f>IFERROR(_xlfn.XLOOKUP($A36,Input_Raw!$E:$E,Input_Raw!DC:DC),"")</f>
        <v>12.133333333333333</v>
      </c>
      <c r="G36" s="313"/>
      <c r="H36" s="313"/>
      <c r="I36" s="313"/>
      <c r="J36" s="313"/>
      <c r="K36" s="243"/>
      <c r="L36" s="242"/>
      <c r="M36" s="242">
        <f>IFERROR(_xlfn.XLOOKUP($A36,Input_Raw!$E:$E,Input_Raw!$BM:$BM),"")</f>
        <v>4.6503894825314616</v>
      </c>
      <c r="N36" s="242">
        <f>IFERROR(_xlfn.XLOOKUP($A36,Input_Raw!$E:$E,Input_Raw!$BN:$BN),"")</f>
        <v>5.1013724137931025</v>
      </c>
      <c r="O36" s="311">
        <f t="shared" si="6"/>
        <v>0.9999992078761194</v>
      </c>
      <c r="P36" s="311">
        <f>IFERROR(1-SUMIF(WTG_BD!$F:$F,$A36,WTG_BD!$AA:$AA)/($AA36+SUMIF(WTG_BD!$F:$F,$A36,WTG_BD!$AA:$AA)),"")</f>
        <v>0.9999992078761194</v>
      </c>
      <c r="Q36" s="328">
        <f>IFERROR(1-SUMIF(IGA_BD!$F:$F,$A36,IGA_BD!$W:$W)/($AA36+SUMIF(IGA_BD!$F:$F,$A36,IGA_BD!$W:$W)),"")</f>
        <v>1</v>
      </c>
      <c r="R36" s="47">
        <f>IFERROR(1-SUMIF(Grid_BD!$F:$F,$A36,Grid_BD!$Y:$Y)/($AA36+SUMIF(Grid_BD!$F:$F,$A36,Grid_BD!$Y:$Y)),"")</f>
        <v>1</v>
      </c>
      <c r="S36" s="10"/>
      <c r="T36" s="310"/>
      <c r="U36" s="311"/>
      <c r="V36" s="10"/>
      <c r="W36" s="312">
        <f t="shared" si="7"/>
        <v>0.19029891304347835</v>
      </c>
      <c r="X36" s="10">
        <f>IFERROR(_xlfn.XLOOKUP($A36,Input_Raw!$E:$E,Input_Raw!BG:BG),"")</f>
        <v>231099</v>
      </c>
      <c r="Y36" s="10">
        <f>IFERROR(_xlfn.XLOOKUP($A36,Input_Raw!$E:$E,Input_Raw!DF:DF),"")</f>
        <v>225059.99999999604</v>
      </c>
      <c r="Z36" s="319">
        <f>IFERROR(_xlfn.XLOOKUP(A36,Input_Raw!E:E,Input_Raw!CT:CT)/_xlfn.XLOOKUP(A36,Input_Raw!E:E,Input_Raw!CS:CS)*Table13[[#This Row],[Mtr_Export (kWh)]],"")</f>
        <v>347.85162287480563</v>
      </c>
      <c r="AA36" s="43">
        <f t="shared" si="8"/>
        <v>224712.14837712122</v>
      </c>
      <c r="AB36" s="10">
        <f>IFERROR(_xlfn.XLOOKUP($A36,Input_Raw!$E:$E,Input_Raw!$CZ:$CZ),"")</f>
        <v>50.6</v>
      </c>
      <c r="AC36" s="313">
        <f>IFERROR(_xlfn.XLOOKUP($D36,'Modelling New'!$D:$D,'Modelling New'!$J:$J),"")</f>
        <v>7.1310648756787653</v>
      </c>
      <c r="AD36" s="43">
        <f>IFERROR(_xlfn.XLOOKUP($D36,'Modelling New'!$D:$D,'Modelling New'!$T:$T)*1000,"")</f>
        <v>445081.61290322582</v>
      </c>
      <c r="AE36" s="312"/>
      <c r="AF36" s="312">
        <f>IFERROR(_xlfn.XLOOKUP($D36,'Modelling New'!$D:$D,'Modelling New'!$W:$W),"")</f>
        <v>0.36650330443282769</v>
      </c>
      <c r="AG36" s="312">
        <f>IFERROR(_xlfn.XLOOKUP($D36,'Modelling New'!$D:$D,'Modelling New'!$AE:$AE),"")</f>
        <v>0.95549849999999992</v>
      </c>
      <c r="AH36" s="312">
        <f>IFERROR(_xlfn.XLOOKUP($D36,'Modelling New'!$D:$D,'Modelling New'!$AF:$AF),"")</f>
        <v>0.995</v>
      </c>
      <c r="AI36" s="10">
        <f>IFERROR(_xlfn.XLOOKUP($A36,Input_Raw!$E:$E,Input_Raw!$DG:$DG),"")</f>
        <v>232.32</v>
      </c>
      <c r="AJ36" s="10"/>
      <c r="AK36" s="10"/>
      <c r="AL36" s="10"/>
      <c r="AM36" s="10"/>
      <c r="AN36" s="314">
        <f>IFERROR(_xlfn.XLOOKUP($A36,Input_Raw!$E:$E,Input_Raw!$CY:$CY),"")</f>
        <v>5.6027820711475051E-3</v>
      </c>
      <c r="AO36" s="312">
        <f>IFERROR((_xlfn.XLOOKUP($A36,'WTG Reactive Power'!$A:$A,'WTG Reactive Power'!AB:AB))/X36,"")</f>
        <v>4.1374908588959716E-2</v>
      </c>
      <c r="AP36" s="312">
        <f>IFERROR(_xlfn.XLOOKUP($D36,'Modelling New'!$D:$D,'Modelling New'!AK:AK),"")</f>
        <v>0.05</v>
      </c>
      <c r="AQ36" s="312">
        <f>IFERROR(_xlfn.XLOOKUP($D36,'Modelling New'!$D:$D,'Modelling New'!AL:AL),"")</f>
        <v>0.05</v>
      </c>
      <c r="AR36" s="325">
        <f>IFERROR(_xlfn.XLOOKUP($D36,'Modelling New'!$D:$D,'Modelling New'!$N:$N),"")</f>
        <v>50.59999999999998</v>
      </c>
      <c r="AS36" s="325"/>
    </row>
    <row r="37" spans="1:45">
      <c r="A37" s="32">
        <f t="shared" si="9"/>
        <v>45780</v>
      </c>
      <c r="B37" s="43">
        <f>YEAR(Table13[[#This Row],[Date]])+IF(MONTH(Table13[[#This Row],[Date]])&gt;=4,1,0)</f>
        <v>2026</v>
      </c>
      <c r="C37" s="10">
        <f>YEAR(Table13[[#This Row],[Date]])</f>
        <v>2025</v>
      </c>
      <c r="D37" s="309">
        <f>Table13[[#This Row],[Date]]-DAY(Table13[[#This Row],[Date]])+1</f>
        <v>45778</v>
      </c>
      <c r="E37" s="10">
        <f t="shared" si="5"/>
        <v>31</v>
      </c>
      <c r="F37" s="241">
        <f>IFERROR(_xlfn.XLOOKUP($A37,Input_Raw!$E:$E,Input_Raw!DC:DC),"")</f>
        <v>11.083333333333336</v>
      </c>
      <c r="G37" s="242"/>
      <c r="H37" s="242"/>
      <c r="I37" s="242"/>
      <c r="J37" s="242"/>
      <c r="K37" s="243"/>
      <c r="L37" s="242"/>
      <c r="M37" s="242">
        <f>IFERROR(_xlfn.XLOOKUP($A37,Input_Raw!$E:$E,Input_Raw!$BM:$BM),"")</f>
        <v>5.3894545724161729</v>
      </c>
      <c r="N37" s="242">
        <f>IFERROR(_xlfn.XLOOKUP($A37,Input_Raw!$E:$E,Input_Raw!$BN:$BN),"")</f>
        <v>5.7745793103448282</v>
      </c>
      <c r="O37" s="311">
        <f t="shared" si="6"/>
        <v>0.99771060321532279</v>
      </c>
      <c r="P37" s="311">
        <f>IFERROR(1-SUMIF(WTG_BD!$F:$F,$A37,WTG_BD!$AA:$AA)/($AA37+SUMIF(WTG_BD!$F:$F,$A37,WTG_BD!$AA:$AA)),"")</f>
        <v>0.99999846571383455</v>
      </c>
      <c r="Q37" s="328">
        <f>IFERROR(1-SUMIF(IGA_BD!$F:$F,$A37,IGA_BD!$W:$W)/($AA37+SUMIF(IGA_BD!$F:$F,$A37,IGA_BD!$W:$W)),"")</f>
        <v>0.99771213399124703</v>
      </c>
      <c r="R37" s="311">
        <f>IFERROR(1-SUMIF(Grid_BD!$F:$F,$A37,Grid_BD!$Y:$Y)/($AA37+SUMIF(Grid_BD!$F:$F,$A37,Grid_BD!$Y:$Y)),"")</f>
        <v>1</v>
      </c>
      <c r="S37" s="10"/>
      <c r="T37" s="310"/>
      <c r="U37" s="311"/>
      <c r="V37" s="10"/>
      <c r="W37" s="312">
        <f t="shared" si="7"/>
        <v>0.25624670619235845</v>
      </c>
      <c r="X37" s="10">
        <f>IFERROR(_xlfn.XLOOKUP($A37,Input_Raw!$E:$E,Input_Raw!BG:BG),"")</f>
        <v>311186</v>
      </c>
      <c r="Y37" s="10">
        <f>IFERROR(_xlfn.XLOOKUP($A37,Input_Raw!$E:$E,Input_Raw!DF:DF),"")</f>
        <v>300464.99999999965</v>
      </c>
      <c r="Z37" s="319">
        <f>IFERROR(_xlfn.XLOOKUP(A37,Input_Raw!E:E,Input_Raw!CT:CT)/_xlfn.XLOOKUP(A37,Input_Raw!E:E,Input_Raw!CS:CS)*Table13[[#This Row],[Mtr_Export (kWh)]],"")</f>
        <v>0</v>
      </c>
      <c r="AA37" s="43">
        <f t="shared" si="8"/>
        <v>300464.99999999965</v>
      </c>
      <c r="AB37" s="10">
        <f>IFERROR(_xlfn.XLOOKUP($A37,Input_Raw!$E:$E,Input_Raw!$CZ:$CZ),"")</f>
        <v>50.6</v>
      </c>
      <c r="AC37" s="313">
        <f>IFERROR(_xlfn.XLOOKUP($D37,'Modelling New'!$D:$D,'Modelling New'!$J:$J),"")</f>
        <v>7.1310648756787653</v>
      </c>
      <c r="AD37" s="43">
        <f>IFERROR(_xlfn.XLOOKUP($D37,'Modelling New'!$D:$D,'Modelling New'!$T:$T)*1000,"")</f>
        <v>445081.61290322582</v>
      </c>
      <c r="AE37" s="312"/>
      <c r="AF37" s="312">
        <f>IFERROR(_xlfn.XLOOKUP($D37,'Modelling New'!$D:$D,'Modelling New'!$W:$W),"")</f>
        <v>0.36650330443282769</v>
      </c>
      <c r="AG37" s="312">
        <f>IFERROR(_xlfn.XLOOKUP($D37,'Modelling New'!$D:$D,'Modelling New'!$AE:$AE),"")</f>
        <v>0.95549849999999992</v>
      </c>
      <c r="AH37" s="312">
        <f>IFERROR(_xlfn.XLOOKUP($D37,'Modelling New'!$D:$D,'Modelling New'!$AF:$AF),"")</f>
        <v>0.995</v>
      </c>
      <c r="AI37" s="10">
        <f>IFERROR(_xlfn.XLOOKUP($A37,Input_Raw!$E:$E,Input_Raw!$DG:$DG),"")</f>
        <v>302.2</v>
      </c>
      <c r="AJ37" s="10"/>
      <c r="AK37" s="10"/>
      <c r="AL37" s="10"/>
      <c r="AM37" s="10"/>
      <c r="AN37" s="314">
        <f>IFERROR(_xlfn.XLOOKUP($A37,Input_Raw!$E:$E,Input_Raw!$CY:$CY),"")</f>
        <v>8.3333333332951121E-3</v>
      </c>
      <c r="AO37" s="312">
        <f>IFERROR((_xlfn.XLOOKUP($A37,'WTG Reactive Power'!$A:$A,'WTG Reactive Power'!AB:AB))/X37,"")</f>
        <v>6.4307841612411876E-2</v>
      </c>
      <c r="AP37" s="312">
        <f>IFERROR(_xlfn.XLOOKUP($D37,'Modelling New'!$D:$D,'Modelling New'!AK:AK),"")</f>
        <v>0.05</v>
      </c>
      <c r="AQ37" s="312">
        <f>IFERROR(_xlfn.XLOOKUP($D37,'Modelling New'!$D:$D,'Modelling New'!AL:AL),"")</f>
        <v>0.05</v>
      </c>
      <c r="AR37" s="325">
        <f>IFERROR(_xlfn.XLOOKUP($D37,'Modelling New'!$D:$D,'Modelling New'!$N:$N),"")</f>
        <v>50.59999999999998</v>
      </c>
      <c r="AS37" s="325"/>
    </row>
    <row r="38" spans="1:45">
      <c r="A38" s="32">
        <f t="shared" si="9"/>
        <v>45781</v>
      </c>
      <c r="B38" s="43">
        <f>YEAR(Table13[[#This Row],[Date]])+IF(MONTH(Table13[[#This Row],[Date]])&gt;=4,1,0)</f>
        <v>2026</v>
      </c>
      <c r="C38" s="10">
        <f>YEAR(Table13[[#This Row],[Date]])</f>
        <v>2025</v>
      </c>
      <c r="D38" s="309">
        <f>Table13[[#This Row],[Date]]-DAY(Table13[[#This Row],[Date]])+1</f>
        <v>45778</v>
      </c>
      <c r="E38" s="10">
        <f t="shared" si="5"/>
        <v>31</v>
      </c>
      <c r="F38" s="241">
        <f>IFERROR(_xlfn.XLOOKUP($A38,Input_Raw!$E:$E,Input_Raw!DC:DC),"")</f>
        <v>11.549999999999999</v>
      </c>
      <c r="G38" s="313"/>
      <c r="H38" s="313"/>
      <c r="I38" s="313"/>
      <c r="J38" s="313"/>
      <c r="K38" s="243"/>
      <c r="L38" s="242"/>
      <c r="M38" s="242">
        <f>IFERROR(_xlfn.XLOOKUP($A38,Input_Raw!$E:$E,Input_Raw!$BM:$BM),"")</f>
        <v>5.7046747857979065</v>
      </c>
      <c r="N38" s="242">
        <f>IFERROR(_xlfn.XLOOKUP($A38,Input_Raw!$E:$E,Input_Raw!$BN:$BN),"")</f>
        <v>6.370531034482755</v>
      </c>
      <c r="O38" s="311">
        <f t="shared" si="6"/>
        <v>0.98956027378923483</v>
      </c>
      <c r="P38" s="311">
        <f>IFERROR(1-SUMIF(WTG_BD!$F:$F,$A38,WTG_BD!$AA:$AA)/($AA38+SUMIF(WTG_BD!$F:$F,$A38,WTG_BD!$AA:$AA)),"")</f>
        <v>0.99998429699184532</v>
      </c>
      <c r="Q38" s="328">
        <f>IFERROR(1-SUMIF(IGA_BD!$F:$F,$A38,IGA_BD!$W:$W)/($AA38+SUMIF(IGA_BD!$F:$F,$A38,IGA_BD!$W:$W)),"")</f>
        <v>0.98957581310629772</v>
      </c>
      <c r="R38" s="47">
        <f>IFERROR(1-SUMIF(Grid_BD!$F:$F,$A38,Grid_BD!$Y:$Y)/($AA38+SUMIF(Grid_BD!$F:$F,$A38,Grid_BD!$Y:$Y)),"")</f>
        <v>1</v>
      </c>
      <c r="S38" s="10"/>
      <c r="T38" s="310"/>
      <c r="U38" s="311"/>
      <c r="V38" s="10"/>
      <c r="W38" s="312">
        <f t="shared" si="7"/>
        <v>0.27519598155467734</v>
      </c>
      <c r="X38" s="10">
        <f>IFERROR(_xlfn.XLOOKUP($A38,Input_Raw!$E:$E,Input_Raw!BG:BG),"")</f>
        <v>334198</v>
      </c>
      <c r="Y38" s="10">
        <f>IFERROR(_xlfn.XLOOKUP($A38,Input_Raw!$E:$E,Input_Raw!DF:DF),"")</f>
        <v>322739.99999999348</v>
      </c>
      <c r="Z38" s="319">
        <f>IFERROR(_xlfn.XLOOKUP(A38,Input_Raw!E:E,Input_Raw!CT:CT)/_xlfn.XLOOKUP(A38,Input_Raw!E:E,Input_Raw!CS:CS)*Table13[[#This Row],[Mtr_Export (kWh)]],"")</f>
        <v>450.12552301254436</v>
      </c>
      <c r="AA38" s="43">
        <f t="shared" si="8"/>
        <v>322289.87447698094</v>
      </c>
      <c r="AB38" s="10">
        <f>IFERROR(_xlfn.XLOOKUP($A38,Input_Raw!$E:$E,Input_Raw!$CZ:$CZ),"")</f>
        <v>50.6</v>
      </c>
      <c r="AC38" s="313">
        <f>IFERROR(_xlfn.XLOOKUP($D38,'Modelling New'!$D:$D,'Modelling New'!$J:$J),"")</f>
        <v>7.1310648756787653</v>
      </c>
      <c r="AD38" s="43">
        <f>IFERROR(_xlfn.XLOOKUP($D38,'Modelling New'!$D:$D,'Modelling New'!$T:$T)*1000,"")</f>
        <v>445081.61290322582</v>
      </c>
      <c r="AE38" s="312"/>
      <c r="AF38" s="312">
        <f>IFERROR(_xlfn.XLOOKUP($D38,'Modelling New'!$D:$D,'Modelling New'!$W:$W),"")</f>
        <v>0.36650330443282769</v>
      </c>
      <c r="AG38" s="312">
        <f>IFERROR(_xlfn.XLOOKUP($D38,'Modelling New'!$D:$D,'Modelling New'!$AE:$AE),"")</f>
        <v>0.95549849999999992</v>
      </c>
      <c r="AH38" s="312">
        <f>IFERROR(_xlfn.XLOOKUP($D38,'Modelling New'!$D:$D,'Modelling New'!$AF:$AF),"")</f>
        <v>0.995</v>
      </c>
      <c r="AI38" s="10">
        <f>IFERROR(_xlfn.XLOOKUP($A38,Input_Raw!$E:$E,Input_Raw!$DG:$DG),"")</f>
        <v>341.49</v>
      </c>
      <c r="AJ38" s="10"/>
      <c r="AK38" s="10"/>
      <c r="AL38" s="10"/>
      <c r="AM38" s="10"/>
      <c r="AN38" s="314">
        <f>IFERROR(_xlfn.XLOOKUP($A38,Input_Raw!$E:$E,Input_Raw!$CY:$CY),"")</f>
        <v>1.0489510489498866E-2</v>
      </c>
      <c r="AO38" s="312">
        <f>IFERROR((_xlfn.XLOOKUP($A38,'WTG Reactive Power'!$A:$A,'WTG Reactive Power'!AB:AB))/X38,"")</f>
        <v>0.25100928192269251</v>
      </c>
      <c r="AP38" s="312">
        <f>IFERROR(_xlfn.XLOOKUP($D38,'Modelling New'!$D:$D,'Modelling New'!AK:AK),"")</f>
        <v>0.05</v>
      </c>
      <c r="AQ38" s="312">
        <f>IFERROR(_xlfn.XLOOKUP($D38,'Modelling New'!$D:$D,'Modelling New'!AL:AL),"")</f>
        <v>0.05</v>
      </c>
      <c r="AR38" s="325">
        <f>IFERROR(_xlfn.XLOOKUP($D38,'Modelling New'!$D:$D,'Modelling New'!$N:$N),"")</f>
        <v>50.59999999999998</v>
      </c>
      <c r="AS38" s="325"/>
    </row>
    <row r="39" spans="1:45">
      <c r="A39" s="32">
        <f t="shared" si="9"/>
        <v>45782</v>
      </c>
      <c r="B39" s="43">
        <f>YEAR(Table13[[#This Row],[Date]])+IF(MONTH(Table13[[#This Row],[Date]])&gt;=4,1,0)</f>
        <v>2026</v>
      </c>
      <c r="C39" s="10">
        <f>YEAR(Table13[[#This Row],[Date]])</f>
        <v>2025</v>
      </c>
      <c r="D39" s="309">
        <f>Table13[[#This Row],[Date]]-DAY(Table13[[#This Row],[Date]])+1</f>
        <v>45778</v>
      </c>
      <c r="E39" s="10">
        <f t="shared" si="5"/>
        <v>31</v>
      </c>
      <c r="F39" s="241">
        <f>IFERROR(_xlfn.XLOOKUP($A39,Input_Raw!$E:$E,Input_Raw!DC:DC),"")</f>
        <v>12.150000000000002</v>
      </c>
      <c r="G39" s="242"/>
      <c r="H39" s="242"/>
      <c r="I39" s="242"/>
      <c r="J39" s="242"/>
      <c r="K39" s="243"/>
      <c r="L39" s="242"/>
      <c r="M39" s="242">
        <f>IFERROR(_xlfn.XLOOKUP($A39,Input_Raw!$E:$E,Input_Raw!$BM:$BM),"")</f>
        <v>4.8999856438855662</v>
      </c>
      <c r="N39" s="242">
        <f>IFERROR(_xlfn.XLOOKUP($A39,Input_Raw!$E:$E,Input_Raw!$BN:$BN),"")</f>
        <v>5.3054748201438864</v>
      </c>
      <c r="O39" s="311">
        <f t="shared" si="6"/>
        <v>0.99350938491593899</v>
      </c>
      <c r="P39" s="311">
        <f>IFERROR(1-SUMIF(WTG_BD!$F:$F,$A39,WTG_BD!$AA:$AA)/($AA39+SUMIF(WTG_BD!$F:$F,$A39,WTG_BD!$AA:$AA)),"")</f>
        <v>0.99350938491593899</v>
      </c>
      <c r="Q39" s="328">
        <f>IFERROR(1-SUMIF(IGA_BD!$F:$F,$A39,IGA_BD!$W:$W)/($AA39+SUMIF(IGA_BD!$F:$F,$A39,IGA_BD!$W:$W)),"")</f>
        <v>1</v>
      </c>
      <c r="R39" s="311">
        <f>IFERROR(1-SUMIF(Grid_BD!$F:$F,$A39,Grid_BD!$Y:$Y)/($AA39+SUMIF(Grid_BD!$F:$F,$A39,Grid_BD!$Y:$Y)),"")</f>
        <v>1</v>
      </c>
      <c r="S39" s="10"/>
      <c r="T39" s="310"/>
      <c r="U39" s="311"/>
      <c r="V39" s="10"/>
      <c r="W39" s="312">
        <f t="shared" si="7"/>
        <v>0.20973731884057978</v>
      </c>
      <c r="X39" s="10">
        <f>IFERROR(_xlfn.XLOOKUP($A39,Input_Raw!$E:$E,Input_Raw!BG:BG),"")</f>
        <v>254705</v>
      </c>
      <c r="Y39" s="10">
        <f>IFERROR(_xlfn.XLOOKUP($A39,Input_Raw!$E:$E,Input_Raw!DF:DF),"")</f>
        <v>247665.00000000079</v>
      </c>
      <c r="Z39" s="319">
        <f>IFERROR(_xlfn.XLOOKUP(A39,Input_Raw!E:E,Input_Raw!CT:CT)/_xlfn.XLOOKUP(A39,Input_Raw!E:E,Input_Raw!CS:CS)*Table13[[#This Row],[Mtr_Export (kWh)]],"")</f>
        <v>0</v>
      </c>
      <c r="AA39" s="43">
        <f t="shared" si="8"/>
        <v>247665.00000000079</v>
      </c>
      <c r="AB39" s="10">
        <f>IFERROR(_xlfn.XLOOKUP($A39,Input_Raw!$E:$E,Input_Raw!$CZ:$CZ),"")</f>
        <v>50.6</v>
      </c>
      <c r="AC39" s="313">
        <f>IFERROR(_xlfn.XLOOKUP($D39,'Modelling New'!$D:$D,'Modelling New'!$J:$J),"")</f>
        <v>7.1310648756787653</v>
      </c>
      <c r="AD39" s="43">
        <f>IFERROR(_xlfn.XLOOKUP($D39,'Modelling New'!$D:$D,'Modelling New'!$T:$T)*1000,"")</f>
        <v>445081.61290322582</v>
      </c>
      <c r="AE39" s="312"/>
      <c r="AF39" s="312">
        <f>IFERROR(_xlfn.XLOOKUP($D39,'Modelling New'!$D:$D,'Modelling New'!$W:$W),"")</f>
        <v>0.36650330443282769</v>
      </c>
      <c r="AG39" s="312">
        <f>IFERROR(_xlfn.XLOOKUP($D39,'Modelling New'!$D:$D,'Modelling New'!$AE:$AE),"")</f>
        <v>0.95549849999999992</v>
      </c>
      <c r="AH39" s="312">
        <f>IFERROR(_xlfn.XLOOKUP($D39,'Modelling New'!$D:$D,'Modelling New'!$AF:$AF),"")</f>
        <v>0.995</v>
      </c>
      <c r="AI39" s="10">
        <f>IFERROR(_xlfn.XLOOKUP($A39,Input_Raw!$E:$E,Input_Raw!$DG:$DG),"")</f>
        <v>255.52</v>
      </c>
      <c r="AJ39" s="10"/>
      <c r="AK39" s="10"/>
      <c r="AL39" s="10"/>
      <c r="AM39" s="10"/>
      <c r="AN39" s="314">
        <f>IFERROR(_xlfn.XLOOKUP($A39,Input_Raw!$E:$E,Input_Raw!$CY:$CY),"")</f>
        <v>4.2655786350473957E-3</v>
      </c>
      <c r="AO39" s="312">
        <f>IFERROR((_xlfn.XLOOKUP($A39,'WTG Reactive Power'!$A:$A,'WTG Reactive Power'!AB:AB))/X39,"")</f>
        <v>4.2660725152627532E-2</v>
      </c>
      <c r="AP39" s="312">
        <f>IFERROR(_xlfn.XLOOKUP($D39,'Modelling New'!$D:$D,'Modelling New'!AK:AK),"")</f>
        <v>0.05</v>
      </c>
      <c r="AQ39" s="312">
        <f>IFERROR(_xlfn.XLOOKUP($D39,'Modelling New'!$D:$D,'Modelling New'!AL:AL),"")</f>
        <v>0.05</v>
      </c>
      <c r="AR39" s="325">
        <f>IFERROR(_xlfn.XLOOKUP($D39,'Modelling New'!$D:$D,'Modelling New'!$N:$N),"")</f>
        <v>50.59999999999998</v>
      </c>
      <c r="AS39" s="325"/>
    </row>
    <row r="40" spans="1:45">
      <c r="A40" s="32">
        <f t="shared" si="9"/>
        <v>45783</v>
      </c>
      <c r="B40" s="43">
        <f>YEAR(Table13[[#This Row],[Date]])+IF(MONTH(Table13[[#This Row],[Date]])&gt;=4,1,0)</f>
        <v>2026</v>
      </c>
      <c r="C40" s="10">
        <f>YEAR(Table13[[#This Row],[Date]])</f>
        <v>2025</v>
      </c>
      <c r="D40" s="309">
        <f>Table13[[#This Row],[Date]]-DAY(Table13[[#This Row],[Date]])+1</f>
        <v>45778</v>
      </c>
      <c r="E40" s="10">
        <f t="shared" si="5"/>
        <v>31</v>
      </c>
      <c r="F40" s="241">
        <f>IFERROR(_xlfn.XLOOKUP($A40,Input_Raw!$E:$E,Input_Raw!DC:DC),"")</f>
        <v>11.616666666666667</v>
      </c>
      <c r="G40" s="313"/>
      <c r="H40" s="313"/>
      <c r="I40" s="313"/>
      <c r="J40" s="313"/>
      <c r="K40" s="243"/>
      <c r="L40" s="242"/>
      <c r="M40" s="242">
        <f>IFERROR(_xlfn.XLOOKUP($A40,Input_Raw!$E:$E,Input_Raw!$BM:$BM),"")</f>
        <v>5.5781739130434795</v>
      </c>
      <c r="N40" s="242">
        <f>IFERROR(_xlfn.XLOOKUP($A40,Input_Raw!$E:$E,Input_Raw!$BN:$BN),"")</f>
        <v>6.2889999999999997</v>
      </c>
      <c r="O40" s="311">
        <f t="shared" si="6"/>
        <v>0.99704792601741132</v>
      </c>
      <c r="P40" s="311">
        <f>IFERROR(1-SUMIF(WTG_BD!$F:$F,$A40,WTG_BD!$AA:$AA)/($AA40+SUMIF(WTG_BD!$F:$F,$A40,WTG_BD!$AA:$AA)),"")</f>
        <v>0.99704792601741132</v>
      </c>
      <c r="Q40" s="328">
        <f>IFERROR(1-SUMIF(IGA_BD!$F:$F,$A40,IGA_BD!$W:$W)/($AA40+SUMIF(IGA_BD!$F:$F,$A40,IGA_BD!$W:$W)),"")</f>
        <v>1</v>
      </c>
      <c r="R40" s="47">
        <f>IFERROR(1-SUMIF(Grid_BD!$F:$F,$A40,Grid_BD!$Y:$Y)/($AA40+SUMIF(Grid_BD!$F:$F,$A40,Grid_BD!$Y:$Y)),"")</f>
        <v>1</v>
      </c>
      <c r="S40" s="10"/>
      <c r="T40" s="310"/>
      <c r="U40" s="311"/>
      <c r="V40" s="10"/>
      <c r="W40" s="312">
        <f t="shared" si="7"/>
        <v>0.29015233860342565</v>
      </c>
      <c r="X40" s="10">
        <f>IFERROR(_xlfn.XLOOKUP($A40,Input_Raw!$E:$E,Input_Raw!BG:BG),"")</f>
        <v>352361</v>
      </c>
      <c r="Y40" s="10">
        <f>IFERROR(_xlfn.XLOOKUP($A40,Input_Raw!$E:$E,Input_Raw!DF:DF),"")</f>
        <v>330990.00000000943</v>
      </c>
      <c r="Z40" s="319">
        <f>IFERROR(_xlfn.XLOOKUP(A40,Input_Raw!E:E,Input_Raw!CT:CT)/_xlfn.XLOOKUP(A40,Input_Raw!E:E,Input_Raw!CS:CS)*Table13[[#This Row],[Mtr_Export (kWh)]],"")</f>
        <v>0</v>
      </c>
      <c r="AA40" s="43">
        <f t="shared" si="8"/>
        <v>330990.00000000943</v>
      </c>
      <c r="AB40" s="10">
        <f>IFERROR(_xlfn.XLOOKUP($A40,Input_Raw!$E:$E,Input_Raw!$CZ:$CZ),"")</f>
        <v>50.6</v>
      </c>
      <c r="AC40" s="313">
        <f>IFERROR(_xlfn.XLOOKUP($D40,'Modelling New'!$D:$D,'Modelling New'!$J:$J),"")</f>
        <v>7.1310648756787653</v>
      </c>
      <c r="AD40" s="43">
        <f>IFERROR(_xlfn.XLOOKUP($D40,'Modelling New'!$D:$D,'Modelling New'!$T:$T)*1000,"")</f>
        <v>445081.61290322582</v>
      </c>
      <c r="AE40" s="312"/>
      <c r="AF40" s="312">
        <f>IFERROR(_xlfn.XLOOKUP($D40,'Modelling New'!$D:$D,'Modelling New'!$W:$W),"")</f>
        <v>0.36650330443282769</v>
      </c>
      <c r="AG40" s="312">
        <f>IFERROR(_xlfn.XLOOKUP($D40,'Modelling New'!$D:$D,'Modelling New'!$AE:$AE),"")</f>
        <v>0.95549849999999992</v>
      </c>
      <c r="AH40" s="312">
        <f>IFERROR(_xlfn.XLOOKUP($D40,'Modelling New'!$D:$D,'Modelling New'!$AF:$AF),"")</f>
        <v>0.995</v>
      </c>
      <c r="AI40" s="10">
        <f>IFERROR(_xlfn.XLOOKUP($A40,Input_Raw!$E:$E,Input_Raw!$DG:$DG),"")</f>
        <v>345.81</v>
      </c>
      <c r="AJ40" s="10"/>
      <c r="AK40" s="10"/>
      <c r="AL40" s="10"/>
      <c r="AM40" s="10"/>
      <c r="AN40" s="314">
        <f>IFERROR(_xlfn.XLOOKUP($A40,Input_Raw!$E:$E,Input_Raw!$CY:$CY),"")</f>
        <v>9.2724679029643209E-3</v>
      </c>
      <c r="AO40" s="312">
        <f>IFERROR((_xlfn.XLOOKUP($A40,'WTG Reactive Power'!$A:$A,'WTG Reactive Power'!AB:AB))/X40,"")</f>
        <v>6.7393099690374367E-2</v>
      </c>
      <c r="AP40" s="312">
        <f>IFERROR(_xlfn.XLOOKUP($D40,'Modelling New'!$D:$D,'Modelling New'!AK:AK),"")</f>
        <v>0.05</v>
      </c>
      <c r="AQ40" s="312">
        <f>IFERROR(_xlfn.XLOOKUP($D40,'Modelling New'!$D:$D,'Modelling New'!AL:AL),"")</f>
        <v>0.05</v>
      </c>
      <c r="AR40" s="325">
        <f>IFERROR(_xlfn.XLOOKUP($D40,'Modelling New'!$D:$D,'Modelling New'!$N:$N),"")</f>
        <v>50.59999999999998</v>
      </c>
      <c r="AS40" s="325"/>
    </row>
    <row r="41" spans="1:45">
      <c r="A41" s="32">
        <f t="shared" si="9"/>
        <v>45784</v>
      </c>
      <c r="B41" s="43">
        <f>YEAR(Table13[[#This Row],[Date]])+IF(MONTH(Table13[[#This Row],[Date]])&gt;=4,1,0)</f>
        <v>2026</v>
      </c>
      <c r="C41" s="10">
        <f>YEAR(Table13[[#This Row],[Date]])</f>
        <v>2025</v>
      </c>
      <c r="D41" s="309">
        <f>Table13[[#This Row],[Date]]-DAY(Table13[[#This Row],[Date]])+1</f>
        <v>45778</v>
      </c>
      <c r="E41" s="10">
        <f t="shared" si="5"/>
        <v>31</v>
      </c>
      <c r="F41" s="241">
        <f>IFERROR(_xlfn.XLOOKUP($A41,Input_Raw!$E:$E,Input_Raw!DC:DC),"")</f>
        <v>12.083333333333336</v>
      </c>
      <c r="G41" s="242"/>
      <c r="H41" s="242"/>
      <c r="I41" s="242"/>
      <c r="J41" s="242"/>
      <c r="K41" s="243"/>
      <c r="L41" s="242"/>
      <c r="M41" s="242">
        <f>IFERROR(_xlfn.XLOOKUP($A41,Input_Raw!$E:$E,Input_Raw!$BM:$BM),"")</f>
        <v>5.1478260869565222</v>
      </c>
      <c r="N41" s="242">
        <f>IFERROR(_xlfn.XLOOKUP($A41,Input_Raw!$E:$E,Input_Raw!$BN:$BN),"")</f>
        <v>5.8</v>
      </c>
      <c r="O41" s="311">
        <f t="shared" si="6"/>
        <v>0.98657490974729201</v>
      </c>
      <c r="P41" s="311">
        <f>IFERROR(1-SUMIF(WTG_BD!$F:$F,$A41,WTG_BD!$AA:$AA)/($AA41+SUMIF(WTG_BD!$F:$F,$A41,WTG_BD!$AA:$AA)),"")</f>
        <v>0.98657490974729201</v>
      </c>
      <c r="Q41" s="328">
        <f>IFERROR(1-SUMIF(IGA_BD!$F:$F,$A41,IGA_BD!$W:$W)/($AA41+SUMIF(IGA_BD!$F:$F,$A41,IGA_BD!$W:$W)),"")</f>
        <v>1</v>
      </c>
      <c r="R41" s="311">
        <f>IFERROR(1-SUMIF(Grid_BD!$F:$F,$A41,Grid_BD!$Y:$Y)/($AA41+SUMIF(Grid_BD!$F:$F,$A41,Grid_BD!$Y:$Y)),"")</f>
        <v>1</v>
      </c>
      <c r="S41" s="10"/>
      <c r="T41" s="310"/>
      <c r="U41" s="311"/>
      <c r="V41" s="10"/>
      <c r="W41" s="312">
        <f t="shared" si="7"/>
        <v>0.23762557641633741</v>
      </c>
      <c r="X41" s="10">
        <f>IFERROR(_xlfn.XLOOKUP($A41,Input_Raw!$E:$E,Input_Raw!BG:BG),"")</f>
        <v>288572.50000000006</v>
      </c>
      <c r="Y41" s="10">
        <f>IFERROR(_xlfn.XLOOKUP($A41,Input_Raw!$E:$E,Input_Raw!DF:DF),"")</f>
        <v>279839.99999999028</v>
      </c>
      <c r="Z41" s="319">
        <f>IFERROR(_xlfn.XLOOKUP(A41,Input_Raw!E:E,Input_Raw!CT:CT)/_xlfn.XLOOKUP(A41,Input_Raw!E:E,Input_Raw!CS:CS)*Table13[[#This Row],[Mtr_Export (kWh)]],"")</f>
        <v>0</v>
      </c>
      <c r="AA41" s="43">
        <f t="shared" si="8"/>
        <v>279839.99999999028</v>
      </c>
      <c r="AB41" s="10">
        <f>IFERROR(_xlfn.XLOOKUP($A41,Input_Raw!$E:$E,Input_Raw!$CZ:$CZ),"")</f>
        <v>50.6</v>
      </c>
      <c r="AC41" s="313">
        <f>IFERROR(_xlfn.XLOOKUP($D41,'Modelling New'!$D:$D,'Modelling New'!$J:$J),"")</f>
        <v>7.1310648756787653</v>
      </c>
      <c r="AD41" s="43">
        <f>IFERROR(_xlfn.XLOOKUP($D41,'Modelling New'!$D:$D,'Modelling New'!$T:$T)*1000,"")</f>
        <v>445081.61290322582</v>
      </c>
      <c r="AE41" s="312"/>
      <c r="AF41" s="312">
        <f>IFERROR(_xlfn.XLOOKUP($D41,'Modelling New'!$D:$D,'Modelling New'!$W:$W),"")</f>
        <v>0.36650330443282769</v>
      </c>
      <c r="AG41" s="312">
        <f>IFERROR(_xlfn.XLOOKUP($D41,'Modelling New'!$D:$D,'Modelling New'!$AE:$AE),"")</f>
        <v>0.95549849999999992</v>
      </c>
      <c r="AH41" s="312">
        <f>IFERROR(_xlfn.XLOOKUP($D41,'Modelling New'!$D:$D,'Modelling New'!$AF:$AF),"")</f>
        <v>0.995</v>
      </c>
      <c r="AI41" s="10">
        <f>IFERROR(_xlfn.XLOOKUP($A41,Input_Raw!$E:$E,Input_Raw!$DG:$DG),"")</f>
        <v>289.12</v>
      </c>
      <c r="AJ41" s="10"/>
      <c r="AK41" s="10"/>
      <c r="AL41" s="10"/>
      <c r="AM41" s="10"/>
      <c r="AN41" s="314">
        <f>IFERROR(_xlfn.XLOOKUP($A41,Input_Raw!$E:$E,Input_Raw!$CY:$CY),"")</f>
        <v>7.8011611030166517E-3</v>
      </c>
      <c r="AO41" s="312">
        <f>IFERROR((_xlfn.XLOOKUP($A41,'WTG Reactive Power'!$A:$A,'WTG Reactive Power'!AB:AB))/X41,"")</f>
        <v>3.0033007303190709E-2</v>
      </c>
      <c r="AP41" s="312">
        <f>IFERROR(_xlfn.XLOOKUP($D41,'Modelling New'!$D:$D,'Modelling New'!AK:AK),"")</f>
        <v>0.05</v>
      </c>
      <c r="AQ41" s="312">
        <f>IFERROR(_xlfn.XLOOKUP($D41,'Modelling New'!$D:$D,'Modelling New'!AL:AL),"")</f>
        <v>0.05</v>
      </c>
      <c r="AR41" s="325">
        <f>IFERROR(_xlfn.XLOOKUP($D41,'Modelling New'!$D:$D,'Modelling New'!$N:$N),"")</f>
        <v>50.59999999999998</v>
      </c>
      <c r="AS41" s="325"/>
    </row>
    <row r="42" spans="1:45">
      <c r="A42" s="32">
        <f t="shared" si="9"/>
        <v>45785</v>
      </c>
      <c r="B42" s="43">
        <f>YEAR(Table13[[#This Row],[Date]])+IF(MONTH(Table13[[#This Row],[Date]])&gt;=4,1,0)</f>
        <v>2026</v>
      </c>
      <c r="C42" s="10">
        <f>YEAR(Table13[[#This Row],[Date]])</f>
        <v>2025</v>
      </c>
      <c r="D42" s="309">
        <f>Table13[[#This Row],[Date]]-DAY(Table13[[#This Row],[Date]])+1</f>
        <v>45778</v>
      </c>
      <c r="E42" s="10">
        <f t="shared" si="5"/>
        <v>31</v>
      </c>
      <c r="F42" s="241">
        <f>IFERROR(_xlfn.XLOOKUP($A42,Input_Raw!$E:$E,Input_Raw!DC:DC),"")</f>
        <v>11.966666666666665</v>
      </c>
      <c r="G42" s="313"/>
      <c r="H42" s="313"/>
      <c r="I42" s="313"/>
      <c r="J42" s="313"/>
      <c r="K42" s="243"/>
      <c r="L42" s="242"/>
      <c r="M42" s="242">
        <f>IFERROR(_xlfn.XLOOKUP($A42,Input_Raw!$E:$E,Input_Raw!$BM:$BM),"")</f>
        <v>5.3211304347826083</v>
      </c>
      <c r="N42" s="242">
        <f>IFERROR(_xlfn.XLOOKUP($A42,Input_Raw!$E:$E,Input_Raw!$BN:$BN),"")</f>
        <v>6.0250000000000004</v>
      </c>
      <c r="O42" s="311">
        <f t="shared" si="6"/>
        <v>0.99686837531573302</v>
      </c>
      <c r="P42" s="311">
        <f>IFERROR(1-SUMIF(WTG_BD!$F:$F,$A42,WTG_BD!$AA:$AA)/($AA42+SUMIF(WTG_BD!$F:$F,$A42,WTG_BD!$AA:$AA)),"")</f>
        <v>0.99686837531573302</v>
      </c>
      <c r="Q42" s="328">
        <f>IFERROR(1-SUMIF(IGA_BD!$F:$F,$A42,IGA_BD!$W:$W)/($AA42+SUMIF(IGA_BD!$F:$F,$A42,IGA_BD!$W:$W)),"")</f>
        <v>1</v>
      </c>
      <c r="R42" s="47">
        <f>IFERROR(1-SUMIF(Grid_BD!$F:$F,$A42,Grid_BD!$Y:$Y)/($AA42+SUMIF(Grid_BD!$F:$F,$A42,Grid_BD!$Y:$Y)),"")</f>
        <v>1</v>
      </c>
      <c r="S42" s="10"/>
      <c r="T42" s="310"/>
      <c r="U42" s="311"/>
      <c r="V42" s="10"/>
      <c r="W42" s="312">
        <f t="shared" si="7"/>
        <v>0.23510375494071156</v>
      </c>
      <c r="X42" s="10">
        <f>IFERROR(_xlfn.XLOOKUP($A42,Input_Raw!$E:$E,Input_Raw!BG:BG),"")</f>
        <v>285510</v>
      </c>
      <c r="Y42" s="10">
        <f>IFERROR(_xlfn.XLOOKUP($A42,Input_Raw!$E:$E,Input_Raw!DF:DF),"")</f>
        <v>277035.00000000972</v>
      </c>
      <c r="Z42" s="319">
        <f>IFERROR(_xlfn.XLOOKUP(A42,Input_Raw!E:E,Input_Raw!CT:CT)/_xlfn.XLOOKUP(A42,Input_Raw!E:E,Input_Raw!CS:CS)*Table13[[#This Row],[Mtr_Export (kWh)]],"")</f>
        <v>412.25446428573088</v>
      </c>
      <c r="AA42" s="43">
        <f t="shared" si="8"/>
        <v>276622.74553572398</v>
      </c>
      <c r="AB42" s="10">
        <f>IFERROR(_xlfn.XLOOKUP($A42,Input_Raw!$E:$E,Input_Raw!$CZ:$CZ),"")</f>
        <v>50.6</v>
      </c>
      <c r="AC42" s="313">
        <f>IFERROR(_xlfn.XLOOKUP($D42,'Modelling New'!$D:$D,'Modelling New'!$J:$J),"")</f>
        <v>7.1310648756787653</v>
      </c>
      <c r="AD42" s="43">
        <f>IFERROR(_xlfn.XLOOKUP($D42,'Modelling New'!$D:$D,'Modelling New'!$T:$T)*1000,"")</f>
        <v>445081.61290322582</v>
      </c>
      <c r="AE42" s="312"/>
      <c r="AF42" s="312">
        <f>IFERROR(_xlfn.XLOOKUP($D42,'Modelling New'!$D:$D,'Modelling New'!$W:$W),"")</f>
        <v>0.36650330443282769</v>
      </c>
      <c r="AG42" s="312">
        <f>IFERROR(_xlfn.XLOOKUP($D42,'Modelling New'!$D:$D,'Modelling New'!$AE:$AE),"")</f>
        <v>0.95549849999999992</v>
      </c>
      <c r="AH42" s="312">
        <f>IFERROR(_xlfn.XLOOKUP($D42,'Modelling New'!$D:$D,'Modelling New'!$AF:$AF),"")</f>
        <v>0.995</v>
      </c>
      <c r="AI42" s="10">
        <f>IFERROR(_xlfn.XLOOKUP($A42,Input_Raw!$E:$E,Input_Raw!$DG:$DG),"")</f>
        <v>287.2</v>
      </c>
      <c r="AJ42" s="10"/>
      <c r="AK42" s="10"/>
      <c r="AL42" s="10"/>
      <c r="AM42" s="10"/>
      <c r="AN42" s="314">
        <f>IFERROR(_xlfn.XLOOKUP($A42,Input_Raw!$E:$E,Input_Raw!$CY:$CY),"")</f>
        <v>9.9028400598524247E-3</v>
      </c>
      <c r="AO42" s="312">
        <f>IFERROR((_xlfn.XLOOKUP($A42,'WTG Reactive Power'!$A:$A,'WTG Reactive Power'!AB:AB))/X42,"")</f>
        <v>0.24851598893208646</v>
      </c>
      <c r="AP42" s="312">
        <f>IFERROR(_xlfn.XLOOKUP($D42,'Modelling New'!$D:$D,'Modelling New'!AK:AK),"")</f>
        <v>0.05</v>
      </c>
      <c r="AQ42" s="312">
        <f>IFERROR(_xlfn.XLOOKUP($D42,'Modelling New'!$D:$D,'Modelling New'!AL:AL),"")</f>
        <v>0.05</v>
      </c>
      <c r="AR42" s="325">
        <f>IFERROR(_xlfn.XLOOKUP($D42,'Modelling New'!$D:$D,'Modelling New'!$N:$N),"")</f>
        <v>50.59999999999998</v>
      </c>
      <c r="AS42" s="325"/>
    </row>
    <row r="43" spans="1:45">
      <c r="A43" s="32">
        <f t="shared" si="9"/>
        <v>45786</v>
      </c>
      <c r="B43" s="43">
        <f>YEAR(Table13[[#This Row],[Date]])+IF(MONTH(Table13[[#This Row],[Date]])&gt;=4,1,0)</f>
        <v>2026</v>
      </c>
      <c r="C43" s="10">
        <f>YEAR(Table13[[#This Row],[Date]])</f>
        <v>2025</v>
      </c>
      <c r="D43" s="309">
        <f>Table13[[#This Row],[Date]]-DAY(Table13[[#This Row],[Date]])+1</f>
        <v>45778</v>
      </c>
      <c r="E43" s="10">
        <f t="shared" si="5"/>
        <v>31</v>
      </c>
      <c r="F43" s="241">
        <f>IFERROR(_xlfn.XLOOKUP($A43,Input_Raw!$E:$E,Input_Raw!DC:DC),"")</f>
        <v>12.083333333333336</v>
      </c>
      <c r="G43" s="242"/>
      <c r="H43" s="242"/>
      <c r="I43" s="242"/>
      <c r="J43" s="242"/>
      <c r="K43" s="243"/>
      <c r="L43" s="242"/>
      <c r="M43" s="242">
        <f>IFERROR(_xlfn.XLOOKUP($A43,Input_Raw!$E:$E,Input_Raw!$BM:$BM),"")</f>
        <v>4.1043478260869559</v>
      </c>
      <c r="N43" s="242">
        <f>IFERROR(_xlfn.XLOOKUP($A43,Input_Raw!$E:$E,Input_Raw!$BN:$BN),"")</f>
        <v>4.5999999999999996</v>
      </c>
      <c r="O43" s="311">
        <f t="shared" si="6"/>
        <v>0.81956231468466589</v>
      </c>
      <c r="P43" s="311">
        <f>IFERROR(1-SUMIF(WTG_BD!$F:$F,$A43,WTG_BD!$AA:$AA)/($AA43+SUMIF(WTG_BD!$F:$F,$A43,WTG_BD!$AA:$AA)),"")</f>
        <v>0.99493845278385107</v>
      </c>
      <c r="Q43" s="328">
        <f>IFERROR(1-SUMIF(IGA_BD!$F:$F,$A43,IGA_BD!$W:$W)/($AA43+SUMIF(IGA_BD!$F:$F,$A43,IGA_BD!$W:$W)),"")</f>
        <v>0.82373167143306159</v>
      </c>
      <c r="R43" s="311">
        <f>IFERROR(1-SUMIF(Grid_BD!$F:$F,$A43,Grid_BD!$Y:$Y)/($AA43+SUMIF(Grid_BD!$F:$F,$A43,Grid_BD!$Y:$Y)),"")</f>
        <v>1</v>
      </c>
      <c r="S43" s="10"/>
      <c r="T43" s="310"/>
      <c r="U43" s="311"/>
      <c r="V43" s="10"/>
      <c r="W43" s="312">
        <f t="shared" si="7"/>
        <v>8.5368988801054049E-2</v>
      </c>
      <c r="X43" s="10">
        <f>IFERROR(_xlfn.XLOOKUP($A43,Input_Raw!$E:$E,Input_Raw!BG:BG),"")</f>
        <v>103672.1</v>
      </c>
      <c r="Y43" s="10">
        <f>IFERROR(_xlfn.XLOOKUP($A43,Input_Raw!$E:$E,Input_Raw!DF:DF),"")</f>
        <v>99660.000000002212</v>
      </c>
      <c r="Z43" s="319">
        <f>IFERROR(_xlfn.XLOOKUP(A43,Input_Raw!E:E,Input_Raw!CT:CT)/_xlfn.XLOOKUP(A43,Input_Raw!E:E,Input_Raw!CS:CS)*Table13[[#This Row],[Mtr_Export (kWh)]],"")</f>
        <v>0</v>
      </c>
      <c r="AA43" s="43">
        <f t="shared" si="8"/>
        <v>99660.000000002212</v>
      </c>
      <c r="AB43" s="10">
        <f>IFERROR(_xlfn.XLOOKUP($A43,Input_Raw!$E:$E,Input_Raw!$CZ:$CZ),"")</f>
        <v>50.6</v>
      </c>
      <c r="AC43" s="313">
        <f>IFERROR(_xlfn.XLOOKUP($D43,'Modelling New'!$D:$D,'Modelling New'!$J:$J),"")</f>
        <v>7.1310648756787653</v>
      </c>
      <c r="AD43" s="43">
        <f>IFERROR(_xlfn.XLOOKUP($D43,'Modelling New'!$D:$D,'Modelling New'!$T:$T)*1000,"")</f>
        <v>445081.61290322582</v>
      </c>
      <c r="AE43" s="312"/>
      <c r="AF43" s="312">
        <f>IFERROR(_xlfn.XLOOKUP($D43,'Modelling New'!$D:$D,'Modelling New'!$W:$W),"")</f>
        <v>0.36650330443282769</v>
      </c>
      <c r="AG43" s="312">
        <f>IFERROR(_xlfn.XLOOKUP($D43,'Modelling New'!$D:$D,'Modelling New'!$AE:$AE),"")</f>
        <v>0.95549849999999992</v>
      </c>
      <c r="AH43" s="312">
        <f>IFERROR(_xlfn.XLOOKUP($D43,'Modelling New'!$D:$D,'Modelling New'!$AF:$AF),"")</f>
        <v>0.995</v>
      </c>
      <c r="AI43" s="10">
        <f>IFERROR(_xlfn.XLOOKUP($A43,Input_Raw!$E:$E,Input_Raw!$DG:$DG),"")</f>
        <v>104.05</v>
      </c>
      <c r="AJ43" s="10"/>
      <c r="AK43" s="10"/>
      <c r="AL43" s="10"/>
      <c r="AM43" s="10"/>
      <c r="AN43" s="314">
        <f>IFERROR(_xlfn.XLOOKUP($A43,Input_Raw!$E:$E,Input_Raw!$CY:$CY),"")</f>
        <v>7.9966329966429939E-3</v>
      </c>
      <c r="AO43" s="312">
        <f>IFERROR((_xlfn.XLOOKUP($A43,'WTG Reactive Power'!$A:$A,'WTG Reactive Power'!AB:AB))/X43,"")</f>
        <v>0.29034330355032839</v>
      </c>
      <c r="AP43" s="312">
        <f>IFERROR(_xlfn.XLOOKUP($D43,'Modelling New'!$D:$D,'Modelling New'!AK:AK),"")</f>
        <v>0.05</v>
      </c>
      <c r="AQ43" s="312">
        <f>IFERROR(_xlfn.XLOOKUP($D43,'Modelling New'!$D:$D,'Modelling New'!AL:AL),"")</f>
        <v>0.05</v>
      </c>
      <c r="AR43" s="325">
        <f>IFERROR(_xlfn.XLOOKUP($D43,'Modelling New'!$D:$D,'Modelling New'!$N:$N),"")</f>
        <v>50.59999999999998</v>
      </c>
      <c r="AS43" s="325"/>
    </row>
    <row r="44" spans="1:45">
      <c r="A44" s="32">
        <f t="shared" si="9"/>
        <v>45787</v>
      </c>
      <c r="B44" s="43">
        <f>YEAR(Table13[[#This Row],[Date]])+IF(MONTH(Table13[[#This Row],[Date]])&gt;=4,1,0)</f>
        <v>2026</v>
      </c>
      <c r="C44" s="10">
        <f>YEAR(Table13[[#This Row],[Date]])</f>
        <v>2025</v>
      </c>
      <c r="D44" s="309">
        <f>Table13[[#This Row],[Date]]-DAY(Table13[[#This Row],[Date]])+1</f>
        <v>45778</v>
      </c>
      <c r="E44" s="10">
        <f t="shared" si="5"/>
        <v>31</v>
      </c>
      <c r="F44" s="241">
        <f>IFERROR(_xlfn.XLOOKUP($A44,Input_Raw!$E:$E,Input_Raw!DC:DC),"")</f>
        <v>12.033333333333333</v>
      </c>
      <c r="G44" s="313"/>
      <c r="H44" s="313"/>
      <c r="I44" s="313"/>
      <c r="J44" s="313"/>
      <c r="K44" s="243"/>
      <c r="L44" s="242"/>
      <c r="M44" s="242">
        <f>IFERROR(_xlfn.XLOOKUP($A44,Input_Raw!$E:$E,Input_Raw!$BM:$BM),"")</f>
        <v>4.6281739130434776</v>
      </c>
      <c r="N44" s="242">
        <f>IFERROR(_xlfn.XLOOKUP($A44,Input_Raw!$E:$E,Input_Raw!$BN:$BN),"")</f>
        <v>4.9000000000000004</v>
      </c>
      <c r="O44" s="311">
        <f t="shared" si="6"/>
        <v>0.92313773000382349</v>
      </c>
      <c r="P44" s="311">
        <f>IFERROR(1-SUMIF(WTG_BD!$F:$F,$A44,WTG_BD!$AA:$AA)/($AA44+SUMIF(WTG_BD!$F:$F,$A44,WTG_BD!$AA:$AA)),"")</f>
        <v>0.9905611125576772</v>
      </c>
      <c r="Q44" s="328">
        <f>IFERROR(1-SUMIF(IGA_BD!$F:$F,$A44,IGA_BD!$W:$W)/($AA44+SUMIF(IGA_BD!$F:$F,$A44,IGA_BD!$W:$W)),"")</f>
        <v>0.93193415156409354</v>
      </c>
      <c r="R44" s="47">
        <f>IFERROR(1-SUMIF(Grid_BD!$F:$F,$A44,Grid_BD!$Y:$Y)/($AA44+SUMIF(Grid_BD!$F:$F,$A44,Grid_BD!$Y:$Y)),"")</f>
        <v>1</v>
      </c>
      <c r="S44" s="10"/>
      <c r="T44" s="310"/>
      <c r="U44" s="311"/>
      <c r="V44" s="10"/>
      <c r="W44" s="312">
        <f t="shared" si="7"/>
        <v>0.13303030303030308</v>
      </c>
      <c r="X44" s="10">
        <f>IFERROR(_xlfn.XLOOKUP($A44,Input_Raw!$E:$E,Input_Raw!BG:BG),"")</f>
        <v>161552</v>
      </c>
      <c r="Y44" s="10">
        <f>IFERROR(_xlfn.XLOOKUP($A44,Input_Raw!$E:$E,Input_Raw!DF:DF),"")</f>
        <v>155594.99999999729</v>
      </c>
      <c r="Z44" s="319">
        <f>IFERROR(_xlfn.XLOOKUP(A44,Input_Raw!E:E,Input_Raw!CT:CT)/_xlfn.XLOOKUP(A44,Input_Raw!E:E,Input_Raw!CS:CS)*Table13[[#This Row],[Mtr_Export (kWh)]],"")</f>
        <v>276.8594306049788</v>
      </c>
      <c r="AA44" s="43">
        <f t="shared" si="8"/>
        <v>155318.1405693923</v>
      </c>
      <c r="AB44" s="10">
        <f>IFERROR(_xlfn.XLOOKUP($A44,Input_Raw!$E:$E,Input_Raw!$CZ:$CZ),"")</f>
        <v>50.6</v>
      </c>
      <c r="AC44" s="313">
        <f>IFERROR(_xlfn.XLOOKUP($D44,'Modelling New'!$D:$D,'Modelling New'!$J:$J),"")</f>
        <v>7.1310648756787653</v>
      </c>
      <c r="AD44" s="43">
        <f>IFERROR(_xlfn.XLOOKUP($D44,'Modelling New'!$D:$D,'Modelling New'!$T:$T)*1000,"")</f>
        <v>445081.61290322582</v>
      </c>
      <c r="AE44" s="312"/>
      <c r="AF44" s="312">
        <f>IFERROR(_xlfn.XLOOKUP($D44,'Modelling New'!$D:$D,'Modelling New'!$W:$W),"")</f>
        <v>0.36650330443282769</v>
      </c>
      <c r="AG44" s="312">
        <f>IFERROR(_xlfn.XLOOKUP($D44,'Modelling New'!$D:$D,'Modelling New'!$AE:$AE),"")</f>
        <v>0.95549849999999992</v>
      </c>
      <c r="AH44" s="312">
        <f>IFERROR(_xlfn.XLOOKUP($D44,'Modelling New'!$D:$D,'Modelling New'!$AF:$AF),"")</f>
        <v>0.995</v>
      </c>
      <c r="AI44" s="10">
        <f>IFERROR(_xlfn.XLOOKUP($A44,Input_Raw!$E:$E,Input_Raw!$DG:$DG),"")</f>
        <v>157.97999999999999</v>
      </c>
      <c r="AJ44" s="10"/>
      <c r="AK44" s="10"/>
      <c r="AL44" s="10"/>
      <c r="AM44" s="10"/>
      <c r="AN44" s="314">
        <f>IFERROR(_xlfn.XLOOKUP($A44,Input_Raw!$E:$E,Input_Raw!$CY:$CY),"")</f>
        <v>7.5622775799903952E-3</v>
      </c>
      <c r="AO44" s="312">
        <f>IFERROR((_xlfn.XLOOKUP($A44,'WTG Reactive Power'!$A:$A,'WTG Reactive Power'!AB:AB))/X44,"")</f>
        <v>0.21970696741606416</v>
      </c>
      <c r="AP44" s="312">
        <f>IFERROR(_xlfn.XLOOKUP($D44,'Modelling New'!$D:$D,'Modelling New'!AK:AK),"")</f>
        <v>0.05</v>
      </c>
      <c r="AQ44" s="312">
        <f>IFERROR(_xlfn.XLOOKUP($D44,'Modelling New'!$D:$D,'Modelling New'!AL:AL),"")</f>
        <v>0.05</v>
      </c>
      <c r="AR44" s="325">
        <f>IFERROR(_xlfn.XLOOKUP($D44,'Modelling New'!$D:$D,'Modelling New'!$N:$N),"")</f>
        <v>50.59999999999998</v>
      </c>
      <c r="AS44" s="325"/>
    </row>
    <row r="45" spans="1:45">
      <c r="A45" s="32">
        <f t="shared" si="9"/>
        <v>45788</v>
      </c>
      <c r="B45" s="43">
        <f>YEAR(Table13[[#This Row],[Date]])+IF(MONTH(Table13[[#This Row],[Date]])&gt;=4,1,0)</f>
        <v>2026</v>
      </c>
      <c r="C45" s="10">
        <f>YEAR(Table13[[#This Row],[Date]])</f>
        <v>2025</v>
      </c>
      <c r="D45" s="309">
        <f>Table13[[#This Row],[Date]]-DAY(Table13[[#This Row],[Date]])+1</f>
        <v>45778</v>
      </c>
      <c r="E45" s="10">
        <f t="shared" si="5"/>
        <v>31</v>
      </c>
      <c r="F45" s="241">
        <f>IFERROR(_xlfn.XLOOKUP($A45,Input_Raw!$E:$E,Input_Raw!DC:DC),"")</f>
        <v>11.916666666666666</v>
      </c>
      <c r="G45" s="242"/>
      <c r="H45" s="242"/>
      <c r="I45" s="242"/>
      <c r="J45" s="242"/>
      <c r="K45" s="243"/>
      <c r="L45" s="242"/>
      <c r="M45" s="242">
        <f>IFERROR(_xlfn.XLOOKUP($A45,Input_Raw!$E:$E,Input_Raw!$BM:$BM),"")</f>
        <v>4.8742608695652176</v>
      </c>
      <c r="N45" s="242">
        <f>IFERROR(_xlfn.XLOOKUP($A45,Input_Raw!$E:$E,Input_Raw!$BN:$BN),"")</f>
        <v>5.4249999999999998</v>
      </c>
      <c r="O45" s="311">
        <f t="shared" si="6"/>
        <v>0.97086106598186583</v>
      </c>
      <c r="P45" s="311">
        <f>IFERROR(1-SUMIF(WTG_BD!$F:$F,$A45,WTG_BD!$AA:$AA)/($AA45+SUMIF(WTG_BD!$F:$F,$A45,WTG_BD!$AA:$AA)),"")</f>
        <v>0.97086106598186583</v>
      </c>
      <c r="Q45" s="328">
        <f>IFERROR(1-SUMIF(IGA_BD!$F:$F,$A45,IGA_BD!$W:$W)/($AA45+SUMIF(IGA_BD!$F:$F,$A45,IGA_BD!$W:$W)),"")</f>
        <v>1</v>
      </c>
      <c r="R45" s="311">
        <f>IFERROR(1-SUMIF(Grid_BD!$F:$F,$A45,Grid_BD!$Y:$Y)/($AA45+SUMIF(Grid_BD!$F:$F,$A45,Grid_BD!$Y:$Y)),"")</f>
        <v>1</v>
      </c>
      <c r="S45" s="10"/>
      <c r="T45" s="310"/>
      <c r="U45" s="311"/>
      <c r="V45" s="10"/>
      <c r="W45" s="312">
        <f t="shared" si="7"/>
        <v>0.17858942687747043</v>
      </c>
      <c r="X45" s="10">
        <f>IFERROR(_xlfn.XLOOKUP($A45,Input_Raw!$E:$E,Input_Raw!BG:BG),"")</f>
        <v>216879</v>
      </c>
      <c r="Y45" s="10">
        <f>IFERROR(_xlfn.XLOOKUP($A45,Input_Raw!$E:$E,Input_Raw!DF:DF),"")</f>
        <v>203774.99999999287</v>
      </c>
      <c r="Z45" s="319">
        <f>IFERROR(_xlfn.XLOOKUP(A45,Input_Raw!E:E,Input_Raw!CT:CT)/_xlfn.XLOOKUP(A45,Input_Raw!E:E,Input_Raw!CS:CS)*Table13[[#This Row],[Mtr_Export (kWh)]],"")</f>
        <v>0</v>
      </c>
      <c r="AA45" s="43">
        <f t="shared" si="8"/>
        <v>203774.99999999287</v>
      </c>
      <c r="AB45" s="10">
        <f>IFERROR(_xlfn.XLOOKUP($A45,Input_Raw!$E:$E,Input_Raw!$CZ:$CZ),"")</f>
        <v>50.6</v>
      </c>
      <c r="AC45" s="313">
        <f>IFERROR(_xlfn.XLOOKUP($D45,'Modelling New'!$D:$D,'Modelling New'!$J:$J),"")</f>
        <v>7.1310648756787653</v>
      </c>
      <c r="AD45" s="43">
        <f>IFERROR(_xlfn.XLOOKUP($D45,'Modelling New'!$D:$D,'Modelling New'!$T:$T)*1000,"")</f>
        <v>445081.61290322582</v>
      </c>
      <c r="AE45" s="312"/>
      <c r="AF45" s="312">
        <f>IFERROR(_xlfn.XLOOKUP($D45,'Modelling New'!$D:$D,'Modelling New'!$W:$W),"")</f>
        <v>0.36650330443282769</v>
      </c>
      <c r="AG45" s="312">
        <f>IFERROR(_xlfn.XLOOKUP($D45,'Modelling New'!$D:$D,'Modelling New'!$AE:$AE),"")</f>
        <v>0.95549849999999992</v>
      </c>
      <c r="AH45" s="312">
        <f>IFERROR(_xlfn.XLOOKUP($D45,'Modelling New'!$D:$D,'Modelling New'!$AF:$AF),"")</f>
        <v>0.995</v>
      </c>
      <c r="AI45" s="10">
        <f>IFERROR(_xlfn.XLOOKUP($A45,Input_Raw!$E:$E,Input_Raw!$DG:$DG),"")</f>
        <v>217.24</v>
      </c>
      <c r="AJ45" s="10"/>
      <c r="AK45" s="10"/>
      <c r="AL45" s="10"/>
      <c r="AM45" s="10"/>
      <c r="AN45" s="314">
        <f>IFERROR(_xlfn.XLOOKUP($A45,Input_Raw!$E:$E,Input_Raw!$CY:$CY),"")</f>
        <v>8.3479789104399238E-3</v>
      </c>
      <c r="AO45" s="312">
        <f>IFERROR((_xlfn.XLOOKUP($A45,'WTG Reactive Power'!$A:$A,'WTG Reactive Power'!AB:AB))/X45,"")</f>
        <v>0.20179362686106078</v>
      </c>
      <c r="AP45" s="312">
        <f>IFERROR(_xlfn.XLOOKUP($D45,'Modelling New'!$D:$D,'Modelling New'!AK:AK),"")</f>
        <v>0.05</v>
      </c>
      <c r="AQ45" s="312">
        <f>IFERROR(_xlfn.XLOOKUP($D45,'Modelling New'!$D:$D,'Modelling New'!AL:AL),"")</f>
        <v>0.05</v>
      </c>
      <c r="AR45" s="325">
        <f>IFERROR(_xlfn.XLOOKUP($D45,'Modelling New'!$D:$D,'Modelling New'!$N:$N),"")</f>
        <v>50.59999999999998</v>
      </c>
      <c r="AS45" s="325"/>
    </row>
    <row r="46" spans="1:45">
      <c r="A46" s="32">
        <f t="shared" si="9"/>
        <v>45789</v>
      </c>
      <c r="B46" s="43">
        <f>YEAR(Table13[[#This Row],[Date]])+IF(MONTH(Table13[[#This Row],[Date]])&gt;=4,1,0)</f>
        <v>2026</v>
      </c>
      <c r="C46" s="10">
        <f>YEAR(Table13[[#This Row],[Date]])</f>
        <v>2025</v>
      </c>
      <c r="D46" s="309">
        <f>Table13[[#This Row],[Date]]-DAY(Table13[[#This Row],[Date]])+1</f>
        <v>45778</v>
      </c>
      <c r="E46" s="10">
        <f t="shared" si="5"/>
        <v>31</v>
      </c>
      <c r="F46" s="241">
        <f>IFERROR(_xlfn.XLOOKUP($A46,Input_Raw!$E:$E,Input_Raw!DC:DC),"")</f>
        <v>11.983333333333334</v>
      </c>
      <c r="G46" s="313"/>
      <c r="H46" s="313"/>
      <c r="I46" s="313"/>
      <c r="J46" s="313"/>
      <c r="K46" s="243"/>
      <c r="L46" s="242"/>
      <c r="M46" s="242">
        <f>IFERROR(_xlfn.XLOOKUP($A46,Input_Raw!$E:$E,Input_Raw!$BM:$BM),"")</f>
        <v>4.8015503096277943</v>
      </c>
      <c r="N46" s="242">
        <f>IFERROR(_xlfn.XLOOKUP($A46,Input_Raw!$E:$E,Input_Raw!$BN:$BN),"")</f>
        <v>5.2602241379310311</v>
      </c>
      <c r="O46" s="311">
        <f t="shared" si="6"/>
        <v>0.82230663550710859</v>
      </c>
      <c r="P46" s="311">
        <f>IFERROR(1-SUMIF(WTG_BD!$F:$F,$A46,WTG_BD!$AA:$AA)/($AA46+SUMIF(WTG_BD!$F:$F,$A46,WTG_BD!$AA:$AA)),"")</f>
        <v>0.98650476040115065</v>
      </c>
      <c r="Q46" s="328">
        <f>IFERROR(1-SUMIF(IGA_BD!$F:$F,$A46,IGA_BD!$W:$W)/($AA46+SUMIF(IGA_BD!$F:$F,$A46,IGA_BD!$W:$W)),"")</f>
        <v>0.83355566897895883</v>
      </c>
      <c r="R46" s="47">
        <f>IFERROR(1-SUMIF(Grid_BD!$F:$F,$A46,Grid_BD!$Y:$Y)/($AA46+SUMIF(Grid_BD!$F:$F,$A46,Grid_BD!$Y:$Y)),"")</f>
        <v>1</v>
      </c>
      <c r="S46" s="10"/>
      <c r="T46" s="310"/>
      <c r="U46" s="311"/>
      <c r="V46" s="10"/>
      <c r="W46" s="312">
        <f t="shared" si="7"/>
        <v>0.12281373517786566</v>
      </c>
      <c r="X46" s="10">
        <f>IFERROR(_xlfn.XLOOKUP($A46,Input_Raw!$E:$E,Input_Raw!BG:BG),"")</f>
        <v>149145</v>
      </c>
      <c r="Y46" s="10">
        <f>IFERROR(_xlfn.XLOOKUP($A46,Input_Raw!$E:$E,Input_Raw!DF:DF),"")</f>
        <v>143715.00000000154</v>
      </c>
      <c r="Z46" s="319">
        <f>IFERROR(_xlfn.XLOOKUP(A46,Input_Raw!E:E,Input_Raw!CT:CT)/_xlfn.XLOOKUP(A46,Input_Raw!E:E,Input_Raw!CS:CS)*Table13[[#This Row],[Mtr_Export (kWh)]],"")</f>
        <v>0</v>
      </c>
      <c r="AA46" s="43">
        <f t="shared" si="8"/>
        <v>143715.00000000154</v>
      </c>
      <c r="AB46" s="10">
        <f>IFERROR(_xlfn.XLOOKUP($A46,Input_Raw!$E:$E,Input_Raw!$CZ:$CZ),"")</f>
        <v>50.6</v>
      </c>
      <c r="AC46" s="313">
        <f>IFERROR(_xlfn.XLOOKUP($D46,'Modelling New'!$D:$D,'Modelling New'!$J:$J),"")</f>
        <v>7.1310648756787653</v>
      </c>
      <c r="AD46" s="43">
        <f>IFERROR(_xlfn.XLOOKUP($D46,'Modelling New'!$D:$D,'Modelling New'!$T:$T)*1000,"")</f>
        <v>445081.61290322582</v>
      </c>
      <c r="AE46" s="312"/>
      <c r="AF46" s="312">
        <f>IFERROR(_xlfn.XLOOKUP($D46,'Modelling New'!$D:$D,'Modelling New'!$W:$W),"")</f>
        <v>0.36650330443282769</v>
      </c>
      <c r="AG46" s="312">
        <f>IFERROR(_xlfn.XLOOKUP($D46,'Modelling New'!$D:$D,'Modelling New'!$AE:$AE),"")</f>
        <v>0.95549849999999992</v>
      </c>
      <c r="AH46" s="312">
        <f>IFERROR(_xlfn.XLOOKUP($D46,'Modelling New'!$D:$D,'Modelling New'!$AF:$AF),"")</f>
        <v>0.995</v>
      </c>
      <c r="AI46" s="10">
        <f>IFERROR(_xlfn.XLOOKUP($A46,Input_Raw!$E:$E,Input_Raw!$DG:$DG),"")</f>
        <v>156.47</v>
      </c>
      <c r="AJ46" s="10"/>
      <c r="AK46" s="10"/>
      <c r="AL46" s="10"/>
      <c r="AM46" s="10"/>
      <c r="AN46" s="314">
        <f>IFERROR(_xlfn.XLOOKUP($A46,Input_Raw!$E:$E,Input_Raw!$CY:$CY),"")</f>
        <v>7.8277886496589399E-3</v>
      </c>
      <c r="AO46" s="312">
        <f>IFERROR((_xlfn.XLOOKUP($A46,'WTG Reactive Power'!$A:$A,'WTG Reactive Power'!AB:AB))/X46,"")</f>
        <v>0.44998826645211037</v>
      </c>
      <c r="AP46" s="312">
        <f>IFERROR(_xlfn.XLOOKUP($D46,'Modelling New'!$D:$D,'Modelling New'!AK:AK),"")</f>
        <v>0.05</v>
      </c>
      <c r="AQ46" s="312">
        <f>IFERROR(_xlfn.XLOOKUP($D46,'Modelling New'!$D:$D,'Modelling New'!AL:AL),"")</f>
        <v>0.05</v>
      </c>
      <c r="AR46" s="325">
        <f>IFERROR(_xlfn.XLOOKUP($D46,'Modelling New'!$D:$D,'Modelling New'!$N:$N),"")</f>
        <v>50.59999999999998</v>
      </c>
      <c r="AS46" s="325"/>
    </row>
    <row r="47" spans="1:45">
      <c r="A47" s="32">
        <f t="shared" si="9"/>
        <v>45790</v>
      </c>
      <c r="B47" s="43">
        <f>YEAR(Table13[[#This Row],[Date]])+IF(MONTH(Table13[[#This Row],[Date]])&gt;=4,1,0)</f>
        <v>2026</v>
      </c>
      <c r="C47" s="10">
        <f>YEAR(Table13[[#This Row],[Date]])</f>
        <v>2025</v>
      </c>
      <c r="D47" s="309">
        <f>Table13[[#This Row],[Date]]-DAY(Table13[[#This Row],[Date]])+1</f>
        <v>45778</v>
      </c>
      <c r="E47" s="10">
        <f t="shared" si="5"/>
        <v>31</v>
      </c>
      <c r="F47" s="241">
        <f>IFERROR(_xlfn.XLOOKUP($A47,Input_Raw!$E:$E,Input_Raw!DC:DC),"")</f>
        <v>10.85</v>
      </c>
      <c r="G47" s="242"/>
      <c r="H47" s="242"/>
      <c r="I47" s="242"/>
      <c r="J47" s="242"/>
      <c r="K47" s="243"/>
      <c r="L47" s="242"/>
      <c r="M47" s="242">
        <f>IFERROR(_xlfn.XLOOKUP($A47,Input_Raw!$E:$E,Input_Raw!$BM:$BM),"")</f>
        <v>4.1043478260869559</v>
      </c>
      <c r="N47" s="242">
        <f>IFERROR(_xlfn.XLOOKUP($A47,Input_Raw!$E:$E,Input_Raw!$BN:$BN),"")</f>
        <v>4.5999999999999996</v>
      </c>
      <c r="O47" s="311">
        <f t="shared" si="6"/>
        <v>0.74265733403972523</v>
      </c>
      <c r="P47" s="311">
        <f>IFERROR(1-SUMIF(WTG_BD!$F:$F,$A47,WTG_BD!$AA:$AA)/($AA47+SUMIF(WTG_BD!$F:$F,$A47,WTG_BD!$AA:$AA)),"")</f>
        <v>0.98310297660300927</v>
      </c>
      <c r="Q47" s="328">
        <f>IFERROR(1-SUMIF(IGA_BD!$F:$F,$A47,IGA_BD!$W:$W)/($AA47+SUMIF(IGA_BD!$F:$F,$A47,IGA_BD!$W:$W)),"")</f>
        <v>0.75542171238854938</v>
      </c>
      <c r="R47" s="311">
        <f>IFERROR(1-SUMIF(Grid_BD!$F:$F,$A47,Grid_BD!$Y:$Y)/($AA47+SUMIF(Grid_BD!$F:$F,$A47,Grid_BD!$Y:$Y)),"")</f>
        <v>1</v>
      </c>
      <c r="S47" s="10"/>
      <c r="T47" s="310"/>
      <c r="U47" s="311"/>
      <c r="V47" s="10"/>
      <c r="W47" s="312">
        <f t="shared" si="7"/>
        <v>7.8863718708827427E-2</v>
      </c>
      <c r="X47" s="10">
        <f>IFERROR(_xlfn.XLOOKUP($A47,Input_Raw!$E:$E,Input_Raw!BG:BG),"")</f>
        <v>95772.099999999991</v>
      </c>
      <c r="Y47" s="10">
        <f>IFERROR(_xlfn.XLOOKUP($A47,Input_Raw!$E:$E,Input_Raw!DF:DF),"")</f>
        <v>92070.000000008178</v>
      </c>
      <c r="Z47" s="319">
        <f>IFERROR(_xlfn.XLOOKUP(A47,Input_Raw!E:E,Input_Raw!CT:CT)/_xlfn.XLOOKUP(A47,Input_Raw!E:E,Input_Raw!CS:CS)*Table13[[#This Row],[Mtr_Export (kWh)]],"")</f>
        <v>200.58823529413772</v>
      </c>
      <c r="AA47" s="43">
        <f t="shared" si="8"/>
        <v>91869.411764714037</v>
      </c>
      <c r="AB47" s="10">
        <f>IFERROR(_xlfn.XLOOKUP($A47,Input_Raw!$E:$E,Input_Raw!$CZ:$CZ),"")</f>
        <v>50.6</v>
      </c>
      <c r="AC47" s="313">
        <f>IFERROR(_xlfn.XLOOKUP($D47,'Modelling New'!$D:$D,'Modelling New'!$J:$J),"")</f>
        <v>7.1310648756787653</v>
      </c>
      <c r="AD47" s="43">
        <f>IFERROR(_xlfn.XLOOKUP($D47,'Modelling New'!$D:$D,'Modelling New'!$T:$T)*1000,"")</f>
        <v>445081.61290322582</v>
      </c>
      <c r="AE47" s="312"/>
      <c r="AF47" s="312">
        <f>IFERROR(_xlfn.XLOOKUP($D47,'Modelling New'!$D:$D,'Modelling New'!$W:$W),"")</f>
        <v>0.36650330443282769</v>
      </c>
      <c r="AG47" s="312">
        <f>IFERROR(_xlfn.XLOOKUP($D47,'Modelling New'!$D:$D,'Modelling New'!$AE:$AE),"")</f>
        <v>0.95549849999999992</v>
      </c>
      <c r="AH47" s="312">
        <f>IFERROR(_xlfn.XLOOKUP($D47,'Modelling New'!$D:$D,'Modelling New'!$AF:$AF),"")</f>
        <v>0.995</v>
      </c>
      <c r="AI47" s="10">
        <f>IFERROR(_xlfn.XLOOKUP($A47,Input_Raw!$E:$E,Input_Raw!$DG:$DG),"")</f>
        <v>100.56</v>
      </c>
      <c r="AJ47" s="10"/>
      <c r="AK47" s="10"/>
      <c r="AL47" s="10"/>
      <c r="AM47" s="10"/>
      <c r="AN47" s="314">
        <f>IFERROR(_xlfn.XLOOKUP($A47,Input_Raw!$E:$E,Input_Raw!$CY:$CY),"")</f>
        <v>1.0667396061335488E-2</v>
      </c>
      <c r="AO47" s="312">
        <f>IFERROR((_xlfn.XLOOKUP($A47,'WTG Reactive Power'!$A:$A,'WTG Reactive Power'!AB:AB))/X47,"")</f>
        <v>0.87395807338462883</v>
      </c>
      <c r="AP47" s="312">
        <f>IFERROR(_xlfn.XLOOKUP($D47,'Modelling New'!$D:$D,'Modelling New'!AK:AK),"")</f>
        <v>0.05</v>
      </c>
      <c r="AQ47" s="312">
        <f>IFERROR(_xlfn.XLOOKUP($D47,'Modelling New'!$D:$D,'Modelling New'!AL:AL),"")</f>
        <v>0.05</v>
      </c>
      <c r="AR47" s="325">
        <f>IFERROR(_xlfn.XLOOKUP($D47,'Modelling New'!$D:$D,'Modelling New'!$N:$N),"")</f>
        <v>50.59999999999998</v>
      </c>
      <c r="AS47" s="325"/>
    </row>
    <row r="48" spans="1:45">
      <c r="A48" s="32">
        <f t="shared" si="9"/>
        <v>45791</v>
      </c>
      <c r="B48" s="43">
        <f>YEAR(Table13[[#This Row],[Date]])+IF(MONTH(Table13[[#This Row],[Date]])&gt;=4,1,0)</f>
        <v>2026</v>
      </c>
      <c r="C48" s="10">
        <f>YEAR(Table13[[#This Row],[Date]])</f>
        <v>2025</v>
      </c>
      <c r="D48" s="309">
        <f>Table13[[#This Row],[Date]]-DAY(Table13[[#This Row],[Date]])+1</f>
        <v>45778</v>
      </c>
      <c r="E48" s="10">
        <f t="shared" si="5"/>
        <v>31</v>
      </c>
      <c r="F48" s="241">
        <f>IFERROR(_xlfn.XLOOKUP($A48,Input_Raw!$E:$E,Input_Raw!DC:DC),"")</f>
        <v>12.066666666666666</v>
      </c>
      <c r="G48" s="313"/>
      <c r="H48" s="313"/>
      <c r="I48" s="313"/>
      <c r="J48" s="313"/>
      <c r="K48" s="243"/>
      <c r="L48" s="242"/>
      <c r="M48" s="242">
        <f>IFERROR(_xlfn.XLOOKUP($A48,Input_Raw!$E:$E,Input_Raw!$BM:$BM),"")</f>
        <v>3.4739130434782606</v>
      </c>
      <c r="N48" s="242">
        <f>IFERROR(_xlfn.XLOOKUP($A48,Input_Raw!$E:$E,Input_Raw!$BN:$BN),"")</f>
        <v>4</v>
      </c>
      <c r="O48" s="311">
        <f t="shared" si="6"/>
        <v>0.60433287078752962</v>
      </c>
      <c r="P48" s="311">
        <f>IFERROR(1-SUMIF(WTG_BD!$F:$F,$A48,WTG_BD!$AA:$AA)/($AA48+SUMIF(WTG_BD!$F:$F,$A48,WTG_BD!$AA:$AA)),"")</f>
        <v>0.98665165648118158</v>
      </c>
      <c r="Q48" s="328">
        <f>IFERROR(1-SUMIF(IGA_BD!$F:$F,$A48,IGA_BD!$W:$W)/($AA48+SUMIF(IGA_BD!$F:$F,$A48,IGA_BD!$W:$W)),"")</f>
        <v>0.61250884931652272</v>
      </c>
      <c r="R48" s="47">
        <f>IFERROR(1-SUMIF(Grid_BD!$F:$F,$A48,Grid_BD!$Y:$Y)/($AA48+SUMIF(Grid_BD!$F:$F,$A48,Grid_BD!$Y:$Y)),"")</f>
        <v>1</v>
      </c>
      <c r="S48" s="10"/>
      <c r="T48" s="310"/>
      <c r="U48" s="311"/>
      <c r="V48" s="10"/>
      <c r="W48" s="312">
        <f t="shared" si="7"/>
        <v>5.700131752305667E-2</v>
      </c>
      <c r="X48" s="10">
        <f>IFERROR(_xlfn.XLOOKUP($A48,Input_Raw!$E:$E,Input_Raw!BG:BG),"")</f>
        <v>69222.399999999994</v>
      </c>
      <c r="Y48" s="10">
        <f>IFERROR(_xlfn.XLOOKUP($A48,Input_Raw!$E:$E,Input_Raw!DF:DF),"")</f>
        <v>67484.999999989261</v>
      </c>
      <c r="Z48" s="319">
        <f>IFERROR(_xlfn.XLOOKUP(A48,Input_Raw!E:E,Input_Raw!CT:CT)/_xlfn.XLOOKUP(A48,Input_Raw!E:E,Input_Raw!CS:CS)*Table13[[#This Row],[Mtr_Export (kWh)]],"")</f>
        <v>0</v>
      </c>
      <c r="AA48" s="43">
        <f t="shared" si="8"/>
        <v>67484.999999989261</v>
      </c>
      <c r="AB48" s="10">
        <f>IFERROR(_xlfn.XLOOKUP($A48,Input_Raw!$E:$E,Input_Raw!$CZ:$CZ),"")</f>
        <v>50.6</v>
      </c>
      <c r="AC48" s="313">
        <f>IFERROR(_xlfn.XLOOKUP($D48,'Modelling New'!$D:$D,'Modelling New'!$J:$J),"")</f>
        <v>7.1310648756787653</v>
      </c>
      <c r="AD48" s="43">
        <f>IFERROR(_xlfn.XLOOKUP($D48,'Modelling New'!$D:$D,'Modelling New'!$T:$T)*1000,"")</f>
        <v>445081.61290322582</v>
      </c>
      <c r="AE48" s="312"/>
      <c r="AF48" s="312">
        <f>IFERROR(_xlfn.XLOOKUP($D48,'Modelling New'!$D:$D,'Modelling New'!$W:$W),"")</f>
        <v>0.36650330443282769</v>
      </c>
      <c r="AG48" s="312">
        <f>IFERROR(_xlfn.XLOOKUP($D48,'Modelling New'!$D:$D,'Modelling New'!$AE:$AE),"")</f>
        <v>0.95549849999999992</v>
      </c>
      <c r="AH48" s="312">
        <f>IFERROR(_xlfn.XLOOKUP($D48,'Modelling New'!$D:$D,'Modelling New'!$AF:$AF),"")</f>
        <v>0.995</v>
      </c>
      <c r="AI48" s="10">
        <f>IFERROR(_xlfn.XLOOKUP($A48,Input_Raw!$E:$E,Input_Raw!$DG:$DG),"")</f>
        <v>70.819999999999993</v>
      </c>
      <c r="AJ48" s="10"/>
      <c r="AK48" s="10"/>
      <c r="AL48" s="10"/>
      <c r="AM48" s="10"/>
      <c r="AN48" s="314">
        <f>IFERROR(_xlfn.XLOOKUP($A48,Input_Raw!$E:$E,Input_Raw!$CY:$CY),"")</f>
        <v>4.7901459853980644E-3</v>
      </c>
      <c r="AO48" s="312">
        <f>IFERROR((_xlfn.XLOOKUP($A48,'WTG Reactive Power'!$A:$A,'WTG Reactive Power'!AB:AB))/X48,"")</f>
        <v>0.12189406897189349</v>
      </c>
      <c r="AP48" s="312">
        <f>IFERROR(_xlfn.XLOOKUP($D48,'Modelling New'!$D:$D,'Modelling New'!AK:AK),"")</f>
        <v>0.05</v>
      </c>
      <c r="AQ48" s="312">
        <f>IFERROR(_xlfn.XLOOKUP($D48,'Modelling New'!$D:$D,'Modelling New'!AL:AL),"")</f>
        <v>0.05</v>
      </c>
      <c r="AR48" s="325">
        <f>IFERROR(_xlfn.XLOOKUP($D48,'Modelling New'!$D:$D,'Modelling New'!$N:$N),"")</f>
        <v>50.59999999999998</v>
      </c>
      <c r="AS48" s="325"/>
    </row>
    <row r="49" spans="1:45">
      <c r="A49" s="32">
        <f t="shared" si="9"/>
        <v>45792</v>
      </c>
      <c r="B49" s="43">
        <f>YEAR(Table13[[#This Row],[Date]])+IF(MONTH(Table13[[#This Row],[Date]])&gt;=4,1,0)</f>
        <v>2026</v>
      </c>
      <c r="C49" s="10">
        <f>YEAR(Table13[[#This Row],[Date]])</f>
        <v>2025</v>
      </c>
      <c r="D49" s="309">
        <f>Table13[[#This Row],[Date]]-DAY(Table13[[#This Row],[Date]])+1</f>
        <v>45778</v>
      </c>
      <c r="E49" s="10">
        <f t="shared" si="5"/>
        <v>31</v>
      </c>
      <c r="F49" s="241">
        <f>IFERROR(_xlfn.XLOOKUP($A49,Input_Raw!$E:$E,Input_Raw!DC:DC),"")</f>
        <v>10.966666666666667</v>
      </c>
      <c r="G49" s="242"/>
      <c r="H49" s="242"/>
      <c r="I49" s="242"/>
      <c r="J49" s="242"/>
      <c r="K49" s="243"/>
      <c r="L49" s="242"/>
      <c r="M49" s="242">
        <f>IFERROR(_xlfn.XLOOKUP($A49,Input_Raw!$E:$E,Input_Raw!$BM:$BM),"")</f>
        <v>4.0913043478260871</v>
      </c>
      <c r="N49" s="242">
        <f>IFERROR(_xlfn.XLOOKUP($A49,Input_Raw!$E:$E,Input_Raw!$BN:$BN),"")</f>
        <v>4.4000000000000004</v>
      </c>
      <c r="O49" s="311">
        <f t="shared" si="6"/>
        <v>0.99303005008347245</v>
      </c>
      <c r="P49" s="311">
        <f>IFERROR(1-SUMIF(WTG_BD!$F:$F,$A49,WTG_BD!$AA:$AA)/($AA49+SUMIF(WTG_BD!$F:$F,$A49,WTG_BD!$AA:$AA)),"")</f>
        <v>0.99303005008347245</v>
      </c>
      <c r="Q49" s="328">
        <f>IFERROR(1-SUMIF(IGA_BD!$F:$F,$A49,IGA_BD!$W:$W)/($AA49+SUMIF(IGA_BD!$F:$F,$A49,IGA_BD!$W:$W)),"")</f>
        <v>1</v>
      </c>
      <c r="R49" s="311">
        <f>IFERROR(1-SUMIF(Grid_BD!$F:$F,$A49,Grid_BD!$Y:$Y)/($AA49+SUMIF(Grid_BD!$F:$F,$A49,Grid_BD!$Y:$Y)),"")</f>
        <v>1</v>
      </c>
      <c r="S49" s="10"/>
      <c r="T49" s="310"/>
      <c r="U49" s="311"/>
      <c r="V49" s="10"/>
      <c r="W49" s="312">
        <f t="shared" si="7"/>
        <v>0.10101202239789199</v>
      </c>
      <c r="X49" s="10">
        <f>IFERROR(_xlfn.XLOOKUP($A49,Input_Raw!$E:$E,Input_Raw!BG:BG),"")</f>
        <v>122668.99999999999</v>
      </c>
      <c r="Y49" s="10">
        <f>IFERROR(_xlfn.XLOOKUP($A49,Input_Raw!$E:$E,Input_Raw!DF:DF),"")</f>
        <v>118965.00000000061</v>
      </c>
      <c r="Z49" s="319">
        <f>IFERROR(_xlfn.XLOOKUP(A49,Input_Raw!E:E,Input_Raw!CT:CT)/_xlfn.XLOOKUP(A49,Input_Raw!E:E,Input_Raw!CS:CS)*Table13[[#This Row],[Mtr_Export (kWh)]],"")</f>
        <v>0</v>
      </c>
      <c r="AA49" s="43">
        <f t="shared" si="8"/>
        <v>118965.00000000061</v>
      </c>
      <c r="AB49" s="10">
        <f>IFERROR(_xlfn.XLOOKUP($A49,Input_Raw!$E:$E,Input_Raw!$CZ:$CZ),"")</f>
        <v>50.6</v>
      </c>
      <c r="AC49" s="313">
        <f>IFERROR(_xlfn.XLOOKUP($D49,'Modelling New'!$D:$D,'Modelling New'!$J:$J),"")</f>
        <v>7.1310648756787653</v>
      </c>
      <c r="AD49" s="43">
        <f>IFERROR(_xlfn.XLOOKUP($D49,'Modelling New'!$D:$D,'Modelling New'!$T:$T)*1000,"")</f>
        <v>445081.61290322582</v>
      </c>
      <c r="AE49" s="312"/>
      <c r="AF49" s="312">
        <f>IFERROR(_xlfn.XLOOKUP($D49,'Modelling New'!$D:$D,'Modelling New'!$W:$W),"")</f>
        <v>0.36650330443282769</v>
      </c>
      <c r="AG49" s="312">
        <f>IFERROR(_xlfn.XLOOKUP($D49,'Modelling New'!$D:$D,'Modelling New'!$AE:$AE),"")</f>
        <v>0.95549849999999992</v>
      </c>
      <c r="AH49" s="312">
        <f>IFERROR(_xlfn.XLOOKUP($D49,'Modelling New'!$D:$D,'Modelling New'!$AF:$AF),"")</f>
        <v>0.995</v>
      </c>
      <c r="AI49" s="10">
        <f>IFERROR(_xlfn.XLOOKUP($A49,Input_Raw!$E:$E,Input_Raw!$DG:$DG),"")</f>
        <v>123.77</v>
      </c>
      <c r="AJ49" s="10"/>
      <c r="AK49" s="10"/>
      <c r="AL49" s="10"/>
      <c r="AM49" s="10"/>
      <c r="AN49" s="314">
        <f>IFERROR(_xlfn.XLOOKUP($A49,Input_Raw!$E:$E,Input_Raw!$CY:$CY),"")</f>
        <v>9.3042071196565157E-3</v>
      </c>
      <c r="AO49" s="312">
        <f>IFERROR((_xlfn.XLOOKUP($A49,'WTG Reactive Power'!$A:$A,'WTG Reactive Power'!AB:AB))/X49,"")</f>
        <v>0.78574211903577929</v>
      </c>
      <c r="AP49" s="312">
        <f>IFERROR(_xlfn.XLOOKUP($D49,'Modelling New'!$D:$D,'Modelling New'!AK:AK),"")</f>
        <v>0.05</v>
      </c>
      <c r="AQ49" s="312">
        <f>IFERROR(_xlfn.XLOOKUP($D49,'Modelling New'!$D:$D,'Modelling New'!AL:AL),"")</f>
        <v>0.05</v>
      </c>
      <c r="AR49" s="325">
        <f>IFERROR(_xlfn.XLOOKUP($D49,'Modelling New'!$D:$D,'Modelling New'!$N:$N),"")</f>
        <v>50.59999999999998</v>
      </c>
      <c r="AS49" s="325"/>
    </row>
    <row r="50" spans="1:45">
      <c r="A50" s="32">
        <f t="shared" si="9"/>
        <v>45793</v>
      </c>
      <c r="B50" s="43">
        <f>YEAR(Table13[[#This Row],[Date]])+IF(MONTH(Table13[[#This Row],[Date]])&gt;=4,1,0)</f>
        <v>2026</v>
      </c>
      <c r="C50" s="10">
        <f>YEAR(Table13[[#This Row],[Date]])</f>
        <v>2025</v>
      </c>
      <c r="D50" s="309">
        <f>Table13[[#This Row],[Date]]-DAY(Table13[[#This Row],[Date]])+1</f>
        <v>45778</v>
      </c>
      <c r="E50" s="10">
        <f t="shared" si="5"/>
        <v>31</v>
      </c>
      <c r="F50" s="241">
        <f>IFERROR(_xlfn.XLOOKUP($A50,Input_Raw!$E:$E,Input_Raw!DC:DC),"")</f>
        <v>12.216666666666669</v>
      </c>
      <c r="G50" s="313"/>
      <c r="H50" s="313"/>
      <c r="I50" s="313"/>
      <c r="J50" s="313"/>
      <c r="K50" s="243"/>
      <c r="L50" s="242"/>
      <c r="M50" s="242">
        <f>IFERROR(_xlfn.XLOOKUP($A50,Input_Raw!$E:$E,Input_Raw!$BM:$BM),"")</f>
        <v>4.6782608695652179</v>
      </c>
      <c r="N50" s="242">
        <f>IFERROR(_xlfn.XLOOKUP($A50,Input_Raw!$E:$E,Input_Raw!$BN:$BN),"")</f>
        <v>5</v>
      </c>
      <c r="O50" s="311">
        <f t="shared" si="6"/>
        <v>0.98607472504948179</v>
      </c>
      <c r="P50" s="311">
        <f>IFERROR(1-SUMIF(WTG_BD!$F:$F,$A50,WTG_BD!$AA:$AA)/($AA50+SUMIF(WTG_BD!$F:$F,$A50,WTG_BD!$AA:$AA)),"")</f>
        <v>0.98607472504948179</v>
      </c>
      <c r="Q50" s="328">
        <f>IFERROR(1-SUMIF(IGA_BD!$F:$F,$A50,IGA_BD!$W:$W)/($AA50+SUMIF(IGA_BD!$F:$F,$A50,IGA_BD!$W:$W)),"")</f>
        <v>1</v>
      </c>
      <c r="R50" s="47">
        <f>IFERROR(1-SUMIF(Grid_BD!$F:$F,$A50,Grid_BD!$Y:$Y)/($AA50+SUMIF(Grid_BD!$F:$F,$A50,Grid_BD!$Y:$Y)),"")</f>
        <v>1</v>
      </c>
      <c r="S50" s="10"/>
      <c r="T50" s="310"/>
      <c r="U50" s="311"/>
      <c r="V50" s="10"/>
      <c r="W50" s="312">
        <f t="shared" si="7"/>
        <v>0.13177824440052707</v>
      </c>
      <c r="X50" s="10">
        <f>IFERROR(_xlfn.XLOOKUP($A50,Input_Raw!$E:$E,Input_Raw!BG:BG),"")</f>
        <v>160031.5</v>
      </c>
      <c r="Y50" s="10">
        <f>IFERROR(_xlfn.XLOOKUP($A50,Input_Raw!$E:$E,Input_Raw!DF:DF),"")</f>
        <v>153945.00000000349</v>
      </c>
      <c r="Z50" s="319">
        <f>IFERROR(_xlfn.XLOOKUP(A50,Input_Raw!E:E,Input_Raw!CT:CT)/_xlfn.XLOOKUP(A50,Input_Raw!E:E,Input_Raw!CS:CS)*Table13[[#This Row],[Mtr_Export (kWh)]],"")</f>
        <v>0</v>
      </c>
      <c r="AA50" s="43">
        <f t="shared" si="8"/>
        <v>153945.00000000349</v>
      </c>
      <c r="AB50" s="10">
        <f>IFERROR(_xlfn.XLOOKUP($A50,Input_Raw!$E:$E,Input_Raw!$CZ:$CZ),"")</f>
        <v>50.6</v>
      </c>
      <c r="AC50" s="313">
        <f>IFERROR(_xlfn.XLOOKUP($D50,'Modelling New'!$D:$D,'Modelling New'!$J:$J),"")</f>
        <v>7.1310648756787653</v>
      </c>
      <c r="AD50" s="43">
        <f>IFERROR(_xlfn.XLOOKUP($D50,'Modelling New'!$D:$D,'Modelling New'!$T:$T)*1000,"")</f>
        <v>445081.61290322582</v>
      </c>
      <c r="AE50" s="312"/>
      <c r="AF50" s="312">
        <f>IFERROR(_xlfn.XLOOKUP($D50,'Modelling New'!$D:$D,'Modelling New'!$W:$W),"")</f>
        <v>0.36650330443282769</v>
      </c>
      <c r="AG50" s="312">
        <f>IFERROR(_xlfn.XLOOKUP($D50,'Modelling New'!$D:$D,'Modelling New'!$AE:$AE),"")</f>
        <v>0.95549849999999992</v>
      </c>
      <c r="AH50" s="312">
        <f>IFERROR(_xlfn.XLOOKUP($D50,'Modelling New'!$D:$D,'Modelling New'!$AF:$AF),"")</f>
        <v>0.995</v>
      </c>
      <c r="AI50" s="10">
        <f>IFERROR(_xlfn.XLOOKUP($A50,Input_Raw!$E:$E,Input_Raw!$DG:$DG),"")</f>
        <v>160.18</v>
      </c>
      <c r="AJ50" s="10"/>
      <c r="AK50" s="10"/>
      <c r="AL50" s="10"/>
      <c r="AM50" s="10"/>
      <c r="AN50" s="314">
        <f>IFERROR(_xlfn.XLOOKUP($A50,Input_Raw!$E:$E,Input_Raw!$CY:$CY),"")</f>
        <v>1.3434579439258965E-2</v>
      </c>
      <c r="AO50" s="312">
        <f>IFERROR((_xlfn.XLOOKUP($A50,'WTG Reactive Power'!$A:$A,'WTG Reactive Power'!AB:AB))/X50,"")</f>
        <v>0.87746224961960639</v>
      </c>
      <c r="AP50" s="312">
        <f>IFERROR(_xlfn.XLOOKUP($D50,'Modelling New'!$D:$D,'Modelling New'!AK:AK),"")</f>
        <v>0.05</v>
      </c>
      <c r="AQ50" s="312">
        <f>IFERROR(_xlfn.XLOOKUP($D50,'Modelling New'!$D:$D,'Modelling New'!AL:AL),"")</f>
        <v>0.05</v>
      </c>
      <c r="AR50" s="325">
        <f>IFERROR(_xlfn.XLOOKUP($D50,'Modelling New'!$D:$D,'Modelling New'!$N:$N),"")</f>
        <v>50.59999999999998</v>
      </c>
      <c r="AS50" s="325"/>
    </row>
    <row r="51" spans="1:45">
      <c r="A51" s="32">
        <f t="shared" si="9"/>
        <v>45794</v>
      </c>
      <c r="B51" s="43">
        <f>YEAR(Table13[[#This Row],[Date]])+IF(MONTH(Table13[[#This Row],[Date]])&gt;=4,1,0)</f>
        <v>2026</v>
      </c>
      <c r="C51" s="10">
        <f>YEAR(Table13[[#This Row],[Date]])</f>
        <v>2025</v>
      </c>
      <c r="D51" s="309">
        <f>Table13[[#This Row],[Date]]-DAY(Table13[[#This Row],[Date]])+1</f>
        <v>45778</v>
      </c>
      <c r="E51" s="10">
        <f t="shared" si="5"/>
        <v>31</v>
      </c>
      <c r="F51" s="241">
        <f>IFERROR(_xlfn.XLOOKUP($A51,Input_Raw!$E:$E,Input_Raw!DC:DC),"")</f>
        <v>12.150000000000002</v>
      </c>
      <c r="G51" s="242"/>
      <c r="H51" s="242"/>
      <c r="I51" s="242"/>
      <c r="J51" s="242"/>
      <c r="K51" s="243"/>
      <c r="L51" s="242"/>
      <c r="M51" s="242">
        <f>IFERROR(_xlfn.XLOOKUP($A51,Input_Raw!$E:$E,Input_Raw!$BM:$BM),"")</f>
        <v>5.0739130434782611</v>
      </c>
      <c r="N51" s="242">
        <f>IFERROR(_xlfn.XLOOKUP($A51,Input_Raw!$E:$E,Input_Raw!$BN:$BN),"")</f>
        <v>5.4</v>
      </c>
      <c r="O51" s="311">
        <f t="shared" si="6"/>
        <v>0.99847793403009943</v>
      </c>
      <c r="P51" s="311">
        <f>IFERROR(1-SUMIF(WTG_BD!$F:$F,$A51,WTG_BD!$AA:$AA)/($AA51+SUMIF(WTG_BD!$F:$F,$A51,WTG_BD!$AA:$AA)),"")</f>
        <v>0.99847793403009943</v>
      </c>
      <c r="Q51" s="328">
        <f>IFERROR(1-SUMIF(IGA_BD!$F:$F,$A51,IGA_BD!$W:$W)/($AA51+SUMIF(IGA_BD!$F:$F,$A51,IGA_BD!$W:$W)),"")</f>
        <v>1</v>
      </c>
      <c r="R51" s="311">
        <f>IFERROR(1-SUMIF(Grid_BD!$F:$F,$A51,Grid_BD!$Y:$Y)/($AA51+SUMIF(Grid_BD!$F:$F,$A51,Grid_BD!$Y:$Y)),"")</f>
        <v>1</v>
      </c>
      <c r="S51" s="10"/>
      <c r="T51" s="310"/>
      <c r="U51" s="311"/>
      <c r="V51" s="10"/>
      <c r="W51" s="312">
        <f t="shared" si="7"/>
        <v>0.19634552042160744</v>
      </c>
      <c r="X51" s="10">
        <f>IFERROR(_xlfn.XLOOKUP($A51,Input_Raw!$E:$E,Input_Raw!BG:BG),"")</f>
        <v>238441.99999999997</v>
      </c>
      <c r="Y51" s="10">
        <f>IFERROR(_xlfn.XLOOKUP($A51,Input_Raw!$E:$E,Input_Raw!DF:DF),"")</f>
        <v>230669.99999999467</v>
      </c>
      <c r="Z51" s="319">
        <f>IFERROR(_xlfn.XLOOKUP(A51,Input_Raw!E:E,Input_Raw!CT:CT)/_xlfn.XLOOKUP(A51,Input_Raw!E:E,Input_Raw!CS:CS)*Table13[[#This Row],[Mtr_Export (kWh)]],"")</f>
        <v>413.38709677418973</v>
      </c>
      <c r="AA51" s="43">
        <f t="shared" si="8"/>
        <v>230256.61290322049</v>
      </c>
      <c r="AB51" s="10">
        <f>IFERROR(_xlfn.XLOOKUP($A51,Input_Raw!$E:$E,Input_Raw!$CZ:$CZ),"")</f>
        <v>50.6</v>
      </c>
      <c r="AC51" s="313">
        <f>IFERROR(_xlfn.XLOOKUP($D51,'Modelling New'!$D:$D,'Modelling New'!$J:$J),"")</f>
        <v>7.1310648756787653</v>
      </c>
      <c r="AD51" s="43">
        <f>IFERROR(_xlfn.XLOOKUP($D51,'Modelling New'!$D:$D,'Modelling New'!$T:$T)*1000,"")</f>
        <v>445081.61290322582</v>
      </c>
      <c r="AE51" s="312"/>
      <c r="AF51" s="312">
        <f>IFERROR(_xlfn.XLOOKUP($D51,'Modelling New'!$D:$D,'Modelling New'!$W:$W),"")</f>
        <v>0.36650330443282769</v>
      </c>
      <c r="AG51" s="312">
        <f>IFERROR(_xlfn.XLOOKUP($D51,'Modelling New'!$D:$D,'Modelling New'!$AE:$AE),"")</f>
        <v>0.95549849999999992</v>
      </c>
      <c r="AH51" s="312">
        <f>IFERROR(_xlfn.XLOOKUP($D51,'Modelling New'!$D:$D,'Modelling New'!$AF:$AF),"")</f>
        <v>0.995</v>
      </c>
      <c r="AI51" s="10">
        <f>IFERROR(_xlfn.XLOOKUP($A51,Input_Raw!$E:$E,Input_Raw!$DG:$DG),"")</f>
        <v>238.47</v>
      </c>
      <c r="AJ51" s="10"/>
      <c r="AK51" s="10"/>
      <c r="AL51" s="10"/>
      <c r="AM51" s="10"/>
      <c r="AN51" s="314">
        <f>IFERROR(_xlfn.XLOOKUP($A51,Input_Raw!$E:$E,Input_Raw!$CY:$CY),"")</f>
        <v>9.1845878136760373E-3</v>
      </c>
      <c r="AO51" s="312">
        <f>IFERROR((_xlfn.XLOOKUP($A51,'WTG Reactive Power'!$A:$A,'WTG Reactive Power'!AB:AB))/X51,"")</f>
        <v>0.44729703659590175</v>
      </c>
      <c r="AP51" s="312">
        <f>IFERROR(_xlfn.XLOOKUP($D51,'Modelling New'!$D:$D,'Modelling New'!AK:AK),"")</f>
        <v>0.05</v>
      </c>
      <c r="AQ51" s="312">
        <f>IFERROR(_xlfn.XLOOKUP($D51,'Modelling New'!$D:$D,'Modelling New'!AL:AL),"")</f>
        <v>0.05</v>
      </c>
      <c r="AR51" s="325">
        <f>IFERROR(_xlfn.XLOOKUP($D51,'Modelling New'!$D:$D,'Modelling New'!$N:$N),"")</f>
        <v>50.59999999999998</v>
      </c>
      <c r="AS51" s="325"/>
    </row>
    <row r="52" spans="1:45">
      <c r="A52" s="32">
        <f t="shared" si="9"/>
        <v>45795</v>
      </c>
      <c r="B52" s="43">
        <f>YEAR(Table13[[#This Row],[Date]])+IF(MONTH(Table13[[#This Row],[Date]])&gt;=4,1,0)</f>
        <v>2026</v>
      </c>
      <c r="C52" s="10">
        <f>YEAR(Table13[[#This Row],[Date]])</f>
        <v>2025</v>
      </c>
      <c r="D52" s="309">
        <f>Table13[[#This Row],[Date]]-DAY(Table13[[#This Row],[Date]])+1</f>
        <v>45778</v>
      </c>
      <c r="E52" s="10">
        <f t="shared" si="5"/>
        <v>31</v>
      </c>
      <c r="F52" s="241">
        <f>IFERROR(_xlfn.XLOOKUP($A52,Input_Raw!$E:$E,Input_Raw!DC:DC),"")</f>
        <v>12.216666666666669</v>
      </c>
      <c r="G52" s="313"/>
      <c r="H52" s="313"/>
      <c r="I52" s="313"/>
      <c r="J52" s="313"/>
      <c r="K52" s="243"/>
      <c r="L52" s="242"/>
      <c r="M52" s="242">
        <f>IFERROR(_xlfn.XLOOKUP($A52,Input_Raw!$E:$E,Input_Raw!$BM:$BM),"")</f>
        <v>4.321739130434783</v>
      </c>
      <c r="N52" s="242">
        <f>IFERROR(_xlfn.XLOOKUP($A52,Input_Raw!$E:$E,Input_Raw!$BN:$BN),"")</f>
        <v>4.8</v>
      </c>
      <c r="O52" s="311">
        <f t="shared" si="6"/>
        <v>0.87122757299609899</v>
      </c>
      <c r="P52" s="311">
        <f>IFERROR(1-SUMIF(WTG_BD!$F:$F,$A52,WTG_BD!$AA:$AA)/($AA52+SUMIF(WTG_BD!$F:$F,$A52,WTG_BD!$AA:$AA)),"")</f>
        <v>0.99053605480613005</v>
      </c>
      <c r="Q52" s="328">
        <f>IFERROR(1-SUMIF(IGA_BD!$F:$F,$A52,IGA_BD!$W:$W)/($AA52+SUMIF(IGA_BD!$F:$F,$A52,IGA_BD!$W:$W)),"")</f>
        <v>0.87955160114451125</v>
      </c>
      <c r="R52" s="47">
        <f>IFERROR(1-SUMIF(Grid_BD!$F:$F,$A52,Grid_BD!$Y:$Y)/($AA52+SUMIF(Grid_BD!$F:$F,$A52,Grid_BD!$Y:$Y)),"")</f>
        <v>1</v>
      </c>
      <c r="S52" s="10"/>
      <c r="T52" s="310"/>
      <c r="U52" s="311"/>
      <c r="V52" s="10"/>
      <c r="W52" s="312">
        <f t="shared" si="7"/>
        <v>9.7289525691699644E-2</v>
      </c>
      <c r="X52" s="10">
        <f>IFERROR(_xlfn.XLOOKUP($A52,Input_Raw!$E:$E,Input_Raw!BG:BG),"")</f>
        <v>118148.4</v>
      </c>
      <c r="Y52" s="10">
        <f>IFERROR(_xlfn.XLOOKUP($A52,Input_Raw!$E:$E,Input_Raw!DF:DF),"")</f>
        <v>112199.99999999645</v>
      </c>
      <c r="Z52" s="319">
        <f>IFERROR(_xlfn.XLOOKUP(A52,Input_Raw!E:E,Input_Raw!CT:CT)/_xlfn.XLOOKUP(A52,Input_Raw!E:E,Input_Raw!CS:CS)*Table13[[#This Row],[Mtr_Export (kWh)]],"")</f>
        <v>0</v>
      </c>
      <c r="AA52" s="43">
        <f t="shared" si="8"/>
        <v>112199.99999999645</v>
      </c>
      <c r="AB52" s="10">
        <f>IFERROR(_xlfn.XLOOKUP($A52,Input_Raw!$E:$E,Input_Raw!$CZ:$CZ),"")</f>
        <v>50.6</v>
      </c>
      <c r="AC52" s="313">
        <f>IFERROR(_xlfn.XLOOKUP($D52,'Modelling New'!$D:$D,'Modelling New'!$J:$J),"")</f>
        <v>7.1310648756787653</v>
      </c>
      <c r="AD52" s="43">
        <f>IFERROR(_xlfn.XLOOKUP($D52,'Modelling New'!$D:$D,'Modelling New'!$T:$T)*1000,"")</f>
        <v>445081.61290322582</v>
      </c>
      <c r="AE52" s="312"/>
      <c r="AF52" s="312">
        <f>IFERROR(_xlfn.XLOOKUP($D52,'Modelling New'!$D:$D,'Modelling New'!$W:$W),"")</f>
        <v>0.36650330443282769</v>
      </c>
      <c r="AG52" s="312">
        <f>IFERROR(_xlfn.XLOOKUP($D52,'Modelling New'!$D:$D,'Modelling New'!$AE:$AE),"")</f>
        <v>0.95549849999999992</v>
      </c>
      <c r="AH52" s="312">
        <f>IFERROR(_xlfn.XLOOKUP($D52,'Modelling New'!$D:$D,'Modelling New'!$AF:$AF),"")</f>
        <v>0.995</v>
      </c>
      <c r="AI52" s="10">
        <f>IFERROR(_xlfn.XLOOKUP($A52,Input_Raw!$E:$E,Input_Raw!$DG:$DG),"")</f>
        <v>120.17</v>
      </c>
      <c r="AJ52" s="10"/>
      <c r="AK52" s="10"/>
      <c r="AL52" s="10"/>
      <c r="AM52" s="10"/>
      <c r="AN52" s="314">
        <f>IFERROR(_xlfn.XLOOKUP($A52,Input_Raw!$E:$E,Input_Raw!$CY:$CY),"")</f>
        <v>9.2592592592211087E-3</v>
      </c>
      <c r="AO52" s="312">
        <f>IFERROR((_xlfn.XLOOKUP($A52,'WTG Reactive Power'!$A:$A,'WTG Reactive Power'!AB:AB))/X52,"")</f>
        <v>0.69035297981182986</v>
      </c>
      <c r="AP52" s="312">
        <f>IFERROR(_xlfn.XLOOKUP($D52,'Modelling New'!$D:$D,'Modelling New'!AK:AK),"")</f>
        <v>0.05</v>
      </c>
      <c r="AQ52" s="312">
        <f>IFERROR(_xlfn.XLOOKUP($D52,'Modelling New'!$D:$D,'Modelling New'!AL:AL),"")</f>
        <v>0.05</v>
      </c>
      <c r="AR52" s="325">
        <f>IFERROR(_xlfn.XLOOKUP($D52,'Modelling New'!$D:$D,'Modelling New'!$N:$N),"")</f>
        <v>50.59999999999998</v>
      </c>
      <c r="AS52" s="325"/>
    </row>
    <row r="53" spans="1:45">
      <c r="A53" s="32">
        <f t="shared" si="9"/>
        <v>45796</v>
      </c>
      <c r="B53" s="43">
        <f>YEAR(Table13[[#This Row],[Date]])+IF(MONTH(Table13[[#This Row],[Date]])&gt;=4,1,0)</f>
        <v>2026</v>
      </c>
      <c r="C53" s="10">
        <f>YEAR(Table13[[#This Row],[Date]])</f>
        <v>2025</v>
      </c>
      <c r="D53" s="309">
        <f>Table13[[#This Row],[Date]]-DAY(Table13[[#This Row],[Date]])+1</f>
        <v>45778</v>
      </c>
      <c r="E53" s="10">
        <f t="shared" si="5"/>
        <v>31</v>
      </c>
      <c r="F53" s="241">
        <f>IFERROR(_xlfn.XLOOKUP($A53,Input_Raw!$E:$E,Input_Raw!DC:DC),"")</f>
        <v>11.616666666666667</v>
      </c>
      <c r="G53" s="242"/>
      <c r="H53" s="242"/>
      <c r="I53" s="242"/>
      <c r="J53" s="242"/>
      <c r="K53" s="243"/>
      <c r="L53" s="242"/>
      <c r="M53" s="242">
        <f>IFERROR(_xlfn.XLOOKUP($A53,Input_Raw!$E:$E,Input_Raw!$BM:$BM),"")</f>
        <v>3.0130434782608688</v>
      </c>
      <c r="N53" s="242">
        <f>IFERROR(_xlfn.XLOOKUP($A53,Input_Raw!$E:$E,Input_Raw!$BN:$BN),"")</f>
        <v>3.4</v>
      </c>
      <c r="O53" s="311">
        <f t="shared" si="6"/>
        <v>0.94848236856281731</v>
      </c>
      <c r="P53" s="311">
        <f>IFERROR(1-SUMIF(WTG_BD!$F:$F,$A53,WTG_BD!$AA:$AA)/($AA53+SUMIF(WTG_BD!$F:$F,$A53,WTG_BD!$AA:$AA)),"")</f>
        <v>0.98255841963849211</v>
      </c>
      <c r="Q53" s="328">
        <f>IFERROR(1-SUMIF(IGA_BD!$F:$F,$A53,IGA_BD!$W:$W)/($AA53+SUMIF(IGA_BD!$F:$F,$A53,IGA_BD!$W:$W)),"")</f>
        <v>0.96531905849607169</v>
      </c>
      <c r="R53" s="311">
        <f>IFERROR(1-SUMIF(Grid_BD!$F:$F,$A53,Grid_BD!$Y:$Y)/($AA53+SUMIF(Grid_BD!$F:$F,$A53,Grid_BD!$Y:$Y)),"")</f>
        <v>1</v>
      </c>
      <c r="S53" s="10"/>
      <c r="T53" s="310"/>
      <c r="U53" s="311"/>
      <c r="V53" s="10"/>
      <c r="W53" s="312">
        <f t="shared" si="7"/>
        <v>3.1732707509881442E-2</v>
      </c>
      <c r="X53" s="10">
        <f>IFERROR(_xlfn.XLOOKUP($A53,Input_Raw!$E:$E,Input_Raw!BG:BG),"")</f>
        <v>38536.200000000004</v>
      </c>
      <c r="Y53" s="10">
        <f>IFERROR(_xlfn.XLOOKUP($A53,Input_Raw!$E:$E,Input_Raw!DF:DF),"")</f>
        <v>37785.000000006905</v>
      </c>
      <c r="Z53" s="319">
        <f>IFERROR(_xlfn.XLOOKUP(A53,Input_Raw!E:E,Input_Raw!CT:CT)/_xlfn.XLOOKUP(A53,Input_Raw!E:E,Input_Raw!CS:CS)*Table13[[#This Row],[Mtr_Export (kWh)]],"")</f>
        <v>97.384020618576827</v>
      </c>
      <c r="AA53" s="43">
        <f t="shared" si="8"/>
        <v>37687.615979388327</v>
      </c>
      <c r="AB53" s="10">
        <f>IFERROR(_xlfn.XLOOKUP($A53,Input_Raw!$E:$E,Input_Raw!$CZ:$CZ),"")</f>
        <v>50.6</v>
      </c>
      <c r="AC53" s="313">
        <f>IFERROR(_xlfn.XLOOKUP($D53,'Modelling New'!$D:$D,'Modelling New'!$J:$J),"")</f>
        <v>7.1310648756787653</v>
      </c>
      <c r="AD53" s="43">
        <f>IFERROR(_xlfn.XLOOKUP($D53,'Modelling New'!$D:$D,'Modelling New'!$T:$T)*1000,"")</f>
        <v>445081.61290322582</v>
      </c>
      <c r="AE53" s="312"/>
      <c r="AF53" s="312">
        <f>IFERROR(_xlfn.XLOOKUP($D53,'Modelling New'!$D:$D,'Modelling New'!$W:$W),"")</f>
        <v>0.36650330443282769</v>
      </c>
      <c r="AG53" s="312">
        <f>IFERROR(_xlfn.XLOOKUP($D53,'Modelling New'!$D:$D,'Modelling New'!$AE:$AE),"")</f>
        <v>0.95549849999999992</v>
      </c>
      <c r="AH53" s="312">
        <f>IFERROR(_xlfn.XLOOKUP($D53,'Modelling New'!$D:$D,'Modelling New'!$AF:$AF),"")</f>
        <v>0.995</v>
      </c>
      <c r="AI53" s="10">
        <f>IFERROR(_xlfn.XLOOKUP($A53,Input_Raw!$E:$E,Input_Raw!$DG:$DG),"")</f>
        <v>41.88</v>
      </c>
      <c r="AJ53" s="10"/>
      <c r="AK53" s="10"/>
      <c r="AL53" s="10"/>
      <c r="AM53" s="10"/>
      <c r="AN53" s="314">
        <f>IFERROR(_xlfn.XLOOKUP($A53,Input_Raw!$E:$E,Input_Raw!$CY:$CY),"")</f>
        <v>9.3669250645118662E-3</v>
      </c>
      <c r="AO53" s="312">
        <f>IFERROR((_xlfn.XLOOKUP($A53,'WTG Reactive Power'!$A:$A,'WTG Reactive Power'!AB:AB))/X53,"")</f>
        <v>2.9538771337080458</v>
      </c>
      <c r="AP53" s="312">
        <f>IFERROR(_xlfn.XLOOKUP($D53,'Modelling New'!$D:$D,'Modelling New'!AK:AK),"")</f>
        <v>0.05</v>
      </c>
      <c r="AQ53" s="312">
        <f>IFERROR(_xlfn.XLOOKUP($D53,'Modelling New'!$D:$D,'Modelling New'!AL:AL),"")</f>
        <v>0.05</v>
      </c>
      <c r="AR53" s="325">
        <f>IFERROR(_xlfn.XLOOKUP($D53,'Modelling New'!$D:$D,'Modelling New'!$N:$N),"")</f>
        <v>50.59999999999998</v>
      </c>
      <c r="AS53" s="325"/>
    </row>
    <row r="54" spans="1:45">
      <c r="A54" s="32">
        <f t="shared" si="9"/>
        <v>45797</v>
      </c>
      <c r="B54" s="43">
        <f>YEAR(Table13[[#This Row],[Date]])+IF(MONTH(Table13[[#This Row],[Date]])&gt;=4,1,0)</f>
        <v>2026</v>
      </c>
      <c r="C54" s="10">
        <f>YEAR(Table13[[#This Row],[Date]])</f>
        <v>2025</v>
      </c>
      <c r="D54" s="309">
        <f>Table13[[#This Row],[Date]]-DAY(Table13[[#This Row],[Date]])+1</f>
        <v>45778</v>
      </c>
      <c r="E54" s="10">
        <f t="shared" si="5"/>
        <v>31</v>
      </c>
      <c r="F54" s="241">
        <f>IFERROR(_xlfn.XLOOKUP($A54,Input_Raw!$E:$E,Input_Raw!DC:DC),"")</f>
        <v>10.833333333333334</v>
      </c>
      <c r="G54" s="313"/>
      <c r="H54" s="313"/>
      <c r="I54" s="313"/>
      <c r="J54" s="313"/>
      <c r="K54" s="243"/>
      <c r="L54" s="242"/>
      <c r="M54" s="242">
        <f>IFERROR(_xlfn.XLOOKUP($A54,Input_Raw!$E:$E,Input_Raw!$BM:$BM),"")</f>
        <v>3.3913043478260869</v>
      </c>
      <c r="N54" s="242">
        <f>IFERROR(_xlfn.XLOOKUP($A54,Input_Raw!$E:$E,Input_Raw!$BN:$BN),"")</f>
        <v>3.8</v>
      </c>
      <c r="O54" s="311">
        <f t="shared" si="6"/>
        <v>0.96721620159450061</v>
      </c>
      <c r="P54" s="311">
        <f>IFERROR(1-SUMIF(WTG_BD!$F:$F,$A54,WTG_BD!$AA:$AA)/($AA54+SUMIF(WTG_BD!$F:$F,$A54,WTG_BD!$AA:$AA)),"")</f>
        <v>0.98855996291546666</v>
      </c>
      <c r="Q54" s="328">
        <f>IFERROR(1-SUMIF(IGA_BD!$F:$F,$A54,IGA_BD!$W:$W)/($AA54+SUMIF(IGA_BD!$F:$F,$A54,IGA_BD!$W:$W)),"")</f>
        <v>0.97840923957913595</v>
      </c>
      <c r="R54" s="47">
        <f>IFERROR(1-SUMIF(Grid_BD!$F:$F,$A54,Grid_BD!$Y:$Y)/($AA54+SUMIF(Grid_BD!$F:$F,$A54,Grid_BD!$Y:$Y)),"")</f>
        <v>1</v>
      </c>
      <c r="S54" s="10"/>
      <c r="T54" s="310"/>
      <c r="U54" s="311"/>
      <c r="V54" s="10"/>
      <c r="W54" s="312">
        <f t="shared" si="7"/>
        <v>6.8328392621870918E-2</v>
      </c>
      <c r="X54" s="10">
        <f>IFERROR(_xlfn.XLOOKUP($A54,Input_Raw!$E:$E,Input_Raw!BG:BG),"")</f>
        <v>82978.000000000015</v>
      </c>
      <c r="Y54" s="10">
        <f>IFERROR(_xlfn.XLOOKUP($A54,Input_Raw!$E:$E,Input_Raw!DF:DF),"")</f>
        <v>82169.999999998428</v>
      </c>
      <c r="Z54" s="319">
        <f>IFERROR(_xlfn.XLOOKUP(A54,Input_Raw!E:E,Input_Raw!CT:CT)/_xlfn.XLOOKUP(A54,Input_Raw!E:E,Input_Raw!CS:CS)*Table13[[#This Row],[Mtr_Export (kWh)]],"")</f>
        <v>510.37267080743976</v>
      </c>
      <c r="AA54" s="43">
        <f t="shared" si="8"/>
        <v>81659.627329190989</v>
      </c>
      <c r="AB54" s="10">
        <f>IFERROR(_xlfn.XLOOKUP($A54,Input_Raw!$E:$E,Input_Raw!$CZ:$CZ),"")</f>
        <v>50.6</v>
      </c>
      <c r="AC54" s="313">
        <f>IFERROR(_xlfn.XLOOKUP($D54,'Modelling New'!$D:$D,'Modelling New'!$J:$J),"")</f>
        <v>7.1310648756787653</v>
      </c>
      <c r="AD54" s="43">
        <f>IFERROR(_xlfn.XLOOKUP($D54,'Modelling New'!$D:$D,'Modelling New'!$T:$T)*1000,"")</f>
        <v>445081.61290322582</v>
      </c>
      <c r="AE54" s="312"/>
      <c r="AF54" s="312">
        <f>IFERROR(_xlfn.XLOOKUP($D54,'Modelling New'!$D:$D,'Modelling New'!$W:$W),"")</f>
        <v>0.36650330443282769</v>
      </c>
      <c r="AG54" s="312">
        <f>IFERROR(_xlfn.XLOOKUP($D54,'Modelling New'!$D:$D,'Modelling New'!$AE:$AE),"")</f>
        <v>0.95549849999999992</v>
      </c>
      <c r="AH54" s="312">
        <f>IFERROR(_xlfn.XLOOKUP($D54,'Modelling New'!$D:$D,'Modelling New'!$AF:$AF),"")</f>
        <v>0.995</v>
      </c>
      <c r="AI54" s="10">
        <f>IFERROR(_xlfn.XLOOKUP($A54,Input_Raw!$E:$E,Input_Raw!$DG:$DG),"")</f>
        <v>88.93</v>
      </c>
      <c r="AJ54" s="10"/>
      <c r="AK54" s="10"/>
      <c r="AL54" s="10"/>
      <c r="AM54" s="10"/>
      <c r="AN54" s="314">
        <f>IFERROR(_xlfn.XLOOKUP($A54,Input_Raw!$E:$E,Input_Raw!$CY:$CY),"")</f>
        <v>8.5669781932120603E-3</v>
      </c>
      <c r="AO54" s="312">
        <f>IFERROR((_xlfn.XLOOKUP($A54,'WTG Reactive Power'!$A:$A,'WTG Reactive Power'!AB:AB))/X54,"")</f>
        <v>1.444305719588324</v>
      </c>
      <c r="AP54" s="312">
        <f>IFERROR(_xlfn.XLOOKUP($D54,'Modelling New'!$D:$D,'Modelling New'!AK:AK),"")</f>
        <v>0.05</v>
      </c>
      <c r="AQ54" s="312">
        <f>IFERROR(_xlfn.XLOOKUP($D54,'Modelling New'!$D:$D,'Modelling New'!AL:AL),"")</f>
        <v>0.05</v>
      </c>
      <c r="AR54" s="325">
        <f>IFERROR(_xlfn.XLOOKUP($D54,'Modelling New'!$D:$D,'Modelling New'!$N:$N),"")</f>
        <v>50.59999999999998</v>
      </c>
      <c r="AS54" s="325"/>
    </row>
    <row r="55" spans="1:45">
      <c r="A55" s="32">
        <f t="shared" si="9"/>
        <v>45798</v>
      </c>
      <c r="B55" s="43">
        <f>YEAR(Table13[[#This Row],[Date]])+IF(MONTH(Table13[[#This Row],[Date]])&gt;=4,1,0)</f>
        <v>2026</v>
      </c>
      <c r="C55" s="10">
        <f>YEAR(Table13[[#This Row],[Date]])</f>
        <v>2025</v>
      </c>
      <c r="D55" s="309">
        <f>Table13[[#This Row],[Date]]-DAY(Table13[[#This Row],[Date]])+1</f>
        <v>45778</v>
      </c>
      <c r="E55" s="10">
        <f t="shared" si="5"/>
        <v>31</v>
      </c>
      <c r="F55" s="241">
        <f>IFERROR(_xlfn.XLOOKUP($A55,Input_Raw!$E:$E,Input_Raw!DC:DC),"")</f>
        <v>12.183333333333335</v>
      </c>
      <c r="G55" s="242"/>
      <c r="H55" s="242"/>
      <c r="I55" s="242"/>
      <c r="J55" s="242"/>
      <c r="K55" s="243"/>
      <c r="L55" s="242"/>
      <c r="M55" s="242">
        <f>IFERROR(_xlfn.XLOOKUP($A55,Input_Raw!$E:$E,Input_Raw!$BM:$BM),"")</f>
        <v>6.0728144557092092</v>
      </c>
      <c r="N55" s="242">
        <f>IFERROR(_xlfn.XLOOKUP($A55,Input_Raw!$E:$E,Input_Raw!$BN:$BN),"")</f>
        <v>6.5549724137931031</v>
      </c>
      <c r="O55" s="311">
        <f t="shared" si="6"/>
        <v>0.98433579476905808</v>
      </c>
      <c r="P55" s="311">
        <f>IFERROR(1-SUMIF(WTG_BD!$F:$F,$A55,WTG_BD!$AA:$AA)/($AA55+SUMIF(WTG_BD!$F:$F,$A55,WTG_BD!$AA:$AA)),"")</f>
        <v>0.98433579476905808</v>
      </c>
      <c r="Q55" s="328">
        <f>IFERROR(1-SUMIF(IGA_BD!$F:$F,$A55,IGA_BD!$W:$W)/($AA55+SUMIF(IGA_BD!$F:$F,$A55,IGA_BD!$W:$W)),"")</f>
        <v>1</v>
      </c>
      <c r="R55" s="311">
        <f>IFERROR(1-SUMIF(Grid_BD!$F:$F,$A55,Grid_BD!$Y:$Y)/($AA55+SUMIF(Grid_BD!$F:$F,$A55,Grid_BD!$Y:$Y)),"")</f>
        <v>1</v>
      </c>
      <c r="S55" s="10"/>
      <c r="T55" s="310"/>
      <c r="U55" s="311"/>
      <c r="V55" s="10"/>
      <c r="W55" s="312">
        <f t="shared" si="7"/>
        <v>0.34085968379446652</v>
      </c>
      <c r="X55" s="10">
        <f>IFERROR(_xlfn.XLOOKUP($A55,Input_Raw!$E:$E,Input_Raw!BG:BG),"")</f>
        <v>413940</v>
      </c>
      <c r="Y55" s="10">
        <f>IFERROR(_xlfn.XLOOKUP($A55,Input_Raw!$E:$E,Input_Raw!DF:DF),"")</f>
        <v>398969.99999999168</v>
      </c>
      <c r="Z55" s="319">
        <f>IFERROR(_xlfn.XLOOKUP(A55,Input_Raw!E:E,Input_Raw!CT:CT)/_xlfn.XLOOKUP(A55,Input_Raw!E:E,Input_Raw!CS:CS)*Table13[[#This Row],[Mtr_Export (kWh)]],"")</f>
        <v>0</v>
      </c>
      <c r="AA55" s="43">
        <f t="shared" si="8"/>
        <v>398969.99999999168</v>
      </c>
      <c r="AB55" s="10">
        <f>IFERROR(_xlfn.XLOOKUP($A55,Input_Raw!$E:$E,Input_Raw!$CZ:$CZ),"")</f>
        <v>50.6</v>
      </c>
      <c r="AC55" s="313">
        <f>IFERROR(_xlfn.XLOOKUP($D55,'Modelling New'!$D:$D,'Modelling New'!$J:$J),"")</f>
        <v>7.1310648756787653</v>
      </c>
      <c r="AD55" s="43">
        <f>IFERROR(_xlfn.XLOOKUP($D55,'Modelling New'!$D:$D,'Modelling New'!$T:$T)*1000,"")</f>
        <v>445081.61290322582</v>
      </c>
      <c r="AE55" s="312"/>
      <c r="AF55" s="312">
        <f>IFERROR(_xlfn.XLOOKUP($D55,'Modelling New'!$D:$D,'Modelling New'!$W:$W),"")</f>
        <v>0.36650330443282769</v>
      </c>
      <c r="AG55" s="312">
        <f>IFERROR(_xlfn.XLOOKUP($D55,'Modelling New'!$D:$D,'Modelling New'!$AE:$AE),"")</f>
        <v>0.95549849999999992</v>
      </c>
      <c r="AH55" s="312">
        <f>IFERROR(_xlfn.XLOOKUP($D55,'Modelling New'!$D:$D,'Modelling New'!$AF:$AF),"")</f>
        <v>0.995</v>
      </c>
      <c r="AI55" s="10">
        <f>IFERROR(_xlfn.XLOOKUP($A55,Input_Raw!$E:$E,Input_Raw!$DG:$DG),"")</f>
        <v>413.94</v>
      </c>
      <c r="AJ55" s="10"/>
      <c r="AK55" s="10"/>
      <c r="AL55" s="10"/>
      <c r="AM55" s="10"/>
      <c r="AN55" s="314">
        <f>IFERROR(_xlfn.XLOOKUP($A55,Input_Raw!$E:$E,Input_Raw!$CY:$CY),"")</f>
        <v>1.063829787234849E-2</v>
      </c>
      <c r="AO55" s="312">
        <f>IFERROR((_xlfn.XLOOKUP($A55,'WTG Reactive Power'!$A:$A,'WTG Reactive Power'!AB:AB))/X55,"")</f>
        <v>0.29922452529352078</v>
      </c>
      <c r="AP55" s="312">
        <f>IFERROR(_xlfn.XLOOKUP($D55,'Modelling New'!$D:$D,'Modelling New'!AK:AK),"")</f>
        <v>0.05</v>
      </c>
      <c r="AQ55" s="312">
        <f>IFERROR(_xlfn.XLOOKUP($D55,'Modelling New'!$D:$D,'Modelling New'!AL:AL),"")</f>
        <v>0.05</v>
      </c>
      <c r="AR55" s="325">
        <f>IFERROR(_xlfn.XLOOKUP($D55,'Modelling New'!$D:$D,'Modelling New'!$N:$N),"")</f>
        <v>50.59999999999998</v>
      </c>
      <c r="AS55" s="325"/>
    </row>
    <row r="56" spans="1:45">
      <c r="A56" s="32">
        <f t="shared" si="9"/>
        <v>45799</v>
      </c>
      <c r="B56" s="43">
        <f>YEAR(Table13[[#This Row],[Date]])+IF(MONTH(Table13[[#This Row],[Date]])&gt;=4,1,0)</f>
        <v>2026</v>
      </c>
      <c r="C56" s="10">
        <f>YEAR(Table13[[#This Row],[Date]])</f>
        <v>2025</v>
      </c>
      <c r="D56" s="309">
        <f>Table13[[#This Row],[Date]]-DAY(Table13[[#This Row],[Date]])+1</f>
        <v>45778</v>
      </c>
      <c r="E56" s="10">
        <f t="shared" si="5"/>
        <v>31</v>
      </c>
      <c r="F56" s="241">
        <f>IFERROR(_xlfn.XLOOKUP($A56,Input_Raw!$E:$E,Input_Raw!DC:DC),"")</f>
        <v>12.316666666666668</v>
      </c>
      <c r="G56" s="313"/>
      <c r="H56" s="313"/>
      <c r="I56" s="313"/>
      <c r="J56" s="313"/>
      <c r="K56" s="243"/>
      <c r="L56" s="242"/>
      <c r="M56" s="242">
        <f>IFERROR(_xlfn.XLOOKUP($A56,Input_Raw!$E:$E,Input_Raw!$BM:$BM),"")</f>
        <v>7.5587090986355738</v>
      </c>
      <c r="N56" s="242">
        <f>IFERROR(_xlfn.XLOOKUP($A56,Input_Raw!$E:$E,Input_Raw!$BN:$BN),"")</f>
        <v>8.3015725806451588</v>
      </c>
      <c r="O56" s="311">
        <f t="shared" si="6"/>
        <v>0.98231269782362485</v>
      </c>
      <c r="P56" s="311">
        <f>IFERROR(1-SUMIF(WTG_BD!$F:$F,$A56,WTG_BD!$AA:$AA)/($AA56+SUMIF(WTG_BD!$F:$F,$A56,WTG_BD!$AA:$AA)),"")</f>
        <v>1</v>
      </c>
      <c r="Q56" s="328">
        <f>IFERROR(1-SUMIF(IGA_BD!$F:$F,$A56,IGA_BD!$W:$W)/($AA56+SUMIF(IGA_BD!$F:$F,$A56,IGA_BD!$W:$W)),"")</f>
        <v>0.98231269782362485</v>
      </c>
      <c r="R56" s="47">
        <f>IFERROR(1-SUMIF(Grid_BD!$F:$F,$A56,Grid_BD!$Y:$Y)/($AA56+SUMIF(Grid_BD!$F:$F,$A56,Grid_BD!$Y:$Y)),"")</f>
        <v>0.83710302347915699</v>
      </c>
      <c r="S56" s="10"/>
      <c r="T56" s="310"/>
      <c r="U56" s="311"/>
      <c r="V56" s="10"/>
      <c r="W56" s="312">
        <f t="shared" si="7"/>
        <v>0.43105237154150217</v>
      </c>
      <c r="X56" s="10">
        <f>IFERROR(_xlfn.XLOOKUP($A56,Input_Raw!$E:$E,Input_Raw!BG:BG),"")</f>
        <v>523470</v>
      </c>
      <c r="Y56" s="10">
        <f>IFERROR(_xlfn.XLOOKUP($A56,Input_Raw!$E:$E,Input_Raw!DF:DF),"")</f>
        <v>505560.00000001292</v>
      </c>
      <c r="Z56" s="319">
        <f>IFERROR(_xlfn.XLOOKUP(A56,Input_Raw!E:E,Input_Raw!CT:CT)/_xlfn.XLOOKUP(A56,Input_Raw!E:E,Input_Raw!CS:CS)*Table13[[#This Row],[Mtr_Export (kWh)]],"")</f>
        <v>0</v>
      </c>
      <c r="AA56" s="43">
        <f t="shared" si="8"/>
        <v>505560.00000001292</v>
      </c>
      <c r="AB56" s="10">
        <f>IFERROR(_xlfn.XLOOKUP($A56,Input_Raw!$E:$E,Input_Raw!$CZ:$CZ),"")</f>
        <v>50.6</v>
      </c>
      <c r="AC56" s="313">
        <f>IFERROR(_xlfn.XLOOKUP($D56,'Modelling New'!$D:$D,'Modelling New'!$J:$J),"")</f>
        <v>7.1310648756787653</v>
      </c>
      <c r="AD56" s="43">
        <f>IFERROR(_xlfn.XLOOKUP($D56,'Modelling New'!$D:$D,'Modelling New'!$T:$T)*1000,"")</f>
        <v>445081.61290322582</v>
      </c>
      <c r="AE56" s="312"/>
      <c r="AF56" s="312">
        <f>IFERROR(_xlfn.XLOOKUP($D56,'Modelling New'!$D:$D,'Modelling New'!$W:$W),"")</f>
        <v>0.36650330443282769</v>
      </c>
      <c r="AG56" s="312">
        <f>IFERROR(_xlfn.XLOOKUP($D56,'Modelling New'!$D:$D,'Modelling New'!$AE:$AE),"")</f>
        <v>0.95549849999999992</v>
      </c>
      <c r="AH56" s="312">
        <f>IFERROR(_xlfn.XLOOKUP($D56,'Modelling New'!$D:$D,'Modelling New'!$AF:$AF),"")</f>
        <v>0.995</v>
      </c>
      <c r="AI56" s="10">
        <f>IFERROR(_xlfn.XLOOKUP($A56,Input_Raw!$E:$E,Input_Raw!$DG:$DG),"")</f>
        <v>545.86</v>
      </c>
      <c r="AJ56" s="10"/>
      <c r="AK56" s="10"/>
      <c r="AL56" s="10"/>
      <c r="AM56" s="10"/>
      <c r="AN56" s="314">
        <f>IFERROR(_xlfn.XLOOKUP($A56,Input_Raw!$E:$E,Input_Raw!$CY:$CY),"")</f>
        <v>1.0733452593870929E-2</v>
      </c>
      <c r="AO56" s="312">
        <f>IFERROR((_xlfn.XLOOKUP($A56,'WTG Reactive Power'!$A:$A,'WTG Reactive Power'!AB:AB))/X56,"")</f>
        <v>0.31933940818002948</v>
      </c>
      <c r="AP56" s="312">
        <f>IFERROR(_xlfn.XLOOKUP($D56,'Modelling New'!$D:$D,'Modelling New'!AK:AK),"")</f>
        <v>0.05</v>
      </c>
      <c r="AQ56" s="312">
        <f>IFERROR(_xlfn.XLOOKUP($D56,'Modelling New'!$D:$D,'Modelling New'!AL:AL),"")</f>
        <v>0.05</v>
      </c>
      <c r="AR56" s="325">
        <f>IFERROR(_xlfn.XLOOKUP($D56,'Modelling New'!$D:$D,'Modelling New'!$N:$N),"")</f>
        <v>50.59999999999998</v>
      </c>
      <c r="AS56" s="325"/>
    </row>
    <row r="57" spans="1:45">
      <c r="A57" s="32">
        <f t="shared" si="9"/>
        <v>45800</v>
      </c>
      <c r="B57" s="43">
        <f>YEAR(Table13[[#This Row],[Date]])+IF(MONTH(Table13[[#This Row],[Date]])&gt;=4,1,0)</f>
        <v>2026</v>
      </c>
      <c r="C57" s="10">
        <f>YEAR(Table13[[#This Row],[Date]])</f>
        <v>2025</v>
      </c>
      <c r="D57" s="309">
        <f>Table13[[#This Row],[Date]]-DAY(Table13[[#This Row],[Date]])+1</f>
        <v>45778</v>
      </c>
      <c r="E57" s="10">
        <f t="shared" si="5"/>
        <v>31</v>
      </c>
      <c r="F57" s="241">
        <f>IFERROR(_xlfn.XLOOKUP($A57,Input_Raw!$E:$E,Input_Raw!DC:DC),"")</f>
        <v>12.216666666666669</v>
      </c>
      <c r="G57" s="242"/>
      <c r="H57" s="242"/>
      <c r="I57" s="242"/>
      <c r="J57" s="242"/>
      <c r="K57" s="243"/>
      <c r="L57" s="242"/>
      <c r="M57" s="242">
        <f>IFERROR(_xlfn.XLOOKUP($A57,Input_Raw!$E:$E,Input_Raw!$BM:$BM),"")</f>
        <v>8.3971659494519084</v>
      </c>
      <c r="N57" s="242">
        <f>IFERROR(_xlfn.XLOOKUP($A57,Input_Raw!$E:$E,Input_Raw!$BN:$BN),"")</f>
        <v>9.118860465116283</v>
      </c>
      <c r="O57" s="311">
        <f t="shared" si="6"/>
        <v>0.98459245137486828</v>
      </c>
      <c r="P57" s="311">
        <f>IFERROR(1-SUMIF(WTG_BD!$F:$F,$A57,WTG_BD!$AA:$AA)/($AA57+SUMIF(WTG_BD!$F:$F,$A57,WTG_BD!$AA:$AA)),"")</f>
        <v>0.99129808796424423</v>
      </c>
      <c r="Q57" s="328">
        <f>IFERROR(1-SUMIF(IGA_BD!$F:$F,$A57,IGA_BD!$W:$W)/($AA57+SUMIF(IGA_BD!$F:$F,$A57,IGA_BD!$W:$W)),"")</f>
        <v>0.99323549932074739</v>
      </c>
      <c r="R57" s="311">
        <f>IFERROR(1-SUMIF(Grid_BD!$F:$F,$A57,Grid_BD!$Y:$Y)/($AA57+SUMIF(Grid_BD!$F:$F,$A57,Grid_BD!$Y:$Y)),"")</f>
        <v>0.87018073923977313</v>
      </c>
      <c r="S57" s="10"/>
      <c r="T57" s="310"/>
      <c r="U57" s="311"/>
      <c r="V57" s="10"/>
      <c r="W57" s="312">
        <f t="shared" si="7"/>
        <v>0.57142786561264847</v>
      </c>
      <c r="X57" s="10">
        <f>IFERROR(_xlfn.XLOOKUP($A57,Input_Raw!$E:$E,Input_Raw!BG:BG),"")</f>
        <v>693942</v>
      </c>
      <c r="Y57" s="10">
        <f>IFERROR(_xlfn.XLOOKUP($A57,Input_Raw!$E:$E,Input_Raw!DF:DF),"")</f>
        <v>673364.99999999814</v>
      </c>
      <c r="Z57" s="319">
        <f>IFERROR(_xlfn.XLOOKUP(A57,Input_Raw!E:E,Input_Raw!CT:CT)/_xlfn.XLOOKUP(A57,Input_Raw!E:E,Input_Raw!CS:CS)*Table13[[#This Row],[Mtr_Export (kWh)]],"")</f>
        <v>0</v>
      </c>
      <c r="AA57" s="43">
        <f t="shared" si="8"/>
        <v>673364.99999999814</v>
      </c>
      <c r="AB57" s="10">
        <f>IFERROR(_xlfn.XLOOKUP($A57,Input_Raw!$E:$E,Input_Raw!$CZ:$CZ),"")</f>
        <v>50.6</v>
      </c>
      <c r="AC57" s="313">
        <f>IFERROR(_xlfn.XLOOKUP($D57,'Modelling New'!$D:$D,'Modelling New'!$J:$J),"")</f>
        <v>7.1310648756787653</v>
      </c>
      <c r="AD57" s="43">
        <f>IFERROR(_xlfn.XLOOKUP($D57,'Modelling New'!$D:$D,'Modelling New'!$T:$T)*1000,"")</f>
        <v>445081.61290322582</v>
      </c>
      <c r="AE57" s="312"/>
      <c r="AF57" s="312">
        <f>IFERROR(_xlfn.XLOOKUP($D57,'Modelling New'!$D:$D,'Modelling New'!$W:$W),"")</f>
        <v>0.36650330443282769</v>
      </c>
      <c r="AG57" s="312">
        <f>IFERROR(_xlfn.XLOOKUP($D57,'Modelling New'!$D:$D,'Modelling New'!$AE:$AE),"")</f>
        <v>0.95549849999999992</v>
      </c>
      <c r="AH57" s="312">
        <f>IFERROR(_xlfn.XLOOKUP($D57,'Modelling New'!$D:$D,'Modelling New'!$AF:$AF),"")</f>
        <v>0.995</v>
      </c>
      <c r="AI57" s="10">
        <f>IFERROR(_xlfn.XLOOKUP($A57,Input_Raw!$E:$E,Input_Raw!$DG:$DG),"")</f>
        <v>707.87</v>
      </c>
      <c r="AJ57" s="10"/>
      <c r="AK57" s="10"/>
      <c r="AL57" s="10"/>
      <c r="AM57" s="10"/>
      <c r="AN57" s="314">
        <f>IFERROR(_xlfn.XLOOKUP($A57,Input_Raw!$E:$E,Input_Raw!$CY:$CY),"")</f>
        <v>1.9699140401447934E-3</v>
      </c>
      <c r="AO57" s="312">
        <f>IFERROR((_xlfn.XLOOKUP($A57,'WTG Reactive Power'!$A:$A,'WTG Reactive Power'!AB:AB))/X57,"")</f>
        <v>0.11955379556216512</v>
      </c>
      <c r="AP57" s="312">
        <f>IFERROR(_xlfn.XLOOKUP($D57,'Modelling New'!$D:$D,'Modelling New'!AK:AK),"")</f>
        <v>0.05</v>
      </c>
      <c r="AQ57" s="312">
        <f>IFERROR(_xlfn.XLOOKUP($D57,'Modelling New'!$D:$D,'Modelling New'!AL:AL),"")</f>
        <v>0.05</v>
      </c>
      <c r="AR57" s="325">
        <f>IFERROR(_xlfn.XLOOKUP($D57,'Modelling New'!$D:$D,'Modelling New'!$N:$N),"")</f>
        <v>50.59999999999998</v>
      </c>
      <c r="AS57" s="325"/>
    </row>
    <row r="58" spans="1:45">
      <c r="A58" s="32">
        <f t="shared" si="9"/>
        <v>45801</v>
      </c>
      <c r="B58" s="43">
        <f>YEAR(Table13[[#This Row],[Date]])+IF(MONTH(Table13[[#This Row],[Date]])&gt;=4,1,0)</f>
        <v>2026</v>
      </c>
      <c r="C58" s="10">
        <f>YEAR(Table13[[#This Row],[Date]])</f>
        <v>2025</v>
      </c>
      <c r="D58" s="309">
        <f>Table13[[#This Row],[Date]]-DAY(Table13[[#This Row],[Date]])+1</f>
        <v>45778</v>
      </c>
      <c r="E58" s="10">
        <f t="shared" si="5"/>
        <v>31</v>
      </c>
      <c r="F58" s="241">
        <f>IFERROR(_xlfn.XLOOKUP($A58,Input_Raw!$E:$E,Input_Raw!DC:DC),"")</f>
        <v>11.85</v>
      </c>
      <c r="G58" s="313"/>
      <c r="H58" s="313"/>
      <c r="I58" s="313"/>
      <c r="J58" s="313"/>
      <c r="K58" s="243"/>
      <c r="L58" s="242"/>
      <c r="M58" s="242">
        <f>IFERROR(_xlfn.XLOOKUP($A58,Input_Raw!$E:$E,Input_Raw!$BM:$BM),"")</f>
        <v>8.1829602850867413</v>
      </c>
      <c r="N58" s="242">
        <f>IFERROR(_xlfn.XLOOKUP($A58,Input_Raw!$E:$E,Input_Raw!$BN:$BN),"")</f>
        <v>8.787510344827588</v>
      </c>
      <c r="O58" s="311">
        <f t="shared" si="6"/>
        <v>0.99381018333147342</v>
      </c>
      <c r="P58" s="311">
        <f>IFERROR(1-SUMIF(WTG_BD!$F:$F,$A58,WTG_BD!$AA:$AA)/($AA58+SUMIF(WTG_BD!$F:$F,$A58,WTG_BD!$AA:$AA)),"")</f>
        <v>1</v>
      </c>
      <c r="Q58" s="328">
        <f>IFERROR(1-SUMIF(IGA_BD!$F:$F,$A58,IGA_BD!$W:$W)/($AA58+SUMIF(IGA_BD!$F:$F,$A58,IGA_BD!$W:$W)),"")</f>
        <v>0.99381018333147342</v>
      </c>
      <c r="R58" s="47">
        <f>IFERROR(1-SUMIF(Grid_BD!$F:$F,$A58,Grid_BD!$Y:$Y)/($AA58+SUMIF(Grid_BD!$F:$F,$A58,Grid_BD!$Y:$Y)),"")</f>
        <v>1</v>
      </c>
      <c r="S58" s="10"/>
      <c r="T58" s="310"/>
      <c r="U58" s="311"/>
      <c r="V58" s="10"/>
      <c r="W58" s="312">
        <f t="shared" si="7"/>
        <v>0.64524209486166029</v>
      </c>
      <c r="X58" s="10">
        <f>IFERROR(_xlfn.XLOOKUP($A58,Input_Raw!$E:$E,Input_Raw!BG:BG),"")</f>
        <v>783582</v>
      </c>
      <c r="Y58" s="10">
        <f>IFERROR(_xlfn.XLOOKUP($A58,Input_Raw!$E:$E,Input_Raw!DF:DF),"")</f>
        <v>757019.99999998952</v>
      </c>
      <c r="Z58" s="319">
        <f>IFERROR(_xlfn.XLOOKUP(A58,Input_Raw!E:E,Input_Raw!CT:CT)/_xlfn.XLOOKUP(A58,Input_Raw!E:E,Input_Raw!CS:CS)*Table13[[#This Row],[Mtr_Export (kWh)]],"")</f>
        <v>0</v>
      </c>
      <c r="AA58" s="43">
        <f t="shared" si="8"/>
        <v>757019.99999998952</v>
      </c>
      <c r="AB58" s="10">
        <f>IFERROR(_xlfn.XLOOKUP($A58,Input_Raw!$E:$E,Input_Raw!$CZ:$CZ),"")</f>
        <v>50.6</v>
      </c>
      <c r="AC58" s="313">
        <f>IFERROR(_xlfn.XLOOKUP($D58,'Modelling New'!$D:$D,'Modelling New'!$J:$J),"")</f>
        <v>7.1310648756787653</v>
      </c>
      <c r="AD58" s="43">
        <f>IFERROR(_xlfn.XLOOKUP($D58,'Modelling New'!$D:$D,'Modelling New'!$T:$T)*1000,"")</f>
        <v>445081.61290322582</v>
      </c>
      <c r="AE58" s="312"/>
      <c r="AF58" s="312">
        <f>IFERROR(_xlfn.XLOOKUP($D58,'Modelling New'!$D:$D,'Modelling New'!$W:$W),"")</f>
        <v>0.36650330443282769</v>
      </c>
      <c r="AG58" s="312">
        <f>IFERROR(_xlfn.XLOOKUP($D58,'Modelling New'!$D:$D,'Modelling New'!$AE:$AE),"")</f>
        <v>0.95549849999999992</v>
      </c>
      <c r="AH58" s="312">
        <f>IFERROR(_xlfn.XLOOKUP($D58,'Modelling New'!$D:$D,'Modelling New'!$AF:$AF),"")</f>
        <v>0.995</v>
      </c>
      <c r="AI58" s="10">
        <f>IFERROR(_xlfn.XLOOKUP($A58,Input_Raw!$E:$E,Input_Raw!$DG:$DG),"")</f>
        <v>784.85</v>
      </c>
      <c r="AJ58" s="10"/>
      <c r="AK58" s="10"/>
      <c r="AL58" s="10"/>
      <c r="AM58" s="10"/>
      <c r="AN58" s="314">
        <f>IFERROR(_xlfn.XLOOKUP($A58,Input_Raw!$E:$E,Input_Raw!$CY:$CY),"")</f>
        <v>8.3226632522330757E-3</v>
      </c>
      <c r="AO58" s="312">
        <f>IFERROR((_xlfn.XLOOKUP($A58,'WTG Reactive Power'!$A:$A,'WTG Reactive Power'!AB:AB))/X58,"")</f>
        <v>3.7117876622995427E-2</v>
      </c>
      <c r="AP58" s="312">
        <f>IFERROR(_xlfn.XLOOKUP($D58,'Modelling New'!$D:$D,'Modelling New'!AK:AK),"")</f>
        <v>0.05</v>
      </c>
      <c r="AQ58" s="312">
        <f>IFERROR(_xlfn.XLOOKUP($D58,'Modelling New'!$D:$D,'Modelling New'!AL:AL),"")</f>
        <v>0.05</v>
      </c>
      <c r="AR58" s="325">
        <f>IFERROR(_xlfn.XLOOKUP($D58,'Modelling New'!$D:$D,'Modelling New'!$N:$N),"")</f>
        <v>50.59999999999998</v>
      </c>
      <c r="AS58" s="325"/>
    </row>
    <row r="59" spans="1:45">
      <c r="A59" s="32">
        <f t="shared" si="9"/>
        <v>45802</v>
      </c>
      <c r="B59" s="43">
        <f>YEAR(Table13[[#This Row],[Date]])+IF(MONTH(Table13[[#This Row],[Date]])&gt;=4,1,0)</f>
        <v>2026</v>
      </c>
      <c r="C59" s="10">
        <f>YEAR(Table13[[#This Row],[Date]])</f>
        <v>2025</v>
      </c>
      <c r="D59" s="309">
        <f>Table13[[#This Row],[Date]]-DAY(Table13[[#This Row],[Date]])+1</f>
        <v>45778</v>
      </c>
      <c r="E59" s="10">
        <f t="shared" si="5"/>
        <v>31</v>
      </c>
      <c r="F59" s="241">
        <f>IFERROR(_xlfn.XLOOKUP($A59,Input_Raw!$E:$E,Input_Raw!DC:DC),"")</f>
        <v>11.683333333333334</v>
      </c>
      <c r="G59" s="242"/>
      <c r="H59" s="242"/>
      <c r="I59" s="242"/>
      <c r="J59" s="242"/>
      <c r="K59" s="243"/>
      <c r="L59" s="242"/>
      <c r="M59" s="242">
        <f>IFERROR(_xlfn.XLOOKUP($A59,Input_Raw!$E:$E,Input_Raw!$BM:$BM),"")</f>
        <v>9.2652173913043487</v>
      </c>
      <c r="N59" s="242">
        <f>IFERROR(_xlfn.XLOOKUP($A59,Input_Raw!$E:$E,Input_Raw!$BN:$BN),"")</f>
        <v>9.8000000000000007</v>
      </c>
      <c r="O59" s="311">
        <f t="shared" si="6"/>
        <v>0.99672045231668116</v>
      </c>
      <c r="P59" s="311">
        <f>IFERROR(1-SUMIF(WTG_BD!$F:$F,$A59,WTG_BD!$AA:$AA)/($AA59+SUMIF(WTG_BD!$F:$F,$A59,WTG_BD!$AA:$AA)),"")</f>
        <v>1</v>
      </c>
      <c r="Q59" s="328">
        <f>IFERROR(1-SUMIF(IGA_BD!$F:$F,$A59,IGA_BD!$W:$W)/($AA59+SUMIF(IGA_BD!$F:$F,$A59,IGA_BD!$W:$W)),"")</f>
        <v>0.99672045231668116</v>
      </c>
      <c r="R59" s="311">
        <f>IFERROR(1-SUMIF(Grid_BD!$F:$F,$A59,Grid_BD!$Y:$Y)/($AA59+SUMIF(Grid_BD!$F:$F,$A59,Grid_BD!$Y:$Y)),"")</f>
        <v>1</v>
      </c>
      <c r="S59" s="10"/>
      <c r="T59" s="310"/>
      <c r="U59" s="311"/>
      <c r="V59" s="10"/>
      <c r="W59" s="312">
        <f t="shared" si="7"/>
        <v>0.74375971673254315</v>
      </c>
      <c r="X59" s="10">
        <f>IFERROR(_xlfn.XLOOKUP($A59,Input_Raw!$E:$E,Input_Raw!BG:BG),"")</f>
        <v>903221.8</v>
      </c>
      <c r="Y59" s="10">
        <f>IFERROR(_xlfn.XLOOKUP($A59,Input_Raw!$E:$E,Input_Raw!DF:DF),"")</f>
        <v>871035.00000000407</v>
      </c>
      <c r="Z59" s="319">
        <f>IFERROR(_xlfn.XLOOKUP(A59,Input_Raw!E:E,Input_Raw!CT:CT)/_xlfn.XLOOKUP(A59,Input_Raw!E:E,Input_Raw!CS:CS)*Table13[[#This Row],[Mtr_Export (kWh)]],"")</f>
        <v>0</v>
      </c>
      <c r="AA59" s="43">
        <f t="shared" si="8"/>
        <v>871035.00000000407</v>
      </c>
      <c r="AB59" s="10">
        <f>IFERROR(_xlfn.XLOOKUP($A59,Input_Raw!$E:$E,Input_Raw!$CZ:$CZ),"")</f>
        <v>50.6</v>
      </c>
      <c r="AC59" s="313">
        <f>IFERROR(_xlfn.XLOOKUP($D59,'Modelling New'!$D:$D,'Modelling New'!$J:$J),"")</f>
        <v>7.1310648756787653</v>
      </c>
      <c r="AD59" s="43">
        <f>IFERROR(_xlfn.XLOOKUP($D59,'Modelling New'!$D:$D,'Modelling New'!$T:$T)*1000,"")</f>
        <v>445081.61290322582</v>
      </c>
      <c r="AE59" s="312"/>
      <c r="AF59" s="312">
        <f>IFERROR(_xlfn.XLOOKUP($D59,'Modelling New'!$D:$D,'Modelling New'!$W:$W),"")</f>
        <v>0.36650330443282769</v>
      </c>
      <c r="AG59" s="312">
        <f>IFERROR(_xlfn.XLOOKUP($D59,'Modelling New'!$D:$D,'Modelling New'!$AE:$AE),"")</f>
        <v>0.95549849999999992</v>
      </c>
      <c r="AH59" s="312">
        <f>IFERROR(_xlfn.XLOOKUP($D59,'Modelling New'!$D:$D,'Modelling New'!$AF:$AF),"")</f>
        <v>0.995</v>
      </c>
      <c r="AI59" s="10">
        <f>IFERROR(_xlfn.XLOOKUP($A59,Input_Raw!$E:$E,Input_Raw!$DG:$DG),"")</f>
        <v>907.2</v>
      </c>
      <c r="AJ59" s="10"/>
      <c r="AK59" s="10"/>
      <c r="AL59" s="10"/>
      <c r="AM59" s="10"/>
      <c r="AN59" s="314">
        <f>IFERROR(_xlfn.XLOOKUP($A59,Input_Raw!$E:$E,Input_Raw!$CY:$CY),"")</f>
        <v>9.8448687351253561E-3</v>
      </c>
      <c r="AO59" s="312">
        <f>IFERROR((_xlfn.XLOOKUP($A59,'WTG Reactive Power'!$A:$A,'WTG Reactive Power'!AB:AB))/X59,"")</f>
        <v>6.8970213075016565E-2</v>
      </c>
      <c r="AP59" s="312">
        <f>IFERROR(_xlfn.XLOOKUP($D59,'Modelling New'!$D:$D,'Modelling New'!AK:AK),"")</f>
        <v>0.05</v>
      </c>
      <c r="AQ59" s="312">
        <f>IFERROR(_xlfn.XLOOKUP($D59,'Modelling New'!$D:$D,'Modelling New'!AL:AL),"")</f>
        <v>0.05</v>
      </c>
      <c r="AR59" s="325">
        <f>IFERROR(_xlfn.XLOOKUP($D59,'Modelling New'!$D:$D,'Modelling New'!$N:$N),"")</f>
        <v>50.59999999999998</v>
      </c>
      <c r="AS59" s="325"/>
    </row>
    <row r="60" spans="1:45">
      <c r="A60" s="32">
        <f t="shared" si="9"/>
        <v>45803</v>
      </c>
      <c r="B60" s="43">
        <f>YEAR(Table13[[#This Row],[Date]])+IF(MONTH(Table13[[#This Row],[Date]])&gt;=4,1,0)</f>
        <v>2026</v>
      </c>
      <c r="C60" s="10">
        <f>YEAR(Table13[[#This Row],[Date]])</f>
        <v>2025</v>
      </c>
      <c r="D60" s="309">
        <f>Table13[[#This Row],[Date]]-DAY(Table13[[#This Row],[Date]])+1</f>
        <v>45778</v>
      </c>
      <c r="E60" s="10">
        <f t="shared" si="5"/>
        <v>31</v>
      </c>
      <c r="F60" s="241">
        <f>IFERROR(_xlfn.XLOOKUP($A60,Input_Raw!$E:$E,Input_Raw!DC:DC),"")</f>
        <v>12.183333333333335</v>
      </c>
      <c r="G60" s="313"/>
      <c r="H60" s="313"/>
      <c r="I60" s="313"/>
      <c r="J60" s="313"/>
      <c r="K60" s="243"/>
      <c r="L60" s="242"/>
      <c r="M60" s="242">
        <f>IFERROR(_xlfn.XLOOKUP($A60,Input_Raw!$E:$E,Input_Raw!$BM:$BM),"")</f>
        <v>10.373913043478261</v>
      </c>
      <c r="N60" s="242">
        <f>IFERROR(_xlfn.XLOOKUP($A60,Input_Raw!$E:$E,Input_Raw!$BN:$BN),"")</f>
        <v>11.3</v>
      </c>
      <c r="O60" s="311">
        <f t="shared" si="6"/>
        <v>0.99999552056334651</v>
      </c>
      <c r="P60" s="311">
        <f>IFERROR(1-SUMIF(WTG_BD!$F:$F,$A60,WTG_BD!$AA:$AA)/($AA60+SUMIF(WTG_BD!$F:$F,$A60,WTG_BD!$AA:$AA)),"")</f>
        <v>0.99999552056334651</v>
      </c>
      <c r="Q60" s="328">
        <f>IFERROR(1-SUMIF(IGA_BD!$F:$F,$A60,IGA_BD!$W:$W)/($AA60+SUMIF(IGA_BD!$F:$F,$A60,IGA_BD!$W:$W)),"")</f>
        <v>1</v>
      </c>
      <c r="R60" s="47">
        <f>IFERROR(1-SUMIF(Grid_BD!$F:$F,$A60,Grid_BD!$Y:$Y)/($AA60+SUMIF(Grid_BD!$F:$F,$A60,Grid_BD!$Y:$Y)),"")</f>
        <v>1</v>
      </c>
      <c r="S60" s="10"/>
      <c r="T60" s="310"/>
      <c r="U60" s="311"/>
      <c r="V60" s="10"/>
      <c r="W60" s="312">
        <f t="shared" si="7"/>
        <v>0.91901844532279353</v>
      </c>
      <c r="X60" s="10">
        <f>IFERROR(_xlfn.XLOOKUP($A60,Input_Raw!$E:$E,Input_Raw!BG:BG),"")</f>
        <v>1116056</v>
      </c>
      <c r="Y60" s="10">
        <f>IFERROR(_xlfn.XLOOKUP($A60,Input_Raw!$E:$E,Input_Raw!DF:DF),"")</f>
        <v>1072005.0000000023</v>
      </c>
      <c r="Z60" s="319">
        <f>IFERROR(_xlfn.XLOOKUP(A60,Input_Raw!E:E,Input_Raw!CT:CT)/_xlfn.XLOOKUP(A60,Input_Raw!E:E,Input_Raw!CS:CS)*Table13[[#This Row],[Mtr_Export (kWh)]],"")</f>
        <v>0</v>
      </c>
      <c r="AA60" s="43">
        <f t="shared" si="8"/>
        <v>1072005.0000000023</v>
      </c>
      <c r="AB60" s="10">
        <f>IFERROR(_xlfn.XLOOKUP($A60,Input_Raw!$E:$E,Input_Raw!$CZ:$CZ),"")</f>
        <v>50.6</v>
      </c>
      <c r="AC60" s="313">
        <f>IFERROR(_xlfn.XLOOKUP($D60,'Modelling New'!$D:$D,'Modelling New'!$J:$J),"")</f>
        <v>7.1310648756787653</v>
      </c>
      <c r="AD60" s="43">
        <f>IFERROR(_xlfn.XLOOKUP($D60,'Modelling New'!$D:$D,'Modelling New'!$T:$T)*1000,"")</f>
        <v>445081.61290322582</v>
      </c>
      <c r="AE60" s="312"/>
      <c r="AF60" s="312">
        <f>IFERROR(_xlfn.XLOOKUP($D60,'Modelling New'!$D:$D,'Modelling New'!$W:$W),"")</f>
        <v>0.36650330443282769</v>
      </c>
      <c r="AG60" s="312">
        <f>IFERROR(_xlfn.XLOOKUP($D60,'Modelling New'!$D:$D,'Modelling New'!$AE:$AE),"")</f>
        <v>0.95549849999999992</v>
      </c>
      <c r="AH60" s="312">
        <f>IFERROR(_xlfn.XLOOKUP($D60,'Modelling New'!$D:$D,'Modelling New'!$AF:$AF),"")</f>
        <v>0.995</v>
      </c>
      <c r="AI60" s="10">
        <f>IFERROR(_xlfn.XLOOKUP($A60,Input_Raw!$E:$E,Input_Raw!$DG:$DG),"")</f>
        <v>1116.06</v>
      </c>
      <c r="AJ60" s="10"/>
      <c r="AK60" s="10"/>
      <c r="AL60" s="10"/>
      <c r="AM60" s="10"/>
      <c r="AN60" s="314">
        <f>IFERROR(_xlfn.XLOOKUP($A60,Input_Raw!$E:$E,Input_Raw!$CY:$CY),"")</f>
        <v>2.1436227223474713E-3</v>
      </c>
      <c r="AO60" s="312">
        <f>IFERROR((_xlfn.XLOOKUP($A60,'WTG Reactive Power'!$A:$A,'WTG Reactive Power'!AB:AB))/X60,"")</f>
        <v>2.5885797845269412E-2</v>
      </c>
      <c r="AP60" s="312">
        <f>IFERROR(_xlfn.XLOOKUP($D60,'Modelling New'!$D:$D,'Modelling New'!AK:AK),"")</f>
        <v>0.05</v>
      </c>
      <c r="AQ60" s="312">
        <f>IFERROR(_xlfn.XLOOKUP($D60,'Modelling New'!$D:$D,'Modelling New'!AL:AL),"")</f>
        <v>0.05</v>
      </c>
      <c r="AR60" s="325">
        <f>IFERROR(_xlfn.XLOOKUP($D60,'Modelling New'!$D:$D,'Modelling New'!$N:$N),"")</f>
        <v>50.59999999999998</v>
      </c>
      <c r="AS60" s="325"/>
    </row>
    <row r="61" spans="1:45">
      <c r="A61" s="32">
        <f t="shared" si="9"/>
        <v>45804</v>
      </c>
      <c r="B61" s="43">
        <f>YEAR(Table13[[#This Row],[Date]])+IF(MONTH(Table13[[#This Row],[Date]])&gt;=4,1,0)</f>
        <v>2026</v>
      </c>
      <c r="C61" s="10">
        <f>YEAR(Table13[[#This Row],[Date]])</f>
        <v>2025</v>
      </c>
      <c r="D61" s="309">
        <f>Table13[[#This Row],[Date]]-DAY(Table13[[#This Row],[Date]])+1</f>
        <v>45778</v>
      </c>
      <c r="E61" s="10">
        <f t="shared" si="5"/>
        <v>31</v>
      </c>
      <c r="F61" s="241">
        <f>IFERROR(_xlfn.XLOOKUP($A61,Input_Raw!$E:$E,Input_Raw!DC:DC),"")</f>
        <v>12</v>
      </c>
      <c r="G61" s="242"/>
      <c r="H61" s="242"/>
      <c r="I61" s="242"/>
      <c r="J61" s="242"/>
      <c r="K61" s="243"/>
      <c r="L61" s="242"/>
      <c r="M61" s="242">
        <f>IFERROR(_xlfn.XLOOKUP($A61,Input_Raw!$E:$E,Input_Raw!$BM:$BM),"")</f>
        <v>10.821739130434782</v>
      </c>
      <c r="N61" s="242">
        <f>IFERROR(_xlfn.XLOOKUP($A61,Input_Raw!$E:$E,Input_Raw!$BN:$BN),"")</f>
        <v>11.5</v>
      </c>
      <c r="O61" s="311">
        <f t="shared" si="6"/>
        <v>0.93313014919245851</v>
      </c>
      <c r="P61" s="311">
        <f>IFERROR(1-SUMIF(WTG_BD!$F:$F,$A61,WTG_BD!$AA:$AA)/($AA61+SUMIF(WTG_BD!$F:$F,$A61,WTG_BD!$AA:$AA)),"")</f>
        <v>0.99998677739783648</v>
      </c>
      <c r="Q61" s="328">
        <f>IFERROR(1-SUMIF(IGA_BD!$F:$F,$A61,IGA_BD!$W:$W)/($AA61+SUMIF(IGA_BD!$F:$F,$A61,IGA_BD!$W:$W)),"")</f>
        <v>0.93314248776433606</v>
      </c>
      <c r="R61" s="311">
        <f>IFERROR(1-SUMIF(Grid_BD!$F:$F,$A61,Grid_BD!$Y:$Y)/($AA61+SUMIF(Grid_BD!$F:$F,$A61,Grid_BD!$Y:$Y)),"")</f>
        <v>1</v>
      </c>
      <c r="S61" s="10"/>
      <c r="T61" s="310"/>
      <c r="U61" s="311"/>
      <c r="V61" s="10"/>
      <c r="W61" s="312">
        <f t="shared" si="7"/>
        <v>0.85726037549407152</v>
      </c>
      <c r="X61" s="10">
        <f>IFERROR(_xlfn.XLOOKUP($A61,Input_Raw!$E:$E,Input_Raw!BG:BG),"")</f>
        <v>1041057</v>
      </c>
      <c r="Y61" s="10">
        <f>IFERROR(_xlfn.XLOOKUP($A61,Input_Raw!$E:$E,Input_Raw!DF:DF),"")</f>
        <v>1000394.9999999934</v>
      </c>
      <c r="Z61" s="319">
        <f>IFERROR(_xlfn.XLOOKUP(A61,Input_Raw!E:E,Input_Raw!CT:CT)/_xlfn.XLOOKUP(A61,Input_Raw!E:E,Input_Raw!CS:CS)*Table13[[#This Row],[Mtr_Export (kWh)]],"")</f>
        <v>0</v>
      </c>
      <c r="AA61" s="43">
        <f t="shared" si="8"/>
        <v>1000394.9999999934</v>
      </c>
      <c r="AB61" s="10">
        <f>IFERROR(_xlfn.XLOOKUP($A61,Input_Raw!$E:$E,Input_Raw!$CZ:$CZ),"")</f>
        <v>50.6</v>
      </c>
      <c r="AC61" s="313">
        <f>IFERROR(_xlfn.XLOOKUP($D61,'Modelling New'!$D:$D,'Modelling New'!$J:$J),"")</f>
        <v>7.1310648756787653</v>
      </c>
      <c r="AD61" s="43">
        <f>IFERROR(_xlfn.XLOOKUP($D61,'Modelling New'!$D:$D,'Modelling New'!$T:$T)*1000,"")</f>
        <v>445081.61290322582</v>
      </c>
      <c r="AE61" s="312"/>
      <c r="AF61" s="312">
        <f>IFERROR(_xlfn.XLOOKUP($D61,'Modelling New'!$D:$D,'Modelling New'!$W:$W),"")</f>
        <v>0.36650330443282769</v>
      </c>
      <c r="AG61" s="312">
        <f>IFERROR(_xlfn.XLOOKUP($D61,'Modelling New'!$D:$D,'Modelling New'!$AE:$AE),"")</f>
        <v>0.95549849999999992</v>
      </c>
      <c r="AH61" s="312">
        <f>IFERROR(_xlfn.XLOOKUP($D61,'Modelling New'!$D:$D,'Modelling New'!$AF:$AF),"")</f>
        <v>0.995</v>
      </c>
      <c r="AI61" s="10">
        <f>IFERROR(_xlfn.XLOOKUP($A61,Input_Raw!$E:$E,Input_Raw!$DG:$DG),"")</f>
        <v>1061.0999999999999</v>
      </c>
      <c r="AJ61" s="10"/>
      <c r="AK61" s="10"/>
      <c r="AL61" s="10"/>
      <c r="AM61" s="10"/>
      <c r="AN61" s="314">
        <f>IFERROR(_xlfn.XLOOKUP($A61,Input_Raw!$E:$E,Input_Raw!$CY:$CY),"")</f>
        <v>7.7422577422814332E-3</v>
      </c>
      <c r="AO61" s="312">
        <f>IFERROR((_xlfn.XLOOKUP($A61,'WTG Reactive Power'!$A:$A,'WTG Reactive Power'!AB:AB))/X61,"")</f>
        <v>7.4462301295702346E-2</v>
      </c>
      <c r="AP61" s="312">
        <f>IFERROR(_xlfn.XLOOKUP($D61,'Modelling New'!$D:$D,'Modelling New'!AK:AK),"")</f>
        <v>0.05</v>
      </c>
      <c r="AQ61" s="312">
        <f>IFERROR(_xlfn.XLOOKUP($D61,'Modelling New'!$D:$D,'Modelling New'!AL:AL),"")</f>
        <v>0.05</v>
      </c>
      <c r="AR61" s="325">
        <f>IFERROR(_xlfn.XLOOKUP($D61,'Modelling New'!$D:$D,'Modelling New'!$N:$N),"")</f>
        <v>50.59999999999998</v>
      </c>
      <c r="AS61" s="325"/>
    </row>
    <row r="62" spans="1:45">
      <c r="A62" s="32">
        <f t="shared" si="9"/>
        <v>45805</v>
      </c>
      <c r="B62" s="43">
        <f>YEAR(Table13[[#This Row],[Date]])+IF(MONTH(Table13[[#This Row],[Date]])&gt;=4,1,0)</f>
        <v>2026</v>
      </c>
      <c r="C62" s="10">
        <f>YEAR(Table13[[#This Row],[Date]])</f>
        <v>2025</v>
      </c>
      <c r="D62" s="309">
        <f>Table13[[#This Row],[Date]]-DAY(Table13[[#This Row],[Date]])+1</f>
        <v>45778</v>
      </c>
      <c r="E62" s="10">
        <f t="shared" si="5"/>
        <v>31</v>
      </c>
      <c r="F62" s="241">
        <f>IFERROR(_xlfn.XLOOKUP($A62,Input_Raw!$E:$E,Input_Raw!DC:DC),"")</f>
        <v>12.133333333333333</v>
      </c>
      <c r="G62" s="313"/>
      <c r="H62" s="313"/>
      <c r="I62" s="313"/>
      <c r="J62" s="313"/>
      <c r="K62" s="243"/>
      <c r="L62" s="242"/>
      <c r="M62" s="242">
        <f>IFERROR(_xlfn.XLOOKUP($A62,Input_Raw!$E:$E,Input_Raw!$BM:$BM),"")</f>
        <v>8.8521739130434813</v>
      </c>
      <c r="N62" s="242">
        <f>IFERROR(_xlfn.XLOOKUP($A62,Input_Raw!$E:$E,Input_Raw!$BN:$BN),"")</f>
        <v>9.6999999999999993</v>
      </c>
      <c r="O62" s="311">
        <f t="shared" si="6"/>
        <v>0.92297410039731875</v>
      </c>
      <c r="P62" s="311">
        <f>IFERROR(1-SUMIF(WTG_BD!$F:$F,$A62,WTG_BD!$AA:$AA)/($AA62+SUMIF(WTG_BD!$F:$F,$A62,WTG_BD!$AA:$AA)),"")</f>
        <v>0.98666384288125786</v>
      </c>
      <c r="Q62" s="328">
        <f>IFERROR(1-SUMIF(IGA_BD!$F:$F,$A62,IGA_BD!$W:$W)/($AA62+SUMIF(IGA_BD!$F:$F,$A62,IGA_BD!$W:$W)),"")</f>
        <v>0.93544940058008796</v>
      </c>
      <c r="R62" s="47">
        <f>IFERROR(1-SUMIF(Grid_BD!$F:$F,$A62,Grid_BD!$Y:$Y)/($AA62+SUMIF(Grid_BD!$F:$F,$A62,Grid_BD!$Y:$Y)),"")</f>
        <v>1</v>
      </c>
      <c r="S62" s="10"/>
      <c r="T62" s="310"/>
      <c r="U62" s="311"/>
      <c r="V62" s="10"/>
      <c r="W62" s="312">
        <f t="shared" si="7"/>
        <v>0.71839591567852468</v>
      </c>
      <c r="X62" s="10">
        <f>IFERROR(_xlfn.XLOOKUP($A62,Input_Raw!$E:$E,Input_Raw!BG:BG),"")</f>
        <v>872420</v>
      </c>
      <c r="Y62" s="10">
        <f>IFERROR(_xlfn.XLOOKUP($A62,Input_Raw!$E:$E,Input_Raw!DF:DF),"")</f>
        <v>839520.00000000838</v>
      </c>
      <c r="Z62" s="319">
        <f>IFERROR(_xlfn.XLOOKUP(A62,Input_Raw!E:E,Input_Raw!CT:CT)/_xlfn.XLOOKUP(A62,Input_Raw!E:E,Input_Raw!CS:CS)*Table13[[#This Row],[Mtr_Export (kWh)]],"")</f>
        <v>0</v>
      </c>
      <c r="AA62" s="43">
        <f t="shared" si="8"/>
        <v>839520.00000000838</v>
      </c>
      <c r="AB62" s="10">
        <f>IFERROR(_xlfn.XLOOKUP($A62,Input_Raw!$E:$E,Input_Raw!$CZ:$CZ),"")</f>
        <v>50.6</v>
      </c>
      <c r="AC62" s="313">
        <f>IFERROR(_xlfn.XLOOKUP($D62,'Modelling New'!$D:$D,'Modelling New'!$J:$J),"")</f>
        <v>7.1310648756787653</v>
      </c>
      <c r="AD62" s="43">
        <f>IFERROR(_xlfn.XLOOKUP($D62,'Modelling New'!$D:$D,'Modelling New'!$T:$T)*1000,"")</f>
        <v>445081.61290322582</v>
      </c>
      <c r="AE62" s="312"/>
      <c r="AF62" s="312">
        <f>IFERROR(_xlfn.XLOOKUP($D62,'Modelling New'!$D:$D,'Modelling New'!$W:$W),"")</f>
        <v>0.36650330443282769</v>
      </c>
      <c r="AG62" s="312">
        <f>IFERROR(_xlfn.XLOOKUP($D62,'Modelling New'!$D:$D,'Modelling New'!$AE:$AE),"")</f>
        <v>0.95549849999999992</v>
      </c>
      <c r="AH62" s="312">
        <f>IFERROR(_xlfn.XLOOKUP($D62,'Modelling New'!$D:$D,'Modelling New'!$AF:$AF),"")</f>
        <v>0.995</v>
      </c>
      <c r="AI62" s="10">
        <f>IFERROR(_xlfn.XLOOKUP($A62,Input_Raw!$E:$E,Input_Raw!$DG:$DG),"")</f>
        <v>884.82</v>
      </c>
      <c r="AJ62" s="10"/>
      <c r="AK62" s="10"/>
      <c r="AL62" s="10"/>
      <c r="AM62" s="10"/>
      <c r="AN62" s="314">
        <f>IFERROR(_xlfn.XLOOKUP($A62,Input_Raw!$E:$E,Input_Raw!$CY:$CY),"")</f>
        <v>4.8842257598060712E-3</v>
      </c>
      <c r="AO62" s="312">
        <f>IFERROR((_xlfn.XLOOKUP($A62,'WTG Reactive Power'!$A:$A,'WTG Reactive Power'!AB:AB))/X62,"")</f>
        <v>0.14388505536324248</v>
      </c>
      <c r="AP62" s="312">
        <f>IFERROR(_xlfn.XLOOKUP($D62,'Modelling New'!$D:$D,'Modelling New'!AK:AK),"")</f>
        <v>0.05</v>
      </c>
      <c r="AQ62" s="312">
        <f>IFERROR(_xlfn.XLOOKUP($D62,'Modelling New'!$D:$D,'Modelling New'!AL:AL),"")</f>
        <v>0.05</v>
      </c>
      <c r="AR62" s="325">
        <f>IFERROR(_xlfn.XLOOKUP($D62,'Modelling New'!$D:$D,'Modelling New'!$N:$N),"")</f>
        <v>50.59999999999998</v>
      </c>
      <c r="AS62" s="325"/>
    </row>
    <row r="63" spans="1:45">
      <c r="A63" s="32">
        <f t="shared" si="9"/>
        <v>45806</v>
      </c>
      <c r="B63" s="43">
        <f>YEAR(Table13[[#This Row],[Date]])+IF(MONTH(Table13[[#This Row],[Date]])&gt;=4,1,0)</f>
        <v>2026</v>
      </c>
      <c r="C63" s="10">
        <f>YEAR(Table13[[#This Row],[Date]])</f>
        <v>2025</v>
      </c>
      <c r="D63" s="309">
        <f>Table13[[#This Row],[Date]]-DAY(Table13[[#This Row],[Date]])+1</f>
        <v>45778</v>
      </c>
      <c r="E63" s="10">
        <f t="shared" si="5"/>
        <v>31</v>
      </c>
      <c r="F63" s="241">
        <f>IFERROR(_xlfn.XLOOKUP($A63,Input_Raw!$E:$E,Input_Raw!DC:DC),"")</f>
        <v>11.983333333333333</v>
      </c>
      <c r="G63" s="242"/>
      <c r="H63" s="242"/>
      <c r="I63" s="242"/>
      <c r="J63" s="242"/>
      <c r="K63" s="243"/>
      <c r="L63" s="242"/>
      <c r="M63" s="242">
        <f>IFERROR(_xlfn.XLOOKUP($A63,Input_Raw!$E:$E,Input_Raw!$BM:$BM),"")</f>
        <v>7.9999999999999991</v>
      </c>
      <c r="N63" s="242">
        <f>IFERROR(_xlfn.XLOOKUP($A63,Input_Raw!$E:$E,Input_Raw!$BN:$BN),"")</f>
        <v>8.4</v>
      </c>
      <c r="O63" s="311">
        <f t="shared" si="6"/>
        <v>0.9713467963320781</v>
      </c>
      <c r="P63" s="311">
        <f>IFERROR(1-SUMIF(WTG_BD!$F:$F,$A63,WTG_BD!$AA:$AA)/($AA63+SUMIF(WTG_BD!$F:$F,$A63,WTG_BD!$AA:$AA)),"")</f>
        <v>0.99771937332631211</v>
      </c>
      <c r="Q63" s="328">
        <f>IFERROR(1-SUMIF(IGA_BD!$F:$F,$A63,IGA_BD!$W:$W)/($AA63+SUMIF(IGA_BD!$F:$F,$A63,IGA_BD!$W:$W)),"")</f>
        <v>0.97356713951909135</v>
      </c>
      <c r="R63" s="311">
        <f>IFERROR(1-SUMIF(Grid_BD!$F:$F,$A63,Grid_BD!$Y:$Y)/($AA63+SUMIF(Grid_BD!$F:$F,$A63,Grid_BD!$Y:$Y)),"")</f>
        <v>1</v>
      </c>
      <c r="S63" s="10"/>
      <c r="T63" s="310"/>
      <c r="U63" s="311"/>
      <c r="V63" s="10"/>
      <c r="W63" s="312">
        <f t="shared" si="7"/>
        <v>0.62320569828722028</v>
      </c>
      <c r="X63" s="10">
        <f>IFERROR(_xlfn.XLOOKUP($A63,Input_Raw!$E:$E,Input_Raw!BG:BG),"")</f>
        <v>756821</v>
      </c>
      <c r="Y63" s="10">
        <f>IFERROR(_xlfn.XLOOKUP($A63,Input_Raw!$E:$E,Input_Raw!DF:DF),"")</f>
        <v>728309.9999999979</v>
      </c>
      <c r="Z63" s="319">
        <f>IFERROR(_xlfn.XLOOKUP(A63,Input_Raw!E:E,Input_Raw!CT:CT)/_xlfn.XLOOKUP(A63,Input_Raw!E:E,Input_Raw!CS:CS)*Table13[[#This Row],[Mtr_Export (kWh)]],"")</f>
        <v>0</v>
      </c>
      <c r="AA63" s="43">
        <f t="shared" si="8"/>
        <v>728309.9999999979</v>
      </c>
      <c r="AB63" s="10">
        <f>IFERROR(_xlfn.XLOOKUP($A63,Input_Raw!$E:$E,Input_Raw!$CZ:$CZ),"")</f>
        <v>50.6</v>
      </c>
      <c r="AC63" s="313">
        <f>IFERROR(_xlfn.XLOOKUP($D63,'Modelling New'!$D:$D,'Modelling New'!$J:$J),"")</f>
        <v>7.1310648756787653</v>
      </c>
      <c r="AD63" s="43">
        <f>IFERROR(_xlfn.XLOOKUP($D63,'Modelling New'!$D:$D,'Modelling New'!$T:$T)*1000,"")</f>
        <v>445081.61290322582</v>
      </c>
      <c r="AE63" s="312"/>
      <c r="AF63" s="312">
        <f>IFERROR(_xlfn.XLOOKUP($D63,'Modelling New'!$D:$D,'Modelling New'!$W:$W),"")</f>
        <v>0.36650330443282769</v>
      </c>
      <c r="AG63" s="312">
        <f>IFERROR(_xlfn.XLOOKUP($D63,'Modelling New'!$D:$D,'Modelling New'!$AE:$AE),"")</f>
        <v>0.95549849999999992</v>
      </c>
      <c r="AH63" s="312">
        <f>IFERROR(_xlfn.XLOOKUP($D63,'Modelling New'!$D:$D,'Modelling New'!$AF:$AF),"")</f>
        <v>0.995</v>
      </c>
      <c r="AI63" s="10">
        <f>IFERROR(_xlfn.XLOOKUP($A63,Input_Raw!$E:$E,Input_Raw!$DG:$DG),"")</f>
        <v>761</v>
      </c>
      <c r="AJ63" s="10"/>
      <c r="AK63" s="10"/>
      <c r="AL63" s="10"/>
      <c r="AM63" s="10"/>
      <c r="AN63" s="314">
        <f>IFERROR(_xlfn.XLOOKUP($A63,Input_Raw!$E:$E,Input_Raw!$CY:$CY),"")</f>
        <v>8.9510050250631856E-3</v>
      </c>
      <c r="AO63" s="312">
        <f>IFERROR((_xlfn.XLOOKUP($A63,'WTG Reactive Power'!$A:$A,'WTG Reactive Power'!AB:AB))/X63,"")</f>
        <v>9.6243761734941272E-2</v>
      </c>
      <c r="AP63" s="312">
        <f>IFERROR(_xlfn.XLOOKUP($D63,'Modelling New'!$D:$D,'Modelling New'!AK:AK),"")</f>
        <v>0.05</v>
      </c>
      <c r="AQ63" s="312">
        <f>IFERROR(_xlfn.XLOOKUP($D63,'Modelling New'!$D:$D,'Modelling New'!AL:AL),"")</f>
        <v>0.05</v>
      </c>
      <c r="AR63" s="325">
        <f>IFERROR(_xlfn.XLOOKUP($D63,'Modelling New'!$D:$D,'Modelling New'!$N:$N),"")</f>
        <v>50.59999999999998</v>
      </c>
      <c r="AS63" s="325"/>
    </row>
    <row r="64" spans="1:45">
      <c r="A64" s="32">
        <f t="shared" si="9"/>
        <v>45807</v>
      </c>
      <c r="B64" s="43">
        <f>YEAR(Table13[[#This Row],[Date]])+IF(MONTH(Table13[[#This Row],[Date]])&gt;=4,1,0)</f>
        <v>2026</v>
      </c>
      <c r="C64" s="10">
        <f>YEAR(Table13[[#This Row],[Date]])</f>
        <v>2025</v>
      </c>
      <c r="D64" s="309">
        <f>Table13[[#This Row],[Date]]-DAY(Table13[[#This Row],[Date]])+1</f>
        <v>45778</v>
      </c>
      <c r="E64" s="10">
        <f t="shared" si="5"/>
        <v>31</v>
      </c>
      <c r="F64" s="241">
        <f>IFERROR(_xlfn.XLOOKUP($A64,Input_Raw!$E:$E,Input_Raw!DC:DC),"")</f>
        <v>11.8</v>
      </c>
      <c r="G64" s="313"/>
      <c r="H64" s="313"/>
      <c r="I64" s="313"/>
      <c r="J64" s="313"/>
      <c r="K64" s="243"/>
      <c r="L64" s="242"/>
      <c r="M64" s="242">
        <f>IFERROR(_xlfn.XLOOKUP($A64,Input_Raw!$E:$E,Input_Raw!$BM:$BM),"")</f>
        <v>9.5739130434782584</v>
      </c>
      <c r="N64" s="242">
        <f>IFERROR(_xlfn.XLOOKUP($A64,Input_Raw!$E:$E,Input_Raw!$BN:$BN),"")</f>
        <v>10.4</v>
      </c>
      <c r="O64" s="311">
        <f t="shared" si="6"/>
        <v>0.99737356953340661</v>
      </c>
      <c r="P64" s="311">
        <f>IFERROR(1-SUMIF(WTG_BD!$F:$F,$A64,WTG_BD!$AA:$AA)/($AA64+SUMIF(WTG_BD!$F:$F,$A64,WTG_BD!$AA:$AA)),"")</f>
        <v>0.99737356953340661</v>
      </c>
      <c r="Q64" s="328">
        <f>IFERROR(1-SUMIF(IGA_BD!$F:$F,$A64,IGA_BD!$W:$W)/($AA64+SUMIF(IGA_BD!$F:$F,$A64,IGA_BD!$W:$W)),"")</f>
        <v>1</v>
      </c>
      <c r="R64" s="47">
        <f>IFERROR(1-SUMIF(Grid_BD!$F:$F,$A64,Grid_BD!$Y:$Y)/($AA64+SUMIF(Grid_BD!$F:$F,$A64,Grid_BD!$Y:$Y)),"")</f>
        <v>0.88779417202428446</v>
      </c>
      <c r="S64" s="10"/>
      <c r="T64" s="310"/>
      <c r="U64" s="311"/>
      <c r="V64" s="10"/>
      <c r="W64" s="312">
        <f t="shared" si="7"/>
        <v>0.69939805665349175</v>
      </c>
      <c r="X64" s="10">
        <f>IFERROR(_xlfn.XLOOKUP($A64,Input_Raw!$E:$E,Input_Raw!BG:BG),"")</f>
        <v>849349</v>
      </c>
      <c r="Y64" s="10">
        <f>IFERROR(_xlfn.XLOOKUP($A64,Input_Raw!$E:$E,Input_Raw!DF:DF),"")</f>
        <v>818729.99999999348</v>
      </c>
      <c r="Z64" s="319">
        <f>IFERROR(_xlfn.XLOOKUP(A64,Input_Raw!E:E,Input_Raw!CT:CT)/_xlfn.XLOOKUP(A64,Input_Raw!E:E,Input_Raw!CS:CS)*Table13[[#This Row],[Mtr_Export (kWh)]],"")</f>
        <v>0</v>
      </c>
      <c r="AA64" s="43">
        <f t="shared" si="8"/>
        <v>818729.99999999348</v>
      </c>
      <c r="AB64" s="10">
        <f>IFERROR(_xlfn.XLOOKUP($A64,Input_Raw!$E:$E,Input_Raw!$CZ:$CZ),"")</f>
        <v>50.6</v>
      </c>
      <c r="AC64" s="313">
        <f>IFERROR(_xlfn.XLOOKUP($D64,'Modelling New'!$D:$D,'Modelling New'!$J:$J),"")</f>
        <v>7.1310648756787653</v>
      </c>
      <c r="AD64" s="43">
        <f>IFERROR(_xlfn.XLOOKUP($D64,'Modelling New'!$D:$D,'Modelling New'!$T:$T)*1000,"")</f>
        <v>445081.61290322582</v>
      </c>
      <c r="AE64" s="312"/>
      <c r="AF64" s="312">
        <f>IFERROR(_xlfn.XLOOKUP($D64,'Modelling New'!$D:$D,'Modelling New'!$W:$W),"")</f>
        <v>0.36650330443282769</v>
      </c>
      <c r="AG64" s="312">
        <f>IFERROR(_xlfn.XLOOKUP($D64,'Modelling New'!$D:$D,'Modelling New'!$AE:$AE),"")</f>
        <v>0.95549849999999992</v>
      </c>
      <c r="AH64" s="312">
        <f>IFERROR(_xlfn.XLOOKUP($D64,'Modelling New'!$D:$D,'Modelling New'!$AF:$AF),"")</f>
        <v>0.995</v>
      </c>
      <c r="AI64" s="10">
        <f>IFERROR(_xlfn.XLOOKUP($A64,Input_Raw!$E:$E,Input_Raw!$DG:$DG),"")</f>
        <v>872.37</v>
      </c>
      <c r="AJ64" s="10"/>
      <c r="AK64" s="10"/>
      <c r="AL64" s="10"/>
      <c r="AM64" s="10"/>
      <c r="AN64" s="314">
        <f>IFERROR(_xlfn.XLOOKUP($A64,Input_Raw!$E:$E,Input_Raw!$CY:$CY),"")</f>
        <v>6.155303030336956E-3</v>
      </c>
      <c r="AO64" s="312">
        <f>IFERROR((_xlfn.XLOOKUP($A64,'WTG Reactive Power'!$A:$A,'WTG Reactive Power'!AB:AB))/X64,"")</f>
        <v>3.1967188988272187E-2</v>
      </c>
      <c r="AP64" s="312">
        <f>IFERROR(_xlfn.XLOOKUP($D64,'Modelling New'!$D:$D,'Modelling New'!AK:AK),"")</f>
        <v>0.05</v>
      </c>
      <c r="AQ64" s="312">
        <f>IFERROR(_xlfn.XLOOKUP($D64,'Modelling New'!$D:$D,'Modelling New'!AL:AL),"")</f>
        <v>0.05</v>
      </c>
      <c r="AR64" s="325">
        <f>IFERROR(_xlfn.XLOOKUP($D64,'Modelling New'!$D:$D,'Modelling New'!$N:$N),"")</f>
        <v>50.59999999999998</v>
      </c>
      <c r="AS64" s="325"/>
    </row>
    <row r="65" spans="1:45">
      <c r="A65" s="32">
        <f t="shared" si="9"/>
        <v>45808</v>
      </c>
      <c r="B65" s="43">
        <f>YEAR(Table13[[#This Row],[Date]])+IF(MONTH(Table13[[#This Row],[Date]])&gt;=4,1,0)</f>
        <v>2026</v>
      </c>
      <c r="C65" s="10">
        <f>YEAR(Table13[[#This Row],[Date]])</f>
        <v>2025</v>
      </c>
      <c r="D65" s="309">
        <f>Table13[[#This Row],[Date]]-DAY(Table13[[#This Row],[Date]])+1</f>
        <v>45778</v>
      </c>
      <c r="E65" s="10">
        <f t="shared" si="5"/>
        <v>31</v>
      </c>
      <c r="F65" s="241">
        <f>IFERROR(_xlfn.XLOOKUP($A65,Input_Raw!$E:$E,Input_Raw!DC:DC),"")</f>
        <v>12.2</v>
      </c>
      <c r="G65" s="242"/>
      <c r="H65" s="242"/>
      <c r="I65" s="242"/>
      <c r="J65" s="242"/>
      <c r="K65" s="243"/>
      <c r="L65" s="242"/>
      <c r="M65" s="242">
        <f>IFERROR(_xlfn.XLOOKUP($A65,Input_Raw!$E:$E,Input_Raw!$BM:$BM),"")</f>
        <v>9.9521739130434774</v>
      </c>
      <c r="N65" s="242">
        <f>IFERROR(_xlfn.XLOOKUP($A65,Input_Raw!$E:$E,Input_Raw!$BN:$BN),"")</f>
        <v>10.9</v>
      </c>
      <c r="O65" s="311">
        <f t="shared" si="6"/>
        <v>0.99649608060757844</v>
      </c>
      <c r="P65" s="311">
        <f>IFERROR(1-SUMIF(WTG_BD!$F:$F,$A65,WTG_BD!$AA:$AA)/($AA65+SUMIF(WTG_BD!$F:$F,$A65,WTG_BD!$AA:$AA)),"")</f>
        <v>0.99649608060757844</v>
      </c>
      <c r="Q65" s="328">
        <f>IFERROR(1-SUMIF(IGA_BD!$F:$F,$A65,IGA_BD!$W:$W)/($AA65+SUMIF(IGA_BD!$F:$F,$A65,IGA_BD!$W:$W)),"")</f>
        <v>1</v>
      </c>
      <c r="R65" s="311">
        <f>IFERROR(1-SUMIF(Grid_BD!$F:$F,$A65,Grid_BD!$Y:$Y)/($AA65+SUMIF(Grid_BD!$F:$F,$A65,Grid_BD!$Y:$Y)),"")</f>
        <v>1</v>
      </c>
      <c r="S65" s="10"/>
      <c r="T65" s="310"/>
      <c r="U65" s="311"/>
      <c r="V65" s="10"/>
      <c r="W65" s="312">
        <f t="shared" si="7"/>
        <v>0.88349225955204247</v>
      </c>
      <c r="X65" s="10">
        <f>IFERROR(_xlfn.XLOOKUP($A65,Input_Raw!$E:$E,Input_Raw!BG:BG),"")</f>
        <v>1072913</v>
      </c>
      <c r="Y65" s="10">
        <f>IFERROR(_xlfn.XLOOKUP($A65,Input_Raw!$E:$E,Input_Raw!DF:DF),"")</f>
        <v>1028940.0000000077</v>
      </c>
      <c r="Z65" s="319">
        <f>IFERROR(_xlfn.XLOOKUP(A65,Input_Raw!E:E,Input_Raw!CT:CT)/_xlfn.XLOOKUP(A65,Input_Raw!E:E,Input_Raw!CS:CS)*Table13[[#This Row],[Mtr_Export (kWh)]],"")</f>
        <v>0</v>
      </c>
      <c r="AA65" s="43">
        <f t="shared" si="8"/>
        <v>1028940.0000000077</v>
      </c>
      <c r="AB65" s="10">
        <f>IFERROR(_xlfn.XLOOKUP($A65,Input_Raw!$E:$E,Input_Raw!$CZ:$CZ),"")</f>
        <v>50.6</v>
      </c>
      <c r="AC65" s="313">
        <f>IFERROR(_xlfn.XLOOKUP($D65,'Modelling New'!$D:$D,'Modelling New'!$J:$J),"")</f>
        <v>7.1310648756787653</v>
      </c>
      <c r="AD65" s="43">
        <f>IFERROR(_xlfn.XLOOKUP($D65,'Modelling New'!$D:$D,'Modelling New'!$T:$T)*1000,"")</f>
        <v>445081.61290322582</v>
      </c>
      <c r="AE65" s="312"/>
      <c r="AF65" s="312">
        <f>IFERROR(_xlfn.XLOOKUP($D65,'Modelling New'!$D:$D,'Modelling New'!$W:$W),"")</f>
        <v>0.36650330443282769</v>
      </c>
      <c r="AG65" s="312">
        <f>IFERROR(_xlfn.XLOOKUP($D65,'Modelling New'!$D:$D,'Modelling New'!$AE:$AE),"")</f>
        <v>0.95549849999999992</v>
      </c>
      <c r="AH65" s="312">
        <f>IFERROR(_xlfn.XLOOKUP($D65,'Modelling New'!$D:$D,'Modelling New'!$AF:$AF),"")</f>
        <v>0.995</v>
      </c>
      <c r="AI65" s="10">
        <f>IFERROR(_xlfn.XLOOKUP($A65,Input_Raw!$E:$E,Input_Raw!$DG:$DG),"")</f>
        <v>1072.93</v>
      </c>
      <c r="AJ65" s="10"/>
      <c r="AK65" s="10"/>
      <c r="AL65" s="10"/>
      <c r="AM65" s="10"/>
      <c r="AN65" s="314">
        <f>IFERROR(_xlfn.XLOOKUP($A65,Input_Raw!$E:$E,Input_Raw!$CY:$CY),"")</f>
        <v>8.7622005323781949E-3</v>
      </c>
      <c r="AO65" s="312">
        <f>IFERROR((_xlfn.XLOOKUP($A65,'WTG Reactive Power'!$A:$A,'WTG Reactive Power'!AB:AB))/X65,"")</f>
        <v>9.9781529350469245E-2</v>
      </c>
      <c r="AP65" s="312">
        <f>IFERROR(_xlfn.XLOOKUP($D65,'Modelling New'!$D:$D,'Modelling New'!AK:AK),"")</f>
        <v>0.05</v>
      </c>
      <c r="AQ65" s="312">
        <f>IFERROR(_xlfn.XLOOKUP($D65,'Modelling New'!$D:$D,'Modelling New'!AL:AL),"")</f>
        <v>0.05</v>
      </c>
      <c r="AR65" s="325">
        <f>IFERROR(_xlfn.XLOOKUP($D65,'Modelling New'!$D:$D,'Modelling New'!$N:$N),"")</f>
        <v>50.59999999999998</v>
      </c>
      <c r="AS65" s="325"/>
    </row>
    <row r="66" spans="1:45">
      <c r="A66" s="32">
        <f t="shared" si="9"/>
        <v>45809</v>
      </c>
      <c r="B66" s="43">
        <f>YEAR(Table13[[#This Row],[Date]])+IF(MONTH(Table13[[#This Row],[Date]])&gt;=4,1,0)</f>
        <v>2026</v>
      </c>
      <c r="C66" s="10">
        <f>YEAR(Table13[[#This Row],[Date]])</f>
        <v>2025</v>
      </c>
      <c r="D66" s="309">
        <f>Table13[[#This Row],[Date]]-DAY(Table13[[#This Row],[Date]])+1</f>
        <v>45809</v>
      </c>
      <c r="E66" s="10">
        <f t="shared" si="5"/>
        <v>30</v>
      </c>
      <c r="F66" s="241">
        <f>IFERROR(_xlfn.XLOOKUP($A66,Input_Raw!$E:$E,Input_Raw!DC:DC),"")</f>
        <v>12.266666666666666</v>
      </c>
      <c r="G66" s="313"/>
      <c r="H66" s="313"/>
      <c r="I66" s="313"/>
      <c r="J66" s="313"/>
      <c r="K66" s="243"/>
      <c r="L66" s="242"/>
      <c r="M66" s="242">
        <f>IFERROR(_xlfn.XLOOKUP($A66,Input_Raw!$E:$E,Input_Raw!$BM:$BM),"")</f>
        <v>8.808695652173915</v>
      </c>
      <c r="N66" s="242">
        <f>IFERROR(_xlfn.XLOOKUP($A66,Input_Raw!$E:$E,Input_Raw!$BN:$BN),"")</f>
        <v>9.5</v>
      </c>
      <c r="O66" s="311">
        <f t="shared" si="6"/>
        <v>0.99548657486298542</v>
      </c>
      <c r="P66" s="311">
        <f>IFERROR(1-SUMIF(WTG_BD!$F:$F,$A66,WTG_BD!$AA:$AA)/($AA66+SUMIF(WTG_BD!$F:$F,$A66,WTG_BD!$AA:$AA)),"")</f>
        <v>1</v>
      </c>
      <c r="Q66" s="328">
        <f>IFERROR(1-SUMIF(IGA_BD!$F:$F,$A66,IGA_BD!$W:$W)/($AA66+SUMIF(IGA_BD!$F:$F,$A66,IGA_BD!$W:$W)),"")</f>
        <v>0.99548657486298542</v>
      </c>
      <c r="R66" s="47">
        <f>IFERROR(1-SUMIF(Grid_BD!$F:$F,$A66,Grid_BD!$Y:$Y)/($AA66+SUMIF(Grid_BD!$F:$F,$A66,Grid_BD!$Y:$Y)),"")</f>
        <v>1</v>
      </c>
      <c r="S66" s="10"/>
      <c r="T66" s="310"/>
      <c r="U66" s="311"/>
      <c r="V66" s="10"/>
      <c r="W66" s="312">
        <f t="shared" si="7"/>
        <v>0.7033214756258237</v>
      </c>
      <c r="X66" s="10">
        <f>IFERROR(_xlfn.XLOOKUP($A66,Input_Raw!$E:$E,Input_Raw!BG:BG),"")</f>
        <v>854113.6</v>
      </c>
      <c r="Y66" s="10">
        <f>IFERROR(_xlfn.XLOOKUP($A66,Input_Raw!$E:$E,Input_Raw!DF:DF),"")</f>
        <v>821370.00000001083</v>
      </c>
      <c r="Z66" s="319">
        <f>IFERROR(_xlfn.XLOOKUP(A66,Input_Raw!E:E,Input_Raw!CT:CT)/_xlfn.XLOOKUP(A66,Input_Raw!E:E,Input_Raw!CS:CS)*Table13[[#This Row],[Mtr_Export (kWh)]],"")</f>
        <v>0</v>
      </c>
      <c r="AA66" s="43">
        <f t="shared" si="8"/>
        <v>821370.00000001083</v>
      </c>
      <c r="AB66" s="10">
        <f>IFERROR(_xlfn.XLOOKUP($A66,Input_Raw!$E:$E,Input_Raw!$CZ:$CZ),"")</f>
        <v>50.6</v>
      </c>
      <c r="AC66" s="313">
        <f>IFERROR(_xlfn.XLOOKUP($D66,'Modelling New'!$D:$D,'Modelling New'!$J:$J),"")</f>
        <v>9.4530328665332952</v>
      </c>
      <c r="AD66" s="43">
        <f>IFERROR(_xlfn.XLOOKUP($D66,'Modelling New'!$D:$D,'Modelling New'!$T:$T)*1000,"")</f>
        <v>706540.33333333326</v>
      </c>
      <c r="AE66" s="312"/>
      <c r="AF66" s="312">
        <f>IFERROR(_xlfn.XLOOKUP($D66,'Modelling New'!$D:$D,'Modelling New'!$W:$W),"")</f>
        <v>0.58180198726394394</v>
      </c>
      <c r="AG66" s="312">
        <f>IFERROR(_xlfn.XLOOKUP($D66,'Modelling New'!$D:$D,'Modelling New'!$AE:$AE),"")</f>
        <v>0.95549849999999992</v>
      </c>
      <c r="AH66" s="312">
        <f>IFERROR(_xlfn.XLOOKUP($D66,'Modelling New'!$D:$D,'Modelling New'!$AF:$AF),"")</f>
        <v>0.995</v>
      </c>
      <c r="AI66" s="10">
        <f>IFERROR(_xlfn.XLOOKUP($A66,Input_Raw!$E:$E,Input_Raw!$DG:$DG),"")</f>
        <v>853.95</v>
      </c>
      <c r="AJ66" s="10"/>
      <c r="AK66" s="10"/>
      <c r="AL66" s="10"/>
      <c r="AM66" s="10"/>
      <c r="AN66" s="314">
        <f>IFERROR(_xlfn.XLOOKUP($A66,Input_Raw!$E:$E,Input_Raw!$CY:$CY),"")</f>
        <v>5.1686615887023279E-3</v>
      </c>
      <c r="AO66" s="312">
        <f>IFERROR((_xlfn.XLOOKUP($A66,'WTG Reactive Power'!$A:$A,'WTG Reactive Power'!AB:AB))/X66,"")</f>
        <v>5.7373047332345488E-2</v>
      </c>
      <c r="AP66" s="312">
        <f>IFERROR(_xlfn.XLOOKUP($D66,'Modelling New'!$D:$D,'Modelling New'!AK:AK),"")</f>
        <v>0.05</v>
      </c>
      <c r="AQ66" s="312">
        <f>IFERROR(_xlfn.XLOOKUP($D66,'Modelling New'!$D:$D,'Modelling New'!AL:AL),"")</f>
        <v>0.05</v>
      </c>
      <c r="AR66" s="325">
        <f>IFERROR(_xlfn.XLOOKUP($D66,'Modelling New'!$D:$D,'Modelling New'!$N:$N),"")</f>
        <v>50.59999999999998</v>
      </c>
      <c r="AS66" s="325"/>
    </row>
    <row r="67" spans="1:45">
      <c r="A67" s="32">
        <f t="shared" si="9"/>
        <v>45810</v>
      </c>
      <c r="B67" s="43">
        <f>YEAR(Table13[[#This Row],[Date]])+IF(MONTH(Table13[[#This Row],[Date]])&gt;=4,1,0)</f>
        <v>2026</v>
      </c>
      <c r="C67" s="10">
        <f>YEAR(Table13[[#This Row],[Date]])</f>
        <v>2025</v>
      </c>
      <c r="D67" s="309">
        <f>Table13[[#This Row],[Date]]-DAY(Table13[[#This Row],[Date]])+1</f>
        <v>45809</v>
      </c>
      <c r="E67" s="10">
        <f t="shared" si="5"/>
        <v>30</v>
      </c>
      <c r="F67" s="241">
        <f>IFERROR(_xlfn.XLOOKUP($A67,Input_Raw!$E:$E,Input_Raw!DC:DC),"")</f>
        <v>12.416666666666668</v>
      </c>
      <c r="G67" s="242"/>
      <c r="H67" s="242"/>
      <c r="I67" s="242"/>
      <c r="J67" s="242"/>
      <c r="K67" s="243"/>
      <c r="L67" s="242"/>
      <c r="M67" s="242">
        <f>IFERROR(_xlfn.XLOOKUP($A67,Input_Raw!$E:$E,Input_Raw!$BM:$BM),"")</f>
        <v>7.4347826086956506</v>
      </c>
      <c r="N67" s="242">
        <f>IFERROR(_xlfn.XLOOKUP($A67,Input_Raw!$E:$E,Input_Raw!$BN:$BN),"")</f>
        <v>8.1</v>
      </c>
      <c r="O67" s="311">
        <f t="shared" si="6"/>
        <v>0.97561742577049948</v>
      </c>
      <c r="P67" s="311">
        <f>IFERROR(1-SUMIF(WTG_BD!$F:$F,$A67,WTG_BD!$AA:$AA)/($AA67+SUMIF(WTG_BD!$F:$F,$A67,WTG_BD!$AA:$AA)),"")</f>
        <v>0.99837459780861848</v>
      </c>
      <c r="Q67" s="328">
        <f>IFERROR(1-SUMIF(IGA_BD!$F:$F,$A67,IGA_BD!$W:$W)/($AA67+SUMIF(IGA_BD!$F:$F,$A67,IGA_BD!$W:$W)),"")</f>
        <v>0.97720577818379006</v>
      </c>
      <c r="R67" s="311">
        <f>IFERROR(1-SUMIF(Grid_BD!$F:$F,$A67,Grid_BD!$Y:$Y)/($AA67+SUMIF(Grid_BD!$F:$F,$A67,Grid_BD!$Y:$Y)),"")</f>
        <v>1</v>
      </c>
      <c r="S67" s="10"/>
      <c r="T67" s="310"/>
      <c r="U67" s="311"/>
      <c r="V67" s="10"/>
      <c r="W67" s="312">
        <f t="shared" si="7"/>
        <v>0.51052791501976302</v>
      </c>
      <c r="X67" s="10">
        <f>IFERROR(_xlfn.XLOOKUP($A67,Input_Raw!$E:$E,Input_Raw!BG:BG),"")</f>
        <v>619985.1</v>
      </c>
      <c r="Y67" s="10">
        <f>IFERROR(_xlfn.XLOOKUP($A67,Input_Raw!$E:$E,Input_Raw!DF:DF),"")</f>
        <v>600105</v>
      </c>
      <c r="Z67" s="319">
        <f>IFERROR(_xlfn.XLOOKUP(A67,Input_Raw!E:E,Input_Raw!CT:CT)/_xlfn.XLOOKUP(A67,Input_Raw!E:E,Input_Raw!CS:CS)*Table13[[#This Row],[Mtr_Export (kWh)]],"")</f>
        <v>0</v>
      </c>
      <c r="AA67" s="43">
        <f t="shared" si="8"/>
        <v>600105</v>
      </c>
      <c r="AB67" s="10">
        <f>IFERROR(_xlfn.XLOOKUP($A67,Input_Raw!$E:$E,Input_Raw!$CZ:$CZ),"")</f>
        <v>50.6</v>
      </c>
      <c r="AC67" s="313">
        <f>IFERROR(_xlfn.XLOOKUP($D67,'Modelling New'!$D:$D,'Modelling New'!$J:$J),"")</f>
        <v>9.4530328665332952</v>
      </c>
      <c r="AD67" s="43">
        <f>IFERROR(_xlfn.XLOOKUP($D67,'Modelling New'!$D:$D,'Modelling New'!$T:$T)*1000,"")</f>
        <v>706540.33333333326</v>
      </c>
      <c r="AE67" s="312"/>
      <c r="AF67" s="312">
        <f>IFERROR(_xlfn.XLOOKUP($D67,'Modelling New'!$D:$D,'Modelling New'!$W:$W),"")</f>
        <v>0.58180198726394394</v>
      </c>
      <c r="AG67" s="312">
        <f>IFERROR(_xlfn.XLOOKUP($D67,'Modelling New'!$D:$D,'Modelling New'!$AE:$AE),"")</f>
        <v>0.95549849999999992</v>
      </c>
      <c r="AH67" s="312">
        <f>IFERROR(_xlfn.XLOOKUP($D67,'Modelling New'!$D:$D,'Modelling New'!$AF:$AF),"")</f>
        <v>0.995</v>
      </c>
      <c r="AI67" s="10">
        <f>IFERROR(_xlfn.XLOOKUP($A67,Input_Raw!$E:$E,Input_Raw!$DG:$DG),"")</f>
        <v>627.14</v>
      </c>
      <c r="AJ67" s="10"/>
      <c r="AK67" s="10"/>
      <c r="AL67" s="10"/>
      <c r="AM67" s="10"/>
      <c r="AN67" s="314">
        <f>IFERROR(_xlfn.XLOOKUP($A67,Input_Raw!$E:$E,Input_Raw!$CY:$CY),"")</f>
        <v>4.7262059973978143E-3</v>
      </c>
      <c r="AO67" s="312">
        <f>IFERROR((_xlfn.XLOOKUP($A67,'WTG Reactive Power'!$A:$A,'WTG Reactive Power'!AB:AB))/X67,"")</f>
        <v>0.18507202834390699</v>
      </c>
      <c r="AP67" s="312">
        <f>IFERROR(_xlfn.XLOOKUP($D67,'Modelling New'!$D:$D,'Modelling New'!AK:AK),"")</f>
        <v>0.05</v>
      </c>
      <c r="AQ67" s="312">
        <f>IFERROR(_xlfn.XLOOKUP($D67,'Modelling New'!$D:$D,'Modelling New'!AL:AL),"")</f>
        <v>0.05</v>
      </c>
      <c r="AR67" s="325">
        <f>IFERROR(_xlfn.XLOOKUP($D67,'Modelling New'!$D:$D,'Modelling New'!$N:$N),"")</f>
        <v>50.59999999999998</v>
      </c>
      <c r="AS67" s="325"/>
    </row>
    <row r="68" spans="1:45">
      <c r="A68" s="32">
        <f t="shared" si="9"/>
        <v>45811</v>
      </c>
      <c r="B68" s="43">
        <f>YEAR(Table13[[#This Row],[Date]])+IF(MONTH(Table13[[#This Row],[Date]])&gt;=4,1,0)</f>
        <v>2026</v>
      </c>
      <c r="C68" s="10">
        <f>YEAR(Table13[[#This Row],[Date]])</f>
        <v>2025</v>
      </c>
      <c r="D68" s="309">
        <f>Table13[[#This Row],[Date]]-DAY(Table13[[#This Row],[Date]])+1</f>
        <v>45809</v>
      </c>
      <c r="E68" s="10">
        <f t="shared" si="5"/>
        <v>30</v>
      </c>
      <c r="F68" s="241">
        <f>IFERROR(_xlfn.XLOOKUP($A68,Input_Raw!$E:$E,Input_Raw!DC:DC),"")</f>
        <v>0.30000000000000027</v>
      </c>
      <c r="G68" s="313"/>
      <c r="H68" s="313"/>
      <c r="I68" s="313"/>
      <c r="J68" s="313"/>
      <c r="K68" s="243"/>
      <c r="L68" s="242"/>
      <c r="M68" s="242">
        <f>IFERROR(_xlfn.XLOOKUP($A68,Input_Raw!$E:$E,Input_Raw!$BM:$BM),"")</f>
        <v>7.1434782608695642</v>
      </c>
      <c r="N68" s="242">
        <f>IFERROR(_xlfn.XLOOKUP($A68,Input_Raw!$E:$E,Input_Raw!$BN:$BN),"")</f>
        <v>7.6</v>
      </c>
      <c r="O68" s="311">
        <f t="shared" si="6"/>
        <v>1</v>
      </c>
      <c r="P68" s="311">
        <f>IFERROR(1-SUMIF(WTG_BD!$F:$F,$A68,WTG_BD!$AA:$AA)/($AA68+SUMIF(WTG_BD!$F:$F,$A68,WTG_BD!$AA:$AA)),"")</f>
        <v>1</v>
      </c>
      <c r="Q68" s="328">
        <f>IFERROR(1-SUMIF(IGA_BD!$F:$F,$A68,IGA_BD!$W:$W)/($AA68+SUMIF(IGA_BD!$F:$F,$A68,IGA_BD!$W:$W)),"")</f>
        <v>1</v>
      </c>
      <c r="R68" s="47">
        <f>IFERROR(1-SUMIF(Grid_BD!$F:$F,$A68,Grid_BD!$Y:$Y)/($AA68+SUMIF(Grid_BD!$F:$F,$A68,Grid_BD!$Y:$Y)),"")</f>
        <v>1</v>
      </c>
      <c r="S68" s="10"/>
      <c r="T68" s="310"/>
      <c r="U68" s="311"/>
      <c r="V68" s="10"/>
      <c r="W68" s="312">
        <f t="shared" si="7"/>
        <v>0.51005014822134409</v>
      </c>
      <c r="X68" s="10">
        <f>IFERROR(_xlfn.XLOOKUP($A68,Input_Raw!$E:$E,Input_Raw!BG:BG),"")</f>
        <v>619404.9</v>
      </c>
      <c r="Y68" s="10">
        <f>IFERROR(_xlfn.XLOOKUP($A68,Input_Raw!$E:$E,Input_Raw!DF:DF),"")</f>
        <v>596969.99999999919</v>
      </c>
      <c r="Z68" s="319">
        <f>IFERROR(_xlfn.XLOOKUP(A68,Input_Raw!E:E,Input_Raw!CT:CT)/_xlfn.XLOOKUP(A68,Input_Raw!E:E,Input_Raw!CS:CS)*Table13[[#This Row],[Mtr_Export (kWh)]],"")</f>
        <v>0</v>
      </c>
      <c r="AA68" s="43">
        <f t="shared" si="8"/>
        <v>596969.99999999919</v>
      </c>
      <c r="AB68" s="10">
        <f>IFERROR(_xlfn.XLOOKUP($A68,Input_Raw!$E:$E,Input_Raw!$CZ:$CZ),"")</f>
        <v>50.6</v>
      </c>
      <c r="AC68" s="313">
        <f>IFERROR(_xlfn.XLOOKUP($D68,'Modelling New'!$D:$D,'Modelling New'!$J:$J),"")</f>
        <v>9.4530328665332952</v>
      </c>
      <c r="AD68" s="43">
        <f>IFERROR(_xlfn.XLOOKUP($D68,'Modelling New'!$D:$D,'Modelling New'!$T:$T)*1000,"")</f>
        <v>706540.33333333326</v>
      </c>
      <c r="AE68" s="312"/>
      <c r="AF68" s="312">
        <f>IFERROR(_xlfn.XLOOKUP($D68,'Modelling New'!$D:$D,'Modelling New'!$W:$W),"")</f>
        <v>0.58180198726394394</v>
      </c>
      <c r="AG68" s="312">
        <f>IFERROR(_xlfn.XLOOKUP($D68,'Modelling New'!$D:$D,'Modelling New'!$AE:$AE),"")</f>
        <v>0.95549849999999992</v>
      </c>
      <c r="AH68" s="312">
        <f>IFERROR(_xlfn.XLOOKUP($D68,'Modelling New'!$D:$D,'Modelling New'!$AF:$AF),"")</f>
        <v>0.995</v>
      </c>
      <c r="AI68" s="10">
        <f>IFERROR(_xlfn.XLOOKUP($A68,Input_Raw!$E:$E,Input_Raw!$DG:$DG),"")</f>
        <v>619.59</v>
      </c>
      <c r="AJ68" s="10"/>
      <c r="AK68" s="10"/>
      <c r="AL68" s="10"/>
      <c r="AM68" s="10"/>
      <c r="AN68" s="314">
        <f>IFERROR(_xlfn.XLOOKUP($A68,Input_Raw!$E:$E,Input_Raw!$CY:$CY),"")</f>
        <v>8.0369357045220191E-3</v>
      </c>
      <c r="AO68" s="312">
        <f>IFERROR((_xlfn.XLOOKUP($A68,'WTG Reactive Power'!$A:$A,'WTG Reactive Power'!AB:AB))/X68,"")</f>
        <v>0.2644480209956363</v>
      </c>
      <c r="AP68" s="312">
        <f>IFERROR(_xlfn.XLOOKUP($D68,'Modelling New'!$D:$D,'Modelling New'!AK:AK),"")</f>
        <v>0.05</v>
      </c>
      <c r="AQ68" s="312">
        <f>IFERROR(_xlfn.XLOOKUP($D68,'Modelling New'!$D:$D,'Modelling New'!AL:AL),"")</f>
        <v>0.05</v>
      </c>
      <c r="AR68" s="325">
        <f>IFERROR(_xlfn.XLOOKUP($D68,'Modelling New'!$D:$D,'Modelling New'!$N:$N),"")</f>
        <v>50.59999999999998</v>
      </c>
      <c r="AS68" s="325"/>
    </row>
    <row r="69" spans="1:45">
      <c r="A69" s="32">
        <f t="shared" si="9"/>
        <v>45812</v>
      </c>
      <c r="B69" s="43">
        <f>YEAR(Table13[[#This Row],[Date]])+IF(MONTH(Table13[[#This Row],[Date]])&gt;=4,1,0)</f>
        <v>2026</v>
      </c>
      <c r="C69" s="10">
        <f>YEAR(Table13[[#This Row],[Date]])</f>
        <v>2025</v>
      </c>
      <c r="D69" s="309">
        <f>Table13[[#This Row],[Date]]-DAY(Table13[[#This Row],[Date]])+1</f>
        <v>45809</v>
      </c>
      <c r="E69" s="10">
        <f t="shared" si="5"/>
        <v>30</v>
      </c>
      <c r="F69" s="241">
        <f>IFERROR(_xlfn.XLOOKUP($A69,Input_Raw!$E:$E,Input_Raw!DC:DC),"")</f>
        <v>12.433333333333332</v>
      </c>
      <c r="G69" s="242"/>
      <c r="H69" s="242"/>
      <c r="I69" s="242"/>
      <c r="J69" s="242"/>
      <c r="K69" s="243"/>
      <c r="L69" s="242"/>
      <c r="M69" s="242">
        <f>IFERROR(_xlfn.XLOOKUP($A69,Input_Raw!$E:$E,Input_Raw!$BM:$BM),"")</f>
        <v>7.2434782608695665</v>
      </c>
      <c r="N69" s="242">
        <f>IFERROR(_xlfn.XLOOKUP($A69,Input_Raw!$E:$E,Input_Raw!$BN:$BN),"")</f>
        <v>7.9</v>
      </c>
      <c r="O69" s="311">
        <f t="shared" si="6"/>
        <v>0.99786343459131499</v>
      </c>
      <c r="P69" s="311">
        <f>IFERROR(1-SUMIF(WTG_BD!$F:$F,$A69,WTG_BD!$AA:$AA)/($AA69+SUMIF(WTG_BD!$F:$F,$A69,WTG_BD!$AA:$AA)),"")</f>
        <v>0.99786343459131499</v>
      </c>
      <c r="Q69" s="328">
        <f>IFERROR(1-SUMIF(IGA_BD!$F:$F,$A69,IGA_BD!$W:$W)/($AA69+SUMIF(IGA_BD!$F:$F,$A69,IGA_BD!$W:$W)),"")</f>
        <v>1</v>
      </c>
      <c r="R69" s="311">
        <f>IFERROR(1-SUMIF(Grid_BD!$F:$F,$A69,Grid_BD!$Y:$Y)/($AA69+SUMIF(Grid_BD!$F:$F,$A69,Grid_BD!$Y:$Y)),"")</f>
        <v>1</v>
      </c>
      <c r="S69" s="10"/>
      <c r="T69" s="310"/>
      <c r="U69" s="311"/>
      <c r="V69" s="10"/>
      <c r="W69" s="312">
        <f t="shared" si="7"/>
        <v>0.47762911725955215</v>
      </c>
      <c r="X69" s="10">
        <f>IFERROR(_xlfn.XLOOKUP($A69,Input_Raw!$E:$E,Input_Raw!BG:BG),"")</f>
        <v>580032.79999999993</v>
      </c>
      <c r="Y69" s="10">
        <f>IFERROR(_xlfn.XLOOKUP($A69,Input_Raw!$E:$E,Input_Raw!DF:DF),"")</f>
        <v>559514.99999999383</v>
      </c>
      <c r="Z69" s="319">
        <f>IFERROR(_xlfn.XLOOKUP(A69,Input_Raw!E:E,Input_Raw!CT:CT)/_xlfn.XLOOKUP(A69,Input_Raw!E:E,Input_Raw!CS:CS)*Table13[[#This Row],[Mtr_Export (kWh)]],"")</f>
        <v>0</v>
      </c>
      <c r="AA69" s="43">
        <f t="shared" si="8"/>
        <v>559514.99999999383</v>
      </c>
      <c r="AB69" s="10">
        <f>IFERROR(_xlfn.XLOOKUP($A69,Input_Raw!$E:$E,Input_Raw!$CZ:$CZ),"")</f>
        <v>50.6</v>
      </c>
      <c r="AC69" s="313">
        <f>IFERROR(_xlfn.XLOOKUP($D69,'Modelling New'!$D:$D,'Modelling New'!$J:$J),"")</f>
        <v>9.4530328665332952</v>
      </c>
      <c r="AD69" s="43">
        <f>IFERROR(_xlfn.XLOOKUP($D69,'Modelling New'!$D:$D,'Modelling New'!$T:$T)*1000,"")</f>
        <v>706540.33333333326</v>
      </c>
      <c r="AE69" s="312"/>
      <c r="AF69" s="312">
        <f>IFERROR(_xlfn.XLOOKUP($D69,'Modelling New'!$D:$D,'Modelling New'!$W:$W),"")</f>
        <v>0.58180198726394394</v>
      </c>
      <c r="AG69" s="312">
        <f>IFERROR(_xlfn.XLOOKUP($D69,'Modelling New'!$D:$D,'Modelling New'!$AE:$AE),"")</f>
        <v>0.95549849999999992</v>
      </c>
      <c r="AH69" s="312">
        <f>IFERROR(_xlfn.XLOOKUP($D69,'Modelling New'!$D:$D,'Modelling New'!$AF:$AF),"")</f>
        <v>0.995</v>
      </c>
      <c r="AI69" s="10">
        <f>IFERROR(_xlfn.XLOOKUP($A69,Input_Raw!$E:$E,Input_Raw!$DG:$DG),"")</f>
        <v>580.02</v>
      </c>
      <c r="AJ69" s="10"/>
      <c r="AK69" s="10"/>
      <c r="AL69" s="10"/>
      <c r="AM69" s="10"/>
      <c r="AN69" s="314">
        <f>IFERROR(_xlfn.XLOOKUP($A69,Input_Raw!$E:$E,Input_Raw!$CY:$CY),"")</f>
        <v>7.9617834394583031E-3</v>
      </c>
      <c r="AO69" s="312">
        <f>IFERROR((_xlfn.XLOOKUP($A69,'WTG Reactive Power'!$A:$A,'WTG Reactive Power'!AB:AB))/X69,"")</f>
        <v>0.18480558340838657</v>
      </c>
      <c r="AP69" s="312">
        <f>IFERROR(_xlfn.XLOOKUP($D69,'Modelling New'!$D:$D,'Modelling New'!AK:AK),"")</f>
        <v>0.05</v>
      </c>
      <c r="AQ69" s="312">
        <f>IFERROR(_xlfn.XLOOKUP($D69,'Modelling New'!$D:$D,'Modelling New'!AL:AL),"")</f>
        <v>0.05</v>
      </c>
      <c r="AR69" s="325">
        <f>IFERROR(_xlfn.XLOOKUP($D69,'Modelling New'!$D:$D,'Modelling New'!$N:$N),"")</f>
        <v>50.59999999999998</v>
      </c>
      <c r="AS69" s="325"/>
    </row>
    <row r="70" spans="1:45">
      <c r="A70" s="32">
        <f t="shared" si="9"/>
        <v>45813</v>
      </c>
      <c r="B70" s="43">
        <f>YEAR(Table13[[#This Row],[Date]])+IF(MONTH(Table13[[#This Row],[Date]])&gt;=4,1,0)</f>
        <v>2026</v>
      </c>
      <c r="C70" s="10">
        <f>YEAR(Table13[[#This Row],[Date]])</f>
        <v>2025</v>
      </c>
      <c r="D70" s="309">
        <f>Table13[[#This Row],[Date]]-DAY(Table13[[#This Row],[Date]])+1</f>
        <v>45809</v>
      </c>
      <c r="E70" s="10">
        <f t="shared" si="5"/>
        <v>30</v>
      </c>
      <c r="F70" s="241">
        <f>IFERROR(_xlfn.XLOOKUP($A70,Input_Raw!$E:$E,Input_Raw!DC:DC),"")</f>
        <v>12.299999999999999</v>
      </c>
      <c r="G70" s="313"/>
      <c r="H70" s="313"/>
      <c r="I70" s="313"/>
      <c r="J70" s="313"/>
      <c r="K70" s="243"/>
      <c r="L70" s="242"/>
      <c r="M70" s="242">
        <f>IFERROR(_xlfn.XLOOKUP($A70,Input_Raw!$E:$E,Input_Raw!$BM:$BM),"")</f>
        <v>6.0173913043478251</v>
      </c>
      <c r="N70" s="242">
        <f>IFERROR(_xlfn.XLOOKUP($A70,Input_Raw!$E:$E,Input_Raw!$BN:$BN),"")</f>
        <v>6.7</v>
      </c>
      <c r="O70" s="311">
        <f t="shared" si="6"/>
        <v>0.97200456590553119</v>
      </c>
      <c r="P70" s="311">
        <f>IFERROR(1-SUMIF(WTG_BD!$F:$F,$A70,WTG_BD!$AA:$AA)/($AA70+SUMIF(WTG_BD!$F:$F,$A70,WTG_BD!$AA:$AA)),"")</f>
        <v>0.99821739092442252</v>
      </c>
      <c r="Q70" s="328">
        <f>IFERROR(1-SUMIF(IGA_BD!$F:$F,$A70,IGA_BD!$W:$W)/($AA70+SUMIF(IGA_BD!$F:$F,$A70,IGA_BD!$W:$W)),"")</f>
        <v>0.97374036431621735</v>
      </c>
      <c r="R70" s="47">
        <f>IFERROR(1-SUMIF(Grid_BD!$F:$F,$A70,Grid_BD!$Y:$Y)/($AA70+SUMIF(Grid_BD!$F:$F,$A70,Grid_BD!$Y:$Y)),"")</f>
        <v>1</v>
      </c>
      <c r="S70" s="10"/>
      <c r="T70" s="310"/>
      <c r="U70" s="311"/>
      <c r="V70" s="10"/>
      <c r="W70" s="312">
        <f t="shared" si="7"/>
        <v>0.29172710803689078</v>
      </c>
      <c r="X70" s="10">
        <f>IFERROR(_xlfn.XLOOKUP($A70,Input_Raw!$E:$E,Input_Raw!BG:BG),"")</f>
        <v>354273.4</v>
      </c>
      <c r="Y70" s="10">
        <f>IFERROR(_xlfn.XLOOKUP($A70,Input_Raw!$E:$E,Input_Raw!DF:DF),"")</f>
        <v>342704.99999999034</v>
      </c>
      <c r="Z70" s="319">
        <f>IFERROR(_xlfn.XLOOKUP(A70,Input_Raw!E:E,Input_Raw!CT:CT)/_xlfn.XLOOKUP(A70,Input_Raw!E:E,Input_Raw!CS:CS)*Table13[[#This Row],[Mtr_Export (kWh)]],"")</f>
        <v>0</v>
      </c>
      <c r="AA70" s="43">
        <f t="shared" si="8"/>
        <v>342704.99999999034</v>
      </c>
      <c r="AB70" s="10">
        <f>IFERROR(_xlfn.XLOOKUP($A70,Input_Raw!$E:$E,Input_Raw!$CZ:$CZ),"")</f>
        <v>50.6</v>
      </c>
      <c r="AC70" s="313">
        <f>IFERROR(_xlfn.XLOOKUP($D70,'Modelling New'!$D:$D,'Modelling New'!$J:$J),"")</f>
        <v>9.4530328665332952</v>
      </c>
      <c r="AD70" s="43">
        <f>IFERROR(_xlfn.XLOOKUP($D70,'Modelling New'!$D:$D,'Modelling New'!$T:$T)*1000,"")</f>
        <v>706540.33333333326</v>
      </c>
      <c r="AE70" s="312"/>
      <c r="AF70" s="312">
        <f>IFERROR(_xlfn.XLOOKUP($D70,'Modelling New'!$D:$D,'Modelling New'!$W:$W),"")</f>
        <v>0.58180198726394394</v>
      </c>
      <c r="AG70" s="312">
        <f>IFERROR(_xlfn.XLOOKUP($D70,'Modelling New'!$D:$D,'Modelling New'!$AE:$AE),"")</f>
        <v>0.95549849999999992</v>
      </c>
      <c r="AH70" s="312">
        <f>IFERROR(_xlfn.XLOOKUP($D70,'Modelling New'!$D:$D,'Modelling New'!$AF:$AF),"")</f>
        <v>0.995</v>
      </c>
      <c r="AI70" s="10">
        <f>IFERROR(_xlfn.XLOOKUP($A70,Input_Raw!$E:$E,Input_Raw!$DG:$DG),"")</f>
        <v>358.15</v>
      </c>
      <c r="AJ70" s="10"/>
      <c r="AK70" s="10"/>
      <c r="AL70" s="10"/>
      <c r="AM70" s="10"/>
      <c r="AN70" s="314">
        <f>IFERROR(_xlfn.XLOOKUP($A70,Input_Raw!$E:$E,Input_Raw!$CY:$CY),"")</f>
        <v>7.5280112044835423E-3</v>
      </c>
      <c r="AO70" s="312">
        <f>IFERROR((_xlfn.XLOOKUP($A70,'WTG Reactive Power'!$A:$A,'WTG Reactive Power'!AB:AB))/X70,"")</f>
        <v>0.45129524260077108</v>
      </c>
      <c r="AP70" s="312">
        <f>IFERROR(_xlfn.XLOOKUP($D70,'Modelling New'!$D:$D,'Modelling New'!AK:AK),"")</f>
        <v>0.05</v>
      </c>
      <c r="AQ70" s="312">
        <f>IFERROR(_xlfn.XLOOKUP($D70,'Modelling New'!$D:$D,'Modelling New'!AL:AL),"")</f>
        <v>0.05</v>
      </c>
      <c r="AR70" s="325">
        <f>IFERROR(_xlfn.XLOOKUP($D70,'Modelling New'!$D:$D,'Modelling New'!$N:$N),"")</f>
        <v>50.59999999999998</v>
      </c>
      <c r="AS70" s="325"/>
    </row>
    <row r="71" spans="1:45">
      <c r="A71" s="32">
        <f t="shared" si="9"/>
        <v>45814</v>
      </c>
      <c r="B71" s="43">
        <f>YEAR(Table13[[#This Row],[Date]])+IF(MONTH(Table13[[#This Row],[Date]])&gt;=4,1,0)</f>
        <v>2026</v>
      </c>
      <c r="C71" s="10">
        <f>YEAR(Table13[[#This Row],[Date]])</f>
        <v>2025</v>
      </c>
      <c r="D71" s="309">
        <f>Table13[[#This Row],[Date]]-DAY(Table13[[#This Row],[Date]])+1</f>
        <v>45809</v>
      </c>
      <c r="E71" s="10">
        <f t="shared" ref="E71:E134" si="10">DAY(EOMONTH(A71,0))</f>
        <v>30</v>
      </c>
      <c r="F71" s="241">
        <f>IFERROR(_xlfn.XLOOKUP($A71,Input_Raw!$E:$E,Input_Raw!DC:DC),"")</f>
        <v>12.299999999999999</v>
      </c>
      <c r="G71" s="242"/>
      <c r="H71" s="242"/>
      <c r="I71" s="242"/>
      <c r="J71" s="242"/>
      <c r="K71" s="243"/>
      <c r="L71" s="242"/>
      <c r="M71" s="242">
        <f>IFERROR(_xlfn.XLOOKUP($A71,Input_Raw!$E:$E,Input_Raw!$BM:$BM),"")</f>
        <v>5.5869565217391308</v>
      </c>
      <c r="N71" s="242">
        <f>IFERROR(_xlfn.XLOOKUP($A71,Input_Raw!$E:$E,Input_Raw!$BN:$BN),"")</f>
        <v>5.9</v>
      </c>
      <c r="O71" s="311">
        <f t="shared" ref="O71:O134" si="11">IFERROR(P71*Q71,"")</f>
        <v>0.98270386632802775</v>
      </c>
      <c r="P71" s="311">
        <f>IFERROR(1-SUMIF(WTG_BD!$F:$F,$A71,WTG_BD!$AA:$AA)/($AA71+SUMIF(WTG_BD!$F:$F,$A71,WTG_BD!$AA:$AA)),"")</f>
        <v>0.98444430496275848</v>
      </c>
      <c r="Q71" s="328">
        <f>IFERROR(1-SUMIF(IGA_BD!$F:$F,$A71,IGA_BD!$W:$W)/($AA71+SUMIF(IGA_BD!$F:$F,$A71,IGA_BD!$W:$W)),"")</f>
        <v>0.99823205982709551</v>
      </c>
      <c r="R71" s="311">
        <f>IFERROR(1-SUMIF(Grid_BD!$F:$F,$A71,Grid_BD!$Y:$Y)/($AA71+SUMIF(Grid_BD!$F:$F,$A71,Grid_BD!$Y:$Y)),"")</f>
        <v>1</v>
      </c>
      <c r="S71" s="10"/>
      <c r="T71" s="310"/>
      <c r="U71" s="311"/>
      <c r="V71" s="10"/>
      <c r="W71" s="312">
        <f t="shared" ref="W71:W134" si="12">IFERROR(X71/(24*AR71*1000),"")</f>
        <v>0.24076992753623203</v>
      </c>
      <c r="X71" s="10">
        <f>IFERROR(_xlfn.XLOOKUP($A71,Input_Raw!$E:$E,Input_Raw!BG:BG),"")</f>
        <v>292391.00000000006</v>
      </c>
      <c r="Y71" s="10">
        <f>IFERROR(_xlfn.XLOOKUP($A71,Input_Raw!$E:$E,Input_Raw!DF:DF),"")</f>
        <v>282315.0000000021</v>
      </c>
      <c r="Z71" s="319">
        <f>IFERROR(_xlfn.XLOOKUP(A71,Input_Raw!E:E,Input_Raw!CT:CT)/_xlfn.XLOOKUP(A71,Input_Raw!E:E,Input_Raw!CS:CS)*Table13[[#This Row],[Mtr_Export (kWh)]],"")</f>
        <v>0</v>
      </c>
      <c r="AA71" s="43">
        <f t="shared" ref="AA71:AA134" si="13">IFERROR(Y71-Z71,"")</f>
        <v>282315.0000000021</v>
      </c>
      <c r="AB71" s="10">
        <f>IFERROR(_xlfn.XLOOKUP($A71,Input_Raw!$E:$E,Input_Raw!$CZ:$CZ),"")</f>
        <v>50.6</v>
      </c>
      <c r="AC71" s="313">
        <f>IFERROR(_xlfn.XLOOKUP($D71,'Modelling New'!$D:$D,'Modelling New'!$J:$J),"")</f>
        <v>9.4530328665332952</v>
      </c>
      <c r="AD71" s="43">
        <f>IFERROR(_xlfn.XLOOKUP($D71,'Modelling New'!$D:$D,'Modelling New'!$T:$T)*1000,"")</f>
        <v>706540.33333333326</v>
      </c>
      <c r="AE71" s="312"/>
      <c r="AF71" s="312">
        <f>IFERROR(_xlfn.XLOOKUP($D71,'Modelling New'!$D:$D,'Modelling New'!$W:$W),"")</f>
        <v>0.58180198726394394</v>
      </c>
      <c r="AG71" s="312">
        <f>IFERROR(_xlfn.XLOOKUP($D71,'Modelling New'!$D:$D,'Modelling New'!$AE:$AE),"")</f>
        <v>0.95549849999999992</v>
      </c>
      <c r="AH71" s="312">
        <f>IFERROR(_xlfn.XLOOKUP($D71,'Modelling New'!$D:$D,'Modelling New'!$AF:$AF),"")</f>
        <v>0.995</v>
      </c>
      <c r="AI71" s="10">
        <f>IFERROR(_xlfn.XLOOKUP($A71,Input_Raw!$E:$E,Input_Raw!$DG:$DG),"")</f>
        <v>292.76</v>
      </c>
      <c r="AJ71" s="10"/>
      <c r="AK71" s="10"/>
      <c r="AL71" s="10"/>
      <c r="AM71" s="10"/>
      <c r="AN71" s="314">
        <f>IFERROR(_xlfn.XLOOKUP($A71,Input_Raw!$E:$E,Input_Raw!$CY:$CY),"")</f>
        <v>8.2547169811839627E-3</v>
      </c>
      <c r="AO71" s="312">
        <f>IFERROR((_xlfn.XLOOKUP($A71,'WTG Reactive Power'!$A:$A,'WTG Reactive Power'!AB:AB))/X71,"")</f>
        <v>0.28489317386650065</v>
      </c>
      <c r="AP71" s="312">
        <f>IFERROR(_xlfn.XLOOKUP($D71,'Modelling New'!$D:$D,'Modelling New'!AK:AK),"")</f>
        <v>0.05</v>
      </c>
      <c r="AQ71" s="312">
        <f>IFERROR(_xlfn.XLOOKUP($D71,'Modelling New'!$D:$D,'Modelling New'!AL:AL),"")</f>
        <v>0.05</v>
      </c>
      <c r="AR71" s="325">
        <f>IFERROR(_xlfn.XLOOKUP($D71,'Modelling New'!$D:$D,'Modelling New'!$N:$N),"")</f>
        <v>50.59999999999998</v>
      </c>
      <c r="AS71" s="325"/>
    </row>
    <row r="72" spans="1:45">
      <c r="A72" s="32">
        <f t="shared" si="9"/>
        <v>45815</v>
      </c>
      <c r="B72" s="43">
        <f>YEAR(Table13[[#This Row],[Date]])+IF(MONTH(Table13[[#This Row],[Date]])&gt;=4,1,0)</f>
        <v>2026</v>
      </c>
      <c r="C72" s="10">
        <f>YEAR(Table13[[#This Row],[Date]])</f>
        <v>2025</v>
      </c>
      <c r="D72" s="309">
        <f>Table13[[#This Row],[Date]]-DAY(Table13[[#This Row],[Date]])+1</f>
        <v>45809</v>
      </c>
      <c r="E72" s="10">
        <f t="shared" si="10"/>
        <v>30</v>
      </c>
      <c r="F72" s="241">
        <f>IFERROR(_xlfn.XLOOKUP($A72,Input_Raw!$E:$E,Input_Raw!DC:DC),"")</f>
        <v>12.299999999999999</v>
      </c>
      <c r="G72" s="313"/>
      <c r="H72" s="313"/>
      <c r="I72" s="313"/>
      <c r="J72" s="313"/>
      <c r="K72" s="243"/>
      <c r="L72" s="242"/>
      <c r="M72" s="242">
        <f>IFERROR(_xlfn.XLOOKUP($A72,Input_Raw!$E:$E,Input_Raw!$BM:$BM),"")</f>
        <v>6.6652173913043473</v>
      </c>
      <c r="N72" s="242">
        <f>IFERROR(_xlfn.XLOOKUP($A72,Input_Raw!$E:$E,Input_Raw!$BN:$BN),"")</f>
        <v>7.2</v>
      </c>
      <c r="O72" s="311">
        <f t="shared" si="11"/>
        <v>0.99276930384757489</v>
      </c>
      <c r="P72" s="311">
        <f>IFERROR(1-SUMIF(WTG_BD!$F:$F,$A72,WTG_BD!$AA:$AA)/($AA72+SUMIF(WTG_BD!$F:$F,$A72,WTG_BD!$AA:$AA)),"")</f>
        <v>0.99276930384757489</v>
      </c>
      <c r="Q72" s="328">
        <f>IFERROR(1-SUMIF(IGA_BD!$F:$F,$A72,IGA_BD!$W:$W)/($AA72+SUMIF(IGA_BD!$F:$F,$A72,IGA_BD!$W:$W)),"")</f>
        <v>1</v>
      </c>
      <c r="R72" s="47">
        <f>IFERROR(1-SUMIF(Grid_BD!$F:$F,$A72,Grid_BD!$Y:$Y)/($AA72+SUMIF(Grid_BD!$F:$F,$A72,Grid_BD!$Y:$Y)),"")</f>
        <v>1</v>
      </c>
      <c r="S72" s="10"/>
      <c r="T72" s="310"/>
      <c r="U72" s="311"/>
      <c r="V72" s="10"/>
      <c r="W72" s="312">
        <f t="shared" si="12"/>
        <v>0.3684302536231886</v>
      </c>
      <c r="X72" s="10">
        <f>IFERROR(_xlfn.XLOOKUP($A72,Input_Raw!$E:$E,Input_Raw!BG:BG),"")</f>
        <v>447421.70000000007</v>
      </c>
      <c r="Y72" s="10">
        <f>IFERROR(_xlfn.XLOOKUP($A72,Input_Raw!$E:$E,Input_Raw!DF:DF),"")</f>
        <v>432630.00000000233</v>
      </c>
      <c r="Z72" s="319">
        <f>IFERROR(_xlfn.XLOOKUP(A72,Input_Raw!E:E,Input_Raw!CT:CT)/_xlfn.XLOOKUP(A72,Input_Raw!E:E,Input_Raw!CS:CS)*Table13[[#This Row],[Mtr_Export (kWh)]],"")</f>
        <v>0</v>
      </c>
      <c r="AA72" s="43">
        <f t="shared" si="13"/>
        <v>432630.00000000233</v>
      </c>
      <c r="AB72" s="10">
        <f>IFERROR(_xlfn.XLOOKUP($A72,Input_Raw!$E:$E,Input_Raw!$CZ:$CZ),"")</f>
        <v>50.6</v>
      </c>
      <c r="AC72" s="313">
        <f>IFERROR(_xlfn.XLOOKUP($D72,'Modelling New'!$D:$D,'Modelling New'!$J:$J),"")</f>
        <v>9.4530328665332952</v>
      </c>
      <c r="AD72" s="43">
        <f>IFERROR(_xlfn.XLOOKUP($D72,'Modelling New'!$D:$D,'Modelling New'!$T:$T)*1000,"")</f>
        <v>706540.33333333326</v>
      </c>
      <c r="AE72" s="312"/>
      <c r="AF72" s="312">
        <f>IFERROR(_xlfn.XLOOKUP($D72,'Modelling New'!$D:$D,'Modelling New'!$W:$W),"")</f>
        <v>0.58180198726394394</v>
      </c>
      <c r="AG72" s="312">
        <f>IFERROR(_xlfn.XLOOKUP($D72,'Modelling New'!$D:$D,'Modelling New'!$AE:$AE),"")</f>
        <v>0.95549849999999992</v>
      </c>
      <c r="AH72" s="312">
        <f>IFERROR(_xlfn.XLOOKUP($D72,'Modelling New'!$D:$D,'Modelling New'!$AF:$AF),"")</f>
        <v>0.995</v>
      </c>
      <c r="AI72" s="10">
        <f>IFERROR(_xlfn.XLOOKUP($A72,Input_Raw!$E:$E,Input_Raw!$DG:$DG),"")</f>
        <v>447.56</v>
      </c>
      <c r="AJ72" s="10"/>
      <c r="AK72" s="10"/>
      <c r="AL72" s="10"/>
      <c r="AM72" s="10"/>
      <c r="AN72" s="314">
        <f>IFERROR(_xlfn.XLOOKUP($A72,Input_Raw!$E:$E,Input_Raw!$CY:$CY),"")</f>
        <v>9.5561035757880664E-3</v>
      </c>
      <c r="AO72" s="312">
        <f>IFERROR((_xlfn.XLOOKUP($A72,'WTG Reactive Power'!$A:$A,'WTG Reactive Power'!AB:AB))/X72,"")</f>
        <v>0.10787809353010816</v>
      </c>
      <c r="AP72" s="312">
        <f>IFERROR(_xlfn.XLOOKUP($D72,'Modelling New'!$D:$D,'Modelling New'!AK:AK),"")</f>
        <v>0.05</v>
      </c>
      <c r="AQ72" s="312">
        <f>IFERROR(_xlfn.XLOOKUP($D72,'Modelling New'!$D:$D,'Modelling New'!AL:AL),"")</f>
        <v>0.05</v>
      </c>
      <c r="AR72" s="325">
        <f>IFERROR(_xlfn.XLOOKUP($D72,'Modelling New'!$D:$D,'Modelling New'!$N:$N),"")</f>
        <v>50.59999999999998</v>
      </c>
      <c r="AS72" s="325"/>
    </row>
    <row r="73" spans="1:45">
      <c r="A73" s="32">
        <f t="shared" ref="A73:A136" si="14">A72+1</f>
        <v>45816</v>
      </c>
      <c r="B73" s="43">
        <f>YEAR(Table13[[#This Row],[Date]])+IF(MONTH(Table13[[#This Row],[Date]])&gt;=4,1,0)</f>
        <v>2026</v>
      </c>
      <c r="C73" s="10">
        <f>YEAR(Table13[[#This Row],[Date]])</f>
        <v>2025</v>
      </c>
      <c r="D73" s="309">
        <f>Table13[[#This Row],[Date]]-DAY(Table13[[#This Row],[Date]])+1</f>
        <v>45809</v>
      </c>
      <c r="E73" s="10">
        <f t="shared" si="10"/>
        <v>30</v>
      </c>
      <c r="F73" s="241">
        <f>IFERROR(_xlfn.XLOOKUP($A73,Input_Raw!$E:$E,Input_Raw!DC:DC),"")</f>
        <v>12.483333333333334</v>
      </c>
      <c r="G73" s="242"/>
      <c r="H73" s="242"/>
      <c r="I73" s="242"/>
      <c r="J73" s="242"/>
      <c r="K73" s="243"/>
      <c r="L73" s="242"/>
      <c r="M73" s="242">
        <f>IFERROR(_xlfn.XLOOKUP($A73,Input_Raw!$E:$E,Input_Raw!$BM:$BM),"")</f>
        <v>6.6304347826086953</v>
      </c>
      <c r="N73" s="242">
        <f>IFERROR(_xlfn.XLOOKUP($A73,Input_Raw!$E:$E,Input_Raw!$BN:$BN),"")</f>
        <v>7.2</v>
      </c>
      <c r="O73" s="311">
        <f t="shared" si="11"/>
        <v>0.99613075640023252</v>
      </c>
      <c r="P73" s="311">
        <f>IFERROR(1-SUMIF(WTG_BD!$F:$F,$A73,WTG_BD!$AA:$AA)/($AA73+SUMIF(WTG_BD!$F:$F,$A73,WTG_BD!$AA:$AA)),"")</f>
        <v>0.99902507240271132</v>
      </c>
      <c r="Q73" s="328">
        <f>IFERROR(1-SUMIF(IGA_BD!$F:$F,$A73,IGA_BD!$W:$W)/($AA73+SUMIF(IGA_BD!$F:$F,$A73,IGA_BD!$W:$W)),"")</f>
        <v>0.99710285949528998</v>
      </c>
      <c r="R73" s="311">
        <f>IFERROR(1-SUMIF(Grid_BD!$F:$F,$A73,Grid_BD!$Y:$Y)/($AA73+SUMIF(Grid_BD!$F:$F,$A73,Grid_BD!$Y:$Y)),"")</f>
        <v>1</v>
      </c>
      <c r="S73" s="10"/>
      <c r="T73" s="310"/>
      <c r="U73" s="311"/>
      <c r="V73" s="10"/>
      <c r="W73" s="312">
        <f t="shared" si="12"/>
        <v>0.3845616765480897</v>
      </c>
      <c r="X73" s="10">
        <f>IFERROR(_xlfn.XLOOKUP($A73,Input_Raw!$E:$E,Input_Raw!BG:BG),"")</f>
        <v>467011.69999999995</v>
      </c>
      <c r="Y73" s="10">
        <f>IFERROR(_xlfn.XLOOKUP($A73,Input_Raw!$E:$E,Input_Raw!DF:DF),"")</f>
        <v>452925.00000001013</v>
      </c>
      <c r="Z73" s="319">
        <f>IFERROR(_xlfn.XLOOKUP(A73,Input_Raw!E:E,Input_Raw!CT:CT)/_xlfn.XLOOKUP(A73,Input_Raw!E:E,Input_Raw!CS:CS)*Table13[[#This Row],[Mtr_Export (kWh)]],"")</f>
        <v>0</v>
      </c>
      <c r="AA73" s="43">
        <f t="shared" si="13"/>
        <v>452925.00000001013</v>
      </c>
      <c r="AB73" s="10">
        <f>IFERROR(_xlfn.XLOOKUP($A73,Input_Raw!$E:$E,Input_Raw!$CZ:$CZ),"")</f>
        <v>50.6</v>
      </c>
      <c r="AC73" s="313">
        <f>IFERROR(_xlfn.XLOOKUP($D73,'Modelling New'!$D:$D,'Modelling New'!$J:$J),"")</f>
        <v>9.4530328665332952</v>
      </c>
      <c r="AD73" s="43">
        <f>IFERROR(_xlfn.XLOOKUP($D73,'Modelling New'!$D:$D,'Modelling New'!$T:$T)*1000,"")</f>
        <v>706540.33333333326</v>
      </c>
      <c r="AE73" s="312"/>
      <c r="AF73" s="312">
        <f>IFERROR(_xlfn.XLOOKUP($D73,'Modelling New'!$D:$D,'Modelling New'!$W:$W),"")</f>
        <v>0.58180198726394394</v>
      </c>
      <c r="AG73" s="312">
        <f>IFERROR(_xlfn.XLOOKUP($D73,'Modelling New'!$D:$D,'Modelling New'!$AE:$AE),"")</f>
        <v>0.95549849999999992</v>
      </c>
      <c r="AH73" s="312">
        <f>IFERROR(_xlfn.XLOOKUP($D73,'Modelling New'!$D:$D,'Modelling New'!$AF:$AF),"")</f>
        <v>0.995</v>
      </c>
      <c r="AI73" s="10">
        <f>IFERROR(_xlfn.XLOOKUP($A73,Input_Raw!$E:$E,Input_Raw!$DG:$DG),"")</f>
        <v>468.64</v>
      </c>
      <c r="AJ73" s="10"/>
      <c r="AK73" s="10"/>
      <c r="AL73" s="10"/>
      <c r="AM73" s="10"/>
      <c r="AN73" s="314">
        <f>IFERROR(_xlfn.XLOOKUP($A73,Input_Raw!$E:$E,Input_Raw!$CY:$CY),"")</f>
        <v>1.9408831908834356E-2</v>
      </c>
      <c r="AO73" s="312">
        <f>IFERROR((_xlfn.XLOOKUP($A73,'WTG Reactive Power'!$A:$A,'WTG Reactive Power'!AB:AB))/X73,"")</f>
        <v>4.9811385881766999E-2</v>
      </c>
      <c r="AP73" s="312">
        <f>IFERROR(_xlfn.XLOOKUP($D73,'Modelling New'!$D:$D,'Modelling New'!AK:AK),"")</f>
        <v>0.05</v>
      </c>
      <c r="AQ73" s="312">
        <f>IFERROR(_xlfn.XLOOKUP($D73,'Modelling New'!$D:$D,'Modelling New'!AL:AL),"")</f>
        <v>0.05</v>
      </c>
      <c r="AR73" s="325">
        <f>IFERROR(_xlfn.XLOOKUP($D73,'Modelling New'!$D:$D,'Modelling New'!$N:$N),"")</f>
        <v>50.59999999999998</v>
      </c>
      <c r="AS73" s="325"/>
    </row>
    <row r="74" spans="1:45">
      <c r="A74" s="32">
        <f t="shared" si="14"/>
        <v>45817</v>
      </c>
      <c r="B74" s="43">
        <f>YEAR(Table13[[#This Row],[Date]])+IF(MONTH(Table13[[#This Row],[Date]])&gt;=4,1,0)</f>
        <v>2026</v>
      </c>
      <c r="C74" s="10">
        <f>YEAR(Table13[[#This Row],[Date]])</f>
        <v>2025</v>
      </c>
      <c r="D74" s="309">
        <f>Table13[[#This Row],[Date]]-DAY(Table13[[#This Row],[Date]])+1</f>
        <v>45809</v>
      </c>
      <c r="E74" s="10">
        <f t="shared" si="10"/>
        <v>30</v>
      </c>
      <c r="F74" s="241">
        <f>IFERROR(_xlfn.XLOOKUP($A74,Input_Raw!$E:$E,Input_Raw!DC:DC),"")</f>
        <v>12.383333333333335</v>
      </c>
      <c r="G74" s="313"/>
      <c r="H74" s="313"/>
      <c r="I74" s="313"/>
      <c r="J74" s="313"/>
      <c r="K74" s="243"/>
      <c r="L74" s="242"/>
      <c r="M74" s="242">
        <f>IFERROR(_xlfn.XLOOKUP($A74,Input_Raw!$E:$E,Input_Raw!$BM:$BM),"")</f>
        <v>6.7434782608695674</v>
      </c>
      <c r="N74" s="242">
        <f>IFERROR(_xlfn.XLOOKUP($A74,Input_Raw!$E:$E,Input_Raw!$BN:$BN),"")</f>
        <v>7.9</v>
      </c>
      <c r="O74" s="311">
        <f t="shared" si="11"/>
        <v>0.86066128758093652</v>
      </c>
      <c r="P74" s="311">
        <f>IFERROR(1-SUMIF(WTG_BD!$F:$F,$A74,WTG_BD!$AA:$AA)/($AA74+SUMIF(WTG_BD!$F:$F,$A74,WTG_BD!$AA:$AA)),"")</f>
        <v>0.98329854885586998</v>
      </c>
      <c r="Q74" s="328">
        <f>IFERROR(1-SUMIF(IGA_BD!$F:$F,$A74,IGA_BD!$W:$W)/($AA74+SUMIF(IGA_BD!$F:$F,$A74,IGA_BD!$W:$W)),"")</f>
        <v>0.87527972921588293</v>
      </c>
      <c r="R74" s="47">
        <f>IFERROR(1-SUMIF(Grid_BD!$F:$F,$A74,Grid_BD!$Y:$Y)/($AA74+SUMIF(Grid_BD!$F:$F,$A74,Grid_BD!$Y:$Y)),"")</f>
        <v>1</v>
      </c>
      <c r="S74" s="10"/>
      <c r="T74" s="310"/>
      <c r="U74" s="311"/>
      <c r="V74" s="10"/>
      <c r="W74" s="312">
        <f t="shared" si="12"/>
        <v>0.35709650856390002</v>
      </c>
      <c r="X74" s="10">
        <f>IFERROR(_xlfn.XLOOKUP($A74,Input_Raw!$E:$E,Input_Raw!BG:BG),"")</f>
        <v>433658</v>
      </c>
      <c r="Y74" s="10">
        <f>IFERROR(_xlfn.XLOOKUP($A74,Input_Raw!$E:$E,Input_Raw!DF:DF),"")</f>
        <v>421244.99999999016</v>
      </c>
      <c r="Z74" s="319">
        <f>IFERROR(_xlfn.XLOOKUP(A74,Input_Raw!E:E,Input_Raw!CT:CT)/_xlfn.XLOOKUP(A74,Input_Raw!E:E,Input_Raw!CS:CS)*Table13[[#This Row],[Mtr_Export (kWh)]],"")</f>
        <v>0</v>
      </c>
      <c r="AA74" s="43">
        <f t="shared" si="13"/>
        <v>421244.99999999016</v>
      </c>
      <c r="AB74" s="10">
        <f>IFERROR(_xlfn.XLOOKUP($A74,Input_Raw!$E:$E,Input_Raw!$CZ:$CZ),"")</f>
        <v>50.6</v>
      </c>
      <c r="AC74" s="313">
        <f>IFERROR(_xlfn.XLOOKUP($D74,'Modelling New'!$D:$D,'Modelling New'!$J:$J),"")</f>
        <v>9.4530328665332952</v>
      </c>
      <c r="AD74" s="43">
        <f>IFERROR(_xlfn.XLOOKUP($D74,'Modelling New'!$D:$D,'Modelling New'!$T:$T)*1000,"")</f>
        <v>706540.33333333326</v>
      </c>
      <c r="AE74" s="312"/>
      <c r="AF74" s="312">
        <f>IFERROR(_xlfn.XLOOKUP($D74,'Modelling New'!$D:$D,'Modelling New'!$W:$W),"")</f>
        <v>0.58180198726394394</v>
      </c>
      <c r="AG74" s="312">
        <f>IFERROR(_xlfn.XLOOKUP($D74,'Modelling New'!$D:$D,'Modelling New'!$AE:$AE),"")</f>
        <v>0.95549849999999992</v>
      </c>
      <c r="AH74" s="312">
        <f>IFERROR(_xlfn.XLOOKUP($D74,'Modelling New'!$D:$D,'Modelling New'!$AF:$AF),"")</f>
        <v>0.995</v>
      </c>
      <c r="AI74" s="10">
        <f>IFERROR(_xlfn.XLOOKUP($A74,Input_Raw!$E:$E,Input_Raw!$DG:$DG),"")</f>
        <v>437.12</v>
      </c>
      <c r="AJ74" s="10"/>
      <c r="AK74" s="10"/>
      <c r="AL74" s="10"/>
      <c r="AM74" s="10"/>
      <c r="AN74" s="314">
        <f>IFERROR(_xlfn.XLOOKUP($A74,Input_Raw!$E:$E,Input_Raw!$CY:$CY),"")</f>
        <v>-9.6153846153500533E-3</v>
      </c>
      <c r="AO74" s="312">
        <f>IFERROR((_xlfn.XLOOKUP($A74,'WTG Reactive Power'!$A:$A,'WTG Reactive Power'!AB:AB))/X74,"")</f>
        <v>0.1630268552638254</v>
      </c>
      <c r="AP74" s="312">
        <f>IFERROR(_xlfn.XLOOKUP($D74,'Modelling New'!$D:$D,'Modelling New'!AK:AK),"")</f>
        <v>0.05</v>
      </c>
      <c r="AQ74" s="312">
        <f>IFERROR(_xlfn.XLOOKUP($D74,'Modelling New'!$D:$D,'Modelling New'!AL:AL),"")</f>
        <v>0.05</v>
      </c>
      <c r="AR74" s="325">
        <f>IFERROR(_xlfn.XLOOKUP($D74,'Modelling New'!$D:$D,'Modelling New'!$N:$N),"")</f>
        <v>50.59999999999998</v>
      </c>
      <c r="AS74" s="325"/>
    </row>
    <row r="75" spans="1:45">
      <c r="A75" s="32">
        <f t="shared" si="14"/>
        <v>45818</v>
      </c>
      <c r="B75" s="43">
        <f>YEAR(Table13[[#This Row],[Date]])+IF(MONTH(Table13[[#This Row],[Date]])&gt;=4,1,0)</f>
        <v>2026</v>
      </c>
      <c r="C75" s="10">
        <f>YEAR(Table13[[#This Row],[Date]])</f>
        <v>2025</v>
      </c>
      <c r="D75" s="309">
        <f>Table13[[#This Row],[Date]]-DAY(Table13[[#This Row],[Date]])+1</f>
        <v>45809</v>
      </c>
      <c r="E75" s="10">
        <f t="shared" si="10"/>
        <v>30</v>
      </c>
      <c r="F75" s="241">
        <f>IFERROR(_xlfn.XLOOKUP($A75,Input_Raw!$E:$E,Input_Raw!DC:DC),"")</f>
        <v>12.383333333333335</v>
      </c>
      <c r="G75" s="242"/>
      <c r="H75" s="242"/>
      <c r="I75" s="242"/>
      <c r="J75" s="242"/>
      <c r="K75" s="243"/>
      <c r="L75" s="242"/>
      <c r="M75" s="242">
        <f>IFERROR(_xlfn.XLOOKUP($A75,Input_Raw!$E:$E,Input_Raw!$BM:$BM),"")</f>
        <v>6.6391304347826097</v>
      </c>
      <c r="N75" s="242">
        <f>IFERROR(_xlfn.XLOOKUP($A75,Input_Raw!$E:$E,Input_Raw!$BN:$BN),"")</f>
        <v>7.6</v>
      </c>
      <c r="O75" s="311">
        <f t="shared" si="11"/>
        <v>0.99410828564656484</v>
      </c>
      <c r="P75" s="311">
        <f>IFERROR(1-SUMIF(WTG_BD!$F:$F,$A75,WTG_BD!$AA:$AA)/($AA75+SUMIF(WTG_BD!$F:$F,$A75,WTG_BD!$AA:$AA)),"")</f>
        <v>0.99410828564656484</v>
      </c>
      <c r="Q75" s="328">
        <f>IFERROR(1-SUMIF(IGA_BD!$F:$F,$A75,IGA_BD!$W:$W)/($AA75+SUMIF(IGA_BD!$F:$F,$A75,IGA_BD!$W:$W)),"")</f>
        <v>1</v>
      </c>
      <c r="R75" s="311">
        <f>IFERROR(1-SUMIF(Grid_BD!$F:$F,$A75,Grid_BD!$Y:$Y)/($AA75+SUMIF(Grid_BD!$F:$F,$A75,Grid_BD!$Y:$Y)),"")</f>
        <v>0.97692696756332253</v>
      </c>
      <c r="S75" s="10"/>
      <c r="T75" s="310"/>
      <c r="U75" s="311"/>
      <c r="V75" s="10"/>
      <c r="W75" s="312">
        <f t="shared" si="12"/>
        <v>0.37641172595520433</v>
      </c>
      <c r="X75" s="10">
        <f>IFERROR(_xlfn.XLOOKUP($A75,Input_Raw!$E:$E,Input_Raw!BG:BG),"")</f>
        <v>457114.39999999997</v>
      </c>
      <c r="Y75" s="10">
        <f>IFERROR(_xlfn.XLOOKUP($A75,Input_Raw!$E:$E,Input_Raw!DF:DF),"")</f>
        <v>440384.99999999715</v>
      </c>
      <c r="Z75" s="319">
        <f>IFERROR(_xlfn.XLOOKUP(A75,Input_Raw!E:E,Input_Raw!CT:CT)/_xlfn.XLOOKUP(A75,Input_Raw!E:E,Input_Raw!CS:CS)*Table13[[#This Row],[Mtr_Export (kWh)]],"")</f>
        <v>0</v>
      </c>
      <c r="AA75" s="43">
        <f t="shared" si="13"/>
        <v>440384.99999999715</v>
      </c>
      <c r="AB75" s="10">
        <f>IFERROR(_xlfn.XLOOKUP($A75,Input_Raw!$E:$E,Input_Raw!$CZ:$CZ),"")</f>
        <v>50.6</v>
      </c>
      <c r="AC75" s="313">
        <f>IFERROR(_xlfn.XLOOKUP($D75,'Modelling New'!$D:$D,'Modelling New'!$J:$J),"")</f>
        <v>9.4530328665332952</v>
      </c>
      <c r="AD75" s="43">
        <f>IFERROR(_xlfn.XLOOKUP($D75,'Modelling New'!$D:$D,'Modelling New'!$T:$T)*1000,"")</f>
        <v>706540.33333333326</v>
      </c>
      <c r="AE75" s="312"/>
      <c r="AF75" s="312">
        <f>IFERROR(_xlfn.XLOOKUP($D75,'Modelling New'!$D:$D,'Modelling New'!$W:$W),"")</f>
        <v>0.58180198726394394</v>
      </c>
      <c r="AG75" s="312">
        <f>IFERROR(_xlfn.XLOOKUP($D75,'Modelling New'!$D:$D,'Modelling New'!$AE:$AE),"")</f>
        <v>0.95549849999999992</v>
      </c>
      <c r="AH75" s="312">
        <f>IFERROR(_xlfn.XLOOKUP($D75,'Modelling New'!$D:$D,'Modelling New'!$AF:$AF),"")</f>
        <v>0.995</v>
      </c>
      <c r="AI75" s="10">
        <f>IFERROR(_xlfn.XLOOKUP($A75,Input_Raw!$E:$E,Input_Raw!$DG:$DG),"")</f>
        <v>459.81</v>
      </c>
      <c r="AJ75" s="10"/>
      <c r="AK75" s="10"/>
      <c r="AL75" s="10"/>
      <c r="AM75" s="10"/>
      <c r="AN75" s="314">
        <f>IFERROR(_xlfn.XLOOKUP($A75,Input_Raw!$E:$E,Input_Raw!$CY:$CY),"")</f>
        <v>9.3283582089314088E-3</v>
      </c>
      <c r="AO75" s="312">
        <f>IFERROR((_xlfn.XLOOKUP($A75,'WTG Reactive Power'!$A:$A,'WTG Reactive Power'!AB:AB))/X75,"")</f>
        <v>0.16456493166699626</v>
      </c>
      <c r="AP75" s="312">
        <f>IFERROR(_xlfn.XLOOKUP($D75,'Modelling New'!$D:$D,'Modelling New'!AK:AK),"")</f>
        <v>0.05</v>
      </c>
      <c r="AQ75" s="312">
        <f>IFERROR(_xlfn.XLOOKUP($D75,'Modelling New'!$D:$D,'Modelling New'!AL:AL),"")</f>
        <v>0.05</v>
      </c>
      <c r="AR75" s="325">
        <f>IFERROR(_xlfn.XLOOKUP($D75,'Modelling New'!$D:$D,'Modelling New'!$N:$N),"")</f>
        <v>50.59999999999998</v>
      </c>
      <c r="AS75" s="325"/>
    </row>
    <row r="76" spans="1:45">
      <c r="A76" s="32">
        <f t="shared" si="14"/>
        <v>45819</v>
      </c>
      <c r="B76" s="43">
        <f>YEAR(Table13[[#This Row],[Date]])+IF(MONTH(Table13[[#This Row],[Date]])&gt;=4,1,0)</f>
        <v>2026</v>
      </c>
      <c r="C76" s="10">
        <f>YEAR(Table13[[#This Row],[Date]])</f>
        <v>2025</v>
      </c>
      <c r="D76" s="309">
        <f>Table13[[#This Row],[Date]]-DAY(Table13[[#This Row],[Date]])+1</f>
        <v>45809</v>
      </c>
      <c r="E76" s="10">
        <f t="shared" si="10"/>
        <v>30</v>
      </c>
      <c r="F76" s="241">
        <f>IFERROR(_xlfn.XLOOKUP($A76,Input_Raw!$E:$E,Input_Raw!DC:DC),"")</f>
        <v>11.749999999999998</v>
      </c>
      <c r="G76" s="313"/>
      <c r="H76" s="313"/>
      <c r="I76" s="313"/>
      <c r="J76" s="313"/>
      <c r="K76" s="243"/>
      <c r="L76" s="242"/>
      <c r="M76" s="242">
        <f>IFERROR(_xlfn.XLOOKUP($A76,Input_Raw!$E:$E,Input_Raw!$BM:$BM),"")</f>
        <v>6.0260869565217385</v>
      </c>
      <c r="N76" s="242">
        <f>IFERROR(_xlfn.XLOOKUP($A76,Input_Raw!$E:$E,Input_Raw!$BN:$BN),"")</f>
        <v>6.5</v>
      </c>
      <c r="O76" s="311">
        <f t="shared" si="11"/>
        <v>0.99407657338306676</v>
      </c>
      <c r="P76" s="311">
        <f>IFERROR(1-SUMIF(WTG_BD!$F:$F,$A76,WTG_BD!$AA:$AA)/($AA76+SUMIF(WTG_BD!$F:$F,$A76,WTG_BD!$AA:$AA)),"")</f>
        <v>0.99407657338306676</v>
      </c>
      <c r="Q76" s="328">
        <f>IFERROR(1-SUMIF(IGA_BD!$F:$F,$A76,IGA_BD!$W:$W)/($AA76+SUMIF(IGA_BD!$F:$F,$A76,IGA_BD!$W:$W)),"")</f>
        <v>1</v>
      </c>
      <c r="R76" s="47">
        <f>IFERROR(1-SUMIF(Grid_BD!$F:$F,$A76,Grid_BD!$Y:$Y)/($AA76+SUMIF(Grid_BD!$F:$F,$A76,Grid_BD!$Y:$Y)),"")</f>
        <v>1</v>
      </c>
      <c r="S76" s="10"/>
      <c r="T76" s="310"/>
      <c r="U76" s="311"/>
      <c r="V76" s="10"/>
      <c r="W76" s="312">
        <f t="shared" si="12"/>
        <v>0.29222134387351789</v>
      </c>
      <c r="X76" s="10">
        <f>IFERROR(_xlfn.XLOOKUP($A76,Input_Raw!$E:$E,Input_Raw!BG:BG),"")</f>
        <v>354873.59999999998</v>
      </c>
      <c r="Y76" s="10">
        <f>IFERROR(_xlfn.XLOOKUP($A76,Input_Raw!$E:$E,Input_Raw!DF:DF),"")</f>
        <v>343530.00000000838</v>
      </c>
      <c r="Z76" s="319">
        <f>IFERROR(_xlfn.XLOOKUP(A76,Input_Raw!E:E,Input_Raw!CT:CT)/_xlfn.XLOOKUP(A76,Input_Raw!E:E,Input_Raw!CS:CS)*Table13[[#This Row],[Mtr_Export (kWh)]],"")</f>
        <v>0</v>
      </c>
      <c r="AA76" s="43">
        <f t="shared" si="13"/>
        <v>343530.00000000838</v>
      </c>
      <c r="AB76" s="10">
        <f>IFERROR(_xlfn.XLOOKUP($A76,Input_Raw!$E:$E,Input_Raw!$CZ:$CZ),"")</f>
        <v>50.6</v>
      </c>
      <c r="AC76" s="313">
        <f>IFERROR(_xlfn.XLOOKUP($D76,'Modelling New'!$D:$D,'Modelling New'!$J:$J),"")</f>
        <v>9.4530328665332952</v>
      </c>
      <c r="AD76" s="43">
        <f>IFERROR(_xlfn.XLOOKUP($D76,'Modelling New'!$D:$D,'Modelling New'!$T:$T)*1000,"")</f>
        <v>706540.33333333326</v>
      </c>
      <c r="AE76" s="312"/>
      <c r="AF76" s="312">
        <f>IFERROR(_xlfn.XLOOKUP($D76,'Modelling New'!$D:$D,'Modelling New'!$W:$W),"")</f>
        <v>0.58180198726394394</v>
      </c>
      <c r="AG76" s="312">
        <f>IFERROR(_xlfn.XLOOKUP($D76,'Modelling New'!$D:$D,'Modelling New'!$AE:$AE),"")</f>
        <v>0.95549849999999992</v>
      </c>
      <c r="AH76" s="312">
        <f>IFERROR(_xlfn.XLOOKUP($D76,'Modelling New'!$D:$D,'Modelling New'!$AF:$AF),"")</f>
        <v>0.995</v>
      </c>
      <c r="AI76" s="10">
        <f>IFERROR(_xlfn.XLOOKUP($A76,Input_Raw!$E:$E,Input_Raw!$DG:$DG),"")</f>
        <v>354.87</v>
      </c>
      <c r="AJ76" s="10"/>
      <c r="AK76" s="10"/>
      <c r="AL76" s="10"/>
      <c r="AM76" s="10"/>
      <c r="AN76" s="314">
        <f>IFERROR(_xlfn.XLOOKUP($A76,Input_Raw!$E:$E,Input_Raw!$CY:$CY),"")</f>
        <v>8.8691796008379953E-3</v>
      </c>
      <c r="AO76" s="312">
        <f>IFERROR((_xlfn.XLOOKUP($A76,'WTG Reactive Power'!$A:$A,'WTG Reactive Power'!AB:AB))/X76,"")</f>
        <v>0.51729207244494946</v>
      </c>
      <c r="AP76" s="312">
        <f>IFERROR(_xlfn.XLOOKUP($D76,'Modelling New'!$D:$D,'Modelling New'!AK:AK),"")</f>
        <v>0.05</v>
      </c>
      <c r="AQ76" s="312">
        <f>IFERROR(_xlfn.XLOOKUP($D76,'Modelling New'!$D:$D,'Modelling New'!AL:AL),"")</f>
        <v>0.05</v>
      </c>
      <c r="AR76" s="325">
        <f>IFERROR(_xlfn.XLOOKUP($D76,'Modelling New'!$D:$D,'Modelling New'!$N:$N),"")</f>
        <v>50.59999999999998</v>
      </c>
      <c r="AS76" s="325"/>
    </row>
    <row r="77" spans="1:45">
      <c r="A77" s="32">
        <f t="shared" si="14"/>
        <v>45820</v>
      </c>
      <c r="B77" s="43">
        <f>YEAR(Table13[[#This Row],[Date]])+IF(MONTH(Table13[[#This Row],[Date]])&gt;=4,1,0)</f>
        <v>2026</v>
      </c>
      <c r="C77" s="10">
        <f>YEAR(Table13[[#This Row],[Date]])</f>
        <v>2025</v>
      </c>
      <c r="D77" s="309">
        <f>Table13[[#This Row],[Date]]-DAY(Table13[[#This Row],[Date]])+1</f>
        <v>45809</v>
      </c>
      <c r="E77" s="10">
        <f t="shared" si="10"/>
        <v>30</v>
      </c>
      <c r="F77" s="241">
        <f>IFERROR(_xlfn.XLOOKUP($A77,Input_Raw!$E:$E,Input_Raw!DC:DC),"")</f>
        <v>11.5</v>
      </c>
      <c r="G77" s="242"/>
      <c r="H77" s="242"/>
      <c r="I77" s="242"/>
      <c r="J77" s="242"/>
      <c r="K77" s="243"/>
      <c r="L77" s="242"/>
      <c r="M77" s="242">
        <f>IFERROR(_xlfn.XLOOKUP($A77,Input_Raw!$E:$E,Input_Raw!$BM:$BM),"")</f>
        <v>6.1304347826086953</v>
      </c>
      <c r="N77" s="242">
        <f>IFERROR(_xlfn.XLOOKUP($A77,Input_Raw!$E:$E,Input_Raw!$BN:$BN),"")</f>
        <v>6.6</v>
      </c>
      <c r="O77" s="311">
        <f t="shared" si="11"/>
        <v>0.98217856334711062</v>
      </c>
      <c r="P77" s="311">
        <f>IFERROR(1-SUMIF(WTG_BD!$F:$F,$A77,WTG_BD!$AA:$AA)/($AA77+SUMIF(WTG_BD!$F:$F,$A77,WTG_BD!$AA:$AA)),"")</f>
        <v>0.996161835219599</v>
      </c>
      <c r="Q77" s="328">
        <f>IFERROR(1-SUMIF(IGA_BD!$F:$F,$A77,IGA_BD!$W:$W)/($AA77+SUMIF(IGA_BD!$F:$F,$A77,IGA_BD!$W:$W)),"")</f>
        <v>0.98596285123751415</v>
      </c>
      <c r="R77" s="311">
        <f>IFERROR(1-SUMIF(Grid_BD!$F:$F,$A77,Grid_BD!$Y:$Y)/($AA77+SUMIF(Grid_BD!$F:$F,$A77,Grid_BD!$Y:$Y)),"")</f>
        <v>0.97537961072250901</v>
      </c>
      <c r="S77" s="10"/>
      <c r="T77" s="310"/>
      <c r="U77" s="311"/>
      <c r="V77" s="10"/>
      <c r="W77" s="312">
        <f t="shared" si="12"/>
        <v>0.3044597332015811</v>
      </c>
      <c r="X77" s="10">
        <f>IFERROR(_xlfn.XLOOKUP($A77,Input_Raw!$E:$E,Input_Raw!BG:BG),"")</f>
        <v>369735.89999999997</v>
      </c>
      <c r="Y77" s="10">
        <f>IFERROR(_xlfn.XLOOKUP($A77,Input_Raw!$E:$E,Input_Raw!DF:DF),"")</f>
        <v>359204.99999999406</v>
      </c>
      <c r="Z77" s="319">
        <f>IFERROR(_xlfn.XLOOKUP(A77,Input_Raw!E:E,Input_Raw!CT:CT)/_xlfn.XLOOKUP(A77,Input_Raw!E:E,Input_Raw!CS:CS)*Table13[[#This Row],[Mtr_Export (kWh)]],"")</f>
        <v>0</v>
      </c>
      <c r="AA77" s="43">
        <f t="shared" si="13"/>
        <v>359204.99999999406</v>
      </c>
      <c r="AB77" s="10">
        <f>IFERROR(_xlfn.XLOOKUP($A77,Input_Raw!$E:$E,Input_Raw!$CZ:$CZ),"")</f>
        <v>50.6</v>
      </c>
      <c r="AC77" s="313">
        <f>IFERROR(_xlfn.XLOOKUP($D77,'Modelling New'!$D:$D,'Modelling New'!$J:$J),"")</f>
        <v>9.4530328665332952</v>
      </c>
      <c r="AD77" s="43">
        <f>IFERROR(_xlfn.XLOOKUP($D77,'Modelling New'!$D:$D,'Modelling New'!$T:$T)*1000,"")</f>
        <v>706540.33333333326</v>
      </c>
      <c r="AE77" s="312"/>
      <c r="AF77" s="312">
        <f>IFERROR(_xlfn.XLOOKUP($D77,'Modelling New'!$D:$D,'Modelling New'!$W:$W),"")</f>
        <v>0.58180198726394394</v>
      </c>
      <c r="AG77" s="312">
        <f>IFERROR(_xlfn.XLOOKUP($D77,'Modelling New'!$D:$D,'Modelling New'!$AE:$AE),"")</f>
        <v>0.95549849999999992</v>
      </c>
      <c r="AH77" s="312">
        <f>IFERROR(_xlfn.XLOOKUP($D77,'Modelling New'!$D:$D,'Modelling New'!$AF:$AF),"")</f>
        <v>0.995</v>
      </c>
      <c r="AI77" s="10">
        <f>IFERROR(_xlfn.XLOOKUP($A77,Input_Raw!$E:$E,Input_Raw!$DG:$DG),"")</f>
        <v>375.68</v>
      </c>
      <c r="AJ77" s="10"/>
      <c r="AK77" s="10"/>
      <c r="AL77" s="10"/>
      <c r="AM77" s="10"/>
      <c r="AN77" s="314">
        <f>IFERROR(_xlfn.XLOOKUP($A77,Input_Raw!$E:$E,Input_Raw!$CY:$CY),"")</f>
        <v>7.5566750629942891E-3</v>
      </c>
      <c r="AO77" s="312">
        <f>IFERROR((_xlfn.XLOOKUP($A77,'WTG Reactive Power'!$A:$A,'WTG Reactive Power'!AB:AB))/X77,"")</f>
        <v>0.73105911543888513</v>
      </c>
      <c r="AP77" s="312">
        <f>IFERROR(_xlfn.XLOOKUP($D77,'Modelling New'!$D:$D,'Modelling New'!AK:AK),"")</f>
        <v>0.05</v>
      </c>
      <c r="AQ77" s="312">
        <f>IFERROR(_xlfn.XLOOKUP($D77,'Modelling New'!$D:$D,'Modelling New'!AL:AL),"")</f>
        <v>0.05</v>
      </c>
      <c r="AR77" s="325">
        <f>IFERROR(_xlfn.XLOOKUP($D77,'Modelling New'!$D:$D,'Modelling New'!$N:$N),"")</f>
        <v>50.59999999999998</v>
      </c>
      <c r="AS77" s="325"/>
    </row>
    <row r="78" spans="1:45">
      <c r="A78" s="32">
        <f t="shared" si="14"/>
        <v>45821</v>
      </c>
      <c r="B78" s="43">
        <f>YEAR(Table13[[#This Row],[Date]])+IF(MONTH(Table13[[#This Row],[Date]])&gt;=4,1,0)</f>
        <v>2026</v>
      </c>
      <c r="C78" s="10">
        <f>YEAR(Table13[[#This Row],[Date]])</f>
        <v>2025</v>
      </c>
      <c r="D78" s="309">
        <f>Table13[[#This Row],[Date]]-DAY(Table13[[#This Row],[Date]])+1</f>
        <v>45809</v>
      </c>
      <c r="E78" s="10">
        <f t="shared" si="10"/>
        <v>30</v>
      </c>
      <c r="F78" s="241">
        <f>IFERROR(_xlfn.XLOOKUP($A78,Input_Raw!$E:$E,Input_Raw!DC:DC),"")</f>
        <v>11.599999999999998</v>
      </c>
      <c r="G78" s="313"/>
      <c r="H78" s="313"/>
      <c r="I78" s="313"/>
      <c r="J78" s="313"/>
      <c r="K78" s="243"/>
      <c r="L78" s="242"/>
      <c r="M78" s="242">
        <f>IFERROR(_xlfn.XLOOKUP($A78,Input_Raw!$E:$E,Input_Raw!$BM:$BM),"")</f>
        <v>6.5</v>
      </c>
      <c r="N78" s="242">
        <f>IFERROR(_xlfn.XLOOKUP($A78,Input_Raw!$E:$E,Input_Raw!$BN:$BN),"")</f>
        <v>6.8</v>
      </c>
      <c r="O78" s="311">
        <f t="shared" si="11"/>
        <v>1</v>
      </c>
      <c r="P78" s="311">
        <f>IFERROR(1-SUMIF(WTG_BD!$F:$F,$A78,WTG_BD!$AA:$AA)/($AA78+SUMIF(WTG_BD!$F:$F,$A78,WTG_BD!$AA:$AA)),"")</f>
        <v>1</v>
      </c>
      <c r="Q78" s="328">
        <f>IFERROR(1-SUMIF(IGA_BD!$F:$F,$A78,IGA_BD!$W:$W)/($AA78+SUMIF(IGA_BD!$F:$F,$A78,IGA_BD!$W:$W)),"")</f>
        <v>1</v>
      </c>
      <c r="R78" s="47">
        <f>IFERROR(1-SUMIF(Grid_BD!$F:$F,$A78,Grid_BD!$Y:$Y)/($AA78+SUMIF(Grid_BD!$F:$F,$A78,Grid_BD!$Y:$Y)),"")</f>
        <v>1</v>
      </c>
      <c r="S78" s="10"/>
      <c r="T78" s="310"/>
      <c r="U78" s="311"/>
      <c r="V78" s="10"/>
      <c r="W78" s="312">
        <f t="shared" si="12"/>
        <v>0.37272323781291183</v>
      </c>
      <c r="X78" s="10">
        <f>IFERROR(_xlfn.XLOOKUP($A78,Input_Raw!$E:$E,Input_Raw!BG:BG),"")</f>
        <v>452635.1</v>
      </c>
      <c r="Y78" s="10">
        <f>IFERROR(_xlfn.XLOOKUP($A78,Input_Raw!$E:$E,Input_Raw!DF:DF),"")</f>
        <v>446490.00000000285</v>
      </c>
      <c r="Z78" s="319">
        <f>IFERROR(_xlfn.XLOOKUP(A78,Input_Raw!E:E,Input_Raw!CT:CT)/_xlfn.XLOOKUP(A78,Input_Raw!E:E,Input_Raw!CS:CS)*Table13[[#This Row],[Mtr_Export (kWh)]],"")</f>
        <v>0</v>
      </c>
      <c r="AA78" s="43">
        <f t="shared" si="13"/>
        <v>446490.00000000285</v>
      </c>
      <c r="AB78" s="10">
        <f>IFERROR(_xlfn.XLOOKUP($A78,Input_Raw!$E:$E,Input_Raw!$CZ:$CZ),"")</f>
        <v>50.6</v>
      </c>
      <c r="AC78" s="313">
        <f>IFERROR(_xlfn.XLOOKUP($D78,'Modelling New'!$D:$D,'Modelling New'!$J:$J),"")</f>
        <v>9.4530328665332952</v>
      </c>
      <c r="AD78" s="43">
        <f>IFERROR(_xlfn.XLOOKUP($D78,'Modelling New'!$D:$D,'Modelling New'!$T:$T)*1000,"")</f>
        <v>706540.33333333326</v>
      </c>
      <c r="AE78" s="312"/>
      <c r="AF78" s="312">
        <f>IFERROR(_xlfn.XLOOKUP($D78,'Modelling New'!$D:$D,'Modelling New'!$W:$W),"")</f>
        <v>0.58180198726394394</v>
      </c>
      <c r="AG78" s="312">
        <f>IFERROR(_xlfn.XLOOKUP($D78,'Modelling New'!$D:$D,'Modelling New'!$AE:$AE),"")</f>
        <v>0.95549849999999992</v>
      </c>
      <c r="AH78" s="312">
        <f>IFERROR(_xlfn.XLOOKUP($D78,'Modelling New'!$D:$D,'Modelling New'!$AF:$AF),"")</f>
        <v>0.995</v>
      </c>
      <c r="AI78" s="10">
        <f>IFERROR(_xlfn.XLOOKUP($A78,Input_Raw!$E:$E,Input_Raw!$DG:$DG),"")</f>
        <v>452.65</v>
      </c>
      <c r="AJ78" s="10"/>
      <c r="AK78" s="10"/>
      <c r="AL78" s="10"/>
      <c r="AM78" s="10"/>
      <c r="AN78" s="314">
        <f>IFERROR(_xlfn.XLOOKUP($A78,Input_Raw!$E:$E,Input_Raw!$CY:$CY),"")</f>
        <v>5.5933852139882223E-3</v>
      </c>
      <c r="AO78" s="312">
        <f>IFERROR((_xlfn.XLOOKUP($A78,'WTG Reactive Power'!$A:$A,'WTG Reactive Power'!AB:AB))/X78,"")</f>
        <v>1.2394089632023674E-4</v>
      </c>
      <c r="AP78" s="312">
        <f>IFERROR(_xlfn.XLOOKUP($D78,'Modelling New'!$D:$D,'Modelling New'!AK:AK),"")</f>
        <v>0.05</v>
      </c>
      <c r="AQ78" s="312">
        <f>IFERROR(_xlfn.XLOOKUP($D78,'Modelling New'!$D:$D,'Modelling New'!AL:AL),"")</f>
        <v>0.05</v>
      </c>
      <c r="AR78" s="325">
        <f>IFERROR(_xlfn.XLOOKUP($D78,'Modelling New'!$D:$D,'Modelling New'!$N:$N),"")</f>
        <v>50.59999999999998</v>
      </c>
      <c r="AS78" s="325"/>
    </row>
    <row r="79" spans="1:45">
      <c r="A79" s="32">
        <f t="shared" si="14"/>
        <v>45822</v>
      </c>
      <c r="B79" s="43">
        <f>YEAR(Table13[[#This Row],[Date]])+IF(MONTH(Table13[[#This Row],[Date]])&gt;=4,1,0)</f>
        <v>2026</v>
      </c>
      <c r="C79" s="10">
        <f>YEAR(Table13[[#This Row],[Date]])</f>
        <v>2025</v>
      </c>
      <c r="D79" s="309">
        <f>Table13[[#This Row],[Date]]-DAY(Table13[[#This Row],[Date]])+1</f>
        <v>45809</v>
      </c>
      <c r="E79" s="10">
        <f t="shared" si="10"/>
        <v>30</v>
      </c>
      <c r="F79" s="241">
        <f>IFERROR(_xlfn.XLOOKUP($A79,Input_Raw!$E:$E,Input_Raw!DC:DC),"")</f>
        <v>11.599999999999998</v>
      </c>
      <c r="G79" s="242"/>
      <c r="H79" s="242"/>
      <c r="I79" s="242"/>
      <c r="J79" s="242"/>
      <c r="K79" s="243"/>
      <c r="L79" s="242"/>
      <c r="M79" s="242">
        <f>IFERROR(_xlfn.XLOOKUP($A79,Input_Raw!$E:$E,Input_Raw!$BM:$BM),"")</f>
        <v>8.6304347826086953</v>
      </c>
      <c r="N79" s="242">
        <f>IFERROR(_xlfn.XLOOKUP($A79,Input_Raw!$E:$E,Input_Raw!$BN:$BN),"")</f>
        <v>9.1999999999999993</v>
      </c>
      <c r="O79" s="311">
        <f t="shared" si="11"/>
        <v>0.99947535000427701</v>
      </c>
      <c r="P79" s="311">
        <f>IFERROR(1-SUMIF(WTG_BD!$F:$F,$A79,WTG_BD!$AA:$AA)/($AA79+SUMIF(WTG_BD!$F:$F,$A79,WTG_BD!$AA:$AA)),"")</f>
        <v>0.99947535000427701</v>
      </c>
      <c r="Q79" s="328">
        <f>IFERROR(1-SUMIF(IGA_BD!$F:$F,$A79,IGA_BD!$W:$W)/($AA79+SUMIF(IGA_BD!$F:$F,$A79,IGA_BD!$W:$W)),"")</f>
        <v>1</v>
      </c>
      <c r="R79" s="311">
        <f>IFERROR(1-SUMIF(Grid_BD!$F:$F,$A79,Grid_BD!$Y:$Y)/($AA79+SUMIF(Grid_BD!$F:$F,$A79,Grid_BD!$Y:$Y)),"")</f>
        <v>1</v>
      </c>
      <c r="S79" s="10"/>
      <c r="T79" s="310"/>
      <c r="U79" s="311"/>
      <c r="V79" s="10"/>
      <c r="W79" s="312">
        <f t="shared" si="12"/>
        <v>0.74671212121212149</v>
      </c>
      <c r="X79" s="10">
        <f>IFERROR(_xlfn.XLOOKUP($A79,Input_Raw!$E:$E,Input_Raw!BG:BG),"")</f>
        <v>906807.2</v>
      </c>
      <c r="Y79" s="10">
        <f>IFERROR(_xlfn.XLOOKUP($A79,Input_Raw!$E:$E,Input_Raw!DF:DF),"")</f>
        <v>876315.00000000582</v>
      </c>
      <c r="Z79" s="319">
        <f>IFERROR(_xlfn.XLOOKUP(A79,Input_Raw!E:E,Input_Raw!CT:CT)/_xlfn.XLOOKUP(A79,Input_Raw!E:E,Input_Raw!CS:CS)*Table13[[#This Row],[Mtr_Export (kWh)]],"")</f>
        <v>0</v>
      </c>
      <c r="AA79" s="43">
        <f t="shared" si="13"/>
        <v>876315.00000000582</v>
      </c>
      <c r="AB79" s="10">
        <f>IFERROR(_xlfn.XLOOKUP($A79,Input_Raw!$E:$E,Input_Raw!$CZ:$CZ),"")</f>
        <v>50.6</v>
      </c>
      <c r="AC79" s="313">
        <f>IFERROR(_xlfn.XLOOKUP($D79,'Modelling New'!$D:$D,'Modelling New'!$J:$J),"")</f>
        <v>9.4530328665332952</v>
      </c>
      <c r="AD79" s="43">
        <f>IFERROR(_xlfn.XLOOKUP($D79,'Modelling New'!$D:$D,'Modelling New'!$T:$T)*1000,"")</f>
        <v>706540.33333333326</v>
      </c>
      <c r="AE79" s="312"/>
      <c r="AF79" s="312">
        <f>IFERROR(_xlfn.XLOOKUP($D79,'Modelling New'!$D:$D,'Modelling New'!$W:$W),"")</f>
        <v>0.58180198726394394</v>
      </c>
      <c r="AG79" s="312">
        <f>IFERROR(_xlfn.XLOOKUP($D79,'Modelling New'!$D:$D,'Modelling New'!$AE:$AE),"")</f>
        <v>0.95549849999999992</v>
      </c>
      <c r="AH79" s="312">
        <f>IFERROR(_xlfn.XLOOKUP($D79,'Modelling New'!$D:$D,'Modelling New'!$AF:$AF),"")</f>
        <v>0.995</v>
      </c>
      <c r="AI79" s="10">
        <f>IFERROR(_xlfn.XLOOKUP($A79,Input_Raw!$E:$E,Input_Raw!$DG:$DG),"")</f>
        <v>906.85</v>
      </c>
      <c r="AJ79" s="10"/>
      <c r="AK79" s="10"/>
      <c r="AL79" s="10"/>
      <c r="AM79" s="10"/>
      <c r="AN79" s="314">
        <f>IFERROR(_xlfn.XLOOKUP($A79,Input_Raw!$E:$E,Input_Raw!$CY:$CY),"")</f>
        <v>6.7114093960309873E-3</v>
      </c>
      <c r="AO79" s="312">
        <f>IFERROR((_xlfn.XLOOKUP($A79,'WTG Reactive Power'!$A:$A,'WTG Reactive Power'!AB:AB))/X79,"")</f>
        <v>8.4875153174787318E-2</v>
      </c>
      <c r="AP79" s="312">
        <f>IFERROR(_xlfn.XLOOKUP($D79,'Modelling New'!$D:$D,'Modelling New'!AK:AK),"")</f>
        <v>0.05</v>
      </c>
      <c r="AQ79" s="312">
        <f>IFERROR(_xlfn.XLOOKUP($D79,'Modelling New'!$D:$D,'Modelling New'!AL:AL),"")</f>
        <v>0.05</v>
      </c>
      <c r="AR79" s="325">
        <f>IFERROR(_xlfn.XLOOKUP($D79,'Modelling New'!$D:$D,'Modelling New'!$N:$N),"")</f>
        <v>50.59999999999998</v>
      </c>
      <c r="AS79" s="325"/>
    </row>
    <row r="80" spans="1:45">
      <c r="A80" s="32">
        <f t="shared" si="14"/>
        <v>45823</v>
      </c>
      <c r="B80" s="43">
        <f>YEAR(Table13[[#This Row],[Date]])+IF(MONTH(Table13[[#This Row],[Date]])&gt;=4,1,0)</f>
        <v>2026</v>
      </c>
      <c r="C80" s="10">
        <f>YEAR(Table13[[#This Row],[Date]])</f>
        <v>2025</v>
      </c>
      <c r="D80" s="309">
        <f>Table13[[#This Row],[Date]]-DAY(Table13[[#This Row],[Date]])+1</f>
        <v>45809</v>
      </c>
      <c r="E80" s="10">
        <f t="shared" si="10"/>
        <v>30</v>
      </c>
      <c r="F80" s="241">
        <f>IFERROR(_xlfn.XLOOKUP($A80,Input_Raw!$E:$E,Input_Raw!DC:DC),"")</f>
        <v>11.599999999999998</v>
      </c>
      <c r="G80" s="313"/>
      <c r="H80" s="313"/>
      <c r="I80" s="313"/>
      <c r="J80" s="313"/>
      <c r="K80" s="243"/>
      <c r="L80" s="242"/>
      <c r="M80" s="242">
        <f>IFERROR(_xlfn.XLOOKUP($A80,Input_Raw!$E:$E,Input_Raw!$BM:$BM),"")</f>
        <v>9.2260869565217405</v>
      </c>
      <c r="N80" s="242">
        <f>IFERROR(_xlfn.XLOOKUP($A80,Input_Raw!$E:$E,Input_Raw!$BN:$BN),"")</f>
        <v>9.8000000000000007</v>
      </c>
      <c r="O80" s="311">
        <f t="shared" si="11"/>
        <v>1</v>
      </c>
      <c r="P80" s="311">
        <f>IFERROR(1-SUMIF(WTG_BD!$F:$F,$A80,WTG_BD!$AA:$AA)/($AA80+SUMIF(WTG_BD!$F:$F,$A80,WTG_BD!$AA:$AA)),"")</f>
        <v>1</v>
      </c>
      <c r="Q80" s="328">
        <f>IFERROR(1-SUMIF(IGA_BD!$F:$F,$A80,IGA_BD!$W:$W)/($AA80+SUMIF(IGA_BD!$F:$F,$A80,IGA_BD!$W:$W)),"")</f>
        <v>1</v>
      </c>
      <c r="R80" s="47">
        <f>IFERROR(1-SUMIF(Grid_BD!$F:$F,$A80,Grid_BD!$Y:$Y)/($AA80+SUMIF(Grid_BD!$F:$F,$A80,Grid_BD!$Y:$Y)),"")</f>
        <v>1</v>
      </c>
      <c r="S80" s="10"/>
      <c r="T80" s="310"/>
      <c r="U80" s="311"/>
      <c r="V80" s="10"/>
      <c r="W80" s="312">
        <f t="shared" si="12"/>
        <v>0.75340991436100158</v>
      </c>
      <c r="X80" s="10">
        <f>IFERROR(_xlfn.XLOOKUP($A80,Input_Raw!$E:$E,Input_Raw!BG:BG),"")</f>
        <v>914941</v>
      </c>
      <c r="Y80" s="10">
        <f>IFERROR(_xlfn.XLOOKUP($A80,Input_Raw!$E:$E,Input_Raw!DF:DF),"")</f>
        <v>882584.99999998882</v>
      </c>
      <c r="Z80" s="319">
        <f>IFERROR(_xlfn.XLOOKUP(A80,Input_Raw!E:E,Input_Raw!CT:CT)/_xlfn.XLOOKUP(A80,Input_Raw!E:E,Input_Raw!CS:CS)*Table13[[#This Row],[Mtr_Export (kWh)]],"")</f>
        <v>0</v>
      </c>
      <c r="AA80" s="43">
        <f t="shared" si="13"/>
        <v>882584.99999998882</v>
      </c>
      <c r="AB80" s="10">
        <f>IFERROR(_xlfn.XLOOKUP($A80,Input_Raw!$E:$E,Input_Raw!$CZ:$CZ),"")</f>
        <v>50.6</v>
      </c>
      <c r="AC80" s="313">
        <f>IFERROR(_xlfn.XLOOKUP($D80,'Modelling New'!$D:$D,'Modelling New'!$J:$J),"")</f>
        <v>9.4530328665332952</v>
      </c>
      <c r="AD80" s="43">
        <f>IFERROR(_xlfn.XLOOKUP($D80,'Modelling New'!$D:$D,'Modelling New'!$T:$T)*1000,"")</f>
        <v>706540.33333333326</v>
      </c>
      <c r="AE80" s="312"/>
      <c r="AF80" s="312">
        <f>IFERROR(_xlfn.XLOOKUP($D80,'Modelling New'!$D:$D,'Modelling New'!$W:$W),"")</f>
        <v>0.58180198726394394</v>
      </c>
      <c r="AG80" s="312">
        <f>IFERROR(_xlfn.XLOOKUP($D80,'Modelling New'!$D:$D,'Modelling New'!$AE:$AE),"")</f>
        <v>0.95549849999999992</v>
      </c>
      <c r="AH80" s="312">
        <f>IFERROR(_xlfn.XLOOKUP($D80,'Modelling New'!$D:$D,'Modelling New'!$AF:$AF),"")</f>
        <v>0.995</v>
      </c>
      <c r="AI80" s="10">
        <f>IFERROR(_xlfn.XLOOKUP($A80,Input_Raw!$E:$E,Input_Raw!$DG:$DG),"")</f>
        <v>914.94</v>
      </c>
      <c r="AJ80" s="10"/>
      <c r="AK80" s="10"/>
      <c r="AL80" s="10"/>
      <c r="AM80" s="10"/>
      <c r="AN80" s="314">
        <f>IFERROR(_xlfn.XLOOKUP($A80,Input_Raw!$E:$E,Input_Raw!$CY:$CY),"")</f>
        <v>1.6304347826078258E-2</v>
      </c>
      <c r="AO80" s="312">
        <f>IFERROR((_xlfn.XLOOKUP($A80,'WTG Reactive Power'!$A:$A,'WTG Reactive Power'!AB:AB))/X80,"")</f>
        <v>0.11913708097024836</v>
      </c>
      <c r="AP80" s="312">
        <f>IFERROR(_xlfn.XLOOKUP($D80,'Modelling New'!$D:$D,'Modelling New'!AK:AK),"")</f>
        <v>0.05</v>
      </c>
      <c r="AQ80" s="312">
        <f>IFERROR(_xlfn.XLOOKUP($D80,'Modelling New'!$D:$D,'Modelling New'!AL:AL),"")</f>
        <v>0.05</v>
      </c>
      <c r="AR80" s="325">
        <f>IFERROR(_xlfn.XLOOKUP($D80,'Modelling New'!$D:$D,'Modelling New'!$N:$N),"")</f>
        <v>50.59999999999998</v>
      </c>
      <c r="AS80" s="325"/>
    </row>
    <row r="81" spans="1:45">
      <c r="A81" s="32">
        <f t="shared" si="14"/>
        <v>45824</v>
      </c>
      <c r="B81" s="43">
        <f>YEAR(Table13[[#This Row],[Date]])+IF(MONTH(Table13[[#This Row],[Date]])&gt;=4,1,0)</f>
        <v>2026</v>
      </c>
      <c r="C81" s="10">
        <f>YEAR(Table13[[#This Row],[Date]])</f>
        <v>2025</v>
      </c>
      <c r="D81" s="309">
        <f>Table13[[#This Row],[Date]]-DAY(Table13[[#This Row],[Date]])+1</f>
        <v>45809</v>
      </c>
      <c r="E81" s="10">
        <f t="shared" si="10"/>
        <v>30</v>
      </c>
      <c r="F81" s="241">
        <f>IFERROR(_xlfn.XLOOKUP($A81,Input_Raw!$E:$E,Input_Raw!DC:DC),"")</f>
        <v>11.683333333333334</v>
      </c>
      <c r="G81" s="242"/>
      <c r="H81" s="242"/>
      <c r="I81" s="242"/>
      <c r="J81" s="242"/>
      <c r="K81" s="243"/>
      <c r="L81" s="242"/>
      <c r="M81" s="242">
        <f>IFERROR(_xlfn.XLOOKUP($A81,Input_Raw!$E:$E,Input_Raw!$BM:$BM),"")</f>
        <v>10.926086956521738</v>
      </c>
      <c r="N81" s="242">
        <f>IFERROR(_xlfn.XLOOKUP($A81,Input_Raw!$E:$E,Input_Raw!$BN:$BN),"")</f>
        <v>11.6</v>
      </c>
      <c r="O81" s="311">
        <f t="shared" si="11"/>
        <v>0.9970819104050711</v>
      </c>
      <c r="P81" s="311">
        <f>IFERROR(1-SUMIF(WTG_BD!$F:$F,$A81,WTG_BD!$AA:$AA)/($AA81+SUMIF(WTG_BD!$F:$F,$A81,WTG_BD!$AA:$AA)),"")</f>
        <v>1</v>
      </c>
      <c r="Q81" s="328">
        <f>IFERROR(1-SUMIF(IGA_BD!$F:$F,$A81,IGA_BD!$W:$W)/($AA81+SUMIF(IGA_BD!$F:$F,$A81,IGA_BD!$W:$W)),"")</f>
        <v>0.9970819104050711</v>
      </c>
      <c r="R81" s="311">
        <f>IFERROR(1-SUMIF(Grid_BD!$F:$F,$A81,Grid_BD!$Y:$Y)/($AA81+SUMIF(Grid_BD!$F:$F,$A81,Grid_BD!$Y:$Y)),"")</f>
        <v>0.96744095314162082</v>
      </c>
      <c r="S81" s="10"/>
      <c r="T81" s="310"/>
      <c r="U81" s="311"/>
      <c r="V81" s="10"/>
      <c r="W81" s="312">
        <f t="shared" si="12"/>
        <v>0.90083316864295149</v>
      </c>
      <c r="X81" s="10">
        <f>IFERROR(_xlfn.XLOOKUP($A81,Input_Raw!$E:$E,Input_Raw!BG:BG),"")</f>
        <v>1093971.7999999998</v>
      </c>
      <c r="Y81" s="10">
        <f>IFERROR(_xlfn.XLOOKUP($A81,Input_Raw!$E:$E,Input_Raw!DF:DF),"")</f>
        <v>1051380.0000000116</v>
      </c>
      <c r="Z81" s="319">
        <f>IFERROR(_xlfn.XLOOKUP(A81,Input_Raw!E:E,Input_Raw!CT:CT)/_xlfn.XLOOKUP(A81,Input_Raw!E:E,Input_Raw!CS:CS)*Table13[[#This Row],[Mtr_Export (kWh)]],"")</f>
        <v>0</v>
      </c>
      <c r="AA81" s="43">
        <f t="shared" si="13"/>
        <v>1051380.0000000116</v>
      </c>
      <c r="AB81" s="10">
        <f>IFERROR(_xlfn.XLOOKUP($A81,Input_Raw!$E:$E,Input_Raw!$CZ:$CZ),"")</f>
        <v>50.6</v>
      </c>
      <c r="AC81" s="313">
        <f>IFERROR(_xlfn.XLOOKUP($D81,'Modelling New'!$D:$D,'Modelling New'!$J:$J),"")</f>
        <v>9.4530328665332952</v>
      </c>
      <c r="AD81" s="43">
        <f>IFERROR(_xlfn.XLOOKUP($D81,'Modelling New'!$D:$D,'Modelling New'!$T:$T)*1000,"")</f>
        <v>706540.33333333326</v>
      </c>
      <c r="AE81" s="312"/>
      <c r="AF81" s="312">
        <f>IFERROR(_xlfn.XLOOKUP($D81,'Modelling New'!$D:$D,'Modelling New'!$W:$W),"")</f>
        <v>0.58180198726394394</v>
      </c>
      <c r="AG81" s="312">
        <f>IFERROR(_xlfn.XLOOKUP($D81,'Modelling New'!$D:$D,'Modelling New'!$AE:$AE),"")</f>
        <v>0.95549849999999992</v>
      </c>
      <c r="AH81" s="312">
        <f>IFERROR(_xlfn.XLOOKUP($D81,'Modelling New'!$D:$D,'Modelling New'!$AF:$AF),"")</f>
        <v>0.995</v>
      </c>
      <c r="AI81" s="10">
        <f>IFERROR(_xlfn.XLOOKUP($A81,Input_Raw!$E:$E,Input_Raw!$DG:$DG),"")</f>
        <v>1107.45</v>
      </c>
      <c r="AJ81" s="10"/>
      <c r="AK81" s="10"/>
      <c r="AL81" s="10"/>
      <c r="AM81" s="10"/>
      <c r="AN81" s="314">
        <f>IFERROR(_xlfn.XLOOKUP($A81,Input_Raw!$E:$E,Input_Raw!$CY:$CY),"")</f>
        <v>-3.8226299693622234E-4</v>
      </c>
      <c r="AO81" s="312">
        <f>IFERROR((_xlfn.XLOOKUP($A81,'WTG Reactive Power'!$A:$A,'WTG Reactive Power'!AB:AB))/X81,"")</f>
        <v>0.16567419745189049</v>
      </c>
      <c r="AP81" s="312">
        <f>IFERROR(_xlfn.XLOOKUP($D81,'Modelling New'!$D:$D,'Modelling New'!AK:AK),"")</f>
        <v>0.05</v>
      </c>
      <c r="AQ81" s="312">
        <f>IFERROR(_xlfn.XLOOKUP($D81,'Modelling New'!$D:$D,'Modelling New'!AL:AL),"")</f>
        <v>0.05</v>
      </c>
      <c r="AR81" s="325">
        <f>IFERROR(_xlfn.XLOOKUP($D81,'Modelling New'!$D:$D,'Modelling New'!$N:$N),"")</f>
        <v>50.59999999999998</v>
      </c>
      <c r="AS81" s="325"/>
    </row>
    <row r="82" spans="1:45">
      <c r="A82" s="32">
        <f t="shared" si="14"/>
        <v>45825</v>
      </c>
      <c r="B82" s="43">
        <f>YEAR(Table13[[#This Row],[Date]])+IF(MONTH(Table13[[#This Row],[Date]])&gt;=4,1,0)</f>
        <v>2026</v>
      </c>
      <c r="C82" s="10">
        <f>YEAR(Table13[[#This Row],[Date]])</f>
        <v>2025</v>
      </c>
      <c r="D82" s="309">
        <f>Table13[[#This Row],[Date]]-DAY(Table13[[#This Row],[Date]])+1</f>
        <v>45809</v>
      </c>
      <c r="E82" s="10">
        <f t="shared" si="10"/>
        <v>30</v>
      </c>
      <c r="F82" s="241">
        <f>IFERROR(_xlfn.XLOOKUP($A82,Input_Raw!$E:$E,Input_Raw!DC:DC),"")</f>
        <v>11.583333333333332</v>
      </c>
      <c r="G82" s="313"/>
      <c r="H82" s="313"/>
      <c r="I82" s="313"/>
      <c r="J82" s="313"/>
      <c r="K82" s="243"/>
      <c r="L82" s="242"/>
      <c r="M82" s="242">
        <f>IFERROR(_xlfn.XLOOKUP($A82,Input_Raw!$E:$E,Input_Raw!$BM:$BM),"")</f>
        <v>8.1652173913043491</v>
      </c>
      <c r="N82" s="242">
        <f>IFERROR(_xlfn.XLOOKUP($A82,Input_Raw!$E:$E,Input_Raw!$BN:$BN),"")</f>
        <v>8.9</v>
      </c>
      <c r="O82" s="311">
        <f t="shared" si="11"/>
        <v>1</v>
      </c>
      <c r="P82" s="311">
        <f>IFERROR(1-SUMIF(WTG_BD!$F:$F,$A82,WTG_BD!$AA:$AA)/($AA82+SUMIF(WTG_BD!$F:$F,$A82,WTG_BD!$AA:$AA)),"")</f>
        <v>1</v>
      </c>
      <c r="Q82" s="328">
        <f>IFERROR(1-SUMIF(IGA_BD!$F:$F,$A82,IGA_BD!$W:$W)/($AA82+SUMIF(IGA_BD!$F:$F,$A82,IGA_BD!$W:$W)),"")</f>
        <v>1</v>
      </c>
      <c r="R82" s="47">
        <f>IFERROR(1-SUMIF(Grid_BD!$F:$F,$A82,Grid_BD!$Y:$Y)/($AA82+SUMIF(Grid_BD!$F:$F,$A82,Grid_BD!$Y:$Y)),"")</f>
        <v>0.93162713819566356</v>
      </c>
      <c r="S82" s="10"/>
      <c r="T82" s="310"/>
      <c r="U82" s="311"/>
      <c r="V82" s="10"/>
      <c r="W82" s="312">
        <f t="shared" si="12"/>
        <v>0.59579001976284607</v>
      </c>
      <c r="X82" s="10">
        <f>IFERROR(_xlfn.XLOOKUP($A82,Input_Raw!$E:$E,Input_Raw!BG:BG),"")</f>
        <v>723527.4</v>
      </c>
      <c r="Y82" s="10">
        <f>IFERROR(_xlfn.XLOOKUP($A82,Input_Raw!$E:$E,Input_Raw!DF:DF),"")</f>
        <v>697784.99999998813</v>
      </c>
      <c r="Z82" s="319">
        <f>IFERROR(_xlfn.XLOOKUP(A82,Input_Raw!E:E,Input_Raw!CT:CT)/_xlfn.XLOOKUP(A82,Input_Raw!E:E,Input_Raw!CS:CS)*Table13[[#This Row],[Mtr_Export (kWh)]],"")</f>
        <v>0</v>
      </c>
      <c r="AA82" s="43">
        <f t="shared" si="13"/>
        <v>697784.99999998813</v>
      </c>
      <c r="AB82" s="10">
        <f>IFERROR(_xlfn.XLOOKUP($A82,Input_Raw!$E:$E,Input_Raw!$CZ:$CZ),"")</f>
        <v>50.6</v>
      </c>
      <c r="AC82" s="313">
        <f>IFERROR(_xlfn.XLOOKUP($D82,'Modelling New'!$D:$D,'Modelling New'!$J:$J),"")</f>
        <v>9.4530328665332952</v>
      </c>
      <c r="AD82" s="43">
        <f>IFERROR(_xlfn.XLOOKUP($D82,'Modelling New'!$D:$D,'Modelling New'!$T:$T)*1000,"")</f>
        <v>706540.33333333326</v>
      </c>
      <c r="AE82" s="312"/>
      <c r="AF82" s="312">
        <f>IFERROR(_xlfn.XLOOKUP($D82,'Modelling New'!$D:$D,'Modelling New'!$W:$W),"")</f>
        <v>0.58180198726394394</v>
      </c>
      <c r="AG82" s="312">
        <f>IFERROR(_xlfn.XLOOKUP($D82,'Modelling New'!$D:$D,'Modelling New'!$AE:$AE),"")</f>
        <v>0.95549849999999992</v>
      </c>
      <c r="AH82" s="312">
        <f>IFERROR(_xlfn.XLOOKUP($D82,'Modelling New'!$D:$D,'Modelling New'!$AF:$AF),"")</f>
        <v>0.995</v>
      </c>
      <c r="AI82" s="10">
        <f>IFERROR(_xlfn.XLOOKUP($A82,Input_Raw!$E:$E,Input_Raw!$DG:$DG),"")</f>
        <v>742.5</v>
      </c>
      <c r="AJ82" s="10"/>
      <c r="AK82" s="10"/>
      <c r="AL82" s="10"/>
      <c r="AM82" s="10"/>
      <c r="AN82" s="314">
        <f>IFERROR(_xlfn.XLOOKUP($A82,Input_Raw!$E:$E,Input_Raw!$CY:$CY),"")</f>
        <v>8.3892617449603524E-3</v>
      </c>
      <c r="AO82" s="312">
        <f>IFERROR((_xlfn.XLOOKUP($A82,'WTG Reactive Power'!$A:$A,'WTG Reactive Power'!AB:AB))/X82,"")</f>
        <v>1.3060459078674837E-2</v>
      </c>
      <c r="AP82" s="312">
        <f>IFERROR(_xlfn.XLOOKUP($D82,'Modelling New'!$D:$D,'Modelling New'!AK:AK),"")</f>
        <v>0.05</v>
      </c>
      <c r="AQ82" s="312">
        <f>IFERROR(_xlfn.XLOOKUP($D82,'Modelling New'!$D:$D,'Modelling New'!AL:AL),"")</f>
        <v>0.05</v>
      </c>
      <c r="AR82" s="325">
        <f>IFERROR(_xlfn.XLOOKUP($D82,'Modelling New'!$D:$D,'Modelling New'!$N:$N),"")</f>
        <v>50.59999999999998</v>
      </c>
      <c r="AS82" s="325"/>
    </row>
    <row r="83" spans="1:45">
      <c r="A83" s="32">
        <f t="shared" si="14"/>
        <v>45826</v>
      </c>
      <c r="B83" s="43">
        <f>YEAR(Table13[[#This Row],[Date]])+IF(MONTH(Table13[[#This Row],[Date]])&gt;=4,1,0)</f>
        <v>2026</v>
      </c>
      <c r="C83" s="10">
        <f>YEAR(Table13[[#This Row],[Date]])</f>
        <v>2025</v>
      </c>
      <c r="D83" s="309">
        <f>Table13[[#This Row],[Date]]-DAY(Table13[[#This Row],[Date]])+1</f>
        <v>45809</v>
      </c>
      <c r="E83" s="10">
        <f t="shared" si="10"/>
        <v>30</v>
      </c>
      <c r="F83" s="241">
        <f>IFERROR(_xlfn.XLOOKUP($A83,Input_Raw!$E:$E,Input_Raw!DC:DC),"")</f>
        <v>0.16666666666666741</v>
      </c>
      <c r="G83" s="242"/>
      <c r="H83" s="242"/>
      <c r="I83" s="242"/>
      <c r="J83" s="242"/>
      <c r="K83" s="243"/>
      <c r="L83" s="242"/>
      <c r="M83" s="242">
        <f>IFERROR(_xlfn.XLOOKUP($A83,Input_Raw!$E:$E,Input_Raw!$BM:$BM),"")</f>
        <v>8.6434782608695642</v>
      </c>
      <c r="N83" s="242">
        <f>IFERROR(_xlfn.XLOOKUP($A83,Input_Raw!$E:$E,Input_Raw!$BN:$BN),"")</f>
        <v>9.6</v>
      </c>
      <c r="O83" s="311">
        <f t="shared" si="11"/>
        <v>0.99981476324088581</v>
      </c>
      <c r="P83" s="311">
        <f>IFERROR(1-SUMIF(WTG_BD!$F:$F,$A83,WTG_BD!$AA:$AA)/($AA83+SUMIF(WTG_BD!$F:$F,$A83,WTG_BD!$AA:$AA)),"")</f>
        <v>0.99981476324088581</v>
      </c>
      <c r="Q83" s="328">
        <f>IFERROR(1-SUMIF(IGA_BD!$F:$F,$A83,IGA_BD!$W:$W)/($AA83+SUMIF(IGA_BD!$F:$F,$A83,IGA_BD!$W:$W)),"")</f>
        <v>1</v>
      </c>
      <c r="R83" s="311">
        <f>IFERROR(1-SUMIF(Grid_BD!$F:$F,$A83,Grid_BD!$Y:$Y)/($AA83+SUMIF(Grid_BD!$F:$F,$A83,Grid_BD!$Y:$Y)),"")</f>
        <v>0.97259379648159072</v>
      </c>
      <c r="S83" s="10"/>
      <c r="T83" s="310"/>
      <c r="U83" s="311"/>
      <c r="V83" s="10"/>
      <c r="W83" s="312">
        <f t="shared" si="12"/>
        <v>0.65724629446640348</v>
      </c>
      <c r="X83" s="10">
        <f>IFERROR(_xlfn.XLOOKUP($A83,Input_Raw!$E:$E,Input_Raw!BG:BG),"")</f>
        <v>798159.90000000014</v>
      </c>
      <c r="Y83" s="10">
        <f>IFERROR(_xlfn.XLOOKUP($A83,Input_Raw!$E:$E,Input_Raw!DF:DF),"")</f>
        <v>776160.00000001071</v>
      </c>
      <c r="Z83" s="319">
        <f>IFERROR(_xlfn.XLOOKUP(A83,Input_Raw!E:E,Input_Raw!CT:CT)/_xlfn.XLOOKUP(A83,Input_Raw!E:E,Input_Raw!CS:CS)*Table13[[#This Row],[Mtr_Export (kWh)]],"")</f>
        <v>0</v>
      </c>
      <c r="AA83" s="43">
        <f t="shared" si="13"/>
        <v>776160.00000001071</v>
      </c>
      <c r="AB83" s="10">
        <f>IFERROR(_xlfn.XLOOKUP($A83,Input_Raw!$E:$E,Input_Raw!$CZ:$CZ),"")</f>
        <v>50.6</v>
      </c>
      <c r="AC83" s="313">
        <f>IFERROR(_xlfn.XLOOKUP($D83,'Modelling New'!$D:$D,'Modelling New'!$J:$J),"")</f>
        <v>9.4530328665332952</v>
      </c>
      <c r="AD83" s="43">
        <f>IFERROR(_xlfn.XLOOKUP($D83,'Modelling New'!$D:$D,'Modelling New'!$T:$T)*1000,"")</f>
        <v>706540.33333333326</v>
      </c>
      <c r="AE83" s="312"/>
      <c r="AF83" s="312">
        <f>IFERROR(_xlfn.XLOOKUP($D83,'Modelling New'!$D:$D,'Modelling New'!$W:$W),"")</f>
        <v>0.58180198726394394</v>
      </c>
      <c r="AG83" s="312">
        <f>IFERROR(_xlfn.XLOOKUP($D83,'Modelling New'!$D:$D,'Modelling New'!$AE:$AE),"")</f>
        <v>0.95549849999999992</v>
      </c>
      <c r="AH83" s="312">
        <f>IFERROR(_xlfn.XLOOKUP($D83,'Modelling New'!$D:$D,'Modelling New'!$AF:$AF),"")</f>
        <v>0.995</v>
      </c>
      <c r="AI83" s="10">
        <f>IFERROR(_xlfn.XLOOKUP($A83,Input_Raw!$E:$E,Input_Raw!$DG:$DG),"")</f>
        <v>805.85</v>
      </c>
      <c r="AJ83" s="10"/>
      <c r="AK83" s="10"/>
      <c r="AL83" s="10"/>
      <c r="AM83" s="10"/>
      <c r="AN83" s="314">
        <f>IFERROR(_xlfn.XLOOKUP($A83,Input_Raw!$E:$E,Input_Raw!$CY:$CY),"")</f>
        <v>5.0776583034095601E-3</v>
      </c>
      <c r="AO83" s="312">
        <f>IFERROR((_xlfn.XLOOKUP($A83,'WTG Reactive Power'!$A:$A,'WTG Reactive Power'!AB:AB))/X83,"")</f>
        <v>3.3426886016198003E-4</v>
      </c>
      <c r="AP83" s="312">
        <f>IFERROR(_xlfn.XLOOKUP($D83,'Modelling New'!$D:$D,'Modelling New'!AK:AK),"")</f>
        <v>0.05</v>
      </c>
      <c r="AQ83" s="312">
        <f>IFERROR(_xlfn.XLOOKUP($D83,'Modelling New'!$D:$D,'Modelling New'!AL:AL),"")</f>
        <v>0.05</v>
      </c>
      <c r="AR83" s="325">
        <f>IFERROR(_xlfn.XLOOKUP($D83,'Modelling New'!$D:$D,'Modelling New'!$N:$N),"")</f>
        <v>50.59999999999998</v>
      </c>
      <c r="AS83" s="325"/>
    </row>
    <row r="84" spans="1:45">
      <c r="A84" s="32">
        <f t="shared" si="14"/>
        <v>45827</v>
      </c>
      <c r="B84" s="43">
        <f>YEAR(Table13[[#This Row],[Date]])+IF(MONTH(Table13[[#This Row],[Date]])&gt;=4,1,0)</f>
        <v>2026</v>
      </c>
      <c r="C84" s="10">
        <f>YEAR(Table13[[#This Row],[Date]])</f>
        <v>2025</v>
      </c>
      <c r="D84" s="309">
        <f>Table13[[#This Row],[Date]]-DAY(Table13[[#This Row],[Date]])+1</f>
        <v>45809</v>
      </c>
      <c r="E84" s="10">
        <f t="shared" si="10"/>
        <v>30</v>
      </c>
      <c r="F84" s="241">
        <f>IFERROR(_xlfn.XLOOKUP($A84,Input_Raw!$E:$E,Input_Raw!DC:DC),"")</f>
        <v>0.25000000000000044</v>
      </c>
      <c r="G84" s="313"/>
      <c r="H84" s="313"/>
      <c r="I84" s="313"/>
      <c r="J84" s="313"/>
      <c r="K84" s="243"/>
      <c r="L84" s="242"/>
      <c r="M84" s="242">
        <f>IFERROR(_xlfn.XLOOKUP($A84,Input_Raw!$E:$E,Input_Raw!$BM:$BM),"")</f>
        <v>10.308695652173913</v>
      </c>
      <c r="N84" s="242">
        <f>IFERROR(_xlfn.XLOOKUP($A84,Input_Raw!$E:$E,Input_Raw!$BN:$BN),"")</f>
        <v>11.2</v>
      </c>
      <c r="O84" s="311">
        <f t="shared" si="11"/>
        <v>0.9820349156697803</v>
      </c>
      <c r="P84" s="311">
        <f>IFERROR(1-SUMIF(WTG_BD!$F:$F,$A84,WTG_BD!$AA:$AA)/($AA84+SUMIF(WTG_BD!$F:$F,$A84,WTG_BD!$AA:$AA)),"")</f>
        <v>0.9820349156697803</v>
      </c>
      <c r="Q84" s="328">
        <f>IFERROR(1-SUMIF(IGA_BD!$F:$F,$A84,IGA_BD!$W:$W)/($AA84+SUMIF(IGA_BD!$F:$F,$A84,IGA_BD!$W:$W)),"")</f>
        <v>1</v>
      </c>
      <c r="R84" s="47">
        <f>IFERROR(1-SUMIF(Grid_BD!$F:$F,$A84,Grid_BD!$Y:$Y)/($AA84+SUMIF(Grid_BD!$F:$F,$A84,Grid_BD!$Y:$Y)),"")</f>
        <v>0.93188087953478038</v>
      </c>
      <c r="S84" s="10"/>
      <c r="T84" s="310"/>
      <c r="U84" s="311"/>
      <c r="V84" s="10"/>
      <c r="W84" s="312">
        <f t="shared" si="12"/>
        <v>0.79498031949934167</v>
      </c>
      <c r="X84" s="10">
        <f>IFERROR(_xlfn.XLOOKUP($A84,Input_Raw!$E:$E,Input_Raw!BG:BG),"")</f>
        <v>965424.10000000009</v>
      </c>
      <c r="Y84" s="10">
        <f>IFERROR(_xlfn.XLOOKUP($A84,Input_Raw!$E:$E,Input_Raw!DF:DF),"")</f>
        <v>929279.99999998207</v>
      </c>
      <c r="Z84" s="319">
        <f>IFERROR(_xlfn.XLOOKUP(A84,Input_Raw!E:E,Input_Raw!CT:CT)/_xlfn.XLOOKUP(A84,Input_Raw!E:E,Input_Raw!CS:CS)*Table13[[#This Row],[Mtr_Export (kWh)]],"")</f>
        <v>0</v>
      </c>
      <c r="AA84" s="43">
        <f t="shared" si="13"/>
        <v>929279.99999998207</v>
      </c>
      <c r="AB84" s="10">
        <f>IFERROR(_xlfn.XLOOKUP($A84,Input_Raw!$E:$E,Input_Raw!$CZ:$CZ),"")</f>
        <v>50.6</v>
      </c>
      <c r="AC84" s="313">
        <f>IFERROR(_xlfn.XLOOKUP($D84,'Modelling New'!$D:$D,'Modelling New'!$J:$J),"")</f>
        <v>9.4530328665332952</v>
      </c>
      <c r="AD84" s="43">
        <f>IFERROR(_xlfn.XLOOKUP($D84,'Modelling New'!$D:$D,'Modelling New'!$T:$T)*1000,"")</f>
        <v>706540.33333333326</v>
      </c>
      <c r="AE84" s="312"/>
      <c r="AF84" s="312">
        <f>IFERROR(_xlfn.XLOOKUP($D84,'Modelling New'!$D:$D,'Modelling New'!$W:$W),"")</f>
        <v>0.58180198726394394</v>
      </c>
      <c r="AG84" s="312">
        <f>IFERROR(_xlfn.XLOOKUP($D84,'Modelling New'!$D:$D,'Modelling New'!$AE:$AE),"")</f>
        <v>0.95549849999999992</v>
      </c>
      <c r="AH84" s="312">
        <f>IFERROR(_xlfn.XLOOKUP($D84,'Modelling New'!$D:$D,'Modelling New'!$AF:$AF),"")</f>
        <v>0.995</v>
      </c>
      <c r="AI84" s="10">
        <f>IFERROR(_xlfn.XLOOKUP($A84,Input_Raw!$E:$E,Input_Raw!$DG:$DG),"")</f>
        <v>1000.67</v>
      </c>
      <c r="AJ84" s="10"/>
      <c r="AK84" s="10"/>
      <c r="AL84" s="10"/>
      <c r="AM84" s="10"/>
      <c r="AN84" s="314">
        <f>IFERROR(_xlfn.XLOOKUP($A84,Input_Raw!$E:$E,Input_Raw!$CY:$CY),"")</f>
        <v>8.6633663366426639E-3</v>
      </c>
      <c r="AO84" s="312">
        <f>IFERROR((_xlfn.XLOOKUP($A84,'WTG Reactive Power'!$A:$A,'WTG Reactive Power'!AB:AB))/X84,"")</f>
        <v>4.5709963113620217E-2</v>
      </c>
      <c r="AP84" s="312">
        <f>IFERROR(_xlfn.XLOOKUP($D84,'Modelling New'!$D:$D,'Modelling New'!AK:AK),"")</f>
        <v>0.05</v>
      </c>
      <c r="AQ84" s="312">
        <f>IFERROR(_xlfn.XLOOKUP($D84,'Modelling New'!$D:$D,'Modelling New'!AL:AL),"")</f>
        <v>0.05</v>
      </c>
      <c r="AR84" s="325">
        <f>IFERROR(_xlfn.XLOOKUP($D84,'Modelling New'!$D:$D,'Modelling New'!$N:$N),"")</f>
        <v>50.59999999999998</v>
      </c>
      <c r="AS84" s="325"/>
    </row>
    <row r="85" spans="1:45">
      <c r="A85" s="32">
        <f t="shared" si="14"/>
        <v>45828</v>
      </c>
      <c r="B85" s="43">
        <f>YEAR(Table13[[#This Row],[Date]])+IF(MONTH(Table13[[#This Row],[Date]])&gt;=4,1,0)</f>
        <v>2026</v>
      </c>
      <c r="C85" s="10">
        <f>YEAR(Table13[[#This Row],[Date]])</f>
        <v>2025</v>
      </c>
      <c r="D85" s="309">
        <f>Table13[[#This Row],[Date]]-DAY(Table13[[#This Row],[Date]])+1</f>
        <v>45809</v>
      </c>
      <c r="E85" s="10">
        <f t="shared" si="10"/>
        <v>30</v>
      </c>
      <c r="F85" s="241">
        <f>IFERROR(_xlfn.XLOOKUP($A85,Input_Raw!$E:$E,Input_Raw!DC:DC),"")</f>
        <v>12.283333333333335</v>
      </c>
      <c r="G85" s="242"/>
      <c r="H85" s="242"/>
      <c r="I85" s="242"/>
      <c r="J85" s="242"/>
      <c r="K85" s="243"/>
      <c r="L85" s="242"/>
      <c r="M85" s="242">
        <f>IFERROR(_xlfn.XLOOKUP($A85,Input_Raw!$E:$E,Input_Raw!$BM:$BM),"")</f>
        <v>9.4304347826086961</v>
      </c>
      <c r="N85" s="242">
        <f>IFERROR(_xlfn.XLOOKUP($A85,Input_Raw!$E:$E,Input_Raw!$BN:$BN),"")</f>
        <v>10.5</v>
      </c>
      <c r="O85" s="311">
        <f t="shared" si="11"/>
        <v>0.9944192375008396</v>
      </c>
      <c r="P85" s="311">
        <f>IFERROR(1-SUMIF(WTG_BD!$F:$F,$A85,WTG_BD!$AA:$AA)/($AA85+SUMIF(WTG_BD!$F:$F,$A85,WTG_BD!$AA:$AA)),"")</f>
        <v>0.99966051695073987</v>
      </c>
      <c r="Q85" s="328">
        <f>IFERROR(1-SUMIF(IGA_BD!$F:$F,$A85,IGA_BD!$W:$W)/($AA85+SUMIF(IGA_BD!$F:$F,$A85,IGA_BD!$W:$W)),"")</f>
        <v>0.99475694062031406</v>
      </c>
      <c r="R85" s="311">
        <f>IFERROR(1-SUMIF(Grid_BD!$F:$F,$A85,Grid_BD!$Y:$Y)/($AA85+SUMIF(Grid_BD!$F:$F,$A85,Grid_BD!$Y:$Y)),"")</f>
        <v>0.98019665603350892</v>
      </c>
      <c r="S85" s="10"/>
      <c r="T85" s="310"/>
      <c r="U85" s="311"/>
      <c r="V85" s="10"/>
      <c r="W85" s="312">
        <f t="shared" si="12"/>
        <v>0.8022833498023717</v>
      </c>
      <c r="X85" s="10">
        <f>IFERROR(_xlfn.XLOOKUP($A85,Input_Raw!$E:$E,Input_Raw!BG:BG),"")</f>
        <v>974292.89999999979</v>
      </c>
      <c r="Y85" s="10">
        <f>IFERROR(_xlfn.XLOOKUP($A85,Input_Raw!$E:$E,Input_Raw!DF:DF),"")</f>
        <v>939345.00000001607</v>
      </c>
      <c r="Z85" s="319">
        <f>IFERROR(_xlfn.XLOOKUP(A85,Input_Raw!E:E,Input_Raw!CT:CT)/_xlfn.XLOOKUP(A85,Input_Raw!E:E,Input_Raw!CS:CS)*Table13[[#This Row],[Mtr_Export (kWh)]],"")</f>
        <v>0</v>
      </c>
      <c r="AA85" s="43">
        <f t="shared" si="13"/>
        <v>939345.00000001607</v>
      </c>
      <c r="AB85" s="10">
        <f>IFERROR(_xlfn.XLOOKUP($A85,Input_Raw!$E:$E,Input_Raw!$CZ:$CZ),"")</f>
        <v>50.6</v>
      </c>
      <c r="AC85" s="313">
        <f>IFERROR(_xlfn.XLOOKUP($D85,'Modelling New'!$D:$D,'Modelling New'!$J:$J),"")</f>
        <v>9.4530328665332952</v>
      </c>
      <c r="AD85" s="43">
        <f>IFERROR(_xlfn.XLOOKUP($D85,'Modelling New'!$D:$D,'Modelling New'!$T:$T)*1000,"")</f>
        <v>706540.33333333326</v>
      </c>
      <c r="AE85" s="312"/>
      <c r="AF85" s="312">
        <f>IFERROR(_xlfn.XLOOKUP($D85,'Modelling New'!$D:$D,'Modelling New'!$W:$W),"")</f>
        <v>0.58180198726394394</v>
      </c>
      <c r="AG85" s="312">
        <f>IFERROR(_xlfn.XLOOKUP($D85,'Modelling New'!$D:$D,'Modelling New'!$AE:$AE),"")</f>
        <v>0.95549849999999992</v>
      </c>
      <c r="AH85" s="312">
        <f>IFERROR(_xlfn.XLOOKUP($D85,'Modelling New'!$D:$D,'Modelling New'!$AF:$AF),"")</f>
        <v>0.995</v>
      </c>
      <c r="AI85" s="10">
        <f>IFERROR(_xlfn.XLOOKUP($A85,Input_Raw!$E:$E,Input_Raw!$DG:$DG),"")</f>
        <v>998</v>
      </c>
      <c r="AJ85" s="10"/>
      <c r="AK85" s="10"/>
      <c r="AL85" s="10"/>
      <c r="AM85" s="10"/>
      <c r="AN85" s="314">
        <f>IFERROR(_xlfn.XLOOKUP($A85,Input_Raw!$E:$E,Input_Raw!$CY:$CY),"")</f>
        <v>5.5226293103478596E-3</v>
      </c>
      <c r="AO85" s="312">
        <f>IFERROR((_xlfn.XLOOKUP($A85,'WTG Reactive Power'!$A:$A,'WTG Reactive Power'!AB:AB))/X85,"")</f>
        <v>4.3868738035553788E-3</v>
      </c>
      <c r="AP85" s="312">
        <f>IFERROR(_xlfn.XLOOKUP($D85,'Modelling New'!$D:$D,'Modelling New'!AK:AK),"")</f>
        <v>0.05</v>
      </c>
      <c r="AQ85" s="312">
        <f>IFERROR(_xlfn.XLOOKUP($D85,'Modelling New'!$D:$D,'Modelling New'!AL:AL),"")</f>
        <v>0.05</v>
      </c>
      <c r="AR85" s="325">
        <f>IFERROR(_xlfn.XLOOKUP($D85,'Modelling New'!$D:$D,'Modelling New'!$N:$N),"")</f>
        <v>50.59999999999998</v>
      </c>
      <c r="AS85" s="325"/>
    </row>
    <row r="86" spans="1:45">
      <c r="A86" s="32">
        <f t="shared" si="14"/>
        <v>45829</v>
      </c>
      <c r="B86" s="43">
        <f>YEAR(Table13[[#This Row],[Date]])+IF(MONTH(Table13[[#This Row],[Date]])&gt;=4,1,0)</f>
        <v>2026</v>
      </c>
      <c r="C86" s="10">
        <f>YEAR(Table13[[#This Row],[Date]])</f>
        <v>2025</v>
      </c>
      <c r="D86" s="309">
        <f>Table13[[#This Row],[Date]]-DAY(Table13[[#This Row],[Date]])+1</f>
        <v>45809</v>
      </c>
      <c r="E86" s="10">
        <f t="shared" si="10"/>
        <v>30</v>
      </c>
      <c r="F86" s="241">
        <f>IFERROR(_xlfn.XLOOKUP($A86,Input_Raw!$E:$E,Input_Raw!DC:DC),"")</f>
        <v>12.250000000000002</v>
      </c>
      <c r="G86" s="313"/>
      <c r="H86" s="313"/>
      <c r="I86" s="313"/>
      <c r="J86" s="313"/>
      <c r="K86" s="243"/>
      <c r="L86" s="242"/>
      <c r="M86" s="242">
        <f>IFERROR(_xlfn.XLOOKUP($A86,Input_Raw!$E:$E,Input_Raw!$BM:$BM),"")</f>
        <v>9.4391304347826068</v>
      </c>
      <c r="N86" s="242">
        <f>IFERROR(_xlfn.XLOOKUP($A86,Input_Raw!$E:$E,Input_Raw!$BN:$BN),"")</f>
        <v>10.199999999999999</v>
      </c>
      <c r="O86" s="311">
        <f t="shared" si="11"/>
        <v>1</v>
      </c>
      <c r="P86" s="311">
        <f>IFERROR(1-SUMIF(WTG_BD!$F:$F,$A86,WTG_BD!$AA:$AA)/($AA86+SUMIF(WTG_BD!$F:$F,$A86,WTG_BD!$AA:$AA)),"")</f>
        <v>1</v>
      </c>
      <c r="Q86" s="328">
        <f>IFERROR(1-SUMIF(IGA_BD!$F:$F,$A86,IGA_BD!$W:$W)/($AA86+SUMIF(IGA_BD!$F:$F,$A86,IGA_BD!$W:$W)),"")</f>
        <v>1</v>
      </c>
      <c r="R86" s="47">
        <f>IFERROR(1-SUMIF(Grid_BD!$F:$F,$A86,Grid_BD!$Y:$Y)/($AA86+SUMIF(Grid_BD!$F:$F,$A86,Grid_BD!$Y:$Y)),"")</f>
        <v>1</v>
      </c>
      <c r="S86" s="10"/>
      <c r="T86" s="310"/>
      <c r="U86" s="311"/>
      <c r="V86" s="10"/>
      <c r="W86" s="312">
        <f t="shared" si="12"/>
        <v>0.74750247035573136</v>
      </c>
      <c r="X86" s="10">
        <f>IFERROR(_xlfn.XLOOKUP($A86,Input_Raw!$E:$E,Input_Raw!BG:BG),"")</f>
        <v>907766.99999999988</v>
      </c>
      <c r="Y86" s="10">
        <f>IFERROR(_xlfn.XLOOKUP($A86,Input_Raw!$E:$E,Input_Raw!DF:DF),"")</f>
        <v>874664.99999998859</v>
      </c>
      <c r="Z86" s="319">
        <f>IFERROR(_xlfn.XLOOKUP(A86,Input_Raw!E:E,Input_Raw!CT:CT)/_xlfn.XLOOKUP(A86,Input_Raw!E:E,Input_Raw!CS:CS)*Table13[[#This Row],[Mtr_Export (kWh)]],"")</f>
        <v>0</v>
      </c>
      <c r="AA86" s="43">
        <f t="shared" si="13"/>
        <v>874664.99999998859</v>
      </c>
      <c r="AB86" s="10">
        <f>IFERROR(_xlfn.XLOOKUP($A86,Input_Raw!$E:$E,Input_Raw!$CZ:$CZ),"")</f>
        <v>50.6</v>
      </c>
      <c r="AC86" s="313">
        <f>IFERROR(_xlfn.XLOOKUP($D86,'Modelling New'!$D:$D,'Modelling New'!$J:$J),"")</f>
        <v>9.4530328665332952</v>
      </c>
      <c r="AD86" s="43">
        <f>IFERROR(_xlfn.XLOOKUP($D86,'Modelling New'!$D:$D,'Modelling New'!$T:$T)*1000,"")</f>
        <v>706540.33333333326</v>
      </c>
      <c r="AE86" s="312"/>
      <c r="AF86" s="312">
        <f>IFERROR(_xlfn.XLOOKUP($D86,'Modelling New'!$D:$D,'Modelling New'!$W:$W),"")</f>
        <v>0.58180198726394394</v>
      </c>
      <c r="AG86" s="312">
        <f>IFERROR(_xlfn.XLOOKUP($D86,'Modelling New'!$D:$D,'Modelling New'!$AE:$AE),"")</f>
        <v>0.95549849999999992</v>
      </c>
      <c r="AH86" s="312">
        <f>IFERROR(_xlfn.XLOOKUP($D86,'Modelling New'!$D:$D,'Modelling New'!$AF:$AF),"")</f>
        <v>0.995</v>
      </c>
      <c r="AI86" s="10">
        <f>IFERROR(_xlfn.XLOOKUP($A86,Input_Raw!$E:$E,Input_Raw!$DG:$DG),"")</f>
        <v>966.22</v>
      </c>
      <c r="AJ86" s="10"/>
      <c r="AK86" s="10"/>
      <c r="AL86" s="10"/>
      <c r="AM86" s="10"/>
      <c r="AN86" s="314">
        <f>IFERROR(_xlfn.XLOOKUP($A86,Input_Raw!$E:$E,Input_Raw!$CY:$CY),"")</f>
        <v>5.9210526315909284E-3</v>
      </c>
      <c r="AO86" s="312">
        <f>IFERROR((_xlfn.XLOOKUP($A86,'WTG Reactive Power'!$A:$A,'WTG Reactive Power'!AB:AB))/X86,"")</f>
        <v>8.5506523149662898E-3</v>
      </c>
      <c r="AP86" s="312">
        <f>IFERROR(_xlfn.XLOOKUP($D86,'Modelling New'!$D:$D,'Modelling New'!AK:AK),"")</f>
        <v>0.05</v>
      </c>
      <c r="AQ86" s="312">
        <f>IFERROR(_xlfn.XLOOKUP($D86,'Modelling New'!$D:$D,'Modelling New'!AL:AL),"")</f>
        <v>0.05</v>
      </c>
      <c r="AR86" s="325">
        <f>IFERROR(_xlfn.XLOOKUP($D86,'Modelling New'!$D:$D,'Modelling New'!$N:$N),"")</f>
        <v>50.59999999999998</v>
      </c>
      <c r="AS86" s="325"/>
    </row>
    <row r="87" spans="1:45">
      <c r="A87" s="32">
        <f t="shared" si="14"/>
        <v>45830</v>
      </c>
      <c r="B87" s="43">
        <f>YEAR(Table13[[#This Row],[Date]])+IF(MONTH(Table13[[#This Row],[Date]])&gt;=4,1,0)</f>
        <v>2026</v>
      </c>
      <c r="C87" s="10">
        <f>YEAR(Table13[[#This Row],[Date]])</f>
        <v>2025</v>
      </c>
      <c r="D87" s="309">
        <f>Table13[[#This Row],[Date]]-DAY(Table13[[#This Row],[Date]])+1</f>
        <v>45809</v>
      </c>
      <c r="E87" s="10">
        <f t="shared" si="10"/>
        <v>30</v>
      </c>
      <c r="F87" s="241">
        <f>IFERROR(_xlfn.XLOOKUP($A87,Input_Raw!$E:$E,Input_Raw!DC:DC),"")</f>
        <v>12.116666666666669</v>
      </c>
      <c r="G87" s="242"/>
      <c r="H87" s="242"/>
      <c r="I87" s="242"/>
      <c r="J87" s="242"/>
      <c r="K87" s="243"/>
      <c r="L87" s="242"/>
      <c r="M87" s="242">
        <f>IFERROR(_xlfn.XLOOKUP($A87,Input_Raw!$E:$E,Input_Raw!$BM:$BM),"")</f>
        <v>8.7956521739130427</v>
      </c>
      <c r="N87" s="242">
        <f>IFERROR(_xlfn.XLOOKUP($A87,Input_Raw!$E:$E,Input_Raw!$BN:$BN),"")</f>
        <v>9.5</v>
      </c>
      <c r="O87" s="311">
        <f t="shared" si="11"/>
        <v>1</v>
      </c>
      <c r="P87" s="311">
        <f>IFERROR(1-SUMIF(WTG_BD!$F:$F,$A87,WTG_BD!$AA:$AA)/($AA87+SUMIF(WTG_BD!$F:$F,$A87,WTG_BD!$AA:$AA)),"")</f>
        <v>1</v>
      </c>
      <c r="Q87" s="328">
        <f>IFERROR(1-SUMIF(IGA_BD!$F:$F,$A87,IGA_BD!$W:$W)/($AA87+SUMIF(IGA_BD!$F:$F,$A87,IGA_BD!$W:$W)),"")</f>
        <v>1</v>
      </c>
      <c r="R87" s="311">
        <f>IFERROR(1-SUMIF(Grid_BD!$F:$F,$A87,Grid_BD!$Y:$Y)/($AA87+SUMIF(Grid_BD!$F:$F,$A87,Grid_BD!$Y:$Y)),"")</f>
        <v>1</v>
      </c>
      <c r="S87" s="10"/>
      <c r="T87" s="310"/>
      <c r="U87" s="311"/>
      <c r="V87" s="10"/>
      <c r="W87" s="312">
        <f t="shared" si="12"/>
        <v>0.75059206192358385</v>
      </c>
      <c r="X87" s="10">
        <f>IFERROR(_xlfn.XLOOKUP($A87,Input_Raw!$E:$E,Input_Raw!BG:BG),"")</f>
        <v>911518.99999999988</v>
      </c>
      <c r="Y87" s="10">
        <f>IFERROR(_xlfn.XLOOKUP($A87,Input_Raw!$E:$E,Input_Raw!DF:DF),"")</f>
        <v>877469.99999999732</v>
      </c>
      <c r="Z87" s="319">
        <f>IFERROR(_xlfn.XLOOKUP(A87,Input_Raw!E:E,Input_Raw!CT:CT)/_xlfn.XLOOKUP(A87,Input_Raw!E:E,Input_Raw!CS:CS)*Table13[[#This Row],[Mtr_Export (kWh)]],"")</f>
        <v>0</v>
      </c>
      <c r="AA87" s="43">
        <f t="shared" si="13"/>
        <v>877469.99999999732</v>
      </c>
      <c r="AB87" s="10">
        <f>IFERROR(_xlfn.XLOOKUP($A87,Input_Raw!$E:$E,Input_Raw!$CZ:$CZ),"")</f>
        <v>50.6</v>
      </c>
      <c r="AC87" s="313">
        <f>IFERROR(_xlfn.XLOOKUP($D87,'Modelling New'!$D:$D,'Modelling New'!$J:$J),"")</f>
        <v>9.4530328665332952</v>
      </c>
      <c r="AD87" s="43">
        <f>IFERROR(_xlfn.XLOOKUP($D87,'Modelling New'!$D:$D,'Modelling New'!$T:$T)*1000,"")</f>
        <v>706540.33333333326</v>
      </c>
      <c r="AE87" s="312"/>
      <c r="AF87" s="312">
        <f>IFERROR(_xlfn.XLOOKUP($D87,'Modelling New'!$D:$D,'Modelling New'!$W:$W),"")</f>
        <v>0.58180198726394394</v>
      </c>
      <c r="AG87" s="312">
        <f>IFERROR(_xlfn.XLOOKUP($D87,'Modelling New'!$D:$D,'Modelling New'!$AE:$AE),"")</f>
        <v>0.95549849999999992</v>
      </c>
      <c r="AH87" s="312">
        <f>IFERROR(_xlfn.XLOOKUP($D87,'Modelling New'!$D:$D,'Modelling New'!$AF:$AF),"")</f>
        <v>0.995</v>
      </c>
      <c r="AI87" s="10">
        <f>IFERROR(_xlfn.XLOOKUP($A87,Input_Raw!$E:$E,Input_Raw!$DG:$DG),"")</f>
        <v>911.18</v>
      </c>
      <c r="AJ87" s="10"/>
      <c r="AK87" s="10"/>
      <c r="AL87" s="10"/>
      <c r="AM87" s="10"/>
      <c r="AN87" s="314">
        <f>IFERROR(_xlfn.XLOOKUP($A87,Input_Raw!$E:$E,Input_Raw!$CY:$CY),"")</f>
        <v>7.3444700460887358E-3</v>
      </c>
      <c r="AO87" s="312">
        <f>IFERROR((_xlfn.XLOOKUP($A87,'WTG Reactive Power'!$A:$A,'WTG Reactive Power'!AB:AB))/X87,"")</f>
        <v>3.6205827854383733E-2</v>
      </c>
      <c r="AP87" s="312">
        <f>IFERROR(_xlfn.XLOOKUP($D87,'Modelling New'!$D:$D,'Modelling New'!AK:AK),"")</f>
        <v>0.05</v>
      </c>
      <c r="AQ87" s="312">
        <f>IFERROR(_xlfn.XLOOKUP($D87,'Modelling New'!$D:$D,'Modelling New'!AL:AL),"")</f>
        <v>0.05</v>
      </c>
      <c r="AR87" s="325">
        <f>IFERROR(_xlfn.XLOOKUP($D87,'Modelling New'!$D:$D,'Modelling New'!$N:$N),"")</f>
        <v>50.59999999999998</v>
      </c>
      <c r="AS87" s="325"/>
    </row>
    <row r="88" spans="1:45">
      <c r="A88" s="32">
        <f t="shared" si="14"/>
        <v>45831</v>
      </c>
      <c r="B88" s="43">
        <f>YEAR(Table13[[#This Row],[Date]])+IF(MONTH(Table13[[#This Row],[Date]])&gt;=4,1,0)</f>
        <v>2026</v>
      </c>
      <c r="C88" s="10">
        <f>YEAR(Table13[[#This Row],[Date]])</f>
        <v>2025</v>
      </c>
      <c r="D88" s="309">
        <f>Table13[[#This Row],[Date]]-DAY(Table13[[#This Row],[Date]])+1</f>
        <v>45809</v>
      </c>
      <c r="E88" s="10">
        <f t="shared" si="10"/>
        <v>30</v>
      </c>
      <c r="F88" s="241">
        <f>IFERROR(_xlfn.XLOOKUP($A88,Input_Raw!$E:$E,Input_Raw!DC:DC),"")</f>
        <v>12.250000000000002</v>
      </c>
      <c r="G88" s="313"/>
      <c r="H88" s="313"/>
      <c r="I88" s="313"/>
      <c r="J88" s="313"/>
      <c r="K88" s="243"/>
      <c r="L88" s="242"/>
      <c r="M88" s="242">
        <f>IFERROR(_xlfn.XLOOKUP($A88,Input_Raw!$E:$E,Input_Raw!$BM:$BM),"")</f>
        <v>9.9347826086956506</v>
      </c>
      <c r="N88" s="242">
        <f>IFERROR(_xlfn.XLOOKUP($A88,Input_Raw!$E:$E,Input_Raw!$BN:$BN),"")</f>
        <v>10.9</v>
      </c>
      <c r="O88" s="311">
        <f t="shared" si="11"/>
        <v>1</v>
      </c>
      <c r="P88" s="311">
        <f>IFERROR(1-SUMIF(WTG_BD!$F:$F,$A88,WTG_BD!$AA:$AA)/($AA88+SUMIF(WTG_BD!$F:$F,$A88,WTG_BD!$AA:$AA)),"")</f>
        <v>1</v>
      </c>
      <c r="Q88" s="328">
        <f>IFERROR(1-SUMIF(IGA_BD!$F:$F,$A88,IGA_BD!$W:$W)/($AA88+SUMIF(IGA_BD!$F:$F,$A88,IGA_BD!$W:$W)),"")</f>
        <v>1</v>
      </c>
      <c r="R88" s="47">
        <f>IFERROR(1-SUMIF(Grid_BD!$F:$F,$A88,Grid_BD!$Y:$Y)/($AA88+SUMIF(Grid_BD!$F:$F,$A88,Grid_BD!$Y:$Y)),"")</f>
        <v>0.9809565540760643</v>
      </c>
      <c r="S88" s="10"/>
      <c r="T88" s="310"/>
      <c r="U88" s="311"/>
      <c r="V88" s="10"/>
      <c r="W88" s="312">
        <f t="shared" si="12"/>
        <v>0.87439813899868268</v>
      </c>
      <c r="X88" s="10">
        <f>IFERROR(_xlfn.XLOOKUP($A88,Input_Raw!$E:$E,Input_Raw!BG:BG),"")</f>
        <v>1061869.0999999999</v>
      </c>
      <c r="Y88" s="10">
        <f>IFERROR(_xlfn.XLOOKUP($A88,Input_Raw!$E:$E,Input_Raw!DF:DF),"")</f>
        <v>1020855.000000002</v>
      </c>
      <c r="Z88" s="319">
        <f>IFERROR(_xlfn.XLOOKUP(A88,Input_Raw!E:E,Input_Raw!CT:CT)/_xlfn.XLOOKUP(A88,Input_Raw!E:E,Input_Raw!CS:CS)*Table13[[#This Row],[Mtr_Export (kWh)]],"")</f>
        <v>0</v>
      </c>
      <c r="AA88" s="43">
        <f t="shared" si="13"/>
        <v>1020855.000000002</v>
      </c>
      <c r="AB88" s="10">
        <f>IFERROR(_xlfn.XLOOKUP($A88,Input_Raw!$E:$E,Input_Raw!$CZ:$CZ),"")</f>
        <v>50.6</v>
      </c>
      <c r="AC88" s="313">
        <f>IFERROR(_xlfn.XLOOKUP($D88,'Modelling New'!$D:$D,'Modelling New'!$J:$J),"")</f>
        <v>9.4530328665332952</v>
      </c>
      <c r="AD88" s="43">
        <f>IFERROR(_xlfn.XLOOKUP($D88,'Modelling New'!$D:$D,'Modelling New'!$T:$T)*1000,"")</f>
        <v>706540.33333333326</v>
      </c>
      <c r="AE88" s="312"/>
      <c r="AF88" s="312">
        <f>IFERROR(_xlfn.XLOOKUP($D88,'Modelling New'!$D:$D,'Modelling New'!$W:$W),"")</f>
        <v>0.58180198726394394</v>
      </c>
      <c r="AG88" s="312">
        <f>IFERROR(_xlfn.XLOOKUP($D88,'Modelling New'!$D:$D,'Modelling New'!$AE:$AE),"")</f>
        <v>0.95549849999999992</v>
      </c>
      <c r="AH88" s="312">
        <f>IFERROR(_xlfn.XLOOKUP($D88,'Modelling New'!$D:$D,'Modelling New'!$AF:$AF),"")</f>
        <v>0.995</v>
      </c>
      <c r="AI88" s="10">
        <f>IFERROR(_xlfn.XLOOKUP($A88,Input_Raw!$E:$E,Input_Raw!$DG:$DG),"")</f>
        <v>1070.07</v>
      </c>
      <c r="AJ88" s="10"/>
      <c r="AK88" s="10"/>
      <c r="AL88" s="10"/>
      <c r="AM88" s="10"/>
      <c r="AN88" s="314">
        <f>IFERROR(_xlfn.XLOOKUP($A88,Input_Raw!$E:$E,Input_Raw!$CY:$CY),"")</f>
        <v>5.4046563193053121E-3</v>
      </c>
      <c r="AO88" s="312">
        <f>IFERROR((_xlfn.XLOOKUP($A88,'WTG Reactive Power'!$A:$A,'WTG Reactive Power'!AB:AB))/X88,"")</f>
        <v>6.3960143486612428E-2</v>
      </c>
      <c r="AP88" s="312">
        <f>IFERROR(_xlfn.XLOOKUP($D88,'Modelling New'!$D:$D,'Modelling New'!AK:AK),"")</f>
        <v>0.05</v>
      </c>
      <c r="AQ88" s="312">
        <f>IFERROR(_xlfn.XLOOKUP($D88,'Modelling New'!$D:$D,'Modelling New'!AL:AL),"")</f>
        <v>0.05</v>
      </c>
      <c r="AR88" s="325">
        <f>IFERROR(_xlfn.XLOOKUP($D88,'Modelling New'!$D:$D,'Modelling New'!$N:$N),"")</f>
        <v>50.59999999999998</v>
      </c>
      <c r="AS88" s="325"/>
    </row>
    <row r="89" spans="1:45">
      <c r="A89" s="32">
        <f t="shared" si="14"/>
        <v>45832</v>
      </c>
      <c r="B89" s="43">
        <f>YEAR(Table13[[#This Row],[Date]])+IF(MONTH(Table13[[#This Row],[Date]])&gt;=4,1,0)</f>
        <v>2026</v>
      </c>
      <c r="C89" s="10">
        <f>YEAR(Table13[[#This Row],[Date]])</f>
        <v>2025</v>
      </c>
      <c r="D89" s="309">
        <f>Table13[[#This Row],[Date]]-DAY(Table13[[#This Row],[Date]])+1</f>
        <v>45809</v>
      </c>
      <c r="E89" s="10">
        <f t="shared" si="10"/>
        <v>30</v>
      </c>
      <c r="F89" s="241">
        <f>IFERROR(_xlfn.XLOOKUP($A89,Input_Raw!$E:$E,Input_Raw!DC:DC),"")</f>
        <v>12.216666666666669</v>
      </c>
      <c r="G89" s="242"/>
      <c r="H89" s="242"/>
      <c r="I89" s="242"/>
      <c r="J89" s="242"/>
      <c r="K89" s="243"/>
      <c r="L89" s="242"/>
      <c r="M89" s="242">
        <f>IFERROR(_xlfn.XLOOKUP($A89,Input_Raw!$E:$E,Input_Raw!$BM:$BM),"")</f>
        <v>11.130434782608695</v>
      </c>
      <c r="N89" s="242">
        <f>IFERROR(_xlfn.XLOOKUP($A89,Input_Raw!$E:$E,Input_Raw!$BN:$BN),"")</f>
        <v>12.1</v>
      </c>
      <c r="O89" s="311">
        <f t="shared" si="11"/>
        <v>1</v>
      </c>
      <c r="P89" s="311">
        <f>IFERROR(1-SUMIF(WTG_BD!$F:$F,$A89,WTG_BD!$AA:$AA)/($AA89+SUMIF(WTG_BD!$F:$F,$A89,WTG_BD!$AA:$AA)),"")</f>
        <v>1</v>
      </c>
      <c r="Q89" s="328">
        <f>IFERROR(1-SUMIF(IGA_BD!$F:$F,$A89,IGA_BD!$W:$W)/($AA89+SUMIF(IGA_BD!$F:$F,$A89,IGA_BD!$W:$W)),"")</f>
        <v>1</v>
      </c>
      <c r="R89" s="311">
        <f>IFERROR(1-SUMIF(Grid_BD!$F:$F,$A89,Grid_BD!$Y:$Y)/($AA89+SUMIF(Grid_BD!$F:$F,$A89,Grid_BD!$Y:$Y)),"")</f>
        <v>0.96595616997965705</v>
      </c>
      <c r="S89" s="10"/>
      <c r="T89" s="310"/>
      <c r="U89" s="311"/>
      <c r="V89" s="10"/>
      <c r="W89" s="312">
        <f t="shared" si="12"/>
        <v>0.90378055006587643</v>
      </c>
      <c r="X89" s="10">
        <f>IFERROR(_xlfn.XLOOKUP($A89,Input_Raw!$E:$E,Input_Raw!BG:BG),"")</f>
        <v>1097551.0999999999</v>
      </c>
      <c r="Y89" s="10">
        <f>IFERROR(_xlfn.XLOOKUP($A89,Input_Raw!$E:$E,Input_Raw!DF:DF),"")</f>
        <v>1052700.0000000086</v>
      </c>
      <c r="Z89" s="319">
        <f>IFERROR(_xlfn.XLOOKUP(A89,Input_Raw!E:E,Input_Raw!CT:CT)/_xlfn.XLOOKUP(A89,Input_Raw!E:E,Input_Raw!CS:CS)*Table13[[#This Row],[Mtr_Export (kWh)]],"")</f>
        <v>0</v>
      </c>
      <c r="AA89" s="43">
        <f t="shared" si="13"/>
        <v>1052700.0000000086</v>
      </c>
      <c r="AB89" s="10">
        <f>IFERROR(_xlfn.XLOOKUP($A89,Input_Raw!$E:$E,Input_Raw!$CZ:$CZ),"")</f>
        <v>50.6</v>
      </c>
      <c r="AC89" s="313">
        <f>IFERROR(_xlfn.XLOOKUP($D89,'Modelling New'!$D:$D,'Modelling New'!$J:$J),"")</f>
        <v>9.4530328665332952</v>
      </c>
      <c r="AD89" s="43">
        <f>IFERROR(_xlfn.XLOOKUP($D89,'Modelling New'!$D:$D,'Modelling New'!$T:$T)*1000,"")</f>
        <v>706540.33333333326</v>
      </c>
      <c r="AE89" s="312"/>
      <c r="AF89" s="312">
        <f>IFERROR(_xlfn.XLOOKUP($D89,'Modelling New'!$D:$D,'Modelling New'!$W:$W),"")</f>
        <v>0.58180198726394394</v>
      </c>
      <c r="AG89" s="312">
        <f>IFERROR(_xlfn.XLOOKUP($D89,'Modelling New'!$D:$D,'Modelling New'!$AE:$AE),"")</f>
        <v>0.95549849999999992</v>
      </c>
      <c r="AH89" s="312">
        <f>IFERROR(_xlfn.XLOOKUP($D89,'Modelling New'!$D:$D,'Modelling New'!$AF:$AF),"")</f>
        <v>0.995</v>
      </c>
      <c r="AI89" s="10">
        <f>IFERROR(_xlfn.XLOOKUP($A89,Input_Raw!$E:$E,Input_Raw!$DG:$DG),"")</f>
        <v>1107.55</v>
      </c>
      <c r="AJ89" s="10"/>
      <c r="AK89" s="10"/>
      <c r="AL89" s="10"/>
      <c r="AM89" s="10"/>
      <c r="AN89" s="314">
        <f>IFERROR(_xlfn.XLOOKUP($A89,Input_Raw!$E:$E,Input_Raw!$CY:$CY),"")</f>
        <v>8.1269349845263239E-3</v>
      </c>
      <c r="AO89" s="312">
        <f>IFERROR((_xlfn.XLOOKUP($A89,'WTG Reactive Power'!$A:$A,'WTG Reactive Power'!AB:AB))/X89,"")</f>
        <v>7.00596081585632E-2</v>
      </c>
      <c r="AP89" s="312">
        <f>IFERROR(_xlfn.XLOOKUP($D89,'Modelling New'!$D:$D,'Modelling New'!AK:AK),"")</f>
        <v>0.05</v>
      </c>
      <c r="AQ89" s="312">
        <f>IFERROR(_xlfn.XLOOKUP($D89,'Modelling New'!$D:$D,'Modelling New'!AL:AL),"")</f>
        <v>0.05</v>
      </c>
      <c r="AR89" s="325">
        <f>IFERROR(_xlfn.XLOOKUP($D89,'Modelling New'!$D:$D,'Modelling New'!$N:$N),"")</f>
        <v>50.59999999999998</v>
      </c>
      <c r="AS89" s="325"/>
    </row>
    <row r="90" spans="1:45">
      <c r="A90" s="32">
        <f t="shared" si="14"/>
        <v>45833</v>
      </c>
      <c r="B90" s="43">
        <f>YEAR(Table13[[#This Row],[Date]])+IF(MONTH(Table13[[#This Row],[Date]])&gt;=4,1,0)</f>
        <v>2026</v>
      </c>
      <c r="C90" s="10">
        <f>YEAR(Table13[[#This Row],[Date]])</f>
        <v>2025</v>
      </c>
      <c r="D90" s="309">
        <f>Table13[[#This Row],[Date]]-DAY(Table13[[#This Row],[Date]])+1</f>
        <v>45809</v>
      </c>
      <c r="E90" s="10">
        <f t="shared" si="10"/>
        <v>30</v>
      </c>
      <c r="F90" s="241">
        <f>IFERROR(_xlfn.XLOOKUP($A90,Input_Raw!$E:$E,Input_Raw!DC:DC),"")</f>
        <v>12.083333333333336</v>
      </c>
      <c r="G90" s="313"/>
      <c r="H90" s="313"/>
      <c r="I90" s="313"/>
      <c r="J90" s="313"/>
      <c r="K90" s="243"/>
      <c r="L90" s="242"/>
      <c r="M90" s="242">
        <f>IFERROR(_xlfn.XLOOKUP($A90,Input_Raw!$E:$E,Input_Raw!$BM:$BM),"")</f>
        <v>9.7320711380906282</v>
      </c>
      <c r="N90" s="242">
        <f>IFERROR(_xlfn.XLOOKUP($A90,Input_Raw!$E:$E,Input_Raw!$BN:$BN),"")</f>
        <v>10.756462068965517</v>
      </c>
      <c r="O90" s="311">
        <f t="shared" si="11"/>
        <v>0.98853132157632173</v>
      </c>
      <c r="P90" s="311">
        <f>IFERROR(1-SUMIF(WTG_BD!$F:$F,$A90,WTG_BD!$AA:$AA)/($AA90+SUMIF(WTG_BD!$F:$F,$A90,WTG_BD!$AA:$AA)),"")</f>
        <v>0.99192181775509469</v>
      </c>
      <c r="Q90" s="328">
        <f>IFERROR(1-SUMIF(IGA_BD!$F:$F,$A90,IGA_BD!$W:$W)/($AA90+SUMIF(IGA_BD!$F:$F,$A90,IGA_BD!$W:$W)),"")</f>
        <v>0.99658189171960521</v>
      </c>
      <c r="R90" s="47">
        <f>IFERROR(1-SUMIF(Grid_BD!$F:$F,$A90,Grid_BD!$Y:$Y)/($AA90+SUMIF(Grid_BD!$F:$F,$A90,Grid_BD!$Y:$Y)),"")</f>
        <v>1</v>
      </c>
      <c r="S90" s="10"/>
      <c r="T90" s="310"/>
      <c r="U90" s="311"/>
      <c r="V90" s="10"/>
      <c r="W90" s="312">
        <f t="shared" si="12"/>
        <v>0.85378705533596866</v>
      </c>
      <c r="X90" s="10">
        <f>IFERROR(_xlfn.XLOOKUP($A90,Input_Raw!$E:$E,Input_Raw!BG:BG),"")</f>
        <v>1036839</v>
      </c>
      <c r="Y90" s="10">
        <f>IFERROR(_xlfn.XLOOKUP($A90,Input_Raw!$E:$E,Input_Raw!DF:DF),"")</f>
        <v>997424.99999999325</v>
      </c>
      <c r="Z90" s="319">
        <f>IFERROR(_xlfn.XLOOKUP(A90,Input_Raw!E:E,Input_Raw!CT:CT)/_xlfn.XLOOKUP(A90,Input_Raw!E:E,Input_Raw!CS:CS)*Table13[[#This Row],[Mtr_Export (kWh)]],"")</f>
        <v>0</v>
      </c>
      <c r="AA90" s="43">
        <f t="shared" si="13"/>
        <v>997424.99999999325</v>
      </c>
      <c r="AB90" s="10">
        <f>IFERROR(_xlfn.XLOOKUP($A90,Input_Raw!$E:$E,Input_Raw!$CZ:$CZ),"")</f>
        <v>50.6</v>
      </c>
      <c r="AC90" s="313">
        <f>IFERROR(_xlfn.XLOOKUP($D90,'Modelling New'!$D:$D,'Modelling New'!$J:$J),"")</f>
        <v>9.4530328665332952</v>
      </c>
      <c r="AD90" s="43">
        <f>IFERROR(_xlfn.XLOOKUP($D90,'Modelling New'!$D:$D,'Modelling New'!$T:$T)*1000,"")</f>
        <v>706540.33333333326</v>
      </c>
      <c r="AE90" s="312"/>
      <c r="AF90" s="312">
        <f>IFERROR(_xlfn.XLOOKUP($D90,'Modelling New'!$D:$D,'Modelling New'!$W:$W),"")</f>
        <v>0.58180198726394394</v>
      </c>
      <c r="AG90" s="312">
        <f>IFERROR(_xlfn.XLOOKUP($D90,'Modelling New'!$D:$D,'Modelling New'!$AE:$AE),"")</f>
        <v>0.95549849999999992</v>
      </c>
      <c r="AH90" s="312">
        <f>IFERROR(_xlfn.XLOOKUP($D90,'Modelling New'!$D:$D,'Modelling New'!$AF:$AF),"")</f>
        <v>0.995</v>
      </c>
      <c r="AI90" s="10">
        <f>IFERROR(_xlfn.XLOOKUP($A90,Input_Raw!$E:$E,Input_Raw!$DG:$DG),"")</f>
        <v>1042.72</v>
      </c>
      <c r="AJ90" s="10"/>
      <c r="AK90" s="10"/>
      <c r="AL90" s="10"/>
      <c r="AM90" s="10"/>
      <c r="AN90" s="314">
        <f>IFERROR(_xlfn.XLOOKUP($A90,Input_Raw!$E:$E,Input_Raw!$CY:$CY),"")</f>
        <v>6.502890173399889E-3</v>
      </c>
      <c r="AO90" s="312">
        <f>IFERROR((_xlfn.XLOOKUP($A90,'WTG Reactive Power'!$A:$A,'WTG Reactive Power'!AB:AB))/X90,"")</f>
        <v>6.7711766243360824E-2</v>
      </c>
      <c r="AP90" s="312">
        <f>IFERROR(_xlfn.XLOOKUP($D90,'Modelling New'!$D:$D,'Modelling New'!AK:AK),"")</f>
        <v>0.05</v>
      </c>
      <c r="AQ90" s="312">
        <f>IFERROR(_xlfn.XLOOKUP($D90,'Modelling New'!$D:$D,'Modelling New'!AL:AL),"")</f>
        <v>0.05</v>
      </c>
      <c r="AR90" s="325">
        <f>IFERROR(_xlfn.XLOOKUP($D90,'Modelling New'!$D:$D,'Modelling New'!$N:$N),"")</f>
        <v>50.59999999999998</v>
      </c>
      <c r="AS90" s="325"/>
    </row>
    <row r="91" spans="1:45">
      <c r="A91" s="32">
        <f t="shared" si="14"/>
        <v>45834</v>
      </c>
      <c r="B91" s="43">
        <f>YEAR(Table13[[#This Row],[Date]])+IF(MONTH(Table13[[#This Row],[Date]])&gt;=4,1,0)</f>
        <v>2026</v>
      </c>
      <c r="C91" s="10">
        <f>YEAR(Table13[[#This Row],[Date]])</f>
        <v>2025</v>
      </c>
      <c r="D91" s="309">
        <f>Table13[[#This Row],[Date]]-DAY(Table13[[#This Row],[Date]])+1</f>
        <v>45809</v>
      </c>
      <c r="E91" s="10">
        <f t="shared" si="10"/>
        <v>30</v>
      </c>
      <c r="F91" s="241">
        <f>IFERROR(_xlfn.XLOOKUP($A91,Input_Raw!$E:$E,Input_Raw!DC:DC),"")</f>
        <v>11.599999999999998</v>
      </c>
      <c r="G91" s="242"/>
      <c r="H91" s="242"/>
      <c r="I91" s="242"/>
      <c r="J91" s="242"/>
      <c r="K91" s="243"/>
      <c r="L91" s="242"/>
      <c r="M91" s="242">
        <f>IFERROR(_xlfn.XLOOKUP($A91,Input_Raw!$E:$E,Input_Raw!$BM:$BM),"")</f>
        <v>9.5274598295257995</v>
      </c>
      <c r="N91" s="242">
        <f>IFERROR(_xlfn.XLOOKUP($A91,Input_Raw!$E:$E,Input_Raw!$BN:$BN),"")</f>
        <v>10.437448275862067</v>
      </c>
      <c r="O91" s="311">
        <f t="shared" si="11"/>
        <v>0.99690247141320609</v>
      </c>
      <c r="P91" s="311">
        <f>IFERROR(1-SUMIF(WTG_BD!$F:$F,$A91,WTG_BD!$AA:$AA)/($AA91+SUMIF(WTG_BD!$F:$F,$A91,WTG_BD!$AA:$AA)),"")</f>
        <v>1</v>
      </c>
      <c r="Q91" s="328">
        <f>IFERROR(1-SUMIF(IGA_BD!$F:$F,$A91,IGA_BD!$W:$W)/($AA91+SUMIF(IGA_BD!$F:$F,$A91,IGA_BD!$W:$W)),"")</f>
        <v>0.99690247141320609</v>
      </c>
      <c r="R91" s="311">
        <f>IFERROR(1-SUMIF(Grid_BD!$F:$F,$A91,Grid_BD!$Y:$Y)/($AA91+SUMIF(Grid_BD!$F:$F,$A91,Grid_BD!$Y:$Y)),"")</f>
        <v>1</v>
      </c>
      <c r="S91" s="10"/>
      <c r="T91" s="310"/>
      <c r="U91" s="311"/>
      <c r="V91" s="10"/>
      <c r="W91" s="312">
        <f t="shared" si="12"/>
        <v>0.85300312911725984</v>
      </c>
      <c r="X91" s="10">
        <f>IFERROR(_xlfn.XLOOKUP($A91,Input_Raw!$E:$E,Input_Raw!BG:BG),"")</f>
        <v>1035887</v>
      </c>
      <c r="Y91" s="10">
        <f>IFERROR(_xlfn.XLOOKUP($A91,Input_Raw!$E:$E,Input_Raw!DF:DF),"")</f>
        <v>995445.00000001187</v>
      </c>
      <c r="Z91" s="319">
        <f>IFERROR(_xlfn.XLOOKUP(A91,Input_Raw!E:E,Input_Raw!CT:CT)/_xlfn.XLOOKUP(A91,Input_Raw!E:E,Input_Raw!CS:CS)*Table13[[#This Row],[Mtr_Export (kWh)]],"")</f>
        <v>0</v>
      </c>
      <c r="AA91" s="43">
        <f t="shared" si="13"/>
        <v>995445.00000001187</v>
      </c>
      <c r="AB91" s="10">
        <f>IFERROR(_xlfn.XLOOKUP($A91,Input_Raw!$E:$E,Input_Raw!$CZ:$CZ),"")</f>
        <v>50.6</v>
      </c>
      <c r="AC91" s="313">
        <f>IFERROR(_xlfn.XLOOKUP($D91,'Modelling New'!$D:$D,'Modelling New'!$J:$J),"")</f>
        <v>9.4530328665332952</v>
      </c>
      <c r="AD91" s="43">
        <f>IFERROR(_xlfn.XLOOKUP($D91,'Modelling New'!$D:$D,'Modelling New'!$T:$T)*1000,"")</f>
        <v>706540.33333333326</v>
      </c>
      <c r="AE91" s="312"/>
      <c r="AF91" s="312">
        <f>IFERROR(_xlfn.XLOOKUP($D91,'Modelling New'!$D:$D,'Modelling New'!$W:$W),"")</f>
        <v>0.58180198726394394</v>
      </c>
      <c r="AG91" s="312">
        <f>IFERROR(_xlfn.XLOOKUP($D91,'Modelling New'!$D:$D,'Modelling New'!$AE:$AE),"")</f>
        <v>0.95549849999999992</v>
      </c>
      <c r="AH91" s="312">
        <f>IFERROR(_xlfn.XLOOKUP($D91,'Modelling New'!$D:$D,'Modelling New'!$AF:$AF),"")</f>
        <v>0.995</v>
      </c>
      <c r="AI91" s="10">
        <f>IFERROR(_xlfn.XLOOKUP($A91,Input_Raw!$E:$E,Input_Raw!$DG:$DG),"")</f>
        <v>1040.28</v>
      </c>
      <c r="AJ91" s="10"/>
      <c r="AK91" s="10"/>
      <c r="AL91" s="10"/>
      <c r="AM91" s="10"/>
      <c r="AN91" s="314">
        <f>IFERROR(_xlfn.XLOOKUP($A91,Input_Raw!$E:$E,Input_Raw!$CY:$CY),"")</f>
        <v>6.3309776207427504E-3</v>
      </c>
      <c r="AO91" s="312">
        <f>IFERROR((_xlfn.XLOOKUP($A91,'WTG Reactive Power'!$A:$A,'WTG Reactive Power'!AB:AB))/X91,"")</f>
        <v>9.9048351798989673E-2</v>
      </c>
      <c r="AP91" s="312">
        <f>IFERROR(_xlfn.XLOOKUP($D91,'Modelling New'!$D:$D,'Modelling New'!AK:AK),"")</f>
        <v>0.05</v>
      </c>
      <c r="AQ91" s="312">
        <f>IFERROR(_xlfn.XLOOKUP($D91,'Modelling New'!$D:$D,'Modelling New'!AL:AL),"")</f>
        <v>0.05</v>
      </c>
      <c r="AR91" s="325">
        <f>IFERROR(_xlfn.XLOOKUP($D91,'Modelling New'!$D:$D,'Modelling New'!$N:$N),"")</f>
        <v>50.59999999999998</v>
      </c>
      <c r="AS91" s="325"/>
    </row>
    <row r="92" spans="1:45">
      <c r="A92" s="32">
        <f t="shared" si="14"/>
        <v>45835</v>
      </c>
      <c r="B92" s="43">
        <f>YEAR(Table13[[#This Row],[Date]])+IF(MONTH(Table13[[#This Row],[Date]])&gt;=4,1,0)</f>
        <v>2026</v>
      </c>
      <c r="C92" s="10">
        <f>YEAR(Table13[[#This Row],[Date]])</f>
        <v>2025</v>
      </c>
      <c r="D92" s="309">
        <f>Table13[[#This Row],[Date]]-DAY(Table13[[#This Row],[Date]])+1</f>
        <v>45809</v>
      </c>
      <c r="E92" s="10">
        <f t="shared" si="10"/>
        <v>30</v>
      </c>
      <c r="F92" s="241">
        <f>IFERROR(_xlfn.XLOOKUP($A92,Input_Raw!$E:$E,Input_Raw!DC:DC),"")</f>
        <v>12.299999999999999</v>
      </c>
      <c r="G92" s="313"/>
      <c r="H92" s="313"/>
      <c r="I92" s="313"/>
      <c r="J92" s="313"/>
      <c r="K92" s="243"/>
      <c r="L92" s="242"/>
      <c r="M92" s="242">
        <f>IFERROR(_xlfn.XLOOKUP($A92,Input_Raw!$E:$E,Input_Raw!$BM:$BM),"")</f>
        <v>9.304347826086957</v>
      </c>
      <c r="N92" s="242">
        <f>IFERROR(_xlfn.XLOOKUP($A92,Input_Raw!$E:$E,Input_Raw!$BN:$BN),"")</f>
        <v>10.1</v>
      </c>
      <c r="O92" s="311">
        <f t="shared" si="11"/>
        <v>0.78048950496013059</v>
      </c>
      <c r="P92" s="311">
        <f>IFERROR(1-SUMIF(WTG_BD!$F:$F,$A92,WTG_BD!$AA:$AA)/($AA92+SUMIF(WTG_BD!$F:$F,$A92,WTG_BD!$AA:$AA)),"")</f>
        <v>1</v>
      </c>
      <c r="Q92" s="328">
        <f>IFERROR(1-SUMIF(IGA_BD!$F:$F,$A92,IGA_BD!$W:$W)/($AA92+SUMIF(IGA_BD!$F:$F,$A92,IGA_BD!$W:$W)),"")</f>
        <v>0.78048950496013059</v>
      </c>
      <c r="R92" s="47">
        <f>IFERROR(1-SUMIF(Grid_BD!$F:$F,$A92,Grid_BD!$Y:$Y)/($AA92+SUMIF(Grid_BD!$F:$F,$A92,Grid_BD!$Y:$Y)),"")</f>
        <v>1</v>
      </c>
      <c r="S92" s="10"/>
      <c r="T92" s="310"/>
      <c r="U92" s="311"/>
      <c r="V92" s="10"/>
      <c r="W92" s="312">
        <f t="shared" si="12"/>
        <v>0.63339871541501991</v>
      </c>
      <c r="X92" s="10">
        <f>IFERROR(_xlfn.XLOOKUP($A92,Input_Raw!$E:$E,Input_Raw!BG:BG),"")</f>
        <v>769199.39999999991</v>
      </c>
      <c r="Y92" s="10">
        <f>IFERROR(_xlfn.XLOOKUP($A92,Input_Raw!$E:$E,Input_Raw!DF:DF),"")</f>
        <v>739034.99999999744</v>
      </c>
      <c r="Z92" s="319">
        <f>IFERROR(_xlfn.XLOOKUP(A92,Input_Raw!E:E,Input_Raw!CT:CT)/_xlfn.XLOOKUP(A92,Input_Raw!E:E,Input_Raw!CS:CS)*Table13[[#This Row],[Mtr_Export (kWh)]],"")</f>
        <v>869.45294117647404</v>
      </c>
      <c r="AA92" s="43">
        <f t="shared" si="13"/>
        <v>738165.54705882096</v>
      </c>
      <c r="AB92" s="10">
        <f>IFERROR(_xlfn.XLOOKUP($A92,Input_Raw!$E:$E,Input_Raw!$CZ:$CZ),"")</f>
        <v>50.6</v>
      </c>
      <c r="AC92" s="313">
        <f>IFERROR(_xlfn.XLOOKUP($D92,'Modelling New'!$D:$D,'Modelling New'!$J:$J),"")</f>
        <v>9.4530328665332952</v>
      </c>
      <c r="AD92" s="43">
        <f>IFERROR(_xlfn.XLOOKUP($D92,'Modelling New'!$D:$D,'Modelling New'!$T:$T)*1000,"")</f>
        <v>706540.33333333326</v>
      </c>
      <c r="AE92" s="312"/>
      <c r="AF92" s="312">
        <f>IFERROR(_xlfn.XLOOKUP($D92,'Modelling New'!$D:$D,'Modelling New'!$W:$W),"")</f>
        <v>0.58180198726394394</v>
      </c>
      <c r="AG92" s="312">
        <f>IFERROR(_xlfn.XLOOKUP($D92,'Modelling New'!$D:$D,'Modelling New'!$AE:$AE),"")</f>
        <v>0.95549849999999992</v>
      </c>
      <c r="AH92" s="312">
        <f>IFERROR(_xlfn.XLOOKUP($D92,'Modelling New'!$D:$D,'Modelling New'!$AF:$AF),"")</f>
        <v>0.995</v>
      </c>
      <c r="AI92" s="10">
        <f>IFERROR(_xlfn.XLOOKUP($A92,Input_Raw!$E:$E,Input_Raw!$DG:$DG),"")</f>
        <v>787.8</v>
      </c>
      <c r="AJ92" s="10"/>
      <c r="AK92" s="10"/>
      <c r="AL92" s="10"/>
      <c r="AM92" s="10"/>
      <c r="AN92" s="314">
        <f>IFERROR(_xlfn.XLOOKUP($A92,Input_Raw!$E:$E,Input_Raw!$CY:$CY),"")</f>
        <v>9.7287735848503587E-3</v>
      </c>
      <c r="AO92" s="312">
        <f>IFERROR((_xlfn.XLOOKUP($A92,'WTG Reactive Power'!$A:$A,'WTG Reactive Power'!AB:AB))/X92,"")</f>
        <v>4.2182690210106781E-2</v>
      </c>
      <c r="AP92" s="312">
        <f>IFERROR(_xlfn.XLOOKUP($D92,'Modelling New'!$D:$D,'Modelling New'!AK:AK),"")</f>
        <v>0.05</v>
      </c>
      <c r="AQ92" s="312">
        <f>IFERROR(_xlfn.XLOOKUP($D92,'Modelling New'!$D:$D,'Modelling New'!AL:AL),"")</f>
        <v>0.05</v>
      </c>
      <c r="AR92" s="325">
        <f>IFERROR(_xlfn.XLOOKUP($D92,'Modelling New'!$D:$D,'Modelling New'!$N:$N),"")</f>
        <v>50.59999999999998</v>
      </c>
      <c r="AS92" s="325"/>
    </row>
    <row r="93" spans="1:45">
      <c r="A93" s="32">
        <f t="shared" si="14"/>
        <v>45836</v>
      </c>
      <c r="B93" s="43">
        <f>YEAR(Table13[[#This Row],[Date]])+IF(MONTH(Table13[[#This Row],[Date]])&gt;=4,1,0)</f>
        <v>2026</v>
      </c>
      <c r="C93" s="10">
        <f>YEAR(Table13[[#This Row],[Date]])</f>
        <v>2025</v>
      </c>
      <c r="D93" s="309">
        <f>Table13[[#This Row],[Date]]-DAY(Table13[[#This Row],[Date]])+1</f>
        <v>45809</v>
      </c>
      <c r="E93" s="10">
        <f t="shared" si="10"/>
        <v>30</v>
      </c>
      <c r="F93" s="241">
        <f>IFERROR(_xlfn.XLOOKUP($A93,Input_Raw!$E:$E,Input_Raw!DC:DC),"")</f>
        <v>12.433333333333332</v>
      </c>
      <c r="G93" s="242"/>
      <c r="H93" s="242"/>
      <c r="I93" s="242"/>
      <c r="J93" s="242"/>
      <c r="K93" s="243"/>
      <c r="L93" s="242"/>
      <c r="M93" s="242">
        <f>IFERROR(_xlfn.XLOOKUP($A93,Input_Raw!$E:$E,Input_Raw!$BM:$BM),"")</f>
        <v>8.3695652173913064</v>
      </c>
      <c r="N93" s="242">
        <f>IFERROR(_xlfn.XLOOKUP($A93,Input_Raw!$E:$E,Input_Raw!$BN:$BN),"")</f>
        <v>9.1999999999999993</v>
      </c>
      <c r="O93" s="311">
        <f t="shared" si="11"/>
        <v>0.93830091230063484</v>
      </c>
      <c r="P93" s="311">
        <f>IFERROR(1-SUMIF(WTG_BD!$F:$F,$A93,WTG_BD!$AA:$AA)/($AA93+SUMIF(WTG_BD!$F:$F,$A93,WTG_BD!$AA:$AA)),"")</f>
        <v>0.97907034688962091</v>
      </c>
      <c r="Q93" s="328">
        <f>IFERROR(1-SUMIF(IGA_BD!$F:$F,$A93,IGA_BD!$W:$W)/($AA93+SUMIF(IGA_BD!$F:$F,$A93,IGA_BD!$W:$W)),"")</f>
        <v>0.95835903444680426</v>
      </c>
      <c r="R93" s="311">
        <f>IFERROR(1-SUMIF(Grid_BD!$F:$F,$A93,Grid_BD!$Y:$Y)/($AA93+SUMIF(Grid_BD!$F:$F,$A93,Grid_BD!$Y:$Y)),"")</f>
        <v>1</v>
      </c>
      <c r="S93" s="10"/>
      <c r="T93" s="310"/>
      <c r="U93" s="311"/>
      <c r="V93" s="10"/>
      <c r="W93" s="312">
        <f t="shared" si="12"/>
        <v>0.63224143610013195</v>
      </c>
      <c r="X93" s="10">
        <f>IFERROR(_xlfn.XLOOKUP($A93,Input_Raw!$E:$E,Input_Raw!BG:BG),"")</f>
        <v>767794</v>
      </c>
      <c r="Y93" s="10">
        <f>IFERROR(_xlfn.XLOOKUP($A93,Input_Raw!$E:$E,Input_Raw!DF:DF),"")</f>
        <v>742664.99999999604</v>
      </c>
      <c r="Z93" s="319">
        <f>IFERROR(_xlfn.XLOOKUP(A93,Input_Raw!E:E,Input_Raw!CT:CT)/_xlfn.XLOOKUP(A93,Input_Raw!E:E,Input_Raw!CS:CS)*Table13[[#This Row],[Mtr_Export (kWh)]],"")</f>
        <v>0</v>
      </c>
      <c r="AA93" s="43">
        <f t="shared" si="13"/>
        <v>742664.99999999604</v>
      </c>
      <c r="AB93" s="10">
        <f>IFERROR(_xlfn.XLOOKUP($A93,Input_Raw!$E:$E,Input_Raw!$CZ:$CZ),"")</f>
        <v>50.6</v>
      </c>
      <c r="AC93" s="313">
        <f>IFERROR(_xlfn.XLOOKUP($D93,'Modelling New'!$D:$D,'Modelling New'!$J:$J),"")</f>
        <v>9.4530328665332952</v>
      </c>
      <c r="AD93" s="43">
        <f>IFERROR(_xlfn.XLOOKUP($D93,'Modelling New'!$D:$D,'Modelling New'!$T:$T)*1000,"")</f>
        <v>706540.33333333326</v>
      </c>
      <c r="AE93" s="312"/>
      <c r="AF93" s="312">
        <f>IFERROR(_xlfn.XLOOKUP($D93,'Modelling New'!$D:$D,'Modelling New'!$W:$W),"")</f>
        <v>0.58180198726394394</v>
      </c>
      <c r="AG93" s="312">
        <f>IFERROR(_xlfn.XLOOKUP($D93,'Modelling New'!$D:$D,'Modelling New'!$AE:$AE),"")</f>
        <v>0.95549849999999992</v>
      </c>
      <c r="AH93" s="312">
        <f>IFERROR(_xlfn.XLOOKUP($D93,'Modelling New'!$D:$D,'Modelling New'!$AF:$AF),"")</f>
        <v>0.995</v>
      </c>
      <c r="AI93" s="10">
        <f>IFERROR(_xlfn.XLOOKUP($A93,Input_Raw!$E:$E,Input_Raw!$DG:$DG),"")</f>
        <v>771.89</v>
      </c>
      <c r="AJ93" s="10"/>
      <c r="AK93" s="10"/>
      <c r="AL93" s="10"/>
      <c r="AM93" s="10"/>
      <c r="AN93" s="314">
        <f>IFERROR(_xlfn.XLOOKUP($A93,Input_Raw!$E:$E,Input_Raw!$CY:$CY),"")</f>
        <v>1.0901162790748486E-2</v>
      </c>
      <c r="AO93" s="312">
        <f>IFERROR((_xlfn.XLOOKUP($A93,'WTG Reactive Power'!$A:$A,'WTG Reactive Power'!AB:AB))/X93,"")</f>
        <v>1.5870663224771233E-2</v>
      </c>
      <c r="AP93" s="312">
        <f>IFERROR(_xlfn.XLOOKUP($D93,'Modelling New'!$D:$D,'Modelling New'!AK:AK),"")</f>
        <v>0.05</v>
      </c>
      <c r="AQ93" s="312">
        <f>IFERROR(_xlfn.XLOOKUP($D93,'Modelling New'!$D:$D,'Modelling New'!AL:AL),"")</f>
        <v>0.05</v>
      </c>
      <c r="AR93" s="325">
        <f>IFERROR(_xlfn.XLOOKUP($D93,'Modelling New'!$D:$D,'Modelling New'!$N:$N),"")</f>
        <v>50.59999999999998</v>
      </c>
      <c r="AS93" s="325"/>
    </row>
    <row r="94" spans="1:45">
      <c r="A94" s="32">
        <f t="shared" si="14"/>
        <v>45837</v>
      </c>
      <c r="B94" s="43">
        <f>YEAR(Table13[[#This Row],[Date]])+IF(MONTH(Table13[[#This Row],[Date]])&gt;=4,1,0)</f>
        <v>2026</v>
      </c>
      <c r="C94" s="10">
        <f>YEAR(Table13[[#This Row],[Date]])</f>
        <v>2025</v>
      </c>
      <c r="D94" s="309">
        <f>Table13[[#This Row],[Date]]-DAY(Table13[[#This Row],[Date]])+1</f>
        <v>45809</v>
      </c>
      <c r="E94" s="10">
        <f t="shared" si="10"/>
        <v>30</v>
      </c>
      <c r="F94" s="241">
        <f>IFERROR(_xlfn.XLOOKUP($A94,Input_Raw!$E:$E,Input_Raw!DC:DC),"")</f>
        <v>12.05</v>
      </c>
      <c r="G94" s="313"/>
      <c r="H94" s="313"/>
      <c r="I94" s="313"/>
      <c r="J94" s="313"/>
      <c r="K94" s="243"/>
      <c r="L94" s="242"/>
      <c r="M94" s="242">
        <f>IFERROR(_xlfn.XLOOKUP($A94,Input_Raw!$E:$E,Input_Raw!$BM:$BM),"")</f>
        <v>9.5043478260869563</v>
      </c>
      <c r="N94" s="242">
        <f>IFERROR(_xlfn.XLOOKUP($A94,Input_Raw!$E:$E,Input_Raw!$BN:$BN),"")</f>
        <v>10.4</v>
      </c>
      <c r="O94" s="311">
        <f t="shared" si="11"/>
        <v>0.98267903647707899</v>
      </c>
      <c r="P94" s="311">
        <f>IFERROR(1-SUMIF(WTG_BD!$F:$F,$A94,WTG_BD!$AA:$AA)/($AA94+SUMIF(WTG_BD!$F:$F,$A94,WTG_BD!$AA:$AA)),"")</f>
        <v>0.98608776431036027</v>
      </c>
      <c r="Q94" s="328">
        <f>IFERROR(1-SUMIF(IGA_BD!$F:$F,$A94,IGA_BD!$W:$W)/($AA94+SUMIF(IGA_BD!$F:$F,$A94,IGA_BD!$W:$W)),"")</f>
        <v>0.9965431800731599</v>
      </c>
      <c r="R94" s="47">
        <f>IFERROR(1-SUMIF(Grid_BD!$F:$F,$A94,Grid_BD!$Y:$Y)/($AA94+SUMIF(Grid_BD!$F:$F,$A94,Grid_BD!$Y:$Y)),"")</f>
        <v>1</v>
      </c>
      <c r="S94" s="10"/>
      <c r="T94" s="310"/>
      <c r="U94" s="311"/>
      <c r="V94" s="10"/>
      <c r="W94" s="312">
        <f t="shared" si="12"/>
        <v>0.76048970685112016</v>
      </c>
      <c r="X94" s="10">
        <f>IFERROR(_xlfn.XLOOKUP($A94,Input_Raw!$E:$E,Input_Raw!BG:BG),"")</f>
        <v>923538.7</v>
      </c>
      <c r="Y94" s="10">
        <f>IFERROR(_xlfn.XLOOKUP($A94,Input_Raw!$E:$E,Input_Raw!DF:DF),"")</f>
        <v>891660.00000000873</v>
      </c>
      <c r="Z94" s="319">
        <f>IFERROR(_xlfn.XLOOKUP(A94,Input_Raw!E:E,Input_Raw!CT:CT)/_xlfn.XLOOKUP(A94,Input_Raw!E:E,Input_Raw!CS:CS)*Table13[[#This Row],[Mtr_Export (kWh)]],"")</f>
        <v>0</v>
      </c>
      <c r="AA94" s="43">
        <f t="shared" si="13"/>
        <v>891660.00000000873</v>
      </c>
      <c r="AB94" s="10">
        <f>IFERROR(_xlfn.XLOOKUP($A94,Input_Raw!$E:$E,Input_Raw!$CZ:$CZ),"")</f>
        <v>50.6</v>
      </c>
      <c r="AC94" s="313">
        <f>IFERROR(_xlfn.XLOOKUP($D94,'Modelling New'!$D:$D,'Modelling New'!$J:$J),"")</f>
        <v>9.4530328665332952</v>
      </c>
      <c r="AD94" s="43">
        <f>IFERROR(_xlfn.XLOOKUP($D94,'Modelling New'!$D:$D,'Modelling New'!$T:$T)*1000,"")</f>
        <v>706540.33333333326</v>
      </c>
      <c r="AE94" s="312"/>
      <c r="AF94" s="312">
        <f>IFERROR(_xlfn.XLOOKUP($D94,'Modelling New'!$D:$D,'Modelling New'!$W:$W),"")</f>
        <v>0.58180198726394394</v>
      </c>
      <c r="AG94" s="312">
        <f>IFERROR(_xlfn.XLOOKUP($D94,'Modelling New'!$D:$D,'Modelling New'!$AE:$AE),"")</f>
        <v>0.95549849999999992</v>
      </c>
      <c r="AH94" s="312">
        <f>IFERROR(_xlfn.XLOOKUP($D94,'Modelling New'!$D:$D,'Modelling New'!$AF:$AF),"")</f>
        <v>0.995</v>
      </c>
      <c r="AI94" s="10">
        <f>IFERROR(_xlfn.XLOOKUP($A94,Input_Raw!$E:$E,Input_Raw!$DG:$DG),"")</f>
        <v>926.53</v>
      </c>
      <c r="AJ94" s="10"/>
      <c r="AK94" s="10"/>
      <c r="AL94" s="10"/>
      <c r="AM94" s="10"/>
      <c r="AN94" s="314">
        <f>IFERROR(_xlfn.XLOOKUP($A94,Input_Raw!$E:$E,Input_Raw!$CY:$CY),"")</f>
        <v>5.2083333332952897E-3</v>
      </c>
      <c r="AO94" s="312">
        <f>IFERROR((_xlfn.XLOOKUP($A94,'WTG Reactive Power'!$A:$A,'WTG Reactive Power'!AB:AB))/X94,"")</f>
        <v>1.562468362181249E-4</v>
      </c>
      <c r="AP94" s="312">
        <f>IFERROR(_xlfn.XLOOKUP($D94,'Modelling New'!$D:$D,'Modelling New'!AK:AK),"")</f>
        <v>0.05</v>
      </c>
      <c r="AQ94" s="312">
        <f>IFERROR(_xlfn.XLOOKUP($D94,'Modelling New'!$D:$D,'Modelling New'!AL:AL),"")</f>
        <v>0.05</v>
      </c>
      <c r="AR94" s="325">
        <f>IFERROR(_xlfn.XLOOKUP($D94,'Modelling New'!$D:$D,'Modelling New'!$N:$N),"")</f>
        <v>50.59999999999998</v>
      </c>
      <c r="AS94" s="325"/>
    </row>
    <row r="95" spans="1:45">
      <c r="A95" s="32">
        <f t="shared" si="14"/>
        <v>45838</v>
      </c>
      <c r="B95" s="43">
        <f>YEAR(Table13[[#This Row],[Date]])+IF(MONTH(Table13[[#This Row],[Date]])&gt;=4,1,0)</f>
        <v>2026</v>
      </c>
      <c r="C95" s="10">
        <f>YEAR(Table13[[#This Row],[Date]])</f>
        <v>2025</v>
      </c>
      <c r="D95" s="309">
        <f>Table13[[#This Row],[Date]]-DAY(Table13[[#This Row],[Date]])+1</f>
        <v>45809</v>
      </c>
      <c r="E95" s="10">
        <f t="shared" si="10"/>
        <v>30</v>
      </c>
      <c r="F95" s="241">
        <f>IFERROR(_xlfn.XLOOKUP($A95,Input_Raw!$E:$E,Input_Raw!DC:DC),"")</f>
        <v>12.116666666666669</v>
      </c>
      <c r="G95" s="242"/>
      <c r="H95" s="242"/>
      <c r="I95" s="242"/>
      <c r="J95" s="242"/>
      <c r="K95" s="243"/>
      <c r="L95" s="242"/>
      <c r="M95" s="242">
        <f>IFERROR(_xlfn.XLOOKUP($A95,Input_Raw!$E:$E,Input_Raw!$BM:$BM),"")</f>
        <v>10.039130434782608</v>
      </c>
      <c r="N95" s="242">
        <f>IFERROR(_xlfn.XLOOKUP($A95,Input_Raw!$E:$E,Input_Raw!$BN:$BN),"")</f>
        <v>10.9</v>
      </c>
      <c r="O95" s="311">
        <f t="shared" si="11"/>
        <v>1</v>
      </c>
      <c r="P95" s="311">
        <f>IFERROR(1-SUMIF(WTG_BD!$F:$F,$A95,WTG_BD!$AA:$AA)/($AA95+SUMIF(WTG_BD!$F:$F,$A95,WTG_BD!$AA:$AA)),"")</f>
        <v>1</v>
      </c>
      <c r="Q95" s="328">
        <f>IFERROR(1-SUMIF(IGA_BD!$F:$F,$A95,IGA_BD!$W:$W)/($AA95+SUMIF(IGA_BD!$F:$F,$A95,IGA_BD!$W:$W)),"")</f>
        <v>1</v>
      </c>
      <c r="R95" s="311">
        <f>IFERROR(1-SUMIF(Grid_BD!$F:$F,$A95,Grid_BD!$Y:$Y)/($AA95+SUMIF(Grid_BD!$F:$F,$A95,Grid_BD!$Y:$Y)),"")</f>
        <v>1</v>
      </c>
      <c r="S95" s="10"/>
      <c r="T95" s="310"/>
      <c r="U95" s="311"/>
      <c r="V95" s="10"/>
      <c r="W95" s="312">
        <f t="shared" si="12"/>
        <v>0.82615925559947345</v>
      </c>
      <c r="X95" s="10">
        <f>IFERROR(_xlfn.XLOOKUP($A95,Input_Raw!$E:$E,Input_Raw!BG:BG),"")</f>
        <v>1003287.8000000002</v>
      </c>
      <c r="Y95" s="10">
        <f>IFERROR(_xlfn.XLOOKUP($A95,Input_Raw!$E:$E,Input_Raw!DF:DF),"")</f>
        <v>968054.99999998428</v>
      </c>
      <c r="Z95" s="319">
        <f>IFERROR(_xlfn.XLOOKUP(A95,Input_Raw!E:E,Input_Raw!CT:CT)/_xlfn.XLOOKUP(A95,Input_Raw!E:E,Input_Raw!CS:CS)*Table13[[#This Row],[Mtr_Export (kWh)]],"")</f>
        <v>0</v>
      </c>
      <c r="AA95" s="43">
        <f t="shared" si="13"/>
        <v>968054.99999998428</v>
      </c>
      <c r="AB95" s="10">
        <f>IFERROR(_xlfn.XLOOKUP($A95,Input_Raw!$E:$E,Input_Raw!$CZ:$CZ),"")</f>
        <v>50.6</v>
      </c>
      <c r="AC95" s="313">
        <f>IFERROR(_xlfn.XLOOKUP($D95,'Modelling New'!$D:$D,'Modelling New'!$J:$J),"")</f>
        <v>9.4530328665332952</v>
      </c>
      <c r="AD95" s="43">
        <f>IFERROR(_xlfn.XLOOKUP($D95,'Modelling New'!$D:$D,'Modelling New'!$T:$T)*1000,"")</f>
        <v>706540.33333333326</v>
      </c>
      <c r="AE95" s="312"/>
      <c r="AF95" s="312">
        <f>IFERROR(_xlfn.XLOOKUP($D95,'Modelling New'!$D:$D,'Modelling New'!$W:$W),"")</f>
        <v>0.58180198726394394</v>
      </c>
      <c r="AG95" s="312">
        <f>IFERROR(_xlfn.XLOOKUP($D95,'Modelling New'!$D:$D,'Modelling New'!$AE:$AE),"")</f>
        <v>0.95549849999999992</v>
      </c>
      <c r="AH95" s="312">
        <f>IFERROR(_xlfn.XLOOKUP($D95,'Modelling New'!$D:$D,'Modelling New'!$AF:$AF),"")</f>
        <v>0.995</v>
      </c>
      <c r="AI95" s="10">
        <f>IFERROR(_xlfn.XLOOKUP($A95,Input_Raw!$E:$E,Input_Raw!$DG:$DG),"")</f>
        <v>1003.29</v>
      </c>
      <c r="AJ95" s="10"/>
      <c r="AK95" s="10"/>
      <c r="AL95" s="10"/>
      <c r="AM95" s="10"/>
      <c r="AN95" s="314">
        <f>IFERROR(_xlfn.XLOOKUP($A95,Input_Raw!$E:$E,Input_Raw!$CY:$CY),"")</f>
        <v>4.8171936758889533E-3</v>
      </c>
      <c r="AO95" s="312">
        <f>IFERROR((_xlfn.XLOOKUP($A95,'WTG Reactive Power'!$A:$A,'WTG Reactive Power'!AB:AB))/X95,"")</f>
        <v>3.5216814158409979E-2</v>
      </c>
      <c r="AP95" s="312">
        <f>IFERROR(_xlfn.XLOOKUP($D95,'Modelling New'!$D:$D,'Modelling New'!AK:AK),"")</f>
        <v>0.05</v>
      </c>
      <c r="AQ95" s="312">
        <f>IFERROR(_xlfn.XLOOKUP($D95,'Modelling New'!$D:$D,'Modelling New'!AL:AL),"")</f>
        <v>0.05</v>
      </c>
      <c r="AR95" s="325">
        <f>IFERROR(_xlfn.XLOOKUP($D95,'Modelling New'!$D:$D,'Modelling New'!$N:$N),"")</f>
        <v>50.59999999999998</v>
      </c>
      <c r="AS95" s="325"/>
    </row>
    <row r="96" spans="1:45">
      <c r="A96" s="32">
        <f t="shared" si="14"/>
        <v>45839</v>
      </c>
      <c r="B96" s="43">
        <f>YEAR(Table13[[#This Row],[Date]])+IF(MONTH(Table13[[#This Row],[Date]])&gt;=4,1,0)</f>
        <v>2026</v>
      </c>
      <c r="C96" s="10">
        <f>YEAR(Table13[[#This Row],[Date]])</f>
        <v>2025</v>
      </c>
      <c r="D96" s="309">
        <f>Table13[[#This Row],[Date]]-DAY(Table13[[#This Row],[Date]])+1</f>
        <v>45839</v>
      </c>
      <c r="E96" s="10">
        <f t="shared" si="10"/>
        <v>31</v>
      </c>
      <c r="F96" s="241">
        <f>IFERROR(_xlfn.XLOOKUP($A96,Input_Raw!$E:$E,Input_Raw!DC:DC),"")</f>
        <v>12.083333333333336</v>
      </c>
      <c r="G96" s="313"/>
      <c r="H96" s="313"/>
      <c r="I96" s="313"/>
      <c r="J96" s="313"/>
      <c r="K96" s="243"/>
      <c r="L96" s="242"/>
      <c r="M96" s="242">
        <f>IFERROR(_xlfn.XLOOKUP($A96,Input_Raw!$E:$E,Input_Raw!$BM:$BM),"")</f>
        <v>9.0608695652173896</v>
      </c>
      <c r="N96" s="242">
        <f>IFERROR(_xlfn.XLOOKUP($A96,Input_Raw!$E:$E,Input_Raw!$BN:$BN),"")</f>
        <v>9.9</v>
      </c>
      <c r="O96" s="311">
        <f t="shared" si="11"/>
        <v>0.99967516461947936</v>
      </c>
      <c r="P96" s="311">
        <f>IFERROR(1-SUMIF(WTG_BD!$F:$F,$A96,WTG_BD!$AA:$AA)/($AA96+SUMIF(WTG_BD!$F:$F,$A96,WTG_BD!$AA:$AA)),"")</f>
        <v>0.99967516461947936</v>
      </c>
      <c r="Q96" s="328">
        <f>IFERROR(1-SUMIF(IGA_BD!$F:$F,$A96,IGA_BD!$W:$W)/($AA96+SUMIF(IGA_BD!$F:$F,$A96,IGA_BD!$W:$W)),"")</f>
        <v>1</v>
      </c>
      <c r="R96" s="47">
        <f>IFERROR(1-SUMIF(Grid_BD!$F:$F,$A96,Grid_BD!$Y:$Y)/($AA96+SUMIF(Grid_BD!$F:$F,$A96,Grid_BD!$Y:$Y)),"")</f>
        <v>1</v>
      </c>
      <c r="S96" s="10"/>
      <c r="T96" s="310"/>
      <c r="U96" s="311"/>
      <c r="V96" s="10"/>
      <c r="W96" s="312">
        <f t="shared" si="12"/>
        <v>0.7462430006587617</v>
      </c>
      <c r="X96" s="10">
        <f>IFERROR(_xlfn.XLOOKUP($A96,Input_Raw!$E:$E,Input_Raw!BG:BG),"")</f>
        <v>906237.49999999988</v>
      </c>
      <c r="Y96" s="10">
        <f>IFERROR(_xlfn.XLOOKUP($A96,Input_Raw!$E:$E,Input_Raw!DF:DF),"")</f>
        <v>874005.0000000135</v>
      </c>
      <c r="Z96" s="319">
        <f>IFERROR(_xlfn.XLOOKUP(A96,Input_Raw!E:E,Input_Raw!CT:CT)/_xlfn.XLOOKUP(A96,Input_Raw!E:E,Input_Raw!CS:CS)*Table13[[#This Row],[Mtr_Export (kWh)]],"")</f>
        <v>0</v>
      </c>
      <c r="AA96" s="43">
        <f t="shared" si="13"/>
        <v>874005.0000000135</v>
      </c>
      <c r="AB96" s="10">
        <f>IFERROR(_xlfn.XLOOKUP($A96,Input_Raw!$E:$E,Input_Raw!$CZ:$CZ),"")</f>
        <v>50.6</v>
      </c>
      <c r="AC96" s="313">
        <f>IFERROR(_xlfn.XLOOKUP($D96,'Modelling New'!$D:$D,'Modelling New'!$J:$J),"")</f>
        <v>10.303759359817088</v>
      </c>
      <c r="AD96" s="43">
        <f>IFERROR(_xlfn.XLOOKUP($D96,'Modelling New'!$D:$D,'Modelling New'!$T:$T)*1000,"")</f>
        <v>815983.22580645164</v>
      </c>
      <c r="AE96" s="312"/>
      <c r="AF96" s="312">
        <f>IFERROR(_xlfn.XLOOKUP($D96,'Modelling New'!$D:$D,'Modelling New'!$W:$W),"")</f>
        <v>0.6719229461515579</v>
      </c>
      <c r="AG96" s="312">
        <f>IFERROR(_xlfn.XLOOKUP($D96,'Modelling New'!$D:$D,'Modelling New'!$AE:$AE),"")</f>
        <v>0.95549849999999992</v>
      </c>
      <c r="AH96" s="312">
        <f>IFERROR(_xlfn.XLOOKUP($D96,'Modelling New'!$D:$D,'Modelling New'!$AF:$AF),"")</f>
        <v>0.995</v>
      </c>
      <c r="AI96" s="10">
        <f>IFERROR(_xlfn.XLOOKUP($A96,Input_Raw!$E:$E,Input_Raw!$DG:$DG),"")</f>
        <v>906.23</v>
      </c>
      <c r="AJ96" s="10"/>
      <c r="AK96" s="10"/>
      <c r="AL96" s="10"/>
      <c r="AM96" s="10"/>
      <c r="AN96" s="314">
        <f>IFERROR(_xlfn.XLOOKUP($A96,Input_Raw!$E:$E,Input_Raw!$CY:$CY),"")</f>
        <v>1.4524647887353304E-2</v>
      </c>
      <c r="AO96" s="312">
        <f>IFERROR((_xlfn.XLOOKUP($A96,'WTG Reactive Power'!$A:$A,'WTG Reactive Power'!AB:AB))/X96,"")</f>
        <v>2.6569856135946705E-2</v>
      </c>
      <c r="AP96" s="312">
        <f>IFERROR(_xlfn.XLOOKUP($D96,'Modelling New'!$D:$D,'Modelling New'!AK:AK),"")</f>
        <v>0.05</v>
      </c>
      <c r="AQ96" s="312">
        <f>IFERROR(_xlfn.XLOOKUP($D96,'Modelling New'!$D:$D,'Modelling New'!AL:AL),"")</f>
        <v>0.05</v>
      </c>
      <c r="AR96" s="325">
        <f>IFERROR(_xlfn.XLOOKUP($D96,'Modelling New'!$D:$D,'Modelling New'!$N:$N),"")</f>
        <v>50.59999999999998</v>
      </c>
      <c r="AS96" s="325"/>
    </row>
    <row r="97" spans="1:45">
      <c r="A97" s="32">
        <f t="shared" si="14"/>
        <v>45840</v>
      </c>
      <c r="B97" s="43">
        <f>YEAR(Table13[[#This Row],[Date]])+IF(MONTH(Table13[[#This Row],[Date]])&gt;=4,1,0)</f>
        <v>2026</v>
      </c>
      <c r="C97" s="10">
        <f>YEAR(Table13[[#This Row],[Date]])</f>
        <v>2025</v>
      </c>
      <c r="D97" s="309">
        <f>Table13[[#This Row],[Date]]-DAY(Table13[[#This Row],[Date]])+1</f>
        <v>45839</v>
      </c>
      <c r="E97" s="10">
        <f t="shared" si="10"/>
        <v>31</v>
      </c>
      <c r="F97" s="241">
        <f>IFERROR(_xlfn.XLOOKUP($A97,Input_Raw!$E:$E,Input_Raw!DC:DC),"")</f>
        <v>12.083333333333336</v>
      </c>
      <c r="G97" s="242"/>
      <c r="H97" s="242"/>
      <c r="I97" s="242"/>
      <c r="J97" s="242"/>
      <c r="K97" s="243"/>
      <c r="L97" s="242"/>
      <c r="M97" s="242">
        <f>IFERROR(_xlfn.XLOOKUP($A97,Input_Raw!$E:$E,Input_Raw!$BM:$BM),"")</f>
        <v>8.8000000000000007</v>
      </c>
      <c r="N97" s="242">
        <f>IFERROR(_xlfn.XLOOKUP($A97,Input_Raw!$E:$E,Input_Raw!$BN:$BN),"")</f>
        <v>9.5</v>
      </c>
      <c r="O97" s="311">
        <f t="shared" si="11"/>
        <v>0.99964993348736264</v>
      </c>
      <c r="P97" s="311">
        <f>IFERROR(1-SUMIF(WTG_BD!$F:$F,$A97,WTG_BD!$AA:$AA)/($AA97+SUMIF(WTG_BD!$F:$F,$A97,WTG_BD!$AA:$AA)),"")</f>
        <v>0.99964993348736264</v>
      </c>
      <c r="Q97" s="328">
        <f>IFERROR(1-SUMIF(IGA_BD!$F:$F,$A97,IGA_BD!$W:$W)/($AA97+SUMIF(IGA_BD!$F:$F,$A97,IGA_BD!$W:$W)),"")</f>
        <v>1</v>
      </c>
      <c r="R97" s="311">
        <f>IFERROR(1-SUMIF(Grid_BD!$F:$F,$A97,Grid_BD!$Y:$Y)/($AA97+SUMIF(Grid_BD!$F:$F,$A97,Grid_BD!$Y:$Y)),"")</f>
        <v>1</v>
      </c>
      <c r="S97" s="10"/>
      <c r="T97" s="310"/>
      <c r="U97" s="311"/>
      <c r="V97" s="10"/>
      <c r="W97" s="312">
        <f t="shared" si="12"/>
        <v>0.72941123188405821</v>
      </c>
      <c r="X97" s="10">
        <f>IFERROR(_xlfn.XLOOKUP($A97,Input_Raw!$E:$E,Input_Raw!BG:BG),"")</f>
        <v>885797</v>
      </c>
      <c r="Y97" s="10">
        <f>IFERROR(_xlfn.XLOOKUP($A97,Input_Raw!$E:$E,Input_Raw!DF:DF),"")</f>
        <v>856680.00000000116</v>
      </c>
      <c r="Z97" s="319">
        <f>IFERROR(_xlfn.XLOOKUP(A97,Input_Raw!E:E,Input_Raw!CT:CT)/_xlfn.XLOOKUP(A97,Input_Raw!E:E,Input_Raw!CS:CS)*Table13[[#This Row],[Mtr_Export (kWh)]],"")</f>
        <v>0</v>
      </c>
      <c r="AA97" s="43">
        <f t="shared" si="13"/>
        <v>856680.00000000116</v>
      </c>
      <c r="AB97" s="10">
        <f>IFERROR(_xlfn.XLOOKUP($A97,Input_Raw!$E:$E,Input_Raw!$CZ:$CZ),"")</f>
        <v>50.6</v>
      </c>
      <c r="AC97" s="313">
        <f>IFERROR(_xlfn.XLOOKUP($D97,'Modelling New'!$D:$D,'Modelling New'!$J:$J),"")</f>
        <v>10.303759359817088</v>
      </c>
      <c r="AD97" s="43">
        <f>IFERROR(_xlfn.XLOOKUP($D97,'Modelling New'!$D:$D,'Modelling New'!$T:$T)*1000,"")</f>
        <v>815983.22580645164</v>
      </c>
      <c r="AE97" s="312"/>
      <c r="AF97" s="312">
        <f>IFERROR(_xlfn.XLOOKUP($D97,'Modelling New'!$D:$D,'Modelling New'!$W:$W),"")</f>
        <v>0.6719229461515579</v>
      </c>
      <c r="AG97" s="312">
        <f>IFERROR(_xlfn.XLOOKUP($D97,'Modelling New'!$D:$D,'Modelling New'!$AE:$AE),"")</f>
        <v>0.95549849999999992</v>
      </c>
      <c r="AH97" s="312">
        <f>IFERROR(_xlfn.XLOOKUP($D97,'Modelling New'!$D:$D,'Modelling New'!$AF:$AF),"")</f>
        <v>0.995</v>
      </c>
      <c r="AI97" s="10">
        <f>IFERROR(_xlfn.XLOOKUP($A97,Input_Raw!$E:$E,Input_Raw!$DG:$DG),"")</f>
        <v>885.8</v>
      </c>
      <c r="AJ97" s="10"/>
      <c r="AK97" s="10"/>
      <c r="AL97" s="10"/>
      <c r="AM97" s="10"/>
      <c r="AN97" s="314">
        <f>IFERROR(_xlfn.XLOOKUP($A97,Input_Raw!$E:$E,Input_Raw!$CY:$CY),"")</f>
        <v>1.2828162291142586E-2</v>
      </c>
      <c r="AO97" s="312">
        <f>IFERROR((_xlfn.XLOOKUP($A97,'WTG Reactive Power'!$A:$A,'WTG Reactive Power'!AB:AB))/X97,"")</f>
        <v>0.12494420279138446</v>
      </c>
      <c r="AP97" s="312">
        <f>IFERROR(_xlfn.XLOOKUP($D97,'Modelling New'!$D:$D,'Modelling New'!AK:AK),"")</f>
        <v>0.05</v>
      </c>
      <c r="AQ97" s="312">
        <f>IFERROR(_xlfn.XLOOKUP($D97,'Modelling New'!$D:$D,'Modelling New'!AL:AL),"")</f>
        <v>0.05</v>
      </c>
      <c r="AR97" s="325">
        <f>IFERROR(_xlfn.XLOOKUP($D97,'Modelling New'!$D:$D,'Modelling New'!$N:$N),"")</f>
        <v>50.59999999999998</v>
      </c>
      <c r="AS97" s="325"/>
    </row>
    <row r="98" spans="1:45">
      <c r="A98" s="32">
        <f t="shared" si="14"/>
        <v>45841</v>
      </c>
      <c r="B98" s="43">
        <f>YEAR(Table13[[#This Row],[Date]])+IF(MONTH(Table13[[#This Row],[Date]])&gt;=4,1,0)</f>
        <v>2026</v>
      </c>
      <c r="C98" s="10">
        <f>YEAR(Table13[[#This Row],[Date]])</f>
        <v>2025</v>
      </c>
      <c r="D98" s="309">
        <f>Table13[[#This Row],[Date]]-DAY(Table13[[#This Row],[Date]])+1</f>
        <v>45839</v>
      </c>
      <c r="E98" s="10">
        <f t="shared" si="10"/>
        <v>31</v>
      </c>
      <c r="F98" s="241">
        <f>IFERROR(_xlfn.XLOOKUP($A98,Input_Raw!$E:$E,Input_Raw!DC:DC),"")</f>
        <v>12.283333333333335</v>
      </c>
      <c r="G98" s="313"/>
      <c r="H98" s="313"/>
      <c r="I98" s="313"/>
      <c r="J98" s="313"/>
      <c r="K98" s="243"/>
      <c r="L98" s="242"/>
      <c r="M98" s="242">
        <f>IFERROR(_xlfn.XLOOKUP($A98,Input_Raw!$E:$E,Input_Raw!$BM:$BM),"")</f>
        <v>9.2782608695652193</v>
      </c>
      <c r="N98" s="242">
        <f>IFERROR(_xlfn.XLOOKUP($A98,Input_Raw!$E:$E,Input_Raw!$BN:$BN),"")</f>
        <v>10.1</v>
      </c>
      <c r="O98" s="311">
        <f t="shared" si="11"/>
        <v>1</v>
      </c>
      <c r="P98" s="311">
        <f>IFERROR(1-SUMIF(WTG_BD!$F:$F,$A98,WTG_BD!$AA:$AA)/($AA98+SUMIF(WTG_BD!$F:$F,$A98,WTG_BD!$AA:$AA)),"")</f>
        <v>1</v>
      </c>
      <c r="Q98" s="328">
        <f>IFERROR(1-SUMIF(IGA_BD!$F:$F,$A98,IGA_BD!$W:$W)/($AA98+SUMIF(IGA_BD!$F:$F,$A98,IGA_BD!$W:$W)),"")</f>
        <v>1</v>
      </c>
      <c r="R98" s="47">
        <f>IFERROR(1-SUMIF(Grid_BD!$F:$F,$A98,Grid_BD!$Y:$Y)/($AA98+SUMIF(Grid_BD!$F:$F,$A98,Grid_BD!$Y:$Y)),"")</f>
        <v>1</v>
      </c>
      <c r="S98" s="10"/>
      <c r="T98" s="310"/>
      <c r="U98" s="311"/>
      <c r="V98" s="10"/>
      <c r="W98" s="312">
        <f t="shared" si="12"/>
        <v>0.77313488142292519</v>
      </c>
      <c r="X98" s="10">
        <f>IFERROR(_xlfn.XLOOKUP($A98,Input_Raw!$E:$E,Input_Raw!BG:BG),"")</f>
        <v>938895</v>
      </c>
      <c r="Y98" s="10">
        <f>IFERROR(_xlfn.XLOOKUP($A98,Input_Raw!$E:$E,Input_Raw!DF:DF),"")</f>
        <v>901065.0000000021</v>
      </c>
      <c r="Z98" s="319">
        <f>IFERROR(_xlfn.XLOOKUP(A98,Input_Raw!E:E,Input_Raw!CT:CT)/_xlfn.XLOOKUP(A98,Input_Raw!E:E,Input_Raw!CS:CS)*Table13[[#This Row],[Mtr_Export (kWh)]],"")</f>
        <v>0</v>
      </c>
      <c r="AA98" s="43">
        <f t="shared" si="13"/>
        <v>901065.0000000021</v>
      </c>
      <c r="AB98" s="10">
        <f>IFERROR(_xlfn.XLOOKUP($A98,Input_Raw!$E:$E,Input_Raw!$CZ:$CZ),"")</f>
        <v>50.6</v>
      </c>
      <c r="AC98" s="313">
        <f>IFERROR(_xlfn.XLOOKUP($D98,'Modelling New'!$D:$D,'Modelling New'!$J:$J),"")</f>
        <v>10.303759359817088</v>
      </c>
      <c r="AD98" s="43">
        <f>IFERROR(_xlfn.XLOOKUP($D98,'Modelling New'!$D:$D,'Modelling New'!$T:$T)*1000,"")</f>
        <v>815983.22580645164</v>
      </c>
      <c r="AE98" s="312"/>
      <c r="AF98" s="312">
        <f>IFERROR(_xlfn.XLOOKUP($D98,'Modelling New'!$D:$D,'Modelling New'!$W:$W),"")</f>
        <v>0.6719229461515579</v>
      </c>
      <c r="AG98" s="312">
        <f>IFERROR(_xlfn.XLOOKUP($D98,'Modelling New'!$D:$D,'Modelling New'!$AE:$AE),"")</f>
        <v>0.95549849999999992</v>
      </c>
      <c r="AH98" s="312">
        <f>IFERROR(_xlfn.XLOOKUP($D98,'Modelling New'!$D:$D,'Modelling New'!$AF:$AF),"")</f>
        <v>0.995</v>
      </c>
      <c r="AI98" s="10">
        <f>IFERROR(_xlfn.XLOOKUP($A98,Input_Raw!$E:$E,Input_Raw!$DG:$DG),"")</f>
        <v>939</v>
      </c>
      <c r="AJ98" s="10"/>
      <c r="AK98" s="10"/>
      <c r="AL98" s="10"/>
      <c r="AM98" s="10"/>
      <c r="AN98" s="314">
        <f>IFERROR(_xlfn.XLOOKUP($A98,Input_Raw!$E:$E,Input_Raw!$CY:$CY),"")</f>
        <v>1.4016018306674649E-2</v>
      </c>
      <c r="AO98" s="312">
        <f>IFERROR((_xlfn.XLOOKUP($A98,'WTG Reactive Power'!$A:$A,'WTG Reactive Power'!AB:AB))/X98,"")</f>
        <v>2.3396439431459325E-2</v>
      </c>
      <c r="AP98" s="312">
        <f>IFERROR(_xlfn.XLOOKUP($D98,'Modelling New'!$D:$D,'Modelling New'!AK:AK),"")</f>
        <v>0.05</v>
      </c>
      <c r="AQ98" s="312">
        <f>IFERROR(_xlfn.XLOOKUP($D98,'Modelling New'!$D:$D,'Modelling New'!AL:AL),"")</f>
        <v>0.05</v>
      </c>
      <c r="AR98" s="325">
        <f>IFERROR(_xlfn.XLOOKUP($D98,'Modelling New'!$D:$D,'Modelling New'!$N:$N),"")</f>
        <v>50.59999999999998</v>
      </c>
      <c r="AS98" s="325"/>
    </row>
    <row r="99" spans="1:45">
      <c r="A99" s="32">
        <f t="shared" si="14"/>
        <v>45842</v>
      </c>
      <c r="B99" s="43">
        <f>YEAR(Table13[[#This Row],[Date]])+IF(MONTH(Table13[[#This Row],[Date]])&gt;=4,1,0)</f>
        <v>2026</v>
      </c>
      <c r="C99" s="10">
        <f>YEAR(Table13[[#This Row],[Date]])</f>
        <v>2025</v>
      </c>
      <c r="D99" s="309">
        <f>Table13[[#This Row],[Date]]-DAY(Table13[[#This Row],[Date]])+1</f>
        <v>45839</v>
      </c>
      <c r="E99" s="10">
        <f t="shared" si="10"/>
        <v>31</v>
      </c>
      <c r="F99" s="241">
        <f>IFERROR(_xlfn.XLOOKUP($A99,Input_Raw!$E:$E,Input_Raw!DC:DC),"")</f>
        <v>12.133333333333333</v>
      </c>
      <c r="G99" s="242"/>
      <c r="H99" s="242"/>
      <c r="I99" s="242"/>
      <c r="J99" s="242"/>
      <c r="K99" s="243"/>
      <c r="L99" s="242"/>
      <c r="M99" s="242">
        <f>IFERROR(_xlfn.XLOOKUP($A99,Input_Raw!$E:$E,Input_Raw!$BM:$BM),"")</f>
        <v>9.9</v>
      </c>
      <c r="N99" s="242">
        <f>IFERROR(_xlfn.XLOOKUP($A99,Input_Raw!$E:$E,Input_Raw!$BN:$BN),"")</f>
        <v>10.8</v>
      </c>
      <c r="O99" s="311">
        <f t="shared" si="11"/>
        <v>0.99396894687534054</v>
      </c>
      <c r="P99" s="311">
        <f>IFERROR(1-SUMIF(WTG_BD!$F:$F,$A99,WTG_BD!$AA:$AA)/($AA99+SUMIF(WTG_BD!$F:$F,$A99,WTG_BD!$AA:$AA)),"")</f>
        <v>1</v>
      </c>
      <c r="Q99" s="328">
        <f>IFERROR(1-SUMIF(IGA_BD!$F:$F,$A99,IGA_BD!$W:$W)/($AA99+SUMIF(IGA_BD!$F:$F,$A99,IGA_BD!$W:$W)),"")</f>
        <v>0.99396894687534054</v>
      </c>
      <c r="R99" s="311">
        <f>IFERROR(1-SUMIF(Grid_BD!$F:$F,$A99,Grid_BD!$Y:$Y)/($AA99+SUMIF(Grid_BD!$F:$F,$A99,Grid_BD!$Y:$Y)),"")</f>
        <v>1</v>
      </c>
      <c r="S99" s="10"/>
      <c r="T99" s="310"/>
      <c r="U99" s="311"/>
      <c r="V99" s="10"/>
      <c r="W99" s="312">
        <f t="shared" si="12"/>
        <v>0.84974950592885423</v>
      </c>
      <c r="X99" s="10">
        <f>IFERROR(_xlfn.XLOOKUP($A99,Input_Raw!$E:$E,Input_Raw!BG:BG),"")</f>
        <v>1031935.8000000002</v>
      </c>
      <c r="Y99" s="10">
        <f>IFERROR(_xlfn.XLOOKUP($A99,Input_Raw!$E:$E,Input_Raw!DF:DF),"")</f>
        <v>994124.99999999627</v>
      </c>
      <c r="Z99" s="319">
        <f>IFERROR(_xlfn.XLOOKUP(A99,Input_Raw!E:E,Input_Raw!CT:CT)/_xlfn.XLOOKUP(A99,Input_Raw!E:E,Input_Raw!CS:CS)*Table13[[#This Row],[Mtr_Export (kWh)]],"")</f>
        <v>0</v>
      </c>
      <c r="AA99" s="43">
        <f t="shared" si="13"/>
        <v>994124.99999999627</v>
      </c>
      <c r="AB99" s="10">
        <f>IFERROR(_xlfn.XLOOKUP($A99,Input_Raw!$E:$E,Input_Raw!$CZ:$CZ),"")</f>
        <v>50.6</v>
      </c>
      <c r="AC99" s="313">
        <f>IFERROR(_xlfn.XLOOKUP($D99,'Modelling New'!$D:$D,'Modelling New'!$J:$J),"")</f>
        <v>10.303759359817088</v>
      </c>
      <c r="AD99" s="43">
        <f>IFERROR(_xlfn.XLOOKUP($D99,'Modelling New'!$D:$D,'Modelling New'!$T:$T)*1000,"")</f>
        <v>815983.22580645164</v>
      </c>
      <c r="AE99" s="312"/>
      <c r="AF99" s="312">
        <f>IFERROR(_xlfn.XLOOKUP($D99,'Modelling New'!$D:$D,'Modelling New'!$W:$W),"")</f>
        <v>0.6719229461515579</v>
      </c>
      <c r="AG99" s="312">
        <f>IFERROR(_xlfn.XLOOKUP($D99,'Modelling New'!$D:$D,'Modelling New'!$AE:$AE),"")</f>
        <v>0.95549849999999992</v>
      </c>
      <c r="AH99" s="312">
        <f>IFERROR(_xlfn.XLOOKUP($D99,'Modelling New'!$D:$D,'Modelling New'!$AF:$AF),"")</f>
        <v>0.995</v>
      </c>
      <c r="AI99" s="10">
        <f>IFERROR(_xlfn.XLOOKUP($A99,Input_Raw!$E:$E,Input_Raw!$DG:$DG),"")</f>
        <v>1036.83</v>
      </c>
      <c r="AJ99" s="10"/>
      <c r="AK99" s="10"/>
      <c r="AL99" s="10"/>
      <c r="AM99" s="10"/>
      <c r="AN99" s="314">
        <f>IFERROR(_xlfn.XLOOKUP($A99,Input_Raw!$E:$E,Input_Raw!$CY:$CY),"")</f>
        <v>-1.0903426791300075E-2</v>
      </c>
      <c r="AO99" s="312">
        <f>IFERROR((_xlfn.XLOOKUP($A99,'WTG Reactive Power'!$A:$A,'WTG Reactive Power'!AB:AB))/X99,"")</f>
        <v>4.3935485133861994E-2</v>
      </c>
      <c r="AP99" s="312">
        <f>IFERROR(_xlfn.XLOOKUP($D99,'Modelling New'!$D:$D,'Modelling New'!AK:AK),"")</f>
        <v>0.05</v>
      </c>
      <c r="AQ99" s="312">
        <f>IFERROR(_xlfn.XLOOKUP($D99,'Modelling New'!$D:$D,'Modelling New'!AL:AL),"")</f>
        <v>0.05</v>
      </c>
      <c r="AR99" s="325">
        <f>IFERROR(_xlfn.XLOOKUP($D99,'Modelling New'!$D:$D,'Modelling New'!$N:$N),"")</f>
        <v>50.59999999999998</v>
      </c>
      <c r="AS99" s="325"/>
    </row>
    <row r="100" spans="1:45">
      <c r="A100" s="32">
        <f t="shared" si="14"/>
        <v>45843</v>
      </c>
      <c r="B100" s="43">
        <f>YEAR(Table13[[#This Row],[Date]])+IF(MONTH(Table13[[#This Row],[Date]])&gt;=4,1,0)</f>
        <v>2026</v>
      </c>
      <c r="C100" s="10">
        <f>YEAR(Table13[[#This Row],[Date]])</f>
        <v>2025</v>
      </c>
      <c r="D100" s="309">
        <f>Table13[[#This Row],[Date]]-DAY(Table13[[#This Row],[Date]])+1</f>
        <v>45839</v>
      </c>
      <c r="E100" s="10">
        <f t="shared" si="10"/>
        <v>31</v>
      </c>
      <c r="F100" s="241">
        <f>IFERROR(_xlfn.XLOOKUP($A100,Input_Raw!$E:$E,Input_Raw!DC:DC),"")</f>
        <v>12.05</v>
      </c>
      <c r="G100" s="313"/>
      <c r="H100" s="313"/>
      <c r="I100" s="313"/>
      <c r="J100" s="313"/>
      <c r="K100" s="243"/>
      <c r="L100" s="242"/>
      <c r="M100" s="242">
        <f>IFERROR(_xlfn.XLOOKUP($A100,Input_Raw!$E:$E,Input_Raw!$BM:$BM),"")</f>
        <v>9.8043478260869552</v>
      </c>
      <c r="N100" s="242">
        <f>IFERROR(_xlfn.XLOOKUP($A100,Input_Raw!$E:$E,Input_Raw!$BN:$BN),"")</f>
        <v>10.6</v>
      </c>
      <c r="O100" s="311">
        <f t="shared" si="11"/>
        <v>0.99834601389348332</v>
      </c>
      <c r="P100" s="311">
        <f>IFERROR(1-SUMIF(WTG_BD!$F:$F,$A100,WTG_BD!$AA:$AA)/($AA100+SUMIF(WTG_BD!$F:$F,$A100,WTG_BD!$AA:$AA)),"")</f>
        <v>0.99834601389348332</v>
      </c>
      <c r="Q100" s="328">
        <f>IFERROR(1-SUMIF(IGA_BD!$F:$F,$A100,IGA_BD!$W:$W)/($AA100+SUMIF(IGA_BD!$F:$F,$A100,IGA_BD!$W:$W)),"")</f>
        <v>1</v>
      </c>
      <c r="R100" s="47">
        <f>IFERROR(1-SUMIF(Grid_BD!$F:$F,$A100,Grid_BD!$Y:$Y)/($AA100+SUMIF(Grid_BD!$F:$F,$A100,Grid_BD!$Y:$Y)),"")</f>
        <v>1</v>
      </c>
      <c r="S100" s="10"/>
      <c r="T100" s="310"/>
      <c r="U100" s="311"/>
      <c r="V100" s="10"/>
      <c r="W100" s="312">
        <f t="shared" si="12"/>
        <v>0.85268692358366305</v>
      </c>
      <c r="X100" s="10">
        <f>IFERROR(_xlfn.XLOOKUP($A100,Input_Raw!$E:$E,Input_Raw!BG:BG),"")</f>
        <v>1035503</v>
      </c>
      <c r="Y100" s="10">
        <f>IFERROR(_xlfn.XLOOKUP($A100,Input_Raw!$E:$E,Input_Raw!DF:DF),"")</f>
        <v>995940.00000000023</v>
      </c>
      <c r="Z100" s="319">
        <f>IFERROR(_xlfn.XLOOKUP(A100,Input_Raw!E:E,Input_Raw!CT:CT)/_xlfn.XLOOKUP(A100,Input_Raw!E:E,Input_Raw!CS:CS)*Table13[[#This Row],[Mtr_Export (kWh)]],"")</f>
        <v>0</v>
      </c>
      <c r="AA100" s="43">
        <f t="shared" si="13"/>
        <v>995940.00000000023</v>
      </c>
      <c r="AB100" s="10">
        <f>IFERROR(_xlfn.XLOOKUP($A100,Input_Raw!$E:$E,Input_Raw!$CZ:$CZ),"")</f>
        <v>50.6</v>
      </c>
      <c r="AC100" s="313">
        <f>IFERROR(_xlfn.XLOOKUP($D100,'Modelling New'!$D:$D,'Modelling New'!$J:$J),"")</f>
        <v>10.303759359817088</v>
      </c>
      <c r="AD100" s="43">
        <f>IFERROR(_xlfn.XLOOKUP($D100,'Modelling New'!$D:$D,'Modelling New'!$T:$T)*1000,"")</f>
        <v>815983.22580645164</v>
      </c>
      <c r="AE100" s="312"/>
      <c r="AF100" s="312">
        <f>IFERROR(_xlfn.XLOOKUP($D100,'Modelling New'!$D:$D,'Modelling New'!$W:$W),"")</f>
        <v>0.6719229461515579</v>
      </c>
      <c r="AG100" s="312">
        <f>IFERROR(_xlfn.XLOOKUP($D100,'Modelling New'!$D:$D,'Modelling New'!$AE:$AE),"")</f>
        <v>0.95549849999999992</v>
      </c>
      <c r="AH100" s="312">
        <f>IFERROR(_xlfn.XLOOKUP($D100,'Modelling New'!$D:$D,'Modelling New'!$AF:$AF),"")</f>
        <v>0.995</v>
      </c>
      <c r="AI100" s="10">
        <f>IFERROR(_xlfn.XLOOKUP($A100,Input_Raw!$E:$E,Input_Raw!$DG:$DG),"")</f>
        <v>1035.51</v>
      </c>
      <c r="AJ100" s="10"/>
      <c r="AK100" s="10"/>
      <c r="AL100" s="10"/>
      <c r="AM100" s="10"/>
      <c r="AN100" s="314">
        <f>IFERROR(_xlfn.XLOOKUP($A100,Input_Raw!$E:$E,Input_Raw!$CY:$CY),"")</f>
        <v>3.9267015706974107E-3</v>
      </c>
      <c r="AO100" s="312">
        <f>IFERROR((_xlfn.XLOOKUP($A100,'WTG Reactive Power'!$A:$A,'WTG Reactive Power'!AB:AB))/X100,"")</f>
        <v>7.8459164290204858E-2</v>
      </c>
      <c r="AP100" s="312">
        <f>IFERROR(_xlfn.XLOOKUP($D100,'Modelling New'!$D:$D,'Modelling New'!AK:AK),"")</f>
        <v>0.05</v>
      </c>
      <c r="AQ100" s="312">
        <f>IFERROR(_xlfn.XLOOKUP($D100,'Modelling New'!$D:$D,'Modelling New'!AL:AL),"")</f>
        <v>0.05</v>
      </c>
      <c r="AR100" s="325">
        <f>IFERROR(_xlfn.XLOOKUP($D100,'Modelling New'!$D:$D,'Modelling New'!$N:$N),"")</f>
        <v>50.59999999999998</v>
      </c>
      <c r="AS100" s="325"/>
    </row>
    <row r="101" spans="1:45">
      <c r="A101" s="32">
        <f t="shared" si="14"/>
        <v>45844</v>
      </c>
      <c r="B101" s="43">
        <f>YEAR(Table13[[#This Row],[Date]])+IF(MONTH(Table13[[#This Row],[Date]])&gt;=4,1,0)</f>
        <v>2026</v>
      </c>
      <c r="C101" s="10">
        <f>YEAR(Table13[[#This Row],[Date]])</f>
        <v>2025</v>
      </c>
      <c r="D101" s="309">
        <f>Table13[[#This Row],[Date]]-DAY(Table13[[#This Row],[Date]])+1</f>
        <v>45839</v>
      </c>
      <c r="E101" s="10">
        <f t="shared" si="10"/>
        <v>31</v>
      </c>
      <c r="F101" s="241">
        <f>IFERROR(_xlfn.XLOOKUP($A101,Input_Raw!$E:$E,Input_Raw!DC:DC),"")</f>
        <v>11.983333333333334</v>
      </c>
      <c r="G101" s="242"/>
      <c r="H101" s="242"/>
      <c r="I101" s="242"/>
      <c r="J101" s="242"/>
      <c r="K101" s="243"/>
      <c r="L101" s="242"/>
      <c r="M101" s="242">
        <f>IFERROR(_xlfn.XLOOKUP($A101,Input_Raw!$E:$E,Input_Raw!$BM:$BM),"")</f>
        <v>10.934782608695652</v>
      </c>
      <c r="N101" s="242">
        <f>IFERROR(_xlfn.XLOOKUP($A101,Input_Raw!$E:$E,Input_Raw!$BN:$BN),"")</f>
        <v>11.6</v>
      </c>
      <c r="O101" s="311">
        <f t="shared" si="11"/>
        <v>0.99804107136748732</v>
      </c>
      <c r="P101" s="311">
        <f>IFERROR(1-SUMIF(WTG_BD!$F:$F,$A101,WTG_BD!$AA:$AA)/($AA101+SUMIF(WTG_BD!$F:$F,$A101,WTG_BD!$AA:$AA)),"")</f>
        <v>0.99804107136748732</v>
      </c>
      <c r="Q101" s="328">
        <f>IFERROR(1-SUMIF(IGA_BD!$F:$F,$A101,IGA_BD!$W:$W)/($AA101+SUMIF(IGA_BD!$F:$F,$A101,IGA_BD!$W:$W)),"")</f>
        <v>1</v>
      </c>
      <c r="R101" s="311">
        <f>IFERROR(1-SUMIF(Grid_BD!$F:$F,$A101,Grid_BD!$Y:$Y)/($AA101+SUMIF(Grid_BD!$F:$F,$A101,Grid_BD!$Y:$Y)),"")</f>
        <v>1</v>
      </c>
      <c r="S101" s="10"/>
      <c r="T101" s="310"/>
      <c r="U101" s="311"/>
      <c r="V101" s="10"/>
      <c r="W101" s="312">
        <f t="shared" si="12"/>
        <v>0.93658514492753664</v>
      </c>
      <c r="X101" s="10">
        <f>IFERROR(_xlfn.XLOOKUP($A101,Input_Raw!$E:$E,Input_Raw!BG:BG),"")</f>
        <v>1137389</v>
      </c>
      <c r="Y101" s="10">
        <f>IFERROR(_xlfn.XLOOKUP($A101,Input_Raw!$E:$E,Input_Raw!DF:DF),"")</f>
        <v>1094115.0000000047</v>
      </c>
      <c r="Z101" s="319">
        <f>IFERROR(_xlfn.XLOOKUP(A101,Input_Raw!E:E,Input_Raw!CT:CT)/_xlfn.XLOOKUP(A101,Input_Raw!E:E,Input_Raw!CS:CS)*Table13[[#This Row],[Mtr_Export (kWh)]],"")</f>
        <v>0</v>
      </c>
      <c r="AA101" s="43">
        <f t="shared" si="13"/>
        <v>1094115.0000000047</v>
      </c>
      <c r="AB101" s="10">
        <f>IFERROR(_xlfn.XLOOKUP($A101,Input_Raw!$E:$E,Input_Raw!$CZ:$CZ),"")</f>
        <v>50.6</v>
      </c>
      <c r="AC101" s="313">
        <f>IFERROR(_xlfn.XLOOKUP($D101,'Modelling New'!$D:$D,'Modelling New'!$J:$J),"")</f>
        <v>10.303759359817088</v>
      </c>
      <c r="AD101" s="43">
        <f>IFERROR(_xlfn.XLOOKUP($D101,'Modelling New'!$D:$D,'Modelling New'!$T:$T)*1000,"")</f>
        <v>815983.22580645164</v>
      </c>
      <c r="AE101" s="312"/>
      <c r="AF101" s="312">
        <f>IFERROR(_xlfn.XLOOKUP($D101,'Modelling New'!$D:$D,'Modelling New'!$W:$W),"")</f>
        <v>0.6719229461515579</v>
      </c>
      <c r="AG101" s="312">
        <f>IFERROR(_xlfn.XLOOKUP($D101,'Modelling New'!$D:$D,'Modelling New'!$AE:$AE),"")</f>
        <v>0.95549849999999992</v>
      </c>
      <c r="AH101" s="312">
        <f>IFERROR(_xlfn.XLOOKUP($D101,'Modelling New'!$D:$D,'Modelling New'!$AF:$AF),"")</f>
        <v>0.995</v>
      </c>
      <c r="AI101" s="10">
        <f>IFERROR(_xlfn.XLOOKUP($A101,Input_Raw!$E:$E,Input_Raw!$DG:$DG),"")</f>
        <v>1137.3900000000001</v>
      </c>
      <c r="AJ101" s="10"/>
      <c r="AK101" s="10"/>
      <c r="AL101" s="10"/>
      <c r="AM101" s="10"/>
      <c r="AN101" s="314">
        <f>IFERROR(_xlfn.XLOOKUP($A101,Input_Raw!$E:$E,Input_Raw!$CY:$CY),"")</f>
        <v>8.954857703625585E-3</v>
      </c>
      <c r="AO101" s="312">
        <f>IFERROR((_xlfn.XLOOKUP($A101,'WTG Reactive Power'!$A:$A,'WTG Reactive Power'!AB:AB))/X101,"")</f>
        <v>0.14887158219395474</v>
      </c>
      <c r="AP101" s="312">
        <f>IFERROR(_xlfn.XLOOKUP($D101,'Modelling New'!$D:$D,'Modelling New'!AK:AK),"")</f>
        <v>0.05</v>
      </c>
      <c r="AQ101" s="312">
        <f>IFERROR(_xlfn.XLOOKUP($D101,'Modelling New'!$D:$D,'Modelling New'!AL:AL),"")</f>
        <v>0.05</v>
      </c>
      <c r="AR101" s="325">
        <f>IFERROR(_xlfn.XLOOKUP($D101,'Modelling New'!$D:$D,'Modelling New'!$N:$N),"")</f>
        <v>50.59999999999998</v>
      </c>
      <c r="AS101" s="325"/>
    </row>
    <row r="102" spans="1:45">
      <c r="A102" s="32">
        <f t="shared" si="14"/>
        <v>45845</v>
      </c>
      <c r="B102" s="43">
        <f>YEAR(Table13[[#This Row],[Date]])+IF(MONTH(Table13[[#This Row],[Date]])&gt;=4,1,0)</f>
        <v>2026</v>
      </c>
      <c r="C102" s="10">
        <f>YEAR(Table13[[#This Row],[Date]])</f>
        <v>2025</v>
      </c>
      <c r="D102" s="309">
        <f>Table13[[#This Row],[Date]]-DAY(Table13[[#This Row],[Date]])+1</f>
        <v>45839</v>
      </c>
      <c r="E102" s="10">
        <f t="shared" si="10"/>
        <v>31</v>
      </c>
      <c r="F102" s="241">
        <f>IFERROR(_xlfn.XLOOKUP($A102,Input_Raw!$E:$E,Input_Raw!DC:DC),"")</f>
        <v>12.016666666666664</v>
      </c>
      <c r="G102" s="313"/>
      <c r="H102" s="313"/>
      <c r="I102" s="313"/>
      <c r="J102" s="313"/>
      <c r="K102" s="243"/>
      <c r="L102" s="242"/>
      <c r="M102" s="242">
        <f>IFERROR(_xlfn.XLOOKUP($A102,Input_Raw!$E:$E,Input_Raw!$BM:$BM),"")</f>
        <v>10.421739130434782</v>
      </c>
      <c r="N102" s="242">
        <f>IFERROR(_xlfn.XLOOKUP($A102,Input_Raw!$E:$E,Input_Raw!$BN:$BN),"")</f>
        <v>11.4</v>
      </c>
      <c r="O102" s="311">
        <f t="shared" si="11"/>
        <v>0.99825582420767278</v>
      </c>
      <c r="P102" s="311">
        <f>IFERROR(1-SUMIF(WTG_BD!$F:$F,$A102,WTG_BD!$AA:$AA)/($AA102+SUMIF(WTG_BD!$F:$F,$A102,WTG_BD!$AA:$AA)),"")</f>
        <v>0.99825582420767278</v>
      </c>
      <c r="Q102" s="328">
        <f>IFERROR(1-SUMIF(IGA_BD!$F:$F,$A102,IGA_BD!$W:$W)/($AA102+SUMIF(IGA_BD!$F:$F,$A102,IGA_BD!$W:$W)),"")</f>
        <v>1</v>
      </c>
      <c r="R102" s="47">
        <f>IFERROR(1-SUMIF(Grid_BD!$F:$F,$A102,Grid_BD!$Y:$Y)/($AA102+SUMIF(Grid_BD!$F:$F,$A102,Grid_BD!$Y:$Y)),"")</f>
        <v>1</v>
      </c>
      <c r="S102" s="10"/>
      <c r="T102" s="310"/>
      <c r="U102" s="311"/>
      <c r="V102" s="10"/>
      <c r="W102" s="312">
        <f t="shared" si="12"/>
        <v>0.89731966403162089</v>
      </c>
      <c r="X102" s="10">
        <f>IFERROR(_xlfn.XLOOKUP($A102,Input_Raw!$E:$E,Input_Raw!BG:BG),"")</f>
        <v>1089705</v>
      </c>
      <c r="Y102" s="10">
        <f>IFERROR(_xlfn.XLOOKUP($A102,Input_Raw!$E:$E,Input_Raw!DF:DF),"")</f>
        <v>1047090.0000000007</v>
      </c>
      <c r="Z102" s="319">
        <f>IFERROR(_xlfn.XLOOKUP(A102,Input_Raw!E:E,Input_Raw!CT:CT)/_xlfn.XLOOKUP(A102,Input_Raw!E:E,Input_Raw!CS:CS)*Table13[[#This Row],[Mtr_Export (kWh)]],"")</f>
        <v>0</v>
      </c>
      <c r="AA102" s="43">
        <f t="shared" si="13"/>
        <v>1047090.0000000007</v>
      </c>
      <c r="AB102" s="10">
        <f>IFERROR(_xlfn.XLOOKUP($A102,Input_Raw!$E:$E,Input_Raw!$CZ:$CZ),"")</f>
        <v>50.6</v>
      </c>
      <c r="AC102" s="313">
        <f>IFERROR(_xlfn.XLOOKUP($D102,'Modelling New'!$D:$D,'Modelling New'!$J:$J),"")</f>
        <v>10.303759359817088</v>
      </c>
      <c r="AD102" s="43">
        <f>IFERROR(_xlfn.XLOOKUP($D102,'Modelling New'!$D:$D,'Modelling New'!$T:$T)*1000,"")</f>
        <v>815983.22580645164</v>
      </c>
      <c r="AE102" s="312"/>
      <c r="AF102" s="312">
        <f>IFERROR(_xlfn.XLOOKUP($D102,'Modelling New'!$D:$D,'Modelling New'!$W:$W),"")</f>
        <v>0.6719229461515579</v>
      </c>
      <c r="AG102" s="312">
        <f>IFERROR(_xlfn.XLOOKUP($D102,'Modelling New'!$D:$D,'Modelling New'!$AE:$AE),"")</f>
        <v>0.95549849999999992</v>
      </c>
      <c r="AH102" s="312">
        <f>IFERROR(_xlfn.XLOOKUP($D102,'Modelling New'!$D:$D,'Modelling New'!$AF:$AF),"")</f>
        <v>0.995</v>
      </c>
      <c r="AI102" s="10">
        <f>IFERROR(_xlfn.XLOOKUP($A102,Input_Raw!$E:$E,Input_Raw!$DG:$DG),"")</f>
        <v>1089.7</v>
      </c>
      <c r="AJ102" s="10"/>
      <c r="AK102" s="10"/>
      <c r="AL102" s="10"/>
      <c r="AM102" s="10"/>
      <c r="AN102" s="314">
        <f>IFERROR(_xlfn.XLOOKUP($A102,Input_Raw!$E:$E,Input_Raw!$CY:$CY),"")</f>
        <v>6.1845861084797171E-3</v>
      </c>
      <c r="AO102" s="312">
        <f>IFERROR((_xlfn.XLOOKUP($A102,'WTG Reactive Power'!$A:$A,'WTG Reactive Power'!AB:AB))/X102,"")</f>
        <v>6.1223450383360634E-2</v>
      </c>
      <c r="AP102" s="312">
        <f>IFERROR(_xlfn.XLOOKUP($D102,'Modelling New'!$D:$D,'Modelling New'!AK:AK),"")</f>
        <v>0.05</v>
      </c>
      <c r="AQ102" s="312">
        <f>IFERROR(_xlfn.XLOOKUP($D102,'Modelling New'!$D:$D,'Modelling New'!AL:AL),"")</f>
        <v>0.05</v>
      </c>
      <c r="AR102" s="325">
        <f>IFERROR(_xlfn.XLOOKUP($D102,'Modelling New'!$D:$D,'Modelling New'!$N:$N),"")</f>
        <v>50.59999999999998</v>
      </c>
      <c r="AS102" s="325"/>
    </row>
    <row r="103" spans="1:45">
      <c r="A103" s="32">
        <f t="shared" si="14"/>
        <v>45846</v>
      </c>
      <c r="B103" s="43">
        <f>YEAR(Table13[[#This Row],[Date]])+IF(MONTH(Table13[[#This Row],[Date]])&gt;=4,1,0)</f>
        <v>2026</v>
      </c>
      <c r="C103" s="10">
        <f>YEAR(Table13[[#This Row],[Date]])</f>
        <v>2025</v>
      </c>
      <c r="D103" s="309">
        <f>Table13[[#This Row],[Date]]-DAY(Table13[[#This Row],[Date]])+1</f>
        <v>45839</v>
      </c>
      <c r="E103" s="10">
        <f t="shared" si="10"/>
        <v>31</v>
      </c>
      <c r="F103" s="241">
        <f>IFERROR(_xlfn.XLOOKUP($A103,Input_Raw!$E:$E,Input_Raw!DC:DC),"")</f>
        <v>11.75</v>
      </c>
      <c r="G103" s="242"/>
      <c r="H103" s="242"/>
      <c r="I103" s="242"/>
      <c r="J103" s="242"/>
      <c r="K103" s="243"/>
      <c r="L103" s="242"/>
      <c r="M103" s="242">
        <f>IFERROR(_xlfn.XLOOKUP($A103,Input_Raw!$E:$E,Input_Raw!$BM:$BM),"")</f>
        <v>9.378260869565219</v>
      </c>
      <c r="N103" s="242">
        <f>IFERROR(_xlfn.XLOOKUP($A103,Input_Raw!$E:$E,Input_Raw!$BN:$BN),"")</f>
        <v>9.8000000000000007</v>
      </c>
      <c r="O103" s="311">
        <f t="shared" si="11"/>
        <v>1</v>
      </c>
      <c r="P103" s="311">
        <f>IFERROR(1-SUMIF(WTG_BD!$F:$F,$A103,WTG_BD!$AA:$AA)/($AA103+SUMIF(WTG_BD!$F:$F,$A103,WTG_BD!$AA:$AA)),"")</f>
        <v>1</v>
      </c>
      <c r="Q103" s="328">
        <f>IFERROR(1-SUMIF(IGA_BD!$F:$F,$A103,IGA_BD!$W:$W)/($AA103+SUMIF(IGA_BD!$F:$F,$A103,IGA_BD!$W:$W)),"")</f>
        <v>1</v>
      </c>
      <c r="R103" s="311">
        <f>IFERROR(1-SUMIF(Grid_BD!$F:$F,$A103,Grid_BD!$Y:$Y)/($AA103+SUMIF(Grid_BD!$F:$F,$A103,Grid_BD!$Y:$Y)),"")</f>
        <v>1</v>
      </c>
      <c r="S103" s="10"/>
      <c r="T103" s="310"/>
      <c r="U103" s="311"/>
      <c r="V103" s="10"/>
      <c r="W103" s="312">
        <f t="shared" si="12"/>
        <v>0.78893610013175264</v>
      </c>
      <c r="X103" s="10">
        <f>IFERROR(_xlfn.XLOOKUP($A103,Input_Raw!$E:$E,Input_Raw!BG:BG),"")</f>
        <v>958084</v>
      </c>
      <c r="Y103" s="10">
        <f>IFERROR(_xlfn.XLOOKUP($A103,Input_Raw!$E:$E,Input_Raw!DF:DF),"")</f>
        <v>922514.99999998254</v>
      </c>
      <c r="Z103" s="319">
        <f>IFERROR(_xlfn.XLOOKUP(A103,Input_Raw!E:E,Input_Raw!CT:CT)/_xlfn.XLOOKUP(A103,Input_Raw!E:E,Input_Raw!CS:CS)*Table13[[#This Row],[Mtr_Export (kWh)]],"")</f>
        <v>0</v>
      </c>
      <c r="AA103" s="43">
        <f t="shared" si="13"/>
        <v>922514.99999998254</v>
      </c>
      <c r="AB103" s="10">
        <f>IFERROR(_xlfn.XLOOKUP($A103,Input_Raw!$E:$E,Input_Raw!$CZ:$CZ),"")</f>
        <v>50.6</v>
      </c>
      <c r="AC103" s="313">
        <f>IFERROR(_xlfn.XLOOKUP($D103,'Modelling New'!$D:$D,'Modelling New'!$J:$J),"")</f>
        <v>10.303759359817088</v>
      </c>
      <c r="AD103" s="43">
        <f>IFERROR(_xlfn.XLOOKUP($D103,'Modelling New'!$D:$D,'Modelling New'!$T:$T)*1000,"")</f>
        <v>815983.22580645164</v>
      </c>
      <c r="AE103" s="312"/>
      <c r="AF103" s="312">
        <f>IFERROR(_xlfn.XLOOKUP($D103,'Modelling New'!$D:$D,'Modelling New'!$W:$W),"")</f>
        <v>0.6719229461515579</v>
      </c>
      <c r="AG103" s="312">
        <f>IFERROR(_xlfn.XLOOKUP($D103,'Modelling New'!$D:$D,'Modelling New'!$AE:$AE),"")</f>
        <v>0.95549849999999992</v>
      </c>
      <c r="AH103" s="312">
        <f>IFERROR(_xlfn.XLOOKUP($D103,'Modelling New'!$D:$D,'Modelling New'!$AF:$AF),"")</f>
        <v>0.995</v>
      </c>
      <c r="AI103" s="10">
        <f>IFERROR(_xlfn.XLOOKUP($A103,Input_Raw!$E:$E,Input_Raw!$DG:$DG),"")</f>
        <v>957.73</v>
      </c>
      <c r="AJ103" s="10"/>
      <c r="AK103" s="10"/>
      <c r="AL103" s="10"/>
      <c r="AM103" s="10"/>
      <c r="AN103" s="314">
        <f>IFERROR(_xlfn.XLOOKUP($A103,Input_Raw!$E:$E,Input_Raw!$CY:$CY),"")</f>
        <v>8.3333333332951121E-3</v>
      </c>
      <c r="AO103" s="312">
        <f>IFERROR((_xlfn.XLOOKUP($A103,'WTG Reactive Power'!$A:$A,'WTG Reactive Power'!AB:AB))/X103,"")</f>
        <v>1.6811573932974565E-2</v>
      </c>
      <c r="AP103" s="312">
        <f>IFERROR(_xlfn.XLOOKUP($D103,'Modelling New'!$D:$D,'Modelling New'!AK:AK),"")</f>
        <v>0.05</v>
      </c>
      <c r="AQ103" s="312">
        <f>IFERROR(_xlfn.XLOOKUP($D103,'Modelling New'!$D:$D,'Modelling New'!AL:AL),"")</f>
        <v>0.05</v>
      </c>
      <c r="AR103" s="325">
        <f>IFERROR(_xlfn.XLOOKUP($D103,'Modelling New'!$D:$D,'Modelling New'!$N:$N),"")</f>
        <v>50.59999999999998</v>
      </c>
      <c r="AS103" s="325"/>
    </row>
    <row r="104" spans="1:45">
      <c r="A104" s="32">
        <f t="shared" si="14"/>
        <v>45847</v>
      </c>
      <c r="B104" s="43">
        <f>YEAR(Table13[[#This Row],[Date]])+IF(MONTH(Table13[[#This Row],[Date]])&gt;=4,1,0)</f>
        <v>2026</v>
      </c>
      <c r="C104" s="10">
        <f>YEAR(Table13[[#This Row],[Date]])</f>
        <v>2025</v>
      </c>
      <c r="D104" s="309">
        <f>Table13[[#This Row],[Date]]-DAY(Table13[[#This Row],[Date]])+1</f>
        <v>45839</v>
      </c>
      <c r="E104" s="10">
        <f t="shared" si="10"/>
        <v>31</v>
      </c>
      <c r="F104" s="241">
        <f>IFERROR(_xlfn.XLOOKUP($A104,Input_Raw!$E:$E,Input_Raw!DC:DC),"")</f>
        <v>12.183333333333335</v>
      </c>
      <c r="G104" s="313"/>
      <c r="H104" s="313"/>
      <c r="I104" s="313"/>
      <c r="J104" s="313"/>
      <c r="K104" s="243"/>
      <c r="L104" s="242"/>
      <c r="M104" s="242">
        <f>IFERROR(_xlfn.XLOOKUP($A104,Input_Raw!$E:$E,Input_Raw!$BM:$BM),"")</f>
        <v>9.1043478260869541</v>
      </c>
      <c r="N104" s="242">
        <f>IFERROR(_xlfn.XLOOKUP($A104,Input_Raw!$E:$E,Input_Raw!$BN:$BN),"")</f>
        <v>9.9</v>
      </c>
      <c r="O104" s="311">
        <f t="shared" si="11"/>
        <v>0.99216999645895876</v>
      </c>
      <c r="P104" s="311">
        <f>IFERROR(1-SUMIF(WTG_BD!$F:$F,$A104,WTG_BD!$AA:$AA)/($AA104+SUMIF(WTG_BD!$F:$F,$A104,WTG_BD!$AA:$AA)),"")</f>
        <v>0.99216999645895876</v>
      </c>
      <c r="Q104" s="328">
        <f>IFERROR(1-SUMIF(IGA_BD!$F:$F,$A104,IGA_BD!$W:$W)/($AA104+SUMIF(IGA_BD!$F:$F,$A104,IGA_BD!$W:$W)),"")</f>
        <v>1</v>
      </c>
      <c r="R104" s="47">
        <f>IFERROR(1-SUMIF(Grid_BD!$F:$F,$A104,Grid_BD!$Y:$Y)/($AA104+SUMIF(Grid_BD!$F:$F,$A104,Grid_BD!$Y:$Y)),"")</f>
        <v>1</v>
      </c>
      <c r="S104" s="10"/>
      <c r="T104" s="310"/>
      <c r="U104" s="311"/>
      <c r="V104" s="10"/>
      <c r="W104" s="312">
        <f t="shared" si="12"/>
        <v>0.76919137022397921</v>
      </c>
      <c r="X104" s="10">
        <f>IFERROR(_xlfn.XLOOKUP($A104,Input_Raw!$E:$E,Input_Raw!BG:BG),"")</f>
        <v>934106</v>
      </c>
      <c r="Y104" s="10">
        <f>IFERROR(_xlfn.XLOOKUP($A104,Input_Raw!$E:$E,Input_Raw!DF:DF),"")</f>
        <v>899415.00000001304</v>
      </c>
      <c r="Z104" s="319">
        <f>IFERROR(_xlfn.XLOOKUP(A104,Input_Raw!E:E,Input_Raw!CT:CT)/_xlfn.XLOOKUP(A104,Input_Raw!E:E,Input_Raw!CS:CS)*Table13[[#This Row],[Mtr_Export (kWh)]],"")</f>
        <v>0</v>
      </c>
      <c r="AA104" s="43">
        <f t="shared" si="13"/>
        <v>899415.00000001304</v>
      </c>
      <c r="AB104" s="10">
        <f>IFERROR(_xlfn.XLOOKUP($A104,Input_Raw!$E:$E,Input_Raw!$CZ:$CZ),"")</f>
        <v>50.6</v>
      </c>
      <c r="AC104" s="313">
        <f>IFERROR(_xlfn.XLOOKUP($D104,'Modelling New'!$D:$D,'Modelling New'!$J:$J),"")</f>
        <v>10.303759359817088</v>
      </c>
      <c r="AD104" s="43">
        <f>IFERROR(_xlfn.XLOOKUP($D104,'Modelling New'!$D:$D,'Modelling New'!$T:$T)*1000,"")</f>
        <v>815983.22580645164</v>
      </c>
      <c r="AE104" s="312"/>
      <c r="AF104" s="312">
        <f>IFERROR(_xlfn.XLOOKUP($D104,'Modelling New'!$D:$D,'Modelling New'!$W:$W),"")</f>
        <v>0.6719229461515579</v>
      </c>
      <c r="AG104" s="312">
        <f>IFERROR(_xlfn.XLOOKUP($D104,'Modelling New'!$D:$D,'Modelling New'!$AE:$AE),"")</f>
        <v>0.95549849999999992</v>
      </c>
      <c r="AH104" s="312">
        <f>IFERROR(_xlfn.XLOOKUP($D104,'Modelling New'!$D:$D,'Modelling New'!$AF:$AF),"")</f>
        <v>0.995</v>
      </c>
      <c r="AI104" s="10">
        <f>IFERROR(_xlfn.XLOOKUP($A104,Input_Raw!$E:$E,Input_Raw!$DG:$DG),"")</f>
        <v>934.11</v>
      </c>
      <c r="AJ104" s="10"/>
      <c r="AK104" s="10"/>
      <c r="AL104" s="10"/>
      <c r="AM104" s="10"/>
      <c r="AN104" s="314">
        <f>IFERROR(_xlfn.XLOOKUP($A104,Input_Raw!$E:$E,Input_Raw!$CY:$CY),"")</f>
        <v>6.9075451647460095E-3</v>
      </c>
      <c r="AO104" s="312">
        <f>IFERROR((_xlfn.XLOOKUP($A104,'WTG Reactive Power'!$A:$A,'WTG Reactive Power'!AB:AB))/X104,"")</f>
        <v>5.8035490618837692E-2</v>
      </c>
      <c r="AP104" s="312">
        <f>IFERROR(_xlfn.XLOOKUP($D104,'Modelling New'!$D:$D,'Modelling New'!AK:AK),"")</f>
        <v>0.05</v>
      </c>
      <c r="AQ104" s="312">
        <f>IFERROR(_xlfn.XLOOKUP($D104,'Modelling New'!$D:$D,'Modelling New'!AL:AL),"")</f>
        <v>0.05</v>
      </c>
      <c r="AR104" s="325">
        <f>IFERROR(_xlfn.XLOOKUP($D104,'Modelling New'!$D:$D,'Modelling New'!$N:$N),"")</f>
        <v>50.59999999999998</v>
      </c>
      <c r="AS104" s="325"/>
    </row>
    <row r="105" spans="1:45">
      <c r="A105" s="32">
        <f t="shared" si="14"/>
        <v>45848</v>
      </c>
      <c r="B105" s="43">
        <f>YEAR(Table13[[#This Row],[Date]])+IF(MONTH(Table13[[#This Row],[Date]])&gt;=4,1,0)</f>
        <v>2026</v>
      </c>
      <c r="C105" s="10">
        <f>YEAR(Table13[[#This Row],[Date]])</f>
        <v>2025</v>
      </c>
      <c r="D105" s="309">
        <f>Table13[[#This Row],[Date]]-DAY(Table13[[#This Row],[Date]])+1</f>
        <v>45839</v>
      </c>
      <c r="E105" s="10">
        <f t="shared" si="10"/>
        <v>31</v>
      </c>
      <c r="F105" s="241">
        <f>IFERROR(_xlfn.XLOOKUP($A105,Input_Raw!$E:$E,Input_Raw!DC:DC),"")</f>
        <v>12.2</v>
      </c>
      <c r="G105" s="242"/>
      <c r="H105" s="242"/>
      <c r="I105" s="242"/>
      <c r="J105" s="242"/>
      <c r="K105" s="243"/>
      <c r="L105" s="242"/>
      <c r="M105" s="242">
        <f>IFERROR(_xlfn.XLOOKUP($A105,Input_Raw!$E:$E,Input_Raw!$BM:$BM),"")</f>
        <v>7.9565217391304346</v>
      </c>
      <c r="N105" s="242">
        <f>IFERROR(_xlfn.XLOOKUP($A105,Input_Raw!$E:$E,Input_Raw!$BN:$BN),"")</f>
        <v>8.6</v>
      </c>
      <c r="O105" s="311">
        <f t="shared" si="11"/>
        <v>1</v>
      </c>
      <c r="P105" s="311">
        <f>IFERROR(1-SUMIF(WTG_BD!$F:$F,$A105,WTG_BD!$AA:$AA)/($AA105+SUMIF(WTG_BD!$F:$F,$A105,WTG_BD!$AA:$AA)),"")</f>
        <v>1</v>
      </c>
      <c r="Q105" s="328">
        <f>IFERROR(1-SUMIF(IGA_BD!$F:$F,$A105,IGA_BD!$W:$W)/($AA105+SUMIF(IGA_BD!$F:$F,$A105,IGA_BD!$W:$W)),"")</f>
        <v>1</v>
      </c>
      <c r="R105" s="311">
        <f>IFERROR(1-SUMIF(Grid_BD!$F:$F,$A105,Grid_BD!$Y:$Y)/($AA105+SUMIF(Grid_BD!$F:$F,$A105,Grid_BD!$Y:$Y)),"")</f>
        <v>1</v>
      </c>
      <c r="S105" s="10"/>
      <c r="T105" s="310"/>
      <c r="U105" s="311"/>
      <c r="V105" s="10"/>
      <c r="W105" s="312">
        <f t="shared" si="12"/>
        <v>0.61372200263504639</v>
      </c>
      <c r="X105" s="10">
        <f>IFERROR(_xlfn.XLOOKUP($A105,Input_Raw!$E:$E,Input_Raw!BG:BG),"")</f>
        <v>745304</v>
      </c>
      <c r="Y105" s="10">
        <f>IFERROR(_xlfn.XLOOKUP($A105,Input_Raw!$E:$E,Input_Raw!DF:DF),"")</f>
        <v>719894.99999999057</v>
      </c>
      <c r="Z105" s="319">
        <f>IFERROR(_xlfn.XLOOKUP(A105,Input_Raw!E:E,Input_Raw!CT:CT)/_xlfn.XLOOKUP(A105,Input_Raw!E:E,Input_Raw!CS:CS)*Table13[[#This Row],[Mtr_Export (kWh)]],"")</f>
        <v>0</v>
      </c>
      <c r="AA105" s="43">
        <f t="shared" si="13"/>
        <v>719894.99999999057</v>
      </c>
      <c r="AB105" s="10">
        <f>IFERROR(_xlfn.XLOOKUP($A105,Input_Raw!$E:$E,Input_Raw!$CZ:$CZ),"")</f>
        <v>50.6</v>
      </c>
      <c r="AC105" s="313">
        <f>IFERROR(_xlfn.XLOOKUP($D105,'Modelling New'!$D:$D,'Modelling New'!$J:$J),"")</f>
        <v>10.303759359817088</v>
      </c>
      <c r="AD105" s="43">
        <f>IFERROR(_xlfn.XLOOKUP($D105,'Modelling New'!$D:$D,'Modelling New'!$T:$T)*1000,"")</f>
        <v>815983.22580645164</v>
      </c>
      <c r="AE105" s="312"/>
      <c r="AF105" s="312">
        <f>IFERROR(_xlfn.XLOOKUP($D105,'Modelling New'!$D:$D,'Modelling New'!$W:$W),"")</f>
        <v>0.6719229461515579</v>
      </c>
      <c r="AG105" s="312">
        <f>IFERROR(_xlfn.XLOOKUP($D105,'Modelling New'!$D:$D,'Modelling New'!$AE:$AE),"")</f>
        <v>0.95549849999999992</v>
      </c>
      <c r="AH105" s="312">
        <f>IFERROR(_xlfn.XLOOKUP($D105,'Modelling New'!$D:$D,'Modelling New'!$AF:$AF),"")</f>
        <v>0.995</v>
      </c>
      <c r="AI105" s="10">
        <f>IFERROR(_xlfn.XLOOKUP($A105,Input_Raw!$E:$E,Input_Raw!$DG:$DG),"")</f>
        <v>745.32</v>
      </c>
      <c r="AJ105" s="10"/>
      <c r="AK105" s="10"/>
      <c r="AL105" s="10"/>
      <c r="AM105" s="10"/>
      <c r="AN105" s="314">
        <f>IFERROR(_xlfn.XLOOKUP($A105,Input_Raw!$E:$E,Input_Raw!$CY:$CY),"")</f>
        <v>7.147024504051247E-3</v>
      </c>
      <c r="AO105" s="312">
        <f>IFERROR((_xlfn.XLOOKUP($A105,'WTG Reactive Power'!$A:$A,'WTG Reactive Power'!AB:AB))/X105,"")</f>
        <v>4.5174049783712408E-2</v>
      </c>
      <c r="AP105" s="312">
        <f>IFERROR(_xlfn.XLOOKUP($D105,'Modelling New'!$D:$D,'Modelling New'!AK:AK),"")</f>
        <v>0.05</v>
      </c>
      <c r="AQ105" s="312">
        <f>IFERROR(_xlfn.XLOOKUP($D105,'Modelling New'!$D:$D,'Modelling New'!AL:AL),"")</f>
        <v>0.05</v>
      </c>
      <c r="AR105" s="325">
        <f>IFERROR(_xlfn.XLOOKUP($D105,'Modelling New'!$D:$D,'Modelling New'!$N:$N),"")</f>
        <v>50.59999999999998</v>
      </c>
      <c r="AS105" s="325"/>
    </row>
    <row r="106" spans="1:45">
      <c r="A106" s="32">
        <f t="shared" si="14"/>
        <v>45849</v>
      </c>
      <c r="B106" s="43">
        <f>YEAR(Table13[[#This Row],[Date]])+IF(MONTH(Table13[[#This Row],[Date]])&gt;=4,1,0)</f>
        <v>2026</v>
      </c>
      <c r="C106" s="10">
        <f>YEAR(Table13[[#This Row],[Date]])</f>
        <v>2025</v>
      </c>
      <c r="D106" s="309">
        <f>Table13[[#This Row],[Date]]-DAY(Table13[[#This Row],[Date]])+1</f>
        <v>45839</v>
      </c>
      <c r="E106" s="10">
        <f t="shared" si="10"/>
        <v>31</v>
      </c>
      <c r="F106" s="241">
        <f>IFERROR(_xlfn.XLOOKUP($A106,Input_Raw!$E:$E,Input_Raw!DC:DC),"")</f>
        <v>12.1</v>
      </c>
      <c r="G106" s="313"/>
      <c r="H106" s="313"/>
      <c r="I106" s="313"/>
      <c r="J106" s="313"/>
      <c r="K106" s="243"/>
      <c r="L106" s="242"/>
      <c r="M106" s="242">
        <f>IFERROR(_xlfn.XLOOKUP($A106,Input_Raw!$E:$E,Input_Raw!$BM:$BM),"")</f>
        <v>7.0652173913043477</v>
      </c>
      <c r="N106" s="242">
        <f>IFERROR(_xlfn.XLOOKUP($A106,Input_Raw!$E:$E,Input_Raw!$BN:$BN),"")</f>
        <v>7.6</v>
      </c>
      <c r="O106" s="311">
        <f t="shared" si="11"/>
        <v>0.99464102029129764</v>
      </c>
      <c r="P106" s="311">
        <f>IFERROR(1-SUMIF(WTG_BD!$F:$F,$A106,WTG_BD!$AA:$AA)/($AA106+SUMIF(WTG_BD!$F:$F,$A106,WTG_BD!$AA:$AA)),"")</f>
        <v>0.99841317777463667</v>
      </c>
      <c r="Q106" s="328">
        <f>IFERROR(1-SUMIF(IGA_BD!$F:$F,$A106,IGA_BD!$W:$W)/($AA106+SUMIF(IGA_BD!$F:$F,$A106,IGA_BD!$W:$W)),"")</f>
        <v>0.99622184725992224</v>
      </c>
      <c r="R106" s="47">
        <f>IFERROR(1-SUMIF(Grid_BD!$F:$F,$A106,Grid_BD!$Y:$Y)/($AA106+SUMIF(Grid_BD!$F:$F,$A106,Grid_BD!$Y:$Y)),"")</f>
        <v>1</v>
      </c>
      <c r="S106" s="10"/>
      <c r="T106" s="310"/>
      <c r="U106" s="311"/>
      <c r="V106" s="10"/>
      <c r="W106" s="312">
        <f t="shared" si="12"/>
        <v>0.46233942687747054</v>
      </c>
      <c r="X106" s="10">
        <f>IFERROR(_xlfn.XLOOKUP($A106,Input_Raw!$E:$E,Input_Raw!BG:BG),"")</f>
        <v>561465</v>
      </c>
      <c r="Y106" s="10">
        <f>IFERROR(_xlfn.XLOOKUP($A106,Input_Raw!$E:$E,Input_Raw!DF:DF),"")</f>
        <v>543180.00000000489</v>
      </c>
      <c r="Z106" s="319">
        <f>IFERROR(_xlfn.XLOOKUP(A106,Input_Raw!E:E,Input_Raw!CT:CT)/_xlfn.XLOOKUP(A106,Input_Raw!E:E,Input_Raw!CS:CS)*Table13[[#This Row],[Mtr_Export (kWh)]],"")</f>
        <v>0</v>
      </c>
      <c r="AA106" s="43">
        <f t="shared" si="13"/>
        <v>543180.00000000489</v>
      </c>
      <c r="AB106" s="10">
        <f>IFERROR(_xlfn.XLOOKUP($A106,Input_Raw!$E:$E,Input_Raw!$CZ:$CZ),"")</f>
        <v>50.6</v>
      </c>
      <c r="AC106" s="313">
        <f>IFERROR(_xlfn.XLOOKUP($D106,'Modelling New'!$D:$D,'Modelling New'!$J:$J),"")</f>
        <v>10.303759359817088</v>
      </c>
      <c r="AD106" s="43">
        <f>IFERROR(_xlfn.XLOOKUP($D106,'Modelling New'!$D:$D,'Modelling New'!$T:$T)*1000,"")</f>
        <v>815983.22580645164</v>
      </c>
      <c r="AE106" s="312"/>
      <c r="AF106" s="312">
        <f>IFERROR(_xlfn.XLOOKUP($D106,'Modelling New'!$D:$D,'Modelling New'!$W:$W),"")</f>
        <v>0.6719229461515579</v>
      </c>
      <c r="AG106" s="312">
        <f>IFERROR(_xlfn.XLOOKUP($D106,'Modelling New'!$D:$D,'Modelling New'!$AE:$AE),"")</f>
        <v>0.95549849999999992</v>
      </c>
      <c r="AH106" s="312">
        <f>IFERROR(_xlfn.XLOOKUP($D106,'Modelling New'!$D:$D,'Modelling New'!$AF:$AF),"")</f>
        <v>0.995</v>
      </c>
      <c r="AI106" s="10">
        <f>IFERROR(_xlfn.XLOOKUP($A106,Input_Raw!$E:$E,Input_Raw!$DG:$DG),"")</f>
        <v>562.92999999999995</v>
      </c>
      <c r="AJ106" s="10"/>
      <c r="AK106" s="10"/>
      <c r="AL106" s="10"/>
      <c r="AM106" s="10"/>
      <c r="AN106" s="314">
        <f>IFERROR(_xlfn.XLOOKUP($A106,Input_Raw!$E:$E,Input_Raw!$CY:$CY),"")</f>
        <v>5.5120910384431898E-3</v>
      </c>
      <c r="AO106" s="312">
        <f>IFERROR((_xlfn.XLOOKUP($A106,'WTG Reactive Power'!$A:$A,'WTG Reactive Power'!AB:AB))/X106,"")</f>
        <v>7.4572947556837924E-2</v>
      </c>
      <c r="AP106" s="312">
        <f>IFERROR(_xlfn.XLOOKUP($D106,'Modelling New'!$D:$D,'Modelling New'!AK:AK),"")</f>
        <v>0.05</v>
      </c>
      <c r="AQ106" s="312">
        <f>IFERROR(_xlfn.XLOOKUP($D106,'Modelling New'!$D:$D,'Modelling New'!AL:AL),"")</f>
        <v>0.05</v>
      </c>
      <c r="AR106" s="325">
        <f>IFERROR(_xlfn.XLOOKUP($D106,'Modelling New'!$D:$D,'Modelling New'!$N:$N),"")</f>
        <v>50.59999999999998</v>
      </c>
      <c r="AS106" s="325"/>
    </row>
    <row r="107" spans="1:45">
      <c r="A107" s="32">
        <f t="shared" si="14"/>
        <v>45850</v>
      </c>
      <c r="B107" s="43">
        <f>YEAR(Table13[[#This Row],[Date]])+IF(MONTH(Table13[[#This Row],[Date]])&gt;=4,1,0)</f>
        <v>2026</v>
      </c>
      <c r="C107" s="10">
        <f>YEAR(Table13[[#This Row],[Date]])</f>
        <v>2025</v>
      </c>
      <c r="D107" s="309">
        <f>Table13[[#This Row],[Date]]-DAY(Table13[[#This Row],[Date]])+1</f>
        <v>45839</v>
      </c>
      <c r="E107" s="10">
        <f t="shared" si="10"/>
        <v>31</v>
      </c>
      <c r="F107" s="241">
        <f>IFERROR(_xlfn.XLOOKUP($A107,Input_Raw!$E:$E,Input_Raw!DC:DC),"")</f>
        <v>12.250000000000002</v>
      </c>
      <c r="G107" s="242"/>
      <c r="H107" s="242"/>
      <c r="I107" s="242"/>
      <c r="J107" s="242"/>
      <c r="K107" s="243"/>
      <c r="L107" s="242"/>
      <c r="M107" s="242">
        <f>IFERROR(_xlfn.XLOOKUP($A107,Input_Raw!$E:$E,Input_Raw!$BM:$BM),"")</f>
        <v>7.5956521739130443</v>
      </c>
      <c r="N107" s="242">
        <f>IFERROR(_xlfn.XLOOKUP($A107,Input_Raw!$E:$E,Input_Raw!$BN:$BN),"")</f>
        <v>8.1999999999999993</v>
      </c>
      <c r="O107" s="311">
        <f t="shared" si="11"/>
        <v>0.95081043085720618</v>
      </c>
      <c r="P107" s="311">
        <f>IFERROR(1-SUMIF(WTG_BD!$F:$F,$A107,WTG_BD!$AA:$AA)/($AA107+SUMIF(WTG_BD!$F:$F,$A107,WTG_BD!$AA:$AA)),"")</f>
        <v>0.99844203287847855</v>
      </c>
      <c r="Q107" s="328">
        <f>IFERROR(1-SUMIF(IGA_BD!$F:$F,$A107,IGA_BD!$W:$W)/($AA107+SUMIF(IGA_BD!$F:$F,$A107,IGA_BD!$W:$W)),"")</f>
        <v>0.95229407371407238</v>
      </c>
      <c r="R107" s="311">
        <f>IFERROR(1-SUMIF(Grid_BD!$F:$F,$A107,Grid_BD!$Y:$Y)/($AA107+SUMIF(Grid_BD!$F:$F,$A107,Grid_BD!$Y:$Y)),"")</f>
        <v>1</v>
      </c>
      <c r="S107" s="10"/>
      <c r="T107" s="310"/>
      <c r="U107" s="311"/>
      <c r="V107" s="10"/>
      <c r="W107" s="312">
        <f t="shared" si="12"/>
        <v>0.52109724967061932</v>
      </c>
      <c r="X107" s="10">
        <f>IFERROR(_xlfn.XLOOKUP($A107,Input_Raw!$E:$E,Input_Raw!BG:BG),"")</f>
        <v>632820.49999999988</v>
      </c>
      <c r="Y107" s="10">
        <f>IFERROR(_xlfn.XLOOKUP($A107,Input_Raw!$E:$E,Input_Raw!DF:DF),"")</f>
        <v>613305.00000000675</v>
      </c>
      <c r="Z107" s="319">
        <f>IFERROR(_xlfn.XLOOKUP(A107,Input_Raw!E:E,Input_Raw!CT:CT)/_xlfn.XLOOKUP(A107,Input_Raw!E:E,Input_Raw!CS:CS)*Table13[[#This Row],[Mtr_Export (kWh)]],"")</f>
        <v>0</v>
      </c>
      <c r="AA107" s="43">
        <f t="shared" si="13"/>
        <v>613305.00000000675</v>
      </c>
      <c r="AB107" s="10">
        <f>IFERROR(_xlfn.XLOOKUP($A107,Input_Raw!$E:$E,Input_Raw!$CZ:$CZ),"")</f>
        <v>50.6</v>
      </c>
      <c r="AC107" s="313">
        <f>IFERROR(_xlfn.XLOOKUP($D107,'Modelling New'!$D:$D,'Modelling New'!$J:$J),"")</f>
        <v>10.303759359817088</v>
      </c>
      <c r="AD107" s="43">
        <f>IFERROR(_xlfn.XLOOKUP($D107,'Modelling New'!$D:$D,'Modelling New'!$T:$T)*1000,"")</f>
        <v>815983.22580645164</v>
      </c>
      <c r="AE107" s="312"/>
      <c r="AF107" s="312">
        <f>IFERROR(_xlfn.XLOOKUP($D107,'Modelling New'!$D:$D,'Modelling New'!$W:$W),"")</f>
        <v>0.6719229461515579</v>
      </c>
      <c r="AG107" s="312">
        <f>IFERROR(_xlfn.XLOOKUP($D107,'Modelling New'!$D:$D,'Modelling New'!$AE:$AE),"")</f>
        <v>0.95549849999999992</v>
      </c>
      <c r="AH107" s="312">
        <f>IFERROR(_xlfn.XLOOKUP($D107,'Modelling New'!$D:$D,'Modelling New'!$AF:$AF),"")</f>
        <v>0.995</v>
      </c>
      <c r="AI107" s="10">
        <f>IFERROR(_xlfn.XLOOKUP($A107,Input_Raw!$E:$E,Input_Raw!$DG:$DG),"")</f>
        <v>639.03</v>
      </c>
      <c r="AJ107" s="10"/>
      <c r="AK107" s="10"/>
      <c r="AL107" s="10"/>
      <c r="AM107" s="10"/>
      <c r="AN107" s="314">
        <f>IFERROR(_xlfn.XLOOKUP($A107,Input_Raw!$E:$E,Input_Raw!$CY:$CY),"")</f>
        <v>8.4102902374918465E-3</v>
      </c>
      <c r="AO107" s="312">
        <f>IFERROR((_xlfn.XLOOKUP($A107,'WTG Reactive Power'!$A:$A,'WTG Reactive Power'!AB:AB))/X107,"")</f>
        <v>8.8292967753099028E-2</v>
      </c>
      <c r="AP107" s="312">
        <f>IFERROR(_xlfn.XLOOKUP($D107,'Modelling New'!$D:$D,'Modelling New'!AK:AK),"")</f>
        <v>0.05</v>
      </c>
      <c r="AQ107" s="312">
        <f>IFERROR(_xlfn.XLOOKUP($D107,'Modelling New'!$D:$D,'Modelling New'!AL:AL),"")</f>
        <v>0.05</v>
      </c>
      <c r="AR107" s="325">
        <f>IFERROR(_xlfn.XLOOKUP($D107,'Modelling New'!$D:$D,'Modelling New'!$N:$N),"")</f>
        <v>50.59999999999998</v>
      </c>
      <c r="AS107" s="325"/>
    </row>
    <row r="108" spans="1:45">
      <c r="A108" s="32">
        <f t="shared" si="14"/>
        <v>45851</v>
      </c>
      <c r="B108" s="43">
        <f>YEAR(Table13[[#This Row],[Date]])+IF(MONTH(Table13[[#This Row],[Date]])&gt;=4,1,0)</f>
        <v>2026</v>
      </c>
      <c r="C108" s="10">
        <f>YEAR(Table13[[#This Row],[Date]])</f>
        <v>2025</v>
      </c>
      <c r="D108" s="309">
        <f>Table13[[#This Row],[Date]]-DAY(Table13[[#This Row],[Date]])+1</f>
        <v>45839</v>
      </c>
      <c r="E108" s="10">
        <f t="shared" si="10"/>
        <v>31</v>
      </c>
      <c r="F108" s="241">
        <f>IFERROR(_xlfn.XLOOKUP($A108,Input_Raw!$E:$E,Input_Raw!DC:DC),"")</f>
        <v>11.966666666666665</v>
      </c>
      <c r="G108" s="313"/>
      <c r="H108" s="313"/>
      <c r="I108" s="313"/>
      <c r="J108" s="313"/>
      <c r="K108" s="243"/>
      <c r="L108" s="242"/>
      <c r="M108" s="242">
        <f>IFERROR(_xlfn.XLOOKUP($A108,Input_Raw!$E:$E,Input_Raw!$BM:$BM),"")</f>
        <v>8.0652173913043477</v>
      </c>
      <c r="N108" s="242">
        <f>IFERROR(_xlfn.XLOOKUP($A108,Input_Raw!$E:$E,Input_Raw!$BN:$BN),"")</f>
        <v>8.8000000000000007</v>
      </c>
      <c r="O108" s="311">
        <f t="shared" si="11"/>
        <v>1</v>
      </c>
      <c r="P108" s="311">
        <f>IFERROR(1-SUMIF(WTG_BD!$F:$F,$A108,WTG_BD!$AA:$AA)/($AA108+SUMIF(WTG_BD!$F:$F,$A108,WTG_BD!$AA:$AA)),"")</f>
        <v>1</v>
      </c>
      <c r="Q108" s="328">
        <f>IFERROR(1-SUMIF(IGA_BD!$F:$F,$A108,IGA_BD!$W:$W)/($AA108+SUMIF(IGA_BD!$F:$F,$A108,IGA_BD!$W:$W)),"")</f>
        <v>1</v>
      </c>
      <c r="R108" s="47">
        <f>IFERROR(1-SUMIF(Grid_BD!$F:$F,$A108,Grid_BD!$Y:$Y)/($AA108+SUMIF(Grid_BD!$F:$F,$A108,Grid_BD!$Y:$Y)),"")</f>
        <v>1</v>
      </c>
      <c r="S108" s="10"/>
      <c r="T108" s="310"/>
      <c r="U108" s="311"/>
      <c r="V108" s="10"/>
      <c r="W108" s="312">
        <f t="shared" si="12"/>
        <v>0.63898320158102784</v>
      </c>
      <c r="X108" s="10">
        <f>IFERROR(_xlfn.XLOOKUP($A108,Input_Raw!$E:$E,Input_Raw!BG:BG),"")</f>
        <v>775981.2</v>
      </c>
      <c r="Y108" s="10">
        <f>IFERROR(_xlfn.XLOOKUP($A108,Input_Raw!$E:$E,Input_Raw!DF:DF),"")</f>
        <v>750584.99999998696</v>
      </c>
      <c r="Z108" s="319">
        <f>IFERROR(_xlfn.XLOOKUP(A108,Input_Raw!E:E,Input_Raw!CT:CT)/_xlfn.XLOOKUP(A108,Input_Raw!E:E,Input_Raw!CS:CS)*Table13[[#This Row],[Mtr_Export (kWh)]],"")</f>
        <v>0</v>
      </c>
      <c r="AA108" s="43">
        <f t="shared" si="13"/>
        <v>750584.99999998696</v>
      </c>
      <c r="AB108" s="10">
        <f>IFERROR(_xlfn.XLOOKUP($A108,Input_Raw!$E:$E,Input_Raw!$CZ:$CZ),"")</f>
        <v>50.6</v>
      </c>
      <c r="AC108" s="313">
        <f>IFERROR(_xlfn.XLOOKUP($D108,'Modelling New'!$D:$D,'Modelling New'!$J:$J),"")</f>
        <v>10.303759359817088</v>
      </c>
      <c r="AD108" s="43">
        <f>IFERROR(_xlfn.XLOOKUP($D108,'Modelling New'!$D:$D,'Modelling New'!$T:$T)*1000,"")</f>
        <v>815983.22580645164</v>
      </c>
      <c r="AE108" s="312"/>
      <c r="AF108" s="312">
        <f>IFERROR(_xlfn.XLOOKUP($D108,'Modelling New'!$D:$D,'Modelling New'!$W:$W),"")</f>
        <v>0.6719229461515579</v>
      </c>
      <c r="AG108" s="312">
        <f>IFERROR(_xlfn.XLOOKUP($D108,'Modelling New'!$D:$D,'Modelling New'!$AE:$AE),"")</f>
        <v>0.95549849999999992</v>
      </c>
      <c r="AH108" s="312">
        <f>IFERROR(_xlfn.XLOOKUP($D108,'Modelling New'!$D:$D,'Modelling New'!$AF:$AF),"")</f>
        <v>0.995</v>
      </c>
      <c r="AI108" s="10">
        <f>IFERROR(_xlfn.XLOOKUP($A108,Input_Raw!$E:$E,Input_Raw!$DG:$DG),"")</f>
        <v>775.97</v>
      </c>
      <c r="AJ108" s="10"/>
      <c r="AK108" s="10"/>
      <c r="AL108" s="10"/>
      <c r="AM108" s="10"/>
      <c r="AN108" s="314">
        <f>IFERROR(_xlfn.XLOOKUP($A108,Input_Raw!$E:$E,Input_Raw!$CY:$CY),"")</f>
        <v>5.1081730768620659E-3</v>
      </c>
      <c r="AO108" s="312">
        <f>IFERROR((_xlfn.XLOOKUP($A108,'WTG Reactive Power'!$A:$A,'WTG Reactive Power'!AB:AB))/X108,"")</f>
        <v>7.9092766680429888E-2</v>
      </c>
      <c r="AP108" s="312">
        <f>IFERROR(_xlfn.XLOOKUP($D108,'Modelling New'!$D:$D,'Modelling New'!AK:AK),"")</f>
        <v>0.05</v>
      </c>
      <c r="AQ108" s="312">
        <f>IFERROR(_xlfn.XLOOKUP($D108,'Modelling New'!$D:$D,'Modelling New'!AL:AL),"")</f>
        <v>0.05</v>
      </c>
      <c r="AR108" s="325">
        <f>IFERROR(_xlfn.XLOOKUP($D108,'Modelling New'!$D:$D,'Modelling New'!$N:$N),"")</f>
        <v>50.59999999999998</v>
      </c>
      <c r="AS108" s="325"/>
    </row>
    <row r="109" spans="1:45">
      <c r="A109" s="32">
        <f t="shared" si="14"/>
        <v>45852</v>
      </c>
      <c r="B109" s="43">
        <f>YEAR(Table13[[#This Row],[Date]])+IF(MONTH(Table13[[#This Row],[Date]])&gt;=4,1,0)</f>
        <v>2026</v>
      </c>
      <c r="C109" s="10">
        <f>YEAR(Table13[[#This Row],[Date]])</f>
        <v>2025</v>
      </c>
      <c r="D109" s="309">
        <f>Table13[[#This Row],[Date]]-DAY(Table13[[#This Row],[Date]])+1</f>
        <v>45839</v>
      </c>
      <c r="E109" s="10">
        <f t="shared" si="10"/>
        <v>31</v>
      </c>
      <c r="F109" s="241">
        <f>IFERROR(_xlfn.XLOOKUP($A109,Input_Raw!$E:$E,Input_Raw!DC:DC),"")</f>
        <v>12.183333333333335</v>
      </c>
      <c r="G109" s="242"/>
      <c r="H109" s="242"/>
      <c r="I109" s="242"/>
      <c r="J109" s="242"/>
      <c r="K109" s="243"/>
      <c r="L109" s="242"/>
      <c r="M109" s="242">
        <f>IFERROR(_xlfn.XLOOKUP($A109,Input_Raw!$E:$E,Input_Raw!$BM:$BM),"")</f>
        <v>9.195652173913043</v>
      </c>
      <c r="N109" s="242">
        <f>IFERROR(_xlfn.XLOOKUP($A109,Input_Raw!$E:$E,Input_Raw!$BN:$BN),"")</f>
        <v>9.8000000000000007</v>
      </c>
      <c r="O109" s="311">
        <f t="shared" si="11"/>
        <v>0.98922709758276339</v>
      </c>
      <c r="P109" s="311">
        <f>IFERROR(1-SUMIF(WTG_BD!$F:$F,$A109,WTG_BD!$AA:$AA)/($AA109+SUMIF(WTG_BD!$F:$F,$A109,WTG_BD!$AA:$AA)),"")</f>
        <v>0.98922709758276339</v>
      </c>
      <c r="Q109" s="328">
        <f>IFERROR(1-SUMIF(IGA_BD!$F:$F,$A109,IGA_BD!$W:$W)/($AA109+SUMIF(IGA_BD!$F:$F,$A109,IGA_BD!$W:$W)),"")</f>
        <v>1</v>
      </c>
      <c r="R109" s="311">
        <f>IFERROR(1-SUMIF(Grid_BD!$F:$F,$A109,Grid_BD!$Y:$Y)/($AA109+SUMIF(Grid_BD!$F:$F,$A109,Grid_BD!$Y:$Y)),"")</f>
        <v>1</v>
      </c>
      <c r="S109" s="10"/>
      <c r="T109" s="310"/>
      <c r="U109" s="311"/>
      <c r="V109" s="10"/>
      <c r="W109" s="312">
        <f t="shared" si="12"/>
        <v>0.7601257411067196</v>
      </c>
      <c r="X109" s="10">
        <f>IFERROR(_xlfn.XLOOKUP($A109,Input_Raw!$E:$E,Input_Raw!BG:BG),"")</f>
        <v>923096.7</v>
      </c>
      <c r="Y109" s="10">
        <f>IFERROR(_xlfn.XLOOKUP($A109,Input_Raw!$E:$E,Input_Raw!DF:DF),"")</f>
        <v>890340.00000000244</v>
      </c>
      <c r="Z109" s="319">
        <f>IFERROR(_xlfn.XLOOKUP(A109,Input_Raw!E:E,Input_Raw!CT:CT)/_xlfn.XLOOKUP(A109,Input_Raw!E:E,Input_Raw!CS:CS)*Table13[[#This Row],[Mtr_Export (kWh)]],"")</f>
        <v>0</v>
      </c>
      <c r="AA109" s="43">
        <f t="shared" si="13"/>
        <v>890340.00000000244</v>
      </c>
      <c r="AB109" s="10">
        <f>IFERROR(_xlfn.XLOOKUP($A109,Input_Raw!$E:$E,Input_Raw!$CZ:$CZ),"")</f>
        <v>50.6</v>
      </c>
      <c r="AC109" s="313">
        <f>IFERROR(_xlfn.XLOOKUP($D109,'Modelling New'!$D:$D,'Modelling New'!$J:$J),"")</f>
        <v>10.303759359817088</v>
      </c>
      <c r="AD109" s="43">
        <f>IFERROR(_xlfn.XLOOKUP($D109,'Modelling New'!$D:$D,'Modelling New'!$T:$T)*1000,"")</f>
        <v>815983.22580645164</v>
      </c>
      <c r="AE109" s="312"/>
      <c r="AF109" s="312">
        <f>IFERROR(_xlfn.XLOOKUP($D109,'Modelling New'!$D:$D,'Modelling New'!$W:$W),"")</f>
        <v>0.6719229461515579</v>
      </c>
      <c r="AG109" s="312">
        <f>IFERROR(_xlfn.XLOOKUP($D109,'Modelling New'!$D:$D,'Modelling New'!$AE:$AE),"")</f>
        <v>0.95549849999999992</v>
      </c>
      <c r="AH109" s="312">
        <f>IFERROR(_xlfn.XLOOKUP($D109,'Modelling New'!$D:$D,'Modelling New'!$AF:$AF),"")</f>
        <v>0.995</v>
      </c>
      <c r="AI109" s="10">
        <f>IFERROR(_xlfn.XLOOKUP($A109,Input_Raw!$E:$E,Input_Raw!$DG:$DG),"")</f>
        <v>923.1</v>
      </c>
      <c r="AJ109" s="10"/>
      <c r="AK109" s="10"/>
      <c r="AL109" s="10"/>
      <c r="AM109" s="10"/>
      <c r="AN109" s="314">
        <f>IFERROR(_xlfn.XLOOKUP($A109,Input_Raw!$E:$E,Input_Raw!$CY:$CY),"")</f>
        <v>8.2304526749179541E-3</v>
      </c>
      <c r="AO109" s="312">
        <f>IFERROR((_xlfn.XLOOKUP($A109,'WTG Reactive Power'!$A:$A,'WTG Reactive Power'!AB:AB))/X109,"")</f>
        <v>0.13531951744600537</v>
      </c>
      <c r="AP109" s="312">
        <f>IFERROR(_xlfn.XLOOKUP($D109,'Modelling New'!$D:$D,'Modelling New'!AK:AK),"")</f>
        <v>0.05</v>
      </c>
      <c r="AQ109" s="312">
        <f>IFERROR(_xlfn.XLOOKUP($D109,'Modelling New'!$D:$D,'Modelling New'!AL:AL),"")</f>
        <v>0.05</v>
      </c>
      <c r="AR109" s="325">
        <f>IFERROR(_xlfn.XLOOKUP($D109,'Modelling New'!$D:$D,'Modelling New'!$N:$N),"")</f>
        <v>50.59999999999998</v>
      </c>
      <c r="AS109" s="325"/>
    </row>
    <row r="110" spans="1:45">
      <c r="A110" s="32">
        <f t="shared" si="14"/>
        <v>45853</v>
      </c>
      <c r="B110" s="43">
        <f>YEAR(Table13[[#This Row],[Date]])+IF(MONTH(Table13[[#This Row],[Date]])&gt;=4,1,0)</f>
        <v>2026</v>
      </c>
      <c r="C110" s="10">
        <f>YEAR(Table13[[#This Row],[Date]])</f>
        <v>2025</v>
      </c>
      <c r="D110" s="309">
        <f>Table13[[#This Row],[Date]]-DAY(Table13[[#This Row],[Date]])+1</f>
        <v>45839</v>
      </c>
      <c r="E110" s="10">
        <f t="shared" si="10"/>
        <v>31</v>
      </c>
      <c r="F110" s="241">
        <f>IFERROR(_xlfn.XLOOKUP($A110,Input_Raw!$E:$E,Input_Raw!DC:DC),"")</f>
        <v>12.033333333333333</v>
      </c>
      <c r="G110" s="313"/>
      <c r="H110" s="313"/>
      <c r="I110" s="313"/>
      <c r="J110" s="313"/>
      <c r="K110" s="243"/>
      <c r="L110" s="242"/>
      <c r="M110" s="242">
        <f>IFERROR(_xlfn.XLOOKUP($A110,Input_Raw!$E:$E,Input_Raw!$BM:$BM),"")</f>
        <v>8.6913043478260903</v>
      </c>
      <c r="N110" s="242">
        <f>IFERROR(_xlfn.XLOOKUP($A110,Input_Raw!$E:$E,Input_Raw!$BN:$BN),"")</f>
        <v>9.4</v>
      </c>
      <c r="O110" s="311">
        <f t="shared" si="11"/>
        <v>0.96977658170722814</v>
      </c>
      <c r="P110" s="311">
        <f>IFERROR(1-SUMIF(WTG_BD!$F:$F,$A110,WTG_BD!$AA:$AA)/($AA110+SUMIF(WTG_BD!$F:$F,$A110,WTG_BD!$AA:$AA)),"")</f>
        <v>0.96977658170722814</v>
      </c>
      <c r="Q110" s="328">
        <f>IFERROR(1-SUMIF(IGA_BD!$F:$F,$A110,IGA_BD!$W:$W)/($AA110+SUMIF(IGA_BD!$F:$F,$A110,IGA_BD!$W:$W)),"")</f>
        <v>1</v>
      </c>
      <c r="R110" s="47">
        <f>IFERROR(1-SUMIF(Grid_BD!$F:$F,$A110,Grid_BD!$Y:$Y)/($AA110+SUMIF(Grid_BD!$F:$F,$A110,Grid_BD!$Y:$Y)),"")</f>
        <v>1</v>
      </c>
      <c r="S110" s="10"/>
      <c r="T110" s="310"/>
      <c r="U110" s="311"/>
      <c r="V110" s="10"/>
      <c r="W110" s="312">
        <f t="shared" si="12"/>
        <v>0.69897636693017151</v>
      </c>
      <c r="X110" s="10">
        <f>IFERROR(_xlfn.XLOOKUP($A110,Input_Raw!$E:$E,Input_Raw!BG:BG),"")</f>
        <v>848836.9</v>
      </c>
      <c r="Y110" s="10">
        <f>IFERROR(_xlfn.XLOOKUP($A110,Input_Raw!$E:$E,Input_Raw!DF:DF),"")</f>
        <v>818730.000000017</v>
      </c>
      <c r="Z110" s="319">
        <f>IFERROR(_xlfn.XLOOKUP(A110,Input_Raw!E:E,Input_Raw!CT:CT)/_xlfn.XLOOKUP(A110,Input_Raw!E:E,Input_Raw!CS:CS)*Table13[[#This Row],[Mtr_Export (kWh)]],"")</f>
        <v>0</v>
      </c>
      <c r="AA110" s="43">
        <f t="shared" si="13"/>
        <v>818730.000000017</v>
      </c>
      <c r="AB110" s="10">
        <f>IFERROR(_xlfn.XLOOKUP($A110,Input_Raw!$E:$E,Input_Raw!$CZ:$CZ),"")</f>
        <v>50.6</v>
      </c>
      <c r="AC110" s="313">
        <f>IFERROR(_xlfn.XLOOKUP($D110,'Modelling New'!$D:$D,'Modelling New'!$J:$J),"")</f>
        <v>10.303759359817088</v>
      </c>
      <c r="AD110" s="43">
        <f>IFERROR(_xlfn.XLOOKUP($D110,'Modelling New'!$D:$D,'Modelling New'!$T:$T)*1000,"")</f>
        <v>815983.22580645164</v>
      </c>
      <c r="AE110" s="312"/>
      <c r="AF110" s="312">
        <f>IFERROR(_xlfn.XLOOKUP($D110,'Modelling New'!$D:$D,'Modelling New'!$W:$W),"")</f>
        <v>0.6719229461515579</v>
      </c>
      <c r="AG110" s="312">
        <f>IFERROR(_xlfn.XLOOKUP($D110,'Modelling New'!$D:$D,'Modelling New'!$AE:$AE),"")</f>
        <v>0.95549849999999992</v>
      </c>
      <c r="AH110" s="312">
        <f>IFERROR(_xlfn.XLOOKUP($D110,'Modelling New'!$D:$D,'Modelling New'!$AF:$AF),"")</f>
        <v>0.995</v>
      </c>
      <c r="AI110" s="10">
        <f>IFERROR(_xlfn.XLOOKUP($A110,Input_Raw!$E:$E,Input_Raw!$DG:$DG),"")</f>
        <v>848.83</v>
      </c>
      <c r="AJ110" s="10"/>
      <c r="AK110" s="10"/>
      <c r="AL110" s="10"/>
      <c r="AM110" s="10"/>
      <c r="AN110" s="314">
        <f>IFERROR(_xlfn.XLOOKUP($A110,Input_Raw!$E:$E,Input_Raw!$CY:$CY),"")</f>
        <v>7.3178016726536121E-3</v>
      </c>
      <c r="AO110" s="312">
        <f>IFERROR((_xlfn.XLOOKUP($A110,'WTG Reactive Power'!$A:$A,'WTG Reactive Power'!AB:AB))/X110,"")</f>
        <v>0.17194952292955221</v>
      </c>
      <c r="AP110" s="312">
        <f>IFERROR(_xlfn.XLOOKUP($D110,'Modelling New'!$D:$D,'Modelling New'!AK:AK),"")</f>
        <v>0.05</v>
      </c>
      <c r="AQ110" s="312">
        <f>IFERROR(_xlfn.XLOOKUP($D110,'Modelling New'!$D:$D,'Modelling New'!AL:AL),"")</f>
        <v>0.05</v>
      </c>
      <c r="AR110" s="325">
        <f>IFERROR(_xlfn.XLOOKUP($D110,'Modelling New'!$D:$D,'Modelling New'!$N:$N),"")</f>
        <v>50.59999999999998</v>
      </c>
      <c r="AS110" s="325"/>
    </row>
    <row r="111" spans="1:45">
      <c r="A111" s="32">
        <f t="shared" si="14"/>
        <v>45854</v>
      </c>
      <c r="B111" s="43">
        <f>YEAR(Table13[[#This Row],[Date]])+IF(MONTH(Table13[[#This Row],[Date]])&gt;=4,1,0)</f>
        <v>2026</v>
      </c>
      <c r="C111" s="10">
        <f>YEAR(Table13[[#This Row],[Date]])</f>
        <v>2025</v>
      </c>
      <c r="D111" s="309">
        <f>Table13[[#This Row],[Date]]-DAY(Table13[[#This Row],[Date]])+1</f>
        <v>45839</v>
      </c>
      <c r="E111" s="10">
        <f t="shared" si="10"/>
        <v>31</v>
      </c>
      <c r="F111" s="241">
        <f>IFERROR(_xlfn.XLOOKUP($A111,Input_Raw!$E:$E,Input_Raw!DC:DC),"")</f>
        <v>12.183333333333335</v>
      </c>
      <c r="G111" s="242"/>
      <c r="H111" s="242"/>
      <c r="I111" s="242"/>
      <c r="J111" s="242"/>
      <c r="K111" s="243"/>
      <c r="L111" s="242"/>
      <c r="M111" s="242">
        <f>IFERROR(_xlfn.XLOOKUP($A111,Input_Raw!$E:$E,Input_Raw!$BM:$BM),"")</f>
        <v>6.0739130434782602</v>
      </c>
      <c r="N111" s="242">
        <f>IFERROR(_xlfn.XLOOKUP($A111,Input_Raw!$E:$E,Input_Raw!$BN:$BN),"")</f>
        <v>6.6</v>
      </c>
      <c r="O111" s="311">
        <f t="shared" si="11"/>
        <v>0.9861537761891046</v>
      </c>
      <c r="P111" s="311">
        <f>IFERROR(1-SUMIF(WTG_BD!$F:$F,$A111,WTG_BD!$AA:$AA)/($AA111+SUMIF(WTG_BD!$F:$F,$A111,WTG_BD!$AA:$AA)),"")</f>
        <v>0.99944807923252499</v>
      </c>
      <c r="Q111" s="328">
        <f>IFERROR(1-SUMIF(IGA_BD!$F:$F,$A111,IGA_BD!$W:$W)/($AA111+SUMIF(IGA_BD!$F:$F,$A111,IGA_BD!$W:$W)),"")</f>
        <v>0.98669835550273999</v>
      </c>
      <c r="R111" s="311">
        <f>IFERROR(1-SUMIF(Grid_BD!$F:$F,$A111,Grid_BD!$Y:$Y)/($AA111+SUMIF(Grid_BD!$F:$F,$A111,Grid_BD!$Y:$Y)),"")</f>
        <v>1</v>
      </c>
      <c r="S111" s="10"/>
      <c r="T111" s="310"/>
      <c r="U111" s="311"/>
      <c r="V111" s="10"/>
      <c r="W111" s="312">
        <f t="shared" si="12"/>
        <v>0.30581809947299088</v>
      </c>
      <c r="X111" s="10">
        <f>IFERROR(_xlfn.XLOOKUP($A111,Input_Raw!$E:$E,Input_Raw!BG:BG),"")</f>
        <v>371385.5</v>
      </c>
      <c r="Y111" s="10">
        <f>IFERROR(_xlfn.XLOOKUP($A111,Input_Raw!$E:$E,Input_Raw!DF:DF),"")</f>
        <v>360359.99999997613</v>
      </c>
      <c r="Z111" s="319">
        <f>IFERROR(_xlfn.XLOOKUP(A111,Input_Raw!E:E,Input_Raw!CT:CT)/_xlfn.XLOOKUP(A111,Input_Raw!E:E,Input_Raw!CS:CS)*Table13[[#This Row],[Mtr_Export (kWh)]],"")</f>
        <v>0</v>
      </c>
      <c r="AA111" s="43">
        <f t="shared" si="13"/>
        <v>360359.99999997613</v>
      </c>
      <c r="AB111" s="10">
        <f>IFERROR(_xlfn.XLOOKUP($A111,Input_Raw!$E:$E,Input_Raw!$CZ:$CZ),"")</f>
        <v>50.6</v>
      </c>
      <c r="AC111" s="313">
        <f>IFERROR(_xlfn.XLOOKUP($D111,'Modelling New'!$D:$D,'Modelling New'!$J:$J),"")</f>
        <v>10.303759359817088</v>
      </c>
      <c r="AD111" s="43">
        <f>IFERROR(_xlfn.XLOOKUP($D111,'Modelling New'!$D:$D,'Modelling New'!$T:$T)*1000,"")</f>
        <v>815983.22580645164</v>
      </c>
      <c r="AE111" s="312"/>
      <c r="AF111" s="312">
        <f>IFERROR(_xlfn.XLOOKUP($D111,'Modelling New'!$D:$D,'Modelling New'!$W:$W),"")</f>
        <v>0.6719229461515579</v>
      </c>
      <c r="AG111" s="312">
        <f>IFERROR(_xlfn.XLOOKUP($D111,'Modelling New'!$D:$D,'Modelling New'!$AE:$AE),"")</f>
        <v>0.95549849999999992</v>
      </c>
      <c r="AH111" s="312">
        <f>IFERROR(_xlfn.XLOOKUP($D111,'Modelling New'!$D:$D,'Modelling New'!$AF:$AF),"")</f>
        <v>0.995</v>
      </c>
      <c r="AI111" s="10">
        <f>IFERROR(_xlfn.XLOOKUP($A111,Input_Raw!$E:$E,Input_Raw!$DG:$DG),"")</f>
        <v>372.55</v>
      </c>
      <c r="AJ111" s="10"/>
      <c r="AK111" s="10"/>
      <c r="AL111" s="10"/>
      <c r="AM111" s="10"/>
      <c r="AN111" s="314">
        <f>IFERROR(_xlfn.XLOOKUP($A111,Input_Raw!$E:$E,Input_Raw!$CY:$CY),"")</f>
        <v>8.7719298245230171E-3</v>
      </c>
      <c r="AO111" s="312">
        <f>IFERROR((_xlfn.XLOOKUP($A111,'WTG Reactive Power'!$A:$A,'WTG Reactive Power'!AB:AB))/X111,"")</f>
        <v>0.19851394305916628</v>
      </c>
      <c r="AP111" s="312">
        <f>IFERROR(_xlfn.XLOOKUP($D111,'Modelling New'!$D:$D,'Modelling New'!AK:AK),"")</f>
        <v>0.05</v>
      </c>
      <c r="AQ111" s="312">
        <f>IFERROR(_xlfn.XLOOKUP($D111,'Modelling New'!$D:$D,'Modelling New'!AL:AL),"")</f>
        <v>0.05</v>
      </c>
      <c r="AR111" s="325">
        <f>IFERROR(_xlfn.XLOOKUP($D111,'Modelling New'!$D:$D,'Modelling New'!$N:$N),"")</f>
        <v>50.59999999999998</v>
      </c>
      <c r="AS111" s="325"/>
    </row>
    <row r="112" spans="1:45">
      <c r="A112" s="32">
        <f t="shared" si="14"/>
        <v>45855</v>
      </c>
      <c r="B112" s="43">
        <f>YEAR(Table13[[#This Row],[Date]])+IF(MONTH(Table13[[#This Row],[Date]])&gt;=4,1,0)</f>
        <v>2026</v>
      </c>
      <c r="C112" s="10">
        <f>YEAR(Table13[[#This Row],[Date]])</f>
        <v>2025</v>
      </c>
      <c r="D112" s="309">
        <f>Table13[[#This Row],[Date]]-DAY(Table13[[#This Row],[Date]])+1</f>
        <v>45839</v>
      </c>
      <c r="E112" s="10">
        <f t="shared" si="10"/>
        <v>31</v>
      </c>
      <c r="F112" s="241">
        <f>IFERROR(_xlfn.XLOOKUP($A112,Input_Raw!$E:$E,Input_Raw!DC:DC),"")</f>
        <v>11.8</v>
      </c>
      <c r="G112" s="313"/>
      <c r="H112" s="313"/>
      <c r="I112" s="313"/>
      <c r="J112" s="313"/>
      <c r="K112" s="243"/>
      <c r="L112" s="242"/>
      <c r="M112" s="242">
        <f>IFERROR(_xlfn.XLOOKUP($A112,Input_Raw!$E:$E,Input_Raw!$BM:$BM),"")</f>
        <v>6.6043478260869568</v>
      </c>
      <c r="N112" s="242">
        <f>IFERROR(_xlfn.XLOOKUP($A112,Input_Raw!$E:$E,Input_Raw!$BN:$BN),"")</f>
        <v>7</v>
      </c>
      <c r="O112" s="311">
        <f t="shared" si="11"/>
        <v>0.95539878758656249</v>
      </c>
      <c r="P112" s="311">
        <f>IFERROR(1-SUMIF(WTG_BD!$F:$F,$A112,WTG_BD!$AA:$AA)/($AA112+SUMIF(WTG_BD!$F:$F,$A112,WTG_BD!$AA:$AA)),"")</f>
        <v>0.99096362669906624</v>
      </c>
      <c r="Q112" s="328">
        <f>IFERROR(1-SUMIF(IGA_BD!$F:$F,$A112,IGA_BD!$W:$W)/($AA112+SUMIF(IGA_BD!$F:$F,$A112,IGA_BD!$W:$W)),"")</f>
        <v>0.96411085315919065</v>
      </c>
      <c r="R112" s="47">
        <f>IFERROR(1-SUMIF(Grid_BD!$F:$F,$A112,Grid_BD!$Y:$Y)/($AA112+SUMIF(Grid_BD!$F:$F,$A112,Grid_BD!$Y:$Y)),"")</f>
        <v>1</v>
      </c>
      <c r="S112" s="10"/>
      <c r="T112" s="310"/>
      <c r="U112" s="311"/>
      <c r="V112" s="10"/>
      <c r="W112" s="312">
        <f t="shared" si="12"/>
        <v>0.36487467061923595</v>
      </c>
      <c r="X112" s="10">
        <f>IFERROR(_xlfn.XLOOKUP($A112,Input_Raw!$E:$E,Input_Raw!BG:BG),"")</f>
        <v>443103.8</v>
      </c>
      <c r="Y112" s="10">
        <f>IFERROR(_xlfn.XLOOKUP($A112,Input_Raw!$E:$E,Input_Raw!DF:DF),"")</f>
        <v>430650.00000001164</v>
      </c>
      <c r="Z112" s="319">
        <f>IFERROR(_xlfn.XLOOKUP(A112,Input_Raw!E:E,Input_Raw!CT:CT)/_xlfn.XLOOKUP(A112,Input_Raw!E:E,Input_Raw!CS:CS)*Table13[[#This Row],[Mtr_Export (kWh)]],"")</f>
        <v>0</v>
      </c>
      <c r="AA112" s="43">
        <f t="shared" si="13"/>
        <v>430650.00000001164</v>
      </c>
      <c r="AB112" s="10">
        <f>IFERROR(_xlfn.XLOOKUP($A112,Input_Raw!$E:$E,Input_Raw!$CZ:$CZ),"")</f>
        <v>50.6</v>
      </c>
      <c r="AC112" s="313">
        <f>IFERROR(_xlfn.XLOOKUP($D112,'Modelling New'!$D:$D,'Modelling New'!$J:$J),"")</f>
        <v>10.303759359817088</v>
      </c>
      <c r="AD112" s="43">
        <f>IFERROR(_xlfn.XLOOKUP($D112,'Modelling New'!$D:$D,'Modelling New'!$T:$T)*1000,"")</f>
        <v>815983.22580645164</v>
      </c>
      <c r="AE112" s="312"/>
      <c r="AF112" s="312">
        <f>IFERROR(_xlfn.XLOOKUP($D112,'Modelling New'!$D:$D,'Modelling New'!$W:$W),"")</f>
        <v>0.6719229461515579</v>
      </c>
      <c r="AG112" s="312">
        <f>IFERROR(_xlfn.XLOOKUP($D112,'Modelling New'!$D:$D,'Modelling New'!$AE:$AE),"")</f>
        <v>0.95549849999999992</v>
      </c>
      <c r="AH112" s="312">
        <f>IFERROR(_xlfn.XLOOKUP($D112,'Modelling New'!$D:$D,'Modelling New'!$AF:$AF),"")</f>
        <v>0.995</v>
      </c>
      <c r="AI112" s="10">
        <f>IFERROR(_xlfn.XLOOKUP($A112,Input_Raw!$E:$E,Input_Raw!$DG:$DG),"")</f>
        <v>445.33</v>
      </c>
      <c r="AJ112" s="10"/>
      <c r="AK112" s="10"/>
      <c r="AL112" s="10"/>
      <c r="AM112" s="10"/>
      <c r="AN112" s="314">
        <f>IFERROR(_xlfn.XLOOKUP($A112,Input_Raw!$E:$E,Input_Raw!$CY:$CY),"")</f>
        <v>8.4973166369073372E-3</v>
      </c>
      <c r="AO112" s="312">
        <f>IFERROR((_xlfn.XLOOKUP($A112,'WTG Reactive Power'!$A:$A,'WTG Reactive Power'!AB:AB))/X112,"")</f>
        <v>2.4641404564799491E-2</v>
      </c>
      <c r="AP112" s="312">
        <f>IFERROR(_xlfn.XLOOKUP($D112,'Modelling New'!$D:$D,'Modelling New'!AK:AK),"")</f>
        <v>0.05</v>
      </c>
      <c r="AQ112" s="312">
        <f>IFERROR(_xlfn.XLOOKUP($D112,'Modelling New'!$D:$D,'Modelling New'!AL:AL),"")</f>
        <v>0.05</v>
      </c>
      <c r="AR112" s="325">
        <f>IFERROR(_xlfn.XLOOKUP($D112,'Modelling New'!$D:$D,'Modelling New'!$N:$N),"")</f>
        <v>50.59999999999998</v>
      </c>
      <c r="AS112" s="325"/>
    </row>
    <row r="113" spans="1:45">
      <c r="A113" s="32">
        <f t="shared" si="14"/>
        <v>45856</v>
      </c>
      <c r="B113" s="43">
        <f>YEAR(Table13[[#This Row],[Date]])+IF(MONTH(Table13[[#This Row],[Date]])&gt;=4,1,0)</f>
        <v>2026</v>
      </c>
      <c r="C113" s="10">
        <f>YEAR(Table13[[#This Row],[Date]])</f>
        <v>2025</v>
      </c>
      <c r="D113" s="309">
        <f>Table13[[#This Row],[Date]]-DAY(Table13[[#This Row],[Date]])+1</f>
        <v>45839</v>
      </c>
      <c r="E113" s="10">
        <f t="shared" si="10"/>
        <v>31</v>
      </c>
      <c r="F113" s="241">
        <f>IFERROR(_xlfn.XLOOKUP($A113,Input_Raw!$E:$E,Input_Raw!DC:DC),"")</f>
        <v>11.3</v>
      </c>
      <c r="G113" s="242"/>
      <c r="H113" s="242"/>
      <c r="I113" s="242"/>
      <c r="J113" s="242"/>
      <c r="K113" s="243"/>
      <c r="L113" s="242"/>
      <c r="M113" s="242">
        <f>IFERROR(_xlfn.XLOOKUP($A113,Input_Raw!$E:$E,Input_Raw!$BM:$BM),"")</f>
        <v>6.6913043478260859</v>
      </c>
      <c r="N113" s="242">
        <f>IFERROR(_xlfn.XLOOKUP($A113,Input_Raw!$E:$E,Input_Raw!$BN:$BN),"")</f>
        <v>7.2</v>
      </c>
      <c r="O113" s="311">
        <f t="shared" si="11"/>
        <v>0.99770196991897409</v>
      </c>
      <c r="P113" s="311">
        <f>IFERROR(1-SUMIF(WTG_BD!$F:$F,$A113,WTG_BD!$AA:$AA)/($AA113+SUMIF(WTG_BD!$F:$F,$A113,WTG_BD!$AA:$AA)),"")</f>
        <v>0.99770196991897409</v>
      </c>
      <c r="Q113" s="328">
        <f>IFERROR(1-SUMIF(IGA_BD!$F:$F,$A113,IGA_BD!$W:$W)/($AA113+SUMIF(IGA_BD!$F:$F,$A113,IGA_BD!$W:$W)),"")</f>
        <v>1</v>
      </c>
      <c r="R113" s="311">
        <f>IFERROR(1-SUMIF(Grid_BD!$F:$F,$A113,Grid_BD!$Y:$Y)/($AA113+SUMIF(Grid_BD!$F:$F,$A113,Grid_BD!$Y:$Y)),"")</f>
        <v>1</v>
      </c>
      <c r="S113" s="10"/>
      <c r="T113" s="310"/>
      <c r="U113" s="311"/>
      <c r="V113" s="10"/>
      <c r="W113" s="312">
        <f t="shared" si="12"/>
        <v>0.40498402503293823</v>
      </c>
      <c r="X113" s="10">
        <f>IFERROR(_xlfn.XLOOKUP($A113,Input_Raw!$E:$E,Input_Raw!BG:BG),"")</f>
        <v>491812.6</v>
      </c>
      <c r="Y113" s="10">
        <f>IFERROR(_xlfn.XLOOKUP($A113,Input_Raw!$E:$E,Input_Raw!DF:DF),"")</f>
        <v>478005.00000000792</v>
      </c>
      <c r="Z113" s="319">
        <f>IFERROR(_xlfn.XLOOKUP(A113,Input_Raw!E:E,Input_Raw!CT:CT)/_xlfn.XLOOKUP(A113,Input_Raw!E:E,Input_Raw!CS:CS)*Table13[[#This Row],[Mtr_Export (kWh)]],"")</f>
        <v>0</v>
      </c>
      <c r="AA113" s="43">
        <f t="shared" si="13"/>
        <v>478005.00000000792</v>
      </c>
      <c r="AB113" s="10">
        <f>IFERROR(_xlfn.XLOOKUP($A113,Input_Raw!$E:$E,Input_Raw!$CZ:$CZ),"")</f>
        <v>50.6</v>
      </c>
      <c r="AC113" s="313">
        <f>IFERROR(_xlfn.XLOOKUP($D113,'Modelling New'!$D:$D,'Modelling New'!$J:$J),"")</f>
        <v>10.303759359817088</v>
      </c>
      <c r="AD113" s="43">
        <f>IFERROR(_xlfn.XLOOKUP($D113,'Modelling New'!$D:$D,'Modelling New'!$T:$T)*1000,"")</f>
        <v>815983.22580645164</v>
      </c>
      <c r="AE113" s="312"/>
      <c r="AF113" s="312">
        <f>IFERROR(_xlfn.XLOOKUP($D113,'Modelling New'!$D:$D,'Modelling New'!$W:$W),"")</f>
        <v>0.6719229461515579</v>
      </c>
      <c r="AG113" s="312">
        <f>IFERROR(_xlfn.XLOOKUP($D113,'Modelling New'!$D:$D,'Modelling New'!$AE:$AE),"")</f>
        <v>0.95549849999999992</v>
      </c>
      <c r="AH113" s="312">
        <f>IFERROR(_xlfn.XLOOKUP($D113,'Modelling New'!$D:$D,'Modelling New'!$AF:$AF),"")</f>
        <v>0.995</v>
      </c>
      <c r="AI113" s="10">
        <f>IFERROR(_xlfn.XLOOKUP($A113,Input_Raw!$E:$E,Input_Raw!$DG:$DG),"")</f>
        <v>491.82</v>
      </c>
      <c r="AJ113" s="10"/>
      <c r="AK113" s="10"/>
      <c r="AL113" s="10"/>
      <c r="AM113" s="10"/>
      <c r="AN113" s="314">
        <f>IFERROR(_xlfn.XLOOKUP($A113,Input_Raw!$E:$E,Input_Raw!$CY:$CY),"")</f>
        <v>4.2735042734418638E-3</v>
      </c>
      <c r="AO113" s="312">
        <f>IFERROR((_xlfn.XLOOKUP($A113,'WTG Reactive Power'!$A:$A,'WTG Reactive Power'!AB:AB))/X113,"")</f>
        <v>2.8241651393233931E-2</v>
      </c>
      <c r="AP113" s="312">
        <f>IFERROR(_xlfn.XLOOKUP($D113,'Modelling New'!$D:$D,'Modelling New'!AK:AK),"")</f>
        <v>0.05</v>
      </c>
      <c r="AQ113" s="312">
        <f>IFERROR(_xlfn.XLOOKUP($D113,'Modelling New'!$D:$D,'Modelling New'!AL:AL),"")</f>
        <v>0.05</v>
      </c>
      <c r="AR113" s="325">
        <f>IFERROR(_xlfn.XLOOKUP($D113,'Modelling New'!$D:$D,'Modelling New'!$N:$N),"")</f>
        <v>50.59999999999998</v>
      </c>
      <c r="AS113" s="325"/>
    </row>
    <row r="114" spans="1:45">
      <c r="A114" s="32">
        <f t="shared" si="14"/>
        <v>45857</v>
      </c>
      <c r="B114" s="43">
        <f>YEAR(Table13[[#This Row],[Date]])+IF(MONTH(Table13[[#This Row],[Date]])&gt;=4,1,0)</f>
        <v>2026</v>
      </c>
      <c r="C114" s="10">
        <f>YEAR(Table13[[#This Row],[Date]])</f>
        <v>2025</v>
      </c>
      <c r="D114" s="309">
        <f>Table13[[#This Row],[Date]]-DAY(Table13[[#This Row],[Date]])+1</f>
        <v>45839</v>
      </c>
      <c r="E114" s="10">
        <f t="shared" si="10"/>
        <v>31</v>
      </c>
      <c r="F114" s="241">
        <f>IFERROR(_xlfn.XLOOKUP($A114,Input_Raw!$E:$E,Input_Raw!DC:DC),"")</f>
        <v>12.299999999999999</v>
      </c>
      <c r="G114" s="313"/>
      <c r="H114" s="313"/>
      <c r="I114" s="313"/>
      <c r="J114" s="313"/>
      <c r="K114" s="243"/>
      <c r="L114" s="242"/>
      <c r="M114" s="242">
        <f>IFERROR(_xlfn.XLOOKUP($A114,Input_Raw!$E:$E,Input_Raw!$BM:$BM),"")</f>
        <v>7.1608695652173919</v>
      </c>
      <c r="N114" s="242">
        <f>IFERROR(_xlfn.XLOOKUP($A114,Input_Raw!$E:$E,Input_Raw!$BN:$BN),"")</f>
        <v>7.7</v>
      </c>
      <c r="O114" s="311">
        <f t="shared" si="11"/>
        <v>0.98959521942951467</v>
      </c>
      <c r="P114" s="311">
        <f>IFERROR(1-SUMIF(WTG_BD!$F:$F,$A114,WTG_BD!$AA:$AA)/($AA114+SUMIF(WTG_BD!$F:$F,$A114,WTG_BD!$AA:$AA)),"")</f>
        <v>0.99343493762741697</v>
      </c>
      <c r="Q114" s="328">
        <f>IFERROR(1-SUMIF(IGA_BD!$F:$F,$A114,IGA_BD!$W:$W)/($AA114+SUMIF(IGA_BD!$F:$F,$A114,IGA_BD!$W:$W)),"")</f>
        <v>0.99613490722696696</v>
      </c>
      <c r="R114" s="47">
        <f>IFERROR(1-SUMIF(Grid_BD!$F:$F,$A114,Grid_BD!$Y:$Y)/($AA114+SUMIF(Grid_BD!$F:$F,$A114,Grid_BD!$Y:$Y)),"")</f>
        <v>1</v>
      </c>
      <c r="S114" s="10"/>
      <c r="T114" s="310"/>
      <c r="U114" s="311"/>
      <c r="V114" s="10"/>
      <c r="W114" s="312">
        <f t="shared" si="12"/>
        <v>0.47366551383399219</v>
      </c>
      <c r="X114" s="10">
        <f>IFERROR(_xlfn.XLOOKUP($A114,Input_Raw!$E:$E,Input_Raw!BG:BG),"")</f>
        <v>575219.39999999991</v>
      </c>
      <c r="Y114" s="10">
        <f>IFERROR(_xlfn.XLOOKUP($A114,Input_Raw!$E:$E,Input_Raw!DF:DF),"")</f>
        <v>553079.99999999593</v>
      </c>
      <c r="Z114" s="319">
        <f>IFERROR(_xlfn.XLOOKUP(A114,Input_Raw!E:E,Input_Raw!CT:CT)/_xlfn.XLOOKUP(A114,Input_Raw!E:E,Input_Raw!CS:CS)*Table13[[#This Row],[Mtr_Export (kWh)]],"")</f>
        <v>0</v>
      </c>
      <c r="AA114" s="43">
        <f t="shared" si="13"/>
        <v>553079.99999999593</v>
      </c>
      <c r="AB114" s="10">
        <f>IFERROR(_xlfn.XLOOKUP($A114,Input_Raw!$E:$E,Input_Raw!$CZ:$CZ),"")</f>
        <v>50.6</v>
      </c>
      <c r="AC114" s="313">
        <f>IFERROR(_xlfn.XLOOKUP($D114,'Modelling New'!$D:$D,'Modelling New'!$J:$J),"")</f>
        <v>10.303759359817088</v>
      </c>
      <c r="AD114" s="43">
        <f>IFERROR(_xlfn.XLOOKUP($D114,'Modelling New'!$D:$D,'Modelling New'!$T:$T)*1000,"")</f>
        <v>815983.22580645164</v>
      </c>
      <c r="AE114" s="312"/>
      <c r="AF114" s="312">
        <f>IFERROR(_xlfn.XLOOKUP($D114,'Modelling New'!$D:$D,'Modelling New'!$W:$W),"")</f>
        <v>0.6719229461515579</v>
      </c>
      <c r="AG114" s="312">
        <f>IFERROR(_xlfn.XLOOKUP($D114,'Modelling New'!$D:$D,'Modelling New'!$AE:$AE),"")</f>
        <v>0.95549849999999992</v>
      </c>
      <c r="AH114" s="312">
        <f>IFERROR(_xlfn.XLOOKUP($D114,'Modelling New'!$D:$D,'Modelling New'!$AF:$AF),"")</f>
        <v>0.995</v>
      </c>
      <c r="AI114" s="10">
        <f>IFERROR(_xlfn.XLOOKUP($A114,Input_Raw!$E:$E,Input_Raw!$DG:$DG),"")</f>
        <v>577.61</v>
      </c>
      <c r="AJ114" s="10"/>
      <c r="AK114" s="10"/>
      <c r="AL114" s="10"/>
      <c r="AM114" s="10"/>
      <c r="AN114" s="314">
        <f>IFERROR(_xlfn.XLOOKUP($A114,Input_Raw!$E:$E,Input_Raw!$CY:$CY),"")</f>
        <v>1.0952712100147366E-2</v>
      </c>
      <c r="AO114" s="312">
        <f>IFERROR((_xlfn.XLOOKUP($A114,'WTG Reactive Power'!$A:$A,'WTG Reactive Power'!AB:AB))/X114,"")</f>
        <v>0.12936646434386603</v>
      </c>
      <c r="AP114" s="312">
        <f>IFERROR(_xlfn.XLOOKUP($D114,'Modelling New'!$D:$D,'Modelling New'!AK:AK),"")</f>
        <v>0.05</v>
      </c>
      <c r="AQ114" s="312">
        <f>IFERROR(_xlfn.XLOOKUP($D114,'Modelling New'!$D:$D,'Modelling New'!AL:AL),"")</f>
        <v>0.05</v>
      </c>
      <c r="AR114" s="325">
        <f>IFERROR(_xlfn.XLOOKUP($D114,'Modelling New'!$D:$D,'Modelling New'!$N:$N),"")</f>
        <v>50.59999999999998</v>
      </c>
      <c r="AS114" s="325"/>
    </row>
    <row r="115" spans="1:45">
      <c r="A115" s="32">
        <f t="shared" si="14"/>
        <v>45858</v>
      </c>
      <c r="B115" s="43">
        <f>YEAR(Table13[[#This Row],[Date]])+IF(MONTH(Table13[[#This Row],[Date]])&gt;=4,1,0)</f>
        <v>2026</v>
      </c>
      <c r="C115" s="10">
        <f>YEAR(Table13[[#This Row],[Date]])</f>
        <v>2025</v>
      </c>
      <c r="D115" s="309">
        <f>Table13[[#This Row],[Date]]-DAY(Table13[[#This Row],[Date]])+1</f>
        <v>45839</v>
      </c>
      <c r="E115" s="10">
        <f t="shared" si="10"/>
        <v>31</v>
      </c>
      <c r="F115" s="241">
        <f>IFERROR(_xlfn.XLOOKUP($A115,Input_Raw!$E:$E,Input_Raw!DC:DC),"")</f>
        <v>0</v>
      </c>
      <c r="G115" s="242"/>
      <c r="H115" s="242"/>
      <c r="I115" s="242"/>
      <c r="J115" s="242"/>
      <c r="K115" s="243"/>
      <c r="L115" s="242"/>
      <c r="M115" s="242" t="str">
        <f>IFERROR(_xlfn.XLOOKUP($A115,Input_Raw!$E:$E,Input_Raw!$BM:$BM),"")</f>
        <v/>
      </c>
      <c r="N115" s="242">
        <f>IFERROR(_xlfn.XLOOKUP($A115,Input_Raw!$E:$E,Input_Raw!$BN:$BN),"")</f>
        <v>0</v>
      </c>
      <c r="O115" s="311" t="str">
        <f t="shared" si="11"/>
        <v/>
      </c>
      <c r="P115" s="311" t="str">
        <f>IFERROR(1-SUMIF(WTG_BD!$F:$F,$A115,WTG_BD!$AA:$AA)/($AA115+SUMIF(WTG_BD!$F:$F,$A115,WTG_BD!$AA:$AA)),"")</f>
        <v/>
      </c>
      <c r="Q115" s="328" t="str">
        <f>IFERROR(1-SUMIF(IGA_BD!$F:$F,$A115,IGA_BD!$W:$W)/($AA115+SUMIF(IGA_BD!$F:$F,$A115,IGA_BD!$W:$W)),"")</f>
        <v/>
      </c>
      <c r="R115" s="311" t="str">
        <f>IFERROR(1-SUMIF(Grid_BD!$F:$F,$A115,Grid_BD!$Y:$Y)/($AA115+SUMIF(Grid_BD!$F:$F,$A115,Grid_BD!$Y:$Y)),"")</f>
        <v/>
      </c>
      <c r="S115" s="10"/>
      <c r="T115" s="310"/>
      <c r="U115" s="311"/>
      <c r="V115" s="10"/>
      <c r="W115" s="312">
        <f t="shared" si="12"/>
        <v>0</v>
      </c>
      <c r="X115" s="10">
        <f>IFERROR(_xlfn.XLOOKUP($A115,Input_Raw!$E:$E,Input_Raw!BG:BG),"")</f>
        <v>0</v>
      </c>
      <c r="Y115" s="10">
        <f>IFERROR(_xlfn.XLOOKUP($A115,Input_Raw!$E:$E,Input_Raw!DF:DF),"")</f>
        <v>0</v>
      </c>
      <c r="Z115" s="319" t="str">
        <f>IFERROR(_xlfn.XLOOKUP(A115,Input_Raw!E:E,Input_Raw!CT:CT)/_xlfn.XLOOKUP(A115,Input_Raw!E:E,Input_Raw!CS:CS)*Table13[[#This Row],[Mtr_Export (kWh)]],"")</f>
        <v/>
      </c>
      <c r="AA115" s="43" t="str">
        <f t="shared" si="13"/>
        <v/>
      </c>
      <c r="AB115" s="10">
        <f>IFERROR(_xlfn.XLOOKUP($A115,Input_Raw!$E:$E,Input_Raw!$CZ:$CZ),"")</f>
        <v>50.6</v>
      </c>
      <c r="AC115" s="313">
        <f>IFERROR(_xlfn.XLOOKUP($D115,'Modelling New'!$D:$D,'Modelling New'!$J:$J),"")</f>
        <v>10.303759359817088</v>
      </c>
      <c r="AD115" s="43">
        <f>IFERROR(_xlfn.XLOOKUP($D115,'Modelling New'!$D:$D,'Modelling New'!$T:$T)*1000,"")</f>
        <v>815983.22580645164</v>
      </c>
      <c r="AE115" s="312"/>
      <c r="AF115" s="312">
        <f>IFERROR(_xlfn.XLOOKUP($D115,'Modelling New'!$D:$D,'Modelling New'!$W:$W),"")</f>
        <v>0.6719229461515579</v>
      </c>
      <c r="AG115" s="312">
        <f>IFERROR(_xlfn.XLOOKUP($D115,'Modelling New'!$D:$D,'Modelling New'!$AE:$AE),"")</f>
        <v>0.95549849999999992</v>
      </c>
      <c r="AH115" s="312">
        <f>IFERROR(_xlfn.XLOOKUP($D115,'Modelling New'!$D:$D,'Modelling New'!$AF:$AF),"")</f>
        <v>0.995</v>
      </c>
      <c r="AI115" s="10">
        <f>IFERROR(_xlfn.XLOOKUP($A115,Input_Raw!$E:$E,Input_Raw!$DG:$DG),"")</f>
        <v>0</v>
      </c>
      <c r="AJ115" s="10"/>
      <c r="AK115" s="10"/>
      <c r="AL115" s="10"/>
      <c r="AM115" s="10"/>
      <c r="AN115" s="314" t="str">
        <f>IFERROR(_xlfn.XLOOKUP($A115,Input_Raw!$E:$E,Input_Raw!$CY:$CY),"")</f>
        <v/>
      </c>
      <c r="AO115" s="312" t="str">
        <f>IFERROR((_xlfn.XLOOKUP($A115,'WTG Reactive Power'!$A:$A,'WTG Reactive Power'!AB:AB))/X115,"")</f>
        <v/>
      </c>
      <c r="AP115" s="312">
        <f>IFERROR(_xlfn.XLOOKUP($D115,'Modelling New'!$D:$D,'Modelling New'!AK:AK),"")</f>
        <v>0.05</v>
      </c>
      <c r="AQ115" s="312">
        <f>IFERROR(_xlfn.XLOOKUP($D115,'Modelling New'!$D:$D,'Modelling New'!AL:AL),"")</f>
        <v>0.05</v>
      </c>
      <c r="AR115" s="325">
        <f>IFERROR(_xlfn.XLOOKUP($D115,'Modelling New'!$D:$D,'Modelling New'!$N:$N),"")</f>
        <v>50.59999999999998</v>
      </c>
      <c r="AS115" s="325"/>
    </row>
    <row r="116" spans="1:45">
      <c r="A116" s="32">
        <f t="shared" si="14"/>
        <v>45859</v>
      </c>
      <c r="B116" s="43">
        <f>YEAR(Table13[[#This Row],[Date]])+IF(MONTH(Table13[[#This Row],[Date]])&gt;=4,1,0)</f>
        <v>2026</v>
      </c>
      <c r="C116" s="10">
        <f>YEAR(Table13[[#This Row],[Date]])</f>
        <v>2025</v>
      </c>
      <c r="D116" s="309">
        <f>Table13[[#This Row],[Date]]-DAY(Table13[[#This Row],[Date]])+1</f>
        <v>45839</v>
      </c>
      <c r="E116" s="10">
        <f t="shared" si="10"/>
        <v>31</v>
      </c>
      <c r="F116" s="241">
        <f>IFERROR(_xlfn.XLOOKUP($A116,Input_Raw!$E:$E,Input_Raw!DC:DC),"")</f>
        <v>0</v>
      </c>
      <c r="G116" s="313"/>
      <c r="H116" s="313"/>
      <c r="I116" s="313"/>
      <c r="J116" s="313"/>
      <c r="K116" s="243"/>
      <c r="L116" s="242"/>
      <c r="M116" s="242" t="str">
        <f>IFERROR(_xlfn.XLOOKUP($A116,Input_Raw!$E:$E,Input_Raw!$BM:$BM),"")</f>
        <v/>
      </c>
      <c r="N116" s="242">
        <f>IFERROR(_xlfn.XLOOKUP($A116,Input_Raw!$E:$E,Input_Raw!$BN:$BN),"")</f>
        <v>0</v>
      </c>
      <c r="O116" s="311" t="str">
        <f t="shared" si="11"/>
        <v/>
      </c>
      <c r="P116" s="311" t="str">
        <f>IFERROR(1-SUMIF(WTG_BD!$F:$F,$A116,WTG_BD!$AA:$AA)/($AA116+SUMIF(WTG_BD!$F:$F,$A116,WTG_BD!$AA:$AA)),"")</f>
        <v/>
      </c>
      <c r="Q116" s="328" t="str">
        <f>IFERROR(1-SUMIF(IGA_BD!$F:$F,$A116,IGA_BD!$W:$W)/($AA116+SUMIF(IGA_BD!$F:$F,$A116,IGA_BD!$W:$W)),"")</f>
        <v/>
      </c>
      <c r="R116" s="47" t="str">
        <f>IFERROR(1-SUMIF(Grid_BD!$F:$F,$A116,Grid_BD!$Y:$Y)/($AA116+SUMIF(Grid_BD!$F:$F,$A116,Grid_BD!$Y:$Y)),"")</f>
        <v/>
      </c>
      <c r="S116" s="10"/>
      <c r="T116" s="310"/>
      <c r="U116" s="311"/>
      <c r="V116" s="10"/>
      <c r="W116" s="312">
        <f t="shared" si="12"/>
        <v>0</v>
      </c>
      <c r="X116" s="10">
        <f>IFERROR(_xlfn.XLOOKUP($A116,Input_Raw!$E:$E,Input_Raw!BG:BG),"")</f>
        <v>0</v>
      </c>
      <c r="Y116" s="10">
        <f>IFERROR(_xlfn.XLOOKUP($A116,Input_Raw!$E:$E,Input_Raw!DF:DF),"")</f>
        <v>0</v>
      </c>
      <c r="Z116" s="319" t="str">
        <f>IFERROR(_xlfn.XLOOKUP(A116,Input_Raw!E:E,Input_Raw!CT:CT)/_xlfn.XLOOKUP(A116,Input_Raw!E:E,Input_Raw!CS:CS)*Table13[[#This Row],[Mtr_Export (kWh)]],"")</f>
        <v/>
      </c>
      <c r="AA116" s="43" t="str">
        <f t="shared" si="13"/>
        <v/>
      </c>
      <c r="AB116" s="10">
        <f>IFERROR(_xlfn.XLOOKUP($A116,Input_Raw!$E:$E,Input_Raw!$CZ:$CZ),"")</f>
        <v>50.6</v>
      </c>
      <c r="AC116" s="313">
        <f>IFERROR(_xlfn.XLOOKUP($D116,'Modelling New'!$D:$D,'Modelling New'!$J:$J),"")</f>
        <v>10.303759359817088</v>
      </c>
      <c r="AD116" s="43">
        <f>IFERROR(_xlfn.XLOOKUP($D116,'Modelling New'!$D:$D,'Modelling New'!$T:$T)*1000,"")</f>
        <v>815983.22580645164</v>
      </c>
      <c r="AE116" s="312"/>
      <c r="AF116" s="312">
        <f>IFERROR(_xlfn.XLOOKUP($D116,'Modelling New'!$D:$D,'Modelling New'!$W:$W),"")</f>
        <v>0.6719229461515579</v>
      </c>
      <c r="AG116" s="312">
        <f>IFERROR(_xlfn.XLOOKUP($D116,'Modelling New'!$D:$D,'Modelling New'!$AE:$AE),"")</f>
        <v>0.95549849999999992</v>
      </c>
      <c r="AH116" s="312">
        <f>IFERROR(_xlfn.XLOOKUP($D116,'Modelling New'!$D:$D,'Modelling New'!$AF:$AF),"")</f>
        <v>0.995</v>
      </c>
      <c r="AI116" s="10">
        <f>IFERROR(_xlfn.XLOOKUP($A116,Input_Raw!$E:$E,Input_Raw!$DG:$DG),"")</f>
        <v>0</v>
      </c>
      <c r="AJ116" s="10"/>
      <c r="AK116" s="10"/>
      <c r="AL116" s="10"/>
      <c r="AM116" s="10"/>
      <c r="AN116" s="314" t="str">
        <f>IFERROR(_xlfn.XLOOKUP($A116,Input_Raw!$E:$E,Input_Raw!$CY:$CY),"")</f>
        <v/>
      </c>
      <c r="AO116" s="312" t="str">
        <f>IFERROR((_xlfn.XLOOKUP($A116,'WTG Reactive Power'!$A:$A,'WTG Reactive Power'!AB:AB))/X116,"")</f>
        <v/>
      </c>
      <c r="AP116" s="312">
        <f>IFERROR(_xlfn.XLOOKUP($D116,'Modelling New'!$D:$D,'Modelling New'!AK:AK),"")</f>
        <v>0.05</v>
      </c>
      <c r="AQ116" s="312">
        <f>IFERROR(_xlfn.XLOOKUP($D116,'Modelling New'!$D:$D,'Modelling New'!AL:AL),"")</f>
        <v>0.05</v>
      </c>
      <c r="AR116" s="325">
        <f>IFERROR(_xlfn.XLOOKUP($D116,'Modelling New'!$D:$D,'Modelling New'!$N:$N),"")</f>
        <v>50.59999999999998</v>
      </c>
      <c r="AS116" s="325"/>
    </row>
    <row r="117" spans="1:45">
      <c r="A117" s="32">
        <f t="shared" si="14"/>
        <v>45860</v>
      </c>
      <c r="B117" s="43">
        <f>YEAR(Table13[[#This Row],[Date]])+IF(MONTH(Table13[[#This Row],[Date]])&gt;=4,1,0)</f>
        <v>2026</v>
      </c>
      <c r="C117" s="10">
        <f>YEAR(Table13[[#This Row],[Date]])</f>
        <v>2025</v>
      </c>
      <c r="D117" s="309">
        <f>Table13[[#This Row],[Date]]-DAY(Table13[[#This Row],[Date]])+1</f>
        <v>45839</v>
      </c>
      <c r="E117" s="10">
        <f t="shared" si="10"/>
        <v>31</v>
      </c>
      <c r="F117" s="241">
        <f>IFERROR(_xlfn.XLOOKUP($A117,Input_Raw!$E:$E,Input_Raw!DC:DC),"")</f>
        <v>0</v>
      </c>
      <c r="G117" s="242"/>
      <c r="H117" s="242"/>
      <c r="I117" s="242"/>
      <c r="J117" s="242"/>
      <c r="K117" s="243"/>
      <c r="L117" s="242"/>
      <c r="M117" s="242" t="str">
        <f>IFERROR(_xlfn.XLOOKUP($A117,Input_Raw!$E:$E,Input_Raw!$BM:$BM),"")</f>
        <v/>
      </c>
      <c r="N117" s="242">
        <f>IFERROR(_xlfn.XLOOKUP($A117,Input_Raw!$E:$E,Input_Raw!$BN:$BN),"")</f>
        <v>0</v>
      </c>
      <c r="O117" s="311" t="str">
        <f t="shared" si="11"/>
        <v/>
      </c>
      <c r="P117" s="311" t="str">
        <f>IFERROR(1-SUMIF(WTG_BD!$F:$F,$A117,WTG_BD!$AA:$AA)/($AA117+SUMIF(WTG_BD!$F:$F,$A117,WTG_BD!$AA:$AA)),"")</f>
        <v/>
      </c>
      <c r="Q117" s="328" t="str">
        <f>IFERROR(1-SUMIF(IGA_BD!$F:$F,$A117,IGA_BD!$W:$W)/($AA117+SUMIF(IGA_BD!$F:$F,$A117,IGA_BD!$W:$W)),"")</f>
        <v/>
      </c>
      <c r="R117" s="311" t="str">
        <f>IFERROR(1-SUMIF(Grid_BD!$F:$F,$A117,Grid_BD!$Y:$Y)/($AA117+SUMIF(Grid_BD!$F:$F,$A117,Grid_BD!$Y:$Y)),"")</f>
        <v/>
      </c>
      <c r="S117" s="10"/>
      <c r="T117" s="310"/>
      <c r="U117" s="311"/>
      <c r="V117" s="10"/>
      <c r="W117" s="312">
        <f t="shared" si="12"/>
        <v>0</v>
      </c>
      <c r="X117" s="10">
        <f>IFERROR(_xlfn.XLOOKUP($A117,Input_Raw!$E:$E,Input_Raw!BG:BG),"")</f>
        <v>0</v>
      </c>
      <c r="Y117" s="10">
        <f>IFERROR(_xlfn.XLOOKUP($A117,Input_Raw!$E:$E,Input_Raw!DF:DF),"")</f>
        <v>0</v>
      </c>
      <c r="Z117" s="319" t="str">
        <f>IFERROR(_xlfn.XLOOKUP(A117,Input_Raw!E:E,Input_Raw!CT:CT)/_xlfn.XLOOKUP(A117,Input_Raw!E:E,Input_Raw!CS:CS)*Table13[[#This Row],[Mtr_Export (kWh)]],"")</f>
        <v/>
      </c>
      <c r="AA117" s="43" t="str">
        <f t="shared" si="13"/>
        <v/>
      </c>
      <c r="AB117" s="10">
        <f>IFERROR(_xlfn.XLOOKUP($A117,Input_Raw!$E:$E,Input_Raw!$CZ:$CZ),"")</f>
        <v>50.6</v>
      </c>
      <c r="AC117" s="313">
        <f>IFERROR(_xlfn.XLOOKUP($D117,'Modelling New'!$D:$D,'Modelling New'!$J:$J),"")</f>
        <v>10.303759359817088</v>
      </c>
      <c r="AD117" s="43">
        <f>IFERROR(_xlfn.XLOOKUP($D117,'Modelling New'!$D:$D,'Modelling New'!$T:$T)*1000,"")</f>
        <v>815983.22580645164</v>
      </c>
      <c r="AE117" s="312"/>
      <c r="AF117" s="312">
        <f>IFERROR(_xlfn.XLOOKUP($D117,'Modelling New'!$D:$D,'Modelling New'!$W:$W),"")</f>
        <v>0.6719229461515579</v>
      </c>
      <c r="AG117" s="312">
        <f>IFERROR(_xlfn.XLOOKUP($D117,'Modelling New'!$D:$D,'Modelling New'!$AE:$AE),"")</f>
        <v>0.95549849999999992</v>
      </c>
      <c r="AH117" s="312">
        <f>IFERROR(_xlfn.XLOOKUP($D117,'Modelling New'!$D:$D,'Modelling New'!$AF:$AF),"")</f>
        <v>0.995</v>
      </c>
      <c r="AI117" s="10">
        <f>IFERROR(_xlfn.XLOOKUP($A117,Input_Raw!$E:$E,Input_Raw!$DG:$DG),"")</f>
        <v>0</v>
      </c>
      <c r="AJ117" s="10"/>
      <c r="AK117" s="10"/>
      <c r="AL117" s="10"/>
      <c r="AM117" s="10"/>
      <c r="AN117" s="314" t="str">
        <f>IFERROR(_xlfn.XLOOKUP($A117,Input_Raw!$E:$E,Input_Raw!$CY:$CY),"")</f>
        <v/>
      </c>
      <c r="AO117" s="312" t="str">
        <f>IFERROR((_xlfn.XLOOKUP($A117,'WTG Reactive Power'!$A:$A,'WTG Reactive Power'!AB:AB))/X117,"")</f>
        <v/>
      </c>
      <c r="AP117" s="312">
        <f>IFERROR(_xlfn.XLOOKUP($D117,'Modelling New'!$D:$D,'Modelling New'!AK:AK),"")</f>
        <v>0.05</v>
      </c>
      <c r="AQ117" s="312">
        <f>IFERROR(_xlfn.XLOOKUP($D117,'Modelling New'!$D:$D,'Modelling New'!AL:AL),"")</f>
        <v>0.05</v>
      </c>
      <c r="AR117" s="325">
        <f>IFERROR(_xlfn.XLOOKUP($D117,'Modelling New'!$D:$D,'Modelling New'!$N:$N),"")</f>
        <v>50.59999999999998</v>
      </c>
      <c r="AS117" s="325"/>
    </row>
    <row r="118" spans="1:45">
      <c r="A118" s="32">
        <f t="shared" si="14"/>
        <v>45861</v>
      </c>
      <c r="B118" s="43">
        <f>YEAR(Table13[[#This Row],[Date]])+IF(MONTH(Table13[[#This Row],[Date]])&gt;=4,1,0)</f>
        <v>2026</v>
      </c>
      <c r="C118" s="10">
        <f>YEAR(Table13[[#This Row],[Date]])</f>
        <v>2025</v>
      </c>
      <c r="D118" s="309">
        <f>Table13[[#This Row],[Date]]-DAY(Table13[[#This Row],[Date]])+1</f>
        <v>45839</v>
      </c>
      <c r="E118" s="10">
        <f t="shared" si="10"/>
        <v>31</v>
      </c>
      <c r="F118" s="241">
        <f>IFERROR(_xlfn.XLOOKUP($A118,Input_Raw!$E:$E,Input_Raw!DC:DC),"")</f>
        <v>0</v>
      </c>
      <c r="G118" s="313"/>
      <c r="H118" s="313"/>
      <c r="I118" s="313"/>
      <c r="J118" s="313"/>
      <c r="K118" s="243"/>
      <c r="L118" s="242"/>
      <c r="M118" s="242" t="str">
        <f>IFERROR(_xlfn.XLOOKUP($A118,Input_Raw!$E:$E,Input_Raw!$BM:$BM),"")</f>
        <v/>
      </c>
      <c r="N118" s="242">
        <f>IFERROR(_xlfn.XLOOKUP($A118,Input_Raw!$E:$E,Input_Raw!$BN:$BN),"")</f>
        <v>0</v>
      </c>
      <c r="O118" s="311" t="str">
        <f t="shared" si="11"/>
        <v/>
      </c>
      <c r="P118" s="311" t="str">
        <f>IFERROR(1-SUMIF(WTG_BD!$F:$F,$A118,WTG_BD!$AA:$AA)/($AA118+SUMIF(WTG_BD!$F:$F,$A118,WTG_BD!$AA:$AA)),"")</f>
        <v/>
      </c>
      <c r="Q118" s="328" t="str">
        <f>IFERROR(1-SUMIF(IGA_BD!$F:$F,$A118,IGA_BD!$W:$W)/($AA118+SUMIF(IGA_BD!$F:$F,$A118,IGA_BD!$W:$W)),"")</f>
        <v/>
      </c>
      <c r="R118" s="47" t="str">
        <f>IFERROR(1-SUMIF(Grid_BD!$F:$F,$A118,Grid_BD!$Y:$Y)/($AA118+SUMIF(Grid_BD!$F:$F,$A118,Grid_BD!$Y:$Y)),"")</f>
        <v/>
      </c>
      <c r="S118" s="10"/>
      <c r="T118" s="310"/>
      <c r="U118" s="311"/>
      <c r="V118" s="10"/>
      <c r="W118" s="312">
        <f t="shared" si="12"/>
        <v>0</v>
      </c>
      <c r="X118" s="10">
        <f>IFERROR(_xlfn.XLOOKUP($A118,Input_Raw!$E:$E,Input_Raw!BG:BG),"")</f>
        <v>0</v>
      </c>
      <c r="Y118" s="10">
        <f>IFERROR(_xlfn.XLOOKUP($A118,Input_Raw!$E:$E,Input_Raw!DF:DF),"")</f>
        <v>0</v>
      </c>
      <c r="Z118" s="319" t="str">
        <f>IFERROR(_xlfn.XLOOKUP(A118,Input_Raw!E:E,Input_Raw!CT:CT)/_xlfn.XLOOKUP(A118,Input_Raw!E:E,Input_Raw!CS:CS)*Table13[[#This Row],[Mtr_Export (kWh)]],"")</f>
        <v/>
      </c>
      <c r="AA118" s="43" t="str">
        <f t="shared" si="13"/>
        <v/>
      </c>
      <c r="AB118" s="10">
        <f>IFERROR(_xlfn.XLOOKUP($A118,Input_Raw!$E:$E,Input_Raw!$CZ:$CZ),"")</f>
        <v>50.6</v>
      </c>
      <c r="AC118" s="313">
        <f>IFERROR(_xlfn.XLOOKUP($D118,'Modelling New'!$D:$D,'Modelling New'!$J:$J),"")</f>
        <v>10.303759359817088</v>
      </c>
      <c r="AD118" s="43">
        <f>IFERROR(_xlfn.XLOOKUP($D118,'Modelling New'!$D:$D,'Modelling New'!$T:$T)*1000,"")</f>
        <v>815983.22580645164</v>
      </c>
      <c r="AE118" s="312"/>
      <c r="AF118" s="312">
        <f>IFERROR(_xlfn.XLOOKUP($D118,'Modelling New'!$D:$D,'Modelling New'!$W:$W),"")</f>
        <v>0.6719229461515579</v>
      </c>
      <c r="AG118" s="312">
        <f>IFERROR(_xlfn.XLOOKUP($D118,'Modelling New'!$D:$D,'Modelling New'!$AE:$AE),"")</f>
        <v>0.95549849999999992</v>
      </c>
      <c r="AH118" s="312">
        <f>IFERROR(_xlfn.XLOOKUP($D118,'Modelling New'!$D:$D,'Modelling New'!$AF:$AF),"")</f>
        <v>0.995</v>
      </c>
      <c r="AI118" s="10">
        <f>IFERROR(_xlfn.XLOOKUP($A118,Input_Raw!$E:$E,Input_Raw!$DG:$DG),"")</f>
        <v>0</v>
      </c>
      <c r="AJ118" s="10"/>
      <c r="AK118" s="10"/>
      <c r="AL118" s="10"/>
      <c r="AM118" s="10"/>
      <c r="AN118" s="314" t="str">
        <f>IFERROR(_xlfn.XLOOKUP($A118,Input_Raw!$E:$E,Input_Raw!$CY:$CY),"")</f>
        <v/>
      </c>
      <c r="AO118" s="312" t="str">
        <f>IFERROR((_xlfn.XLOOKUP($A118,'WTG Reactive Power'!$A:$A,'WTG Reactive Power'!AB:AB))/X118,"")</f>
        <v/>
      </c>
      <c r="AP118" s="312">
        <f>IFERROR(_xlfn.XLOOKUP($D118,'Modelling New'!$D:$D,'Modelling New'!AK:AK),"")</f>
        <v>0.05</v>
      </c>
      <c r="AQ118" s="312">
        <f>IFERROR(_xlfn.XLOOKUP($D118,'Modelling New'!$D:$D,'Modelling New'!AL:AL),"")</f>
        <v>0.05</v>
      </c>
      <c r="AR118" s="325">
        <f>IFERROR(_xlfn.XLOOKUP($D118,'Modelling New'!$D:$D,'Modelling New'!$N:$N),"")</f>
        <v>50.59999999999998</v>
      </c>
      <c r="AS118" s="325"/>
    </row>
    <row r="119" spans="1:45">
      <c r="A119" s="32">
        <f t="shared" si="14"/>
        <v>45862</v>
      </c>
      <c r="B119" s="43">
        <f>YEAR(Table13[[#This Row],[Date]])+IF(MONTH(Table13[[#This Row],[Date]])&gt;=4,1,0)</f>
        <v>2026</v>
      </c>
      <c r="C119" s="10">
        <f>YEAR(Table13[[#This Row],[Date]])</f>
        <v>2025</v>
      </c>
      <c r="D119" s="309">
        <f>Table13[[#This Row],[Date]]-DAY(Table13[[#This Row],[Date]])+1</f>
        <v>45839</v>
      </c>
      <c r="E119" s="10">
        <f t="shared" si="10"/>
        <v>31</v>
      </c>
      <c r="F119" s="241">
        <f>IFERROR(_xlfn.XLOOKUP($A119,Input_Raw!$E:$E,Input_Raw!DC:DC),"")</f>
        <v>0</v>
      </c>
      <c r="G119" s="242"/>
      <c r="H119" s="242"/>
      <c r="I119" s="242"/>
      <c r="J119" s="242"/>
      <c r="K119" s="243"/>
      <c r="L119" s="242"/>
      <c r="M119" s="242" t="str">
        <f>IFERROR(_xlfn.XLOOKUP($A119,Input_Raw!$E:$E,Input_Raw!$BM:$BM),"")</f>
        <v/>
      </c>
      <c r="N119" s="242">
        <f>IFERROR(_xlfn.XLOOKUP($A119,Input_Raw!$E:$E,Input_Raw!$BN:$BN),"")</f>
        <v>0</v>
      </c>
      <c r="O119" s="311" t="str">
        <f t="shared" si="11"/>
        <v/>
      </c>
      <c r="P119" s="311" t="str">
        <f>IFERROR(1-SUMIF(WTG_BD!$F:$F,$A119,WTG_BD!$AA:$AA)/($AA119+SUMIF(WTG_BD!$F:$F,$A119,WTG_BD!$AA:$AA)),"")</f>
        <v/>
      </c>
      <c r="Q119" s="328" t="str">
        <f>IFERROR(1-SUMIF(IGA_BD!$F:$F,$A119,IGA_BD!$W:$W)/($AA119+SUMIF(IGA_BD!$F:$F,$A119,IGA_BD!$W:$W)),"")</f>
        <v/>
      </c>
      <c r="R119" s="311" t="str">
        <f>IFERROR(1-SUMIF(Grid_BD!$F:$F,$A119,Grid_BD!$Y:$Y)/($AA119+SUMIF(Grid_BD!$F:$F,$A119,Grid_BD!$Y:$Y)),"")</f>
        <v/>
      </c>
      <c r="S119" s="10"/>
      <c r="T119" s="310"/>
      <c r="U119" s="311"/>
      <c r="V119" s="10"/>
      <c r="W119" s="312">
        <f t="shared" si="12"/>
        <v>0</v>
      </c>
      <c r="X119" s="10">
        <f>IFERROR(_xlfn.XLOOKUP($A119,Input_Raw!$E:$E,Input_Raw!BG:BG),"")</f>
        <v>0</v>
      </c>
      <c r="Y119" s="10">
        <f>IFERROR(_xlfn.XLOOKUP($A119,Input_Raw!$E:$E,Input_Raw!DF:DF),"")</f>
        <v>0</v>
      </c>
      <c r="Z119" s="319" t="str">
        <f>IFERROR(_xlfn.XLOOKUP(A119,Input_Raw!E:E,Input_Raw!CT:CT)/_xlfn.XLOOKUP(A119,Input_Raw!E:E,Input_Raw!CS:CS)*Table13[[#This Row],[Mtr_Export (kWh)]],"")</f>
        <v/>
      </c>
      <c r="AA119" s="43" t="str">
        <f t="shared" si="13"/>
        <v/>
      </c>
      <c r="AB119" s="10">
        <f>IFERROR(_xlfn.XLOOKUP($A119,Input_Raw!$E:$E,Input_Raw!$CZ:$CZ),"")</f>
        <v>50.6</v>
      </c>
      <c r="AC119" s="313">
        <f>IFERROR(_xlfn.XLOOKUP($D119,'Modelling New'!$D:$D,'Modelling New'!$J:$J),"")</f>
        <v>10.303759359817088</v>
      </c>
      <c r="AD119" s="43">
        <f>IFERROR(_xlfn.XLOOKUP($D119,'Modelling New'!$D:$D,'Modelling New'!$T:$T)*1000,"")</f>
        <v>815983.22580645164</v>
      </c>
      <c r="AE119" s="312"/>
      <c r="AF119" s="312">
        <f>IFERROR(_xlfn.XLOOKUP($D119,'Modelling New'!$D:$D,'Modelling New'!$W:$W),"")</f>
        <v>0.6719229461515579</v>
      </c>
      <c r="AG119" s="312">
        <f>IFERROR(_xlfn.XLOOKUP($D119,'Modelling New'!$D:$D,'Modelling New'!$AE:$AE),"")</f>
        <v>0.95549849999999992</v>
      </c>
      <c r="AH119" s="312">
        <f>IFERROR(_xlfn.XLOOKUP($D119,'Modelling New'!$D:$D,'Modelling New'!$AF:$AF),"")</f>
        <v>0.995</v>
      </c>
      <c r="AI119" s="10">
        <f>IFERROR(_xlfn.XLOOKUP($A119,Input_Raw!$E:$E,Input_Raw!$DG:$DG),"")</f>
        <v>0</v>
      </c>
      <c r="AJ119" s="10"/>
      <c r="AK119" s="10"/>
      <c r="AL119" s="10"/>
      <c r="AM119" s="10"/>
      <c r="AN119" s="314" t="str">
        <f>IFERROR(_xlfn.XLOOKUP($A119,Input_Raw!$E:$E,Input_Raw!$CY:$CY),"")</f>
        <v/>
      </c>
      <c r="AO119" s="312" t="str">
        <f>IFERROR((_xlfn.XLOOKUP($A119,'WTG Reactive Power'!$A:$A,'WTG Reactive Power'!AB:AB))/X119,"")</f>
        <v/>
      </c>
      <c r="AP119" s="312">
        <f>IFERROR(_xlfn.XLOOKUP($D119,'Modelling New'!$D:$D,'Modelling New'!AK:AK),"")</f>
        <v>0.05</v>
      </c>
      <c r="AQ119" s="312">
        <f>IFERROR(_xlfn.XLOOKUP($D119,'Modelling New'!$D:$D,'Modelling New'!AL:AL),"")</f>
        <v>0.05</v>
      </c>
      <c r="AR119" s="325">
        <f>IFERROR(_xlfn.XLOOKUP($D119,'Modelling New'!$D:$D,'Modelling New'!$N:$N),"")</f>
        <v>50.59999999999998</v>
      </c>
      <c r="AS119" s="325"/>
    </row>
    <row r="120" spans="1:45">
      <c r="A120" s="32">
        <f t="shared" si="14"/>
        <v>45863</v>
      </c>
      <c r="B120" s="43">
        <f>YEAR(Table13[[#This Row],[Date]])+IF(MONTH(Table13[[#This Row],[Date]])&gt;=4,1,0)</f>
        <v>2026</v>
      </c>
      <c r="C120" s="10">
        <f>YEAR(Table13[[#This Row],[Date]])</f>
        <v>2025</v>
      </c>
      <c r="D120" s="309">
        <f>Table13[[#This Row],[Date]]-DAY(Table13[[#This Row],[Date]])+1</f>
        <v>45839</v>
      </c>
      <c r="E120" s="10">
        <f t="shared" si="10"/>
        <v>31</v>
      </c>
      <c r="F120" s="241">
        <f>IFERROR(_xlfn.XLOOKUP($A120,Input_Raw!$E:$E,Input_Raw!DC:DC),"")</f>
        <v>0</v>
      </c>
      <c r="G120" s="313"/>
      <c r="H120" s="313"/>
      <c r="I120" s="313"/>
      <c r="J120" s="313"/>
      <c r="K120" s="243"/>
      <c r="L120" s="242"/>
      <c r="M120" s="242" t="str">
        <f>IFERROR(_xlfn.XLOOKUP($A120,Input_Raw!$E:$E,Input_Raw!$BM:$BM),"")</f>
        <v/>
      </c>
      <c r="N120" s="242">
        <f>IFERROR(_xlfn.XLOOKUP($A120,Input_Raw!$E:$E,Input_Raw!$BN:$BN),"")</f>
        <v>0</v>
      </c>
      <c r="O120" s="311" t="str">
        <f t="shared" si="11"/>
        <v/>
      </c>
      <c r="P120" s="311" t="str">
        <f>IFERROR(1-SUMIF(WTG_BD!$F:$F,$A120,WTG_BD!$AA:$AA)/($AA120+SUMIF(WTG_BD!$F:$F,$A120,WTG_BD!$AA:$AA)),"")</f>
        <v/>
      </c>
      <c r="Q120" s="328" t="str">
        <f>IFERROR(1-SUMIF(IGA_BD!$F:$F,$A120,IGA_BD!$W:$W)/($AA120+SUMIF(IGA_BD!$F:$F,$A120,IGA_BD!$W:$W)),"")</f>
        <v/>
      </c>
      <c r="R120" s="47" t="str">
        <f>IFERROR(1-SUMIF(Grid_BD!$F:$F,$A120,Grid_BD!$Y:$Y)/($AA120+SUMIF(Grid_BD!$F:$F,$A120,Grid_BD!$Y:$Y)),"")</f>
        <v/>
      </c>
      <c r="S120" s="10"/>
      <c r="T120" s="310"/>
      <c r="U120" s="311"/>
      <c r="V120" s="10"/>
      <c r="W120" s="312">
        <f t="shared" si="12"/>
        <v>0</v>
      </c>
      <c r="X120" s="10">
        <f>IFERROR(_xlfn.XLOOKUP($A120,Input_Raw!$E:$E,Input_Raw!BG:BG),"")</f>
        <v>0</v>
      </c>
      <c r="Y120" s="10">
        <f>IFERROR(_xlfn.XLOOKUP($A120,Input_Raw!$E:$E,Input_Raw!DF:DF),"")</f>
        <v>0</v>
      </c>
      <c r="Z120" s="319" t="str">
        <f>IFERROR(_xlfn.XLOOKUP(A120,Input_Raw!E:E,Input_Raw!CT:CT)/_xlfn.XLOOKUP(A120,Input_Raw!E:E,Input_Raw!CS:CS)*Table13[[#This Row],[Mtr_Export (kWh)]],"")</f>
        <v/>
      </c>
      <c r="AA120" s="43" t="str">
        <f t="shared" si="13"/>
        <v/>
      </c>
      <c r="AB120" s="10">
        <f>IFERROR(_xlfn.XLOOKUP($A120,Input_Raw!$E:$E,Input_Raw!$CZ:$CZ),"")</f>
        <v>50.6</v>
      </c>
      <c r="AC120" s="313">
        <f>IFERROR(_xlfn.XLOOKUP($D120,'Modelling New'!$D:$D,'Modelling New'!$J:$J),"")</f>
        <v>10.303759359817088</v>
      </c>
      <c r="AD120" s="43">
        <f>IFERROR(_xlfn.XLOOKUP($D120,'Modelling New'!$D:$D,'Modelling New'!$T:$T)*1000,"")</f>
        <v>815983.22580645164</v>
      </c>
      <c r="AE120" s="312"/>
      <c r="AF120" s="312">
        <f>IFERROR(_xlfn.XLOOKUP($D120,'Modelling New'!$D:$D,'Modelling New'!$W:$W),"")</f>
        <v>0.6719229461515579</v>
      </c>
      <c r="AG120" s="312">
        <f>IFERROR(_xlfn.XLOOKUP($D120,'Modelling New'!$D:$D,'Modelling New'!$AE:$AE),"")</f>
        <v>0.95549849999999992</v>
      </c>
      <c r="AH120" s="312">
        <f>IFERROR(_xlfn.XLOOKUP($D120,'Modelling New'!$D:$D,'Modelling New'!$AF:$AF),"")</f>
        <v>0.995</v>
      </c>
      <c r="AI120" s="10">
        <f>IFERROR(_xlfn.XLOOKUP($A120,Input_Raw!$E:$E,Input_Raw!$DG:$DG),"")</f>
        <v>0</v>
      </c>
      <c r="AJ120" s="10"/>
      <c r="AK120" s="10"/>
      <c r="AL120" s="10"/>
      <c r="AM120" s="10"/>
      <c r="AN120" s="314" t="str">
        <f>IFERROR(_xlfn.XLOOKUP($A120,Input_Raw!$E:$E,Input_Raw!$CY:$CY),"")</f>
        <v/>
      </c>
      <c r="AO120" s="312" t="str">
        <f>IFERROR((_xlfn.XLOOKUP($A120,'WTG Reactive Power'!$A:$A,'WTG Reactive Power'!AB:AB))/X120,"")</f>
        <v/>
      </c>
      <c r="AP120" s="312">
        <f>IFERROR(_xlfn.XLOOKUP($D120,'Modelling New'!$D:$D,'Modelling New'!AK:AK),"")</f>
        <v>0.05</v>
      </c>
      <c r="AQ120" s="312">
        <f>IFERROR(_xlfn.XLOOKUP($D120,'Modelling New'!$D:$D,'Modelling New'!AL:AL),"")</f>
        <v>0.05</v>
      </c>
      <c r="AR120" s="325">
        <f>IFERROR(_xlfn.XLOOKUP($D120,'Modelling New'!$D:$D,'Modelling New'!$N:$N),"")</f>
        <v>50.59999999999998</v>
      </c>
      <c r="AS120" s="325"/>
    </row>
    <row r="121" spans="1:45">
      <c r="A121" s="32">
        <f t="shared" si="14"/>
        <v>45864</v>
      </c>
      <c r="B121" s="43">
        <f>YEAR(Table13[[#This Row],[Date]])+IF(MONTH(Table13[[#This Row],[Date]])&gt;=4,1,0)</f>
        <v>2026</v>
      </c>
      <c r="C121" s="10">
        <f>YEAR(Table13[[#This Row],[Date]])</f>
        <v>2025</v>
      </c>
      <c r="D121" s="309">
        <f>Table13[[#This Row],[Date]]-DAY(Table13[[#This Row],[Date]])+1</f>
        <v>45839</v>
      </c>
      <c r="E121" s="10">
        <f t="shared" si="10"/>
        <v>31</v>
      </c>
      <c r="F121" s="241">
        <f>IFERROR(_xlfn.XLOOKUP($A121,Input_Raw!$E:$E,Input_Raw!DC:DC),"")</f>
        <v>0</v>
      </c>
      <c r="G121" s="242"/>
      <c r="H121" s="242"/>
      <c r="I121" s="242"/>
      <c r="J121" s="242"/>
      <c r="K121" s="243"/>
      <c r="L121" s="242"/>
      <c r="M121" s="242" t="str">
        <f>IFERROR(_xlfn.XLOOKUP($A121,Input_Raw!$E:$E,Input_Raw!$BM:$BM),"")</f>
        <v/>
      </c>
      <c r="N121" s="242">
        <f>IFERROR(_xlfn.XLOOKUP($A121,Input_Raw!$E:$E,Input_Raw!$BN:$BN),"")</f>
        <v>0</v>
      </c>
      <c r="O121" s="311" t="str">
        <f t="shared" si="11"/>
        <v/>
      </c>
      <c r="P121" s="311" t="str">
        <f>IFERROR(1-SUMIF(WTG_BD!$F:$F,$A121,WTG_BD!$AA:$AA)/($AA121+SUMIF(WTG_BD!$F:$F,$A121,WTG_BD!$AA:$AA)),"")</f>
        <v/>
      </c>
      <c r="Q121" s="328" t="str">
        <f>IFERROR(1-SUMIF(IGA_BD!$F:$F,$A121,IGA_BD!$W:$W)/($AA121+SUMIF(IGA_BD!$F:$F,$A121,IGA_BD!$W:$W)),"")</f>
        <v/>
      </c>
      <c r="R121" s="311" t="str">
        <f>IFERROR(1-SUMIF(Grid_BD!$F:$F,$A121,Grid_BD!$Y:$Y)/($AA121+SUMIF(Grid_BD!$F:$F,$A121,Grid_BD!$Y:$Y)),"")</f>
        <v/>
      </c>
      <c r="S121" s="10"/>
      <c r="T121" s="310"/>
      <c r="U121" s="311"/>
      <c r="V121" s="10"/>
      <c r="W121" s="312">
        <f t="shared" si="12"/>
        <v>0</v>
      </c>
      <c r="X121" s="10">
        <f>IFERROR(_xlfn.XLOOKUP($A121,Input_Raw!$E:$E,Input_Raw!BG:BG),"")</f>
        <v>0</v>
      </c>
      <c r="Y121" s="10">
        <f>IFERROR(_xlfn.XLOOKUP($A121,Input_Raw!$E:$E,Input_Raw!DF:DF),"")</f>
        <v>0</v>
      </c>
      <c r="Z121" s="319" t="str">
        <f>IFERROR(_xlfn.XLOOKUP(A121,Input_Raw!E:E,Input_Raw!CT:CT)/_xlfn.XLOOKUP(A121,Input_Raw!E:E,Input_Raw!CS:CS)*Table13[[#This Row],[Mtr_Export (kWh)]],"")</f>
        <v/>
      </c>
      <c r="AA121" s="43" t="str">
        <f t="shared" si="13"/>
        <v/>
      </c>
      <c r="AB121" s="10">
        <f>IFERROR(_xlfn.XLOOKUP($A121,Input_Raw!$E:$E,Input_Raw!$CZ:$CZ),"")</f>
        <v>50.6</v>
      </c>
      <c r="AC121" s="313">
        <f>IFERROR(_xlfn.XLOOKUP($D121,'Modelling New'!$D:$D,'Modelling New'!$J:$J),"")</f>
        <v>10.303759359817088</v>
      </c>
      <c r="AD121" s="43">
        <f>IFERROR(_xlfn.XLOOKUP($D121,'Modelling New'!$D:$D,'Modelling New'!$T:$T)*1000,"")</f>
        <v>815983.22580645164</v>
      </c>
      <c r="AE121" s="312"/>
      <c r="AF121" s="312">
        <f>IFERROR(_xlfn.XLOOKUP($D121,'Modelling New'!$D:$D,'Modelling New'!$W:$W),"")</f>
        <v>0.6719229461515579</v>
      </c>
      <c r="AG121" s="312">
        <f>IFERROR(_xlfn.XLOOKUP($D121,'Modelling New'!$D:$D,'Modelling New'!$AE:$AE),"")</f>
        <v>0.95549849999999992</v>
      </c>
      <c r="AH121" s="312">
        <f>IFERROR(_xlfn.XLOOKUP($D121,'Modelling New'!$D:$D,'Modelling New'!$AF:$AF),"")</f>
        <v>0.995</v>
      </c>
      <c r="AI121" s="10">
        <f>IFERROR(_xlfn.XLOOKUP($A121,Input_Raw!$E:$E,Input_Raw!$DG:$DG),"")</f>
        <v>0</v>
      </c>
      <c r="AJ121" s="10"/>
      <c r="AK121" s="10"/>
      <c r="AL121" s="10"/>
      <c r="AM121" s="10"/>
      <c r="AN121" s="314" t="str">
        <f>IFERROR(_xlfn.XLOOKUP($A121,Input_Raw!$E:$E,Input_Raw!$CY:$CY),"")</f>
        <v/>
      </c>
      <c r="AO121" s="312" t="str">
        <f>IFERROR((_xlfn.XLOOKUP($A121,'WTG Reactive Power'!$A:$A,'WTG Reactive Power'!AB:AB))/X121,"")</f>
        <v/>
      </c>
      <c r="AP121" s="312">
        <f>IFERROR(_xlfn.XLOOKUP($D121,'Modelling New'!$D:$D,'Modelling New'!AK:AK),"")</f>
        <v>0.05</v>
      </c>
      <c r="AQ121" s="312">
        <f>IFERROR(_xlfn.XLOOKUP($D121,'Modelling New'!$D:$D,'Modelling New'!AL:AL),"")</f>
        <v>0.05</v>
      </c>
      <c r="AR121" s="325">
        <f>IFERROR(_xlfn.XLOOKUP($D121,'Modelling New'!$D:$D,'Modelling New'!$N:$N),"")</f>
        <v>50.59999999999998</v>
      </c>
      <c r="AS121" s="325"/>
    </row>
    <row r="122" spans="1:45">
      <c r="A122" s="32">
        <f t="shared" si="14"/>
        <v>45865</v>
      </c>
      <c r="B122" s="43">
        <f>YEAR(Table13[[#This Row],[Date]])+IF(MONTH(Table13[[#This Row],[Date]])&gt;=4,1,0)</f>
        <v>2026</v>
      </c>
      <c r="C122" s="10">
        <f>YEAR(Table13[[#This Row],[Date]])</f>
        <v>2025</v>
      </c>
      <c r="D122" s="309">
        <f>Table13[[#This Row],[Date]]-DAY(Table13[[#This Row],[Date]])+1</f>
        <v>45839</v>
      </c>
      <c r="E122" s="10">
        <f t="shared" si="10"/>
        <v>31</v>
      </c>
      <c r="F122" s="241">
        <f>IFERROR(_xlfn.XLOOKUP($A122,Input_Raw!$E:$E,Input_Raw!DC:DC),"")</f>
        <v>0</v>
      </c>
      <c r="G122" s="313"/>
      <c r="H122" s="313"/>
      <c r="I122" s="313"/>
      <c r="J122" s="313"/>
      <c r="K122" s="243"/>
      <c r="L122" s="242"/>
      <c r="M122" s="242" t="str">
        <f>IFERROR(_xlfn.XLOOKUP($A122,Input_Raw!$E:$E,Input_Raw!$BM:$BM),"")</f>
        <v/>
      </c>
      <c r="N122" s="242">
        <f>IFERROR(_xlfn.XLOOKUP($A122,Input_Raw!$E:$E,Input_Raw!$BN:$BN),"")</f>
        <v>0</v>
      </c>
      <c r="O122" s="311" t="str">
        <f t="shared" si="11"/>
        <v/>
      </c>
      <c r="P122" s="311" t="str">
        <f>IFERROR(1-SUMIF(WTG_BD!$F:$F,$A122,WTG_BD!$AA:$AA)/($AA122+SUMIF(WTG_BD!$F:$F,$A122,WTG_BD!$AA:$AA)),"")</f>
        <v/>
      </c>
      <c r="Q122" s="328" t="str">
        <f>IFERROR(1-SUMIF(IGA_BD!$F:$F,$A122,IGA_BD!$W:$W)/($AA122+SUMIF(IGA_BD!$F:$F,$A122,IGA_BD!$W:$W)),"")</f>
        <v/>
      </c>
      <c r="R122" s="47" t="str">
        <f>IFERROR(1-SUMIF(Grid_BD!$F:$F,$A122,Grid_BD!$Y:$Y)/($AA122+SUMIF(Grid_BD!$F:$F,$A122,Grid_BD!$Y:$Y)),"")</f>
        <v/>
      </c>
      <c r="S122" s="10"/>
      <c r="T122" s="310"/>
      <c r="U122" s="311"/>
      <c r="V122" s="10"/>
      <c r="W122" s="312">
        <f t="shared" si="12"/>
        <v>0</v>
      </c>
      <c r="X122" s="10">
        <f>IFERROR(_xlfn.XLOOKUP($A122,Input_Raw!$E:$E,Input_Raw!BG:BG),"")</f>
        <v>0</v>
      </c>
      <c r="Y122" s="10">
        <f>IFERROR(_xlfn.XLOOKUP($A122,Input_Raw!$E:$E,Input_Raw!DF:DF),"")</f>
        <v>0</v>
      </c>
      <c r="Z122" s="319" t="str">
        <f>IFERROR(_xlfn.XLOOKUP(A122,Input_Raw!E:E,Input_Raw!CT:CT)/_xlfn.XLOOKUP(A122,Input_Raw!E:E,Input_Raw!CS:CS)*Table13[[#This Row],[Mtr_Export (kWh)]],"")</f>
        <v/>
      </c>
      <c r="AA122" s="43" t="str">
        <f t="shared" si="13"/>
        <v/>
      </c>
      <c r="AB122" s="10">
        <f>IFERROR(_xlfn.XLOOKUP($A122,Input_Raw!$E:$E,Input_Raw!$CZ:$CZ),"")</f>
        <v>50.6</v>
      </c>
      <c r="AC122" s="313">
        <f>IFERROR(_xlfn.XLOOKUP($D122,'Modelling New'!$D:$D,'Modelling New'!$J:$J),"")</f>
        <v>10.303759359817088</v>
      </c>
      <c r="AD122" s="43">
        <f>IFERROR(_xlfn.XLOOKUP($D122,'Modelling New'!$D:$D,'Modelling New'!$T:$T)*1000,"")</f>
        <v>815983.22580645164</v>
      </c>
      <c r="AE122" s="312"/>
      <c r="AF122" s="312">
        <f>IFERROR(_xlfn.XLOOKUP($D122,'Modelling New'!$D:$D,'Modelling New'!$W:$W),"")</f>
        <v>0.6719229461515579</v>
      </c>
      <c r="AG122" s="312">
        <f>IFERROR(_xlfn.XLOOKUP($D122,'Modelling New'!$D:$D,'Modelling New'!$AE:$AE),"")</f>
        <v>0.95549849999999992</v>
      </c>
      <c r="AH122" s="312">
        <f>IFERROR(_xlfn.XLOOKUP($D122,'Modelling New'!$D:$D,'Modelling New'!$AF:$AF),"")</f>
        <v>0.995</v>
      </c>
      <c r="AI122" s="10">
        <f>IFERROR(_xlfn.XLOOKUP($A122,Input_Raw!$E:$E,Input_Raw!$DG:$DG),"")</f>
        <v>0</v>
      </c>
      <c r="AJ122" s="10"/>
      <c r="AK122" s="10"/>
      <c r="AL122" s="10"/>
      <c r="AM122" s="10"/>
      <c r="AN122" s="314" t="str">
        <f>IFERROR(_xlfn.XLOOKUP($A122,Input_Raw!$E:$E,Input_Raw!$CY:$CY),"")</f>
        <v/>
      </c>
      <c r="AO122" s="312" t="str">
        <f>IFERROR((_xlfn.XLOOKUP($A122,'WTG Reactive Power'!$A:$A,'WTG Reactive Power'!AB:AB))/X122,"")</f>
        <v/>
      </c>
      <c r="AP122" s="312">
        <f>IFERROR(_xlfn.XLOOKUP($D122,'Modelling New'!$D:$D,'Modelling New'!AK:AK),"")</f>
        <v>0.05</v>
      </c>
      <c r="AQ122" s="312">
        <f>IFERROR(_xlfn.XLOOKUP($D122,'Modelling New'!$D:$D,'Modelling New'!AL:AL),"")</f>
        <v>0.05</v>
      </c>
      <c r="AR122" s="325">
        <f>IFERROR(_xlfn.XLOOKUP($D122,'Modelling New'!$D:$D,'Modelling New'!$N:$N),"")</f>
        <v>50.59999999999998</v>
      </c>
      <c r="AS122" s="325"/>
    </row>
    <row r="123" spans="1:45">
      <c r="A123" s="32">
        <f t="shared" si="14"/>
        <v>45866</v>
      </c>
      <c r="B123" s="43">
        <f>YEAR(Table13[[#This Row],[Date]])+IF(MONTH(Table13[[#This Row],[Date]])&gt;=4,1,0)</f>
        <v>2026</v>
      </c>
      <c r="C123" s="10">
        <f>YEAR(Table13[[#This Row],[Date]])</f>
        <v>2025</v>
      </c>
      <c r="D123" s="309">
        <f>Table13[[#This Row],[Date]]-DAY(Table13[[#This Row],[Date]])+1</f>
        <v>45839</v>
      </c>
      <c r="E123" s="10">
        <f t="shared" si="10"/>
        <v>31</v>
      </c>
      <c r="F123" s="241">
        <f>IFERROR(_xlfn.XLOOKUP($A123,Input_Raw!$E:$E,Input_Raw!DC:DC),"")</f>
        <v>0</v>
      </c>
      <c r="G123" s="242"/>
      <c r="H123" s="242"/>
      <c r="I123" s="242"/>
      <c r="J123" s="242"/>
      <c r="K123" s="243"/>
      <c r="L123" s="242"/>
      <c r="M123" s="242" t="str">
        <f>IFERROR(_xlfn.XLOOKUP($A123,Input_Raw!$E:$E,Input_Raw!$BM:$BM),"")</f>
        <v/>
      </c>
      <c r="N123" s="242">
        <f>IFERROR(_xlfn.XLOOKUP($A123,Input_Raw!$E:$E,Input_Raw!$BN:$BN),"")</f>
        <v>0</v>
      </c>
      <c r="O123" s="311" t="str">
        <f t="shared" si="11"/>
        <v/>
      </c>
      <c r="P123" s="311" t="str">
        <f>IFERROR(1-SUMIF(WTG_BD!$F:$F,$A123,WTG_BD!$AA:$AA)/($AA123+SUMIF(WTG_BD!$F:$F,$A123,WTG_BD!$AA:$AA)),"")</f>
        <v/>
      </c>
      <c r="Q123" s="328" t="str">
        <f>IFERROR(1-SUMIF(IGA_BD!$F:$F,$A123,IGA_BD!$W:$W)/($AA123+SUMIF(IGA_BD!$F:$F,$A123,IGA_BD!$W:$W)),"")</f>
        <v/>
      </c>
      <c r="R123" s="311" t="str">
        <f>IFERROR(1-SUMIF(Grid_BD!$F:$F,$A123,Grid_BD!$Y:$Y)/($AA123+SUMIF(Grid_BD!$F:$F,$A123,Grid_BD!$Y:$Y)),"")</f>
        <v/>
      </c>
      <c r="S123" s="10"/>
      <c r="T123" s="310"/>
      <c r="U123" s="311"/>
      <c r="V123" s="10"/>
      <c r="W123" s="312">
        <f t="shared" si="12"/>
        <v>0</v>
      </c>
      <c r="X123" s="10">
        <f>IFERROR(_xlfn.XLOOKUP($A123,Input_Raw!$E:$E,Input_Raw!BG:BG),"")</f>
        <v>0</v>
      </c>
      <c r="Y123" s="10">
        <f>IFERROR(_xlfn.XLOOKUP($A123,Input_Raw!$E:$E,Input_Raw!DF:DF),"")</f>
        <v>0</v>
      </c>
      <c r="Z123" s="319" t="str">
        <f>IFERROR(_xlfn.XLOOKUP(A123,Input_Raw!E:E,Input_Raw!CT:CT)/_xlfn.XLOOKUP(A123,Input_Raw!E:E,Input_Raw!CS:CS)*Table13[[#This Row],[Mtr_Export (kWh)]],"")</f>
        <v/>
      </c>
      <c r="AA123" s="43" t="str">
        <f t="shared" si="13"/>
        <v/>
      </c>
      <c r="AB123" s="10">
        <f>IFERROR(_xlfn.XLOOKUP($A123,Input_Raw!$E:$E,Input_Raw!$CZ:$CZ),"")</f>
        <v>50.6</v>
      </c>
      <c r="AC123" s="313">
        <f>IFERROR(_xlfn.XLOOKUP($D123,'Modelling New'!$D:$D,'Modelling New'!$J:$J),"")</f>
        <v>10.303759359817088</v>
      </c>
      <c r="AD123" s="43">
        <f>IFERROR(_xlfn.XLOOKUP($D123,'Modelling New'!$D:$D,'Modelling New'!$T:$T)*1000,"")</f>
        <v>815983.22580645164</v>
      </c>
      <c r="AE123" s="312"/>
      <c r="AF123" s="312">
        <f>IFERROR(_xlfn.XLOOKUP($D123,'Modelling New'!$D:$D,'Modelling New'!$W:$W),"")</f>
        <v>0.6719229461515579</v>
      </c>
      <c r="AG123" s="312">
        <f>IFERROR(_xlfn.XLOOKUP($D123,'Modelling New'!$D:$D,'Modelling New'!$AE:$AE),"")</f>
        <v>0.95549849999999992</v>
      </c>
      <c r="AH123" s="312">
        <f>IFERROR(_xlfn.XLOOKUP($D123,'Modelling New'!$D:$D,'Modelling New'!$AF:$AF),"")</f>
        <v>0.995</v>
      </c>
      <c r="AI123" s="10">
        <f>IFERROR(_xlfn.XLOOKUP($A123,Input_Raw!$E:$E,Input_Raw!$DG:$DG),"")</f>
        <v>0</v>
      </c>
      <c r="AJ123" s="10"/>
      <c r="AK123" s="10"/>
      <c r="AL123" s="10"/>
      <c r="AM123" s="10"/>
      <c r="AN123" s="314" t="str">
        <f>IFERROR(_xlfn.XLOOKUP($A123,Input_Raw!$E:$E,Input_Raw!$CY:$CY),"")</f>
        <v/>
      </c>
      <c r="AO123" s="312" t="str">
        <f>IFERROR((_xlfn.XLOOKUP($A123,'WTG Reactive Power'!$A:$A,'WTG Reactive Power'!AB:AB))/X123,"")</f>
        <v/>
      </c>
      <c r="AP123" s="312">
        <f>IFERROR(_xlfn.XLOOKUP($D123,'Modelling New'!$D:$D,'Modelling New'!AK:AK),"")</f>
        <v>0.05</v>
      </c>
      <c r="AQ123" s="312">
        <f>IFERROR(_xlfn.XLOOKUP($D123,'Modelling New'!$D:$D,'Modelling New'!AL:AL),"")</f>
        <v>0.05</v>
      </c>
      <c r="AR123" s="325">
        <f>IFERROR(_xlfn.XLOOKUP($D123,'Modelling New'!$D:$D,'Modelling New'!$N:$N),"")</f>
        <v>50.59999999999998</v>
      </c>
      <c r="AS123" s="325"/>
    </row>
    <row r="124" spans="1:45">
      <c r="A124" s="32">
        <f t="shared" si="14"/>
        <v>45867</v>
      </c>
      <c r="B124" s="43">
        <f>YEAR(Table13[[#This Row],[Date]])+IF(MONTH(Table13[[#This Row],[Date]])&gt;=4,1,0)</f>
        <v>2026</v>
      </c>
      <c r="C124" s="10">
        <f>YEAR(Table13[[#This Row],[Date]])</f>
        <v>2025</v>
      </c>
      <c r="D124" s="309">
        <f>Table13[[#This Row],[Date]]-DAY(Table13[[#This Row],[Date]])+1</f>
        <v>45839</v>
      </c>
      <c r="E124" s="10">
        <f t="shared" si="10"/>
        <v>31</v>
      </c>
      <c r="F124" s="241">
        <f>IFERROR(_xlfn.XLOOKUP($A124,Input_Raw!$E:$E,Input_Raw!DC:DC),"")</f>
        <v>0</v>
      </c>
      <c r="G124" s="313"/>
      <c r="H124" s="313"/>
      <c r="I124" s="313"/>
      <c r="J124" s="313"/>
      <c r="K124" s="243"/>
      <c r="L124" s="242"/>
      <c r="M124" s="242" t="str">
        <f>IFERROR(_xlfn.XLOOKUP($A124,Input_Raw!$E:$E,Input_Raw!$BM:$BM),"")</f>
        <v/>
      </c>
      <c r="N124" s="242">
        <f>IFERROR(_xlfn.XLOOKUP($A124,Input_Raw!$E:$E,Input_Raw!$BN:$BN),"")</f>
        <v>0</v>
      </c>
      <c r="O124" s="311" t="str">
        <f t="shared" si="11"/>
        <v/>
      </c>
      <c r="P124" s="311" t="str">
        <f>IFERROR(1-SUMIF(WTG_BD!$F:$F,$A124,WTG_BD!$AA:$AA)/($AA124+SUMIF(WTG_BD!$F:$F,$A124,WTG_BD!$AA:$AA)),"")</f>
        <v/>
      </c>
      <c r="Q124" s="328" t="str">
        <f>IFERROR(1-SUMIF(IGA_BD!$F:$F,$A124,IGA_BD!$W:$W)/($AA124+SUMIF(IGA_BD!$F:$F,$A124,IGA_BD!$W:$W)),"")</f>
        <v/>
      </c>
      <c r="R124" s="47" t="str">
        <f>IFERROR(1-SUMIF(Grid_BD!$F:$F,$A124,Grid_BD!$Y:$Y)/($AA124+SUMIF(Grid_BD!$F:$F,$A124,Grid_BD!$Y:$Y)),"")</f>
        <v/>
      </c>
      <c r="S124" s="10"/>
      <c r="T124" s="310"/>
      <c r="U124" s="311"/>
      <c r="V124" s="10"/>
      <c r="W124" s="312">
        <f t="shared" si="12"/>
        <v>0</v>
      </c>
      <c r="X124" s="10">
        <f>IFERROR(_xlfn.XLOOKUP($A124,Input_Raw!$E:$E,Input_Raw!BG:BG),"")</f>
        <v>0</v>
      </c>
      <c r="Y124" s="10">
        <f>IFERROR(_xlfn.XLOOKUP($A124,Input_Raw!$E:$E,Input_Raw!DF:DF),"")</f>
        <v>0</v>
      </c>
      <c r="Z124" s="319" t="str">
        <f>IFERROR(_xlfn.XLOOKUP(A124,Input_Raw!E:E,Input_Raw!CT:CT)/_xlfn.XLOOKUP(A124,Input_Raw!E:E,Input_Raw!CS:CS)*Table13[[#This Row],[Mtr_Export (kWh)]],"")</f>
        <v/>
      </c>
      <c r="AA124" s="43" t="str">
        <f t="shared" si="13"/>
        <v/>
      </c>
      <c r="AB124" s="10">
        <f>IFERROR(_xlfn.XLOOKUP($A124,Input_Raw!$E:$E,Input_Raw!$CZ:$CZ),"")</f>
        <v>50.6</v>
      </c>
      <c r="AC124" s="313">
        <f>IFERROR(_xlfn.XLOOKUP($D124,'Modelling New'!$D:$D,'Modelling New'!$J:$J),"")</f>
        <v>10.303759359817088</v>
      </c>
      <c r="AD124" s="43">
        <f>IFERROR(_xlfn.XLOOKUP($D124,'Modelling New'!$D:$D,'Modelling New'!$T:$T)*1000,"")</f>
        <v>815983.22580645164</v>
      </c>
      <c r="AE124" s="312"/>
      <c r="AF124" s="312">
        <f>IFERROR(_xlfn.XLOOKUP($D124,'Modelling New'!$D:$D,'Modelling New'!$W:$W),"")</f>
        <v>0.6719229461515579</v>
      </c>
      <c r="AG124" s="312">
        <f>IFERROR(_xlfn.XLOOKUP($D124,'Modelling New'!$D:$D,'Modelling New'!$AE:$AE),"")</f>
        <v>0.95549849999999992</v>
      </c>
      <c r="AH124" s="312">
        <f>IFERROR(_xlfn.XLOOKUP($D124,'Modelling New'!$D:$D,'Modelling New'!$AF:$AF),"")</f>
        <v>0.995</v>
      </c>
      <c r="AI124" s="10">
        <f>IFERROR(_xlfn.XLOOKUP($A124,Input_Raw!$E:$E,Input_Raw!$DG:$DG),"")</f>
        <v>0</v>
      </c>
      <c r="AJ124" s="10"/>
      <c r="AK124" s="10"/>
      <c r="AL124" s="10"/>
      <c r="AM124" s="10"/>
      <c r="AN124" s="314" t="str">
        <f>IFERROR(_xlfn.XLOOKUP($A124,Input_Raw!$E:$E,Input_Raw!$CY:$CY),"")</f>
        <v/>
      </c>
      <c r="AO124" s="312" t="str">
        <f>IFERROR((_xlfn.XLOOKUP($A124,'WTG Reactive Power'!$A:$A,'WTG Reactive Power'!AB:AB))/X124,"")</f>
        <v/>
      </c>
      <c r="AP124" s="312">
        <f>IFERROR(_xlfn.XLOOKUP($D124,'Modelling New'!$D:$D,'Modelling New'!AK:AK),"")</f>
        <v>0.05</v>
      </c>
      <c r="AQ124" s="312">
        <f>IFERROR(_xlfn.XLOOKUP($D124,'Modelling New'!$D:$D,'Modelling New'!AL:AL),"")</f>
        <v>0.05</v>
      </c>
      <c r="AR124" s="325">
        <f>IFERROR(_xlfn.XLOOKUP($D124,'Modelling New'!$D:$D,'Modelling New'!$N:$N),"")</f>
        <v>50.59999999999998</v>
      </c>
      <c r="AS124" s="325"/>
    </row>
    <row r="125" spans="1:45">
      <c r="A125" s="32">
        <f t="shared" si="14"/>
        <v>45868</v>
      </c>
      <c r="B125" s="43">
        <f>YEAR(Table13[[#This Row],[Date]])+IF(MONTH(Table13[[#This Row],[Date]])&gt;=4,1,0)</f>
        <v>2026</v>
      </c>
      <c r="C125" s="10">
        <f>YEAR(Table13[[#This Row],[Date]])</f>
        <v>2025</v>
      </c>
      <c r="D125" s="309">
        <f>Table13[[#This Row],[Date]]-DAY(Table13[[#This Row],[Date]])+1</f>
        <v>45839</v>
      </c>
      <c r="E125" s="10">
        <f t="shared" si="10"/>
        <v>31</v>
      </c>
      <c r="F125" s="241">
        <f>IFERROR(_xlfn.XLOOKUP($A125,Input_Raw!$E:$E,Input_Raw!DC:DC),"")</f>
        <v>0</v>
      </c>
      <c r="G125" s="242"/>
      <c r="H125" s="242"/>
      <c r="I125" s="242"/>
      <c r="J125" s="242"/>
      <c r="K125" s="243"/>
      <c r="L125" s="242"/>
      <c r="M125" s="242" t="str">
        <f>IFERROR(_xlfn.XLOOKUP($A125,Input_Raw!$E:$E,Input_Raw!$BM:$BM),"")</f>
        <v/>
      </c>
      <c r="N125" s="242">
        <f>IFERROR(_xlfn.XLOOKUP($A125,Input_Raw!$E:$E,Input_Raw!$BN:$BN),"")</f>
        <v>0</v>
      </c>
      <c r="O125" s="311" t="str">
        <f t="shared" si="11"/>
        <v/>
      </c>
      <c r="P125" s="311" t="str">
        <f>IFERROR(1-SUMIF(WTG_BD!$F:$F,$A125,WTG_BD!$AA:$AA)/($AA125+SUMIF(WTG_BD!$F:$F,$A125,WTG_BD!$AA:$AA)),"")</f>
        <v/>
      </c>
      <c r="Q125" s="328" t="str">
        <f>IFERROR(1-SUMIF(IGA_BD!$F:$F,$A125,IGA_BD!$W:$W)/($AA125+SUMIF(IGA_BD!$F:$F,$A125,IGA_BD!$W:$W)),"")</f>
        <v/>
      </c>
      <c r="R125" s="311" t="str">
        <f>IFERROR(1-SUMIF(Grid_BD!$F:$F,$A125,Grid_BD!$Y:$Y)/($AA125+SUMIF(Grid_BD!$F:$F,$A125,Grid_BD!$Y:$Y)),"")</f>
        <v/>
      </c>
      <c r="S125" s="10"/>
      <c r="T125" s="310"/>
      <c r="U125" s="311"/>
      <c r="V125" s="10"/>
      <c r="W125" s="312">
        <f t="shared" si="12"/>
        <v>0</v>
      </c>
      <c r="X125" s="10">
        <f>IFERROR(_xlfn.XLOOKUP($A125,Input_Raw!$E:$E,Input_Raw!BG:BG),"")</f>
        <v>0</v>
      </c>
      <c r="Y125" s="10">
        <f>IFERROR(_xlfn.XLOOKUP($A125,Input_Raw!$E:$E,Input_Raw!DF:DF),"")</f>
        <v>0</v>
      </c>
      <c r="Z125" s="319" t="str">
        <f>IFERROR(_xlfn.XLOOKUP(A125,Input_Raw!E:E,Input_Raw!CT:CT)/_xlfn.XLOOKUP(A125,Input_Raw!E:E,Input_Raw!CS:CS)*Table13[[#This Row],[Mtr_Export (kWh)]],"")</f>
        <v/>
      </c>
      <c r="AA125" s="43" t="str">
        <f t="shared" si="13"/>
        <v/>
      </c>
      <c r="AB125" s="10">
        <f>IFERROR(_xlfn.XLOOKUP($A125,Input_Raw!$E:$E,Input_Raw!$CZ:$CZ),"")</f>
        <v>50.6</v>
      </c>
      <c r="AC125" s="313">
        <f>IFERROR(_xlfn.XLOOKUP($D125,'Modelling New'!$D:$D,'Modelling New'!$J:$J),"")</f>
        <v>10.303759359817088</v>
      </c>
      <c r="AD125" s="43">
        <f>IFERROR(_xlfn.XLOOKUP($D125,'Modelling New'!$D:$D,'Modelling New'!$T:$T)*1000,"")</f>
        <v>815983.22580645164</v>
      </c>
      <c r="AE125" s="312"/>
      <c r="AF125" s="312">
        <f>IFERROR(_xlfn.XLOOKUP($D125,'Modelling New'!$D:$D,'Modelling New'!$W:$W),"")</f>
        <v>0.6719229461515579</v>
      </c>
      <c r="AG125" s="312">
        <f>IFERROR(_xlfn.XLOOKUP($D125,'Modelling New'!$D:$D,'Modelling New'!$AE:$AE),"")</f>
        <v>0.95549849999999992</v>
      </c>
      <c r="AH125" s="312">
        <f>IFERROR(_xlfn.XLOOKUP($D125,'Modelling New'!$D:$D,'Modelling New'!$AF:$AF),"")</f>
        <v>0.995</v>
      </c>
      <c r="AI125" s="10">
        <f>IFERROR(_xlfn.XLOOKUP($A125,Input_Raw!$E:$E,Input_Raw!$DG:$DG),"")</f>
        <v>0</v>
      </c>
      <c r="AJ125" s="10"/>
      <c r="AK125" s="10"/>
      <c r="AL125" s="10"/>
      <c r="AM125" s="10"/>
      <c r="AN125" s="314" t="str">
        <f>IFERROR(_xlfn.XLOOKUP($A125,Input_Raw!$E:$E,Input_Raw!$CY:$CY),"")</f>
        <v/>
      </c>
      <c r="AO125" s="312" t="str">
        <f>IFERROR((_xlfn.XLOOKUP($A125,'WTG Reactive Power'!$A:$A,'WTG Reactive Power'!AB:AB))/X125,"")</f>
        <v/>
      </c>
      <c r="AP125" s="312">
        <f>IFERROR(_xlfn.XLOOKUP($D125,'Modelling New'!$D:$D,'Modelling New'!AK:AK),"")</f>
        <v>0.05</v>
      </c>
      <c r="AQ125" s="312">
        <f>IFERROR(_xlfn.XLOOKUP($D125,'Modelling New'!$D:$D,'Modelling New'!AL:AL),"")</f>
        <v>0.05</v>
      </c>
      <c r="AR125" s="325">
        <f>IFERROR(_xlfn.XLOOKUP($D125,'Modelling New'!$D:$D,'Modelling New'!$N:$N),"")</f>
        <v>50.59999999999998</v>
      </c>
      <c r="AS125" s="325"/>
    </row>
    <row r="126" spans="1:45">
      <c r="A126" s="32">
        <f t="shared" si="14"/>
        <v>45869</v>
      </c>
      <c r="B126" s="43">
        <f>YEAR(Table13[[#This Row],[Date]])+IF(MONTH(Table13[[#This Row],[Date]])&gt;=4,1,0)</f>
        <v>2026</v>
      </c>
      <c r="C126" s="10">
        <f>YEAR(Table13[[#This Row],[Date]])</f>
        <v>2025</v>
      </c>
      <c r="D126" s="309">
        <f>Table13[[#This Row],[Date]]-DAY(Table13[[#This Row],[Date]])+1</f>
        <v>45839</v>
      </c>
      <c r="E126" s="10">
        <f t="shared" si="10"/>
        <v>31</v>
      </c>
      <c r="F126" s="241">
        <f>IFERROR(_xlfn.XLOOKUP($A126,Input_Raw!$E:$E,Input_Raw!DC:DC),"")</f>
        <v>0</v>
      </c>
      <c r="G126" s="313"/>
      <c r="H126" s="313"/>
      <c r="I126" s="313"/>
      <c r="J126" s="313"/>
      <c r="K126" s="243"/>
      <c r="L126" s="242"/>
      <c r="M126" s="242" t="str">
        <f>IFERROR(_xlfn.XLOOKUP($A126,Input_Raw!$E:$E,Input_Raw!$BM:$BM),"")</f>
        <v/>
      </c>
      <c r="N126" s="242">
        <f>IFERROR(_xlfn.XLOOKUP($A126,Input_Raw!$E:$E,Input_Raw!$BN:$BN),"")</f>
        <v>0</v>
      </c>
      <c r="O126" s="311" t="str">
        <f t="shared" si="11"/>
        <v/>
      </c>
      <c r="P126" s="311" t="str">
        <f>IFERROR(1-SUMIF(WTG_BD!$F:$F,$A126,WTG_BD!$AA:$AA)/($AA126+SUMIF(WTG_BD!$F:$F,$A126,WTG_BD!$AA:$AA)),"")</f>
        <v/>
      </c>
      <c r="Q126" s="328" t="str">
        <f>IFERROR(1-SUMIF(IGA_BD!$F:$F,$A126,IGA_BD!$W:$W)/($AA126+SUMIF(IGA_BD!$F:$F,$A126,IGA_BD!$W:$W)),"")</f>
        <v/>
      </c>
      <c r="R126" s="47" t="str">
        <f>IFERROR(1-SUMIF(Grid_BD!$F:$F,$A126,Grid_BD!$Y:$Y)/($AA126+SUMIF(Grid_BD!$F:$F,$A126,Grid_BD!$Y:$Y)),"")</f>
        <v/>
      </c>
      <c r="S126" s="10"/>
      <c r="T126" s="310"/>
      <c r="U126" s="311"/>
      <c r="V126" s="10"/>
      <c r="W126" s="312">
        <f t="shared" si="12"/>
        <v>0</v>
      </c>
      <c r="X126" s="10">
        <f>IFERROR(_xlfn.XLOOKUP($A126,Input_Raw!$E:$E,Input_Raw!BG:BG),"")</f>
        <v>0</v>
      </c>
      <c r="Y126" s="10">
        <f>IFERROR(_xlfn.XLOOKUP($A126,Input_Raw!$E:$E,Input_Raw!DF:DF),"")</f>
        <v>0</v>
      </c>
      <c r="Z126" s="319" t="str">
        <f>IFERROR(_xlfn.XLOOKUP(A126,Input_Raw!E:E,Input_Raw!CT:CT)/_xlfn.XLOOKUP(A126,Input_Raw!E:E,Input_Raw!CS:CS)*Table13[[#This Row],[Mtr_Export (kWh)]],"")</f>
        <v/>
      </c>
      <c r="AA126" s="43" t="str">
        <f t="shared" si="13"/>
        <v/>
      </c>
      <c r="AB126" s="10">
        <f>IFERROR(_xlfn.XLOOKUP($A126,Input_Raw!$E:$E,Input_Raw!$CZ:$CZ),"")</f>
        <v>50.6</v>
      </c>
      <c r="AC126" s="313">
        <f>IFERROR(_xlfn.XLOOKUP($D126,'Modelling New'!$D:$D,'Modelling New'!$J:$J),"")</f>
        <v>10.303759359817088</v>
      </c>
      <c r="AD126" s="43">
        <f>IFERROR(_xlfn.XLOOKUP($D126,'Modelling New'!$D:$D,'Modelling New'!$T:$T)*1000,"")</f>
        <v>815983.22580645164</v>
      </c>
      <c r="AE126" s="312"/>
      <c r="AF126" s="312">
        <f>IFERROR(_xlfn.XLOOKUP($D126,'Modelling New'!$D:$D,'Modelling New'!$W:$W),"")</f>
        <v>0.6719229461515579</v>
      </c>
      <c r="AG126" s="312">
        <f>IFERROR(_xlfn.XLOOKUP($D126,'Modelling New'!$D:$D,'Modelling New'!$AE:$AE),"")</f>
        <v>0.95549849999999992</v>
      </c>
      <c r="AH126" s="312">
        <f>IFERROR(_xlfn.XLOOKUP($D126,'Modelling New'!$D:$D,'Modelling New'!$AF:$AF),"")</f>
        <v>0.995</v>
      </c>
      <c r="AI126" s="10">
        <f>IFERROR(_xlfn.XLOOKUP($A126,Input_Raw!$E:$E,Input_Raw!$DG:$DG),"")</f>
        <v>0</v>
      </c>
      <c r="AJ126" s="10"/>
      <c r="AK126" s="10"/>
      <c r="AL126" s="10"/>
      <c r="AM126" s="10"/>
      <c r="AN126" s="314" t="str">
        <f>IFERROR(_xlfn.XLOOKUP($A126,Input_Raw!$E:$E,Input_Raw!$CY:$CY),"")</f>
        <v/>
      </c>
      <c r="AO126" s="312" t="str">
        <f>IFERROR((_xlfn.XLOOKUP($A126,'WTG Reactive Power'!$A:$A,'WTG Reactive Power'!AB:AB))/X126,"")</f>
        <v/>
      </c>
      <c r="AP126" s="312">
        <f>IFERROR(_xlfn.XLOOKUP($D126,'Modelling New'!$D:$D,'Modelling New'!AK:AK),"")</f>
        <v>0.05</v>
      </c>
      <c r="AQ126" s="312">
        <f>IFERROR(_xlfn.XLOOKUP($D126,'Modelling New'!$D:$D,'Modelling New'!AL:AL),"")</f>
        <v>0.05</v>
      </c>
      <c r="AR126" s="325">
        <f>IFERROR(_xlfn.XLOOKUP($D126,'Modelling New'!$D:$D,'Modelling New'!$N:$N),"")</f>
        <v>50.59999999999998</v>
      </c>
      <c r="AS126" s="325"/>
    </row>
    <row r="127" spans="1:45">
      <c r="A127" s="32">
        <f t="shared" si="14"/>
        <v>45870</v>
      </c>
      <c r="B127" s="43">
        <f>YEAR(Table13[[#This Row],[Date]])+IF(MONTH(Table13[[#This Row],[Date]])&gt;=4,1,0)</f>
        <v>2026</v>
      </c>
      <c r="C127" s="10">
        <f>YEAR(Table13[[#This Row],[Date]])</f>
        <v>2025</v>
      </c>
      <c r="D127" s="309">
        <f>Table13[[#This Row],[Date]]-DAY(Table13[[#This Row],[Date]])+1</f>
        <v>45870</v>
      </c>
      <c r="E127" s="10">
        <f t="shared" si="10"/>
        <v>31</v>
      </c>
      <c r="F127" s="241">
        <f>IFERROR(_xlfn.XLOOKUP($A127,Input_Raw!$E:$E,Input_Raw!DC:DC),"")</f>
        <v>0</v>
      </c>
      <c r="G127" s="242"/>
      <c r="H127" s="242"/>
      <c r="I127" s="242"/>
      <c r="J127" s="242"/>
      <c r="K127" s="243"/>
      <c r="L127" s="242"/>
      <c r="M127" s="242" t="str">
        <f>IFERROR(_xlfn.XLOOKUP($A127,Input_Raw!$E:$E,Input_Raw!$BM:$BM),"")</f>
        <v/>
      </c>
      <c r="N127" s="242">
        <f>IFERROR(_xlfn.XLOOKUP($A127,Input_Raw!$E:$E,Input_Raw!$BN:$BN),"")</f>
        <v>0</v>
      </c>
      <c r="O127" s="311" t="str">
        <f t="shared" si="11"/>
        <v/>
      </c>
      <c r="P127" s="311" t="str">
        <f>IFERROR(1-SUMIF(WTG_BD!$F:$F,$A127,WTG_BD!$AA:$AA)/($AA127+SUMIF(WTG_BD!$F:$F,$A127,WTG_BD!$AA:$AA)),"")</f>
        <v/>
      </c>
      <c r="Q127" s="328" t="str">
        <f>IFERROR(1-SUMIF(IGA_BD!$F:$F,$A127,IGA_BD!$W:$W)/($AA127+SUMIF(IGA_BD!$F:$F,$A127,IGA_BD!$W:$W)),"")</f>
        <v/>
      </c>
      <c r="R127" s="311" t="str">
        <f>IFERROR(1-SUMIF(Grid_BD!$F:$F,$A127,Grid_BD!$Y:$Y)/($AA127+SUMIF(Grid_BD!$F:$F,$A127,Grid_BD!$Y:$Y)),"")</f>
        <v/>
      </c>
      <c r="S127" s="10"/>
      <c r="T127" s="310"/>
      <c r="U127" s="311"/>
      <c r="V127" s="10"/>
      <c r="W127" s="312">
        <f t="shared" si="12"/>
        <v>0</v>
      </c>
      <c r="X127" s="10">
        <f>IFERROR(_xlfn.XLOOKUP($A127,Input_Raw!$E:$E,Input_Raw!BG:BG),"")</f>
        <v>0</v>
      </c>
      <c r="Y127" s="10">
        <f>IFERROR(_xlfn.XLOOKUP($A127,Input_Raw!$E:$E,Input_Raw!DF:DF),"")</f>
        <v>0</v>
      </c>
      <c r="Z127" s="319" t="str">
        <f>IFERROR(_xlfn.XLOOKUP(A127,Input_Raw!E:E,Input_Raw!CT:CT)/_xlfn.XLOOKUP(A127,Input_Raw!E:E,Input_Raw!CS:CS)*Table13[[#This Row],[Mtr_Export (kWh)]],"")</f>
        <v/>
      </c>
      <c r="AA127" s="43" t="str">
        <f t="shared" si="13"/>
        <v/>
      </c>
      <c r="AB127" s="10">
        <f>IFERROR(_xlfn.XLOOKUP($A127,Input_Raw!$E:$E,Input_Raw!$CZ:$CZ),"")</f>
        <v>50.6</v>
      </c>
      <c r="AC127" s="313">
        <f>IFERROR(_xlfn.XLOOKUP($D127,'Modelling New'!$D:$D,'Modelling New'!$J:$J),"")</f>
        <v>8.5195147184909956</v>
      </c>
      <c r="AD127" s="43">
        <f>IFERROR(_xlfn.XLOOKUP($D127,'Modelling New'!$D:$D,'Modelling New'!$T:$T)*1000,"")</f>
        <v>699874.83870967745</v>
      </c>
      <c r="AE127" s="312"/>
      <c r="AF127" s="312">
        <f>IFERROR(_xlfn.XLOOKUP($D127,'Modelling New'!$D:$D,'Modelling New'!$W:$W),"")</f>
        <v>0.57631327298227741</v>
      </c>
      <c r="AG127" s="312">
        <f>IFERROR(_xlfn.XLOOKUP($D127,'Modelling New'!$D:$D,'Modelling New'!$AE:$AE),"")</f>
        <v>0.95549849999999992</v>
      </c>
      <c r="AH127" s="312">
        <f>IFERROR(_xlfn.XLOOKUP($D127,'Modelling New'!$D:$D,'Modelling New'!$AF:$AF),"")</f>
        <v>0.995</v>
      </c>
      <c r="AI127" s="10">
        <f>IFERROR(_xlfn.XLOOKUP($A127,Input_Raw!$E:$E,Input_Raw!$DG:$DG),"")</f>
        <v>0</v>
      </c>
      <c r="AJ127" s="10"/>
      <c r="AK127" s="10"/>
      <c r="AL127" s="10"/>
      <c r="AM127" s="10"/>
      <c r="AN127" s="314" t="str">
        <f>IFERROR(_xlfn.XLOOKUP($A127,Input_Raw!$E:$E,Input_Raw!$CY:$CY),"")</f>
        <v/>
      </c>
      <c r="AO127" s="312" t="str">
        <f>IFERROR((_xlfn.XLOOKUP($A127,'WTG Reactive Power'!$A:$A,'WTG Reactive Power'!AB:AB))/X127,"")</f>
        <v/>
      </c>
      <c r="AP127" s="312">
        <f>IFERROR(_xlfn.XLOOKUP($D127,'Modelling New'!$D:$D,'Modelling New'!AK:AK),"")</f>
        <v>0.05</v>
      </c>
      <c r="AQ127" s="312">
        <f>IFERROR(_xlfn.XLOOKUP($D127,'Modelling New'!$D:$D,'Modelling New'!AL:AL),"")</f>
        <v>0.05</v>
      </c>
      <c r="AR127" s="325">
        <f>IFERROR(_xlfn.XLOOKUP($D127,'Modelling New'!$D:$D,'Modelling New'!$N:$N),"")</f>
        <v>50.59999999999998</v>
      </c>
      <c r="AS127" s="325"/>
    </row>
    <row r="128" spans="1:45">
      <c r="A128" s="32">
        <f t="shared" si="14"/>
        <v>45871</v>
      </c>
      <c r="B128" s="43">
        <f>YEAR(Table13[[#This Row],[Date]])+IF(MONTH(Table13[[#This Row],[Date]])&gt;=4,1,0)</f>
        <v>2026</v>
      </c>
      <c r="C128" s="10">
        <f>YEAR(Table13[[#This Row],[Date]])</f>
        <v>2025</v>
      </c>
      <c r="D128" s="309">
        <f>Table13[[#This Row],[Date]]-DAY(Table13[[#This Row],[Date]])+1</f>
        <v>45870</v>
      </c>
      <c r="E128" s="10">
        <f t="shared" si="10"/>
        <v>31</v>
      </c>
      <c r="F128" s="241">
        <f>IFERROR(_xlfn.XLOOKUP($A128,Input_Raw!$E:$E,Input_Raw!DC:DC),"")</f>
        <v>0</v>
      </c>
      <c r="G128" s="313"/>
      <c r="H128" s="313"/>
      <c r="I128" s="313"/>
      <c r="J128" s="313"/>
      <c r="K128" s="243"/>
      <c r="L128" s="242"/>
      <c r="M128" s="242" t="str">
        <f>IFERROR(_xlfn.XLOOKUP($A128,Input_Raw!$E:$E,Input_Raw!$BM:$BM),"")</f>
        <v/>
      </c>
      <c r="N128" s="242">
        <f>IFERROR(_xlfn.XLOOKUP($A128,Input_Raw!$E:$E,Input_Raw!$BN:$BN),"")</f>
        <v>0</v>
      </c>
      <c r="O128" s="311" t="str">
        <f t="shared" si="11"/>
        <v/>
      </c>
      <c r="P128" s="311" t="str">
        <f>IFERROR(1-SUMIF(WTG_BD!$F:$F,$A128,WTG_BD!$AA:$AA)/($AA128+SUMIF(WTG_BD!$F:$F,$A128,WTG_BD!$AA:$AA)),"")</f>
        <v/>
      </c>
      <c r="Q128" s="328" t="str">
        <f>IFERROR(1-SUMIF(IGA_BD!$F:$F,$A128,IGA_BD!$W:$W)/($AA128+SUMIF(IGA_BD!$F:$F,$A128,IGA_BD!$W:$W)),"")</f>
        <v/>
      </c>
      <c r="R128" s="47" t="str">
        <f>IFERROR(1-SUMIF(Grid_BD!$F:$F,$A128,Grid_BD!$Y:$Y)/($AA128+SUMIF(Grid_BD!$F:$F,$A128,Grid_BD!$Y:$Y)),"")</f>
        <v/>
      </c>
      <c r="S128" s="10"/>
      <c r="T128" s="310"/>
      <c r="U128" s="311"/>
      <c r="V128" s="10"/>
      <c r="W128" s="312">
        <f t="shared" si="12"/>
        <v>0</v>
      </c>
      <c r="X128" s="10">
        <f>IFERROR(_xlfn.XLOOKUP($A128,Input_Raw!$E:$E,Input_Raw!BG:BG),"")</f>
        <v>0</v>
      </c>
      <c r="Y128" s="10">
        <f>IFERROR(_xlfn.XLOOKUP($A128,Input_Raw!$E:$E,Input_Raw!DF:DF),"")</f>
        <v>0</v>
      </c>
      <c r="Z128" s="319" t="str">
        <f>IFERROR(_xlfn.XLOOKUP(A128,Input_Raw!E:E,Input_Raw!CT:CT)/_xlfn.XLOOKUP(A128,Input_Raw!E:E,Input_Raw!CS:CS)*Table13[[#This Row],[Mtr_Export (kWh)]],"")</f>
        <v/>
      </c>
      <c r="AA128" s="43" t="str">
        <f t="shared" si="13"/>
        <v/>
      </c>
      <c r="AB128" s="10">
        <f>IFERROR(_xlfn.XLOOKUP($A128,Input_Raw!$E:$E,Input_Raw!$CZ:$CZ),"")</f>
        <v>50.6</v>
      </c>
      <c r="AC128" s="313">
        <f>IFERROR(_xlfn.XLOOKUP($D128,'Modelling New'!$D:$D,'Modelling New'!$J:$J),"")</f>
        <v>8.5195147184909956</v>
      </c>
      <c r="AD128" s="43">
        <f>IFERROR(_xlfn.XLOOKUP($D128,'Modelling New'!$D:$D,'Modelling New'!$T:$T)*1000,"")</f>
        <v>699874.83870967745</v>
      </c>
      <c r="AE128" s="312"/>
      <c r="AF128" s="312">
        <f>IFERROR(_xlfn.XLOOKUP($D128,'Modelling New'!$D:$D,'Modelling New'!$W:$W),"")</f>
        <v>0.57631327298227741</v>
      </c>
      <c r="AG128" s="312">
        <f>IFERROR(_xlfn.XLOOKUP($D128,'Modelling New'!$D:$D,'Modelling New'!$AE:$AE),"")</f>
        <v>0.95549849999999992</v>
      </c>
      <c r="AH128" s="312">
        <f>IFERROR(_xlfn.XLOOKUP($D128,'Modelling New'!$D:$D,'Modelling New'!$AF:$AF),"")</f>
        <v>0.995</v>
      </c>
      <c r="AI128" s="10">
        <f>IFERROR(_xlfn.XLOOKUP($A128,Input_Raw!$E:$E,Input_Raw!$DG:$DG),"")</f>
        <v>0</v>
      </c>
      <c r="AJ128" s="10"/>
      <c r="AK128" s="10"/>
      <c r="AL128" s="10"/>
      <c r="AM128" s="10"/>
      <c r="AN128" s="314" t="str">
        <f>IFERROR(_xlfn.XLOOKUP($A128,Input_Raw!$E:$E,Input_Raw!$CY:$CY),"")</f>
        <v/>
      </c>
      <c r="AO128" s="312" t="str">
        <f>IFERROR((_xlfn.XLOOKUP($A128,'WTG Reactive Power'!$A:$A,'WTG Reactive Power'!AB:AB))/X128,"")</f>
        <v/>
      </c>
      <c r="AP128" s="312">
        <f>IFERROR(_xlfn.XLOOKUP($D128,'Modelling New'!$D:$D,'Modelling New'!AK:AK),"")</f>
        <v>0.05</v>
      </c>
      <c r="AQ128" s="312">
        <f>IFERROR(_xlfn.XLOOKUP($D128,'Modelling New'!$D:$D,'Modelling New'!AL:AL),"")</f>
        <v>0.05</v>
      </c>
      <c r="AR128" s="325">
        <f>IFERROR(_xlfn.XLOOKUP($D128,'Modelling New'!$D:$D,'Modelling New'!$N:$N),"")</f>
        <v>50.59999999999998</v>
      </c>
      <c r="AS128" s="325"/>
    </row>
    <row r="129" spans="1:45">
      <c r="A129" s="32">
        <f t="shared" si="14"/>
        <v>45872</v>
      </c>
      <c r="B129" s="43">
        <f>YEAR(Table13[[#This Row],[Date]])+IF(MONTH(Table13[[#This Row],[Date]])&gt;=4,1,0)</f>
        <v>2026</v>
      </c>
      <c r="C129" s="10">
        <f>YEAR(Table13[[#This Row],[Date]])</f>
        <v>2025</v>
      </c>
      <c r="D129" s="309">
        <f>Table13[[#This Row],[Date]]-DAY(Table13[[#This Row],[Date]])+1</f>
        <v>45870</v>
      </c>
      <c r="E129" s="10">
        <f t="shared" si="10"/>
        <v>31</v>
      </c>
      <c r="F129" s="241">
        <f>IFERROR(_xlfn.XLOOKUP($A129,Input_Raw!$E:$E,Input_Raw!DC:DC),"")</f>
        <v>0</v>
      </c>
      <c r="G129" s="242"/>
      <c r="H129" s="242"/>
      <c r="I129" s="242"/>
      <c r="J129" s="242"/>
      <c r="K129" s="243"/>
      <c r="L129" s="242"/>
      <c r="M129" s="242" t="str">
        <f>IFERROR(_xlfn.XLOOKUP($A129,Input_Raw!$E:$E,Input_Raw!$BM:$BM),"")</f>
        <v/>
      </c>
      <c r="N129" s="242">
        <f>IFERROR(_xlfn.XLOOKUP($A129,Input_Raw!$E:$E,Input_Raw!$BN:$BN),"")</f>
        <v>0</v>
      </c>
      <c r="O129" s="311" t="str">
        <f t="shared" si="11"/>
        <v/>
      </c>
      <c r="P129" s="311" t="str">
        <f>IFERROR(1-SUMIF(WTG_BD!$F:$F,$A129,WTG_BD!$AA:$AA)/($AA129+SUMIF(WTG_BD!$F:$F,$A129,WTG_BD!$AA:$AA)),"")</f>
        <v/>
      </c>
      <c r="Q129" s="328" t="str">
        <f>IFERROR(1-SUMIF(IGA_BD!$F:$F,$A129,IGA_BD!$W:$W)/($AA129+SUMIF(IGA_BD!$F:$F,$A129,IGA_BD!$W:$W)),"")</f>
        <v/>
      </c>
      <c r="R129" s="311" t="str">
        <f>IFERROR(1-SUMIF(Grid_BD!$F:$F,$A129,Grid_BD!$Y:$Y)/($AA129+SUMIF(Grid_BD!$F:$F,$A129,Grid_BD!$Y:$Y)),"")</f>
        <v/>
      </c>
      <c r="S129" s="10"/>
      <c r="T129" s="310"/>
      <c r="U129" s="311"/>
      <c r="V129" s="10"/>
      <c r="W129" s="312">
        <f t="shared" si="12"/>
        <v>0</v>
      </c>
      <c r="X129" s="10">
        <f>IFERROR(_xlfn.XLOOKUP($A129,Input_Raw!$E:$E,Input_Raw!BG:BG),"")</f>
        <v>0</v>
      </c>
      <c r="Y129" s="10">
        <f>IFERROR(_xlfn.XLOOKUP($A129,Input_Raw!$E:$E,Input_Raw!DF:DF),"")</f>
        <v>0</v>
      </c>
      <c r="Z129" s="319" t="str">
        <f>IFERROR(_xlfn.XLOOKUP(A129,Input_Raw!E:E,Input_Raw!CT:CT)/_xlfn.XLOOKUP(A129,Input_Raw!E:E,Input_Raw!CS:CS)*Table13[[#This Row],[Mtr_Export (kWh)]],"")</f>
        <v/>
      </c>
      <c r="AA129" s="43" t="str">
        <f t="shared" si="13"/>
        <v/>
      </c>
      <c r="AB129" s="10">
        <f>IFERROR(_xlfn.XLOOKUP($A129,Input_Raw!$E:$E,Input_Raw!$CZ:$CZ),"")</f>
        <v>50.6</v>
      </c>
      <c r="AC129" s="313">
        <f>IFERROR(_xlfn.XLOOKUP($D129,'Modelling New'!$D:$D,'Modelling New'!$J:$J),"")</f>
        <v>8.5195147184909956</v>
      </c>
      <c r="AD129" s="43">
        <f>IFERROR(_xlfn.XLOOKUP($D129,'Modelling New'!$D:$D,'Modelling New'!$T:$T)*1000,"")</f>
        <v>699874.83870967745</v>
      </c>
      <c r="AE129" s="312"/>
      <c r="AF129" s="312">
        <f>IFERROR(_xlfn.XLOOKUP($D129,'Modelling New'!$D:$D,'Modelling New'!$W:$W),"")</f>
        <v>0.57631327298227741</v>
      </c>
      <c r="AG129" s="312">
        <f>IFERROR(_xlfn.XLOOKUP($D129,'Modelling New'!$D:$D,'Modelling New'!$AE:$AE),"")</f>
        <v>0.95549849999999992</v>
      </c>
      <c r="AH129" s="312">
        <f>IFERROR(_xlfn.XLOOKUP($D129,'Modelling New'!$D:$D,'Modelling New'!$AF:$AF),"")</f>
        <v>0.995</v>
      </c>
      <c r="AI129" s="10">
        <f>IFERROR(_xlfn.XLOOKUP($A129,Input_Raw!$E:$E,Input_Raw!$DG:$DG),"")</f>
        <v>0</v>
      </c>
      <c r="AJ129" s="10"/>
      <c r="AK129" s="10"/>
      <c r="AL129" s="10"/>
      <c r="AM129" s="10"/>
      <c r="AN129" s="314" t="str">
        <f>IFERROR(_xlfn.XLOOKUP($A129,Input_Raw!$E:$E,Input_Raw!$CY:$CY),"")</f>
        <v/>
      </c>
      <c r="AO129" s="312" t="str">
        <f>IFERROR((_xlfn.XLOOKUP($A129,'WTG Reactive Power'!$A:$A,'WTG Reactive Power'!AB:AB))/X129,"")</f>
        <v/>
      </c>
      <c r="AP129" s="312">
        <f>IFERROR(_xlfn.XLOOKUP($D129,'Modelling New'!$D:$D,'Modelling New'!AK:AK),"")</f>
        <v>0.05</v>
      </c>
      <c r="AQ129" s="312">
        <f>IFERROR(_xlfn.XLOOKUP($D129,'Modelling New'!$D:$D,'Modelling New'!AL:AL),"")</f>
        <v>0.05</v>
      </c>
      <c r="AR129" s="325">
        <f>IFERROR(_xlfn.XLOOKUP($D129,'Modelling New'!$D:$D,'Modelling New'!$N:$N),"")</f>
        <v>50.59999999999998</v>
      </c>
      <c r="AS129" s="325"/>
    </row>
    <row r="130" spans="1:45">
      <c r="A130" s="32">
        <f t="shared" si="14"/>
        <v>45873</v>
      </c>
      <c r="B130" s="43">
        <f>YEAR(Table13[[#This Row],[Date]])+IF(MONTH(Table13[[#This Row],[Date]])&gt;=4,1,0)</f>
        <v>2026</v>
      </c>
      <c r="C130" s="10">
        <f>YEAR(Table13[[#This Row],[Date]])</f>
        <v>2025</v>
      </c>
      <c r="D130" s="309">
        <f>Table13[[#This Row],[Date]]-DAY(Table13[[#This Row],[Date]])+1</f>
        <v>45870</v>
      </c>
      <c r="E130" s="10">
        <f t="shared" si="10"/>
        <v>31</v>
      </c>
      <c r="F130" s="241">
        <f>IFERROR(_xlfn.XLOOKUP($A130,Input_Raw!$E:$E,Input_Raw!DC:DC),"")</f>
        <v>0</v>
      </c>
      <c r="G130" s="313"/>
      <c r="H130" s="313"/>
      <c r="I130" s="313"/>
      <c r="J130" s="313"/>
      <c r="K130" s="243"/>
      <c r="L130" s="242"/>
      <c r="M130" s="242" t="str">
        <f>IFERROR(_xlfn.XLOOKUP($A130,Input_Raw!$E:$E,Input_Raw!$BM:$BM),"")</f>
        <v/>
      </c>
      <c r="N130" s="242">
        <f>IFERROR(_xlfn.XLOOKUP($A130,Input_Raw!$E:$E,Input_Raw!$BN:$BN),"")</f>
        <v>0</v>
      </c>
      <c r="O130" s="311" t="str">
        <f t="shared" si="11"/>
        <v/>
      </c>
      <c r="P130" s="311" t="str">
        <f>IFERROR(1-SUMIF(WTG_BD!$F:$F,$A130,WTG_BD!$AA:$AA)/($AA130+SUMIF(WTG_BD!$F:$F,$A130,WTG_BD!$AA:$AA)),"")</f>
        <v/>
      </c>
      <c r="Q130" s="328" t="str">
        <f>IFERROR(1-SUMIF(IGA_BD!$F:$F,$A130,IGA_BD!$W:$W)/($AA130+SUMIF(IGA_BD!$F:$F,$A130,IGA_BD!$W:$W)),"")</f>
        <v/>
      </c>
      <c r="R130" s="47" t="str">
        <f>IFERROR(1-SUMIF(Grid_BD!$F:$F,$A130,Grid_BD!$Y:$Y)/($AA130+SUMIF(Grid_BD!$F:$F,$A130,Grid_BD!$Y:$Y)),"")</f>
        <v/>
      </c>
      <c r="S130" s="10"/>
      <c r="T130" s="310"/>
      <c r="U130" s="311"/>
      <c r="V130" s="10"/>
      <c r="W130" s="312">
        <f t="shared" si="12"/>
        <v>0</v>
      </c>
      <c r="X130" s="10">
        <f>IFERROR(_xlfn.XLOOKUP($A130,Input_Raw!$E:$E,Input_Raw!BG:BG),"")</f>
        <v>0</v>
      </c>
      <c r="Y130" s="10">
        <f>IFERROR(_xlfn.XLOOKUP($A130,Input_Raw!$E:$E,Input_Raw!DF:DF),"")</f>
        <v>0</v>
      </c>
      <c r="Z130" s="319" t="str">
        <f>IFERROR(_xlfn.XLOOKUP(A130,Input_Raw!E:E,Input_Raw!CT:CT)/_xlfn.XLOOKUP(A130,Input_Raw!E:E,Input_Raw!CS:CS)*Table13[[#This Row],[Mtr_Export (kWh)]],"")</f>
        <v/>
      </c>
      <c r="AA130" s="43" t="str">
        <f t="shared" si="13"/>
        <v/>
      </c>
      <c r="AB130" s="10">
        <f>IFERROR(_xlfn.XLOOKUP($A130,Input_Raw!$E:$E,Input_Raw!$CZ:$CZ),"")</f>
        <v>50.6</v>
      </c>
      <c r="AC130" s="313">
        <f>IFERROR(_xlfn.XLOOKUP($D130,'Modelling New'!$D:$D,'Modelling New'!$J:$J),"")</f>
        <v>8.5195147184909956</v>
      </c>
      <c r="AD130" s="43">
        <f>IFERROR(_xlfn.XLOOKUP($D130,'Modelling New'!$D:$D,'Modelling New'!$T:$T)*1000,"")</f>
        <v>699874.83870967745</v>
      </c>
      <c r="AE130" s="312"/>
      <c r="AF130" s="312">
        <f>IFERROR(_xlfn.XLOOKUP($D130,'Modelling New'!$D:$D,'Modelling New'!$W:$W),"")</f>
        <v>0.57631327298227741</v>
      </c>
      <c r="AG130" s="312">
        <f>IFERROR(_xlfn.XLOOKUP($D130,'Modelling New'!$D:$D,'Modelling New'!$AE:$AE),"")</f>
        <v>0.95549849999999992</v>
      </c>
      <c r="AH130" s="312">
        <f>IFERROR(_xlfn.XLOOKUP($D130,'Modelling New'!$D:$D,'Modelling New'!$AF:$AF),"")</f>
        <v>0.995</v>
      </c>
      <c r="AI130" s="10">
        <f>IFERROR(_xlfn.XLOOKUP($A130,Input_Raw!$E:$E,Input_Raw!$DG:$DG),"")</f>
        <v>0</v>
      </c>
      <c r="AJ130" s="10"/>
      <c r="AK130" s="10"/>
      <c r="AL130" s="10"/>
      <c r="AM130" s="10"/>
      <c r="AN130" s="314" t="str">
        <f>IFERROR(_xlfn.XLOOKUP($A130,Input_Raw!$E:$E,Input_Raw!$CY:$CY),"")</f>
        <v/>
      </c>
      <c r="AO130" s="312" t="str">
        <f>IFERROR((_xlfn.XLOOKUP($A130,'WTG Reactive Power'!$A:$A,'WTG Reactive Power'!AB:AB))/X130,"")</f>
        <v/>
      </c>
      <c r="AP130" s="312">
        <f>IFERROR(_xlfn.XLOOKUP($D130,'Modelling New'!$D:$D,'Modelling New'!AK:AK),"")</f>
        <v>0.05</v>
      </c>
      <c r="AQ130" s="312">
        <f>IFERROR(_xlfn.XLOOKUP($D130,'Modelling New'!$D:$D,'Modelling New'!AL:AL),"")</f>
        <v>0.05</v>
      </c>
      <c r="AR130" s="325">
        <f>IFERROR(_xlfn.XLOOKUP($D130,'Modelling New'!$D:$D,'Modelling New'!$N:$N),"")</f>
        <v>50.59999999999998</v>
      </c>
      <c r="AS130" s="325"/>
    </row>
    <row r="131" spans="1:45">
      <c r="A131" s="32">
        <f t="shared" si="14"/>
        <v>45874</v>
      </c>
      <c r="B131" s="43">
        <f>YEAR(Table13[[#This Row],[Date]])+IF(MONTH(Table13[[#This Row],[Date]])&gt;=4,1,0)</f>
        <v>2026</v>
      </c>
      <c r="C131" s="10">
        <f>YEAR(Table13[[#This Row],[Date]])</f>
        <v>2025</v>
      </c>
      <c r="D131" s="309">
        <f>Table13[[#This Row],[Date]]-DAY(Table13[[#This Row],[Date]])+1</f>
        <v>45870</v>
      </c>
      <c r="E131" s="10">
        <f t="shared" si="10"/>
        <v>31</v>
      </c>
      <c r="F131" s="241">
        <f>IFERROR(_xlfn.XLOOKUP($A131,Input_Raw!$E:$E,Input_Raw!DC:DC),"")</f>
        <v>0</v>
      </c>
      <c r="G131" s="242"/>
      <c r="H131" s="242"/>
      <c r="I131" s="242"/>
      <c r="J131" s="242"/>
      <c r="K131" s="243"/>
      <c r="L131" s="242"/>
      <c r="M131" s="242" t="str">
        <f>IFERROR(_xlfn.XLOOKUP($A131,Input_Raw!$E:$E,Input_Raw!$BM:$BM),"")</f>
        <v/>
      </c>
      <c r="N131" s="242">
        <f>IFERROR(_xlfn.XLOOKUP($A131,Input_Raw!$E:$E,Input_Raw!$BN:$BN),"")</f>
        <v>0</v>
      </c>
      <c r="O131" s="311" t="str">
        <f t="shared" si="11"/>
        <v/>
      </c>
      <c r="P131" s="311" t="str">
        <f>IFERROR(1-SUMIF(WTG_BD!$F:$F,$A131,WTG_BD!$AA:$AA)/($AA131+SUMIF(WTG_BD!$F:$F,$A131,WTG_BD!$AA:$AA)),"")</f>
        <v/>
      </c>
      <c r="Q131" s="328" t="str">
        <f>IFERROR(1-SUMIF(IGA_BD!$F:$F,$A131,IGA_BD!$W:$W)/($AA131+SUMIF(IGA_BD!$F:$F,$A131,IGA_BD!$W:$W)),"")</f>
        <v/>
      </c>
      <c r="R131" s="311" t="str">
        <f>IFERROR(1-SUMIF(Grid_BD!$F:$F,$A131,Grid_BD!$Y:$Y)/($AA131+SUMIF(Grid_BD!$F:$F,$A131,Grid_BD!$Y:$Y)),"")</f>
        <v/>
      </c>
      <c r="S131" s="10"/>
      <c r="T131" s="310"/>
      <c r="U131" s="311"/>
      <c r="V131" s="10"/>
      <c r="W131" s="312">
        <f t="shared" si="12"/>
        <v>0</v>
      </c>
      <c r="X131" s="10">
        <f>IFERROR(_xlfn.XLOOKUP($A131,Input_Raw!$E:$E,Input_Raw!BG:BG),"")</f>
        <v>0</v>
      </c>
      <c r="Y131" s="10">
        <f>IFERROR(_xlfn.XLOOKUP($A131,Input_Raw!$E:$E,Input_Raw!DF:DF),"")</f>
        <v>0</v>
      </c>
      <c r="Z131" s="319" t="str">
        <f>IFERROR(_xlfn.XLOOKUP(A131,Input_Raw!E:E,Input_Raw!CT:CT)/_xlfn.XLOOKUP(A131,Input_Raw!E:E,Input_Raw!CS:CS)*Table13[[#This Row],[Mtr_Export (kWh)]],"")</f>
        <v/>
      </c>
      <c r="AA131" s="43" t="str">
        <f t="shared" si="13"/>
        <v/>
      </c>
      <c r="AB131" s="10">
        <f>IFERROR(_xlfn.XLOOKUP($A131,Input_Raw!$E:$E,Input_Raw!$CZ:$CZ),"")</f>
        <v>50.6</v>
      </c>
      <c r="AC131" s="313">
        <f>IFERROR(_xlfn.XLOOKUP($D131,'Modelling New'!$D:$D,'Modelling New'!$J:$J),"")</f>
        <v>8.5195147184909956</v>
      </c>
      <c r="AD131" s="43">
        <f>IFERROR(_xlfn.XLOOKUP($D131,'Modelling New'!$D:$D,'Modelling New'!$T:$T)*1000,"")</f>
        <v>699874.83870967745</v>
      </c>
      <c r="AE131" s="312"/>
      <c r="AF131" s="312">
        <f>IFERROR(_xlfn.XLOOKUP($D131,'Modelling New'!$D:$D,'Modelling New'!$W:$W),"")</f>
        <v>0.57631327298227741</v>
      </c>
      <c r="AG131" s="312">
        <f>IFERROR(_xlfn.XLOOKUP($D131,'Modelling New'!$D:$D,'Modelling New'!$AE:$AE),"")</f>
        <v>0.95549849999999992</v>
      </c>
      <c r="AH131" s="312">
        <f>IFERROR(_xlfn.XLOOKUP($D131,'Modelling New'!$D:$D,'Modelling New'!$AF:$AF),"")</f>
        <v>0.995</v>
      </c>
      <c r="AI131" s="10">
        <f>IFERROR(_xlfn.XLOOKUP($A131,Input_Raw!$E:$E,Input_Raw!$DG:$DG),"")</f>
        <v>0</v>
      </c>
      <c r="AJ131" s="10"/>
      <c r="AK131" s="10"/>
      <c r="AL131" s="10"/>
      <c r="AM131" s="10"/>
      <c r="AN131" s="314" t="str">
        <f>IFERROR(_xlfn.XLOOKUP($A131,Input_Raw!$E:$E,Input_Raw!$CY:$CY),"")</f>
        <v/>
      </c>
      <c r="AO131" s="312" t="str">
        <f>IFERROR((_xlfn.XLOOKUP($A131,'WTG Reactive Power'!$A:$A,'WTG Reactive Power'!AB:AB))/X131,"")</f>
        <v/>
      </c>
      <c r="AP131" s="312">
        <f>IFERROR(_xlfn.XLOOKUP($D131,'Modelling New'!$D:$D,'Modelling New'!AK:AK),"")</f>
        <v>0.05</v>
      </c>
      <c r="AQ131" s="312">
        <f>IFERROR(_xlfn.XLOOKUP($D131,'Modelling New'!$D:$D,'Modelling New'!AL:AL),"")</f>
        <v>0.05</v>
      </c>
      <c r="AR131" s="325">
        <f>IFERROR(_xlfn.XLOOKUP($D131,'Modelling New'!$D:$D,'Modelling New'!$N:$N),"")</f>
        <v>50.59999999999998</v>
      </c>
      <c r="AS131" s="325"/>
    </row>
    <row r="132" spans="1:45">
      <c r="A132" s="32">
        <f t="shared" si="14"/>
        <v>45875</v>
      </c>
      <c r="B132" s="43">
        <f>YEAR(Table13[[#This Row],[Date]])+IF(MONTH(Table13[[#This Row],[Date]])&gt;=4,1,0)</f>
        <v>2026</v>
      </c>
      <c r="C132" s="10">
        <f>YEAR(Table13[[#This Row],[Date]])</f>
        <v>2025</v>
      </c>
      <c r="D132" s="309">
        <f>Table13[[#This Row],[Date]]-DAY(Table13[[#This Row],[Date]])+1</f>
        <v>45870</v>
      </c>
      <c r="E132" s="10">
        <f t="shared" si="10"/>
        <v>31</v>
      </c>
      <c r="F132" s="241">
        <f>IFERROR(_xlfn.XLOOKUP($A132,Input_Raw!$E:$E,Input_Raw!DC:DC),"")</f>
        <v>0</v>
      </c>
      <c r="G132" s="313"/>
      <c r="H132" s="313"/>
      <c r="I132" s="313"/>
      <c r="J132" s="313"/>
      <c r="K132" s="243"/>
      <c r="L132" s="242"/>
      <c r="M132" s="242" t="str">
        <f>IFERROR(_xlfn.XLOOKUP($A132,Input_Raw!$E:$E,Input_Raw!$BM:$BM),"")</f>
        <v/>
      </c>
      <c r="N132" s="242">
        <f>IFERROR(_xlfn.XLOOKUP($A132,Input_Raw!$E:$E,Input_Raw!$BN:$BN),"")</f>
        <v>0</v>
      </c>
      <c r="O132" s="311" t="str">
        <f t="shared" si="11"/>
        <v/>
      </c>
      <c r="P132" s="311" t="str">
        <f>IFERROR(1-SUMIF(WTG_BD!$F:$F,$A132,WTG_BD!$AA:$AA)/($AA132+SUMIF(WTG_BD!$F:$F,$A132,WTG_BD!$AA:$AA)),"")</f>
        <v/>
      </c>
      <c r="Q132" s="328" t="str">
        <f>IFERROR(1-SUMIF(IGA_BD!$F:$F,$A132,IGA_BD!$W:$W)/($AA132+SUMIF(IGA_BD!$F:$F,$A132,IGA_BD!$W:$W)),"")</f>
        <v/>
      </c>
      <c r="R132" s="47" t="str">
        <f>IFERROR(1-SUMIF(Grid_BD!$F:$F,$A132,Grid_BD!$Y:$Y)/($AA132+SUMIF(Grid_BD!$F:$F,$A132,Grid_BD!$Y:$Y)),"")</f>
        <v/>
      </c>
      <c r="S132" s="10"/>
      <c r="T132" s="310"/>
      <c r="U132" s="311"/>
      <c r="V132" s="10"/>
      <c r="W132" s="312">
        <f t="shared" si="12"/>
        <v>0</v>
      </c>
      <c r="X132" s="10">
        <f>IFERROR(_xlfn.XLOOKUP($A132,Input_Raw!$E:$E,Input_Raw!BG:BG),"")</f>
        <v>0</v>
      </c>
      <c r="Y132" s="10">
        <f>IFERROR(_xlfn.XLOOKUP($A132,Input_Raw!$E:$E,Input_Raw!DF:DF),"")</f>
        <v>0</v>
      </c>
      <c r="Z132" s="319" t="str">
        <f>IFERROR(_xlfn.XLOOKUP(A132,Input_Raw!E:E,Input_Raw!CT:CT)/_xlfn.XLOOKUP(A132,Input_Raw!E:E,Input_Raw!CS:CS)*Table13[[#This Row],[Mtr_Export (kWh)]],"")</f>
        <v/>
      </c>
      <c r="AA132" s="43" t="str">
        <f t="shared" si="13"/>
        <v/>
      </c>
      <c r="AB132" s="10">
        <f>IFERROR(_xlfn.XLOOKUP($A132,Input_Raw!$E:$E,Input_Raw!$CZ:$CZ),"")</f>
        <v>50.6</v>
      </c>
      <c r="AC132" s="313">
        <f>IFERROR(_xlfn.XLOOKUP($D132,'Modelling New'!$D:$D,'Modelling New'!$J:$J),"")</f>
        <v>8.5195147184909956</v>
      </c>
      <c r="AD132" s="43">
        <f>IFERROR(_xlfn.XLOOKUP($D132,'Modelling New'!$D:$D,'Modelling New'!$T:$T)*1000,"")</f>
        <v>699874.83870967745</v>
      </c>
      <c r="AE132" s="312"/>
      <c r="AF132" s="312">
        <f>IFERROR(_xlfn.XLOOKUP($D132,'Modelling New'!$D:$D,'Modelling New'!$W:$W),"")</f>
        <v>0.57631327298227741</v>
      </c>
      <c r="AG132" s="312">
        <f>IFERROR(_xlfn.XLOOKUP($D132,'Modelling New'!$D:$D,'Modelling New'!$AE:$AE),"")</f>
        <v>0.95549849999999992</v>
      </c>
      <c r="AH132" s="312">
        <f>IFERROR(_xlfn.XLOOKUP($D132,'Modelling New'!$D:$D,'Modelling New'!$AF:$AF),"")</f>
        <v>0.995</v>
      </c>
      <c r="AI132" s="10">
        <f>IFERROR(_xlfn.XLOOKUP($A132,Input_Raw!$E:$E,Input_Raw!$DG:$DG),"")</f>
        <v>0</v>
      </c>
      <c r="AJ132" s="10"/>
      <c r="AK132" s="10"/>
      <c r="AL132" s="10"/>
      <c r="AM132" s="10"/>
      <c r="AN132" s="314" t="str">
        <f>IFERROR(_xlfn.XLOOKUP($A132,Input_Raw!$E:$E,Input_Raw!$CY:$CY),"")</f>
        <v/>
      </c>
      <c r="AO132" s="312" t="str">
        <f>IFERROR((_xlfn.XLOOKUP($A132,'WTG Reactive Power'!$A:$A,'WTG Reactive Power'!AB:AB))/X132,"")</f>
        <v/>
      </c>
      <c r="AP132" s="312">
        <f>IFERROR(_xlfn.XLOOKUP($D132,'Modelling New'!$D:$D,'Modelling New'!AK:AK),"")</f>
        <v>0.05</v>
      </c>
      <c r="AQ132" s="312">
        <f>IFERROR(_xlfn.XLOOKUP($D132,'Modelling New'!$D:$D,'Modelling New'!AL:AL),"")</f>
        <v>0.05</v>
      </c>
      <c r="AR132" s="325">
        <f>IFERROR(_xlfn.XLOOKUP($D132,'Modelling New'!$D:$D,'Modelling New'!$N:$N),"")</f>
        <v>50.59999999999998</v>
      </c>
      <c r="AS132" s="325"/>
    </row>
    <row r="133" spans="1:45">
      <c r="A133" s="32">
        <f t="shared" si="14"/>
        <v>45876</v>
      </c>
      <c r="B133" s="43">
        <f>YEAR(Table13[[#This Row],[Date]])+IF(MONTH(Table13[[#This Row],[Date]])&gt;=4,1,0)</f>
        <v>2026</v>
      </c>
      <c r="C133" s="10">
        <f>YEAR(Table13[[#This Row],[Date]])</f>
        <v>2025</v>
      </c>
      <c r="D133" s="309">
        <f>Table13[[#This Row],[Date]]-DAY(Table13[[#This Row],[Date]])+1</f>
        <v>45870</v>
      </c>
      <c r="E133" s="10">
        <f t="shared" si="10"/>
        <v>31</v>
      </c>
      <c r="F133" s="241">
        <f>IFERROR(_xlfn.XLOOKUP($A133,Input_Raw!$E:$E,Input_Raw!DC:DC),"")</f>
        <v>0</v>
      </c>
      <c r="G133" s="242"/>
      <c r="H133" s="242"/>
      <c r="I133" s="242"/>
      <c r="J133" s="242"/>
      <c r="K133" s="243"/>
      <c r="L133" s="242"/>
      <c r="M133" s="242" t="str">
        <f>IFERROR(_xlfn.XLOOKUP($A133,Input_Raw!$E:$E,Input_Raw!$BM:$BM),"")</f>
        <v/>
      </c>
      <c r="N133" s="242">
        <f>IFERROR(_xlfn.XLOOKUP($A133,Input_Raw!$E:$E,Input_Raw!$BN:$BN),"")</f>
        <v>0</v>
      </c>
      <c r="O133" s="311" t="str">
        <f t="shared" si="11"/>
        <v/>
      </c>
      <c r="P133" s="311" t="str">
        <f>IFERROR(1-SUMIF(WTG_BD!$F:$F,$A133,WTG_BD!$AA:$AA)/($AA133+SUMIF(WTG_BD!$F:$F,$A133,WTG_BD!$AA:$AA)),"")</f>
        <v/>
      </c>
      <c r="Q133" s="328" t="str">
        <f>IFERROR(1-SUMIF(IGA_BD!$F:$F,$A133,IGA_BD!$W:$W)/($AA133+SUMIF(IGA_BD!$F:$F,$A133,IGA_BD!$W:$W)),"")</f>
        <v/>
      </c>
      <c r="R133" s="311" t="str">
        <f>IFERROR(1-SUMIF(Grid_BD!$F:$F,$A133,Grid_BD!$Y:$Y)/($AA133+SUMIF(Grid_BD!$F:$F,$A133,Grid_BD!$Y:$Y)),"")</f>
        <v/>
      </c>
      <c r="S133" s="10"/>
      <c r="T133" s="310"/>
      <c r="U133" s="311"/>
      <c r="V133" s="10"/>
      <c r="W133" s="312">
        <f t="shared" si="12"/>
        <v>0</v>
      </c>
      <c r="X133" s="10">
        <f>IFERROR(_xlfn.XLOOKUP($A133,Input_Raw!$E:$E,Input_Raw!BG:BG),"")</f>
        <v>0</v>
      </c>
      <c r="Y133" s="10">
        <f>IFERROR(_xlfn.XLOOKUP($A133,Input_Raw!$E:$E,Input_Raw!DF:DF),"")</f>
        <v>0</v>
      </c>
      <c r="Z133" s="319" t="str">
        <f>IFERROR(_xlfn.XLOOKUP(A133,Input_Raw!E:E,Input_Raw!CT:CT)/_xlfn.XLOOKUP(A133,Input_Raw!E:E,Input_Raw!CS:CS)*Table13[[#This Row],[Mtr_Export (kWh)]],"")</f>
        <v/>
      </c>
      <c r="AA133" s="43" t="str">
        <f t="shared" si="13"/>
        <v/>
      </c>
      <c r="AB133" s="10">
        <f>IFERROR(_xlfn.XLOOKUP($A133,Input_Raw!$E:$E,Input_Raw!$CZ:$CZ),"")</f>
        <v>50.6</v>
      </c>
      <c r="AC133" s="313">
        <f>IFERROR(_xlfn.XLOOKUP($D133,'Modelling New'!$D:$D,'Modelling New'!$J:$J),"")</f>
        <v>8.5195147184909956</v>
      </c>
      <c r="AD133" s="43">
        <f>IFERROR(_xlfn.XLOOKUP($D133,'Modelling New'!$D:$D,'Modelling New'!$T:$T)*1000,"")</f>
        <v>699874.83870967745</v>
      </c>
      <c r="AE133" s="312"/>
      <c r="AF133" s="312">
        <f>IFERROR(_xlfn.XLOOKUP($D133,'Modelling New'!$D:$D,'Modelling New'!$W:$W),"")</f>
        <v>0.57631327298227741</v>
      </c>
      <c r="AG133" s="312">
        <f>IFERROR(_xlfn.XLOOKUP($D133,'Modelling New'!$D:$D,'Modelling New'!$AE:$AE),"")</f>
        <v>0.95549849999999992</v>
      </c>
      <c r="AH133" s="312">
        <f>IFERROR(_xlfn.XLOOKUP($D133,'Modelling New'!$D:$D,'Modelling New'!$AF:$AF),"")</f>
        <v>0.995</v>
      </c>
      <c r="AI133" s="10">
        <f>IFERROR(_xlfn.XLOOKUP($A133,Input_Raw!$E:$E,Input_Raw!$DG:$DG),"")</f>
        <v>0</v>
      </c>
      <c r="AJ133" s="10"/>
      <c r="AK133" s="10"/>
      <c r="AL133" s="10"/>
      <c r="AM133" s="10"/>
      <c r="AN133" s="314" t="str">
        <f>IFERROR(_xlfn.XLOOKUP($A133,Input_Raw!$E:$E,Input_Raw!$CY:$CY),"")</f>
        <v/>
      </c>
      <c r="AO133" s="312" t="str">
        <f>IFERROR((_xlfn.XLOOKUP($A133,'WTG Reactive Power'!$A:$A,'WTG Reactive Power'!AB:AB))/X133,"")</f>
        <v/>
      </c>
      <c r="AP133" s="312">
        <f>IFERROR(_xlfn.XLOOKUP($D133,'Modelling New'!$D:$D,'Modelling New'!AK:AK),"")</f>
        <v>0.05</v>
      </c>
      <c r="AQ133" s="312">
        <f>IFERROR(_xlfn.XLOOKUP($D133,'Modelling New'!$D:$D,'Modelling New'!AL:AL),"")</f>
        <v>0.05</v>
      </c>
      <c r="AR133" s="325">
        <f>IFERROR(_xlfn.XLOOKUP($D133,'Modelling New'!$D:$D,'Modelling New'!$N:$N),"")</f>
        <v>50.59999999999998</v>
      </c>
      <c r="AS133" s="325"/>
    </row>
    <row r="134" spans="1:45">
      <c r="A134" s="32">
        <f t="shared" si="14"/>
        <v>45877</v>
      </c>
      <c r="B134" s="43">
        <f>YEAR(Table13[[#This Row],[Date]])+IF(MONTH(Table13[[#This Row],[Date]])&gt;=4,1,0)</f>
        <v>2026</v>
      </c>
      <c r="C134" s="10">
        <f>YEAR(Table13[[#This Row],[Date]])</f>
        <v>2025</v>
      </c>
      <c r="D134" s="309">
        <f>Table13[[#This Row],[Date]]-DAY(Table13[[#This Row],[Date]])+1</f>
        <v>45870</v>
      </c>
      <c r="E134" s="10">
        <f t="shared" si="10"/>
        <v>31</v>
      </c>
      <c r="F134" s="241">
        <f>IFERROR(_xlfn.XLOOKUP($A134,Input_Raw!$E:$E,Input_Raw!DC:DC),"")</f>
        <v>0</v>
      </c>
      <c r="G134" s="313"/>
      <c r="H134" s="313"/>
      <c r="I134" s="313"/>
      <c r="J134" s="313"/>
      <c r="K134" s="243"/>
      <c r="L134" s="242"/>
      <c r="M134" s="242" t="str">
        <f>IFERROR(_xlfn.XLOOKUP($A134,Input_Raw!$E:$E,Input_Raw!$BM:$BM),"")</f>
        <v/>
      </c>
      <c r="N134" s="242">
        <f>IFERROR(_xlfn.XLOOKUP($A134,Input_Raw!$E:$E,Input_Raw!$BN:$BN),"")</f>
        <v>0</v>
      </c>
      <c r="O134" s="311" t="str">
        <f t="shared" si="11"/>
        <v/>
      </c>
      <c r="P134" s="311" t="str">
        <f>IFERROR(1-SUMIF(WTG_BD!$F:$F,$A134,WTG_BD!$AA:$AA)/($AA134+SUMIF(WTG_BD!$F:$F,$A134,WTG_BD!$AA:$AA)),"")</f>
        <v/>
      </c>
      <c r="Q134" s="328" t="str">
        <f>IFERROR(1-SUMIF(IGA_BD!$F:$F,$A134,IGA_BD!$W:$W)/($AA134+SUMIF(IGA_BD!$F:$F,$A134,IGA_BD!$W:$W)),"")</f>
        <v/>
      </c>
      <c r="R134" s="47" t="str">
        <f>IFERROR(1-SUMIF(Grid_BD!$F:$F,$A134,Grid_BD!$Y:$Y)/($AA134+SUMIF(Grid_BD!$F:$F,$A134,Grid_BD!$Y:$Y)),"")</f>
        <v/>
      </c>
      <c r="S134" s="10"/>
      <c r="T134" s="310"/>
      <c r="U134" s="311"/>
      <c r="V134" s="10"/>
      <c r="W134" s="312">
        <f t="shared" si="12"/>
        <v>0</v>
      </c>
      <c r="X134" s="10">
        <f>IFERROR(_xlfn.XLOOKUP($A134,Input_Raw!$E:$E,Input_Raw!BG:BG),"")</f>
        <v>0</v>
      </c>
      <c r="Y134" s="10">
        <f>IFERROR(_xlfn.XLOOKUP($A134,Input_Raw!$E:$E,Input_Raw!DF:DF),"")</f>
        <v>0</v>
      </c>
      <c r="Z134" s="319" t="str">
        <f>IFERROR(_xlfn.XLOOKUP(A134,Input_Raw!E:E,Input_Raw!CT:CT)/_xlfn.XLOOKUP(A134,Input_Raw!E:E,Input_Raw!CS:CS)*Table13[[#This Row],[Mtr_Export (kWh)]],"")</f>
        <v/>
      </c>
      <c r="AA134" s="43" t="str">
        <f t="shared" si="13"/>
        <v/>
      </c>
      <c r="AB134" s="10">
        <f>IFERROR(_xlfn.XLOOKUP($A134,Input_Raw!$E:$E,Input_Raw!$CZ:$CZ),"")</f>
        <v>50.6</v>
      </c>
      <c r="AC134" s="313">
        <f>IFERROR(_xlfn.XLOOKUP($D134,'Modelling New'!$D:$D,'Modelling New'!$J:$J),"")</f>
        <v>8.5195147184909956</v>
      </c>
      <c r="AD134" s="43">
        <f>IFERROR(_xlfn.XLOOKUP($D134,'Modelling New'!$D:$D,'Modelling New'!$T:$T)*1000,"")</f>
        <v>699874.83870967745</v>
      </c>
      <c r="AE134" s="312"/>
      <c r="AF134" s="312">
        <f>IFERROR(_xlfn.XLOOKUP($D134,'Modelling New'!$D:$D,'Modelling New'!$W:$W),"")</f>
        <v>0.57631327298227741</v>
      </c>
      <c r="AG134" s="312">
        <f>IFERROR(_xlfn.XLOOKUP($D134,'Modelling New'!$D:$D,'Modelling New'!$AE:$AE),"")</f>
        <v>0.95549849999999992</v>
      </c>
      <c r="AH134" s="312">
        <f>IFERROR(_xlfn.XLOOKUP($D134,'Modelling New'!$D:$D,'Modelling New'!$AF:$AF),"")</f>
        <v>0.995</v>
      </c>
      <c r="AI134" s="10">
        <f>IFERROR(_xlfn.XLOOKUP($A134,Input_Raw!$E:$E,Input_Raw!$DG:$DG),"")</f>
        <v>0</v>
      </c>
      <c r="AJ134" s="10"/>
      <c r="AK134" s="10"/>
      <c r="AL134" s="10"/>
      <c r="AM134" s="10"/>
      <c r="AN134" s="314" t="str">
        <f>IFERROR(_xlfn.XLOOKUP($A134,Input_Raw!$E:$E,Input_Raw!$CY:$CY),"")</f>
        <v/>
      </c>
      <c r="AO134" s="312" t="str">
        <f>IFERROR((_xlfn.XLOOKUP($A134,'WTG Reactive Power'!$A:$A,'WTG Reactive Power'!AB:AB))/X134,"")</f>
        <v/>
      </c>
      <c r="AP134" s="312">
        <f>IFERROR(_xlfn.XLOOKUP($D134,'Modelling New'!$D:$D,'Modelling New'!AK:AK),"")</f>
        <v>0.05</v>
      </c>
      <c r="AQ134" s="312">
        <f>IFERROR(_xlfn.XLOOKUP($D134,'Modelling New'!$D:$D,'Modelling New'!AL:AL),"")</f>
        <v>0.05</v>
      </c>
      <c r="AR134" s="325">
        <f>IFERROR(_xlfn.XLOOKUP($D134,'Modelling New'!$D:$D,'Modelling New'!$N:$N),"")</f>
        <v>50.59999999999998</v>
      </c>
      <c r="AS134" s="325"/>
    </row>
    <row r="135" spans="1:45">
      <c r="A135" s="32">
        <f t="shared" si="14"/>
        <v>45878</v>
      </c>
      <c r="B135" s="43">
        <f>YEAR(Table13[[#This Row],[Date]])+IF(MONTH(Table13[[#This Row],[Date]])&gt;=4,1,0)</f>
        <v>2026</v>
      </c>
      <c r="C135" s="10">
        <f>YEAR(Table13[[#This Row],[Date]])</f>
        <v>2025</v>
      </c>
      <c r="D135" s="309">
        <f>Table13[[#This Row],[Date]]-DAY(Table13[[#This Row],[Date]])+1</f>
        <v>45870</v>
      </c>
      <c r="E135" s="10">
        <f t="shared" ref="E135:E198" si="15">DAY(EOMONTH(A135,0))</f>
        <v>31</v>
      </c>
      <c r="F135" s="241">
        <f>IFERROR(_xlfn.XLOOKUP($A135,Input_Raw!$E:$E,Input_Raw!DC:DC),"")</f>
        <v>0</v>
      </c>
      <c r="G135" s="242"/>
      <c r="H135" s="242"/>
      <c r="I135" s="242"/>
      <c r="J135" s="242"/>
      <c r="K135" s="243"/>
      <c r="L135" s="242"/>
      <c r="M135" s="242" t="str">
        <f>IFERROR(_xlfn.XLOOKUP($A135,Input_Raw!$E:$E,Input_Raw!$BM:$BM),"")</f>
        <v/>
      </c>
      <c r="N135" s="242">
        <f>IFERROR(_xlfn.XLOOKUP($A135,Input_Raw!$E:$E,Input_Raw!$BN:$BN),"")</f>
        <v>0</v>
      </c>
      <c r="O135" s="311" t="str">
        <f t="shared" ref="O135:O198" si="16">IFERROR(P135*Q135,"")</f>
        <v/>
      </c>
      <c r="P135" s="311" t="str">
        <f>IFERROR(1-SUMIF(WTG_BD!$F:$F,$A135,WTG_BD!$AA:$AA)/($AA135+SUMIF(WTG_BD!$F:$F,$A135,WTG_BD!$AA:$AA)),"")</f>
        <v/>
      </c>
      <c r="Q135" s="328" t="str">
        <f>IFERROR(1-SUMIF(IGA_BD!$F:$F,$A135,IGA_BD!$W:$W)/($AA135+SUMIF(IGA_BD!$F:$F,$A135,IGA_BD!$W:$W)),"")</f>
        <v/>
      </c>
      <c r="R135" s="311" t="str">
        <f>IFERROR(1-SUMIF(Grid_BD!$F:$F,$A135,Grid_BD!$Y:$Y)/($AA135+SUMIF(Grid_BD!$F:$F,$A135,Grid_BD!$Y:$Y)),"")</f>
        <v/>
      </c>
      <c r="S135" s="10"/>
      <c r="T135" s="310"/>
      <c r="U135" s="311"/>
      <c r="V135" s="10"/>
      <c r="W135" s="312">
        <f t="shared" ref="W135:W198" si="17">IFERROR(X135/(24*AR135*1000),"")</f>
        <v>0</v>
      </c>
      <c r="X135" s="10">
        <f>IFERROR(_xlfn.XLOOKUP($A135,Input_Raw!$E:$E,Input_Raw!BG:BG),"")</f>
        <v>0</v>
      </c>
      <c r="Y135" s="10">
        <f>IFERROR(_xlfn.XLOOKUP($A135,Input_Raw!$E:$E,Input_Raw!DF:DF),"")</f>
        <v>0</v>
      </c>
      <c r="Z135" s="319" t="str">
        <f>IFERROR(_xlfn.XLOOKUP(A135,Input_Raw!E:E,Input_Raw!CT:CT)/_xlfn.XLOOKUP(A135,Input_Raw!E:E,Input_Raw!CS:CS)*Table13[[#This Row],[Mtr_Export (kWh)]],"")</f>
        <v/>
      </c>
      <c r="AA135" s="43" t="str">
        <f t="shared" ref="AA135:AA198" si="18">IFERROR(Y135-Z135,"")</f>
        <v/>
      </c>
      <c r="AB135" s="10">
        <f>IFERROR(_xlfn.XLOOKUP($A135,Input_Raw!$E:$E,Input_Raw!$CZ:$CZ),"")</f>
        <v>50.6</v>
      </c>
      <c r="AC135" s="313">
        <f>IFERROR(_xlfn.XLOOKUP($D135,'Modelling New'!$D:$D,'Modelling New'!$J:$J),"")</f>
        <v>8.5195147184909956</v>
      </c>
      <c r="AD135" s="43">
        <f>IFERROR(_xlfn.XLOOKUP($D135,'Modelling New'!$D:$D,'Modelling New'!$T:$T)*1000,"")</f>
        <v>699874.83870967745</v>
      </c>
      <c r="AE135" s="312"/>
      <c r="AF135" s="312">
        <f>IFERROR(_xlfn.XLOOKUP($D135,'Modelling New'!$D:$D,'Modelling New'!$W:$W),"")</f>
        <v>0.57631327298227741</v>
      </c>
      <c r="AG135" s="312">
        <f>IFERROR(_xlfn.XLOOKUP($D135,'Modelling New'!$D:$D,'Modelling New'!$AE:$AE),"")</f>
        <v>0.95549849999999992</v>
      </c>
      <c r="AH135" s="312">
        <f>IFERROR(_xlfn.XLOOKUP($D135,'Modelling New'!$D:$D,'Modelling New'!$AF:$AF),"")</f>
        <v>0.995</v>
      </c>
      <c r="AI135" s="10">
        <f>IFERROR(_xlfn.XLOOKUP($A135,Input_Raw!$E:$E,Input_Raw!$DG:$DG),"")</f>
        <v>0</v>
      </c>
      <c r="AJ135" s="10"/>
      <c r="AK135" s="10"/>
      <c r="AL135" s="10"/>
      <c r="AM135" s="10"/>
      <c r="AN135" s="314" t="str">
        <f>IFERROR(_xlfn.XLOOKUP($A135,Input_Raw!$E:$E,Input_Raw!$CY:$CY),"")</f>
        <v/>
      </c>
      <c r="AO135" s="312" t="str">
        <f>IFERROR((_xlfn.XLOOKUP($A135,'WTG Reactive Power'!$A:$A,'WTG Reactive Power'!AB:AB))/X135,"")</f>
        <v/>
      </c>
      <c r="AP135" s="312">
        <f>IFERROR(_xlfn.XLOOKUP($D135,'Modelling New'!$D:$D,'Modelling New'!AK:AK),"")</f>
        <v>0.05</v>
      </c>
      <c r="AQ135" s="312">
        <f>IFERROR(_xlfn.XLOOKUP($D135,'Modelling New'!$D:$D,'Modelling New'!AL:AL),"")</f>
        <v>0.05</v>
      </c>
      <c r="AR135" s="325">
        <f>IFERROR(_xlfn.XLOOKUP($D135,'Modelling New'!$D:$D,'Modelling New'!$N:$N),"")</f>
        <v>50.59999999999998</v>
      </c>
      <c r="AS135" s="325"/>
    </row>
    <row r="136" spans="1:45">
      <c r="A136" s="32">
        <f t="shared" si="14"/>
        <v>45879</v>
      </c>
      <c r="B136" s="43">
        <f>YEAR(Table13[[#This Row],[Date]])+IF(MONTH(Table13[[#This Row],[Date]])&gt;=4,1,0)</f>
        <v>2026</v>
      </c>
      <c r="C136" s="10">
        <f>YEAR(Table13[[#This Row],[Date]])</f>
        <v>2025</v>
      </c>
      <c r="D136" s="309">
        <f>Table13[[#This Row],[Date]]-DAY(Table13[[#This Row],[Date]])+1</f>
        <v>45870</v>
      </c>
      <c r="E136" s="10">
        <f t="shared" si="15"/>
        <v>31</v>
      </c>
      <c r="F136" s="241">
        <f>IFERROR(_xlfn.XLOOKUP($A136,Input_Raw!$E:$E,Input_Raw!DC:DC),"")</f>
        <v>0</v>
      </c>
      <c r="G136" s="313"/>
      <c r="H136" s="313"/>
      <c r="I136" s="313"/>
      <c r="J136" s="313"/>
      <c r="K136" s="243"/>
      <c r="L136" s="242"/>
      <c r="M136" s="242" t="str">
        <f>IFERROR(_xlfn.XLOOKUP($A136,Input_Raw!$E:$E,Input_Raw!$BM:$BM),"")</f>
        <v/>
      </c>
      <c r="N136" s="242">
        <f>IFERROR(_xlfn.XLOOKUP($A136,Input_Raw!$E:$E,Input_Raw!$BN:$BN),"")</f>
        <v>0</v>
      </c>
      <c r="O136" s="311" t="str">
        <f t="shared" si="16"/>
        <v/>
      </c>
      <c r="P136" s="311" t="str">
        <f>IFERROR(1-SUMIF(WTG_BD!$F:$F,$A136,WTG_BD!$AA:$AA)/($AA136+SUMIF(WTG_BD!$F:$F,$A136,WTG_BD!$AA:$AA)),"")</f>
        <v/>
      </c>
      <c r="Q136" s="328" t="str">
        <f>IFERROR(1-SUMIF(IGA_BD!$F:$F,$A136,IGA_BD!$W:$W)/($AA136+SUMIF(IGA_BD!$F:$F,$A136,IGA_BD!$W:$W)),"")</f>
        <v/>
      </c>
      <c r="R136" s="47" t="str">
        <f>IFERROR(1-SUMIF(Grid_BD!$F:$F,$A136,Grid_BD!$Y:$Y)/($AA136+SUMIF(Grid_BD!$F:$F,$A136,Grid_BD!$Y:$Y)),"")</f>
        <v/>
      </c>
      <c r="S136" s="10"/>
      <c r="T136" s="310"/>
      <c r="U136" s="311"/>
      <c r="V136" s="10"/>
      <c r="W136" s="312">
        <f t="shared" si="17"/>
        <v>0</v>
      </c>
      <c r="X136" s="10">
        <f>IFERROR(_xlfn.XLOOKUP($A136,Input_Raw!$E:$E,Input_Raw!BG:BG),"")</f>
        <v>0</v>
      </c>
      <c r="Y136" s="10">
        <f>IFERROR(_xlfn.XLOOKUP($A136,Input_Raw!$E:$E,Input_Raw!DF:DF),"")</f>
        <v>0</v>
      </c>
      <c r="Z136" s="319" t="str">
        <f>IFERROR(_xlfn.XLOOKUP(A136,Input_Raw!E:E,Input_Raw!CT:CT)/_xlfn.XLOOKUP(A136,Input_Raw!E:E,Input_Raw!CS:CS)*Table13[[#This Row],[Mtr_Export (kWh)]],"")</f>
        <v/>
      </c>
      <c r="AA136" s="43" t="str">
        <f t="shared" si="18"/>
        <v/>
      </c>
      <c r="AB136" s="10">
        <f>IFERROR(_xlfn.XLOOKUP($A136,Input_Raw!$E:$E,Input_Raw!$CZ:$CZ),"")</f>
        <v>50.6</v>
      </c>
      <c r="AC136" s="313">
        <f>IFERROR(_xlfn.XLOOKUP($D136,'Modelling New'!$D:$D,'Modelling New'!$J:$J),"")</f>
        <v>8.5195147184909956</v>
      </c>
      <c r="AD136" s="43">
        <f>IFERROR(_xlfn.XLOOKUP($D136,'Modelling New'!$D:$D,'Modelling New'!$T:$T)*1000,"")</f>
        <v>699874.83870967745</v>
      </c>
      <c r="AE136" s="312"/>
      <c r="AF136" s="312">
        <f>IFERROR(_xlfn.XLOOKUP($D136,'Modelling New'!$D:$D,'Modelling New'!$W:$W),"")</f>
        <v>0.57631327298227741</v>
      </c>
      <c r="AG136" s="312">
        <f>IFERROR(_xlfn.XLOOKUP($D136,'Modelling New'!$D:$D,'Modelling New'!$AE:$AE),"")</f>
        <v>0.95549849999999992</v>
      </c>
      <c r="AH136" s="312">
        <f>IFERROR(_xlfn.XLOOKUP($D136,'Modelling New'!$D:$D,'Modelling New'!$AF:$AF),"")</f>
        <v>0.995</v>
      </c>
      <c r="AI136" s="10">
        <f>IFERROR(_xlfn.XLOOKUP($A136,Input_Raw!$E:$E,Input_Raw!$DG:$DG),"")</f>
        <v>0</v>
      </c>
      <c r="AJ136" s="10"/>
      <c r="AK136" s="10"/>
      <c r="AL136" s="10"/>
      <c r="AM136" s="10"/>
      <c r="AN136" s="314" t="str">
        <f>IFERROR(_xlfn.XLOOKUP($A136,Input_Raw!$E:$E,Input_Raw!$CY:$CY),"")</f>
        <v/>
      </c>
      <c r="AO136" s="312" t="str">
        <f>IFERROR((_xlfn.XLOOKUP($A136,'WTG Reactive Power'!$A:$A,'WTG Reactive Power'!AB:AB))/X136,"")</f>
        <v/>
      </c>
      <c r="AP136" s="312">
        <f>IFERROR(_xlfn.XLOOKUP($D136,'Modelling New'!$D:$D,'Modelling New'!AK:AK),"")</f>
        <v>0.05</v>
      </c>
      <c r="AQ136" s="312">
        <f>IFERROR(_xlfn.XLOOKUP($D136,'Modelling New'!$D:$D,'Modelling New'!AL:AL),"")</f>
        <v>0.05</v>
      </c>
      <c r="AR136" s="325">
        <f>IFERROR(_xlfn.XLOOKUP($D136,'Modelling New'!$D:$D,'Modelling New'!$N:$N),"")</f>
        <v>50.59999999999998</v>
      </c>
      <c r="AS136" s="325"/>
    </row>
    <row r="137" spans="1:45">
      <c r="A137" s="32">
        <f t="shared" ref="A137:A200" si="19">A136+1</f>
        <v>45880</v>
      </c>
      <c r="B137" s="43">
        <f>YEAR(Table13[[#This Row],[Date]])+IF(MONTH(Table13[[#This Row],[Date]])&gt;=4,1,0)</f>
        <v>2026</v>
      </c>
      <c r="C137" s="10">
        <f>YEAR(Table13[[#This Row],[Date]])</f>
        <v>2025</v>
      </c>
      <c r="D137" s="309">
        <f>Table13[[#This Row],[Date]]-DAY(Table13[[#This Row],[Date]])+1</f>
        <v>45870</v>
      </c>
      <c r="E137" s="10">
        <f t="shared" si="15"/>
        <v>31</v>
      </c>
      <c r="F137" s="241">
        <f>IFERROR(_xlfn.XLOOKUP($A137,Input_Raw!$E:$E,Input_Raw!DC:DC),"")</f>
        <v>0</v>
      </c>
      <c r="G137" s="242"/>
      <c r="H137" s="242"/>
      <c r="I137" s="242"/>
      <c r="J137" s="242"/>
      <c r="K137" s="243"/>
      <c r="L137" s="242"/>
      <c r="M137" s="242" t="str">
        <f>IFERROR(_xlfn.XLOOKUP($A137,Input_Raw!$E:$E,Input_Raw!$BM:$BM),"")</f>
        <v/>
      </c>
      <c r="N137" s="242">
        <f>IFERROR(_xlfn.XLOOKUP($A137,Input_Raw!$E:$E,Input_Raw!$BN:$BN),"")</f>
        <v>0</v>
      </c>
      <c r="O137" s="311" t="str">
        <f t="shared" si="16"/>
        <v/>
      </c>
      <c r="P137" s="311" t="str">
        <f>IFERROR(1-SUMIF(WTG_BD!$F:$F,$A137,WTG_BD!$AA:$AA)/($AA137+SUMIF(WTG_BD!$F:$F,$A137,WTG_BD!$AA:$AA)),"")</f>
        <v/>
      </c>
      <c r="Q137" s="328" t="str">
        <f>IFERROR(1-SUMIF(IGA_BD!$F:$F,$A137,IGA_BD!$W:$W)/($AA137+SUMIF(IGA_BD!$F:$F,$A137,IGA_BD!$W:$W)),"")</f>
        <v/>
      </c>
      <c r="R137" s="311" t="str">
        <f>IFERROR(1-SUMIF(Grid_BD!$F:$F,$A137,Grid_BD!$Y:$Y)/($AA137+SUMIF(Grid_BD!$F:$F,$A137,Grid_BD!$Y:$Y)),"")</f>
        <v/>
      </c>
      <c r="S137" s="10"/>
      <c r="T137" s="310"/>
      <c r="U137" s="311"/>
      <c r="V137" s="10"/>
      <c r="W137" s="312">
        <f t="shared" si="17"/>
        <v>0</v>
      </c>
      <c r="X137" s="10">
        <f>IFERROR(_xlfn.XLOOKUP($A137,Input_Raw!$E:$E,Input_Raw!BG:BG),"")</f>
        <v>0</v>
      </c>
      <c r="Y137" s="10">
        <f>IFERROR(_xlfn.XLOOKUP($A137,Input_Raw!$E:$E,Input_Raw!DF:DF),"")</f>
        <v>0</v>
      </c>
      <c r="Z137" s="319" t="str">
        <f>IFERROR(_xlfn.XLOOKUP(A137,Input_Raw!E:E,Input_Raw!CT:CT)/_xlfn.XLOOKUP(A137,Input_Raw!E:E,Input_Raw!CS:CS)*Table13[[#This Row],[Mtr_Export (kWh)]],"")</f>
        <v/>
      </c>
      <c r="AA137" s="43" t="str">
        <f t="shared" si="18"/>
        <v/>
      </c>
      <c r="AB137" s="10">
        <f>IFERROR(_xlfn.XLOOKUP($A137,Input_Raw!$E:$E,Input_Raw!$CZ:$CZ),"")</f>
        <v>50.6</v>
      </c>
      <c r="AC137" s="313">
        <f>IFERROR(_xlfn.XLOOKUP($D137,'Modelling New'!$D:$D,'Modelling New'!$J:$J),"")</f>
        <v>8.5195147184909956</v>
      </c>
      <c r="AD137" s="43">
        <f>IFERROR(_xlfn.XLOOKUP($D137,'Modelling New'!$D:$D,'Modelling New'!$T:$T)*1000,"")</f>
        <v>699874.83870967745</v>
      </c>
      <c r="AE137" s="312"/>
      <c r="AF137" s="312">
        <f>IFERROR(_xlfn.XLOOKUP($D137,'Modelling New'!$D:$D,'Modelling New'!$W:$W),"")</f>
        <v>0.57631327298227741</v>
      </c>
      <c r="AG137" s="312">
        <f>IFERROR(_xlfn.XLOOKUP($D137,'Modelling New'!$D:$D,'Modelling New'!$AE:$AE),"")</f>
        <v>0.95549849999999992</v>
      </c>
      <c r="AH137" s="312">
        <f>IFERROR(_xlfn.XLOOKUP($D137,'Modelling New'!$D:$D,'Modelling New'!$AF:$AF),"")</f>
        <v>0.995</v>
      </c>
      <c r="AI137" s="10">
        <f>IFERROR(_xlfn.XLOOKUP($A137,Input_Raw!$E:$E,Input_Raw!$DG:$DG),"")</f>
        <v>0</v>
      </c>
      <c r="AJ137" s="10"/>
      <c r="AK137" s="10"/>
      <c r="AL137" s="10"/>
      <c r="AM137" s="10"/>
      <c r="AN137" s="314" t="str">
        <f>IFERROR(_xlfn.XLOOKUP($A137,Input_Raw!$E:$E,Input_Raw!$CY:$CY),"")</f>
        <v/>
      </c>
      <c r="AO137" s="312" t="str">
        <f>IFERROR((_xlfn.XLOOKUP($A137,'WTG Reactive Power'!$A:$A,'WTG Reactive Power'!AB:AB))/X137,"")</f>
        <v/>
      </c>
      <c r="AP137" s="312">
        <f>IFERROR(_xlfn.XLOOKUP($D137,'Modelling New'!$D:$D,'Modelling New'!AK:AK),"")</f>
        <v>0.05</v>
      </c>
      <c r="AQ137" s="312">
        <f>IFERROR(_xlfn.XLOOKUP($D137,'Modelling New'!$D:$D,'Modelling New'!AL:AL),"")</f>
        <v>0.05</v>
      </c>
      <c r="AR137" s="325">
        <f>IFERROR(_xlfn.XLOOKUP($D137,'Modelling New'!$D:$D,'Modelling New'!$N:$N),"")</f>
        <v>50.59999999999998</v>
      </c>
      <c r="AS137" s="325"/>
    </row>
    <row r="138" spans="1:45">
      <c r="A138" s="32">
        <f t="shared" si="19"/>
        <v>45881</v>
      </c>
      <c r="B138" s="43">
        <f>YEAR(Table13[[#This Row],[Date]])+IF(MONTH(Table13[[#This Row],[Date]])&gt;=4,1,0)</f>
        <v>2026</v>
      </c>
      <c r="C138" s="10">
        <f>YEAR(Table13[[#This Row],[Date]])</f>
        <v>2025</v>
      </c>
      <c r="D138" s="309">
        <f>Table13[[#This Row],[Date]]-DAY(Table13[[#This Row],[Date]])+1</f>
        <v>45870</v>
      </c>
      <c r="E138" s="10">
        <f t="shared" si="15"/>
        <v>31</v>
      </c>
      <c r="F138" s="241">
        <f>IFERROR(_xlfn.XLOOKUP($A138,Input_Raw!$E:$E,Input_Raw!DC:DC),"")</f>
        <v>0</v>
      </c>
      <c r="G138" s="313"/>
      <c r="H138" s="313"/>
      <c r="I138" s="313"/>
      <c r="J138" s="313"/>
      <c r="K138" s="243"/>
      <c r="L138" s="242"/>
      <c r="M138" s="242" t="str">
        <f>IFERROR(_xlfn.XLOOKUP($A138,Input_Raw!$E:$E,Input_Raw!$BM:$BM),"")</f>
        <v/>
      </c>
      <c r="N138" s="242">
        <f>IFERROR(_xlfn.XLOOKUP($A138,Input_Raw!$E:$E,Input_Raw!$BN:$BN),"")</f>
        <v>0</v>
      </c>
      <c r="O138" s="311" t="str">
        <f t="shared" si="16"/>
        <v/>
      </c>
      <c r="P138" s="311" t="str">
        <f>IFERROR(1-SUMIF(WTG_BD!$F:$F,$A138,WTG_BD!$AA:$AA)/($AA138+SUMIF(WTG_BD!$F:$F,$A138,WTG_BD!$AA:$AA)),"")</f>
        <v/>
      </c>
      <c r="Q138" s="328" t="str">
        <f>IFERROR(1-SUMIF(IGA_BD!$F:$F,$A138,IGA_BD!$W:$W)/($AA138+SUMIF(IGA_BD!$F:$F,$A138,IGA_BD!$W:$W)),"")</f>
        <v/>
      </c>
      <c r="R138" s="47" t="str">
        <f>IFERROR(1-SUMIF(Grid_BD!$F:$F,$A138,Grid_BD!$Y:$Y)/($AA138+SUMIF(Grid_BD!$F:$F,$A138,Grid_BD!$Y:$Y)),"")</f>
        <v/>
      </c>
      <c r="S138" s="10"/>
      <c r="T138" s="310"/>
      <c r="U138" s="311"/>
      <c r="V138" s="10"/>
      <c r="W138" s="312">
        <f t="shared" si="17"/>
        <v>0</v>
      </c>
      <c r="X138" s="10">
        <f>IFERROR(_xlfn.XLOOKUP($A138,Input_Raw!$E:$E,Input_Raw!BG:BG),"")</f>
        <v>0</v>
      </c>
      <c r="Y138" s="10">
        <f>IFERROR(_xlfn.XLOOKUP($A138,Input_Raw!$E:$E,Input_Raw!DF:DF),"")</f>
        <v>0</v>
      </c>
      <c r="Z138" s="319" t="str">
        <f>IFERROR(_xlfn.XLOOKUP(A138,Input_Raw!E:E,Input_Raw!CT:CT)/_xlfn.XLOOKUP(A138,Input_Raw!E:E,Input_Raw!CS:CS)*Table13[[#This Row],[Mtr_Export (kWh)]],"")</f>
        <v/>
      </c>
      <c r="AA138" s="43" t="str">
        <f t="shared" si="18"/>
        <v/>
      </c>
      <c r="AB138" s="10">
        <f>IFERROR(_xlfn.XLOOKUP($A138,Input_Raw!$E:$E,Input_Raw!$CZ:$CZ),"")</f>
        <v>50.6</v>
      </c>
      <c r="AC138" s="313">
        <f>IFERROR(_xlfn.XLOOKUP($D138,'Modelling New'!$D:$D,'Modelling New'!$J:$J),"")</f>
        <v>8.5195147184909956</v>
      </c>
      <c r="AD138" s="43">
        <f>IFERROR(_xlfn.XLOOKUP($D138,'Modelling New'!$D:$D,'Modelling New'!$T:$T)*1000,"")</f>
        <v>699874.83870967745</v>
      </c>
      <c r="AE138" s="312"/>
      <c r="AF138" s="312">
        <f>IFERROR(_xlfn.XLOOKUP($D138,'Modelling New'!$D:$D,'Modelling New'!$W:$W),"")</f>
        <v>0.57631327298227741</v>
      </c>
      <c r="AG138" s="312">
        <f>IFERROR(_xlfn.XLOOKUP($D138,'Modelling New'!$D:$D,'Modelling New'!$AE:$AE),"")</f>
        <v>0.95549849999999992</v>
      </c>
      <c r="AH138" s="312">
        <f>IFERROR(_xlfn.XLOOKUP($D138,'Modelling New'!$D:$D,'Modelling New'!$AF:$AF),"")</f>
        <v>0.995</v>
      </c>
      <c r="AI138" s="10">
        <f>IFERROR(_xlfn.XLOOKUP($A138,Input_Raw!$E:$E,Input_Raw!$DG:$DG),"")</f>
        <v>0</v>
      </c>
      <c r="AJ138" s="10"/>
      <c r="AK138" s="10"/>
      <c r="AL138" s="10"/>
      <c r="AM138" s="10"/>
      <c r="AN138" s="314" t="str">
        <f>IFERROR(_xlfn.XLOOKUP($A138,Input_Raw!$E:$E,Input_Raw!$CY:$CY),"")</f>
        <v/>
      </c>
      <c r="AO138" s="312" t="str">
        <f>IFERROR((_xlfn.XLOOKUP($A138,'WTG Reactive Power'!$A:$A,'WTG Reactive Power'!AB:AB))/X138,"")</f>
        <v/>
      </c>
      <c r="AP138" s="312">
        <f>IFERROR(_xlfn.XLOOKUP($D138,'Modelling New'!$D:$D,'Modelling New'!AK:AK),"")</f>
        <v>0.05</v>
      </c>
      <c r="AQ138" s="312">
        <f>IFERROR(_xlfn.XLOOKUP($D138,'Modelling New'!$D:$D,'Modelling New'!AL:AL),"")</f>
        <v>0.05</v>
      </c>
      <c r="AR138" s="325">
        <f>IFERROR(_xlfn.XLOOKUP($D138,'Modelling New'!$D:$D,'Modelling New'!$N:$N),"")</f>
        <v>50.59999999999998</v>
      </c>
      <c r="AS138" s="325"/>
    </row>
    <row r="139" spans="1:45">
      <c r="A139" s="32">
        <f t="shared" si="19"/>
        <v>45882</v>
      </c>
      <c r="B139" s="43">
        <f>YEAR(Table13[[#This Row],[Date]])+IF(MONTH(Table13[[#This Row],[Date]])&gt;=4,1,0)</f>
        <v>2026</v>
      </c>
      <c r="C139" s="10">
        <f>YEAR(Table13[[#This Row],[Date]])</f>
        <v>2025</v>
      </c>
      <c r="D139" s="309">
        <f>Table13[[#This Row],[Date]]-DAY(Table13[[#This Row],[Date]])+1</f>
        <v>45870</v>
      </c>
      <c r="E139" s="10">
        <f t="shared" si="15"/>
        <v>31</v>
      </c>
      <c r="F139" s="241">
        <f>IFERROR(_xlfn.XLOOKUP($A139,Input_Raw!$E:$E,Input_Raw!DC:DC),"")</f>
        <v>0</v>
      </c>
      <c r="G139" s="242"/>
      <c r="H139" s="242"/>
      <c r="I139" s="242"/>
      <c r="J139" s="242"/>
      <c r="K139" s="243"/>
      <c r="L139" s="242"/>
      <c r="M139" s="242" t="str">
        <f>IFERROR(_xlfn.XLOOKUP($A139,Input_Raw!$E:$E,Input_Raw!$BM:$BM),"")</f>
        <v/>
      </c>
      <c r="N139" s="242">
        <f>IFERROR(_xlfn.XLOOKUP($A139,Input_Raw!$E:$E,Input_Raw!$BN:$BN),"")</f>
        <v>0</v>
      </c>
      <c r="O139" s="311" t="str">
        <f t="shared" si="16"/>
        <v/>
      </c>
      <c r="P139" s="311" t="str">
        <f>IFERROR(1-SUMIF(WTG_BD!$F:$F,$A139,WTG_BD!$AA:$AA)/($AA139+SUMIF(WTG_BD!$F:$F,$A139,WTG_BD!$AA:$AA)),"")</f>
        <v/>
      </c>
      <c r="Q139" s="328" t="str">
        <f>IFERROR(1-SUMIF(IGA_BD!$F:$F,$A139,IGA_BD!$W:$W)/($AA139+SUMIF(IGA_BD!$F:$F,$A139,IGA_BD!$W:$W)),"")</f>
        <v/>
      </c>
      <c r="R139" s="311" t="str">
        <f>IFERROR(1-SUMIF(Grid_BD!$F:$F,$A139,Grid_BD!$Y:$Y)/($AA139+SUMIF(Grid_BD!$F:$F,$A139,Grid_BD!$Y:$Y)),"")</f>
        <v/>
      </c>
      <c r="S139" s="10"/>
      <c r="T139" s="310"/>
      <c r="U139" s="311"/>
      <c r="V139" s="10"/>
      <c r="W139" s="312">
        <f t="shared" si="17"/>
        <v>0</v>
      </c>
      <c r="X139" s="10">
        <f>IFERROR(_xlfn.XLOOKUP($A139,Input_Raw!$E:$E,Input_Raw!BG:BG),"")</f>
        <v>0</v>
      </c>
      <c r="Y139" s="10">
        <f>IFERROR(_xlfn.XLOOKUP($A139,Input_Raw!$E:$E,Input_Raw!DF:DF),"")</f>
        <v>0</v>
      </c>
      <c r="Z139" s="319" t="str">
        <f>IFERROR(_xlfn.XLOOKUP(A139,Input_Raw!E:E,Input_Raw!CT:CT)/_xlfn.XLOOKUP(A139,Input_Raw!E:E,Input_Raw!CS:CS)*Table13[[#This Row],[Mtr_Export (kWh)]],"")</f>
        <v/>
      </c>
      <c r="AA139" s="43" t="str">
        <f t="shared" si="18"/>
        <v/>
      </c>
      <c r="AB139" s="10">
        <f>IFERROR(_xlfn.XLOOKUP($A139,Input_Raw!$E:$E,Input_Raw!$CZ:$CZ),"")</f>
        <v>50.6</v>
      </c>
      <c r="AC139" s="313">
        <f>IFERROR(_xlfn.XLOOKUP($D139,'Modelling New'!$D:$D,'Modelling New'!$J:$J),"")</f>
        <v>8.5195147184909956</v>
      </c>
      <c r="AD139" s="43">
        <f>IFERROR(_xlfn.XLOOKUP($D139,'Modelling New'!$D:$D,'Modelling New'!$T:$T)*1000,"")</f>
        <v>699874.83870967745</v>
      </c>
      <c r="AE139" s="312"/>
      <c r="AF139" s="312">
        <f>IFERROR(_xlfn.XLOOKUP($D139,'Modelling New'!$D:$D,'Modelling New'!$W:$W),"")</f>
        <v>0.57631327298227741</v>
      </c>
      <c r="AG139" s="312">
        <f>IFERROR(_xlfn.XLOOKUP($D139,'Modelling New'!$D:$D,'Modelling New'!$AE:$AE),"")</f>
        <v>0.95549849999999992</v>
      </c>
      <c r="AH139" s="312">
        <f>IFERROR(_xlfn.XLOOKUP($D139,'Modelling New'!$D:$D,'Modelling New'!$AF:$AF),"")</f>
        <v>0.995</v>
      </c>
      <c r="AI139" s="10">
        <f>IFERROR(_xlfn.XLOOKUP($A139,Input_Raw!$E:$E,Input_Raw!$DG:$DG),"")</f>
        <v>0</v>
      </c>
      <c r="AJ139" s="10"/>
      <c r="AK139" s="10"/>
      <c r="AL139" s="10"/>
      <c r="AM139" s="10"/>
      <c r="AN139" s="314" t="str">
        <f>IFERROR(_xlfn.XLOOKUP($A139,Input_Raw!$E:$E,Input_Raw!$CY:$CY),"")</f>
        <v/>
      </c>
      <c r="AO139" s="312" t="str">
        <f>IFERROR((_xlfn.XLOOKUP($A139,'WTG Reactive Power'!$A:$A,'WTG Reactive Power'!AB:AB))/X139,"")</f>
        <v/>
      </c>
      <c r="AP139" s="312">
        <f>IFERROR(_xlfn.XLOOKUP($D139,'Modelling New'!$D:$D,'Modelling New'!AK:AK),"")</f>
        <v>0.05</v>
      </c>
      <c r="AQ139" s="312">
        <f>IFERROR(_xlfn.XLOOKUP($D139,'Modelling New'!$D:$D,'Modelling New'!AL:AL),"")</f>
        <v>0.05</v>
      </c>
      <c r="AR139" s="325">
        <f>IFERROR(_xlfn.XLOOKUP($D139,'Modelling New'!$D:$D,'Modelling New'!$N:$N),"")</f>
        <v>50.59999999999998</v>
      </c>
      <c r="AS139" s="325"/>
    </row>
    <row r="140" spans="1:45">
      <c r="A140" s="32">
        <f t="shared" si="19"/>
        <v>45883</v>
      </c>
      <c r="B140" s="43">
        <f>YEAR(Table13[[#This Row],[Date]])+IF(MONTH(Table13[[#This Row],[Date]])&gt;=4,1,0)</f>
        <v>2026</v>
      </c>
      <c r="C140" s="10">
        <f>YEAR(Table13[[#This Row],[Date]])</f>
        <v>2025</v>
      </c>
      <c r="D140" s="309">
        <f>Table13[[#This Row],[Date]]-DAY(Table13[[#This Row],[Date]])+1</f>
        <v>45870</v>
      </c>
      <c r="E140" s="10">
        <f t="shared" si="15"/>
        <v>31</v>
      </c>
      <c r="F140" s="241">
        <f>IFERROR(_xlfn.XLOOKUP($A140,Input_Raw!$E:$E,Input_Raw!DC:DC),"")</f>
        <v>0</v>
      </c>
      <c r="G140" s="313"/>
      <c r="H140" s="313"/>
      <c r="I140" s="313"/>
      <c r="J140" s="313"/>
      <c r="K140" s="243"/>
      <c r="L140" s="242"/>
      <c r="M140" s="242" t="str">
        <f>IFERROR(_xlfn.XLOOKUP($A140,Input_Raw!$E:$E,Input_Raw!$BM:$BM),"")</f>
        <v/>
      </c>
      <c r="N140" s="242">
        <f>IFERROR(_xlfn.XLOOKUP($A140,Input_Raw!$E:$E,Input_Raw!$BN:$BN),"")</f>
        <v>0</v>
      </c>
      <c r="O140" s="311" t="str">
        <f t="shared" si="16"/>
        <v/>
      </c>
      <c r="P140" s="311" t="str">
        <f>IFERROR(1-SUMIF(WTG_BD!$F:$F,$A140,WTG_BD!$AA:$AA)/($AA140+SUMIF(WTG_BD!$F:$F,$A140,WTG_BD!$AA:$AA)),"")</f>
        <v/>
      </c>
      <c r="Q140" s="328" t="str">
        <f>IFERROR(1-SUMIF(IGA_BD!$F:$F,$A140,IGA_BD!$W:$W)/($AA140+SUMIF(IGA_BD!$F:$F,$A140,IGA_BD!$W:$W)),"")</f>
        <v/>
      </c>
      <c r="R140" s="47" t="str">
        <f>IFERROR(1-SUMIF(Grid_BD!$F:$F,$A140,Grid_BD!$Y:$Y)/($AA140+SUMIF(Grid_BD!$F:$F,$A140,Grid_BD!$Y:$Y)),"")</f>
        <v/>
      </c>
      <c r="S140" s="10"/>
      <c r="T140" s="310"/>
      <c r="U140" s="311"/>
      <c r="V140" s="10"/>
      <c r="W140" s="312">
        <f t="shared" si="17"/>
        <v>0</v>
      </c>
      <c r="X140" s="10">
        <f>IFERROR(_xlfn.XLOOKUP($A140,Input_Raw!$E:$E,Input_Raw!BG:BG),"")</f>
        <v>0</v>
      </c>
      <c r="Y140" s="10">
        <f>IFERROR(_xlfn.XLOOKUP($A140,Input_Raw!$E:$E,Input_Raw!DF:DF),"")</f>
        <v>0</v>
      </c>
      <c r="Z140" s="319" t="str">
        <f>IFERROR(_xlfn.XLOOKUP(A140,Input_Raw!E:E,Input_Raw!CT:CT)/_xlfn.XLOOKUP(A140,Input_Raw!E:E,Input_Raw!CS:CS)*Table13[[#This Row],[Mtr_Export (kWh)]],"")</f>
        <v/>
      </c>
      <c r="AA140" s="43" t="str">
        <f t="shared" si="18"/>
        <v/>
      </c>
      <c r="AB140" s="10">
        <f>IFERROR(_xlfn.XLOOKUP($A140,Input_Raw!$E:$E,Input_Raw!$CZ:$CZ),"")</f>
        <v>50.6</v>
      </c>
      <c r="AC140" s="313">
        <f>IFERROR(_xlfn.XLOOKUP($D140,'Modelling New'!$D:$D,'Modelling New'!$J:$J),"")</f>
        <v>8.5195147184909956</v>
      </c>
      <c r="AD140" s="43">
        <f>IFERROR(_xlfn.XLOOKUP($D140,'Modelling New'!$D:$D,'Modelling New'!$T:$T)*1000,"")</f>
        <v>699874.83870967745</v>
      </c>
      <c r="AE140" s="312"/>
      <c r="AF140" s="312">
        <f>IFERROR(_xlfn.XLOOKUP($D140,'Modelling New'!$D:$D,'Modelling New'!$W:$W),"")</f>
        <v>0.57631327298227741</v>
      </c>
      <c r="AG140" s="312">
        <f>IFERROR(_xlfn.XLOOKUP($D140,'Modelling New'!$D:$D,'Modelling New'!$AE:$AE),"")</f>
        <v>0.95549849999999992</v>
      </c>
      <c r="AH140" s="312">
        <f>IFERROR(_xlfn.XLOOKUP($D140,'Modelling New'!$D:$D,'Modelling New'!$AF:$AF),"")</f>
        <v>0.995</v>
      </c>
      <c r="AI140" s="10">
        <f>IFERROR(_xlfn.XLOOKUP($A140,Input_Raw!$E:$E,Input_Raw!$DG:$DG),"")</f>
        <v>0</v>
      </c>
      <c r="AJ140" s="10"/>
      <c r="AK140" s="10"/>
      <c r="AL140" s="10"/>
      <c r="AM140" s="10"/>
      <c r="AN140" s="314" t="str">
        <f>IFERROR(_xlfn.XLOOKUP($A140,Input_Raw!$E:$E,Input_Raw!$CY:$CY),"")</f>
        <v/>
      </c>
      <c r="AO140" s="312" t="str">
        <f>IFERROR((_xlfn.XLOOKUP($A140,'WTG Reactive Power'!$A:$A,'WTG Reactive Power'!AB:AB))/X140,"")</f>
        <v/>
      </c>
      <c r="AP140" s="312">
        <f>IFERROR(_xlfn.XLOOKUP($D140,'Modelling New'!$D:$D,'Modelling New'!AK:AK),"")</f>
        <v>0.05</v>
      </c>
      <c r="AQ140" s="312">
        <f>IFERROR(_xlfn.XLOOKUP($D140,'Modelling New'!$D:$D,'Modelling New'!AL:AL),"")</f>
        <v>0.05</v>
      </c>
      <c r="AR140" s="325">
        <f>IFERROR(_xlfn.XLOOKUP($D140,'Modelling New'!$D:$D,'Modelling New'!$N:$N),"")</f>
        <v>50.59999999999998</v>
      </c>
      <c r="AS140" s="325"/>
    </row>
    <row r="141" spans="1:45">
      <c r="A141" s="32">
        <f t="shared" si="19"/>
        <v>45884</v>
      </c>
      <c r="B141" s="43">
        <f>YEAR(Table13[[#This Row],[Date]])+IF(MONTH(Table13[[#This Row],[Date]])&gt;=4,1,0)</f>
        <v>2026</v>
      </c>
      <c r="C141" s="10">
        <f>YEAR(Table13[[#This Row],[Date]])</f>
        <v>2025</v>
      </c>
      <c r="D141" s="309">
        <f>Table13[[#This Row],[Date]]-DAY(Table13[[#This Row],[Date]])+1</f>
        <v>45870</v>
      </c>
      <c r="E141" s="10">
        <f t="shared" si="15"/>
        <v>31</v>
      </c>
      <c r="F141" s="241">
        <f>IFERROR(_xlfn.XLOOKUP($A141,Input_Raw!$E:$E,Input_Raw!DC:DC),"")</f>
        <v>0</v>
      </c>
      <c r="G141" s="242"/>
      <c r="H141" s="242"/>
      <c r="I141" s="242"/>
      <c r="J141" s="242"/>
      <c r="K141" s="243"/>
      <c r="L141" s="242"/>
      <c r="M141" s="242" t="str">
        <f>IFERROR(_xlfn.XLOOKUP($A141,Input_Raw!$E:$E,Input_Raw!$BM:$BM),"")</f>
        <v/>
      </c>
      <c r="N141" s="242">
        <f>IFERROR(_xlfn.XLOOKUP($A141,Input_Raw!$E:$E,Input_Raw!$BN:$BN),"")</f>
        <v>0</v>
      </c>
      <c r="O141" s="311" t="str">
        <f t="shared" si="16"/>
        <v/>
      </c>
      <c r="P141" s="311" t="str">
        <f>IFERROR(1-SUMIF(WTG_BD!$F:$F,$A141,WTG_BD!$AA:$AA)/($AA141+SUMIF(WTG_BD!$F:$F,$A141,WTG_BD!$AA:$AA)),"")</f>
        <v/>
      </c>
      <c r="Q141" s="328" t="str">
        <f>IFERROR(1-SUMIF(IGA_BD!$F:$F,$A141,IGA_BD!$W:$W)/($AA141+SUMIF(IGA_BD!$F:$F,$A141,IGA_BD!$W:$W)),"")</f>
        <v/>
      </c>
      <c r="R141" s="311" t="str">
        <f>IFERROR(1-SUMIF(Grid_BD!$F:$F,$A141,Grid_BD!$Y:$Y)/($AA141+SUMIF(Grid_BD!$F:$F,$A141,Grid_BD!$Y:$Y)),"")</f>
        <v/>
      </c>
      <c r="S141" s="10"/>
      <c r="T141" s="310"/>
      <c r="U141" s="311"/>
      <c r="V141" s="10"/>
      <c r="W141" s="312">
        <f t="shared" si="17"/>
        <v>0</v>
      </c>
      <c r="X141" s="10">
        <f>IFERROR(_xlfn.XLOOKUP($A141,Input_Raw!$E:$E,Input_Raw!BG:BG),"")</f>
        <v>0</v>
      </c>
      <c r="Y141" s="10">
        <f>IFERROR(_xlfn.XLOOKUP($A141,Input_Raw!$E:$E,Input_Raw!DF:DF),"")</f>
        <v>0</v>
      </c>
      <c r="Z141" s="319" t="str">
        <f>IFERROR(_xlfn.XLOOKUP(A141,Input_Raw!E:E,Input_Raw!CT:CT)/_xlfn.XLOOKUP(A141,Input_Raw!E:E,Input_Raw!CS:CS)*Table13[[#This Row],[Mtr_Export (kWh)]],"")</f>
        <v/>
      </c>
      <c r="AA141" s="43" t="str">
        <f t="shared" si="18"/>
        <v/>
      </c>
      <c r="AB141" s="10">
        <f>IFERROR(_xlfn.XLOOKUP($A141,Input_Raw!$E:$E,Input_Raw!$CZ:$CZ),"")</f>
        <v>50.6</v>
      </c>
      <c r="AC141" s="313">
        <f>IFERROR(_xlfn.XLOOKUP($D141,'Modelling New'!$D:$D,'Modelling New'!$J:$J),"")</f>
        <v>8.5195147184909956</v>
      </c>
      <c r="AD141" s="43">
        <f>IFERROR(_xlfn.XLOOKUP($D141,'Modelling New'!$D:$D,'Modelling New'!$T:$T)*1000,"")</f>
        <v>699874.83870967745</v>
      </c>
      <c r="AE141" s="312"/>
      <c r="AF141" s="312">
        <f>IFERROR(_xlfn.XLOOKUP($D141,'Modelling New'!$D:$D,'Modelling New'!$W:$W),"")</f>
        <v>0.57631327298227741</v>
      </c>
      <c r="AG141" s="312">
        <f>IFERROR(_xlfn.XLOOKUP($D141,'Modelling New'!$D:$D,'Modelling New'!$AE:$AE),"")</f>
        <v>0.95549849999999992</v>
      </c>
      <c r="AH141" s="312">
        <f>IFERROR(_xlfn.XLOOKUP($D141,'Modelling New'!$D:$D,'Modelling New'!$AF:$AF),"")</f>
        <v>0.995</v>
      </c>
      <c r="AI141" s="10">
        <f>IFERROR(_xlfn.XLOOKUP($A141,Input_Raw!$E:$E,Input_Raw!$DG:$DG),"")</f>
        <v>0</v>
      </c>
      <c r="AJ141" s="10"/>
      <c r="AK141" s="10"/>
      <c r="AL141" s="10"/>
      <c r="AM141" s="10"/>
      <c r="AN141" s="314" t="str">
        <f>IFERROR(_xlfn.XLOOKUP($A141,Input_Raw!$E:$E,Input_Raw!$CY:$CY),"")</f>
        <v/>
      </c>
      <c r="AO141" s="312" t="str">
        <f>IFERROR((_xlfn.XLOOKUP($A141,'WTG Reactive Power'!$A:$A,'WTG Reactive Power'!AB:AB))/X141,"")</f>
        <v/>
      </c>
      <c r="AP141" s="312">
        <f>IFERROR(_xlfn.XLOOKUP($D141,'Modelling New'!$D:$D,'Modelling New'!AK:AK),"")</f>
        <v>0.05</v>
      </c>
      <c r="AQ141" s="312">
        <f>IFERROR(_xlfn.XLOOKUP($D141,'Modelling New'!$D:$D,'Modelling New'!AL:AL),"")</f>
        <v>0.05</v>
      </c>
      <c r="AR141" s="325">
        <f>IFERROR(_xlfn.XLOOKUP($D141,'Modelling New'!$D:$D,'Modelling New'!$N:$N),"")</f>
        <v>50.59999999999998</v>
      </c>
      <c r="AS141" s="325"/>
    </row>
    <row r="142" spans="1:45">
      <c r="A142" s="32">
        <f t="shared" si="19"/>
        <v>45885</v>
      </c>
      <c r="B142" s="43">
        <f>YEAR(Table13[[#This Row],[Date]])+IF(MONTH(Table13[[#This Row],[Date]])&gt;=4,1,0)</f>
        <v>2026</v>
      </c>
      <c r="C142" s="10">
        <f>YEAR(Table13[[#This Row],[Date]])</f>
        <v>2025</v>
      </c>
      <c r="D142" s="309">
        <f>Table13[[#This Row],[Date]]-DAY(Table13[[#This Row],[Date]])+1</f>
        <v>45870</v>
      </c>
      <c r="E142" s="10">
        <f t="shared" si="15"/>
        <v>31</v>
      </c>
      <c r="F142" s="241">
        <f>IFERROR(_xlfn.XLOOKUP($A142,Input_Raw!$E:$E,Input_Raw!DC:DC),"")</f>
        <v>0</v>
      </c>
      <c r="G142" s="313"/>
      <c r="H142" s="313"/>
      <c r="I142" s="313"/>
      <c r="J142" s="313"/>
      <c r="K142" s="243"/>
      <c r="L142" s="242"/>
      <c r="M142" s="242" t="str">
        <f>IFERROR(_xlfn.XLOOKUP($A142,Input_Raw!$E:$E,Input_Raw!$BM:$BM),"")</f>
        <v/>
      </c>
      <c r="N142" s="242">
        <f>IFERROR(_xlfn.XLOOKUP($A142,Input_Raw!$E:$E,Input_Raw!$BN:$BN),"")</f>
        <v>0</v>
      </c>
      <c r="O142" s="311" t="str">
        <f t="shared" si="16"/>
        <v/>
      </c>
      <c r="P142" s="311" t="str">
        <f>IFERROR(1-SUMIF(WTG_BD!$F:$F,$A142,WTG_BD!$AA:$AA)/($AA142+SUMIF(WTG_BD!$F:$F,$A142,WTG_BD!$AA:$AA)),"")</f>
        <v/>
      </c>
      <c r="Q142" s="328" t="str">
        <f>IFERROR(1-SUMIF(IGA_BD!$F:$F,$A142,IGA_BD!$W:$W)/($AA142+SUMIF(IGA_BD!$F:$F,$A142,IGA_BD!$W:$W)),"")</f>
        <v/>
      </c>
      <c r="R142" s="47" t="str">
        <f>IFERROR(1-SUMIF(Grid_BD!$F:$F,$A142,Grid_BD!$Y:$Y)/($AA142+SUMIF(Grid_BD!$F:$F,$A142,Grid_BD!$Y:$Y)),"")</f>
        <v/>
      </c>
      <c r="S142" s="10"/>
      <c r="T142" s="310"/>
      <c r="U142" s="311"/>
      <c r="V142" s="10"/>
      <c r="W142" s="312">
        <f t="shared" si="17"/>
        <v>0</v>
      </c>
      <c r="X142" s="10">
        <f>IFERROR(_xlfn.XLOOKUP($A142,Input_Raw!$E:$E,Input_Raw!BG:BG),"")</f>
        <v>0</v>
      </c>
      <c r="Y142" s="10">
        <f>IFERROR(_xlfn.XLOOKUP($A142,Input_Raw!$E:$E,Input_Raw!DF:DF),"")</f>
        <v>0</v>
      </c>
      <c r="Z142" s="319" t="str">
        <f>IFERROR(_xlfn.XLOOKUP(A142,Input_Raw!E:E,Input_Raw!CT:CT)/_xlfn.XLOOKUP(A142,Input_Raw!E:E,Input_Raw!CS:CS)*Table13[[#This Row],[Mtr_Export (kWh)]],"")</f>
        <v/>
      </c>
      <c r="AA142" s="43" t="str">
        <f t="shared" si="18"/>
        <v/>
      </c>
      <c r="AB142" s="10">
        <f>IFERROR(_xlfn.XLOOKUP($A142,Input_Raw!$E:$E,Input_Raw!$CZ:$CZ),"")</f>
        <v>50.6</v>
      </c>
      <c r="AC142" s="313">
        <f>IFERROR(_xlfn.XLOOKUP($D142,'Modelling New'!$D:$D,'Modelling New'!$J:$J),"")</f>
        <v>8.5195147184909956</v>
      </c>
      <c r="AD142" s="43">
        <f>IFERROR(_xlfn.XLOOKUP($D142,'Modelling New'!$D:$D,'Modelling New'!$T:$T)*1000,"")</f>
        <v>699874.83870967745</v>
      </c>
      <c r="AE142" s="312"/>
      <c r="AF142" s="312">
        <f>IFERROR(_xlfn.XLOOKUP($D142,'Modelling New'!$D:$D,'Modelling New'!$W:$W),"")</f>
        <v>0.57631327298227741</v>
      </c>
      <c r="AG142" s="312">
        <f>IFERROR(_xlfn.XLOOKUP($D142,'Modelling New'!$D:$D,'Modelling New'!$AE:$AE),"")</f>
        <v>0.95549849999999992</v>
      </c>
      <c r="AH142" s="312">
        <f>IFERROR(_xlfn.XLOOKUP($D142,'Modelling New'!$D:$D,'Modelling New'!$AF:$AF),"")</f>
        <v>0.995</v>
      </c>
      <c r="AI142" s="10">
        <f>IFERROR(_xlfn.XLOOKUP($A142,Input_Raw!$E:$E,Input_Raw!$DG:$DG),"")</f>
        <v>0</v>
      </c>
      <c r="AJ142" s="10"/>
      <c r="AK142" s="10"/>
      <c r="AL142" s="10"/>
      <c r="AM142" s="10"/>
      <c r="AN142" s="314" t="str">
        <f>IFERROR(_xlfn.XLOOKUP($A142,Input_Raw!$E:$E,Input_Raw!$CY:$CY),"")</f>
        <v/>
      </c>
      <c r="AO142" s="312" t="str">
        <f>IFERROR((_xlfn.XLOOKUP($A142,'WTG Reactive Power'!$A:$A,'WTG Reactive Power'!AB:AB))/X142,"")</f>
        <v/>
      </c>
      <c r="AP142" s="312">
        <f>IFERROR(_xlfn.XLOOKUP($D142,'Modelling New'!$D:$D,'Modelling New'!AK:AK),"")</f>
        <v>0.05</v>
      </c>
      <c r="AQ142" s="312">
        <f>IFERROR(_xlfn.XLOOKUP($D142,'Modelling New'!$D:$D,'Modelling New'!AL:AL),"")</f>
        <v>0.05</v>
      </c>
      <c r="AR142" s="325">
        <f>IFERROR(_xlfn.XLOOKUP($D142,'Modelling New'!$D:$D,'Modelling New'!$N:$N),"")</f>
        <v>50.59999999999998</v>
      </c>
      <c r="AS142" s="325"/>
    </row>
    <row r="143" spans="1:45">
      <c r="A143" s="32">
        <f t="shared" si="19"/>
        <v>45886</v>
      </c>
      <c r="B143" s="43">
        <f>YEAR(Table13[[#This Row],[Date]])+IF(MONTH(Table13[[#This Row],[Date]])&gt;=4,1,0)</f>
        <v>2026</v>
      </c>
      <c r="C143" s="10">
        <f>YEAR(Table13[[#This Row],[Date]])</f>
        <v>2025</v>
      </c>
      <c r="D143" s="309">
        <f>Table13[[#This Row],[Date]]-DAY(Table13[[#This Row],[Date]])+1</f>
        <v>45870</v>
      </c>
      <c r="E143" s="10">
        <f t="shared" si="15"/>
        <v>31</v>
      </c>
      <c r="F143" s="241">
        <f>IFERROR(_xlfn.XLOOKUP($A143,Input_Raw!$E:$E,Input_Raw!DC:DC),"")</f>
        <v>0</v>
      </c>
      <c r="G143" s="242"/>
      <c r="H143" s="242"/>
      <c r="I143" s="242"/>
      <c r="J143" s="242"/>
      <c r="K143" s="243"/>
      <c r="L143" s="242"/>
      <c r="M143" s="242" t="str">
        <f>IFERROR(_xlfn.XLOOKUP($A143,Input_Raw!$E:$E,Input_Raw!$BM:$BM),"")</f>
        <v/>
      </c>
      <c r="N143" s="242">
        <f>IFERROR(_xlfn.XLOOKUP($A143,Input_Raw!$E:$E,Input_Raw!$BN:$BN),"")</f>
        <v>0</v>
      </c>
      <c r="O143" s="311" t="str">
        <f t="shared" si="16"/>
        <v/>
      </c>
      <c r="P143" s="311" t="str">
        <f>IFERROR(1-SUMIF(WTG_BD!$F:$F,$A143,WTG_BD!$AA:$AA)/($AA143+SUMIF(WTG_BD!$F:$F,$A143,WTG_BD!$AA:$AA)),"")</f>
        <v/>
      </c>
      <c r="Q143" s="328" t="str">
        <f>IFERROR(1-SUMIF(IGA_BD!$F:$F,$A143,IGA_BD!$W:$W)/($AA143+SUMIF(IGA_BD!$F:$F,$A143,IGA_BD!$W:$W)),"")</f>
        <v/>
      </c>
      <c r="R143" s="311" t="str">
        <f>IFERROR(1-SUMIF(Grid_BD!$F:$F,$A143,Grid_BD!$Y:$Y)/($AA143+SUMIF(Grid_BD!$F:$F,$A143,Grid_BD!$Y:$Y)),"")</f>
        <v/>
      </c>
      <c r="S143" s="10"/>
      <c r="T143" s="310"/>
      <c r="U143" s="311"/>
      <c r="V143" s="10"/>
      <c r="W143" s="312">
        <f t="shared" si="17"/>
        <v>0</v>
      </c>
      <c r="X143" s="10">
        <f>IFERROR(_xlfn.XLOOKUP($A143,Input_Raw!$E:$E,Input_Raw!BG:BG),"")</f>
        <v>0</v>
      </c>
      <c r="Y143" s="10">
        <f>IFERROR(_xlfn.XLOOKUP($A143,Input_Raw!$E:$E,Input_Raw!DF:DF),"")</f>
        <v>0</v>
      </c>
      <c r="Z143" s="319" t="str">
        <f>IFERROR(_xlfn.XLOOKUP(A143,Input_Raw!E:E,Input_Raw!CT:CT)/_xlfn.XLOOKUP(A143,Input_Raw!E:E,Input_Raw!CS:CS)*Table13[[#This Row],[Mtr_Export (kWh)]],"")</f>
        <v/>
      </c>
      <c r="AA143" s="43" t="str">
        <f t="shared" si="18"/>
        <v/>
      </c>
      <c r="AB143" s="10">
        <f>IFERROR(_xlfn.XLOOKUP($A143,Input_Raw!$E:$E,Input_Raw!$CZ:$CZ),"")</f>
        <v>50.6</v>
      </c>
      <c r="AC143" s="313">
        <f>IFERROR(_xlfn.XLOOKUP($D143,'Modelling New'!$D:$D,'Modelling New'!$J:$J),"")</f>
        <v>8.5195147184909956</v>
      </c>
      <c r="AD143" s="43">
        <f>IFERROR(_xlfn.XLOOKUP($D143,'Modelling New'!$D:$D,'Modelling New'!$T:$T)*1000,"")</f>
        <v>699874.83870967745</v>
      </c>
      <c r="AE143" s="312"/>
      <c r="AF143" s="312">
        <f>IFERROR(_xlfn.XLOOKUP($D143,'Modelling New'!$D:$D,'Modelling New'!$W:$W),"")</f>
        <v>0.57631327298227741</v>
      </c>
      <c r="AG143" s="312">
        <f>IFERROR(_xlfn.XLOOKUP($D143,'Modelling New'!$D:$D,'Modelling New'!$AE:$AE),"")</f>
        <v>0.95549849999999992</v>
      </c>
      <c r="AH143" s="312">
        <f>IFERROR(_xlfn.XLOOKUP($D143,'Modelling New'!$D:$D,'Modelling New'!$AF:$AF),"")</f>
        <v>0.995</v>
      </c>
      <c r="AI143" s="10">
        <f>IFERROR(_xlfn.XLOOKUP($A143,Input_Raw!$E:$E,Input_Raw!$DG:$DG),"")</f>
        <v>0</v>
      </c>
      <c r="AJ143" s="10"/>
      <c r="AK143" s="10"/>
      <c r="AL143" s="10"/>
      <c r="AM143" s="10"/>
      <c r="AN143" s="314" t="str">
        <f>IFERROR(_xlfn.XLOOKUP($A143,Input_Raw!$E:$E,Input_Raw!$CY:$CY),"")</f>
        <v/>
      </c>
      <c r="AO143" s="312" t="str">
        <f>IFERROR((_xlfn.XLOOKUP($A143,'WTG Reactive Power'!$A:$A,'WTG Reactive Power'!AB:AB))/X143,"")</f>
        <v/>
      </c>
      <c r="AP143" s="312">
        <f>IFERROR(_xlfn.XLOOKUP($D143,'Modelling New'!$D:$D,'Modelling New'!AK:AK),"")</f>
        <v>0.05</v>
      </c>
      <c r="AQ143" s="312">
        <f>IFERROR(_xlfn.XLOOKUP($D143,'Modelling New'!$D:$D,'Modelling New'!AL:AL),"")</f>
        <v>0.05</v>
      </c>
      <c r="AR143" s="325">
        <f>IFERROR(_xlfn.XLOOKUP($D143,'Modelling New'!$D:$D,'Modelling New'!$N:$N),"")</f>
        <v>50.59999999999998</v>
      </c>
      <c r="AS143" s="325"/>
    </row>
    <row r="144" spans="1:45">
      <c r="A144" s="32">
        <f t="shared" si="19"/>
        <v>45887</v>
      </c>
      <c r="B144" s="43">
        <f>YEAR(Table13[[#This Row],[Date]])+IF(MONTH(Table13[[#This Row],[Date]])&gt;=4,1,0)</f>
        <v>2026</v>
      </c>
      <c r="C144" s="10">
        <f>YEAR(Table13[[#This Row],[Date]])</f>
        <v>2025</v>
      </c>
      <c r="D144" s="309">
        <f>Table13[[#This Row],[Date]]-DAY(Table13[[#This Row],[Date]])+1</f>
        <v>45870</v>
      </c>
      <c r="E144" s="10">
        <f t="shared" si="15"/>
        <v>31</v>
      </c>
      <c r="F144" s="241">
        <f>IFERROR(_xlfn.XLOOKUP($A144,Input_Raw!$E:$E,Input_Raw!DC:DC),"")</f>
        <v>0</v>
      </c>
      <c r="G144" s="313"/>
      <c r="H144" s="313"/>
      <c r="I144" s="313"/>
      <c r="J144" s="313"/>
      <c r="K144" s="243"/>
      <c r="L144" s="242"/>
      <c r="M144" s="242" t="str">
        <f>IFERROR(_xlfn.XLOOKUP($A144,Input_Raw!$E:$E,Input_Raw!$BM:$BM),"")</f>
        <v/>
      </c>
      <c r="N144" s="242">
        <f>IFERROR(_xlfn.XLOOKUP($A144,Input_Raw!$E:$E,Input_Raw!$BN:$BN),"")</f>
        <v>0</v>
      </c>
      <c r="O144" s="311" t="str">
        <f t="shared" si="16"/>
        <v/>
      </c>
      <c r="P144" s="311" t="str">
        <f>IFERROR(1-SUMIF(WTG_BD!$F:$F,$A144,WTG_BD!$AA:$AA)/($AA144+SUMIF(WTG_BD!$F:$F,$A144,WTG_BD!$AA:$AA)),"")</f>
        <v/>
      </c>
      <c r="Q144" s="328" t="str">
        <f>IFERROR(1-SUMIF(IGA_BD!$F:$F,$A144,IGA_BD!$W:$W)/($AA144+SUMIF(IGA_BD!$F:$F,$A144,IGA_BD!$W:$W)),"")</f>
        <v/>
      </c>
      <c r="R144" s="47" t="str">
        <f>IFERROR(1-SUMIF(Grid_BD!$F:$F,$A144,Grid_BD!$Y:$Y)/($AA144+SUMIF(Grid_BD!$F:$F,$A144,Grid_BD!$Y:$Y)),"")</f>
        <v/>
      </c>
      <c r="S144" s="10"/>
      <c r="T144" s="310"/>
      <c r="U144" s="311"/>
      <c r="V144" s="10"/>
      <c r="W144" s="312">
        <f t="shared" si="17"/>
        <v>0</v>
      </c>
      <c r="X144" s="10">
        <f>IFERROR(_xlfn.XLOOKUP($A144,Input_Raw!$E:$E,Input_Raw!BG:BG),"")</f>
        <v>0</v>
      </c>
      <c r="Y144" s="10">
        <f>IFERROR(_xlfn.XLOOKUP($A144,Input_Raw!$E:$E,Input_Raw!DF:DF),"")</f>
        <v>0</v>
      </c>
      <c r="Z144" s="319" t="str">
        <f>IFERROR(_xlfn.XLOOKUP(A144,Input_Raw!E:E,Input_Raw!CT:CT)/_xlfn.XLOOKUP(A144,Input_Raw!E:E,Input_Raw!CS:CS)*Table13[[#This Row],[Mtr_Export (kWh)]],"")</f>
        <v/>
      </c>
      <c r="AA144" s="43" t="str">
        <f t="shared" si="18"/>
        <v/>
      </c>
      <c r="AB144" s="10">
        <f>IFERROR(_xlfn.XLOOKUP($A144,Input_Raw!$E:$E,Input_Raw!$CZ:$CZ),"")</f>
        <v>50.6</v>
      </c>
      <c r="AC144" s="313">
        <f>IFERROR(_xlfn.XLOOKUP($D144,'Modelling New'!$D:$D,'Modelling New'!$J:$J),"")</f>
        <v>8.5195147184909956</v>
      </c>
      <c r="AD144" s="43">
        <f>IFERROR(_xlfn.XLOOKUP($D144,'Modelling New'!$D:$D,'Modelling New'!$T:$T)*1000,"")</f>
        <v>699874.83870967745</v>
      </c>
      <c r="AE144" s="312"/>
      <c r="AF144" s="312">
        <f>IFERROR(_xlfn.XLOOKUP($D144,'Modelling New'!$D:$D,'Modelling New'!$W:$W),"")</f>
        <v>0.57631327298227741</v>
      </c>
      <c r="AG144" s="312">
        <f>IFERROR(_xlfn.XLOOKUP($D144,'Modelling New'!$D:$D,'Modelling New'!$AE:$AE),"")</f>
        <v>0.95549849999999992</v>
      </c>
      <c r="AH144" s="312">
        <f>IFERROR(_xlfn.XLOOKUP($D144,'Modelling New'!$D:$D,'Modelling New'!$AF:$AF),"")</f>
        <v>0.995</v>
      </c>
      <c r="AI144" s="10">
        <f>IFERROR(_xlfn.XLOOKUP($A144,Input_Raw!$E:$E,Input_Raw!$DG:$DG),"")</f>
        <v>0</v>
      </c>
      <c r="AJ144" s="10"/>
      <c r="AK144" s="10"/>
      <c r="AL144" s="10"/>
      <c r="AM144" s="10"/>
      <c r="AN144" s="314" t="str">
        <f>IFERROR(_xlfn.XLOOKUP($A144,Input_Raw!$E:$E,Input_Raw!$CY:$CY),"")</f>
        <v/>
      </c>
      <c r="AO144" s="312" t="str">
        <f>IFERROR((_xlfn.XLOOKUP($A144,'WTG Reactive Power'!$A:$A,'WTG Reactive Power'!AB:AB))/X144,"")</f>
        <v/>
      </c>
      <c r="AP144" s="312">
        <f>IFERROR(_xlfn.XLOOKUP($D144,'Modelling New'!$D:$D,'Modelling New'!AK:AK),"")</f>
        <v>0.05</v>
      </c>
      <c r="AQ144" s="312">
        <f>IFERROR(_xlfn.XLOOKUP($D144,'Modelling New'!$D:$D,'Modelling New'!AL:AL),"")</f>
        <v>0.05</v>
      </c>
      <c r="AR144" s="325">
        <f>IFERROR(_xlfn.XLOOKUP($D144,'Modelling New'!$D:$D,'Modelling New'!$N:$N),"")</f>
        <v>50.59999999999998</v>
      </c>
      <c r="AS144" s="325"/>
    </row>
    <row r="145" spans="1:45">
      <c r="A145" s="32">
        <f t="shared" si="19"/>
        <v>45888</v>
      </c>
      <c r="B145" s="43">
        <f>YEAR(Table13[[#This Row],[Date]])+IF(MONTH(Table13[[#This Row],[Date]])&gt;=4,1,0)</f>
        <v>2026</v>
      </c>
      <c r="C145" s="10">
        <f>YEAR(Table13[[#This Row],[Date]])</f>
        <v>2025</v>
      </c>
      <c r="D145" s="309">
        <f>Table13[[#This Row],[Date]]-DAY(Table13[[#This Row],[Date]])+1</f>
        <v>45870</v>
      </c>
      <c r="E145" s="10">
        <f t="shared" si="15"/>
        <v>31</v>
      </c>
      <c r="F145" s="241">
        <f>IFERROR(_xlfn.XLOOKUP($A145,Input_Raw!$E:$E,Input_Raw!DC:DC),"")</f>
        <v>0</v>
      </c>
      <c r="G145" s="242"/>
      <c r="H145" s="242"/>
      <c r="I145" s="242"/>
      <c r="J145" s="242"/>
      <c r="K145" s="243"/>
      <c r="L145" s="242"/>
      <c r="M145" s="242" t="str">
        <f>IFERROR(_xlfn.XLOOKUP($A145,Input_Raw!$E:$E,Input_Raw!$BM:$BM),"")</f>
        <v/>
      </c>
      <c r="N145" s="242">
        <f>IFERROR(_xlfn.XLOOKUP($A145,Input_Raw!$E:$E,Input_Raw!$BN:$BN),"")</f>
        <v>0</v>
      </c>
      <c r="O145" s="311" t="str">
        <f t="shared" si="16"/>
        <v/>
      </c>
      <c r="P145" s="311" t="str">
        <f>IFERROR(1-SUMIF(WTG_BD!$F:$F,$A145,WTG_BD!$AA:$AA)/($AA145+SUMIF(WTG_BD!$F:$F,$A145,WTG_BD!$AA:$AA)),"")</f>
        <v/>
      </c>
      <c r="Q145" s="328" t="str">
        <f>IFERROR(1-SUMIF(IGA_BD!$F:$F,$A145,IGA_BD!$W:$W)/($AA145+SUMIF(IGA_BD!$F:$F,$A145,IGA_BD!$W:$W)),"")</f>
        <v/>
      </c>
      <c r="R145" s="311" t="str">
        <f>IFERROR(1-SUMIF(Grid_BD!$F:$F,$A145,Grid_BD!$Y:$Y)/($AA145+SUMIF(Grid_BD!$F:$F,$A145,Grid_BD!$Y:$Y)),"")</f>
        <v/>
      </c>
      <c r="S145" s="10"/>
      <c r="T145" s="310"/>
      <c r="U145" s="311"/>
      <c r="V145" s="10"/>
      <c r="W145" s="312">
        <f t="shared" si="17"/>
        <v>0</v>
      </c>
      <c r="X145" s="10">
        <f>IFERROR(_xlfn.XLOOKUP($A145,Input_Raw!$E:$E,Input_Raw!BG:BG),"")</f>
        <v>0</v>
      </c>
      <c r="Y145" s="10">
        <f>IFERROR(_xlfn.XLOOKUP($A145,Input_Raw!$E:$E,Input_Raw!DF:DF),"")</f>
        <v>0</v>
      </c>
      <c r="Z145" s="319" t="str">
        <f>IFERROR(_xlfn.XLOOKUP(A145,Input_Raw!E:E,Input_Raw!CT:CT)/_xlfn.XLOOKUP(A145,Input_Raw!E:E,Input_Raw!CS:CS)*Table13[[#This Row],[Mtr_Export (kWh)]],"")</f>
        <v/>
      </c>
      <c r="AA145" s="43" t="str">
        <f t="shared" si="18"/>
        <v/>
      </c>
      <c r="AB145" s="10">
        <f>IFERROR(_xlfn.XLOOKUP($A145,Input_Raw!$E:$E,Input_Raw!$CZ:$CZ),"")</f>
        <v>50.6</v>
      </c>
      <c r="AC145" s="313">
        <f>IFERROR(_xlfn.XLOOKUP($D145,'Modelling New'!$D:$D,'Modelling New'!$J:$J),"")</f>
        <v>8.5195147184909956</v>
      </c>
      <c r="AD145" s="43">
        <f>IFERROR(_xlfn.XLOOKUP($D145,'Modelling New'!$D:$D,'Modelling New'!$T:$T)*1000,"")</f>
        <v>699874.83870967745</v>
      </c>
      <c r="AE145" s="312"/>
      <c r="AF145" s="312">
        <f>IFERROR(_xlfn.XLOOKUP($D145,'Modelling New'!$D:$D,'Modelling New'!$W:$W),"")</f>
        <v>0.57631327298227741</v>
      </c>
      <c r="AG145" s="312">
        <f>IFERROR(_xlfn.XLOOKUP($D145,'Modelling New'!$D:$D,'Modelling New'!$AE:$AE),"")</f>
        <v>0.95549849999999992</v>
      </c>
      <c r="AH145" s="312">
        <f>IFERROR(_xlfn.XLOOKUP($D145,'Modelling New'!$D:$D,'Modelling New'!$AF:$AF),"")</f>
        <v>0.995</v>
      </c>
      <c r="AI145" s="10">
        <f>IFERROR(_xlfn.XLOOKUP($A145,Input_Raw!$E:$E,Input_Raw!$DG:$DG),"")</f>
        <v>0</v>
      </c>
      <c r="AJ145" s="10"/>
      <c r="AK145" s="10"/>
      <c r="AL145" s="10"/>
      <c r="AM145" s="10"/>
      <c r="AN145" s="314" t="str">
        <f>IFERROR(_xlfn.XLOOKUP($A145,Input_Raw!$E:$E,Input_Raw!$CY:$CY),"")</f>
        <v/>
      </c>
      <c r="AO145" s="312" t="str">
        <f>IFERROR((_xlfn.XLOOKUP($A145,'WTG Reactive Power'!$A:$A,'WTG Reactive Power'!AB:AB))/X145,"")</f>
        <v/>
      </c>
      <c r="AP145" s="312">
        <f>IFERROR(_xlfn.XLOOKUP($D145,'Modelling New'!$D:$D,'Modelling New'!AK:AK),"")</f>
        <v>0.05</v>
      </c>
      <c r="AQ145" s="312">
        <f>IFERROR(_xlfn.XLOOKUP($D145,'Modelling New'!$D:$D,'Modelling New'!AL:AL),"")</f>
        <v>0.05</v>
      </c>
      <c r="AR145" s="325">
        <f>IFERROR(_xlfn.XLOOKUP($D145,'Modelling New'!$D:$D,'Modelling New'!$N:$N),"")</f>
        <v>50.59999999999998</v>
      </c>
      <c r="AS145" s="325"/>
    </row>
    <row r="146" spans="1:45">
      <c r="A146" s="32">
        <f t="shared" si="19"/>
        <v>45889</v>
      </c>
      <c r="B146" s="43">
        <f>YEAR(Table13[[#This Row],[Date]])+IF(MONTH(Table13[[#This Row],[Date]])&gt;=4,1,0)</f>
        <v>2026</v>
      </c>
      <c r="C146" s="10">
        <f>YEAR(Table13[[#This Row],[Date]])</f>
        <v>2025</v>
      </c>
      <c r="D146" s="309">
        <f>Table13[[#This Row],[Date]]-DAY(Table13[[#This Row],[Date]])+1</f>
        <v>45870</v>
      </c>
      <c r="E146" s="10">
        <f t="shared" si="15"/>
        <v>31</v>
      </c>
      <c r="F146" s="241">
        <f>IFERROR(_xlfn.XLOOKUP($A146,Input_Raw!$E:$E,Input_Raw!DC:DC),"")</f>
        <v>0</v>
      </c>
      <c r="G146" s="313"/>
      <c r="H146" s="313"/>
      <c r="I146" s="313"/>
      <c r="J146" s="313"/>
      <c r="K146" s="243"/>
      <c r="L146" s="242"/>
      <c r="M146" s="242" t="str">
        <f>IFERROR(_xlfn.XLOOKUP($A146,Input_Raw!$E:$E,Input_Raw!$BM:$BM),"")</f>
        <v/>
      </c>
      <c r="N146" s="242">
        <f>IFERROR(_xlfn.XLOOKUP($A146,Input_Raw!$E:$E,Input_Raw!$BN:$BN),"")</f>
        <v>0</v>
      </c>
      <c r="O146" s="311" t="str">
        <f t="shared" si="16"/>
        <v/>
      </c>
      <c r="P146" s="311" t="str">
        <f>IFERROR(1-SUMIF(WTG_BD!$F:$F,$A146,WTG_BD!$AA:$AA)/($AA146+SUMIF(WTG_BD!$F:$F,$A146,WTG_BD!$AA:$AA)),"")</f>
        <v/>
      </c>
      <c r="Q146" s="328" t="str">
        <f>IFERROR(1-SUMIF(IGA_BD!$F:$F,$A146,IGA_BD!$W:$W)/($AA146+SUMIF(IGA_BD!$F:$F,$A146,IGA_BD!$W:$W)),"")</f>
        <v/>
      </c>
      <c r="R146" s="47" t="str">
        <f>IFERROR(1-SUMIF(Grid_BD!$F:$F,$A146,Grid_BD!$Y:$Y)/($AA146+SUMIF(Grid_BD!$F:$F,$A146,Grid_BD!$Y:$Y)),"")</f>
        <v/>
      </c>
      <c r="S146" s="10"/>
      <c r="T146" s="310"/>
      <c r="U146" s="311"/>
      <c r="V146" s="10"/>
      <c r="W146" s="312">
        <f t="shared" si="17"/>
        <v>0</v>
      </c>
      <c r="X146" s="10">
        <f>IFERROR(_xlfn.XLOOKUP($A146,Input_Raw!$E:$E,Input_Raw!BG:BG),"")</f>
        <v>0</v>
      </c>
      <c r="Y146" s="10">
        <f>IFERROR(_xlfn.XLOOKUP($A146,Input_Raw!$E:$E,Input_Raw!DF:DF),"")</f>
        <v>0</v>
      </c>
      <c r="Z146" s="319" t="str">
        <f>IFERROR(_xlfn.XLOOKUP(A146,Input_Raw!E:E,Input_Raw!CT:CT)/_xlfn.XLOOKUP(A146,Input_Raw!E:E,Input_Raw!CS:CS)*Table13[[#This Row],[Mtr_Export (kWh)]],"")</f>
        <v/>
      </c>
      <c r="AA146" s="43" t="str">
        <f t="shared" si="18"/>
        <v/>
      </c>
      <c r="AB146" s="10">
        <f>IFERROR(_xlfn.XLOOKUP($A146,Input_Raw!$E:$E,Input_Raw!$CZ:$CZ),"")</f>
        <v>50.6</v>
      </c>
      <c r="AC146" s="313">
        <f>IFERROR(_xlfn.XLOOKUP($D146,'Modelling New'!$D:$D,'Modelling New'!$J:$J),"")</f>
        <v>8.5195147184909956</v>
      </c>
      <c r="AD146" s="43">
        <f>IFERROR(_xlfn.XLOOKUP($D146,'Modelling New'!$D:$D,'Modelling New'!$T:$T)*1000,"")</f>
        <v>699874.83870967745</v>
      </c>
      <c r="AE146" s="312"/>
      <c r="AF146" s="312">
        <f>IFERROR(_xlfn.XLOOKUP($D146,'Modelling New'!$D:$D,'Modelling New'!$W:$W),"")</f>
        <v>0.57631327298227741</v>
      </c>
      <c r="AG146" s="312">
        <f>IFERROR(_xlfn.XLOOKUP($D146,'Modelling New'!$D:$D,'Modelling New'!$AE:$AE),"")</f>
        <v>0.95549849999999992</v>
      </c>
      <c r="AH146" s="312">
        <f>IFERROR(_xlfn.XLOOKUP($D146,'Modelling New'!$D:$D,'Modelling New'!$AF:$AF),"")</f>
        <v>0.995</v>
      </c>
      <c r="AI146" s="10">
        <f>IFERROR(_xlfn.XLOOKUP($A146,Input_Raw!$E:$E,Input_Raw!$DG:$DG),"")</f>
        <v>0</v>
      </c>
      <c r="AJ146" s="10"/>
      <c r="AK146" s="10"/>
      <c r="AL146" s="10"/>
      <c r="AM146" s="10"/>
      <c r="AN146" s="314" t="str">
        <f>IFERROR(_xlfn.XLOOKUP($A146,Input_Raw!$E:$E,Input_Raw!$CY:$CY),"")</f>
        <v/>
      </c>
      <c r="AO146" s="312" t="str">
        <f>IFERROR((_xlfn.XLOOKUP($A146,'WTG Reactive Power'!$A:$A,'WTG Reactive Power'!AB:AB))/X146,"")</f>
        <v/>
      </c>
      <c r="AP146" s="312">
        <f>IFERROR(_xlfn.XLOOKUP($D146,'Modelling New'!$D:$D,'Modelling New'!AK:AK),"")</f>
        <v>0.05</v>
      </c>
      <c r="AQ146" s="312">
        <f>IFERROR(_xlfn.XLOOKUP($D146,'Modelling New'!$D:$D,'Modelling New'!AL:AL),"")</f>
        <v>0.05</v>
      </c>
      <c r="AR146" s="325">
        <f>IFERROR(_xlfn.XLOOKUP($D146,'Modelling New'!$D:$D,'Modelling New'!$N:$N),"")</f>
        <v>50.59999999999998</v>
      </c>
      <c r="AS146" s="325"/>
    </row>
    <row r="147" spans="1:45">
      <c r="A147" s="32">
        <f t="shared" si="19"/>
        <v>45890</v>
      </c>
      <c r="B147" s="43">
        <f>YEAR(Table13[[#This Row],[Date]])+IF(MONTH(Table13[[#This Row],[Date]])&gt;=4,1,0)</f>
        <v>2026</v>
      </c>
      <c r="C147" s="10">
        <f>YEAR(Table13[[#This Row],[Date]])</f>
        <v>2025</v>
      </c>
      <c r="D147" s="309">
        <f>Table13[[#This Row],[Date]]-DAY(Table13[[#This Row],[Date]])+1</f>
        <v>45870</v>
      </c>
      <c r="E147" s="10">
        <f t="shared" si="15"/>
        <v>31</v>
      </c>
      <c r="F147" s="241">
        <f>IFERROR(_xlfn.XLOOKUP($A147,Input_Raw!$E:$E,Input_Raw!DC:DC),"")</f>
        <v>0</v>
      </c>
      <c r="G147" s="242"/>
      <c r="H147" s="242"/>
      <c r="I147" s="242"/>
      <c r="J147" s="242"/>
      <c r="K147" s="243"/>
      <c r="L147" s="242"/>
      <c r="M147" s="242" t="str">
        <f>IFERROR(_xlfn.XLOOKUP($A147,Input_Raw!$E:$E,Input_Raw!$BM:$BM),"")</f>
        <v/>
      </c>
      <c r="N147" s="242">
        <f>IFERROR(_xlfn.XLOOKUP($A147,Input_Raw!$E:$E,Input_Raw!$BN:$BN),"")</f>
        <v>0</v>
      </c>
      <c r="O147" s="311" t="str">
        <f t="shared" si="16"/>
        <v/>
      </c>
      <c r="P147" s="311" t="str">
        <f>IFERROR(1-SUMIF(WTG_BD!$F:$F,$A147,WTG_BD!$AA:$AA)/($AA147+SUMIF(WTG_BD!$F:$F,$A147,WTG_BD!$AA:$AA)),"")</f>
        <v/>
      </c>
      <c r="Q147" s="328" t="str">
        <f>IFERROR(1-SUMIF(IGA_BD!$F:$F,$A147,IGA_BD!$W:$W)/($AA147+SUMIF(IGA_BD!$F:$F,$A147,IGA_BD!$W:$W)),"")</f>
        <v/>
      </c>
      <c r="R147" s="311" t="str">
        <f>IFERROR(1-SUMIF(Grid_BD!$F:$F,$A147,Grid_BD!$Y:$Y)/($AA147+SUMIF(Grid_BD!$F:$F,$A147,Grid_BD!$Y:$Y)),"")</f>
        <v/>
      </c>
      <c r="S147" s="10"/>
      <c r="T147" s="310"/>
      <c r="U147" s="311"/>
      <c r="V147" s="10"/>
      <c r="W147" s="312">
        <f t="shared" si="17"/>
        <v>0</v>
      </c>
      <c r="X147" s="10">
        <f>IFERROR(_xlfn.XLOOKUP($A147,Input_Raw!$E:$E,Input_Raw!BG:BG),"")</f>
        <v>0</v>
      </c>
      <c r="Y147" s="10">
        <f>IFERROR(_xlfn.XLOOKUP($A147,Input_Raw!$E:$E,Input_Raw!DF:DF),"")</f>
        <v>0</v>
      </c>
      <c r="Z147" s="319" t="str">
        <f>IFERROR(_xlfn.XLOOKUP(A147,Input_Raw!E:E,Input_Raw!CT:CT)/_xlfn.XLOOKUP(A147,Input_Raw!E:E,Input_Raw!CS:CS)*Table13[[#This Row],[Mtr_Export (kWh)]],"")</f>
        <v/>
      </c>
      <c r="AA147" s="43" t="str">
        <f t="shared" si="18"/>
        <v/>
      </c>
      <c r="AB147" s="10">
        <f>IFERROR(_xlfn.XLOOKUP($A147,Input_Raw!$E:$E,Input_Raw!$CZ:$CZ),"")</f>
        <v>50.6</v>
      </c>
      <c r="AC147" s="313">
        <f>IFERROR(_xlfn.XLOOKUP($D147,'Modelling New'!$D:$D,'Modelling New'!$J:$J),"")</f>
        <v>8.5195147184909956</v>
      </c>
      <c r="AD147" s="43">
        <f>IFERROR(_xlfn.XLOOKUP($D147,'Modelling New'!$D:$D,'Modelling New'!$T:$T)*1000,"")</f>
        <v>699874.83870967745</v>
      </c>
      <c r="AE147" s="312"/>
      <c r="AF147" s="312">
        <f>IFERROR(_xlfn.XLOOKUP($D147,'Modelling New'!$D:$D,'Modelling New'!$W:$W),"")</f>
        <v>0.57631327298227741</v>
      </c>
      <c r="AG147" s="312">
        <f>IFERROR(_xlfn.XLOOKUP($D147,'Modelling New'!$D:$D,'Modelling New'!$AE:$AE),"")</f>
        <v>0.95549849999999992</v>
      </c>
      <c r="AH147" s="312">
        <f>IFERROR(_xlfn.XLOOKUP($D147,'Modelling New'!$D:$D,'Modelling New'!$AF:$AF),"")</f>
        <v>0.995</v>
      </c>
      <c r="AI147" s="10">
        <f>IFERROR(_xlfn.XLOOKUP($A147,Input_Raw!$E:$E,Input_Raw!$DG:$DG),"")</f>
        <v>0</v>
      </c>
      <c r="AJ147" s="10"/>
      <c r="AK147" s="10"/>
      <c r="AL147" s="10"/>
      <c r="AM147" s="10"/>
      <c r="AN147" s="314" t="str">
        <f>IFERROR(_xlfn.XLOOKUP($A147,Input_Raw!$E:$E,Input_Raw!$CY:$CY),"")</f>
        <v/>
      </c>
      <c r="AO147" s="312" t="str">
        <f>IFERROR((_xlfn.XLOOKUP($A147,'WTG Reactive Power'!$A:$A,'WTG Reactive Power'!AB:AB))/X147,"")</f>
        <v/>
      </c>
      <c r="AP147" s="312">
        <f>IFERROR(_xlfn.XLOOKUP($D147,'Modelling New'!$D:$D,'Modelling New'!AK:AK),"")</f>
        <v>0.05</v>
      </c>
      <c r="AQ147" s="312">
        <f>IFERROR(_xlfn.XLOOKUP($D147,'Modelling New'!$D:$D,'Modelling New'!AL:AL),"")</f>
        <v>0.05</v>
      </c>
      <c r="AR147" s="325">
        <f>IFERROR(_xlfn.XLOOKUP($D147,'Modelling New'!$D:$D,'Modelling New'!$N:$N),"")</f>
        <v>50.59999999999998</v>
      </c>
      <c r="AS147" s="325"/>
    </row>
    <row r="148" spans="1:45">
      <c r="A148" s="32">
        <f t="shared" si="19"/>
        <v>45891</v>
      </c>
      <c r="B148" s="43">
        <f>YEAR(Table13[[#This Row],[Date]])+IF(MONTH(Table13[[#This Row],[Date]])&gt;=4,1,0)</f>
        <v>2026</v>
      </c>
      <c r="C148" s="10">
        <f>YEAR(Table13[[#This Row],[Date]])</f>
        <v>2025</v>
      </c>
      <c r="D148" s="309">
        <f>Table13[[#This Row],[Date]]-DAY(Table13[[#This Row],[Date]])+1</f>
        <v>45870</v>
      </c>
      <c r="E148" s="10">
        <f t="shared" si="15"/>
        <v>31</v>
      </c>
      <c r="F148" s="241">
        <f>IFERROR(_xlfn.XLOOKUP($A148,Input_Raw!$E:$E,Input_Raw!DC:DC),"")</f>
        <v>0</v>
      </c>
      <c r="G148" s="313"/>
      <c r="H148" s="313"/>
      <c r="I148" s="313"/>
      <c r="J148" s="313"/>
      <c r="K148" s="243"/>
      <c r="L148" s="242"/>
      <c r="M148" s="242" t="str">
        <f>IFERROR(_xlfn.XLOOKUP($A148,Input_Raw!$E:$E,Input_Raw!$BM:$BM),"")</f>
        <v/>
      </c>
      <c r="N148" s="242">
        <f>IFERROR(_xlfn.XLOOKUP($A148,Input_Raw!$E:$E,Input_Raw!$BN:$BN),"")</f>
        <v>0</v>
      </c>
      <c r="O148" s="311" t="str">
        <f t="shared" si="16"/>
        <v/>
      </c>
      <c r="P148" s="311" t="str">
        <f>IFERROR(1-SUMIF(WTG_BD!$F:$F,$A148,WTG_BD!$AA:$AA)/($AA148+SUMIF(WTG_BD!$F:$F,$A148,WTG_BD!$AA:$AA)),"")</f>
        <v/>
      </c>
      <c r="Q148" s="328" t="str">
        <f>IFERROR(1-SUMIF(IGA_BD!$F:$F,$A148,IGA_BD!$W:$W)/($AA148+SUMIF(IGA_BD!$F:$F,$A148,IGA_BD!$W:$W)),"")</f>
        <v/>
      </c>
      <c r="R148" s="47" t="str">
        <f>IFERROR(1-SUMIF(Grid_BD!$F:$F,$A148,Grid_BD!$Y:$Y)/($AA148+SUMIF(Grid_BD!$F:$F,$A148,Grid_BD!$Y:$Y)),"")</f>
        <v/>
      </c>
      <c r="S148" s="10"/>
      <c r="T148" s="310"/>
      <c r="U148" s="311"/>
      <c r="V148" s="10"/>
      <c r="W148" s="312">
        <f t="shared" si="17"/>
        <v>0</v>
      </c>
      <c r="X148" s="10">
        <f>IFERROR(_xlfn.XLOOKUP($A148,Input_Raw!$E:$E,Input_Raw!BG:BG),"")</f>
        <v>0</v>
      </c>
      <c r="Y148" s="10">
        <f>IFERROR(_xlfn.XLOOKUP($A148,Input_Raw!$E:$E,Input_Raw!DF:DF),"")</f>
        <v>0</v>
      </c>
      <c r="Z148" s="319" t="str">
        <f>IFERROR(_xlfn.XLOOKUP(A148,Input_Raw!E:E,Input_Raw!CT:CT)/_xlfn.XLOOKUP(A148,Input_Raw!E:E,Input_Raw!CS:CS)*Table13[[#This Row],[Mtr_Export (kWh)]],"")</f>
        <v/>
      </c>
      <c r="AA148" s="43" t="str">
        <f t="shared" si="18"/>
        <v/>
      </c>
      <c r="AB148" s="10">
        <f>IFERROR(_xlfn.XLOOKUP($A148,Input_Raw!$E:$E,Input_Raw!$CZ:$CZ),"")</f>
        <v>50.6</v>
      </c>
      <c r="AC148" s="313">
        <f>IFERROR(_xlfn.XLOOKUP($D148,'Modelling New'!$D:$D,'Modelling New'!$J:$J),"")</f>
        <v>8.5195147184909956</v>
      </c>
      <c r="AD148" s="43">
        <f>IFERROR(_xlfn.XLOOKUP($D148,'Modelling New'!$D:$D,'Modelling New'!$T:$T)*1000,"")</f>
        <v>699874.83870967745</v>
      </c>
      <c r="AE148" s="312"/>
      <c r="AF148" s="312">
        <f>IFERROR(_xlfn.XLOOKUP($D148,'Modelling New'!$D:$D,'Modelling New'!$W:$W),"")</f>
        <v>0.57631327298227741</v>
      </c>
      <c r="AG148" s="312">
        <f>IFERROR(_xlfn.XLOOKUP($D148,'Modelling New'!$D:$D,'Modelling New'!$AE:$AE),"")</f>
        <v>0.95549849999999992</v>
      </c>
      <c r="AH148" s="312">
        <f>IFERROR(_xlfn.XLOOKUP($D148,'Modelling New'!$D:$D,'Modelling New'!$AF:$AF),"")</f>
        <v>0.995</v>
      </c>
      <c r="AI148" s="10">
        <f>IFERROR(_xlfn.XLOOKUP($A148,Input_Raw!$E:$E,Input_Raw!$DG:$DG),"")</f>
        <v>0</v>
      </c>
      <c r="AJ148" s="10"/>
      <c r="AK148" s="10"/>
      <c r="AL148" s="10"/>
      <c r="AM148" s="10"/>
      <c r="AN148" s="314" t="str">
        <f>IFERROR(_xlfn.XLOOKUP($A148,Input_Raw!$E:$E,Input_Raw!$CY:$CY),"")</f>
        <v/>
      </c>
      <c r="AO148" s="312" t="str">
        <f>IFERROR((_xlfn.XLOOKUP($A148,'WTG Reactive Power'!$A:$A,'WTG Reactive Power'!AB:AB))/X148,"")</f>
        <v/>
      </c>
      <c r="AP148" s="312">
        <f>IFERROR(_xlfn.XLOOKUP($D148,'Modelling New'!$D:$D,'Modelling New'!AK:AK),"")</f>
        <v>0.05</v>
      </c>
      <c r="AQ148" s="312">
        <f>IFERROR(_xlfn.XLOOKUP($D148,'Modelling New'!$D:$D,'Modelling New'!AL:AL),"")</f>
        <v>0.05</v>
      </c>
      <c r="AR148" s="325">
        <f>IFERROR(_xlfn.XLOOKUP($D148,'Modelling New'!$D:$D,'Modelling New'!$N:$N),"")</f>
        <v>50.59999999999998</v>
      </c>
      <c r="AS148" s="325"/>
    </row>
    <row r="149" spans="1:45">
      <c r="A149" s="32">
        <f t="shared" si="19"/>
        <v>45892</v>
      </c>
      <c r="B149" s="43">
        <f>YEAR(Table13[[#This Row],[Date]])+IF(MONTH(Table13[[#This Row],[Date]])&gt;=4,1,0)</f>
        <v>2026</v>
      </c>
      <c r="C149" s="10">
        <f>YEAR(Table13[[#This Row],[Date]])</f>
        <v>2025</v>
      </c>
      <c r="D149" s="309">
        <f>Table13[[#This Row],[Date]]-DAY(Table13[[#This Row],[Date]])+1</f>
        <v>45870</v>
      </c>
      <c r="E149" s="10">
        <f t="shared" si="15"/>
        <v>31</v>
      </c>
      <c r="F149" s="241">
        <f>IFERROR(_xlfn.XLOOKUP($A149,Input_Raw!$E:$E,Input_Raw!DC:DC),"")</f>
        <v>0</v>
      </c>
      <c r="G149" s="242"/>
      <c r="H149" s="242"/>
      <c r="I149" s="242"/>
      <c r="J149" s="242"/>
      <c r="K149" s="243"/>
      <c r="L149" s="242"/>
      <c r="M149" s="242" t="str">
        <f>IFERROR(_xlfn.XLOOKUP($A149,Input_Raw!$E:$E,Input_Raw!$BM:$BM),"")</f>
        <v/>
      </c>
      <c r="N149" s="242">
        <f>IFERROR(_xlfn.XLOOKUP($A149,Input_Raw!$E:$E,Input_Raw!$BN:$BN),"")</f>
        <v>0</v>
      </c>
      <c r="O149" s="311" t="str">
        <f t="shared" si="16"/>
        <v/>
      </c>
      <c r="P149" s="311" t="str">
        <f>IFERROR(1-SUMIF(WTG_BD!$F:$F,$A149,WTG_BD!$AA:$AA)/($AA149+SUMIF(WTG_BD!$F:$F,$A149,WTG_BD!$AA:$AA)),"")</f>
        <v/>
      </c>
      <c r="Q149" s="328" t="str">
        <f>IFERROR(1-SUMIF(IGA_BD!$F:$F,$A149,IGA_BD!$W:$W)/($AA149+SUMIF(IGA_BD!$F:$F,$A149,IGA_BD!$W:$W)),"")</f>
        <v/>
      </c>
      <c r="R149" s="311" t="str">
        <f>IFERROR(1-SUMIF(Grid_BD!$F:$F,$A149,Grid_BD!$Y:$Y)/($AA149+SUMIF(Grid_BD!$F:$F,$A149,Grid_BD!$Y:$Y)),"")</f>
        <v/>
      </c>
      <c r="S149" s="10"/>
      <c r="T149" s="310"/>
      <c r="U149" s="311"/>
      <c r="V149" s="10"/>
      <c r="W149" s="312">
        <f t="shared" si="17"/>
        <v>0</v>
      </c>
      <c r="X149" s="10">
        <f>IFERROR(_xlfn.XLOOKUP($A149,Input_Raw!$E:$E,Input_Raw!BG:BG),"")</f>
        <v>0</v>
      </c>
      <c r="Y149" s="10">
        <f>IFERROR(_xlfn.XLOOKUP($A149,Input_Raw!$E:$E,Input_Raw!DF:DF),"")</f>
        <v>0</v>
      </c>
      <c r="Z149" s="319" t="str">
        <f>IFERROR(_xlfn.XLOOKUP(A149,Input_Raw!E:E,Input_Raw!CT:CT)/_xlfn.XLOOKUP(A149,Input_Raw!E:E,Input_Raw!CS:CS)*Table13[[#This Row],[Mtr_Export (kWh)]],"")</f>
        <v/>
      </c>
      <c r="AA149" s="43" t="str">
        <f t="shared" si="18"/>
        <v/>
      </c>
      <c r="AB149" s="10">
        <f>IFERROR(_xlfn.XLOOKUP($A149,Input_Raw!$E:$E,Input_Raw!$CZ:$CZ),"")</f>
        <v>50.6</v>
      </c>
      <c r="AC149" s="313">
        <f>IFERROR(_xlfn.XLOOKUP($D149,'Modelling New'!$D:$D,'Modelling New'!$J:$J),"")</f>
        <v>8.5195147184909956</v>
      </c>
      <c r="AD149" s="43">
        <f>IFERROR(_xlfn.XLOOKUP($D149,'Modelling New'!$D:$D,'Modelling New'!$T:$T)*1000,"")</f>
        <v>699874.83870967745</v>
      </c>
      <c r="AE149" s="312"/>
      <c r="AF149" s="312">
        <f>IFERROR(_xlfn.XLOOKUP($D149,'Modelling New'!$D:$D,'Modelling New'!$W:$W),"")</f>
        <v>0.57631327298227741</v>
      </c>
      <c r="AG149" s="312">
        <f>IFERROR(_xlfn.XLOOKUP($D149,'Modelling New'!$D:$D,'Modelling New'!$AE:$AE),"")</f>
        <v>0.95549849999999992</v>
      </c>
      <c r="AH149" s="312">
        <f>IFERROR(_xlfn.XLOOKUP($D149,'Modelling New'!$D:$D,'Modelling New'!$AF:$AF),"")</f>
        <v>0.995</v>
      </c>
      <c r="AI149" s="10">
        <f>IFERROR(_xlfn.XLOOKUP($A149,Input_Raw!$E:$E,Input_Raw!$DG:$DG),"")</f>
        <v>0</v>
      </c>
      <c r="AJ149" s="10"/>
      <c r="AK149" s="10"/>
      <c r="AL149" s="10"/>
      <c r="AM149" s="10"/>
      <c r="AN149" s="314" t="str">
        <f>IFERROR(_xlfn.XLOOKUP($A149,Input_Raw!$E:$E,Input_Raw!$CY:$CY),"")</f>
        <v/>
      </c>
      <c r="AO149" s="312" t="str">
        <f>IFERROR((_xlfn.XLOOKUP($A149,'WTG Reactive Power'!$A:$A,'WTG Reactive Power'!AB:AB))/X149,"")</f>
        <v/>
      </c>
      <c r="AP149" s="312">
        <f>IFERROR(_xlfn.XLOOKUP($D149,'Modelling New'!$D:$D,'Modelling New'!AK:AK),"")</f>
        <v>0.05</v>
      </c>
      <c r="AQ149" s="312">
        <f>IFERROR(_xlfn.XLOOKUP($D149,'Modelling New'!$D:$D,'Modelling New'!AL:AL),"")</f>
        <v>0.05</v>
      </c>
      <c r="AR149" s="325">
        <f>IFERROR(_xlfn.XLOOKUP($D149,'Modelling New'!$D:$D,'Modelling New'!$N:$N),"")</f>
        <v>50.59999999999998</v>
      </c>
      <c r="AS149" s="325"/>
    </row>
    <row r="150" spans="1:45">
      <c r="A150" s="32">
        <f t="shared" si="19"/>
        <v>45893</v>
      </c>
      <c r="B150" s="43">
        <f>YEAR(Table13[[#This Row],[Date]])+IF(MONTH(Table13[[#This Row],[Date]])&gt;=4,1,0)</f>
        <v>2026</v>
      </c>
      <c r="C150" s="10">
        <f>YEAR(Table13[[#This Row],[Date]])</f>
        <v>2025</v>
      </c>
      <c r="D150" s="309">
        <f>Table13[[#This Row],[Date]]-DAY(Table13[[#This Row],[Date]])+1</f>
        <v>45870</v>
      </c>
      <c r="E150" s="10">
        <f t="shared" si="15"/>
        <v>31</v>
      </c>
      <c r="F150" s="241">
        <f>IFERROR(_xlfn.XLOOKUP($A150,Input_Raw!$E:$E,Input_Raw!DC:DC),"")</f>
        <v>0</v>
      </c>
      <c r="G150" s="313"/>
      <c r="H150" s="313"/>
      <c r="I150" s="313"/>
      <c r="J150" s="313"/>
      <c r="K150" s="243"/>
      <c r="L150" s="242"/>
      <c r="M150" s="242" t="str">
        <f>IFERROR(_xlfn.XLOOKUP($A150,Input_Raw!$E:$E,Input_Raw!$BM:$BM),"")</f>
        <v/>
      </c>
      <c r="N150" s="242">
        <f>IFERROR(_xlfn.XLOOKUP($A150,Input_Raw!$E:$E,Input_Raw!$BN:$BN),"")</f>
        <v>0</v>
      </c>
      <c r="O150" s="311" t="str">
        <f t="shared" si="16"/>
        <v/>
      </c>
      <c r="P150" s="311" t="str">
        <f>IFERROR(1-SUMIF(WTG_BD!$F:$F,$A150,WTG_BD!$AA:$AA)/($AA150+SUMIF(WTG_BD!$F:$F,$A150,WTG_BD!$AA:$AA)),"")</f>
        <v/>
      </c>
      <c r="Q150" s="328" t="str">
        <f>IFERROR(1-SUMIF(IGA_BD!$F:$F,$A150,IGA_BD!$W:$W)/($AA150+SUMIF(IGA_BD!$F:$F,$A150,IGA_BD!$W:$W)),"")</f>
        <v/>
      </c>
      <c r="R150" s="47" t="str">
        <f>IFERROR(1-SUMIF(Grid_BD!$F:$F,$A150,Grid_BD!$Y:$Y)/($AA150+SUMIF(Grid_BD!$F:$F,$A150,Grid_BD!$Y:$Y)),"")</f>
        <v/>
      </c>
      <c r="S150" s="10"/>
      <c r="T150" s="310"/>
      <c r="U150" s="311"/>
      <c r="V150" s="10"/>
      <c r="W150" s="312">
        <f t="shared" si="17"/>
        <v>0</v>
      </c>
      <c r="X150" s="10">
        <f>IFERROR(_xlfn.XLOOKUP($A150,Input_Raw!$E:$E,Input_Raw!BG:BG),"")</f>
        <v>0</v>
      </c>
      <c r="Y150" s="10">
        <f>IFERROR(_xlfn.XLOOKUP($A150,Input_Raw!$E:$E,Input_Raw!DF:DF),"")</f>
        <v>0</v>
      </c>
      <c r="Z150" s="319" t="str">
        <f>IFERROR(_xlfn.XLOOKUP(A150,Input_Raw!E:E,Input_Raw!CT:CT)/_xlfn.XLOOKUP(A150,Input_Raw!E:E,Input_Raw!CS:CS)*Table13[[#This Row],[Mtr_Export (kWh)]],"")</f>
        <v/>
      </c>
      <c r="AA150" s="43" t="str">
        <f t="shared" si="18"/>
        <v/>
      </c>
      <c r="AB150" s="10">
        <f>IFERROR(_xlfn.XLOOKUP($A150,Input_Raw!$E:$E,Input_Raw!$CZ:$CZ),"")</f>
        <v>50.6</v>
      </c>
      <c r="AC150" s="313">
        <f>IFERROR(_xlfn.XLOOKUP($D150,'Modelling New'!$D:$D,'Modelling New'!$J:$J),"")</f>
        <v>8.5195147184909956</v>
      </c>
      <c r="AD150" s="43">
        <f>IFERROR(_xlfn.XLOOKUP($D150,'Modelling New'!$D:$D,'Modelling New'!$T:$T)*1000,"")</f>
        <v>699874.83870967745</v>
      </c>
      <c r="AE150" s="312"/>
      <c r="AF150" s="312">
        <f>IFERROR(_xlfn.XLOOKUP($D150,'Modelling New'!$D:$D,'Modelling New'!$W:$W),"")</f>
        <v>0.57631327298227741</v>
      </c>
      <c r="AG150" s="312">
        <f>IFERROR(_xlfn.XLOOKUP($D150,'Modelling New'!$D:$D,'Modelling New'!$AE:$AE),"")</f>
        <v>0.95549849999999992</v>
      </c>
      <c r="AH150" s="312">
        <f>IFERROR(_xlfn.XLOOKUP($D150,'Modelling New'!$D:$D,'Modelling New'!$AF:$AF),"")</f>
        <v>0.995</v>
      </c>
      <c r="AI150" s="10">
        <f>IFERROR(_xlfn.XLOOKUP($A150,Input_Raw!$E:$E,Input_Raw!$DG:$DG),"")</f>
        <v>0</v>
      </c>
      <c r="AJ150" s="10"/>
      <c r="AK150" s="10"/>
      <c r="AL150" s="10"/>
      <c r="AM150" s="10"/>
      <c r="AN150" s="314" t="str">
        <f>IFERROR(_xlfn.XLOOKUP($A150,Input_Raw!$E:$E,Input_Raw!$CY:$CY),"")</f>
        <v/>
      </c>
      <c r="AO150" s="312" t="str">
        <f>IFERROR((_xlfn.XLOOKUP($A150,'WTG Reactive Power'!$A:$A,'WTG Reactive Power'!AB:AB))/X150,"")</f>
        <v/>
      </c>
      <c r="AP150" s="312">
        <f>IFERROR(_xlfn.XLOOKUP($D150,'Modelling New'!$D:$D,'Modelling New'!AK:AK),"")</f>
        <v>0.05</v>
      </c>
      <c r="AQ150" s="312">
        <f>IFERROR(_xlfn.XLOOKUP($D150,'Modelling New'!$D:$D,'Modelling New'!AL:AL),"")</f>
        <v>0.05</v>
      </c>
      <c r="AR150" s="325">
        <f>IFERROR(_xlfn.XLOOKUP($D150,'Modelling New'!$D:$D,'Modelling New'!$N:$N),"")</f>
        <v>50.59999999999998</v>
      </c>
      <c r="AS150" s="325"/>
    </row>
    <row r="151" spans="1:45">
      <c r="A151" s="32">
        <f t="shared" si="19"/>
        <v>45894</v>
      </c>
      <c r="B151" s="43">
        <f>YEAR(Table13[[#This Row],[Date]])+IF(MONTH(Table13[[#This Row],[Date]])&gt;=4,1,0)</f>
        <v>2026</v>
      </c>
      <c r="C151" s="10">
        <f>YEAR(Table13[[#This Row],[Date]])</f>
        <v>2025</v>
      </c>
      <c r="D151" s="309">
        <f>Table13[[#This Row],[Date]]-DAY(Table13[[#This Row],[Date]])+1</f>
        <v>45870</v>
      </c>
      <c r="E151" s="10">
        <f t="shared" si="15"/>
        <v>31</v>
      </c>
      <c r="F151" s="241">
        <f>IFERROR(_xlfn.XLOOKUP($A151,Input_Raw!$E:$E,Input_Raw!DC:DC),"")</f>
        <v>0</v>
      </c>
      <c r="G151" s="242"/>
      <c r="H151" s="242"/>
      <c r="I151" s="242"/>
      <c r="J151" s="242"/>
      <c r="K151" s="243"/>
      <c r="L151" s="242"/>
      <c r="M151" s="242" t="str">
        <f>IFERROR(_xlfn.XLOOKUP($A151,Input_Raw!$E:$E,Input_Raw!$BM:$BM),"")</f>
        <v/>
      </c>
      <c r="N151" s="242">
        <f>IFERROR(_xlfn.XLOOKUP($A151,Input_Raw!$E:$E,Input_Raw!$BN:$BN),"")</f>
        <v>0</v>
      </c>
      <c r="O151" s="311" t="str">
        <f t="shared" si="16"/>
        <v/>
      </c>
      <c r="P151" s="311" t="str">
        <f>IFERROR(1-SUMIF(WTG_BD!$F:$F,$A151,WTG_BD!$AA:$AA)/($AA151+SUMIF(WTG_BD!$F:$F,$A151,WTG_BD!$AA:$AA)),"")</f>
        <v/>
      </c>
      <c r="Q151" s="328" t="str">
        <f>IFERROR(1-SUMIF(IGA_BD!$F:$F,$A151,IGA_BD!$W:$W)/($AA151+SUMIF(IGA_BD!$F:$F,$A151,IGA_BD!$W:$W)),"")</f>
        <v/>
      </c>
      <c r="R151" s="311" t="str">
        <f>IFERROR(1-SUMIF(Grid_BD!$F:$F,$A151,Grid_BD!$Y:$Y)/($AA151+SUMIF(Grid_BD!$F:$F,$A151,Grid_BD!$Y:$Y)),"")</f>
        <v/>
      </c>
      <c r="S151" s="10"/>
      <c r="T151" s="310"/>
      <c r="U151" s="311"/>
      <c r="V151" s="10"/>
      <c r="W151" s="312">
        <f t="shared" si="17"/>
        <v>0</v>
      </c>
      <c r="X151" s="10">
        <f>IFERROR(_xlfn.XLOOKUP($A151,Input_Raw!$E:$E,Input_Raw!BG:BG),"")</f>
        <v>0</v>
      </c>
      <c r="Y151" s="10">
        <f>IFERROR(_xlfn.XLOOKUP($A151,Input_Raw!$E:$E,Input_Raw!DF:DF),"")</f>
        <v>0</v>
      </c>
      <c r="Z151" s="319" t="str">
        <f>IFERROR(_xlfn.XLOOKUP(A151,Input_Raw!E:E,Input_Raw!CT:CT)/_xlfn.XLOOKUP(A151,Input_Raw!E:E,Input_Raw!CS:CS)*Table13[[#This Row],[Mtr_Export (kWh)]],"")</f>
        <v/>
      </c>
      <c r="AA151" s="43" t="str">
        <f t="shared" si="18"/>
        <v/>
      </c>
      <c r="AB151" s="10">
        <f>IFERROR(_xlfn.XLOOKUP($A151,Input_Raw!$E:$E,Input_Raw!$CZ:$CZ),"")</f>
        <v>50.6</v>
      </c>
      <c r="AC151" s="313">
        <f>IFERROR(_xlfn.XLOOKUP($D151,'Modelling New'!$D:$D,'Modelling New'!$J:$J),"")</f>
        <v>8.5195147184909956</v>
      </c>
      <c r="AD151" s="43">
        <f>IFERROR(_xlfn.XLOOKUP($D151,'Modelling New'!$D:$D,'Modelling New'!$T:$T)*1000,"")</f>
        <v>699874.83870967745</v>
      </c>
      <c r="AE151" s="312"/>
      <c r="AF151" s="312">
        <f>IFERROR(_xlfn.XLOOKUP($D151,'Modelling New'!$D:$D,'Modelling New'!$W:$W),"")</f>
        <v>0.57631327298227741</v>
      </c>
      <c r="AG151" s="312">
        <f>IFERROR(_xlfn.XLOOKUP($D151,'Modelling New'!$D:$D,'Modelling New'!$AE:$AE),"")</f>
        <v>0.95549849999999992</v>
      </c>
      <c r="AH151" s="312">
        <f>IFERROR(_xlfn.XLOOKUP($D151,'Modelling New'!$D:$D,'Modelling New'!$AF:$AF),"")</f>
        <v>0.995</v>
      </c>
      <c r="AI151" s="10">
        <f>IFERROR(_xlfn.XLOOKUP($A151,Input_Raw!$E:$E,Input_Raw!$DG:$DG),"")</f>
        <v>0</v>
      </c>
      <c r="AJ151" s="10"/>
      <c r="AK151" s="10"/>
      <c r="AL151" s="10"/>
      <c r="AM151" s="10"/>
      <c r="AN151" s="314" t="str">
        <f>IFERROR(_xlfn.XLOOKUP($A151,Input_Raw!$E:$E,Input_Raw!$CY:$CY),"")</f>
        <v/>
      </c>
      <c r="AO151" s="312" t="str">
        <f>IFERROR((_xlfn.XLOOKUP($A151,'WTG Reactive Power'!$A:$A,'WTG Reactive Power'!AB:AB))/X151,"")</f>
        <v/>
      </c>
      <c r="AP151" s="312">
        <f>IFERROR(_xlfn.XLOOKUP($D151,'Modelling New'!$D:$D,'Modelling New'!AK:AK),"")</f>
        <v>0.05</v>
      </c>
      <c r="AQ151" s="312">
        <f>IFERROR(_xlfn.XLOOKUP($D151,'Modelling New'!$D:$D,'Modelling New'!AL:AL),"")</f>
        <v>0.05</v>
      </c>
      <c r="AR151" s="325">
        <f>IFERROR(_xlfn.XLOOKUP($D151,'Modelling New'!$D:$D,'Modelling New'!$N:$N),"")</f>
        <v>50.59999999999998</v>
      </c>
      <c r="AS151" s="325"/>
    </row>
    <row r="152" spans="1:45">
      <c r="A152" s="32">
        <f t="shared" si="19"/>
        <v>45895</v>
      </c>
      <c r="B152" s="43">
        <f>YEAR(Table13[[#This Row],[Date]])+IF(MONTH(Table13[[#This Row],[Date]])&gt;=4,1,0)</f>
        <v>2026</v>
      </c>
      <c r="C152" s="10">
        <f>YEAR(Table13[[#This Row],[Date]])</f>
        <v>2025</v>
      </c>
      <c r="D152" s="309">
        <f>Table13[[#This Row],[Date]]-DAY(Table13[[#This Row],[Date]])+1</f>
        <v>45870</v>
      </c>
      <c r="E152" s="10">
        <f t="shared" si="15"/>
        <v>31</v>
      </c>
      <c r="F152" s="241">
        <f>IFERROR(_xlfn.XLOOKUP($A152,Input_Raw!$E:$E,Input_Raw!DC:DC),"")</f>
        <v>0</v>
      </c>
      <c r="G152" s="313"/>
      <c r="H152" s="313"/>
      <c r="I152" s="313"/>
      <c r="J152" s="313"/>
      <c r="K152" s="243"/>
      <c r="L152" s="242"/>
      <c r="M152" s="242" t="str">
        <f>IFERROR(_xlfn.XLOOKUP($A152,Input_Raw!$E:$E,Input_Raw!$BM:$BM),"")</f>
        <v/>
      </c>
      <c r="N152" s="242">
        <f>IFERROR(_xlfn.XLOOKUP($A152,Input_Raw!$E:$E,Input_Raw!$BN:$BN),"")</f>
        <v>0</v>
      </c>
      <c r="O152" s="311" t="str">
        <f t="shared" si="16"/>
        <v/>
      </c>
      <c r="P152" s="311" t="str">
        <f>IFERROR(1-SUMIF(WTG_BD!$F:$F,$A152,WTG_BD!$AA:$AA)/($AA152+SUMIF(WTG_BD!$F:$F,$A152,WTG_BD!$AA:$AA)),"")</f>
        <v/>
      </c>
      <c r="Q152" s="328" t="str">
        <f>IFERROR(1-SUMIF(IGA_BD!$F:$F,$A152,IGA_BD!$W:$W)/($AA152+SUMIF(IGA_BD!$F:$F,$A152,IGA_BD!$W:$W)),"")</f>
        <v/>
      </c>
      <c r="R152" s="47" t="str">
        <f>IFERROR(1-SUMIF(Grid_BD!$F:$F,$A152,Grid_BD!$Y:$Y)/($AA152+SUMIF(Grid_BD!$F:$F,$A152,Grid_BD!$Y:$Y)),"")</f>
        <v/>
      </c>
      <c r="S152" s="10"/>
      <c r="T152" s="310"/>
      <c r="U152" s="311"/>
      <c r="V152" s="10"/>
      <c r="W152" s="312">
        <f t="shared" si="17"/>
        <v>0</v>
      </c>
      <c r="X152" s="10">
        <f>IFERROR(_xlfn.XLOOKUP($A152,Input_Raw!$E:$E,Input_Raw!BG:BG),"")</f>
        <v>0</v>
      </c>
      <c r="Y152" s="10">
        <f>IFERROR(_xlfn.XLOOKUP($A152,Input_Raw!$E:$E,Input_Raw!DF:DF),"")</f>
        <v>0</v>
      </c>
      <c r="Z152" s="319" t="str">
        <f>IFERROR(_xlfn.XLOOKUP(A152,Input_Raw!E:E,Input_Raw!CT:CT)/_xlfn.XLOOKUP(A152,Input_Raw!E:E,Input_Raw!CS:CS)*Table13[[#This Row],[Mtr_Export (kWh)]],"")</f>
        <v/>
      </c>
      <c r="AA152" s="43" t="str">
        <f t="shared" si="18"/>
        <v/>
      </c>
      <c r="AB152" s="10">
        <f>IFERROR(_xlfn.XLOOKUP($A152,Input_Raw!$E:$E,Input_Raw!$CZ:$CZ),"")</f>
        <v>50.6</v>
      </c>
      <c r="AC152" s="313">
        <f>IFERROR(_xlfn.XLOOKUP($D152,'Modelling New'!$D:$D,'Modelling New'!$J:$J),"")</f>
        <v>8.5195147184909956</v>
      </c>
      <c r="AD152" s="43">
        <f>IFERROR(_xlfn.XLOOKUP($D152,'Modelling New'!$D:$D,'Modelling New'!$T:$T)*1000,"")</f>
        <v>699874.83870967745</v>
      </c>
      <c r="AE152" s="312"/>
      <c r="AF152" s="312">
        <f>IFERROR(_xlfn.XLOOKUP($D152,'Modelling New'!$D:$D,'Modelling New'!$W:$W),"")</f>
        <v>0.57631327298227741</v>
      </c>
      <c r="AG152" s="312">
        <f>IFERROR(_xlfn.XLOOKUP($D152,'Modelling New'!$D:$D,'Modelling New'!$AE:$AE),"")</f>
        <v>0.95549849999999992</v>
      </c>
      <c r="AH152" s="312">
        <f>IFERROR(_xlfn.XLOOKUP($D152,'Modelling New'!$D:$D,'Modelling New'!$AF:$AF),"")</f>
        <v>0.995</v>
      </c>
      <c r="AI152" s="10">
        <f>IFERROR(_xlfn.XLOOKUP($A152,Input_Raw!$E:$E,Input_Raw!$DG:$DG),"")</f>
        <v>0</v>
      </c>
      <c r="AJ152" s="10"/>
      <c r="AK152" s="10"/>
      <c r="AL152" s="10"/>
      <c r="AM152" s="10"/>
      <c r="AN152" s="314" t="str">
        <f>IFERROR(_xlfn.XLOOKUP($A152,Input_Raw!$E:$E,Input_Raw!$CY:$CY),"")</f>
        <v/>
      </c>
      <c r="AO152" s="312" t="str">
        <f>IFERROR((_xlfn.XLOOKUP($A152,'WTG Reactive Power'!$A:$A,'WTG Reactive Power'!AB:AB))/X152,"")</f>
        <v/>
      </c>
      <c r="AP152" s="312">
        <f>IFERROR(_xlfn.XLOOKUP($D152,'Modelling New'!$D:$D,'Modelling New'!AK:AK),"")</f>
        <v>0.05</v>
      </c>
      <c r="AQ152" s="312">
        <f>IFERROR(_xlfn.XLOOKUP($D152,'Modelling New'!$D:$D,'Modelling New'!AL:AL),"")</f>
        <v>0.05</v>
      </c>
      <c r="AR152" s="325">
        <f>IFERROR(_xlfn.XLOOKUP($D152,'Modelling New'!$D:$D,'Modelling New'!$N:$N),"")</f>
        <v>50.59999999999998</v>
      </c>
      <c r="AS152" s="325"/>
    </row>
    <row r="153" spans="1:45">
      <c r="A153" s="32">
        <f t="shared" si="19"/>
        <v>45896</v>
      </c>
      <c r="B153" s="43">
        <f>YEAR(Table13[[#This Row],[Date]])+IF(MONTH(Table13[[#This Row],[Date]])&gt;=4,1,0)</f>
        <v>2026</v>
      </c>
      <c r="C153" s="10">
        <f>YEAR(Table13[[#This Row],[Date]])</f>
        <v>2025</v>
      </c>
      <c r="D153" s="309">
        <f>Table13[[#This Row],[Date]]-DAY(Table13[[#This Row],[Date]])+1</f>
        <v>45870</v>
      </c>
      <c r="E153" s="10">
        <f t="shared" si="15"/>
        <v>31</v>
      </c>
      <c r="F153" s="241">
        <f>IFERROR(_xlfn.XLOOKUP($A153,Input_Raw!$E:$E,Input_Raw!DC:DC),"")</f>
        <v>0</v>
      </c>
      <c r="G153" s="242"/>
      <c r="H153" s="242"/>
      <c r="I153" s="242"/>
      <c r="J153" s="242"/>
      <c r="K153" s="243"/>
      <c r="L153" s="242"/>
      <c r="M153" s="242" t="str">
        <f>IFERROR(_xlfn.XLOOKUP($A153,Input_Raw!$E:$E,Input_Raw!$BM:$BM),"")</f>
        <v/>
      </c>
      <c r="N153" s="242">
        <f>IFERROR(_xlfn.XLOOKUP($A153,Input_Raw!$E:$E,Input_Raw!$BN:$BN),"")</f>
        <v>0</v>
      </c>
      <c r="O153" s="311" t="str">
        <f t="shared" si="16"/>
        <v/>
      </c>
      <c r="P153" s="311" t="str">
        <f>IFERROR(1-SUMIF(WTG_BD!$F:$F,$A153,WTG_BD!$AA:$AA)/($AA153+SUMIF(WTG_BD!$F:$F,$A153,WTG_BD!$AA:$AA)),"")</f>
        <v/>
      </c>
      <c r="Q153" s="328" t="str">
        <f>IFERROR(1-SUMIF(IGA_BD!$F:$F,$A153,IGA_BD!$W:$W)/($AA153+SUMIF(IGA_BD!$F:$F,$A153,IGA_BD!$W:$W)),"")</f>
        <v/>
      </c>
      <c r="R153" s="311" t="str">
        <f>IFERROR(1-SUMIF(Grid_BD!$F:$F,$A153,Grid_BD!$Y:$Y)/($AA153+SUMIF(Grid_BD!$F:$F,$A153,Grid_BD!$Y:$Y)),"")</f>
        <v/>
      </c>
      <c r="S153" s="10"/>
      <c r="T153" s="310"/>
      <c r="U153" s="311"/>
      <c r="V153" s="10"/>
      <c r="W153" s="312">
        <f t="shared" si="17"/>
        <v>0</v>
      </c>
      <c r="X153" s="10">
        <f>IFERROR(_xlfn.XLOOKUP($A153,Input_Raw!$E:$E,Input_Raw!BG:BG),"")</f>
        <v>0</v>
      </c>
      <c r="Y153" s="10">
        <f>IFERROR(_xlfn.XLOOKUP($A153,Input_Raw!$E:$E,Input_Raw!DF:DF),"")</f>
        <v>0</v>
      </c>
      <c r="Z153" s="319" t="str">
        <f>IFERROR(_xlfn.XLOOKUP(A153,Input_Raw!E:E,Input_Raw!CT:CT)/_xlfn.XLOOKUP(A153,Input_Raw!E:E,Input_Raw!CS:CS)*Table13[[#This Row],[Mtr_Export (kWh)]],"")</f>
        <v/>
      </c>
      <c r="AA153" s="43" t="str">
        <f t="shared" si="18"/>
        <v/>
      </c>
      <c r="AB153" s="10">
        <f>IFERROR(_xlfn.XLOOKUP($A153,Input_Raw!$E:$E,Input_Raw!$CZ:$CZ),"")</f>
        <v>50.6</v>
      </c>
      <c r="AC153" s="313">
        <f>IFERROR(_xlfn.XLOOKUP($D153,'Modelling New'!$D:$D,'Modelling New'!$J:$J),"")</f>
        <v>8.5195147184909956</v>
      </c>
      <c r="AD153" s="43">
        <f>IFERROR(_xlfn.XLOOKUP($D153,'Modelling New'!$D:$D,'Modelling New'!$T:$T)*1000,"")</f>
        <v>699874.83870967745</v>
      </c>
      <c r="AE153" s="312"/>
      <c r="AF153" s="312">
        <f>IFERROR(_xlfn.XLOOKUP($D153,'Modelling New'!$D:$D,'Modelling New'!$W:$W),"")</f>
        <v>0.57631327298227741</v>
      </c>
      <c r="AG153" s="312">
        <f>IFERROR(_xlfn.XLOOKUP($D153,'Modelling New'!$D:$D,'Modelling New'!$AE:$AE),"")</f>
        <v>0.95549849999999992</v>
      </c>
      <c r="AH153" s="312">
        <f>IFERROR(_xlfn.XLOOKUP($D153,'Modelling New'!$D:$D,'Modelling New'!$AF:$AF),"")</f>
        <v>0.995</v>
      </c>
      <c r="AI153" s="10">
        <f>IFERROR(_xlfn.XLOOKUP($A153,Input_Raw!$E:$E,Input_Raw!$DG:$DG),"")</f>
        <v>0</v>
      </c>
      <c r="AJ153" s="10"/>
      <c r="AK153" s="10"/>
      <c r="AL153" s="10"/>
      <c r="AM153" s="10"/>
      <c r="AN153" s="314" t="str">
        <f>IFERROR(_xlfn.XLOOKUP($A153,Input_Raw!$E:$E,Input_Raw!$CY:$CY),"")</f>
        <v/>
      </c>
      <c r="AO153" s="312" t="str">
        <f>IFERROR((_xlfn.XLOOKUP($A153,'WTG Reactive Power'!$A:$A,'WTG Reactive Power'!AB:AB))/X153,"")</f>
        <v/>
      </c>
      <c r="AP153" s="312">
        <f>IFERROR(_xlfn.XLOOKUP($D153,'Modelling New'!$D:$D,'Modelling New'!AK:AK),"")</f>
        <v>0.05</v>
      </c>
      <c r="AQ153" s="312">
        <f>IFERROR(_xlfn.XLOOKUP($D153,'Modelling New'!$D:$D,'Modelling New'!AL:AL),"")</f>
        <v>0.05</v>
      </c>
      <c r="AR153" s="325">
        <f>IFERROR(_xlfn.XLOOKUP($D153,'Modelling New'!$D:$D,'Modelling New'!$N:$N),"")</f>
        <v>50.59999999999998</v>
      </c>
      <c r="AS153" s="325"/>
    </row>
    <row r="154" spans="1:45">
      <c r="A154" s="32">
        <f t="shared" si="19"/>
        <v>45897</v>
      </c>
      <c r="B154" s="43">
        <f>YEAR(Table13[[#This Row],[Date]])+IF(MONTH(Table13[[#This Row],[Date]])&gt;=4,1,0)</f>
        <v>2026</v>
      </c>
      <c r="C154" s="10">
        <f>YEAR(Table13[[#This Row],[Date]])</f>
        <v>2025</v>
      </c>
      <c r="D154" s="309">
        <f>Table13[[#This Row],[Date]]-DAY(Table13[[#This Row],[Date]])+1</f>
        <v>45870</v>
      </c>
      <c r="E154" s="10">
        <f t="shared" si="15"/>
        <v>31</v>
      </c>
      <c r="F154" s="241">
        <f>IFERROR(_xlfn.XLOOKUP($A154,Input_Raw!$E:$E,Input_Raw!DC:DC),"")</f>
        <v>0</v>
      </c>
      <c r="G154" s="313"/>
      <c r="H154" s="313"/>
      <c r="I154" s="313"/>
      <c r="J154" s="313"/>
      <c r="K154" s="243"/>
      <c r="L154" s="242"/>
      <c r="M154" s="242" t="str">
        <f>IFERROR(_xlfn.XLOOKUP($A154,Input_Raw!$E:$E,Input_Raw!$BM:$BM),"")</f>
        <v/>
      </c>
      <c r="N154" s="242">
        <f>IFERROR(_xlfn.XLOOKUP($A154,Input_Raw!$E:$E,Input_Raw!$BN:$BN),"")</f>
        <v>0</v>
      </c>
      <c r="O154" s="311" t="str">
        <f t="shared" si="16"/>
        <v/>
      </c>
      <c r="P154" s="311" t="str">
        <f>IFERROR(1-SUMIF(WTG_BD!$F:$F,$A154,WTG_BD!$AA:$AA)/($AA154+SUMIF(WTG_BD!$F:$F,$A154,WTG_BD!$AA:$AA)),"")</f>
        <v/>
      </c>
      <c r="Q154" s="328" t="str">
        <f>IFERROR(1-SUMIF(IGA_BD!$F:$F,$A154,IGA_BD!$W:$W)/($AA154+SUMIF(IGA_BD!$F:$F,$A154,IGA_BD!$W:$W)),"")</f>
        <v/>
      </c>
      <c r="R154" s="47" t="str">
        <f>IFERROR(1-SUMIF(Grid_BD!$F:$F,$A154,Grid_BD!$Y:$Y)/($AA154+SUMIF(Grid_BD!$F:$F,$A154,Grid_BD!$Y:$Y)),"")</f>
        <v/>
      </c>
      <c r="S154" s="10"/>
      <c r="T154" s="310"/>
      <c r="U154" s="311"/>
      <c r="V154" s="10"/>
      <c r="W154" s="312">
        <f t="shared" si="17"/>
        <v>0</v>
      </c>
      <c r="X154" s="10">
        <f>IFERROR(_xlfn.XLOOKUP($A154,Input_Raw!$E:$E,Input_Raw!BG:BG),"")</f>
        <v>0</v>
      </c>
      <c r="Y154" s="10">
        <f>IFERROR(_xlfn.XLOOKUP($A154,Input_Raw!$E:$E,Input_Raw!DF:DF),"")</f>
        <v>0</v>
      </c>
      <c r="Z154" s="319" t="str">
        <f>IFERROR(_xlfn.XLOOKUP(A154,Input_Raw!E:E,Input_Raw!CT:CT)/_xlfn.XLOOKUP(A154,Input_Raw!E:E,Input_Raw!CS:CS)*Table13[[#This Row],[Mtr_Export (kWh)]],"")</f>
        <v/>
      </c>
      <c r="AA154" s="43" t="str">
        <f t="shared" si="18"/>
        <v/>
      </c>
      <c r="AB154" s="10">
        <f>IFERROR(_xlfn.XLOOKUP($A154,Input_Raw!$E:$E,Input_Raw!$CZ:$CZ),"")</f>
        <v>50.6</v>
      </c>
      <c r="AC154" s="313">
        <f>IFERROR(_xlfn.XLOOKUP($D154,'Modelling New'!$D:$D,'Modelling New'!$J:$J),"")</f>
        <v>8.5195147184909956</v>
      </c>
      <c r="AD154" s="43">
        <f>IFERROR(_xlfn.XLOOKUP($D154,'Modelling New'!$D:$D,'Modelling New'!$T:$T)*1000,"")</f>
        <v>699874.83870967745</v>
      </c>
      <c r="AE154" s="312"/>
      <c r="AF154" s="312">
        <f>IFERROR(_xlfn.XLOOKUP($D154,'Modelling New'!$D:$D,'Modelling New'!$W:$W),"")</f>
        <v>0.57631327298227741</v>
      </c>
      <c r="AG154" s="312">
        <f>IFERROR(_xlfn.XLOOKUP($D154,'Modelling New'!$D:$D,'Modelling New'!$AE:$AE),"")</f>
        <v>0.95549849999999992</v>
      </c>
      <c r="AH154" s="312">
        <f>IFERROR(_xlfn.XLOOKUP($D154,'Modelling New'!$D:$D,'Modelling New'!$AF:$AF),"")</f>
        <v>0.995</v>
      </c>
      <c r="AI154" s="10">
        <f>IFERROR(_xlfn.XLOOKUP($A154,Input_Raw!$E:$E,Input_Raw!$DG:$DG),"")</f>
        <v>0</v>
      </c>
      <c r="AJ154" s="10"/>
      <c r="AK154" s="10"/>
      <c r="AL154" s="10"/>
      <c r="AM154" s="10"/>
      <c r="AN154" s="314" t="str">
        <f>IFERROR(_xlfn.XLOOKUP($A154,Input_Raw!$E:$E,Input_Raw!$CY:$CY),"")</f>
        <v/>
      </c>
      <c r="AO154" s="312" t="str">
        <f>IFERROR((_xlfn.XLOOKUP($A154,'WTG Reactive Power'!$A:$A,'WTG Reactive Power'!AB:AB))/X154,"")</f>
        <v/>
      </c>
      <c r="AP154" s="312">
        <f>IFERROR(_xlfn.XLOOKUP($D154,'Modelling New'!$D:$D,'Modelling New'!AK:AK),"")</f>
        <v>0.05</v>
      </c>
      <c r="AQ154" s="312">
        <f>IFERROR(_xlfn.XLOOKUP($D154,'Modelling New'!$D:$D,'Modelling New'!AL:AL),"")</f>
        <v>0.05</v>
      </c>
      <c r="AR154" s="325">
        <f>IFERROR(_xlfn.XLOOKUP($D154,'Modelling New'!$D:$D,'Modelling New'!$N:$N),"")</f>
        <v>50.59999999999998</v>
      </c>
      <c r="AS154" s="325"/>
    </row>
    <row r="155" spans="1:45">
      <c r="A155" s="32">
        <f t="shared" si="19"/>
        <v>45898</v>
      </c>
      <c r="B155" s="43">
        <f>YEAR(Table13[[#This Row],[Date]])+IF(MONTH(Table13[[#This Row],[Date]])&gt;=4,1,0)</f>
        <v>2026</v>
      </c>
      <c r="C155" s="10">
        <f>YEAR(Table13[[#This Row],[Date]])</f>
        <v>2025</v>
      </c>
      <c r="D155" s="309">
        <f>Table13[[#This Row],[Date]]-DAY(Table13[[#This Row],[Date]])+1</f>
        <v>45870</v>
      </c>
      <c r="E155" s="10">
        <f t="shared" si="15"/>
        <v>31</v>
      </c>
      <c r="F155" s="241" t="str">
        <f>IFERROR(_xlfn.XLOOKUP($A155,Input_Raw!$E:$E,Input_Raw!DC:DC),"")</f>
        <v/>
      </c>
      <c r="G155" s="242"/>
      <c r="H155" s="242"/>
      <c r="I155" s="242"/>
      <c r="J155" s="242"/>
      <c r="K155" s="243"/>
      <c r="L155" s="242"/>
      <c r="M155" s="242" t="str">
        <f>IFERROR(_xlfn.XLOOKUP($A155,Input_Raw!$E:$E,Input_Raw!$BM:$BM),"")</f>
        <v/>
      </c>
      <c r="N155" s="242" t="str">
        <f>IFERROR(_xlfn.XLOOKUP($A155,Input_Raw!$E:$E,Input_Raw!$BN:$BN),"")</f>
        <v/>
      </c>
      <c r="O155" s="311" t="str">
        <f t="shared" si="16"/>
        <v/>
      </c>
      <c r="P155" s="311" t="str">
        <f>IFERROR(1-SUMIF(WTG_BD!$F:$F,$A155,WTG_BD!$AA:$AA)/($AA155+SUMIF(WTG_BD!$F:$F,$A155,WTG_BD!$AA:$AA)),"")</f>
        <v/>
      </c>
      <c r="Q155" s="328" t="str">
        <f>IFERROR(1-SUMIF(IGA_BD!$F:$F,$A155,IGA_BD!$W:$W)/($AA155+SUMIF(IGA_BD!$F:$F,$A155,IGA_BD!$W:$W)),"")</f>
        <v/>
      </c>
      <c r="R155" s="311" t="str">
        <f>IFERROR(1-SUMIF(Grid_BD!$F:$F,$A155,Grid_BD!$Y:$Y)/($AA155+SUMIF(Grid_BD!$F:$F,$A155,Grid_BD!$Y:$Y)),"")</f>
        <v/>
      </c>
      <c r="S155" s="10"/>
      <c r="T155" s="310"/>
      <c r="U155" s="311"/>
      <c r="V155" s="10"/>
      <c r="W155" s="312" t="str">
        <f t="shared" si="17"/>
        <v/>
      </c>
      <c r="X155" s="10" t="str">
        <f>IFERROR(_xlfn.XLOOKUP($A155,Input_Raw!$E:$E,Input_Raw!BG:BG),"")</f>
        <v/>
      </c>
      <c r="Y155" s="10" t="str">
        <f>IFERROR(_xlfn.XLOOKUP($A155,Input_Raw!$E:$E,Input_Raw!DF:DF),"")</f>
        <v/>
      </c>
      <c r="Z155" s="319" t="str">
        <f>IFERROR(_xlfn.XLOOKUP(A155,Input_Raw!E:E,Input_Raw!CT:CT)/_xlfn.XLOOKUP(A155,Input_Raw!E:E,Input_Raw!CS:CS)*Table13[[#This Row],[Mtr_Export (kWh)]],"")</f>
        <v/>
      </c>
      <c r="AA155" s="43" t="str">
        <f t="shared" si="18"/>
        <v/>
      </c>
      <c r="AB155" s="10" t="str">
        <f>IFERROR(_xlfn.XLOOKUP($A155,Input_Raw!$E:$E,Input_Raw!$CZ:$CZ),"")</f>
        <v/>
      </c>
      <c r="AC155" s="313">
        <f>IFERROR(_xlfn.XLOOKUP($D155,'Modelling New'!$D:$D,'Modelling New'!$J:$J),"")</f>
        <v>8.5195147184909956</v>
      </c>
      <c r="AD155" s="43">
        <f>IFERROR(_xlfn.XLOOKUP($D155,'Modelling New'!$D:$D,'Modelling New'!$T:$T)*1000,"")</f>
        <v>699874.83870967745</v>
      </c>
      <c r="AE155" s="312"/>
      <c r="AF155" s="312">
        <f>IFERROR(_xlfn.XLOOKUP($D155,'Modelling New'!$D:$D,'Modelling New'!$W:$W),"")</f>
        <v>0.57631327298227741</v>
      </c>
      <c r="AG155" s="312">
        <f>IFERROR(_xlfn.XLOOKUP($D155,'Modelling New'!$D:$D,'Modelling New'!$AE:$AE),"")</f>
        <v>0.95549849999999992</v>
      </c>
      <c r="AH155" s="312">
        <f>IFERROR(_xlfn.XLOOKUP($D155,'Modelling New'!$D:$D,'Modelling New'!$AF:$AF),"")</f>
        <v>0.995</v>
      </c>
      <c r="AI155" s="10" t="str">
        <f>IFERROR(_xlfn.XLOOKUP($A155,Input_Raw!$E:$E,Input_Raw!$DG:$DG),"")</f>
        <v/>
      </c>
      <c r="AJ155" s="10"/>
      <c r="AK155" s="10"/>
      <c r="AL155" s="10"/>
      <c r="AM155" s="10"/>
      <c r="AN155" s="314" t="str">
        <f>IFERROR(_xlfn.XLOOKUP($A155,Input_Raw!$E:$E,Input_Raw!$CY:$CY),"")</f>
        <v/>
      </c>
      <c r="AO155" s="312" t="str">
        <f>IFERROR((_xlfn.XLOOKUP($A155,'WTG Reactive Power'!$A:$A,'WTG Reactive Power'!AB:AB))/X155,"")</f>
        <v/>
      </c>
      <c r="AP155" s="312">
        <f>IFERROR(_xlfn.XLOOKUP($D155,'Modelling New'!$D:$D,'Modelling New'!AK:AK),"")</f>
        <v>0.05</v>
      </c>
      <c r="AQ155" s="312">
        <f>IFERROR(_xlfn.XLOOKUP($D155,'Modelling New'!$D:$D,'Modelling New'!AL:AL),"")</f>
        <v>0.05</v>
      </c>
      <c r="AR155" s="325">
        <f>IFERROR(_xlfn.XLOOKUP($D155,'Modelling New'!$D:$D,'Modelling New'!$N:$N),"")</f>
        <v>50.59999999999998</v>
      </c>
      <c r="AS155" s="325"/>
    </row>
    <row r="156" spans="1:45">
      <c r="A156" s="32">
        <f t="shared" si="19"/>
        <v>45899</v>
      </c>
      <c r="B156" s="43">
        <f>YEAR(Table13[[#This Row],[Date]])+IF(MONTH(Table13[[#This Row],[Date]])&gt;=4,1,0)</f>
        <v>2026</v>
      </c>
      <c r="C156" s="10">
        <f>YEAR(Table13[[#This Row],[Date]])</f>
        <v>2025</v>
      </c>
      <c r="D156" s="309">
        <f>Table13[[#This Row],[Date]]-DAY(Table13[[#This Row],[Date]])+1</f>
        <v>45870</v>
      </c>
      <c r="E156" s="10">
        <f t="shared" si="15"/>
        <v>31</v>
      </c>
      <c r="F156" s="241" t="str">
        <f>IFERROR(_xlfn.XLOOKUP($A156,Input_Raw!$E:$E,Input_Raw!DC:DC),"")</f>
        <v/>
      </c>
      <c r="G156" s="313"/>
      <c r="H156" s="313"/>
      <c r="I156" s="313"/>
      <c r="J156" s="313"/>
      <c r="K156" s="243"/>
      <c r="L156" s="242"/>
      <c r="M156" s="242" t="str">
        <f>IFERROR(_xlfn.XLOOKUP($A156,Input_Raw!$E:$E,Input_Raw!$BM:$BM),"")</f>
        <v/>
      </c>
      <c r="N156" s="242" t="str">
        <f>IFERROR(_xlfn.XLOOKUP($A156,Input_Raw!$E:$E,Input_Raw!$BN:$BN),"")</f>
        <v/>
      </c>
      <c r="O156" s="311" t="str">
        <f t="shared" si="16"/>
        <v/>
      </c>
      <c r="P156" s="311" t="str">
        <f>IFERROR(1-SUMIF(WTG_BD!$F:$F,$A156,WTG_BD!$AA:$AA)/($AA156+SUMIF(WTG_BD!$F:$F,$A156,WTG_BD!$AA:$AA)),"")</f>
        <v/>
      </c>
      <c r="Q156" s="328" t="str">
        <f>IFERROR(1-SUMIF(IGA_BD!$F:$F,$A156,IGA_BD!$W:$W)/($AA156+SUMIF(IGA_BD!$F:$F,$A156,IGA_BD!$W:$W)),"")</f>
        <v/>
      </c>
      <c r="R156" s="47" t="str">
        <f>IFERROR(1-SUMIF(Grid_BD!$F:$F,$A156,Grid_BD!$Y:$Y)/($AA156+SUMIF(Grid_BD!$F:$F,$A156,Grid_BD!$Y:$Y)),"")</f>
        <v/>
      </c>
      <c r="S156" s="10"/>
      <c r="T156" s="310"/>
      <c r="U156" s="311"/>
      <c r="V156" s="10"/>
      <c r="W156" s="312" t="str">
        <f t="shared" si="17"/>
        <v/>
      </c>
      <c r="X156" s="10" t="str">
        <f>IFERROR(_xlfn.XLOOKUP($A156,Input_Raw!$E:$E,Input_Raw!BG:BG),"")</f>
        <v/>
      </c>
      <c r="Y156" s="10" t="str">
        <f>IFERROR(_xlfn.XLOOKUP($A156,Input_Raw!$E:$E,Input_Raw!DF:DF),"")</f>
        <v/>
      </c>
      <c r="Z156" s="319" t="str">
        <f>IFERROR(_xlfn.XLOOKUP(A156,Input_Raw!E:E,Input_Raw!CT:CT)/_xlfn.XLOOKUP(A156,Input_Raw!E:E,Input_Raw!CS:CS)*Table13[[#This Row],[Mtr_Export (kWh)]],"")</f>
        <v/>
      </c>
      <c r="AA156" s="43" t="str">
        <f t="shared" si="18"/>
        <v/>
      </c>
      <c r="AB156" s="10" t="str">
        <f>IFERROR(_xlfn.XLOOKUP($A156,Input_Raw!$E:$E,Input_Raw!$CZ:$CZ),"")</f>
        <v/>
      </c>
      <c r="AC156" s="313">
        <f>IFERROR(_xlfn.XLOOKUP($D156,'Modelling New'!$D:$D,'Modelling New'!$J:$J),"")</f>
        <v>8.5195147184909956</v>
      </c>
      <c r="AD156" s="43">
        <f>IFERROR(_xlfn.XLOOKUP($D156,'Modelling New'!$D:$D,'Modelling New'!$T:$T)*1000,"")</f>
        <v>699874.83870967745</v>
      </c>
      <c r="AE156" s="312"/>
      <c r="AF156" s="312">
        <f>IFERROR(_xlfn.XLOOKUP($D156,'Modelling New'!$D:$D,'Modelling New'!$W:$W),"")</f>
        <v>0.57631327298227741</v>
      </c>
      <c r="AG156" s="312">
        <f>IFERROR(_xlfn.XLOOKUP($D156,'Modelling New'!$D:$D,'Modelling New'!$AE:$AE),"")</f>
        <v>0.95549849999999992</v>
      </c>
      <c r="AH156" s="312">
        <f>IFERROR(_xlfn.XLOOKUP($D156,'Modelling New'!$D:$D,'Modelling New'!$AF:$AF),"")</f>
        <v>0.995</v>
      </c>
      <c r="AI156" s="10" t="str">
        <f>IFERROR(_xlfn.XLOOKUP($A156,Input_Raw!$E:$E,Input_Raw!$DG:$DG),"")</f>
        <v/>
      </c>
      <c r="AJ156" s="10"/>
      <c r="AK156" s="10"/>
      <c r="AL156" s="10"/>
      <c r="AM156" s="10"/>
      <c r="AN156" s="314" t="str">
        <f>IFERROR(_xlfn.XLOOKUP($A156,Input_Raw!$E:$E,Input_Raw!$CY:$CY),"")</f>
        <v/>
      </c>
      <c r="AO156" s="312" t="str">
        <f>IFERROR((_xlfn.XLOOKUP($A156,'WTG Reactive Power'!$A:$A,'WTG Reactive Power'!AB:AB))/X156,"")</f>
        <v/>
      </c>
      <c r="AP156" s="312">
        <f>IFERROR(_xlfn.XLOOKUP($D156,'Modelling New'!$D:$D,'Modelling New'!AK:AK),"")</f>
        <v>0.05</v>
      </c>
      <c r="AQ156" s="312">
        <f>IFERROR(_xlfn.XLOOKUP($D156,'Modelling New'!$D:$D,'Modelling New'!AL:AL),"")</f>
        <v>0.05</v>
      </c>
      <c r="AR156" s="325">
        <f>IFERROR(_xlfn.XLOOKUP($D156,'Modelling New'!$D:$D,'Modelling New'!$N:$N),"")</f>
        <v>50.59999999999998</v>
      </c>
      <c r="AS156" s="325"/>
    </row>
    <row r="157" spans="1:45">
      <c r="A157" s="32">
        <f t="shared" si="19"/>
        <v>45900</v>
      </c>
      <c r="B157" s="43">
        <f>YEAR(Table13[[#This Row],[Date]])+IF(MONTH(Table13[[#This Row],[Date]])&gt;=4,1,0)</f>
        <v>2026</v>
      </c>
      <c r="C157" s="10">
        <f>YEAR(Table13[[#This Row],[Date]])</f>
        <v>2025</v>
      </c>
      <c r="D157" s="309">
        <f>Table13[[#This Row],[Date]]-DAY(Table13[[#This Row],[Date]])+1</f>
        <v>45870</v>
      </c>
      <c r="E157" s="10">
        <f t="shared" si="15"/>
        <v>31</v>
      </c>
      <c r="F157" s="241" t="str">
        <f>IFERROR(_xlfn.XLOOKUP($A157,Input_Raw!$E:$E,Input_Raw!DC:DC),"")</f>
        <v/>
      </c>
      <c r="G157" s="242"/>
      <c r="H157" s="242"/>
      <c r="I157" s="242"/>
      <c r="J157" s="242"/>
      <c r="K157" s="243"/>
      <c r="L157" s="242"/>
      <c r="M157" s="242" t="str">
        <f>IFERROR(_xlfn.XLOOKUP($A157,Input_Raw!$E:$E,Input_Raw!$BM:$BM),"")</f>
        <v/>
      </c>
      <c r="N157" s="242" t="str">
        <f>IFERROR(_xlfn.XLOOKUP($A157,Input_Raw!$E:$E,Input_Raw!$BN:$BN),"")</f>
        <v/>
      </c>
      <c r="O157" s="311" t="str">
        <f t="shared" si="16"/>
        <v/>
      </c>
      <c r="P157" s="311" t="str">
        <f>IFERROR(1-SUMIF(WTG_BD!$F:$F,$A157,WTG_BD!$AA:$AA)/($AA157+SUMIF(WTG_BD!$F:$F,$A157,WTG_BD!$AA:$AA)),"")</f>
        <v/>
      </c>
      <c r="Q157" s="328" t="str">
        <f>IFERROR(1-SUMIF(IGA_BD!$F:$F,$A157,IGA_BD!$W:$W)/($AA157+SUMIF(IGA_BD!$F:$F,$A157,IGA_BD!$W:$W)),"")</f>
        <v/>
      </c>
      <c r="R157" s="311" t="str">
        <f>IFERROR(1-SUMIF(Grid_BD!$F:$F,$A157,Grid_BD!$Y:$Y)/($AA157+SUMIF(Grid_BD!$F:$F,$A157,Grid_BD!$Y:$Y)),"")</f>
        <v/>
      </c>
      <c r="S157" s="10"/>
      <c r="T157" s="310"/>
      <c r="U157" s="311"/>
      <c r="V157" s="10"/>
      <c r="W157" s="312" t="str">
        <f t="shared" si="17"/>
        <v/>
      </c>
      <c r="X157" s="10" t="str">
        <f>IFERROR(_xlfn.XLOOKUP($A157,Input_Raw!$E:$E,Input_Raw!BG:BG),"")</f>
        <v/>
      </c>
      <c r="Y157" s="10" t="str">
        <f>IFERROR(_xlfn.XLOOKUP($A157,Input_Raw!$E:$E,Input_Raw!DF:DF),"")</f>
        <v/>
      </c>
      <c r="Z157" s="319" t="str">
        <f>IFERROR(_xlfn.XLOOKUP(A157,Input_Raw!E:E,Input_Raw!CT:CT)/_xlfn.XLOOKUP(A157,Input_Raw!E:E,Input_Raw!CS:CS)*Table13[[#This Row],[Mtr_Export (kWh)]],"")</f>
        <v/>
      </c>
      <c r="AA157" s="43" t="str">
        <f t="shared" si="18"/>
        <v/>
      </c>
      <c r="AB157" s="10" t="str">
        <f>IFERROR(_xlfn.XLOOKUP($A157,Input_Raw!$E:$E,Input_Raw!$CZ:$CZ),"")</f>
        <v/>
      </c>
      <c r="AC157" s="313">
        <f>IFERROR(_xlfn.XLOOKUP($D157,'Modelling New'!$D:$D,'Modelling New'!$J:$J),"")</f>
        <v>8.5195147184909956</v>
      </c>
      <c r="AD157" s="43">
        <f>IFERROR(_xlfn.XLOOKUP($D157,'Modelling New'!$D:$D,'Modelling New'!$T:$T)*1000,"")</f>
        <v>699874.83870967745</v>
      </c>
      <c r="AE157" s="312"/>
      <c r="AF157" s="312">
        <f>IFERROR(_xlfn.XLOOKUP($D157,'Modelling New'!$D:$D,'Modelling New'!$W:$W),"")</f>
        <v>0.57631327298227741</v>
      </c>
      <c r="AG157" s="312">
        <f>IFERROR(_xlfn.XLOOKUP($D157,'Modelling New'!$D:$D,'Modelling New'!$AE:$AE),"")</f>
        <v>0.95549849999999992</v>
      </c>
      <c r="AH157" s="312">
        <f>IFERROR(_xlfn.XLOOKUP($D157,'Modelling New'!$D:$D,'Modelling New'!$AF:$AF),"")</f>
        <v>0.995</v>
      </c>
      <c r="AI157" s="10" t="str">
        <f>IFERROR(_xlfn.XLOOKUP($A157,Input_Raw!$E:$E,Input_Raw!$DG:$DG),"")</f>
        <v/>
      </c>
      <c r="AJ157" s="10"/>
      <c r="AK157" s="10"/>
      <c r="AL157" s="10"/>
      <c r="AM157" s="10"/>
      <c r="AN157" s="314" t="str">
        <f>IFERROR(_xlfn.XLOOKUP($A157,Input_Raw!$E:$E,Input_Raw!$CY:$CY),"")</f>
        <v/>
      </c>
      <c r="AO157" s="312" t="str">
        <f>IFERROR((_xlfn.XLOOKUP($A157,'WTG Reactive Power'!$A:$A,'WTG Reactive Power'!AB:AB))/X157,"")</f>
        <v/>
      </c>
      <c r="AP157" s="312">
        <f>IFERROR(_xlfn.XLOOKUP($D157,'Modelling New'!$D:$D,'Modelling New'!AK:AK),"")</f>
        <v>0.05</v>
      </c>
      <c r="AQ157" s="312">
        <f>IFERROR(_xlfn.XLOOKUP($D157,'Modelling New'!$D:$D,'Modelling New'!AL:AL),"")</f>
        <v>0.05</v>
      </c>
      <c r="AR157" s="325">
        <f>IFERROR(_xlfn.XLOOKUP($D157,'Modelling New'!$D:$D,'Modelling New'!$N:$N),"")</f>
        <v>50.59999999999998</v>
      </c>
      <c r="AS157" s="325"/>
    </row>
    <row r="158" spans="1:45">
      <c r="A158" s="32">
        <f t="shared" si="19"/>
        <v>45901</v>
      </c>
      <c r="B158" s="43">
        <f>YEAR(Table13[[#This Row],[Date]])+IF(MONTH(Table13[[#This Row],[Date]])&gt;=4,1,0)</f>
        <v>2026</v>
      </c>
      <c r="C158" s="10">
        <f>YEAR(Table13[[#This Row],[Date]])</f>
        <v>2025</v>
      </c>
      <c r="D158" s="309">
        <f>Table13[[#This Row],[Date]]-DAY(Table13[[#This Row],[Date]])+1</f>
        <v>45901</v>
      </c>
      <c r="E158" s="10">
        <f t="shared" si="15"/>
        <v>30</v>
      </c>
      <c r="F158" s="241" t="str">
        <f>IFERROR(_xlfn.XLOOKUP($A158,Input_Raw!$E:$E,Input_Raw!DC:DC),"")</f>
        <v/>
      </c>
      <c r="G158" s="313"/>
      <c r="H158" s="313"/>
      <c r="I158" s="313"/>
      <c r="J158" s="313"/>
      <c r="K158" s="243"/>
      <c r="L158" s="242"/>
      <c r="M158" s="242" t="str">
        <f>IFERROR(_xlfn.XLOOKUP($A158,Input_Raw!$E:$E,Input_Raw!$BM:$BM),"")</f>
        <v/>
      </c>
      <c r="N158" s="242" t="str">
        <f>IFERROR(_xlfn.XLOOKUP($A158,Input_Raw!$E:$E,Input_Raw!$BN:$BN),"")</f>
        <v/>
      </c>
      <c r="O158" s="311" t="str">
        <f t="shared" si="16"/>
        <v/>
      </c>
      <c r="P158" s="311" t="str">
        <f>IFERROR(1-SUMIF(WTG_BD!$F:$F,$A158,WTG_BD!$AA:$AA)/($AA158+SUMIF(WTG_BD!$F:$F,$A158,WTG_BD!$AA:$AA)),"")</f>
        <v/>
      </c>
      <c r="Q158" s="328" t="str">
        <f>IFERROR(1-SUMIF(IGA_BD!$F:$F,$A158,IGA_BD!$W:$W)/($AA158+SUMIF(IGA_BD!$F:$F,$A158,IGA_BD!$W:$W)),"")</f>
        <v/>
      </c>
      <c r="R158" s="47" t="str">
        <f>IFERROR(1-SUMIF(Grid_BD!$F:$F,$A158,Grid_BD!$Y:$Y)/($AA158+SUMIF(Grid_BD!$F:$F,$A158,Grid_BD!$Y:$Y)),"")</f>
        <v/>
      </c>
      <c r="S158" s="10"/>
      <c r="T158" s="310"/>
      <c r="U158" s="311"/>
      <c r="V158" s="10"/>
      <c r="W158" s="312" t="str">
        <f t="shared" si="17"/>
        <v/>
      </c>
      <c r="X158" s="10" t="str">
        <f>IFERROR(_xlfn.XLOOKUP($A158,Input_Raw!$E:$E,Input_Raw!BG:BG),"")</f>
        <v/>
      </c>
      <c r="Y158" s="10" t="str">
        <f>IFERROR(_xlfn.XLOOKUP($A158,Input_Raw!$E:$E,Input_Raw!DF:DF),"")</f>
        <v/>
      </c>
      <c r="Z158" s="319" t="str">
        <f>IFERROR(_xlfn.XLOOKUP(A158,Input_Raw!E:E,Input_Raw!CT:CT)/_xlfn.XLOOKUP(A158,Input_Raw!E:E,Input_Raw!CS:CS)*Table13[[#This Row],[Mtr_Export (kWh)]],"")</f>
        <v/>
      </c>
      <c r="AA158" s="43" t="str">
        <f t="shared" si="18"/>
        <v/>
      </c>
      <c r="AB158" s="10" t="str">
        <f>IFERROR(_xlfn.XLOOKUP($A158,Input_Raw!$E:$E,Input_Raw!$CZ:$CZ),"")</f>
        <v/>
      </c>
      <c r="AC158" s="313">
        <f>IFERROR(_xlfn.XLOOKUP($D158,'Modelling New'!$D:$D,'Modelling New'!$J:$J),"")</f>
        <v>7.2366664761360369</v>
      </c>
      <c r="AD158" s="43">
        <f>IFERROR(_xlfn.XLOOKUP($D158,'Modelling New'!$D:$D,'Modelling New'!$T:$T)*1000,"")</f>
        <v>416592.33333333331</v>
      </c>
      <c r="AE158" s="312"/>
      <c r="AF158" s="312">
        <f>IFERROR(_xlfn.XLOOKUP($D158,'Modelling New'!$D:$D,'Modelling New'!$W:$W),"")</f>
        <v>0.34304375274483978</v>
      </c>
      <c r="AG158" s="312">
        <f>IFERROR(_xlfn.XLOOKUP($D158,'Modelling New'!$D:$D,'Modelling New'!$AE:$AE),"")</f>
        <v>0.95549849999999992</v>
      </c>
      <c r="AH158" s="312">
        <f>IFERROR(_xlfn.XLOOKUP($D158,'Modelling New'!$D:$D,'Modelling New'!$AF:$AF),"")</f>
        <v>0.995</v>
      </c>
      <c r="AI158" s="10" t="str">
        <f>IFERROR(_xlfn.XLOOKUP($A158,Input_Raw!$E:$E,Input_Raw!$DG:$DG),"")</f>
        <v/>
      </c>
      <c r="AJ158" s="10"/>
      <c r="AK158" s="10"/>
      <c r="AL158" s="10"/>
      <c r="AM158" s="10"/>
      <c r="AN158" s="314" t="str">
        <f>IFERROR(_xlfn.XLOOKUP($A158,Input_Raw!$E:$E,Input_Raw!$CY:$CY),"")</f>
        <v/>
      </c>
      <c r="AO158" s="312" t="str">
        <f>IFERROR((_xlfn.XLOOKUP($A158,'WTG Reactive Power'!$A:$A,'WTG Reactive Power'!AB:AB))/X158,"")</f>
        <v/>
      </c>
      <c r="AP158" s="312">
        <f>IFERROR(_xlfn.XLOOKUP($D158,'Modelling New'!$D:$D,'Modelling New'!AK:AK),"")</f>
        <v>0.05</v>
      </c>
      <c r="AQ158" s="312">
        <f>IFERROR(_xlfn.XLOOKUP($D158,'Modelling New'!$D:$D,'Modelling New'!AL:AL),"")</f>
        <v>0.05</v>
      </c>
      <c r="AR158" s="325">
        <f>IFERROR(_xlfn.XLOOKUP($D158,'Modelling New'!$D:$D,'Modelling New'!$N:$N),"")</f>
        <v>50.59999999999998</v>
      </c>
      <c r="AS158" s="325"/>
    </row>
    <row r="159" spans="1:45">
      <c r="A159" s="32">
        <f t="shared" si="19"/>
        <v>45902</v>
      </c>
      <c r="B159" s="43">
        <f>YEAR(Table13[[#This Row],[Date]])+IF(MONTH(Table13[[#This Row],[Date]])&gt;=4,1,0)</f>
        <v>2026</v>
      </c>
      <c r="C159" s="10">
        <f>YEAR(Table13[[#This Row],[Date]])</f>
        <v>2025</v>
      </c>
      <c r="D159" s="309">
        <f>Table13[[#This Row],[Date]]-DAY(Table13[[#This Row],[Date]])+1</f>
        <v>45901</v>
      </c>
      <c r="E159" s="10">
        <f t="shared" si="15"/>
        <v>30</v>
      </c>
      <c r="F159" s="241" t="str">
        <f>IFERROR(_xlfn.XLOOKUP($A159,Input_Raw!$E:$E,Input_Raw!DC:DC),"")</f>
        <v/>
      </c>
      <c r="G159" s="242"/>
      <c r="H159" s="242"/>
      <c r="I159" s="242"/>
      <c r="J159" s="242"/>
      <c r="K159" s="243"/>
      <c r="L159" s="242"/>
      <c r="M159" s="242" t="str">
        <f>IFERROR(_xlfn.XLOOKUP($A159,Input_Raw!$E:$E,Input_Raw!$BM:$BM),"")</f>
        <v/>
      </c>
      <c r="N159" s="242" t="str">
        <f>IFERROR(_xlfn.XLOOKUP($A159,Input_Raw!$E:$E,Input_Raw!$BN:$BN),"")</f>
        <v/>
      </c>
      <c r="O159" s="311" t="str">
        <f t="shared" si="16"/>
        <v/>
      </c>
      <c r="P159" s="311" t="str">
        <f>IFERROR(1-SUMIF(WTG_BD!$F:$F,$A159,WTG_BD!$AA:$AA)/($AA159+SUMIF(WTG_BD!$F:$F,$A159,WTG_BD!$AA:$AA)),"")</f>
        <v/>
      </c>
      <c r="Q159" s="328" t="str">
        <f>IFERROR(1-SUMIF(IGA_BD!$F:$F,$A159,IGA_BD!$W:$W)/($AA159+SUMIF(IGA_BD!$F:$F,$A159,IGA_BD!$W:$W)),"")</f>
        <v/>
      </c>
      <c r="R159" s="311" t="str">
        <f>IFERROR(1-SUMIF(Grid_BD!$F:$F,$A159,Grid_BD!$Y:$Y)/($AA159+SUMIF(Grid_BD!$F:$F,$A159,Grid_BD!$Y:$Y)),"")</f>
        <v/>
      </c>
      <c r="S159" s="10"/>
      <c r="T159" s="310"/>
      <c r="U159" s="311"/>
      <c r="V159" s="10"/>
      <c r="W159" s="312" t="str">
        <f t="shared" si="17"/>
        <v/>
      </c>
      <c r="X159" s="10" t="str">
        <f>IFERROR(_xlfn.XLOOKUP($A159,Input_Raw!$E:$E,Input_Raw!BG:BG),"")</f>
        <v/>
      </c>
      <c r="Y159" s="10" t="str">
        <f>IFERROR(_xlfn.XLOOKUP($A159,Input_Raw!$E:$E,Input_Raw!DF:DF),"")</f>
        <v/>
      </c>
      <c r="Z159" s="319" t="str">
        <f>IFERROR(_xlfn.XLOOKUP(A159,Input_Raw!E:E,Input_Raw!CT:CT)/_xlfn.XLOOKUP(A159,Input_Raw!E:E,Input_Raw!CS:CS)*Table13[[#This Row],[Mtr_Export (kWh)]],"")</f>
        <v/>
      </c>
      <c r="AA159" s="43" t="str">
        <f t="shared" si="18"/>
        <v/>
      </c>
      <c r="AB159" s="10" t="str">
        <f>IFERROR(_xlfn.XLOOKUP($A159,Input_Raw!$E:$E,Input_Raw!$CZ:$CZ),"")</f>
        <v/>
      </c>
      <c r="AC159" s="313">
        <f>IFERROR(_xlfn.XLOOKUP($D159,'Modelling New'!$D:$D,'Modelling New'!$J:$J),"")</f>
        <v>7.2366664761360369</v>
      </c>
      <c r="AD159" s="43">
        <f>IFERROR(_xlfn.XLOOKUP($D159,'Modelling New'!$D:$D,'Modelling New'!$T:$T)*1000,"")</f>
        <v>416592.33333333331</v>
      </c>
      <c r="AE159" s="312"/>
      <c r="AF159" s="312">
        <f>IFERROR(_xlfn.XLOOKUP($D159,'Modelling New'!$D:$D,'Modelling New'!$W:$W),"")</f>
        <v>0.34304375274483978</v>
      </c>
      <c r="AG159" s="312">
        <f>IFERROR(_xlfn.XLOOKUP($D159,'Modelling New'!$D:$D,'Modelling New'!$AE:$AE),"")</f>
        <v>0.95549849999999992</v>
      </c>
      <c r="AH159" s="312">
        <f>IFERROR(_xlfn.XLOOKUP($D159,'Modelling New'!$D:$D,'Modelling New'!$AF:$AF),"")</f>
        <v>0.995</v>
      </c>
      <c r="AI159" s="10" t="str">
        <f>IFERROR(_xlfn.XLOOKUP($A159,Input_Raw!$E:$E,Input_Raw!$DG:$DG),"")</f>
        <v/>
      </c>
      <c r="AJ159" s="10"/>
      <c r="AK159" s="10"/>
      <c r="AL159" s="10"/>
      <c r="AM159" s="10"/>
      <c r="AN159" s="314" t="str">
        <f>IFERROR(_xlfn.XLOOKUP($A159,Input_Raw!$E:$E,Input_Raw!$CY:$CY),"")</f>
        <v/>
      </c>
      <c r="AO159" s="312" t="str">
        <f>IFERROR((_xlfn.XLOOKUP($A159,'WTG Reactive Power'!$A:$A,'WTG Reactive Power'!AB:AB))/X159,"")</f>
        <v/>
      </c>
      <c r="AP159" s="312">
        <f>IFERROR(_xlfn.XLOOKUP($D159,'Modelling New'!$D:$D,'Modelling New'!AK:AK),"")</f>
        <v>0.05</v>
      </c>
      <c r="AQ159" s="312">
        <f>IFERROR(_xlfn.XLOOKUP($D159,'Modelling New'!$D:$D,'Modelling New'!AL:AL),"")</f>
        <v>0.05</v>
      </c>
      <c r="AR159" s="325">
        <f>IFERROR(_xlfn.XLOOKUP($D159,'Modelling New'!$D:$D,'Modelling New'!$N:$N),"")</f>
        <v>50.59999999999998</v>
      </c>
      <c r="AS159" s="325"/>
    </row>
    <row r="160" spans="1:45">
      <c r="A160" s="32">
        <f t="shared" si="19"/>
        <v>45903</v>
      </c>
      <c r="B160" s="43">
        <f>YEAR(Table13[[#This Row],[Date]])+IF(MONTH(Table13[[#This Row],[Date]])&gt;=4,1,0)</f>
        <v>2026</v>
      </c>
      <c r="C160" s="10">
        <f>YEAR(Table13[[#This Row],[Date]])</f>
        <v>2025</v>
      </c>
      <c r="D160" s="309">
        <f>Table13[[#This Row],[Date]]-DAY(Table13[[#This Row],[Date]])+1</f>
        <v>45901</v>
      </c>
      <c r="E160" s="10">
        <f t="shared" si="15"/>
        <v>30</v>
      </c>
      <c r="F160" s="241" t="str">
        <f>IFERROR(_xlfn.XLOOKUP($A160,Input_Raw!$E:$E,Input_Raw!DC:DC),"")</f>
        <v/>
      </c>
      <c r="G160" s="313"/>
      <c r="H160" s="313"/>
      <c r="I160" s="313"/>
      <c r="J160" s="313"/>
      <c r="K160" s="243"/>
      <c r="L160" s="242"/>
      <c r="M160" s="242" t="str">
        <f>IFERROR(_xlfn.XLOOKUP($A160,Input_Raw!$E:$E,Input_Raw!$BM:$BM),"")</f>
        <v/>
      </c>
      <c r="N160" s="242" t="str">
        <f>IFERROR(_xlfn.XLOOKUP($A160,Input_Raw!$E:$E,Input_Raw!$BN:$BN),"")</f>
        <v/>
      </c>
      <c r="O160" s="311" t="str">
        <f t="shared" si="16"/>
        <v/>
      </c>
      <c r="P160" s="311" t="str">
        <f>IFERROR(1-SUMIF(WTG_BD!$F:$F,$A160,WTG_BD!$AA:$AA)/($AA160+SUMIF(WTG_BD!$F:$F,$A160,WTG_BD!$AA:$AA)),"")</f>
        <v/>
      </c>
      <c r="Q160" s="328" t="str">
        <f>IFERROR(1-SUMIF(IGA_BD!$F:$F,$A160,IGA_BD!$W:$W)/($AA160+SUMIF(IGA_BD!$F:$F,$A160,IGA_BD!$W:$W)),"")</f>
        <v/>
      </c>
      <c r="R160" s="47" t="str">
        <f>IFERROR(1-SUMIF(Grid_BD!$F:$F,$A160,Grid_BD!$Y:$Y)/($AA160+SUMIF(Grid_BD!$F:$F,$A160,Grid_BD!$Y:$Y)),"")</f>
        <v/>
      </c>
      <c r="S160" s="10"/>
      <c r="T160" s="310"/>
      <c r="U160" s="311"/>
      <c r="V160" s="10"/>
      <c r="W160" s="312" t="str">
        <f t="shared" si="17"/>
        <v/>
      </c>
      <c r="X160" s="10" t="str">
        <f>IFERROR(_xlfn.XLOOKUP($A160,Input_Raw!$E:$E,Input_Raw!BG:BG),"")</f>
        <v/>
      </c>
      <c r="Y160" s="10" t="str">
        <f>IFERROR(_xlfn.XLOOKUP($A160,Input_Raw!$E:$E,Input_Raw!DF:DF),"")</f>
        <v/>
      </c>
      <c r="Z160" s="319" t="str">
        <f>IFERROR(_xlfn.XLOOKUP(A160,Input_Raw!E:E,Input_Raw!CT:CT)/_xlfn.XLOOKUP(A160,Input_Raw!E:E,Input_Raw!CS:CS)*Table13[[#This Row],[Mtr_Export (kWh)]],"")</f>
        <v/>
      </c>
      <c r="AA160" s="43" t="str">
        <f t="shared" si="18"/>
        <v/>
      </c>
      <c r="AB160" s="10" t="str">
        <f>IFERROR(_xlfn.XLOOKUP($A160,Input_Raw!$E:$E,Input_Raw!$CZ:$CZ),"")</f>
        <v/>
      </c>
      <c r="AC160" s="313">
        <f>IFERROR(_xlfn.XLOOKUP($D160,'Modelling New'!$D:$D,'Modelling New'!$J:$J),"")</f>
        <v>7.2366664761360369</v>
      </c>
      <c r="AD160" s="43">
        <f>IFERROR(_xlfn.XLOOKUP($D160,'Modelling New'!$D:$D,'Modelling New'!$T:$T)*1000,"")</f>
        <v>416592.33333333331</v>
      </c>
      <c r="AE160" s="312"/>
      <c r="AF160" s="312">
        <f>IFERROR(_xlfn.XLOOKUP($D160,'Modelling New'!$D:$D,'Modelling New'!$W:$W),"")</f>
        <v>0.34304375274483978</v>
      </c>
      <c r="AG160" s="312">
        <f>IFERROR(_xlfn.XLOOKUP($D160,'Modelling New'!$D:$D,'Modelling New'!$AE:$AE),"")</f>
        <v>0.95549849999999992</v>
      </c>
      <c r="AH160" s="312">
        <f>IFERROR(_xlfn.XLOOKUP($D160,'Modelling New'!$D:$D,'Modelling New'!$AF:$AF),"")</f>
        <v>0.995</v>
      </c>
      <c r="AI160" s="10" t="str">
        <f>IFERROR(_xlfn.XLOOKUP($A160,Input_Raw!$E:$E,Input_Raw!$DG:$DG),"")</f>
        <v/>
      </c>
      <c r="AJ160" s="10"/>
      <c r="AK160" s="10"/>
      <c r="AL160" s="10"/>
      <c r="AM160" s="10"/>
      <c r="AN160" s="314" t="str">
        <f>IFERROR(_xlfn.XLOOKUP($A160,Input_Raw!$E:$E,Input_Raw!$CY:$CY),"")</f>
        <v/>
      </c>
      <c r="AO160" s="312" t="str">
        <f>IFERROR((_xlfn.XLOOKUP($A160,'WTG Reactive Power'!$A:$A,'WTG Reactive Power'!AB:AB))/X160,"")</f>
        <v/>
      </c>
      <c r="AP160" s="312">
        <f>IFERROR(_xlfn.XLOOKUP($D160,'Modelling New'!$D:$D,'Modelling New'!AK:AK),"")</f>
        <v>0.05</v>
      </c>
      <c r="AQ160" s="312">
        <f>IFERROR(_xlfn.XLOOKUP($D160,'Modelling New'!$D:$D,'Modelling New'!AL:AL),"")</f>
        <v>0.05</v>
      </c>
      <c r="AR160" s="325">
        <f>IFERROR(_xlfn.XLOOKUP($D160,'Modelling New'!$D:$D,'Modelling New'!$N:$N),"")</f>
        <v>50.59999999999998</v>
      </c>
      <c r="AS160" s="325"/>
    </row>
    <row r="161" spans="1:45">
      <c r="A161" s="32">
        <f t="shared" si="19"/>
        <v>45904</v>
      </c>
      <c r="B161" s="43">
        <f>YEAR(Table13[[#This Row],[Date]])+IF(MONTH(Table13[[#This Row],[Date]])&gt;=4,1,0)</f>
        <v>2026</v>
      </c>
      <c r="C161" s="10">
        <f>YEAR(Table13[[#This Row],[Date]])</f>
        <v>2025</v>
      </c>
      <c r="D161" s="309">
        <f>Table13[[#This Row],[Date]]-DAY(Table13[[#This Row],[Date]])+1</f>
        <v>45901</v>
      </c>
      <c r="E161" s="10">
        <f t="shared" si="15"/>
        <v>30</v>
      </c>
      <c r="F161" s="241" t="str">
        <f>IFERROR(_xlfn.XLOOKUP($A161,Input_Raw!$E:$E,Input_Raw!DC:DC),"")</f>
        <v/>
      </c>
      <c r="G161" s="242"/>
      <c r="H161" s="242"/>
      <c r="I161" s="242"/>
      <c r="J161" s="242"/>
      <c r="K161" s="243"/>
      <c r="L161" s="242"/>
      <c r="M161" s="242" t="str">
        <f>IFERROR(_xlfn.XLOOKUP($A161,Input_Raw!$E:$E,Input_Raw!$BM:$BM),"")</f>
        <v/>
      </c>
      <c r="N161" s="242" t="str">
        <f>IFERROR(_xlfn.XLOOKUP($A161,Input_Raw!$E:$E,Input_Raw!$BN:$BN),"")</f>
        <v/>
      </c>
      <c r="O161" s="311" t="str">
        <f t="shared" si="16"/>
        <v/>
      </c>
      <c r="P161" s="311" t="str">
        <f>IFERROR(1-SUMIF(WTG_BD!$F:$F,$A161,WTG_BD!$AA:$AA)/($AA161+SUMIF(WTG_BD!$F:$F,$A161,WTG_BD!$AA:$AA)),"")</f>
        <v/>
      </c>
      <c r="Q161" s="328" t="str">
        <f>IFERROR(1-SUMIF(IGA_BD!$F:$F,$A161,IGA_BD!$W:$W)/($AA161+SUMIF(IGA_BD!$F:$F,$A161,IGA_BD!$W:$W)),"")</f>
        <v/>
      </c>
      <c r="R161" s="311" t="str">
        <f>IFERROR(1-SUMIF(Grid_BD!$F:$F,$A161,Grid_BD!$Y:$Y)/($AA161+SUMIF(Grid_BD!$F:$F,$A161,Grid_BD!$Y:$Y)),"")</f>
        <v/>
      </c>
      <c r="S161" s="10"/>
      <c r="T161" s="310"/>
      <c r="U161" s="311"/>
      <c r="V161" s="10"/>
      <c r="W161" s="312" t="str">
        <f t="shared" si="17"/>
        <v/>
      </c>
      <c r="X161" s="10" t="str">
        <f>IFERROR(_xlfn.XLOOKUP($A161,Input_Raw!$E:$E,Input_Raw!BG:BG),"")</f>
        <v/>
      </c>
      <c r="Y161" s="10" t="str">
        <f>IFERROR(_xlfn.XLOOKUP($A161,Input_Raw!$E:$E,Input_Raw!DF:DF),"")</f>
        <v/>
      </c>
      <c r="Z161" s="319" t="str">
        <f>IFERROR(_xlfn.XLOOKUP(A161,Input_Raw!E:E,Input_Raw!CT:CT)/_xlfn.XLOOKUP(A161,Input_Raw!E:E,Input_Raw!CS:CS)*Table13[[#This Row],[Mtr_Export (kWh)]],"")</f>
        <v/>
      </c>
      <c r="AA161" s="43" t="str">
        <f t="shared" si="18"/>
        <v/>
      </c>
      <c r="AB161" s="10" t="str">
        <f>IFERROR(_xlfn.XLOOKUP($A161,Input_Raw!$E:$E,Input_Raw!$CZ:$CZ),"")</f>
        <v/>
      </c>
      <c r="AC161" s="313">
        <f>IFERROR(_xlfn.XLOOKUP($D161,'Modelling New'!$D:$D,'Modelling New'!$J:$J),"")</f>
        <v>7.2366664761360369</v>
      </c>
      <c r="AD161" s="43">
        <f>IFERROR(_xlfn.XLOOKUP($D161,'Modelling New'!$D:$D,'Modelling New'!$T:$T)*1000,"")</f>
        <v>416592.33333333331</v>
      </c>
      <c r="AE161" s="312"/>
      <c r="AF161" s="312">
        <f>IFERROR(_xlfn.XLOOKUP($D161,'Modelling New'!$D:$D,'Modelling New'!$W:$W),"")</f>
        <v>0.34304375274483978</v>
      </c>
      <c r="AG161" s="312">
        <f>IFERROR(_xlfn.XLOOKUP($D161,'Modelling New'!$D:$D,'Modelling New'!$AE:$AE),"")</f>
        <v>0.95549849999999992</v>
      </c>
      <c r="AH161" s="312">
        <f>IFERROR(_xlfn.XLOOKUP($D161,'Modelling New'!$D:$D,'Modelling New'!$AF:$AF),"")</f>
        <v>0.995</v>
      </c>
      <c r="AI161" s="10" t="str">
        <f>IFERROR(_xlfn.XLOOKUP($A161,Input_Raw!$E:$E,Input_Raw!$DG:$DG),"")</f>
        <v/>
      </c>
      <c r="AJ161" s="10"/>
      <c r="AK161" s="10"/>
      <c r="AL161" s="10"/>
      <c r="AM161" s="10"/>
      <c r="AN161" s="314" t="str">
        <f>IFERROR(_xlfn.XLOOKUP($A161,Input_Raw!$E:$E,Input_Raw!$CY:$CY),"")</f>
        <v/>
      </c>
      <c r="AO161" s="312" t="str">
        <f>IFERROR((_xlfn.XLOOKUP($A161,'WTG Reactive Power'!$A:$A,'WTG Reactive Power'!AB:AB))/X161,"")</f>
        <v/>
      </c>
      <c r="AP161" s="312">
        <f>IFERROR(_xlfn.XLOOKUP($D161,'Modelling New'!$D:$D,'Modelling New'!AK:AK),"")</f>
        <v>0.05</v>
      </c>
      <c r="AQ161" s="312">
        <f>IFERROR(_xlfn.XLOOKUP($D161,'Modelling New'!$D:$D,'Modelling New'!AL:AL),"")</f>
        <v>0.05</v>
      </c>
      <c r="AR161" s="325">
        <f>IFERROR(_xlfn.XLOOKUP($D161,'Modelling New'!$D:$D,'Modelling New'!$N:$N),"")</f>
        <v>50.59999999999998</v>
      </c>
      <c r="AS161" s="325"/>
    </row>
    <row r="162" spans="1:45">
      <c r="A162" s="32">
        <f t="shared" si="19"/>
        <v>45905</v>
      </c>
      <c r="B162" s="43">
        <f>YEAR(Table13[[#This Row],[Date]])+IF(MONTH(Table13[[#This Row],[Date]])&gt;=4,1,0)</f>
        <v>2026</v>
      </c>
      <c r="C162" s="10">
        <f>YEAR(Table13[[#This Row],[Date]])</f>
        <v>2025</v>
      </c>
      <c r="D162" s="309">
        <f>Table13[[#This Row],[Date]]-DAY(Table13[[#This Row],[Date]])+1</f>
        <v>45901</v>
      </c>
      <c r="E162" s="10">
        <f t="shared" si="15"/>
        <v>30</v>
      </c>
      <c r="F162" s="241" t="str">
        <f>IFERROR(_xlfn.XLOOKUP($A162,Input_Raw!$E:$E,Input_Raw!DC:DC),"")</f>
        <v/>
      </c>
      <c r="G162" s="313"/>
      <c r="H162" s="313"/>
      <c r="I162" s="313"/>
      <c r="J162" s="313"/>
      <c r="K162" s="243"/>
      <c r="L162" s="242"/>
      <c r="M162" s="242" t="str">
        <f>IFERROR(_xlfn.XLOOKUP($A162,Input_Raw!$E:$E,Input_Raw!$BM:$BM),"")</f>
        <v/>
      </c>
      <c r="N162" s="242" t="str">
        <f>IFERROR(_xlfn.XLOOKUP($A162,Input_Raw!$E:$E,Input_Raw!$BN:$BN),"")</f>
        <v/>
      </c>
      <c r="O162" s="311" t="str">
        <f t="shared" si="16"/>
        <v/>
      </c>
      <c r="P162" s="311" t="str">
        <f>IFERROR(1-SUMIF(WTG_BD!$F:$F,$A162,WTG_BD!$AA:$AA)/($AA162+SUMIF(WTG_BD!$F:$F,$A162,WTG_BD!$AA:$AA)),"")</f>
        <v/>
      </c>
      <c r="Q162" s="328" t="str">
        <f>IFERROR(1-SUMIF(IGA_BD!$F:$F,$A162,IGA_BD!$W:$W)/($AA162+SUMIF(IGA_BD!$F:$F,$A162,IGA_BD!$W:$W)),"")</f>
        <v/>
      </c>
      <c r="R162" s="47" t="str">
        <f>IFERROR(1-SUMIF(Grid_BD!$F:$F,$A162,Grid_BD!$Y:$Y)/($AA162+SUMIF(Grid_BD!$F:$F,$A162,Grid_BD!$Y:$Y)),"")</f>
        <v/>
      </c>
      <c r="S162" s="10"/>
      <c r="T162" s="310"/>
      <c r="U162" s="311"/>
      <c r="V162" s="10"/>
      <c r="W162" s="312" t="str">
        <f t="shared" si="17"/>
        <v/>
      </c>
      <c r="X162" s="10" t="str">
        <f>IFERROR(_xlfn.XLOOKUP($A162,Input_Raw!$E:$E,Input_Raw!BG:BG),"")</f>
        <v/>
      </c>
      <c r="Y162" s="10" t="str">
        <f>IFERROR(_xlfn.XLOOKUP($A162,Input_Raw!$E:$E,Input_Raw!DF:DF),"")</f>
        <v/>
      </c>
      <c r="Z162" s="319" t="str">
        <f>IFERROR(_xlfn.XLOOKUP(A162,Input_Raw!E:E,Input_Raw!CT:CT)/_xlfn.XLOOKUP(A162,Input_Raw!E:E,Input_Raw!CS:CS)*Table13[[#This Row],[Mtr_Export (kWh)]],"")</f>
        <v/>
      </c>
      <c r="AA162" s="43" t="str">
        <f t="shared" si="18"/>
        <v/>
      </c>
      <c r="AB162" s="10" t="str">
        <f>IFERROR(_xlfn.XLOOKUP($A162,Input_Raw!$E:$E,Input_Raw!$CZ:$CZ),"")</f>
        <v/>
      </c>
      <c r="AC162" s="313">
        <f>IFERROR(_xlfn.XLOOKUP($D162,'Modelling New'!$D:$D,'Modelling New'!$J:$J),"")</f>
        <v>7.2366664761360369</v>
      </c>
      <c r="AD162" s="43">
        <f>IFERROR(_xlfn.XLOOKUP($D162,'Modelling New'!$D:$D,'Modelling New'!$T:$T)*1000,"")</f>
        <v>416592.33333333331</v>
      </c>
      <c r="AE162" s="312"/>
      <c r="AF162" s="312">
        <f>IFERROR(_xlfn.XLOOKUP($D162,'Modelling New'!$D:$D,'Modelling New'!$W:$W),"")</f>
        <v>0.34304375274483978</v>
      </c>
      <c r="AG162" s="312">
        <f>IFERROR(_xlfn.XLOOKUP($D162,'Modelling New'!$D:$D,'Modelling New'!$AE:$AE),"")</f>
        <v>0.95549849999999992</v>
      </c>
      <c r="AH162" s="312">
        <f>IFERROR(_xlfn.XLOOKUP($D162,'Modelling New'!$D:$D,'Modelling New'!$AF:$AF),"")</f>
        <v>0.995</v>
      </c>
      <c r="AI162" s="10" t="str">
        <f>IFERROR(_xlfn.XLOOKUP($A162,Input_Raw!$E:$E,Input_Raw!$DG:$DG),"")</f>
        <v/>
      </c>
      <c r="AJ162" s="10"/>
      <c r="AK162" s="10"/>
      <c r="AL162" s="10"/>
      <c r="AM162" s="10"/>
      <c r="AN162" s="314" t="str">
        <f>IFERROR(_xlfn.XLOOKUP($A162,Input_Raw!$E:$E,Input_Raw!$CY:$CY),"")</f>
        <v/>
      </c>
      <c r="AO162" s="312" t="str">
        <f>IFERROR((_xlfn.XLOOKUP($A162,'WTG Reactive Power'!$A:$A,'WTG Reactive Power'!AB:AB))/X162,"")</f>
        <v/>
      </c>
      <c r="AP162" s="312">
        <f>IFERROR(_xlfn.XLOOKUP($D162,'Modelling New'!$D:$D,'Modelling New'!AK:AK),"")</f>
        <v>0.05</v>
      </c>
      <c r="AQ162" s="312">
        <f>IFERROR(_xlfn.XLOOKUP($D162,'Modelling New'!$D:$D,'Modelling New'!AL:AL),"")</f>
        <v>0.05</v>
      </c>
      <c r="AR162" s="325">
        <f>IFERROR(_xlfn.XLOOKUP($D162,'Modelling New'!$D:$D,'Modelling New'!$N:$N),"")</f>
        <v>50.59999999999998</v>
      </c>
      <c r="AS162" s="325"/>
    </row>
    <row r="163" spans="1:45">
      <c r="A163" s="32">
        <f t="shared" si="19"/>
        <v>45906</v>
      </c>
      <c r="B163" s="43">
        <f>YEAR(Table13[[#This Row],[Date]])+IF(MONTH(Table13[[#This Row],[Date]])&gt;=4,1,0)</f>
        <v>2026</v>
      </c>
      <c r="C163" s="10">
        <f>YEAR(Table13[[#This Row],[Date]])</f>
        <v>2025</v>
      </c>
      <c r="D163" s="309">
        <f>Table13[[#This Row],[Date]]-DAY(Table13[[#This Row],[Date]])+1</f>
        <v>45901</v>
      </c>
      <c r="E163" s="10">
        <f t="shared" si="15"/>
        <v>30</v>
      </c>
      <c r="F163" s="241" t="str">
        <f>IFERROR(_xlfn.XLOOKUP($A163,Input_Raw!$E:$E,Input_Raw!DC:DC),"")</f>
        <v/>
      </c>
      <c r="G163" s="242"/>
      <c r="H163" s="242"/>
      <c r="I163" s="242"/>
      <c r="J163" s="242"/>
      <c r="K163" s="243"/>
      <c r="L163" s="242"/>
      <c r="M163" s="242" t="str">
        <f>IFERROR(_xlfn.XLOOKUP($A163,Input_Raw!$E:$E,Input_Raw!$BM:$BM),"")</f>
        <v/>
      </c>
      <c r="N163" s="242" t="str">
        <f>IFERROR(_xlfn.XLOOKUP($A163,Input_Raw!$E:$E,Input_Raw!$BN:$BN),"")</f>
        <v/>
      </c>
      <c r="O163" s="311" t="str">
        <f t="shared" si="16"/>
        <v/>
      </c>
      <c r="P163" s="311" t="str">
        <f>IFERROR(1-SUMIF(WTG_BD!$F:$F,$A163,WTG_BD!$AA:$AA)/($AA163+SUMIF(WTG_BD!$F:$F,$A163,WTG_BD!$AA:$AA)),"")</f>
        <v/>
      </c>
      <c r="Q163" s="328" t="str">
        <f>IFERROR(1-SUMIF(IGA_BD!$F:$F,$A163,IGA_BD!$W:$W)/($AA163+SUMIF(IGA_BD!$F:$F,$A163,IGA_BD!$W:$W)),"")</f>
        <v/>
      </c>
      <c r="R163" s="311" t="str">
        <f>IFERROR(1-SUMIF(Grid_BD!$F:$F,$A163,Grid_BD!$Y:$Y)/($AA163+SUMIF(Grid_BD!$F:$F,$A163,Grid_BD!$Y:$Y)),"")</f>
        <v/>
      </c>
      <c r="S163" s="10"/>
      <c r="T163" s="310"/>
      <c r="U163" s="311"/>
      <c r="V163" s="10"/>
      <c r="W163" s="312" t="str">
        <f t="shared" si="17"/>
        <v/>
      </c>
      <c r="X163" s="10" t="str">
        <f>IFERROR(_xlfn.XLOOKUP($A163,Input_Raw!$E:$E,Input_Raw!BG:BG),"")</f>
        <v/>
      </c>
      <c r="Y163" s="10" t="str">
        <f>IFERROR(_xlfn.XLOOKUP($A163,Input_Raw!$E:$E,Input_Raw!DF:DF),"")</f>
        <v/>
      </c>
      <c r="Z163" s="319" t="str">
        <f>IFERROR(_xlfn.XLOOKUP(A163,Input_Raw!E:E,Input_Raw!CT:CT)/_xlfn.XLOOKUP(A163,Input_Raw!E:E,Input_Raw!CS:CS)*Table13[[#This Row],[Mtr_Export (kWh)]],"")</f>
        <v/>
      </c>
      <c r="AA163" s="43" t="str">
        <f t="shared" si="18"/>
        <v/>
      </c>
      <c r="AB163" s="10" t="str">
        <f>IFERROR(_xlfn.XLOOKUP($A163,Input_Raw!$E:$E,Input_Raw!$CZ:$CZ),"")</f>
        <v/>
      </c>
      <c r="AC163" s="313">
        <f>IFERROR(_xlfn.XLOOKUP($D163,'Modelling New'!$D:$D,'Modelling New'!$J:$J),"")</f>
        <v>7.2366664761360369</v>
      </c>
      <c r="AD163" s="43">
        <f>IFERROR(_xlfn.XLOOKUP($D163,'Modelling New'!$D:$D,'Modelling New'!$T:$T)*1000,"")</f>
        <v>416592.33333333331</v>
      </c>
      <c r="AE163" s="312"/>
      <c r="AF163" s="312">
        <f>IFERROR(_xlfn.XLOOKUP($D163,'Modelling New'!$D:$D,'Modelling New'!$W:$W),"")</f>
        <v>0.34304375274483978</v>
      </c>
      <c r="AG163" s="312">
        <f>IFERROR(_xlfn.XLOOKUP($D163,'Modelling New'!$D:$D,'Modelling New'!$AE:$AE),"")</f>
        <v>0.95549849999999992</v>
      </c>
      <c r="AH163" s="312">
        <f>IFERROR(_xlfn.XLOOKUP($D163,'Modelling New'!$D:$D,'Modelling New'!$AF:$AF),"")</f>
        <v>0.995</v>
      </c>
      <c r="AI163" s="10" t="str">
        <f>IFERROR(_xlfn.XLOOKUP($A163,Input_Raw!$E:$E,Input_Raw!$DG:$DG),"")</f>
        <v/>
      </c>
      <c r="AJ163" s="10"/>
      <c r="AK163" s="10"/>
      <c r="AL163" s="10"/>
      <c r="AM163" s="10"/>
      <c r="AN163" s="314" t="str">
        <f>IFERROR(_xlfn.XLOOKUP($A163,Input_Raw!$E:$E,Input_Raw!$CY:$CY),"")</f>
        <v/>
      </c>
      <c r="AO163" s="312" t="str">
        <f>IFERROR((_xlfn.XLOOKUP($A163,'WTG Reactive Power'!$A:$A,'WTG Reactive Power'!AB:AB))/X163,"")</f>
        <v/>
      </c>
      <c r="AP163" s="312">
        <f>IFERROR(_xlfn.XLOOKUP($D163,'Modelling New'!$D:$D,'Modelling New'!AK:AK),"")</f>
        <v>0.05</v>
      </c>
      <c r="AQ163" s="312">
        <f>IFERROR(_xlfn.XLOOKUP($D163,'Modelling New'!$D:$D,'Modelling New'!AL:AL),"")</f>
        <v>0.05</v>
      </c>
      <c r="AR163" s="325">
        <f>IFERROR(_xlfn.XLOOKUP($D163,'Modelling New'!$D:$D,'Modelling New'!$N:$N),"")</f>
        <v>50.59999999999998</v>
      </c>
      <c r="AS163" s="325"/>
    </row>
    <row r="164" spans="1:45">
      <c r="A164" s="32">
        <f t="shared" si="19"/>
        <v>45907</v>
      </c>
      <c r="B164" s="43">
        <f>YEAR(Table13[[#This Row],[Date]])+IF(MONTH(Table13[[#This Row],[Date]])&gt;=4,1,0)</f>
        <v>2026</v>
      </c>
      <c r="C164" s="10">
        <f>YEAR(Table13[[#This Row],[Date]])</f>
        <v>2025</v>
      </c>
      <c r="D164" s="309">
        <f>Table13[[#This Row],[Date]]-DAY(Table13[[#This Row],[Date]])+1</f>
        <v>45901</v>
      </c>
      <c r="E164" s="10">
        <f t="shared" si="15"/>
        <v>30</v>
      </c>
      <c r="F164" s="241" t="str">
        <f>IFERROR(_xlfn.XLOOKUP($A164,Input_Raw!$E:$E,Input_Raw!DC:DC),"")</f>
        <v/>
      </c>
      <c r="G164" s="313"/>
      <c r="H164" s="313"/>
      <c r="I164" s="313"/>
      <c r="J164" s="313"/>
      <c r="K164" s="243"/>
      <c r="L164" s="242"/>
      <c r="M164" s="242" t="str">
        <f>IFERROR(_xlfn.XLOOKUP($A164,Input_Raw!$E:$E,Input_Raw!$BM:$BM),"")</f>
        <v/>
      </c>
      <c r="N164" s="242" t="str">
        <f>IFERROR(_xlfn.XLOOKUP($A164,Input_Raw!$E:$E,Input_Raw!$BN:$BN),"")</f>
        <v/>
      </c>
      <c r="O164" s="311" t="str">
        <f t="shared" si="16"/>
        <v/>
      </c>
      <c r="P164" s="311" t="str">
        <f>IFERROR(1-SUMIF(WTG_BD!$F:$F,$A164,WTG_BD!$AA:$AA)/($AA164+SUMIF(WTG_BD!$F:$F,$A164,WTG_BD!$AA:$AA)),"")</f>
        <v/>
      </c>
      <c r="Q164" s="328" t="str">
        <f>IFERROR(1-SUMIF(IGA_BD!$F:$F,$A164,IGA_BD!$W:$W)/($AA164+SUMIF(IGA_BD!$F:$F,$A164,IGA_BD!$W:$W)),"")</f>
        <v/>
      </c>
      <c r="R164" s="47" t="str">
        <f>IFERROR(1-SUMIF(Grid_BD!$F:$F,$A164,Grid_BD!$Y:$Y)/($AA164+SUMIF(Grid_BD!$F:$F,$A164,Grid_BD!$Y:$Y)),"")</f>
        <v/>
      </c>
      <c r="S164" s="10"/>
      <c r="T164" s="310"/>
      <c r="U164" s="311"/>
      <c r="V164" s="10"/>
      <c r="W164" s="312" t="str">
        <f t="shared" si="17"/>
        <v/>
      </c>
      <c r="X164" s="10" t="str">
        <f>IFERROR(_xlfn.XLOOKUP($A164,Input_Raw!$E:$E,Input_Raw!BG:BG),"")</f>
        <v/>
      </c>
      <c r="Y164" s="10" t="str">
        <f>IFERROR(_xlfn.XLOOKUP($A164,Input_Raw!$E:$E,Input_Raw!DF:DF),"")</f>
        <v/>
      </c>
      <c r="Z164" s="319" t="str">
        <f>IFERROR(_xlfn.XLOOKUP(A164,Input_Raw!E:E,Input_Raw!CT:CT)/_xlfn.XLOOKUP(A164,Input_Raw!E:E,Input_Raw!CS:CS)*Table13[[#This Row],[Mtr_Export (kWh)]],"")</f>
        <v/>
      </c>
      <c r="AA164" s="43" t="str">
        <f t="shared" si="18"/>
        <v/>
      </c>
      <c r="AB164" s="10" t="str">
        <f>IFERROR(_xlfn.XLOOKUP($A164,Input_Raw!$E:$E,Input_Raw!$CZ:$CZ),"")</f>
        <v/>
      </c>
      <c r="AC164" s="313">
        <f>IFERROR(_xlfn.XLOOKUP($D164,'Modelling New'!$D:$D,'Modelling New'!$J:$J),"")</f>
        <v>7.2366664761360369</v>
      </c>
      <c r="AD164" s="43">
        <f>IFERROR(_xlfn.XLOOKUP($D164,'Modelling New'!$D:$D,'Modelling New'!$T:$T)*1000,"")</f>
        <v>416592.33333333331</v>
      </c>
      <c r="AE164" s="312"/>
      <c r="AF164" s="312">
        <f>IFERROR(_xlfn.XLOOKUP($D164,'Modelling New'!$D:$D,'Modelling New'!$W:$W),"")</f>
        <v>0.34304375274483978</v>
      </c>
      <c r="AG164" s="312">
        <f>IFERROR(_xlfn.XLOOKUP($D164,'Modelling New'!$D:$D,'Modelling New'!$AE:$AE),"")</f>
        <v>0.95549849999999992</v>
      </c>
      <c r="AH164" s="312">
        <f>IFERROR(_xlfn.XLOOKUP($D164,'Modelling New'!$D:$D,'Modelling New'!$AF:$AF),"")</f>
        <v>0.995</v>
      </c>
      <c r="AI164" s="10" t="str">
        <f>IFERROR(_xlfn.XLOOKUP($A164,Input_Raw!$E:$E,Input_Raw!$DG:$DG),"")</f>
        <v/>
      </c>
      <c r="AJ164" s="10"/>
      <c r="AK164" s="10"/>
      <c r="AL164" s="10"/>
      <c r="AM164" s="10"/>
      <c r="AN164" s="314" t="str">
        <f>IFERROR(_xlfn.XLOOKUP($A164,Input_Raw!$E:$E,Input_Raw!$CY:$CY),"")</f>
        <v/>
      </c>
      <c r="AO164" s="312" t="str">
        <f>IFERROR((_xlfn.XLOOKUP($A164,'WTG Reactive Power'!$A:$A,'WTG Reactive Power'!AB:AB))/X164,"")</f>
        <v/>
      </c>
      <c r="AP164" s="312">
        <f>IFERROR(_xlfn.XLOOKUP($D164,'Modelling New'!$D:$D,'Modelling New'!AK:AK),"")</f>
        <v>0.05</v>
      </c>
      <c r="AQ164" s="312">
        <f>IFERROR(_xlfn.XLOOKUP($D164,'Modelling New'!$D:$D,'Modelling New'!AL:AL),"")</f>
        <v>0.05</v>
      </c>
      <c r="AR164" s="325">
        <f>IFERROR(_xlfn.XLOOKUP($D164,'Modelling New'!$D:$D,'Modelling New'!$N:$N),"")</f>
        <v>50.59999999999998</v>
      </c>
      <c r="AS164" s="325"/>
    </row>
    <row r="165" spans="1:45">
      <c r="A165" s="32">
        <f t="shared" si="19"/>
        <v>45908</v>
      </c>
      <c r="B165" s="43">
        <f>YEAR(Table13[[#This Row],[Date]])+IF(MONTH(Table13[[#This Row],[Date]])&gt;=4,1,0)</f>
        <v>2026</v>
      </c>
      <c r="C165" s="10">
        <f>YEAR(Table13[[#This Row],[Date]])</f>
        <v>2025</v>
      </c>
      <c r="D165" s="309">
        <f>Table13[[#This Row],[Date]]-DAY(Table13[[#This Row],[Date]])+1</f>
        <v>45901</v>
      </c>
      <c r="E165" s="10">
        <f t="shared" si="15"/>
        <v>30</v>
      </c>
      <c r="F165" s="241" t="str">
        <f>IFERROR(_xlfn.XLOOKUP($A165,Input_Raw!$E:$E,Input_Raw!DC:DC),"")</f>
        <v/>
      </c>
      <c r="G165" s="242"/>
      <c r="H165" s="242"/>
      <c r="I165" s="242"/>
      <c r="J165" s="242"/>
      <c r="K165" s="243"/>
      <c r="L165" s="242"/>
      <c r="M165" s="242" t="str">
        <f>IFERROR(_xlfn.XLOOKUP($A165,Input_Raw!$E:$E,Input_Raw!$BM:$BM),"")</f>
        <v/>
      </c>
      <c r="N165" s="242" t="str">
        <f>IFERROR(_xlfn.XLOOKUP($A165,Input_Raw!$E:$E,Input_Raw!$BN:$BN),"")</f>
        <v/>
      </c>
      <c r="O165" s="311" t="str">
        <f t="shared" si="16"/>
        <v/>
      </c>
      <c r="P165" s="311" t="str">
        <f>IFERROR(1-SUMIF(WTG_BD!$F:$F,$A165,WTG_BD!$AA:$AA)/($AA165+SUMIF(WTG_BD!$F:$F,$A165,WTG_BD!$AA:$AA)),"")</f>
        <v/>
      </c>
      <c r="Q165" s="328" t="str">
        <f>IFERROR(1-SUMIF(IGA_BD!$F:$F,$A165,IGA_BD!$W:$W)/($AA165+SUMIF(IGA_BD!$F:$F,$A165,IGA_BD!$W:$W)),"")</f>
        <v/>
      </c>
      <c r="R165" s="311" t="str">
        <f>IFERROR(1-SUMIF(Grid_BD!$F:$F,$A165,Grid_BD!$Y:$Y)/($AA165+SUMIF(Grid_BD!$F:$F,$A165,Grid_BD!$Y:$Y)),"")</f>
        <v/>
      </c>
      <c r="S165" s="10"/>
      <c r="T165" s="310"/>
      <c r="U165" s="311"/>
      <c r="V165" s="10"/>
      <c r="W165" s="312" t="str">
        <f t="shared" si="17"/>
        <v/>
      </c>
      <c r="X165" s="10" t="str">
        <f>IFERROR(_xlfn.XLOOKUP($A165,Input_Raw!$E:$E,Input_Raw!BG:BG),"")</f>
        <v/>
      </c>
      <c r="Y165" s="10" t="str">
        <f>IFERROR(_xlfn.XLOOKUP($A165,Input_Raw!$E:$E,Input_Raw!DF:DF),"")</f>
        <v/>
      </c>
      <c r="Z165" s="319" t="str">
        <f>IFERROR(_xlfn.XLOOKUP(A165,Input_Raw!E:E,Input_Raw!CT:CT)/_xlfn.XLOOKUP(A165,Input_Raw!E:E,Input_Raw!CS:CS)*Table13[[#This Row],[Mtr_Export (kWh)]],"")</f>
        <v/>
      </c>
      <c r="AA165" s="43" t="str">
        <f t="shared" si="18"/>
        <v/>
      </c>
      <c r="AB165" s="10" t="str">
        <f>IFERROR(_xlfn.XLOOKUP($A165,Input_Raw!$E:$E,Input_Raw!$CZ:$CZ),"")</f>
        <v/>
      </c>
      <c r="AC165" s="313">
        <f>IFERROR(_xlfn.XLOOKUP($D165,'Modelling New'!$D:$D,'Modelling New'!$J:$J),"")</f>
        <v>7.2366664761360369</v>
      </c>
      <c r="AD165" s="43">
        <f>IFERROR(_xlfn.XLOOKUP($D165,'Modelling New'!$D:$D,'Modelling New'!$T:$T)*1000,"")</f>
        <v>416592.33333333331</v>
      </c>
      <c r="AE165" s="312"/>
      <c r="AF165" s="312">
        <f>IFERROR(_xlfn.XLOOKUP($D165,'Modelling New'!$D:$D,'Modelling New'!$W:$W),"")</f>
        <v>0.34304375274483978</v>
      </c>
      <c r="AG165" s="312">
        <f>IFERROR(_xlfn.XLOOKUP($D165,'Modelling New'!$D:$D,'Modelling New'!$AE:$AE),"")</f>
        <v>0.95549849999999992</v>
      </c>
      <c r="AH165" s="312">
        <f>IFERROR(_xlfn.XLOOKUP($D165,'Modelling New'!$D:$D,'Modelling New'!$AF:$AF),"")</f>
        <v>0.995</v>
      </c>
      <c r="AI165" s="10" t="str">
        <f>IFERROR(_xlfn.XLOOKUP($A165,Input_Raw!$E:$E,Input_Raw!$DG:$DG),"")</f>
        <v/>
      </c>
      <c r="AJ165" s="10"/>
      <c r="AK165" s="10"/>
      <c r="AL165" s="10"/>
      <c r="AM165" s="10"/>
      <c r="AN165" s="314" t="str">
        <f>IFERROR(_xlfn.XLOOKUP($A165,Input_Raw!$E:$E,Input_Raw!$CY:$CY),"")</f>
        <v/>
      </c>
      <c r="AO165" s="312" t="str">
        <f>IFERROR((_xlfn.XLOOKUP($A165,'WTG Reactive Power'!$A:$A,'WTG Reactive Power'!AB:AB))/X165,"")</f>
        <v/>
      </c>
      <c r="AP165" s="312">
        <f>IFERROR(_xlfn.XLOOKUP($D165,'Modelling New'!$D:$D,'Modelling New'!AK:AK),"")</f>
        <v>0.05</v>
      </c>
      <c r="AQ165" s="312">
        <f>IFERROR(_xlfn.XLOOKUP($D165,'Modelling New'!$D:$D,'Modelling New'!AL:AL),"")</f>
        <v>0.05</v>
      </c>
      <c r="AR165" s="325">
        <f>IFERROR(_xlfn.XLOOKUP($D165,'Modelling New'!$D:$D,'Modelling New'!$N:$N),"")</f>
        <v>50.59999999999998</v>
      </c>
      <c r="AS165" s="325"/>
    </row>
    <row r="166" spans="1:45">
      <c r="A166" s="32">
        <f t="shared" si="19"/>
        <v>45909</v>
      </c>
      <c r="B166" s="43">
        <f>YEAR(Table13[[#This Row],[Date]])+IF(MONTH(Table13[[#This Row],[Date]])&gt;=4,1,0)</f>
        <v>2026</v>
      </c>
      <c r="C166" s="10">
        <f>YEAR(Table13[[#This Row],[Date]])</f>
        <v>2025</v>
      </c>
      <c r="D166" s="309">
        <f>Table13[[#This Row],[Date]]-DAY(Table13[[#This Row],[Date]])+1</f>
        <v>45901</v>
      </c>
      <c r="E166" s="10">
        <f t="shared" si="15"/>
        <v>30</v>
      </c>
      <c r="F166" s="241" t="str">
        <f>IFERROR(_xlfn.XLOOKUP($A166,Input_Raw!$E:$E,Input_Raw!DC:DC),"")</f>
        <v/>
      </c>
      <c r="G166" s="313"/>
      <c r="H166" s="313"/>
      <c r="I166" s="313"/>
      <c r="J166" s="313"/>
      <c r="K166" s="243"/>
      <c r="L166" s="242"/>
      <c r="M166" s="242" t="str">
        <f>IFERROR(_xlfn.XLOOKUP($A166,Input_Raw!$E:$E,Input_Raw!$BM:$BM),"")</f>
        <v/>
      </c>
      <c r="N166" s="242" t="str">
        <f>IFERROR(_xlfn.XLOOKUP($A166,Input_Raw!$E:$E,Input_Raw!$BN:$BN),"")</f>
        <v/>
      </c>
      <c r="O166" s="311" t="str">
        <f t="shared" si="16"/>
        <v/>
      </c>
      <c r="P166" s="311" t="str">
        <f>IFERROR(1-SUMIF(WTG_BD!$F:$F,$A166,WTG_BD!$AA:$AA)/($AA166+SUMIF(WTG_BD!$F:$F,$A166,WTG_BD!$AA:$AA)),"")</f>
        <v/>
      </c>
      <c r="Q166" s="328" t="str">
        <f>IFERROR(1-SUMIF(IGA_BD!$F:$F,$A166,IGA_BD!$W:$W)/($AA166+SUMIF(IGA_BD!$F:$F,$A166,IGA_BD!$W:$W)),"")</f>
        <v/>
      </c>
      <c r="R166" s="47" t="str">
        <f>IFERROR(1-SUMIF(Grid_BD!$F:$F,$A166,Grid_BD!$Y:$Y)/($AA166+SUMIF(Grid_BD!$F:$F,$A166,Grid_BD!$Y:$Y)),"")</f>
        <v/>
      </c>
      <c r="S166" s="10"/>
      <c r="T166" s="310"/>
      <c r="U166" s="311"/>
      <c r="V166" s="10"/>
      <c r="W166" s="312" t="str">
        <f t="shared" si="17"/>
        <v/>
      </c>
      <c r="X166" s="10" t="str">
        <f>IFERROR(_xlfn.XLOOKUP($A166,Input_Raw!$E:$E,Input_Raw!BG:BG),"")</f>
        <v/>
      </c>
      <c r="Y166" s="10" t="str">
        <f>IFERROR(_xlfn.XLOOKUP($A166,Input_Raw!$E:$E,Input_Raw!DF:DF),"")</f>
        <v/>
      </c>
      <c r="Z166" s="319" t="str">
        <f>IFERROR(_xlfn.XLOOKUP(A166,Input_Raw!E:E,Input_Raw!CT:CT)/_xlfn.XLOOKUP(A166,Input_Raw!E:E,Input_Raw!CS:CS)*Table13[[#This Row],[Mtr_Export (kWh)]],"")</f>
        <v/>
      </c>
      <c r="AA166" s="43" t="str">
        <f t="shared" si="18"/>
        <v/>
      </c>
      <c r="AB166" s="10" t="str">
        <f>IFERROR(_xlfn.XLOOKUP($A166,Input_Raw!$E:$E,Input_Raw!$CZ:$CZ),"")</f>
        <v/>
      </c>
      <c r="AC166" s="313">
        <f>IFERROR(_xlfn.XLOOKUP($D166,'Modelling New'!$D:$D,'Modelling New'!$J:$J),"")</f>
        <v>7.2366664761360369</v>
      </c>
      <c r="AD166" s="43">
        <f>IFERROR(_xlfn.XLOOKUP($D166,'Modelling New'!$D:$D,'Modelling New'!$T:$T)*1000,"")</f>
        <v>416592.33333333331</v>
      </c>
      <c r="AE166" s="312"/>
      <c r="AF166" s="312">
        <f>IFERROR(_xlfn.XLOOKUP($D166,'Modelling New'!$D:$D,'Modelling New'!$W:$W),"")</f>
        <v>0.34304375274483978</v>
      </c>
      <c r="AG166" s="312">
        <f>IFERROR(_xlfn.XLOOKUP($D166,'Modelling New'!$D:$D,'Modelling New'!$AE:$AE),"")</f>
        <v>0.95549849999999992</v>
      </c>
      <c r="AH166" s="312">
        <f>IFERROR(_xlfn.XLOOKUP($D166,'Modelling New'!$D:$D,'Modelling New'!$AF:$AF),"")</f>
        <v>0.995</v>
      </c>
      <c r="AI166" s="10" t="str">
        <f>IFERROR(_xlfn.XLOOKUP($A166,Input_Raw!$E:$E,Input_Raw!$DG:$DG),"")</f>
        <v/>
      </c>
      <c r="AJ166" s="10"/>
      <c r="AK166" s="10"/>
      <c r="AL166" s="10"/>
      <c r="AM166" s="10"/>
      <c r="AN166" s="314" t="str">
        <f>IFERROR(_xlfn.XLOOKUP($A166,Input_Raw!$E:$E,Input_Raw!$CY:$CY),"")</f>
        <v/>
      </c>
      <c r="AO166" s="312" t="str">
        <f>IFERROR((_xlfn.XLOOKUP($A166,'WTG Reactive Power'!$A:$A,'WTG Reactive Power'!AB:AB))/X166,"")</f>
        <v/>
      </c>
      <c r="AP166" s="312">
        <f>IFERROR(_xlfn.XLOOKUP($D166,'Modelling New'!$D:$D,'Modelling New'!AK:AK),"")</f>
        <v>0.05</v>
      </c>
      <c r="AQ166" s="312">
        <f>IFERROR(_xlfn.XLOOKUP($D166,'Modelling New'!$D:$D,'Modelling New'!AL:AL),"")</f>
        <v>0.05</v>
      </c>
      <c r="AR166" s="325">
        <f>IFERROR(_xlfn.XLOOKUP($D166,'Modelling New'!$D:$D,'Modelling New'!$N:$N),"")</f>
        <v>50.59999999999998</v>
      </c>
      <c r="AS166" s="325"/>
    </row>
    <row r="167" spans="1:45">
      <c r="A167" s="32">
        <f t="shared" si="19"/>
        <v>45910</v>
      </c>
      <c r="B167" s="43">
        <f>YEAR(Table13[[#This Row],[Date]])+IF(MONTH(Table13[[#This Row],[Date]])&gt;=4,1,0)</f>
        <v>2026</v>
      </c>
      <c r="C167" s="10">
        <f>YEAR(Table13[[#This Row],[Date]])</f>
        <v>2025</v>
      </c>
      <c r="D167" s="309">
        <f>Table13[[#This Row],[Date]]-DAY(Table13[[#This Row],[Date]])+1</f>
        <v>45901</v>
      </c>
      <c r="E167" s="10">
        <f t="shared" si="15"/>
        <v>30</v>
      </c>
      <c r="F167" s="241" t="str">
        <f>IFERROR(_xlfn.XLOOKUP($A167,Input_Raw!$E:$E,Input_Raw!DC:DC),"")</f>
        <v/>
      </c>
      <c r="G167" s="242"/>
      <c r="H167" s="242"/>
      <c r="I167" s="242"/>
      <c r="J167" s="242"/>
      <c r="K167" s="243"/>
      <c r="L167" s="242"/>
      <c r="M167" s="242" t="str">
        <f>IFERROR(_xlfn.XLOOKUP($A167,Input_Raw!$E:$E,Input_Raw!$BM:$BM),"")</f>
        <v/>
      </c>
      <c r="N167" s="242" t="str">
        <f>IFERROR(_xlfn.XLOOKUP($A167,Input_Raw!$E:$E,Input_Raw!$BN:$BN),"")</f>
        <v/>
      </c>
      <c r="O167" s="311" t="str">
        <f t="shared" si="16"/>
        <v/>
      </c>
      <c r="P167" s="311" t="str">
        <f>IFERROR(1-SUMIF(WTG_BD!$F:$F,$A167,WTG_BD!$AA:$AA)/($AA167+SUMIF(WTG_BD!$F:$F,$A167,WTG_BD!$AA:$AA)),"")</f>
        <v/>
      </c>
      <c r="Q167" s="328" t="str">
        <f>IFERROR(1-SUMIF(IGA_BD!$F:$F,$A167,IGA_BD!$W:$W)/($AA167+SUMIF(IGA_BD!$F:$F,$A167,IGA_BD!$W:$W)),"")</f>
        <v/>
      </c>
      <c r="R167" s="311" t="str">
        <f>IFERROR(1-SUMIF(Grid_BD!$F:$F,$A167,Grid_BD!$Y:$Y)/($AA167+SUMIF(Grid_BD!$F:$F,$A167,Grid_BD!$Y:$Y)),"")</f>
        <v/>
      </c>
      <c r="S167" s="10"/>
      <c r="T167" s="310"/>
      <c r="U167" s="311"/>
      <c r="V167" s="10"/>
      <c r="W167" s="312" t="str">
        <f t="shared" si="17"/>
        <v/>
      </c>
      <c r="X167" s="10" t="str">
        <f>IFERROR(_xlfn.XLOOKUP($A167,Input_Raw!$E:$E,Input_Raw!BG:BG),"")</f>
        <v/>
      </c>
      <c r="Y167" s="10" t="str">
        <f>IFERROR(_xlfn.XLOOKUP($A167,Input_Raw!$E:$E,Input_Raw!DF:DF),"")</f>
        <v/>
      </c>
      <c r="Z167" s="319" t="str">
        <f>IFERROR(_xlfn.XLOOKUP(A167,Input_Raw!E:E,Input_Raw!CT:CT)/_xlfn.XLOOKUP(A167,Input_Raw!E:E,Input_Raw!CS:CS)*Table13[[#This Row],[Mtr_Export (kWh)]],"")</f>
        <v/>
      </c>
      <c r="AA167" s="43" t="str">
        <f t="shared" si="18"/>
        <v/>
      </c>
      <c r="AB167" s="10" t="str">
        <f>IFERROR(_xlfn.XLOOKUP($A167,Input_Raw!$E:$E,Input_Raw!$CZ:$CZ),"")</f>
        <v/>
      </c>
      <c r="AC167" s="313">
        <f>IFERROR(_xlfn.XLOOKUP($D167,'Modelling New'!$D:$D,'Modelling New'!$J:$J),"")</f>
        <v>7.2366664761360369</v>
      </c>
      <c r="AD167" s="43">
        <f>IFERROR(_xlfn.XLOOKUP($D167,'Modelling New'!$D:$D,'Modelling New'!$T:$T)*1000,"")</f>
        <v>416592.33333333331</v>
      </c>
      <c r="AE167" s="312"/>
      <c r="AF167" s="312">
        <f>IFERROR(_xlfn.XLOOKUP($D167,'Modelling New'!$D:$D,'Modelling New'!$W:$W),"")</f>
        <v>0.34304375274483978</v>
      </c>
      <c r="AG167" s="312">
        <f>IFERROR(_xlfn.XLOOKUP($D167,'Modelling New'!$D:$D,'Modelling New'!$AE:$AE),"")</f>
        <v>0.95549849999999992</v>
      </c>
      <c r="AH167" s="312">
        <f>IFERROR(_xlfn.XLOOKUP($D167,'Modelling New'!$D:$D,'Modelling New'!$AF:$AF),"")</f>
        <v>0.995</v>
      </c>
      <c r="AI167" s="10" t="str">
        <f>IFERROR(_xlfn.XLOOKUP($A167,Input_Raw!$E:$E,Input_Raw!$DG:$DG),"")</f>
        <v/>
      </c>
      <c r="AJ167" s="10"/>
      <c r="AK167" s="10"/>
      <c r="AL167" s="10"/>
      <c r="AM167" s="10"/>
      <c r="AN167" s="314" t="str">
        <f>IFERROR(_xlfn.XLOOKUP($A167,Input_Raw!$E:$E,Input_Raw!$CY:$CY),"")</f>
        <v/>
      </c>
      <c r="AO167" s="312" t="str">
        <f>IFERROR((_xlfn.XLOOKUP($A167,'WTG Reactive Power'!$A:$A,'WTG Reactive Power'!AB:AB))/X167,"")</f>
        <v/>
      </c>
      <c r="AP167" s="312">
        <f>IFERROR(_xlfn.XLOOKUP($D167,'Modelling New'!$D:$D,'Modelling New'!AK:AK),"")</f>
        <v>0.05</v>
      </c>
      <c r="AQ167" s="312">
        <f>IFERROR(_xlfn.XLOOKUP($D167,'Modelling New'!$D:$D,'Modelling New'!AL:AL),"")</f>
        <v>0.05</v>
      </c>
      <c r="AR167" s="325">
        <f>IFERROR(_xlfn.XLOOKUP($D167,'Modelling New'!$D:$D,'Modelling New'!$N:$N),"")</f>
        <v>50.59999999999998</v>
      </c>
      <c r="AS167" s="325"/>
    </row>
    <row r="168" spans="1:45">
      <c r="A168" s="32">
        <f t="shared" si="19"/>
        <v>45911</v>
      </c>
      <c r="B168" s="43">
        <f>YEAR(Table13[[#This Row],[Date]])+IF(MONTH(Table13[[#This Row],[Date]])&gt;=4,1,0)</f>
        <v>2026</v>
      </c>
      <c r="C168" s="10">
        <f>YEAR(Table13[[#This Row],[Date]])</f>
        <v>2025</v>
      </c>
      <c r="D168" s="309">
        <f>Table13[[#This Row],[Date]]-DAY(Table13[[#This Row],[Date]])+1</f>
        <v>45901</v>
      </c>
      <c r="E168" s="10">
        <f t="shared" si="15"/>
        <v>30</v>
      </c>
      <c r="F168" s="241" t="str">
        <f>IFERROR(_xlfn.XLOOKUP($A168,Input_Raw!$E:$E,Input_Raw!DC:DC),"")</f>
        <v/>
      </c>
      <c r="G168" s="313"/>
      <c r="H168" s="313"/>
      <c r="I168" s="313"/>
      <c r="J168" s="313"/>
      <c r="K168" s="243"/>
      <c r="L168" s="242"/>
      <c r="M168" s="242" t="str">
        <f>IFERROR(_xlfn.XLOOKUP($A168,Input_Raw!$E:$E,Input_Raw!$BM:$BM),"")</f>
        <v/>
      </c>
      <c r="N168" s="242" t="str">
        <f>IFERROR(_xlfn.XLOOKUP($A168,Input_Raw!$E:$E,Input_Raw!$BN:$BN),"")</f>
        <v/>
      </c>
      <c r="O168" s="311" t="str">
        <f t="shared" si="16"/>
        <v/>
      </c>
      <c r="P168" s="311" t="str">
        <f>IFERROR(1-SUMIF(WTG_BD!$F:$F,$A168,WTG_BD!$AA:$AA)/($AA168+SUMIF(WTG_BD!$F:$F,$A168,WTG_BD!$AA:$AA)),"")</f>
        <v/>
      </c>
      <c r="Q168" s="328" t="str">
        <f>IFERROR(1-SUMIF(IGA_BD!$F:$F,$A168,IGA_BD!$W:$W)/($AA168+SUMIF(IGA_BD!$F:$F,$A168,IGA_BD!$W:$W)),"")</f>
        <v/>
      </c>
      <c r="R168" s="47" t="str">
        <f>IFERROR(1-SUMIF(Grid_BD!$F:$F,$A168,Grid_BD!$Y:$Y)/($AA168+SUMIF(Grid_BD!$F:$F,$A168,Grid_BD!$Y:$Y)),"")</f>
        <v/>
      </c>
      <c r="S168" s="10"/>
      <c r="T168" s="310"/>
      <c r="U168" s="311"/>
      <c r="V168" s="10"/>
      <c r="W168" s="312" t="str">
        <f t="shared" si="17"/>
        <v/>
      </c>
      <c r="X168" s="10" t="str">
        <f>IFERROR(_xlfn.XLOOKUP($A168,Input_Raw!$E:$E,Input_Raw!BG:BG),"")</f>
        <v/>
      </c>
      <c r="Y168" s="10" t="str">
        <f>IFERROR(_xlfn.XLOOKUP($A168,Input_Raw!$E:$E,Input_Raw!DF:DF),"")</f>
        <v/>
      </c>
      <c r="Z168" s="319" t="str">
        <f>IFERROR(_xlfn.XLOOKUP(A168,Input_Raw!E:E,Input_Raw!CT:CT)/_xlfn.XLOOKUP(A168,Input_Raw!E:E,Input_Raw!CS:CS)*Table13[[#This Row],[Mtr_Export (kWh)]],"")</f>
        <v/>
      </c>
      <c r="AA168" s="43" t="str">
        <f t="shared" si="18"/>
        <v/>
      </c>
      <c r="AB168" s="10" t="str">
        <f>IFERROR(_xlfn.XLOOKUP($A168,Input_Raw!$E:$E,Input_Raw!$CZ:$CZ),"")</f>
        <v/>
      </c>
      <c r="AC168" s="313">
        <f>IFERROR(_xlfn.XLOOKUP($D168,'Modelling New'!$D:$D,'Modelling New'!$J:$J),"")</f>
        <v>7.2366664761360369</v>
      </c>
      <c r="AD168" s="43">
        <f>IFERROR(_xlfn.XLOOKUP($D168,'Modelling New'!$D:$D,'Modelling New'!$T:$T)*1000,"")</f>
        <v>416592.33333333331</v>
      </c>
      <c r="AE168" s="312"/>
      <c r="AF168" s="312">
        <f>IFERROR(_xlfn.XLOOKUP($D168,'Modelling New'!$D:$D,'Modelling New'!$W:$W),"")</f>
        <v>0.34304375274483978</v>
      </c>
      <c r="AG168" s="312">
        <f>IFERROR(_xlfn.XLOOKUP($D168,'Modelling New'!$D:$D,'Modelling New'!$AE:$AE),"")</f>
        <v>0.95549849999999992</v>
      </c>
      <c r="AH168" s="312">
        <f>IFERROR(_xlfn.XLOOKUP($D168,'Modelling New'!$D:$D,'Modelling New'!$AF:$AF),"")</f>
        <v>0.995</v>
      </c>
      <c r="AI168" s="10" t="str">
        <f>IFERROR(_xlfn.XLOOKUP($A168,Input_Raw!$E:$E,Input_Raw!$DG:$DG),"")</f>
        <v/>
      </c>
      <c r="AJ168" s="10"/>
      <c r="AK168" s="10"/>
      <c r="AL168" s="10"/>
      <c r="AM168" s="10"/>
      <c r="AN168" s="314" t="str">
        <f>IFERROR(_xlfn.XLOOKUP($A168,Input_Raw!$E:$E,Input_Raw!$CY:$CY),"")</f>
        <v/>
      </c>
      <c r="AO168" s="312" t="str">
        <f>IFERROR((_xlfn.XLOOKUP($A168,'WTG Reactive Power'!$A:$A,'WTG Reactive Power'!AB:AB))/X168,"")</f>
        <v/>
      </c>
      <c r="AP168" s="312">
        <f>IFERROR(_xlfn.XLOOKUP($D168,'Modelling New'!$D:$D,'Modelling New'!AK:AK),"")</f>
        <v>0.05</v>
      </c>
      <c r="AQ168" s="312">
        <f>IFERROR(_xlfn.XLOOKUP($D168,'Modelling New'!$D:$D,'Modelling New'!AL:AL),"")</f>
        <v>0.05</v>
      </c>
      <c r="AR168" s="325">
        <f>IFERROR(_xlfn.XLOOKUP($D168,'Modelling New'!$D:$D,'Modelling New'!$N:$N),"")</f>
        <v>50.59999999999998</v>
      </c>
      <c r="AS168" s="325"/>
    </row>
    <row r="169" spans="1:45">
      <c r="A169" s="32">
        <f t="shared" si="19"/>
        <v>45912</v>
      </c>
      <c r="B169" s="43">
        <f>YEAR(Table13[[#This Row],[Date]])+IF(MONTH(Table13[[#This Row],[Date]])&gt;=4,1,0)</f>
        <v>2026</v>
      </c>
      <c r="C169" s="10">
        <f>YEAR(Table13[[#This Row],[Date]])</f>
        <v>2025</v>
      </c>
      <c r="D169" s="309">
        <f>Table13[[#This Row],[Date]]-DAY(Table13[[#This Row],[Date]])+1</f>
        <v>45901</v>
      </c>
      <c r="E169" s="10">
        <f t="shared" si="15"/>
        <v>30</v>
      </c>
      <c r="F169" s="241" t="str">
        <f>IFERROR(_xlfn.XLOOKUP($A169,Input_Raw!$E:$E,Input_Raw!DC:DC),"")</f>
        <v/>
      </c>
      <c r="G169" s="242"/>
      <c r="H169" s="242"/>
      <c r="I169" s="242"/>
      <c r="J169" s="242"/>
      <c r="K169" s="243"/>
      <c r="L169" s="242"/>
      <c r="M169" s="242" t="str">
        <f>IFERROR(_xlfn.XLOOKUP($A169,Input_Raw!$E:$E,Input_Raw!$BM:$BM),"")</f>
        <v/>
      </c>
      <c r="N169" s="242" t="str">
        <f>IFERROR(_xlfn.XLOOKUP($A169,Input_Raw!$E:$E,Input_Raw!$BN:$BN),"")</f>
        <v/>
      </c>
      <c r="O169" s="311" t="str">
        <f t="shared" si="16"/>
        <v/>
      </c>
      <c r="P169" s="311" t="str">
        <f>IFERROR(1-SUMIF(WTG_BD!$F:$F,$A169,WTG_BD!$AA:$AA)/($AA169+SUMIF(WTG_BD!$F:$F,$A169,WTG_BD!$AA:$AA)),"")</f>
        <v/>
      </c>
      <c r="Q169" s="328" t="str">
        <f>IFERROR(1-SUMIF(IGA_BD!$F:$F,$A169,IGA_BD!$W:$W)/($AA169+SUMIF(IGA_BD!$F:$F,$A169,IGA_BD!$W:$W)),"")</f>
        <v/>
      </c>
      <c r="R169" s="311" t="str">
        <f>IFERROR(1-SUMIF(Grid_BD!$F:$F,$A169,Grid_BD!$Y:$Y)/($AA169+SUMIF(Grid_BD!$F:$F,$A169,Grid_BD!$Y:$Y)),"")</f>
        <v/>
      </c>
      <c r="S169" s="10"/>
      <c r="T169" s="310"/>
      <c r="U169" s="311"/>
      <c r="V169" s="10"/>
      <c r="W169" s="312" t="str">
        <f t="shared" si="17"/>
        <v/>
      </c>
      <c r="X169" s="10" t="str">
        <f>IFERROR(_xlfn.XLOOKUP($A169,Input_Raw!$E:$E,Input_Raw!BG:BG),"")</f>
        <v/>
      </c>
      <c r="Y169" s="10" t="str">
        <f>IFERROR(_xlfn.XLOOKUP($A169,Input_Raw!$E:$E,Input_Raw!DF:DF),"")</f>
        <v/>
      </c>
      <c r="Z169" s="319" t="str">
        <f>IFERROR(_xlfn.XLOOKUP(A169,Input_Raw!E:E,Input_Raw!CT:CT)/_xlfn.XLOOKUP(A169,Input_Raw!E:E,Input_Raw!CS:CS)*Table13[[#This Row],[Mtr_Export (kWh)]],"")</f>
        <v/>
      </c>
      <c r="AA169" s="43" t="str">
        <f t="shared" si="18"/>
        <v/>
      </c>
      <c r="AB169" s="10" t="str">
        <f>IFERROR(_xlfn.XLOOKUP($A169,Input_Raw!$E:$E,Input_Raw!$CZ:$CZ),"")</f>
        <v/>
      </c>
      <c r="AC169" s="313">
        <f>IFERROR(_xlfn.XLOOKUP($D169,'Modelling New'!$D:$D,'Modelling New'!$J:$J),"")</f>
        <v>7.2366664761360369</v>
      </c>
      <c r="AD169" s="43">
        <f>IFERROR(_xlfn.XLOOKUP($D169,'Modelling New'!$D:$D,'Modelling New'!$T:$T)*1000,"")</f>
        <v>416592.33333333331</v>
      </c>
      <c r="AE169" s="312"/>
      <c r="AF169" s="312">
        <f>IFERROR(_xlfn.XLOOKUP($D169,'Modelling New'!$D:$D,'Modelling New'!$W:$W),"")</f>
        <v>0.34304375274483978</v>
      </c>
      <c r="AG169" s="312">
        <f>IFERROR(_xlfn.XLOOKUP($D169,'Modelling New'!$D:$D,'Modelling New'!$AE:$AE),"")</f>
        <v>0.95549849999999992</v>
      </c>
      <c r="AH169" s="312">
        <f>IFERROR(_xlfn.XLOOKUP($D169,'Modelling New'!$D:$D,'Modelling New'!$AF:$AF),"")</f>
        <v>0.995</v>
      </c>
      <c r="AI169" s="10" t="str">
        <f>IFERROR(_xlfn.XLOOKUP($A169,Input_Raw!$E:$E,Input_Raw!$DG:$DG),"")</f>
        <v/>
      </c>
      <c r="AJ169" s="10"/>
      <c r="AK169" s="10"/>
      <c r="AL169" s="10"/>
      <c r="AM169" s="10"/>
      <c r="AN169" s="314" t="str">
        <f>IFERROR(_xlfn.XLOOKUP($A169,Input_Raw!$E:$E,Input_Raw!$CY:$CY),"")</f>
        <v/>
      </c>
      <c r="AO169" s="312" t="str">
        <f>IFERROR((_xlfn.XLOOKUP($A169,'WTG Reactive Power'!$A:$A,'WTG Reactive Power'!AB:AB))/X169,"")</f>
        <v/>
      </c>
      <c r="AP169" s="312">
        <f>IFERROR(_xlfn.XLOOKUP($D169,'Modelling New'!$D:$D,'Modelling New'!AK:AK),"")</f>
        <v>0.05</v>
      </c>
      <c r="AQ169" s="312">
        <f>IFERROR(_xlfn.XLOOKUP($D169,'Modelling New'!$D:$D,'Modelling New'!AL:AL),"")</f>
        <v>0.05</v>
      </c>
      <c r="AR169" s="325">
        <f>IFERROR(_xlfn.XLOOKUP($D169,'Modelling New'!$D:$D,'Modelling New'!$N:$N),"")</f>
        <v>50.59999999999998</v>
      </c>
      <c r="AS169" s="325"/>
    </row>
    <row r="170" spans="1:45">
      <c r="A170" s="32">
        <f t="shared" si="19"/>
        <v>45913</v>
      </c>
      <c r="B170" s="43">
        <f>YEAR(Table13[[#This Row],[Date]])+IF(MONTH(Table13[[#This Row],[Date]])&gt;=4,1,0)</f>
        <v>2026</v>
      </c>
      <c r="C170" s="10">
        <f>YEAR(Table13[[#This Row],[Date]])</f>
        <v>2025</v>
      </c>
      <c r="D170" s="309">
        <f>Table13[[#This Row],[Date]]-DAY(Table13[[#This Row],[Date]])+1</f>
        <v>45901</v>
      </c>
      <c r="E170" s="10">
        <f t="shared" si="15"/>
        <v>30</v>
      </c>
      <c r="F170" s="241" t="str">
        <f>IFERROR(_xlfn.XLOOKUP($A170,Input_Raw!$E:$E,Input_Raw!DC:DC),"")</f>
        <v/>
      </c>
      <c r="G170" s="313"/>
      <c r="H170" s="313"/>
      <c r="I170" s="313"/>
      <c r="J170" s="313"/>
      <c r="K170" s="243"/>
      <c r="L170" s="242"/>
      <c r="M170" s="242" t="str">
        <f>IFERROR(_xlfn.XLOOKUP($A170,Input_Raw!$E:$E,Input_Raw!$BM:$BM),"")</f>
        <v/>
      </c>
      <c r="N170" s="242" t="str">
        <f>IFERROR(_xlfn.XLOOKUP($A170,Input_Raw!$E:$E,Input_Raw!$BN:$BN),"")</f>
        <v/>
      </c>
      <c r="O170" s="311" t="str">
        <f t="shared" si="16"/>
        <v/>
      </c>
      <c r="P170" s="311" t="str">
        <f>IFERROR(1-SUMIF(WTG_BD!$F:$F,$A170,WTG_BD!$AA:$AA)/($AA170+SUMIF(WTG_BD!$F:$F,$A170,WTG_BD!$AA:$AA)),"")</f>
        <v/>
      </c>
      <c r="Q170" s="328" t="str">
        <f>IFERROR(1-SUMIF(IGA_BD!$F:$F,$A170,IGA_BD!$W:$W)/($AA170+SUMIF(IGA_BD!$F:$F,$A170,IGA_BD!$W:$W)),"")</f>
        <v/>
      </c>
      <c r="R170" s="47" t="str">
        <f>IFERROR(1-SUMIF(Grid_BD!$F:$F,$A170,Grid_BD!$Y:$Y)/($AA170+SUMIF(Grid_BD!$F:$F,$A170,Grid_BD!$Y:$Y)),"")</f>
        <v/>
      </c>
      <c r="S170" s="10"/>
      <c r="T170" s="310"/>
      <c r="U170" s="311"/>
      <c r="V170" s="10"/>
      <c r="W170" s="312" t="str">
        <f t="shared" si="17"/>
        <v/>
      </c>
      <c r="X170" s="10" t="str">
        <f>IFERROR(_xlfn.XLOOKUP($A170,Input_Raw!$E:$E,Input_Raw!BG:BG),"")</f>
        <v/>
      </c>
      <c r="Y170" s="10" t="str">
        <f>IFERROR(_xlfn.XLOOKUP($A170,Input_Raw!$E:$E,Input_Raw!DF:DF),"")</f>
        <v/>
      </c>
      <c r="Z170" s="319" t="str">
        <f>IFERROR(_xlfn.XLOOKUP(A170,Input_Raw!E:E,Input_Raw!CT:CT)/_xlfn.XLOOKUP(A170,Input_Raw!E:E,Input_Raw!CS:CS)*Table13[[#This Row],[Mtr_Export (kWh)]],"")</f>
        <v/>
      </c>
      <c r="AA170" s="43" t="str">
        <f t="shared" si="18"/>
        <v/>
      </c>
      <c r="AB170" s="10" t="str">
        <f>IFERROR(_xlfn.XLOOKUP($A170,Input_Raw!$E:$E,Input_Raw!$CZ:$CZ),"")</f>
        <v/>
      </c>
      <c r="AC170" s="313">
        <f>IFERROR(_xlfn.XLOOKUP($D170,'Modelling New'!$D:$D,'Modelling New'!$J:$J),"")</f>
        <v>7.2366664761360369</v>
      </c>
      <c r="AD170" s="43">
        <f>IFERROR(_xlfn.XLOOKUP($D170,'Modelling New'!$D:$D,'Modelling New'!$T:$T)*1000,"")</f>
        <v>416592.33333333331</v>
      </c>
      <c r="AE170" s="312"/>
      <c r="AF170" s="312">
        <f>IFERROR(_xlfn.XLOOKUP($D170,'Modelling New'!$D:$D,'Modelling New'!$W:$W),"")</f>
        <v>0.34304375274483978</v>
      </c>
      <c r="AG170" s="312">
        <f>IFERROR(_xlfn.XLOOKUP($D170,'Modelling New'!$D:$D,'Modelling New'!$AE:$AE),"")</f>
        <v>0.95549849999999992</v>
      </c>
      <c r="AH170" s="312">
        <f>IFERROR(_xlfn.XLOOKUP($D170,'Modelling New'!$D:$D,'Modelling New'!$AF:$AF),"")</f>
        <v>0.995</v>
      </c>
      <c r="AI170" s="10" t="str">
        <f>IFERROR(_xlfn.XLOOKUP($A170,Input_Raw!$E:$E,Input_Raw!$DG:$DG),"")</f>
        <v/>
      </c>
      <c r="AJ170" s="10"/>
      <c r="AK170" s="10"/>
      <c r="AL170" s="10"/>
      <c r="AM170" s="10"/>
      <c r="AN170" s="314" t="str">
        <f>IFERROR(_xlfn.XLOOKUP($A170,Input_Raw!$E:$E,Input_Raw!$CY:$CY),"")</f>
        <v/>
      </c>
      <c r="AO170" s="312" t="str">
        <f>IFERROR((_xlfn.XLOOKUP($A170,'WTG Reactive Power'!$A:$A,'WTG Reactive Power'!AB:AB))/X170,"")</f>
        <v/>
      </c>
      <c r="AP170" s="312">
        <f>IFERROR(_xlfn.XLOOKUP($D170,'Modelling New'!$D:$D,'Modelling New'!AK:AK),"")</f>
        <v>0.05</v>
      </c>
      <c r="AQ170" s="312">
        <f>IFERROR(_xlfn.XLOOKUP($D170,'Modelling New'!$D:$D,'Modelling New'!AL:AL),"")</f>
        <v>0.05</v>
      </c>
      <c r="AR170" s="325">
        <f>IFERROR(_xlfn.XLOOKUP($D170,'Modelling New'!$D:$D,'Modelling New'!$N:$N),"")</f>
        <v>50.59999999999998</v>
      </c>
      <c r="AS170" s="325"/>
    </row>
    <row r="171" spans="1:45">
      <c r="A171" s="32">
        <f t="shared" si="19"/>
        <v>45914</v>
      </c>
      <c r="B171" s="43">
        <f>YEAR(Table13[[#This Row],[Date]])+IF(MONTH(Table13[[#This Row],[Date]])&gt;=4,1,0)</f>
        <v>2026</v>
      </c>
      <c r="C171" s="10">
        <f>YEAR(Table13[[#This Row],[Date]])</f>
        <v>2025</v>
      </c>
      <c r="D171" s="309">
        <f>Table13[[#This Row],[Date]]-DAY(Table13[[#This Row],[Date]])+1</f>
        <v>45901</v>
      </c>
      <c r="E171" s="10">
        <f t="shared" si="15"/>
        <v>30</v>
      </c>
      <c r="F171" s="241" t="str">
        <f>IFERROR(_xlfn.XLOOKUP($A171,Input_Raw!$E:$E,Input_Raw!DC:DC),"")</f>
        <v/>
      </c>
      <c r="G171" s="242"/>
      <c r="H171" s="242"/>
      <c r="I171" s="242"/>
      <c r="J171" s="242"/>
      <c r="K171" s="243"/>
      <c r="L171" s="242"/>
      <c r="M171" s="242" t="str">
        <f>IFERROR(_xlfn.XLOOKUP($A171,Input_Raw!$E:$E,Input_Raw!$BM:$BM),"")</f>
        <v/>
      </c>
      <c r="N171" s="242" t="str">
        <f>IFERROR(_xlfn.XLOOKUP($A171,Input_Raw!$E:$E,Input_Raw!$BN:$BN),"")</f>
        <v/>
      </c>
      <c r="O171" s="311" t="str">
        <f t="shared" si="16"/>
        <v/>
      </c>
      <c r="P171" s="311" t="str">
        <f>IFERROR(1-SUMIF(WTG_BD!$F:$F,$A171,WTG_BD!$AA:$AA)/($AA171+SUMIF(WTG_BD!$F:$F,$A171,WTG_BD!$AA:$AA)),"")</f>
        <v/>
      </c>
      <c r="Q171" s="328" t="str">
        <f>IFERROR(1-SUMIF(IGA_BD!$F:$F,$A171,IGA_BD!$W:$W)/($AA171+SUMIF(IGA_BD!$F:$F,$A171,IGA_BD!$W:$W)),"")</f>
        <v/>
      </c>
      <c r="R171" s="311" t="str">
        <f>IFERROR(1-SUMIF(Grid_BD!$F:$F,$A171,Grid_BD!$Y:$Y)/($AA171+SUMIF(Grid_BD!$F:$F,$A171,Grid_BD!$Y:$Y)),"")</f>
        <v/>
      </c>
      <c r="S171" s="10"/>
      <c r="T171" s="310"/>
      <c r="U171" s="311"/>
      <c r="V171" s="10"/>
      <c r="W171" s="312" t="str">
        <f t="shared" si="17"/>
        <v/>
      </c>
      <c r="X171" s="10" t="str">
        <f>IFERROR(_xlfn.XLOOKUP($A171,Input_Raw!$E:$E,Input_Raw!BG:BG),"")</f>
        <v/>
      </c>
      <c r="Y171" s="10" t="str">
        <f>IFERROR(_xlfn.XLOOKUP($A171,Input_Raw!$E:$E,Input_Raw!DF:DF),"")</f>
        <v/>
      </c>
      <c r="Z171" s="319" t="str">
        <f>IFERROR(_xlfn.XLOOKUP(A171,Input_Raw!E:E,Input_Raw!CT:CT)/_xlfn.XLOOKUP(A171,Input_Raw!E:E,Input_Raw!CS:CS)*Table13[[#This Row],[Mtr_Export (kWh)]],"")</f>
        <v/>
      </c>
      <c r="AA171" s="43" t="str">
        <f t="shared" si="18"/>
        <v/>
      </c>
      <c r="AB171" s="10" t="str">
        <f>IFERROR(_xlfn.XLOOKUP($A171,Input_Raw!$E:$E,Input_Raw!$CZ:$CZ),"")</f>
        <v/>
      </c>
      <c r="AC171" s="313">
        <f>IFERROR(_xlfn.XLOOKUP($D171,'Modelling New'!$D:$D,'Modelling New'!$J:$J),"")</f>
        <v>7.2366664761360369</v>
      </c>
      <c r="AD171" s="43">
        <f>IFERROR(_xlfn.XLOOKUP($D171,'Modelling New'!$D:$D,'Modelling New'!$T:$T)*1000,"")</f>
        <v>416592.33333333331</v>
      </c>
      <c r="AE171" s="312"/>
      <c r="AF171" s="312">
        <f>IFERROR(_xlfn.XLOOKUP($D171,'Modelling New'!$D:$D,'Modelling New'!$W:$W),"")</f>
        <v>0.34304375274483978</v>
      </c>
      <c r="AG171" s="312">
        <f>IFERROR(_xlfn.XLOOKUP($D171,'Modelling New'!$D:$D,'Modelling New'!$AE:$AE),"")</f>
        <v>0.95549849999999992</v>
      </c>
      <c r="AH171" s="312">
        <f>IFERROR(_xlfn.XLOOKUP($D171,'Modelling New'!$D:$D,'Modelling New'!$AF:$AF),"")</f>
        <v>0.995</v>
      </c>
      <c r="AI171" s="10" t="str">
        <f>IFERROR(_xlfn.XLOOKUP($A171,Input_Raw!$E:$E,Input_Raw!$DG:$DG),"")</f>
        <v/>
      </c>
      <c r="AJ171" s="10"/>
      <c r="AK171" s="10"/>
      <c r="AL171" s="10"/>
      <c r="AM171" s="10"/>
      <c r="AN171" s="314" t="str">
        <f>IFERROR(_xlfn.XLOOKUP($A171,Input_Raw!$E:$E,Input_Raw!$CY:$CY),"")</f>
        <v/>
      </c>
      <c r="AO171" s="312" t="str">
        <f>IFERROR((_xlfn.XLOOKUP($A171,'WTG Reactive Power'!$A:$A,'WTG Reactive Power'!AB:AB))/X171,"")</f>
        <v/>
      </c>
      <c r="AP171" s="312">
        <f>IFERROR(_xlfn.XLOOKUP($D171,'Modelling New'!$D:$D,'Modelling New'!AK:AK),"")</f>
        <v>0.05</v>
      </c>
      <c r="AQ171" s="312">
        <f>IFERROR(_xlfn.XLOOKUP($D171,'Modelling New'!$D:$D,'Modelling New'!AL:AL),"")</f>
        <v>0.05</v>
      </c>
      <c r="AR171" s="325">
        <f>IFERROR(_xlfn.XLOOKUP($D171,'Modelling New'!$D:$D,'Modelling New'!$N:$N),"")</f>
        <v>50.59999999999998</v>
      </c>
      <c r="AS171" s="325"/>
    </row>
    <row r="172" spans="1:45">
      <c r="A172" s="32">
        <f t="shared" si="19"/>
        <v>45915</v>
      </c>
      <c r="B172" s="43">
        <f>YEAR(Table13[[#This Row],[Date]])+IF(MONTH(Table13[[#This Row],[Date]])&gt;=4,1,0)</f>
        <v>2026</v>
      </c>
      <c r="C172" s="10">
        <f>YEAR(Table13[[#This Row],[Date]])</f>
        <v>2025</v>
      </c>
      <c r="D172" s="309">
        <f>Table13[[#This Row],[Date]]-DAY(Table13[[#This Row],[Date]])+1</f>
        <v>45901</v>
      </c>
      <c r="E172" s="10">
        <f t="shared" si="15"/>
        <v>30</v>
      </c>
      <c r="F172" s="241" t="str">
        <f>IFERROR(_xlfn.XLOOKUP($A172,Input_Raw!$E:$E,Input_Raw!DC:DC),"")</f>
        <v/>
      </c>
      <c r="G172" s="313"/>
      <c r="H172" s="313"/>
      <c r="I172" s="313"/>
      <c r="J172" s="313"/>
      <c r="K172" s="243"/>
      <c r="L172" s="242"/>
      <c r="M172" s="242" t="str">
        <f>IFERROR(_xlfn.XLOOKUP($A172,Input_Raw!$E:$E,Input_Raw!$BM:$BM),"")</f>
        <v/>
      </c>
      <c r="N172" s="242" t="str">
        <f>IFERROR(_xlfn.XLOOKUP($A172,Input_Raw!$E:$E,Input_Raw!$BN:$BN),"")</f>
        <v/>
      </c>
      <c r="O172" s="311" t="str">
        <f t="shared" si="16"/>
        <v/>
      </c>
      <c r="P172" s="311" t="str">
        <f>IFERROR(1-SUMIF(WTG_BD!$F:$F,$A172,WTG_BD!$AA:$AA)/($AA172+SUMIF(WTG_BD!$F:$F,$A172,WTG_BD!$AA:$AA)),"")</f>
        <v/>
      </c>
      <c r="Q172" s="328" t="str">
        <f>IFERROR(1-SUMIF(IGA_BD!$F:$F,$A172,IGA_BD!$W:$W)/($AA172+SUMIF(IGA_BD!$F:$F,$A172,IGA_BD!$W:$W)),"")</f>
        <v/>
      </c>
      <c r="R172" s="47" t="str">
        <f>IFERROR(1-SUMIF(Grid_BD!$F:$F,$A172,Grid_BD!$Y:$Y)/($AA172+SUMIF(Grid_BD!$F:$F,$A172,Grid_BD!$Y:$Y)),"")</f>
        <v/>
      </c>
      <c r="S172" s="10"/>
      <c r="T172" s="310"/>
      <c r="U172" s="311"/>
      <c r="V172" s="10"/>
      <c r="W172" s="312" t="str">
        <f t="shared" si="17"/>
        <v/>
      </c>
      <c r="X172" s="10" t="str">
        <f>IFERROR(_xlfn.XLOOKUP($A172,Input_Raw!$E:$E,Input_Raw!BG:BG),"")</f>
        <v/>
      </c>
      <c r="Y172" s="10" t="str">
        <f>IFERROR(_xlfn.XLOOKUP($A172,Input_Raw!$E:$E,Input_Raw!DF:DF),"")</f>
        <v/>
      </c>
      <c r="Z172" s="319" t="str">
        <f>IFERROR(_xlfn.XLOOKUP(A172,Input_Raw!E:E,Input_Raw!CT:CT)/_xlfn.XLOOKUP(A172,Input_Raw!E:E,Input_Raw!CS:CS)*Table13[[#This Row],[Mtr_Export (kWh)]],"")</f>
        <v/>
      </c>
      <c r="AA172" s="43" t="str">
        <f t="shared" si="18"/>
        <v/>
      </c>
      <c r="AB172" s="10" t="str">
        <f>IFERROR(_xlfn.XLOOKUP($A172,Input_Raw!$E:$E,Input_Raw!$CZ:$CZ),"")</f>
        <v/>
      </c>
      <c r="AC172" s="313">
        <f>IFERROR(_xlfn.XLOOKUP($D172,'Modelling New'!$D:$D,'Modelling New'!$J:$J),"")</f>
        <v>7.2366664761360369</v>
      </c>
      <c r="AD172" s="43">
        <f>IFERROR(_xlfn.XLOOKUP($D172,'Modelling New'!$D:$D,'Modelling New'!$T:$T)*1000,"")</f>
        <v>416592.33333333331</v>
      </c>
      <c r="AE172" s="312"/>
      <c r="AF172" s="312">
        <f>IFERROR(_xlfn.XLOOKUP($D172,'Modelling New'!$D:$D,'Modelling New'!$W:$W),"")</f>
        <v>0.34304375274483978</v>
      </c>
      <c r="AG172" s="312">
        <f>IFERROR(_xlfn.XLOOKUP($D172,'Modelling New'!$D:$D,'Modelling New'!$AE:$AE),"")</f>
        <v>0.95549849999999992</v>
      </c>
      <c r="AH172" s="312">
        <f>IFERROR(_xlfn.XLOOKUP($D172,'Modelling New'!$D:$D,'Modelling New'!$AF:$AF),"")</f>
        <v>0.995</v>
      </c>
      <c r="AI172" s="10" t="str">
        <f>IFERROR(_xlfn.XLOOKUP($A172,Input_Raw!$E:$E,Input_Raw!$DG:$DG),"")</f>
        <v/>
      </c>
      <c r="AJ172" s="10"/>
      <c r="AK172" s="10"/>
      <c r="AL172" s="10"/>
      <c r="AM172" s="10"/>
      <c r="AN172" s="314" t="str">
        <f>IFERROR(_xlfn.XLOOKUP($A172,Input_Raw!$E:$E,Input_Raw!$CY:$CY),"")</f>
        <v/>
      </c>
      <c r="AO172" s="312" t="str">
        <f>IFERROR((_xlfn.XLOOKUP($A172,'WTG Reactive Power'!$A:$A,'WTG Reactive Power'!AB:AB))/X172,"")</f>
        <v/>
      </c>
      <c r="AP172" s="312">
        <f>IFERROR(_xlfn.XLOOKUP($D172,'Modelling New'!$D:$D,'Modelling New'!AK:AK),"")</f>
        <v>0.05</v>
      </c>
      <c r="AQ172" s="312">
        <f>IFERROR(_xlfn.XLOOKUP($D172,'Modelling New'!$D:$D,'Modelling New'!AL:AL),"")</f>
        <v>0.05</v>
      </c>
      <c r="AR172" s="325">
        <f>IFERROR(_xlfn.XLOOKUP($D172,'Modelling New'!$D:$D,'Modelling New'!$N:$N),"")</f>
        <v>50.59999999999998</v>
      </c>
      <c r="AS172" s="325"/>
    </row>
    <row r="173" spans="1:45">
      <c r="A173" s="32">
        <f t="shared" si="19"/>
        <v>45916</v>
      </c>
      <c r="B173" s="43">
        <f>YEAR(Table13[[#This Row],[Date]])+IF(MONTH(Table13[[#This Row],[Date]])&gt;=4,1,0)</f>
        <v>2026</v>
      </c>
      <c r="C173" s="10">
        <f>YEAR(Table13[[#This Row],[Date]])</f>
        <v>2025</v>
      </c>
      <c r="D173" s="309">
        <f>Table13[[#This Row],[Date]]-DAY(Table13[[#This Row],[Date]])+1</f>
        <v>45901</v>
      </c>
      <c r="E173" s="10">
        <f t="shared" si="15"/>
        <v>30</v>
      </c>
      <c r="F173" s="241" t="str">
        <f>IFERROR(_xlfn.XLOOKUP($A173,Input_Raw!$E:$E,Input_Raw!DC:DC),"")</f>
        <v/>
      </c>
      <c r="G173" s="242"/>
      <c r="H173" s="242"/>
      <c r="I173" s="242"/>
      <c r="J173" s="242"/>
      <c r="K173" s="243"/>
      <c r="L173" s="242"/>
      <c r="M173" s="242" t="str">
        <f>IFERROR(_xlfn.XLOOKUP($A173,Input_Raw!$E:$E,Input_Raw!$BM:$BM),"")</f>
        <v/>
      </c>
      <c r="N173" s="242" t="str">
        <f>IFERROR(_xlfn.XLOOKUP($A173,Input_Raw!$E:$E,Input_Raw!$BN:$BN),"")</f>
        <v/>
      </c>
      <c r="O173" s="311" t="str">
        <f t="shared" si="16"/>
        <v/>
      </c>
      <c r="P173" s="311" t="str">
        <f>IFERROR(1-SUMIF(WTG_BD!$F:$F,$A173,WTG_BD!$AA:$AA)/($AA173+SUMIF(WTG_BD!$F:$F,$A173,WTG_BD!$AA:$AA)),"")</f>
        <v/>
      </c>
      <c r="Q173" s="328" t="str">
        <f>IFERROR(1-SUMIF(IGA_BD!$F:$F,$A173,IGA_BD!$W:$W)/($AA173+SUMIF(IGA_BD!$F:$F,$A173,IGA_BD!$W:$W)),"")</f>
        <v/>
      </c>
      <c r="R173" s="311" t="str">
        <f>IFERROR(1-SUMIF(Grid_BD!$F:$F,$A173,Grid_BD!$Y:$Y)/($AA173+SUMIF(Grid_BD!$F:$F,$A173,Grid_BD!$Y:$Y)),"")</f>
        <v/>
      </c>
      <c r="S173" s="10"/>
      <c r="T173" s="310"/>
      <c r="U173" s="311"/>
      <c r="V173" s="10"/>
      <c r="W173" s="312" t="str">
        <f t="shared" si="17"/>
        <v/>
      </c>
      <c r="X173" s="10" t="str">
        <f>IFERROR(_xlfn.XLOOKUP($A173,Input_Raw!$E:$E,Input_Raw!BG:BG),"")</f>
        <v/>
      </c>
      <c r="Y173" s="10" t="str">
        <f>IFERROR(_xlfn.XLOOKUP($A173,Input_Raw!$E:$E,Input_Raw!DF:DF),"")</f>
        <v/>
      </c>
      <c r="Z173" s="319" t="str">
        <f>IFERROR(_xlfn.XLOOKUP(A173,Input_Raw!E:E,Input_Raw!CT:CT)/_xlfn.XLOOKUP(A173,Input_Raw!E:E,Input_Raw!CS:CS)*Table13[[#This Row],[Mtr_Export (kWh)]],"")</f>
        <v/>
      </c>
      <c r="AA173" s="43" t="str">
        <f t="shared" si="18"/>
        <v/>
      </c>
      <c r="AB173" s="10" t="str">
        <f>IFERROR(_xlfn.XLOOKUP($A173,Input_Raw!$E:$E,Input_Raw!$CZ:$CZ),"")</f>
        <v/>
      </c>
      <c r="AC173" s="313">
        <f>IFERROR(_xlfn.XLOOKUP($D173,'Modelling New'!$D:$D,'Modelling New'!$J:$J),"")</f>
        <v>7.2366664761360369</v>
      </c>
      <c r="AD173" s="43">
        <f>IFERROR(_xlfn.XLOOKUP($D173,'Modelling New'!$D:$D,'Modelling New'!$T:$T)*1000,"")</f>
        <v>416592.33333333331</v>
      </c>
      <c r="AE173" s="312"/>
      <c r="AF173" s="312">
        <f>IFERROR(_xlfn.XLOOKUP($D173,'Modelling New'!$D:$D,'Modelling New'!$W:$W),"")</f>
        <v>0.34304375274483978</v>
      </c>
      <c r="AG173" s="312">
        <f>IFERROR(_xlfn.XLOOKUP($D173,'Modelling New'!$D:$D,'Modelling New'!$AE:$AE),"")</f>
        <v>0.95549849999999992</v>
      </c>
      <c r="AH173" s="312">
        <f>IFERROR(_xlfn.XLOOKUP($D173,'Modelling New'!$D:$D,'Modelling New'!$AF:$AF),"")</f>
        <v>0.995</v>
      </c>
      <c r="AI173" s="10" t="str">
        <f>IFERROR(_xlfn.XLOOKUP($A173,Input_Raw!$E:$E,Input_Raw!$DG:$DG),"")</f>
        <v/>
      </c>
      <c r="AJ173" s="10"/>
      <c r="AK173" s="10"/>
      <c r="AL173" s="10"/>
      <c r="AM173" s="10"/>
      <c r="AN173" s="314" t="str">
        <f>IFERROR(_xlfn.XLOOKUP($A173,Input_Raw!$E:$E,Input_Raw!$CY:$CY),"")</f>
        <v/>
      </c>
      <c r="AO173" s="312" t="str">
        <f>IFERROR((_xlfn.XLOOKUP($A173,'WTG Reactive Power'!$A:$A,'WTG Reactive Power'!AB:AB))/X173,"")</f>
        <v/>
      </c>
      <c r="AP173" s="312">
        <f>IFERROR(_xlfn.XLOOKUP($D173,'Modelling New'!$D:$D,'Modelling New'!AK:AK),"")</f>
        <v>0.05</v>
      </c>
      <c r="AQ173" s="312">
        <f>IFERROR(_xlfn.XLOOKUP($D173,'Modelling New'!$D:$D,'Modelling New'!AL:AL),"")</f>
        <v>0.05</v>
      </c>
      <c r="AR173" s="325">
        <f>IFERROR(_xlfn.XLOOKUP($D173,'Modelling New'!$D:$D,'Modelling New'!$N:$N),"")</f>
        <v>50.59999999999998</v>
      </c>
      <c r="AS173" s="325"/>
    </row>
    <row r="174" spans="1:45">
      <c r="A174" s="32">
        <f t="shared" si="19"/>
        <v>45917</v>
      </c>
      <c r="B174" s="43">
        <f>YEAR(Table13[[#This Row],[Date]])+IF(MONTH(Table13[[#This Row],[Date]])&gt;=4,1,0)</f>
        <v>2026</v>
      </c>
      <c r="C174" s="10">
        <f>YEAR(Table13[[#This Row],[Date]])</f>
        <v>2025</v>
      </c>
      <c r="D174" s="309">
        <f>Table13[[#This Row],[Date]]-DAY(Table13[[#This Row],[Date]])+1</f>
        <v>45901</v>
      </c>
      <c r="E174" s="10">
        <f t="shared" si="15"/>
        <v>30</v>
      </c>
      <c r="F174" s="241" t="str">
        <f>IFERROR(_xlfn.XLOOKUP($A174,Input_Raw!$E:$E,Input_Raw!DC:DC),"")</f>
        <v/>
      </c>
      <c r="G174" s="313"/>
      <c r="H174" s="313"/>
      <c r="I174" s="313"/>
      <c r="J174" s="313"/>
      <c r="K174" s="243"/>
      <c r="L174" s="242"/>
      <c r="M174" s="242" t="str">
        <f>IFERROR(_xlfn.XLOOKUP($A174,Input_Raw!$E:$E,Input_Raw!$BM:$BM),"")</f>
        <v/>
      </c>
      <c r="N174" s="242" t="str">
        <f>IFERROR(_xlfn.XLOOKUP($A174,Input_Raw!$E:$E,Input_Raw!$BN:$BN),"")</f>
        <v/>
      </c>
      <c r="O174" s="311" t="str">
        <f t="shared" si="16"/>
        <v/>
      </c>
      <c r="P174" s="311" t="str">
        <f>IFERROR(1-SUMIF(WTG_BD!$F:$F,$A174,WTG_BD!$AA:$AA)/($AA174+SUMIF(WTG_BD!$F:$F,$A174,WTG_BD!$AA:$AA)),"")</f>
        <v/>
      </c>
      <c r="Q174" s="328" t="str">
        <f>IFERROR(1-SUMIF(IGA_BD!$F:$F,$A174,IGA_BD!$W:$W)/($AA174+SUMIF(IGA_BD!$F:$F,$A174,IGA_BD!$W:$W)),"")</f>
        <v/>
      </c>
      <c r="R174" s="47" t="str">
        <f>IFERROR(1-SUMIF(Grid_BD!$F:$F,$A174,Grid_BD!$Y:$Y)/($AA174+SUMIF(Grid_BD!$F:$F,$A174,Grid_BD!$Y:$Y)),"")</f>
        <v/>
      </c>
      <c r="S174" s="10"/>
      <c r="T174" s="310"/>
      <c r="U174" s="311"/>
      <c r="V174" s="10"/>
      <c r="W174" s="312" t="str">
        <f t="shared" si="17"/>
        <v/>
      </c>
      <c r="X174" s="10" t="str">
        <f>IFERROR(_xlfn.XLOOKUP($A174,Input_Raw!$E:$E,Input_Raw!BG:BG),"")</f>
        <v/>
      </c>
      <c r="Y174" s="10" t="str">
        <f>IFERROR(_xlfn.XLOOKUP($A174,Input_Raw!$E:$E,Input_Raw!DF:DF),"")</f>
        <v/>
      </c>
      <c r="Z174" s="319" t="str">
        <f>IFERROR(_xlfn.XLOOKUP(A174,Input_Raw!E:E,Input_Raw!CT:CT)/_xlfn.XLOOKUP(A174,Input_Raw!E:E,Input_Raw!CS:CS)*Table13[[#This Row],[Mtr_Export (kWh)]],"")</f>
        <v/>
      </c>
      <c r="AA174" s="43" t="str">
        <f t="shared" si="18"/>
        <v/>
      </c>
      <c r="AB174" s="10" t="str">
        <f>IFERROR(_xlfn.XLOOKUP($A174,Input_Raw!$E:$E,Input_Raw!$CZ:$CZ),"")</f>
        <v/>
      </c>
      <c r="AC174" s="313">
        <f>IFERROR(_xlfn.XLOOKUP($D174,'Modelling New'!$D:$D,'Modelling New'!$J:$J),"")</f>
        <v>7.2366664761360369</v>
      </c>
      <c r="AD174" s="43">
        <f>IFERROR(_xlfn.XLOOKUP($D174,'Modelling New'!$D:$D,'Modelling New'!$T:$T)*1000,"")</f>
        <v>416592.33333333331</v>
      </c>
      <c r="AE174" s="312"/>
      <c r="AF174" s="312">
        <f>IFERROR(_xlfn.XLOOKUP($D174,'Modelling New'!$D:$D,'Modelling New'!$W:$W),"")</f>
        <v>0.34304375274483978</v>
      </c>
      <c r="AG174" s="312">
        <f>IFERROR(_xlfn.XLOOKUP($D174,'Modelling New'!$D:$D,'Modelling New'!$AE:$AE),"")</f>
        <v>0.95549849999999992</v>
      </c>
      <c r="AH174" s="312">
        <f>IFERROR(_xlfn.XLOOKUP($D174,'Modelling New'!$D:$D,'Modelling New'!$AF:$AF),"")</f>
        <v>0.995</v>
      </c>
      <c r="AI174" s="10" t="str">
        <f>IFERROR(_xlfn.XLOOKUP($A174,Input_Raw!$E:$E,Input_Raw!$DG:$DG),"")</f>
        <v/>
      </c>
      <c r="AJ174" s="10"/>
      <c r="AK174" s="10"/>
      <c r="AL174" s="10"/>
      <c r="AM174" s="10"/>
      <c r="AN174" s="314" t="str">
        <f>IFERROR(_xlfn.XLOOKUP($A174,Input_Raw!$E:$E,Input_Raw!$CY:$CY),"")</f>
        <v/>
      </c>
      <c r="AO174" s="312" t="str">
        <f>IFERROR((_xlfn.XLOOKUP($A174,'WTG Reactive Power'!$A:$A,'WTG Reactive Power'!AB:AB))/X174,"")</f>
        <v/>
      </c>
      <c r="AP174" s="312">
        <f>IFERROR(_xlfn.XLOOKUP($D174,'Modelling New'!$D:$D,'Modelling New'!AK:AK),"")</f>
        <v>0.05</v>
      </c>
      <c r="AQ174" s="312">
        <f>IFERROR(_xlfn.XLOOKUP($D174,'Modelling New'!$D:$D,'Modelling New'!AL:AL),"")</f>
        <v>0.05</v>
      </c>
      <c r="AR174" s="325">
        <f>IFERROR(_xlfn.XLOOKUP($D174,'Modelling New'!$D:$D,'Modelling New'!$N:$N),"")</f>
        <v>50.59999999999998</v>
      </c>
      <c r="AS174" s="325"/>
    </row>
    <row r="175" spans="1:45">
      <c r="A175" s="32">
        <f t="shared" si="19"/>
        <v>45918</v>
      </c>
      <c r="B175" s="43">
        <f>YEAR(Table13[[#This Row],[Date]])+IF(MONTH(Table13[[#This Row],[Date]])&gt;=4,1,0)</f>
        <v>2026</v>
      </c>
      <c r="C175" s="10">
        <f>YEAR(Table13[[#This Row],[Date]])</f>
        <v>2025</v>
      </c>
      <c r="D175" s="309">
        <f>Table13[[#This Row],[Date]]-DAY(Table13[[#This Row],[Date]])+1</f>
        <v>45901</v>
      </c>
      <c r="E175" s="10">
        <f t="shared" si="15"/>
        <v>30</v>
      </c>
      <c r="F175" s="241" t="str">
        <f>IFERROR(_xlfn.XLOOKUP($A175,Input_Raw!$E:$E,Input_Raw!DC:DC),"")</f>
        <v/>
      </c>
      <c r="G175" s="242"/>
      <c r="H175" s="242"/>
      <c r="I175" s="242"/>
      <c r="J175" s="242"/>
      <c r="K175" s="243"/>
      <c r="L175" s="242"/>
      <c r="M175" s="242" t="str">
        <f>IFERROR(_xlfn.XLOOKUP($A175,Input_Raw!$E:$E,Input_Raw!$BM:$BM),"")</f>
        <v/>
      </c>
      <c r="N175" s="242" t="str">
        <f>IFERROR(_xlfn.XLOOKUP($A175,Input_Raw!$E:$E,Input_Raw!$BN:$BN),"")</f>
        <v/>
      </c>
      <c r="O175" s="311" t="str">
        <f t="shared" si="16"/>
        <v/>
      </c>
      <c r="P175" s="311" t="str">
        <f>IFERROR(1-SUMIF(WTG_BD!$F:$F,$A175,WTG_BD!$AA:$AA)/($AA175+SUMIF(WTG_BD!$F:$F,$A175,WTG_BD!$AA:$AA)),"")</f>
        <v/>
      </c>
      <c r="Q175" s="328" t="str">
        <f>IFERROR(1-SUMIF(IGA_BD!$F:$F,$A175,IGA_BD!$W:$W)/($AA175+SUMIF(IGA_BD!$F:$F,$A175,IGA_BD!$W:$W)),"")</f>
        <v/>
      </c>
      <c r="R175" s="311" t="str">
        <f>IFERROR(1-SUMIF(Grid_BD!$F:$F,$A175,Grid_BD!$Y:$Y)/($AA175+SUMIF(Grid_BD!$F:$F,$A175,Grid_BD!$Y:$Y)),"")</f>
        <v/>
      </c>
      <c r="S175" s="10"/>
      <c r="T175" s="310"/>
      <c r="U175" s="311"/>
      <c r="V175" s="10"/>
      <c r="W175" s="312" t="str">
        <f t="shared" si="17"/>
        <v/>
      </c>
      <c r="X175" s="10" t="str">
        <f>IFERROR(_xlfn.XLOOKUP($A175,Input_Raw!$E:$E,Input_Raw!BG:BG),"")</f>
        <v/>
      </c>
      <c r="Y175" s="10" t="str">
        <f>IFERROR(_xlfn.XLOOKUP($A175,Input_Raw!$E:$E,Input_Raw!DF:DF),"")</f>
        <v/>
      </c>
      <c r="Z175" s="319" t="str">
        <f>IFERROR(_xlfn.XLOOKUP(A175,Input_Raw!E:E,Input_Raw!CT:CT)/_xlfn.XLOOKUP(A175,Input_Raw!E:E,Input_Raw!CS:CS)*Table13[[#This Row],[Mtr_Export (kWh)]],"")</f>
        <v/>
      </c>
      <c r="AA175" s="43" t="str">
        <f t="shared" si="18"/>
        <v/>
      </c>
      <c r="AB175" s="10" t="str">
        <f>IFERROR(_xlfn.XLOOKUP($A175,Input_Raw!$E:$E,Input_Raw!$CZ:$CZ),"")</f>
        <v/>
      </c>
      <c r="AC175" s="313">
        <f>IFERROR(_xlfn.XLOOKUP($D175,'Modelling New'!$D:$D,'Modelling New'!$J:$J),"")</f>
        <v>7.2366664761360369</v>
      </c>
      <c r="AD175" s="43">
        <f>IFERROR(_xlfn.XLOOKUP($D175,'Modelling New'!$D:$D,'Modelling New'!$T:$T)*1000,"")</f>
        <v>416592.33333333331</v>
      </c>
      <c r="AE175" s="312"/>
      <c r="AF175" s="312">
        <f>IFERROR(_xlfn.XLOOKUP($D175,'Modelling New'!$D:$D,'Modelling New'!$W:$W),"")</f>
        <v>0.34304375274483978</v>
      </c>
      <c r="AG175" s="312">
        <f>IFERROR(_xlfn.XLOOKUP($D175,'Modelling New'!$D:$D,'Modelling New'!$AE:$AE),"")</f>
        <v>0.95549849999999992</v>
      </c>
      <c r="AH175" s="312">
        <f>IFERROR(_xlfn.XLOOKUP($D175,'Modelling New'!$D:$D,'Modelling New'!$AF:$AF),"")</f>
        <v>0.995</v>
      </c>
      <c r="AI175" s="10" t="str">
        <f>IFERROR(_xlfn.XLOOKUP($A175,Input_Raw!$E:$E,Input_Raw!$DG:$DG),"")</f>
        <v/>
      </c>
      <c r="AJ175" s="10"/>
      <c r="AK175" s="10"/>
      <c r="AL175" s="10"/>
      <c r="AM175" s="10"/>
      <c r="AN175" s="314" t="str">
        <f>IFERROR(_xlfn.XLOOKUP($A175,Input_Raw!$E:$E,Input_Raw!$CY:$CY),"")</f>
        <v/>
      </c>
      <c r="AO175" s="312" t="str">
        <f>IFERROR((_xlfn.XLOOKUP($A175,'WTG Reactive Power'!$A:$A,'WTG Reactive Power'!AB:AB))/X175,"")</f>
        <v/>
      </c>
      <c r="AP175" s="312">
        <f>IFERROR(_xlfn.XLOOKUP($D175,'Modelling New'!$D:$D,'Modelling New'!AK:AK),"")</f>
        <v>0.05</v>
      </c>
      <c r="AQ175" s="312">
        <f>IFERROR(_xlfn.XLOOKUP($D175,'Modelling New'!$D:$D,'Modelling New'!AL:AL),"")</f>
        <v>0.05</v>
      </c>
      <c r="AR175" s="325">
        <f>IFERROR(_xlfn.XLOOKUP($D175,'Modelling New'!$D:$D,'Modelling New'!$N:$N),"")</f>
        <v>50.59999999999998</v>
      </c>
      <c r="AS175" s="325"/>
    </row>
    <row r="176" spans="1:45">
      <c r="A176" s="32">
        <f t="shared" si="19"/>
        <v>45919</v>
      </c>
      <c r="B176" s="43">
        <f>YEAR(Table13[[#This Row],[Date]])+IF(MONTH(Table13[[#This Row],[Date]])&gt;=4,1,0)</f>
        <v>2026</v>
      </c>
      <c r="C176" s="10">
        <f>YEAR(Table13[[#This Row],[Date]])</f>
        <v>2025</v>
      </c>
      <c r="D176" s="309">
        <f>Table13[[#This Row],[Date]]-DAY(Table13[[#This Row],[Date]])+1</f>
        <v>45901</v>
      </c>
      <c r="E176" s="10">
        <f t="shared" si="15"/>
        <v>30</v>
      </c>
      <c r="F176" s="241" t="str">
        <f>IFERROR(_xlfn.XLOOKUP($A176,Input_Raw!$E:$E,Input_Raw!DC:DC),"")</f>
        <v/>
      </c>
      <c r="G176" s="313"/>
      <c r="H176" s="313"/>
      <c r="I176" s="313"/>
      <c r="J176" s="313"/>
      <c r="K176" s="243"/>
      <c r="L176" s="242"/>
      <c r="M176" s="242" t="str">
        <f>IFERROR(_xlfn.XLOOKUP($A176,Input_Raw!$E:$E,Input_Raw!$BM:$BM),"")</f>
        <v/>
      </c>
      <c r="N176" s="242" t="str">
        <f>IFERROR(_xlfn.XLOOKUP($A176,Input_Raw!$E:$E,Input_Raw!$BN:$BN),"")</f>
        <v/>
      </c>
      <c r="O176" s="311" t="str">
        <f t="shared" si="16"/>
        <v/>
      </c>
      <c r="P176" s="311" t="str">
        <f>IFERROR(1-SUMIF(WTG_BD!$F:$F,$A176,WTG_BD!$AA:$AA)/($AA176+SUMIF(WTG_BD!$F:$F,$A176,WTG_BD!$AA:$AA)),"")</f>
        <v/>
      </c>
      <c r="Q176" s="328" t="str">
        <f>IFERROR(1-SUMIF(IGA_BD!$F:$F,$A176,IGA_BD!$W:$W)/($AA176+SUMIF(IGA_BD!$F:$F,$A176,IGA_BD!$W:$W)),"")</f>
        <v/>
      </c>
      <c r="R176" s="47" t="str">
        <f>IFERROR(1-SUMIF(Grid_BD!$F:$F,$A176,Grid_BD!$Y:$Y)/($AA176+SUMIF(Grid_BD!$F:$F,$A176,Grid_BD!$Y:$Y)),"")</f>
        <v/>
      </c>
      <c r="S176" s="10"/>
      <c r="T176" s="310"/>
      <c r="U176" s="311"/>
      <c r="V176" s="10"/>
      <c r="W176" s="312" t="str">
        <f t="shared" si="17"/>
        <v/>
      </c>
      <c r="X176" s="10" t="str">
        <f>IFERROR(_xlfn.XLOOKUP($A176,Input_Raw!$E:$E,Input_Raw!BG:BG),"")</f>
        <v/>
      </c>
      <c r="Y176" s="10" t="str">
        <f>IFERROR(_xlfn.XLOOKUP($A176,Input_Raw!$E:$E,Input_Raw!DF:DF),"")</f>
        <v/>
      </c>
      <c r="Z176" s="319" t="str">
        <f>IFERROR(_xlfn.XLOOKUP(A176,Input_Raw!E:E,Input_Raw!CT:CT)/_xlfn.XLOOKUP(A176,Input_Raw!E:E,Input_Raw!CS:CS)*Table13[[#This Row],[Mtr_Export (kWh)]],"")</f>
        <v/>
      </c>
      <c r="AA176" s="43" t="str">
        <f t="shared" si="18"/>
        <v/>
      </c>
      <c r="AB176" s="10" t="str">
        <f>IFERROR(_xlfn.XLOOKUP($A176,Input_Raw!$E:$E,Input_Raw!$CZ:$CZ),"")</f>
        <v/>
      </c>
      <c r="AC176" s="313">
        <f>IFERROR(_xlfn.XLOOKUP($D176,'Modelling New'!$D:$D,'Modelling New'!$J:$J),"")</f>
        <v>7.2366664761360369</v>
      </c>
      <c r="AD176" s="43">
        <f>IFERROR(_xlfn.XLOOKUP($D176,'Modelling New'!$D:$D,'Modelling New'!$T:$T)*1000,"")</f>
        <v>416592.33333333331</v>
      </c>
      <c r="AE176" s="312"/>
      <c r="AF176" s="312">
        <f>IFERROR(_xlfn.XLOOKUP($D176,'Modelling New'!$D:$D,'Modelling New'!$W:$W),"")</f>
        <v>0.34304375274483978</v>
      </c>
      <c r="AG176" s="312">
        <f>IFERROR(_xlfn.XLOOKUP($D176,'Modelling New'!$D:$D,'Modelling New'!$AE:$AE),"")</f>
        <v>0.95549849999999992</v>
      </c>
      <c r="AH176" s="312">
        <f>IFERROR(_xlfn.XLOOKUP($D176,'Modelling New'!$D:$D,'Modelling New'!$AF:$AF),"")</f>
        <v>0.995</v>
      </c>
      <c r="AI176" s="10" t="str">
        <f>IFERROR(_xlfn.XLOOKUP($A176,Input_Raw!$E:$E,Input_Raw!$DG:$DG),"")</f>
        <v/>
      </c>
      <c r="AJ176" s="10"/>
      <c r="AK176" s="10"/>
      <c r="AL176" s="10"/>
      <c r="AM176" s="10"/>
      <c r="AN176" s="314" t="str">
        <f>IFERROR(_xlfn.XLOOKUP($A176,Input_Raw!$E:$E,Input_Raw!$CY:$CY),"")</f>
        <v/>
      </c>
      <c r="AO176" s="312" t="str">
        <f>IFERROR((_xlfn.XLOOKUP($A176,'WTG Reactive Power'!$A:$A,'WTG Reactive Power'!AB:AB))/X176,"")</f>
        <v/>
      </c>
      <c r="AP176" s="312">
        <f>IFERROR(_xlfn.XLOOKUP($D176,'Modelling New'!$D:$D,'Modelling New'!AK:AK),"")</f>
        <v>0.05</v>
      </c>
      <c r="AQ176" s="312">
        <f>IFERROR(_xlfn.XLOOKUP($D176,'Modelling New'!$D:$D,'Modelling New'!AL:AL),"")</f>
        <v>0.05</v>
      </c>
      <c r="AR176" s="325">
        <f>IFERROR(_xlfn.XLOOKUP($D176,'Modelling New'!$D:$D,'Modelling New'!$N:$N),"")</f>
        <v>50.59999999999998</v>
      </c>
      <c r="AS176" s="325"/>
    </row>
    <row r="177" spans="1:45">
      <c r="A177" s="32">
        <f t="shared" si="19"/>
        <v>45920</v>
      </c>
      <c r="B177" s="43">
        <f>YEAR(Table13[[#This Row],[Date]])+IF(MONTH(Table13[[#This Row],[Date]])&gt;=4,1,0)</f>
        <v>2026</v>
      </c>
      <c r="C177" s="10">
        <f>YEAR(Table13[[#This Row],[Date]])</f>
        <v>2025</v>
      </c>
      <c r="D177" s="309">
        <f>Table13[[#This Row],[Date]]-DAY(Table13[[#This Row],[Date]])+1</f>
        <v>45901</v>
      </c>
      <c r="E177" s="10">
        <f t="shared" si="15"/>
        <v>30</v>
      </c>
      <c r="F177" s="241" t="str">
        <f>IFERROR(_xlfn.XLOOKUP($A177,Input_Raw!$E:$E,Input_Raw!DC:DC),"")</f>
        <v/>
      </c>
      <c r="G177" s="242"/>
      <c r="H177" s="242"/>
      <c r="I177" s="242"/>
      <c r="J177" s="242"/>
      <c r="K177" s="243"/>
      <c r="L177" s="242"/>
      <c r="M177" s="242" t="str">
        <f>IFERROR(_xlfn.XLOOKUP($A177,Input_Raw!$E:$E,Input_Raw!$BM:$BM),"")</f>
        <v/>
      </c>
      <c r="N177" s="242" t="str">
        <f>IFERROR(_xlfn.XLOOKUP($A177,Input_Raw!$E:$E,Input_Raw!$BN:$BN),"")</f>
        <v/>
      </c>
      <c r="O177" s="311" t="str">
        <f t="shared" si="16"/>
        <v/>
      </c>
      <c r="P177" s="311" t="str">
        <f>IFERROR(1-SUMIF(WTG_BD!$F:$F,$A177,WTG_BD!$AA:$AA)/($AA177+SUMIF(WTG_BD!$F:$F,$A177,WTG_BD!$AA:$AA)),"")</f>
        <v/>
      </c>
      <c r="Q177" s="328" t="str">
        <f>IFERROR(1-SUMIF(IGA_BD!$F:$F,$A177,IGA_BD!$W:$W)/($AA177+SUMIF(IGA_BD!$F:$F,$A177,IGA_BD!$W:$W)),"")</f>
        <v/>
      </c>
      <c r="R177" s="311" t="str">
        <f>IFERROR(1-SUMIF(Grid_BD!$F:$F,$A177,Grid_BD!$Y:$Y)/($AA177+SUMIF(Grid_BD!$F:$F,$A177,Grid_BD!$Y:$Y)),"")</f>
        <v/>
      </c>
      <c r="S177" s="10"/>
      <c r="T177" s="310"/>
      <c r="U177" s="311"/>
      <c r="V177" s="10"/>
      <c r="W177" s="312" t="str">
        <f t="shared" si="17"/>
        <v/>
      </c>
      <c r="X177" s="10" t="str">
        <f>IFERROR(_xlfn.XLOOKUP($A177,Input_Raw!$E:$E,Input_Raw!BG:BG),"")</f>
        <v/>
      </c>
      <c r="Y177" s="10" t="str">
        <f>IFERROR(_xlfn.XLOOKUP($A177,Input_Raw!$E:$E,Input_Raw!DF:DF),"")</f>
        <v/>
      </c>
      <c r="Z177" s="319" t="str">
        <f>IFERROR(_xlfn.XLOOKUP(A177,Input_Raw!E:E,Input_Raw!CT:CT)/_xlfn.XLOOKUP(A177,Input_Raw!E:E,Input_Raw!CS:CS)*Table13[[#This Row],[Mtr_Export (kWh)]],"")</f>
        <v/>
      </c>
      <c r="AA177" s="43" t="str">
        <f t="shared" si="18"/>
        <v/>
      </c>
      <c r="AB177" s="10" t="str">
        <f>IFERROR(_xlfn.XLOOKUP($A177,Input_Raw!$E:$E,Input_Raw!$CZ:$CZ),"")</f>
        <v/>
      </c>
      <c r="AC177" s="313">
        <f>IFERROR(_xlfn.XLOOKUP($D177,'Modelling New'!$D:$D,'Modelling New'!$J:$J),"")</f>
        <v>7.2366664761360369</v>
      </c>
      <c r="AD177" s="43">
        <f>IFERROR(_xlfn.XLOOKUP($D177,'Modelling New'!$D:$D,'Modelling New'!$T:$T)*1000,"")</f>
        <v>416592.33333333331</v>
      </c>
      <c r="AE177" s="312"/>
      <c r="AF177" s="312">
        <f>IFERROR(_xlfn.XLOOKUP($D177,'Modelling New'!$D:$D,'Modelling New'!$W:$W),"")</f>
        <v>0.34304375274483978</v>
      </c>
      <c r="AG177" s="312">
        <f>IFERROR(_xlfn.XLOOKUP($D177,'Modelling New'!$D:$D,'Modelling New'!$AE:$AE),"")</f>
        <v>0.95549849999999992</v>
      </c>
      <c r="AH177" s="312">
        <f>IFERROR(_xlfn.XLOOKUP($D177,'Modelling New'!$D:$D,'Modelling New'!$AF:$AF),"")</f>
        <v>0.995</v>
      </c>
      <c r="AI177" s="10" t="str">
        <f>IFERROR(_xlfn.XLOOKUP($A177,Input_Raw!$E:$E,Input_Raw!$DG:$DG),"")</f>
        <v/>
      </c>
      <c r="AJ177" s="10"/>
      <c r="AK177" s="10"/>
      <c r="AL177" s="10"/>
      <c r="AM177" s="10"/>
      <c r="AN177" s="314" t="str">
        <f>IFERROR(_xlfn.XLOOKUP($A177,Input_Raw!$E:$E,Input_Raw!$CY:$CY),"")</f>
        <v/>
      </c>
      <c r="AO177" s="312" t="str">
        <f>IFERROR((_xlfn.XLOOKUP($A177,'WTG Reactive Power'!$A:$A,'WTG Reactive Power'!AB:AB))/X177,"")</f>
        <v/>
      </c>
      <c r="AP177" s="312">
        <f>IFERROR(_xlfn.XLOOKUP($D177,'Modelling New'!$D:$D,'Modelling New'!AK:AK),"")</f>
        <v>0.05</v>
      </c>
      <c r="AQ177" s="312">
        <f>IFERROR(_xlfn.XLOOKUP($D177,'Modelling New'!$D:$D,'Modelling New'!AL:AL),"")</f>
        <v>0.05</v>
      </c>
      <c r="AR177" s="325">
        <f>IFERROR(_xlfn.XLOOKUP($D177,'Modelling New'!$D:$D,'Modelling New'!$N:$N),"")</f>
        <v>50.59999999999998</v>
      </c>
      <c r="AS177" s="325"/>
    </row>
    <row r="178" spans="1:45">
      <c r="A178" s="32">
        <f t="shared" si="19"/>
        <v>45921</v>
      </c>
      <c r="B178" s="43">
        <f>YEAR(Table13[[#This Row],[Date]])+IF(MONTH(Table13[[#This Row],[Date]])&gt;=4,1,0)</f>
        <v>2026</v>
      </c>
      <c r="C178" s="10">
        <f>YEAR(Table13[[#This Row],[Date]])</f>
        <v>2025</v>
      </c>
      <c r="D178" s="309">
        <f>Table13[[#This Row],[Date]]-DAY(Table13[[#This Row],[Date]])+1</f>
        <v>45901</v>
      </c>
      <c r="E178" s="10">
        <f t="shared" si="15"/>
        <v>30</v>
      </c>
      <c r="F178" s="241" t="str">
        <f>IFERROR(_xlfn.XLOOKUP($A178,Input_Raw!$E:$E,Input_Raw!DC:DC),"")</f>
        <v/>
      </c>
      <c r="G178" s="313"/>
      <c r="H178" s="313"/>
      <c r="I178" s="313"/>
      <c r="J178" s="313"/>
      <c r="K178" s="243"/>
      <c r="L178" s="242"/>
      <c r="M178" s="242" t="str">
        <f>IFERROR(_xlfn.XLOOKUP($A178,Input_Raw!$E:$E,Input_Raw!$BM:$BM),"")</f>
        <v/>
      </c>
      <c r="N178" s="242" t="str">
        <f>IFERROR(_xlfn.XLOOKUP($A178,Input_Raw!$E:$E,Input_Raw!$BN:$BN),"")</f>
        <v/>
      </c>
      <c r="O178" s="311" t="str">
        <f t="shared" si="16"/>
        <v/>
      </c>
      <c r="P178" s="311" t="str">
        <f>IFERROR(1-SUMIF(WTG_BD!$F:$F,$A178,WTG_BD!$AA:$AA)/($AA178+SUMIF(WTG_BD!$F:$F,$A178,WTG_BD!$AA:$AA)),"")</f>
        <v/>
      </c>
      <c r="Q178" s="328" t="str">
        <f>IFERROR(1-SUMIF(IGA_BD!$F:$F,$A178,IGA_BD!$W:$W)/($AA178+SUMIF(IGA_BD!$F:$F,$A178,IGA_BD!$W:$W)),"")</f>
        <v/>
      </c>
      <c r="R178" s="47" t="str">
        <f>IFERROR(1-SUMIF(Grid_BD!$F:$F,$A178,Grid_BD!$Y:$Y)/($AA178+SUMIF(Grid_BD!$F:$F,$A178,Grid_BD!$Y:$Y)),"")</f>
        <v/>
      </c>
      <c r="S178" s="10"/>
      <c r="T178" s="310"/>
      <c r="U178" s="311"/>
      <c r="V178" s="10"/>
      <c r="W178" s="312" t="str">
        <f t="shared" si="17"/>
        <v/>
      </c>
      <c r="X178" s="10" t="str">
        <f>IFERROR(_xlfn.XLOOKUP($A178,Input_Raw!$E:$E,Input_Raw!BG:BG),"")</f>
        <v/>
      </c>
      <c r="Y178" s="10" t="str">
        <f>IFERROR(_xlfn.XLOOKUP($A178,Input_Raw!$E:$E,Input_Raw!DF:DF),"")</f>
        <v/>
      </c>
      <c r="Z178" s="319" t="str">
        <f>IFERROR(_xlfn.XLOOKUP(A178,Input_Raw!E:E,Input_Raw!CT:CT)/_xlfn.XLOOKUP(A178,Input_Raw!E:E,Input_Raw!CS:CS)*Table13[[#This Row],[Mtr_Export (kWh)]],"")</f>
        <v/>
      </c>
      <c r="AA178" s="43" t="str">
        <f t="shared" si="18"/>
        <v/>
      </c>
      <c r="AB178" s="10" t="str">
        <f>IFERROR(_xlfn.XLOOKUP($A178,Input_Raw!$E:$E,Input_Raw!$CZ:$CZ),"")</f>
        <v/>
      </c>
      <c r="AC178" s="313">
        <f>IFERROR(_xlfn.XLOOKUP($D178,'Modelling New'!$D:$D,'Modelling New'!$J:$J),"")</f>
        <v>7.2366664761360369</v>
      </c>
      <c r="AD178" s="43">
        <f>IFERROR(_xlfn.XLOOKUP($D178,'Modelling New'!$D:$D,'Modelling New'!$T:$T)*1000,"")</f>
        <v>416592.33333333331</v>
      </c>
      <c r="AE178" s="312"/>
      <c r="AF178" s="312">
        <f>IFERROR(_xlfn.XLOOKUP($D178,'Modelling New'!$D:$D,'Modelling New'!$W:$W),"")</f>
        <v>0.34304375274483978</v>
      </c>
      <c r="AG178" s="312">
        <f>IFERROR(_xlfn.XLOOKUP($D178,'Modelling New'!$D:$D,'Modelling New'!$AE:$AE),"")</f>
        <v>0.95549849999999992</v>
      </c>
      <c r="AH178" s="312">
        <f>IFERROR(_xlfn.XLOOKUP($D178,'Modelling New'!$D:$D,'Modelling New'!$AF:$AF),"")</f>
        <v>0.995</v>
      </c>
      <c r="AI178" s="10" t="str">
        <f>IFERROR(_xlfn.XLOOKUP($A178,Input_Raw!$E:$E,Input_Raw!$DG:$DG),"")</f>
        <v/>
      </c>
      <c r="AJ178" s="10"/>
      <c r="AK178" s="10"/>
      <c r="AL178" s="10"/>
      <c r="AM178" s="10"/>
      <c r="AN178" s="314" t="str">
        <f>IFERROR(_xlfn.XLOOKUP($A178,Input_Raw!$E:$E,Input_Raw!$CY:$CY),"")</f>
        <v/>
      </c>
      <c r="AO178" s="312" t="str">
        <f>IFERROR((_xlfn.XLOOKUP($A178,'WTG Reactive Power'!$A:$A,'WTG Reactive Power'!AB:AB))/X178,"")</f>
        <v/>
      </c>
      <c r="AP178" s="312">
        <f>IFERROR(_xlfn.XLOOKUP($D178,'Modelling New'!$D:$D,'Modelling New'!AK:AK),"")</f>
        <v>0.05</v>
      </c>
      <c r="AQ178" s="312">
        <f>IFERROR(_xlfn.XLOOKUP($D178,'Modelling New'!$D:$D,'Modelling New'!AL:AL),"")</f>
        <v>0.05</v>
      </c>
      <c r="AR178" s="325">
        <f>IFERROR(_xlfn.XLOOKUP($D178,'Modelling New'!$D:$D,'Modelling New'!$N:$N),"")</f>
        <v>50.59999999999998</v>
      </c>
      <c r="AS178" s="325"/>
    </row>
    <row r="179" spans="1:45">
      <c r="A179" s="32">
        <f t="shared" si="19"/>
        <v>45922</v>
      </c>
      <c r="B179" s="43">
        <f>YEAR(Table13[[#This Row],[Date]])+IF(MONTH(Table13[[#This Row],[Date]])&gt;=4,1,0)</f>
        <v>2026</v>
      </c>
      <c r="C179" s="10">
        <f>YEAR(Table13[[#This Row],[Date]])</f>
        <v>2025</v>
      </c>
      <c r="D179" s="309">
        <f>Table13[[#This Row],[Date]]-DAY(Table13[[#This Row],[Date]])+1</f>
        <v>45901</v>
      </c>
      <c r="E179" s="10">
        <f t="shared" si="15"/>
        <v>30</v>
      </c>
      <c r="F179" s="241" t="str">
        <f>IFERROR(_xlfn.XLOOKUP($A179,Input_Raw!$E:$E,Input_Raw!DC:DC),"")</f>
        <v/>
      </c>
      <c r="G179" s="242"/>
      <c r="H179" s="242"/>
      <c r="I179" s="242"/>
      <c r="J179" s="242"/>
      <c r="K179" s="243"/>
      <c r="L179" s="242"/>
      <c r="M179" s="242" t="str">
        <f>IFERROR(_xlfn.XLOOKUP($A179,Input_Raw!$E:$E,Input_Raw!$BM:$BM),"")</f>
        <v/>
      </c>
      <c r="N179" s="242" t="str">
        <f>IFERROR(_xlfn.XLOOKUP($A179,Input_Raw!$E:$E,Input_Raw!$BN:$BN),"")</f>
        <v/>
      </c>
      <c r="O179" s="311" t="str">
        <f t="shared" si="16"/>
        <v/>
      </c>
      <c r="P179" s="311" t="str">
        <f>IFERROR(1-SUMIF(WTG_BD!$F:$F,$A179,WTG_BD!$AA:$AA)/($AA179+SUMIF(WTG_BD!$F:$F,$A179,WTG_BD!$AA:$AA)),"")</f>
        <v/>
      </c>
      <c r="Q179" s="328" t="str">
        <f>IFERROR(1-SUMIF(IGA_BD!$F:$F,$A179,IGA_BD!$W:$W)/($AA179+SUMIF(IGA_BD!$F:$F,$A179,IGA_BD!$W:$W)),"")</f>
        <v/>
      </c>
      <c r="R179" s="311" t="str">
        <f>IFERROR(1-SUMIF(Grid_BD!$F:$F,$A179,Grid_BD!$Y:$Y)/($AA179+SUMIF(Grid_BD!$F:$F,$A179,Grid_BD!$Y:$Y)),"")</f>
        <v/>
      </c>
      <c r="S179" s="10"/>
      <c r="T179" s="310"/>
      <c r="U179" s="311"/>
      <c r="V179" s="10"/>
      <c r="W179" s="312" t="str">
        <f t="shared" si="17"/>
        <v/>
      </c>
      <c r="X179" s="10" t="str">
        <f>IFERROR(_xlfn.XLOOKUP($A179,Input_Raw!$E:$E,Input_Raw!BG:BG),"")</f>
        <v/>
      </c>
      <c r="Y179" s="10" t="str">
        <f>IFERROR(_xlfn.XLOOKUP($A179,Input_Raw!$E:$E,Input_Raw!DF:DF),"")</f>
        <v/>
      </c>
      <c r="Z179" s="319" t="str">
        <f>IFERROR(_xlfn.XLOOKUP(A179,Input_Raw!E:E,Input_Raw!CT:CT)/_xlfn.XLOOKUP(A179,Input_Raw!E:E,Input_Raw!CS:CS)*Table13[[#This Row],[Mtr_Export (kWh)]],"")</f>
        <v/>
      </c>
      <c r="AA179" s="43" t="str">
        <f t="shared" si="18"/>
        <v/>
      </c>
      <c r="AB179" s="10" t="str">
        <f>IFERROR(_xlfn.XLOOKUP($A179,Input_Raw!$E:$E,Input_Raw!$CZ:$CZ),"")</f>
        <v/>
      </c>
      <c r="AC179" s="313">
        <f>IFERROR(_xlfn.XLOOKUP($D179,'Modelling New'!$D:$D,'Modelling New'!$J:$J),"")</f>
        <v>7.2366664761360369</v>
      </c>
      <c r="AD179" s="43">
        <f>IFERROR(_xlfn.XLOOKUP($D179,'Modelling New'!$D:$D,'Modelling New'!$T:$T)*1000,"")</f>
        <v>416592.33333333331</v>
      </c>
      <c r="AE179" s="312"/>
      <c r="AF179" s="312">
        <f>IFERROR(_xlfn.XLOOKUP($D179,'Modelling New'!$D:$D,'Modelling New'!$W:$W),"")</f>
        <v>0.34304375274483978</v>
      </c>
      <c r="AG179" s="312">
        <f>IFERROR(_xlfn.XLOOKUP($D179,'Modelling New'!$D:$D,'Modelling New'!$AE:$AE),"")</f>
        <v>0.95549849999999992</v>
      </c>
      <c r="AH179" s="312">
        <f>IFERROR(_xlfn.XLOOKUP($D179,'Modelling New'!$D:$D,'Modelling New'!$AF:$AF),"")</f>
        <v>0.995</v>
      </c>
      <c r="AI179" s="10" t="str">
        <f>IFERROR(_xlfn.XLOOKUP($A179,Input_Raw!$E:$E,Input_Raw!$DG:$DG),"")</f>
        <v/>
      </c>
      <c r="AJ179" s="10"/>
      <c r="AK179" s="10"/>
      <c r="AL179" s="10"/>
      <c r="AM179" s="10"/>
      <c r="AN179" s="314" t="str">
        <f>IFERROR(_xlfn.XLOOKUP($A179,Input_Raw!$E:$E,Input_Raw!$CY:$CY),"")</f>
        <v/>
      </c>
      <c r="AO179" s="312" t="str">
        <f>IFERROR((_xlfn.XLOOKUP($A179,'WTG Reactive Power'!$A:$A,'WTG Reactive Power'!AB:AB))/X179,"")</f>
        <v/>
      </c>
      <c r="AP179" s="312">
        <f>IFERROR(_xlfn.XLOOKUP($D179,'Modelling New'!$D:$D,'Modelling New'!AK:AK),"")</f>
        <v>0.05</v>
      </c>
      <c r="AQ179" s="312">
        <f>IFERROR(_xlfn.XLOOKUP($D179,'Modelling New'!$D:$D,'Modelling New'!AL:AL),"")</f>
        <v>0.05</v>
      </c>
      <c r="AR179" s="325">
        <f>IFERROR(_xlfn.XLOOKUP($D179,'Modelling New'!$D:$D,'Modelling New'!$N:$N),"")</f>
        <v>50.59999999999998</v>
      </c>
      <c r="AS179" s="325"/>
    </row>
    <row r="180" spans="1:45">
      <c r="A180" s="32">
        <f t="shared" si="19"/>
        <v>45923</v>
      </c>
      <c r="B180" s="43">
        <f>YEAR(Table13[[#This Row],[Date]])+IF(MONTH(Table13[[#This Row],[Date]])&gt;=4,1,0)</f>
        <v>2026</v>
      </c>
      <c r="C180" s="10">
        <f>YEAR(Table13[[#This Row],[Date]])</f>
        <v>2025</v>
      </c>
      <c r="D180" s="309">
        <f>Table13[[#This Row],[Date]]-DAY(Table13[[#This Row],[Date]])+1</f>
        <v>45901</v>
      </c>
      <c r="E180" s="10">
        <f t="shared" si="15"/>
        <v>30</v>
      </c>
      <c r="F180" s="241" t="str">
        <f>IFERROR(_xlfn.XLOOKUP($A180,Input_Raw!$E:$E,Input_Raw!DC:DC),"")</f>
        <v/>
      </c>
      <c r="G180" s="313"/>
      <c r="H180" s="313"/>
      <c r="I180" s="313"/>
      <c r="J180" s="313"/>
      <c r="K180" s="243"/>
      <c r="L180" s="242"/>
      <c r="M180" s="242" t="str">
        <f>IFERROR(_xlfn.XLOOKUP($A180,Input_Raw!$E:$E,Input_Raw!$BM:$BM),"")</f>
        <v/>
      </c>
      <c r="N180" s="242" t="str">
        <f>IFERROR(_xlfn.XLOOKUP($A180,Input_Raw!$E:$E,Input_Raw!$BN:$BN),"")</f>
        <v/>
      </c>
      <c r="O180" s="311" t="str">
        <f t="shared" si="16"/>
        <v/>
      </c>
      <c r="P180" s="311" t="str">
        <f>IFERROR(1-SUMIF(WTG_BD!$F:$F,$A180,WTG_BD!$AA:$AA)/($AA180+SUMIF(WTG_BD!$F:$F,$A180,WTG_BD!$AA:$AA)),"")</f>
        <v/>
      </c>
      <c r="Q180" s="328" t="str">
        <f>IFERROR(1-SUMIF(IGA_BD!$F:$F,$A180,IGA_BD!$W:$W)/($AA180+SUMIF(IGA_BD!$F:$F,$A180,IGA_BD!$W:$W)),"")</f>
        <v/>
      </c>
      <c r="R180" s="47" t="str">
        <f>IFERROR(1-SUMIF(Grid_BD!$F:$F,$A180,Grid_BD!$Y:$Y)/($AA180+SUMIF(Grid_BD!$F:$F,$A180,Grid_BD!$Y:$Y)),"")</f>
        <v/>
      </c>
      <c r="S180" s="10"/>
      <c r="T180" s="310"/>
      <c r="U180" s="311"/>
      <c r="V180" s="10"/>
      <c r="W180" s="312" t="str">
        <f t="shared" si="17"/>
        <v/>
      </c>
      <c r="X180" s="10" t="str">
        <f>IFERROR(_xlfn.XLOOKUP($A180,Input_Raw!$E:$E,Input_Raw!BG:BG),"")</f>
        <v/>
      </c>
      <c r="Y180" s="10" t="str">
        <f>IFERROR(_xlfn.XLOOKUP($A180,Input_Raw!$E:$E,Input_Raw!DF:DF),"")</f>
        <v/>
      </c>
      <c r="Z180" s="319" t="str">
        <f>IFERROR(_xlfn.XLOOKUP(A180,Input_Raw!E:E,Input_Raw!CT:CT)/_xlfn.XLOOKUP(A180,Input_Raw!E:E,Input_Raw!CS:CS)*Table13[[#This Row],[Mtr_Export (kWh)]],"")</f>
        <v/>
      </c>
      <c r="AA180" s="43" t="str">
        <f t="shared" si="18"/>
        <v/>
      </c>
      <c r="AB180" s="10" t="str">
        <f>IFERROR(_xlfn.XLOOKUP($A180,Input_Raw!$E:$E,Input_Raw!$CZ:$CZ),"")</f>
        <v/>
      </c>
      <c r="AC180" s="313">
        <f>IFERROR(_xlfn.XLOOKUP($D180,'Modelling New'!$D:$D,'Modelling New'!$J:$J),"")</f>
        <v>7.2366664761360369</v>
      </c>
      <c r="AD180" s="43">
        <f>IFERROR(_xlfn.XLOOKUP($D180,'Modelling New'!$D:$D,'Modelling New'!$T:$T)*1000,"")</f>
        <v>416592.33333333331</v>
      </c>
      <c r="AE180" s="312"/>
      <c r="AF180" s="312">
        <f>IFERROR(_xlfn.XLOOKUP($D180,'Modelling New'!$D:$D,'Modelling New'!$W:$W),"")</f>
        <v>0.34304375274483978</v>
      </c>
      <c r="AG180" s="312">
        <f>IFERROR(_xlfn.XLOOKUP($D180,'Modelling New'!$D:$D,'Modelling New'!$AE:$AE),"")</f>
        <v>0.95549849999999992</v>
      </c>
      <c r="AH180" s="312">
        <f>IFERROR(_xlfn.XLOOKUP($D180,'Modelling New'!$D:$D,'Modelling New'!$AF:$AF),"")</f>
        <v>0.995</v>
      </c>
      <c r="AI180" s="10" t="str">
        <f>IFERROR(_xlfn.XLOOKUP($A180,Input_Raw!$E:$E,Input_Raw!$DG:$DG),"")</f>
        <v/>
      </c>
      <c r="AJ180" s="10"/>
      <c r="AK180" s="10"/>
      <c r="AL180" s="10"/>
      <c r="AM180" s="10"/>
      <c r="AN180" s="314" t="str">
        <f>IFERROR(_xlfn.XLOOKUP($A180,Input_Raw!$E:$E,Input_Raw!$CY:$CY),"")</f>
        <v/>
      </c>
      <c r="AO180" s="312" t="str">
        <f>IFERROR((_xlfn.XLOOKUP($A180,'WTG Reactive Power'!$A:$A,'WTG Reactive Power'!AB:AB))/X180,"")</f>
        <v/>
      </c>
      <c r="AP180" s="312">
        <f>IFERROR(_xlfn.XLOOKUP($D180,'Modelling New'!$D:$D,'Modelling New'!AK:AK),"")</f>
        <v>0.05</v>
      </c>
      <c r="AQ180" s="312">
        <f>IFERROR(_xlfn.XLOOKUP($D180,'Modelling New'!$D:$D,'Modelling New'!AL:AL),"")</f>
        <v>0.05</v>
      </c>
      <c r="AR180" s="325">
        <f>IFERROR(_xlfn.XLOOKUP($D180,'Modelling New'!$D:$D,'Modelling New'!$N:$N),"")</f>
        <v>50.59999999999998</v>
      </c>
      <c r="AS180" s="325"/>
    </row>
    <row r="181" spans="1:45">
      <c r="A181" s="32">
        <f t="shared" si="19"/>
        <v>45924</v>
      </c>
      <c r="B181" s="43">
        <f>YEAR(Table13[[#This Row],[Date]])+IF(MONTH(Table13[[#This Row],[Date]])&gt;=4,1,0)</f>
        <v>2026</v>
      </c>
      <c r="C181" s="10">
        <f>YEAR(Table13[[#This Row],[Date]])</f>
        <v>2025</v>
      </c>
      <c r="D181" s="309">
        <f>Table13[[#This Row],[Date]]-DAY(Table13[[#This Row],[Date]])+1</f>
        <v>45901</v>
      </c>
      <c r="E181" s="10">
        <f t="shared" si="15"/>
        <v>30</v>
      </c>
      <c r="F181" s="241" t="str">
        <f>IFERROR(_xlfn.XLOOKUP($A181,Input_Raw!$E:$E,Input_Raw!DC:DC),"")</f>
        <v/>
      </c>
      <c r="G181" s="242"/>
      <c r="H181" s="242"/>
      <c r="I181" s="242"/>
      <c r="J181" s="242"/>
      <c r="K181" s="243"/>
      <c r="L181" s="242"/>
      <c r="M181" s="242" t="str">
        <f>IFERROR(_xlfn.XLOOKUP($A181,Input_Raw!$E:$E,Input_Raw!$BM:$BM),"")</f>
        <v/>
      </c>
      <c r="N181" s="242" t="str">
        <f>IFERROR(_xlfn.XLOOKUP($A181,Input_Raw!$E:$E,Input_Raw!$BN:$BN),"")</f>
        <v/>
      </c>
      <c r="O181" s="311" t="str">
        <f t="shared" si="16"/>
        <v/>
      </c>
      <c r="P181" s="311" t="str">
        <f>IFERROR(1-SUMIF(WTG_BD!$F:$F,$A181,WTG_BD!$AA:$AA)/($AA181+SUMIF(WTG_BD!$F:$F,$A181,WTG_BD!$AA:$AA)),"")</f>
        <v/>
      </c>
      <c r="Q181" s="328" t="str">
        <f>IFERROR(1-SUMIF(IGA_BD!$F:$F,$A181,IGA_BD!$W:$W)/($AA181+SUMIF(IGA_BD!$F:$F,$A181,IGA_BD!$W:$W)),"")</f>
        <v/>
      </c>
      <c r="R181" s="311" t="str">
        <f>IFERROR(1-SUMIF(Grid_BD!$F:$F,$A181,Grid_BD!$Y:$Y)/($AA181+SUMIF(Grid_BD!$F:$F,$A181,Grid_BD!$Y:$Y)),"")</f>
        <v/>
      </c>
      <c r="S181" s="10"/>
      <c r="T181" s="310"/>
      <c r="U181" s="311"/>
      <c r="V181" s="10"/>
      <c r="W181" s="312" t="str">
        <f t="shared" si="17"/>
        <v/>
      </c>
      <c r="X181" s="10" t="str">
        <f>IFERROR(_xlfn.XLOOKUP($A181,Input_Raw!$E:$E,Input_Raw!BG:BG),"")</f>
        <v/>
      </c>
      <c r="Y181" s="10" t="str">
        <f>IFERROR(_xlfn.XLOOKUP($A181,Input_Raw!$E:$E,Input_Raw!DF:DF),"")</f>
        <v/>
      </c>
      <c r="Z181" s="319" t="str">
        <f>IFERROR(_xlfn.XLOOKUP(A181,Input_Raw!E:E,Input_Raw!CT:CT)/_xlfn.XLOOKUP(A181,Input_Raw!E:E,Input_Raw!CS:CS)*Table13[[#This Row],[Mtr_Export (kWh)]],"")</f>
        <v/>
      </c>
      <c r="AA181" s="43" t="str">
        <f t="shared" si="18"/>
        <v/>
      </c>
      <c r="AB181" s="10" t="str">
        <f>IFERROR(_xlfn.XLOOKUP($A181,Input_Raw!$E:$E,Input_Raw!$CZ:$CZ),"")</f>
        <v/>
      </c>
      <c r="AC181" s="313">
        <f>IFERROR(_xlfn.XLOOKUP($D181,'Modelling New'!$D:$D,'Modelling New'!$J:$J),"")</f>
        <v>7.2366664761360369</v>
      </c>
      <c r="AD181" s="43">
        <f>IFERROR(_xlfn.XLOOKUP($D181,'Modelling New'!$D:$D,'Modelling New'!$T:$T)*1000,"")</f>
        <v>416592.33333333331</v>
      </c>
      <c r="AE181" s="312"/>
      <c r="AF181" s="312">
        <f>IFERROR(_xlfn.XLOOKUP($D181,'Modelling New'!$D:$D,'Modelling New'!$W:$W),"")</f>
        <v>0.34304375274483978</v>
      </c>
      <c r="AG181" s="312">
        <f>IFERROR(_xlfn.XLOOKUP($D181,'Modelling New'!$D:$D,'Modelling New'!$AE:$AE),"")</f>
        <v>0.95549849999999992</v>
      </c>
      <c r="AH181" s="312">
        <f>IFERROR(_xlfn.XLOOKUP($D181,'Modelling New'!$D:$D,'Modelling New'!$AF:$AF),"")</f>
        <v>0.995</v>
      </c>
      <c r="AI181" s="10" t="str">
        <f>IFERROR(_xlfn.XLOOKUP($A181,Input_Raw!$E:$E,Input_Raw!$DG:$DG),"")</f>
        <v/>
      </c>
      <c r="AJ181" s="10"/>
      <c r="AK181" s="10"/>
      <c r="AL181" s="10"/>
      <c r="AM181" s="10"/>
      <c r="AN181" s="314" t="str">
        <f>IFERROR(_xlfn.XLOOKUP($A181,Input_Raw!$E:$E,Input_Raw!$CY:$CY),"")</f>
        <v/>
      </c>
      <c r="AO181" s="312" t="str">
        <f>IFERROR((_xlfn.XLOOKUP($A181,'WTG Reactive Power'!$A:$A,'WTG Reactive Power'!AB:AB))/X181,"")</f>
        <v/>
      </c>
      <c r="AP181" s="312">
        <f>IFERROR(_xlfn.XLOOKUP($D181,'Modelling New'!$D:$D,'Modelling New'!AK:AK),"")</f>
        <v>0.05</v>
      </c>
      <c r="AQ181" s="312">
        <f>IFERROR(_xlfn.XLOOKUP($D181,'Modelling New'!$D:$D,'Modelling New'!AL:AL),"")</f>
        <v>0.05</v>
      </c>
      <c r="AR181" s="325">
        <f>IFERROR(_xlfn.XLOOKUP($D181,'Modelling New'!$D:$D,'Modelling New'!$N:$N),"")</f>
        <v>50.59999999999998</v>
      </c>
      <c r="AS181" s="325"/>
    </row>
    <row r="182" spans="1:45">
      <c r="A182" s="32">
        <f t="shared" si="19"/>
        <v>45925</v>
      </c>
      <c r="B182" s="43">
        <f>YEAR(Table13[[#This Row],[Date]])+IF(MONTH(Table13[[#This Row],[Date]])&gt;=4,1,0)</f>
        <v>2026</v>
      </c>
      <c r="C182" s="10">
        <f>YEAR(Table13[[#This Row],[Date]])</f>
        <v>2025</v>
      </c>
      <c r="D182" s="309">
        <f>Table13[[#This Row],[Date]]-DAY(Table13[[#This Row],[Date]])+1</f>
        <v>45901</v>
      </c>
      <c r="E182" s="10">
        <f t="shared" si="15"/>
        <v>30</v>
      </c>
      <c r="F182" s="241" t="str">
        <f>IFERROR(_xlfn.XLOOKUP($A182,Input_Raw!$E:$E,Input_Raw!DC:DC),"")</f>
        <v/>
      </c>
      <c r="G182" s="313"/>
      <c r="H182" s="313"/>
      <c r="I182" s="313"/>
      <c r="J182" s="313"/>
      <c r="K182" s="243"/>
      <c r="L182" s="242"/>
      <c r="M182" s="242" t="str">
        <f>IFERROR(_xlfn.XLOOKUP($A182,Input_Raw!$E:$E,Input_Raw!$BM:$BM),"")</f>
        <v/>
      </c>
      <c r="N182" s="242" t="str">
        <f>IFERROR(_xlfn.XLOOKUP($A182,Input_Raw!$E:$E,Input_Raw!$BN:$BN),"")</f>
        <v/>
      </c>
      <c r="O182" s="311" t="str">
        <f t="shared" si="16"/>
        <v/>
      </c>
      <c r="P182" s="311" t="str">
        <f>IFERROR(1-SUMIF(WTG_BD!$F:$F,$A182,WTG_BD!$AA:$AA)/($AA182+SUMIF(WTG_BD!$F:$F,$A182,WTG_BD!$AA:$AA)),"")</f>
        <v/>
      </c>
      <c r="Q182" s="328" t="str">
        <f>IFERROR(1-SUMIF(IGA_BD!$F:$F,$A182,IGA_BD!$W:$W)/($AA182+SUMIF(IGA_BD!$F:$F,$A182,IGA_BD!$W:$W)),"")</f>
        <v/>
      </c>
      <c r="R182" s="47" t="str">
        <f>IFERROR(1-SUMIF(Grid_BD!$F:$F,$A182,Grid_BD!$Y:$Y)/($AA182+SUMIF(Grid_BD!$F:$F,$A182,Grid_BD!$Y:$Y)),"")</f>
        <v/>
      </c>
      <c r="S182" s="10"/>
      <c r="T182" s="310"/>
      <c r="U182" s="311"/>
      <c r="V182" s="10"/>
      <c r="W182" s="312" t="str">
        <f t="shared" si="17"/>
        <v/>
      </c>
      <c r="X182" s="10" t="str">
        <f>IFERROR(_xlfn.XLOOKUP($A182,Input_Raw!$E:$E,Input_Raw!BG:BG),"")</f>
        <v/>
      </c>
      <c r="Y182" s="10" t="str">
        <f>IFERROR(_xlfn.XLOOKUP($A182,Input_Raw!$E:$E,Input_Raw!DF:DF),"")</f>
        <v/>
      </c>
      <c r="Z182" s="319" t="str">
        <f>IFERROR(_xlfn.XLOOKUP(A182,Input_Raw!E:E,Input_Raw!CT:CT)/_xlfn.XLOOKUP(A182,Input_Raw!E:E,Input_Raw!CS:CS)*Table13[[#This Row],[Mtr_Export (kWh)]],"")</f>
        <v/>
      </c>
      <c r="AA182" s="43" t="str">
        <f t="shared" si="18"/>
        <v/>
      </c>
      <c r="AB182" s="10" t="str">
        <f>IFERROR(_xlfn.XLOOKUP($A182,Input_Raw!$E:$E,Input_Raw!$CZ:$CZ),"")</f>
        <v/>
      </c>
      <c r="AC182" s="313">
        <f>IFERROR(_xlfn.XLOOKUP($D182,'Modelling New'!$D:$D,'Modelling New'!$J:$J),"")</f>
        <v>7.2366664761360369</v>
      </c>
      <c r="AD182" s="43">
        <f>IFERROR(_xlfn.XLOOKUP($D182,'Modelling New'!$D:$D,'Modelling New'!$T:$T)*1000,"")</f>
        <v>416592.33333333331</v>
      </c>
      <c r="AE182" s="312"/>
      <c r="AF182" s="312">
        <f>IFERROR(_xlfn.XLOOKUP($D182,'Modelling New'!$D:$D,'Modelling New'!$W:$W),"")</f>
        <v>0.34304375274483978</v>
      </c>
      <c r="AG182" s="312">
        <f>IFERROR(_xlfn.XLOOKUP($D182,'Modelling New'!$D:$D,'Modelling New'!$AE:$AE),"")</f>
        <v>0.95549849999999992</v>
      </c>
      <c r="AH182" s="312">
        <f>IFERROR(_xlfn.XLOOKUP($D182,'Modelling New'!$D:$D,'Modelling New'!$AF:$AF),"")</f>
        <v>0.995</v>
      </c>
      <c r="AI182" s="10" t="str">
        <f>IFERROR(_xlfn.XLOOKUP($A182,Input_Raw!$E:$E,Input_Raw!$DG:$DG),"")</f>
        <v/>
      </c>
      <c r="AJ182" s="10"/>
      <c r="AK182" s="10"/>
      <c r="AL182" s="10"/>
      <c r="AM182" s="10"/>
      <c r="AN182" s="314" t="str">
        <f>IFERROR(_xlfn.XLOOKUP($A182,Input_Raw!$E:$E,Input_Raw!$CY:$CY),"")</f>
        <v/>
      </c>
      <c r="AO182" s="312" t="str">
        <f>IFERROR((_xlfn.XLOOKUP($A182,'WTG Reactive Power'!$A:$A,'WTG Reactive Power'!AB:AB))/X182,"")</f>
        <v/>
      </c>
      <c r="AP182" s="312">
        <f>IFERROR(_xlfn.XLOOKUP($D182,'Modelling New'!$D:$D,'Modelling New'!AK:AK),"")</f>
        <v>0.05</v>
      </c>
      <c r="AQ182" s="312">
        <f>IFERROR(_xlfn.XLOOKUP($D182,'Modelling New'!$D:$D,'Modelling New'!AL:AL),"")</f>
        <v>0.05</v>
      </c>
      <c r="AR182" s="325">
        <f>IFERROR(_xlfn.XLOOKUP($D182,'Modelling New'!$D:$D,'Modelling New'!$N:$N),"")</f>
        <v>50.59999999999998</v>
      </c>
      <c r="AS182" s="325"/>
    </row>
    <row r="183" spans="1:45">
      <c r="A183" s="32">
        <f t="shared" si="19"/>
        <v>45926</v>
      </c>
      <c r="B183" s="43">
        <f>YEAR(Table13[[#This Row],[Date]])+IF(MONTH(Table13[[#This Row],[Date]])&gt;=4,1,0)</f>
        <v>2026</v>
      </c>
      <c r="C183" s="10">
        <f>YEAR(Table13[[#This Row],[Date]])</f>
        <v>2025</v>
      </c>
      <c r="D183" s="309">
        <f>Table13[[#This Row],[Date]]-DAY(Table13[[#This Row],[Date]])+1</f>
        <v>45901</v>
      </c>
      <c r="E183" s="10">
        <f t="shared" si="15"/>
        <v>30</v>
      </c>
      <c r="F183" s="241" t="str">
        <f>IFERROR(_xlfn.XLOOKUP($A183,Input_Raw!$E:$E,Input_Raw!DC:DC),"")</f>
        <v/>
      </c>
      <c r="G183" s="242"/>
      <c r="H183" s="242"/>
      <c r="I183" s="242"/>
      <c r="J183" s="242"/>
      <c r="K183" s="243"/>
      <c r="L183" s="242"/>
      <c r="M183" s="242" t="str">
        <f>IFERROR(_xlfn.XLOOKUP($A183,Input_Raw!$E:$E,Input_Raw!$BM:$BM),"")</f>
        <v/>
      </c>
      <c r="N183" s="242" t="str">
        <f>IFERROR(_xlfn.XLOOKUP($A183,Input_Raw!$E:$E,Input_Raw!$BN:$BN),"")</f>
        <v/>
      </c>
      <c r="O183" s="311" t="str">
        <f t="shared" si="16"/>
        <v/>
      </c>
      <c r="P183" s="311" t="str">
        <f>IFERROR(1-SUMIF(WTG_BD!$F:$F,$A183,WTG_BD!$AA:$AA)/($AA183+SUMIF(WTG_BD!$F:$F,$A183,WTG_BD!$AA:$AA)),"")</f>
        <v/>
      </c>
      <c r="Q183" s="328" t="str">
        <f>IFERROR(1-SUMIF(IGA_BD!$F:$F,$A183,IGA_BD!$W:$W)/($AA183+SUMIF(IGA_BD!$F:$F,$A183,IGA_BD!$W:$W)),"")</f>
        <v/>
      </c>
      <c r="R183" s="311" t="str">
        <f>IFERROR(1-SUMIF(Grid_BD!$F:$F,$A183,Grid_BD!$Y:$Y)/($AA183+SUMIF(Grid_BD!$F:$F,$A183,Grid_BD!$Y:$Y)),"")</f>
        <v/>
      </c>
      <c r="S183" s="10"/>
      <c r="T183" s="310"/>
      <c r="U183" s="311"/>
      <c r="V183" s="10"/>
      <c r="W183" s="312" t="str">
        <f t="shared" si="17"/>
        <v/>
      </c>
      <c r="X183" s="10" t="str">
        <f>IFERROR(_xlfn.XLOOKUP($A183,Input_Raw!$E:$E,Input_Raw!BG:BG),"")</f>
        <v/>
      </c>
      <c r="Y183" s="10" t="str">
        <f>IFERROR(_xlfn.XLOOKUP($A183,Input_Raw!$E:$E,Input_Raw!DF:DF),"")</f>
        <v/>
      </c>
      <c r="Z183" s="319" t="str">
        <f>IFERROR(_xlfn.XLOOKUP(A183,Input_Raw!E:E,Input_Raw!CT:CT)/_xlfn.XLOOKUP(A183,Input_Raw!E:E,Input_Raw!CS:CS)*Table13[[#This Row],[Mtr_Export (kWh)]],"")</f>
        <v/>
      </c>
      <c r="AA183" s="43" t="str">
        <f t="shared" si="18"/>
        <v/>
      </c>
      <c r="AB183" s="10" t="str">
        <f>IFERROR(_xlfn.XLOOKUP($A183,Input_Raw!$E:$E,Input_Raw!$CZ:$CZ),"")</f>
        <v/>
      </c>
      <c r="AC183" s="313">
        <f>IFERROR(_xlfn.XLOOKUP($D183,'Modelling New'!$D:$D,'Modelling New'!$J:$J),"")</f>
        <v>7.2366664761360369</v>
      </c>
      <c r="AD183" s="43">
        <f>IFERROR(_xlfn.XLOOKUP($D183,'Modelling New'!$D:$D,'Modelling New'!$T:$T)*1000,"")</f>
        <v>416592.33333333331</v>
      </c>
      <c r="AE183" s="312"/>
      <c r="AF183" s="312">
        <f>IFERROR(_xlfn.XLOOKUP($D183,'Modelling New'!$D:$D,'Modelling New'!$W:$W),"")</f>
        <v>0.34304375274483978</v>
      </c>
      <c r="AG183" s="312">
        <f>IFERROR(_xlfn.XLOOKUP($D183,'Modelling New'!$D:$D,'Modelling New'!$AE:$AE),"")</f>
        <v>0.95549849999999992</v>
      </c>
      <c r="AH183" s="312">
        <f>IFERROR(_xlfn.XLOOKUP($D183,'Modelling New'!$D:$D,'Modelling New'!$AF:$AF),"")</f>
        <v>0.995</v>
      </c>
      <c r="AI183" s="10" t="str">
        <f>IFERROR(_xlfn.XLOOKUP($A183,Input_Raw!$E:$E,Input_Raw!$DG:$DG),"")</f>
        <v/>
      </c>
      <c r="AJ183" s="10"/>
      <c r="AK183" s="10"/>
      <c r="AL183" s="10"/>
      <c r="AM183" s="10"/>
      <c r="AN183" s="314" t="str">
        <f>IFERROR(_xlfn.XLOOKUP($A183,Input_Raw!$E:$E,Input_Raw!$CY:$CY),"")</f>
        <v/>
      </c>
      <c r="AO183" s="312" t="str">
        <f>IFERROR((_xlfn.XLOOKUP($A183,'WTG Reactive Power'!$A:$A,'WTG Reactive Power'!AB:AB))/X183,"")</f>
        <v/>
      </c>
      <c r="AP183" s="312">
        <f>IFERROR(_xlfn.XLOOKUP($D183,'Modelling New'!$D:$D,'Modelling New'!AK:AK),"")</f>
        <v>0.05</v>
      </c>
      <c r="AQ183" s="312">
        <f>IFERROR(_xlfn.XLOOKUP($D183,'Modelling New'!$D:$D,'Modelling New'!AL:AL),"")</f>
        <v>0.05</v>
      </c>
      <c r="AR183" s="325">
        <f>IFERROR(_xlfn.XLOOKUP($D183,'Modelling New'!$D:$D,'Modelling New'!$N:$N),"")</f>
        <v>50.59999999999998</v>
      </c>
      <c r="AS183" s="325"/>
    </row>
    <row r="184" spans="1:45">
      <c r="A184" s="32">
        <f t="shared" si="19"/>
        <v>45927</v>
      </c>
      <c r="B184" s="43">
        <f>YEAR(Table13[[#This Row],[Date]])+IF(MONTH(Table13[[#This Row],[Date]])&gt;=4,1,0)</f>
        <v>2026</v>
      </c>
      <c r="C184" s="10">
        <f>YEAR(Table13[[#This Row],[Date]])</f>
        <v>2025</v>
      </c>
      <c r="D184" s="309">
        <f>Table13[[#This Row],[Date]]-DAY(Table13[[#This Row],[Date]])+1</f>
        <v>45901</v>
      </c>
      <c r="E184" s="10">
        <f t="shared" si="15"/>
        <v>30</v>
      </c>
      <c r="F184" s="241" t="str">
        <f>IFERROR(_xlfn.XLOOKUP($A184,Input_Raw!$E:$E,Input_Raw!DC:DC),"")</f>
        <v/>
      </c>
      <c r="G184" s="313"/>
      <c r="H184" s="313"/>
      <c r="I184" s="313"/>
      <c r="J184" s="313"/>
      <c r="K184" s="243"/>
      <c r="L184" s="242"/>
      <c r="M184" s="242" t="str">
        <f>IFERROR(_xlfn.XLOOKUP($A184,Input_Raw!$E:$E,Input_Raw!$BM:$BM),"")</f>
        <v/>
      </c>
      <c r="N184" s="242" t="str">
        <f>IFERROR(_xlfn.XLOOKUP($A184,Input_Raw!$E:$E,Input_Raw!$BN:$BN),"")</f>
        <v/>
      </c>
      <c r="O184" s="311" t="str">
        <f t="shared" si="16"/>
        <v/>
      </c>
      <c r="P184" s="311" t="str">
        <f>IFERROR(1-SUMIF(WTG_BD!$F:$F,$A184,WTG_BD!$AA:$AA)/($AA184+SUMIF(WTG_BD!$F:$F,$A184,WTG_BD!$AA:$AA)),"")</f>
        <v/>
      </c>
      <c r="Q184" s="328" t="str">
        <f>IFERROR(1-SUMIF(IGA_BD!$F:$F,$A184,IGA_BD!$W:$W)/($AA184+SUMIF(IGA_BD!$F:$F,$A184,IGA_BD!$W:$W)),"")</f>
        <v/>
      </c>
      <c r="R184" s="47" t="str">
        <f>IFERROR(1-SUMIF(Grid_BD!$F:$F,$A184,Grid_BD!$Y:$Y)/($AA184+SUMIF(Grid_BD!$F:$F,$A184,Grid_BD!$Y:$Y)),"")</f>
        <v/>
      </c>
      <c r="S184" s="10"/>
      <c r="T184" s="310"/>
      <c r="U184" s="311"/>
      <c r="V184" s="10"/>
      <c r="W184" s="312" t="str">
        <f t="shared" si="17"/>
        <v/>
      </c>
      <c r="X184" s="10" t="str">
        <f>IFERROR(_xlfn.XLOOKUP($A184,Input_Raw!$E:$E,Input_Raw!BG:BG),"")</f>
        <v/>
      </c>
      <c r="Y184" s="10" t="str">
        <f>IFERROR(_xlfn.XLOOKUP($A184,Input_Raw!$E:$E,Input_Raw!DF:DF),"")</f>
        <v/>
      </c>
      <c r="Z184" s="319" t="str">
        <f>IFERROR(_xlfn.XLOOKUP(A184,Input_Raw!E:E,Input_Raw!CT:CT)/_xlfn.XLOOKUP(A184,Input_Raw!E:E,Input_Raw!CS:CS)*Table13[[#This Row],[Mtr_Export (kWh)]],"")</f>
        <v/>
      </c>
      <c r="AA184" s="43" t="str">
        <f t="shared" si="18"/>
        <v/>
      </c>
      <c r="AB184" s="10" t="str">
        <f>IFERROR(_xlfn.XLOOKUP($A184,Input_Raw!$E:$E,Input_Raw!$CZ:$CZ),"")</f>
        <v/>
      </c>
      <c r="AC184" s="313">
        <f>IFERROR(_xlfn.XLOOKUP($D184,'Modelling New'!$D:$D,'Modelling New'!$J:$J),"")</f>
        <v>7.2366664761360369</v>
      </c>
      <c r="AD184" s="43">
        <f>IFERROR(_xlfn.XLOOKUP($D184,'Modelling New'!$D:$D,'Modelling New'!$T:$T)*1000,"")</f>
        <v>416592.33333333331</v>
      </c>
      <c r="AE184" s="312"/>
      <c r="AF184" s="312">
        <f>IFERROR(_xlfn.XLOOKUP($D184,'Modelling New'!$D:$D,'Modelling New'!$W:$W),"")</f>
        <v>0.34304375274483978</v>
      </c>
      <c r="AG184" s="312">
        <f>IFERROR(_xlfn.XLOOKUP($D184,'Modelling New'!$D:$D,'Modelling New'!$AE:$AE),"")</f>
        <v>0.95549849999999992</v>
      </c>
      <c r="AH184" s="312">
        <f>IFERROR(_xlfn.XLOOKUP($D184,'Modelling New'!$D:$D,'Modelling New'!$AF:$AF),"")</f>
        <v>0.995</v>
      </c>
      <c r="AI184" s="10" t="str">
        <f>IFERROR(_xlfn.XLOOKUP($A184,Input_Raw!$E:$E,Input_Raw!$DG:$DG),"")</f>
        <v/>
      </c>
      <c r="AJ184" s="10"/>
      <c r="AK184" s="10"/>
      <c r="AL184" s="10"/>
      <c r="AM184" s="10"/>
      <c r="AN184" s="314" t="str">
        <f>IFERROR(_xlfn.XLOOKUP($A184,Input_Raw!$E:$E,Input_Raw!$CY:$CY),"")</f>
        <v/>
      </c>
      <c r="AO184" s="312" t="str">
        <f>IFERROR((_xlfn.XLOOKUP($A184,'WTG Reactive Power'!$A:$A,'WTG Reactive Power'!AB:AB))/X184,"")</f>
        <v/>
      </c>
      <c r="AP184" s="312">
        <f>IFERROR(_xlfn.XLOOKUP($D184,'Modelling New'!$D:$D,'Modelling New'!AK:AK),"")</f>
        <v>0.05</v>
      </c>
      <c r="AQ184" s="312">
        <f>IFERROR(_xlfn.XLOOKUP($D184,'Modelling New'!$D:$D,'Modelling New'!AL:AL),"")</f>
        <v>0.05</v>
      </c>
      <c r="AR184" s="325">
        <f>IFERROR(_xlfn.XLOOKUP($D184,'Modelling New'!$D:$D,'Modelling New'!$N:$N),"")</f>
        <v>50.59999999999998</v>
      </c>
      <c r="AS184" s="325"/>
    </row>
    <row r="185" spans="1:45">
      <c r="A185" s="32">
        <f t="shared" si="19"/>
        <v>45928</v>
      </c>
      <c r="B185" s="43">
        <f>YEAR(Table13[[#This Row],[Date]])+IF(MONTH(Table13[[#This Row],[Date]])&gt;=4,1,0)</f>
        <v>2026</v>
      </c>
      <c r="C185" s="10">
        <f>YEAR(Table13[[#This Row],[Date]])</f>
        <v>2025</v>
      </c>
      <c r="D185" s="309">
        <f>Table13[[#This Row],[Date]]-DAY(Table13[[#This Row],[Date]])+1</f>
        <v>45901</v>
      </c>
      <c r="E185" s="10">
        <f t="shared" si="15"/>
        <v>30</v>
      </c>
      <c r="F185" s="241" t="str">
        <f>IFERROR(_xlfn.XLOOKUP($A185,Input_Raw!$E:$E,Input_Raw!DC:DC),"")</f>
        <v/>
      </c>
      <c r="G185" s="242"/>
      <c r="H185" s="242"/>
      <c r="I185" s="242"/>
      <c r="J185" s="242"/>
      <c r="K185" s="243"/>
      <c r="L185" s="242"/>
      <c r="M185" s="242" t="str">
        <f>IFERROR(_xlfn.XLOOKUP($A185,Input_Raw!$E:$E,Input_Raw!$BM:$BM),"")</f>
        <v/>
      </c>
      <c r="N185" s="242" t="str">
        <f>IFERROR(_xlfn.XLOOKUP($A185,Input_Raw!$E:$E,Input_Raw!$BN:$BN),"")</f>
        <v/>
      </c>
      <c r="O185" s="311" t="str">
        <f t="shared" si="16"/>
        <v/>
      </c>
      <c r="P185" s="311" t="str">
        <f>IFERROR(1-SUMIF(WTG_BD!$F:$F,$A185,WTG_BD!$AA:$AA)/($AA185+SUMIF(WTG_BD!$F:$F,$A185,WTG_BD!$AA:$AA)),"")</f>
        <v/>
      </c>
      <c r="Q185" s="328" t="str">
        <f>IFERROR(1-SUMIF(IGA_BD!$F:$F,$A185,IGA_BD!$W:$W)/($AA185+SUMIF(IGA_BD!$F:$F,$A185,IGA_BD!$W:$W)),"")</f>
        <v/>
      </c>
      <c r="R185" s="311" t="str">
        <f>IFERROR(1-SUMIF(Grid_BD!$F:$F,$A185,Grid_BD!$Y:$Y)/($AA185+SUMIF(Grid_BD!$F:$F,$A185,Grid_BD!$Y:$Y)),"")</f>
        <v/>
      </c>
      <c r="S185" s="10"/>
      <c r="T185" s="310"/>
      <c r="U185" s="311"/>
      <c r="V185" s="10"/>
      <c r="W185" s="312" t="str">
        <f t="shared" si="17"/>
        <v/>
      </c>
      <c r="X185" s="10" t="str">
        <f>IFERROR(_xlfn.XLOOKUP($A185,Input_Raw!$E:$E,Input_Raw!BG:BG),"")</f>
        <v/>
      </c>
      <c r="Y185" s="10" t="str">
        <f>IFERROR(_xlfn.XLOOKUP($A185,Input_Raw!$E:$E,Input_Raw!DF:DF),"")</f>
        <v/>
      </c>
      <c r="Z185" s="319" t="str">
        <f>IFERROR(_xlfn.XLOOKUP(A185,Input_Raw!E:E,Input_Raw!CT:CT)/_xlfn.XLOOKUP(A185,Input_Raw!E:E,Input_Raw!CS:CS)*Table13[[#This Row],[Mtr_Export (kWh)]],"")</f>
        <v/>
      </c>
      <c r="AA185" s="43" t="str">
        <f t="shared" si="18"/>
        <v/>
      </c>
      <c r="AB185" s="10" t="str">
        <f>IFERROR(_xlfn.XLOOKUP($A185,Input_Raw!$E:$E,Input_Raw!$CZ:$CZ),"")</f>
        <v/>
      </c>
      <c r="AC185" s="313">
        <f>IFERROR(_xlfn.XLOOKUP($D185,'Modelling New'!$D:$D,'Modelling New'!$J:$J),"")</f>
        <v>7.2366664761360369</v>
      </c>
      <c r="AD185" s="43">
        <f>IFERROR(_xlfn.XLOOKUP($D185,'Modelling New'!$D:$D,'Modelling New'!$T:$T)*1000,"")</f>
        <v>416592.33333333331</v>
      </c>
      <c r="AE185" s="312"/>
      <c r="AF185" s="312">
        <f>IFERROR(_xlfn.XLOOKUP($D185,'Modelling New'!$D:$D,'Modelling New'!$W:$W),"")</f>
        <v>0.34304375274483978</v>
      </c>
      <c r="AG185" s="312">
        <f>IFERROR(_xlfn.XLOOKUP($D185,'Modelling New'!$D:$D,'Modelling New'!$AE:$AE),"")</f>
        <v>0.95549849999999992</v>
      </c>
      <c r="AH185" s="312">
        <f>IFERROR(_xlfn.XLOOKUP($D185,'Modelling New'!$D:$D,'Modelling New'!$AF:$AF),"")</f>
        <v>0.995</v>
      </c>
      <c r="AI185" s="10" t="str">
        <f>IFERROR(_xlfn.XLOOKUP($A185,Input_Raw!$E:$E,Input_Raw!$DG:$DG),"")</f>
        <v/>
      </c>
      <c r="AJ185" s="10"/>
      <c r="AK185" s="10"/>
      <c r="AL185" s="10"/>
      <c r="AM185" s="10"/>
      <c r="AN185" s="314" t="str">
        <f>IFERROR(_xlfn.XLOOKUP($A185,Input_Raw!$E:$E,Input_Raw!$CY:$CY),"")</f>
        <v/>
      </c>
      <c r="AO185" s="312" t="str">
        <f>IFERROR((_xlfn.XLOOKUP($A185,'WTG Reactive Power'!$A:$A,'WTG Reactive Power'!AB:AB))/X185,"")</f>
        <v/>
      </c>
      <c r="AP185" s="312">
        <f>IFERROR(_xlfn.XLOOKUP($D185,'Modelling New'!$D:$D,'Modelling New'!AK:AK),"")</f>
        <v>0.05</v>
      </c>
      <c r="AQ185" s="312">
        <f>IFERROR(_xlfn.XLOOKUP($D185,'Modelling New'!$D:$D,'Modelling New'!AL:AL),"")</f>
        <v>0.05</v>
      </c>
      <c r="AR185" s="325">
        <f>IFERROR(_xlfn.XLOOKUP($D185,'Modelling New'!$D:$D,'Modelling New'!$N:$N),"")</f>
        <v>50.59999999999998</v>
      </c>
      <c r="AS185" s="325"/>
    </row>
    <row r="186" spans="1:45">
      <c r="A186" s="32">
        <f t="shared" si="19"/>
        <v>45929</v>
      </c>
      <c r="B186" s="43">
        <f>YEAR(Table13[[#This Row],[Date]])+IF(MONTH(Table13[[#This Row],[Date]])&gt;=4,1,0)</f>
        <v>2026</v>
      </c>
      <c r="C186" s="10">
        <f>YEAR(Table13[[#This Row],[Date]])</f>
        <v>2025</v>
      </c>
      <c r="D186" s="309">
        <f>Table13[[#This Row],[Date]]-DAY(Table13[[#This Row],[Date]])+1</f>
        <v>45901</v>
      </c>
      <c r="E186" s="10">
        <f t="shared" si="15"/>
        <v>30</v>
      </c>
      <c r="F186" s="241" t="str">
        <f>IFERROR(_xlfn.XLOOKUP($A186,Input_Raw!$E:$E,Input_Raw!DC:DC),"")</f>
        <v/>
      </c>
      <c r="G186" s="313"/>
      <c r="H186" s="313"/>
      <c r="I186" s="313"/>
      <c r="J186" s="313"/>
      <c r="K186" s="243"/>
      <c r="L186" s="242"/>
      <c r="M186" s="242" t="str">
        <f>IFERROR(_xlfn.XLOOKUP($A186,Input_Raw!$E:$E,Input_Raw!$BM:$BM),"")</f>
        <v/>
      </c>
      <c r="N186" s="242" t="str">
        <f>IFERROR(_xlfn.XLOOKUP($A186,Input_Raw!$E:$E,Input_Raw!$BN:$BN),"")</f>
        <v/>
      </c>
      <c r="O186" s="311" t="str">
        <f t="shared" si="16"/>
        <v/>
      </c>
      <c r="P186" s="311" t="str">
        <f>IFERROR(1-SUMIF(WTG_BD!$F:$F,$A186,WTG_BD!$AA:$AA)/($AA186+SUMIF(WTG_BD!$F:$F,$A186,WTG_BD!$AA:$AA)),"")</f>
        <v/>
      </c>
      <c r="Q186" s="328" t="str">
        <f>IFERROR(1-SUMIF(IGA_BD!$F:$F,$A186,IGA_BD!$W:$W)/($AA186+SUMIF(IGA_BD!$F:$F,$A186,IGA_BD!$W:$W)),"")</f>
        <v/>
      </c>
      <c r="R186" s="47" t="str">
        <f>IFERROR(1-SUMIF(Grid_BD!$F:$F,$A186,Grid_BD!$Y:$Y)/($AA186+SUMIF(Grid_BD!$F:$F,$A186,Grid_BD!$Y:$Y)),"")</f>
        <v/>
      </c>
      <c r="S186" s="10"/>
      <c r="T186" s="310"/>
      <c r="U186" s="311"/>
      <c r="V186" s="10"/>
      <c r="W186" s="312" t="str">
        <f t="shared" si="17"/>
        <v/>
      </c>
      <c r="X186" s="10" t="str">
        <f>IFERROR(_xlfn.XLOOKUP($A186,Input_Raw!$E:$E,Input_Raw!BG:BG),"")</f>
        <v/>
      </c>
      <c r="Y186" s="10" t="str">
        <f>IFERROR(_xlfn.XLOOKUP($A186,Input_Raw!$E:$E,Input_Raw!DF:DF),"")</f>
        <v/>
      </c>
      <c r="Z186" s="319" t="str">
        <f>IFERROR(_xlfn.XLOOKUP(A186,Input_Raw!E:E,Input_Raw!CT:CT)/_xlfn.XLOOKUP(A186,Input_Raw!E:E,Input_Raw!CS:CS)*Table13[[#This Row],[Mtr_Export (kWh)]],"")</f>
        <v/>
      </c>
      <c r="AA186" s="43" t="str">
        <f t="shared" si="18"/>
        <v/>
      </c>
      <c r="AB186" s="10" t="str">
        <f>IFERROR(_xlfn.XLOOKUP($A186,Input_Raw!$E:$E,Input_Raw!$CZ:$CZ),"")</f>
        <v/>
      </c>
      <c r="AC186" s="313">
        <f>IFERROR(_xlfn.XLOOKUP($D186,'Modelling New'!$D:$D,'Modelling New'!$J:$J),"")</f>
        <v>7.2366664761360369</v>
      </c>
      <c r="AD186" s="43">
        <f>IFERROR(_xlfn.XLOOKUP($D186,'Modelling New'!$D:$D,'Modelling New'!$T:$T)*1000,"")</f>
        <v>416592.33333333331</v>
      </c>
      <c r="AE186" s="312"/>
      <c r="AF186" s="312">
        <f>IFERROR(_xlfn.XLOOKUP($D186,'Modelling New'!$D:$D,'Modelling New'!$W:$W),"")</f>
        <v>0.34304375274483978</v>
      </c>
      <c r="AG186" s="312">
        <f>IFERROR(_xlfn.XLOOKUP($D186,'Modelling New'!$D:$D,'Modelling New'!$AE:$AE),"")</f>
        <v>0.95549849999999992</v>
      </c>
      <c r="AH186" s="312">
        <f>IFERROR(_xlfn.XLOOKUP($D186,'Modelling New'!$D:$D,'Modelling New'!$AF:$AF),"")</f>
        <v>0.995</v>
      </c>
      <c r="AI186" s="10" t="str">
        <f>IFERROR(_xlfn.XLOOKUP($A186,Input_Raw!$E:$E,Input_Raw!$DG:$DG),"")</f>
        <v/>
      </c>
      <c r="AJ186" s="10"/>
      <c r="AK186" s="10"/>
      <c r="AL186" s="10"/>
      <c r="AM186" s="10"/>
      <c r="AN186" s="314" t="str">
        <f>IFERROR(_xlfn.XLOOKUP($A186,Input_Raw!$E:$E,Input_Raw!$CY:$CY),"")</f>
        <v/>
      </c>
      <c r="AO186" s="312" t="str">
        <f>IFERROR((_xlfn.XLOOKUP($A186,'WTG Reactive Power'!$A:$A,'WTG Reactive Power'!AB:AB))/X186,"")</f>
        <v/>
      </c>
      <c r="AP186" s="312">
        <f>IFERROR(_xlfn.XLOOKUP($D186,'Modelling New'!$D:$D,'Modelling New'!AK:AK),"")</f>
        <v>0.05</v>
      </c>
      <c r="AQ186" s="312">
        <f>IFERROR(_xlfn.XLOOKUP($D186,'Modelling New'!$D:$D,'Modelling New'!AL:AL),"")</f>
        <v>0.05</v>
      </c>
      <c r="AR186" s="325">
        <f>IFERROR(_xlfn.XLOOKUP($D186,'Modelling New'!$D:$D,'Modelling New'!$N:$N),"")</f>
        <v>50.59999999999998</v>
      </c>
      <c r="AS186" s="325"/>
    </row>
    <row r="187" spans="1:45">
      <c r="A187" s="32">
        <f t="shared" si="19"/>
        <v>45930</v>
      </c>
      <c r="B187" s="43">
        <f>YEAR(Table13[[#This Row],[Date]])+IF(MONTH(Table13[[#This Row],[Date]])&gt;=4,1,0)</f>
        <v>2026</v>
      </c>
      <c r="C187" s="10">
        <f>YEAR(Table13[[#This Row],[Date]])</f>
        <v>2025</v>
      </c>
      <c r="D187" s="309">
        <f>Table13[[#This Row],[Date]]-DAY(Table13[[#This Row],[Date]])+1</f>
        <v>45901</v>
      </c>
      <c r="E187" s="10">
        <f t="shared" si="15"/>
        <v>30</v>
      </c>
      <c r="F187" s="241" t="str">
        <f>IFERROR(_xlfn.XLOOKUP($A187,Input_Raw!$E:$E,Input_Raw!DC:DC),"")</f>
        <v/>
      </c>
      <c r="G187" s="242"/>
      <c r="H187" s="242"/>
      <c r="I187" s="242"/>
      <c r="J187" s="242"/>
      <c r="K187" s="243"/>
      <c r="L187" s="242"/>
      <c r="M187" s="242" t="str">
        <f>IFERROR(_xlfn.XLOOKUP($A187,Input_Raw!$E:$E,Input_Raw!$BM:$BM),"")</f>
        <v/>
      </c>
      <c r="N187" s="242" t="str">
        <f>IFERROR(_xlfn.XLOOKUP($A187,Input_Raw!$E:$E,Input_Raw!$BN:$BN),"")</f>
        <v/>
      </c>
      <c r="O187" s="311" t="str">
        <f t="shared" si="16"/>
        <v/>
      </c>
      <c r="P187" s="311" t="str">
        <f>IFERROR(1-SUMIF(WTG_BD!$F:$F,$A187,WTG_BD!$AA:$AA)/($AA187+SUMIF(WTG_BD!$F:$F,$A187,WTG_BD!$AA:$AA)),"")</f>
        <v/>
      </c>
      <c r="Q187" s="328" t="str">
        <f>IFERROR(1-SUMIF(IGA_BD!$F:$F,$A187,IGA_BD!$W:$W)/($AA187+SUMIF(IGA_BD!$F:$F,$A187,IGA_BD!$W:$W)),"")</f>
        <v/>
      </c>
      <c r="R187" s="311" t="str">
        <f>IFERROR(1-SUMIF(Grid_BD!$F:$F,$A187,Grid_BD!$Y:$Y)/($AA187+SUMIF(Grid_BD!$F:$F,$A187,Grid_BD!$Y:$Y)),"")</f>
        <v/>
      </c>
      <c r="S187" s="10"/>
      <c r="T187" s="310"/>
      <c r="U187" s="311"/>
      <c r="V187" s="10"/>
      <c r="W187" s="312" t="str">
        <f t="shared" si="17"/>
        <v/>
      </c>
      <c r="X187" s="10" t="str">
        <f>IFERROR(_xlfn.XLOOKUP($A187,Input_Raw!$E:$E,Input_Raw!BG:BG),"")</f>
        <v/>
      </c>
      <c r="Y187" s="10" t="str">
        <f>IFERROR(_xlfn.XLOOKUP($A187,Input_Raw!$E:$E,Input_Raw!DF:DF),"")</f>
        <v/>
      </c>
      <c r="Z187" s="319" t="str">
        <f>IFERROR(_xlfn.XLOOKUP(A187,Input_Raw!E:E,Input_Raw!CT:CT)/_xlfn.XLOOKUP(A187,Input_Raw!E:E,Input_Raw!CS:CS)*Table13[[#This Row],[Mtr_Export (kWh)]],"")</f>
        <v/>
      </c>
      <c r="AA187" s="43" t="str">
        <f t="shared" si="18"/>
        <v/>
      </c>
      <c r="AB187" s="10" t="str">
        <f>IFERROR(_xlfn.XLOOKUP($A187,Input_Raw!$E:$E,Input_Raw!$CZ:$CZ),"")</f>
        <v/>
      </c>
      <c r="AC187" s="313">
        <f>IFERROR(_xlfn.XLOOKUP($D187,'Modelling New'!$D:$D,'Modelling New'!$J:$J),"")</f>
        <v>7.2366664761360369</v>
      </c>
      <c r="AD187" s="43">
        <f>IFERROR(_xlfn.XLOOKUP($D187,'Modelling New'!$D:$D,'Modelling New'!$T:$T)*1000,"")</f>
        <v>416592.33333333331</v>
      </c>
      <c r="AE187" s="312"/>
      <c r="AF187" s="312">
        <f>IFERROR(_xlfn.XLOOKUP($D187,'Modelling New'!$D:$D,'Modelling New'!$W:$W),"")</f>
        <v>0.34304375274483978</v>
      </c>
      <c r="AG187" s="312">
        <f>IFERROR(_xlfn.XLOOKUP($D187,'Modelling New'!$D:$D,'Modelling New'!$AE:$AE),"")</f>
        <v>0.95549849999999992</v>
      </c>
      <c r="AH187" s="312">
        <f>IFERROR(_xlfn.XLOOKUP($D187,'Modelling New'!$D:$D,'Modelling New'!$AF:$AF),"")</f>
        <v>0.995</v>
      </c>
      <c r="AI187" s="10" t="str">
        <f>IFERROR(_xlfn.XLOOKUP($A187,Input_Raw!$E:$E,Input_Raw!$DG:$DG),"")</f>
        <v/>
      </c>
      <c r="AJ187" s="10"/>
      <c r="AK187" s="10"/>
      <c r="AL187" s="10"/>
      <c r="AM187" s="10"/>
      <c r="AN187" s="314" t="str">
        <f>IFERROR(_xlfn.XLOOKUP($A187,Input_Raw!$E:$E,Input_Raw!$CY:$CY),"")</f>
        <v/>
      </c>
      <c r="AO187" s="312" t="str">
        <f>IFERROR((_xlfn.XLOOKUP($A187,'WTG Reactive Power'!$A:$A,'WTG Reactive Power'!AB:AB))/X187,"")</f>
        <v/>
      </c>
      <c r="AP187" s="312">
        <f>IFERROR(_xlfn.XLOOKUP($D187,'Modelling New'!$D:$D,'Modelling New'!AK:AK),"")</f>
        <v>0.05</v>
      </c>
      <c r="AQ187" s="312">
        <f>IFERROR(_xlfn.XLOOKUP($D187,'Modelling New'!$D:$D,'Modelling New'!AL:AL),"")</f>
        <v>0.05</v>
      </c>
      <c r="AR187" s="325">
        <f>IFERROR(_xlfn.XLOOKUP($D187,'Modelling New'!$D:$D,'Modelling New'!$N:$N),"")</f>
        <v>50.59999999999998</v>
      </c>
      <c r="AS187" s="325"/>
    </row>
    <row r="188" spans="1:45">
      <c r="A188" s="32">
        <f t="shared" si="19"/>
        <v>45931</v>
      </c>
      <c r="B188" s="43">
        <f>YEAR(Table13[[#This Row],[Date]])+IF(MONTH(Table13[[#This Row],[Date]])&gt;=4,1,0)</f>
        <v>2026</v>
      </c>
      <c r="C188" s="10">
        <f>YEAR(Table13[[#This Row],[Date]])</f>
        <v>2025</v>
      </c>
      <c r="D188" s="309">
        <f>Table13[[#This Row],[Date]]-DAY(Table13[[#This Row],[Date]])+1</f>
        <v>45931</v>
      </c>
      <c r="E188" s="10">
        <f t="shared" si="15"/>
        <v>31</v>
      </c>
      <c r="F188" s="241" t="str">
        <f>IFERROR(_xlfn.XLOOKUP($A188,Input_Raw!$E:$E,Input_Raw!DC:DC),"")</f>
        <v/>
      </c>
      <c r="G188" s="313"/>
      <c r="H188" s="313"/>
      <c r="I188" s="313"/>
      <c r="J188" s="313"/>
      <c r="K188" s="243"/>
      <c r="L188" s="242"/>
      <c r="M188" s="242" t="str">
        <f>IFERROR(_xlfn.XLOOKUP($A188,Input_Raw!$E:$E,Input_Raw!$BM:$BM),"")</f>
        <v/>
      </c>
      <c r="N188" s="242" t="str">
        <f>IFERROR(_xlfn.XLOOKUP($A188,Input_Raw!$E:$E,Input_Raw!$BN:$BN),"")</f>
        <v/>
      </c>
      <c r="O188" s="311" t="str">
        <f t="shared" si="16"/>
        <v/>
      </c>
      <c r="P188" s="311" t="str">
        <f>IFERROR(1-SUMIF(WTG_BD!$F:$F,$A188,WTG_BD!$AA:$AA)/($AA188+SUMIF(WTG_BD!$F:$F,$A188,WTG_BD!$AA:$AA)),"")</f>
        <v/>
      </c>
      <c r="Q188" s="328" t="str">
        <f>IFERROR(1-SUMIF(IGA_BD!$F:$F,$A188,IGA_BD!$W:$W)/($AA188+SUMIF(IGA_BD!$F:$F,$A188,IGA_BD!$W:$W)),"")</f>
        <v/>
      </c>
      <c r="R188" s="47" t="str">
        <f>IFERROR(1-SUMIF(Grid_BD!$F:$F,$A188,Grid_BD!$Y:$Y)/($AA188+SUMIF(Grid_BD!$F:$F,$A188,Grid_BD!$Y:$Y)),"")</f>
        <v/>
      </c>
      <c r="S188" s="10"/>
      <c r="T188" s="310"/>
      <c r="U188" s="311"/>
      <c r="V188" s="10"/>
      <c r="W188" s="312" t="str">
        <f t="shared" si="17"/>
        <v/>
      </c>
      <c r="X188" s="10" t="str">
        <f>IFERROR(_xlfn.XLOOKUP($A188,Input_Raw!$E:$E,Input_Raw!BG:BG),"")</f>
        <v/>
      </c>
      <c r="Y188" s="10" t="str">
        <f>IFERROR(_xlfn.XLOOKUP($A188,Input_Raw!$E:$E,Input_Raw!DF:DF),"")</f>
        <v/>
      </c>
      <c r="Z188" s="319" t="str">
        <f>IFERROR(_xlfn.XLOOKUP(A188,Input_Raw!E:E,Input_Raw!CT:CT)/_xlfn.XLOOKUP(A188,Input_Raw!E:E,Input_Raw!CS:CS)*Table13[[#This Row],[Mtr_Export (kWh)]],"")</f>
        <v/>
      </c>
      <c r="AA188" s="43" t="str">
        <f t="shared" si="18"/>
        <v/>
      </c>
      <c r="AB188" s="10" t="str">
        <f>IFERROR(_xlfn.XLOOKUP($A188,Input_Raw!$E:$E,Input_Raw!$CZ:$CZ),"")</f>
        <v/>
      </c>
      <c r="AC188" s="313">
        <f>IFERROR(_xlfn.XLOOKUP($D188,'Modelling New'!$D:$D,'Modelling New'!$J:$J),"")</f>
        <v>6.0015501571877659</v>
      </c>
      <c r="AD188" s="43">
        <f>IFERROR(_xlfn.XLOOKUP($D188,'Modelling New'!$D:$D,'Modelling New'!$T:$T)*1000,"")</f>
        <v>225766.12903225809</v>
      </c>
      <c r="AE188" s="312"/>
      <c r="AF188" s="312">
        <f>IFERROR(_xlfn.XLOOKUP($D188,'Modelling New'!$D:$D,'Modelling New'!$W:$W),"")</f>
        <v>0.18590755025712957</v>
      </c>
      <c r="AG188" s="312">
        <f>IFERROR(_xlfn.XLOOKUP($D188,'Modelling New'!$D:$D,'Modelling New'!$AE:$AE),"")</f>
        <v>0.95549849999999992</v>
      </c>
      <c r="AH188" s="312">
        <f>IFERROR(_xlfn.XLOOKUP($D188,'Modelling New'!$D:$D,'Modelling New'!$AF:$AF),"")</f>
        <v>0.995</v>
      </c>
      <c r="AI188" s="10" t="str">
        <f>IFERROR(_xlfn.XLOOKUP($A188,Input_Raw!$E:$E,Input_Raw!$DG:$DG),"")</f>
        <v/>
      </c>
      <c r="AJ188" s="10"/>
      <c r="AK188" s="10"/>
      <c r="AL188" s="10"/>
      <c r="AM188" s="10"/>
      <c r="AN188" s="314" t="str">
        <f>IFERROR(_xlfn.XLOOKUP($A188,Input_Raw!$E:$E,Input_Raw!$CY:$CY),"")</f>
        <v/>
      </c>
      <c r="AO188" s="312" t="str">
        <f>IFERROR((_xlfn.XLOOKUP($A188,'WTG Reactive Power'!$A:$A,'WTG Reactive Power'!AB:AB))/X188,"")</f>
        <v/>
      </c>
      <c r="AP188" s="312">
        <f>IFERROR(_xlfn.XLOOKUP($D188,'Modelling New'!$D:$D,'Modelling New'!AK:AK),"")</f>
        <v>0.05</v>
      </c>
      <c r="AQ188" s="312">
        <f>IFERROR(_xlfn.XLOOKUP($D188,'Modelling New'!$D:$D,'Modelling New'!AL:AL),"")</f>
        <v>0.05</v>
      </c>
      <c r="AR188" s="325">
        <f>IFERROR(_xlfn.XLOOKUP($D188,'Modelling New'!$D:$D,'Modelling New'!$N:$N),"")</f>
        <v>50.59999999999998</v>
      </c>
      <c r="AS188" s="325"/>
    </row>
    <row r="189" spans="1:45">
      <c r="A189" s="32">
        <f t="shared" si="19"/>
        <v>45932</v>
      </c>
      <c r="B189" s="43">
        <f>YEAR(Table13[[#This Row],[Date]])+IF(MONTH(Table13[[#This Row],[Date]])&gt;=4,1,0)</f>
        <v>2026</v>
      </c>
      <c r="C189" s="10">
        <f>YEAR(Table13[[#This Row],[Date]])</f>
        <v>2025</v>
      </c>
      <c r="D189" s="309">
        <f>Table13[[#This Row],[Date]]-DAY(Table13[[#This Row],[Date]])+1</f>
        <v>45931</v>
      </c>
      <c r="E189" s="10">
        <f t="shared" si="15"/>
        <v>31</v>
      </c>
      <c r="F189" s="241" t="str">
        <f>IFERROR(_xlfn.XLOOKUP($A189,Input_Raw!$E:$E,Input_Raw!DC:DC),"")</f>
        <v/>
      </c>
      <c r="G189" s="242"/>
      <c r="H189" s="242"/>
      <c r="I189" s="242"/>
      <c r="J189" s="242"/>
      <c r="K189" s="243"/>
      <c r="L189" s="242"/>
      <c r="M189" s="242" t="str">
        <f>IFERROR(_xlfn.XLOOKUP($A189,Input_Raw!$E:$E,Input_Raw!$BM:$BM),"")</f>
        <v/>
      </c>
      <c r="N189" s="242" t="str">
        <f>IFERROR(_xlfn.XLOOKUP($A189,Input_Raw!$E:$E,Input_Raw!$BN:$BN),"")</f>
        <v/>
      </c>
      <c r="O189" s="311" t="str">
        <f t="shared" si="16"/>
        <v/>
      </c>
      <c r="P189" s="311" t="str">
        <f>IFERROR(1-SUMIF(WTG_BD!$F:$F,$A189,WTG_BD!$AA:$AA)/($AA189+SUMIF(WTG_BD!$F:$F,$A189,WTG_BD!$AA:$AA)),"")</f>
        <v/>
      </c>
      <c r="Q189" s="328" t="str">
        <f>IFERROR(1-SUMIF(IGA_BD!$F:$F,$A189,IGA_BD!$W:$W)/($AA189+SUMIF(IGA_BD!$F:$F,$A189,IGA_BD!$W:$W)),"")</f>
        <v/>
      </c>
      <c r="R189" s="311" t="str">
        <f>IFERROR(1-SUMIF(Grid_BD!$F:$F,$A189,Grid_BD!$Y:$Y)/($AA189+SUMIF(Grid_BD!$F:$F,$A189,Grid_BD!$Y:$Y)),"")</f>
        <v/>
      </c>
      <c r="S189" s="10"/>
      <c r="T189" s="310"/>
      <c r="U189" s="311"/>
      <c r="V189" s="10"/>
      <c r="W189" s="312" t="str">
        <f t="shared" si="17"/>
        <v/>
      </c>
      <c r="X189" s="10" t="str">
        <f>IFERROR(_xlfn.XLOOKUP($A189,Input_Raw!$E:$E,Input_Raw!BG:BG),"")</f>
        <v/>
      </c>
      <c r="Y189" s="10" t="str">
        <f>IFERROR(_xlfn.XLOOKUP($A189,Input_Raw!$E:$E,Input_Raw!DF:DF),"")</f>
        <v/>
      </c>
      <c r="Z189" s="319" t="str">
        <f>IFERROR(_xlfn.XLOOKUP(A189,Input_Raw!E:E,Input_Raw!CT:CT)/_xlfn.XLOOKUP(A189,Input_Raw!E:E,Input_Raw!CS:CS)*Table13[[#This Row],[Mtr_Export (kWh)]],"")</f>
        <v/>
      </c>
      <c r="AA189" s="43" t="str">
        <f t="shared" si="18"/>
        <v/>
      </c>
      <c r="AB189" s="10" t="str">
        <f>IFERROR(_xlfn.XLOOKUP($A189,Input_Raw!$E:$E,Input_Raw!$CZ:$CZ),"")</f>
        <v/>
      </c>
      <c r="AC189" s="313">
        <f>IFERROR(_xlfn.XLOOKUP($D189,'Modelling New'!$D:$D,'Modelling New'!$J:$J),"")</f>
        <v>6.0015501571877659</v>
      </c>
      <c r="AD189" s="43">
        <f>IFERROR(_xlfn.XLOOKUP($D189,'Modelling New'!$D:$D,'Modelling New'!$T:$T)*1000,"")</f>
        <v>225766.12903225809</v>
      </c>
      <c r="AE189" s="312"/>
      <c r="AF189" s="312">
        <f>IFERROR(_xlfn.XLOOKUP($D189,'Modelling New'!$D:$D,'Modelling New'!$W:$W),"")</f>
        <v>0.18590755025712957</v>
      </c>
      <c r="AG189" s="312">
        <f>IFERROR(_xlfn.XLOOKUP($D189,'Modelling New'!$D:$D,'Modelling New'!$AE:$AE),"")</f>
        <v>0.95549849999999992</v>
      </c>
      <c r="AH189" s="312">
        <f>IFERROR(_xlfn.XLOOKUP($D189,'Modelling New'!$D:$D,'Modelling New'!$AF:$AF),"")</f>
        <v>0.995</v>
      </c>
      <c r="AI189" s="10" t="str">
        <f>IFERROR(_xlfn.XLOOKUP($A189,Input_Raw!$E:$E,Input_Raw!$DG:$DG),"")</f>
        <v/>
      </c>
      <c r="AJ189" s="10"/>
      <c r="AK189" s="10"/>
      <c r="AL189" s="10"/>
      <c r="AM189" s="10"/>
      <c r="AN189" s="314" t="str">
        <f>IFERROR(_xlfn.XLOOKUP($A189,Input_Raw!$E:$E,Input_Raw!$CY:$CY),"")</f>
        <v/>
      </c>
      <c r="AO189" s="312" t="str">
        <f>IFERROR((_xlfn.XLOOKUP($A189,'WTG Reactive Power'!$A:$A,'WTG Reactive Power'!AB:AB))/X189,"")</f>
        <v/>
      </c>
      <c r="AP189" s="312">
        <f>IFERROR(_xlfn.XLOOKUP($D189,'Modelling New'!$D:$D,'Modelling New'!AK:AK),"")</f>
        <v>0.05</v>
      </c>
      <c r="AQ189" s="312">
        <f>IFERROR(_xlfn.XLOOKUP($D189,'Modelling New'!$D:$D,'Modelling New'!AL:AL),"")</f>
        <v>0.05</v>
      </c>
      <c r="AR189" s="325">
        <f>IFERROR(_xlfn.XLOOKUP($D189,'Modelling New'!$D:$D,'Modelling New'!$N:$N),"")</f>
        <v>50.59999999999998</v>
      </c>
      <c r="AS189" s="325"/>
    </row>
    <row r="190" spans="1:45">
      <c r="A190" s="32">
        <f t="shared" si="19"/>
        <v>45933</v>
      </c>
      <c r="B190" s="43">
        <f>YEAR(Table13[[#This Row],[Date]])+IF(MONTH(Table13[[#This Row],[Date]])&gt;=4,1,0)</f>
        <v>2026</v>
      </c>
      <c r="C190" s="10">
        <f>YEAR(Table13[[#This Row],[Date]])</f>
        <v>2025</v>
      </c>
      <c r="D190" s="309">
        <f>Table13[[#This Row],[Date]]-DAY(Table13[[#This Row],[Date]])+1</f>
        <v>45931</v>
      </c>
      <c r="E190" s="10">
        <f t="shared" si="15"/>
        <v>31</v>
      </c>
      <c r="F190" s="241" t="str">
        <f>IFERROR(_xlfn.XLOOKUP($A190,Input_Raw!$E:$E,Input_Raw!DC:DC),"")</f>
        <v/>
      </c>
      <c r="G190" s="313"/>
      <c r="H190" s="313"/>
      <c r="I190" s="313"/>
      <c r="J190" s="313"/>
      <c r="K190" s="243"/>
      <c r="L190" s="242"/>
      <c r="M190" s="242" t="str">
        <f>IFERROR(_xlfn.XLOOKUP($A190,Input_Raw!$E:$E,Input_Raw!$BM:$BM),"")</f>
        <v/>
      </c>
      <c r="N190" s="242" t="str">
        <f>IFERROR(_xlfn.XLOOKUP($A190,Input_Raw!$E:$E,Input_Raw!$BN:$BN),"")</f>
        <v/>
      </c>
      <c r="O190" s="311" t="str">
        <f t="shared" si="16"/>
        <v/>
      </c>
      <c r="P190" s="311" t="str">
        <f>IFERROR(1-SUMIF(WTG_BD!$F:$F,$A190,WTG_BD!$AA:$AA)/($AA190+SUMIF(WTG_BD!$F:$F,$A190,WTG_BD!$AA:$AA)),"")</f>
        <v/>
      </c>
      <c r="Q190" s="328" t="str">
        <f>IFERROR(1-SUMIF(IGA_BD!$F:$F,$A190,IGA_BD!$W:$W)/($AA190+SUMIF(IGA_BD!$F:$F,$A190,IGA_BD!$W:$W)),"")</f>
        <v/>
      </c>
      <c r="R190" s="47" t="str">
        <f>IFERROR(1-SUMIF(Grid_BD!$F:$F,$A190,Grid_BD!$Y:$Y)/($AA190+SUMIF(Grid_BD!$F:$F,$A190,Grid_BD!$Y:$Y)),"")</f>
        <v/>
      </c>
      <c r="S190" s="10"/>
      <c r="T190" s="310"/>
      <c r="U190" s="311"/>
      <c r="V190" s="10"/>
      <c r="W190" s="312" t="str">
        <f t="shared" si="17"/>
        <v/>
      </c>
      <c r="X190" s="10" t="str">
        <f>IFERROR(_xlfn.XLOOKUP($A190,Input_Raw!$E:$E,Input_Raw!BG:BG),"")</f>
        <v/>
      </c>
      <c r="Y190" s="10" t="str">
        <f>IFERROR(_xlfn.XLOOKUP($A190,Input_Raw!$E:$E,Input_Raw!DF:DF),"")</f>
        <v/>
      </c>
      <c r="Z190" s="319" t="str">
        <f>IFERROR(_xlfn.XLOOKUP(A190,Input_Raw!E:E,Input_Raw!CT:CT)/_xlfn.XLOOKUP(A190,Input_Raw!E:E,Input_Raw!CS:CS)*Table13[[#This Row],[Mtr_Export (kWh)]],"")</f>
        <v/>
      </c>
      <c r="AA190" s="43" t="str">
        <f t="shared" si="18"/>
        <v/>
      </c>
      <c r="AB190" s="10" t="str">
        <f>IFERROR(_xlfn.XLOOKUP($A190,Input_Raw!$E:$E,Input_Raw!$CZ:$CZ),"")</f>
        <v/>
      </c>
      <c r="AC190" s="313">
        <f>IFERROR(_xlfn.XLOOKUP($D190,'Modelling New'!$D:$D,'Modelling New'!$J:$J),"")</f>
        <v>6.0015501571877659</v>
      </c>
      <c r="AD190" s="43">
        <f>IFERROR(_xlfn.XLOOKUP($D190,'Modelling New'!$D:$D,'Modelling New'!$T:$T)*1000,"")</f>
        <v>225766.12903225809</v>
      </c>
      <c r="AE190" s="312"/>
      <c r="AF190" s="312">
        <f>IFERROR(_xlfn.XLOOKUP($D190,'Modelling New'!$D:$D,'Modelling New'!$W:$W),"")</f>
        <v>0.18590755025712957</v>
      </c>
      <c r="AG190" s="312">
        <f>IFERROR(_xlfn.XLOOKUP($D190,'Modelling New'!$D:$D,'Modelling New'!$AE:$AE),"")</f>
        <v>0.95549849999999992</v>
      </c>
      <c r="AH190" s="312">
        <f>IFERROR(_xlfn.XLOOKUP($D190,'Modelling New'!$D:$D,'Modelling New'!$AF:$AF),"")</f>
        <v>0.995</v>
      </c>
      <c r="AI190" s="10" t="str">
        <f>IFERROR(_xlfn.XLOOKUP($A190,Input_Raw!$E:$E,Input_Raw!$DG:$DG),"")</f>
        <v/>
      </c>
      <c r="AJ190" s="10"/>
      <c r="AK190" s="10"/>
      <c r="AL190" s="10"/>
      <c r="AM190" s="10"/>
      <c r="AN190" s="314" t="str">
        <f>IFERROR(_xlfn.XLOOKUP($A190,Input_Raw!$E:$E,Input_Raw!$CY:$CY),"")</f>
        <v/>
      </c>
      <c r="AO190" s="312" t="str">
        <f>IFERROR((_xlfn.XLOOKUP($A190,'WTG Reactive Power'!$A:$A,'WTG Reactive Power'!AB:AB))/X190,"")</f>
        <v/>
      </c>
      <c r="AP190" s="312">
        <f>IFERROR(_xlfn.XLOOKUP($D190,'Modelling New'!$D:$D,'Modelling New'!AK:AK),"")</f>
        <v>0.05</v>
      </c>
      <c r="AQ190" s="312">
        <f>IFERROR(_xlfn.XLOOKUP($D190,'Modelling New'!$D:$D,'Modelling New'!AL:AL),"")</f>
        <v>0.05</v>
      </c>
      <c r="AR190" s="325">
        <f>IFERROR(_xlfn.XLOOKUP($D190,'Modelling New'!$D:$D,'Modelling New'!$N:$N),"")</f>
        <v>50.59999999999998</v>
      </c>
      <c r="AS190" s="325"/>
    </row>
    <row r="191" spans="1:45">
      <c r="A191" s="32">
        <f t="shared" si="19"/>
        <v>45934</v>
      </c>
      <c r="B191" s="43">
        <f>YEAR(Table13[[#This Row],[Date]])+IF(MONTH(Table13[[#This Row],[Date]])&gt;=4,1,0)</f>
        <v>2026</v>
      </c>
      <c r="C191" s="10">
        <f>YEAR(Table13[[#This Row],[Date]])</f>
        <v>2025</v>
      </c>
      <c r="D191" s="309">
        <f>Table13[[#This Row],[Date]]-DAY(Table13[[#This Row],[Date]])+1</f>
        <v>45931</v>
      </c>
      <c r="E191" s="10">
        <f t="shared" si="15"/>
        <v>31</v>
      </c>
      <c r="F191" s="241" t="str">
        <f>IFERROR(_xlfn.XLOOKUP($A191,Input_Raw!$E:$E,Input_Raw!DC:DC),"")</f>
        <v/>
      </c>
      <c r="G191" s="242"/>
      <c r="H191" s="242"/>
      <c r="I191" s="242"/>
      <c r="J191" s="242"/>
      <c r="K191" s="243"/>
      <c r="L191" s="242"/>
      <c r="M191" s="242" t="str">
        <f>IFERROR(_xlfn.XLOOKUP($A191,Input_Raw!$E:$E,Input_Raw!$BM:$BM),"")</f>
        <v/>
      </c>
      <c r="N191" s="242" t="str">
        <f>IFERROR(_xlfn.XLOOKUP($A191,Input_Raw!$E:$E,Input_Raw!$BN:$BN),"")</f>
        <v/>
      </c>
      <c r="O191" s="311" t="str">
        <f t="shared" si="16"/>
        <v/>
      </c>
      <c r="P191" s="311" t="str">
        <f>IFERROR(1-SUMIF(WTG_BD!$F:$F,$A191,WTG_BD!$AA:$AA)/($AA191+SUMIF(WTG_BD!$F:$F,$A191,WTG_BD!$AA:$AA)),"")</f>
        <v/>
      </c>
      <c r="Q191" s="328" t="str">
        <f>IFERROR(1-SUMIF(IGA_BD!$F:$F,$A191,IGA_BD!$W:$W)/($AA191+SUMIF(IGA_BD!$F:$F,$A191,IGA_BD!$W:$W)),"")</f>
        <v/>
      </c>
      <c r="R191" s="311" t="str">
        <f>IFERROR(1-SUMIF(Grid_BD!$F:$F,$A191,Grid_BD!$Y:$Y)/($AA191+SUMIF(Grid_BD!$F:$F,$A191,Grid_BD!$Y:$Y)),"")</f>
        <v/>
      </c>
      <c r="S191" s="10"/>
      <c r="T191" s="310"/>
      <c r="U191" s="311"/>
      <c r="V191" s="10"/>
      <c r="W191" s="312" t="str">
        <f t="shared" si="17"/>
        <v/>
      </c>
      <c r="X191" s="10" t="str">
        <f>IFERROR(_xlfn.XLOOKUP($A191,Input_Raw!$E:$E,Input_Raw!BG:BG),"")</f>
        <v/>
      </c>
      <c r="Y191" s="10" t="str">
        <f>IFERROR(_xlfn.XLOOKUP($A191,Input_Raw!$E:$E,Input_Raw!DF:DF),"")</f>
        <v/>
      </c>
      <c r="Z191" s="319" t="str">
        <f>IFERROR(_xlfn.XLOOKUP(A191,Input_Raw!E:E,Input_Raw!CT:CT)/_xlfn.XLOOKUP(A191,Input_Raw!E:E,Input_Raw!CS:CS)*Table13[[#This Row],[Mtr_Export (kWh)]],"")</f>
        <v/>
      </c>
      <c r="AA191" s="43" t="str">
        <f t="shared" si="18"/>
        <v/>
      </c>
      <c r="AB191" s="10" t="str">
        <f>IFERROR(_xlfn.XLOOKUP($A191,Input_Raw!$E:$E,Input_Raw!$CZ:$CZ),"")</f>
        <v/>
      </c>
      <c r="AC191" s="313">
        <f>IFERROR(_xlfn.XLOOKUP($D191,'Modelling New'!$D:$D,'Modelling New'!$J:$J),"")</f>
        <v>6.0015501571877659</v>
      </c>
      <c r="AD191" s="43">
        <f>IFERROR(_xlfn.XLOOKUP($D191,'Modelling New'!$D:$D,'Modelling New'!$T:$T)*1000,"")</f>
        <v>225766.12903225809</v>
      </c>
      <c r="AE191" s="312"/>
      <c r="AF191" s="312">
        <f>IFERROR(_xlfn.XLOOKUP($D191,'Modelling New'!$D:$D,'Modelling New'!$W:$W),"")</f>
        <v>0.18590755025712957</v>
      </c>
      <c r="AG191" s="312">
        <f>IFERROR(_xlfn.XLOOKUP($D191,'Modelling New'!$D:$D,'Modelling New'!$AE:$AE),"")</f>
        <v>0.95549849999999992</v>
      </c>
      <c r="AH191" s="312">
        <f>IFERROR(_xlfn.XLOOKUP($D191,'Modelling New'!$D:$D,'Modelling New'!$AF:$AF),"")</f>
        <v>0.995</v>
      </c>
      <c r="AI191" s="10" t="str">
        <f>IFERROR(_xlfn.XLOOKUP($A191,Input_Raw!$E:$E,Input_Raw!$DG:$DG),"")</f>
        <v/>
      </c>
      <c r="AJ191" s="10"/>
      <c r="AK191" s="10"/>
      <c r="AL191" s="10"/>
      <c r="AM191" s="10"/>
      <c r="AN191" s="314" t="str">
        <f>IFERROR(_xlfn.XLOOKUP($A191,Input_Raw!$E:$E,Input_Raw!$CY:$CY),"")</f>
        <v/>
      </c>
      <c r="AO191" s="312" t="str">
        <f>IFERROR((_xlfn.XLOOKUP($A191,'WTG Reactive Power'!$A:$A,'WTG Reactive Power'!AB:AB))/X191,"")</f>
        <v/>
      </c>
      <c r="AP191" s="312">
        <f>IFERROR(_xlfn.XLOOKUP($D191,'Modelling New'!$D:$D,'Modelling New'!AK:AK),"")</f>
        <v>0.05</v>
      </c>
      <c r="AQ191" s="312">
        <f>IFERROR(_xlfn.XLOOKUP($D191,'Modelling New'!$D:$D,'Modelling New'!AL:AL),"")</f>
        <v>0.05</v>
      </c>
      <c r="AR191" s="325">
        <f>IFERROR(_xlfn.XLOOKUP($D191,'Modelling New'!$D:$D,'Modelling New'!$N:$N),"")</f>
        <v>50.59999999999998</v>
      </c>
      <c r="AS191" s="325"/>
    </row>
    <row r="192" spans="1:45">
      <c r="A192" s="32">
        <f t="shared" si="19"/>
        <v>45935</v>
      </c>
      <c r="B192" s="43">
        <f>YEAR(Table13[[#This Row],[Date]])+IF(MONTH(Table13[[#This Row],[Date]])&gt;=4,1,0)</f>
        <v>2026</v>
      </c>
      <c r="C192" s="10">
        <f>YEAR(Table13[[#This Row],[Date]])</f>
        <v>2025</v>
      </c>
      <c r="D192" s="309">
        <f>Table13[[#This Row],[Date]]-DAY(Table13[[#This Row],[Date]])+1</f>
        <v>45931</v>
      </c>
      <c r="E192" s="10">
        <f t="shared" si="15"/>
        <v>31</v>
      </c>
      <c r="F192" s="241" t="str">
        <f>IFERROR(_xlfn.XLOOKUP($A192,Input_Raw!$E:$E,Input_Raw!DC:DC),"")</f>
        <v/>
      </c>
      <c r="G192" s="313"/>
      <c r="H192" s="313"/>
      <c r="I192" s="313"/>
      <c r="J192" s="313"/>
      <c r="K192" s="243"/>
      <c r="L192" s="242"/>
      <c r="M192" s="242" t="str">
        <f>IFERROR(_xlfn.XLOOKUP($A192,Input_Raw!$E:$E,Input_Raw!$BM:$BM),"")</f>
        <v/>
      </c>
      <c r="N192" s="242" t="str">
        <f>IFERROR(_xlfn.XLOOKUP($A192,Input_Raw!$E:$E,Input_Raw!$BN:$BN),"")</f>
        <v/>
      </c>
      <c r="O192" s="311" t="str">
        <f t="shared" si="16"/>
        <v/>
      </c>
      <c r="P192" s="311" t="str">
        <f>IFERROR(1-SUMIF(WTG_BD!$F:$F,$A192,WTG_BD!$AA:$AA)/($AA192+SUMIF(WTG_BD!$F:$F,$A192,WTG_BD!$AA:$AA)),"")</f>
        <v/>
      </c>
      <c r="Q192" s="328" t="str">
        <f>IFERROR(1-SUMIF(IGA_BD!$F:$F,$A192,IGA_BD!$W:$W)/($AA192+SUMIF(IGA_BD!$F:$F,$A192,IGA_BD!$W:$W)),"")</f>
        <v/>
      </c>
      <c r="R192" s="47" t="str">
        <f>IFERROR(1-SUMIF(Grid_BD!$F:$F,$A192,Grid_BD!$Y:$Y)/($AA192+SUMIF(Grid_BD!$F:$F,$A192,Grid_BD!$Y:$Y)),"")</f>
        <v/>
      </c>
      <c r="S192" s="10"/>
      <c r="T192" s="310"/>
      <c r="U192" s="311"/>
      <c r="V192" s="10"/>
      <c r="W192" s="312" t="str">
        <f t="shared" si="17"/>
        <v/>
      </c>
      <c r="X192" s="10" t="str">
        <f>IFERROR(_xlfn.XLOOKUP($A192,Input_Raw!$E:$E,Input_Raw!BG:BG),"")</f>
        <v/>
      </c>
      <c r="Y192" s="10" t="str">
        <f>IFERROR(_xlfn.XLOOKUP($A192,Input_Raw!$E:$E,Input_Raw!DF:DF),"")</f>
        <v/>
      </c>
      <c r="Z192" s="319" t="str">
        <f>IFERROR(_xlfn.XLOOKUP(A192,Input_Raw!E:E,Input_Raw!CT:CT)/_xlfn.XLOOKUP(A192,Input_Raw!E:E,Input_Raw!CS:CS)*Table13[[#This Row],[Mtr_Export (kWh)]],"")</f>
        <v/>
      </c>
      <c r="AA192" s="43" t="str">
        <f t="shared" si="18"/>
        <v/>
      </c>
      <c r="AB192" s="10" t="str">
        <f>IFERROR(_xlfn.XLOOKUP($A192,Input_Raw!$E:$E,Input_Raw!$CZ:$CZ),"")</f>
        <v/>
      </c>
      <c r="AC192" s="313">
        <f>IFERROR(_xlfn.XLOOKUP($D192,'Modelling New'!$D:$D,'Modelling New'!$J:$J),"")</f>
        <v>6.0015501571877659</v>
      </c>
      <c r="AD192" s="43">
        <f>IFERROR(_xlfn.XLOOKUP($D192,'Modelling New'!$D:$D,'Modelling New'!$T:$T)*1000,"")</f>
        <v>225766.12903225809</v>
      </c>
      <c r="AE192" s="312"/>
      <c r="AF192" s="312">
        <f>IFERROR(_xlfn.XLOOKUP($D192,'Modelling New'!$D:$D,'Modelling New'!$W:$W),"")</f>
        <v>0.18590755025712957</v>
      </c>
      <c r="AG192" s="312">
        <f>IFERROR(_xlfn.XLOOKUP($D192,'Modelling New'!$D:$D,'Modelling New'!$AE:$AE),"")</f>
        <v>0.95549849999999992</v>
      </c>
      <c r="AH192" s="312">
        <f>IFERROR(_xlfn.XLOOKUP($D192,'Modelling New'!$D:$D,'Modelling New'!$AF:$AF),"")</f>
        <v>0.995</v>
      </c>
      <c r="AI192" s="10" t="str">
        <f>IFERROR(_xlfn.XLOOKUP($A192,Input_Raw!$E:$E,Input_Raw!$DG:$DG),"")</f>
        <v/>
      </c>
      <c r="AJ192" s="10"/>
      <c r="AK192" s="10"/>
      <c r="AL192" s="10"/>
      <c r="AM192" s="10"/>
      <c r="AN192" s="314" t="str">
        <f>IFERROR(_xlfn.XLOOKUP($A192,Input_Raw!$E:$E,Input_Raw!$CY:$CY),"")</f>
        <v/>
      </c>
      <c r="AO192" s="312" t="str">
        <f>IFERROR((_xlfn.XLOOKUP($A192,'WTG Reactive Power'!$A:$A,'WTG Reactive Power'!AB:AB))/X192,"")</f>
        <v/>
      </c>
      <c r="AP192" s="312">
        <f>IFERROR(_xlfn.XLOOKUP($D192,'Modelling New'!$D:$D,'Modelling New'!AK:AK),"")</f>
        <v>0.05</v>
      </c>
      <c r="AQ192" s="312">
        <f>IFERROR(_xlfn.XLOOKUP($D192,'Modelling New'!$D:$D,'Modelling New'!AL:AL),"")</f>
        <v>0.05</v>
      </c>
      <c r="AR192" s="325">
        <f>IFERROR(_xlfn.XLOOKUP($D192,'Modelling New'!$D:$D,'Modelling New'!$N:$N),"")</f>
        <v>50.59999999999998</v>
      </c>
      <c r="AS192" s="325"/>
    </row>
    <row r="193" spans="1:45">
      <c r="A193" s="32">
        <f t="shared" si="19"/>
        <v>45936</v>
      </c>
      <c r="B193" s="43">
        <f>YEAR(Table13[[#This Row],[Date]])+IF(MONTH(Table13[[#This Row],[Date]])&gt;=4,1,0)</f>
        <v>2026</v>
      </c>
      <c r="C193" s="10">
        <f>YEAR(Table13[[#This Row],[Date]])</f>
        <v>2025</v>
      </c>
      <c r="D193" s="309">
        <f>Table13[[#This Row],[Date]]-DAY(Table13[[#This Row],[Date]])+1</f>
        <v>45931</v>
      </c>
      <c r="E193" s="10">
        <f t="shared" si="15"/>
        <v>31</v>
      </c>
      <c r="F193" s="241" t="str">
        <f>IFERROR(_xlfn.XLOOKUP($A193,Input_Raw!$E:$E,Input_Raw!DC:DC),"")</f>
        <v/>
      </c>
      <c r="G193" s="242"/>
      <c r="H193" s="242"/>
      <c r="I193" s="242"/>
      <c r="J193" s="242"/>
      <c r="K193" s="243"/>
      <c r="L193" s="242"/>
      <c r="M193" s="242" t="str">
        <f>IFERROR(_xlfn.XLOOKUP($A193,Input_Raw!$E:$E,Input_Raw!$BM:$BM),"")</f>
        <v/>
      </c>
      <c r="N193" s="242" t="str">
        <f>IFERROR(_xlfn.XLOOKUP($A193,Input_Raw!$E:$E,Input_Raw!$BN:$BN),"")</f>
        <v/>
      </c>
      <c r="O193" s="311" t="str">
        <f t="shared" si="16"/>
        <v/>
      </c>
      <c r="P193" s="311" t="str">
        <f>IFERROR(1-SUMIF(WTG_BD!$F:$F,$A193,WTG_BD!$AA:$AA)/($AA193+SUMIF(WTG_BD!$F:$F,$A193,WTG_BD!$AA:$AA)),"")</f>
        <v/>
      </c>
      <c r="Q193" s="328" t="str">
        <f>IFERROR(1-SUMIF(IGA_BD!$F:$F,$A193,IGA_BD!$W:$W)/($AA193+SUMIF(IGA_BD!$F:$F,$A193,IGA_BD!$W:$W)),"")</f>
        <v/>
      </c>
      <c r="R193" s="311" t="str">
        <f>IFERROR(1-SUMIF(Grid_BD!$F:$F,$A193,Grid_BD!$Y:$Y)/($AA193+SUMIF(Grid_BD!$F:$F,$A193,Grid_BD!$Y:$Y)),"")</f>
        <v/>
      </c>
      <c r="S193" s="10"/>
      <c r="T193" s="310"/>
      <c r="U193" s="311"/>
      <c r="V193" s="10"/>
      <c r="W193" s="312" t="str">
        <f t="shared" si="17"/>
        <v/>
      </c>
      <c r="X193" s="10" t="str">
        <f>IFERROR(_xlfn.XLOOKUP($A193,Input_Raw!$E:$E,Input_Raw!BG:BG),"")</f>
        <v/>
      </c>
      <c r="Y193" s="10" t="str">
        <f>IFERROR(_xlfn.XLOOKUP($A193,Input_Raw!$E:$E,Input_Raw!DF:DF),"")</f>
        <v/>
      </c>
      <c r="Z193" s="319" t="str">
        <f>IFERROR(_xlfn.XLOOKUP(A193,Input_Raw!E:E,Input_Raw!CT:CT)/_xlfn.XLOOKUP(A193,Input_Raw!E:E,Input_Raw!CS:CS)*Table13[[#This Row],[Mtr_Export (kWh)]],"")</f>
        <v/>
      </c>
      <c r="AA193" s="43" t="str">
        <f t="shared" si="18"/>
        <v/>
      </c>
      <c r="AB193" s="10" t="str">
        <f>IFERROR(_xlfn.XLOOKUP($A193,Input_Raw!$E:$E,Input_Raw!$CZ:$CZ),"")</f>
        <v/>
      </c>
      <c r="AC193" s="313">
        <f>IFERROR(_xlfn.XLOOKUP($D193,'Modelling New'!$D:$D,'Modelling New'!$J:$J),"")</f>
        <v>6.0015501571877659</v>
      </c>
      <c r="AD193" s="43">
        <f>IFERROR(_xlfn.XLOOKUP($D193,'Modelling New'!$D:$D,'Modelling New'!$T:$T)*1000,"")</f>
        <v>225766.12903225809</v>
      </c>
      <c r="AE193" s="312"/>
      <c r="AF193" s="312">
        <f>IFERROR(_xlfn.XLOOKUP($D193,'Modelling New'!$D:$D,'Modelling New'!$W:$W),"")</f>
        <v>0.18590755025712957</v>
      </c>
      <c r="AG193" s="312">
        <f>IFERROR(_xlfn.XLOOKUP($D193,'Modelling New'!$D:$D,'Modelling New'!$AE:$AE),"")</f>
        <v>0.95549849999999992</v>
      </c>
      <c r="AH193" s="312">
        <f>IFERROR(_xlfn.XLOOKUP($D193,'Modelling New'!$D:$D,'Modelling New'!$AF:$AF),"")</f>
        <v>0.995</v>
      </c>
      <c r="AI193" s="10" t="str">
        <f>IFERROR(_xlfn.XLOOKUP($A193,Input_Raw!$E:$E,Input_Raw!$DG:$DG),"")</f>
        <v/>
      </c>
      <c r="AJ193" s="10"/>
      <c r="AK193" s="10"/>
      <c r="AL193" s="10"/>
      <c r="AM193" s="10"/>
      <c r="AN193" s="314" t="str">
        <f>IFERROR(_xlfn.XLOOKUP($A193,Input_Raw!$E:$E,Input_Raw!$CY:$CY),"")</f>
        <v/>
      </c>
      <c r="AO193" s="312" t="str">
        <f>IFERROR((_xlfn.XLOOKUP($A193,'WTG Reactive Power'!$A:$A,'WTG Reactive Power'!AB:AB))/X193,"")</f>
        <v/>
      </c>
      <c r="AP193" s="312">
        <f>IFERROR(_xlfn.XLOOKUP($D193,'Modelling New'!$D:$D,'Modelling New'!AK:AK),"")</f>
        <v>0.05</v>
      </c>
      <c r="AQ193" s="312">
        <f>IFERROR(_xlfn.XLOOKUP($D193,'Modelling New'!$D:$D,'Modelling New'!AL:AL),"")</f>
        <v>0.05</v>
      </c>
      <c r="AR193" s="325">
        <f>IFERROR(_xlfn.XLOOKUP($D193,'Modelling New'!$D:$D,'Modelling New'!$N:$N),"")</f>
        <v>50.59999999999998</v>
      </c>
      <c r="AS193" s="325"/>
    </row>
    <row r="194" spans="1:45">
      <c r="A194" s="32">
        <f t="shared" si="19"/>
        <v>45937</v>
      </c>
      <c r="B194" s="43">
        <f>YEAR(Table13[[#This Row],[Date]])+IF(MONTH(Table13[[#This Row],[Date]])&gt;=4,1,0)</f>
        <v>2026</v>
      </c>
      <c r="C194" s="10">
        <f>YEAR(Table13[[#This Row],[Date]])</f>
        <v>2025</v>
      </c>
      <c r="D194" s="309">
        <f>Table13[[#This Row],[Date]]-DAY(Table13[[#This Row],[Date]])+1</f>
        <v>45931</v>
      </c>
      <c r="E194" s="10">
        <f t="shared" si="15"/>
        <v>31</v>
      </c>
      <c r="F194" s="241" t="str">
        <f>IFERROR(_xlfn.XLOOKUP($A194,Input_Raw!$E:$E,Input_Raw!DC:DC),"")</f>
        <v/>
      </c>
      <c r="G194" s="313"/>
      <c r="H194" s="313"/>
      <c r="I194" s="313"/>
      <c r="J194" s="313"/>
      <c r="K194" s="243"/>
      <c r="L194" s="242"/>
      <c r="M194" s="242" t="str">
        <f>IFERROR(_xlfn.XLOOKUP($A194,Input_Raw!$E:$E,Input_Raw!$BM:$BM),"")</f>
        <v/>
      </c>
      <c r="N194" s="242" t="str">
        <f>IFERROR(_xlfn.XLOOKUP($A194,Input_Raw!$E:$E,Input_Raw!$BN:$BN),"")</f>
        <v/>
      </c>
      <c r="O194" s="311" t="str">
        <f t="shared" si="16"/>
        <v/>
      </c>
      <c r="P194" s="311" t="str">
        <f>IFERROR(1-SUMIF(WTG_BD!$F:$F,$A194,WTG_BD!$AA:$AA)/($AA194+SUMIF(WTG_BD!$F:$F,$A194,WTG_BD!$AA:$AA)),"")</f>
        <v/>
      </c>
      <c r="Q194" s="328" t="str">
        <f>IFERROR(1-SUMIF(IGA_BD!$F:$F,$A194,IGA_BD!$W:$W)/($AA194+SUMIF(IGA_BD!$F:$F,$A194,IGA_BD!$W:$W)),"")</f>
        <v/>
      </c>
      <c r="R194" s="47" t="str">
        <f>IFERROR(1-SUMIF(Grid_BD!$F:$F,$A194,Grid_BD!$Y:$Y)/($AA194+SUMIF(Grid_BD!$F:$F,$A194,Grid_BD!$Y:$Y)),"")</f>
        <v/>
      </c>
      <c r="S194" s="10"/>
      <c r="T194" s="310"/>
      <c r="U194" s="311"/>
      <c r="V194" s="10"/>
      <c r="W194" s="312" t="str">
        <f t="shared" si="17"/>
        <v/>
      </c>
      <c r="X194" s="10" t="str">
        <f>IFERROR(_xlfn.XLOOKUP($A194,Input_Raw!$E:$E,Input_Raw!BG:BG),"")</f>
        <v/>
      </c>
      <c r="Y194" s="10" t="str">
        <f>IFERROR(_xlfn.XLOOKUP($A194,Input_Raw!$E:$E,Input_Raw!DF:DF),"")</f>
        <v/>
      </c>
      <c r="Z194" s="319" t="str">
        <f>IFERROR(_xlfn.XLOOKUP(A194,Input_Raw!E:E,Input_Raw!CT:CT)/_xlfn.XLOOKUP(A194,Input_Raw!E:E,Input_Raw!CS:CS)*Table13[[#This Row],[Mtr_Export (kWh)]],"")</f>
        <v/>
      </c>
      <c r="AA194" s="43" t="str">
        <f t="shared" si="18"/>
        <v/>
      </c>
      <c r="AB194" s="10" t="str">
        <f>IFERROR(_xlfn.XLOOKUP($A194,Input_Raw!$E:$E,Input_Raw!$CZ:$CZ),"")</f>
        <v/>
      </c>
      <c r="AC194" s="313">
        <f>IFERROR(_xlfn.XLOOKUP($D194,'Modelling New'!$D:$D,'Modelling New'!$J:$J),"")</f>
        <v>6.0015501571877659</v>
      </c>
      <c r="AD194" s="43">
        <f>IFERROR(_xlfn.XLOOKUP($D194,'Modelling New'!$D:$D,'Modelling New'!$T:$T)*1000,"")</f>
        <v>225766.12903225809</v>
      </c>
      <c r="AE194" s="312"/>
      <c r="AF194" s="312">
        <f>IFERROR(_xlfn.XLOOKUP($D194,'Modelling New'!$D:$D,'Modelling New'!$W:$W),"")</f>
        <v>0.18590755025712957</v>
      </c>
      <c r="AG194" s="312">
        <f>IFERROR(_xlfn.XLOOKUP($D194,'Modelling New'!$D:$D,'Modelling New'!$AE:$AE),"")</f>
        <v>0.95549849999999992</v>
      </c>
      <c r="AH194" s="312">
        <f>IFERROR(_xlfn.XLOOKUP($D194,'Modelling New'!$D:$D,'Modelling New'!$AF:$AF),"")</f>
        <v>0.995</v>
      </c>
      <c r="AI194" s="10" t="str">
        <f>IFERROR(_xlfn.XLOOKUP($A194,Input_Raw!$E:$E,Input_Raw!$DG:$DG),"")</f>
        <v/>
      </c>
      <c r="AJ194" s="10"/>
      <c r="AK194" s="10"/>
      <c r="AL194" s="10"/>
      <c r="AM194" s="10"/>
      <c r="AN194" s="314" t="str">
        <f>IFERROR(_xlfn.XLOOKUP($A194,Input_Raw!$E:$E,Input_Raw!$CY:$CY),"")</f>
        <v/>
      </c>
      <c r="AO194" s="312" t="str">
        <f>IFERROR((_xlfn.XLOOKUP($A194,'WTG Reactive Power'!$A:$A,'WTG Reactive Power'!AB:AB))/X194,"")</f>
        <v/>
      </c>
      <c r="AP194" s="312">
        <f>IFERROR(_xlfn.XLOOKUP($D194,'Modelling New'!$D:$D,'Modelling New'!AK:AK),"")</f>
        <v>0.05</v>
      </c>
      <c r="AQ194" s="312">
        <f>IFERROR(_xlfn.XLOOKUP($D194,'Modelling New'!$D:$D,'Modelling New'!AL:AL),"")</f>
        <v>0.05</v>
      </c>
      <c r="AR194" s="325">
        <f>IFERROR(_xlfn.XLOOKUP($D194,'Modelling New'!$D:$D,'Modelling New'!$N:$N),"")</f>
        <v>50.59999999999998</v>
      </c>
      <c r="AS194" s="325"/>
    </row>
    <row r="195" spans="1:45">
      <c r="A195" s="32">
        <f t="shared" si="19"/>
        <v>45938</v>
      </c>
      <c r="B195" s="43">
        <f>YEAR(Table13[[#This Row],[Date]])+IF(MONTH(Table13[[#This Row],[Date]])&gt;=4,1,0)</f>
        <v>2026</v>
      </c>
      <c r="C195" s="10">
        <f>YEAR(Table13[[#This Row],[Date]])</f>
        <v>2025</v>
      </c>
      <c r="D195" s="309">
        <f>Table13[[#This Row],[Date]]-DAY(Table13[[#This Row],[Date]])+1</f>
        <v>45931</v>
      </c>
      <c r="E195" s="10">
        <f t="shared" si="15"/>
        <v>31</v>
      </c>
      <c r="F195" s="241" t="str">
        <f>IFERROR(_xlfn.XLOOKUP($A195,Input_Raw!$E:$E,Input_Raw!DC:DC),"")</f>
        <v/>
      </c>
      <c r="G195" s="242"/>
      <c r="H195" s="242"/>
      <c r="I195" s="242"/>
      <c r="J195" s="242"/>
      <c r="K195" s="243"/>
      <c r="L195" s="242"/>
      <c r="M195" s="242" t="str">
        <f>IFERROR(_xlfn.XLOOKUP($A195,Input_Raw!$E:$E,Input_Raw!$BM:$BM),"")</f>
        <v/>
      </c>
      <c r="N195" s="242" t="str">
        <f>IFERROR(_xlfn.XLOOKUP($A195,Input_Raw!$E:$E,Input_Raw!$BN:$BN),"")</f>
        <v/>
      </c>
      <c r="O195" s="311" t="str">
        <f t="shared" si="16"/>
        <v/>
      </c>
      <c r="P195" s="311" t="str">
        <f>IFERROR(1-SUMIF(WTG_BD!$F:$F,$A195,WTG_BD!$AA:$AA)/($AA195+SUMIF(WTG_BD!$F:$F,$A195,WTG_BD!$AA:$AA)),"")</f>
        <v/>
      </c>
      <c r="Q195" s="328" t="str">
        <f>IFERROR(1-SUMIF(IGA_BD!$F:$F,$A195,IGA_BD!$W:$W)/($AA195+SUMIF(IGA_BD!$F:$F,$A195,IGA_BD!$W:$W)),"")</f>
        <v/>
      </c>
      <c r="R195" s="311" t="str">
        <f>IFERROR(1-SUMIF(Grid_BD!$F:$F,$A195,Grid_BD!$Y:$Y)/($AA195+SUMIF(Grid_BD!$F:$F,$A195,Grid_BD!$Y:$Y)),"")</f>
        <v/>
      </c>
      <c r="S195" s="10"/>
      <c r="T195" s="310"/>
      <c r="U195" s="311"/>
      <c r="V195" s="10"/>
      <c r="W195" s="312" t="str">
        <f t="shared" si="17"/>
        <v/>
      </c>
      <c r="X195" s="10" t="str">
        <f>IFERROR(_xlfn.XLOOKUP($A195,Input_Raw!$E:$E,Input_Raw!BG:BG),"")</f>
        <v/>
      </c>
      <c r="Y195" s="10" t="str">
        <f>IFERROR(_xlfn.XLOOKUP($A195,Input_Raw!$E:$E,Input_Raw!DF:DF),"")</f>
        <v/>
      </c>
      <c r="Z195" s="319" t="str">
        <f>IFERROR(_xlfn.XLOOKUP(A195,Input_Raw!E:E,Input_Raw!CT:CT)/_xlfn.XLOOKUP(A195,Input_Raw!E:E,Input_Raw!CS:CS)*Table13[[#This Row],[Mtr_Export (kWh)]],"")</f>
        <v/>
      </c>
      <c r="AA195" s="43" t="str">
        <f t="shared" si="18"/>
        <v/>
      </c>
      <c r="AB195" s="10" t="str">
        <f>IFERROR(_xlfn.XLOOKUP($A195,Input_Raw!$E:$E,Input_Raw!$CZ:$CZ),"")</f>
        <v/>
      </c>
      <c r="AC195" s="313">
        <f>IFERROR(_xlfn.XLOOKUP($D195,'Modelling New'!$D:$D,'Modelling New'!$J:$J),"")</f>
        <v>6.0015501571877659</v>
      </c>
      <c r="AD195" s="43">
        <f>IFERROR(_xlfn.XLOOKUP($D195,'Modelling New'!$D:$D,'Modelling New'!$T:$T)*1000,"")</f>
        <v>225766.12903225809</v>
      </c>
      <c r="AE195" s="312"/>
      <c r="AF195" s="312">
        <f>IFERROR(_xlfn.XLOOKUP($D195,'Modelling New'!$D:$D,'Modelling New'!$W:$W),"")</f>
        <v>0.18590755025712957</v>
      </c>
      <c r="AG195" s="312">
        <f>IFERROR(_xlfn.XLOOKUP($D195,'Modelling New'!$D:$D,'Modelling New'!$AE:$AE),"")</f>
        <v>0.95549849999999992</v>
      </c>
      <c r="AH195" s="312">
        <f>IFERROR(_xlfn.XLOOKUP($D195,'Modelling New'!$D:$D,'Modelling New'!$AF:$AF),"")</f>
        <v>0.995</v>
      </c>
      <c r="AI195" s="10" t="str">
        <f>IFERROR(_xlfn.XLOOKUP($A195,Input_Raw!$E:$E,Input_Raw!$DG:$DG),"")</f>
        <v/>
      </c>
      <c r="AJ195" s="10"/>
      <c r="AK195" s="10"/>
      <c r="AL195" s="10"/>
      <c r="AM195" s="10"/>
      <c r="AN195" s="314" t="str">
        <f>IFERROR(_xlfn.XLOOKUP($A195,Input_Raw!$E:$E,Input_Raw!$CY:$CY),"")</f>
        <v/>
      </c>
      <c r="AO195" s="312" t="str">
        <f>IFERROR((_xlfn.XLOOKUP($A195,'WTG Reactive Power'!$A:$A,'WTG Reactive Power'!AB:AB))/X195,"")</f>
        <v/>
      </c>
      <c r="AP195" s="312">
        <f>IFERROR(_xlfn.XLOOKUP($D195,'Modelling New'!$D:$D,'Modelling New'!AK:AK),"")</f>
        <v>0.05</v>
      </c>
      <c r="AQ195" s="312">
        <f>IFERROR(_xlfn.XLOOKUP($D195,'Modelling New'!$D:$D,'Modelling New'!AL:AL),"")</f>
        <v>0.05</v>
      </c>
      <c r="AR195" s="325">
        <f>IFERROR(_xlfn.XLOOKUP($D195,'Modelling New'!$D:$D,'Modelling New'!$N:$N),"")</f>
        <v>50.59999999999998</v>
      </c>
      <c r="AS195" s="325"/>
    </row>
    <row r="196" spans="1:45">
      <c r="A196" s="32">
        <f t="shared" si="19"/>
        <v>45939</v>
      </c>
      <c r="B196" s="43">
        <f>YEAR(Table13[[#This Row],[Date]])+IF(MONTH(Table13[[#This Row],[Date]])&gt;=4,1,0)</f>
        <v>2026</v>
      </c>
      <c r="C196" s="10">
        <f>YEAR(Table13[[#This Row],[Date]])</f>
        <v>2025</v>
      </c>
      <c r="D196" s="309">
        <f>Table13[[#This Row],[Date]]-DAY(Table13[[#This Row],[Date]])+1</f>
        <v>45931</v>
      </c>
      <c r="E196" s="10">
        <f t="shared" si="15"/>
        <v>31</v>
      </c>
      <c r="F196" s="241" t="str">
        <f>IFERROR(_xlfn.XLOOKUP($A196,Input_Raw!$E:$E,Input_Raw!DC:DC),"")</f>
        <v/>
      </c>
      <c r="G196" s="313"/>
      <c r="H196" s="313"/>
      <c r="I196" s="313"/>
      <c r="J196" s="313"/>
      <c r="K196" s="243"/>
      <c r="L196" s="242"/>
      <c r="M196" s="242" t="str">
        <f>IFERROR(_xlfn.XLOOKUP($A196,Input_Raw!$E:$E,Input_Raw!$BM:$BM),"")</f>
        <v/>
      </c>
      <c r="N196" s="242" t="str">
        <f>IFERROR(_xlfn.XLOOKUP($A196,Input_Raw!$E:$E,Input_Raw!$BN:$BN),"")</f>
        <v/>
      </c>
      <c r="O196" s="311" t="str">
        <f t="shared" si="16"/>
        <v/>
      </c>
      <c r="P196" s="311" t="str">
        <f>IFERROR(1-SUMIF(WTG_BD!$F:$F,$A196,WTG_BD!$AA:$AA)/($AA196+SUMIF(WTG_BD!$F:$F,$A196,WTG_BD!$AA:$AA)),"")</f>
        <v/>
      </c>
      <c r="Q196" s="328" t="str">
        <f>IFERROR(1-SUMIF(IGA_BD!$F:$F,$A196,IGA_BD!$W:$W)/($AA196+SUMIF(IGA_BD!$F:$F,$A196,IGA_BD!$W:$W)),"")</f>
        <v/>
      </c>
      <c r="R196" s="47" t="str">
        <f>IFERROR(1-SUMIF(Grid_BD!$F:$F,$A196,Grid_BD!$Y:$Y)/($AA196+SUMIF(Grid_BD!$F:$F,$A196,Grid_BD!$Y:$Y)),"")</f>
        <v/>
      </c>
      <c r="S196" s="10"/>
      <c r="T196" s="310"/>
      <c r="U196" s="311"/>
      <c r="V196" s="10"/>
      <c r="W196" s="312" t="str">
        <f t="shared" si="17"/>
        <v/>
      </c>
      <c r="X196" s="10" t="str">
        <f>IFERROR(_xlfn.XLOOKUP($A196,Input_Raw!$E:$E,Input_Raw!BG:BG),"")</f>
        <v/>
      </c>
      <c r="Y196" s="10" t="str">
        <f>IFERROR(_xlfn.XLOOKUP($A196,Input_Raw!$E:$E,Input_Raw!DF:DF),"")</f>
        <v/>
      </c>
      <c r="Z196" s="319" t="str">
        <f>IFERROR(_xlfn.XLOOKUP(A196,Input_Raw!E:E,Input_Raw!CT:CT)/_xlfn.XLOOKUP(A196,Input_Raw!E:E,Input_Raw!CS:CS)*Table13[[#This Row],[Mtr_Export (kWh)]],"")</f>
        <v/>
      </c>
      <c r="AA196" s="43" t="str">
        <f t="shared" si="18"/>
        <v/>
      </c>
      <c r="AB196" s="10" t="str">
        <f>IFERROR(_xlfn.XLOOKUP($A196,Input_Raw!$E:$E,Input_Raw!$CZ:$CZ),"")</f>
        <v/>
      </c>
      <c r="AC196" s="313">
        <f>IFERROR(_xlfn.XLOOKUP($D196,'Modelling New'!$D:$D,'Modelling New'!$J:$J),"")</f>
        <v>6.0015501571877659</v>
      </c>
      <c r="AD196" s="43">
        <f>IFERROR(_xlfn.XLOOKUP($D196,'Modelling New'!$D:$D,'Modelling New'!$T:$T)*1000,"")</f>
        <v>225766.12903225809</v>
      </c>
      <c r="AE196" s="312"/>
      <c r="AF196" s="312">
        <f>IFERROR(_xlfn.XLOOKUP($D196,'Modelling New'!$D:$D,'Modelling New'!$W:$W),"")</f>
        <v>0.18590755025712957</v>
      </c>
      <c r="AG196" s="312">
        <f>IFERROR(_xlfn.XLOOKUP($D196,'Modelling New'!$D:$D,'Modelling New'!$AE:$AE),"")</f>
        <v>0.95549849999999992</v>
      </c>
      <c r="AH196" s="312">
        <f>IFERROR(_xlfn.XLOOKUP($D196,'Modelling New'!$D:$D,'Modelling New'!$AF:$AF),"")</f>
        <v>0.995</v>
      </c>
      <c r="AI196" s="10" t="str">
        <f>IFERROR(_xlfn.XLOOKUP($A196,Input_Raw!$E:$E,Input_Raw!$DG:$DG),"")</f>
        <v/>
      </c>
      <c r="AJ196" s="10"/>
      <c r="AK196" s="10"/>
      <c r="AL196" s="10"/>
      <c r="AM196" s="10"/>
      <c r="AN196" s="314" t="str">
        <f>IFERROR(_xlfn.XLOOKUP($A196,Input_Raw!$E:$E,Input_Raw!$CY:$CY),"")</f>
        <v/>
      </c>
      <c r="AO196" s="312" t="str">
        <f>IFERROR((_xlfn.XLOOKUP($A196,'WTG Reactive Power'!$A:$A,'WTG Reactive Power'!AB:AB))/X196,"")</f>
        <v/>
      </c>
      <c r="AP196" s="312">
        <f>IFERROR(_xlfn.XLOOKUP($D196,'Modelling New'!$D:$D,'Modelling New'!AK:AK),"")</f>
        <v>0.05</v>
      </c>
      <c r="AQ196" s="312">
        <f>IFERROR(_xlfn.XLOOKUP($D196,'Modelling New'!$D:$D,'Modelling New'!AL:AL),"")</f>
        <v>0.05</v>
      </c>
      <c r="AR196" s="325">
        <f>IFERROR(_xlfn.XLOOKUP($D196,'Modelling New'!$D:$D,'Modelling New'!$N:$N),"")</f>
        <v>50.59999999999998</v>
      </c>
      <c r="AS196" s="325"/>
    </row>
    <row r="197" spans="1:45">
      <c r="A197" s="32">
        <f t="shared" si="19"/>
        <v>45940</v>
      </c>
      <c r="B197" s="43">
        <f>YEAR(Table13[[#This Row],[Date]])+IF(MONTH(Table13[[#This Row],[Date]])&gt;=4,1,0)</f>
        <v>2026</v>
      </c>
      <c r="C197" s="10">
        <f>YEAR(Table13[[#This Row],[Date]])</f>
        <v>2025</v>
      </c>
      <c r="D197" s="309">
        <f>Table13[[#This Row],[Date]]-DAY(Table13[[#This Row],[Date]])+1</f>
        <v>45931</v>
      </c>
      <c r="E197" s="10">
        <f t="shared" si="15"/>
        <v>31</v>
      </c>
      <c r="F197" s="241" t="str">
        <f>IFERROR(_xlfn.XLOOKUP($A197,Input_Raw!$E:$E,Input_Raw!DC:DC),"")</f>
        <v/>
      </c>
      <c r="G197" s="242"/>
      <c r="H197" s="242"/>
      <c r="I197" s="242"/>
      <c r="J197" s="242"/>
      <c r="K197" s="243"/>
      <c r="L197" s="242"/>
      <c r="M197" s="242" t="str">
        <f>IFERROR(_xlfn.XLOOKUP($A197,Input_Raw!$E:$E,Input_Raw!$BM:$BM),"")</f>
        <v/>
      </c>
      <c r="N197" s="242" t="str">
        <f>IFERROR(_xlfn.XLOOKUP($A197,Input_Raw!$E:$E,Input_Raw!$BN:$BN),"")</f>
        <v/>
      </c>
      <c r="O197" s="311" t="str">
        <f t="shared" si="16"/>
        <v/>
      </c>
      <c r="P197" s="311" t="str">
        <f>IFERROR(1-SUMIF(WTG_BD!$F:$F,$A197,WTG_BD!$AA:$AA)/($AA197+SUMIF(WTG_BD!$F:$F,$A197,WTG_BD!$AA:$AA)),"")</f>
        <v/>
      </c>
      <c r="Q197" s="328" t="str">
        <f>IFERROR(1-SUMIF(IGA_BD!$F:$F,$A197,IGA_BD!$W:$W)/($AA197+SUMIF(IGA_BD!$F:$F,$A197,IGA_BD!$W:$W)),"")</f>
        <v/>
      </c>
      <c r="R197" s="311" t="str">
        <f>IFERROR(1-SUMIF(Grid_BD!$F:$F,$A197,Grid_BD!$Y:$Y)/($AA197+SUMIF(Grid_BD!$F:$F,$A197,Grid_BD!$Y:$Y)),"")</f>
        <v/>
      </c>
      <c r="S197" s="10"/>
      <c r="T197" s="310"/>
      <c r="U197" s="311"/>
      <c r="V197" s="10"/>
      <c r="W197" s="312" t="str">
        <f t="shared" si="17"/>
        <v/>
      </c>
      <c r="X197" s="10" t="str">
        <f>IFERROR(_xlfn.XLOOKUP($A197,Input_Raw!$E:$E,Input_Raw!BG:BG),"")</f>
        <v/>
      </c>
      <c r="Y197" s="10" t="str">
        <f>IFERROR(_xlfn.XLOOKUP($A197,Input_Raw!$E:$E,Input_Raw!DF:DF),"")</f>
        <v/>
      </c>
      <c r="Z197" s="319" t="str">
        <f>IFERROR(_xlfn.XLOOKUP(A197,Input_Raw!E:E,Input_Raw!CT:CT)/_xlfn.XLOOKUP(A197,Input_Raw!E:E,Input_Raw!CS:CS)*Table13[[#This Row],[Mtr_Export (kWh)]],"")</f>
        <v/>
      </c>
      <c r="AA197" s="43" t="str">
        <f t="shared" si="18"/>
        <v/>
      </c>
      <c r="AB197" s="10" t="str">
        <f>IFERROR(_xlfn.XLOOKUP($A197,Input_Raw!$E:$E,Input_Raw!$CZ:$CZ),"")</f>
        <v/>
      </c>
      <c r="AC197" s="313">
        <f>IFERROR(_xlfn.XLOOKUP($D197,'Modelling New'!$D:$D,'Modelling New'!$J:$J),"")</f>
        <v>6.0015501571877659</v>
      </c>
      <c r="AD197" s="43">
        <f>IFERROR(_xlfn.XLOOKUP($D197,'Modelling New'!$D:$D,'Modelling New'!$T:$T)*1000,"")</f>
        <v>225766.12903225809</v>
      </c>
      <c r="AE197" s="312"/>
      <c r="AF197" s="312">
        <f>IFERROR(_xlfn.XLOOKUP($D197,'Modelling New'!$D:$D,'Modelling New'!$W:$W),"")</f>
        <v>0.18590755025712957</v>
      </c>
      <c r="AG197" s="312">
        <f>IFERROR(_xlfn.XLOOKUP($D197,'Modelling New'!$D:$D,'Modelling New'!$AE:$AE),"")</f>
        <v>0.95549849999999992</v>
      </c>
      <c r="AH197" s="312">
        <f>IFERROR(_xlfn.XLOOKUP($D197,'Modelling New'!$D:$D,'Modelling New'!$AF:$AF),"")</f>
        <v>0.995</v>
      </c>
      <c r="AI197" s="10" t="str">
        <f>IFERROR(_xlfn.XLOOKUP($A197,Input_Raw!$E:$E,Input_Raw!$DG:$DG),"")</f>
        <v/>
      </c>
      <c r="AJ197" s="10"/>
      <c r="AK197" s="10"/>
      <c r="AL197" s="10"/>
      <c r="AM197" s="10"/>
      <c r="AN197" s="314" t="str">
        <f>IFERROR(_xlfn.XLOOKUP($A197,Input_Raw!$E:$E,Input_Raw!$CY:$CY),"")</f>
        <v/>
      </c>
      <c r="AO197" s="312" t="str">
        <f>IFERROR((_xlfn.XLOOKUP($A197,'WTG Reactive Power'!$A:$A,'WTG Reactive Power'!AB:AB))/X197,"")</f>
        <v/>
      </c>
      <c r="AP197" s="312">
        <f>IFERROR(_xlfn.XLOOKUP($D197,'Modelling New'!$D:$D,'Modelling New'!AK:AK),"")</f>
        <v>0.05</v>
      </c>
      <c r="AQ197" s="312">
        <f>IFERROR(_xlfn.XLOOKUP($D197,'Modelling New'!$D:$D,'Modelling New'!AL:AL),"")</f>
        <v>0.05</v>
      </c>
      <c r="AR197" s="325">
        <f>IFERROR(_xlfn.XLOOKUP($D197,'Modelling New'!$D:$D,'Modelling New'!$N:$N),"")</f>
        <v>50.59999999999998</v>
      </c>
      <c r="AS197" s="325"/>
    </row>
    <row r="198" spans="1:45">
      <c r="A198" s="32">
        <f t="shared" si="19"/>
        <v>45941</v>
      </c>
      <c r="B198" s="43">
        <f>YEAR(Table13[[#This Row],[Date]])+IF(MONTH(Table13[[#This Row],[Date]])&gt;=4,1,0)</f>
        <v>2026</v>
      </c>
      <c r="C198" s="10">
        <f>YEAR(Table13[[#This Row],[Date]])</f>
        <v>2025</v>
      </c>
      <c r="D198" s="309">
        <f>Table13[[#This Row],[Date]]-DAY(Table13[[#This Row],[Date]])+1</f>
        <v>45931</v>
      </c>
      <c r="E198" s="10">
        <f t="shared" si="15"/>
        <v>31</v>
      </c>
      <c r="F198" s="241" t="str">
        <f>IFERROR(_xlfn.XLOOKUP($A198,Input_Raw!$E:$E,Input_Raw!DC:DC),"")</f>
        <v/>
      </c>
      <c r="G198" s="313"/>
      <c r="H198" s="313"/>
      <c r="I198" s="313"/>
      <c r="J198" s="313"/>
      <c r="K198" s="243"/>
      <c r="L198" s="242"/>
      <c r="M198" s="242" t="str">
        <f>IFERROR(_xlfn.XLOOKUP($A198,Input_Raw!$E:$E,Input_Raw!$BM:$BM),"")</f>
        <v/>
      </c>
      <c r="N198" s="242" t="str">
        <f>IFERROR(_xlfn.XLOOKUP($A198,Input_Raw!$E:$E,Input_Raw!$BN:$BN),"")</f>
        <v/>
      </c>
      <c r="O198" s="311" t="str">
        <f t="shared" si="16"/>
        <v/>
      </c>
      <c r="P198" s="311" t="str">
        <f>IFERROR(1-SUMIF(WTG_BD!$F:$F,$A198,WTG_BD!$AA:$AA)/($AA198+SUMIF(WTG_BD!$F:$F,$A198,WTG_BD!$AA:$AA)),"")</f>
        <v/>
      </c>
      <c r="Q198" s="328" t="str">
        <f>IFERROR(1-SUMIF(IGA_BD!$F:$F,$A198,IGA_BD!$W:$W)/($AA198+SUMIF(IGA_BD!$F:$F,$A198,IGA_BD!$W:$W)),"")</f>
        <v/>
      </c>
      <c r="R198" s="47" t="str">
        <f>IFERROR(1-SUMIF(Grid_BD!$F:$F,$A198,Grid_BD!$Y:$Y)/($AA198+SUMIF(Grid_BD!$F:$F,$A198,Grid_BD!$Y:$Y)),"")</f>
        <v/>
      </c>
      <c r="S198" s="10"/>
      <c r="T198" s="310"/>
      <c r="U198" s="311"/>
      <c r="V198" s="10"/>
      <c r="W198" s="312" t="str">
        <f t="shared" si="17"/>
        <v/>
      </c>
      <c r="X198" s="10" t="str">
        <f>IFERROR(_xlfn.XLOOKUP($A198,Input_Raw!$E:$E,Input_Raw!BG:BG),"")</f>
        <v/>
      </c>
      <c r="Y198" s="10" t="str">
        <f>IFERROR(_xlfn.XLOOKUP($A198,Input_Raw!$E:$E,Input_Raw!DF:DF),"")</f>
        <v/>
      </c>
      <c r="Z198" s="319" t="str">
        <f>IFERROR(_xlfn.XLOOKUP(A198,Input_Raw!E:E,Input_Raw!CT:CT)/_xlfn.XLOOKUP(A198,Input_Raw!E:E,Input_Raw!CS:CS)*Table13[[#This Row],[Mtr_Export (kWh)]],"")</f>
        <v/>
      </c>
      <c r="AA198" s="43" t="str">
        <f t="shared" si="18"/>
        <v/>
      </c>
      <c r="AB198" s="10" t="str">
        <f>IFERROR(_xlfn.XLOOKUP($A198,Input_Raw!$E:$E,Input_Raw!$CZ:$CZ),"")</f>
        <v/>
      </c>
      <c r="AC198" s="313">
        <f>IFERROR(_xlfn.XLOOKUP($D198,'Modelling New'!$D:$D,'Modelling New'!$J:$J),"")</f>
        <v>6.0015501571877659</v>
      </c>
      <c r="AD198" s="43">
        <f>IFERROR(_xlfn.XLOOKUP($D198,'Modelling New'!$D:$D,'Modelling New'!$T:$T)*1000,"")</f>
        <v>225766.12903225809</v>
      </c>
      <c r="AE198" s="312"/>
      <c r="AF198" s="312">
        <f>IFERROR(_xlfn.XLOOKUP($D198,'Modelling New'!$D:$D,'Modelling New'!$W:$W),"")</f>
        <v>0.18590755025712957</v>
      </c>
      <c r="AG198" s="312">
        <f>IFERROR(_xlfn.XLOOKUP($D198,'Modelling New'!$D:$D,'Modelling New'!$AE:$AE),"")</f>
        <v>0.95549849999999992</v>
      </c>
      <c r="AH198" s="312">
        <f>IFERROR(_xlfn.XLOOKUP($D198,'Modelling New'!$D:$D,'Modelling New'!$AF:$AF),"")</f>
        <v>0.995</v>
      </c>
      <c r="AI198" s="10" t="str">
        <f>IFERROR(_xlfn.XLOOKUP($A198,Input_Raw!$E:$E,Input_Raw!$DG:$DG),"")</f>
        <v/>
      </c>
      <c r="AJ198" s="10"/>
      <c r="AK198" s="10"/>
      <c r="AL198" s="10"/>
      <c r="AM198" s="10"/>
      <c r="AN198" s="314" t="str">
        <f>IFERROR(_xlfn.XLOOKUP($A198,Input_Raw!$E:$E,Input_Raw!$CY:$CY),"")</f>
        <v/>
      </c>
      <c r="AO198" s="312" t="str">
        <f>IFERROR((_xlfn.XLOOKUP($A198,'WTG Reactive Power'!$A:$A,'WTG Reactive Power'!AB:AB))/X198,"")</f>
        <v/>
      </c>
      <c r="AP198" s="312">
        <f>IFERROR(_xlfn.XLOOKUP($D198,'Modelling New'!$D:$D,'Modelling New'!AK:AK),"")</f>
        <v>0.05</v>
      </c>
      <c r="AQ198" s="312">
        <f>IFERROR(_xlfn.XLOOKUP($D198,'Modelling New'!$D:$D,'Modelling New'!AL:AL),"")</f>
        <v>0.05</v>
      </c>
      <c r="AR198" s="325">
        <f>IFERROR(_xlfn.XLOOKUP($D198,'Modelling New'!$D:$D,'Modelling New'!$N:$N),"")</f>
        <v>50.59999999999998</v>
      </c>
      <c r="AS198" s="325"/>
    </row>
    <row r="199" spans="1:45">
      <c r="A199" s="32">
        <f t="shared" si="19"/>
        <v>45942</v>
      </c>
      <c r="B199" s="43">
        <f>YEAR(Table13[[#This Row],[Date]])+IF(MONTH(Table13[[#This Row],[Date]])&gt;=4,1,0)</f>
        <v>2026</v>
      </c>
      <c r="C199" s="10">
        <f>YEAR(Table13[[#This Row],[Date]])</f>
        <v>2025</v>
      </c>
      <c r="D199" s="309">
        <f>Table13[[#This Row],[Date]]-DAY(Table13[[#This Row],[Date]])+1</f>
        <v>45931</v>
      </c>
      <c r="E199" s="10">
        <f t="shared" ref="E199:E262" si="20">DAY(EOMONTH(A199,0))</f>
        <v>31</v>
      </c>
      <c r="F199" s="241" t="str">
        <f>IFERROR(_xlfn.XLOOKUP($A199,Input_Raw!$E:$E,Input_Raw!DC:DC),"")</f>
        <v/>
      </c>
      <c r="G199" s="242"/>
      <c r="H199" s="242"/>
      <c r="I199" s="242"/>
      <c r="J199" s="242"/>
      <c r="K199" s="243"/>
      <c r="L199" s="242"/>
      <c r="M199" s="242" t="str">
        <f>IFERROR(_xlfn.XLOOKUP($A199,Input_Raw!$E:$E,Input_Raw!$BM:$BM),"")</f>
        <v/>
      </c>
      <c r="N199" s="242" t="str">
        <f>IFERROR(_xlfn.XLOOKUP($A199,Input_Raw!$E:$E,Input_Raw!$BN:$BN),"")</f>
        <v/>
      </c>
      <c r="O199" s="311" t="str">
        <f t="shared" ref="O199:O262" si="21">IFERROR(P199*Q199,"")</f>
        <v/>
      </c>
      <c r="P199" s="311" t="str">
        <f>IFERROR(1-SUMIF(WTG_BD!$F:$F,$A199,WTG_BD!$AA:$AA)/($AA199+SUMIF(WTG_BD!$F:$F,$A199,WTG_BD!$AA:$AA)),"")</f>
        <v/>
      </c>
      <c r="Q199" s="328" t="str">
        <f>IFERROR(1-SUMIF(IGA_BD!$F:$F,$A199,IGA_BD!$W:$W)/($AA199+SUMIF(IGA_BD!$F:$F,$A199,IGA_BD!$W:$W)),"")</f>
        <v/>
      </c>
      <c r="R199" s="311" t="str">
        <f>IFERROR(1-SUMIF(Grid_BD!$F:$F,$A199,Grid_BD!$Y:$Y)/($AA199+SUMIF(Grid_BD!$F:$F,$A199,Grid_BD!$Y:$Y)),"")</f>
        <v/>
      </c>
      <c r="S199" s="10"/>
      <c r="T199" s="310"/>
      <c r="U199" s="311"/>
      <c r="V199" s="10"/>
      <c r="W199" s="312" t="str">
        <f t="shared" ref="W199:W262" si="22">IFERROR(X199/(24*AR199*1000),"")</f>
        <v/>
      </c>
      <c r="X199" s="10" t="str">
        <f>IFERROR(_xlfn.XLOOKUP($A199,Input_Raw!$E:$E,Input_Raw!BG:BG),"")</f>
        <v/>
      </c>
      <c r="Y199" s="10" t="str">
        <f>IFERROR(_xlfn.XLOOKUP($A199,Input_Raw!$E:$E,Input_Raw!DF:DF),"")</f>
        <v/>
      </c>
      <c r="Z199" s="319" t="str">
        <f>IFERROR(_xlfn.XLOOKUP(A199,Input_Raw!E:E,Input_Raw!CT:CT)/_xlfn.XLOOKUP(A199,Input_Raw!E:E,Input_Raw!CS:CS)*Table13[[#This Row],[Mtr_Export (kWh)]],"")</f>
        <v/>
      </c>
      <c r="AA199" s="43" t="str">
        <f t="shared" ref="AA199:AA262" si="23">IFERROR(Y199-Z199,"")</f>
        <v/>
      </c>
      <c r="AB199" s="10" t="str">
        <f>IFERROR(_xlfn.XLOOKUP($A199,Input_Raw!$E:$E,Input_Raw!$CZ:$CZ),"")</f>
        <v/>
      </c>
      <c r="AC199" s="313">
        <f>IFERROR(_xlfn.XLOOKUP($D199,'Modelling New'!$D:$D,'Modelling New'!$J:$J),"")</f>
        <v>6.0015501571877659</v>
      </c>
      <c r="AD199" s="43">
        <f>IFERROR(_xlfn.XLOOKUP($D199,'Modelling New'!$D:$D,'Modelling New'!$T:$T)*1000,"")</f>
        <v>225766.12903225809</v>
      </c>
      <c r="AE199" s="312"/>
      <c r="AF199" s="312">
        <f>IFERROR(_xlfn.XLOOKUP($D199,'Modelling New'!$D:$D,'Modelling New'!$W:$W),"")</f>
        <v>0.18590755025712957</v>
      </c>
      <c r="AG199" s="312">
        <f>IFERROR(_xlfn.XLOOKUP($D199,'Modelling New'!$D:$D,'Modelling New'!$AE:$AE),"")</f>
        <v>0.95549849999999992</v>
      </c>
      <c r="AH199" s="312">
        <f>IFERROR(_xlfn.XLOOKUP($D199,'Modelling New'!$D:$D,'Modelling New'!$AF:$AF),"")</f>
        <v>0.995</v>
      </c>
      <c r="AI199" s="10" t="str">
        <f>IFERROR(_xlfn.XLOOKUP($A199,Input_Raw!$E:$E,Input_Raw!$DG:$DG),"")</f>
        <v/>
      </c>
      <c r="AJ199" s="10"/>
      <c r="AK199" s="10"/>
      <c r="AL199" s="10"/>
      <c r="AM199" s="10"/>
      <c r="AN199" s="314" t="str">
        <f>IFERROR(_xlfn.XLOOKUP($A199,Input_Raw!$E:$E,Input_Raw!$CY:$CY),"")</f>
        <v/>
      </c>
      <c r="AO199" s="312" t="str">
        <f>IFERROR((_xlfn.XLOOKUP($A199,'WTG Reactive Power'!$A:$A,'WTG Reactive Power'!AB:AB))/X199,"")</f>
        <v/>
      </c>
      <c r="AP199" s="312">
        <f>IFERROR(_xlfn.XLOOKUP($D199,'Modelling New'!$D:$D,'Modelling New'!AK:AK),"")</f>
        <v>0.05</v>
      </c>
      <c r="AQ199" s="312">
        <f>IFERROR(_xlfn.XLOOKUP($D199,'Modelling New'!$D:$D,'Modelling New'!AL:AL),"")</f>
        <v>0.05</v>
      </c>
      <c r="AR199" s="325">
        <f>IFERROR(_xlfn.XLOOKUP($D199,'Modelling New'!$D:$D,'Modelling New'!$N:$N),"")</f>
        <v>50.59999999999998</v>
      </c>
      <c r="AS199" s="325"/>
    </row>
    <row r="200" spans="1:45">
      <c r="A200" s="32">
        <f t="shared" si="19"/>
        <v>45943</v>
      </c>
      <c r="B200" s="43">
        <f>YEAR(Table13[[#This Row],[Date]])+IF(MONTH(Table13[[#This Row],[Date]])&gt;=4,1,0)</f>
        <v>2026</v>
      </c>
      <c r="C200" s="10">
        <f>YEAR(Table13[[#This Row],[Date]])</f>
        <v>2025</v>
      </c>
      <c r="D200" s="309">
        <f>Table13[[#This Row],[Date]]-DAY(Table13[[#This Row],[Date]])+1</f>
        <v>45931</v>
      </c>
      <c r="E200" s="10">
        <f t="shared" si="20"/>
        <v>31</v>
      </c>
      <c r="F200" s="241" t="str">
        <f>IFERROR(_xlfn.XLOOKUP($A200,Input_Raw!$E:$E,Input_Raw!DC:DC),"")</f>
        <v/>
      </c>
      <c r="G200" s="313"/>
      <c r="H200" s="313"/>
      <c r="I200" s="313"/>
      <c r="J200" s="313"/>
      <c r="K200" s="243"/>
      <c r="L200" s="242"/>
      <c r="M200" s="242" t="str">
        <f>IFERROR(_xlfn.XLOOKUP($A200,Input_Raw!$E:$E,Input_Raw!$BM:$BM),"")</f>
        <v/>
      </c>
      <c r="N200" s="242" t="str">
        <f>IFERROR(_xlfn.XLOOKUP($A200,Input_Raw!$E:$E,Input_Raw!$BN:$BN),"")</f>
        <v/>
      </c>
      <c r="O200" s="311" t="str">
        <f t="shared" si="21"/>
        <v/>
      </c>
      <c r="P200" s="311" t="str">
        <f>IFERROR(1-SUMIF(WTG_BD!$F:$F,$A200,WTG_BD!$AA:$AA)/($AA200+SUMIF(WTG_BD!$F:$F,$A200,WTG_BD!$AA:$AA)),"")</f>
        <v/>
      </c>
      <c r="Q200" s="328" t="str">
        <f>IFERROR(1-SUMIF(IGA_BD!$F:$F,$A200,IGA_BD!$W:$W)/($AA200+SUMIF(IGA_BD!$F:$F,$A200,IGA_BD!$W:$W)),"")</f>
        <v/>
      </c>
      <c r="R200" s="47" t="str">
        <f>IFERROR(1-SUMIF(Grid_BD!$F:$F,$A200,Grid_BD!$Y:$Y)/($AA200+SUMIF(Grid_BD!$F:$F,$A200,Grid_BD!$Y:$Y)),"")</f>
        <v/>
      </c>
      <c r="S200" s="10"/>
      <c r="T200" s="310"/>
      <c r="U200" s="311"/>
      <c r="V200" s="10"/>
      <c r="W200" s="312" t="str">
        <f t="shared" si="22"/>
        <v/>
      </c>
      <c r="X200" s="10" t="str">
        <f>IFERROR(_xlfn.XLOOKUP($A200,Input_Raw!$E:$E,Input_Raw!BG:BG),"")</f>
        <v/>
      </c>
      <c r="Y200" s="10" t="str">
        <f>IFERROR(_xlfn.XLOOKUP($A200,Input_Raw!$E:$E,Input_Raw!DF:DF),"")</f>
        <v/>
      </c>
      <c r="Z200" s="319" t="str">
        <f>IFERROR(_xlfn.XLOOKUP(A200,Input_Raw!E:E,Input_Raw!CT:CT)/_xlfn.XLOOKUP(A200,Input_Raw!E:E,Input_Raw!CS:CS)*Table13[[#This Row],[Mtr_Export (kWh)]],"")</f>
        <v/>
      </c>
      <c r="AA200" s="43" t="str">
        <f t="shared" si="23"/>
        <v/>
      </c>
      <c r="AB200" s="10" t="str">
        <f>IFERROR(_xlfn.XLOOKUP($A200,Input_Raw!$E:$E,Input_Raw!$CZ:$CZ),"")</f>
        <v/>
      </c>
      <c r="AC200" s="313">
        <f>IFERROR(_xlfn.XLOOKUP($D200,'Modelling New'!$D:$D,'Modelling New'!$J:$J),"")</f>
        <v>6.0015501571877659</v>
      </c>
      <c r="AD200" s="43">
        <f>IFERROR(_xlfn.XLOOKUP($D200,'Modelling New'!$D:$D,'Modelling New'!$T:$T)*1000,"")</f>
        <v>225766.12903225809</v>
      </c>
      <c r="AE200" s="312"/>
      <c r="AF200" s="312">
        <f>IFERROR(_xlfn.XLOOKUP($D200,'Modelling New'!$D:$D,'Modelling New'!$W:$W),"")</f>
        <v>0.18590755025712957</v>
      </c>
      <c r="AG200" s="312">
        <f>IFERROR(_xlfn.XLOOKUP($D200,'Modelling New'!$D:$D,'Modelling New'!$AE:$AE),"")</f>
        <v>0.95549849999999992</v>
      </c>
      <c r="AH200" s="312">
        <f>IFERROR(_xlfn.XLOOKUP($D200,'Modelling New'!$D:$D,'Modelling New'!$AF:$AF),"")</f>
        <v>0.995</v>
      </c>
      <c r="AI200" s="10" t="str">
        <f>IFERROR(_xlfn.XLOOKUP($A200,Input_Raw!$E:$E,Input_Raw!$DG:$DG),"")</f>
        <v/>
      </c>
      <c r="AJ200" s="10"/>
      <c r="AK200" s="10"/>
      <c r="AL200" s="10"/>
      <c r="AM200" s="10"/>
      <c r="AN200" s="314" t="str">
        <f>IFERROR(_xlfn.XLOOKUP($A200,Input_Raw!$E:$E,Input_Raw!$CY:$CY),"")</f>
        <v/>
      </c>
      <c r="AO200" s="312" t="str">
        <f>IFERROR((_xlfn.XLOOKUP($A200,'WTG Reactive Power'!$A:$A,'WTG Reactive Power'!AB:AB))/X200,"")</f>
        <v/>
      </c>
      <c r="AP200" s="312">
        <f>IFERROR(_xlfn.XLOOKUP($D200,'Modelling New'!$D:$D,'Modelling New'!AK:AK),"")</f>
        <v>0.05</v>
      </c>
      <c r="AQ200" s="312">
        <f>IFERROR(_xlfn.XLOOKUP($D200,'Modelling New'!$D:$D,'Modelling New'!AL:AL),"")</f>
        <v>0.05</v>
      </c>
      <c r="AR200" s="325">
        <f>IFERROR(_xlfn.XLOOKUP($D200,'Modelling New'!$D:$D,'Modelling New'!$N:$N),"")</f>
        <v>50.59999999999998</v>
      </c>
      <c r="AS200" s="325"/>
    </row>
    <row r="201" spans="1:45">
      <c r="A201" s="32">
        <f t="shared" ref="A201:A264" si="24">A200+1</f>
        <v>45944</v>
      </c>
      <c r="B201" s="43">
        <f>YEAR(Table13[[#This Row],[Date]])+IF(MONTH(Table13[[#This Row],[Date]])&gt;=4,1,0)</f>
        <v>2026</v>
      </c>
      <c r="C201" s="10">
        <f>YEAR(Table13[[#This Row],[Date]])</f>
        <v>2025</v>
      </c>
      <c r="D201" s="309">
        <f>Table13[[#This Row],[Date]]-DAY(Table13[[#This Row],[Date]])+1</f>
        <v>45931</v>
      </c>
      <c r="E201" s="10">
        <f t="shared" si="20"/>
        <v>31</v>
      </c>
      <c r="F201" s="241" t="str">
        <f>IFERROR(_xlfn.XLOOKUP($A201,Input_Raw!$E:$E,Input_Raw!DC:DC),"")</f>
        <v/>
      </c>
      <c r="G201" s="242"/>
      <c r="H201" s="242"/>
      <c r="I201" s="242"/>
      <c r="J201" s="242"/>
      <c r="K201" s="243"/>
      <c r="L201" s="242"/>
      <c r="M201" s="242" t="str">
        <f>IFERROR(_xlfn.XLOOKUP($A201,Input_Raw!$E:$E,Input_Raw!$BM:$BM),"")</f>
        <v/>
      </c>
      <c r="N201" s="242" t="str">
        <f>IFERROR(_xlfn.XLOOKUP($A201,Input_Raw!$E:$E,Input_Raw!$BN:$BN),"")</f>
        <v/>
      </c>
      <c r="O201" s="311" t="str">
        <f t="shared" si="21"/>
        <v/>
      </c>
      <c r="P201" s="311" t="str">
        <f>IFERROR(1-SUMIF(WTG_BD!$F:$F,$A201,WTG_BD!$AA:$AA)/($AA201+SUMIF(WTG_BD!$F:$F,$A201,WTG_BD!$AA:$AA)),"")</f>
        <v/>
      </c>
      <c r="Q201" s="328" t="str">
        <f>IFERROR(1-SUMIF(IGA_BD!$F:$F,$A201,IGA_BD!$W:$W)/($AA201+SUMIF(IGA_BD!$F:$F,$A201,IGA_BD!$W:$W)),"")</f>
        <v/>
      </c>
      <c r="R201" s="311" t="str">
        <f>IFERROR(1-SUMIF(Grid_BD!$F:$F,$A201,Grid_BD!$Y:$Y)/($AA201+SUMIF(Grid_BD!$F:$F,$A201,Grid_BD!$Y:$Y)),"")</f>
        <v/>
      </c>
      <c r="S201" s="10"/>
      <c r="T201" s="310"/>
      <c r="U201" s="311"/>
      <c r="V201" s="10"/>
      <c r="W201" s="312" t="str">
        <f t="shared" si="22"/>
        <v/>
      </c>
      <c r="X201" s="10" t="str">
        <f>IFERROR(_xlfn.XLOOKUP($A201,Input_Raw!$E:$E,Input_Raw!BG:BG),"")</f>
        <v/>
      </c>
      <c r="Y201" s="10" t="str">
        <f>IFERROR(_xlfn.XLOOKUP($A201,Input_Raw!$E:$E,Input_Raw!DF:DF),"")</f>
        <v/>
      </c>
      <c r="Z201" s="319" t="str">
        <f>IFERROR(_xlfn.XLOOKUP(A201,Input_Raw!E:E,Input_Raw!CT:CT)/_xlfn.XLOOKUP(A201,Input_Raw!E:E,Input_Raw!CS:CS)*Table13[[#This Row],[Mtr_Export (kWh)]],"")</f>
        <v/>
      </c>
      <c r="AA201" s="43" t="str">
        <f t="shared" si="23"/>
        <v/>
      </c>
      <c r="AB201" s="10" t="str">
        <f>IFERROR(_xlfn.XLOOKUP($A201,Input_Raw!$E:$E,Input_Raw!$CZ:$CZ),"")</f>
        <v/>
      </c>
      <c r="AC201" s="313">
        <f>IFERROR(_xlfn.XLOOKUP($D201,'Modelling New'!$D:$D,'Modelling New'!$J:$J),"")</f>
        <v>6.0015501571877659</v>
      </c>
      <c r="AD201" s="43">
        <f>IFERROR(_xlfn.XLOOKUP($D201,'Modelling New'!$D:$D,'Modelling New'!$T:$T)*1000,"")</f>
        <v>225766.12903225809</v>
      </c>
      <c r="AE201" s="312"/>
      <c r="AF201" s="312">
        <f>IFERROR(_xlfn.XLOOKUP($D201,'Modelling New'!$D:$D,'Modelling New'!$W:$W),"")</f>
        <v>0.18590755025712957</v>
      </c>
      <c r="AG201" s="312">
        <f>IFERROR(_xlfn.XLOOKUP($D201,'Modelling New'!$D:$D,'Modelling New'!$AE:$AE),"")</f>
        <v>0.95549849999999992</v>
      </c>
      <c r="AH201" s="312">
        <f>IFERROR(_xlfn.XLOOKUP($D201,'Modelling New'!$D:$D,'Modelling New'!$AF:$AF),"")</f>
        <v>0.995</v>
      </c>
      <c r="AI201" s="10" t="str">
        <f>IFERROR(_xlfn.XLOOKUP($A201,Input_Raw!$E:$E,Input_Raw!$DG:$DG),"")</f>
        <v/>
      </c>
      <c r="AJ201" s="10"/>
      <c r="AK201" s="10"/>
      <c r="AL201" s="10"/>
      <c r="AM201" s="10"/>
      <c r="AN201" s="314" t="str">
        <f>IFERROR(_xlfn.XLOOKUP($A201,Input_Raw!$E:$E,Input_Raw!$CY:$CY),"")</f>
        <v/>
      </c>
      <c r="AO201" s="312" t="str">
        <f>IFERROR((_xlfn.XLOOKUP($A201,'WTG Reactive Power'!$A:$A,'WTG Reactive Power'!AB:AB))/X201,"")</f>
        <v/>
      </c>
      <c r="AP201" s="312">
        <f>IFERROR(_xlfn.XLOOKUP($D201,'Modelling New'!$D:$D,'Modelling New'!AK:AK),"")</f>
        <v>0.05</v>
      </c>
      <c r="AQ201" s="312">
        <f>IFERROR(_xlfn.XLOOKUP($D201,'Modelling New'!$D:$D,'Modelling New'!AL:AL),"")</f>
        <v>0.05</v>
      </c>
      <c r="AR201" s="325">
        <f>IFERROR(_xlfn.XLOOKUP($D201,'Modelling New'!$D:$D,'Modelling New'!$N:$N),"")</f>
        <v>50.59999999999998</v>
      </c>
      <c r="AS201" s="325"/>
    </row>
    <row r="202" spans="1:45">
      <c r="A202" s="32">
        <f t="shared" si="24"/>
        <v>45945</v>
      </c>
      <c r="B202" s="43">
        <f>YEAR(Table13[[#This Row],[Date]])+IF(MONTH(Table13[[#This Row],[Date]])&gt;=4,1,0)</f>
        <v>2026</v>
      </c>
      <c r="C202" s="10">
        <f>YEAR(Table13[[#This Row],[Date]])</f>
        <v>2025</v>
      </c>
      <c r="D202" s="309">
        <f>Table13[[#This Row],[Date]]-DAY(Table13[[#This Row],[Date]])+1</f>
        <v>45931</v>
      </c>
      <c r="E202" s="10">
        <f t="shared" si="20"/>
        <v>31</v>
      </c>
      <c r="F202" s="241" t="str">
        <f>IFERROR(_xlfn.XLOOKUP($A202,Input_Raw!$E:$E,Input_Raw!DC:DC),"")</f>
        <v/>
      </c>
      <c r="G202" s="313"/>
      <c r="H202" s="313"/>
      <c r="I202" s="313"/>
      <c r="J202" s="313"/>
      <c r="K202" s="243"/>
      <c r="L202" s="242"/>
      <c r="M202" s="242" t="str">
        <f>IFERROR(_xlfn.XLOOKUP($A202,Input_Raw!$E:$E,Input_Raw!$BM:$BM),"")</f>
        <v/>
      </c>
      <c r="N202" s="242" t="str">
        <f>IFERROR(_xlfn.XLOOKUP($A202,Input_Raw!$E:$E,Input_Raw!$BN:$BN),"")</f>
        <v/>
      </c>
      <c r="O202" s="311" t="str">
        <f t="shared" si="21"/>
        <v/>
      </c>
      <c r="P202" s="311" t="str">
        <f>IFERROR(1-SUMIF(WTG_BD!$F:$F,$A202,WTG_BD!$AA:$AA)/($AA202+SUMIF(WTG_BD!$F:$F,$A202,WTG_BD!$AA:$AA)),"")</f>
        <v/>
      </c>
      <c r="Q202" s="328" t="str">
        <f>IFERROR(1-SUMIF(IGA_BD!$F:$F,$A202,IGA_BD!$W:$W)/($AA202+SUMIF(IGA_BD!$F:$F,$A202,IGA_BD!$W:$W)),"")</f>
        <v/>
      </c>
      <c r="R202" s="47" t="str">
        <f>IFERROR(1-SUMIF(Grid_BD!$F:$F,$A202,Grid_BD!$Y:$Y)/($AA202+SUMIF(Grid_BD!$F:$F,$A202,Grid_BD!$Y:$Y)),"")</f>
        <v/>
      </c>
      <c r="S202" s="10"/>
      <c r="T202" s="310"/>
      <c r="U202" s="311"/>
      <c r="V202" s="10"/>
      <c r="W202" s="312" t="str">
        <f t="shared" si="22"/>
        <v/>
      </c>
      <c r="X202" s="10" t="str">
        <f>IFERROR(_xlfn.XLOOKUP($A202,Input_Raw!$E:$E,Input_Raw!BG:BG),"")</f>
        <v/>
      </c>
      <c r="Y202" s="10" t="str">
        <f>IFERROR(_xlfn.XLOOKUP($A202,Input_Raw!$E:$E,Input_Raw!DF:DF),"")</f>
        <v/>
      </c>
      <c r="Z202" s="319" t="str">
        <f>IFERROR(_xlfn.XLOOKUP(A202,Input_Raw!E:E,Input_Raw!CT:CT)/_xlfn.XLOOKUP(A202,Input_Raw!E:E,Input_Raw!CS:CS)*Table13[[#This Row],[Mtr_Export (kWh)]],"")</f>
        <v/>
      </c>
      <c r="AA202" s="43" t="str">
        <f t="shared" si="23"/>
        <v/>
      </c>
      <c r="AB202" s="10" t="str">
        <f>IFERROR(_xlfn.XLOOKUP($A202,Input_Raw!$E:$E,Input_Raw!$CZ:$CZ),"")</f>
        <v/>
      </c>
      <c r="AC202" s="313">
        <f>IFERROR(_xlfn.XLOOKUP($D202,'Modelling New'!$D:$D,'Modelling New'!$J:$J),"")</f>
        <v>6.0015501571877659</v>
      </c>
      <c r="AD202" s="43">
        <f>IFERROR(_xlfn.XLOOKUP($D202,'Modelling New'!$D:$D,'Modelling New'!$T:$T)*1000,"")</f>
        <v>225766.12903225809</v>
      </c>
      <c r="AE202" s="312"/>
      <c r="AF202" s="312">
        <f>IFERROR(_xlfn.XLOOKUP($D202,'Modelling New'!$D:$D,'Modelling New'!$W:$W),"")</f>
        <v>0.18590755025712957</v>
      </c>
      <c r="AG202" s="312">
        <f>IFERROR(_xlfn.XLOOKUP($D202,'Modelling New'!$D:$D,'Modelling New'!$AE:$AE),"")</f>
        <v>0.95549849999999992</v>
      </c>
      <c r="AH202" s="312">
        <f>IFERROR(_xlfn.XLOOKUP($D202,'Modelling New'!$D:$D,'Modelling New'!$AF:$AF),"")</f>
        <v>0.995</v>
      </c>
      <c r="AI202" s="10" t="str">
        <f>IFERROR(_xlfn.XLOOKUP($A202,Input_Raw!$E:$E,Input_Raw!$DG:$DG),"")</f>
        <v/>
      </c>
      <c r="AJ202" s="10"/>
      <c r="AK202" s="10"/>
      <c r="AL202" s="10"/>
      <c r="AM202" s="10"/>
      <c r="AN202" s="314" t="str">
        <f>IFERROR(_xlfn.XLOOKUP($A202,Input_Raw!$E:$E,Input_Raw!$CY:$CY),"")</f>
        <v/>
      </c>
      <c r="AO202" s="312" t="str">
        <f>IFERROR((_xlfn.XLOOKUP($A202,'WTG Reactive Power'!$A:$A,'WTG Reactive Power'!AB:AB))/X202,"")</f>
        <v/>
      </c>
      <c r="AP202" s="312">
        <f>IFERROR(_xlfn.XLOOKUP($D202,'Modelling New'!$D:$D,'Modelling New'!AK:AK),"")</f>
        <v>0.05</v>
      </c>
      <c r="AQ202" s="312">
        <f>IFERROR(_xlfn.XLOOKUP($D202,'Modelling New'!$D:$D,'Modelling New'!AL:AL),"")</f>
        <v>0.05</v>
      </c>
      <c r="AR202" s="325">
        <f>IFERROR(_xlfn.XLOOKUP($D202,'Modelling New'!$D:$D,'Modelling New'!$N:$N),"")</f>
        <v>50.59999999999998</v>
      </c>
      <c r="AS202" s="325"/>
    </row>
    <row r="203" spans="1:45">
      <c r="A203" s="32">
        <f t="shared" si="24"/>
        <v>45946</v>
      </c>
      <c r="B203" s="43">
        <f>YEAR(Table13[[#This Row],[Date]])+IF(MONTH(Table13[[#This Row],[Date]])&gt;=4,1,0)</f>
        <v>2026</v>
      </c>
      <c r="C203" s="10">
        <f>YEAR(Table13[[#This Row],[Date]])</f>
        <v>2025</v>
      </c>
      <c r="D203" s="309">
        <f>Table13[[#This Row],[Date]]-DAY(Table13[[#This Row],[Date]])+1</f>
        <v>45931</v>
      </c>
      <c r="E203" s="10">
        <f t="shared" si="20"/>
        <v>31</v>
      </c>
      <c r="F203" s="241" t="str">
        <f>IFERROR(_xlfn.XLOOKUP($A203,Input_Raw!$E:$E,Input_Raw!DC:DC),"")</f>
        <v/>
      </c>
      <c r="G203" s="242"/>
      <c r="H203" s="242"/>
      <c r="I203" s="242"/>
      <c r="J203" s="242"/>
      <c r="K203" s="243"/>
      <c r="L203" s="242"/>
      <c r="M203" s="242" t="str">
        <f>IFERROR(_xlfn.XLOOKUP($A203,Input_Raw!$E:$E,Input_Raw!$BM:$BM),"")</f>
        <v/>
      </c>
      <c r="N203" s="242" t="str">
        <f>IFERROR(_xlfn.XLOOKUP($A203,Input_Raw!$E:$E,Input_Raw!$BN:$BN),"")</f>
        <v/>
      </c>
      <c r="O203" s="311" t="str">
        <f t="shared" si="21"/>
        <v/>
      </c>
      <c r="P203" s="311" t="str">
        <f>IFERROR(1-SUMIF(WTG_BD!$F:$F,$A203,WTG_BD!$AA:$AA)/($AA203+SUMIF(WTG_BD!$F:$F,$A203,WTG_BD!$AA:$AA)),"")</f>
        <v/>
      </c>
      <c r="Q203" s="328" t="str">
        <f>IFERROR(1-SUMIF(IGA_BD!$F:$F,$A203,IGA_BD!$W:$W)/($AA203+SUMIF(IGA_BD!$F:$F,$A203,IGA_BD!$W:$W)),"")</f>
        <v/>
      </c>
      <c r="R203" s="311" t="str">
        <f>IFERROR(1-SUMIF(Grid_BD!$F:$F,$A203,Grid_BD!$Y:$Y)/($AA203+SUMIF(Grid_BD!$F:$F,$A203,Grid_BD!$Y:$Y)),"")</f>
        <v/>
      </c>
      <c r="S203" s="10"/>
      <c r="T203" s="310"/>
      <c r="U203" s="311"/>
      <c r="V203" s="10"/>
      <c r="W203" s="312" t="str">
        <f t="shared" si="22"/>
        <v/>
      </c>
      <c r="X203" s="10" t="str">
        <f>IFERROR(_xlfn.XLOOKUP($A203,Input_Raw!$E:$E,Input_Raw!BG:BG),"")</f>
        <v/>
      </c>
      <c r="Y203" s="10" t="str">
        <f>IFERROR(_xlfn.XLOOKUP($A203,Input_Raw!$E:$E,Input_Raw!DF:DF),"")</f>
        <v/>
      </c>
      <c r="Z203" s="319" t="str">
        <f>IFERROR(_xlfn.XLOOKUP(A203,Input_Raw!E:E,Input_Raw!CT:CT)/_xlfn.XLOOKUP(A203,Input_Raw!E:E,Input_Raw!CS:CS)*Table13[[#This Row],[Mtr_Export (kWh)]],"")</f>
        <v/>
      </c>
      <c r="AA203" s="43" t="str">
        <f t="shared" si="23"/>
        <v/>
      </c>
      <c r="AB203" s="10" t="str">
        <f>IFERROR(_xlfn.XLOOKUP($A203,Input_Raw!$E:$E,Input_Raw!$CZ:$CZ),"")</f>
        <v/>
      </c>
      <c r="AC203" s="313">
        <f>IFERROR(_xlfn.XLOOKUP($D203,'Modelling New'!$D:$D,'Modelling New'!$J:$J),"")</f>
        <v>6.0015501571877659</v>
      </c>
      <c r="AD203" s="43">
        <f>IFERROR(_xlfn.XLOOKUP($D203,'Modelling New'!$D:$D,'Modelling New'!$T:$T)*1000,"")</f>
        <v>225766.12903225809</v>
      </c>
      <c r="AE203" s="312"/>
      <c r="AF203" s="312">
        <f>IFERROR(_xlfn.XLOOKUP($D203,'Modelling New'!$D:$D,'Modelling New'!$W:$W),"")</f>
        <v>0.18590755025712957</v>
      </c>
      <c r="AG203" s="312">
        <f>IFERROR(_xlfn.XLOOKUP($D203,'Modelling New'!$D:$D,'Modelling New'!$AE:$AE),"")</f>
        <v>0.95549849999999992</v>
      </c>
      <c r="AH203" s="312">
        <f>IFERROR(_xlfn.XLOOKUP($D203,'Modelling New'!$D:$D,'Modelling New'!$AF:$AF),"")</f>
        <v>0.995</v>
      </c>
      <c r="AI203" s="10" t="str">
        <f>IFERROR(_xlfn.XLOOKUP($A203,Input_Raw!$E:$E,Input_Raw!$DG:$DG),"")</f>
        <v/>
      </c>
      <c r="AJ203" s="10"/>
      <c r="AK203" s="10"/>
      <c r="AL203" s="10"/>
      <c r="AM203" s="10"/>
      <c r="AN203" s="314" t="str">
        <f>IFERROR(_xlfn.XLOOKUP($A203,Input_Raw!$E:$E,Input_Raw!$CY:$CY),"")</f>
        <v/>
      </c>
      <c r="AO203" s="312" t="str">
        <f>IFERROR((_xlfn.XLOOKUP($A203,'WTG Reactive Power'!$A:$A,'WTG Reactive Power'!AB:AB))/X203,"")</f>
        <v/>
      </c>
      <c r="AP203" s="312">
        <f>IFERROR(_xlfn.XLOOKUP($D203,'Modelling New'!$D:$D,'Modelling New'!AK:AK),"")</f>
        <v>0.05</v>
      </c>
      <c r="AQ203" s="312">
        <f>IFERROR(_xlfn.XLOOKUP($D203,'Modelling New'!$D:$D,'Modelling New'!AL:AL),"")</f>
        <v>0.05</v>
      </c>
      <c r="AR203" s="325">
        <f>IFERROR(_xlfn.XLOOKUP($D203,'Modelling New'!$D:$D,'Modelling New'!$N:$N),"")</f>
        <v>50.59999999999998</v>
      </c>
      <c r="AS203" s="325"/>
    </row>
    <row r="204" spans="1:45">
      <c r="A204" s="32">
        <f t="shared" si="24"/>
        <v>45947</v>
      </c>
      <c r="B204" s="43">
        <f>YEAR(Table13[[#This Row],[Date]])+IF(MONTH(Table13[[#This Row],[Date]])&gt;=4,1,0)</f>
        <v>2026</v>
      </c>
      <c r="C204" s="10">
        <f>YEAR(Table13[[#This Row],[Date]])</f>
        <v>2025</v>
      </c>
      <c r="D204" s="309">
        <f>Table13[[#This Row],[Date]]-DAY(Table13[[#This Row],[Date]])+1</f>
        <v>45931</v>
      </c>
      <c r="E204" s="10">
        <f t="shared" si="20"/>
        <v>31</v>
      </c>
      <c r="F204" s="241" t="str">
        <f>IFERROR(_xlfn.XLOOKUP($A204,Input_Raw!$E:$E,Input_Raw!DC:DC),"")</f>
        <v/>
      </c>
      <c r="G204" s="313"/>
      <c r="H204" s="313"/>
      <c r="I204" s="313"/>
      <c r="J204" s="313"/>
      <c r="K204" s="243"/>
      <c r="L204" s="242"/>
      <c r="M204" s="242" t="str">
        <f>IFERROR(_xlfn.XLOOKUP($A204,Input_Raw!$E:$E,Input_Raw!$BM:$BM),"")</f>
        <v/>
      </c>
      <c r="N204" s="242" t="str">
        <f>IFERROR(_xlfn.XLOOKUP($A204,Input_Raw!$E:$E,Input_Raw!$BN:$BN),"")</f>
        <v/>
      </c>
      <c r="O204" s="311" t="str">
        <f t="shared" si="21"/>
        <v/>
      </c>
      <c r="P204" s="311" t="str">
        <f>IFERROR(1-SUMIF(WTG_BD!$F:$F,$A204,WTG_BD!$AA:$AA)/($AA204+SUMIF(WTG_BD!$F:$F,$A204,WTG_BD!$AA:$AA)),"")</f>
        <v/>
      </c>
      <c r="Q204" s="328" t="str">
        <f>IFERROR(1-SUMIF(IGA_BD!$F:$F,$A204,IGA_BD!$W:$W)/($AA204+SUMIF(IGA_BD!$F:$F,$A204,IGA_BD!$W:$W)),"")</f>
        <v/>
      </c>
      <c r="R204" s="47" t="str">
        <f>IFERROR(1-SUMIF(Grid_BD!$F:$F,$A204,Grid_BD!$Y:$Y)/($AA204+SUMIF(Grid_BD!$F:$F,$A204,Grid_BD!$Y:$Y)),"")</f>
        <v/>
      </c>
      <c r="S204" s="10"/>
      <c r="T204" s="310"/>
      <c r="U204" s="311"/>
      <c r="V204" s="10"/>
      <c r="W204" s="312" t="str">
        <f t="shared" si="22"/>
        <v/>
      </c>
      <c r="X204" s="10" t="str">
        <f>IFERROR(_xlfn.XLOOKUP($A204,Input_Raw!$E:$E,Input_Raw!BG:BG),"")</f>
        <v/>
      </c>
      <c r="Y204" s="10" t="str">
        <f>IFERROR(_xlfn.XLOOKUP($A204,Input_Raw!$E:$E,Input_Raw!DF:DF),"")</f>
        <v/>
      </c>
      <c r="Z204" s="319" t="str">
        <f>IFERROR(_xlfn.XLOOKUP(A204,Input_Raw!E:E,Input_Raw!CT:CT)/_xlfn.XLOOKUP(A204,Input_Raw!E:E,Input_Raw!CS:CS)*Table13[[#This Row],[Mtr_Export (kWh)]],"")</f>
        <v/>
      </c>
      <c r="AA204" s="43" t="str">
        <f t="shared" si="23"/>
        <v/>
      </c>
      <c r="AB204" s="10" t="str">
        <f>IFERROR(_xlfn.XLOOKUP($A204,Input_Raw!$E:$E,Input_Raw!$CZ:$CZ),"")</f>
        <v/>
      </c>
      <c r="AC204" s="313">
        <f>IFERROR(_xlfn.XLOOKUP($D204,'Modelling New'!$D:$D,'Modelling New'!$J:$J),"")</f>
        <v>6.0015501571877659</v>
      </c>
      <c r="AD204" s="43">
        <f>IFERROR(_xlfn.XLOOKUP($D204,'Modelling New'!$D:$D,'Modelling New'!$T:$T)*1000,"")</f>
        <v>225766.12903225809</v>
      </c>
      <c r="AE204" s="312"/>
      <c r="AF204" s="312">
        <f>IFERROR(_xlfn.XLOOKUP($D204,'Modelling New'!$D:$D,'Modelling New'!$W:$W),"")</f>
        <v>0.18590755025712957</v>
      </c>
      <c r="AG204" s="312">
        <f>IFERROR(_xlfn.XLOOKUP($D204,'Modelling New'!$D:$D,'Modelling New'!$AE:$AE),"")</f>
        <v>0.95549849999999992</v>
      </c>
      <c r="AH204" s="312">
        <f>IFERROR(_xlfn.XLOOKUP($D204,'Modelling New'!$D:$D,'Modelling New'!$AF:$AF),"")</f>
        <v>0.995</v>
      </c>
      <c r="AI204" s="10" t="str">
        <f>IFERROR(_xlfn.XLOOKUP($A204,Input_Raw!$E:$E,Input_Raw!$DG:$DG),"")</f>
        <v/>
      </c>
      <c r="AJ204" s="10"/>
      <c r="AK204" s="10"/>
      <c r="AL204" s="10"/>
      <c r="AM204" s="10"/>
      <c r="AN204" s="314" t="str">
        <f>IFERROR(_xlfn.XLOOKUP($A204,Input_Raw!$E:$E,Input_Raw!$CY:$CY),"")</f>
        <v/>
      </c>
      <c r="AO204" s="312" t="str">
        <f>IFERROR((_xlfn.XLOOKUP($A204,'WTG Reactive Power'!$A:$A,'WTG Reactive Power'!AB:AB))/X204,"")</f>
        <v/>
      </c>
      <c r="AP204" s="312">
        <f>IFERROR(_xlfn.XLOOKUP($D204,'Modelling New'!$D:$D,'Modelling New'!AK:AK),"")</f>
        <v>0.05</v>
      </c>
      <c r="AQ204" s="312">
        <f>IFERROR(_xlfn.XLOOKUP($D204,'Modelling New'!$D:$D,'Modelling New'!AL:AL),"")</f>
        <v>0.05</v>
      </c>
      <c r="AR204" s="325">
        <f>IFERROR(_xlfn.XLOOKUP($D204,'Modelling New'!$D:$D,'Modelling New'!$N:$N),"")</f>
        <v>50.59999999999998</v>
      </c>
      <c r="AS204" s="325"/>
    </row>
    <row r="205" spans="1:45">
      <c r="A205" s="32">
        <f t="shared" si="24"/>
        <v>45948</v>
      </c>
      <c r="B205" s="43">
        <f>YEAR(Table13[[#This Row],[Date]])+IF(MONTH(Table13[[#This Row],[Date]])&gt;=4,1,0)</f>
        <v>2026</v>
      </c>
      <c r="C205" s="10">
        <f>YEAR(Table13[[#This Row],[Date]])</f>
        <v>2025</v>
      </c>
      <c r="D205" s="309">
        <f>Table13[[#This Row],[Date]]-DAY(Table13[[#This Row],[Date]])+1</f>
        <v>45931</v>
      </c>
      <c r="E205" s="10">
        <f t="shared" si="20"/>
        <v>31</v>
      </c>
      <c r="F205" s="241" t="str">
        <f>IFERROR(_xlfn.XLOOKUP($A205,Input_Raw!$E:$E,Input_Raw!DC:DC),"")</f>
        <v/>
      </c>
      <c r="G205" s="242"/>
      <c r="H205" s="242"/>
      <c r="I205" s="242"/>
      <c r="J205" s="242"/>
      <c r="K205" s="243"/>
      <c r="L205" s="242"/>
      <c r="M205" s="242" t="str">
        <f>IFERROR(_xlfn.XLOOKUP($A205,Input_Raw!$E:$E,Input_Raw!$BM:$BM),"")</f>
        <v/>
      </c>
      <c r="N205" s="242" t="str">
        <f>IFERROR(_xlfn.XLOOKUP($A205,Input_Raw!$E:$E,Input_Raw!$BN:$BN),"")</f>
        <v/>
      </c>
      <c r="O205" s="311" t="str">
        <f t="shared" si="21"/>
        <v/>
      </c>
      <c r="P205" s="311" t="str">
        <f>IFERROR(1-SUMIF(WTG_BD!$F:$F,$A205,WTG_BD!$AA:$AA)/($AA205+SUMIF(WTG_BD!$F:$F,$A205,WTG_BD!$AA:$AA)),"")</f>
        <v/>
      </c>
      <c r="Q205" s="328" t="str">
        <f>IFERROR(1-SUMIF(IGA_BD!$F:$F,$A205,IGA_BD!$W:$W)/($AA205+SUMIF(IGA_BD!$F:$F,$A205,IGA_BD!$W:$W)),"")</f>
        <v/>
      </c>
      <c r="R205" s="311" t="str">
        <f>IFERROR(1-SUMIF(Grid_BD!$F:$F,$A205,Grid_BD!$Y:$Y)/($AA205+SUMIF(Grid_BD!$F:$F,$A205,Grid_BD!$Y:$Y)),"")</f>
        <v/>
      </c>
      <c r="S205" s="10"/>
      <c r="T205" s="310"/>
      <c r="U205" s="311"/>
      <c r="V205" s="10"/>
      <c r="W205" s="312" t="str">
        <f t="shared" si="22"/>
        <v/>
      </c>
      <c r="X205" s="10" t="str">
        <f>IFERROR(_xlfn.XLOOKUP($A205,Input_Raw!$E:$E,Input_Raw!BG:BG),"")</f>
        <v/>
      </c>
      <c r="Y205" s="10" t="str">
        <f>IFERROR(_xlfn.XLOOKUP($A205,Input_Raw!$E:$E,Input_Raw!DF:DF),"")</f>
        <v/>
      </c>
      <c r="Z205" s="319" t="str">
        <f>IFERROR(_xlfn.XLOOKUP(A205,Input_Raw!E:E,Input_Raw!CT:CT)/_xlfn.XLOOKUP(A205,Input_Raw!E:E,Input_Raw!CS:CS)*Table13[[#This Row],[Mtr_Export (kWh)]],"")</f>
        <v/>
      </c>
      <c r="AA205" s="43" t="str">
        <f t="shared" si="23"/>
        <v/>
      </c>
      <c r="AB205" s="10" t="str">
        <f>IFERROR(_xlfn.XLOOKUP($A205,Input_Raw!$E:$E,Input_Raw!$CZ:$CZ),"")</f>
        <v/>
      </c>
      <c r="AC205" s="313">
        <f>IFERROR(_xlfn.XLOOKUP($D205,'Modelling New'!$D:$D,'Modelling New'!$J:$J),"")</f>
        <v>6.0015501571877659</v>
      </c>
      <c r="AD205" s="43">
        <f>IFERROR(_xlfn.XLOOKUP($D205,'Modelling New'!$D:$D,'Modelling New'!$T:$T)*1000,"")</f>
        <v>225766.12903225809</v>
      </c>
      <c r="AE205" s="312"/>
      <c r="AF205" s="312">
        <f>IFERROR(_xlfn.XLOOKUP($D205,'Modelling New'!$D:$D,'Modelling New'!$W:$W),"")</f>
        <v>0.18590755025712957</v>
      </c>
      <c r="AG205" s="312">
        <f>IFERROR(_xlfn.XLOOKUP($D205,'Modelling New'!$D:$D,'Modelling New'!$AE:$AE),"")</f>
        <v>0.95549849999999992</v>
      </c>
      <c r="AH205" s="312">
        <f>IFERROR(_xlfn.XLOOKUP($D205,'Modelling New'!$D:$D,'Modelling New'!$AF:$AF),"")</f>
        <v>0.995</v>
      </c>
      <c r="AI205" s="10" t="str">
        <f>IFERROR(_xlfn.XLOOKUP($A205,Input_Raw!$E:$E,Input_Raw!$DG:$DG),"")</f>
        <v/>
      </c>
      <c r="AJ205" s="10"/>
      <c r="AK205" s="10"/>
      <c r="AL205" s="10"/>
      <c r="AM205" s="10"/>
      <c r="AN205" s="314" t="str">
        <f>IFERROR(_xlfn.XLOOKUP($A205,Input_Raw!$E:$E,Input_Raw!$CY:$CY),"")</f>
        <v/>
      </c>
      <c r="AO205" s="312" t="str">
        <f>IFERROR((_xlfn.XLOOKUP($A205,'WTG Reactive Power'!$A:$A,'WTG Reactive Power'!AB:AB))/X205,"")</f>
        <v/>
      </c>
      <c r="AP205" s="312">
        <f>IFERROR(_xlfn.XLOOKUP($D205,'Modelling New'!$D:$D,'Modelling New'!AK:AK),"")</f>
        <v>0.05</v>
      </c>
      <c r="AQ205" s="312">
        <f>IFERROR(_xlfn.XLOOKUP($D205,'Modelling New'!$D:$D,'Modelling New'!AL:AL),"")</f>
        <v>0.05</v>
      </c>
      <c r="AR205" s="325">
        <f>IFERROR(_xlfn.XLOOKUP($D205,'Modelling New'!$D:$D,'Modelling New'!$N:$N),"")</f>
        <v>50.59999999999998</v>
      </c>
      <c r="AS205" s="325"/>
    </row>
    <row r="206" spans="1:45">
      <c r="A206" s="32">
        <f t="shared" si="24"/>
        <v>45949</v>
      </c>
      <c r="B206" s="43">
        <f>YEAR(Table13[[#This Row],[Date]])+IF(MONTH(Table13[[#This Row],[Date]])&gt;=4,1,0)</f>
        <v>2026</v>
      </c>
      <c r="C206" s="10">
        <f>YEAR(Table13[[#This Row],[Date]])</f>
        <v>2025</v>
      </c>
      <c r="D206" s="309">
        <f>Table13[[#This Row],[Date]]-DAY(Table13[[#This Row],[Date]])+1</f>
        <v>45931</v>
      </c>
      <c r="E206" s="10">
        <f t="shared" si="20"/>
        <v>31</v>
      </c>
      <c r="F206" s="241" t="str">
        <f>IFERROR(_xlfn.XLOOKUP($A206,Input_Raw!$E:$E,Input_Raw!DC:DC),"")</f>
        <v/>
      </c>
      <c r="G206" s="313"/>
      <c r="H206" s="313"/>
      <c r="I206" s="313"/>
      <c r="J206" s="313"/>
      <c r="K206" s="243"/>
      <c r="L206" s="242"/>
      <c r="M206" s="242" t="str">
        <f>IFERROR(_xlfn.XLOOKUP($A206,Input_Raw!$E:$E,Input_Raw!$BM:$BM),"")</f>
        <v/>
      </c>
      <c r="N206" s="242" t="str">
        <f>IFERROR(_xlfn.XLOOKUP($A206,Input_Raw!$E:$E,Input_Raw!$BN:$BN),"")</f>
        <v/>
      </c>
      <c r="O206" s="311" t="str">
        <f t="shared" si="21"/>
        <v/>
      </c>
      <c r="P206" s="311" t="str">
        <f>IFERROR(1-SUMIF(WTG_BD!$F:$F,$A206,WTG_BD!$AA:$AA)/($AA206+SUMIF(WTG_BD!$F:$F,$A206,WTG_BD!$AA:$AA)),"")</f>
        <v/>
      </c>
      <c r="Q206" s="328" t="str">
        <f>IFERROR(1-SUMIF(IGA_BD!$F:$F,$A206,IGA_BD!$W:$W)/($AA206+SUMIF(IGA_BD!$F:$F,$A206,IGA_BD!$W:$W)),"")</f>
        <v/>
      </c>
      <c r="R206" s="47" t="str">
        <f>IFERROR(1-SUMIF(Grid_BD!$F:$F,$A206,Grid_BD!$Y:$Y)/($AA206+SUMIF(Grid_BD!$F:$F,$A206,Grid_BD!$Y:$Y)),"")</f>
        <v/>
      </c>
      <c r="S206" s="10"/>
      <c r="T206" s="310"/>
      <c r="U206" s="311"/>
      <c r="V206" s="10"/>
      <c r="W206" s="312" t="str">
        <f t="shared" si="22"/>
        <v/>
      </c>
      <c r="X206" s="10" t="str">
        <f>IFERROR(_xlfn.XLOOKUP($A206,Input_Raw!$E:$E,Input_Raw!BG:BG),"")</f>
        <v/>
      </c>
      <c r="Y206" s="10" t="str">
        <f>IFERROR(_xlfn.XLOOKUP($A206,Input_Raw!$E:$E,Input_Raw!DF:DF),"")</f>
        <v/>
      </c>
      <c r="Z206" s="319" t="str">
        <f>IFERROR(_xlfn.XLOOKUP(A206,Input_Raw!E:E,Input_Raw!CT:CT)/_xlfn.XLOOKUP(A206,Input_Raw!E:E,Input_Raw!CS:CS)*Table13[[#This Row],[Mtr_Export (kWh)]],"")</f>
        <v/>
      </c>
      <c r="AA206" s="43" t="str">
        <f t="shared" si="23"/>
        <v/>
      </c>
      <c r="AB206" s="10" t="str">
        <f>IFERROR(_xlfn.XLOOKUP($A206,Input_Raw!$E:$E,Input_Raw!$CZ:$CZ),"")</f>
        <v/>
      </c>
      <c r="AC206" s="313">
        <f>IFERROR(_xlfn.XLOOKUP($D206,'Modelling New'!$D:$D,'Modelling New'!$J:$J),"")</f>
        <v>6.0015501571877659</v>
      </c>
      <c r="AD206" s="43">
        <f>IFERROR(_xlfn.XLOOKUP($D206,'Modelling New'!$D:$D,'Modelling New'!$T:$T)*1000,"")</f>
        <v>225766.12903225809</v>
      </c>
      <c r="AE206" s="312"/>
      <c r="AF206" s="312">
        <f>IFERROR(_xlfn.XLOOKUP($D206,'Modelling New'!$D:$D,'Modelling New'!$W:$W),"")</f>
        <v>0.18590755025712957</v>
      </c>
      <c r="AG206" s="312">
        <f>IFERROR(_xlfn.XLOOKUP($D206,'Modelling New'!$D:$D,'Modelling New'!$AE:$AE),"")</f>
        <v>0.95549849999999992</v>
      </c>
      <c r="AH206" s="312">
        <f>IFERROR(_xlfn.XLOOKUP($D206,'Modelling New'!$D:$D,'Modelling New'!$AF:$AF),"")</f>
        <v>0.995</v>
      </c>
      <c r="AI206" s="10" t="str">
        <f>IFERROR(_xlfn.XLOOKUP($A206,Input_Raw!$E:$E,Input_Raw!$DG:$DG),"")</f>
        <v/>
      </c>
      <c r="AJ206" s="10"/>
      <c r="AK206" s="10"/>
      <c r="AL206" s="10"/>
      <c r="AM206" s="10"/>
      <c r="AN206" s="314" t="str">
        <f>IFERROR(_xlfn.XLOOKUP($A206,Input_Raw!$E:$E,Input_Raw!$CY:$CY),"")</f>
        <v/>
      </c>
      <c r="AO206" s="312" t="str">
        <f>IFERROR((_xlfn.XLOOKUP($A206,'WTG Reactive Power'!$A:$A,'WTG Reactive Power'!AB:AB))/X206,"")</f>
        <v/>
      </c>
      <c r="AP206" s="312">
        <f>IFERROR(_xlfn.XLOOKUP($D206,'Modelling New'!$D:$D,'Modelling New'!AK:AK),"")</f>
        <v>0.05</v>
      </c>
      <c r="AQ206" s="312">
        <f>IFERROR(_xlfn.XLOOKUP($D206,'Modelling New'!$D:$D,'Modelling New'!AL:AL),"")</f>
        <v>0.05</v>
      </c>
      <c r="AR206" s="325">
        <f>IFERROR(_xlfn.XLOOKUP($D206,'Modelling New'!$D:$D,'Modelling New'!$N:$N),"")</f>
        <v>50.59999999999998</v>
      </c>
      <c r="AS206" s="325"/>
    </row>
    <row r="207" spans="1:45">
      <c r="A207" s="32">
        <f t="shared" si="24"/>
        <v>45950</v>
      </c>
      <c r="B207" s="43">
        <f>YEAR(Table13[[#This Row],[Date]])+IF(MONTH(Table13[[#This Row],[Date]])&gt;=4,1,0)</f>
        <v>2026</v>
      </c>
      <c r="C207" s="10">
        <f>YEAR(Table13[[#This Row],[Date]])</f>
        <v>2025</v>
      </c>
      <c r="D207" s="309">
        <f>Table13[[#This Row],[Date]]-DAY(Table13[[#This Row],[Date]])+1</f>
        <v>45931</v>
      </c>
      <c r="E207" s="10">
        <f t="shared" si="20"/>
        <v>31</v>
      </c>
      <c r="F207" s="241" t="str">
        <f>IFERROR(_xlfn.XLOOKUP($A207,Input_Raw!$E:$E,Input_Raw!DC:DC),"")</f>
        <v/>
      </c>
      <c r="G207" s="242"/>
      <c r="H207" s="242"/>
      <c r="I207" s="242"/>
      <c r="J207" s="242"/>
      <c r="K207" s="243"/>
      <c r="L207" s="242"/>
      <c r="M207" s="242" t="str">
        <f>IFERROR(_xlfn.XLOOKUP($A207,Input_Raw!$E:$E,Input_Raw!$BM:$BM),"")</f>
        <v/>
      </c>
      <c r="N207" s="242" t="str">
        <f>IFERROR(_xlfn.XLOOKUP($A207,Input_Raw!$E:$E,Input_Raw!$BN:$BN),"")</f>
        <v/>
      </c>
      <c r="O207" s="311" t="str">
        <f t="shared" si="21"/>
        <v/>
      </c>
      <c r="P207" s="311" t="str">
        <f>IFERROR(1-SUMIF(WTG_BD!$F:$F,$A207,WTG_BD!$AA:$AA)/($AA207+SUMIF(WTG_BD!$F:$F,$A207,WTG_BD!$AA:$AA)),"")</f>
        <v/>
      </c>
      <c r="Q207" s="328" t="str">
        <f>IFERROR(1-SUMIF(IGA_BD!$F:$F,$A207,IGA_BD!$W:$W)/($AA207+SUMIF(IGA_BD!$F:$F,$A207,IGA_BD!$W:$W)),"")</f>
        <v/>
      </c>
      <c r="R207" s="311" t="str">
        <f>IFERROR(1-SUMIF(Grid_BD!$F:$F,$A207,Grid_BD!$Y:$Y)/($AA207+SUMIF(Grid_BD!$F:$F,$A207,Grid_BD!$Y:$Y)),"")</f>
        <v/>
      </c>
      <c r="S207" s="10"/>
      <c r="T207" s="310"/>
      <c r="U207" s="311"/>
      <c r="V207" s="10"/>
      <c r="W207" s="312" t="str">
        <f t="shared" si="22"/>
        <v/>
      </c>
      <c r="X207" s="10" t="str">
        <f>IFERROR(_xlfn.XLOOKUP($A207,Input_Raw!$E:$E,Input_Raw!BG:BG),"")</f>
        <v/>
      </c>
      <c r="Y207" s="10" t="str">
        <f>IFERROR(_xlfn.XLOOKUP($A207,Input_Raw!$E:$E,Input_Raw!DF:DF),"")</f>
        <v/>
      </c>
      <c r="Z207" s="319" t="str">
        <f>IFERROR(_xlfn.XLOOKUP(A207,Input_Raw!E:E,Input_Raw!CT:CT)/_xlfn.XLOOKUP(A207,Input_Raw!E:E,Input_Raw!CS:CS)*Table13[[#This Row],[Mtr_Export (kWh)]],"")</f>
        <v/>
      </c>
      <c r="AA207" s="43" t="str">
        <f t="shared" si="23"/>
        <v/>
      </c>
      <c r="AB207" s="10" t="str">
        <f>IFERROR(_xlfn.XLOOKUP($A207,Input_Raw!$E:$E,Input_Raw!$CZ:$CZ),"")</f>
        <v/>
      </c>
      <c r="AC207" s="313">
        <f>IFERROR(_xlfn.XLOOKUP($D207,'Modelling New'!$D:$D,'Modelling New'!$J:$J),"")</f>
        <v>6.0015501571877659</v>
      </c>
      <c r="AD207" s="43">
        <f>IFERROR(_xlfn.XLOOKUP($D207,'Modelling New'!$D:$D,'Modelling New'!$T:$T)*1000,"")</f>
        <v>225766.12903225809</v>
      </c>
      <c r="AE207" s="312"/>
      <c r="AF207" s="312">
        <f>IFERROR(_xlfn.XLOOKUP($D207,'Modelling New'!$D:$D,'Modelling New'!$W:$W),"")</f>
        <v>0.18590755025712957</v>
      </c>
      <c r="AG207" s="312">
        <f>IFERROR(_xlfn.XLOOKUP($D207,'Modelling New'!$D:$D,'Modelling New'!$AE:$AE),"")</f>
        <v>0.95549849999999992</v>
      </c>
      <c r="AH207" s="312">
        <f>IFERROR(_xlfn.XLOOKUP($D207,'Modelling New'!$D:$D,'Modelling New'!$AF:$AF),"")</f>
        <v>0.995</v>
      </c>
      <c r="AI207" s="10" t="str">
        <f>IFERROR(_xlfn.XLOOKUP($A207,Input_Raw!$E:$E,Input_Raw!$DG:$DG),"")</f>
        <v/>
      </c>
      <c r="AJ207" s="10"/>
      <c r="AK207" s="10"/>
      <c r="AL207" s="10"/>
      <c r="AM207" s="10"/>
      <c r="AN207" s="314" t="str">
        <f>IFERROR(_xlfn.XLOOKUP($A207,Input_Raw!$E:$E,Input_Raw!$CY:$CY),"")</f>
        <v/>
      </c>
      <c r="AO207" s="312" t="str">
        <f>IFERROR((_xlfn.XLOOKUP($A207,'WTG Reactive Power'!$A:$A,'WTG Reactive Power'!AB:AB))/X207,"")</f>
        <v/>
      </c>
      <c r="AP207" s="312">
        <f>IFERROR(_xlfn.XLOOKUP($D207,'Modelling New'!$D:$D,'Modelling New'!AK:AK),"")</f>
        <v>0.05</v>
      </c>
      <c r="AQ207" s="312">
        <f>IFERROR(_xlfn.XLOOKUP($D207,'Modelling New'!$D:$D,'Modelling New'!AL:AL),"")</f>
        <v>0.05</v>
      </c>
      <c r="AR207" s="325">
        <f>IFERROR(_xlfn.XLOOKUP($D207,'Modelling New'!$D:$D,'Modelling New'!$N:$N),"")</f>
        <v>50.59999999999998</v>
      </c>
      <c r="AS207" s="325"/>
    </row>
    <row r="208" spans="1:45">
      <c r="A208" s="32">
        <f t="shared" si="24"/>
        <v>45951</v>
      </c>
      <c r="B208" s="43">
        <f>YEAR(Table13[[#This Row],[Date]])+IF(MONTH(Table13[[#This Row],[Date]])&gt;=4,1,0)</f>
        <v>2026</v>
      </c>
      <c r="C208" s="10">
        <f>YEAR(Table13[[#This Row],[Date]])</f>
        <v>2025</v>
      </c>
      <c r="D208" s="309">
        <f>Table13[[#This Row],[Date]]-DAY(Table13[[#This Row],[Date]])+1</f>
        <v>45931</v>
      </c>
      <c r="E208" s="10">
        <f t="shared" si="20"/>
        <v>31</v>
      </c>
      <c r="F208" s="241" t="str">
        <f>IFERROR(_xlfn.XLOOKUP($A208,Input_Raw!$E:$E,Input_Raw!DC:DC),"")</f>
        <v/>
      </c>
      <c r="G208" s="313"/>
      <c r="H208" s="313"/>
      <c r="I208" s="313"/>
      <c r="J208" s="313"/>
      <c r="K208" s="243"/>
      <c r="L208" s="242"/>
      <c r="M208" s="242" t="str">
        <f>IFERROR(_xlfn.XLOOKUP($A208,Input_Raw!$E:$E,Input_Raw!$BM:$BM),"")</f>
        <v/>
      </c>
      <c r="N208" s="242" t="str">
        <f>IFERROR(_xlfn.XLOOKUP($A208,Input_Raw!$E:$E,Input_Raw!$BN:$BN),"")</f>
        <v/>
      </c>
      <c r="O208" s="311" t="str">
        <f t="shared" si="21"/>
        <v/>
      </c>
      <c r="P208" s="311" t="str">
        <f>IFERROR(1-SUMIF(WTG_BD!$F:$F,$A208,WTG_BD!$AA:$AA)/($AA208+SUMIF(WTG_BD!$F:$F,$A208,WTG_BD!$AA:$AA)),"")</f>
        <v/>
      </c>
      <c r="Q208" s="328" t="str">
        <f>IFERROR(1-SUMIF(IGA_BD!$F:$F,$A208,IGA_BD!$W:$W)/($AA208+SUMIF(IGA_BD!$F:$F,$A208,IGA_BD!$W:$W)),"")</f>
        <v/>
      </c>
      <c r="R208" s="47" t="str">
        <f>IFERROR(1-SUMIF(Grid_BD!$F:$F,$A208,Grid_BD!$Y:$Y)/($AA208+SUMIF(Grid_BD!$F:$F,$A208,Grid_BD!$Y:$Y)),"")</f>
        <v/>
      </c>
      <c r="S208" s="10"/>
      <c r="T208" s="310"/>
      <c r="U208" s="311"/>
      <c r="V208" s="10"/>
      <c r="W208" s="312" t="str">
        <f t="shared" si="22"/>
        <v/>
      </c>
      <c r="X208" s="10" t="str">
        <f>IFERROR(_xlfn.XLOOKUP($A208,Input_Raw!$E:$E,Input_Raw!BG:BG),"")</f>
        <v/>
      </c>
      <c r="Y208" s="10" t="str">
        <f>IFERROR(_xlfn.XLOOKUP($A208,Input_Raw!$E:$E,Input_Raw!DF:DF),"")</f>
        <v/>
      </c>
      <c r="Z208" s="319" t="str">
        <f>IFERROR(_xlfn.XLOOKUP(A208,Input_Raw!E:E,Input_Raw!CT:CT)/_xlfn.XLOOKUP(A208,Input_Raw!E:E,Input_Raw!CS:CS)*Table13[[#This Row],[Mtr_Export (kWh)]],"")</f>
        <v/>
      </c>
      <c r="AA208" s="43" t="str">
        <f t="shared" si="23"/>
        <v/>
      </c>
      <c r="AB208" s="10" t="str">
        <f>IFERROR(_xlfn.XLOOKUP($A208,Input_Raw!$E:$E,Input_Raw!$CZ:$CZ),"")</f>
        <v/>
      </c>
      <c r="AC208" s="313">
        <f>IFERROR(_xlfn.XLOOKUP($D208,'Modelling New'!$D:$D,'Modelling New'!$J:$J),"")</f>
        <v>6.0015501571877659</v>
      </c>
      <c r="AD208" s="43">
        <f>IFERROR(_xlfn.XLOOKUP($D208,'Modelling New'!$D:$D,'Modelling New'!$T:$T)*1000,"")</f>
        <v>225766.12903225809</v>
      </c>
      <c r="AE208" s="312"/>
      <c r="AF208" s="312">
        <f>IFERROR(_xlfn.XLOOKUP($D208,'Modelling New'!$D:$D,'Modelling New'!$W:$W),"")</f>
        <v>0.18590755025712957</v>
      </c>
      <c r="AG208" s="312">
        <f>IFERROR(_xlfn.XLOOKUP($D208,'Modelling New'!$D:$D,'Modelling New'!$AE:$AE),"")</f>
        <v>0.95549849999999992</v>
      </c>
      <c r="AH208" s="312">
        <f>IFERROR(_xlfn.XLOOKUP($D208,'Modelling New'!$D:$D,'Modelling New'!$AF:$AF),"")</f>
        <v>0.995</v>
      </c>
      <c r="AI208" s="10" t="str">
        <f>IFERROR(_xlfn.XLOOKUP($A208,Input_Raw!$E:$E,Input_Raw!$DG:$DG),"")</f>
        <v/>
      </c>
      <c r="AJ208" s="10"/>
      <c r="AK208" s="10"/>
      <c r="AL208" s="10"/>
      <c r="AM208" s="10"/>
      <c r="AN208" s="314" t="str">
        <f>IFERROR(_xlfn.XLOOKUP($A208,Input_Raw!$E:$E,Input_Raw!$CY:$CY),"")</f>
        <v/>
      </c>
      <c r="AO208" s="312" t="str">
        <f>IFERROR((_xlfn.XLOOKUP($A208,'WTG Reactive Power'!$A:$A,'WTG Reactive Power'!AB:AB))/X208,"")</f>
        <v/>
      </c>
      <c r="AP208" s="312">
        <f>IFERROR(_xlfn.XLOOKUP($D208,'Modelling New'!$D:$D,'Modelling New'!AK:AK),"")</f>
        <v>0.05</v>
      </c>
      <c r="AQ208" s="312">
        <f>IFERROR(_xlfn.XLOOKUP($D208,'Modelling New'!$D:$D,'Modelling New'!AL:AL),"")</f>
        <v>0.05</v>
      </c>
      <c r="AR208" s="325">
        <f>IFERROR(_xlfn.XLOOKUP($D208,'Modelling New'!$D:$D,'Modelling New'!$N:$N),"")</f>
        <v>50.59999999999998</v>
      </c>
      <c r="AS208" s="325"/>
    </row>
    <row r="209" spans="1:45">
      <c r="A209" s="32">
        <f t="shared" si="24"/>
        <v>45952</v>
      </c>
      <c r="B209" s="43">
        <f>YEAR(Table13[[#This Row],[Date]])+IF(MONTH(Table13[[#This Row],[Date]])&gt;=4,1,0)</f>
        <v>2026</v>
      </c>
      <c r="C209" s="10">
        <f>YEAR(Table13[[#This Row],[Date]])</f>
        <v>2025</v>
      </c>
      <c r="D209" s="309">
        <f>Table13[[#This Row],[Date]]-DAY(Table13[[#This Row],[Date]])+1</f>
        <v>45931</v>
      </c>
      <c r="E209" s="10">
        <f t="shared" si="20"/>
        <v>31</v>
      </c>
      <c r="F209" s="241" t="str">
        <f>IFERROR(_xlfn.XLOOKUP($A209,Input_Raw!$E:$E,Input_Raw!DC:DC),"")</f>
        <v/>
      </c>
      <c r="G209" s="242"/>
      <c r="H209" s="242"/>
      <c r="I209" s="242"/>
      <c r="J209" s="242"/>
      <c r="K209" s="243"/>
      <c r="L209" s="242"/>
      <c r="M209" s="242" t="str">
        <f>IFERROR(_xlfn.XLOOKUP($A209,Input_Raw!$E:$E,Input_Raw!$BM:$BM),"")</f>
        <v/>
      </c>
      <c r="N209" s="242" t="str">
        <f>IFERROR(_xlfn.XLOOKUP($A209,Input_Raw!$E:$E,Input_Raw!$BN:$BN),"")</f>
        <v/>
      </c>
      <c r="O209" s="311" t="str">
        <f t="shared" si="21"/>
        <v/>
      </c>
      <c r="P209" s="311" t="str">
        <f>IFERROR(1-SUMIF(WTG_BD!$F:$F,$A209,WTG_BD!$AA:$AA)/($AA209+SUMIF(WTG_BD!$F:$F,$A209,WTG_BD!$AA:$AA)),"")</f>
        <v/>
      </c>
      <c r="Q209" s="328" t="str">
        <f>IFERROR(1-SUMIF(IGA_BD!$F:$F,$A209,IGA_BD!$W:$W)/($AA209+SUMIF(IGA_BD!$F:$F,$A209,IGA_BD!$W:$W)),"")</f>
        <v/>
      </c>
      <c r="R209" s="311" t="str">
        <f>IFERROR(1-SUMIF(Grid_BD!$F:$F,$A209,Grid_BD!$Y:$Y)/($AA209+SUMIF(Grid_BD!$F:$F,$A209,Grid_BD!$Y:$Y)),"")</f>
        <v/>
      </c>
      <c r="S209" s="10"/>
      <c r="T209" s="310"/>
      <c r="U209" s="311"/>
      <c r="V209" s="10"/>
      <c r="W209" s="312" t="str">
        <f t="shared" si="22"/>
        <v/>
      </c>
      <c r="X209" s="10" t="str">
        <f>IFERROR(_xlfn.XLOOKUP($A209,Input_Raw!$E:$E,Input_Raw!BG:BG),"")</f>
        <v/>
      </c>
      <c r="Y209" s="10" t="str">
        <f>IFERROR(_xlfn.XLOOKUP($A209,Input_Raw!$E:$E,Input_Raw!DF:DF),"")</f>
        <v/>
      </c>
      <c r="Z209" s="319" t="str">
        <f>IFERROR(_xlfn.XLOOKUP(A209,Input_Raw!E:E,Input_Raw!CT:CT)/_xlfn.XLOOKUP(A209,Input_Raw!E:E,Input_Raw!CS:CS)*Table13[[#This Row],[Mtr_Export (kWh)]],"")</f>
        <v/>
      </c>
      <c r="AA209" s="43" t="str">
        <f t="shared" si="23"/>
        <v/>
      </c>
      <c r="AB209" s="10" t="str">
        <f>IFERROR(_xlfn.XLOOKUP($A209,Input_Raw!$E:$E,Input_Raw!$CZ:$CZ),"")</f>
        <v/>
      </c>
      <c r="AC209" s="313">
        <f>IFERROR(_xlfn.XLOOKUP($D209,'Modelling New'!$D:$D,'Modelling New'!$J:$J),"")</f>
        <v>6.0015501571877659</v>
      </c>
      <c r="AD209" s="43">
        <f>IFERROR(_xlfn.XLOOKUP($D209,'Modelling New'!$D:$D,'Modelling New'!$T:$T)*1000,"")</f>
        <v>225766.12903225809</v>
      </c>
      <c r="AE209" s="312"/>
      <c r="AF209" s="312">
        <f>IFERROR(_xlfn.XLOOKUP($D209,'Modelling New'!$D:$D,'Modelling New'!$W:$W),"")</f>
        <v>0.18590755025712957</v>
      </c>
      <c r="AG209" s="312">
        <f>IFERROR(_xlfn.XLOOKUP($D209,'Modelling New'!$D:$D,'Modelling New'!$AE:$AE),"")</f>
        <v>0.95549849999999992</v>
      </c>
      <c r="AH209" s="312">
        <f>IFERROR(_xlfn.XLOOKUP($D209,'Modelling New'!$D:$D,'Modelling New'!$AF:$AF),"")</f>
        <v>0.995</v>
      </c>
      <c r="AI209" s="10" t="str">
        <f>IFERROR(_xlfn.XLOOKUP($A209,Input_Raw!$E:$E,Input_Raw!$DG:$DG),"")</f>
        <v/>
      </c>
      <c r="AJ209" s="10"/>
      <c r="AK209" s="10"/>
      <c r="AL209" s="10"/>
      <c r="AM209" s="10"/>
      <c r="AN209" s="314" t="str">
        <f>IFERROR(_xlfn.XLOOKUP($A209,Input_Raw!$E:$E,Input_Raw!$CY:$CY),"")</f>
        <v/>
      </c>
      <c r="AO209" s="312" t="str">
        <f>IFERROR((_xlfn.XLOOKUP($A209,'WTG Reactive Power'!$A:$A,'WTG Reactive Power'!AB:AB))/X209,"")</f>
        <v/>
      </c>
      <c r="AP209" s="312">
        <f>IFERROR(_xlfn.XLOOKUP($D209,'Modelling New'!$D:$D,'Modelling New'!AK:AK),"")</f>
        <v>0.05</v>
      </c>
      <c r="AQ209" s="312">
        <f>IFERROR(_xlfn.XLOOKUP($D209,'Modelling New'!$D:$D,'Modelling New'!AL:AL),"")</f>
        <v>0.05</v>
      </c>
      <c r="AR209" s="325">
        <f>IFERROR(_xlfn.XLOOKUP($D209,'Modelling New'!$D:$D,'Modelling New'!$N:$N),"")</f>
        <v>50.59999999999998</v>
      </c>
      <c r="AS209" s="325"/>
    </row>
    <row r="210" spans="1:45">
      <c r="A210" s="32">
        <f t="shared" si="24"/>
        <v>45953</v>
      </c>
      <c r="B210" s="43">
        <f>YEAR(Table13[[#This Row],[Date]])+IF(MONTH(Table13[[#This Row],[Date]])&gt;=4,1,0)</f>
        <v>2026</v>
      </c>
      <c r="C210" s="10">
        <f>YEAR(Table13[[#This Row],[Date]])</f>
        <v>2025</v>
      </c>
      <c r="D210" s="309">
        <f>Table13[[#This Row],[Date]]-DAY(Table13[[#This Row],[Date]])+1</f>
        <v>45931</v>
      </c>
      <c r="E210" s="10">
        <f t="shared" si="20"/>
        <v>31</v>
      </c>
      <c r="F210" s="241" t="str">
        <f>IFERROR(_xlfn.XLOOKUP($A210,Input_Raw!$E:$E,Input_Raw!DC:DC),"")</f>
        <v/>
      </c>
      <c r="G210" s="313"/>
      <c r="H210" s="313"/>
      <c r="I210" s="313"/>
      <c r="J210" s="313"/>
      <c r="K210" s="243"/>
      <c r="L210" s="242"/>
      <c r="M210" s="242" t="str">
        <f>IFERROR(_xlfn.XLOOKUP($A210,Input_Raw!$E:$E,Input_Raw!$BM:$BM),"")</f>
        <v/>
      </c>
      <c r="N210" s="242" t="str">
        <f>IFERROR(_xlfn.XLOOKUP($A210,Input_Raw!$E:$E,Input_Raw!$BN:$BN),"")</f>
        <v/>
      </c>
      <c r="O210" s="311" t="str">
        <f t="shared" si="21"/>
        <v/>
      </c>
      <c r="P210" s="311" t="str">
        <f>IFERROR(1-SUMIF(WTG_BD!$F:$F,$A210,WTG_BD!$AA:$AA)/($AA210+SUMIF(WTG_BD!$F:$F,$A210,WTG_BD!$AA:$AA)),"")</f>
        <v/>
      </c>
      <c r="Q210" s="328" t="str">
        <f>IFERROR(1-SUMIF(IGA_BD!$F:$F,$A210,IGA_BD!$W:$W)/($AA210+SUMIF(IGA_BD!$F:$F,$A210,IGA_BD!$W:$W)),"")</f>
        <v/>
      </c>
      <c r="R210" s="47" t="str">
        <f>IFERROR(1-SUMIF(Grid_BD!$F:$F,$A210,Grid_BD!$Y:$Y)/($AA210+SUMIF(Grid_BD!$F:$F,$A210,Grid_BD!$Y:$Y)),"")</f>
        <v/>
      </c>
      <c r="S210" s="10"/>
      <c r="T210" s="310"/>
      <c r="U210" s="311"/>
      <c r="V210" s="10"/>
      <c r="W210" s="312" t="str">
        <f t="shared" si="22"/>
        <v/>
      </c>
      <c r="X210" s="10" t="str">
        <f>IFERROR(_xlfn.XLOOKUP($A210,Input_Raw!$E:$E,Input_Raw!BG:BG),"")</f>
        <v/>
      </c>
      <c r="Y210" s="10" t="str">
        <f>IFERROR(_xlfn.XLOOKUP($A210,Input_Raw!$E:$E,Input_Raw!DF:DF),"")</f>
        <v/>
      </c>
      <c r="Z210" s="319" t="str">
        <f>IFERROR(_xlfn.XLOOKUP(A210,Input_Raw!E:E,Input_Raw!CT:CT)/_xlfn.XLOOKUP(A210,Input_Raw!E:E,Input_Raw!CS:CS)*Table13[[#This Row],[Mtr_Export (kWh)]],"")</f>
        <v/>
      </c>
      <c r="AA210" s="43" t="str">
        <f t="shared" si="23"/>
        <v/>
      </c>
      <c r="AB210" s="10" t="str">
        <f>IFERROR(_xlfn.XLOOKUP($A210,Input_Raw!$E:$E,Input_Raw!$CZ:$CZ),"")</f>
        <v/>
      </c>
      <c r="AC210" s="313">
        <f>IFERROR(_xlfn.XLOOKUP($D210,'Modelling New'!$D:$D,'Modelling New'!$J:$J),"")</f>
        <v>6.0015501571877659</v>
      </c>
      <c r="AD210" s="43">
        <f>IFERROR(_xlfn.XLOOKUP($D210,'Modelling New'!$D:$D,'Modelling New'!$T:$T)*1000,"")</f>
        <v>225766.12903225809</v>
      </c>
      <c r="AE210" s="312"/>
      <c r="AF210" s="312">
        <f>IFERROR(_xlfn.XLOOKUP($D210,'Modelling New'!$D:$D,'Modelling New'!$W:$W),"")</f>
        <v>0.18590755025712957</v>
      </c>
      <c r="AG210" s="312">
        <f>IFERROR(_xlfn.XLOOKUP($D210,'Modelling New'!$D:$D,'Modelling New'!$AE:$AE),"")</f>
        <v>0.95549849999999992</v>
      </c>
      <c r="AH210" s="312">
        <f>IFERROR(_xlfn.XLOOKUP($D210,'Modelling New'!$D:$D,'Modelling New'!$AF:$AF),"")</f>
        <v>0.995</v>
      </c>
      <c r="AI210" s="10" t="str">
        <f>IFERROR(_xlfn.XLOOKUP($A210,Input_Raw!$E:$E,Input_Raw!$DG:$DG),"")</f>
        <v/>
      </c>
      <c r="AJ210" s="10"/>
      <c r="AK210" s="10"/>
      <c r="AL210" s="10"/>
      <c r="AM210" s="10"/>
      <c r="AN210" s="314" t="str">
        <f>IFERROR(_xlfn.XLOOKUP($A210,Input_Raw!$E:$E,Input_Raw!$CY:$CY),"")</f>
        <v/>
      </c>
      <c r="AO210" s="312" t="str">
        <f>IFERROR((_xlfn.XLOOKUP($A210,'WTG Reactive Power'!$A:$A,'WTG Reactive Power'!AB:AB))/X210,"")</f>
        <v/>
      </c>
      <c r="AP210" s="312">
        <f>IFERROR(_xlfn.XLOOKUP($D210,'Modelling New'!$D:$D,'Modelling New'!AK:AK),"")</f>
        <v>0.05</v>
      </c>
      <c r="AQ210" s="312">
        <f>IFERROR(_xlfn.XLOOKUP($D210,'Modelling New'!$D:$D,'Modelling New'!AL:AL),"")</f>
        <v>0.05</v>
      </c>
      <c r="AR210" s="325">
        <f>IFERROR(_xlfn.XLOOKUP($D210,'Modelling New'!$D:$D,'Modelling New'!$N:$N),"")</f>
        <v>50.59999999999998</v>
      </c>
      <c r="AS210" s="325"/>
    </row>
    <row r="211" spans="1:45">
      <c r="A211" s="32">
        <f t="shared" si="24"/>
        <v>45954</v>
      </c>
      <c r="B211" s="43">
        <f>YEAR(Table13[[#This Row],[Date]])+IF(MONTH(Table13[[#This Row],[Date]])&gt;=4,1,0)</f>
        <v>2026</v>
      </c>
      <c r="C211" s="10">
        <f>YEAR(Table13[[#This Row],[Date]])</f>
        <v>2025</v>
      </c>
      <c r="D211" s="309">
        <f>Table13[[#This Row],[Date]]-DAY(Table13[[#This Row],[Date]])+1</f>
        <v>45931</v>
      </c>
      <c r="E211" s="10">
        <f t="shared" si="20"/>
        <v>31</v>
      </c>
      <c r="F211" s="241" t="str">
        <f>IFERROR(_xlfn.XLOOKUP($A211,Input_Raw!$E:$E,Input_Raw!DC:DC),"")</f>
        <v/>
      </c>
      <c r="G211" s="242"/>
      <c r="H211" s="242"/>
      <c r="I211" s="242"/>
      <c r="J211" s="242"/>
      <c r="K211" s="243"/>
      <c r="L211" s="242"/>
      <c r="M211" s="242" t="str">
        <f>IFERROR(_xlfn.XLOOKUP($A211,Input_Raw!$E:$E,Input_Raw!$BM:$BM),"")</f>
        <v/>
      </c>
      <c r="N211" s="242" t="str">
        <f>IFERROR(_xlfn.XLOOKUP($A211,Input_Raw!$E:$E,Input_Raw!$BN:$BN),"")</f>
        <v/>
      </c>
      <c r="O211" s="311" t="str">
        <f t="shared" si="21"/>
        <v/>
      </c>
      <c r="P211" s="311" t="str">
        <f>IFERROR(1-SUMIF(WTG_BD!$F:$F,$A211,WTG_BD!$AA:$AA)/($AA211+SUMIF(WTG_BD!$F:$F,$A211,WTG_BD!$AA:$AA)),"")</f>
        <v/>
      </c>
      <c r="Q211" s="328" t="str">
        <f>IFERROR(1-SUMIF(IGA_BD!$F:$F,$A211,IGA_BD!$W:$W)/($AA211+SUMIF(IGA_BD!$F:$F,$A211,IGA_BD!$W:$W)),"")</f>
        <v/>
      </c>
      <c r="R211" s="311" t="str">
        <f>IFERROR(1-SUMIF(Grid_BD!$F:$F,$A211,Grid_BD!$Y:$Y)/($AA211+SUMIF(Grid_BD!$F:$F,$A211,Grid_BD!$Y:$Y)),"")</f>
        <v/>
      </c>
      <c r="S211" s="10"/>
      <c r="T211" s="310"/>
      <c r="U211" s="311"/>
      <c r="V211" s="10"/>
      <c r="W211" s="312" t="str">
        <f t="shared" si="22"/>
        <v/>
      </c>
      <c r="X211" s="10" t="str">
        <f>IFERROR(_xlfn.XLOOKUP($A211,Input_Raw!$E:$E,Input_Raw!BG:BG),"")</f>
        <v/>
      </c>
      <c r="Y211" s="10" t="str">
        <f>IFERROR(_xlfn.XLOOKUP($A211,Input_Raw!$E:$E,Input_Raw!DF:DF),"")</f>
        <v/>
      </c>
      <c r="Z211" s="319" t="str">
        <f>IFERROR(_xlfn.XLOOKUP(A211,Input_Raw!E:E,Input_Raw!CT:CT)/_xlfn.XLOOKUP(A211,Input_Raw!E:E,Input_Raw!CS:CS)*Table13[[#This Row],[Mtr_Export (kWh)]],"")</f>
        <v/>
      </c>
      <c r="AA211" s="43" t="str">
        <f t="shared" si="23"/>
        <v/>
      </c>
      <c r="AB211" s="10" t="str">
        <f>IFERROR(_xlfn.XLOOKUP($A211,Input_Raw!$E:$E,Input_Raw!$CZ:$CZ),"")</f>
        <v/>
      </c>
      <c r="AC211" s="313">
        <f>IFERROR(_xlfn.XLOOKUP($D211,'Modelling New'!$D:$D,'Modelling New'!$J:$J),"")</f>
        <v>6.0015501571877659</v>
      </c>
      <c r="AD211" s="43">
        <f>IFERROR(_xlfn.XLOOKUP($D211,'Modelling New'!$D:$D,'Modelling New'!$T:$T)*1000,"")</f>
        <v>225766.12903225809</v>
      </c>
      <c r="AE211" s="312"/>
      <c r="AF211" s="312">
        <f>IFERROR(_xlfn.XLOOKUP($D211,'Modelling New'!$D:$D,'Modelling New'!$W:$W),"")</f>
        <v>0.18590755025712957</v>
      </c>
      <c r="AG211" s="312">
        <f>IFERROR(_xlfn.XLOOKUP($D211,'Modelling New'!$D:$D,'Modelling New'!$AE:$AE),"")</f>
        <v>0.95549849999999992</v>
      </c>
      <c r="AH211" s="312">
        <f>IFERROR(_xlfn.XLOOKUP($D211,'Modelling New'!$D:$D,'Modelling New'!$AF:$AF),"")</f>
        <v>0.995</v>
      </c>
      <c r="AI211" s="10" t="str">
        <f>IFERROR(_xlfn.XLOOKUP($A211,Input_Raw!$E:$E,Input_Raw!$DG:$DG),"")</f>
        <v/>
      </c>
      <c r="AJ211" s="10"/>
      <c r="AK211" s="10"/>
      <c r="AL211" s="10"/>
      <c r="AM211" s="10"/>
      <c r="AN211" s="314" t="str">
        <f>IFERROR(_xlfn.XLOOKUP($A211,Input_Raw!$E:$E,Input_Raw!$CY:$CY),"")</f>
        <v/>
      </c>
      <c r="AO211" s="312" t="str">
        <f>IFERROR((_xlfn.XLOOKUP($A211,'WTG Reactive Power'!$A:$A,'WTG Reactive Power'!AB:AB))/X211,"")</f>
        <v/>
      </c>
      <c r="AP211" s="312">
        <f>IFERROR(_xlfn.XLOOKUP($D211,'Modelling New'!$D:$D,'Modelling New'!AK:AK),"")</f>
        <v>0.05</v>
      </c>
      <c r="AQ211" s="312">
        <f>IFERROR(_xlfn.XLOOKUP($D211,'Modelling New'!$D:$D,'Modelling New'!AL:AL),"")</f>
        <v>0.05</v>
      </c>
      <c r="AR211" s="325">
        <f>IFERROR(_xlfn.XLOOKUP($D211,'Modelling New'!$D:$D,'Modelling New'!$N:$N),"")</f>
        <v>50.59999999999998</v>
      </c>
      <c r="AS211" s="325"/>
    </row>
    <row r="212" spans="1:45">
      <c r="A212" s="32">
        <f t="shared" si="24"/>
        <v>45955</v>
      </c>
      <c r="B212" s="43">
        <f>YEAR(Table13[[#This Row],[Date]])+IF(MONTH(Table13[[#This Row],[Date]])&gt;=4,1,0)</f>
        <v>2026</v>
      </c>
      <c r="C212" s="10">
        <f>YEAR(Table13[[#This Row],[Date]])</f>
        <v>2025</v>
      </c>
      <c r="D212" s="309">
        <f>Table13[[#This Row],[Date]]-DAY(Table13[[#This Row],[Date]])+1</f>
        <v>45931</v>
      </c>
      <c r="E212" s="10">
        <f t="shared" si="20"/>
        <v>31</v>
      </c>
      <c r="F212" s="241" t="str">
        <f>IFERROR(_xlfn.XLOOKUP($A212,Input_Raw!$E:$E,Input_Raw!DC:DC),"")</f>
        <v/>
      </c>
      <c r="G212" s="313"/>
      <c r="H212" s="313"/>
      <c r="I212" s="313"/>
      <c r="J212" s="313"/>
      <c r="K212" s="243"/>
      <c r="L212" s="242"/>
      <c r="M212" s="242" t="str">
        <f>IFERROR(_xlfn.XLOOKUP($A212,Input_Raw!$E:$E,Input_Raw!$BM:$BM),"")</f>
        <v/>
      </c>
      <c r="N212" s="242" t="str">
        <f>IFERROR(_xlfn.XLOOKUP($A212,Input_Raw!$E:$E,Input_Raw!$BN:$BN),"")</f>
        <v/>
      </c>
      <c r="O212" s="311" t="str">
        <f t="shared" si="21"/>
        <v/>
      </c>
      <c r="P212" s="311" t="str">
        <f>IFERROR(1-SUMIF(WTG_BD!$F:$F,$A212,WTG_BD!$AA:$AA)/($AA212+SUMIF(WTG_BD!$F:$F,$A212,WTG_BD!$AA:$AA)),"")</f>
        <v/>
      </c>
      <c r="Q212" s="328" t="str">
        <f>IFERROR(1-SUMIF(IGA_BD!$F:$F,$A212,IGA_BD!$W:$W)/($AA212+SUMIF(IGA_BD!$F:$F,$A212,IGA_BD!$W:$W)),"")</f>
        <v/>
      </c>
      <c r="R212" s="47" t="str">
        <f>IFERROR(1-SUMIF(Grid_BD!$F:$F,$A212,Grid_BD!$Y:$Y)/($AA212+SUMIF(Grid_BD!$F:$F,$A212,Grid_BD!$Y:$Y)),"")</f>
        <v/>
      </c>
      <c r="S212" s="10"/>
      <c r="T212" s="310"/>
      <c r="U212" s="311"/>
      <c r="V212" s="10"/>
      <c r="W212" s="312" t="str">
        <f t="shared" si="22"/>
        <v/>
      </c>
      <c r="X212" s="10" t="str">
        <f>IFERROR(_xlfn.XLOOKUP($A212,Input_Raw!$E:$E,Input_Raw!BG:BG),"")</f>
        <v/>
      </c>
      <c r="Y212" s="10" t="str">
        <f>IFERROR(_xlfn.XLOOKUP($A212,Input_Raw!$E:$E,Input_Raw!DF:DF),"")</f>
        <v/>
      </c>
      <c r="Z212" s="319" t="str">
        <f>IFERROR(_xlfn.XLOOKUP(A212,Input_Raw!E:E,Input_Raw!CT:CT)/_xlfn.XLOOKUP(A212,Input_Raw!E:E,Input_Raw!CS:CS)*Table13[[#This Row],[Mtr_Export (kWh)]],"")</f>
        <v/>
      </c>
      <c r="AA212" s="43" t="str">
        <f t="shared" si="23"/>
        <v/>
      </c>
      <c r="AB212" s="10" t="str">
        <f>IFERROR(_xlfn.XLOOKUP($A212,Input_Raw!$E:$E,Input_Raw!$CZ:$CZ),"")</f>
        <v/>
      </c>
      <c r="AC212" s="313">
        <f>IFERROR(_xlfn.XLOOKUP($D212,'Modelling New'!$D:$D,'Modelling New'!$J:$J),"")</f>
        <v>6.0015501571877659</v>
      </c>
      <c r="AD212" s="43">
        <f>IFERROR(_xlfn.XLOOKUP($D212,'Modelling New'!$D:$D,'Modelling New'!$T:$T)*1000,"")</f>
        <v>225766.12903225809</v>
      </c>
      <c r="AE212" s="312"/>
      <c r="AF212" s="312">
        <f>IFERROR(_xlfn.XLOOKUP($D212,'Modelling New'!$D:$D,'Modelling New'!$W:$W),"")</f>
        <v>0.18590755025712957</v>
      </c>
      <c r="AG212" s="312">
        <f>IFERROR(_xlfn.XLOOKUP($D212,'Modelling New'!$D:$D,'Modelling New'!$AE:$AE),"")</f>
        <v>0.95549849999999992</v>
      </c>
      <c r="AH212" s="312">
        <f>IFERROR(_xlfn.XLOOKUP($D212,'Modelling New'!$D:$D,'Modelling New'!$AF:$AF),"")</f>
        <v>0.995</v>
      </c>
      <c r="AI212" s="10" t="str">
        <f>IFERROR(_xlfn.XLOOKUP($A212,Input_Raw!$E:$E,Input_Raw!$DG:$DG),"")</f>
        <v/>
      </c>
      <c r="AJ212" s="10"/>
      <c r="AK212" s="10"/>
      <c r="AL212" s="10"/>
      <c r="AM212" s="10"/>
      <c r="AN212" s="314" t="str">
        <f>IFERROR(_xlfn.XLOOKUP($A212,Input_Raw!$E:$E,Input_Raw!$CY:$CY),"")</f>
        <v/>
      </c>
      <c r="AO212" s="312" t="str">
        <f>IFERROR((_xlfn.XLOOKUP($A212,'WTG Reactive Power'!$A:$A,'WTG Reactive Power'!AB:AB))/X212,"")</f>
        <v/>
      </c>
      <c r="AP212" s="312">
        <f>IFERROR(_xlfn.XLOOKUP($D212,'Modelling New'!$D:$D,'Modelling New'!AK:AK),"")</f>
        <v>0.05</v>
      </c>
      <c r="AQ212" s="312">
        <f>IFERROR(_xlfn.XLOOKUP($D212,'Modelling New'!$D:$D,'Modelling New'!AL:AL),"")</f>
        <v>0.05</v>
      </c>
      <c r="AR212" s="325">
        <f>IFERROR(_xlfn.XLOOKUP($D212,'Modelling New'!$D:$D,'Modelling New'!$N:$N),"")</f>
        <v>50.59999999999998</v>
      </c>
      <c r="AS212" s="325"/>
    </row>
    <row r="213" spans="1:45">
      <c r="A213" s="32">
        <f t="shared" si="24"/>
        <v>45956</v>
      </c>
      <c r="B213" s="43">
        <f>YEAR(Table13[[#This Row],[Date]])+IF(MONTH(Table13[[#This Row],[Date]])&gt;=4,1,0)</f>
        <v>2026</v>
      </c>
      <c r="C213" s="10">
        <f>YEAR(Table13[[#This Row],[Date]])</f>
        <v>2025</v>
      </c>
      <c r="D213" s="309">
        <f>Table13[[#This Row],[Date]]-DAY(Table13[[#This Row],[Date]])+1</f>
        <v>45931</v>
      </c>
      <c r="E213" s="10">
        <f t="shared" si="20"/>
        <v>31</v>
      </c>
      <c r="F213" s="241" t="str">
        <f>IFERROR(_xlfn.XLOOKUP($A213,Input_Raw!$E:$E,Input_Raw!DC:DC),"")</f>
        <v/>
      </c>
      <c r="G213" s="242"/>
      <c r="H213" s="242"/>
      <c r="I213" s="242"/>
      <c r="J213" s="242"/>
      <c r="K213" s="243"/>
      <c r="L213" s="242"/>
      <c r="M213" s="242" t="str">
        <f>IFERROR(_xlfn.XLOOKUP($A213,Input_Raw!$E:$E,Input_Raw!$BM:$BM),"")</f>
        <v/>
      </c>
      <c r="N213" s="242" t="str">
        <f>IFERROR(_xlfn.XLOOKUP($A213,Input_Raw!$E:$E,Input_Raw!$BN:$BN),"")</f>
        <v/>
      </c>
      <c r="O213" s="311" t="str">
        <f t="shared" si="21"/>
        <v/>
      </c>
      <c r="P213" s="311" t="str">
        <f>IFERROR(1-SUMIF(WTG_BD!$F:$F,$A213,WTG_BD!$AA:$AA)/($AA213+SUMIF(WTG_BD!$F:$F,$A213,WTG_BD!$AA:$AA)),"")</f>
        <v/>
      </c>
      <c r="Q213" s="328" t="str">
        <f>IFERROR(1-SUMIF(IGA_BD!$F:$F,$A213,IGA_BD!$W:$W)/($AA213+SUMIF(IGA_BD!$F:$F,$A213,IGA_BD!$W:$W)),"")</f>
        <v/>
      </c>
      <c r="R213" s="311" t="str">
        <f>IFERROR(1-SUMIF(Grid_BD!$F:$F,$A213,Grid_BD!$Y:$Y)/($AA213+SUMIF(Grid_BD!$F:$F,$A213,Grid_BD!$Y:$Y)),"")</f>
        <v/>
      </c>
      <c r="S213" s="10"/>
      <c r="T213" s="310"/>
      <c r="U213" s="311"/>
      <c r="V213" s="10"/>
      <c r="W213" s="312" t="str">
        <f t="shared" si="22"/>
        <v/>
      </c>
      <c r="X213" s="10" t="str">
        <f>IFERROR(_xlfn.XLOOKUP($A213,Input_Raw!$E:$E,Input_Raw!BG:BG),"")</f>
        <v/>
      </c>
      <c r="Y213" s="10" t="str">
        <f>IFERROR(_xlfn.XLOOKUP($A213,Input_Raw!$E:$E,Input_Raw!DF:DF),"")</f>
        <v/>
      </c>
      <c r="Z213" s="319" t="str">
        <f>IFERROR(_xlfn.XLOOKUP(A213,Input_Raw!E:E,Input_Raw!CT:CT)/_xlfn.XLOOKUP(A213,Input_Raw!E:E,Input_Raw!CS:CS)*Table13[[#This Row],[Mtr_Export (kWh)]],"")</f>
        <v/>
      </c>
      <c r="AA213" s="43" t="str">
        <f t="shared" si="23"/>
        <v/>
      </c>
      <c r="AB213" s="10" t="str">
        <f>IFERROR(_xlfn.XLOOKUP($A213,Input_Raw!$E:$E,Input_Raw!$CZ:$CZ),"")</f>
        <v/>
      </c>
      <c r="AC213" s="313">
        <f>IFERROR(_xlfn.XLOOKUP($D213,'Modelling New'!$D:$D,'Modelling New'!$J:$J),"")</f>
        <v>6.0015501571877659</v>
      </c>
      <c r="AD213" s="43">
        <f>IFERROR(_xlfn.XLOOKUP($D213,'Modelling New'!$D:$D,'Modelling New'!$T:$T)*1000,"")</f>
        <v>225766.12903225809</v>
      </c>
      <c r="AE213" s="312"/>
      <c r="AF213" s="312">
        <f>IFERROR(_xlfn.XLOOKUP($D213,'Modelling New'!$D:$D,'Modelling New'!$W:$W),"")</f>
        <v>0.18590755025712957</v>
      </c>
      <c r="AG213" s="312">
        <f>IFERROR(_xlfn.XLOOKUP($D213,'Modelling New'!$D:$D,'Modelling New'!$AE:$AE),"")</f>
        <v>0.95549849999999992</v>
      </c>
      <c r="AH213" s="312">
        <f>IFERROR(_xlfn.XLOOKUP($D213,'Modelling New'!$D:$D,'Modelling New'!$AF:$AF),"")</f>
        <v>0.995</v>
      </c>
      <c r="AI213" s="10" t="str">
        <f>IFERROR(_xlfn.XLOOKUP($A213,Input_Raw!$E:$E,Input_Raw!$DG:$DG),"")</f>
        <v/>
      </c>
      <c r="AJ213" s="10"/>
      <c r="AK213" s="10"/>
      <c r="AL213" s="10"/>
      <c r="AM213" s="10"/>
      <c r="AN213" s="314" t="str">
        <f>IFERROR(_xlfn.XLOOKUP($A213,Input_Raw!$E:$E,Input_Raw!$CY:$CY),"")</f>
        <v/>
      </c>
      <c r="AO213" s="312" t="str">
        <f>IFERROR((_xlfn.XLOOKUP($A213,'WTG Reactive Power'!$A:$A,'WTG Reactive Power'!AB:AB))/X213,"")</f>
        <v/>
      </c>
      <c r="AP213" s="312">
        <f>IFERROR(_xlfn.XLOOKUP($D213,'Modelling New'!$D:$D,'Modelling New'!AK:AK),"")</f>
        <v>0.05</v>
      </c>
      <c r="AQ213" s="312">
        <f>IFERROR(_xlfn.XLOOKUP($D213,'Modelling New'!$D:$D,'Modelling New'!AL:AL),"")</f>
        <v>0.05</v>
      </c>
      <c r="AR213" s="325">
        <f>IFERROR(_xlfn.XLOOKUP($D213,'Modelling New'!$D:$D,'Modelling New'!$N:$N),"")</f>
        <v>50.59999999999998</v>
      </c>
      <c r="AS213" s="325"/>
    </row>
    <row r="214" spans="1:45">
      <c r="A214" s="32">
        <f t="shared" si="24"/>
        <v>45957</v>
      </c>
      <c r="B214" s="43">
        <f>YEAR(Table13[[#This Row],[Date]])+IF(MONTH(Table13[[#This Row],[Date]])&gt;=4,1,0)</f>
        <v>2026</v>
      </c>
      <c r="C214" s="10">
        <f>YEAR(Table13[[#This Row],[Date]])</f>
        <v>2025</v>
      </c>
      <c r="D214" s="309">
        <f>Table13[[#This Row],[Date]]-DAY(Table13[[#This Row],[Date]])+1</f>
        <v>45931</v>
      </c>
      <c r="E214" s="10">
        <f t="shared" si="20"/>
        <v>31</v>
      </c>
      <c r="F214" s="241" t="str">
        <f>IFERROR(_xlfn.XLOOKUP($A214,Input_Raw!$E:$E,Input_Raw!DC:DC),"")</f>
        <v/>
      </c>
      <c r="G214" s="313"/>
      <c r="H214" s="313"/>
      <c r="I214" s="313"/>
      <c r="J214" s="313"/>
      <c r="K214" s="243"/>
      <c r="L214" s="242"/>
      <c r="M214" s="242" t="str">
        <f>IFERROR(_xlfn.XLOOKUP($A214,Input_Raw!$E:$E,Input_Raw!$BM:$BM),"")</f>
        <v/>
      </c>
      <c r="N214" s="242" t="str">
        <f>IFERROR(_xlfn.XLOOKUP($A214,Input_Raw!$E:$E,Input_Raw!$BN:$BN),"")</f>
        <v/>
      </c>
      <c r="O214" s="311" t="str">
        <f t="shared" si="21"/>
        <v/>
      </c>
      <c r="P214" s="311" t="str">
        <f>IFERROR(1-SUMIF(WTG_BD!$F:$F,$A214,WTG_BD!$AA:$AA)/($AA214+SUMIF(WTG_BD!$F:$F,$A214,WTG_BD!$AA:$AA)),"")</f>
        <v/>
      </c>
      <c r="Q214" s="328" t="str">
        <f>IFERROR(1-SUMIF(IGA_BD!$F:$F,$A214,IGA_BD!$W:$W)/($AA214+SUMIF(IGA_BD!$F:$F,$A214,IGA_BD!$W:$W)),"")</f>
        <v/>
      </c>
      <c r="R214" s="47" t="str">
        <f>IFERROR(1-SUMIF(Grid_BD!$F:$F,$A214,Grid_BD!$Y:$Y)/($AA214+SUMIF(Grid_BD!$F:$F,$A214,Grid_BD!$Y:$Y)),"")</f>
        <v/>
      </c>
      <c r="S214" s="10"/>
      <c r="T214" s="310"/>
      <c r="U214" s="311"/>
      <c r="V214" s="10"/>
      <c r="W214" s="312" t="str">
        <f t="shared" si="22"/>
        <v/>
      </c>
      <c r="X214" s="10" t="str">
        <f>IFERROR(_xlfn.XLOOKUP($A214,Input_Raw!$E:$E,Input_Raw!BG:BG),"")</f>
        <v/>
      </c>
      <c r="Y214" s="10" t="str">
        <f>IFERROR(_xlfn.XLOOKUP($A214,Input_Raw!$E:$E,Input_Raw!DF:DF),"")</f>
        <v/>
      </c>
      <c r="Z214" s="319" t="str">
        <f>IFERROR(_xlfn.XLOOKUP(A214,Input_Raw!E:E,Input_Raw!CT:CT)/_xlfn.XLOOKUP(A214,Input_Raw!E:E,Input_Raw!CS:CS)*Table13[[#This Row],[Mtr_Export (kWh)]],"")</f>
        <v/>
      </c>
      <c r="AA214" s="43" t="str">
        <f t="shared" si="23"/>
        <v/>
      </c>
      <c r="AB214" s="10" t="str">
        <f>IFERROR(_xlfn.XLOOKUP($A214,Input_Raw!$E:$E,Input_Raw!$CZ:$CZ),"")</f>
        <v/>
      </c>
      <c r="AC214" s="313">
        <f>IFERROR(_xlfn.XLOOKUP($D214,'Modelling New'!$D:$D,'Modelling New'!$J:$J),"")</f>
        <v>6.0015501571877659</v>
      </c>
      <c r="AD214" s="43">
        <f>IFERROR(_xlfn.XLOOKUP($D214,'Modelling New'!$D:$D,'Modelling New'!$T:$T)*1000,"")</f>
        <v>225766.12903225809</v>
      </c>
      <c r="AE214" s="312"/>
      <c r="AF214" s="312">
        <f>IFERROR(_xlfn.XLOOKUP($D214,'Modelling New'!$D:$D,'Modelling New'!$W:$W),"")</f>
        <v>0.18590755025712957</v>
      </c>
      <c r="AG214" s="312">
        <f>IFERROR(_xlfn.XLOOKUP($D214,'Modelling New'!$D:$D,'Modelling New'!$AE:$AE),"")</f>
        <v>0.95549849999999992</v>
      </c>
      <c r="AH214" s="312">
        <f>IFERROR(_xlfn.XLOOKUP($D214,'Modelling New'!$D:$D,'Modelling New'!$AF:$AF),"")</f>
        <v>0.995</v>
      </c>
      <c r="AI214" s="10" t="str">
        <f>IFERROR(_xlfn.XLOOKUP($A214,Input_Raw!$E:$E,Input_Raw!$DG:$DG),"")</f>
        <v/>
      </c>
      <c r="AJ214" s="10"/>
      <c r="AK214" s="10"/>
      <c r="AL214" s="10"/>
      <c r="AM214" s="10"/>
      <c r="AN214" s="314" t="str">
        <f>IFERROR(_xlfn.XLOOKUP($A214,Input_Raw!$E:$E,Input_Raw!$CY:$CY),"")</f>
        <v/>
      </c>
      <c r="AO214" s="312" t="str">
        <f>IFERROR((_xlfn.XLOOKUP($A214,'WTG Reactive Power'!$A:$A,'WTG Reactive Power'!AB:AB))/X214,"")</f>
        <v/>
      </c>
      <c r="AP214" s="312">
        <f>IFERROR(_xlfn.XLOOKUP($D214,'Modelling New'!$D:$D,'Modelling New'!AK:AK),"")</f>
        <v>0.05</v>
      </c>
      <c r="AQ214" s="312">
        <f>IFERROR(_xlfn.XLOOKUP($D214,'Modelling New'!$D:$D,'Modelling New'!AL:AL),"")</f>
        <v>0.05</v>
      </c>
      <c r="AR214" s="325">
        <f>IFERROR(_xlfn.XLOOKUP($D214,'Modelling New'!$D:$D,'Modelling New'!$N:$N),"")</f>
        <v>50.59999999999998</v>
      </c>
      <c r="AS214" s="325"/>
    </row>
    <row r="215" spans="1:45">
      <c r="A215" s="32">
        <f t="shared" si="24"/>
        <v>45958</v>
      </c>
      <c r="B215" s="43">
        <f>YEAR(Table13[[#This Row],[Date]])+IF(MONTH(Table13[[#This Row],[Date]])&gt;=4,1,0)</f>
        <v>2026</v>
      </c>
      <c r="C215" s="10">
        <f>YEAR(Table13[[#This Row],[Date]])</f>
        <v>2025</v>
      </c>
      <c r="D215" s="309">
        <f>Table13[[#This Row],[Date]]-DAY(Table13[[#This Row],[Date]])+1</f>
        <v>45931</v>
      </c>
      <c r="E215" s="10">
        <f t="shared" si="20"/>
        <v>31</v>
      </c>
      <c r="F215" s="241" t="str">
        <f>IFERROR(_xlfn.XLOOKUP($A215,Input_Raw!$E:$E,Input_Raw!DC:DC),"")</f>
        <v/>
      </c>
      <c r="G215" s="242"/>
      <c r="H215" s="242"/>
      <c r="I215" s="242"/>
      <c r="J215" s="242"/>
      <c r="K215" s="243"/>
      <c r="L215" s="242"/>
      <c r="M215" s="242" t="str">
        <f>IFERROR(_xlfn.XLOOKUP($A215,Input_Raw!$E:$E,Input_Raw!$BM:$BM),"")</f>
        <v/>
      </c>
      <c r="N215" s="242" t="str">
        <f>IFERROR(_xlfn.XLOOKUP($A215,Input_Raw!$E:$E,Input_Raw!$BN:$BN),"")</f>
        <v/>
      </c>
      <c r="O215" s="311" t="str">
        <f t="shared" si="21"/>
        <v/>
      </c>
      <c r="P215" s="311" t="str">
        <f>IFERROR(1-SUMIF(WTG_BD!$F:$F,$A215,WTG_BD!$AA:$AA)/($AA215+SUMIF(WTG_BD!$F:$F,$A215,WTG_BD!$AA:$AA)),"")</f>
        <v/>
      </c>
      <c r="Q215" s="328" t="str">
        <f>IFERROR(1-SUMIF(IGA_BD!$F:$F,$A215,IGA_BD!$W:$W)/($AA215+SUMIF(IGA_BD!$F:$F,$A215,IGA_BD!$W:$W)),"")</f>
        <v/>
      </c>
      <c r="R215" s="311" t="str">
        <f>IFERROR(1-SUMIF(Grid_BD!$F:$F,$A215,Grid_BD!$Y:$Y)/($AA215+SUMIF(Grid_BD!$F:$F,$A215,Grid_BD!$Y:$Y)),"")</f>
        <v/>
      </c>
      <c r="S215" s="10"/>
      <c r="T215" s="310"/>
      <c r="U215" s="311"/>
      <c r="V215" s="10"/>
      <c r="W215" s="312" t="str">
        <f t="shared" si="22"/>
        <v/>
      </c>
      <c r="X215" s="10" t="str">
        <f>IFERROR(_xlfn.XLOOKUP($A215,Input_Raw!$E:$E,Input_Raw!BG:BG),"")</f>
        <v/>
      </c>
      <c r="Y215" s="10" t="str">
        <f>IFERROR(_xlfn.XLOOKUP($A215,Input_Raw!$E:$E,Input_Raw!DF:DF),"")</f>
        <v/>
      </c>
      <c r="Z215" s="319" t="str">
        <f>IFERROR(_xlfn.XLOOKUP(A215,Input_Raw!E:E,Input_Raw!CT:CT)/_xlfn.XLOOKUP(A215,Input_Raw!E:E,Input_Raw!CS:CS)*Table13[[#This Row],[Mtr_Export (kWh)]],"")</f>
        <v/>
      </c>
      <c r="AA215" s="43" t="str">
        <f t="shared" si="23"/>
        <v/>
      </c>
      <c r="AB215" s="10" t="str">
        <f>IFERROR(_xlfn.XLOOKUP($A215,Input_Raw!$E:$E,Input_Raw!$CZ:$CZ),"")</f>
        <v/>
      </c>
      <c r="AC215" s="313">
        <f>IFERROR(_xlfn.XLOOKUP($D215,'Modelling New'!$D:$D,'Modelling New'!$J:$J),"")</f>
        <v>6.0015501571877659</v>
      </c>
      <c r="AD215" s="43">
        <f>IFERROR(_xlfn.XLOOKUP($D215,'Modelling New'!$D:$D,'Modelling New'!$T:$T)*1000,"")</f>
        <v>225766.12903225809</v>
      </c>
      <c r="AE215" s="312"/>
      <c r="AF215" s="312">
        <f>IFERROR(_xlfn.XLOOKUP($D215,'Modelling New'!$D:$D,'Modelling New'!$W:$W),"")</f>
        <v>0.18590755025712957</v>
      </c>
      <c r="AG215" s="312">
        <f>IFERROR(_xlfn.XLOOKUP($D215,'Modelling New'!$D:$D,'Modelling New'!$AE:$AE),"")</f>
        <v>0.95549849999999992</v>
      </c>
      <c r="AH215" s="312">
        <f>IFERROR(_xlfn.XLOOKUP($D215,'Modelling New'!$D:$D,'Modelling New'!$AF:$AF),"")</f>
        <v>0.995</v>
      </c>
      <c r="AI215" s="10" t="str">
        <f>IFERROR(_xlfn.XLOOKUP($A215,Input_Raw!$E:$E,Input_Raw!$DG:$DG),"")</f>
        <v/>
      </c>
      <c r="AJ215" s="10"/>
      <c r="AK215" s="10"/>
      <c r="AL215" s="10"/>
      <c r="AM215" s="10"/>
      <c r="AN215" s="314" t="str">
        <f>IFERROR(_xlfn.XLOOKUP($A215,Input_Raw!$E:$E,Input_Raw!$CY:$CY),"")</f>
        <v/>
      </c>
      <c r="AO215" s="312" t="str">
        <f>IFERROR((_xlfn.XLOOKUP($A215,'WTG Reactive Power'!$A:$A,'WTG Reactive Power'!AB:AB))/X215,"")</f>
        <v/>
      </c>
      <c r="AP215" s="312">
        <f>IFERROR(_xlfn.XLOOKUP($D215,'Modelling New'!$D:$D,'Modelling New'!AK:AK),"")</f>
        <v>0.05</v>
      </c>
      <c r="AQ215" s="312">
        <f>IFERROR(_xlfn.XLOOKUP($D215,'Modelling New'!$D:$D,'Modelling New'!AL:AL),"")</f>
        <v>0.05</v>
      </c>
      <c r="AR215" s="325">
        <f>IFERROR(_xlfn.XLOOKUP($D215,'Modelling New'!$D:$D,'Modelling New'!$N:$N),"")</f>
        <v>50.59999999999998</v>
      </c>
      <c r="AS215" s="325"/>
    </row>
    <row r="216" spans="1:45">
      <c r="A216" s="32">
        <f t="shared" si="24"/>
        <v>45959</v>
      </c>
      <c r="B216" s="43">
        <f>YEAR(Table13[[#This Row],[Date]])+IF(MONTH(Table13[[#This Row],[Date]])&gt;=4,1,0)</f>
        <v>2026</v>
      </c>
      <c r="C216" s="10">
        <f>YEAR(Table13[[#This Row],[Date]])</f>
        <v>2025</v>
      </c>
      <c r="D216" s="309">
        <f>Table13[[#This Row],[Date]]-DAY(Table13[[#This Row],[Date]])+1</f>
        <v>45931</v>
      </c>
      <c r="E216" s="10">
        <f t="shared" si="20"/>
        <v>31</v>
      </c>
      <c r="F216" s="241" t="str">
        <f>IFERROR(_xlfn.XLOOKUP($A216,Input_Raw!$E:$E,Input_Raw!DC:DC),"")</f>
        <v/>
      </c>
      <c r="G216" s="313"/>
      <c r="H216" s="313"/>
      <c r="I216" s="313"/>
      <c r="J216" s="313"/>
      <c r="K216" s="243"/>
      <c r="L216" s="242"/>
      <c r="M216" s="242" t="str">
        <f>IFERROR(_xlfn.XLOOKUP($A216,Input_Raw!$E:$E,Input_Raw!$BM:$BM),"")</f>
        <v/>
      </c>
      <c r="N216" s="242" t="str">
        <f>IFERROR(_xlfn.XLOOKUP($A216,Input_Raw!$E:$E,Input_Raw!$BN:$BN),"")</f>
        <v/>
      </c>
      <c r="O216" s="311" t="str">
        <f t="shared" si="21"/>
        <v/>
      </c>
      <c r="P216" s="311" t="str">
        <f>IFERROR(1-SUMIF(WTG_BD!$F:$F,$A216,WTG_BD!$AA:$AA)/($AA216+SUMIF(WTG_BD!$F:$F,$A216,WTG_BD!$AA:$AA)),"")</f>
        <v/>
      </c>
      <c r="Q216" s="328" t="str">
        <f>IFERROR(1-SUMIF(IGA_BD!$F:$F,$A216,IGA_BD!$W:$W)/($AA216+SUMIF(IGA_BD!$F:$F,$A216,IGA_BD!$W:$W)),"")</f>
        <v/>
      </c>
      <c r="R216" s="47" t="str">
        <f>IFERROR(1-SUMIF(Grid_BD!$F:$F,$A216,Grid_BD!$Y:$Y)/($AA216+SUMIF(Grid_BD!$F:$F,$A216,Grid_BD!$Y:$Y)),"")</f>
        <v/>
      </c>
      <c r="S216" s="10"/>
      <c r="T216" s="310"/>
      <c r="U216" s="311"/>
      <c r="V216" s="10"/>
      <c r="W216" s="312" t="str">
        <f t="shared" si="22"/>
        <v/>
      </c>
      <c r="X216" s="10" t="str">
        <f>IFERROR(_xlfn.XLOOKUP($A216,Input_Raw!$E:$E,Input_Raw!BG:BG),"")</f>
        <v/>
      </c>
      <c r="Y216" s="10" t="str">
        <f>IFERROR(_xlfn.XLOOKUP($A216,Input_Raw!$E:$E,Input_Raw!DF:DF),"")</f>
        <v/>
      </c>
      <c r="Z216" s="319" t="str">
        <f>IFERROR(_xlfn.XLOOKUP(A216,Input_Raw!E:E,Input_Raw!CT:CT)/_xlfn.XLOOKUP(A216,Input_Raw!E:E,Input_Raw!CS:CS)*Table13[[#This Row],[Mtr_Export (kWh)]],"")</f>
        <v/>
      </c>
      <c r="AA216" s="43" t="str">
        <f t="shared" si="23"/>
        <v/>
      </c>
      <c r="AB216" s="10" t="str">
        <f>IFERROR(_xlfn.XLOOKUP($A216,Input_Raw!$E:$E,Input_Raw!$CZ:$CZ),"")</f>
        <v/>
      </c>
      <c r="AC216" s="313">
        <f>IFERROR(_xlfn.XLOOKUP($D216,'Modelling New'!$D:$D,'Modelling New'!$J:$J),"")</f>
        <v>6.0015501571877659</v>
      </c>
      <c r="AD216" s="43">
        <f>IFERROR(_xlfn.XLOOKUP($D216,'Modelling New'!$D:$D,'Modelling New'!$T:$T)*1000,"")</f>
        <v>225766.12903225809</v>
      </c>
      <c r="AE216" s="312"/>
      <c r="AF216" s="312">
        <f>IFERROR(_xlfn.XLOOKUP($D216,'Modelling New'!$D:$D,'Modelling New'!$W:$W),"")</f>
        <v>0.18590755025712957</v>
      </c>
      <c r="AG216" s="312">
        <f>IFERROR(_xlfn.XLOOKUP($D216,'Modelling New'!$D:$D,'Modelling New'!$AE:$AE),"")</f>
        <v>0.95549849999999992</v>
      </c>
      <c r="AH216" s="312">
        <f>IFERROR(_xlfn.XLOOKUP($D216,'Modelling New'!$D:$D,'Modelling New'!$AF:$AF),"")</f>
        <v>0.995</v>
      </c>
      <c r="AI216" s="10" t="str">
        <f>IFERROR(_xlfn.XLOOKUP($A216,Input_Raw!$E:$E,Input_Raw!$DG:$DG),"")</f>
        <v/>
      </c>
      <c r="AJ216" s="10"/>
      <c r="AK216" s="10"/>
      <c r="AL216" s="10"/>
      <c r="AM216" s="10"/>
      <c r="AN216" s="314" t="str">
        <f>IFERROR(_xlfn.XLOOKUP($A216,Input_Raw!$E:$E,Input_Raw!$CY:$CY),"")</f>
        <v/>
      </c>
      <c r="AO216" s="312" t="str">
        <f>IFERROR((_xlfn.XLOOKUP($A216,'WTG Reactive Power'!$A:$A,'WTG Reactive Power'!AB:AB))/X216,"")</f>
        <v/>
      </c>
      <c r="AP216" s="312">
        <f>IFERROR(_xlfn.XLOOKUP($D216,'Modelling New'!$D:$D,'Modelling New'!AK:AK),"")</f>
        <v>0.05</v>
      </c>
      <c r="AQ216" s="312">
        <f>IFERROR(_xlfn.XLOOKUP($D216,'Modelling New'!$D:$D,'Modelling New'!AL:AL),"")</f>
        <v>0.05</v>
      </c>
      <c r="AR216" s="325">
        <f>IFERROR(_xlfn.XLOOKUP($D216,'Modelling New'!$D:$D,'Modelling New'!$N:$N),"")</f>
        <v>50.59999999999998</v>
      </c>
      <c r="AS216" s="325"/>
    </row>
    <row r="217" spans="1:45">
      <c r="A217" s="32">
        <f t="shared" si="24"/>
        <v>45960</v>
      </c>
      <c r="B217" s="43">
        <f>YEAR(Table13[[#This Row],[Date]])+IF(MONTH(Table13[[#This Row],[Date]])&gt;=4,1,0)</f>
        <v>2026</v>
      </c>
      <c r="C217" s="10">
        <f>YEAR(Table13[[#This Row],[Date]])</f>
        <v>2025</v>
      </c>
      <c r="D217" s="309">
        <f>Table13[[#This Row],[Date]]-DAY(Table13[[#This Row],[Date]])+1</f>
        <v>45931</v>
      </c>
      <c r="E217" s="10">
        <f t="shared" si="20"/>
        <v>31</v>
      </c>
      <c r="F217" s="241" t="str">
        <f>IFERROR(_xlfn.XLOOKUP($A217,Input_Raw!$E:$E,Input_Raw!DC:DC),"")</f>
        <v/>
      </c>
      <c r="G217" s="242"/>
      <c r="H217" s="242"/>
      <c r="I217" s="242"/>
      <c r="J217" s="242"/>
      <c r="K217" s="243"/>
      <c r="L217" s="242"/>
      <c r="M217" s="242" t="str">
        <f>IFERROR(_xlfn.XLOOKUP($A217,Input_Raw!$E:$E,Input_Raw!$BM:$BM),"")</f>
        <v/>
      </c>
      <c r="N217" s="242" t="str">
        <f>IFERROR(_xlfn.XLOOKUP($A217,Input_Raw!$E:$E,Input_Raw!$BN:$BN),"")</f>
        <v/>
      </c>
      <c r="O217" s="311" t="str">
        <f t="shared" si="21"/>
        <v/>
      </c>
      <c r="P217" s="311" t="str">
        <f>IFERROR(1-SUMIF(WTG_BD!$F:$F,$A217,WTG_BD!$AA:$AA)/($AA217+SUMIF(WTG_BD!$F:$F,$A217,WTG_BD!$AA:$AA)),"")</f>
        <v/>
      </c>
      <c r="Q217" s="328" t="str">
        <f>IFERROR(1-SUMIF(IGA_BD!$F:$F,$A217,IGA_BD!$W:$W)/($AA217+SUMIF(IGA_BD!$F:$F,$A217,IGA_BD!$W:$W)),"")</f>
        <v/>
      </c>
      <c r="R217" s="311" t="str">
        <f>IFERROR(1-SUMIF(Grid_BD!$F:$F,$A217,Grid_BD!$Y:$Y)/($AA217+SUMIF(Grid_BD!$F:$F,$A217,Grid_BD!$Y:$Y)),"")</f>
        <v/>
      </c>
      <c r="S217" s="10"/>
      <c r="T217" s="310"/>
      <c r="U217" s="311"/>
      <c r="V217" s="10"/>
      <c r="W217" s="312" t="str">
        <f t="shared" si="22"/>
        <v/>
      </c>
      <c r="X217" s="10" t="str">
        <f>IFERROR(_xlfn.XLOOKUP($A217,Input_Raw!$E:$E,Input_Raw!BG:BG),"")</f>
        <v/>
      </c>
      <c r="Y217" s="10" t="str">
        <f>IFERROR(_xlfn.XLOOKUP($A217,Input_Raw!$E:$E,Input_Raw!DF:DF),"")</f>
        <v/>
      </c>
      <c r="Z217" s="319" t="str">
        <f>IFERROR(_xlfn.XLOOKUP(A217,Input_Raw!E:E,Input_Raw!CT:CT)/_xlfn.XLOOKUP(A217,Input_Raw!E:E,Input_Raw!CS:CS)*Table13[[#This Row],[Mtr_Export (kWh)]],"")</f>
        <v/>
      </c>
      <c r="AA217" s="43" t="str">
        <f t="shared" si="23"/>
        <v/>
      </c>
      <c r="AB217" s="10" t="str">
        <f>IFERROR(_xlfn.XLOOKUP($A217,Input_Raw!$E:$E,Input_Raw!$CZ:$CZ),"")</f>
        <v/>
      </c>
      <c r="AC217" s="313">
        <f>IFERROR(_xlfn.XLOOKUP($D217,'Modelling New'!$D:$D,'Modelling New'!$J:$J),"")</f>
        <v>6.0015501571877659</v>
      </c>
      <c r="AD217" s="43">
        <f>IFERROR(_xlfn.XLOOKUP($D217,'Modelling New'!$D:$D,'Modelling New'!$T:$T)*1000,"")</f>
        <v>225766.12903225809</v>
      </c>
      <c r="AE217" s="312"/>
      <c r="AF217" s="312">
        <f>IFERROR(_xlfn.XLOOKUP($D217,'Modelling New'!$D:$D,'Modelling New'!$W:$W),"")</f>
        <v>0.18590755025712957</v>
      </c>
      <c r="AG217" s="312">
        <f>IFERROR(_xlfn.XLOOKUP($D217,'Modelling New'!$D:$D,'Modelling New'!$AE:$AE),"")</f>
        <v>0.95549849999999992</v>
      </c>
      <c r="AH217" s="312">
        <f>IFERROR(_xlfn.XLOOKUP($D217,'Modelling New'!$D:$D,'Modelling New'!$AF:$AF),"")</f>
        <v>0.995</v>
      </c>
      <c r="AI217" s="10" t="str">
        <f>IFERROR(_xlfn.XLOOKUP($A217,Input_Raw!$E:$E,Input_Raw!$DG:$DG),"")</f>
        <v/>
      </c>
      <c r="AJ217" s="10"/>
      <c r="AK217" s="10"/>
      <c r="AL217" s="10"/>
      <c r="AM217" s="10"/>
      <c r="AN217" s="314" t="str">
        <f>IFERROR(_xlfn.XLOOKUP($A217,Input_Raw!$E:$E,Input_Raw!$CY:$CY),"")</f>
        <v/>
      </c>
      <c r="AO217" s="312" t="str">
        <f>IFERROR((_xlfn.XLOOKUP($A217,'WTG Reactive Power'!$A:$A,'WTG Reactive Power'!AB:AB))/X217,"")</f>
        <v/>
      </c>
      <c r="AP217" s="312">
        <f>IFERROR(_xlfn.XLOOKUP($D217,'Modelling New'!$D:$D,'Modelling New'!AK:AK),"")</f>
        <v>0.05</v>
      </c>
      <c r="AQ217" s="312">
        <f>IFERROR(_xlfn.XLOOKUP($D217,'Modelling New'!$D:$D,'Modelling New'!AL:AL),"")</f>
        <v>0.05</v>
      </c>
      <c r="AR217" s="325">
        <f>IFERROR(_xlfn.XLOOKUP($D217,'Modelling New'!$D:$D,'Modelling New'!$N:$N),"")</f>
        <v>50.59999999999998</v>
      </c>
      <c r="AS217" s="325"/>
    </row>
    <row r="218" spans="1:45">
      <c r="A218" s="32">
        <f t="shared" si="24"/>
        <v>45961</v>
      </c>
      <c r="B218" s="43">
        <f>YEAR(Table13[[#This Row],[Date]])+IF(MONTH(Table13[[#This Row],[Date]])&gt;=4,1,0)</f>
        <v>2026</v>
      </c>
      <c r="C218" s="10">
        <f>YEAR(Table13[[#This Row],[Date]])</f>
        <v>2025</v>
      </c>
      <c r="D218" s="309">
        <f>Table13[[#This Row],[Date]]-DAY(Table13[[#This Row],[Date]])+1</f>
        <v>45931</v>
      </c>
      <c r="E218" s="10">
        <f t="shared" si="20"/>
        <v>31</v>
      </c>
      <c r="F218" s="241" t="str">
        <f>IFERROR(_xlfn.XLOOKUP($A218,Input_Raw!$E:$E,Input_Raw!DC:DC),"")</f>
        <v/>
      </c>
      <c r="G218" s="313"/>
      <c r="H218" s="313"/>
      <c r="I218" s="313"/>
      <c r="J218" s="313"/>
      <c r="K218" s="243"/>
      <c r="L218" s="242"/>
      <c r="M218" s="242" t="str">
        <f>IFERROR(_xlfn.XLOOKUP($A218,Input_Raw!$E:$E,Input_Raw!$BM:$BM),"")</f>
        <v/>
      </c>
      <c r="N218" s="242" t="str">
        <f>IFERROR(_xlfn.XLOOKUP($A218,Input_Raw!$E:$E,Input_Raw!$BN:$BN),"")</f>
        <v/>
      </c>
      <c r="O218" s="311" t="str">
        <f t="shared" si="21"/>
        <v/>
      </c>
      <c r="P218" s="311" t="str">
        <f>IFERROR(1-SUMIF(WTG_BD!$F:$F,$A218,WTG_BD!$AA:$AA)/($AA218+SUMIF(WTG_BD!$F:$F,$A218,WTG_BD!$AA:$AA)),"")</f>
        <v/>
      </c>
      <c r="Q218" s="328" t="str">
        <f>IFERROR(1-SUMIF(IGA_BD!$F:$F,$A218,IGA_BD!$W:$W)/($AA218+SUMIF(IGA_BD!$F:$F,$A218,IGA_BD!$W:$W)),"")</f>
        <v/>
      </c>
      <c r="R218" s="47" t="str">
        <f>IFERROR(1-SUMIF(Grid_BD!$F:$F,$A218,Grid_BD!$Y:$Y)/($AA218+SUMIF(Grid_BD!$F:$F,$A218,Grid_BD!$Y:$Y)),"")</f>
        <v/>
      </c>
      <c r="S218" s="10"/>
      <c r="T218" s="310"/>
      <c r="U218" s="311"/>
      <c r="V218" s="10"/>
      <c r="W218" s="312" t="str">
        <f t="shared" si="22"/>
        <v/>
      </c>
      <c r="X218" s="10" t="str">
        <f>IFERROR(_xlfn.XLOOKUP($A218,Input_Raw!$E:$E,Input_Raw!BG:BG),"")</f>
        <v/>
      </c>
      <c r="Y218" s="10" t="str">
        <f>IFERROR(_xlfn.XLOOKUP($A218,Input_Raw!$E:$E,Input_Raw!DF:DF),"")</f>
        <v/>
      </c>
      <c r="Z218" s="319" t="str">
        <f>IFERROR(_xlfn.XLOOKUP(A218,Input_Raw!E:E,Input_Raw!CT:CT)/_xlfn.XLOOKUP(A218,Input_Raw!E:E,Input_Raw!CS:CS)*Table13[[#This Row],[Mtr_Export (kWh)]],"")</f>
        <v/>
      </c>
      <c r="AA218" s="43" t="str">
        <f t="shared" si="23"/>
        <v/>
      </c>
      <c r="AB218" s="10" t="str">
        <f>IFERROR(_xlfn.XLOOKUP($A218,Input_Raw!$E:$E,Input_Raw!$CZ:$CZ),"")</f>
        <v/>
      </c>
      <c r="AC218" s="313">
        <f>IFERROR(_xlfn.XLOOKUP($D218,'Modelling New'!$D:$D,'Modelling New'!$J:$J),"")</f>
        <v>6.0015501571877659</v>
      </c>
      <c r="AD218" s="43">
        <f>IFERROR(_xlfn.XLOOKUP($D218,'Modelling New'!$D:$D,'Modelling New'!$T:$T)*1000,"")</f>
        <v>225766.12903225809</v>
      </c>
      <c r="AE218" s="312"/>
      <c r="AF218" s="312">
        <f>IFERROR(_xlfn.XLOOKUP($D218,'Modelling New'!$D:$D,'Modelling New'!$W:$W),"")</f>
        <v>0.18590755025712957</v>
      </c>
      <c r="AG218" s="312">
        <f>IFERROR(_xlfn.XLOOKUP($D218,'Modelling New'!$D:$D,'Modelling New'!$AE:$AE),"")</f>
        <v>0.95549849999999992</v>
      </c>
      <c r="AH218" s="312">
        <f>IFERROR(_xlfn.XLOOKUP($D218,'Modelling New'!$D:$D,'Modelling New'!$AF:$AF),"")</f>
        <v>0.995</v>
      </c>
      <c r="AI218" s="10" t="str">
        <f>IFERROR(_xlfn.XLOOKUP($A218,Input_Raw!$E:$E,Input_Raw!$DG:$DG),"")</f>
        <v/>
      </c>
      <c r="AJ218" s="10"/>
      <c r="AK218" s="10"/>
      <c r="AL218" s="10"/>
      <c r="AM218" s="10"/>
      <c r="AN218" s="314" t="str">
        <f>IFERROR(_xlfn.XLOOKUP($A218,Input_Raw!$E:$E,Input_Raw!$CY:$CY),"")</f>
        <v/>
      </c>
      <c r="AO218" s="312" t="str">
        <f>IFERROR((_xlfn.XLOOKUP($A218,'WTG Reactive Power'!$A:$A,'WTG Reactive Power'!AB:AB))/X218,"")</f>
        <v/>
      </c>
      <c r="AP218" s="312">
        <f>IFERROR(_xlfn.XLOOKUP($D218,'Modelling New'!$D:$D,'Modelling New'!AK:AK),"")</f>
        <v>0.05</v>
      </c>
      <c r="AQ218" s="312">
        <f>IFERROR(_xlfn.XLOOKUP($D218,'Modelling New'!$D:$D,'Modelling New'!AL:AL),"")</f>
        <v>0.05</v>
      </c>
      <c r="AR218" s="325">
        <f>IFERROR(_xlfn.XLOOKUP($D218,'Modelling New'!$D:$D,'Modelling New'!$N:$N),"")</f>
        <v>50.59999999999998</v>
      </c>
      <c r="AS218" s="325"/>
    </row>
    <row r="219" spans="1:45">
      <c r="A219" s="32">
        <f t="shared" si="24"/>
        <v>45962</v>
      </c>
      <c r="B219" s="43">
        <f>YEAR(Table13[[#This Row],[Date]])+IF(MONTH(Table13[[#This Row],[Date]])&gt;=4,1,0)</f>
        <v>2026</v>
      </c>
      <c r="C219" s="10">
        <f>YEAR(Table13[[#This Row],[Date]])</f>
        <v>2025</v>
      </c>
      <c r="D219" s="309">
        <f>Table13[[#This Row],[Date]]-DAY(Table13[[#This Row],[Date]])+1</f>
        <v>45962</v>
      </c>
      <c r="E219" s="10">
        <f t="shared" si="20"/>
        <v>30</v>
      </c>
      <c r="F219" s="241" t="str">
        <f>IFERROR(_xlfn.XLOOKUP($A219,Input_Raw!$E:$E,Input_Raw!DC:DC),"")</f>
        <v/>
      </c>
      <c r="G219" s="242"/>
      <c r="H219" s="242"/>
      <c r="I219" s="242"/>
      <c r="J219" s="242"/>
      <c r="K219" s="243"/>
      <c r="L219" s="242"/>
      <c r="M219" s="242" t="str">
        <f>IFERROR(_xlfn.XLOOKUP($A219,Input_Raw!$E:$E,Input_Raw!$BM:$BM),"")</f>
        <v/>
      </c>
      <c r="N219" s="242" t="str">
        <f>IFERROR(_xlfn.XLOOKUP($A219,Input_Raw!$E:$E,Input_Raw!$BN:$BN),"")</f>
        <v/>
      </c>
      <c r="O219" s="311" t="str">
        <f t="shared" si="21"/>
        <v/>
      </c>
      <c r="P219" s="311" t="str">
        <f>IFERROR(1-SUMIF(WTG_BD!$F:$F,$A219,WTG_BD!$AA:$AA)/($AA219+SUMIF(WTG_BD!$F:$F,$A219,WTG_BD!$AA:$AA)),"")</f>
        <v/>
      </c>
      <c r="Q219" s="328" t="str">
        <f>IFERROR(1-SUMIF(IGA_BD!$F:$F,$A219,IGA_BD!$W:$W)/($AA219+SUMIF(IGA_BD!$F:$F,$A219,IGA_BD!$W:$W)),"")</f>
        <v/>
      </c>
      <c r="R219" s="311" t="str">
        <f>IFERROR(1-SUMIF(Grid_BD!$F:$F,$A219,Grid_BD!$Y:$Y)/($AA219+SUMIF(Grid_BD!$F:$F,$A219,Grid_BD!$Y:$Y)),"")</f>
        <v/>
      </c>
      <c r="S219" s="10"/>
      <c r="T219" s="310"/>
      <c r="U219" s="311"/>
      <c r="V219" s="10"/>
      <c r="W219" s="312" t="str">
        <f t="shared" si="22"/>
        <v/>
      </c>
      <c r="X219" s="10" t="str">
        <f>IFERROR(_xlfn.XLOOKUP($A219,Input_Raw!$E:$E,Input_Raw!BG:BG),"")</f>
        <v/>
      </c>
      <c r="Y219" s="10" t="str">
        <f>IFERROR(_xlfn.XLOOKUP($A219,Input_Raw!$E:$E,Input_Raw!DF:DF),"")</f>
        <v/>
      </c>
      <c r="Z219" s="319" t="str">
        <f>IFERROR(_xlfn.XLOOKUP(A219,Input_Raw!E:E,Input_Raw!CT:CT)/_xlfn.XLOOKUP(A219,Input_Raw!E:E,Input_Raw!CS:CS)*Table13[[#This Row],[Mtr_Export (kWh)]],"")</f>
        <v/>
      </c>
      <c r="AA219" s="43" t="str">
        <f t="shared" si="23"/>
        <v/>
      </c>
      <c r="AB219" s="10" t="str">
        <f>IFERROR(_xlfn.XLOOKUP($A219,Input_Raw!$E:$E,Input_Raw!$CZ:$CZ),"")</f>
        <v/>
      </c>
      <c r="AC219" s="313">
        <f>IFERROR(_xlfn.XLOOKUP($D219,'Modelling New'!$D:$D,'Modelling New'!$J:$J),"")</f>
        <v>6.7073912546441834</v>
      </c>
      <c r="AD219" s="43">
        <f>IFERROR(_xlfn.XLOOKUP($D219,'Modelling New'!$D:$D,'Modelling New'!$T:$T)*1000,"")</f>
        <v>349937.33333333337</v>
      </c>
      <c r="AE219" s="312"/>
      <c r="AF219" s="312">
        <f>IFERROR(_xlfn.XLOOKUP($D219,'Modelling New'!$D:$D,'Modelling New'!$W:$W),"")</f>
        <v>0.28815656565656578</v>
      </c>
      <c r="AG219" s="312">
        <f>IFERROR(_xlfn.XLOOKUP($D219,'Modelling New'!$D:$D,'Modelling New'!$AE:$AE),"")</f>
        <v>0.95549849999999992</v>
      </c>
      <c r="AH219" s="312">
        <f>IFERROR(_xlfn.XLOOKUP($D219,'Modelling New'!$D:$D,'Modelling New'!$AF:$AF),"")</f>
        <v>0.995</v>
      </c>
      <c r="AI219" s="10" t="str">
        <f>IFERROR(_xlfn.XLOOKUP($A219,Input_Raw!$E:$E,Input_Raw!$DG:$DG),"")</f>
        <v/>
      </c>
      <c r="AJ219" s="10"/>
      <c r="AK219" s="10"/>
      <c r="AL219" s="10"/>
      <c r="AM219" s="10"/>
      <c r="AN219" s="314" t="str">
        <f>IFERROR(_xlfn.XLOOKUP($A219,Input_Raw!$E:$E,Input_Raw!$CY:$CY),"")</f>
        <v/>
      </c>
      <c r="AO219" s="312" t="str">
        <f>IFERROR((_xlfn.XLOOKUP($A219,'WTG Reactive Power'!$A:$A,'WTG Reactive Power'!AB:AB))/X219,"")</f>
        <v/>
      </c>
      <c r="AP219" s="312">
        <f>IFERROR(_xlfn.XLOOKUP($D219,'Modelling New'!$D:$D,'Modelling New'!AK:AK),"")</f>
        <v>0.05</v>
      </c>
      <c r="AQ219" s="312">
        <f>IFERROR(_xlfn.XLOOKUP($D219,'Modelling New'!$D:$D,'Modelling New'!AL:AL),"")</f>
        <v>0.05</v>
      </c>
      <c r="AR219" s="325">
        <f>IFERROR(_xlfn.XLOOKUP($D219,'Modelling New'!$D:$D,'Modelling New'!$N:$N),"")</f>
        <v>50.59999999999998</v>
      </c>
      <c r="AS219" s="325"/>
    </row>
    <row r="220" spans="1:45">
      <c r="A220" s="32">
        <f t="shared" si="24"/>
        <v>45963</v>
      </c>
      <c r="B220" s="43">
        <f>YEAR(Table13[[#This Row],[Date]])+IF(MONTH(Table13[[#This Row],[Date]])&gt;=4,1,0)</f>
        <v>2026</v>
      </c>
      <c r="C220" s="10">
        <f>YEAR(Table13[[#This Row],[Date]])</f>
        <v>2025</v>
      </c>
      <c r="D220" s="309">
        <f>Table13[[#This Row],[Date]]-DAY(Table13[[#This Row],[Date]])+1</f>
        <v>45962</v>
      </c>
      <c r="E220" s="10">
        <f t="shared" si="20"/>
        <v>30</v>
      </c>
      <c r="F220" s="241" t="str">
        <f>IFERROR(_xlfn.XLOOKUP($A220,Input_Raw!$E:$E,Input_Raw!DC:DC),"")</f>
        <v/>
      </c>
      <c r="G220" s="313"/>
      <c r="H220" s="313"/>
      <c r="I220" s="313"/>
      <c r="J220" s="313"/>
      <c r="K220" s="243"/>
      <c r="L220" s="242"/>
      <c r="M220" s="242" t="str">
        <f>IFERROR(_xlfn.XLOOKUP($A220,Input_Raw!$E:$E,Input_Raw!$BM:$BM),"")</f>
        <v/>
      </c>
      <c r="N220" s="242" t="str">
        <f>IFERROR(_xlfn.XLOOKUP($A220,Input_Raw!$E:$E,Input_Raw!$BN:$BN),"")</f>
        <v/>
      </c>
      <c r="O220" s="311" t="str">
        <f t="shared" si="21"/>
        <v/>
      </c>
      <c r="P220" s="311" t="str">
        <f>IFERROR(1-SUMIF(WTG_BD!$F:$F,$A220,WTG_BD!$AA:$AA)/($AA220+SUMIF(WTG_BD!$F:$F,$A220,WTG_BD!$AA:$AA)),"")</f>
        <v/>
      </c>
      <c r="Q220" s="328" t="str">
        <f>IFERROR(1-SUMIF(IGA_BD!$F:$F,$A220,IGA_BD!$W:$W)/($AA220+SUMIF(IGA_BD!$F:$F,$A220,IGA_BD!$W:$W)),"")</f>
        <v/>
      </c>
      <c r="R220" s="47" t="str">
        <f>IFERROR(1-SUMIF(Grid_BD!$F:$F,$A220,Grid_BD!$Y:$Y)/($AA220+SUMIF(Grid_BD!$F:$F,$A220,Grid_BD!$Y:$Y)),"")</f>
        <v/>
      </c>
      <c r="S220" s="10"/>
      <c r="T220" s="310"/>
      <c r="U220" s="311"/>
      <c r="V220" s="10"/>
      <c r="W220" s="312" t="str">
        <f t="shared" si="22"/>
        <v/>
      </c>
      <c r="X220" s="10" t="str">
        <f>IFERROR(_xlfn.XLOOKUP($A220,Input_Raw!$E:$E,Input_Raw!BG:BG),"")</f>
        <v/>
      </c>
      <c r="Y220" s="10" t="str">
        <f>IFERROR(_xlfn.XLOOKUP($A220,Input_Raw!$E:$E,Input_Raw!DF:DF),"")</f>
        <v/>
      </c>
      <c r="Z220" s="319" t="str">
        <f>IFERROR(_xlfn.XLOOKUP(A220,Input_Raw!E:E,Input_Raw!CT:CT)/_xlfn.XLOOKUP(A220,Input_Raw!E:E,Input_Raw!CS:CS)*Table13[[#This Row],[Mtr_Export (kWh)]],"")</f>
        <v/>
      </c>
      <c r="AA220" s="43" t="str">
        <f t="shared" si="23"/>
        <v/>
      </c>
      <c r="AB220" s="10" t="str">
        <f>IFERROR(_xlfn.XLOOKUP($A220,Input_Raw!$E:$E,Input_Raw!$CZ:$CZ),"")</f>
        <v/>
      </c>
      <c r="AC220" s="313">
        <f>IFERROR(_xlfn.XLOOKUP($D220,'Modelling New'!$D:$D,'Modelling New'!$J:$J),"")</f>
        <v>6.7073912546441834</v>
      </c>
      <c r="AD220" s="43">
        <f>IFERROR(_xlfn.XLOOKUP($D220,'Modelling New'!$D:$D,'Modelling New'!$T:$T)*1000,"")</f>
        <v>349937.33333333337</v>
      </c>
      <c r="AE220" s="312"/>
      <c r="AF220" s="312">
        <f>IFERROR(_xlfn.XLOOKUP($D220,'Modelling New'!$D:$D,'Modelling New'!$W:$W),"")</f>
        <v>0.28815656565656578</v>
      </c>
      <c r="AG220" s="312">
        <f>IFERROR(_xlfn.XLOOKUP($D220,'Modelling New'!$D:$D,'Modelling New'!$AE:$AE),"")</f>
        <v>0.95549849999999992</v>
      </c>
      <c r="AH220" s="312">
        <f>IFERROR(_xlfn.XLOOKUP($D220,'Modelling New'!$D:$D,'Modelling New'!$AF:$AF),"")</f>
        <v>0.995</v>
      </c>
      <c r="AI220" s="10" t="str">
        <f>IFERROR(_xlfn.XLOOKUP($A220,Input_Raw!$E:$E,Input_Raw!$DG:$DG),"")</f>
        <v/>
      </c>
      <c r="AJ220" s="10"/>
      <c r="AK220" s="10"/>
      <c r="AL220" s="10"/>
      <c r="AM220" s="10"/>
      <c r="AN220" s="314" t="str">
        <f>IFERROR(_xlfn.XLOOKUP($A220,Input_Raw!$E:$E,Input_Raw!$CY:$CY),"")</f>
        <v/>
      </c>
      <c r="AO220" s="312" t="str">
        <f>IFERROR((_xlfn.XLOOKUP($A220,'WTG Reactive Power'!$A:$A,'WTG Reactive Power'!AB:AB))/X220,"")</f>
        <v/>
      </c>
      <c r="AP220" s="312">
        <f>IFERROR(_xlfn.XLOOKUP($D220,'Modelling New'!$D:$D,'Modelling New'!AK:AK),"")</f>
        <v>0.05</v>
      </c>
      <c r="AQ220" s="312">
        <f>IFERROR(_xlfn.XLOOKUP($D220,'Modelling New'!$D:$D,'Modelling New'!AL:AL),"")</f>
        <v>0.05</v>
      </c>
      <c r="AR220" s="325">
        <f>IFERROR(_xlfn.XLOOKUP($D220,'Modelling New'!$D:$D,'Modelling New'!$N:$N),"")</f>
        <v>50.59999999999998</v>
      </c>
      <c r="AS220" s="325"/>
    </row>
    <row r="221" spans="1:45">
      <c r="A221" s="32">
        <f t="shared" si="24"/>
        <v>45964</v>
      </c>
      <c r="B221" s="43">
        <f>YEAR(Table13[[#This Row],[Date]])+IF(MONTH(Table13[[#This Row],[Date]])&gt;=4,1,0)</f>
        <v>2026</v>
      </c>
      <c r="C221" s="10">
        <f>YEAR(Table13[[#This Row],[Date]])</f>
        <v>2025</v>
      </c>
      <c r="D221" s="309">
        <f>Table13[[#This Row],[Date]]-DAY(Table13[[#This Row],[Date]])+1</f>
        <v>45962</v>
      </c>
      <c r="E221" s="10">
        <f t="shared" si="20"/>
        <v>30</v>
      </c>
      <c r="F221" s="241" t="str">
        <f>IFERROR(_xlfn.XLOOKUP($A221,Input_Raw!$E:$E,Input_Raw!DC:DC),"")</f>
        <v/>
      </c>
      <c r="G221" s="242"/>
      <c r="H221" s="242"/>
      <c r="I221" s="242"/>
      <c r="J221" s="242"/>
      <c r="K221" s="243"/>
      <c r="L221" s="242"/>
      <c r="M221" s="242" t="str">
        <f>IFERROR(_xlfn.XLOOKUP($A221,Input_Raw!$E:$E,Input_Raw!$BM:$BM),"")</f>
        <v/>
      </c>
      <c r="N221" s="242" t="str">
        <f>IFERROR(_xlfn.XLOOKUP($A221,Input_Raw!$E:$E,Input_Raw!$BN:$BN),"")</f>
        <v/>
      </c>
      <c r="O221" s="311" t="str">
        <f t="shared" si="21"/>
        <v/>
      </c>
      <c r="P221" s="311" t="str">
        <f>IFERROR(1-SUMIF(WTG_BD!$F:$F,$A221,WTG_BD!$AA:$AA)/($AA221+SUMIF(WTG_BD!$F:$F,$A221,WTG_BD!$AA:$AA)),"")</f>
        <v/>
      </c>
      <c r="Q221" s="328" t="str">
        <f>IFERROR(1-SUMIF(IGA_BD!$F:$F,$A221,IGA_BD!$W:$W)/($AA221+SUMIF(IGA_BD!$F:$F,$A221,IGA_BD!$W:$W)),"")</f>
        <v/>
      </c>
      <c r="R221" s="311" t="str">
        <f>IFERROR(1-SUMIF(Grid_BD!$F:$F,$A221,Grid_BD!$Y:$Y)/($AA221+SUMIF(Grid_BD!$F:$F,$A221,Grid_BD!$Y:$Y)),"")</f>
        <v/>
      </c>
      <c r="S221" s="10"/>
      <c r="T221" s="310"/>
      <c r="U221" s="311"/>
      <c r="V221" s="10"/>
      <c r="W221" s="312" t="str">
        <f t="shared" si="22"/>
        <v/>
      </c>
      <c r="X221" s="10" t="str">
        <f>IFERROR(_xlfn.XLOOKUP($A221,Input_Raw!$E:$E,Input_Raw!BG:BG),"")</f>
        <v/>
      </c>
      <c r="Y221" s="10" t="str">
        <f>IFERROR(_xlfn.XLOOKUP($A221,Input_Raw!$E:$E,Input_Raw!DF:DF),"")</f>
        <v/>
      </c>
      <c r="Z221" s="319" t="str">
        <f>IFERROR(_xlfn.XLOOKUP(A221,Input_Raw!E:E,Input_Raw!CT:CT)/_xlfn.XLOOKUP(A221,Input_Raw!E:E,Input_Raw!CS:CS)*Table13[[#This Row],[Mtr_Export (kWh)]],"")</f>
        <v/>
      </c>
      <c r="AA221" s="43" t="str">
        <f t="shared" si="23"/>
        <v/>
      </c>
      <c r="AB221" s="10" t="str">
        <f>IFERROR(_xlfn.XLOOKUP($A221,Input_Raw!$E:$E,Input_Raw!$CZ:$CZ),"")</f>
        <v/>
      </c>
      <c r="AC221" s="313">
        <f>IFERROR(_xlfn.XLOOKUP($D221,'Modelling New'!$D:$D,'Modelling New'!$J:$J),"")</f>
        <v>6.7073912546441834</v>
      </c>
      <c r="AD221" s="43">
        <f>IFERROR(_xlfn.XLOOKUP($D221,'Modelling New'!$D:$D,'Modelling New'!$T:$T)*1000,"")</f>
        <v>349937.33333333337</v>
      </c>
      <c r="AE221" s="312"/>
      <c r="AF221" s="312">
        <f>IFERROR(_xlfn.XLOOKUP($D221,'Modelling New'!$D:$D,'Modelling New'!$W:$W),"")</f>
        <v>0.28815656565656578</v>
      </c>
      <c r="AG221" s="312">
        <f>IFERROR(_xlfn.XLOOKUP($D221,'Modelling New'!$D:$D,'Modelling New'!$AE:$AE),"")</f>
        <v>0.95549849999999992</v>
      </c>
      <c r="AH221" s="312">
        <f>IFERROR(_xlfn.XLOOKUP($D221,'Modelling New'!$D:$D,'Modelling New'!$AF:$AF),"")</f>
        <v>0.995</v>
      </c>
      <c r="AI221" s="10" t="str">
        <f>IFERROR(_xlfn.XLOOKUP($A221,Input_Raw!$E:$E,Input_Raw!$DG:$DG),"")</f>
        <v/>
      </c>
      <c r="AJ221" s="10"/>
      <c r="AK221" s="10"/>
      <c r="AL221" s="10"/>
      <c r="AM221" s="10"/>
      <c r="AN221" s="314" t="str">
        <f>IFERROR(_xlfn.XLOOKUP($A221,Input_Raw!$E:$E,Input_Raw!$CY:$CY),"")</f>
        <v/>
      </c>
      <c r="AO221" s="312" t="str">
        <f>IFERROR((_xlfn.XLOOKUP($A221,'WTG Reactive Power'!$A:$A,'WTG Reactive Power'!AB:AB))/X221,"")</f>
        <v/>
      </c>
      <c r="AP221" s="312">
        <f>IFERROR(_xlfn.XLOOKUP($D221,'Modelling New'!$D:$D,'Modelling New'!AK:AK),"")</f>
        <v>0.05</v>
      </c>
      <c r="AQ221" s="312">
        <f>IFERROR(_xlfn.XLOOKUP($D221,'Modelling New'!$D:$D,'Modelling New'!AL:AL),"")</f>
        <v>0.05</v>
      </c>
      <c r="AR221" s="325">
        <f>IFERROR(_xlfn.XLOOKUP($D221,'Modelling New'!$D:$D,'Modelling New'!$N:$N),"")</f>
        <v>50.59999999999998</v>
      </c>
      <c r="AS221" s="325"/>
    </row>
    <row r="222" spans="1:45">
      <c r="A222" s="32">
        <f t="shared" si="24"/>
        <v>45965</v>
      </c>
      <c r="B222" s="43">
        <f>YEAR(Table13[[#This Row],[Date]])+IF(MONTH(Table13[[#This Row],[Date]])&gt;=4,1,0)</f>
        <v>2026</v>
      </c>
      <c r="C222" s="10">
        <f>YEAR(Table13[[#This Row],[Date]])</f>
        <v>2025</v>
      </c>
      <c r="D222" s="309">
        <f>Table13[[#This Row],[Date]]-DAY(Table13[[#This Row],[Date]])+1</f>
        <v>45962</v>
      </c>
      <c r="E222" s="10">
        <f t="shared" si="20"/>
        <v>30</v>
      </c>
      <c r="F222" s="241" t="str">
        <f>IFERROR(_xlfn.XLOOKUP($A222,Input_Raw!$E:$E,Input_Raw!DC:DC),"")</f>
        <v/>
      </c>
      <c r="G222" s="313"/>
      <c r="H222" s="313"/>
      <c r="I222" s="313"/>
      <c r="J222" s="313"/>
      <c r="K222" s="243"/>
      <c r="L222" s="242"/>
      <c r="M222" s="242" t="str">
        <f>IFERROR(_xlfn.XLOOKUP($A222,Input_Raw!$E:$E,Input_Raw!$BM:$BM),"")</f>
        <v/>
      </c>
      <c r="N222" s="242" t="str">
        <f>IFERROR(_xlfn.XLOOKUP($A222,Input_Raw!$E:$E,Input_Raw!$BN:$BN),"")</f>
        <v/>
      </c>
      <c r="O222" s="311" t="str">
        <f t="shared" si="21"/>
        <v/>
      </c>
      <c r="P222" s="311" t="str">
        <f>IFERROR(1-SUMIF(WTG_BD!$F:$F,$A222,WTG_BD!$AA:$AA)/($AA222+SUMIF(WTG_BD!$F:$F,$A222,WTG_BD!$AA:$AA)),"")</f>
        <v/>
      </c>
      <c r="Q222" s="328" t="str">
        <f>IFERROR(1-SUMIF(IGA_BD!$F:$F,$A222,IGA_BD!$W:$W)/($AA222+SUMIF(IGA_BD!$F:$F,$A222,IGA_BD!$W:$W)),"")</f>
        <v/>
      </c>
      <c r="R222" s="47" t="str">
        <f>IFERROR(1-SUMIF(Grid_BD!$F:$F,$A222,Grid_BD!$Y:$Y)/($AA222+SUMIF(Grid_BD!$F:$F,$A222,Grid_BD!$Y:$Y)),"")</f>
        <v/>
      </c>
      <c r="S222" s="10"/>
      <c r="T222" s="310"/>
      <c r="U222" s="311"/>
      <c r="V222" s="10"/>
      <c r="W222" s="312" t="str">
        <f t="shared" si="22"/>
        <v/>
      </c>
      <c r="X222" s="10" t="str">
        <f>IFERROR(_xlfn.XLOOKUP($A222,Input_Raw!$E:$E,Input_Raw!BG:BG),"")</f>
        <v/>
      </c>
      <c r="Y222" s="10" t="str">
        <f>IFERROR(_xlfn.XLOOKUP($A222,Input_Raw!$E:$E,Input_Raw!DF:DF),"")</f>
        <v/>
      </c>
      <c r="Z222" s="319" t="str">
        <f>IFERROR(_xlfn.XLOOKUP(A222,Input_Raw!E:E,Input_Raw!CT:CT)/_xlfn.XLOOKUP(A222,Input_Raw!E:E,Input_Raw!CS:CS)*Table13[[#This Row],[Mtr_Export (kWh)]],"")</f>
        <v/>
      </c>
      <c r="AA222" s="43" t="str">
        <f t="shared" si="23"/>
        <v/>
      </c>
      <c r="AB222" s="10" t="str">
        <f>IFERROR(_xlfn.XLOOKUP($A222,Input_Raw!$E:$E,Input_Raw!$CZ:$CZ),"")</f>
        <v/>
      </c>
      <c r="AC222" s="313">
        <f>IFERROR(_xlfn.XLOOKUP($D222,'Modelling New'!$D:$D,'Modelling New'!$J:$J),"")</f>
        <v>6.7073912546441834</v>
      </c>
      <c r="AD222" s="43">
        <f>IFERROR(_xlfn.XLOOKUP($D222,'Modelling New'!$D:$D,'Modelling New'!$T:$T)*1000,"")</f>
        <v>349937.33333333337</v>
      </c>
      <c r="AE222" s="312"/>
      <c r="AF222" s="312">
        <f>IFERROR(_xlfn.XLOOKUP($D222,'Modelling New'!$D:$D,'Modelling New'!$W:$W),"")</f>
        <v>0.28815656565656578</v>
      </c>
      <c r="AG222" s="312">
        <f>IFERROR(_xlfn.XLOOKUP($D222,'Modelling New'!$D:$D,'Modelling New'!$AE:$AE),"")</f>
        <v>0.95549849999999992</v>
      </c>
      <c r="AH222" s="312">
        <f>IFERROR(_xlfn.XLOOKUP($D222,'Modelling New'!$D:$D,'Modelling New'!$AF:$AF),"")</f>
        <v>0.995</v>
      </c>
      <c r="AI222" s="10" t="str">
        <f>IFERROR(_xlfn.XLOOKUP($A222,Input_Raw!$E:$E,Input_Raw!$DG:$DG),"")</f>
        <v/>
      </c>
      <c r="AJ222" s="10"/>
      <c r="AK222" s="10"/>
      <c r="AL222" s="10"/>
      <c r="AM222" s="10"/>
      <c r="AN222" s="314" t="str">
        <f>IFERROR(_xlfn.XLOOKUP($A222,Input_Raw!$E:$E,Input_Raw!$CY:$CY),"")</f>
        <v/>
      </c>
      <c r="AO222" s="312" t="str">
        <f>IFERROR((_xlfn.XLOOKUP($A222,'WTG Reactive Power'!$A:$A,'WTG Reactive Power'!AB:AB))/X222,"")</f>
        <v/>
      </c>
      <c r="AP222" s="312">
        <f>IFERROR(_xlfn.XLOOKUP($D222,'Modelling New'!$D:$D,'Modelling New'!AK:AK),"")</f>
        <v>0.05</v>
      </c>
      <c r="AQ222" s="312">
        <f>IFERROR(_xlfn.XLOOKUP($D222,'Modelling New'!$D:$D,'Modelling New'!AL:AL),"")</f>
        <v>0.05</v>
      </c>
      <c r="AR222" s="325">
        <f>IFERROR(_xlfn.XLOOKUP($D222,'Modelling New'!$D:$D,'Modelling New'!$N:$N),"")</f>
        <v>50.59999999999998</v>
      </c>
      <c r="AS222" s="325"/>
    </row>
    <row r="223" spans="1:45">
      <c r="A223" s="32">
        <f t="shared" si="24"/>
        <v>45966</v>
      </c>
      <c r="B223" s="43">
        <f>YEAR(Table13[[#This Row],[Date]])+IF(MONTH(Table13[[#This Row],[Date]])&gt;=4,1,0)</f>
        <v>2026</v>
      </c>
      <c r="C223" s="10">
        <f>YEAR(Table13[[#This Row],[Date]])</f>
        <v>2025</v>
      </c>
      <c r="D223" s="309">
        <f>Table13[[#This Row],[Date]]-DAY(Table13[[#This Row],[Date]])+1</f>
        <v>45962</v>
      </c>
      <c r="E223" s="10">
        <f t="shared" si="20"/>
        <v>30</v>
      </c>
      <c r="F223" s="241" t="str">
        <f>IFERROR(_xlfn.XLOOKUP($A223,Input_Raw!$E:$E,Input_Raw!DC:DC),"")</f>
        <v/>
      </c>
      <c r="G223" s="242"/>
      <c r="H223" s="242"/>
      <c r="I223" s="242"/>
      <c r="J223" s="242"/>
      <c r="K223" s="243"/>
      <c r="L223" s="242"/>
      <c r="M223" s="242" t="str">
        <f>IFERROR(_xlfn.XLOOKUP($A223,Input_Raw!$E:$E,Input_Raw!$BM:$BM),"")</f>
        <v/>
      </c>
      <c r="N223" s="242" t="str">
        <f>IFERROR(_xlfn.XLOOKUP($A223,Input_Raw!$E:$E,Input_Raw!$BN:$BN),"")</f>
        <v/>
      </c>
      <c r="O223" s="311" t="str">
        <f t="shared" si="21"/>
        <v/>
      </c>
      <c r="P223" s="311" t="str">
        <f>IFERROR(1-SUMIF(WTG_BD!$F:$F,$A223,WTG_BD!$AA:$AA)/($AA223+SUMIF(WTG_BD!$F:$F,$A223,WTG_BD!$AA:$AA)),"")</f>
        <v/>
      </c>
      <c r="Q223" s="328" t="str">
        <f>IFERROR(1-SUMIF(IGA_BD!$F:$F,$A223,IGA_BD!$W:$W)/($AA223+SUMIF(IGA_BD!$F:$F,$A223,IGA_BD!$W:$W)),"")</f>
        <v/>
      </c>
      <c r="R223" s="311" t="str">
        <f>IFERROR(1-SUMIF(Grid_BD!$F:$F,$A223,Grid_BD!$Y:$Y)/($AA223+SUMIF(Grid_BD!$F:$F,$A223,Grid_BD!$Y:$Y)),"")</f>
        <v/>
      </c>
      <c r="S223" s="10"/>
      <c r="T223" s="310"/>
      <c r="U223" s="311"/>
      <c r="V223" s="10"/>
      <c r="W223" s="312" t="str">
        <f t="shared" si="22"/>
        <v/>
      </c>
      <c r="X223" s="10" t="str">
        <f>IFERROR(_xlfn.XLOOKUP($A223,Input_Raw!$E:$E,Input_Raw!BG:BG),"")</f>
        <v/>
      </c>
      <c r="Y223" s="10" t="str">
        <f>IFERROR(_xlfn.XLOOKUP($A223,Input_Raw!$E:$E,Input_Raw!DF:DF),"")</f>
        <v/>
      </c>
      <c r="Z223" s="319" t="str">
        <f>IFERROR(_xlfn.XLOOKUP(A223,Input_Raw!E:E,Input_Raw!CT:CT)/_xlfn.XLOOKUP(A223,Input_Raw!E:E,Input_Raw!CS:CS)*Table13[[#This Row],[Mtr_Export (kWh)]],"")</f>
        <v/>
      </c>
      <c r="AA223" s="43" t="str">
        <f t="shared" si="23"/>
        <v/>
      </c>
      <c r="AB223" s="10" t="str">
        <f>IFERROR(_xlfn.XLOOKUP($A223,Input_Raw!$E:$E,Input_Raw!$CZ:$CZ),"")</f>
        <v/>
      </c>
      <c r="AC223" s="313">
        <f>IFERROR(_xlfn.XLOOKUP($D223,'Modelling New'!$D:$D,'Modelling New'!$J:$J),"")</f>
        <v>6.7073912546441834</v>
      </c>
      <c r="AD223" s="43">
        <f>IFERROR(_xlfn.XLOOKUP($D223,'Modelling New'!$D:$D,'Modelling New'!$T:$T)*1000,"")</f>
        <v>349937.33333333337</v>
      </c>
      <c r="AE223" s="312"/>
      <c r="AF223" s="312">
        <f>IFERROR(_xlfn.XLOOKUP($D223,'Modelling New'!$D:$D,'Modelling New'!$W:$W),"")</f>
        <v>0.28815656565656578</v>
      </c>
      <c r="AG223" s="312">
        <f>IFERROR(_xlfn.XLOOKUP($D223,'Modelling New'!$D:$D,'Modelling New'!$AE:$AE),"")</f>
        <v>0.95549849999999992</v>
      </c>
      <c r="AH223" s="312">
        <f>IFERROR(_xlfn.XLOOKUP($D223,'Modelling New'!$D:$D,'Modelling New'!$AF:$AF),"")</f>
        <v>0.995</v>
      </c>
      <c r="AI223" s="10" t="str">
        <f>IFERROR(_xlfn.XLOOKUP($A223,Input_Raw!$E:$E,Input_Raw!$DG:$DG),"")</f>
        <v/>
      </c>
      <c r="AJ223" s="10"/>
      <c r="AK223" s="10"/>
      <c r="AL223" s="10"/>
      <c r="AM223" s="10"/>
      <c r="AN223" s="314" t="str">
        <f>IFERROR(_xlfn.XLOOKUP($A223,Input_Raw!$E:$E,Input_Raw!$CY:$CY),"")</f>
        <v/>
      </c>
      <c r="AO223" s="312" t="str">
        <f>IFERROR((_xlfn.XLOOKUP($A223,'WTG Reactive Power'!$A:$A,'WTG Reactive Power'!AB:AB))/X223,"")</f>
        <v/>
      </c>
      <c r="AP223" s="312">
        <f>IFERROR(_xlfn.XLOOKUP($D223,'Modelling New'!$D:$D,'Modelling New'!AK:AK),"")</f>
        <v>0.05</v>
      </c>
      <c r="AQ223" s="312">
        <f>IFERROR(_xlfn.XLOOKUP($D223,'Modelling New'!$D:$D,'Modelling New'!AL:AL),"")</f>
        <v>0.05</v>
      </c>
      <c r="AR223" s="325">
        <f>IFERROR(_xlfn.XLOOKUP($D223,'Modelling New'!$D:$D,'Modelling New'!$N:$N),"")</f>
        <v>50.59999999999998</v>
      </c>
      <c r="AS223" s="325"/>
    </row>
    <row r="224" spans="1:45">
      <c r="A224" s="32">
        <f t="shared" si="24"/>
        <v>45967</v>
      </c>
      <c r="B224" s="43">
        <f>YEAR(Table13[[#This Row],[Date]])+IF(MONTH(Table13[[#This Row],[Date]])&gt;=4,1,0)</f>
        <v>2026</v>
      </c>
      <c r="C224" s="10">
        <f>YEAR(Table13[[#This Row],[Date]])</f>
        <v>2025</v>
      </c>
      <c r="D224" s="309">
        <f>Table13[[#This Row],[Date]]-DAY(Table13[[#This Row],[Date]])+1</f>
        <v>45962</v>
      </c>
      <c r="E224" s="10">
        <f t="shared" si="20"/>
        <v>30</v>
      </c>
      <c r="F224" s="241" t="str">
        <f>IFERROR(_xlfn.XLOOKUP($A224,Input_Raw!$E:$E,Input_Raw!DC:DC),"")</f>
        <v/>
      </c>
      <c r="G224" s="313"/>
      <c r="H224" s="313"/>
      <c r="I224" s="313"/>
      <c r="J224" s="313"/>
      <c r="K224" s="243"/>
      <c r="L224" s="242"/>
      <c r="M224" s="242" t="str">
        <f>IFERROR(_xlfn.XLOOKUP($A224,Input_Raw!$E:$E,Input_Raw!$BM:$BM),"")</f>
        <v/>
      </c>
      <c r="N224" s="242" t="str">
        <f>IFERROR(_xlfn.XLOOKUP($A224,Input_Raw!$E:$E,Input_Raw!$BN:$BN),"")</f>
        <v/>
      </c>
      <c r="O224" s="311" t="str">
        <f t="shared" si="21"/>
        <v/>
      </c>
      <c r="P224" s="311" t="str">
        <f>IFERROR(1-SUMIF(WTG_BD!$F:$F,$A224,WTG_BD!$AA:$AA)/($AA224+SUMIF(WTG_BD!$F:$F,$A224,WTG_BD!$AA:$AA)),"")</f>
        <v/>
      </c>
      <c r="Q224" s="328" t="str">
        <f>IFERROR(1-SUMIF(IGA_BD!$F:$F,$A224,IGA_BD!$W:$W)/($AA224+SUMIF(IGA_BD!$F:$F,$A224,IGA_BD!$W:$W)),"")</f>
        <v/>
      </c>
      <c r="R224" s="47" t="str">
        <f>IFERROR(1-SUMIF(Grid_BD!$F:$F,$A224,Grid_BD!$Y:$Y)/($AA224+SUMIF(Grid_BD!$F:$F,$A224,Grid_BD!$Y:$Y)),"")</f>
        <v/>
      </c>
      <c r="S224" s="10"/>
      <c r="T224" s="310"/>
      <c r="U224" s="311"/>
      <c r="V224" s="10"/>
      <c r="W224" s="312" t="str">
        <f t="shared" si="22"/>
        <v/>
      </c>
      <c r="X224" s="10" t="str">
        <f>IFERROR(_xlfn.XLOOKUP($A224,Input_Raw!$E:$E,Input_Raw!BG:BG),"")</f>
        <v/>
      </c>
      <c r="Y224" s="10" t="str">
        <f>IFERROR(_xlfn.XLOOKUP($A224,Input_Raw!$E:$E,Input_Raw!DF:DF),"")</f>
        <v/>
      </c>
      <c r="Z224" s="319" t="str">
        <f>IFERROR(_xlfn.XLOOKUP(A224,Input_Raw!E:E,Input_Raw!CT:CT)/_xlfn.XLOOKUP(A224,Input_Raw!E:E,Input_Raw!CS:CS)*Table13[[#This Row],[Mtr_Export (kWh)]],"")</f>
        <v/>
      </c>
      <c r="AA224" s="43" t="str">
        <f t="shared" si="23"/>
        <v/>
      </c>
      <c r="AB224" s="10" t="str">
        <f>IFERROR(_xlfn.XLOOKUP($A224,Input_Raw!$E:$E,Input_Raw!$CZ:$CZ),"")</f>
        <v/>
      </c>
      <c r="AC224" s="313">
        <f>IFERROR(_xlfn.XLOOKUP($D224,'Modelling New'!$D:$D,'Modelling New'!$J:$J),"")</f>
        <v>6.7073912546441834</v>
      </c>
      <c r="AD224" s="43">
        <f>IFERROR(_xlfn.XLOOKUP($D224,'Modelling New'!$D:$D,'Modelling New'!$T:$T)*1000,"")</f>
        <v>349937.33333333337</v>
      </c>
      <c r="AE224" s="312"/>
      <c r="AF224" s="312">
        <f>IFERROR(_xlfn.XLOOKUP($D224,'Modelling New'!$D:$D,'Modelling New'!$W:$W),"")</f>
        <v>0.28815656565656578</v>
      </c>
      <c r="AG224" s="312">
        <f>IFERROR(_xlfn.XLOOKUP($D224,'Modelling New'!$D:$D,'Modelling New'!$AE:$AE),"")</f>
        <v>0.95549849999999992</v>
      </c>
      <c r="AH224" s="312">
        <f>IFERROR(_xlfn.XLOOKUP($D224,'Modelling New'!$D:$D,'Modelling New'!$AF:$AF),"")</f>
        <v>0.995</v>
      </c>
      <c r="AI224" s="10" t="str">
        <f>IFERROR(_xlfn.XLOOKUP($A224,Input_Raw!$E:$E,Input_Raw!$DG:$DG),"")</f>
        <v/>
      </c>
      <c r="AJ224" s="10"/>
      <c r="AK224" s="10"/>
      <c r="AL224" s="10"/>
      <c r="AM224" s="10"/>
      <c r="AN224" s="314" t="str">
        <f>IFERROR(_xlfn.XLOOKUP($A224,Input_Raw!$E:$E,Input_Raw!$CY:$CY),"")</f>
        <v/>
      </c>
      <c r="AO224" s="312" t="str">
        <f>IFERROR((_xlfn.XLOOKUP($A224,'WTG Reactive Power'!$A:$A,'WTG Reactive Power'!AB:AB))/X224,"")</f>
        <v/>
      </c>
      <c r="AP224" s="312">
        <f>IFERROR(_xlfn.XLOOKUP($D224,'Modelling New'!$D:$D,'Modelling New'!AK:AK),"")</f>
        <v>0.05</v>
      </c>
      <c r="AQ224" s="312">
        <f>IFERROR(_xlfn.XLOOKUP($D224,'Modelling New'!$D:$D,'Modelling New'!AL:AL),"")</f>
        <v>0.05</v>
      </c>
      <c r="AR224" s="325">
        <f>IFERROR(_xlfn.XLOOKUP($D224,'Modelling New'!$D:$D,'Modelling New'!$N:$N),"")</f>
        <v>50.59999999999998</v>
      </c>
      <c r="AS224" s="325"/>
    </row>
    <row r="225" spans="1:45">
      <c r="A225" s="32">
        <f t="shared" si="24"/>
        <v>45968</v>
      </c>
      <c r="B225" s="43">
        <f>YEAR(Table13[[#This Row],[Date]])+IF(MONTH(Table13[[#This Row],[Date]])&gt;=4,1,0)</f>
        <v>2026</v>
      </c>
      <c r="C225" s="10">
        <f>YEAR(Table13[[#This Row],[Date]])</f>
        <v>2025</v>
      </c>
      <c r="D225" s="309">
        <f>Table13[[#This Row],[Date]]-DAY(Table13[[#This Row],[Date]])+1</f>
        <v>45962</v>
      </c>
      <c r="E225" s="10">
        <f t="shared" si="20"/>
        <v>30</v>
      </c>
      <c r="F225" s="241" t="str">
        <f>IFERROR(_xlfn.XLOOKUP($A225,Input_Raw!$E:$E,Input_Raw!DC:DC),"")</f>
        <v/>
      </c>
      <c r="G225" s="242"/>
      <c r="H225" s="242"/>
      <c r="I225" s="242"/>
      <c r="J225" s="242"/>
      <c r="K225" s="243"/>
      <c r="L225" s="242"/>
      <c r="M225" s="242" t="str">
        <f>IFERROR(_xlfn.XLOOKUP($A225,Input_Raw!$E:$E,Input_Raw!$BM:$BM),"")</f>
        <v/>
      </c>
      <c r="N225" s="242" t="str">
        <f>IFERROR(_xlfn.XLOOKUP($A225,Input_Raw!$E:$E,Input_Raw!$BN:$BN),"")</f>
        <v/>
      </c>
      <c r="O225" s="311" t="str">
        <f t="shared" si="21"/>
        <v/>
      </c>
      <c r="P225" s="311" t="str">
        <f>IFERROR(1-SUMIF(WTG_BD!$F:$F,$A225,WTG_BD!$AA:$AA)/($AA225+SUMIF(WTG_BD!$F:$F,$A225,WTG_BD!$AA:$AA)),"")</f>
        <v/>
      </c>
      <c r="Q225" s="328" t="str">
        <f>IFERROR(1-SUMIF(IGA_BD!$F:$F,$A225,IGA_BD!$W:$W)/($AA225+SUMIF(IGA_BD!$F:$F,$A225,IGA_BD!$W:$W)),"")</f>
        <v/>
      </c>
      <c r="R225" s="311" t="str">
        <f>IFERROR(1-SUMIF(Grid_BD!$F:$F,$A225,Grid_BD!$Y:$Y)/($AA225+SUMIF(Grid_BD!$F:$F,$A225,Grid_BD!$Y:$Y)),"")</f>
        <v/>
      </c>
      <c r="S225" s="10"/>
      <c r="T225" s="310"/>
      <c r="U225" s="311"/>
      <c r="V225" s="10"/>
      <c r="W225" s="312" t="str">
        <f t="shared" si="22"/>
        <v/>
      </c>
      <c r="X225" s="10" t="str">
        <f>IFERROR(_xlfn.XLOOKUP($A225,Input_Raw!$E:$E,Input_Raw!BG:BG),"")</f>
        <v/>
      </c>
      <c r="Y225" s="10" t="str">
        <f>IFERROR(_xlfn.XLOOKUP($A225,Input_Raw!$E:$E,Input_Raw!DF:DF),"")</f>
        <v/>
      </c>
      <c r="Z225" s="319" t="str">
        <f>IFERROR(_xlfn.XLOOKUP(A225,Input_Raw!E:E,Input_Raw!CT:CT)/_xlfn.XLOOKUP(A225,Input_Raw!E:E,Input_Raw!CS:CS)*Table13[[#This Row],[Mtr_Export (kWh)]],"")</f>
        <v/>
      </c>
      <c r="AA225" s="43" t="str">
        <f t="shared" si="23"/>
        <v/>
      </c>
      <c r="AB225" s="10" t="str">
        <f>IFERROR(_xlfn.XLOOKUP($A225,Input_Raw!$E:$E,Input_Raw!$CZ:$CZ),"")</f>
        <v/>
      </c>
      <c r="AC225" s="313">
        <f>IFERROR(_xlfn.XLOOKUP($D225,'Modelling New'!$D:$D,'Modelling New'!$J:$J),"")</f>
        <v>6.7073912546441834</v>
      </c>
      <c r="AD225" s="43">
        <f>IFERROR(_xlfn.XLOOKUP($D225,'Modelling New'!$D:$D,'Modelling New'!$T:$T)*1000,"")</f>
        <v>349937.33333333337</v>
      </c>
      <c r="AE225" s="312"/>
      <c r="AF225" s="312">
        <f>IFERROR(_xlfn.XLOOKUP($D225,'Modelling New'!$D:$D,'Modelling New'!$W:$W),"")</f>
        <v>0.28815656565656578</v>
      </c>
      <c r="AG225" s="312">
        <f>IFERROR(_xlfn.XLOOKUP($D225,'Modelling New'!$D:$D,'Modelling New'!$AE:$AE),"")</f>
        <v>0.95549849999999992</v>
      </c>
      <c r="AH225" s="312">
        <f>IFERROR(_xlfn.XLOOKUP($D225,'Modelling New'!$D:$D,'Modelling New'!$AF:$AF),"")</f>
        <v>0.995</v>
      </c>
      <c r="AI225" s="10" t="str">
        <f>IFERROR(_xlfn.XLOOKUP($A225,Input_Raw!$E:$E,Input_Raw!$DG:$DG),"")</f>
        <v/>
      </c>
      <c r="AJ225" s="10"/>
      <c r="AK225" s="10"/>
      <c r="AL225" s="10"/>
      <c r="AM225" s="10"/>
      <c r="AN225" s="314" t="str">
        <f>IFERROR(_xlfn.XLOOKUP($A225,Input_Raw!$E:$E,Input_Raw!$CY:$CY),"")</f>
        <v/>
      </c>
      <c r="AO225" s="312" t="str">
        <f>IFERROR((_xlfn.XLOOKUP($A225,'WTG Reactive Power'!$A:$A,'WTG Reactive Power'!AB:AB))/X225,"")</f>
        <v/>
      </c>
      <c r="AP225" s="312">
        <f>IFERROR(_xlfn.XLOOKUP($D225,'Modelling New'!$D:$D,'Modelling New'!AK:AK),"")</f>
        <v>0.05</v>
      </c>
      <c r="AQ225" s="312">
        <f>IFERROR(_xlfn.XLOOKUP($D225,'Modelling New'!$D:$D,'Modelling New'!AL:AL),"")</f>
        <v>0.05</v>
      </c>
      <c r="AR225" s="325">
        <f>IFERROR(_xlfn.XLOOKUP($D225,'Modelling New'!$D:$D,'Modelling New'!$N:$N),"")</f>
        <v>50.59999999999998</v>
      </c>
      <c r="AS225" s="325"/>
    </row>
    <row r="226" spans="1:45">
      <c r="A226" s="32">
        <f t="shared" si="24"/>
        <v>45969</v>
      </c>
      <c r="B226" s="43">
        <f>YEAR(Table13[[#This Row],[Date]])+IF(MONTH(Table13[[#This Row],[Date]])&gt;=4,1,0)</f>
        <v>2026</v>
      </c>
      <c r="C226" s="10">
        <f>YEAR(Table13[[#This Row],[Date]])</f>
        <v>2025</v>
      </c>
      <c r="D226" s="309">
        <f>Table13[[#This Row],[Date]]-DAY(Table13[[#This Row],[Date]])+1</f>
        <v>45962</v>
      </c>
      <c r="E226" s="10">
        <f t="shared" si="20"/>
        <v>30</v>
      </c>
      <c r="F226" s="241" t="str">
        <f>IFERROR(_xlfn.XLOOKUP($A226,Input_Raw!$E:$E,Input_Raw!DC:DC),"")</f>
        <v/>
      </c>
      <c r="G226" s="313"/>
      <c r="H226" s="313"/>
      <c r="I226" s="313"/>
      <c r="J226" s="313"/>
      <c r="K226" s="243"/>
      <c r="L226" s="242"/>
      <c r="M226" s="242" t="str">
        <f>IFERROR(_xlfn.XLOOKUP($A226,Input_Raw!$E:$E,Input_Raw!$BM:$BM),"")</f>
        <v/>
      </c>
      <c r="N226" s="242" t="str">
        <f>IFERROR(_xlfn.XLOOKUP($A226,Input_Raw!$E:$E,Input_Raw!$BN:$BN),"")</f>
        <v/>
      </c>
      <c r="O226" s="311" t="str">
        <f t="shared" si="21"/>
        <v/>
      </c>
      <c r="P226" s="311" t="str">
        <f>IFERROR(1-SUMIF(WTG_BD!$F:$F,$A226,WTG_BD!$AA:$AA)/($AA226+SUMIF(WTG_BD!$F:$F,$A226,WTG_BD!$AA:$AA)),"")</f>
        <v/>
      </c>
      <c r="Q226" s="328" t="str">
        <f>IFERROR(1-SUMIF(IGA_BD!$F:$F,$A226,IGA_BD!$W:$W)/($AA226+SUMIF(IGA_BD!$F:$F,$A226,IGA_BD!$W:$W)),"")</f>
        <v/>
      </c>
      <c r="R226" s="47" t="str">
        <f>IFERROR(1-SUMIF(Grid_BD!$F:$F,$A226,Grid_BD!$Y:$Y)/($AA226+SUMIF(Grid_BD!$F:$F,$A226,Grid_BD!$Y:$Y)),"")</f>
        <v/>
      </c>
      <c r="S226" s="10"/>
      <c r="T226" s="310"/>
      <c r="U226" s="311"/>
      <c r="V226" s="10"/>
      <c r="W226" s="312" t="str">
        <f t="shared" si="22"/>
        <v/>
      </c>
      <c r="X226" s="10" t="str">
        <f>IFERROR(_xlfn.XLOOKUP($A226,Input_Raw!$E:$E,Input_Raw!BG:BG),"")</f>
        <v/>
      </c>
      <c r="Y226" s="10" t="str">
        <f>IFERROR(_xlfn.XLOOKUP($A226,Input_Raw!$E:$E,Input_Raw!DF:DF),"")</f>
        <v/>
      </c>
      <c r="Z226" s="319" t="str">
        <f>IFERROR(_xlfn.XLOOKUP(A226,Input_Raw!E:E,Input_Raw!CT:CT)/_xlfn.XLOOKUP(A226,Input_Raw!E:E,Input_Raw!CS:CS)*Table13[[#This Row],[Mtr_Export (kWh)]],"")</f>
        <v/>
      </c>
      <c r="AA226" s="43" t="str">
        <f t="shared" si="23"/>
        <v/>
      </c>
      <c r="AB226" s="10" t="str">
        <f>IFERROR(_xlfn.XLOOKUP($A226,Input_Raw!$E:$E,Input_Raw!$CZ:$CZ),"")</f>
        <v/>
      </c>
      <c r="AC226" s="313">
        <f>IFERROR(_xlfn.XLOOKUP($D226,'Modelling New'!$D:$D,'Modelling New'!$J:$J),"")</f>
        <v>6.7073912546441834</v>
      </c>
      <c r="AD226" s="43">
        <f>IFERROR(_xlfn.XLOOKUP($D226,'Modelling New'!$D:$D,'Modelling New'!$T:$T)*1000,"")</f>
        <v>349937.33333333337</v>
      </c>
      <c r="AE226" s="312"/>
      <c r="AF226" s="312">
        <f>IFERROR(_xlfn.XLOOKUP($D226,'Modelling New'!$D:$D,'Modelling New'!$W:$W),"")</f>
        <v>0.28815656565656578</v>
      </c>
      <c r="AG226" s="312">
        <f>IFERROR(_xlfn.XLOOKUP($D226,'Modelling New'!$D:$D,'Modelling New'!$AE:$AE),"")</f>
        <v>0.95549849999999992</v>
      </c>
      <c r="AH226" s="312">
        <f>IFERROR(_xlfn.XLOOKUP($D226,'Modelling New'!$D:$D,'Modelling New'!$AF:$AF),"")</f>
        <v>0.995</v>
      </c>
      <c r="AI226" s="10" t="str">
        <f>IFERROR(_xlfn.XLOOKUP($A226,Input_Raw!$E:$E,Input_Raw!$DG:$DG),"")</f>
        <v/>
      </c>
      <c r="AJ226" s="10"/>
      <c r="AK226" s="10"/>
      <c r="AL226" s="10"/>
      <c r="AM226" s="10"/>
      <c r="AN226" s="314" t="str">
        <f>IFERROR(_xlfn.XLOOKUP($A226,Input_Raw!$E:$E,Input_Raw!$CY:$CY),"")</f>
        <v/>
      </c>
      <c r="AO226" s="312" t="str">
        <f>IFERROR((_xlfn.XLOOKUP($A226,'WTG Reactive Power'!$A:$A,'WTG Reactive Power'!AB:AB))/X226,"")</f>
        <v/>
      </c>
      <c r="AP226" s="312">
        <f>IFERROR(_xlfn.XLOOKUP($D226,'Modelling New'!$D:$D,'Modelling New'!AK:AK),"")</f>
        <v>0.05</v>
      </c>
      <c r="AQ226" s="312">
        <f>IFERROR(_xlfn.XLOOKUP($D226,'Modelling New'!$D:$D,'Modelling New'!AL:AL),"")</f>
        <v>0.05</v>
      </c>
      <c r="AR226" s="325">
        <f>IFERROR(_xlfn.XLOOKUP($D226,'Modelling New'!$D:$D,'Modelling New'!$N:$N),"")</f>
        <v>50.59999999999998</v>
      </c>
      <c r="AS226" s="325"/>
    </row>
    <row r="227" spans="1:45">
      <c r="A227" s="32">
        <f t="shared" si="24"/>
        <v>45970</v>
      </c>
      <c r="B227" s="43">
        <f>YEAR(Table13[[#This Row],[Date]])+IF(MONTH(Table13[[#This Row],[Date]])&gt;=4,1,0)</f>
        <v>2026</v>
      </c>
      <c r="C227" s="10">
        <f>YEAR(Table13[[#This Row],[Date]])</f>
        <v>2025</v>
      </c>
      <c r="D227" s="309">
        <f>Table13[[#This Row],[Date]]-DAY(Table13[[#This Row],[Date]])+1</f>
        <v>45962</v>
      </c>
      <c r="E227" s="10">
        <f t="shared" si="20"/>
        <v>30</v>
      </c>
      <c r="F227" s="241" t="str">
        <f>IFERROR(_xlfn.XLOOKUP($A227,Input_Raw!$E:$E,Input_Raw!DC:DC),"")</f>
        <v/>
      </c>
      <c r="G227" s="242"/>
      <c r="H227" s="242"/>
      <c r="I227" s="242"/>
      <c r="J227" s="242"/>
      <c r="K227" s="243"/>
      <c r="L227" s="242"/>
      <c r="M227" s="242" t="str">
        <f>IFERROR(_xlfn.XLOOKUP($A227,Input_Raw!$E:$E,Input_Raw!$BM:$BM),"")</f>
        <v/>
      </c>
      <c r="N227" s="242" t="str">
        <f>IFERROR(_xlfn.XLOOKUP($A227,Input_Raw!$E:$E,Input_Raw!$BN:$BN),"")</f>
        <v/>
      </c>
      <c r="O227" s="311" t="str">
        <f t="shared" si="21"/>
        <v/>
      </c>
      <c r="P227" s="311" t="str">
        <f>IFERROR(1-SUMIF(WTG_BD!$F:$F,$A227,WTG_BD!$AA:$AA)/($AA227+SUMIF(WTG_BD!$F:$F,$A227,WTG_BD!$AA:$AA)),"")</f>
        <v/>
      </c>
      <c r="Q227" s="328" t="str">
        <f>IFERROR(1-SUMIF(IGA_BD!$F:$F,$A227,IGA_BD!$W:$W)/($AA227+SUMIF(IGA_BD!$F:$F,$A227,IGA_BD!$W:$W)),"")</f>
        <v/>
      </c>
      <c r="R227" s="311" t="str">
        <f>IFERROR(1-SUMIF(Grid_BD!$F:$F,$A227,Grid_BD!$Y:$Y)/($AA227+SUMIF(Grid_BD!$F:$F,$A227,Grid_BD!$Y:$Y)),"")</f>
        <v/>
      </c>
      <c r="S227" s="10"/>
      <c r="T227" s="310"/>
      <c r="U227" s="311"/>
      <c r="V227" s="10"/>
      <c r="W227" s="312" t="str">
        <f t="shared" si="22"/>
        <v/>
      </c>
      <c r="X227" s="10" t="str">
        <f>IFERROR(_xlfn.XLOOKUP($A227,Input_Raw!$E:$E,Input_Raw!BG:BG),"")</f>
        <v/>
      </c>
      <c r="Y227" s="10" t="str">
        <f>IFERROR(_xlfn.XLOOKUP($A227,Input_Raw!$E:$E,Input_Raw!DF:DF),"")</f>
        <v/>
      </c>
      <c r="Z227" s="319" t="str">
        <f>IFERROR(_xlfn.XLOOKUP(A227,Input_Raw!E:E,Input_Raw!CT:CT)/_xlfn.XLOOKUP(A227,Input_Raw!E:E,Input_Raw!CS:CS)*Table13[[#This Row],[Mtr_Export (kWh)]],"")</f>
        <v/>
      </c>
      <c r="AA227" s="43" t="str">
        <f t="shared" si="23"/>
        <v/>
      </c>
      <c r="AB227" s="10" t="str">
        <f>IFERROR(_xlfn.XLOOKUP($A227,Input_Raw!$E:$E,Input_Raw!$CZ:$CZ),"")</f>
        <v/>
      </c>
      <c r="AC227" s="313">
        <f>IFERROR(_xlfn.XLOOKUP($D227,'Modelling New'!$D:$D,'Modelling New'!$J:$J),"")</f>
        <v>6.7073912546441834</v>
      </c>
      <c r="AD227" s="43">
        <f>IFERROR(_xlfn.XLOOKUP($D227,'Modelling New'!$D:$D,'Modelling New'!$T:$T)*1000,"")</f>
        <v>349937.33333333337</v>
      </c>
      <c r="AE227" s="312"/>
      <c r="AF227" s="312">
        <f>IFERROR(_xlfn.XLOOKUP($D227,'Modelling New'!$D:$D,'Modelling New'!$W:$W),"")</f>
        <v>0.28815656565656578</v>
      </c>
      <c r="AG227" s="312">
        <f>IFERROR(_xlfn.XLOOKUP($D227,'Modelling New'!$D:$D,'Modelling New'!$AE:$AE),"")</f>
        <v>0.95549849999999992</v>
      </c>
      <c r="AH227" s="312">
        <f>IFERROR(_xlfn.XLOOKUP($D227,'Modelling New'!$D:$D,'Modelling New'!$AF:$AF),"")</f>
        <v>0.995</v>
      </c>
      <c r="AI227" s="10" t="str">
        <f>IFERROR(_xlfn.XLOOKUP($A227,Input_Raw!$E:$E,Input_Raw!$DG:$DG),"")</f>
        <v/>
      </c>
      <c r="AJ227" s="10"/>
      <c r="AK227" s="10"/>
      <c r="AL227" s="10"/>
      <c r="AM227" s="10"/>
      <c r="AN227" s="314" t="str">
        <f>IFERROR(_xlfn.XLOOKUP($A227,Input_Raw!$E:$E,Input_Raw!$CY:$CY),"")</f>
        <v/>
      </c>
      <c r="AO227" s="312" t="str">
        <f>IFERROR((_xlfn.XLOOKUP($A227,'WTG Reactive Power'!$A:$A,'WTG Reactive Power'!AB:AB))/X227,"")</f>
        <v/>
      </c>
      <c r="AP227" s="312">
        <f>IFERROR(_xlfn.XLOOKUP($D227,'Modelling New'!$D:$D,'Modelling New'!AK:AK),"")</f>
        <v>0.05</v>
      </c>
      <c r="AQ227" s="312">
        <f>IFERROR(_xlfn.XLOOKUP($D227,'Modelling New'!$D:$D,'Modelling New'!AL:AL),"")</f>
        <v>0.05</v>
      </c>
      <c r="AR227" s="325">
        <f>IFERROR(_xlfn.XLOOKUP($D227,'Modelling New'!$D:$D,'Modelling New'!$N:$N),"")</f>
        <v>50.59999999999998</v>
      </c>
      <c r="AS227" s="325"/>
    </row>
    <row r="228" spans="1:45">
      <c r="A228" s="32">
        <f t="shared" si="24"/>
        <v>45971</v>
      </c>
      <c r="B228" s="43">
        <f>YEAR(Table13[[#This Row],[Date]])+IF(MONTH(Table13[[#This Row],[Date]])&gt;=4,1,0)</f>
        <v>2026</v>
      </c>
      <c r="C228" s="10">
        <f>YEAR(Table13[[#This Row],[Date]])</f>
        <v>2025</v>
      </c>
      <c r="D228" s="309">
        <f>Table13[[#This Row],[Date]]-DAY(Table13[[#This Row],[Date]])+1</f>
        <v>45962</v>
      </c>
      <c r="E228" s="10">
        <f t="shared" si="20"/>
        <v>30</v>
      </c>
      <c r="F228" s="241" t="str">
        <f>IFERROR(_xlfn.XLOOKUP($A228,Input_Raw!$E:$E,Input_Raw!DC:DC),"")</f>
        <v/>
      </c>
      <c r="G228" s="313"/>
      <c r="H228" s="313"/>
      <c r="I228" s="313"/>
      <c r="J228" s="313"/>
      <c r="K228" s="243"/>
      <c r="L228" s="242"/>
      <c r="M228" s="242" t="str">
        <f>IFERROR(_xlfn.XLOOKUP($A228,Input_Raw!$E:$E,Input_Raw!$BM:$BM),"")</f>
        <v/>
      </c>
      <c r="N228" s="242" t="str">
        <f>IFERROR(_xlfn.XLOOKUP($A228,Input_Raw!$E:$E,Input_Raw!$BN:$BN),"")</f>
        <v/>
      </c>
      <c r="O228" s="311" t="str">
        <f t="shared" si="21"/>
        <v/>
      </c>
      <c r="P228" s="311" t="str">
        <f>IFERROR(1-SUMIF(WTG_BD!$F:$F,$A228,WTG_BD!$AA:$AA)/($AA228+SUMIF(WTG_BD!$F:$F,$A228,WTG_BD!$AA:$AA)),"")</f>
        <v/>
      </c>
      <c r="Q228" s="328" t="str">
        <f>IFERROR(1-SUMIF(IGA_BD!$F:$F,$A228,IGA_BD!$W:$W)/($AA228+SUMIF(IGA_BD!$F:$F,$A228,IGA_BD!$W:$W)),"")</f>
        <v/>
      </c>
      <c r="R228" s="47" t="str">
        <f>IFERROR(1-SUMIF(Grid_BD!$F:$F,$A228,Grid_BD!$Y:$Y)/($AA228+SUMIF(Grid_BD!$F:$F,$A228,Grid_BD!$Y:$Y)),"")</f>
        <v/>
      </c>
      <c r="S228" s="10"/>
      <c r="T228" s="310"/>
      <c r="U228" s="311"/>
      <c r="V228" s="10"/>
      <c r="W228" s="312" t="str">
        <f t="shared" si="22"/>
        <v/>
      </c>
      <c r="X228" s="10" t="str">
        <f>IFERROR(_xlfn.XLOOKUP($A228,Input_Raw!$E:$E,Input_Raw!BG:BG),"")</f>
        <v/>
      </c>
      <c r="Y228" s="10" t="str">
        <f>IFERROR(_xlfn.XLOOKUP($A228,Input_Raw!$E:$E,Input_Raw!DF:DF),"")</f>
        <v/>
      </c>
      <c r="Z228" s="319" t="str">
        <f>IFERROR(_xlfn.XLOOKUP(A228,Input_Raw!E:E,Input_Raw!CT:CT)/_xlfn.XLOOKUP(A228,Input_Raw!E:E,Input_Raw!CS:CS)*Table13[[#This Row],[Mtr_Export (kWh)]],"")</f>
        <v/>
      </c>
      <c r="AA228" s="43" t="str">
        <f t="shared" si="23"/>
        <v/>
      </c>
      <c r="AB228" s="10" t="str">
        <f>IFERROR(_xlfn.XLOOKUP($A228,Input_Raw!$E:$E,Input_Raw!$CZ:$CZ),"")</f>
        <v/>
      </c>
      <c r="AC228" s="313">
        <f>IFERROR(_xlfn.XLOOKUP($D228,'Modelling New'!$D:$D,'Modelling New'!$J:$J),"")</f>
        <v>6.7073912546441834</v>
      </c>
      <c r="AD228" s="43">
        <f>IFERROR(_xlfn.XLOOKUP($D228,'Modelling New'!$D:$D,'Modelling New'!$T:$T)*1000,"")</f>
        <v>349937.33333333337</v>
      </c>
      <c r="AE228" s="312"/>
      <c r="AF228" s="312">
        <f>IFERROR(_xlfn.XLOOKUP($D228,'Modelling New'!$D:$D,'Modelling New'!$W:$W),"")</f>
        <v>0.28815656565656578</v>
      </c>
      <c r="AG228" s="312">
        <f>IFERROR(_xlfn.XLOOKUP($D228,'Modelling New'!$D:$D,'Modelling New'!$AE:$AE),"")</f>
        <v>0.95549849999999992</v>
      </c>
      <c r="AH228" s="312">
        <f>IFERROR(_xlfn.XLOOKUP($D228,'Modelling New'!$D:$D,'Modelling New'!$AF:$AF),"")</f>
        <v>0.995</v>
      </c>
      <c r="AI228" s="10" t="str">
        <f>IFERROR(_xlfn.XLOOKUP($A228,Input_Raw!$E:$E,Input_Raw!$DG:$DG),"")</f>
        <v/>
      </c>
      <c r="AJ228" s="10"/>
      <c r="AK228" s="10"/>
      <c r="AL228" s="10"/>
      <c r="AM228" s="10"/>
      <c r="AN228" s="314" t="str">
        <f>IFERROR(_xlfn.XLOOKUP($A228,Input_Raw!$E:$E,Input_Raw!$CY:$CY),"")</f>
        <v/>
      </c>
      <c r="AO228" s="312" t="str">
        <f>IFERROR((_xlfn.XLOOKUP($A228,'WTG Reactive Power'!$A:$A,'WTG Reactive Power'!AB:AB))/X228,"")</f>
        <v/>
      </c>
      <c r="AP228" s="312">
        <f>IFERROR(_xlfn.XLOOKUP($D228,'Modelling New'!$D:$D,'Modelling New'!AK:AK),"")</f>
        <v>0.05</v>
      </c>
      <c r="AQ228" s="312">
        <f>IFERROR(_xlfn.XLOOKUP($D228,'Modelling New'!$D:$D,'Modelling New'!AL:AL),"")</f>
        <v>0.05</v>
      </c>
      <c r="AR228" s="325">
        <f>IFERROR(_xlfn.XLOOKUP($D228,'Modelling New'!$D:$D,'Modelling New'!$N:$N),"")</f>
        <v>50.59999999999998</v>
      </c>
      <c r="AS228" s="325"/>
    </row>
    <row r="229" spans="1:45">
      <c r="A229" s="32">
        <f t="shared" si="24"/>
        <v>45972</v>
      </c>
      <c r="B229" s="43">
        <f>YEAR(Table13[[#This Row],[Date]])+IF(MONTH(Table13[[#This Row],[Date]])&gt;=4,1,0)</f>
        <v>2026</v>
      </c>
      <c r="C229" s="10">
        <f>YEAR(Table13[[#This Row],[Date]])</f>
        <v>2025</v>
      </c>
      <c r="D229" s="309">
        <f>Table13[[#This Row],[Date]]-DAY(Table13[[#This Row],[Date]])+1</f>
        <v>45962</v>
      </c>
      <c r="E229" s="10">
        <f t="shared" si="20"/>
        <v>30</v>
      </c>
      <c r="F229" s="241" t="str">
        <f>IFERROR(_xlfn.XLOOKUP($A229,Input_Raw!$E:$E,Input_Raw!DC:DC),"")</f>
        <v/>
      </c>
      <c r="G229" s="242"/>
      <c r="H229" s="242"/>
      <c r="I229" s="242"/>
      <c r="J229" s="242"/>
      <c r="K229" s="243"/>
      <c r="L229" s="242"/>
      <c r="M229" s="242" t="str">
        <f>IFERROR(_xlfn.XLOOKUP($A229,Input_Raw!$E:$E,Input_Raw!$BM:$BM),"")</f>
        <v/>
      </c>
      <c r="N229" s="242" t="str">
        <f>IFERROR(_xlfn.XLOOKUP($A229,Input_Raw!$E:$E,Input_Raw!$BN:$BN),"")</f>
        <v/>
      </c>
      <c r="O229" s="311" t="str">
        <f t="shared" si="21"/>
        <v/>
      </c>
      <c r="P229" s="311" t="str">
        <f>IFERROR(1-SUMIF(WTG_BD!$F:$F,$A229,WTG_BD!$AA:$AA)/($AA229+SUMIF(WTG_BD!$F:$F,$A229,WTG_BD!$AA:$AA)),"")</f>
        <v/>
      </c>
      <c r="Q229" s="328" t="str">
        <f>IFERROR(1-SUMIF(IGA_BD!$F:$F,$A229,IGA_BD!$W:$W)/($AA229+SUMIF(IGA_BD!$F:$F,$A229,IGA_BD!$W:$W)),"")</f>
        <v/>
      </c>
      <c r="R229" s="311" t="str">
        <f>IFERROR(1-SUMIF(Grid_BD!$F:$F,$A229,Grid_BD!$Y:$Y)/($AA229+SUMIF(Grid_BD!$F:$F,$A229,Grid_BD!$Y:$Y)),"")</f>
        <v/>
      </c>
      <c r="S229" s="10"/>
      <c r="T229" s="310"/>
      <c r="U229" s="311"/>
      <c r="V229" s="10"/>
      <c r="W229" s="312" t="str">
        <f t="shared" si="22"/>
        <v/>
      </c>
      <c r="X229" s="10" t="str">
        <f>IFERROR(_xlfn.XLOOKUP($A229,Input_Raw!$E:$E,Input_Raw!BG:BG),"")</f>
        <v/>
      </c>
      <c r="Y229" s="10" t="str">
        <f>IFERROR(_xlfn.XLOOKUP($A229,Input_Raw!$E:$E,Input_Raw!DF:DF),"")</f>
        <v/>
      </c>
      <c r="Z229" s="319" t="str">
        <f>IFERROR(_xlfn.XLOOKUP(A229,Input_Raw!E:E,Input_Raw!CT:CT)/_xlfn.XLOOKUP(A229,Input_Raw!E:E,Input_Raw!CS:CS)*Table13[[#This Row],[Mtr_Export (kWh)]],"")</f>
        <v/>
      </c>
      <c r="AA229" s="43" t="str">
        <f t="shared" si="23"/>
        <v/>
      </c>
      <c r="AB229" s="10" t="str">
        <f>IFERROR(_xlfn.XLOOKUP($A229,Input_Raw!$E:$E,Input_Raw!$CZ:$CZ),"")</f>
        <v/>
      </c>
      <c r="AC229" s="313">
        <f>IFERROR(_xlfn.XLOOKUP($D229,'Modelling New'!$D:$D,'Modelling New'!$J:$J),"")</f>
        <v>6.7073912546441834</v>
      </c>
      <c r="AD229" s="43">
        <f>IFERROR(_xlfn.XLOOKUP($D229,'Modelling New'!$D:$D,'Modelling New'!$T:$T)*1000,"")</f>
        <v>349937.33333333337</v>
      </c>
      <c r="AE229" s="312"/>
      <c r="AF229" s="312">
        <f>IFERROR(_xlfn.XLOOKUP($D229,'Modelling New'!$D:$D,'Modelling New'!$W:$W),"")</f>
        <v>0.28815656565656578</v>
      </c>
      <c r="AG229" s="312">
        <f>IFERROR(_xlfn.XLOOKUP($D229,'Modelling New'!$D:$D,'Modelling New'!$AE:$AE),"")</f>
        <v>0.95549849999999992</v>
      </c>
      <c r="AH229" s="312">
        <f>IFERROR(_xlfn.XLOOKUP($D229,'Modelling New'!$D:$D,'Modelling New'!$AF:$AF),"")</f>
        <v>0.995</v>
      </c>
      <c r="AI229" s="10" t="str">
        <f>IFERROR(_xlfn.XLOOKUP($A229,Input_Raw!$E:$E,Input_Raw!$DG:$DG),"")</f>
        <v/>
      </c>
      <c r="AJ229" s="10"/>
      <c r="AK229" s="10"/>
      <c r="AL229" s="10"/>
      <c r="AM229" s="10"/>
      <c r="AN229" s="314" t="str">
        <f>IFERROR(_xlfn.XLOOKUP($A229,Input_Raw!$E:$E,Input_Raw!$CY:$CY),"")</f>
        <v/>
      </c>
      <c r="AO229" s="312" t="str">
        <f>IFERROR((_xlfn.XLOOKUP($A229,'WTG Reactive Power'!$A:$A,'WTG Reactive Power'!AB:AB))/X229,"")</f>
        <v/>
      </c>
      <c r="AP229" s="312">
        <f>IFERROR(_xlfn.XLOOKUP($D229,'Modelling New'!$D:$D,'Modelling New'!AK:AK),"")</f>
        <v>0.05</v>
      </c>
      <c r="AQ229" s="312">
        <f>IFERROR(_xlfn.XLOOKUP($D229,'Modelling New'!$D:$D,'Modelling New'!AL:AL),"")</f>
        <v>0.05</v>
      </c>
      <c r="AR229" s="325">
        <f>IFERROR(_xlfn.XLOOKUP($D229,'Modelling New'!$D:$D,'Modelling New'!$N:$N),"")</f>
        <v>50.59999999999998</v>
      </c>
      <c r="AS229" s="325"/>
    </row>
    <row r="230" spans="1:45">
      <c r="A230" s="32">
        <f t="shared" si="24"/>
        <v>45973</v>
      </c>
      <c r="B230" s="43">
        <f>YEAR(Table13[[#This Row],[Date]])+IF(MONTH(Table13[[#This Row],[Date]])&gt;=4,1,0)</f>
        <v>2026</v>
      </c>
      <c r="C230" s="10">
        <f>YEAR(Table13[[#This Row],[Date]])</f>
        <v>2025</v>
      </c>
      <c r="D230" s="309">
        <f>Table13[[#This Row],[Date]]-DAY(Table13[[#This Row],[Date]])+1</f>
        <v>45962</v>
      </c>
      <c r="E230" s="10">
        <f t="shared" si="20"/>
        <v>30</v>
      </c>
      <c r="F230" s="241" t="str">
        <f>IFERROR(_xlfn.XLOOKUP($A230,Input_Raw!$E:$E,Input_Raw!DC:DC),"")</f>
        <v/>
      </c>
      <c r="G230" s="313"/>
      <c r="H230" s="313"/>
      <c r="I230" s="313"/>
      <c r="J230" s="313"/>
      <c r="K230" s="243"/>
      <c r="L230" s="242"/>
      <c r="M230" s="242" t="str">
        <f>IFERROR(_xlfn.XLOOKUP($A230,Input_Raw!$E:$E,Input_Raw!$BM:$BM),"")</f>
        <v/>
      </c>
      <c r="N230" s="242" t="str">
        <f>IFERROR(_xlfn.XLOOKUP($A230,Input_Raw!$E:$E,Input_Raw!$BN:$BN),"")</f>
        <v/>
      </c>
      <c r="O230" s="311" t="str">
        <f t="shared" si="21"/>
        <v/>
      </c>
      <c r="P230" s="311" t="str">
        <f>IFERROR(1-SUMIF(WTG_BD!$F:$F,$A230,WTG_BD!$AA:$AA)/($AA230+SUMIF(WTG_BD!$F:$F,$A230,WTG_BD!$AA:$AA)),"")</f>
        <v/>
      </c>
      <c r="Q230" s="328" t="str">
        <f>IFERROR(1-SUMIF(IGA_BD!$F:$F,$A230,IGA_BD!$W:$W)/($AA230+SUMIF(IGA_BD!$F:$F,$A230,IGA_BD!$W:$W)),"")</f>
        <v/>
      </c>
      <c r="R230" s="47" t="str">
        <f>IFERROR(1-SUMIF(Grid_BD!$F:$F,$A230,Grid_BD!$Y:$Y)/($AA230+SUMIF(Grid_BD!$F:$F,$A230,Grid_BD!$Y:$Y)),"")</f>
        <v/>
      </c>
      <c r="S230" s="10"/>
      <c r="T230" s="310"/>
      <c r="U230" s="311"/>
      <c r="V230" s="10"/>
      <c r="W230" s="312" t="str">
        <f t="shared" si="22"/>
        <v/>
      </c>
      <c r="X230" s="10" t="str">
        <f>IFERROR(_xlfn.XLOOKUP($A230,Input_Raw!$E:$E,Input_Raw!BG:BG),"")</f>
        <v/>
      </c>
      <c r="Y230" s="10" t="str">
        <f>IFERROR(_xlfn.XLOOKUP($A230,Input_Raw!$E:$E,Input_Raw!DF:DF),"")</f>
        <v/>
      </c>
      <c r="Z230" s="319" t="str">
        <f>IFERROR(_xlfn.XLOOKUP(A230,Input_Raw!E:E,Input_Raw!CT:CT)/_xlfn.XLOOKUP(A230,Input_Raw!E:E,Input_Raw!CS:CS)*Table13[[#This Row],[Mtr_Export (kWh)]],"")</f>
        <v/>
      </c>
      <c r="AA230" s="43" t="str">
        <f t="shared" si="23"/>
        <v/>
      </c>
      <c r="AB230" s="10" t="str">
        <f>IFERROR(_xlfn.XLOOKUP($A230,Input_Raw!$E:$E,Input_Raw!$CZ:$CZ),"")</f>
        <v/>
      </c>
      <c r="AC230" s="313">
        <f>IFERROR(_xlfn.XLOOKUP($D230,'Modelling New'!$D:$D,'Modelling New'!$J:$J),"")</f>
        <v>6.7073912546441834</v>
      </c>
      <c r="AD230" s="43">
        <f>IFERROR(_xlfn.XLOOKUP($D230,'Modelling New'!$D:$D,'Modelling New'!$T:$T)*1000,"")</f>
        <v>349937.33333333337</v>
      </c>
      <c r="AE230" s="312"/>
      <c r="AF230" s="312">
        <f>IFERROR(_xlfn.XLOOKUP($D230,'Modelling New'!$D:$D,'Modelling New'!$W:$W),"")</f>
        <v>0.28815656565656578</v>
      </c>
      <c r="AG230" s="312">
        <f>IFERROR(_xlfn.XLOOKUP($D230,'Modelling New'!$D:$D,'Modelling New'!$AE:$AE),"")</f>
        <v>0.95549849999999992</v>
      </c>
      <c r="AH230" s="312">
        <f>IFERROR(_xlfn.XLOOKUP($D230,'Modelling New'!$D:$D,'Modelling New'!$AF:$AF),"")</f>
        <v>0.995</v>
      </c>
      <c r="AI230" s="10" t="str">
        <f>IFERROR(_xlfn.XLOOKUP($A230,Input_Raw!$E:$E,Input_Raw!$DG:$DG),"")</f>
        <v/>
      </c>
      <c r="AJ230" s="10"/>
      <c r="AK230" s="10"/>
      <c r="AL230" s="10"/>
      <c r="AM230" s="10"/>
      <c r="AN230" s="314" t="str">
        <f>IFERROR(_xlfn.XLOOKUP($A230,Input_Raw!$E:$E,Input_Raw!$CY:$CY),"")</f>
        <v/>
      </c>
      <c r="AO230" s="312" t="str">
        <f>IFERROR((_xlfn.XLOOKUP($A230,'WTG Reactive Power'!$A:$A,'WTG Reactive Power'!AB:AB))/X230,"")</f>
        <v/>
      </c>
      <c r="AP230" s="312">
        <f>IFERROR(_xlfn.XLOOKUP($D230,'Modelling New'!$D:$D,'Modelling New'!AK:AK),"")</f>
        <v>0.05</v>
      </c>
      <c r="AQ230" s="312">
        <f>IFERROR(_xlfn.XLOOKUP($D230,'Modelling New'!$D:$D,'Modelling New'!AL:AL),"")</f>
        <v>0.05</v>
      </c>
      <c r="AR230" s="325">
        <f>IFERROR(_xlfn.XLOOKUP($D230,'Modelling New'!$D:$D,'Modelling New'!$N:$N),"")</f>
        <v>50.59999999999998</v>
      </c>
      <c r="AS230" s="325"/>
    </row>
    <row r="231" spans="1:45">
      <c r="A231" s="32">
        <f t="shared" si="24"/>
        <v>45974</v>
      </c>
      <c r="B231" s="43">
        <f>YEAR(Table13[[#This Row],[Date]])+IF(MONTH(Table13[[#This Row],[Date]])&gt;=4,1,0)</f>
        <v>2026</v>
      </c>
      <c r="C231" s="10">
        <f>YEAR(Table13[[#This Row],[Date]])</f>
        <v>2025</v>
      </c>
      <c r="D231" s="309">
        <f>Table13[[#This Row],[Date]]-DAY(Table13[[#This Row],[Date]])+1</f>
        <v>45962</v>
      </c>
      <c r="E231" s="10">
        <f t="shared" si="20"/>
        <v>30</v>
      </c>
      <c r="F231" s="241" t="str">
        <f>IFERROR(_xlfn.XLOOKUP($A231,Input_Raw!$E:$E,Input_Raw!DC:DC),"")</f>
        <v/>
      </c>
      <c r="G231" s="242"/>
      <c r="H231" s="242"/>
      <c r="I231" s="242"/>
      <c r="J231" s="242"/>
      <c r="K231" s="243"/>
      <c r="L231" s="242"/>
      <c r="M231" s="242" t="str">
        <f>IFERROR(_xlfn.XLOOKUP($A231,Input_Raw!$E:$E,Input_Raw!$BM:$BM),"")</f>
        <v/>
      </c>
      <c r="N231" s="242" t="str">
        <f>IFERROR(_xlfn.XLOOKUP($A231,Input_Raw!$E:$E,Input_Raw!$BN:$BN),"")</f>
        <v/>
      </c>
      <c r="O231" s="311" t="str">
        <f t="shared" si="21"/>
        <v/>
      </c>
      <c r="P231" s="311" t="str">
        <f>IFERROR(1-SUMIF(WTG_BD!$F:$F,$A231,WTG_BD!$AA:$AA)/($AA231+SUMIF(WTG_BD!$F:$F,$A231,WTG_BD!$AA:$AA)),"")</f>
        <v/>
      </c>
      <c r="Q231" s="328" t="str">
        <f>IFERROR(1-SUMIF(IGA_BD!$F:$F,$A231,IGA_BD!$W:$W)/($AA231+SUMIF(IGA_BD!$F:$F,$A231,IGA_BD!$W:$W)),"")</f>
        <v/>
      </c>
      <c r="R231" s="311" t="str">
        <f>IFERROR(1-SUMIF(Grid_BD!$F:$F,$A231,Grid_BD!$Y:$Y)/($AA231+SUMIF(Grid_BD!$F:$F,$A231,Grid_BD!$Y:$Y)),"")</f>
        <v/>
      </c>
      <c r="S231" s="10"/>
      <c r="T231" s="310"/>
      <c r="U231" s="311"/>
      <c r="V231" s="10"/>
      <c r="W231" s="312" t="str">
        <f t="shared" si="22"/>
        <v/>
      </c>
      <c r="X231" s="10" t="str">
        <f>IFERROR(_xlfn.XLOOKUP($A231,Input_Raw!$E:$E,Input_Raw!BG:BG),"")</f>
        <v/>
      </c>
      <c r="Y231" s="10" t="str">
        <f>IFERROR(_xlfn.XLOOKUP($A231,Input_Raw!$E:$E,Input_Raw!DF:DF),"")</f>
        <v/>
      </c>
      <c r="Z231" s="319" t="str">
        <f>IFERROR(_xlfn.XLOOKUP(A231,Input_Raw!E:E,Input_Raw!CT:CT)/_xlfn.XLOOKUP(A231,Input_Raw!E:E,Input_Raw!CS:CS)*Table13[[#This Row],[Mtr_Export (kWh)]],"")</f>
        <v/>
      </c>
      <c r="AA231" s="43" t="str">
        <f t="shared" si="23"/>
        <v/>
      </c>
      <c r="AB231" s="10" t="str">
        <f>IFERROR(_xlfn.XLOOKUP($A231,Input_Raw!$E:$E,Input_Raw!$CZ:$CZ),"")</f>
        <v/>
      </c>
      <c r="AC231" s="313">
        <f>IFERROR(_xlfn.XLOOKUP($D231,'Modelling New'!$D:$D,'Modelling New'!$J:$J),"")</f>
        <v>6.7073912546441834</v>
      </c>
      <c r="AD231" s="43">
        <f>IFERROR(_xlfn.XLOOKUP($D231,'Modelling New'!$D:$D,'Modelling New'!$T:$T)*1000,"")</f>
        <v>349937.33333333337</v>
      </c>
      <c r="AE231" s="312"/>
      <c r="AF231" s="312">
        <f>IFERROR(_xlfn.XLOOKUP($D231,'Modelling New'!$D:$D,'Modelling New'!$W:$W),"")</f>
        <v>0.28815656565656578</v>
      </c>
      <c r="AG231" s="312">
        <f>IFERROR(_xlfn.XLOOKUP($D231,'Modelling New'!$D:$D,'Modelling New'!$AE:$AE),"")</f>
        <v>0.95549849999999992</v>
      </c>
      <c r="AH231" s="312">
        <f>IFERROR(_xlfn.XLOOKUP($D231,'Modelling New'!$D:$D,'Modelling New'!$AF:$AF),"")</f>
        <v>0.995</v>
      </c>
      <c r="AI231" s="10" t="str">
        <f>IFERROR(_xlfn.XLOOKUP($A231,Input_Raw!$E:$E,Input_Raw!$DG:$DG),"")</f>
        <v/>
      </c>
      <c r="AJ231" s="10"/>
      <c r="AK231" s="10"/>
      <c r="AL231" s="10"/>
      <c r="AM231" s="10"/>
      <c r="AN231" s="314" t="str">
        <f>IFERROR(_xlfn.XLOOKUP($A231,Input_Raw!$E:$E,Input_Raw!$CY:$CY),"")</f>
        <v/>
      </c>
      <c r="AO231" s="312" t="str">
        <f>IFERROR((_xlfn.XLOOKUP($A231,'WTG Reactive Power'!$A:$A,'WTG Reactive Power'!AB:AB))/X231,"")</f>
        <v/>
      </c>
      <c r="AP231" s="312">
        <f>IFERROR(_xlfn.XLOOKUP($D231,'Modelling New'!$D:$D,'Modelling New'!AK:AK),"")</f>
        <v>0.05</v>
      </c>
      <c r="AQ231" s="312">
        <f>IFERROR(_xlfn.XLOOKUP($D231,'Modelling New'!$D:$D,'Modelling New'!AL:AL),"")</f>
        <v>0.05</v>
      </c>
      <c r="AR231" s="325">
        <f>IFERROR(_xlfn.XLOOKUP($D231,'Modelling New'!$D:$D,'Modelling New'!$N:$N),"")</f>
        <v>50.59999999999998</v>
      </c>
      <c r="AS231" s="325"/>
    </row>
    <row r="232" spans="1:45">
      <c r="A232" s="32">
        <f t="shared" si="24"/>
        <v>45975</v>
      </c>
      <c r="B232" s="43">
        <f>YEAR(Table13[[#This Row],[Date]])+IF(MONTH(Table13[[#This Row],[Date]])&gt;=4,1,0)</f>
        <v>2026</v>
      </c>
      <c r="C232" s="10">
        <f>YEAR(Table13[[#This Row],[Date]])</f>
        <v>2025</v>
      </c>
      <c r="D232" s="309">
        <f>Table13[[#This Row],[Date]]-DAY(Table13[[#This Row],[Date]])+1</f>
        <v>45962</v>
      </c>
      <c r="E232" s="10">
        <f t="shared" si="20"/>
        <v>30</v>
      </c>
      <c r="F232" s="241" t="str">
        <f>IFERROR(_xlfn.XLOOKUP($A232,Input_Raw!$E:$E,Input_Raw!DC:DC),"")</f>
        <v/>
      </c>
      <c r="G232" s="313"/>
      <c r="H232" s="313"/>
      <c r="I232" s="313"/>
      <c r="J232" s="313"/>
      <c r="K232" s="243"/>
      <c r="L232" s="242"/>
      <c r="M232" s="242" t="str">
        <f>IFERROR(_xlfn.XLOOKUP($A232,Input_Raw!$E:$E,Input_Raw!$BM:$BM),"")</f>
        <v/>
      </c>
      <c r="N232" s="242" t="str">
        <f>IFERROR(_xlfn.XLOOKUP($A232,Input_Raw!$E:$E,Input_Raw!$BN:$BN),"")</f>
        <v/>
      </c>
      <c r="O232" s="311" t="str">
        <f t="shared" si="21"/>
        <v/>
      </c>
      <c r="P232" s="311" t="str">
        <f>IFERROR(1-SUMIF(WTG_BD!$F:$F,$A232,WTG_BD!$AA:$AA)/($AA232+SUMIF(WTG_BD!$F:$F,$A232,WTG_BD!$AA:$AA)),"")</f>
        <v/>
      </c>
      <c r="Q232" s="328" t="str">
        <f>IFERROR(1-SUMIF(IGA_BD!$F:$F,$A232,IGA_BD!$W:$W)/($AA232+SUMIF(IGA_BD!$F:$F,$A232,IGA_BD!$W:$W)),"")</f>
        <v/>
      </c>
      <c r="R232" s="47" t="str">
        <f>IFERROR(1-SUMIF(Grid_BD!$F:$F,$A232,Grid_BD!$Y:$Y)/($AA232+SUMIF(Grid_BD!$F:$F,$A232,Grid_BD!$Y:$Y)),"")</f>
        <v/>
      </c>
      <c r="S232" s="10"/>
      <c r="T232" s="310"/>
      <c r="U232" s="311"/>
      <c r="V232" s="10"/>
      <c r="W232" s="312" t="str">
        <f t="shared" si="22"/>
        <v/>
      </c>
      <c r="X232" s="10" t="str">
        <f>IFERROR(_xlfn.XLOOKUP($A232,Input_Raw!$E:$E,Input_Raw!BG:BG),"")</f>
        <v/>
      </c>
      <c r="Y232" s="10" t="str">
        <f>IFERROR(_xlfn.XLOOKUP($A232,Input_Raw!$E:$E,Input_Raw!DF:DF),"")</f>
        <v/>
      </c>
      <c r="Z232" s="319" t="str">
        <f>IFERROR(_xlfn.XLOOKUP(A232,Input_Raw!E:E,Input_Raw!CT:CT)/_xlfn.XLOOKUP(A232,Input_Raw!E:E,Input_Raw!CS:CS)*Table13[[#This Row],[Mtr_Export (kWh)]],"")</f>
        <v/>
      </c>
      <c r="AA232" s="43" t="str">
        <f t="shared" si="23"/>
        <v/>
      </c>
      <c r="AB232" s="10" t="str">
        <f>IFERROR(_xlfn.XLOOKUP($A232,Input_Raw!$E:$E,Input_Raw!$CZ:$CZ),"")</f>
        <v/>
      </c>
      <c r="AC232" s="313">
        <f>IFERROR(_xlfn.XLOOKUP($D232,'Modelling New'!$D:$D,'Modelling New'!$J:$J),"")</f>
        <v>6.7073912546441834</v>
      </c>
      <c r="AD232" s="43">
        <f>IFERROR(_xlfn.XLOOKUP($D232,'Modelling New'!$D:$D,'Modelling New'!$T:$T)*1000,"")</f>
        <v>349937.33333333337</v>
      </c>
      <c r="AE232" s="312"/>
      <c r="AF232" s="312">
        <f>IFERROR(_xlfn.XLOOKUP($D232,'Modelling New'!$D:$D,'Modelling New'!$W:$W),"")</f>
        <v>0.28815656565656578</v>
      </c>
      <c r="AG232" s="312">
        <f>IFERROR(_xlfn.XLOOKUP($D232,'Modelling New'!$D:$D,'Modelling New'!$AE:$AE),"")</f>
        <v>0.95549849999999992</v>
      </c>
      <c r="AH232" s="312">
        <f>IFERROR(_xlfn.XLOOKUP($D232,'Modelling New'!$D:$D,'Modelling New'!$AF:$AF),"")</f>
        <v>0.995</v>
      </c>
      <c r="AI232" s="10" t="str">
        <f>IFERROR(_xlfn.XLOOKUP($A232,Input_Raw!$E:$E,Input_Raw!$DG:$DG),"")</f>
        <v/>
      </c>
      <c r="AJ232" s="10"/>
      <c r="AK232" s="10"/>
      <c r="AL232" s="10"/>
      <c r="AM232" s="10"/>
      <c r="AN232" s="314" t="str">
        <f>IFERROR(_xlfn.XLOOKUP($A232,Input_Raw!$E:$E,Input_Raw!$CY:$CY),"")</f>
        <v/>
      </c>
      <c r="AO232" s="312" t="str">
        <f>IFERROR((_xlfn.XLOOKUP($A232,'WTG Reactive Power'!$A:$A,'WTG Reactive Power'!AB:AB))/X232,"")</f>
        <v/>
      </c>
      <c r="AP232" s="312">
        <f>IFERROR(_xlfn.XLOOKUP($D232,'Modelling New'!$D:$D,'Modelling New'!AK:AK),"")</f>
        <v>0.05</v>
      </c>
      <c r="AQ232" s="312">
        <f>IFERROR(_xlfn.XLOOKUP($D232,'Modelling New'!$D:$D,'Modelling New'!AL:AL),"")</f>
        <v>0.05</v>
      </c>
      <c r="AR232" s="325">
        <f>IFERROR(_xlfn.XLOOKUP($D232,'Modelling New'!$D:$D,'Modelling New'!$N:$N),"")</f>
        <v>50.59999999999998</v>
      </c>
      <c r="AS232" s="325"/>
    </row>
    <row r="233" spans="1:45">
      <c r="A233" s="32">
        <f t="shared" si="24"/>
        <v>45976</v>
      </c>
      <c r="B233" s="43">
        <f>YEAR(Table13[[#This Row],[Date]])+IF(MONTH(Table13[[#This Row],[Date]])&gt;=4,1,0)</f>
        <v>2026</v>
      </c>
      <c r="C233" s="10">
        <f>YEAR(Table13[[#This Row],[Date]])</f>
        <v>2025</v>
      </c>
      <c r="D233" s="309">
        <f>Table13[[#This Row],[Date]]-DAY(Table13[[#This Row],[Date]])+1</f>
        <v>45962</v>
      </c>
      <c r="E233" s="10">
        <f t="shared" si="20"/>
        <v>30</v>
      </c>
      <c r="F233" s="241" t="str">
        <f>IFERROR(_xlfn.XLOOKUP($A233,Input_Raw!$E:$E,Input_Raw!DC:DC),"")</f>
        <v/>
      </c>
      <c r="G233" s="242"/>
      <c r="H233" s="242"/>
      <c r="I233" s="242"/>
      <c r="J233" s="242"/>
      <c r="K233" s="243"/>
      <c r="L233" s="242"/>
      <c r="M233" s="242" t="str">
        <f>IFERROR(_xlfn.XLOOKUP($A233,Input_Raw!$E:$E,Input_Raw!$BM:$BM),"")</f>
        <v/>
      </c>
      <c r="N233" s="242" t="str">
        <f>IFERROR(_xlfn.XLOOKUP($A233,Input_Raw!$E:$E,Input_Raw!$BN:$BN),"")</f>
        <v/>
      </c>
      <c r="O233" s="311" t="str">
        <f t="shared" si="21"/>
        <v/>
      </c>
      <c r="P233" s="311" t="str">
        <f>IFERROR(1-SUMIF(WTG_BD!$F:$F,$A233,WTG_BD!$AA:$AA)/($AA233+SUMIF(WTG_BD!$F:$F,$A233,WTG_BD!$AA:$AA)),"")</f>
        <v/>
      </c>
      <c r="Q233" s="328" t="str">
        <f>IFERROR(1-SUMIF(IGA_BD!$F:$F,$A233,IGA_BD!$W:$W)/($AA233+SUMIF(IGA_BD!$F:$F,$A233,IGA_BD!$W:$W)),"")</f>
        <v/>
      </c>
      <c r="R233" s="311" t="str">
        <f>IFERROR(1-SUMIF(Grid_BD!$F:$F,$A233,Grid_BD!$Y:$Y)/($AA233+SUMIF(Grid_BD!$F:$F,$A233,Grid_BD!$Y:$Y)),"")</f>
        <v/>
      </c>
      <c r="S233" s="10"/>
      <c r="T233" s="310"/>
      <c r="U233" s="311"/>
      <c r="V233" s="10"/>
      <c r="W233" s="312" t="str">
        <f t="shared" si="22"/>
        <v/>
      </c>
      <c r="X233" s="10" t="str">
        <f>IFERROR(_xlfn.XLOOKUP($A233,Input_Raw!$E:$E,Input_Raw!BG:BG),"")</f>
        <v/>
      </c>
      <c r="Y233" s="10" t="str">
        <f>IFERROR(_xlfn.XLOOKUP($A233,Input_Raw!$E:$E,Input_Raw!DF:DF),"")</f>
        <v/>
      </c>
      <c r="Z233" s="319" t="str">
        <f>IFERROR(_xlfn.XLOOKUP(A233,Input_Raw!E:E,Input_Raw!CT:CT)/_xlfn.XLOOKUP(A233,Input_Raw!E:E,Input_Raw!CS:CS)*Table13[[#This Row],[Mtr_Export (kWh)]],"")</f>
        <v/>
      </c>
      <c r="AA233" s="43" t="str">
        <f t="shared" si="23"/>
        <v/>
      </c>
      <c r="AB233" s="10" t="str">
        <f>IFERROR(_xlfn.XLOOKUP($A233,Input_Raw!$E:$E,Input_Raw!$CZ:$CZ),"")</f>
        <v/>
      </c>
      <c r="AC233" s="313">
        <f>IFERROR(_xlfn.XLOOKUP($D233,'Modelling New'!$D:$D,'Modelling New'!$J:$J),"")</f>
        <v>6.7073912546441834</v>
      </c>
      <c r="AD233" s="43">
        <f>IFERROR(_xlfn.XLOOKUP($D233,'Modelling New'!$D:$D,'Modelling New'!$T:$T)*1000,"")</f>
        <v>349937.33333333337</v>
      </c>
      <c r="AE233" s="312"/>
      <c r="AF233" s="312">
        <f>IFERROR(_xlfn.XLOOKUP($D233,'Modelling New'!$D:$D,'Modelling New'!$W:$W),"")</f>
        <v>0.28815656565656578</v>
      </c>
      <c r="AG233" s="312">
        <f>IFERROR(_xlfn.XLOOKUP($D233,'Modelling New'!$D:$D,'Modelling New'!$AE:$AE),"")</f>
        <v>0.95549849999999992</v>
      </c>
      <c r="AH233" s="312">
        <f>IFERROR(_xlfn.XLOOKUP($D233,'Modelling New'!$D:$D,'Modelling New'!$AF:$AF),"")</f>
        <v>0.995</v>
      </c>
      <c r="AI233" s="10" t="str">
        <f>IFERROR(_xlfn.XLOOKUP($A233,Input_Raw!$E:$E,Input_Raw!$DG:$DG),"")</f>
        <v/>
      </c>
      <c r="AJ233" s="10"/>
      <c r="AK233" s="10"/>
      <c r="AL233" s="10"/>
      <c r="AM233" s="10"/>
      <c r="AN233" s="314" t="str">
        <f>IFERROR(_xlfn.XLOOKUP($A233,Input_Raw!$E:$E,Input_Raw!$CY:$CY),"")</f>
        <v/>
      </c>
      <c r="AO233" s="312" t="str">
        <f>IFERROR((_xlfn.XLOOKUP($A233,'WTG Reactive Power'!$A:$A,'WTG Reactive Power'!AB:AB))/X233,"")</f>
        <v/>
      </c>
      <c r="AP233" s="312">
        <f>IFERROR(_xlfn.XLOOKUP($D233,'Modelling New'!$D:$D,'Modelling New'!AK:AK),"")</f>
        <v>0.05</v>
      </c>
      <c r="AQ233" s="312">
        <f>IFERROR(_xlfn.XLOOKUP($D233,'Modelling New'!$D:$D,'Modelling New'!AL:AL),"")</f>
        <v>0.05</v>
      </c>
      <c r="AR233" s="325">
        <f>IFERROR(_xlfn.XLOOKUP($D233,'Modelling New'!$D:$D,'Modelling New'!$N:$N),"")</f>
        <v>50.59999999999998</v>
      </c>
      <c r="AS233" s="325"/>
    </row>
    <row r="234" spans="1:45">
      <c r="A234" s="32">
        <f t="shared" si="24"/>
        <v>45977</v>
      </c>
      <c r="B234" s="43">
        <f>YEAR(Table13[[#This Row],[Date]])+IF(MONTH(Table13[[#This Row],[Date]])&gt;=4,1,0)</f>
        <v>2026</v>
      </c>
      <c r="C234" s="10">
        <f>YEAR(Table13[[#This Row],[Date]])</f>
        <v>2025</v>
      </c>
      <c r="D234" s="309">
        <f>Table13[[#This Row],[Date]]-DAY(Table13[[#This Row],[Date]])+1</f>
        <v>45962</v>
      </c>
      <c r="E234" s="10">
        <f t="shared" si="20"/>
        <v>30</v>
      </c>
      <c r="F234" s="241" t="str">
        <f>IFERROR(_xlfn.XLOOKUP($A234,Input_Raw!$E:$E,Input_Raw!DC:DC),"")</f>
        <v/>
      </c>
      <c r="G234" s="313"/>
      <c r="H234" s="313"/>
      <c r="I234" s="313"/>
      <c r="J234" s="313"/>
      <c r="K234" s="243"/>
      <c r="L234" s="242"/>
      <c r="M234" s="242" t="str">
        <f>IFERROR(_xlfn.XLOOKUP($A234,Input_Raw!$E:$E,Input_Raw!$BM:$BM),"")</f>
        <v/>
      </c>
      <c r="N234" s="242" t="str">
        <f>IFERROR(_xlfn.XLOOKUP($A234,Input_Raw!$E:$E,Input_Raw!$BN:$BN),"")</f>
        <v/>
      </c>
      <c r="O234" s="311" t="str">
        <f t="shared" si="21"/>
        <v/>
      </c>
      <c r="P234" s="311" t="str">
        <f>IFERROR(1-SUMIF(WTG_BD!$F:$F,$A234,WTG_BD!$AA:$AA)/($AA234+SUMIF(WTG_BD!$F:$F,$A234,WTG_BD!$AA:$AA)),"")</f>
        <v/>
      </c>
      <c r="Q234" s="328" t="str">
        <f>IFERROR(1-SUMIF(IGA_BD!$F:$F,$A234,IGA_BD!$W:$W)/($AA234+SUMIF(IGA_BD!$F:$F,$A234,IGA_BD!$W:$W)),"")</f>
        <v/>
      </c>
      <c r="R234" s="47" t="str">
        <f>IFERROR(1-SUMIF(Grid_BD!$F:$F,$A234,Grid_BD!$Y:$Y)/($AA234+SUMIF(Grid_BD!$F:$F,$A234,Grid_BD!$Y:$Y)),"")</f>
        <v/>
      </c>
      <c r="S234" s="10"/>
      <c r="T234" s="310"/>
      <c r="U234" s="311"/>
      <c r="V234" s="10"/>
      <c r="W234" s="312" t="str">
        <f t="shared" si="22"/>
        <v/>
      </c>
      <c r="X234" s="10" t="str">
        <f>IFERROR(_xlfn.XLOOKUP($A234,Input_Raw!$E:$E,Input_Raw!BG:BG),"")</f>
        <v/>
      </c>
      <c r="Y234" s="10" t="str">
        <f>IFERROR(_xlfn.XLOOKUP($A234,Input_Raw!$E:$E,Input_Raw!DF:DF),"")</f>
        <v/>
      </c>
      <c r="Z234" s="319" t="str">
        <f>IFERROR(_xlfn.XLOOKUP(A234,Input_Raw!E:E,Input_Raw!CT:CT)/_xlfn.XLOOKUP(A234,Input_Raw!E:E,Input_Raw!CS:CS)*Table13[[#This Row],[Mtr_Export (kWh)]],"")</f>
        <v/>
      </c>
      <c r="AA234" s="43" t="str">
        <f t="shared" si="23"/>
        <v/>
      </c>
      <c r="AB234" s="10" t="str">
        <f>IFERROR(_xlfn.XLOOKUP($A234,Input_Raw!$E:$E,Input_Raw!$CZ:$CZ),"")</f>
        <v/>
      </c>
      <c r="AC234" s="313">
        <f>IFERROR(_xlfn.XLOOKUP($D234,'Modelling New'!$D:$D,'Modelling New'!$J:$J),"")</f>
        <v>6.7073912546441834</v>
      </c>
      <c r="AD234" s="43">
        <f>IFERROR(_xlfn.XLOOKUP($D234,'Modelling New'!$D:$D,'Modelling New'!$T:$T)*1000,"")</f>
        <v>349937.33333333337</v>
      </c>
      <c r="AE234" s="312"/>
      <c r="AF234" s="312">
        <f>IFERROR(_xlfn.XLOOKUP($D234,'Modelling New'!$D:$D,'Modelling New'!$W:$W),"")</f>
        <v>0.28815656565656578</v>
      </c>
      <c r="AG234" s="312">
        <f>IFERROR(_xlfn.XLOOKUP($D234,'Modelling New'!$D:$D,'Modelling New'!$AE:$AE),"")</f>
        <v>0.95549849999999992</v>
      </c>
      <c r="AH234" s="312">
        <f>IFERROR(_xlfn.XLOOKUP($D234,'Modelling New'!$D:$D,'Modelling New'!$AF:$AF),"")</f>
        <v>0.995</v>
      </c>
      <c r="AI234" s="10" t="str">
        <f>IFERROR(_xlfn.XLOOKUP($A234,Input_Raw!$E:$E,Input_Raw!$DG:$DG),"")</f>
        <v/>
      </c>
      <c r="AJ234" s="10"/>
      <c r="AK234" s="10"/>
      <c r="AL234" s="10"/>
      <c r="AM234" s="10"/>
      <c r="AN234" s="314" t="str">
        <f>IFERROR(_xlfn.XLOOKUP($A234,Input_Raw!$E:$E,Input_Raw!$CY:$CY),"")</f>
        <v/>
      </c>
      <c r="AO234" s="312" t="str">
        <f>IFERROR((_xlfn.XLOOKUP($A234,'WTG Reactive Power'!$A:$A,'WTG Reactive Power'!AB:AB))/X234,"")</f>
        <v/>
      </c>
      <c r="AP234" s="312">
        <f>IFERROR(_xlfn.XLOOKUP($D234,'Modelling New'!$D:$D,'Modelling New'!AK:AK),"")</f>
        <v>0.05</v>
      </c>
      <c r="AQ234" s="312">
        <f>IFERROR(_xlfn.XLOOKUP($D234,'Modelling New'!$D:$D,'Modelling New'!AL:AL),"")</f>
        <v>0.05</v>
      </c>
      <c r="AR234" s="325">
        <f>IFERROR(_xlfn.XLOOKUP($D234,'Modelling New'!$D:$D,'Modelling New'!$N:$N),"")</f>
        <v>50.59999999999998</v>
      </c>
      <c r="AS234" s="325"/>
    </row>
    <row r="235" spans="1:45">
      <c r="A235" s="32">
        <f t="shared" si="24"/>
        <v>45978</v>
      </c>
      <c r="B235" s="43">
        <f>YEAR(Table13[[#This Row],[Date]])+IF(MONTH(Table13[[#This Row],[Date]])&gt;=4,1,0)</f>
        <v>2026</v>
      </c>
      <c r="C235" s="10">
        <f>YEAR(Table13[[#This Row],[Date]])</f>
        <v>2025</v>
      </c>
      <c r="D235" s="309">
        <f>Table13[[#This Row],[Date]]-DAY(Table13[[#This Row],[Date]])+1</f>
        <v>45962</v>
      </c>
      <c r="E235" s="10">
        <f t="shared" si="20"/>
        <v>30</v>
      </c>
      <c r="F235" s="241" t="str">
        <f>IFERROR(_xlfn.XLOOKUP($A235,Input_Raw!$E:$E,Input_Raw!DC:DC),"")</f>
        <v/>
      </c>
      <c r="G235" s="242"/>
      <c r="H235" s="242"/>
      <c r="I235" s="242"/>
      <c r="J235" s="242"/>
      <c r="K235" s="243"/>
      <c r="L235" s="242"/>
      <c r="M235" s="242" t="str">
        <f>IFERROR(_xlfn.XLOOKUP($A235,Input_Raw!$E:$E,Input_Raw!$BM:$BM),"")</f>
        <v/>
      </c>
      <c r="N235" s="242" t="str">
        <f>IFERROR(_xlfn.XLOOKUP($A235,Input_Raw!$E:$E,Input_Raw!$BN:$BN),"")</f>
        <v/>
      </c>
      <c r="O235" s="311" t="str">
        <f t="shared" si="21"/>
        <v/>
      </c>
      <c r="P235" s="311" t="str">
        <f>IFERROR(1-SUMIF(WTG_BD!$F:$F,$A235,WTG_BD!$AA:$AA)/($AA235+SUMIF(WTG_BD!$F:$F,$A235,WTG_BD!$AA:$AA)),"")</f>
        <v/>
      </c>
      <c r="Q235" s="328" t="str">
        <f>IFERROR(1-SUMIF(IGA_BD!$F:$F,$A235,IGA_BD!$W:$W)/($AA235+SUMIF(IGA_BD!$F:$F,$A235,IGA_BD!$W:$W)),"")</f>
        <v/>
      </c>
      <c r="R235" s="311" t="str">
        <f>IFERROR(1-SUMIF(Grid_BD!$F:$F,$A235,Grid_BD!$Y:$Y)/($AA235+SUMIF(Grid_BD!$F:$F,$A235,Grid_BD!$Y:$Y)),"")</f>
        <v/>
      </c>
      <c r="S235" s="10"/>
      <c r="T235" s="310"/>
      <c r="U235" s="311"/>
      <c r="V235" s="10"/>
      <c r="W235" s="312" t="str">
        <f t="shared" si="22"/>
        <v/>
      </c>
      <c r="X235" s="10" t="str">
        <f>IFERROR(_xlfn.XLOOKUP($A235,Input_Raw!$E:$E,Input_Raw!BG:BG),"")</f>
        <v/>
      </c>
      <c r="Y235" s="10" t="str">
        <f>IFERROR(_xlfn.XLOOKUP($A235,Input_Raw!$E:$E,Input_Raw!DF:DF),"")</f>
        <v/>
      </c>
      <c r="Z235" s="319" t="str">
        <f>IFERROR(_xlfn.XLOOKUP(A235,Input_Raw!E:E,Input_Raw!CT:CT)/_xlfn.XLOOKUP(A235,Input_Raw!E:E,Input_Raw!CS:CS)*Table13[[#This Row],[Mtr_Export (kWh)]],"")</f>
        <v/>
      </c>
      <c r="AA235" s="43" t="str">
        <f t="shared" si="23"/>
        <v/>
      </c>
      <c r="AB235" s="10" t="str">
        <f>IFERROR(_xlfn.XLOOKUP($A235,Input_Raw!$E:$E,Input_Raw!$CZ:$CZ),"")</f>
        <v/>
      </c>
      <c r="AC235" s="313">
        <f>IFERROR(_xlfn.XLOOKUP($D235,'Modelling New'!$D:$D,'Modelling New'!$J:$J),"")</f>
        <v>6.7073912546441834</v>
      </c>
      <c r="AD235" s="43">
        <f>IFERROR(_xlfn.XLOOKUP($D235,'Modelling New'!$D:$D,'Modelling New'!$T:$T)*1000,"")</f>
        <v>349937.33333333337</v>
      </c>
      <c r="AE235" s="312"/>
      <c r="AF235" s="312">
        <f>IFERROR(_xlfn.XLOOKUP($D235,'Modelling New'!$D:$D,'Modelling New'!$W:$W),"")</f>
        <v>0.28815656565656578</v>
      </c>
      <c r="AG235" s="312">
        <f>IFERROR(_xlfn.XLOOKUP($D235,'Modelling New'!$D:$D,'Modelling New'!$AE:$AE),"")</f>
        <v>0.95549849999999992</v>
      </c>
      <c r="AH235" s="312">
        <f>IFERROR(_xlfn.XLOOKUP($D235,'Modelling New'!$D:$D,'Modelling New'!$AF:$AF),"")</f>
        <v>0.995</v>
      </c>
      <c r="AI235" s="10" t="str">
        <f>IFERROR(_xlfn.XLOOKUP($A235,Input_Raw!$E:$E,Input_Raw!$DG:$DG),"")</f>
        <v/>
      </c>
      <c r="AJ235" s="10"/>
      <c r="AK235" s="10"/>
      <c r="AL235" s="10"/>
      <c r="AM235" s="10"/>
      <c r="AN235" s="314" t="str">
        <f>IFERROR(_xlfn.XLOOKUP($A235,Input_Raw!$E:$E,Input_Raw!$CY:$CY),"")</f>
        <v/>
      </c>
      <c r="AO235" s="312" t="str">
        <f>IFERROR((_xlfn.XLOOKUP($A235,'WTG Reactive Power'!$A:$A,'WTG Reactive Power'!AB:AB))/X235,"")</f>
        <v/>
      </c>
      <c r="AP235" s="312">
        <f>IFERROR(_xlfn.XLOOKUP($D235,'Modelling New'!$D:$D,'Modelling New'!AK:AK),"")</f>
        <v>0.05</v>
      </c>
      <c r="AQ235" s="312">
        <f>IFERROR(_xlfn.XLOOKUP($D235,'Modelling New'!$D:$D,'Modelling New'!AL:AL),"")</f>
        <v>0.05</v>
      </c>
      <c r="AR235" s="325">
        <f>IFERROR(_xlfn.XLOOKUP($D235,'Modelling New'!$D:$D,'Modelling New'!$N:$N),"")</f>
        <v>50.59999999999998</v>
      </c>
      <c r="AS235" s="325"/>
    </row>
    <row r="236" spans="1:45">
      <c r="A236" s="32">
        <f t="shared" si="24"/>
        <v>45979</v>
      </c>
      <c r="B236" s="43">
        <f>YEAR(Table13[[#This Row],[Date]])+IF(MONTH(Table13[[#This Row],[Date]])&gt;=4,1,0)</f>
        <v>2026</v>
      </c>
      <c r="C236" s="10">
        <f>YEAR(Table13[[#This Row],[Date]])</f>
        <v>2025</v>
      </c>
      <c r="D236" s="309">
        <f>Table13[[#This Row],[Date]]-DAY(Table13[[#This Row],[Date]])+1</f>
        <v>45962</v>
      </c>
      <c r="E236" s="10">
        <f t="shared" si="20"/>
        <v>30</v>
      </c>
      <c r="F236" s="241" t="str">
        <f>IFERROR(_xlfn.XLOOKUP($A236,Input_Raw!$E:$E,Input_Raw!DC:DC),"")</f>
        <v/>
      </c>
      <c r="G236" s="313"/>
      <c r="H236" s="313"/>
      <c r="I236" s="313"/>
      <c r="J236" s="313"/>
      <c r="K236" s="243"/>
      <c r="L236" s="242"/>
      <c r="M236" s="242" t="str">
        <f>IFERROR(_xlfn.XLOOKUP($A236,Input_Raw!$E:$E,Input_Raw!$BM:$BM),"")</f>
        <v/>
      </c>
      <c r="N236" s="242" t="str">
        <f>IFERROR(_xlfn.XLOOKUP($A236,Input_Raw!$E:$E,Input_Raw!$BN:$BN),"")</f>
        <v/>
      </c>
      <c r="O236" s="311" t="str">
        <f t="shared" si="21"/>
        <v/>
      </c>
      <c r="P236" s="311" t="str">
        <f>IFERROR(1-SUMIF(WTG_BD!$F:$F,$A236,WTG_BD!$AA:$AA)/($AA236+SUMIF(WTG_BD!$F:$F,$A236,WTG_BD!$AA:$AA)),"")</f>
        <v/>
      </c>
      <c r="Q236" s="328" t="str">
        <f>IFERROR(1-SUMIF(IGA_BD!$F:$F,$A236,IGA_BD!$W:$W)/($AA236+SUMIF(IGA_BD!$F:$F,$A236,IGA_BD!$W:$W)),"")</f>
        <v/>
      </c>
      <c r="R236" s="47" t="str">
        <f>IFERROR(1-SUMIF(Grid_BD!$F:$F,$A236,Grid_BD!$Y:$Y)/($AA236+SUMIF(Grid_BD!$F:$F,$A236,Grid_BD!$Y:$Y)),"")</f>
        <v/>
      </c>
      <c r="S236" s="10"/>
      <c r="T236" s="310"/>
      <c r="U236" s="311"/>
      <c r="V236" s="10"/>
      <c r="W236" s="312" t="str">
        <f t="shared" si="22"/>
        <v/>
      </c>
      <c r="X236" s="10" t="str">
        <f>IFERROR(_xlfn.XLOOKUP($A236,Input_Raw!$E:$E,Input_Raw!BG:BG),"")</f>
        <v/>
      </c>
      <c r="Y236" s="10" t="str">
        <f>IFERROR(_xlfn.XLOOKUP($A236,Input_Raw!$E:$E,Input_Raw!DF:DF),"")</f>
        <v/>
      </c>
      <c r="Z236" s="319" t="str">
        <f>IFERROR(_xlfn.XLOOKUP(A236,Input_Raw!E:E,Input_Raw!CT:CT)/_xlfn.XLOOKUP(A236,Input_Raw!E:E,Input_Raw!CS:CS)*Table13[[#This Row],[Mtr_Export (kWh)]],"")</f>
        <v/>
      </c>
      <c r="AA236" s="43" t="str">
        <f t="shared" si="23"/>
        <v/>
      </c>
      <c r="AB236" s="10" t="str">
        <f>IFERROR(_xlfn.XLOOKUP($A236,Input_Raw!$E:$E,Input_Raw!$CZ:$CZ),"")</f>
        <v/>
      </c>
      <c r="AC236" s="313">
        <f>IFERROR(_xlfn.XLOOKUP($D236,'Modelling New'!$D:$D,'Modelling New'!$J:$J),"")</f>
        <v>6.7073912546441834</v>
      </c>
      <c r="AD236" s="43">
        <f>IFERROR(_xlfn.XLOOKUP($D236,'Modelling New'!$D:$D,'Modelling New'!$T:$T)*1000,"")</f>
        <v>349937.33333333337</v>
      </c>
      <c r="AE236" s="312"/>
      <c r="AF236" s="312">
        <f>IFERROR(_xlfn.XLOOKUP($D236,'Modelling New'!$D:$D,'Modelling New'!$W:$W),"")</f>
        <v>0.28815656565656578</v>
      </c>
      <c r="AG236" s="312">
        <f>IFERROR(_xlfn.XLOOKUP($D236,'Modelling New'!$D:$D,'Modelling New'!$AE:$AE),"")</f>
        <v>0.95549849999999992</v>
      </c>
      <c r="AH236" s="312">
        <f>IFERROR(_xlfn.XLOOKUP($D236,'Modelling New'!$D:$D,'Modelling New'!$AF:$AF),"")</f>
        <v>0.995</v>
      </c>
      <c r="AI236" s="10" t="str">
        <f>IFERROR(_xlfn.XLOOKUP($A236,Input_Raw!$E:$E,Input_Raw!$DG:$DG),"")</f>
        <v/>
      </c>
      <c r="AJ236" s="10"/>
      <c r="AK236" s="10"/>
      <c r="AL236" s="10"/>
      <c r="AM236" s="10"/>
      <c r="AN236" s="314" t="str">
        <f>IFERROR(_xlfn.XLOOKUP($A236,Input_Raw!$E:$E,Input_Raw!$CY:$CY),"")</f>
        <v/>
      </c>
      <c r="AO236" s="312" t="str">
        <f>IFERROR((_xlfn.XLOOKUP($A236,'WTG Reactive Power'!$A:$A,'WTG Reactive Power'!AB:AB))/X236,"")</f>
        <v/>
      </c>
      <c r="AP236" s="312">
        <f>IFERROR(_xlfn.XLOOKUP($D236,'Modelling New'!$D:$D,'Modelling New'!AK:AK),"")</f>
        <v>0.05</v>
      </c>
      <c r="AQ236" s="312">
        <f>IFERROR(_xlfn.XLOOKUP($D236,'Modelling New'!$D:$D,'Modelling New'!AL:AL),"")</f>
        <v>0.05</v>
      </c>
      <c r="AR236" s="325">
        <f>IFERROR(_xlfn.XLOOKUP($D236,'Modelling New'!$D:$D,'Modelling New'!$N:$N),"")</f>
        <v>50.59999999999998</v>
      </c>
      <c r="AS236" s="325"/>
    </row>
    <row r="237" spans="1:45">
      <c r="A237" s="32">
        <f t="shared" si="24"/>
        <v>45980</v>
      </c>
      <c r="B237" s="43">
        <f>YEAR(Table13[[#This Row],[Date]])+IF(MONTH(Table13[[#This Row],[Date]])&gt;=4,1,0)</f>
        <v>2026</v>
      </c>
      <c r="C237" s="10">
        <f>YEAR(Table13[[#This Row],[Date]])</f>
        <v>2025</v>
      </c>
      <c r="D237" s="309">
        <f>Table13[[#This Row],[Date]]-DAY(Table13[[#This Row],[Date]])+1</f>
        <v>45962</v>
      </c>
      <c r="E237" s="10">
        <f t="shared" si="20"/>
        <v>30</v>
      </c>
      <c r="F237" s="241" t="str">
        <f>IFERROR(_xlfn.XLOOKUP($A237,Input_Raw!$E:$E,Input_Raw!DC:DC),"")</f>
        <v/>
      </c>
      <c r="G237" s="242"/>
      <c r="H237" s="242"/>
      <c r="I237" s="242"/>
      <c r="J237" s="242"/>
      <c r="K237" s="243"/>
      <c r="L237" s="242"/>
      <c r="M237" s="242" t="str">
        <f>IFERROR(_xlfn.XLOOKUP($A237,Input_Raw!$E:$E,Input_Raw!$BM:$BM),"")</f>
        <v/>
      </c>
      <c r="N237" s="242" t="str">
        <f>IFERROR(_xlfn.XLOOKUP($A237,Input_Raw!$E:$E,Input_Raw!$BN:$BN),"")</f>
        <v/>
      </c>
      <c r="O237" s="311" t="str">
        <f t="shared" si="21"/>
        <v/>
      </c>
      <c r="P237" s="311" t="str">
        <f>IFERROR(1-SUMIF(WTG_BD!$F:$F,$A237,WTG_BD!$AA:$AA)/($AA237+SUMIF(WTG_BD!$F:$F,$A237,WTG_BD!$AA:$AA)),"")</f>
        <v/>
      </c>
      <c r="Q237" s="328" t="str">
        <f>IFERROR(1-SUMIF(IGA_BD!$F:$F,$A237,IGA_BD!$W:$W)/($AA237+SUMIF(IGA_BD!$F:$F,$A237,IGA_BD!$W:$W)),"")</f>
        <v/>
      </c>
      <c r="R237" s="311" t="str">
        <f>IFERROR(1-SUMIF(Grid_BD!$F:$F,$A237,Grid_BD!$Y:$Y)/($AA237+SUMIF(Grid_BD!$F:$F,$A237,Grid_BD!$Y:$Y)),"")</f>
        <v/>
      </c>
      <c r="S237" s="10"/>
      <c r="T237" s="310"/>
      <c r="U237" s="311"/>
      <c r="V237" s="10"/>
      <c r="W237" s="312" t="str">
        <f t="shared" si="22"/>
        <v/>
      </c>
      <c r="X237" s="10" t="str">
        <f>IFERROR(_xlfn.XLOOKUP($A237,Input_Raw!$E:$E,Input_Raw!BG:BG),"")</f>
        <v/>
      </c>
      <c r="Y237" s="10" t="str">
        <f>IFERROR(_xlfn.XLOOKUP($A237,Input_Raw!$E:$E,Input_Raw!DF:DF),"")</f>
        <v/>
      </c>
      <c r="Z237" s="319" t="str">
        <f>IFERROR(_xlfn.XLOOKUP(A237,Input_Raw!E:E,Input_Raw!CT:CT)/_xlfn.XLOOKUP(A237,Input_Raw!E:E,Input_Raw!CS:CS)*Table13[[#This Row],[Mtr_Export (kWh)]],"")</f>
        <v/>
      </c>
      <c r="AA237" s="43" t="str">
        <f t="shared" si="23"/>
        <v/>
      </c>
      <c r="AB237" s="10" t="str">
        <f>IFERROR(_xlfn.XLOOKUP($A237,Input_Raw!$E:$E,Input_Raw!$CZ:$CZ),"")</f>
        <v/>
      </c>
      <c r="AC237" s="313">
        <f>IFERROR(_xlfn.XLOOKUP($D237,'Modelling New'!$D:$D,'Modelling New'!$J:$J),"")</f>
        <v>6.7073912546441834</v>
      </c>
      <c r="AD237" s="43">
        <f>IFERROR(_xlfn.XLOOKUP($D237,'Modelling New'!$D:$D,'Modelling New'!$T:$T)*1000,"")</f>
        <v>349937.33333333337</v>
      </c>
      <c r="AE237" s="312"/>
      <c r="AF237" s="312">
        <f>IFERROR(_xlfn.XLOOKUP($D237,'Modelling New'!$D:$D,'Modelling New'!$W:$W),"")</f>
        <v>0.28815656565656578</v>
      </c>
      <c r="AG237" s="312">
        <f>IFERROR(_xlfn.XLOOKUP($D237,'Modelling New'!$D:$D,'Modelling New'!$AE:$AE),"")</f>
        <v>0.95549849999999992</v>
      </c>
      <c r="AH237" s="312">
        <f>IFERROR(_xlfn.XLOOKUP($D237,'Modelling New'!$D:$D,'Modelling New'!$AF:$AF),"")</f>
        <v>0.995</v>
      </c>
      <c r="AI237" s="10" t="str">
        <f>IFERROR(_xlfn.XLOOKUP($A237,Input_Raw!$E:$E,Input_Raw!$DG:$DG),"")</f>
        <v/>
      </c>
      <c r="AJ237" s="10"/>
      <c r="AK237" s="10"/>
      <c r="AL237" s="10"/>
      <c r="AM237" s="10"/>
      <c r="AN237" s="314" t="str">
        <f>IFERROR(_xlfn.XLOOKUP($A237,Input_Raw!$E:$E,Input_Raw!$CY:$CY),"")</f>
        <v/>
      </c>
      <c r="AO237" s="312" t="str">
        <f>IFERROR((_xlfn.XLOOKUP($A237,'WTG Reactive Power'!$A:$A,'WTG Reactive Power'!AB:AB))/X237,"")</f>
        <v/>
      </c>
      <c r="AP237" s="312">
        <f>IFERROR(_xlfn.XLOOKUP($D237,'Modelling New'!$D:$D,'Modelling New'!AK:AK),"")</f>
        <v>0.05</v>
      </c>
      <c r="AQ237" s="312">
        <f>IFERROR(_xlfn.XLOOKUP($D237,'Modelling New'!$D:$D,'Modelling New'!AL:AL),"")</f>
        <v>0.05</v>
      </c>
      <c r="AR237" s="325">
        <f>IFERROR(_xlfn.XLOOKUP($D237,'Modelling New'!$D:$D,'Modelling New'!$N:$N),"")</f>
        <v>50.59999999999998</v>
      </c>
      <c r="AS237" s="325"/>
    </row>
    <row r="238" spans="1:45">
      <c r="A238" s="32">
        <f t="shared" si="24"/>
        <v>45981</v>
      </c>
      <c r="B238" s="43">
        <f>YEAR(Table13[[#This Row],[Date]])+IF(MONTH(Table13[[#This Row],[Date]])&gt;=4,1,0)</f>
        <v>2026</v>
      </c>
      <c r="C238" s="10">
        <f>YEAR(Table13[[#This Row],[Date]])</f>
        <v>2025</v>
      </c>
      <c r="D238" s="309">
        <f>Table13[[#This Row],[Date]]-DAY(Table13[[#This Row],[Date]])+1</f>
        <v>45962</v>
      </c>
      <c r="E238" s="10">
        <f t="shared" si="20"/>
        <v>30</v>
      </c>
      <c r="F238" s="241" t="str">
        <f>IFERROR(_xlfn.XLOOKUP($A238,Input_Raw!$E:$E,Input_Raw!DC:DC),"")</f>
        <v/>
      </c>
      <c r="G238" s="313"/>
      <c r="H238" s="313"/>
      <c r="I238" s="313"/>
      <c r="J238" s="313"/>
      <c r="K238" s="243"/>
      <c r="L238" s="242"/>
      <c r="M238" s="242" t="str">
        <f>IFERROR(_xlfn.XLOOKUP($A238,Input_Raw!$E:$E,Input_Raw!$BM:$BM),"")</f>
        <v/>
      </c>
      <c r="N238" s="242" t="str">
        <f>IFERROR(_xlfn.XLOOKUP($A238,Input_Raw!$E:$E,Input_Raw!$BN:$BN),"")</f>
        <v/>
      </c>
      <c r="O238" s="311" t="str">
        <f t="shared" si="21"/>
        <v/>
      </c>
      <c r="P238" s="311" t="str">
        <f>IFERROR(1-SUMIF(WTG_BD!$F:$F,$A238,WTG_BD!$AA:$AA)/($AA238+SUMIF(WTG_BD!$F:$F,$A238,WTG_BD!$AA:$AA)),"")</f>
        <v/>
      </c>
      <c r="Q238" s="328" t="str">
        <f>IFERROR(1-SUMIF(IGA_BD!$F:$F,$A238,IGA_BD!$W:$W)/($AA238+SUMIF(IGA_BD!$F:$F,$A238,IGA_BD!$W:$W)),"")</f>
        <v/>
      </c>
      <c r="R238" s="47" t="str">
        <f>IFERROR(1-SUMIF(Grid_BD!$F:$F,$A238,Grid_BD!$Y:$Y)/($AA238+SUMIF(Grid_BD!$F:$F,$A238,Grid_BD!$Y:$Y)),"")</f>
        <v/>
      </c>
      <c r="S238" s="10"/>
      <c r="T238" s="310"/>
      <c r="U238" s="311"/>
      <c r="V238" s="10"/>
      <c r="W238" s="312" t="str">
        <f t="shared" si="22"/>
        <v/>
      </c>
      <c r="X238" s="10" t="str">
        <f>IFERROR(_xlfn.XLOOKUP($A238,Input_Raw!$E:$E,Input_Raw!BG:BG),"")</f>
        <v/>
      </c>
      <c r="Y238" s="10" t="str">
        <f>IFERROR(_xlfn.XLOOKUP($A238,Input_Raw!$E:$E,Input_Raw!DF:DF),"")</f>
        <v/>
      </c>
      <c r="Z238" s="319" t="str">
        <f>IFERROR(_xlfn.XLOOKUP(A238,Input_Raw!E:E,Input_Raw!CT:CT)/_xlfn.XLOOKUP(A238,Input_Raw!E:E,Input_Raw!CS:CS)*Table13[[#This Row],[Mtr_Export (kWh)]],"")</f>
        <v/>
      </c>
      <c r="AA238" s="43" t="str">
        <f t="shared" si="23"/>
        <v/>
      </c>
      <c r="AB238" s="10" t="str">
        <f>IFERROR(_xlfn.XLOOKUP($A238,Input_Raw!$E:$E,Input_Raw!$CZ:$CZ),"")</f>
        <v/>
      </c>
      <c r="AC238" s="313">
        <f>IFERROR(_xlfn.XLOOKUP($D238,'Modelling New'!$D:$D,'Modelling New'!$J:$J),"")</f>
        <v>6.7073912546441834</v>
      </c>
      <c r="AD238" s="43">
        <f>IFERROR(_xlfn.XLOOKUP($D238,'Modelling New'!$D:$D,'Modelling New'!$T:$T)*1000,"")</f>
        <v>349937.33333333337</v>
      </c>
      <c r="AE238" s="312"/>
      <c r="AF238" s="312">
        <f>IFERROR(_xlfn.XLOOKUP($D238,'Modelling New'!$D:$D,'Modelling New'!$W:$W),"")</f>
        <v>0.28815656565656578</v>
      </c>
      <c r="AG238" s="312">
        <f>IFERROR(_xlfn.XLOOKUP($D238,'Modelling New'!$D:$D,'Modelling New'!$AE:$AE),"")</f>
        <v>0.95549849999999992</v>
      </c>
      <c r="AH238" s="312">
        <f>IFERROR(_xlfn.XLOOKUP($D238,'Modelling New'!$D:$D,'Modelling New'!$AF:$AF),"")</f>
        <v>0.995</v>
      </c>
      <c r="AI238" s="10" t="str">
        <f>IFERROR(_xlfn.XLOOKUP($A238,Input_Raw!$E:$E,Input_Raw!$DG:$DG),"")</f>
        <v/>
      </c>
      <c r="AJ238" s="10"/>
      <c r="AK238" s="10"/>
      <c r="AL238" s="10"/>
      <c r="AM238" s="10"/>
      <c r="AN238" s="314" t="str">
        <f>IFERROR(_xlfn.XLOOKUP($A238,Input_Raw!$E:$E,Input_Raw!$CY:$CY),"")</f>
        <v/>
      </c>
      <c r="AO238" s="312" t="str">
        <f>IFERROR((_xlfn.XLOOKUP($A238,'WTG Reactive Power'!$A:$A,'WTG Reactive Power'!AB:AB))/X238,"")</f>
        <v/>
      </c>
      <c r="AP238" s="312">
        <f>IFERROR(_xlfn.XLOOKUP($D238,'Modelling New'!$D:$D,'Modelling New'!AK:AK),"")</f>
        <v>0.05</v>
      </c>
      <c r="AQ238" s="312">
        <f>IFERROR(_xlfn.XLOOKUP($D238,'Modelling New'!$D:$D,'Modelling New'!AL:AL),"")</f>
        <v>0.05</v>
      </c>
      <c r="AR238" s="325">
        <f>IFERROR(_xlfn.XLOOKUP($D238,'Modelling New'!$D:$D,'Modelling New'!$N:$N),"")</f>
        <v>50.59999999999998</v>
      </c>
      <c r="AS238" s="325"/>
    </row>
    <row r="239" spans="1:45">
      <c r="A239" s="32">
        <f t="shared" si="24"/>
        <v>45982</v>
      </c>
      <c r="B239" s="43">
        <f>YEAR(Table13[[#This Row],[Date]])+IF(MONTH(Table13[[#This Row],[Date]])&gt;=4,1,0)</f>
        <v>2026</v>
      </c>
      <c r="C239" s="10">
        <f>YEAR(Table13[[#This Row],[Date]])</f>
        <v>2025</v>
      </c>
      <c r="D239" s="309">
        <f>Table13[[#This Row],[Date]]-DAY(Table13[[#This Row],[Date]])+1</f>
        <v>45962</v>
      </c>
      <c r="E239" s="10">
        <f t="shared" si="20"/>
        <v>30</v>
      </c>
      <c r="F239" s="241" t="str">
        <f>IFERROR(_xlfn.XLOOKUP($A239,Input_Raw!$E:$E,Input_Raw!DC:DC),"")</f>
        <v/>
      </c>
      <c r="G239" s="242"/>
      <c r="H239" s="242"/>
      <c r="I239" s="242"/>
      <c r="J239" s="242"/>
      <c r="K239" s="243"/>
      <c r="L239" s="242"/>
      <c r="M239" s="242" t="str">
        <f>IFERROR(_xlfn.XLOOKUP($A239,Input_Raw!$E:$E,Input_Raw!$BM:$BM),"")</f>
        <v/>
      </c>
      <c r="N239" s="242" t="str">
        <f>IFERROR(_xlfn.XLOOKUP($A239,Input_Raw!$E:$E,Input_Raw!$BN:$BN),"")</f>
        <v/>
      </c>
      <c r="O239" s="311" t="str">
        <f t="shared" si="21"/>
        <v/>
      </c>
      <c r="P239" s="311" t="str">
        <f>IFERROR(1-SUMIF(WTG_BD!$F:$F,$A239,WTG_BD!$AA:$AA)/($AA239+SUMIF(WTG_BD!$F:$F,$A239,WTG_BD!$AA:$AA)),"")</f>
        <v/>
      </c>
      <c r="Q239" s="328" t="str">
        <f>IFERROR(1-SUMIF(IGA_BD!$F:$F,$A239,IGA_BD!$W:$W)/($AA239+SUMIF(IGA_BD!$F:$F,$A239,IGA_BD!$W:$W)),"")</f>
        <v/>
      </c>
      <c r="R239" s="311" t="str">
        <f>IFERROR(1-SUMIF(Grid_BD!$F:$F,$A239,Grid_BD!$Y:$Y)/($AA239+SUMIF(Grid_BD!$F:$F,$A239,Grid_BD!$Y:$Y)),"")</f>
        <v/>
      </c>
      <c r="S239" s="10"/>
      <c r="T239" s="310"/>
      <c r="U239" s="311"/>
      <c r="V239" s="10"/>
      <c r="W239" s="312" t="str">
        <f t="shared" si="22"/>
        <v/>
      </c>
      <c r="X239" s="10" t="str">
        <f>IFERROR(_xlfn.XLOOKUP($A239,Input_Raw!$E:$E,Input_Raw!BG:BG),"")</f>
        <v/>
      </c>
      <c r="Y239" s="10" t="str">
        <f>IFERROR(_xlfn.XLOOKUP($A239,Input_Raw!$E:$E,Input_Raw!DF:DF),"")</f>
        <v/>
      </c>
      <c r="Z239" s="319" t="str">
        <f>IFERROR(_xlfn.XLOOKUP(A239,Input_Raw!E:E,Input_Raw!CT:CT)/_xlfn.XLOOKUP(A239,Input_Raw!E:E,Input_Raw!CS:CS)*Table13[[#This Row],[Mtr_Export (kWh)]],"")</f>
        <v/>
      </c>
      <c r="AA239" s="43" t="str">
        <f t="shared" si="23"/>
        <v/>
      </c>
      <c r="AB239" s="10" t="str">
        <f>IFERROR(_xlfn.XLOOKUP($A239,Input_Raw!$E:$E,Input_Raw!$CZ:$CZ),"")</f>
        <v/>
      </c>
      <c r="AC239" s="313">
        <f>IFERROR(_xlfn.XLOOKUP($D239,'Modelling New'!$D:$D,'Modelling New'!$J:$J),"")</f>
        <v>6.7073912546441834</v>
      </c>
      <c r="AD239" s="43">
        <f>IFERROR(_xlfn.XLOOKUP($D239,'Modelling New'!$D:$D,'Modelling New'!$T:$T)*1000,"")</f>
        <v>349937.33333333337</v>
      </c>
      <c r="AE239" s="312"/>
      <c r="AF239" s="312">
        <f>IFERROR(_xlfn.XLOOKUP($D239,'Modelling New'!$D:$D,'Modelling New'!$W:$W),"")</f>
        <v>0.28815656565656578</v>
      </c>
      <c r="AG239" s="312">
        <f>IFERROR(_xlfn.XLOOKUP($D239,'Modelling New'!$D:$D,'Modelling New'!$AE:$AE),"")</f>
        <v>0.95549849999999992</v>
      </c>
      <c r="AH239" s="312">
        <f>IFERROR(_xlfn.XLOOKUP($D239,'Modelling New'!$D:$D,'Modelling New'!$AF:$AF),"")</f>
        <v>0.995</v>
      </c>
      <c r="AI239" s="10" t="str">
        <f>IFERROR(_xlfn.XLOOKUP($A239,Input_Raw!$E:$E,Input_Raw!$DG:$DG),"")</f>
        <v/>
      </c>
      <c r="AJ239" s="10"/>
      <c r="AK239" s="10"/>
      <c r="AL239" s="10"/>
      <c r="AM239" s="10"/>
      <c r="AN239" s="314" t="str">
        <f>IFERROR(_xlfn.XLOOKUP($A239,Input_Raw!$E:$E,Input_Raw!$CY:$CY),"")</f>
        <v/>
      </c>
      <c r="AO239" s="312" t="str">
        <f>IFERROR((_xlfn.XLOOKUP($A239,'WTG Reactive Power'!$A:$A,'WTG Reactive Power'!AB:AB))/X239,"")</f>
        <v/>
      </c>
      <c r="AP239" s="312">
        <f>IFERROR(_xlfn.XLOOKUP($D239,'Modelling New'!$D:$D,'Modelling New'!AK:AK),"")</f>
        <v>0.05</v>
      </c>
      <c r="AQ239" s="312">
        <f>IFERROR(_xlfn.XLOOKUP($D239,'Modelling New'!$D:$D,'Modelling New'!AL:AL),"")</f>
        <v>0.05</v>
      </c>
      <c r="AR239" s="325">
        <f>IFERROR(_xlfn.XLOOKUP($D239,'Modelling New'!$D:$D,'Modelling New'!$N:$N),"")</f>
        <v>50.59999999999998</v>
      </c>
      <c r="AS239" s="325"/>
    </row>
    <row r="240" spans="1:45">
      <c r="A240" s="32">
        <f t="shared" si="24"/>
        <v>45983</v>
      </c>
      <c r="B240" s="43">
        <f>YEAR(Table13[[#This Row],[Date]])+IF(MONTH(Table13[[#This Row],[Date]])&gt;=4,1,0)</f>
        <v>2026</v>
      </c>
      <c r="C240" s="10">
        <f>YEAR(Table13[[#This Row],[Date]])</f>
        <v>2025</v>
      </c>
      <c r="D240" s="309">
        <f>Table13[[#This Row],[Date]]-DAY(Table13[[#This Row],[Date]])+1</f>
        <v>45962</v>
      </c>
      <c r="E240" s="10">
        <f t="shared" si="20"/>
        <v>30</v>
      </c>
      <c r="F240" s="241" t="str">
        <f>IFERROR(_xlfn.XLOOKUP($A240,Input_Raw!$E:$E,Input_Raw!DC:DC),"")</f>
        <v/>
      </c>
      <c r="G240" s="313"/>
      <c r="H240" s="313"/>
      <c r="I240" s="313"/>
      <c r="J240" s="313"/>
      <c r="K240" s="243"/>
      <c r="L240" s="242"/>
      <c r="M240" s="242" t="str">
        <f>IFERROR(_xlfn.XLOOKUP($A240,Input_Raw!$E:$E,Input_Raw!$BM:$BM),"")</f>
        <v/>
      </c>
      <c r="N240" s="242" t="str">
        <f>IFERROR(_xlfn.XLOOKUP($A240,Input_Raw!$E:$E,Input_Raw!$BN:$BN),"")</f>
        <v/>
      </c>
      <c r="O240" s="311" t="str">
        <f t="shared" si="21"/>
        <v/>
      </c>
      <c r="P240" s="311" t="str">
        <f>IFERROR(1-SUMIF(WTG_BD!$F:$F,$A240,WTG_BD!$AA:$AA)/($AA240+SUMIF(WTG_BD!$F:$F,$A240,WTG_BD!$AA:$AA)),"")</f>
        <v/>
      </c>
      <c r="Q240" s="328" t="str">
        <f>IFERROR(1-SUMIF(IGA_BD!$F:$F,$A240,IGA_BD!$W:$W)/($AA240+SUMIF(IGA_BD!$F:$F,$A240,IGA_BD!$W:$W)),"")</f>
        <v/>
      </c>
      <c r="R240" s="47" t="str">
        <f>IFERROR(1-SUMIF(Grid_BD!$F:$F,$A240,Grid_BD!$Y:$Y)/($AA240+SUMIF(Grid_BD!$F:$F,$A240,Grid_BD!$Y:$Y)),"")</f>
        <v/>
      </c>
      <c r="S240" s="10"/>
      <c r="T240" s="310"/>
      <c r="U240" s="311"/>
      <c r="V240" s="10"/>
      <c r="W240" s="312" t="str">
        <f t="shared" si="22"/>
        <v/>
      </c>
      <c r="X240" s="10" t="str">
        <f>IFERROR(_xlfn.XLOOKUP($A240,Input_Raw!$E:$E,Input_Raw!BG:BG),"")</f>
        <v/>
      </c>
      <c r="Y240" s="10" t="str">
        <f>IFERROR(_xlfn.XLOOKUP($A240,Input_Raw!$E:$E,Input_Raw!DF:DF),"")</f>
        <v/>
      </c>
      <c r="Z240" s="319" t="str">
        <f>IFERROR(_xlfn.XLOOKUP(A240,Input_Raw!E:E,Input_Raw!CT:CT)/_xlfn.XLOOKUP(A240,Input_Raw!E:E,Input_Raw!CS:CS)*Table13[[#This Row],[Mtr_Export (kWh)]],"")</f>
        <v/>
      </c>
      <c r="AA240" s="43" t="str">
        <f t="shared" si="23"/>
        <v/>
      </c>
      <c r="AB240" s="10" t="str">
        <f>IFERROR(_xlfn.XLOOKUP($A240,Input_Raw!$E:$E,Input_Raw!$CZ:$CZ),"")</f>
        <v/>
      </c>
      <c r="AC240" s="313">
        <f>IFERROR(_xlfn.XLOOKUP($D240,'Modelling New'!$D:$D,'Modelling New'!$J:$J),"")</f>
        <v>6.7073912546441834</v>
      </c>
      <c r="AD240" s="43">
        <f>IFERROR(_xlfn.XLOOKUP($D240,'Modelling New'!$D:$D,'Modelling New'!$T:$T)*1000,"")</f>
        <v>349937.33333333337</v>
      </c>
      <c r="AE240" s="312"/>
      <c r="AF240" s="312">
        <f>IFERROR(_xlfn.XLOOKUP($D240,'Modelling New'!$D:$D,'Modelling New'!$W:$W),"")</f>
        <v>0.28815656565656578</v>
      </c>
      <c r="AG240" s="312">
        <f>IFERROR(_xlfn.XLOOKUP($D240,'Modelling New'!$D:$D,'Modelling New'!$AE:$AE),"")</f>
        <v>0.95549849999999992</v>
      </c>
      <c r="AH240" s="312">
        <f>IFERROR(_xlfn.XLOOKUP($D240,'Modelling New'!$D:$D,'Modelling New'!$AF:$AF),"")</f>
        <v>0.995</v>
      </c>
      <c r="AI240" s="10" t="str">
        <f>IFERROR(_xlfn.XLOOKUP($A240,Input_Raw!$E:$E,Input_Raw!$DG:$DG),"")</f>
        <v/>
      </c>
      <c r="AJ240" s="10"/>
      <c r="AK240" s="10"/>
      <c r="AL240" s="10"/>
      <c r="AM240" s="10"/>
      <c r="AN240" s="314" t="str">
        <f>IFERROR(_xlfn.XLOOKUP($A240,Input_Raw!$E:$E,Input_Raw!$CY:$CY),"")</f>
        <v/>
      </c>
      <c r="AO240" s="312" t="str">
        <f>IFERROR((_xlfn.XLOOKUP($A240,'WTG Reactive Power'!$A:$A,'WTG Reactive Power'!AB:AB))/X240,"")</f>
        <v/>
      </c>
      <c r="AP240" s="312">
        <f>IFERROR(_xlfn.XLOOKUP($D240,'Modelling New'!$D:$D,'Modelling New'!AK:AK),"")</f>
        <v>0.05</v>
      </c>
      <c r="AQ240" s="312">
        <f>IFERROR(_xlfn.XLOOKUP($D240,'Modelling New'!$D:$D,'Modelling New'!AL:AL),"")</f>
        <v>0.05</v>
      </c>
      <c r="AR240" s="325">
        <f>IFERROR(_xlfn.XLOOKUP($D240,'Modelling New'!$D:$D,'Modelling New'!$N:$N),"")</f>
        <v>50.59999999999998</v>
      </c>
      <c r="AS240" s="325"/>
    </row>
    <row r="241" spans="1:45">
      <c r="A241" s="32">
        <f t="shared" si="24"/>
        <v>45984</v>
      </c>
      <c r="B241" s="43">
        <f>YEAR(Table13[[#This Row],[Date]])+IF(MONTH(Table13[[#This Row],[Date]])&gt;=4,1,0)</f>
        <v>2026</v>
      </c>
      <c r="C241" s="10">
        <f>YEAR(Table13[[#This Row],[Date]])</f>
        <v>2025</v>
      </c>
      <c r="D241" s="309">
        <f>Table13[[#This Row],[Date]]-DAY(Table13[[#This Row],[Date]])+1</f>
        <v>45962</v>
      </c>
      <c r="E241" s="10">
        <f t="shared" si="20"/>
        <v>30</v>
      </c>
      <c r="F241" s="241" t="str">
        <f>IFERROR(_xlfn.XLOOKUP($A241,Input_Raw!$E:$E,Input_Raw!DC:DC),"")</f>
        <v/>
      </c>
      <c r="G241" s="242"/>
      <c r="H241" s="242"/>
      <c r="I241" s="242"/>
      <c r="J241" s="242"/>
      <c r="K241" s="243"/>
      <c r="L241" s="242"/>
      <c r="M241" s="242" t="str">
        <f>IFERROR(_xlfn.XLOOKUP($A241,Input_Raw!$E:$E,Input_Raw!$BM:$BM),"")</f>
        <v/>
      </c>
      <c r="N241" s="242" t="str">
        <f>IFERROR(_xlfn.XLOOKUP($A241,Input_Raw!$E:$E,Input_Raw!$BN:$BN),"")</f>
        <v/>
      </c>
      <c r="O241" s="311" t="str">
        <f t="shared" si="21"/>
        <v/>
      </c>
      <c r="P241" s="311" t="str">
        <f>IFERROR(1-SUMIF(WTG_BD!$F:$F,$A241,WTG_BD!$AA:$AA)/($AA241+SUMIF(WTG_BD!$F:$F,$A241,WTG_BD!$AA:$AA)),"")</f>
        <v/>
      </c>
      <c r="Q241" s="328" t="str">
        <f>IFERROR(1-SUMIF(IGA_BD!$F:$F,$A241,IGA_BD!$W:$W)/($AA241+SUMIF(IGA_BD!$F:$F,$A241,IGA_BD!$W:$W)),"")</f>
        <v/>
      </c>
      <c r="R241" s="311" t="str">
        <f>IFERROR(1-SUMIF(Grid_BD!$F:$F,$A241,Grid_BD!$Y:$Y)/($AA241+SUMIF(Grid_BD!$F:$F,$A241,Grid_BD!$Y:$Y)),"")</f>
        <v/>
      </c>
      <c r="S241" s="10"/>
      <c r="T241" s="310"/>
      <c r="U241" s="311"/>
      <c r="V241" s="10"/>
      <c r="W241" s="312" t="str">
        <f t="shared" si="22"/>
        <v/>
      </c>
      <c r="X241" s="10" t="str">
        <f>IFERROR(_xlfn.XLOOKUP($A241,Input_Raw!$E:$E,Input_Raw!BG:BG),"")</f>
        <v/>
      </c>
      <c r="Y241" s="10" t="str">
        <f>IFERROR(_xlfn.XLOOKUP($A241,Input_Raw!$E:$E,Input_Raw!DF:DF),"")</f>
        <v/>
      </c>
      <c r="Z241" s="319" t="str">
        <f>IFERROR(_xlfn.XLOOKUP(A241,Input_Raw!E:E,Input_Raw!CT:CT)/_xlfn.XLOOKUP(A241,Input_Raw!E:E,Input_Raw!CS:CS)*Table13[[#This Row],[Mtr_Export (kWh)]],"")</f>
        <v/>
      </c>
      <c r="AA241" s="43" t="str">
        <f t="shared" si="23"/>
        <v/>
      </c>
      <c r="AB241" s="10" t="str">
        <f>IFERROR(_xlfn.XLOOKUP($A241,Input_Raw!$E:$E,Input_Raw!$CZ:$CZ),"")</f>
        <v/>
      </c>
      <c r="AC241" s="313">
        <f>IFERROR(_xlfn.XLOOKUP($D241,'Modelling New'!$D:$D,'Modelling New'!$J:$J),"")</f>
        <v>6.7073912546441834</v>
      </c>
      <c r="AD241" s="43">
        <f>IFERROR(_xlfn.XLOOKUP($D241,'Modelling New'!$D:$D,'Modelling New'!$T:$T)*1000,"")</f>
        <v>349937.33333333337</v>
      </c>
      <c r="AE241" s="312"/>
      <c r="AF241" s="312">
        <f>IFERROR(_xlfn.XLOOKUP($D241,'Modelling New'!$D:$D,'Modelling New'!$W:$W),"")</f>
        <v>0.28815656565656578</v>
      </c>
      <c r="AG241" s="312">
        <f>IFERROR(_xlfn.XLOOKUP($D241,'Modelling New'!$D:$D,'Modelling New'!$AE:$AE),"")</f>
        <v>0.95549849999999992</v>
      </c>
      <c r="AH241" s="312">
        <f>IFERROR(_xlfn.XLOOKUP($D241,'Modelling New'!$D:$D,'Modelling New'!$AF:$AF),"")</f>
        <v>0.995</v>
      </c>
      <c r="AI241" s="10" t="str">
        <f>IFERROR(_xlfn.XLOOKUP($A241,Input_Raw!$E:$E,Input_Raw!$DG:$DG),"")</f>
        <v/>
      </c>
      <c r="AJ241" s="10"/>
      <c r="AK241" s="10"/>
      <c r="AL241" s="10"/>
      <c r="AM241" s="10"/>
      <c r="AN241" s="314" t="str">
        <f>IFERROR(_xlfn.XLOOKUP($A241,Input_Raw!$E:$E,Input_Raw!$CY:$CY),"")</f>
        <v/>
      </c>
      <c r="AO241" s="312" t="str">
        <f>IFERROR((_xlfn.XLOOKUP($A241,'WTG Reactive Power'!$A:$A,'WTG Reactive Power'!AB:AB))/X241,"")</f>
        <v/>
      </c>
      <c r="AP241" s="312">
        <f>IFERROR(_xlfn.XLOOKUP($D241,'Modelling New'!$D:$D,'Modelling New'!AK:AK),"")</f>
        <v>0.05</v>
      </c>
      <c r="AQ241" s="312">
        <f>IFERROR(_xlfn.XLOOKUP($D241,'Modelling New'!$D:$D,'Modelling New'!AL:AL),"")</f>
        <v>0.05</v>
      </c>
      <c r="AR241" s="325">
        <f>IFERROR(_xlfn.XLOOKUP($D241,'Modelling New'!$D:$D,'Modelling New'!$N:$N),"")</f>
        <v>50.59999999999998</v>
      </c>
      <c r="AS241" s="325"/>
    </row>
    <row r="242" spans="1:45">
      <c r="A242" s="32">
        <f t="shared" si="24"/>
        <v>45985</v>
      </c>
      <c r="B242" s="43">
        <f>YEAR(Table13[[#This Row],[Date]])+IF(MONTH(Table13[[#This Row],[Date]])&gt;=4,1,0)</f>
        <v>2026</v>
      </c>
      <c r="C242" s="10">
        <f>YEAR(Table13[[#This Row],[Date]])</f>
        <v>2025</v>
      </c>
      <c r="D242" s="309">
        <f>Table13[[#This Row],[Date]]-DAY(Table13[[#This Row],[Date]])+1</f>
        <v>45962</v>
      </c>
      <c r="E242" s="10">
        <f t="shared" si="20"/>
        <v>30</v>
      </c>
      <c r="F242" s="241" t="str">
        <f>IFERROR(_xlfn.XLOOKUP($A242,Input_Raw!$E:$E,Input_Raw!DC:DC),"")</f>
        <v/>
      </c>
      <c r="G242" s="313"/>
      <c r="H242" s="313"/>
      <c r="I242" s="313"/>
      <c r="J242" s="313"/>
      <c r="K242" s="243"/>
      <c r="L242" s="242"/>
      <c r="M242" s="242" t="str">
        <f>IFERROR(_xlfn.XLOOKUP($A242,Input_Raw!$E:$E,Input_Raw!$BM:$BM),"")</f>
        <v/>
      </c>
      <c r="N242" s="242" t="str">
        <f>IFERROR(_xlfn.XLOOKUP($A242,Input_Raw!$E:$E,Input_Raw!$BN:$BN),"")</f>
        <v/>
      </c>
      <c r="O242" s="311" t="str">
        <f t="shared" si="21"/>
        <v/>
      </c>
      <c r="P242" s="311" t="str">
        <f>IFERROR(1-SUMIF(WTG_BD!$F:$F,$A242,WTG_BD!$AA:$AA)/($AA242+SUMIF(WTG_BD!$F:$F,$A242,WTG_BD!$AA:$AA)),"")</f>
        <v/>
      </c>
      <c r="Q242" s="328" t="str">
        <f>IFERROR(1-SUMIF(IGA_BD!$F:$F,$A242,IGA_BD!$W:$W)/($AA242+SUMIF(IGA_BD!$F:$F,$A242,IGA_BD!$W:$W)),"")</f>
        <v/>
      </c>
      <c r="R242" s="47" t="str">
        <f>IFERROR(1-SUMIF(Grid_BD!$F:$F,$A242,Grid_BD!$Y:$Y)/($AA242+SUMIF(Grid_BD!$F:$F,$A242,Grid_BD!$Y:$Y)),"")</f>
        <v/>
      </c>
      <c r="S242" s="10"/>
      <c r="T242" s="310"/>
      <c r="U242" s="311"/>
      <c r="V242" s="10"/>
      <c r="W242" s="312" t="str">
        <f t="shared" si="22"/>
        <v/>
      </c>
      <c r="X242" s="10" t="str">
        <f>IFERROR(_xlfn.XLOOKUP($A242,Input_Raw!$E:$E,Input_Raw!BG:BG),"")</f>
        <v/>
      </c>
      <c r="Y242" s="10" t="str">
        <f>IFERROR(_xlfn.XLOOKUP($A242,Input_Raw!$E:$E,Input_Raw!DF:DF),"")</f>
        <v/>
      </c>
      <c r="Z242" s="319" t="str">
        <f>IFERROR(_xlfn.XLOOKUP(A242,Input_Raw!E:E,Input_Raw!CT:CT)/_xlfn.XLOOKUP(A242,Input_Raw!E:E,Input_Raw!CS:CS)*Table13[[#This Row],[Mtr_Export (kWh)]],"")</f>
        <v/>
      </c>
      <c r="AA242" s="43" t="str">
        <f t="shared" si="23"/>
        <v/>
      </c>
      <c r="AB242" s="10" t="str">
        <f>IFERROR(_xlfn.XLOOKUP($A242,Input_Raw!$E:$E,Input_Raw!$CZ:$CZ),"")</f>
        <v/>
      </c>
      <c r="AC242" s="313">
        <f>IFERROR(_xlfn.XLOOKUP($D242,'Modelling New'!$D:$D,'Modelling New'!$J:$J),"")</f>
        <v>6.7073912546441834</v>
      </c>
      <c r="AD242" s="43">
        <f>IFERROR(_xlfn.XLOOKUP($D242,'Modelling New'!$D:$D,'Modelling New'!$T:$T)*1000,"")</f>
        <v>349937.33333333337</v>
      </c>
      <c r="AE242" s="312"/>
      <c r="AF242" s="312">
        <f>IFERROR(_xlfn.XLOOKUP($D242,'Modelling New'!$D:$D,'Modelling New'!$W:$W),"")</f>
        <v>0.28815656565656578</v>
      </c>
      <c r="AG242" s="312">
        <f>IFERROR(_xlfn.XLOOKUP($D242,'Modelling New'!$D:$D,'Modelling New'!$AE:$AE),"")</f>
        <v>0.95549849999999992</v>
      </c>
      <c r="AH242" s="312">
        <f>IFERROR(_xlfn.XLOOKUP($D242,'Modelling New'!$D:$D,'Modelling New'!$AF:$AF),"")</f>
        <v>0.995</v>
      </c>
      <c r="AI242" s="10" t="str">
        <f>IFERROR(_xlfn.XLOOKUP($A242,Input_Raw!$E:$E,Input_Raw!$DG:$DG),"")</f>
        <v/>
      </c>
      <c r="AJ242" s="10"/>
      <c r="AK242" s="10"/>
      <c r="AL242" s="10"/>
      <c r="AM242" s="10"/>
      <c r="AN242" s="314" t="str">
        <f>IFERROR(_xlfn.XLOOKUP($A242,Input_Raw!$E:$E,Input_Raw!$CY:$CY),"")</f>
        <v/>
      </c>
      <c r="AO242" s="312" t="str">
        <f>IFERROR((_xlfn.XLOOKUP($A242,'WTG Reactive Power'!$A:$A,'WTG Reactive Power'!AB:AB))/X242,"")</f>
        <v/>
      </c>
      <c r="AP242" s="312">
        <f>IFERROR(_xlfn.XLOOKUP($D242,'Modelling New'!$D:$D,'Modelling New'!AK:AK),"")</f>
        <v>0.05</v>
      </c>
      <c r="AQ242" s="312">
        <f>IFERROR(_xlfn.XLOOKUP($D242,'Modelling New'!$D:$D,'Modelling New'!AL:AL),"")</f>
        <v>0.05</v>
      </c>
      <c r="AR242" s="325">
        <f>IFERROR(_xlfn.XLOOKUP($D242,'Modelling New'!$D:$D,'Modelling New'!$N:$N),"")</f>
        <v>50.59999999999998</v>
      </c>
      <c r="AS242" s="325"/>
    </row>
    <row r="243" spans="1:45">
      <c r="A243" s="32">
        <f t="shared" si="24"/>
        <v>45986</v>
      </c>
      <c r="B243" s="43">
        <f>YEAR(Table13[[#This Row],[Date]])+IF(MONTH(Table13[[#This Row],[Date]])&gt;=4,1,0)</f>
        <v>2026</v>
      </c>
      <c r="C243" s="10">
        <f>YEAR(Table13[[#This Row],[Date]])</f>
        <v>2025</v>
      </c>
      <c r="D243" s="309">
        <f>Table13[[#This Row],[Date]]-DAY(Table13[[#This Row],[Date]])+1</f>
        <v>45962</v>
      </c>
      <c r="E243" s="10">
        <f t="shared" si="20"/>
        <v>30</v>
      </c>
      <c r="F243" s="241" t="str">
        <f>IFERROR(_xlfn.XLOOKUP($A243,Input_Raw!$E:$E,Input_Raw!DC:DC),"")</f>
        <v/>
      </c>
      <c r="G243" s="242"/>
      <c r="H243" s="242"/>
      <c r="I243" s="242"/>
      <c r="J243" s="242"/>
      <c r="K243" s="243"/>
      <c r="L243" s="242"/>
      <c r="M243" s="242" t="str">
        <f>IFERROR(_xlfn.XLOOKUP($A243,Input_Raw!$E:$E,Input_Raw!$BM:$BM),"")</f>
        <v/>
      </c>
      <c r="N243" s="242" t="str">
        <f>IFERROR(_xlfn.XLOOKUP($A243,Input_Raw!$E:$E,Input_Raw!$BN:$BN),"")</f>
        <v/>
      </c>
      <c r="O243" s="311" t="str">
        <f t="shared" si="21"/>
        <v/>
      </c>
      <c r="P243" s="311" t="str">
        <f>IFERROR(1-SUMIF(WTG_BD!$F:$F,$A243,WTG_BD!$AA:$AA)/($AA243+SUMIF(WTG_BD!$F:$F,$A243,WTG_BD!$AA:$AA)),"")</f>
        <v/>
      </c>
      <c r="Q243" s="328" t="str">
        <f>IFERROR(1-SUMIF(IGA_BD!$F:$F,$A243,IGA_BD!$W:$W)/($AA243+SUMIF(IGA_BD!$F:$F,$A243,IGA_BD!$W:$W)),"")</f>
        <v/>
      </c>
      <c r="R243" s="311" t="str">
        <f>IFERROR(1-SUMIF(Grid_BD!$F:$F,$A243,Grid_BD!$Y:$Y)/($AA243+SUMIF(Grid_BD!$F:$F,$A243,Grid_BD!$Y:$Y)),"")</f>
        <v/>
      </c>
      <c r="S243" s="10"/>
      <c r="T243" s="310"/>
      <c r="U243" s="311"/>
      <c r="V243" s="10"/>
      <c r="W243" s="312" t="str">
        <f t="shared" si="22"/>
        <v/>
      </c>
      <c r="X243" s="10" t="str">
        <f>IFERROR(_xlfn.XLOOKUP($A243,Input_Raw!$E:$E,Input_Raw!BG:BG),"")</f>
        <v/>
      </c>
      <c r="Y243" s="10" t="str">
        <f>IFERROR(_xlfn.XLOOKUP($A243,Input_Raw!$E:$E,Input_Raw!DF:DF),"")</f>
        <v/>
      </c>
      <c r="Z243" s="319" t="str">
        <f>IFERROR(_xlfn.XLOOKUP(A243,Input_Raw!E:E,Input_Raw!CT:CT)/_xlfn.XLOOKUP(A243,Input_Raw!E:E,Input_Raw!CS:CS)*Table13[[#This Row],[Mtr_Export (kWh)]],"")</f>
        <v/>
      </c>
      <c r="AA243" s="43" t="str">
        <f t="shared" si="23"/>
        <v/>
      </c>
      <c r="AB243" s="10" t="str">
        <f>IFERROR(_xlfn.XLOOKUP($A243,Input_Raw!$E:$E,Input_Raw!$CZ:$CZ),"")</f>
        <v/>
      </c>
      <c r="AC243" s="313">
        <f>IFERROR(_xlfn.XLOOKUP($D243,'Modelling New'!$D:$D,'Modelling New'!$J:$J),"")</f>
        <v>6.7073912546441834</v>
      </c>
      <c r="AD243" s="43">
        <f>IFERROR(_xlfn.XLOOKUP($D243,'Modelling New'!$D:$D,'Modelling New'!$T:$T)*1000,"")</f>
        <v>349937.33333333337</v>
      </c>
      <c r="AE243" s="312"/>
      <c r="AF243" s="312">
        <f>IFERROR(_xlfn.XLOOKUP($D243,'Modelling New'!$D:$D,'Modelling New'!$W:$W),"")</f>
        <v>0.28815656565656578</v>
      </c>
      <c r="AG243" s="312">
        <f>IFERROR(_xlfn.XLOOKUP($D243,'Modelling New'!$D:$D,'Modelling New'!$AE:$AE),"")</f>
        <v>0.95549849999999992</v>
      </c>
      <c r="AH243" s="312">
        <f>IFERROR(_xlfn.XLOOKUP($D243,'Modelling New'!$D:$D,'Modelling New'!$AF:$AF),"")</f>
        <v>0.995</v>
      </c>
      <c r="AI243" s="10" t="str">
        <f>IFERROR(_xlfn.XLOOKUP($A243,Input_Raw!$E:$E,Input_Raw!$DG:$DG),"")</f>
        <v/>
      </c>
      <c r="AJ243" s="10"/>
      <c r="AK243" s="10"/>
      <c r="AL243" s="10"/>
      <c r="AM243" s="10"/>
      <c r="AN243" s="314" t="str">
        <f>IFERROR(_xlfn.XLOOKUP($A243,Input_Raw!$E:$E,Input_Raw!$CY:$CY),"")</f>
        <v/>
      </c>
      <c r="AO243" s="312" t="str">
        <f>IFERROR((_xlfn.XLOOKUP($A243,'WTG Reactive Power'!$A:$A,'WTG Reactive Power'!AB:AB))/X243,"")</f>
        <v/>
      </c>
      <c r="AP243" s="312">
        <f>IFERROR(_xlfn.XLOOKUP($D243,'Modelling New'!$D:$D,'Modelling New'!AK:AK),"")</f>
        <v>0.05</v>
      </c>
      <c r="AQ243" s="312">
        <f>IFERROR(_xlfn.XLOOKUP($D243,'Modelling New'!$D:$D,'Modelling New'!AL:AL),"")</f>
        <v>0.05</v>
      </c>
      <c r="AR243" s="325">
        <f>IFERROR(_xlfn.XLOOKUP($D243,'Modelling New'!$D:$D,'Modelling New'!$N:$N),"")</f>
        <v>50.59999999999998</v>
      </c>
      <c r="AS243" s="325"/>
    </row>
    <row r="244" spans="1:45">
      <c r="A244" s="32">
        <f t="shared" si="24"/>
        <v>45987</v>
      </c>
      <c r="B244" s="43">
        <f>YEAR(Table13[[#This Row],[Date]])+IF(MONTH(Table13[[#This Row],[Date]])&gt;=4,1,0)</f>
        <v>2026</v>
      </c>
      <c r="C244" s="10">
        <f>YEAR(Table13[[#This Row],[Date]])</f>
        <v>2025</v>
      </c>
      <c r="D244" s="309">
        <f>Table13[[#This Row],[Date]]-DAY(Table13[[#This Row],[Date]])+1</f>
        <v>45962</v>
      </c>
      <c r="E244" s="10">
        <f t="shared" si="20"/>
        <v>30</v>
      </c>
      <c r="F244" s="241" t="str">
        <f>IFERROR(_xlfn.XLOOKUP($A244,Input_Raw!$E:$E,Input_Raw!DC:DC),"")</f>
        <v/>
      </c>
      <c r="G244" s="313"/>
      <c r="H244" s="313"/>
      <c r="I244" s="313"/>
      <c r="J244" s="313"/>
      <c r="K244" s="243"/>
      <c r="L244" s="242"/>
      <c r="M244" s="242" t="str">
        <f>IFERROR(_xlfn.XLOOKUP($A244,Input_Raw!$E:$E,Input_Raw!$BM:$BM),"")</f>
        <v/>
      </c>
      <c r="N244" s="242" t="str">
        <f>IFERROR(_xlfn.XLOOKUP($A244,Input_Raw!$E:$E,Input_Raw!$BN:$BN),"")</f>
        <v/>
      </c>
      <c r="O244" s="311" t="str">
        <f t="shared" si="21"/>
        <v/>
      </c>
      <c r="P244" s="311" t="str">
        <f>IFERROR(1-SUMIF(WTG_BD!$F:$F,$A244,WTG_BD!$AA:$AA)/($AA244+SUMIF(WTG_BD!$F:$F,$A244,WTG_BD!$AA:$AA)),"")</f>
        <v/>
      </c>
      <c r="Q244" s="328" t="str">
        <f>IFERROR(1-SUMIF(IGA_BD!$F:$F,$A244,IGA_BD!$W:$W)/($AA244+SUMIF(IGA_BD!$F:$F,$A244,IGA_BD!$W:$W)),"")</f>
        <v/>
      </c>
      <c r="R244" s="47" t="str">
        <f>IFERROR(1-SUMIF(Grid_BD!$F:$F,$A244,Grid_BD!$Y:$Y)/($AA244+SUMIF(Grid_BD!$F:$F,$A244,Grid_BD!$Y:$Y)),"")</f>
        <v/>
      </c>
      <c r="S244" s="10"/>
      <c r="T244" s="310"/>
      <c r="U244" s="311"/>
      <c r="V244" s="10"/>
      <c r="W244" s="312" t="str">
        <f t="shared" si="22"/>
        <v/>
      </c>
      <c r="X244" s="10" t="str">
        <f>IFERROR(_xlfn.XLOOKUP($A244,Input_Raw!$E:$E,Input_Raw!BG:BG),"")</f>
        <v/>
      </c>
      <c r="Y244" s="10" t="str">
        <f>IFERROR(_xlfn.XLOOKUP($A244,Input_Raw!$E:$E,Input_Raw!DF:DF),"")</f>
        <v/>
      </c>
      <c r="Z244" s="319" t="str">
        <f>IFERROR(_xlfn.XLOOKUP(A244,Input_Raw!E:E,Input_Raw!CT:CT)/_xlfn.XLOOKUP(A244,Input_Raw!E:E,Input_Raw!CS:CS)*Table13[[#This Row],[Mtr_Export (kWh)]],"")</f>
        <v/>
      </c>
      <c r="AA244" s="43" t="str">
        <f t="shared" si="23"/>
        <v/>
      </c>
      <c r="AB244" s="10" t="str">
        <f>IFERROR(_xlfn.XLOOKUP($A244,Input_Raw!$E:$E,Input_Raw!$CZ:$CZ),"")</f>
        <v/>
      </c>
      <c r="AC244" s="313">
        <f>IFERROR(_xlfn.XLOOKUP($D244,'Modelling New'!$D:$D,'Modelling New'!$J:$J),"")</f>
        <v>6.7073912546441834</v>
      </c>
      <c r="AD244" s="43">
        <f>IFERROR(_xlfn.XLOOKUP($D244,'Modelling New'!$D:$D,'Modelling New'!$T:$T)*1000,"")</f>
        <v>349937.33333333337</v>
      </c>
      <c r="AE244" s="312"/>
      <c r="AF244" s="312">
        <f>IFERROR(_xlfn.XLOOKUP($D244,'Modelling New'!$D:$D,'Modelling New'!$W:$W),"")</f>
        <v>0.28815656565656578</v>
      </c>
      <c r="AG244" s="312">
        <f>IFERROR(_xlfn.XLOOKUP($D244,'Modelling New'!$D:$D,'Modelling New'!$AE:$AE),"")</f>
        <v>0.95549849999999992</v>
      </c>
      <c r="AH244" s="312">
        <f>IFERROR(_xlfn.XLOOKUP($D244,'Modelling New'!$D:$D,'Modelling New'!$AF:$AF),"")</f>
        <v>0.995</v>
      </c>
      <c r="AI244" s="10" t="str">
        <f>IFERROR(_xlfn.XLOOKUP($A244,Input_Raw!$E:$E,Input_Raw!$DG:$DG),"")</f>
        <v/>
      </c>
      <c r="AJ244" s="10"/>
      <c r="AK244" s="10"/>
      <c r="AL244" s="10"/>
      <c r="AM244" s="10"/>
      <c r="AN244" s="314" t="str">
        <f>IFERROR(_xlfn.XLOOKUP($A244,Input_Raw!$E:$E,Input_Raw!$CY:$CY),"")</f>
        <v/>
      </c>
      <c r="AO244" s="312" t="str">
        <f>IFERROR((_xlfn.XLOOKUP($A244,'WTG Reactive Power'!$A:$A,'WTG Reactive Power'!AB:AB))/X244,"")</f>
        <v/>
      </c>
      <c r="AP244" s="312">
        <f>IFERROR(_xlfn.XLOOKUP($D244,'Modelling New'!$D:$D,'Modelling New'!AK:AK),"")</f>
        <v>0.05</v>
      </c>
      <c r="AQ244" s="312">
        <f>IFERROR(_xlfn.XLOOKUP($D244,'Modelling New'!$D:$D,'Modelling New'!AL:AL),"")</f>
        <v>0.05</v>
      </c>
      <c r="AR244" s="325">
        <f>IFERROR(_xlfn.XLOOKUP($D244,'Modelling New'!$D:$D,'Modelling New'!$N:$N),"")</f>
        <v>50.59999999999998</v>
      </c>
      <c r="AS244" s="325"/>
    </row>
    <row r="245" spans="1:45">
      <c r="A245" s="32">
        <f t="shared" si="24"/>
        <v>45988</v>
      </c>
      <c r="B245" s="43">
        <f>YEAR(Table13[[#This Row],[Date]])+IF(MONTH(Table13[[#This Row],[Date]])&gt;=4,1,0)</f>
        <v>2026</v>
      </c>
      <c r="C245" s="10">
        <f>YEAR(Table13[[#This Row],[Date]])</f>
        <v>2025</v>
      </c>
      <c r="D245" s="309">
        <f>Table13[[#This Row],[Date]]-DAY(Table13[[#This Row],[Date]])+1</f>
        <v>45962</v>
      </c>
      <c r="E245" s="10">
        <f t="shared" si="20"/>
        <v>30</v>
      </c>
      <c r="F245" s="241" t="str">
        <f>IFERROR(_xlfn.XLOOKUP($A245,Input_Raw!$E:$E,Input_Raw!DC:DC),"")</f>
        <v/>
      </c>
      <c r="G245" s="242"/>
      <c r="H245" s="242"/>
      <c r="I245" s="242"/>
      <c r="J245" s="242"/>
      <c r="K245" s="243"/>
      <c r="L245" s="242"/>
      <c r="M245" s="242" t="str">
        <f>IFERROR(_xlfn.XLOOKUP($A245,Input_Raw!$E:$E,Input_Raw!$BM:$BM),"")</f>
        <v/>
      </c>
      <c r="N245" s="242" t="str">
        <f>IFERROR(_xlfn.XLOOKUP($A245,Input_Raw!$E:$E,Input_Raw!$BN:$BN),"")</f>
        <v/>
      </c>
      <c r="O245" s="311" t="str">
        <f t="shared" si="21"/>
        <v/>
      </c>
      <c r="P245" s="311" t="str">
        <f>IFERROR(1-SUMIF(WTG_BD!$F:$F,$A245,WTG_BD!$AA:$AA)/($AA245+SUMIF(WTG_BD!$F:$F,$A245,WTG_BD!$AA:$AA)),"")</f>
        <v/>
      </c>
      <c r="Q245" s="328" t="str">
        <f>IFERROR(1-SUMIF(IGA_BD!$F:$F,$A245,IGA_BD!$W:$W)/($AA245+SUMIF(IGA_BD!$F:$F,$A245,IGA_BD!$W:$W)),"")</f>
        <v/>
      </c>
      <c r="R245" s="311" t="str">
        <f>IFERROR(1-SUMIF(Grid_BD!$F:$F,$A245,Grid_BD!$Y:$Y)/($AA245+SUMIF(Grid_BD!$F:$F,$A245,Grid_BD!$Y:$Y)),"")</f>
        <v/>
      </c>
      <c r="S245" s="10"/>
      <c r="T245" s="310"/>
      <c r="U245" s="311"/>
      <c r="V245" s="10"/>
      <c r="W245" s="312" t="str">
        <f t="shared" si="22"/>
        <v/>
      </c>
      <c r="X245" s="10" t="str">
        <f>IFERROR(_xlfn.XLOOKUP($A245,Input_Raw!$E:$E,Input_Raw!BG:BG),"")</f>
        <v/>
      </c>
      <c r="Y245" s="10" t="str">
        <f>IFERROR(_xlfn.XLOOKUP($A245,Input_Raw!$E:$E,Input_Raw!DF:DF),"")</f>
        <v/>
      </c>
      <c r="Z245" s="319" t="str">
        <f>IFERROR(_xlfn.XLOOKUP(A245,Input_Raw!E:E,Input_Raw!CT:CT)/_xlfn.XLOOKUP(A245,Input_Raw!E:E,Input_Raw!CS:CS)*Table13[[#This Row],[Mtr_Export (kWh)]],"")</f>
        <v/>
      </c>
      <c r="AA245" s="43" t="str">
        <f t="shared" si="23"/>
        <v/>
      </c>
      <c r="AB245" s="10" t="str">
        <f>IFERROR(_xlfn.XLOOKUP($A245,Input_Raw!$E:$E,Input_Raw!$CZ:$CZ),"")</f>
        <v/>
      </c>
      <c r="AC245" s="313">
        <f>IFERROR(_xlfn.XLOOKUP($D245,'Modelling New'!$D:$D,'Modelling New'!$J:$J),"")</f>
        <v>6.7073912546441834</v>
      </c>
      <c r="AD245" s="43">
        <f>IFERROR(_xlfn.XLOOKUP($D245,'Modelling New'!$D:$D,'Modelling New'!$T:$T)*1000,"")</f>
        <v>349937.33333333337</v>
      </c>
      <c r="AE245" s="312"/>
      <c r="AF245" s="312">
        <f>IFERROR(_xlfn.XLOOKUP($D245,'Modelling New'!$D:$D,'Modelling New'!$W:$W),"")</f>
        <v>0.28815656565656578</v>
      </c>
      <c r="AG245" s="312">
        <f>IFERROR(_xlfn.XLOOKUP($D245,'Modelling New'!$D:$D,'Modelling New'!$AE:$AE),"")</f>
        <v>0.95549849999999992</v>
      </c>
      <c r="AH245" s="312">
        <f>IFERROR(_xlfn.XLOOKUP($D245,'Modelling New'!$D:$D,'Modelling New'!$AF:$AF),"")</f>
        <v>0.995</v>
      </c>
      <c r="AI245" s="10" t="str">
        <f>IFERROR(_xlfn.XLOOKUP($A245,Input_Raw!$E:$E,Input_Raw!$DG:$DG),"")</f>
        <v/>
      </c>
      <c r="AJ245" s="10"/>
      <c r="AK245" s="10"/>
      <c r="AL245" s="10"/>
      <c r="AM245" s="10"/>
      <c r="AN245" s="314" t="str">
        <f>IFERROR(_xlfn.XLOOKUP($A245,Input_Raw!$E:$E,Input_Raw!$CY:$CY),"")</f>
        <v/>
      </c>
      <c r="AO245" s="312" t="str">
        <f>IFERROR((_xlfn.XLOOKUP($A245,'WTG Reactive Power'!$A:$A,'WTG Reactive Power'!AB:AB))/X245,"")</f>
        <v/>
      </c>
      <c r="AP245" s="312">
        <f>IFERROR(_xlfn.XLOOKUP($D245,'Modelling New'!$D:$D,'Modelling New'!AK:AK),"")</f>
        <v>0.05</v>
      </c>
      <c r="AQ245" s="312">
        <f>IFERROR(_xlfn.XLOOKUP($D245,'Modelling New'!$D:$D,'Modelling New'!AL:AL),"")</f>
        <v>0.05</v>
      </c>
      <c r="AR245" s="325">
        <f>IFERROR(_xlfn.XLOOKUP($D245,'Modelling New'!$D:$D,'Modelling New'!$N:$N),"")</f>
        <v>50.59999999999998</v>
      </c>
      <c r="AS245" s="325"/>
    </row>
    <row r="246" spans="1:45">
      <c r="A246" s="32">
        <f t="shared" si="24"/>
        <v>45989</v>
      </c>
      <c r="B246" s="43">
        <f>YEAR(Table13[[#This Row],[Date]])+IF(MONTH(Table13[[#This Row],[Date]])&gt;=4,1,0)</f>
        <v>2026</v>
      </c>
      <c r="C246" s="10">
        <f>YEAR(Table13[[#This Row],[Date]])</f>
        <v>2025</v>
      </c>
      <c r="D246" s="309">
        <f>Table13[[#This Row],[Date]]-DAY(Table13[[#This Row],[Date]])+1</f>
        <v>45962</v>
      </c>
      <c r="E246" s="10">
        <f t="shared" si="20"/>
        <v>30</v>
      </c>
      <c r="F246" s="241" t="str">
        <f>IFERROR(_xlfn.XLOOKUP($A246,Input_Raw!$E:$E,Input_Raw!DC:DC),"")</f>
        <v/>
      </c>
      <c r="G246" s="313"/>
      <c r="H246" s="313"/>
      <c r="I246" s="313"/>
      <c r="J246" s="313"/>
      <c r="K246" s="243"/>
      <c r="L246" s="242"/>
      <c r="M246" s="242" t="str">
        <f>IFERROR(_xlfn.XLOOKUP($A246,Input_Raw!$E:$E,Input_Raw!$BM:$BM),"")</f>
        <v/>
      </c>
      <c r="N246" s="242" t="str">
        <f>IFERROR(_xlfn.XLOOKUP($A246,Input_Raw!$E:$E,Input_Raw!$BN:$BN),"")</f>
        <v/>
      </c>
      <c r="O246" s="311" t="str">
        <f t="shared" si="21"/>
        <v/>
      </c>
      <c r="P246" s="311" t="str">
        <f>IFERROR(1-SUMIF(WTG_BD!$F:$F,$A246,WTG_BD!$AA:$AA)/($AA246+SUMIF(WTG_BD!$F:$F,$A246,WTG_BD!$AA:$AA)),"")</f>
        <v/>
      </c>
      <c r="Q246" s="328" t="str">
        <f>IFERROR(1-SUMIF(IGA_BD!$F:$F,$A246,IGA_BD!$W:$W)/($AA246+SUMIF(IGA_BD!$F:$F,$A246,IGA_BD!$W:$W)),"")</f>
        <v/>
      </c>
      <c r="R246" s="47" t="str">
        <f>IFERROR(1-SUMIF(Grid_BD!$F:$F,$A246,Grid_BD!$Y:$Y)/($AA246+SUMIF(Grid_BD!$F:$F,$A246,Grid_BD!$Y:$Y)),"")</f>
        <v/>
      </c>
      <c r="S246" s="10"/>
      <c r="T246" s="310"/>
      <c r="U246" s="311"/>
      <c r="V246" s="10"/>
      <c r="W246" s="312" t="str">
        <f t="shared" si="22"/>
        <v/>
      </c>
      <c r="X246" s="10" t="str">
        <f>IFERROR(_xlfn.XLOOKUP($A246,Input_Raw!$E:$E,Input_Raw!BG:BG),"")</f>
        <v/>
      </c>
      <c r="Y246" s="10" t="str">
        <f>IFERROR(_xlfn.XLOOKUP($A246,Input_Raw!$E:$E,Input_Raw!DF:DF),"")</f>
        <v/>
      </c>
      <c r="Z246" s="319" t="str">
        <f>IFERROR(_xlfn.XLOOKUP(A246,Input_Raw!E:E,Input_Raw!CT:CT)/_xlfn.XLOOKUP(A246,Input_Raw!E:E,Input_Raw!CS:CS)*Table13[[#This Row],[Mtr_Export (kWh)]],"")</f>
        <v/>
      </c>
      <c r="AA246" s="43" t="str">
        <f t="shared" si="23"/>
        <v/>
      </c>
      <c r="AB246" s="10" t="str">
        <f>IFERROR(_xlfn.XLOOKUP($A246,Input_Raw!$E:$E,Input_Raw!$CZ:$CZ),"")</f>
        <v/>
      </c>
      <c r="AC246" s="313">
        <f>IFERROR(_xlfn.XLOOKUP($D246,'Modelling New'!$D:$D,'Modelling New'!$J:$J),"")</f>
        <v>6.7073912546441834</v>
      </c>
      <c r="AD246" s="43">
        <f>IFERROR(_xlfn.XLOOKUP($D246,'Modelling New'!$D:$D,'Modelling New'!$T:$T)*1000,"")</f>
        <v>349937.33333333337</v>
      </c>
      <c r="AE246" s="312"/>
      <c r="AF246" s="312">
        <f>IFERROR(_xlfn.XLOOKUP($D246,'Modelling New'!$D:$D,'Modelling New'!$W:$W),"")</f>
        <v>0.28815656565656578</v>
      </c>
      <c r="AG246" s="312">
        <f>IFERROR(_xlfn.XLOOKUP($D246,'Modelling New'!$D:$D,'Modelling New'!$AE:$AE),"")</f>
        <v>0.95549849999999992</v>
      </c>
      <c r="AH246" s="312">
        <f>IFERROR(_xlfn.XLOOKUP($D246,'Modelling New'!$D:$D,'Modelling New'!$AF:$AF),"")</f>
        <v>0.995</v>
      </c>
      <c r="AI246" s="10" t="str">
        <f>IFERROR(_xlfn.XLOOKUP($A246,Input_Raw!$E:$E,Input_Raw!$DG:$DG),"")</f>
        <v/>
      </c>
      <c r="AJ246" s="10"/>
      <c r="AK246" s="10"/>
      <c r="AL246" s="10"/>
      <c r="AM246" s="10"/>
      <c r="AN246" s="314" t="str">
        <f>IFERROR(_xlfn.XLOOKUP($A246,Input_Raw!$E:$E,Input_Raw!$CY:$CY),"")</f>
        <v/>
      </c>
      <c r="AO246" s="312" t="str">
        <f>IFERROR((_xlfn.XLOOKUP($A246,'WTG Reactive Power'!$A:$A,'WTG Reactive Power'!AB:AB))/X246,"")</f>
        <v/>
      </c>
      <c r="AP246" s="312">
        <f>IFERROR(_xlfn.XLOOKUP($D246,'Modelling New'!$D:$D,'Modelling New'!AK:AK),"")</f>
        <v>0.05</v>
      </c>
      <c r="AQ246" s="312">
        <f>IFERROR(_xlfn.XLOOKUP($D246,'Modelling New'!$D:$D,'Modelling New'!AL:AL),"")</f>
        <v>0.05</v>
      </c>
      <c r="AR246" s="325">
        <f>IFERROR(_xlfn.XLOOKUP($D246,'Modelling New'!$D:$D,'Modelling New'!$N:$N),"")</f>
        <v>50.59999999999998</v>
      </c>
      <c r="AS246" s="325"/>
    </row>
    <row r="247" spans="1:45">
      <c r="A247" s="32">
        <f t="shared" si="24"/>
        <v>45990</v>
      </c>
      <c r="B247" s="43">
        <f>YEAR(Table13[[#This Row],[Date]])+IF(MONTH(Table13[[#This Row],[Date]])&gt;=4,1,0)</f>
        <v>2026</v>
      </c>
      <c r="C247" s="10">
        <f>YEAR(Table13[[#This Row],[Date]])</f>
        <v>2025</v>
      </c>
      <c r="D247" s="309">
        <f>Table13[[#This Row],[Date]]-DAY(Table13[[#This Row],[Date]])+1</f>
        <v>45962</v>
      </c>
      <c r="E247" s="10">
        <f t="shared" si="20"/>
        <v>30</v>
      </c>
      <c r="F247" s="241" t="str">
        <f>IFERROR(_xlfn.XLOOKUP($A247,Input_Raw!$E:$E,Input_Raw!DC:DC),"")</f>
        <v/>
      </c>
      <c r="G247" s="242"/>
      <c r="H247" s="242"/>
      <c r="I247" s="242"/>
      <c r="J247" s="242"/>
      <c r="K247" s="243"/>
      <c r="L247" s="242"/>
      <c r="M247" s="242" t="str">
        <f>IFERROR(_xlfn.XLOOKUP($A247,Input_Raw!$E:$E,Input_Raw!$BM:$BM),"")</f>
        <v/>
      </c>
      <c r="N247" s="242" t="str">
        <f>IFERROR(_xlfn.XLOOKUP($A247,Input_Raw!$E:$E,Input_Raw!$BN:$BN),"")</f>
        <v/>
      </c>
      <c r="O247" s="311" t="str">
        <f t="shared" si="21"/>
        <v/>
      </c>
      <c r="P247" s="311" t="str">
        <f>IFERROR(1-SUMIF(WTG_BD!$F:$F,$A247,WTG_BD!$AA:$AA)/($AA247+SUMIF(WTG_BD!$F:$F,$A247,WTG_BD!$AA:$AA)),"")</f>
        <v/>
      </c>
      <c r="Q247" s="328" t="str">
        <f>IFERROR(1-SUMIF(IGA_BD!$F:$F,$A247,IGA_BD!$W:$W)/($AA247+SUMIF(IGA_BD!$F:$F,$A247,IGA_BD!$W:$W)),"")</f>
        <v/>
      </c>
      <c r="R247" s="311" t="str">
        <f>IFERROR(1-SUMIF(Grid_BD!$F:$F,$A247,Grid_BD!$Y:$Y)/($AA247+SUMIF(Grid_BD!$F:$F,$A247,Grid_BD!$Y:$Y)),"")</f>
        <v/>
      </c>
      <c r="S247" s="10"/>
      <c r="T247" s="310"/>
      <c r="U247" s="311"/>
      <c r="V247" s="10"/>
      <c r="W247" s="312" t="str">
        <f t="shared" si="22"/>
        <v/>
      </c>
      <c r="X247" s="10" t="str">
        <f>IFERROR(_xlfn.XLOOKUP($A247,Input_Raw!$E:$E,Input_Raw!BG:BG),"")</f>
        <v/>
      </c>
      <c r="Y247" s="10" t="str">
        <f>IFERROR(_xlfn.XLOOKUP($A247,Input_Raw!$E:$E,Input_Raw!DF:DF),"")</f>
        <v/>
      </c>
      <c r="Z247" s="319" t="str">
        <f>IFERROR(_xlfn.XLOOKUP(A247,Input_Raw!E:E,Input_Raw!CT:CT)/_xlfn.XLOOKUP(A247,Input_Raw!E:E,Input_Raw!CS:CS)*Table13[[#This Row],[Mtr_Export (kWh)]],"")</f>
        <v/>
      </c>
      <c r="AA247" s="43" t="str">
        <f t="shared" si="23"/>
        <v/>
      </c>
      <c r="AB247" s="10" t="str">
        <f>IFERROR(_xlfn.XLOOKUP($A247,Input_Raw!$E:$E,Input_Raw!$CZ:$CZ),"")</f>
        <v/>
      </c>
      <c r="AC247" s="313">
        <f>IFERROR(_xlfn.XLOOKUP($D247,'Modelling New'!$D:$D,'Modelling New'!$J:$J),"")</f>
        <v>6.7073912546441834</v>
      </c>
      <c r="AD247" s="43">
        <f>IFERROR(_xlfn.XLOOKUP($D247,'Modelling New'!$D:$D,'Modelling New'!$T:$T)*1000,"")</f>
        <v>349937.33333333337</v>
      </c>
      <c r="AE247" s="312"/>
      <c r="AF247" s="312">
        <f>IFERROR(_xlfn.XLOOKUP($D247,'Modelling New'!$D:$D,'Modelling New'!$W:$W),"")</f>
        <v>0.28815656565656578</v>
      </c>
      <c r="AG247" s="312">
        <f>IFERROR(_xlfn.XLOOKUP($D247,'Modelling New'!$D:$D,'Modelling New'!$AE:$AE),"")</f>
        <v>0.95549849999999992</v>
      </c>
      <c r="AH247" s="312">
        <f>IFERROR(_xlfn.XLOOKUP($D247,'Modelling New'!$D:$D,'Modelling New'!$AF:$AF),"")</f>
        <v>0.995</v>
      </c>
      <c r="AI247" s="10" t="str">
        <f>IFERROR(_xlfn.XLOOKUP($A247,Input_Raw!$E:$E,Input_Raw!$DG:$DG),"")</f>
        <v/>
      </c>
      <c r="AJ247" s="10"/>
      <c r="AK247" s="10"/>
      <c r="AL247" s="10"/>
      <c r="AM247" s="10"/>
      <c r="AN247" s="314" t="str">
        <f>IFERROR(_xlfn.XLOOKUP($A247,Input_Raw!$E:$E,Input_Raw!$CY:$CY),"")</f>
        <v/>
      </c>
      <c r="AO247" s="312" t="str">
        <f>IFERROR((_xlfn.XLOOKUP($A247,'WTG Reactive Power'!$A:$A,'WTG Reactive Power'!AB:AB))/X247,"")</f>
        <v/>
      </c>
      <c r="AP247" s="312">
        <f>IFERROR(_xlfn.XLOOKUP($D247,'Modelling New'!$D:$D,'Modelling New'!AK:AK),"")</f>
        <v>0.05</v>
      </c>
      <c r="AQ247" s="312">
        <f>IFERROR(_xlfn.XLOOKUP($D247,'Modelling New'!$D:$D,'Modelling New'!AL:AL),"")</f>
        <v>0.05</v>
      </c>
      <c r="AR247" s="325">
        <f>IFERROR(_xlfn.XLOOKUP($D247,'Modelling New'!$D:$D,'Modelling New'!$N:$N),"")</f>
        <v>50.59999999999998</v>
      </c>
      <c r="AS247" s="325"/>
    </row>
    <row r="248" spans="1:45">
      <c r="A248" s="32">
        <f t="shared" si="24"/>
        <v>45991</v>
      </c>
      <c r="B248" s="43">
        <f>YEAR(Table13[[#This Row],[Date]])+IF(MONTH(Table13[[#This Row],[Date]])&gt;=4,1,0)</f>
        <v>2026</v>
      </c>
      <c r="C248" s="10">
        <f>YEAR(Table13[[#This Row],[Date]])</f>
        <v>2025</v>
      </c>
      <c r="D248" s="309">
        <f>Table13[[#This Row],[Date]]-DAY(Table13[[#This Row],[Date]])+1</f>
        <v>45962</v>
      </c>
      <c r="E248" s="10">
        <f t="shared" si="20"/>
        <v>30</v>
      </c>
      <c r="F248" s="241" t="str">
        <f>IFERROR(_xlfn.XLOOKUP($A248,Input_Raw!$E:$E,Input_Raw!DC:DC),"")</f>
        <v/>
      </c>
      <c r="G248" s="313"/>
      <c r="H248" s="313"/>
      <c r="I248" s="313"/>
      <c r="J248" s="313"/>
      <c r="K248" s="243"/>
      <c r="L248" s="242"/>
      <c r="M248" s="242" t="str">
        <f>IFERROR(_xlfn.XLOOKUP($A248,Input_Raw!$E:$E,Input_Raw!$BM:$BM),"")</f>
        <v/>
      </c>
      <c r="N248" s="242" t="str">
        <f>IFERROR(_xlfn.XLOOKUP($A248,Input_Raw!$E:$E,Input_Raw!$BN:$BN),"")</f>
        <v/>
      </c>
      <c r="O248" s="311" t="str">
        <f t="shared" si="21"/>
        <v/>
      </c>
      <c r="P248" s="311" t="str">
        <f>IFERROR(1-SUMIF(WTG_BD!$F:$F,$A248,WTG_BD!$AA:$AA)/($AA248+SUMIF(WTG_BD!$F:$F,$A248,WTG_BD!$AA:$AA)),"")</f>
        <v/>
      </c>
      <c r="Q248" s="328" t="str">
        <f>IFERROR(1-SUMIF(IGA_BD!$F:$F,$A248,IGA_BD!$W:$W)/($AA248+SUMIF(IGA_BD!$F:$F,$A248,IGA_BD!$W:$W)),"")</f>
        <v/>
      </c>
      <c r="R248" s="47" t="str">
        <f>IFERROR(1-SUMIF(Grid_BD!$F:$F,$A248,Grid_BD!$Y:$Y)/($AA248+SUMIF(Grid_BD!$F:$F,$A248,Grid_BD!$Y:$Y)),"")</f>
        <v/>
      </c>
      <c r="S248" s="10"/>
      <c r="T248" s="310"/>
      <c r="U248" s="311"/>
      <c r="V248" s="10"/>
      <c r="W248" s="312" t="str">
        <f t="shared" si="22"/>
        <v/>
      </c>
      <c r="X248" s="10" t="str">
        <f>IFERROR(_xlfn.XLOOKUP($A248,Input_Raw!$E:$E,Input_Raw!BG:BG),"")</f>
        <v/>
      </c>
      <c r="Y248" s="10" t="str">
        <f>IFERROR(_xlfn.XLOOKUP($A248,Input_Raw!$E:$E,Input_Raw!DF:DF),"")</f>
        <v/>
      </c>
      <c r="Z248" s="319" t="str">
        <f>IFERROR(_xlfn.XLOOKUP(A248,Input_Raw!E:E,Input_Raw!CT:CT)/_xlfn.XLOOKUP(A248,Input_Raw!E:E,Input_Raw!CS:CS)*Table13[[#This Row],[Mtr_Export (kWh)]],"")</f>
        <v/>
      </c>
      <c r="AA248" s="43" t="str">
        <f t="shared" si="23"/>
        <v/>
      </c>
      <c r="AB248" s="10" t="str">
        <f>IFERROR(_xlfn.XLOOKUP($A248,Input_Raw!$E:$E,Input_Raw!$CZ:$CZ),"")</f>
        <v/>
      </c>
      <c r="AC248" s="313">
        <f>IFERROR(_xlfn.XLOOKUP($D248,'Modelling New'!$D:$D,'Modelling New'!$J:$J),"")</f>
        <v>6.7073912546441834</v>
      </c>
      <c r="AD248" s="43">
        <f>IFERROR(_xlfn.XLOOKUP($D248,'Modelling New'!$D:$D,'Modelling New'!$T:$T)*1000,"")</f>
        <v>349937.33333333337</v>
      </c>
      <c r="AE248" s="312"/>
      <c r="AF248" s="312">
        <f>IFERROR(_xlfn.XLOOKUP($D248,'Modelling New'!$D:$D,'Modelling New'!$W:$W),"")</f>
        <v>0.28815656565656578</v>
      </c>
      <c r="AG248" s="312">
        <f>IFERROR(_xlfn.XLOOKUP($D248,'Modelling New'!$D:$D,'Modelling New'!$AE:$AE),"")</f>
        <v>0.95549849999999992</v>
      </c>
      <c r="AH248" s="312">
        <f>IFERROR(_xlfn.XLOOKUP($D248,'Modelling New'!$D:$D,'Modelling New'!$AF:$AF),"")</f>
        <v>0.995</v>
      </c>
      <c r="AI248" s="10" t="str">
        <f>IFERROR(_xlfn.XLOOKUP($A248,Input_Raw!$E:$E,Input_Raw!$DG:$DG),"")</f>
        <v/>
      </c>
      <c r="AJ248" s="10"/>
      <c r="AK248" s="10"/>
      <c r="AL248" s="10"/>
      <c r="AM248" s="10"/>
      <c r="AN248" s="314" t="str">
        <f>IFERROR(_xlfn.XLOOKUP($A248,Input_Raw!$E:$E,Input_Raw!$CY:$CY),"")</f>
        <v/>
      </c>
      <c r="AO248" s="312" t="str">
        <f>IFERROR((_xlfn.XLOOKUP($A248,'WTG Reactive Power'!$A:$A,'WTG Reactive Power'!AB:AB))/X248,"")</f>
        <v/>
      </c>
      <c r="AP248" s="312">
        <f>IFERROR(_xlfn.XLOOKUP($D248,'Modelling New'!$D:$D,'Modelling New'!AK:AK),"")</f>
        <v>0.05</v>
      </c>
      <c r="AQ248" s="312">
        <f>IFERROR(_xlfn.XLOOKUP($D248,'Modelling New'!$D:$D,'Modelling New'!AL:AL),"")</f>
        <v>0.05</v>
      </c>
      <c r="AR248" s="325">
        <f>IFERROR(_xlfn.XLOOKUP($D248,'Modelling New'!$D:$D,'Modelling New'!$N:$N),"")</f>
        <v>50.59999999999998</v>
      </c>
      <c r="AS248" s="325"/>
    </row>
    <row r="249" spans="1:45">
      <c r="A249" s="32">
        <f t="shared" si="24"/>
        <v>45992</v>
      </c>
      <c r="B249" s="43">
        <f>YEAR(Table13[[#This Row],[Date]])+IF(MONTH(Table13[[#This Row],[Date]])&gt;=4,1,0)</f>
        <v>2026</v>
      </c>
      <c r="C249" s="10">
        <f>YEAR(Table13[[#This Row],[Date]])</f>
        <v>2025</v>
      </c>
      <c r="D249" s="309">
        <f>Table13[[#This Row],[Date]]-DAY(Table13[[#This Row],[Date]])+1</f>
        <v>45992</v>
      </c>
      <c r="E249" s="10">
        <f t="shared" si="20"/>
        <v>31</v>
      </c>
      <c r="F249" s="241" t="str">
        <f>IFERROR(_xlfn.XLOOKUP($A249,Input_Raw!$E:$E,Input_Raw!DC:DC),"")</f>
        <v/>
      </c>
      <c r="G249" s="242"/>
      <c r="H249" s="242"/>
      <c r="I249" s="242"/>
      <c r="J249" s="242"/>
      <c r="K249" s="243"/>
      <c r="L249" s="242"/>
      <c r="M249" s="242" t="str">
        <f>IFERROR(_xlfn.XLOOKUP($A249,Input_Raw!$E:$E,Input_Raw!$BM:$BM),"")</f>
        <v/>
      </c>
      <c r="N249" s="242" t="str">
        <f>IFERROR(_xlfn.XLOOKUP($A249,Input_Raw!$E:$E,Input_Raw!$BN:$BN),"")</f>
        <v/>
      </c>
      <c r="O249" s="311" t="str">
        <f t="shared" si="21"/>
        <v/>
      </c>
      <c r="P249" s="311" t="str">
        <f>IFERROR(1-SUMIF(WTG_BD!$F:$F,$A249,WTG_BD!$AA:$AA)/($AA249+SUMIF(WTG_BD!$F:$F,$A249,WTG_BD!$AA:$AA)),"")</f>
        <v/>
      </c>
      <c r="Q249" s="328" t="str">
        <f>IFERROR(1-SUMIF(IGA_BD!$F:$F,$A249,IGA_BD!$W:$W)/($AA249+SUMIF(IGA_BD!$F:$F,$A249,IGA_BD!$W:$W)),"")</f>
        <v/>
      </c>
      <c r="R249" s="311" t="str">
        <f>IFERROR(1-SUMIF(Grid_BD!$F:$F,$A249,Grid_BD!$Y:$Y)/($AA249+SUMIF(Grid_BD!$F:$F,$A249,Grid_BD!$Y:$Y)),"")</f>
        <v/>
      </c>
      <c r="S249" s="10"/>
      <c r="T249" s="310"/>
      <c r="U249" s="311"/>
      <c r="V249" s="10"/>
      <c r="W249" s="312" t="str">
        <f t="shared" si="22"/>
        <v/>
      </c>
      <c r="X249" s="10" t="str">
        <f>IFERROR(_xlfn.XLOOKUP($A249,Input_Raw!$E:$E,Input_Raw!BG:BG),"")</f>
        <v/>
      </c>
      <c r="Y249" s="10" t="str">
        <f>IFERROR(_xlfn.XLOOKUP($A249,Input_Raw!$E:$E,Input_Raw!DF:DF),"")</f>
        <v/>
      </c>
      <c r="Z249" s="319" t="str">
        <f>IFERROR(_xlfn.XLOOKUP(A249,Input_Raw!E:E,Input_Raw!CT:CT)/_xlfn.XLOOKUP(A249,Input_Raw!E:E,Input_Raw!CS:CS)*Table13[[#This Row],[Mtr_Export (kWh)]],"")</f>
        <v/>
      </c>
      <c r="AA249" s="43" t="str">
        <f t="shared" si="23"/>
        <v/>
      </c>
      <c r="AB249" s="10" t="str">
        <f>IFERROR(_xlfn.XLOOKUP($A249,Input_Raw!$E:$E,Input_Raw!$CZ:$CZ),"")</f>
        <v/>
      </c>
      <c r="AC249" s="313">
        <f>IFERROR(_xlfn.XLOOKUP($D249,'Modelling New'!$D:$D,'Modelling New'!$J:$J),"")</f>
        <v>7.0533420977422105</v>
      </c>
      <c r="AD249" s="43">
        <f>IFERROR(_xlfn.XLOOKUP($D249,'Modelling New'!$D:$D,'Modelling New'!$T:$T)*1000,"")</f>
        <v>441856.45161290321</v>
      </c>
      <c r="AE249" s="312"/>
      <c r="AF249" s="312">
        <f>IFERROR(_xlfn.XLOOKUP($D249,'Modelling New'!$D:$D,'Modelling New'!$W:$W),"")</f>
        <v>0.36384753920693619</v>
      </c>
      <c r="AG249" s="312">
        <f>IFERROR(_xlfn.XLOOKUP($D249,'Modelling New'!$D:$D,'Modelling New'!$AE:$AE),"")</f>
        <v>0.95549849999999992</v>
      </c>
      <c r="AH249" s="312">
        <f>IFERROR(_xlfn.XLOOKUP($D249,'Modelling New'!$D:$D,'Modelling New'!$AF:$AF),"")</f>
        <v>0.995</v>
      </c>
      <c r="AI249" s="10" t="str">
        <f>IFERROR(_xlfn.XLOOKUP($A249,Input_Raw!$E:$E,Input_Raw!$DG:$DG),"")</f>
        <v/>
      </c>
      <c r="AJ249" s="10"/>
      <c r="AK249" s="10"/>
      <c r="AL249" s="10"/>
      <c r="AM249" s="10"/>
      <c r="AN249" s="314" t="str">
        <f>IFERROR(_xlfn.XLOOKUP($A249,Input_Raw!$E:$E,Input_Raw!$CY:$CY),"")</f>
        <v/>
      </c>
      <c r="AO249" s="312" t="str">
        <f>IFERROR((_xlfn.XLOOKUP($A249,'WTG Reactive Power'!$A:$A,'WTG Reactive Power'!AB:AB))/X249,"")</f>
        <v/>
      </c>
      <c r="AP249" s="312">
        <f>IFERROR(_xlfn.XLOOKUP($D249,'Modelling New'!$D:$D,'Modelling New'!AK:AK),"")</f>
        <v>0.05</v>
      </c>
      <c r="AQ249" s="312">
        <f>IFERROR(_xlfn.XLOOKUP($D249,'Modelling New'!$D:$D,'Modelling New'!AL:AL),"")</f>
        <v>0.05</v>
      </c>
      <c r="AR249" s="325">
        <f>IFERROR(_xlfn.XLOOKUP($D249,'Modelling New'!$D:$D,'Modelling New'!$N:$N),"")</f>
        <v>50.59999999999998</v>
      </c>
      <c r="AS249" s="325"/>
    </row>
    <row r="250" spans="1:45">
      <c r="A250" s="32">
        <f t="shared" si="24"/>
        <v>45993</v>
      </c>
      <c r="B250" s="43">
        <f>YEAR(Table13[[#This Row],[Date]])+IF(MONTH(Table13[[#This Row],[Date]])&gt;=4,1,0)</f>
        <v>2026</v>
      </c>
      <c r="C250" s="10">
        <f>YEAR(Table13[[#This Row],[Date]])</f>
        <v>2025</v>
      </c>
      <c r="D250" s="309">
        <f>Table13[[#This Row],[Date]]-DAY(Table13[[#This Row],[Date]])+1</f>
        <v>45992</v>
      </c>
      <c r="E250" s="10">
        <f t="shared" si="20"/>
        <v>31</v>
      </c>
      <c r="F250" s="241" t="str">
        <f>IFERROR(_xlfn.XLOOKUP($A250,Input_Raw!$E:$E,Input_Raw!DC:DC),"")</f>
        <v/>
      </c>
      <c r="G250" s="313"/>
      <c r="H250" s="313"/>
      <c r="I250" s="313"/>
      <c r="J250" s="313"/>
      <c r="K250" s="243"/>
      <c r="L250" s="242"/>
      <c r="M250" s="242" t="str">
        <f>IFERROR(_xlfn.XLOOKUP($A250,Input_Raw!$E:$E,Input_Raw!$BM:$BM),"")</f>
        <v/>
      </c>
      <c r="N250" s="242" t="str">
        <f>IFERROR(_xlfn.XLOOKUP($A250,Input_Raw!$E:$E,Input_Raw!$BN:$BN),"")</f>
        <v/>
      </c>
      <c r="O250" s="311" t="str">
        <f t="shared" si="21"/>
        <v/>
      </c>
      <c r="P250" s="311" t="str">
        <f>IFERROR(1-SUMIF(WTG_BD!$F:$F,$A250,WTG_BD!$AA:$AA)/($AA250+SUMIF(WTG_BD!$F:$F,$A250,WTG_BD!$AA:$AA)),"")</f>
        <v/>
      </c>
      <c r="Q250" s="328" t="str">
        <f>IFERROR(1-SUMIF(IGA_BD!$F:$F,$A250,IGA_BD!$W:$W)/($AA250+SUMIF(IGA_BD!$F:$F,$A250,IGA_BD!$W:$W)),"")</f>
        <v/>
      </c>
      <c r="R250" s="47" t="str">
        <f>IFERROR(1-SUMIF(Grid_BD!$F:$F,$A250,Grid_BD!$Y:$Y)/($AA250+SUMIF(Grid_BD!$F:$F,$A250,Grid_BD!$Y:$Y)),"")</f>
        <v/>
      </c>
      <c r="S250" s="10"/>
      <c r="T250" s="310"/>
      <c r="U250" s="311"/>
      <c r="V250" s="10"/>
      <c r="W250" s="312" t="str">
        <f t="shared" si="22"/>
        <v/>
      </c>
      <c r="X250" s="10" t="str">
        <f>IFERROR(_xlfn.XLOOKUP($A250,Input_Raw!$E:$E,Input_Raw!BG:BG),"")</f>
        <v/>
      </c>
      <c r="Y250" s="10" t="str">
        <f>IFERROR(_xlfn.XLOOKUP($A250,Input_Raw!$E:$E,Input_Raw!DF:DF),"")</f>
        <v/>
      </c>
      <c r="Z250" s="319" t="str">
        <f>IFERROR(_xlfn.XLOOKUP(A250,Input_Raw!E:E,Input_Raw!CT:CT)/_xlfn.XLOOKUP(A250,Input_Raw!E:E,Input_Raw!CS:CS)*Table13[[#This Row],[Mtr_Export (kWh)]],"")</f>
        <v/>
      </c>
      <c r="AA250" s="43" t="str">
        <f t="shared" si="23"/>
        <v/>
      </c>
      <c r="AB250" s="10" t="str">
        <f>IFERROR(_xlfn.XLOOKUP($A250,Input_Raw!$E:$E,Input_Raw!$CZ:$CZ),"")</f>
        <v/>
      </c>
      <c r="AC250" s="313">
        <f>IFERROR(_xlfn.XLOOKUP($D250,'Modelling New'!$D:$D,'Modelling New'!$J:$J),"")</f>
        <v>7.0533420977422105</v>
      </c>
      <c r="AD250" s="43">
        <f>IFERROR(_xlfn.XLOOKUP($D250,'Modelling New'!$D:$D,'Modelling New'!$T:$T)*1000,"")</f>
        <v>441856.45161290321</v>
      </c>
      <c r="AE250" s="312"/>
      <c r="AF250" s="312">
        <f>IFERROR(_xlfn.XLOOKUP($D250,'Modelling New'!$D:$D,'Modelling New'!$W:$W),"")</f>
        <v>0.36384753920693619</v>
      </c>
      <c r="AG250" s="312">
        <f>IFERROR(_xlfn.XLOOKUP($D250,'Modelling New'!$D:$D,'Modelling New'!$AE:$AE),"")</f>
        <v>0.95549849999999992</v>
      </c>
      <c r="AH250" s="312">
        <f>IFERROR(_xlfn.XLOOKUP($D250,'Modelling New'!$D:$D,'Modelling New'!$AF:$AF),"")</f>
        <v>0.995</v>
      </c>
      <c r="AI250" s="10" t="str">
        <f>IFERROR(_xlfn.XLOOKUP($A250,Input_Raw!$E:$E,Input_Raw!$DG:$DG),"")</f>
        <v/>
      </c>
      <c r="AJ250" s="10"/>
      <c r="AK250" s="10"/>
      <c r="AL250" s="10"/>
      <c r="AM250" s="10"/>
      <c r="AN250" s="314" t="str">
        <f>IFERROR(_xlfn.XLOOKUP($A250,Input_Raw!$E:$E,Input_Raw!$CY:$CY),"")</f>
        <v/>
      </c>
      <c r="AO250" s="312" t="str">
        <f>IFERROR((_xlfn.XLOOKUP($A250,'WTG Reactive Power'!$A:$A,'WTG Reactive Power'!AB:AB))/X250,"")</f>
        <v/>
      </c>
      <c r="AP250" s="312">
        <f>IFERROR(_xlfn.XLOOKUP($D250,'Modelling New'!$D:$D,'Modelling New'!AK:AK),"")</f>
        <v>0.05</v>
      </c>
      <c r="AQ250" s="312">
        <f>IFERROR(_xlfn.XLOOKUP($D250,'Modelling New'!$D:$D,'Modelling New'!AL:AL),"")</f>
        <v>0.05</v>
      </c>
      <c r="AR250" s="325">
        <f>IFERROR(_xlfn.XLOOKUP($D250,'Modelling New'!$D:$D,'Modelling New'!$N:$N),"")</f>
        <v>50.59999999999998</v>
      </c>
      <c r="AS250" s="325"/>
    </row>
    <row r="251" spans="1:45">
      <c r="A251" s="32">
        <f t="shared" si="24"/>
        <v>45994</v>
      </c>
      <c r="B251" s="43">
        <f>YEAR(Table13[[#This Row],[Date]])+IF(MONTH(Table13[[#This Row],[Date]])&gt;=4,1,0)</f>
        <v>2026</v>
      </c>
      <c r="C251" s="10">
        <f>YEAR(Table13[[#This Row],[Date]])</f>
        <v>2025</v>
      </c>
      <c r="D251" s="309">
        <f>Table13[[#This Row],[Date]]-DAY(Table13[[#This Row],[Date]])+1</f>
        <v>45992</v>
      </c>
      <c r="E251" s="10">
        <f t="shared" si="20"/>
        <v>31</v>
      </c>
      <c r="F251" s="241" t="str">
        <f>IFERROR(_xlfn.XLOOKUP($A251,Input_Raw!$E:$E,Input_Raw!DC:DC),"")</f>
        <v/>
      </c>
      <c r="G251" s="242"/>
      <c r="H251" s="242"/>
      <c r="I251" s="242"/>
      <c r="J251" s="242"/>
      <c r="K251" s="243"/>
      <c r="L251" s="242"/>
      <c r="M251" s="242" t="str">
        <f>IFERROR(_xlfn.XLOOKUP($A251,Input_Raw!$E:$E,Input_Raw!$BM:$BM),"")</f>
        <v/>
      </c>
      <c r="N251" s="242" t="str">
        <f>IFERROR(_xlfn.XLOOKUP($A251,Input_Raw!$E:$E,Input_Raw!$BN:$BN),"")</f>
        <v/>
      </c>
      <c r="O251" s="311" t="str">
        <f t="shared" si="21"/>
        <v/>
      </c>
      <c r="P251" s="311" t="str">
        <f>IFERROR(1-SUMIF(WTG_BD!$F:$F,$A251,WTG_BD!$AA:$AA)/($AA251+SUMIF(WTG_BD!$F:$F,$A251,WTG_BD!$AA:$AA)),"")</f>
        <v/>
      </c>
      <c r="Q251" s="328" t="str">
        <f>IFERROR(1-SUMIF(IGA_BD!$F:$F,$A251,IGA_BD!$W:$W)/($AA251+SUMIF(IGA_BD!$F:$F,$A251,IGA_BD!$W:$W)),"")</f>
        <v/>
      </c>
      <c r="R251" s="311" t="str">
        <f>IFERROR(1-SUMIF(Grid_BD!$F:$F,$A251,Grid_BD!$Y:$Y)/($AA251+SUMIF(Grid_BD!$F:$F,$A251,Grid_BD!$Y:$Y)),"")</f>
        <v/>
      </c>
      <c r="S251" s="10"/>
      <c r="T251" s="310"/>
      <c r="U251" s="311"/>
      <c r="V251" s="10"/>
      <c r="W251" s="312" t="str">
        <f t="shared" si="22"/>
        <v/>
      </c>
      <c r="X251" s="10" t="str">
        <f>IFERROR(_xlfn.XLOOKUP($A251,Input_Raw!$E:$E,Input_Raw!BG:BG),"")</f>
        <v/>
      </c>
      <c r="Y251" s="10" t="str">
        <f>IFERROR(_xlfn.XLOOKUP($A251,Input_Raw!$E:$E,Input_Raw!DF:DF),"")</f>
        <v/>
      </c>
      <c r="Z251" s="319" t="str">
        <f>IFERROR(_xlfn.XLOOKUP(A251,Input_Raw!E:E,Input_Raw!CT:CT)/_xlfn.XLOOKUP(A251,Input_Raw!E:E,Input_Raw!CS:CS)*Table13[[#This Row],[Mtr_Export (kWh)]],"")</f>
        <v/>
      </c>
      <c r="AA251" s="43" t="str">
        <f t="shared" si="23"/>
        <v/>
      </c>
      <c r="AB251" s="10" t="str">
        <f>IFERROR(_xlfn.XLOOKUP($A251,Input_Raw!$E:$E,Input_Raw!$CZ:$CZ),"")</f>
        <v/>
      </c>
      <c r="AC251" s="313">
        <f>IFERROR(_xlfn.XLOOKUP($D251,'Modelling New'!$D:$D,'Modelling New'!$J:$J),"")</f>
        <v>7.0533420977422105</v>
      </c>
      <c r="AD251" s="43">
        <f>IFERROR(_xlfn.XLOOKUP($D251,'Modelling New'!$D:$D,'Modelling New'!$T:$T)*1000,"")</f>
        <v>441856.45161290321</v>
      </c>
      <c r="AE251" s="312"/>
      <c r="AF251" s="312">
        <f>IFERROR(_xlfn.XLOOKUP($D251,'Modelling New'!$D:$D,'Modelling New'!$W:$W),"")</f>
        <v>0.36384753920693619</v>
      </c>
      <c r="AG251" s="312">
        <f>IFERROR(_xlfn.XLOOKUP($D251,'Modelling New'!$D:$D,'Modelling New'!$AE:$AE),"")</f>
        <v>0.95549849999999992</v>
      </c>
      <c r="AH251" s="312">
        <f>IFERROR(_xlfn.XLOOKUP($D251,'Modelling New'!$D:$D,'Modelling New'!$AF:$AF),"")</f>
        <v>0.995</v>
      </c>
      <c r="AI251" s="10" t="str">
        <f>IFERROR(_xlfn.XLOOKUP($A251,Input_Raw!$E:$E,Input_Raw!$DG:$DG),"")</f>
        <v/>
      </c>
      <c r="AJ251" s="10"/>
      <c r="AK251" s="10"/>
      <c r="AL251" s="10"/>
      <c r="AM251" s="10"/>
      <c r="AN251" s="314" t="str">
        <f>IFERROR(_xlfn.XLOOKUP($A251,Input_Raw!$E:$E,Input_Raw!$CY:$CY),"")</f>
        <v/>
      </c>
      <c r="AO251" s="312" t="str">
        <f>IFERROR((_xlfn.XLOOKUP($A251,'WTG Reactive Power'!$A:$A,'WTG Reactive Power'!AB:AB))/X251,"")</f>
        <v/>
      </c>
      <c r="AP251" s="312">
        <f>IFERROR(_xlfn.XLOOKUP($D251,'Modelling New'!$D:$D,'Modelling New'!AK:AK),"")</f>
        <v>0.05</v>
      </c>
      <c r="AQ251" s="312">
        <f>IFERROR(_xlfn.XLOOKUP($D251,'Modelling New'!$D:$D,'Modelling New'!AL:AL),"")</f>
        <v>0.05</v>
      </c>
      <c r="AR251" s="325">
        <f>IFERROR(_xlfn.XLOOKUP($D251,'Modelling New'!$D:$D,'Modelling New'!$N:$N),"")</f>
        <v>50.59999999999998</v>
      </c>
      <c r="AS251" s="325"/>
    </row>
    <row r="252" spans="1:45">
      <c r="A252" s="32">
        <f t="shared" si="24"/>
        <v>45995</v>
      </c>
      <c r="B252" s="43">
        <f>YEAR(Table13[[#This Row],[Date]])+IF(MONTH(Table13[[#This Row],[Date]])&gt;=4,1,0)</f>
        <v>2026</v>
      </c>
      <c r="C252" s="10">
        <f>YEAR(Table13[[#This Row],[Date]])</f>
        <v>2025</v>
      </c>
      <c r="D252" s="309">
        <f>Table13[[#This Row],[Date]]-DAY(Table13[[#This Row],[Date]])+1</f>
        <v>45992</v>
      </c>
      <c r="E252" s="10">
        <f t="shared" si="20"/>
        <v>31</v>
      </c>
      <c r="F252" s="241" t="str">
        <f>IFERROR(_xlfn.XLOOKUP($A252,Input_Raw!$E:$E,Input_Raw!DC:DC),"")</f>
        <v/>
      </c>
      <c r="G252" s="313"/>
      <c r="H252" s="313"/>
      <c r="I252" s="313"/>
      <c r="J252" s="313"/>
      <c r="K252" s="243"/>
      <c r="L252" s="242"/>
      <c r="M252" s="242" t="str">
        <f>IFERROR(_xlfn.XLOOKUP($A252,Input_Raw!$E:$E,Input_Raw!$BM:$BM),"")</f>
        <v/>
      </c>
      <c r="N252" s="242" t="str">
        <f>IFERROR(_xlfn.XLOOKUP($A252,Input_Raw!$E:$E,Input_Raw!$BN:$BN),"")</f>
        <v/>
      </c>
      <c r="O252" s="311" t="str">
        <f t="shared" si="21"/>
        <v/>
      </c>
      <c r="P252" s="311" t="str">
        <f>IFERROR(1-SUMIF(WTG_BD!$F:$F,$A252,WTG_BD!$AA:$AA)/($AA252+SUMIF(WTG_BD!$F:$F,$A252,WTG_BD!$AA:$AA)),"")</f>
        <v/>
      </c>
      <c r="Q252" s="328" t="str">
        <f>IFERROR(1-SUMIF(IGA_BD!$F:$F,$A252,IGA_BD!$W:$W)/($AA252+SUMIF(IGA_BD!$F:$F,$A252,IGA_BD!$W:$W)),"")</f>
        <v/>
      </c>
      <c r="R252" s="47" t="str">
        <f>IFERROR(1-SUMIF(Grid_BD!$F:$F,$A252,Grid_BD!$Y:$Y)/($AA252+SUMIF(Grid_BD!$F:$F,$A252,Grid_BD!$Y:$Y)),"")</f>
        <v/>
      </c>
      <c r="S252" s="10"/>
      <c r="T252" s="310"/>
      <c r="U252" s="311"/>
      <c r="V252" s="10"/>
      <c r="W252" s="312" t="str">
        <f t="shared" si="22"/>
        <v/>
      </c>
      <c r="X252" s="10" t="str">
        <f>IFERROR(_xlfn.XLOOKUP($A252,Input_Raw!$E:$E,Input_Raw!BG:BG),"")</f>
        <v/>
      </c>
      <c r="Y252" s="10" t="str">
        <f>IFERROR(_xlfn.XLOOKUP($A252,Input_Raw!$E:$E,Input_Raw!DF:DF),"")</f>
        <v/>
      </c>
      <c r="Z252" s="319" t="str">
        <f>IFERROR(_xlfn.XLOOKUP(A252,Input_Raw!E:E,Input_Raw!CT:CT)/_xlfn.XLOOKUP(A252,Input_Raw!E:E,Input_Raw!CS:CS)*Table13[[#This Row],[Mtr_Export (kWh)]],"")</f>
        <v/>
      </c>
      <c r="AA252" s="43" t="str">
        <f t="shared" si="23"/>
        <v/>
      </c>
      <c r="AB252" s="10" t="str">
        <f>IFERROR(_xlfn.XLOOKUP($A252,Input_Raw!$E:$E,Input_Raw!$CZ:$CZ),"")</f>
        <v/>
      </c>
      <c r="AC252" s="313">
        <f>IFERROR(_xlfn.XLOOKUP($D252,'Modelling New'!$D:$D,'Modelling New'!$J:$J),"")</f>
        <v>7.0533420977422105</v>
      </c>
      <c r="AD252" s="43">
        <f>IFERROR(_xlfn.XLOOKUP($D252,'Modelling New'!$D:$D,'Modelling New'!$T:$T)*1000,"")</f>
        <v>441856.45161290321</v>
      </c>
      <c r="AE252" s="312"/>
      <c r="AF252" s="312">
        <f>IFERROR(_xlfn.XLOOKUP($D252,'Modelling New'!$D:$D,'Modelling New'!$W:$W),"")</f>
        <v>0.36384753920693619</v>
      </c>
      <c r="AG252" s="312">
        <f>IFERROR(_xlfn.XLOOKUP($D252,'Modelling New'!$D:$D,'Modelling New'!$AE:$AE),"")</f>
        <v>0.95549849999999992</v>
      </c>
      <c r="AH252" s="312">
        <f>IFERROR(_xlfn.XLOOKUP($D252,'Modelling New'!$D:$D,'Modelling New'!$AF:$AF),"")</f>
        <v>0.995</v>
      </c>
      <c r="AI252" s="10" t="str">
        <f>IFERROR(_xlfn.XLOOKUP($A252,Input_Raw!$E:$E,Input_Raw!$DG:$DG),"")</f>
        <v/>
      </c>
      <c r="AJ252" s="10"/>
      <c r="AK252" s="10"/>
      <c r="AL252" s="10"/>
      <c r="AM252" s="10"/>
      <c r="AN252" s="314" t="str">
        <f>IFERROR(_xlfn.XLOOKUP($A252,Input_Raw!$E:$E,Input_Raw!$CY:$CY),"")</f>
        <v/>
      </c>
      <c r="AO252" s="312" t="str">
        <f>IFERROR((_xlfn.XLOOKUP($A252,'WTG Reactive Power'!$A:$A,'WTG Reactive Power'!AB:AB))/X252,"")</f>
        <v/>
      </c>
      <c r="AP252" s="312">
        <f>IFERROR(_xlfn.XLOOKUP($D252,'Modelling New'!$D:$D,'Modelling New'!AK:AK),"")</f>
        <v>0.05</v>
      </c>
      <c r="AQ252" s="312">
        <f>IFERROR(_xlfn.XLOOKUP($D252,'Modelling New'!$D:$D,'Modelling New'!AL:AL),"")</f>
        <v>0.05</v>
      </c>
      <c r="AR252" s="325">
        <f>IFERROR(_xlfn.XLOOKUP($D252,'Modelling New'!$D:$D,'Modelling New'!$N:$N),"")</f>
        <v>50.59999999999998</v>
      </c>
      <c r="AS252" s="325"/>
    </row>
    <row r="253" spans="1:45">
      <c r="A253" s="32">
        <f t="shared" si="24"/>
        <v>45996</v>
      </c>
      <c r="B253" s="43">
        <f>YEAR(Table13[[#This Row],[Date]])+IF(MONTH(Table13[[#This Row],[Date]])&gt;=4,1,0)</f>
        <v>2026</v>
      </c>
      <c r="C253" s="10">
        <f>YEAR(Table13[[#This Row],[Date]])</f>
        <v>2025</v>
      </c>
      <c r="D253" s="309">
        <f>Table13[[#This Row],[Date]]-DAY(Table13[[#This Row],[Date]])+1</f>
        <v>45992</v>
      </c>
      <c r="E253" s="10">
        <f t="shared" si="20"/>
        <v>31</v>
      </c>
      <c r="F253" s="241" t="str">
        <f>IFERROR(_xlfn.XLOOKUP($A253,Input_Raw!$E:$E,Input_Raw!DC:DC),"")</f>
        <v/>
      </c>
      <c r="G253" s="242"/>
      <c r="H253" s="242"/>
      <c r="I253" s="242"/>
      <c r="J253" s="242"/>
      <c r="K253" s="243"/>
      <c r="L253" s="242"/>
      <c r="M253" s="242" t="str">
        <f>IFERROR(_xlfn.XLOOKUP($A253,Input_Raw!$E:$E,Input_Raw!$BM:$BM),"")</f>
        <v/>
      </c>
      <c r="N253" s="242" t="str">
        <f>IFERROR(_xlfn.XLOOKUP($A253,Input_Raw!$E:$E,Input_Raw!$BN:$BN),"")</f>
        <v/>
      </c>
      <c r="O253" s="311" t="str">
        <f t="shared" si="21"/>
        <v/>
      </c>
      <c r="P253" s="311" t="str">
        <f>IFERROR(1-SUMIF(WTG_BD!$F:$F,$A253,WTG_BD!$AA:$AA)/($AA253+SUMIF(WTG_BD!$F:$F,$A253,WTG_BD!$AA:$AA)),"")</f>
        <v/>
      </c>
      <c r="Q253" s="328" t="str">
        <f>IFERROR(1-SUMIF(IGA_BD!$F:$F,$A253,IGA_BD!$W:$W)/($AA253+SUMIF(IGA_BD!$F:$F,$A253,IGA_BD!$W:$W)),"")</f>
        <v/>
      </c>
      <c r="R253" s="311" t="str">
        <f>IFERROR(1-SUMIF(Grid_BD!$F:$F,$A253,Grid_BD!$Y:$Y)/($AA253+SUMIF(Grid_BD!$F:$F,$A253,Grid_BD!$Y:$Y)),"")</f>
        <v/>
      </c>
      <c r="S253" s="10"/>
      <c r="T253" s="310"/>
      <c r="U253" s="311"/>
      <c r="V253" s="10"/>
      <c r="W253" s="312" t="str">
        <f t="shared" si="22"/>
        <v/>
      </c>
      <c r="X253" s="10" t="str">
        <f>IFERROR(_xlfn.XLOOKUP($A253,Input_Raw!$E:$E,Input_Raw!BG:BG),"")</f>
        <v/>
      </c>
      <c r="Y253" s="10" t="str">
        <f>IFERROR(_xlfn.XLOOKUP($A253,Input_Raw!$E:$E,Input_Raw!DF:DF),"")</f>
        <v/>
      </c>
      <c r="Z253" s="319" t="str">
        <f>IFERROR(_xlfn.XLOOKUP(A253,Input_Raw!E:E,Input_Raw!CT:CT)/_xlfn.XLOOKUP(A253,Input_Raw!E:E,Input_Raw!CS:CS)*Table13[[#This Row],[Mtr_Export (kWh)]],"")</f>
        <v/>
      </c>
      <c r="AA253" s="43" t="str">
        <f t="shared" si="23"/>
        <v/>
      </c>
      <c r="AB253" s="10" t="str">
        <f>IFERROR(_xlfn.XLOOKUP($A253,Input_Raw!$E:$E,Input_Raw!$CZ:$CZ),"")</f>
        <v/>
      </c>
      <c r="AC253" s="313">
        <f>IFERROR(_xlfn.XLOOKUP($D253,'Modelling New'!$D:$D,'Modelling New'!$J:$J),"")</f>
        <v>7.0533420977422105</v>
      </c>
      <c r="AD253" s="43">
        <f>IFERROR(_xlfn.XLOOKUP($D253,'Modelling New'!$D:$D,'Modelling New'!$T:$T)*1000,"")</f>
        <v>441856.45161290321</v>
      </c>
      <c r="AE253" s="312"/>
      <c r="AF253" s="312">
        <f>IFERROR(_xlfn.XLOOKUP($D253,'Modelling New'!$D:$D,'Modelling New'!$W:$W),"")</f>
        <v>0.36384753920693619</v>
      </c>
      <c r="AG253" s="312">
        <f>IFERROR(_xlfn.XLOOKUP($D253,'Modelling New'!$D:$D,'Modelling New'!$AE:$AE),"")</f>
        <v>0.95549849999999992</v>
      </c>
      <c r="AH253" s="312">
        <f>IFERROR(_xlfn.XLOOKUP($D253,'Modelling New'!$D:$D,'Modelling New'!$AF:$AF),"")</f>
        <v>0.995</v>
      </c>
      <c r="AI253" s="10" t="str">
        <f>IFERROR(_xlfn.XLOOKUP($A253,Input_Raw!$E:$E,Input_Raw!$DG:$DG),"")</f>
        <v/>
      </c>
      <c r="AJ253" s="10"/>
      <c r="AK253" s="10"/>
      <c r="AL253" s="10"/>
      <c r="AM253" s="10"/>
      <c r="AN253" s="314" t="str">
        <f>IFERROR(_xlfn.XLOOKUP($A253,Input_Raw!$E:$E,Input_Raw!$CY:$CY),"")</f>
        <v/>
      </c>
      <c r="AO253" s="312" t="str">
        <f>IFERROR((_xlfn.XLOOKUP($A253,'WTG Reactive Power'!$A:$A,'WTG Reactive Power'!AB:AB))/X253,"")</f>
        <v/>
      </c>
      <c r="AP253" s="312">
        <f>IFERROR(_xlfn.XLOOKUP($D253,'Modelling New'!$D:$D,'Modelling New'!AK:AK),"")</f>
        <v>0.05</v>
      </c>
      <c r="AQ253" s="312">
        <f>IFERROR(_xlfn.XLOOKUP($D253,'Modelling New'!$D:$D,'Modelling New'!AL:AL),"")</f>
        <v>0.05</v>
      </c>
      <c r="AR253" s="325">
        <f>IFERROR(_xlfn.XLOOKUP($D253,'Modelling New'!$D:$D,'Modelling New'!$N:$N),"")</f>
        <v>50.59999999999998</v>
      </c>
      <c r="AS253" s="325"/>
    </row>
    <row r="254" spans="1:45">
      <c r="A254" s="32">
        <f t="shared" si="24"/>
        <v>45997</v>
      </c>
      <c r="B254" s="43">
        <f>YEAR(Table13[[#This Row],[Date]])+IF(MONTH(Table13[[#This Row],[Date]])&gt;=4,1,0)</f>
        <v>2026</v>
      </c>
      <c r="C254" s="10">
        <f>YEAR(Table13[[#This Row],[Date]])</f>
        <v>2025</v>
      </c>
      <c r="D254" s="309">
        <f>Table13[[#This Row],[Date]]-DAY(Table13[[#This Row],[Date]])+1</f>
        <v>45992</v>
      </c>
      <c r="E254" s="10">
        <f t="shared" si="20"/>
        <v>31</v>
      </c>
      <c r="F254" s="241" t="str">
        <f>IFERROR(_xlfn.XLOOKUP($A254,Input_Raw!$E:$E,Input_Raw!DC:DC),"")</f>
        <v/>
      </c>
      <c r="G254" s="313"/>
      <c r="H254" s="313"/>
      <c r="I254" s="313"/>
      <c r="J254" s="313"/>
      <c r="K254" s="243"/>
      <c r="L254" s="242"/>
      <c r="M254" s="242" t="str">
        <f>IFERROR(_xlfn.XLOOKUP($A254,Input_Raw!$E:$E,Input_Raw!$BM:$BM),"")</f>
        <v/>
      </c>
      <c r="N254" s="242" t="str">
        <f>IFERROR(_xlfn.XLOOKUP($A254,Input_Raw!$E:$E,Input_Raw!$BN:$BN),"")</f>
        <v/>
      </c>
      <c r="O254" s="311" t="str">
        <f t="shared" si="21"/>
        <v/>
      </c>
      <c r="P254" s="311" t="str">
        <f>IFERROR(1-SUMIF(WTG_BD!$F:$F,$A254,WTG_BD!$AA:$AA)/($AA254+SUMIF(WTG_BD!$F:$F,$A254,WTG_BD!$AA:$AA)),"")</f>
        <v/>
      </c>
      <c r="Q254" s="328" t="str">
        <f>IFERROR(1-SUMIF(IGA_BD!$F:$F,$A254,IGA_BD!$W:$W)/($AA254+SUMIF(IGA_BD!$F:$F,$A254,IGA_BD!$W:$W)),"")</f>
        <v/>
      </c>
      <c r="R254" s="47" t="str">
        <f>IFERROR(1-SUMIF(Grid_BD!$F:$F,$A254,Grid_BD!$Y:$Y)/($AA254+SUMIF(Grid_BD!$F:$F,$A254,Grid_BD!$Y:$Y)),"")</f>
        <v/>
      </c>
      <c r="S254" s="10"/>
      <c r="T254" s="310"/>
      <c r="U254" s="311"/>
      <c r="V254" s="10"/>
      <c r="W254" s="312" t="str">
        <f t="shared" si="22"/>
        <v/>
      </c>
      <c r="X254" s="10" t="str">
        <f>IFERROR(_xlfn.XLOOKUP($A254,Input_Raw!$E:$E,Input_Raw!BG:BG),"")</f>
        <v/>
      </c>
      <c r="Y254" s="10" t="str">
        <f>IFERROR(_xlfn.XLOOKUP($A254,Input_Raw!$E:$E,Input_Raw!DF:DF),"")</f>
        <v/>
      </c>
      <c r="Z254" s="319" t="str">
        <f>IFERROR(_xlfn.XLOOKUP(A254,Input_Raw!E:E,Input_Raw!CT:CT)/_xlfn.XLOOKUP(A254,Input_Raw!E:E,Input_Raw!CS:CS)*Table13[[#This Row],[Mtr_Export (kWh)]],"")</f>
        <v/>
      </c>
      <c r="AA254" s="43" t="str">
        <f t="shared" si="23"/>
        <v/>
      </c>
      <c r="AB254" s="10" t="str">
        <f>IFERROR(_xlfn.XLOOKUP($A254,Input_Raw!$E:$E,Input_Raw!$CZ:$CZ),"")</f>
        <v/>
      </c>
      <c r="AC254" s="313">
        <f>IFERROR(_xlfn.XLOOKUP($D254,'Modelling New'!$D:$D,'Modelling New'!$J:$J),"")</f>
        <v>7.0533420977422105</v>
      </c>
      <c r="AD254" s="43">
        <f>IFERROR(_xlfn.XLOOKUP($D254,'Modelling New'!$D:$D,'Modelling New'!$T:$T)*1000,"")</f>
        <v>441856.45161290321</v>
      </c>
      <c r="AE254" s="312"/>
      <c r="AF254" s="312">
        <f>IFERROR(_xlfn.XLOOKUP($D254,'Modelling New'!$D:$D,'Modelling New'!$W:$W),"")</f>
        <v>0.36384753920693619</v>
      </c>
      <c r="AG254" s="312">
        <f>IFERROR(_xlfn.XLOOKUP($D254,'Modelling New'!$D:$D,'Modelling New'!$AE:$AE),"")</f>
        <v>0.95549849999999992</v>
      </c>
      <c r="AH254" s="312">
        <f>IFERROR(_xlfn.XLOOKUP($D254,'Modelling New'!$D:$D,'Modelling New'!$AF:$AF),"")</f>
        <v>0.995</v>
      </c>
      <c r="AI254" s="10" t="str">
        <f>IFERROR(_xlfn.XLOOKUP($A254,Input_Raw!$E:$E,Input_Raw!$DG:$DG),"")</f>
        <v/>
      </c>
      <c r="AJ254" s="10"/>
      <c r="AK254" s="10"/>
      <c r="AL254" s="10"/>
      <c r="AM254" s="10"/>
      <c r="AN254" s="314" t="str">
        <f>IFERROR(_xlfn.XLOOKUP($A254,Input_Raw!$E:$E,Input_Raw!$CY:$CY),"")</f>
        <v/>
      </c>
      <c r="AO254" s="312" t="str">
        <f>IFERROR((_xlfn.XLOOKUP($A254,'WTG Reactive Power'!$A:$A,'WTG Reactive Power'!AB:AB))/X254,"")</f>
        <v/>
      </c>
      <c r="AP254" s="312">
        <f>IFERROR(_xlfn.XLOOKUP($D254,'Modelling New'!$D:$D,'Modelling New'!AK:AK),"")</f>
        <v>0.05</v>
      </c>
      <c r="AQ254" s="312">
        <f>IFERROR(_xlfn.XLOOKUP($D254,'Modelling New'!$D:$D,'Modelling New'!AL:AL),"")</f>
        <v>0.05</v>
      </c>
      <c r="AR254" s="325">
        <f>IFERROR(_xlfn.XLOOKUP($D254,'Modelling New'!$D:$D,'Modelling New'!$N:$N),"")</f>
        <v>50.59999999999998</v>
      </c>
      <c r="AS254" s="325"/>
    </row>
    <row r="255" spans="1:45">
      <c r="A255" s="32">
        <f t="shared" si="24"/>
        <v>45998</v>
      </c>
      <c r="B255" s="43">
        <f>YEAR(Table13[[#This Row],[Date]])+IF(MONTH(Table13[[#This Row],[Date]])&gt;=4,1,0)</f>
        <v>2026</v>
      </c>
      <c r="C255" s="10">
        <f>YEAR(Table13[[#This Row],[Date]])</f>
        <v>2025</v>
      </c>
      <c r="D255" s="309">
        <f>Table13[[#This Row],[Date]]-DAY(Table13[[#This Row],[Date]])+1</f>
        <v>45992</v>
      </c>
      <c r="E255" s="10">
        <f t="shared" si="20"/>
        <v>31</v>
      </c>
      <c r="F255" s="241" t="str">
        <f>IFERROR(_xlfn.XLOOKUP($A255,Input_Raw!$E:$E,Input_Raw!DC:DC),"")</f>
        <v/>
      </c>
      <c r="G255" s="242"/>
      <c r="H255" s="242"/>
      <c r="I255" s="242"/>
      <c r="J255" s="242"/>
      <c r="K255" s="243"/>
      <c r="L255" s="242"/>
      <c r="M255" s="242" t="str">
        <f>IFERROR(_xlfn.XLOOKUP($A255,Input_Raw!$E:$E,Input_Raw!$BM:$BM),"")</f>
        <v/>
      </c>
      <c r="N255" s="242" t="str">
        <f>IFERROR(_xlfn.XLOOKUP($A255,Input_Raw!$E:$E,Input_Raw!$BN:$BN),"")</f>
        <v/>
      </c>
      <c r="O255" s="311" t="str">
        <f t="shared" si="21"/>
        <v/>
      </c>
      <c r="P255" s="311" t="str">
        <f>IFERROR(1-SUMIF(WTG_BD!$F:$F,$A255,WTG_BD!$AA:$AA)/($AA255+SUMIF(WTG_BD!$F:$F,$A255,WTG_BD!$AA:$AA)),"")</f>
        <v/>
      </c>
      <c r="Q255" s="328" t="str">
        <f>IFERROR(1-SUMIF(IGA_BD!$F:$F,$A255,IGA_BD!$W:$W)/($AA255+SUMIF(IGA_BD!$F:$F,$A255,IGA_BD!$W:$W)),"")</f>
        <v/>
      </c>
      <c r="R255" s="311" t="str">
        <f>IFERROR(1-SUMIF(Grid_BD!$F:$F,$A255,Grid_BD!$Y:$Y)/($AA255+SUMIF(Grid_BD!$F:$F,$A255,Grid_BD!$Y:$Y)),"")</f>
        <v/>
      </c>
      <c r="S255" s="10"/>
      <c r="T255" s="310"/>
      <c r="U255" s="311"/>
      <c r="V255" s="10"/>
      <c r="W255" s="312" t="str">
        <f t="shared" si="22"/>
        <v/>
      </c>
      <c r="X255" s="10" t="str">
        <f>IFERROR(_xlfn.XLOOKUP($A255,Input_Raw!$E:$E,Input_Raw!BG:BG),"")</f>
        <v/>
      </c>
      <c r="Y255" s="10" t="str">
        <f>IFERROR(_xlfn.XLOOKUP($A255,Input_Raw!$E:$E,Input_Raw!DF:DF),"")</f>
        <v/>
      </c>
      <c r="Z255" s="319" t="str">
        <f>IFERROR(_xlfn.XLOOKUP(A255,Input_Raw!E:E,Input_Raw!CT:CT)/_xlfn.XLOOKUP(A255,Input_Raw!E:E,Input_Raw!CS:CS)*Table13[[#This Row],[Mtr_Export (kWh)]],"")</f>
        <v/>
      </c>
      <c r="AA255" s="43" t="str">
        <f t="shared" si="23"/>
        <v/>
      </c>
      <c r="AB255" s="10" t="str">
        <f>IFERROR(_xlfn.XLOOKUP($A255,Input_Raw!$E:$E,Input_Raw!$CZ:$CZ),"")</f>
        <v/>
      </c>
      <c r="AC255" s="313">
        <f>IFERROR(_xlfn.XLOOKUP($D255,'Modelling New'!$D:$D,'Modelling New'!$J:$J),"")</f>
        <v>7.0533420977422105</v>
      </c>
      <c r="AD255" s="43">
        <f>IFERROR(_xlfn.XLOOKUP($D255,'Modelling New'!$D:$D,'Modelling New'!$T:$T)*1000,"")</f>
        <v>441856.45161290321</v>
      </c>
      <c r="AE255" s="312"/>
      <c r="AF255" s="312">
        <f>IFERROR(_xlfn.XLOOKUP($D255,'Modelling New'!$D:$D,'Modelling New'!$W:$W),"")</f>
        <v>0.36384753920693619</v>
      </c>
      <c r="AG255" s="312">
        <f>IFERROR(_xlfn.XLOOKUP($D255,'Modelling New'!$D:$D,'Modelling New'!$AE:$AE),"")</f>
        <v>0.95549849999999992</v>
      </c>
      <c r="AH255" s="312">
        <f>IFERROR(_xlfn.XLOOKUP($D255,'Modelling New'!$D:$D,'Modelling New'!$AF:$AF),"")</f>
        <v>0.995</v>
      </c>
      <c r="AI255" s="10" t="str">
        <f>IFERROR(_xlfn.XLOOKUP($A255,Input_Raw!$E:$E,Input_Raw!$DG:$DG),"")</f>
        <v/>
      </c>
      <c r="AJ255" s="10"/>
      <c r="AK255" s="10"/>
      <c r="AL255" s="10"/>
      <c r="AM255" s="10"/>
      <c r="AN255" s="314" t="str">
        <f>IFERROR(_xlfn.XLOOKUP($A255,Input_Raw!$E:$E,Input_Raw!$CY:$CY),"")</f>
        <v/>
      </c>
      <c r="AO255" s="312" t="str">
        <f>IFERROR((_xlfn.XLOOKUP($A255,'WTG Reactive Power'!$A:$A,'WTG Reactive Power'!AB:AB))/X255,"")</f>
        <v/>
      </c>
      <c r="AP255" s="312">
        <f>IFERROR(_xlfn.XLOOKUP($D255,'Modelling New'!$D:$D,'Modelling New'!AK:AK),"")</f>
        <v>0.05</v>
      </c>
      <c r="AQ255" s="312">
        <f>IFERROR(_xlfn.XLOOKUP($D255,'Modelling New'!$D:$D,'Modelling New'!AL:AL),"")</f>
        <v>0.05</v>
      </c>
      <c r="AR255" s="325">
        <f>IFERROR(_xlfn.XLOOKUP($D255,'Modelling New'!$D:$D,'Modelling New'!$N:$N),"")</f>
        <v>50.59999999999998</v>
      </c>
      <c r="AS255" s="325"/>
    </row>
    <row r="256" spans="1:45">
      <c r="A256" s="32">
        <f t="shared" si="24"/>
        <v>45999</v>
      </c>
      <c r="B256" s="43">
        <f>YEAR(Table13[[#This Row],[Date]])+IF(MONTH(Table13[[#This Row],[Date]])&gt;=4,1,0)</f>
        <v>2026</v>
      </c>
      <c r="C256" s="10">
        <f>YEAR(Table13[[#This Row],[Date]])</f>
        <v>2025</v>
      </c>
      <c r="D256" s="309">
        <f>Table13[[#This Row],[Date]]-DAY(Table13[[#This Row],[Date]])+1</f>
        <v>45992</v>
      </c>
      <c r="E256" s="10">
        <f t="shared" si="20"/>
        <v>31</v>
      </c>
      <c r="F256" s="241" t="str">
        <f>IFERROR(_xlfn.XLOOKUP($A256,Input_Raw!$E:$E,Input_Raw!DC:DC),"")</f>
        <v/>
      </c>
      <c r="G256" s="313"/>
      <c r="H256" s="313"/>
      <c r="I256" s="313"/>
      <c r="J256" s="313"/>
      <c r="K256" s="243"/>
      <c r="L256" s="242"/>
      <c r="M256" s="242" t="str">
        <f>IFERROR(_xlfn.XLOOKUP($A256,Input_Raw!$E:$E,Input_Raw!$BM:$BM),"")</f>
        <v/>
      </c>
      <c r="N256" s="242" t="str">
        <f>IFERROR(_xlfn.XLOOKUP($A256,Input_Raw!$E:$E,Input_Raw!$BN:$BN),"")</f>
        <v/>
      </c>
      <c r="O256" s="311" t="str">
        <f t="shared" si="21"/>
        <v/>
      </c>
      <c r="P256" s="311" t="str">
        <f>IFERROR(1-SUMIF(WTG_BD!$F:$F,$A256,WTG_BD!$AA:$AA)/($AA256+SUMIF(WTG_BD!$F:$F,$A256,WTG_BD!$AA:$AA)),"")</f>
        <v/>
      </c>
      <c r="Q256" s="328" t="str">
        <f>IFERROR(1-SUMIF(IGA_BD!$F:$F,$A256,IGA_BD!$W:$W)/($AA256+SUMIF(IGA_BD!$F:$F,$A256,IGA_BD!$W:$W)),"")</f>
        <v/>
      </c>
      <c r="R256" s="47" t="str">
        <f>IFERROR(1-SUMIF(Grid_BD!$F:$F,$A256,Grid_BD!$Y:$Y)/($AA256+SUMIF(Grid_BD!$F:$F,$A256,Grid_BD!$Y:$Y)),"")</f>
        <v/>
      </c>
      <c r="S256" s="10"/>
      <c r="T256" s="310"/>
      <c r="U256" s="311"/>
      <c r="V256" s="10"/>
      <c r="W256" s="312" t="str">
        <f t="shared" si="22"/>
        <v/>
      </c>
      <c r="X256" s="10" t="str">
        <f>IFERROR(_xlfn.XLOOKUP($A256,Input_Raw!$E:$E,Input_Raw!BG:BG),"")</f>
        <v/>
      </c>
      <c r="Y256" s="10" t="str">
        <f>IFERROR(_xlfn.XLOOKUP($A256,Input_Raw!$E:$E,Input_Raw!DF:DF),"")</f>
        <v/>
      </c>
      <c r="Z256" s="319" t="str">
        <f>IFERROR(_xlfn.XLOOKUP(A256,Input_Raw!E:E,Input_Raw!CT:CT)/_xlfn.XLOOKUP(A256,Input_Raw!E:E,Input_Raw!CS:CS)*Table13[[#This Row],[Mtr_Export (kWh)]],"")</f>
        <v/>
      </c>
      <c r="AA256" s="43" t="str">
        <f t="shared" si="23"/>
        <v/>
      </c>
      <c r="AB256" s="10" t="str">
        <f>IFERROR(_xlfn.XLOOKUP($A256,Input_Raw!$E:$E,Input_Raw!$CZ:$CZ),"")</f>
        <v/>
      </c>
      <c r="AC256" s="313">
        <f>IFERROR(_xlfn.XLOOKUP($D256,'Modelling New'!$D:$D,'Modelling New'!$J:$J),"")</f>
        <v>7.0533420977422105</v>
      </c>
      <c r="AD256" s="43">
        <f>IFERROR(_xlfn.XLOOKUP($D256,'Modelling New'!$D:$D,'Modelling New'!$T:$T)*1000,"")</f>
        <v>441856.45161290321</v>
      </c>
      <c r="AE256" s="312"/>
      <c r="AF256" s="312">
        <f>IFERROR(_xlfn.XLOOKUP($D256,'Modelling New'!$D:$D,'Modelling New'!$W:$W),"")</f>
        <v>0.36384753920693619</v>
      </c>
      <c r="AG256" s="312">
        <f>IFERROR(_xlfn.XLOOKUP($D256,'Modelling New'!$D:$D,'Modelling New'!$AE:$AE),"")</f>
        <v>0.95549849999999992</v>
      </c>
      <c r="AH256" s="312">
        <f>IFERROR(_xlfn.XLOOKUP($D256,'Modelling New'!$D:$D,'Modelling New'!$AF:$AF),"")</f>
        <v>0.995</v>
      </c>
      <c r="AI256" s="10" t="str">
        <f>IFERROR(_xlfn.XLOOKUP($A256,Input_Raw!$E:$E,Input_Raw!$DG:$DG),"")</f>
        <v/>
      </c>
      <c r="AJ256" s="10"/>
      <c r="AK256" s="10"/>
      <c r="AL256" s="10"/>
      <c r="AM256" s="10"/>
      <c r="AN256" s="314" t="str">
        <f>IFERROR(_xlfn.XLOOKUP($A256,Input_Raw!$E:$E,Input_Raw!$CY:$CY),"")</f>
        <v/>
      </c>
      <c r="AO256" s="312" t="str">
        <f>IFERROR((_xlfn.XLOOKUP($A256,'WTG Reactive Power'!$A:$A,'WTG Reactive Power'!AB:AB))/X256,"")</f>
        <v/>
      </c>
      <c r="AP256" s="312">
        <f>IFERROR(_xlfn.XLOOKUP($D256,'Modelling New'!$D:$D,'Modelling New'!AK:AK),"")</f>
        <v>0.05</v>
      </c>
      <c r="AQ256" s="312">
        <f>IFERROR(_xlfn.XLOOKUP($D256,'Modelling New'!$D:$D,'Modelling New'!AL:AL),"")</f>
        <v>0.05</v>
      </c>
      <c r="AR256" s="325">
        <f>IFERROR(_xlfn.XLOOKUP($D256,'Modelling New'!$D:$D,'Modelling New'!$N:$N),"")</f>
        <v>50.59999999999998</v>
      </c>
      <c r="AS256" s="325"/>
    </row>
    <row r="257" spans="1:45">
      <c r="A257" s="32">
        <f t="shared" si="24"/>
        <v>46000</v>
      </c>
      <c r="B257" s="43">
        <f>YEAR(Table13[[#This Row],[Date]])+IF(MONTH(Table13[[#This Row],[Date]])&gt;=4,1,0)</f>
        <v>2026</v>
      </c>
      <c r="C257" s="10">
        <f>YEAR(Table13[[#This Row],[Date]])</f>
        <v>2025</v>
      </c>
      <c r="D257" s="309">
        <f>Table13[[#This Row],[Date]]-DAY(Table13[[#This Row],[Date]])+1</f>
        <v>45992</v>
      </c>
      <c r="E257" s="10">
        <f t="shared" si="20"/>
        <v>31</v>
      </c>
      <c r="F257" s="241" t="str">
        <f>IFERROR(_xlfn.XLOOKUP($A257,Input_Raw!$E:$E,Input_Raw!DC:DC),"")</f>
        <v/>
      </c>
      <c r="G257" s="242"/>
      <c r="H257" s="242"/>
      <c r="I257" s="242"/>
      <c r="J257" s="242"/>
      <c r="K257" s="243"/>
      <c r="L257" s="242"/>
      <c r="M257" s="242" t="str">
        <f>IFERROR(_xlfn.XLOOKUP($A257,Input_Raw!$E:$E,Input_Raw!$BM:$BM),"")</f>
        <v/>
      </c>
      <c r="N257" s="242" t="str">
        <f>IFERROR(_xlfn.XLOOKUP($A257,Input_Raw!$E:$E,Input_Raw!$BN:$BN),"")</f>
        <v/>
      </c>
      <c r="O257" s="311" t="str">
        <f t="shared" si="21"/>
        <v/>
      </c>
      <c r="P257" s="311" t="str">
        <f>IFERROR(1-SUMIF(WTG_BD!$F:$F,$A257,WTG_BD!$AA:$AA)/($AA257+SUMIF(WTG_BD!$F:$F,$A257,WTG_BD!$AA:$AA)),"")</f>
        <v/>
      </c>
      <c r="Q257" s="328" t="str">
        <f>IFERROR(1-SUMIF(IGA_BD!$F:$F,$A257,IGA_BD!$W:$W)/($AA257+SUMIF(IGA_BD!$F:$F,$A257,IGA_BD!$W:$W)),"")</f>
        <v/>
      </c>
      <c r="R257" s="311" t="str">
        <f>IFERROR(1-SUMIF(Grid_BD!$F:$F,$A257,Grid_BD!$Y:$Y)/($AA257+SUMIF(Grid_BD!$F:$F,$A257,Grid_BD!$Y:$Y)),"")</f>
        <v/>
      </c>
      <c r="S257" s="10"/>
      <c r="T257" s="310"/>
      <c r="U257" s="311"/>
      <c r="V257" s="10"/>
      <c r="W257" s="312" t="str">
        <f t="shared" si="22"/>
        <v/>
      </c>
      <c r="X257" s="10" t="str">
        <f>IFERROR(_xlfn.XLOOKUP($A257,Input_Raw!$E:$E,Input_Raw!BG:BG),"")</f>
        <v/>
      </c>
      <c r="Y257" s="10" t="str">
        <f>IFERROR(_xlfn.XLOOKUP($A257,Input_Raw!$E:$E,Input_Raw!DF:DF),"")</f>
        <v/>
      </c>
      <c r="Z257" s="319" t="str">
        <f>IFERROR(_xlfn.XLOOKUP(A257,Input_Raw!E:E,Input_Raw!CT:CT)/_xlfn.XLOOKUP(A257,Input_Raw!E:E,Input_Raw!CS:CS)*Table13[[#This Row],[Mtr_Export (kWh)]],"")</f>
        <v/>
      </c>
      <c r="AA257" s="43" t="str">
        <f t="shared" si="23"/>
        <v/>
      </c>
      <c r="AB257" s="10" t="str">
        <f>IFERROR(_xlfn.XLOOKUP($A257,Input_Raw!$E:$E,Input_Raw!$CZ:$CZ),"")</f>
        <v/>
      </c>
      <c r="AC257" s="313">
        <f>IFERROR(_xlfn.XLOOKUP($D257,'Modelling New'!$D:$D,'Modelling New'!$J:$J),"")</f>
        <v>7.0533420977422105</v>
      </c>
      <c r="AD257" s="43">
        <f>IFERROR(_xlfn.XLOOKUP($D257,'Modelling New'!$D:$D,'Modelling New'!$T:$T)*1000,"")</f>
        <v>441856.45161290321</v>
      </c>
      <c r="AE257" s="312"/>
      <c r="AF257" s="312">
        <f>IFERROR(_xlfn.XLOOKUP($D257,'Modelling New'!$D:$D,'Modelling New'!$W:$W),"")</f>
        <v>0.36384753920693619</v>
      </c>
      <c r="AG257" s="312">
        <f>IFERROR(_xlfn.XLOOKUP($D257,'Modelling New'!$D:$D,'Modelling New'!$AE:$AE),"")</f>
        <v>0.95549849999999992</v>
      </c>
      <c r="AH257" s="312">
        <f>IFERROR(_xlfn.XLOOKUP($D257,'Modelling New'!$D:$D,'Modelling New'!$AF:$AF),"")</f>
        <v>0.995</v>
      </c>
      <c r="AI257" s="10" t="str">
        <f>IFERROR(_xlfn.XLOOKUP($A257,Input_Raw!$E:$E,Input_Raw!$DG:$DG),"")</f>
        <v/>
      </c>
      <c r="AJ257" s="10"/>
      <c r="AK257" s="10"/>
      <c r="AL257" s="10"/>
      <c r="AM257" s="10"/>
      <c r="AN257" s="314" t="str">
        <f>IFERROR(_xlfn.XLOOKUP($A257,Input_Raw!$E:$E,Input_Raw!$CY:$CY),"")</f>
        <v/>
      </c>
      <c r="AO257" s="312" t="str">
        <f>IFERROR((_xlfn.XLOOKUP($A257,'WTG Reactive Power'!$A:$A,'WTG Reactive Power'!AB:AB))/X257,"")</f>
        <v/>
      </c>
      <c r="AP257" s="312">
        <f>IFERROR(_xlfn.XLOOKUP($D257,'Modelling New'!$D:$D,'Modelling New'!AK:AK),"")</f>
        <v>0.05</v>
      </c>
      <c r="AQ257" s="312">
        <f>IFERROR(_xlfn.XLOOKUP($D257,'Modelling New'!$D:$D,'Modelling New'!AL:AL),"")</f>
        <v>0.05</v>
      </c>
      <c r="AR257" s="325">
        <f>IFERROR(_xlfn.XLOOKUP($D257,'Modelling New'!$D:$D,'Modelling New'!$N:$N),"")</f>
        <v>50.59999999999998</v>
      </c>
      <c r="AS257" s="325"/>
    </row>
    <row r="258" spans="1:45">
      <c r="A258" s="32">
        <f t="shared" si="24"/>
        <v>46001</v>
      </c>
      <c r="B258" s="43">
        <f>YEAR(Table13[[#This Row],[Date]])+IF(MONTH(Table13[[#This Row],[Date]])&gt;=4,1,0)</f>
        <v>2026</v>
      </c>
      <c r="C258" s="10">
        <f>YEAR(Table13[[#This Row],[Date]])</f>
        <v>2025</v>
      </c>
      <c r="D258" s="309">
        <f>Table13[[#This Row],[Date]]-DAY(Table13[[#This Row],[Date]])+1</f>
        <v>45992</v>
      </c>
      <c r="E258" s="10">
        <f t="shared" si="20"/>
        <v>31</v>
      </c>
      <c r="F258" s="241" t="str">
        <f>IFERROR(_xlfn.XLOOKUP($A258,Input_Raw!$E:$E,Input_Raw!DC:DC),"")</f>
        <v/>
      </c>
      <c r="G258" s="313"/>
      <c r="H258" s="313"/>
      <c r="I258" s="313"/>
      <c r="J258" s="313"/>
      <c r="K258" s="243"/>
      <c r="L258" s="242"/>
      <c r="M258" s="242" t="str">
        <f>IFERROR(_xlfn.XLOOKUP($A258,Input_Raw!$E:$E,Input_Raw!$BM:$BM),"")</f>
        <v/>
      </c>
      <c r="N258" s="242" t="str">
        <f>IFERROR(_xlfn.XLOOKUP($A258,Input_Raw!$E:$E,Input_Raw!$BN:$BN),"")</f>
        <v/>
      </c>
      <c r="O258" s="311" t="str">
        <f t="shared" si="21"/>
        <v/>
      </c>
      <c r="P258" s="311" t="str">
        <f>IFERROR(1-SUMIF(WTG_BD!$F:$F,$A258,WTG_BD!$AA:$AA)/($AA258+SUMIF(WTG_BD!$F:$F,$A258,WTG_BD!$AA:$AA)),"")</f>
        <v/>
      </c>
      <c r="Q258" s="328" t="str">
        <f>IFERROR(1-SUMIF(IGA_BD!$F:$F,$A258,IGA_BD!$W:$W)/($AA258+SUMIF(IGA_BD!$F:$F,$A258,IGA_BD!$W:$W)),"")</f>
        <v/>
      </c>
      <c r="R258" s="47" t="str">
        <f>IFERROR(1-SUMIF(Grid_BD!$F:$F,$A258,Grid_BD!$Y:$Y)/($AA258+SUMIF(Grid_BD!$F:$F,$A258,Grid_BD!$Y:$Y)),"")</f>
        <v/>
      </c>
      <c r="S258" s="10"/>
      <c r="T258" s="310"/>
      <c r="U258" s="311"/>
      <c r="V258" s="10"/>
      <c r="W258" s="312" t="str">
        <f t="shared" si="22"/>
        <v/>
      </c>
      <c r="X258" s="10" t="str">
        <f>IFERROR(_xlfn.XLOOKUP($A258,Input_Raw!$E:$E,Input_Raw!BG:BG),"")</f>
        <v/>
      </c>
      <c r="Y258" s="10" t="str">
        <f>IFERROR(_xlfn.XLOOKUP($A258,Input_Raw!$E:$E,Input_Raw!DF:DF),"")</f>
        <v/>
      </c>
      <c r="Z258" s="319" t="str">
        <f>IFERROR(_xlfn.XLOOKUP(A258,Input_Raw!E:E,Input_Raw!CT:CT)/_xlfn.XLOOKUP(A258,Input_Raw!E:E,Input_Raw!CS:CS)*Table13[[#This Row],[Mtr_Export (kWh)]],"")</f>
        <v/>
      </c>
      <c r="AA258" s="43" t="str">
        <f t="shared" si="23"/>
        <v/>
      </c>
      <c r="AB258" s="10" t="str">
        <f>IFERROR(_xlfn.XLOOKUP($A258,Input_Raw!$E:$E,Input_Raw!$CZ:$CZ),"")</f>
        <v/>
      </c>
      <c r="AC258" s="313">
        <f>IFERROR(_xlfn.XLOOKUP($D258,'Modelling New'!$D:$D,'Modelling New'!$J:$J),"")</f>
        <v>7.0533420977422105</v>
      </c>
      <c r="AD258" s="43">
        <f>IFERROR(_xlfn.XLOOKUP($D258,'Modelling New'!$D:$D,'Modelling New'!$T:$T)*1000,"")</f>
        <v>441856.45161290321</v>
      </c>
      <c r="AE258" s="312"/>
      <c r="AF258" s="312">
        <f>IFERROR(_xlfn.XLOOKUP($D258,'Modelling New'!$D:$D,'Modelling New'!$W:$W),"")</f>
        <v>0.36384753920693619</v>
      </c>
      <c r="AG258" s="312">
        <f>IFERROR(_xlfn.XLOOKUP($D258,'Modelling New'!$D:$D,'Modelling New'!$AE:$AE),"")</f>
        <v>0.95549849999999992</v>
      </c>
      <c r="AH258" s="312">
        <f>IFERROR(_xlfn.XLOOKUP($D258,'Modelling New'!$D:$D,'Modelling New'!$AF:$AF),"")</f>
        <v>0.995</v>
      </c>
      <c r="AI258" s="10" t="str">
        <f>IFERROR(_xlfn.XLOOKUP($A258,Input_Raw!$E:$E,Input_Raw!$DG:$DG),"")</f>
        <v/>
      </c>
      <c r="AJ258" s="10"/>
      <c r="AK258" s="10"/>
      <c r="AL258" s="10"/>
      <c r="AM258" s="10"/>
      <c r="AN258" s="314" t="str">
        <f>IFERROR(_xlfn.XLOOKUP($A258,Input_Raw!$E:$E,Input_Raw!$CY:$CY),"")</f>
        <v/>
      </c>
      <c r="AO258" s="312" t="str">
        <f>IFERROR((_xlfn.XLOOKUP($A258,'WTG Reactive Power'!$A:$A,'WTG Reactive Power'!AB:AB))/X258,"")</f>
        <v/>
      </c>
      <c r="AP258" s="312">
        <f>IFERROR(_xlfn.XLOOKUP($D258,'Modelling New'!$D:$D,'Modelling New'!AK:AK),"")</f>
        <v>0.05</v>
      </c>
      <c r="AQ258" s="312">
        <f>IFERROR(_xlfn.XLOOKUP($D258,'Modelling New'!$D:$D,'Modelling New'!AL:AL),"")</f>
        <v>0.05</v>
      </c>
      <c r="AR258" s="325">
        <f>IFERROR(_xlfn.XLOOKUP($D258,'Modelling New'!$D:$D,'Modelling New'!$N:$N),"")</f>
        <v>50.59999999999998</v>
      </c>
      <c r="AS258" s="325"/>
    </row>
    <row r="259" spans="1:45">
      <c r="A259" s="32">
        <f t="shared" si="24"/>
        <v>46002</v>
      </c>
      <c r="B259" s="43">
        <f>YEAR(Table13[[#This Row],[Date]])+IF(MONTH(Table13[[#This Row],[Date]])&gt;=4,1,0)</f>
        <v>2026</v>
      </c>
      <c r="C259" s="10">
        <f>YEAR(Table13[[#This Row],[Date]])</f>
        <v>2025</v>
      </c>
      <c r="D259" s="309">
        <f>Table13[[#This Row],[Date]]-DAY(Table13[[#This Row],[Date]])+1</f>
        <v>45992</v>
      </c>
      <c r="E259" s="10">
        <f t="shared" si="20"/>
        <v>31</v>
      </c>
      <c r="F259" s="241" t="str">
        <f>IFERROR(_xlfn.XLOOKUP($A259,Input_Raw!$E:$E,Input_Raw!DC:DC),"")</f>
        <v/>
      </c>
      <c r="G259" s="242"/>
      <c r="H259" s="242"/>
      <c r="I259" s="242"/>
      <c r="J259" s="242"/>
      <c r="K259" s="243"/>
      <c r="L259" s="242"/>
      <c r="M259" s="242" t="str">
        <f>IFERROR(_xlfn.XLOOKUP($A259,Input_Raw!$E:$E,Input_Raw!$BM:$BM),"")</f>
        <v/>
      </c>
      <c r="N259" s="242" t="str">
        <f>IFERROR(_xlfn.XLOOKUP($A259,Input_Raw!$E:$E,Input_Raw!$BN:$BN),"")</f>
        <v/>
      </c>
      <c r="O259" s="311" t="str">
        <f t="shared" si="21"/>
        <v/>
      </c>
      <c r="P259" s="311" t="str">
        <f>IFERROR(1-SUMIF(WTG_BD!$F:$F,$A259,WTG_BD!$AA:$AA)/($AA259+SUMIF(WTG_BD!$F:$F,$A259,WTG_BD!$AA:$AA)),"")</f>
        <v/>
      </c>
      <c r="Q259" s="328" t="str">
        <f>IFERROR(1-SUMIF(IGA_BD!$F:$F,$A259,IGA_BD!$W:$W)/($AA259+SUMIF(IGA_BD!$F:$F,$A259,IGA_BD!$W:$W)),"")</f>
        <v/>
      </c>
      <c r="R259" s="311" t="str">
        <f>IFERROR(1-SUMIF(Grid_BD!$F:$F,$A259,Grid_BD!$Y:$Y)/($AA259+SUMIF(Grid_BD!$F:$F,$A259,Grid_BD!$Y:$Y)),"")</f>
        <v/>
      </c>
      <c r="S259" s="10"/>
      <c r="T259" s="310"/>
      <c r="U259" s="311"/>
      <c r="V259" s="10"/>
      <c r="W259" s="312" t="str">
        <f t="shared" si="22"/>
        <v/>
      </c>
      <c r="X259" s="10" t="str">
        <f>IFERROR(_xlfn.XLOOKUP($A259,Input_Raw!$E:$E,Input_Raw!BG:BG),"")</f>
        <v/>
      </c>
      <c r="Y259" s="10" t="str">
        <f>IFERROR(_xlfn.XLOOKUP($A259,Input_Raw!$E:$E,Input_Raw!DF:DF),"")</f>
        <v/>
      </c>
      <c r="Z259" s="319" t="str">
        <f>IFERROR(_xlfn.XLOOKUP(A259,Input_Raw!E:E,Input_Raw!CT:CT)/_xlfn.XLOOKUP(A259,Input_Raw!E:E,Input_Raw!CS:CS)*Table13[[#This Row],[Mtr_Export (kWh)]],"")</f>
        <v/>
      </c>
      <c r="AA259" s="43" t="str">
        <f t="shared" si="23"/>
        <v/>
      </c>
      <c r="AB259" s="10" t="str">
        <f>IFERROR(_xlfn.XLOOKUP($A259,Input_Raw!$E:$E,Input_Raw!$CZ:$CZ),"")</f>
        <v/>
      </c>
      <c r="AC259" s="313">
        <f>IFERROR(_xlfn.XLOOKUP($D259,'Modelling New'!$D:$D,'Modelling New'!$J:$J),"")</f>
        <v>7.0533420977422105</v>
      </c>
      <c r="AD259" s="43">
        <f>IFERROR(_xlfn.XLOOKUP($D259,'Modelling New'!$D:$D,'Modelling New'!$T:$T)*1000,"")</f>
        <v>441856.45161290321</v>
      </c>
      <c r="AE259" s="312"/>
      <c r="AF259" s="312">
        <f>IFERROR(_xlfn.XLOOKUP($D259,'Modelling New'!$D:$D,'Modelling New'!$W:$W),"")</f>
        <v>0.36384753920693619</v>
      </c>
      <c r="AG259" s="312">
        <f>IFERROR(_xlfn.XLOOKUP($D259,'Modelling New'!$D:$D,'Modelling New'!$AE:$AE),"")</f>
        <v>0.95549849999999992</v>
      </c>
      <c r="AH259" s="312">
        <f>IFERROR(_xlfn.XLOOKUP($D259,'Modelling New'!$D:$D,'Modelling New'!$AF:$AF),"")</f>
        <v>0.995</v>
      </c>
      <c r="AI259" s="10" t="str">
        <f>IFERROR(_xlfn.XLOOKUP($A259,Input_Raw!$E:$E,Input_Raw!$DG:$DG),"")</f>
        <v/>
      </c>
      <c r="AJ259" s="10"/>
      <c r="AK259" s="10"/>
      <c r="AL259" s="10"/>
      <c r="AM259" s="10"/>
      <c r="AN259" s="314" t="str">
        <f>IFERROR(_xlfn.XLOOKUP($A259,Input_Raw!$E:$E,Input_Raw!$CY:$CY),"")</f>
        <v/>
      </c>
      <c r="AO259" s="312" t="str">
        <f>IFERROR((_xlfn.XLOOKUP($A259,'WTG Reactive Power'!$A:$A,'WTG Reactive Power'!AB:AB))/X259,"")</f>
        <v/>
      </c>
      <c r="AP259" s="312">
        <f>IFERROR(_xlfn.XLOOKUP($D259,'Modelling New'!$D:$D,'Modelling New'!AK:AK),"")</f>
        <v>0.05</v>
      </c>
      <c r="AQ259" s="312">
        <f>IFERROR(_xlfn.XLOOKUP($D259,'Modelling New'!$D:$D,'Modelling New'!AL:AL),"")</f>
        <v>0.05</v>
      </c>
      <c r="AR259" s="325">
        <f>IFERROR(_xlfn.XLOOKUP($D259,'Modelling New'!$D:$D,'Modelling New'!$N:$N),"")</f>
        <v>50.59999999999998</v>
      </c>
      <c r="AS259" s="325"/>
    </row>
    <row r="260" spans="1:45">
      <c r="A260" s="32">
        <f t="shared" si="24"/>
        <v>46003</v>
      </c>
      <c r="B260" s="43">
        <f>YEAR(Table13[[#This Row],[Date]])+IF(MONTH(Table13[[#This Row],[Date]])&gt;=4,1,0)</f>
        <v>2026</v>
      </c>
      <c r="C260" s="10">
        <f>YEAR(Table13[[#This Row],[Date]])</f>
        <v>2025</v>
      </c>
      <c r="D260" s="309">
        <f>Table13[[#This Row],[Date]]-DAY(Table13[[#This Row],[Date]])+1</f>
        <v>45992</v>
      </c>
      <c r="E260" s="10">
        <f t="shared" si="20"/>
        <v>31</v>
      </c>
      <c r="F260" s="241" t="str">
        <f>IFERROR(_xlfn.XLOOKUP($A260,Input_Raw!$E:$E,Input_Raw!DC:DC),"")</f>
        <v/>
      </c>
      <c r="G260" s="313"/>
      <c r="H260" s="313"/>
      <c r="I260" s="313"/>
      <c r="J260" s="313"/>
      <c r="K260" s="243"/>
      <c r="L260" s="242"/>
      <c r="M260" s="242" t="str">
        <f>IFERROR(_xlfn.XLOOKUP($A260,Input_Raw!$E:$E,Input_Raw!$BM:$BM),"")</f>
        <v/>
      </c>
      <c r="N260" s="242" t="str">
        <f>IFERROR(_xlfn.XLOOKUP($A260,Input_Raw!$E:$E,Input_Raw!$BN:$BN),"")</f>
        <v/>
      </c>
      <c r="O260" s="311" t="str">
        <f t="shared" si="21"/>
        <v/>
      </c>
      <c r="P260" s="311" t="str">
        <f>IFERROR(1-SUMIF(WTG_BD!$F:$F,$A260,WTG_BD!$AA:$AA)/($AA260+SUMIF(WTG_BD!$F:$F,$A260,WTG_BD!$AA:$AA)),"")</f>
        <v/>
      </c>
      <c r="Q260" s="328" t="str">
        <f>IFERROR(1-SUMIF(IGA_BD!$F:$F,$A260,IGA_BD!$W:$W)/($AA260+SUMIF(IGA_BD!$F:$F,$A260,IGA_BD!$W:$W)),"")</f>
        <v/>
      </c>
      <c r="R260" s="47" t="str">
        <f>IFERROR(1-SUMIF(Grid_BD!$F:$F,$A260,Grid_BD!$Y:$Y)/($AA260+SUMIF(Grid_BD!$F:$F,$A260,Grid_BD!$Y:$Y)),"")</f>
        <v/>
      </c>
      <c r="S260" s="10"/>
      <c r="T260" s="310"/>
      <c r="U260" s="311"/>
      <c r="V260" s="10"/>
      <c r="W260" s="312" t="str">
        <f t="shared" si="22"/>
        <v/>
      </c>
      <c r="X260" s="10" t="str">
        <f>IFERROR(_xlfn.XLOOKUP($A260,Input_Raw!$E:$E,Input_Raw!BG:BG),"")</f>
        <v/>
      </c>
      <c r="Y260" s="10" t="str">
        <f>IFERROR(_xlfn.XLOOKUP($A260,Input_Raw!$E:$E,Input_Raw!DF:DF),"")</f>
        <v/>
      </c>
      <c r="Z260" s="319" t="str">
        <f>IFERROR(_xlfn.XLOOKUP(A260,Input_Raw!E:E,Input_Raw!CT:CT)/_xlfn.XLOOKUP(A260,Input_Raw!E:E,Input_Raw!CS:CS)*Table13[[#This Row],[Mtr_Export (kWh)]],"")</f>
        <v/>
      </c>
      <c r="AA260" s="43" t="str">
        <f t="shared" si="23"/>
        <v/>
      </c>
      <c r="AB260" s="10" t="str">
        <f>IFERROR(_xlfn.XLOOKUP($A260,Input_Raw!$E:$E,Input_Raw!$CZ:$CZ),"")</f>
        <v/>
      </c>
      <c r="AC260" s="313">
        <f>IFERROR(_xlfn.XLOOKUP($D260,'Modelling New'!$D:$D,'Modelling New'!$J:$J),"")</f>
        <v>7.0533420977422105</v>
      </c>
      <c r="AD260" s="43">
        <f>IFERROR(_xlfn.XLOOKUP($D260,'Modelling New'!$D:$D,'Modelling New'!$T:$T)*1000,"")</f>
        <v>441856.45161290321</v>
      </c>
      <c r="AE260" s="312"/>
      <c r="AF260" s="312">
        <f>IFERROR(_xlfn.XLOOKUP($D260,'Modelling New'!$D:$D,'Modelling New'!$W:$W),"")</f>
        <v>0.36384753920693619</v>
      </c>
      <c r="AG260" s="312">
        <f>IFERROR(_xlfn.XLOOKUP($D260,'Modelling New'!$D:$D,'Modelling New'!$AE:$AE),"")</f>
        <v>0.95549849999999992</v>
      </c>
      <c r="AH260" s="312">
        <f>IFERROR(_xlfn.XLOOKUP($D260,'Modelling New'!$D:$D,'Modelling New'!$AF:$AF),"")</f>
        <v>0.995</v>
      </c>
      <c r="AI260" s="10" t="str">
        <f>IFERROR(_xlfn.XLOOKUP($A260,Input_Raw!$E:$E,Input_Raw!$DG:$DG),"")</f>
        <v/>
      </c>
      <c r="AJ260" s="10"/>
      <c r="AK260" s="10"/>
      <c r="AL260" s="10"/>
      <c r="AM260" s="10"/>
      <c r="AN260" s="314" t="str">
        <f>IFERROR(_xlfn.XLOOKUP($A260,Input_Raw!$E:$E,Input_Raw!$CY:$CY),"")</f>
        <v/>
      </c>
      <c r="AO260" s="312" t="str">
        <f>IFERROR((_xlfn.XLOOKUP($A260,'WTG Reactive Power'!$A:$A,'WTG Reactive Power'!AB:AB))/X260,"")</f>
        <v/>
      </c>
      <c r="AP260" s="312">
        <f>IFERROR(_xlfn.XLOOKUP($D260,'Modelling New'!$D:$D,'Modelling New'!AK:AK),"")</f>
        <v>0.05</v>
      </c>
      <c r="AQ260" s="312">
        <f>IFERROR(_xlfn.XLOOKUP($D260,'Modelling New'!$D:$D,'Modelling New'!AL:AL),"")</f>
        <v>0.05</v>
      </c>
      <c r="AR260" s="325">
        <f>IFERROR(_xlfn.XLOOKUP($D260,'Modelling New'!$D:$D,'Modelling New'!$N:$N),"")</f>
        <v>50.59999999999998</v>
      </c>
      <c r="AS260" s="325"/>
    </row>
    <row r="261" spans="1:45">
      <c r="A261" s="32">
        <f t="shared" si="24"/>
        <v>46004</v>
      </c>
      <c r="B261" s="43">
        <f>YEAR(Table13[[#This Row],[Date]])+IF(MONTH(Table13[[#This Row],[Date]])&gt;=4,1,0)</f>
        <v>2026</v>
      </c>
      <c r="C261" s="10">
        <f>YEAR(Table13[[#This Row],[Date]])</f>
        <v>2025</v>
      </c>
      <c r="D261" s="309">
        <f>Table13[[#This Row],[Date]]-DAY(Table13[[#This Row],[Date]])+1</f>
        <v>45992</v>
      </c>
      <c r="E261" s="10">
        <f t="shared" si="20"/>
        <v>31</v>
      </c>
      <c r="F261" s="241" t="str">
        <f>IFERROR(_xlfn.XLOOKUP($A261,Input_Raw!$E:$E,Input_Raw!DC:DC),"")</f>
        <v/>
      </c>
      <c r="G261" s="242"/>
      <c r="H261" s="242"/>
      <c r="I261" s="242"/>
      <c r="J261" s="242"/>
      <c r="K261" s="243"/>
      <c r="L261" s="242"/>
      <c r="M261" s="242" t="str">
        <f>IFERROR(_xlfn.XLOOKUP($A261,Input_Raw!$E:$E,Input_Raw!$BM:$BM),"")</f>
        <v/>
      </c>
      <c r="N261" s="242" t="str">
        <f>IFERROR(_xlfn.XLOOKUP($A261,Input_Raw!$E:$E,Input_Raw!$BN:$BN),"")</f>
        <v/>
      </c>
      <c r="O261" s="311" t="str">
        <f t="shared" si="21"/>
        <v/>
      </c>
      <c r="P261" s="311" t="str">
        <f>IFERROR(1-SUMIF(WTG_BD!$F:$F,$A261,WTG_BD!$AA:$AA)/($AA261+SUMIF(WTG_BD!$F:$F,$A261,WTG_BD!$AA:$AA)),"")</f>
        <v/>
      </c>
      <c r="Q261" s="328" t="str">
        <f>IFERROR(1-SUMIF(IGA_BD!$F:$F,$A261,IGA_BD!$W:$W)/($AA261+SUMIF(IGA_BD!$F:$F,$A261,IGA_BD!$W:$W)),"")</f>
        <v/>
      </c>
      <c r="R261" s="311" t="str">
        <f>IFERROR(1-SUMIF(Grid_BD!$F:$F,$A261,Grid_BD!$Y:$Y)/($AA261+SUMIF(Grid_BD!$F:$F,$A261,Grid_BD!$Y:$Y)),"")</f>
        <v/>
      </c>
      <c r="S261" s="10"/>
      <c r="T261" s="310"/>
      <c r="U261" s="311"/>
      <c r="V261" s="10"/>
      <c r="W261" s="312" t="str">
        <f t="shared" si="22"/>
        <v/>
      </c>
      <c r="X261" s="10" t="str">
        <f>IFERROR(_xlfn.XLOOKUP($A261,Input_Raw!$E:$E,Input_Raw!BG:BG),"")</f>
        <v/>
      </c>
      <c r="Y261" s="10" t="str">
        <f>IFERROR(_xlfn.XLOOKUP($A261,Input_Raw!$E:$E,Input_Raw!DF:DF),"")</f>
        <v/>
      </c>
      <c r="Z261" s="319" t="str">
        <f>IFERROR(_xlfn.XLOOKUP(A261,Input_Raw!E:E,Input_Raw!CT:CT)/_xlfn.XLOOKUP(A261,Input_Raw!E:E,Input_Raw!CS:CS)*Table13[[#This Row],[Mtr_Export (kWh)]],"")</f>
        <v/>
      </c>
      <c r="AA261" s="43" t="str">
        <f t="shared" si="23"/>
        <v/>
      </c>
      <c r="AB261" s="10" t="str">
        <f>IFERROR(_xlfn.XLOOKUP($A261,Input_Raw!$E:$E,Input_Raw!$CZ:$CZ),"")</f>
        <v/>
      </c>
      <c r="AC261" s="313">
        <f>IFERROR(_xlfn.XLOOKUP($D261,'Modelling New'!$D:$D,'Modelling New'!$J:$J),"")</f>
        <v>7.0533420977422105</v>
      </c>
      <c r="AD261" s="43">
        <f>IFERROR(_xlfn.XLOOKUP($D261,'Modelling New'!$D:$D,'Modelling New'!$T:$T)*1000,"")</f>
        <v>441856.45161290321</v>
      </c>
      <c r="AE261" s="312"/>
      <c r="AF261" s="312">
        <f>IFERROR(_xlfn.XLOOKUP($D261,'Modelling New'!$D:$D,'Modelling New'!$W:$W),"")</f>
        <v>0.36384753920693619</v>
      </c>
      <c r="AG261" s="312">
        <f>IFERROR(_xlfn.XLOOKUP($D261,'Modelling New'!$D:$D,'Modelling New'!$AE:$AE),"")</f>
        <v>0.95549849999999992</v>
      </c>
      <c r="AH261" s="312">
        <f>IFERROR(_xlfn.XLOOKUP($D261,'Modelling New'!$D:$D,'Modelling New'!$AF:$AF),"")</f>
        <v>0.995</v>
      </c>
      <c r="AI261" s="10" t="str">
        <f>IFERROR(_xlfn.XLOOKUP($A261,Input_Raw!$E:$E,Input_Raw!$DG:$DG),"")</f>
        <v/>
      </c>
      <c r="AJ261" s="10"/>
      <c r="AK261" s="10"/>
      <c r="AL261" s="10"/>
      <c r="AM261" s="10"/>
      <c r="AN261" s="314" t="str">
        <f>IFERROR(_xlfn.XLOOKUP($A261,Input_Raw!$E:$E,Input_Raw!$CY:$CY),"")</f>
        <v/>
      </c>
      <c r="AO261" s="312" t="str">
        <f>IFERROR((_xlfn.XLOOKUP($A261,'WTG Reactive Power'!$A:$A,'WTG Reactive Power'!AB:AB))/X261,"")</f>
        <v/>
      </c>
      <c r="AP261" s="312">
        <f>IFERROR(_xlfn.XLOOKUP($D261,'Modelling New'!$D:$D,'Modelling New'!AK:AK),"")</f>
        <v>0.05</v>
      </c>
      <c r="AQ261" s="312">
        <f>IFERROR(_xlfn.XLOOKUP($D261,'Modelling New'!$D:$D,'Modelling New'!AL:AL),"")</f>
        <v>0.05</v>
      </c>
      <c r="AR261" s="325">
        <f>IFERROR(_xlfn.XLOOKUP($D261,'Modelling New'!$D:$D,'Modelling New'!$N:$N),"")</f>
        <v>50.59999999999998</v>
      </c>
      <c r="AS261" s="325"/>
    </row>
    <row r="262" spans="1:45">
      <c r="A262" s="32">
        <f t="shared" si="24"/>
        <v>46005</v>
      </c>
      <c r="B262" s="43">
        <f>YEAR(Table13[[#This Row],[Date]])+IF(MONTH(Table13[[#This Row],[Date]])&gt;=4,1,0)</f>
        <v>2026</v>
      </c>
      <c r="C262" s="10">
        <f>YEAR(Table13[[#This Row],[Date]])</f>
        <v>2025</v>
      </c>
      <c r="D262" s="309">
        <f>Table13[[#This Row],[Date]]-DAY(Table13[[#This Row],[Date]])+1</f>
        <v>45992</v>
      </c>
      <c r="E262" s="10">
        <f t="shared" si="20"/>
        <v>31</v>
      </c>
      <c r="F262" s="241" t="str">
        <f>IFERROR(_xlfn.XLOOKUP($A262,Input_Raw!$E:$E,Input_Raw!DC:DC),"")</f>
        <v/>
      </c>
      <c r="G262" s="313"/>
      <c r="H262" s="313"/>
      <c r="I262" s="313"/>
      <c r="J262" s="313"/>
      <c r="K262" s="243"/>
      <c r="L262" s="242"/>
      <c r="M262" s="242" t="str">
        <f>IFERROR(_xlfn.XLOOKUP($A262,Input_Raw!$E:$E,Input_Raw!$BM:$BM),"")</f>
        <v/>
      </c>
      <c r="N262" s="242" t="str">
        <f>IFERROR(_xlfn.XLOOKUP($A262,Input_Raw!$E:$E,Input_Raw!$BN:$BN),"")</f>
        <v/>
      </c>
      <c r="O262" s="311" t="str">
        <f t="shared" si="21"/>
        <v/>
      </c>
      <c r="P262" s="311" t="str">
        <f>IFERROR(1-SUMIF(WTG_BD!$F:$F,$A262,WTG_BD!$AA:$AA)/($AA262+SUMIF(WTG_BD!$F:$F,$A262,WTG_BD!$AA:$AA)),"")</f>
        <v/>
      </c>
      <c r="Q262" s="328" t="str">
        <f>IFERROR(1-SUMIF(IGA_BD!$F:$F,$A262,IGA_BD!$W:$W)/($AA262+SUMIF(IGA_BD!$F:$F,$A262,IGA_BD!$W:$W)),"")</f>
        <v/>
      </c>
      <c r="R262" s="47" t="str">
        <f>IFERROR(1-SUMIF(Grid_BD!$F:$F,$A262,Grid_BD!$Y:$Y)/($AA262+SUMIF(Grid_BD!$F:$F,$A262,Grid_BD!$Y:$Y)),"")</f>
        <v/>
      </c>
      <c r="S262" s="10"/>
      <c r="T262" s="310"/>
      <c r="U262" s="311"/>
      <c r="V262" s="10"/>
      <c r="W262" s="312" t="str">
        <f t="shared" si="22"/>
        <v/>
      </c>
      <c r="X262" s="10" t="str">
        <f>IFERROR(_xlfn.XLOOKUP($A262,Input_Raw!$E:$E,Input_Raw!BG:BG),"")</f>
        <v/>
      </c>
      <c r="Y262" s="10" t="str">
        <f>IFERROR(_xlfn.XLOOKUP($A262,Input_Raw!$E:$E,Input_Raw!DF:DF),"")</f>
        <v/>
      </c>
      <c r="Z262" s="319" t="str">
        <f>IFERROR(_xlfn.XLOOKUP(A262,Input_Raw!E:E,Input_Raw!CT:CT)/_xlfn.XLOOKUP(A262,Input_Raw!E:E,Input_Raw!CS:CS)*Table13[[#This Row],[Mtr_Export (kWh)]],"")</f>
        <v/>
      </c>
      <c r="AA262" s="43" t="str">
        <f t="shared" si="23"/>
        <v/>
      </c>
      <c r="AB262" s="10" t="str">
        <f>IFERROR(_xlfn.XLOOKUP($A262,Input_Raw!$E:$E,Input_Raw!$CZ:$CZ),"")</f>
        <v/>
      </c>
      <c r="AC262" s="313">
        <f>IFERROR(_xlfn.XLOOKUP($D262,'Modelling New'!$D:$D,'Modelling New'!$J:$J),"")</f>
        <v>7.0533420977422105</v>
      </c>
      <c r="AD262" s="43">
        <f>IFERROR(_xlfn.XLOOKUP($D262,'Modelling New'!$D:$D,'Modelling New'!$T:$T)*1000,"")</f>
        <v>441856.45161290321</v>
      </c>
      <c r="AE262" s="312"/>
      <c r="AF262" s="312">
        <f>IFERROR(_xlfn.XLOOKUP($D262,'Modelling New'!$D:$D,'Modelling New'!$W:$W),"")</f>
        <v>0.36384753920693619</v>
      </c>
      <c r="AG262" s="312">
        <f>IFERROR(_xlfn.XLOOKUP($D262,'Modelling New'!$D:$D,'Modelling New'!$AE:$AE),"")</f>
        <v>0.95549849999999992</v>
      </c>
      <c r="AH262" s="312">
        <f>IFERROR(_xlfn.XLOOKUP($D262,'Modelling New'!$D:$D,'Modelling New'!$AF:$AF),"")</f>
        <v>0.995</v>
      </c>
      <c r="AI262" s="10" t="str">
        <f>IFERROR(_xlfn.XLOOKUP($A262,Input_Raw!$E:$E,Input_Raw!$DG:$DG),"")</f>
        <v/>
      </c>
      <c r="AJ262" s="10"/>
      <c r="AK262" s="10"/>
      <c r="AL262" s="10"/>
      <c r="AM262" s="10"/>
      <c r="AN262" s="314" t="str">
        <f>IFERROR(_xlfn.XLOOKUP($A262,Input_Raw!$E:$E,Input_Raw!$CY:$CY),"")</f>
        <v/>
      </c>
      <c r="AO262" s="312" t="str">
        <f>IFERROR((_xlfn.XLOOKUP($A262,'WTG Reactive Power'!$A:$A,'WTG Reactive Power'!AB:AB))/X262,"")</f>
        <v/>
      </c>
      <c r="AP262" s="312">
        <f>IFERROR(_xlfn.XLOOKUP($D262,'Modelling New'!$D:$D,'Modelling New'!AK:AK),"")</f>
        <v>0.05</v>
      </c>
      <c r="AQ262" s="312">
        <f>IFERROR(_xlfn.XLOOKUP($D262,'Modelling New'!$D:$D,'Modelling New'!AL:AL),"")</f>
        <v>0.05</v>
      </c>
      <c r="AR262" s="325">
        <f>IFERROR(_xlfn.XLOOKUP($D262,'Modelling New'!$D:$D,'Modelling New'!$N:$N),"")</f>
        <v>50.59999999999998</v>
      </c>
      <c r="AS262" s="325"/>
    </row>
    <row r="263" spans="1:45">
      <c r="A263" s="32">
        <f t="shared" si="24"/>
        <v>46006</v>
      </c>
      <c r="B263" s="43">
        <f>YEAR(Table13[[#This Row],[Date]])+IF(MONTH(Table13[[#This Row],[Date]])&gt;=4,1,0)</f>
        <v>2026</v>
      </c>
      <c r="C263" s="10">
        <f>YEAR(Table13[[#This Row],[Date]])</f>
        <v>2025</v>
      </c>
      <c r="D263" s="309">
        <f>Table13[[#This Row],[Date]]-DAY(Table13[[#This Row],[Date]])+1</f>
        <v>45992</v>
      </c>
      <c r="E263" s="10">
        <f t="shared" ref="E263:E326" si="25">DAY(EOMONTH(A263,0))</f>
        <v>31</v>
      </c>
      <c r="F263" s="241" t="str">
        <f>IFERROR(_xlfn.XLOOKUP($A263,Input_Raw!$E:$E,Input_Raw!DC:DC),"")</f>
        <v/>
      </c>
      <c r="G263" s="242"/>
      <c r="H263" s="242"/>
      <c r="I263" s="242"/>
      <c r="J263" s="242"/>
      <c r="K263" s="243"/>
      <c r="L263" s="242"/>
      <c r="M263" s="242" t="str">
        <f>IFERROR(_xlfn.XLOOKUP($A263,Input_Raw!$E:$E,Input_Raw!$BM:$BM),"")</f>
        <v/>
      </c>
      <c r="N263" s="242" t="str">
        <f>IFERROR(_xlfn.XLOOKUP($A263,Input_Raw!$E:$E,Input_Raw!$BN:$BN),"")</f>
        <v/>
      </c>
      <c r="O263" s="311" t="str">
        <f t="shared" ref="O263:O326" si="26">IFERROR(P263*Q263,"")</f>
        <v/>
      </c>
      <c r="P263" s="311" t="str">
        <f>IFERROR(1-SUMIF(WTG_BD!$F:$F,$A263,WTG_BD!$AA:$AA)/($AA263+SUMIF(WTG_BD!$F:$F,$A263,WTG_BD!$AA:$AA)),"")</f>
        <v/>
      </c>
      <c r="Q263" s="328" t="str">
        <f>IFERROR(1-SUMIF(IGA_BD!$F:$F,$A263,IGA_BD!$W:$W)/($AA263+SUMIF(IGA_BD!$F:$F,$A263,IGA_BD!$W:$W)),"")</f>
        <v/>
      </c>
      <c r="R263" s="311" t="str">
        <f>IFERROR(1-SUMIF(Grid_BD!$F:$F,$A263,Grid_BD!$Y:$Y)/($AA263+SUMIF(Grid_BD!$F:$F,$A263,Grid_BD!$Y:$Y)),"")</f>
        <v/>
      </c>
      <c r="S263" s="10"/>
      <c r="T263" s="310"/>
      <c r="U263" s="311"/>
      <c r="V263" s="10"/>
      <c r="W263" s="312" t="str">
        <f t="shared" ref="W263:W326" si="27">IFERROR(X263/(24*AR263*1000),"")</f>
        <v/>
      </c>
      <c r="X263" s="10" t="str">
        <f>IFERROR(_xlfn.XLOOKUP($A263,Input_Raw!$E:$E,Input_Raw!BG:BG),"")</f>
        <v/>
      </c>
      <c r="Y263" s="10" t="str">
        <f>IFERROR(_xlfn.XLOOKUP($A263,Input_Raw!$E:$E,Input_Raw!DF:DF),"")</f>
        <v/>
      </c>
      <c r="Z263" s="319" t="str">
        <f>IFERROR(_xlfn.XLOOKUP(A263,Input_Raw!E:E,Input_Raw!CT:CT)/_xlfn.XLOOKUP(A263,Input_Raw!E:E,Input_Raw!CS:CS)*Table13[[#This Row],[Mtr_Export (kWh)]],"")</f>
        <v/>
      </c>
      <c r="AA263" s="43" t="str">
        <f t="shared" ref="AA263:AA326" si="28">IFERROR(Y263-Z263,"")</f>
        <v/>
      </c>
      <c r="AB263" s="10" t="str">
        <f>IFERROR(_xlfn.XLOOKUP($A263,Input_Raw!$E:$E,Input_Raw!$CZ:$CZ),"")</f>
        <v/>
      </c>
      <c r="AC263" s="313">
        <f>IFERROR(_xlfn.XLOOKUP($D263,'Modelling New'!$D:$D,'Modelling New'!$J:$J),"")</f>
        <v>7.0533420977422105</v>
      </c>
      <c r="AD263" s="43">
        <f>IFERROR(_xlfn.XLOOKUP($D263,'Modelling New'!$D:$D,'Modelling New'!$T:$T)*1000,"")</f>
        <v>441856.45161290321</v>
      </c>
      <c r="AE263" s="312"/>
      <c r="AF263" s="312">
        <f>IFERROR(_xlfn.XLOOKUP($D263,'Modelling New'!$D:$D,'Modelling New'!$W:$W),"")</f>
        <v>0.36384753920693619</v>
      </c>
      <c r="AG263" s="312">
        <f>IFERROR(_xlfn.XLOOKUP($D263,'Modelling New'!$D:$D,'Modelling New'!$AE:$AE),"")</f>
        <v>0.95549849999999992</v>
      </c>
      <c r="AH263" s="312">
        <f>IFERROR(_xlfn.XLOOKUP($D263,'Modelling New'!$D:$D,'Modelling New'!$AF:$AF),"")</f>
        <v>0.995</v>
      </c>
      <c r="AI263" s="10" t="str">
        <f>IFERROR(_xlfn.XLOOKUP($A263,Input_Raw!$E:$E,Input_Raw!$DG:$DG),"")</f>
        <v/>
      </c>
      <c r="AJ263" s="10"/>
      <c r="AK263" s="10"/>
      <c r="AL263" s="10"/>
      <c r="AM263" s="10"/>
      <c r="AN263" s="314" t="str">
        <f>IFERROR(_xlfn.XLOOKUP($A263,Input_Raw!$E:$E,Input_Raw!$CY:$CY),"")</f>
        <v/>
      </c>
      <c r="AO263" s="312" t="str">
        <f>IFERROR((_xlfn.XLOOKUP($A263,'WTG Reactive Power'!$A:$A,'WTG Reactive Power'!AB:AB))/X263,"")</f>
        <v/>
      </c>
      <c r="AP263" s="312">
        <f>IFERROR(_xlfn.XLOOKUP($D263,'Modelling New'!$D:$D,'Modelling New'!AK:AK),"")</f>
        <v>0.05</v>
      </c>
      <c r="AQ263" s="312">
        <f>IFERROR(_xlfn.XLOOKUP($D263,'Modelling New'!$D:$D,'Modelling New'!AL:AL),"")</f>
        <v>0.05</v>
      </c>
      <c r="AR263" s="325">
        <f>IFERROR(_xlfn.XLOOKUP($D263,'Modelling New'!$D:$D,'Modelling New'!$N:$N),"")</f>
        <v>50.59999999999998</v>
      </c>
      <c r="AS263" s="325"/>
    </row>
    <row r="264" spans="1:45">
      <c r="A264" s="32">
        <f t="shared" si="24"/>
        <v>46007</v>
      </c>
      <c r="B264" s="43">
        <f>YEAR(Table13[[#This Row],[Date]])+IF(MONTH(Table13[[#This Row],[Date]])&gt;=4,1,0)</f>
        <v>2026</v>
      </c>
      <c r="C264" s="10">
        <f>YEAR(Table13[[#This Row],[Date]])</f>
        <v>2025</v>
      </c>
      <c r="D264" s="309">
        <f>Table13[[#This Row],[Date]]-DAY(Table13[[#This Row],[Date]])+1</f>
        <v>45992</v>
      </c>
      <c r="E264" s="10">
        <f t="shared" si="25"/>
        <v>31</v>
      </c>
      <c r="F264" s="241" t="str">
        <f>IFERROR(_xlfn.XLOOKUP($A264,Input_Raw!$E:$E,Input_Raw!DC:DC),"")</f>
        <v/>
      </c>
      <c r="G264" s="313"/>
      <c r="H264" s="313"/>
      <c r="I264" s="313"/>
      <c r="J264" s="313"/>
      <c r="K264" s="243"/>
      <c r="L264" s="242"/>
      <c r="M264" s="242" t="str">
        <f>IFERROR(_xlfn.XLOOKUP($A264,Input_Raw!$E:$E,Input_Raw!$BM:$BM),"")</f>
        <v/>
      </c>
      <c r="N264" s="242" t="str">
        <f>IFERROR(_xlfn.XLOOKUP($A264,Input_Raw!$E:$E,Input_Raw!$BN:$BN),"")</f>
        <v/>
      </c>
      <c r="O264" s="311" t="str">
        <f t="shared" si="26"/>
        <v/>
      </c>
      <c r="P264" s="311" t="str">
        <f>IFERROR(1-SUMIF(WTG_BD!$F:$F,$A264,WTG_BD!$AA:$AA)/($AA264+SUMIF(WTG_BD!$F:$F,$A264,WTG_BD!$AA:$AA)),"")</f>
        <v/>
      </c>
      <c r="Q264" s="328" t="str">
        <f>IFERROR(1-SUMIF(IGA_BD!$F:$F,$A264,IGA_BD!$W:$W)/($AA264+SUMIF(IGA_BD!$F:$F,$A264,IGA_BD!$W:$W)),"")</f>
        <v/>
      </c>
      <c r="R264" s="47" t="str">
        <f>IFERROR(1-SUMIF(Grid_BD!$F:$F,$A264,Grid_BD!$Y:$Y)/($AA264+SUMIF(Grid_BD!$F:$F,$A264,Grid_BD!$Y:$Y)),"")</f>
        <v/>
      </c>
      <c r="S264" s="10"/>
      <c r="T264" s="310"/>
      <c r="U264" s="311"/>
      <c r="V264" s="10"/>
      <c r="W264" s="312" t="str">
        <f t="shared" si="27"/>
        <v/>
      </c>
      <c r="X264" s="10" t="str">
        <f>IFERROR(_xlfn.XLOOKUP($A264,Input_Raw!$E:$E,Input_Raw!BG:BG),"")</f>
        <v/>
      </c>
      <c r="Y264" s="10" t="str">
        <f>IFERROR(_xlfn.XLOOKUP($A264,Input_Raw!$E:$E,Input_Raw!DF:DF),"")</f>
        <v/>
      </c>
      <c r="Z264" s="319" t="str">
        <f>IFERROR(_xlfn.XLOOKUP(A264,Input_Raw!E:E,Input_Raw!CT:CT)/_xlfn.XLOOKUP(A264,Input_Raw!E:E,Input_Raw!CS:CS)*Table13[[#This Row],[Mtr_Export (kWh)]],"")</f>
        <v/>
      </c>
      <c r="AA264" s="43" t="str">
        <f t="shared" si="28"/>
        <v/>
      </c>
      <c r="AB264" s="10" t="str">
        <f>IFERROR(_xlfn.XLOOKUP($A264,Input_Raw!$E:$E,Input_Raw!$CZ:$CZ),"")</f>
        <v/>
      </c>
      <c r="AC264" s="313">
        <f>IFERROR(_xlfn.XLOOKUP($D264,'Modelling New'!$D:$D,'Modelling New'!$J:$J),"")</f>
        <v>7.0533420977422105</v>
      </c>
      <c r="AD264" s="43">
        <f>IFERROR(_xlfn.XLOOKUP($D264,'Modelling New'!$D:$D,'Modelling New'!$T:$T)*1000,"")</f>
        <v>441856.45161290321</v>
      </c>
      <c r="AE264" s="312"/>
      <c r="AF264" s="312">
        <f>IFERROR(_xlfn.XLOOKUP($D264,'Modelling New'!$D:$D,'Modelling New'!$W:$W),"")</f>
        <v>0.36384753920693619</v>
      </c>
      <c r="AG264" s="312">
        <f>IFERROR(_xlfn.XLOOKUP($D264,'Modelling New'!$D:$D,'Modelling New'!$AE:$AE),"")</f>
        <v>0.95549849999999992</v>
      </c>
      <c r="AH264" s="312">
        <f>IFERROR(_xlfn.XLOOKUP($D264,'Modelling New'!$D:$D,'Modelling New'!$AF:$AF),"")</f>
        <v>0.995</v>
      </c>
      <c r="AI264" s="10" t="str">
        <f>IFERROR(_xlfn.XLOOKUP($A264,Input_Raw!$E:$E,Input_Raw!$DG:$DG),"")</f>
        <v/>
      </c>
      <c r="AJ264" s="10"/>
      <c r="AK264" s="10"/>
      <c r="AL264" s="10"/>
      <c r="AM264" s="10"/>
      <c r="AN264" s="314" t="str">
        <f>IFERROR(_xlfn.XLOOKUP($A264,Input_Raw!$E:$E,Input_Raw!$CY:$CY),"")</f>
        <v/>
      </c>
      <c r="AO264" s="312" t="str">
        <f>IFERROR((_xlfn.XLOOKUP($A264,'WTG Reactive Power'!$A:$A,'WTG Reactive Power'!AB:AB))/X264,"")</f>
        <v/>
      </c>
      <c r="AP264" s="312">
        <f>IFERROR(_xlfn.XLOOKUP($D264,'Modelling New'!$D:$D,'Modelling New'!AK:AK),"")</f>
        <v>0.05</v>
      </c>
      <c r="AQ264" s="312">
        <f>IFERROR(_xlfn.XLOOKUP($D264,'Modelling New'!$D:$D,'Modelling New'!AL:AL),"")</f>
        <v>0.05</v>
      </c>
      <c r="AR264" s="325">
        <f>IFERROR(_xlfn.XLOOKUP($D264,'Modelling New'!$D:$D,'Modelling New'!$N:$N),"")</f>
        <v>50.59999999999998</v>
      </c>
      <c r="AS264" s="325"/>
    </row>
    <row r="265" spans="1:45">
      <c r="A265" s="32">
        <f t="shared" ref="A265:A328" si="29">A264+1</f>
        <v>46008</v>
      </c>
      <c r="B265" s="43">
        <f>YEAR(Table13[[#This Row],[Date]])+IF(MONTH(Table13[[#This Row],[Date]])&gt;=4,1,0)</f>
        <v>2026</v>
      </c>
      <c r="C265" s="10">
        <f>YEAR(Table13[[#This Row],[Date]])</f>
        <v>2025</v>
      </c>
      <c r="D265" s="309">
        <f>Table13[[#This Row],[Date]]-DAY(Table13[[#This Row],[Date]])+1</f>
        <v>45992</v>
      </c>
      <c r="E265" s="10">
        <f t="shared" si="25"/>
        <v>31</v>
      </c>
      <c r="F265" s="241" t="str">
        <f>IFERROR(_xlfn.XLOOKUP($A265,Input_Raw!$E:$E,Input_Raw!DC:DC),"")</f>
        <v/>
      </c>
      <c r="G265" s="242"/>
      <c r="H265" s="242"/>
      <c r="I265" s="242"/>
      <c r="J265" s="242"/>
      <c r="K265" s="243"/>
      <c r="L265" s="242"/>
      <c r="M265" s="242" t="str">
        <f>IFERROR(_xlfn.XLOOKUP($A265,Input_Raw!$E:$E,Input_Raw!$BM:$BM),"")</f>
        <v/>
      </c>
      <c r="N265" s="242" t="str">
        <f>IFERROR(_xlfn.XLOOKUP($A265,Input_Raw!$E:$E,Input_Raw!$BN:$BN),"")</f>
        <v/>
      </c>
      <c r="O265" s="311" t="str">
        <f t="shared" si="26"/>
        <v/>
      </c>
      <c r="P265" s="311" t="str">
        <f>IFERROR(1-SUMIF(WTG_BD!$F:$F,$A265,WTG_BD!$AA:$AA)/($AA265+SUMIF(WTG_BD!$F:$F,$A265,WTG_BD!$AA:$AA)),"")</f>
        <v/>
      </c>
      <c r="Q265" s="328" t="str">
        <f>IFERROR(1-SUMIF(IGA_BD!$F:$F,$A265,IGA_BD!$W:$W)/($AA265+SUMIF(IGA_BD!$F:$F,$A265,IGA_BD!$W:$W)),"")</f>
        <v/>
      </c>
      <c r="R265" s="311" t="str">
        <f>IFERROR(1-SUMIF(Grid_BD!$F:$F,$A265,Grid_BD!$Y:$Y)/($AA265+SUMIF(Grid_BD!$F:$F,$A265,Grid_BD!$Y:$Y)),"")</f>
        <v/>
      </c>
      <c r="S265" s="10"/>
      <c r="T265" s="310"/>
      <c r="U265" s="311"/>
      <c r="V265" s="10"/>
      <c r="W265" s="312" t="str">
        <f t="shared" si="27"/>
        <v/>
      </c>
      <c r="X265" s="10" t="str">
        <f>IFERROR(_xlfn.XLOOKUP($A265,Input_Raw!$E:$E,Input_Raw!BG:BG),"")</f>
        <v/>
      </c>
      <c r="Y265" s="10" t="str">
        <f>IFERROR(_xlfn.XLOOKUP($A265,Input_Raw!$E:$E,Input_Raw!DF:DF),"")</f>
        <v/>
      </c>
      <c r="Z265" s="319" t="str">
        <f>IFERROR(_xlfn.XLOOKUP(A265,Input_Raw!E:E,Input_Raw!CT:CT)/_xlfn.XLOOKUP(A265,Input_Raw!E:E,Input_Raw!CS:CS)*Table13[[#This Row],[Mtr_Export (kWh)]],"")</f>
        <v/>
      </c>
      <c r="AA265" s="43" t="str">
        <f t="shared" si="28"/>
        <v/>
      </c>
      <c r="AB265" s="10" t="str">
        <f>IFERROR(_xlfn.XLOOKUP($A265,Input_Raw!$E:$E,Input_Raw!$CZ:$CZ),"")</f>
        <v/>
      </c>
      <c r="AC265" s="313">
        <f>IFERROR(_xlfn.XLOOKUP($D265,'Modelling New'!$D:$D,'Modelling New'!$J:$J),"")</f>
        <v>7.0533420977422105</v>
      </c>
      <c r="AD265" s="43">
        <f>IFERROR(_xlfn.XLOOKUP($D265,'Modelling New'!$D:$D,'Modelling New'!$T:$T)*1000,"")</f>
        <v>441856.45161290321</v>
      </c>
      <c r="AE265" s="312"/>
      <c r="AF265" s="312">
        <f>IFERROR(_xlfn.XLOOKUP($D265,'Modelling New'!$D:$D,'Modelling New'!$W:$W),"")</f>
        <v>0.36384753920693619</v>
      </c>
      <c r="AG265" s="312">
        <f>IFERROR(_xlfn.XLOOKUP($D265,'Modelling New'!$D:$D,'Modelling New'!$AE:$AE),"")</f>
        <v>0.95549849999999992</v>
      </c>
      <c r="AH265" s="312">
        <f>IFERROR(_xlfn.XLOOKUP($D265,'Modelling New'!$D:$D,'Modelling New'!$AF:$AF),"")</f>
        <v>0.995</v>
      </c>
      <c r="AI265" s="10" t="str">
        <f>IFERROR(_xlfn.XLOOKUP($A265,Input_Raw!$E:$E,Input_Raw!$DG:$DG),"")</f>
        <v/>
      </c>
      <c r="AJ265" s="10"/>
      <c r="AK265" s="10"/>
      <c r="AL265" s="10"/>
      <c r="AM265" s="10"/>
      <c r="AN265" s="314" t="str">
        <f>IFERROR(_xlfn.XLOOKUP($A265,Input_Raw!$E:$E,Input_Raw!$CY:$CY),"")</f>
        <v/>
      </c>
      <c r="AO265" s="312" t="str">
        <f>IFERROR((_xlfn.XLOOKUP($A265,'WTG Reactive Power'!$A:$A,'WTG Reactive Power'!AB:AB))/X265,"")</f>
        <v/>
      </c>
      <c r="AP265" s="312">
        <f>IFERROR(_xlfn.XLOOKUP($D265,'Modelling New'!$D:$D,'Modelling New'!AK:AK),"")</f>
        <v>0.05</v>
      </c>
      <c r="AQ265" s="312">
        <f>IFERROR(_xlfn.XLOOKUP($D265,'Modelling New'!$D:$D,'Modelling New'!AL:AL),"")</f>
        <v>0.05</v>
      </c>
      <c r="AR265" s="325">
        <f>IFERROR(_xlfn.XLOOKUP($D265,'Modelling New'!$D:$D,'Modelling New'!$N:$N),"")</f>
        <v>50.59999999999998</v>
      </c>
      <c r="AS265" s="325"/>
    </row>
    <row r="266" spans="1:45">
      <c r="A266" s="32">
        <f t="shared" si="29"/>
        <v>46009</v>
      </c>
      <c r="B266" s="43">
        <f>YEAR(Table13[[#This Row],[Date]])+IF(MONTH(Table13[[#This Row],[Date]])&gt;=4,1,0)</f>
        <v>2026</v>
      </c>
      <c r="C266" s="10">
        <f>YEAR(Table13[[#This Row],[Date]])</f>
        <v>2025</v>
      </c>
      <c r="D266" s="309">
        <f>Table13[[#This Row],[Date]]-DAY(Table13[[#This Row],[Date]])+1</f>
        <v>45992</v>
      </c>
      <c r="E266" s="10">
        <f t="shared" si="25"/>
        <v>31</v>
      </c>
      <c r="F266" s="241" t="str">
        <f>IFERROR(_xlfn.XLOOKUP($A266,Input_Raw!$E:$E,Input_Raw!DC:DC),"")</f>
        <v/>
      </c>
      <c r="G266" s="313"/>
      <c r="H266" s="313"/>
      <c r="I266" s="313"/>
      <c r="J266" s="313"/>
      <c r="K266" s="243"/>
      <c r="L266" s="242"/>
      <c r="M266" s="242" t="str">
        <f>IFERROR(_xlfn.XLOOKUP($A266,Input_Raw!$E:$E,Input_Raw!$BM:$BM),"")</f>
        <v/>
      </c>
      <c r="N266" s="242" t="str">
        <f>IFERROR(_xlfn.XLOOKUP($A266,Input_Raw!$E:$E,Input_Raw!$BN:$BN),"")</f>
        <v/>
      </c>
      <c r="O266" s="311" t="str">
        <f t="shared" si="26"/>
        <v/>
      </c>
      <c r="P266" s="311" t="str">
        <f>IFERROR(1-SUMIF(WTG_BD!$F:$F,$A266,WTG_BD!$AA:$AA)/($AA266+SUMIF(WTG_BD!$F:$F,$A266,WTG_BD!$AA:$AA)),"")</f>
        <v/>
      </c>
      <c r="Q266" s="328" t="str">
        <f>IFERROR(1-SUMIF(IGA_BD!$F:$F,$A266,IGA_BD!$W:$W)/($AA266+SUMIF(IGA_BD!$F:$F,$A266,IGA_BD!$W:$W)),"")</f>
        <v/>
      </c>
      <c r="R266" s="47" t="str">
        <f>IFERROR(1-SUMIF(Grid_BD!$F:$F,$A266,Grid_BD!$Y:$Y)/($AA266+SUMIF(Grid_BD!$F:$F,$A266,Grid_BD!$Y:$Y)),"")</f>
        <v/>
      </c>
      <c r="S266" s="10"/>
      <c r="T266" s="310"/>
      <c r="U266" s="311"/>
      <c r="V266" s="10"/>
      <c r="W266" s="312" t="str">
        <f t="shared" si="27"/>
        <v/>
      </c>
      <c r="X266" s="10" t="str">
        <f>IFERROR(_xlfn.XLOOKUP($A266,Input_Raw!$E:$E,Input_Raw!BG:BG),"")</f>
        <v/>
      </c>
      <c r="Y266" s="10" t="str">
        <f>IFERROR(_xlfn.XLOOKUP($A266,Input_Raw!$E:$E,Input_Raw!DF:DF),"")</f>
        <v/>
      </c>
      <c r="Z266" s="319" t="str">
        <f>IFERROR(_xlfn.XLOOKUP(A266,Input_Raw!E:E,Input_Raw!CT:CT)/_xlfn.XLOOKUP(A266,Input_Raw!E:E,Input_Raw!CS:CS)*Table13[[#This Row],[Mtr_Export (kWh)]],"")</f>
        <v/>
      </c>
      <c r="AA266" s="43" t="str">
        <f t="shared" si="28"/>
        <v/>
      </c>
      <c r="AB266" s="10" t="str">
        <f>IFERROR(_xlfn.XLOOKUP($A266,Input_Raw!$E:$E,Input_Raw!$CZ:$CZ),"")</f>
        <v/>
      </c>
      <c r="AC266" s="313">
        <f>IFERROR(_xlfn.XLOOKUP($D266,'Modelling New'!$D:$D,'Modelling New'!$J:$J),"")</f>
        <v>7.0533420977422105</v>
      </c>
      <c r="AD266" s="43">
        <f>IFERROR(_xlfn.XLOOKUP($D266,'Modelling New'!$D:$D,'Modelling New'!$T:$T)*1000,"")</f>
        <v>441856.45161290321</v>
      </c>
      <c r="AE266" s="312"/>
      <c r="AF266" s="312">
        <f>IFERROR(_xlfn.XLOOKUP($D266,'Modelling New'!$D:$D,'Modelling New'!$W:$W),"")</f>
        <v>0.36384753920693619</v>
      </c>
      <c r="AG266" s="312">
        <f>IFERROR(_xlfn.XLOOKUP($D266,'Modelling New'!$D:$D,'Modelling New'!$AE:$AE),"")</f>
        <v>0.95549849999999992</v>
      </c>
      <c r="AH266" s="312">
        <f>IFERROR(_xlfn.XLOOKUP($D266,'Modelling New'!$D:$D,'Modelling New'!$AF:$AF),"")</f>
        <v>0.995</v>
      </c>
      <c r="AI266" s="10" t="str">
        <f>IFERROR(_xlfn.XLOOKUP($A266,Input_Raw!$E:$E,Input_Raw!$DG:$DG),"")</f>
        <v/>
      </c>
      <c r="AJ266" s="10"/>
      <c r="AK266" s="10"/>
      <c r="AL266" s="10"/>
      <c r="AM266" s="10"/>
      <c r="AN266" s="314" t="str">
        <f>IFERROR(_xlfn.XLOOKUP($A266,Input_Raw!$E:$E,Input_Raw!$CY:$CY),"")</f>
        <v/>
      </c>
      <c r="AO266" s="312" t="str">
        <f>IFERROR((_xlfn.XLOOKUP($A266,'WTG Reactive Power'!$A:$A,'WTG Reactive Power'!AB:AB))/X266,"")</f>
        <v/>
      </c>
      <c r="AP266" s="312">
        <f>IFERROR(_xlfn.XLOOKUP($D266,'Modelling New'!$D:$D,'Modelling New'!AK:AK),"")</f>
        <v>0.05</v>
      </c>
      <c r="AQ266" s="312">
        <f>IFERROR(_xlfn.XLOOKUP($D266,'Modelling New'!$D:$D,'Modelling New'!AL:AL),"")</f>
        <v>0.05</v>
      </c>
      <c r="AR266" s="325">
        <f>IFERROR(_xlfn.XLOOKUP($D266,'Modelling New'!$D:$D,'Modelling New'!$N:$N),"")</f>
        <v>50.59999999999998</v>
      </c>
      <c r="AS266" s="325"/>
    </row>
    <row r="267" spans="1:45">
      <c r="A267" s="32">
        <f t="shared" si="29"/>
        <v>46010</v>
      </c>
      <c r="B267" s="43">
        <f>YEAR(Table13[[#This Row],[Date]])+IF(MONTH(Table13[[#This Row],[Date]])&gt;=4,1,0)</f>
        <v>2026</v>
      </c>
      <c r="C267" s="10">
        <f>YEAR(Table13[[#This Row],[Date]])</f>
        <v>2025</v>
      </c>
      <c r="D267" s="309">
        <f>Table13[[#This Row],[Date]]-DAY(Table13[[#This Row],[Date]])+1</f>
        <v>45992</v>
      </c>
      <c r="E267" s="10">
        <f t="shared" si="25"/>
        <v>31</v>
      </c>
      <c r="F267" s="241" t="str">
        <f>IFERROR(_xlfn.XLOOKUP($A267,Input_Raw!$E:$E,Input_Raw!DC:DC),"")</f>
        <v/>
      </c>
      <c r="G267" s="242"/>
      <c r="H267" s="242"/>
      <c r="I267" s="242"/>
      <c r="J267" s="242"/>
      <c r="K267" s="243"/>
      <c r="L267" s="242"/>
      <c r="M267" s="242" t="str">
        <f>IFERROR(_xlfn.XLOOKUP($A267,Input_Raw!$E:$E,Input_Raw!$BM:$BM),"")</f>
        <v/>
      </c>
      <c r="N267" s="242" t="str">
        <f>IFERROR(_xlfn.XLOOKUP($A267,Input_Raw!$E:$E,Input_Raw!$BN:$BN),"")</f>
        <v/>
      </c>
      <c r="O267" s="311" t="str">
        <f t="shared" si="26"/>
        <v/>
      </c>
      <c r="P267" s="311" t="str">
        <f>IFERROR(1-SUMIF(WTG_BD!$F:$F,$A267,WTG_BD!$AA:$AA)/($AA267+SUMIF(WTG_BD!$F:$F,$A267,WTG_BD!$AA:$AA)),"")</f>
        <v/>
      </c>
      <c r="Q267" s="328" t="str">
        <f>IFERROR(1-SUMIF(IGA_BD!$F:$F,$A267,IGA_BD!$W:$W)/($AA267+SUMIF(IGA_BD!$F:$F,$A267,IGA_BD!$W:$W)),"")</f>
        <v/>
      </c>
      <c r="R267" s="311" t="str">
        <f>IFERROR(1-SUMIF(Grid_BD!$F:$F,$A267,Grid_BD!$Y:$Y)/($AA267+SUMIF(Grid_BD!$F:$F,$A267,Grid_BD!$Y:$Y)),"")</f>
        <v/>
      </c>
      <c r="S267" s="10"/>
      <c r="T267" s="310"/>
      <c r="U267" s="311"/>
      <c r="V267" s="10"/>
      <c r="W267" s="312" t="str">
        <f t="shared" si="27"/>
        <v/>
      </c>
      <c r="X267" s="10" t="str">
        <f>IFERROR(_xlfn.XLOOKUP($A267,Input_Raw!$E:$E,Input_Raw!BG:BG),"")</f>
        <v/>
      </c>
      <c r="Y267" s="10" t="str">
        <f>IFERROR(_xlfn.XLOOKUP($A267,Input_Raw!$E:$E,Input_Raw!DF:DF),"")</f>
        <v/>
      </c>
      <c r="Z267" s="319" t="str">
        <f>IFERROR(_xlfn.XLOOKUP(A267,Input_Raw!E:E,Input_Raw!CT:CT)/_xlfn.XLOOKUP(A267,Input_Raw!E:E,Input_Raw!CS:CS)*Table13[[#This Row],[Mtr_Export (kWh)]],"")</f>
        <v/>
      </c>
      <c r="AA267" s="43" t="str">
        <f t="shared" si="28"/>
        <v/>
      </c>
      <c r="AB267" s="10" t="str">
        <f>IFERROR(_xlfn.XLOOKUP($A267,Input_Raw!$E:$E,Input_Raw!$CZ:$CZ),"")</f>
        <v/>
      </c>
      <c r="AC267" s="313">
        <f>IFERROR(_xlfn.XLOOKUP($D267,'Modelling New'!$D:$D,'Modelling New'!$J:$J),"")</f>
        <v>7.0533420977422105</v>
      </c>
      <c r="AD267" s="43">
        <f>IFERROR(_xlfn.XLOOKUP($D267,'Modelling New'!$D:$D,'Modelling New'!$T:$T)*1000,"")</f>
        <v>441856.45161290321</v>
      </c>
      <c r="AE267" s="312"/>
      <c r="AF267" s="312">
        <f>IFERROR(_xlfn.XLOOKUP($D267,'Modelling New'!$D:$D,'Modelling New'!$W:$W),"")</f>
        <v>0.36384753920693619</v>
      </c>
      <c r="AG267" s="312">
        <f>IFERROR(_xlfn.XLOOKUP($D267,'Modelling New'!$D:$D,'Modelling New'!$AE:$AE),"")</f>
        <v>0.95549849999999992</v>
      </c>
      <c r="AH267" s="312">
        <f>IFERROR(_xlfn.XLOOKUP($D267,'Modelling New'!$D:$D,'Modelling New'!$AF:$AF),"")</f>
        <v>0.995</v>
      </c>
      <c r="AI267" s="10" t="str">
        <f>IFERROR(_xlfn.XLOOKUP($A267,Input_Raw!$E:$E,Input_Raw!$DG:$DG),"")</f>
        <v/>
      </c>
      <c r="AJ267" s="10"/>
      <c r="AK267" s="10"/>
      <c r="AL267" s="10"/>
      <c r="AM267" s="10"/>
      <c r="AN267" s="314" t="str">
        <f>IFERROR(_xlfn.XLOOKUP($A267,Input_Raw!$E:$E,Input_Raw!$CY:$CY),"")</f>
        <v/>
      </c>
      <c r="AO267" s="312" t="str">
        <f>IFERROR((_xlfn.XLOOKUP($A267,'WTG Reactive Power'!$A:$A,'WTG Reactive Power'!AB:AB))/X267,"")</f>
        <v/>
      </c>
      <c r="AP267" s="312">
        <f>IFERROR(_xlfn.XLOOKUP($D267,'Modelling New'!$D:$D,'Modelling New'!AK:AK),"")</f>
        <v>0.05</v>
      </c>
      <c r="AQ267" s="312">
        <f>IFERROR(_xlfn.XLOOKUP($D267,'Modelling New'!$D:$D,'Modelling New'!AL:AL),"")</f>
        <v>0.05</v>
      </c>
      <c r="AR267" s="325">
        <f>IFERROR(_xlfn.XLOOKUP($D267,'Modelling New'!$D:$D,'Modelling New'!$N:$N),"")</f>
        <v>50.59999999999998</v>
      </c>
      <c r="AS267" s="325"/>
    </row>
    <row r="268" spans="1:45">
      <c r="A268" s="32">
        <f t="shared" si="29"/>
        <v>46011</v>
      </c>
      <c r="B268" s="43">
        <f>YEAR(Table13[[#This Row],[Date]])+IF(MONTH(Table13[[#This Row],[Date]])&gt;=4,1,0)</f>
        <v>2026</v>
      </c>
      <c r="C268" s="10">
        <f>YEAR(Table13[[#This Row],[Date]])</f>
        <v>2025</v>
      </c>
      <c r="D268" s="309">
        <f>Table13[[#This Row],[Date]]-DAY(Table13[[#This Row],[Date]])+1</f>
        <v>45992</v>
      </c>
      <c r="E268" s="10">
        <f t="shared" si="25"/>
        <v>31</v>
      </c>
      <c r="F268" s="241" t="str">
        <f>IFERROR(_xlfn.XLOOKUP($A268,Input_Raw!$E:$E,Input_Raw!DC:DC),"")</f>
        <v/>
      </c>
      <c r="G268" s="313"/>
      <c r="H268" s="313"/>
      <c r="I268" s="313"/>
      <c r="J268" s="313"/>
      <c r="K268" s="243"/>
      <c r="L268" s="242"/>
      <c r="M268" s="242" t="str">
        <f>IFERROR(_xlfn.XLOOKUP($A268,Input_Raw!$E:$E,Input_Raw!$BM:$BM),"")</f>
        <v/>
      </c>
      <c r="N268" s="242" t="str">
        <f>IFERROR(_xlfn.XLOOKUP($A268,Input_Raw!$E:$E,Input_Raw!$BN:$BN),"")</f>
        <v/>
      </c>
      <c r="O268" s="311" t="str">
        <f t="shared" si="26"/>
        <v/>
      </c>
      <c r="P268" s="311" t="str">
        <f>IFERROR(1-SUMIF(WTG_BD!$F:$F,$A268,WTG_BD!$AA:$AA)/($AA268+SUMIF(WTG_BD!$F:$F,$A268,WTG_BD!$AA:$AA)),"")</f>
        <v/>
      </c>
      <c r="Q268" s="328" t="str">
        <f>IFERROR(1-SUMIF(IGA_BD!$F:$F,$A268,IGA_BD!$W:$W)/($AA268+SUMIF(IGA_BD!$F:$F,$A268,IGA_BD!$W:$W)),"")</f>
        <v/>
      </c>
      <c r="R268" s="47" t="str">
        <f>IFERROR(1-SUMIF(Grid_BD!$F:$F,$A268,Grid_BD!$Y:$Y)/($AA268+SUMIF(Grid_BD!$F:$F,$A268,Grid_BD!$Y:$Y)),"")</f>
        <v/>
      </c>
      <c r="S268" s="10"/>
      <c r="T268" s="310"/>
      <c r="U268" s="311"/>
      <c r="V268" s="10"/>
      <c r="W268" s="312" t="str">
        <f t="shared" si="27"/>
        <v/>
      </c>
      <c r="X268" s="10" t="str">
        <f>IFERROR(_xlfn.XLOOKUP($A268,Input_Raw!$E:$E,Input_Raw!BG:BG),"")</f>
        <v/>
      </c>
      <c r="Y268" s="10" t="str">
        <f>IFERROR(_xlfn.XLOOKUP($A268,Input_Raw!$E:$E,Input_Raw!DF:DF),"")</f>
        <v/>
      </c>
      <c r="Z268" s="319" t="str">
        <f>IFERROR(_xlfn.XLOOKUP(A268,Input_Raw!E:E,Input_Raw!CT:CT)/_xlfn.XLOOKUP(A268,Input_Raw!E:E,Input_Raw!CS:CS)*Table13[[#This Row],[Mtr_Export (kWh)]],"")</f>
        <v/>
      </c>
      <c r="AA268" s="43" t="str">
        <f t="shared" si="28"/>
        <v/>
      </c>
      <c r="AB268" s="10" t="str">
        <f>IFERROR(_xlfn.XLOOKUP($A268,Input_Raw!$E:$E,Input_Raw!$CZ:$CZ),"")</f>
        <v/>
      </c>
      <c r="AC268" s="313">
        <f>IFERROR(_xlfn.XLOOKUP($D268,'Modelling New'!$D:$D,'Modelling New'!$J:$J),"")</f>
        <v>7.0533420977422105</v>
      </c>
      <c r="AD268" s="43">
        <f>IFERROR(_xlfn.XLOOKUP($D268,'Modelling New'!$D:$D,'Modelling New'!$T:$T)*1000,"")</f>
        <v>441856.45161290321</v>
      </c>
      <c r="AE268" s="312"/>
      <c r="AF268" s="312">
        <f>IFERROR(_xlfn.XLOOKUP($D268,'Modelling New'!$D:$D,'Modelling New'!$W:$W),"")</f>
        <v>0.36384753920693619</v>
      </c>
      <c r="AG268" s="312">
        <f>IFERROR(_xlfn.XLOOKUP($D268,'Modelling New'!$D:$D,'Modelling New'!$AE:$AE),"")</f>
        <v>0.95549849999999992</v>
      </c>
      <c r="AH268" s="312">
        <f>IFERROR(_xlfn.XLOOKUP($D268,'Modelling New'!$D:$D,'Modelling New'!$AF:$AF),"")</f>
        <v>0.995</v>
      </c>
      <c r="AI268" s="10" t="str">
        <f>IFERROR(_xlfn.XLOOKUP($A268,Input_Raw!$E:$E,Input_Raw!$DG:$DG),"")</f>
        <v/>
      </c>
      <c r="AJ268" s="10"/>
      <c r="AK268" s="10"/>
      <c r="AL268" s="10"/>
      <c r="AM268" s="10"/>
      <c r="AN268" s="314" t="str">
        <f>IFERROR(_xlfn.XLOOKUP($A268,Input_Raw!$E:$E,Input_Raw!$CY:$CY),"")</f>
        <v/>
      </c>
      <c r="AO268" s="312" t="str">
        <f>IFERROR((_xlfn.XLOOKUP($A268,'WTG Reactive Power'!$A:$A,'WTG Reactive Power'!AB:AB))/X268,"")</f>
        <v/>
      </c>
      <c r="AP268" s="312">
        <f>IFERROR(_xlfn.XLOOKUP($D268,'Modelling New'!$D:$D,'Modelling New'!AK:AK),"")</f>
        <v>0.05</v>
      </c>
      <c r="AQ268" s="312">
        <f>IFERROR(_xlfn.XLOOKUP($D268,'Modelling New'!$D:$D,'Modelling New'!AL:AL),"")</f>
        <v>0.05</v>
      </c>
      <c r="AR268" s="325">
        <f>IFERROR(_xlfn.XLOOKUP($D268,'Modelling New'!$D:$D,'Modelling New'!$N:$N),"")</f>
        <v>50.59999999999998</v>
      </c>
      <c r="AS268" s="325"/>
    </row>
    <row r="269" spans="1:45">
      <c r="A269" s="32">
        <f t="shared" si="29"/>
        <v>46012</v>
      </c>
      <c r="B269" s="43">
        <f>YEAR(Table13[[#This Row],[Date]])+IF(MONTH(Table13[[#This Row],[Date]])&gt;=4,1,0)</f>
        <v>2026</v>
      </c>
      <c r="C269" s="10">
        <f>YEAR(Table13[[#This Row],[Date]])</f>
        <v>2025</v>
      </c>
      <c r="D269" s="309">
        <f>Table13[[#This Row],[Date]]-DAY(Table13[[#This Row],[Date]])+1</f>
        <v>45992</v>
      </c>
      <c r="E269" s="10">
        <f t="shared" si="25"/>
        <v>31</v>
      </c>
      <c r="F269" s="241" t="str">
        <f>IFERROR(_xlfn.XLOOKUP($A269,Input_Raw!$E:$E,Input_Raw!DC:DC),"")</f>
        <v/>
      </c>
      <c r="G269" s="242"/>
      <c r="H269" s="242"/>
      <c r="I269" s="242"/>
      <c r="J269" s="242"/>
      <c r="K269" s="243"/>
      <c r="L269" s="242"/>
      <c r="M269" s="242" t="str">
        <f>IFERROR(_xlfn.XLOOKUP($A269,Input_Raw!$E:$E,Input_Raw!$BM:$BM),"")</f>
        <v/>
      </c>
      <c r="N269" s="242" t="str">
        <f>IFERROR(_xlfn.XLOOKUP($A269,Input_Raw!$E:$E,Input_Raw!$BN:$BN),"")</f>
        <v/>
      </c>
      <c r="O269" s="311" t="str">
        <f t="shared" si="26"/>
        <v/>
      </c>
      <c r="P269" s="311" t="str">
        <f>IFERROR(1-SUMIF(WTG_BD!$F:$F,$A269,WTG_BD!$AA:$AA)/($AA269+SUMIF(WTG_BD!$F:$F,$A269,WTG_BD!$AA:$AA)),"")</f>
        <v/>
      </c>
      <c r="Q269" s="328" t="str">
        <f>IFERROR(1-SUMIF(IGA_BD!$F:$F,$A269,IGA_BD!$W:$W)/($AA269+SUMIF(IGA_BD!$F:$F,$A269,IGA_BD!$W:$W)),"")</f>
        <v/>
      </c>
      <c r="R269" s="311" t="str">
        <f>IFERROR(1-SUMIF(Grid_BD!$F:$F,$A269,Grid_BD!$Y:$Y)/($AA269+SUMIF(Grid_BD!$F:$F,$A269,Grid_BD!$Y:$Y)),"")</f>
        <v/>
      </c>
      <c r="S269" s="10"/>
      <c r="T269" s="310"/>
      <c r="U269" s="311"/>
      <c r="V269" s="10"/>
      <c r="W269" s="312" t="str">
        <f t="shared" si="27"/>
        <v/>
      </c>
      <c r="X269" s="10" t="str">
        <f>IFERROR(_xlfn.XLOOKUP($A269,Input_Raw!$E:$E,Input_Raw!BG:BG),"")</f>
        <v/>
      </c>
      <c r="Y269" s="10" t="str">
        <f>IFERROR(_xlfn.XLOOKUP($A269,Input_Raw!$E:$E,Input_Raw!DF:DF),"")</f>
        <v/>
      </c>
      <c r="Z269" s="319" t="str">
        <f>IFERROR(_xlfn.XLOOKUP(A269,Input_Raw!E:E,Input_Raw!CT:CT)/_xlfn.XLOOKUP(A269,Input_Raw!E:E,Input_Raw!CS:CS)*Table13[[#This Row],[Mtr_Export (kWh)]],"")</f>
        <v/>
      </c>
      <c r="AA269" s="43" t="str">
        <f t="shared" si="28"/>
        <v/>
      </c>
      <c r="AB269" s="10" t="str">
        <f>IFERROR(_xlfn.XLOOKUP($A269,Input_Raw!$E:$E,Input_Raw!$CZ:$CZ),"")</f>
        <v/>
      </c>
      <c r="AC269" s="313">
        <f>IFERROR(_xlfn.XLOOKUP($D269,'Modelling New'!$D:$D,'Modelling New'!$J:$J),"")</f>
        <v>7.0533420977422105</v>
      </c>
      <c r="AD269" s="43">
        <f>IFERROR(_xlfn.XLOOKUP($D269,'Modelling New'!$D:$D,'Modelling New'!$T:$T)*1000,"")</f>
        <v>441856.45161290321</v>
      </c>
      <c r="AE269" s="312"/>
      <c r="AF269" s="312">
        <f>IFERROR(_xlfn.XLOOKUP($D269,'Modelling New'!$D:$D,'Modelling New'!$W:$W),"")</f>
        <v>0.36384753920693619</v>
      </c>
      <c r="AG269" s="312">
        <f>IFERROR(_xlfn.XLOOKUP($D269,'Modelling New'!$D:$D,'Modelling New'!$AE:$AE),"")</f>
        <v>0.95549849999999992</v>
      </c>
      <c r="AH269" s="312">
        <f>IFERROR(_xlfn.XLOOKUP($D269,'Modelling New'!$D:$D,'Modelling New'!$AF:$AF),"")</f>
        <v>0.995</v>
      </c>
      <c r="AI269" s="10" t="str">
        <f>IFERROR(_xlfn.XLOOKUP($A269,Input_Raw!$E:$E,Input_Raw!$DG:$DG),"")</f>
        <v/>
      </c>
      <c r="AJ269" s="10"/>
      <c r="AK269" s="10"/>
      <c r="AL269" s="10"/>
      <c r="AM269" s="10"/>
      <c r="AN269" s="314" t="str">
        <f>IFERROR(_xlfn.XLOOKUP($A269,Input_Raw!$E:$E,Input_Raw!$CY:$CY),"")</f>
        <v/>
      </c>
      <c r="AO269" s="312" t="str">
        <f>IFERROR((_xlfn.XLOOKUP($A269,'WTG Reactive Power'!$A:$A,'WTG Reactive Power'!AB:AB))/X269,"")</f>
        <v/>
      </c>
      <c r="AP269" s="312">
        <f>IFERROR(_xlfn.XLOOKUP($D269,'Modelling New'!$D:$D,'Modelling New'!AK:AK),"")</f>
        <v>0.05</v>
      </c>
      <c r="AQ269" s="312">
        <f>IFERROR(_xlfn.XLOOKUP($D269,'Modelling New'!$D:$D,'Modelling New'!AL:AL),"")</f>
        <v>0.05</v>
      </c>
      <c r="AR269" s="325">
        <f>IFERROR(_xlfn.XLOOKUP($D269,'Modelling New'!$D:$D,'Modelling New'!$N:$N),"")</f>
        <v>50.59999999999998</v>
      </c>
      <c r="AS269" s="325"/>
    </row>
    <row r="270" spans="1:45">
      <c r="A270" s="32">
        <f t="shared" si="29"/>
        <v>46013</v>
      </c>
      <c r="B270" s="43">
        <f>YEAR(Table13[[#This Row],[Date]])+IF(MONTH(Table13[[#This Row],[Date]])&gt;=4,1,0)</f>
        <v>2026</v>
      </c>
      <c r="C270" s="10">
        <f>YEAR(Table13[[#This Row],[Date]])</f>
        <v>2025</v>
      </c>
      <c r="D270" s="309">
        <f>Table13[[#This Row],[Date]]-DAY(Table13[[#This Row],[Date]])+1</f>
        <v>45992</v>
      </c>
      <c r="E270" s="10">
        <f t="shared" si="25"/>
        <v>31</v>
      </c>
      <c r="F270" s="241" t="str">
        <f>IFERROR(_xlfn.XLOOKUP($A270,Input_Raw!$E:$E,Input_Raw!DC:DC),"")</f>
        <v/>
      </c>
      <c r="G270" s="313"/>
      <c r="H270" s="313"/>
      <c r="I270" s="313"/>
      <c r="J270" s="313"/>
      <c r="K270" s="243"/>
      <c r="L270" s="242"/>
      <c r="M270" s="242" t="str">
        <f>IFERROR(_xlfn.XLOOKUP($A270,Input_Raw!$E:$E,Input_Raw!$BM:$BM),"")</f>
        <v/>
      </c>
      <c r="N270" s="242" t="str">
        <f>IFERROR(_xlfn.XLOOKUP($A270,Input_Raw!$E:$E,Input_Raw!$BN:$BN),"")</f>
        <v/>
      </c>
      <c r="O270" s="311" t="str">
        <f t="shared" si="26"/>
        <v/>
      </c>
      <c r="P270" s="311" t="str">
        <f>IFERROR(1-SUMIF(WTG_BD!$F:$F,$A270,WTG_BD!$AA:$AA)/($AA270+SUMIF(WTG_BD!$F:$F,$A270,WTG_BD!$AA:$AA)),"")</f>
        <v/>
      </c>
      <c r="Q270" s="328" t="str">
        <f>IFERROR(1-SUMIF(IGA_BD!$F:$F,$A270,IGA_BD!$W:$W)/($AA270+SUMIF(IGA_BD!$F:$F,$A270,IGA_BD!$W:$W)),"")</f>
        <v/>
      </c>
      <c r="R270" s="47" t="str">
        <f>IFERROR(1-SUMIF(Grid_BD!$F:$F,$A270,Grid_BD!$Y:$Y)/($AA270+SUMIF(Grid_BD!$F:$F,$A270,Grid_BD!$Y:$Y)),"")</f>
        <v/>
      </c>
      <c r="S270" s="10"/>
      <c r="T270" s="310"/>
      <c r="U270" s="311"/>
      <c r="V270" s="10"/>
      <c r="W270" s="312" t="str">
        <f t="shared" si="27"/>
        <v/>
      </c>
      <c r="X270" s="10" t="str">
        <f>IFERROR(_xlfn.XLOOKUP($A270,Input_Raw!$E:$E,Input_Raw!BG:BG),"")</f>
        <v/>
      </c>
      <c r="Y270" s="10" t="str">
        <f>IFERROR(_xlfn.XLOOKUP($A270,Input_Raw!$E:$E,Input_Raw!DF:DF),"")</f>
        <v/>
      </c>
      <c r="Z270" s="319" t="str">
        <f>IFERROR(_xlfn.XLOOKUP(A270,Input_Raw!E:E,Input_Raw!CT:CT)/_xlfn.XLOOKUP(A270,Input_Raw!E:E,Input_Raw!CS:CS)*Table13[[#This Row],[Mtr_Export (kWh)]],"")</f>
        <v/>
      </c>
      <c r="AA270" s="43" t="str">
        <f t="shared" si="28"/>
        <v/>
      </c>
      <c r="AB270" s="10" t="str">
        <f>IFERROR(_xlfn.XLOOKUP($A270,Input_Raw!$E:$E,Input_Raw!$CZ:$CZ),"")</f>
        <v/>
      </c>
      <c r="AC270" s="313">
        <f>IFERROR(_xlfn.XLOOKUP($D270,'Modelling New'!$D:$D,'Modelling New'!$J:$J),"")</f>
        <v>7.0533420977422105</v>
      </c>
      <c r="AD270" s="43">
        <f>IFERROR(_xlfn.XLOOKUP($D270,'Modelling New'!$D:$D,'Modelling New'!$T:$T)*1000,"")</f>
        <v>441856.45161290321</v>
      </c>
      <c r="AE270" s="312"/>
      <c r="AF270" s="312">
        <f>IFERROR(_xlfn.XLOOKUP($D270,'Modelling New'!$D:$D,'Modelling New'!$W:$W),"")</f>
        <v>0.36384753920693619</v>
      </c>
      <c r="AG270" s="312">
        <f>IFERROR(_xlfn.XLOOKUP($D270,'Modelling New'!$D:$D,'Modelling New'!$AE:$AE),"")</f>
        <v>0.95549849999999992</v>
      </c>
      <c r="AH270" s="312">
        <f>IFERROR(_xlfn.XLOOKUP($D270,'Modelling New'!$D:$D,'Modelling New'!$AF:$AF),"")</f>
        <v>0.995</v>
      </c>
      <c r="AI270" s="10" t="str">
        <f>IFERROR(_xlfn.XLOOKUP($A270,Input_Raw!$E:$E,Input_Raw!$DG:$DG),"")</f>
        <v/>
      </c>
      <c r="AJ270" s="10"/>
      <c r="AK270" s="10"/>
      <c r="AL270" s="10"/>
      <c r="AM270" s="10"/>
      <c r="AN270" s="314" t="str">
        <f>IFERROR(_xlfn.XLOOKUP($A270,Input_Raw!$E:$E,Input_Raw!$CY:$CY),"")</f>
        <v/>
      </c>
      <c r="AO270" s="312" t="str">
        <f>IFERROR((_xlfn.XLOOKUP($A270,'WTG Reactive Power'!$A:$A,'WTG Reactive Power'!AB:AB))/X270,"")</f>
        <v/>
      </c>
      <c r="AP270" s="312">
        <f>IFERROR(_xlfn.XLOOKUP($D270,'Modelling New'!$D:$D,'Modelling New'!AK:AK),"")</f>
        <v>0.05</v>
      </c>
      <c r="AQ270" s="312">
        <f>IFERROR(_xlfn.XLOOKUP($D270,'Modelling New'!$D:$D,'Modelling New'!AL:AL),"")</f>
        <v>0.05</v>
      </c>
      <c r="AR270" s="325">
        <f>IFERROR(_xlfn.XLOOKUP($D270,'Modelling New'!$D:$D,'Modelling New'!$N:$N),"")</f>
        <v>50.59999999999998</v>
      </c>
      <c r="AS270" s="325"/>
    </row>
    <row r="271" spans="1:45">
      <c r="A271" s="32">
        <f t="shared" si="29"/>
        <v>46014</v>
      </c>
      <c r="B271" s="43">
        <f>YEAR(Table13[[#This Row],[Date]])+IF(MONTH(Table13[[#This Row],[Date]])&gt;=4,1,0)</f>
        <v>2026</v>
      </c>
      <c r="C271" s="10">
        <f>YEAR(Table13[[#This Row],[Date]])</f>
        <v>2025</v>
      </c>
      <c r="D271" s="309">
        <f>Table13[[#This Row],[Date]]-DAY(Table13[[#This Row],[Date]])+1</f>
        <v>45992</v>
      </c>
      <c r="E271" s="10">
        <f t="shared" si="25"/>
        <v>31</v>
      </c>
      <c r="F271" s="241" t="str">
        <f>IFERROR(_xlfn.XLOOKUP($A271,Input_Raw!$E:$E,Input_Raw!DC:DC),"")</f>
        <v/>
      </c>
      <c r="G271" s="242"/>
      <c r="H271" s="242"/>
      <c r="I271" s="242"/>
      <c r="J271" s="242"/>
      <c r="K271" s="243"/>
      <c r="L271" s="242"/>
      <c r="M271" s="242" t="str">
        <f>IFERROR(_xlfn.XLOOKUP($A271,Input_Raw!$E:$E,Input_Raw!$BM:$BM),"")</f>
        <v/>
      </c>
      <c r="N271" s="242" t="str">
        <f>IFERROR(_xlfn.XLOOKUP($A271,Input_Raw!$E:$E,Input_Raw!$BN:$BN),"")</f>
        <v/>
      </c>
      <c r="O271" s="311" t="str">
        <f t="shared" si="26"/>
        <v/>
      </c>
      <c r="P271" s="311" t="str">
        <f>IFERROR(1-SUMIF(WTG_BD!$F:$F,$A271,WTG_BD!$AA:$AA)/($AA271+SUMIF(WTG_BD!$F:$F,$A271,WTG_BD!$AA:$AA)),"")</f>
        <v/>
      </c>
      <c r="Q271" s="328" t="str">
        <f>IFERROR(1-SUMIF(IGA_BD!$F:$F,$A271,IGA_BD!$W:$W)/($AA271+SUMIF(IGA_BD!$F:$F,$A271,IGA_BD!$W:$W)),"")</f>
        <v/>
      </c>
      <c r="R271" s="311" t="str">
        <f>IFERROR(1-SUMIF(Grid_BD!$F:$F,$A271,Grid_BD!$Y:$Y)/($AA271+SUMIF(Grid_BD!$F:$F,$A271,Grid_BD!$Y:$Y)),"")</f>
        <v/>
      </c>
      <c r="S271" s="10"/>
      <c r="T271" s="310"/>
      <c r="U271" s="311"/>
      <c r="V271" s="10"/>
      <c r="W271" s="312" t="str">
        <f t="shared" si="27"/>
        <v/>
      </c>
      <c r="X271" s="10" t="str">
        <f>IFERROR(_xlfn.XLOOKUP($A271,Input_Raw!$E:$E,Input_Raw!BG:BG),"")</f>
        <v/>
      </c>
      <c r="Y271" s="10" t="str">
        <f>IFERROR(_xlfn.XLOOKUP($A271,Input_Raw!$E:$E,Input_Raw!DF:DF),"")</f>
        <v/>
      </c>
      <c r="Z271" s="319" t="str">
        <f>IFERROR(_xlfn.XLOOKUP(A271,Input_Raw!E:E,Input_Raw!CT:CT)/_xlfn.XLOOKUP(A271,Input_Raw!E:E,Input_Raw!CS:CS)*Table13[[#This Row],[Mtr_Export (kWh)]],"")</f>
        <v/>
      </c>
      <c r="AA271" s="43" t="str">
        <f t="shared" si="28"/>
        <v/>
      </c>
      <c r="AB271" s="10" t="str">
        <f>IFERROR(_xlfn.XLOOKUP($A271,Input_Raw!$E:$E,Input_Raw!$CZ:$CZ),"")</f>
        <v/>
      </c>
      <c r="AC271" s="313">
        <f>IFERROR(_xlfn.XLOOKUP($D271,'Modelling New'!$D:$D,'Modelling New'!$J:$J),"")</f>
        <v>7.0533420977422105</v>
      </c>
      <c r="AD271" s="43">
        <f>IFERROR(_xlfn.XLOOKUP($D271,'Modelling New'!$D:$D,'Modelling New'!$T:$T)*1000,"")</f>
        <v>441856.45161290321</v>
      </c>
      <c r="AE271" s="312"/>
      <c r="AF271" s="312">
        <f>IFERROR(_xlfn.XLOOKUP($D271,'Modelling New'!$D:$D,'Modelling New'!$W:$W),"")</f>
        <v>0.36384753920693619</v>
      </c>
      <c r="AG271" s="312">
        <f>IFERROR(_xlfn.XLOOKUP($D271,'Modelling New'!$D:$D,'Modelling New'!$AE:$AE),"")</f>
        <v>0.95549849999999992</v>
      </c>
      <c r="AH271" s="312">
        <f>IFERROR(_xlfn.XLOOKUP($D271,'Modelling New'!$D:$D,'Modelling New'!$AF:$AF),"")</f>
        <v>0.995</v>
      </c>
      <c r="AI271" s="10" t="str">
        <f>IFERROR(_xlfn.XLOOKUP($A271,Input_Raw!$E:$E,Input_Raw!$DG:$DG),"")</f>
        <v/>
      </c>
      <c r="AJ271" s="10"/>
      <c r="AK271" s="10"/>
      <c r="AL271" s="10"/>
      <c r="AM271" s="10"/>
      <c r="AN271" s="314" t="str">
        <f>IFERROR(_xlfn.XLOOKUP($A271,Input_Raw!$E:$E,Input_Raw!$CY:$CY),"")</f>
        <v/>
      </c>
      <c r="AO271" s="312" t="str">
        <f>IFERROR((_xlfn.XLOOKUP($A271,'WTG Reactive Power'!$A:$A,'WTG Reactive Power'!AB:AB))/X271,"")</f>
        <v/>
      </c>
      <c r="AP271" s="312">
        <f>IFERROR(_xlfn.XLOOKUP($D271,'Modelling New'!$D:$D,'Modelling New'!AK:AK),"")</f>
        <v>0.05</v>
      </c>
      <c r="AQ271" s="312">
        <f>IFERROR(_xlfn.XLOOKUP($D271,'Modelling New'!$D:$D,'Modelling New'!AL:AL),"")</f>
        <v>0.05</v>
      </c>
      <c r="AR271" s="325">
        <f>IFERROR(_xlfn.XLOOKUP($D271,'Modelling New'!$D:$D,'Modelling New'!$N:$N),"")</f>
        <v>50.59999999999998</v>
      </c>
      <c r="AS271" s="325"/>
    </row>
    <row r="272" spans="1:45">
      <c r="A272" s="32">
        <f t="shared" si="29"/>
        <v>46015</v>
      </c>
      <c r="B272" s="43">
        <f>YEAR(Table13[[#This Row],[Date]])+IF(MONTH(Table13[[#This Row],[Date]])&gt;=4,1,0)</f>
        <v>2026</v>
      </c>
      <c r="C272" s="10">
        <f>YEAR(Table13[[#This Row],[Date]])</f>
        <v>2025</v>
      </c>
      <c r="D272" s="309">
        <f>Table13[[#This Row],[Date]]-DAY(Table13[[#This Row],[Date]])+1</f>
        <v>45992</v>
      </c>
      <c r="E272" s="10">
        <f t="shared" si="25"/>
        <v>31</v>
      </c>
      <c r="F272" s="241" t="str">
        <f>IFERROR(_xlfn.XLOOKUP($A272,Input_Raw!$E:$E,Input_Raw!DC:DC),"")</f>
        <v/>
      </c>
      <c r="G272" s="313"/>
      <c r="H272" s="313"/>
      <c r="I272" s="313"/>
      <c r="J272" s="313"/>
      <c r="K272" s="243"/>
      <c r="L272" s="242"/>
      <c r="M272" s="242" t="str">
        <f>IFERROR(_xlfn.XLOOKUP($A272,Input_Raw!$E:$E,Input_Raw!$BM:$BM),"")</f>
        <v/>
      </c>
      <c r="N272" s="242" t="str">
        <f>IFERROR(_xlfn.XLOOKUP($A272,Input_Raw!$E:$E,Input_Raw!$BN:$BN),"")</f>
        <v/>
      </c>
      <c r="O272" s="311" t="str">
        <f t="shared" si="26"/>
        <v/>
      </c>
      <c r="P272" s="311" t="str">
        <f>IFERROR(1-SUMIF(WTG_BD!$F:$F,$A272,WTG_BD!$AA:$AA)/($AA272+SUMIF(WTG_BD!$F:$F,$A272,WTG_BD!$AA:$AA)),"")</f>
        <v/>
      </c>
      <c r="Q272" s="328" t="str">
        <f>IFERROR(1-SUMIF(IGA_BD!$F:$F,$A272,IGA_BD!$W:$W)/($AA272+SUMIF(IGA_BD!$F:$F,$A272,IGA_BD!$W:$W)),"")</f>
        <v/>
      </c>
      <c r="R272" s="47" t="str">
        <f>IFERROR(1-SUMIF(Grid_BD!$F:$F,$A272,Grid_BD!$Y:$Y)/($AA272+SUMIF(Grid_BD!$F:$F,$A272,Grid_BD!$Y:$Y)),"")</f>
        <v/>
      </c>
      <c r="S272" s="10"/>
      <c r="T272" s="310"/>
      <c r="U272" s="311"/>
      <c r="V272" s="10"/>
      <c r="W272" s="312" t="str">
        <f t="shared" si="27"/>
        <v/>
      </c>
      <c r="X272" s="10" t="str">
        <f>IFERROR(_xlfn.XLOOKUP($A272,Input_Raw!$E:$E,Input_Raw!BG:BG),"")</f>
        <v/>
      </c>
      <c r="Y272" s="10" t="str">
        <f>IFERROR(_xlfn.XLOOKUP($A272,Input_Raw!$E:$E,Input_Raw!DF:DF),"")</f>
        <v/>
      </c>
      <c r="Z272" s="319" t="str">
        <f>IFERROR(_xlfn.XLOOKUP(A272,Input_Raw!E:E,Input_Raw!CT:CT)/_xlfn.XLOOKUP(A272,Input_Raw!E:E,Input_Raw!CS:CS)*Table13[[#This Row],[Mtr_Export (kWh)]],"")</f>
        <v/>
      </c>
      <c r="AA272" s="43" t="str">
        <f t="shared" si="28"/>
        <v/>
      </c>
      <c r="AB272" s="10" t="str">
        <f>IFERROR(_xlfn.XLOOKUP($A272,Input_Raw!$E:$E,Input_Raw!$CZ:$CZ),"")</f>
        <v/>
      </c>
      <c r="AC272" s="313">
        <f>IFERROR(_xlfn.XLOOKUP($D272,'Modelling New'!$D:$D,'Modelling New'!$J:$J),"")</f>
        <v>7.0533420977422105</v>
      </c>
      <c r="AD272" s="43">
        <f>IFERROR(_xlfn.XLOOKUP($D272,'Modelling New'!$D:$D,'Modelling New'!$T:$T)*1000,"")</f>
        <v>441856.45161290321</v>
      </c>
      <c r="AE272" s="312"/>
      <c r="AF272" s="312">
        <f>IFERROR(_xlfn.XLOOKUP($D272,'Modelling New'!$D:$D,'Modelling New'!$W:$W),"")</f>
        <v>0.36384753920693619</v>
      </c>
      <c r="AG272" s="312">
        <f>IFERROR(_xlfn.XLOOKUP($D272,'Modelling New'!$D:$D,'Modelling New'!$AE:$AE),"")</f>
        <v>0.95549849999999992</v>
      </c>
      <c r="AH272" s="312">
        <f>IFERROR(_xlfn.XLOOKUP($D272,'Modelling New'!$D:$D,'Modelling New'!$AF:$AF),"")</f>
        <v>0.995</v>
      </c>
      <c r="AI272" s="10" t="str">
        <f>IFERROR(_xlfn.XLOOKUP($A272,Input_Raw!$E:$E,Input_Raw!$DG:$DG),"")</f>
        <v/>
      </c>
      <c r="AJ272" s="10"/>
      <c r="AK272" s="10"/>
      <c r="AL272" s="10"/>
      <c r="AM272" s="10"/>
      <c r="AN272" s="314" t="str">
        <f>IFERROR(_xlfn.XLOOKUP($A272,Input_Raw!$E:$E,Input_Raw!$CY:$CY),"")</f>
        <v/>
      </c>
      <c r="AO272" s="312" t="str">
        <f>IFERROR((_xlfn.XLOOKUP($A272,'WTG Reactive Power'!$A:$A,'WTG Reactive Power'!AB:AB))/X272,"")</f>
        <v/>
      </c>
      <c r="AP272" s="312">
        <f>IFERROR(_xlfn.XLOOKUP($D272,'Modelling New'!$D:$D,'Modelling New'!AK:AK),"")</f>
        <v>0.05</v>
      </c>
      <c r="AQ272" s="312">
        <f>IFERROR(_xlfn.XLOOKUP($D272,'Modelling New'!$D:$D,'Modelling New'!AL:AL),"")</f>
        <v>0.05</v>
      </c>
      <c r="AR272" s="325">
        <f>IFERROR(_xlfn.XLOOKUP($D272,'Modelling New'!$D:$D,'Modelling New'!$N:$N),"")</f>
        <v>50.59999999999998</v>
      </c>
      <c r="AS272" s="325"/>
    </row>
    <row r="273" spans="1:45">
      <c r="A273" s="32">
        <f t="shared" si="29"/>
        <v>46016</v>
      </c>
      <c r="B273" s="43">
        <f>YEAR(Table13[[#This Row],[Date]])+IF(MONTH(Table13[[#This Row],[Date]])&gt;=4,1,0)</f>
        <v>2026</v>
      </c>
      <c r="C273" s="10">
        <f>YEAR(Table13[[#This Row],[Date]])</f>
        <v>2025</v>
      </c>
      <c r="D273" s="309">
        <f>Table13[[#This Row],[Date]]-DAY(Table13[[#This Row],[Date]])+1</f>
        <v>45992</v>
      </c>
      <c r="E273" s="10">
        <f t="shared" si="25"/>
        <v>31</v>
      </c>
      <c r="F273" s="241" t="str">
        <f>IFERROR(_xlfn.XLOOKUP($A273,Input_Raw!$E:$E,Input_Raw!DC:DC),"")</f>
        <v/>
      </c>
      <c r="G273" s="242"/>
      <c r="H273" s="242"/>
      <c r="I273" s="242"/>
      <c r="J273" s="242"/>
      <c r="K273" s="243"/>
      <c r="L273" s="242"/>
      <c r="M273" s="242" t="str">
        <f>IFERROR(_xlfn.XLOOKUP($A273,Input_Raw!$E:$E,Input_Raw!$BM:$BM),"")</f>
        <v/>
      </c>
      <c r="N273" s="242" t="str">
        <f>IFERROR(_xlfn.XLOOKUP($A273,Input_Raw!$E:$E,Input_Raw!$BN:$BN),"")</f>
        <v/>
      </c>
      <c r="O273" s="311" t="str">
        <f t="shared" si="26"/>
        <v/>
      </c>
      <c r="P273" s="311" t="str">
        <f>IFERROR(1-SUMIF(WTG_BD!$F:$F,$A273,WTG_BD!$AA:$AA)/($AA273+SUMIF(WTG_BD!$F:$F,$A273,WTG_BD!$AA:$AA)),"")</f>
        <v/>
      </c>
      <c r="Q273" s="328" t="str">
        <f>IFERROR(1-SUMIF(IGA_BD!$F:$F,$A273,IGA_BD!$W:$W)/($AA273+SUMIF(IGA_BD!$F:$F,$A273,IGA_BD!$W:$W)),"")</f>
        <v/>
      </c>
      <c r="R273" s="311" t="str">
        <f>IFERROR(1-SUMIF(Grid_BD!$F:$F,$A273,Grid_BD!$Y:$Y)/($AA273+SUMIF(Grid_BD!$F:$F,$A273,Grid_BD!$Y:$Y)),"")</f>
        <v/>
      </c>
      <c r="S273" s="10"/>
      <c r="T273" s="310"/>
      <c r="U273" s="311"/>
      <c r="V273" s="10"/>
      <c r="W273" s="312" t="str">
        <f t="shared" si="27"/>
        <v/>
      </c>
      <c r="X273" s="10" t="str">
        <f>IFERROR(_xlfn.XLOOKUP($A273,Input_Raw!$E:$E,Input_Raw!BG:BG),"")</f>
        <v/>
      </c>
      <c r="Y273" s="10" t="str">
        <f>IFERROR(_xlfn.XLOOKUP($A273,Input_Raw!$E:$E,Input_Raw!DF:DF),"")</f>
        <v/>
      </c>
      <c r="Z273" s="319" t="str">
        <f>IFERROR(_xlfn.XLOOKUP(A273,Input_Raw!E:E,Input_Raw!CT:CT)/_xlfn.XLOOKUP(A273,Input_Raw!E:E,Input_Raw!CS:CS)*Table13[[#This Row],[Mtr_Export (kWh)]],"")</f>
        <v/>
      </c>
      <c r="AA273" s="43" t="str">
        <f t="shared" si="28"/>
        <v/>
      </c>
      <c r="AB273" s="10" t="str">
        <f>IFERROR(_xlfn.XLOOKUP($A273,Input_Raw!$E:$E,Input_Raw!$CZ:$CZ),"")</f>
        <v/>
      </c>
      <c r="AC273" s="313">
        <f>IFERROR(_xlfn.XLOOKUP($D273,'Modelling New'!$D:$D,'Modelling New'!$J:$J),"")</f>
        <v>7.0533420977422105</v>
      </c>
      <c r="AD273" s="43">
        <f>IFERROR(_xlfn.XLOOKUP($D273,'Modelling New'!$D:$D,'Modelling New'!$T:$T)*1000,"")</f>
        <v>441856.45161290321</v>
      </c>
      <c r="AE273" s="312"/>
      <c r="AF273" s="312">
        <f>IFERROR(_xlfn.XLOOKUP($D273,'Modelling New'!$D:$D,'Modelling New'!$W:$W),"")</f>
        <v>0.36384753920693619</v>
      </c>
      <c r="AG273" s="312">
        <f>IFERROR(_xlfn.XLOOKUP($D273,'Modelling New'!$D:$D,'Modelling New'!$AE:$AE),"")</f>
        <v>0.95549849999999992</v>
      </c>
      <c r="AH273" s="312">
        <f>IFERROR(_xlfn.XLOOKUP($D273,'Modelling New'!$D:$D,'Modelling New'!$AF:$AF),"")</f>
        <v>0.995</v>
      </c>
      <c r="AI273" s="10" t="str">
        <f>IFERROR(_xlfn.XLOOKUP($A273,Input_Raw!$E:$E,Input_Raw!$DG:$DG),"")</f>
        <v/>
      </c>
      <c r="AJ273" s="10"/>
      <c r="AK273" s="10"/>
      <c r="AL273" s="10"/>
      <c r="AM273" s="10"/>
      <c r="AN273" s="314" t="str">
        <f>IFERROR(_xlfn.XLOOKUP($A273,Input_Raw!$E:$E,Input_Raw!$CY:$CY),"")</f>
        <v/>
      </c>
      <c r="AO273" s="312" t="str">
        <f>IFERROR((_xlfn.XLOOKUP($A273,'WTG Reactive Power'!$A:$A,'WTG Reactive Power'!AB:AB))/X273,"")</f>
        <v/>
      </c>
      <c r="AP273" s="312">
        <f>IFERROR(_xlfn.XLOOKUP($D273,'Modelling New'!$D:$D,'Modelling New'!AK:AK),"")</f>
        <v>0.05</v>
      </c>
      <c r="AQ273" s="312">
        <f>IFERROR(_xlfn.XLOOKUP($D273,'Modelling New'!$D:$D,'Modelling New'!AL:AL),"")</f>
        <v>0.05</v>
      </c>
      <c r="AR273" s="325">
        <f>IFERROR(_xlfn.XLOOKUP($D273,'Modelling New'!$D:$D,'Modelling New'!$N:$N),"")</f>
        <v>50.59999999999998</v>
      </c>
      <c r="AS273" s="325"/>
    </row>
    <row r="274" spans="1:45">
      <c r="A274" s="32">
        <f t="shared" si="29"/>
        <v>46017</v>
      </c>
      <c r="B274" s="43">
        <f>YEAR(Table13[[#This Row],[Date]])+IF(MONTH(Table13[[#This Row],[Date]])&gt;=4,1,0)</f>
        <v>2026</v>
      </c>
      <c r="C274" s="10">
        <f>YEAR(Table13[[#This Row],[Date]])</f>
        <v>2025</v>
      </c>
      <c r="D274" s="309">
        <f>Table13[[#This Row],[Date]]-DAY(Table13[[#This Row],[Date]])+1</f>
        <v>45992</v>
      </c>
      <c r="E274" s="10">
        <f t="shared" si="25"/>
        <v>31</v>
      </c>
      <c r="F274" s="241" t="str">
        <f>IFERROR(_xlfn.XLOOKUP($A274,Input_Raw!$E:$E,Input_Raw!DC:DC),"")</f>
        <v/>
      </c>
      <c r="G274" s="313"/>
      <c r="H274" s="313"/>
      <c r="I274" s="313"/>
      <c r="J274" s="313"/>
      <c r="K274" s="243"/>
      <c r="L274" s="242"/>
      <c r="M274" s="242" t="str">
        <f>IFERROR(_xlfn.XLOOKUP($A274,Input_Raw!$E:$E,Input_Raw!$BM:$BM),"")</f>
        <v/>
      </c>
      <c r="N274" s="242" t="str">
        <f>IFERROR(_xlfn.XLOOKUP($A274,Input_Raw!$E:$E,Input_Raw!$BN:$BN),"")</f>
        <v/>
      </c>
      <c r="O274" s="311" t="str">
        <f t="shared" si="26"/>
        <v/>
      </c>
      <c r="P274" s="311" t="str">
        <f>IFERROR(1-SUMIF(WTG_BD!$F:$F,$A274,WTG_BD!$AA:$AA)/($AA274+SUMIF(WTG_BD!$F:$F,$A274,WTG_BD!$AA:$AA)),"")</f>
        <v/>
      </c>
      <c r="Q274" s="328" t="str">
        <f>IFERROR(1-SUMIF(IGA_BD!$F:$F,$A274,IGA_BD!$W:$W)/($AA274+SUMIF(IGA_BD!$F:$F,$A274,IGA_BD!$W:$W)),"")</f>
        <v/>
      </c>
      <c r="R274" s="47" t="str">
        <f>IFERROR(1-SUMIF(Grid_BD!$F:$F,$A274,Grid_BD!$Y:$Y)/($AA274+SUMIF(Grid_BD!$F:$F,$A274,Grid_BD!$Y:$Y)),"")</f>
        <v/>
      </c>
      <c r="S274" s="10"/>
      <c r="T274" s="310"/>
      <c r="U274" s="311"/>
      <c r="V274" s="10"/>
      <c r="W274" s="312" t="str">
        <f t="shared" si="27"/>
        <v/>
      </c>
      <c r="X274" s="10" t="str">
        <f>IFERROR(_xlfn.XLOOKUP($A274,Input_Raw!$E:$E,Input_Raw!BG:BG),"")</f>
        <v/>
      </c>
      <c r="Y274" s="10" t="str">
        <f>IFERROR(_xlfn.XLOOKUP($A274,Input_Raw!$E:$E,Input_Raw!DF:DF),"")</f>
        <v/>
      </c>
      <c r="Z274" s="319" t="str">
        <f>IFERROR(_xlfn.XLOOKUP(A274,Input_Raw!E:E,Input_Raw!CT:CT)/_xlfn.XLOOKUP(A274,Input_Raw!E:E,Input_Raw!CS:CS)*Table13[[#This Row],[Mtr_Export (kWh)]],"")</f>
        <v/>
      </c>
      <c r="AA274" s="43" t="str">
        <f t="shared" si="28"/>
        <v/>
      </c>
      <c r="AB274" s="10" t="str">
        <f>IFERROR(_xlfn.XLOOKUP($A274,Input_Raw!$E:$E,Input_Raw!$CZ:$CZ),"")</f>
        <v/>
      </c>
      <c r="AC274" s="313">
        <f>IFERROR(_xlfn.XLOOKUP($D274,'Modelling New'!$D:$D,'Modelling New'!$J:$J),"")</f>
        <v>7.0533420977422105</v>
      </c>
      <c r="AD274" s="43">
        <f>IFERROR(_xlfn.XLOOKUP($D274,'Modelling New'!$D:$D,'Modelling New'!$T:$T)*1000,"")</f>
        <v>441856.45161290321</v>
      </c>
      <c r="AE274" s="312"/>
      <c r="AF274" s="312">
        <f>IFERROR(_xlfn.XLOOKUP($D274,'Modelling New'!$D:$D,'Modelling New'!$W:$W),"")</f>
        <v>0.36384753920693619</v>
      </c>
      <c r="AG274" s="312">
        <f>IFERROR(_xlfn.XLOOKUP($D274,'Modelling New'!$D:$D,'Modelling New'!$AE:$AE),"")</f>
        <v>0.95549849999999992</v>
      </c>
      <c r="AH274" s="312">
        <f>IFERROR(_xlfn.XLOOKUP($D274,'Modelling New'!$D:$D,'Modelling New'!$AF:$AF),"")</f>
        <v>0.995</v>
      </c>
      <c r="AI274" s="10" t="str">
        <f>IFERROR(_xlfn.XLOOKUP($A274,Input_Raw!$E:$E,Input_Raw!$DG:$DG),"")</f>
        <v/>
      </c>
      <c r="AJ274" s="10"/>
      <c r="AK274" s="10"/>
      <c r="AL274" s="10"/>
      <c r="AM274" s="10"/>
      <c r="AN274" s="314" t="str">
        <f>IFERROR(_xlfn.XLOOKUP($A274,Input_Raw!$E:$E,Input_Raw!$CY:$CY),"")</f>
        <v/>
      </c>
      <c r="AO274" s="312" t="str">
        <f>IFERROR((_xlfn.XLOOKUP($A274,'WTG Reactive Power'!$A:$A,'WTG Reactive Power'!AB:AB))/X274,"")</f>
        <v/>
      </c>
      <c r="AP274" s="312">
        <f>IFERROR(_xlfn.XLOOKUP($D274,'Modelling New'!$D:$D,'Modelling New'!AK:AK),"")</f>
        <v>0.05</v>
      </c>
      <c r="AQ274" s="312">
        <f>IFERROR(_xlfn.XLOOKUP($D274,'Modelling New'!$D:$D,'Modelling New'!AL:AL),"")</f>
        <v>0.05</v>
      </c>
      <c r="AR274" s="325">
        <f>IFERROR(_xlfn.XLOOKUP($D274,'Modelling New'!$D:$D,'Modelling New'!$N:$N),"")</f>
        <v>50.59999999999998</v>
      </c>
      <c r="AS274" s="325"/>
    </row>
    <row r="275" spans="1:45">
      <c r="A275" s="32">
        <f t="shared" si="29"/>
        <v>46018</v>
      </c>
      <c r="B275" s="43">
        <f>YEAR(Table13[[#This Row],[Date]])+IF(MONTH(Table13[[#This Row],[Date]])&gt;=4,1,0)</f>
        <v>2026</v>
      </c>
      <c r="C275" s="10">
        <f>YEAR(Table13[[#This Row],[Date]])</f>
        <v>2025</v>
      </c>
      <c r="D275" s="309">
        <f>Table13[[#This Row],[Date]]-DAY(Table13[[#This Row],[Date]])+1</f>
        <v>45992</v>
      </c>
      <c r="E275" s="10">
        <f t="shared" si="25"/>
        <v>31</v>
      </c>
      <c r="F275" s="241" t="str">
        <f>IFERROR(_xlfn.XLOOKUP($A275,Input_Raw!$E:$E,Input_Raw!DC:DC),"")</f>
        <v/>
      </c>
      <c r="G275" s="242"/>
      <c r="H275" s="242"/>
      <c r="I275" s="242"/>
      <c r="J275" s="242"/>
      <c r="K275" s="243"/>
      <c r="L275" s="242"/>
      <c r="M275" s="242" t="str">
        <f>IFERROR(_xlfn.XLOOKUP($A275,Input_Raw!$E:$E,Input_Raw!$BM:$BM),"")</f>
        <v/>
      </c>
      <c r="N275" s="242" t="str">
        <f>IFERROR(_xlfn.XLOOKUP($A275,Input_Raw!$E:$E,Input_Raw!$BN:$BN),"")</f>
        <v/>
      </c>
      <c r="O275" s="311" t="str">
        <f t="shared" si="26"/>
        <v/>
      </c>
      <c r="P275" s="311" t="str">
        <f>IFERROR(1-SUMIF(WTG_BD!$F:$F,$A275,WTG_BD!$AA:$AA)/($AA275+SUMIF(WTG_BD!$F:$F,$A275,WTG_BD!$AA:$AA)),"")</f>
        <v/>
      </c>
      <c r="Q275" s="328" t="str">
        <f>IFERROR(1-SUMIF(IGA_BD!$F:$F,$A275,IGA_BD!$W:$W)/($AA275+SUMIF(IGA_BD!$F:$F,$A275,IGA_BD!$W:$W)),"")</f>
        <v/>
      </c>
      <c r="R275" s="311" t="str">
        <f>IFERROR(1-SUMIF(Grid_BD!$F:$F,$A275,Grid_BD!$Y:$Y)/($AA275+SUMIF(Grid_BD!$F:$F,$A275,Grid_BD!$Y:$Y)),"")</f>
        <v/>
      </c>
      <c r="S275" s="10"/>
      <c r="T275" s="310"/>
      <c r="U275" s="311"/>
      <c r="V275" s="10"/>
      <c r="W275" s="312" t="str">
        <f t="shared" si="27"/>
        <v/>
      </c>
      <c r="X275" s="10" t="str">
        <f>IFERROR(_xlfn.XLOOKUP($A275,Input_Raw!$E:$E,Input_Raw!BG:BG),"")</f>
        <v/>
      </c>
      <c r="Y275" s="10" t="str">
        <f>IFERROR(_xlfn.XLOOKUP($A275,Input_Raw!$E:$E,Input_Raw!DF:DF),"")</f>
        <v/>
      </c>
      <c r="Z275" s="319" t="str">
        <f>IFERROR(_xlfn.XLOOKUP(A275,Input_Raw!E:E,Input_Raw!CT:CT)/_xlfn.XLOOKUP(A275,Input_Raw!E:E,Input_Raw!CS:CS)*Table13[[#This Row],[Mtr_Export (kWh)]],"")</f>
        <v/>
      </c>
      <c r="AA275" s="43" t="str">
        <f t="shared" si="28"/>
        <v/>
      </c>
      <c r="AB275" s="10" t="str">
        <f>IFERROR(_xlfn.XLOOKUP($A275,Input_Raw!$E:$E,Input_Raw!$CZ:$CZ),"")</f>
        <v/>
      </c>
      <c r="AC275" s="313">
        <f>IFERROR(_xlfn.XLOOKUP($D275,'Modelling New'!$D:$D,'Modelling New'!$J:$J),"")</f>
        <v>7.0533420977422105</v>
      </c>
      <c r="AD275" s="43">
        <f>IFERROR(_xlfn.XLOOKUP($D275,'Modelling New'!$D:$D,'Modelling New'!$T:$T)*1000,"")</f>
        <v>441856.45161290321</v>
      </c>
      <c r="AE275" s="312"/>
      <c r="AF275" s="312">
        <f>IFERROR(_xlfn.XLOOKUP($D275,'Modelling New'!$D:$D,'Modelling New'!$W:$W),"")</f>
        <v>0.36384753920693619</v>
      </c>
      <c r="AG275" s="312">
        <f>IFERROR(_xlfn.XLOOKUP($D275,'Modelling New'!$D:$D,'Modelling New'!$AE:$AE),"")</f>
        <v>0.95549849999999992</v>
      </c>
      <c r="AH275" s="312">
        <f>IFERROR(_xlfn.XLOOKUP($D275,'Modelling New'!$D:$D,'Modelling New'!$AF:$AF),"")</f>
        <v>0.995</v>
      </c>
      <c r="AI275" s="10" t="str">
        <f>IFERROR(_xlfn.XLOOKUP($A275,Input_Raw!$E:$E,Input_Raw!$DG:$DG),"")</f>
        <v/>
      </c>
      <c r="AJ275" s="10"/>
      <c r="AK275" s="10"/>
      <c r="AL275" s="10"/>
      <c r="AM275" s="10"/>
      <c r="AN275" s="314" t="str">
        <f>IFERROR(_xlfn.XLOOKUP($A275,Input_Raw!$E:$E,Input_Raw!$CY:$CY),"")</f>
        <v/>
      </c>
      <c r="AO275" s="312" t="str">
        <f>IFERROR((_xlfn.XLOOKUP($A275,'WTG Reactive Power'!$A:$A,'WTG Reactive Power'!AB:AB))/X275,"")</f>
        <v/>
      </c>
      <c r="AP275" s="312">
        <f>IFERROR(_xlfn.XLOOKUP($D275,'Modelling New'!$D:$D,'Modelling New'!AK:AK),"")</f>
        <v>0.05</v>
      </c>
      <c r="AQ275" s="312">
        <f>IFERROR(_xlfn.XLOOKUP($D275,'Modelling New'!$D:$D,'Modelling New'!AL:AL),"")</f>
        <v>0.05</v>
      </c>
      <c r="AR275" s="325">
        <f>IFERROR(_xlfn.XLOOKUP($D275,'Modelling New'!$D:$D,'Modelling New'!$N:$N),"")</f>
        <v>50.59999999999998</v>
      </c>
      <c r="AS275" s="325"/>
    </row>
    <row r="276" spans="1:45">
      <c r="A276" s="32">
        <f t="shared" si="29"/>
        <v>46019</v>
      </c>
      <c r="B276" s="43">
        <f>YEAR(Table13[[#This Row],[Date]])+IF(MONTH(Table13[[#This Row],[Date]])&gt;=4,1,0)</f>
        <v>2026</v>
      </c>
      <c r="C276" s="10">
        <f>YEAR(Table13[[#This Row],[Date]])</f>
        <v>2025</v>
      </c>
      <c r="D276" s="309">
        <f>Table13[[#This Row],[Date]]-DAY(Table13[[#This Row],[Date]])+1</f>
        <v>45992</v>
      </c>
      <c r="E276" s="10">
        <f t="shared" si="25"/>
        <v>31</v>
      </c>
      <c r="F276" s="241" t="str">
        <f>IFERROR(_xlfn.XLOOKUP($A276,Input_Raw!$E:$E,Input_Raw!DC:DC),"")</f>
        <v/>
      </c>
      <c r="G276" s="313"/>
      <c r="H276" s="313"/>
      <c r="I276" s="313"/>
      <c r="J276" s="313"/>
      <c r="K276" s="243"/>
      <c r="L276" s="242"/>
      <c r="M276" s="242" t="str">
        <f>IFERROR(_xlfn.XLOOKUP($A276,Input_Raw!$E:$E,Input_Raw!$BM:$BM),"")</f>
        <v/>
      </c>
      <c r="N276" s="242" t="str">
        <f>IFERROR(_xlfn.XLOOKUP($A276,Input_Raw!$E:$E,Input_Raw!$BN:$BN),"")</f>
        <v/>
      </c>
      <c r="O276" s="311" t="str">
        <f t="shared" si="26"/>
        <v/>
      </c>
      <c r="P276" s="311" t="str">
        <f>IFERROR(1-SUMIF(WTG_BD!$F:$F,$A276,WTG_BD!$AA:$AA)/($AA276+SUMIF(WTG_BD!$F:$F,$A276,WTG_BD!$AA:$AA)),"")</f>
        <v/>
      </c>
      <c r="Q276" s="328" t="str">
        <f>IFERROR(1-SUMIF(IGA_BD!$F:$F,$A276,IGA_BD!$W:$W)/($AA276+SUMIF(IGA_BD!$F:$F,$A276,IGA_BD!$W:$W)),"")</f>
        <v/>
      </c>
      <c r="R276" s="47" t="str">
        <f>IFERROR(1-SUMIF(Grid_BD!$F:$F,$A276,Grid_BD!$Y:$Y)/($AA276+SUMIF(Grid_BD!$F:$F,$A276,Grid_BD!$Y:$Y)),"")</f>
        <v/>
      </c>
      <c r="S276" s="10"/>
      <c r="T276" s="310"/>
      <c r="U276" s="311"/>
      <c r="V276" s="10"/>
      <c r="W276" s="312" t="str">
        <f t="shared" si="27"/>
        <v/>
      </c>
      <c r="X276" s="10" t="str">
        <f>IFERROR(_xlfn.XLOOKUP($A276,Input_Raw!$E:$E,Input_Raw!BG:BG),"")</f>
        <v/>
      </c>
      <c r="Y276" s="10" t="str">
        <f>IFERROR(_xlfn.XLOOKUP($A276,Input_Raw!$E:$E,Input_Raw!DF:DF),"")</f>
        <v/>
      </c>
      <c r="Z276" s="319" t="str">
        <f>IFERROR(_xlfn.XLOOKUP(A276,Input_Raw!E:E,Input_Raw!CT:CT)/_xlfn.XLOOKUP(A276,Input_Raw!E:E,Input_Raw!CS:CS)*Table13[[#This Row],[Mtr_Export (kWh)]],"")</f>
        <v/>
      </c>
      <c r="AA276" s="43" t="str">
        <f t="shared" si="28"/>
        <v/>
      </c>
      <c r="AB276" s="10" t="str">
        <f>IFERROR(_xlfn.XLOOKUP($A276,Input_Raw!$E:$E,Input_Raw!$CZ:$CZ),"")</f>
        <v/>
      </c>
      <c r="AC276" s="313">
        <f>IFERROR(_xlfn.XLOOKUP($D276,'Modelling New'!$D:$D,'Modelling New'!$J:$J),"")</f>
        <v>7.0533420977422105</v>
      </c>
      <c r="AD276" s="43">
        <f>IFERROR(_xlfn.XLOOKUP($D276,'Modelling New'!$D:$D,'Modelling New'!$T:$T)*1000,"")</f>
        <v>441856.45161290321</v>
      </c>
      <c r="AE276" s="312"/>
      <c r="AF276" s="312">
        <f>IFERROR(_xlfn.XLOOKUP($D276,'Modelling New'!$D:$D,'Modelling New'!$W:$W),"")</f>
        <v>0.36384753920693619</v>
      </c>
      <c r="AG276" s="312">
        <f>IFERROR(_xlfn.XLOOKUP($D276,'Modelling New'!$D:$D,'Modelling New'!$AE:$AE),"")</f>
        <v>0.95549849999999992</v>
      </c>
      <c r="AH276" s="312">
        <f>IFERROR(_xlfn.XLOOKUP($D276,'Modelling New'!$D:$D,'Modelling New'!$AF:$AF),"")</f>
        <v>0.995</v>
      </c>
      <c r="AI276" s="10" t="str">
        <f>IFERROR(_xlfn.XLOOKUP($A276,Input_Raw!$E:$E,Input_Raw!$DG:$DG),"")</f>
        <v/>
      </c>
      <c r="AJ276" s="10"/>
      <c r="AK276" s="10"/>
      <c r="AL276" s="10"/>
      <c r="AM276" s="10"/>
      <c r="AN276" s="314" t="str">
        <f>IFERROR(_xlfn.XLOOKUP($A276,Input_Raw!$E:$E,Input_Raw!$CY:$CY),"")</f>
        <v/>
      </c>
      <c r="AO276" s="312" t="str">
        <f>IFERROR((_xlfn.XLOOKUP($A276,'WTG Reactive Power'!$A:$A,'WTG Reactive Power'!AB:AB))/X276,"")</f>
        <v/>
      </c>
      <c r="AP276" s="312">
        <f>IFERROR(_xlfn.XLOOKUP($D276,'Modelling New'!$D:$D,'Modelling New'!AK:AK),"")</f>
        <v>0.05</v>
      </c>
      <c r="AQ276" s="312">
        <f>IFERROR(_xlfn.XLOOKUP($D276,'Modelling New'!$D:$D,'Modelling New'!AL:AL),"")</f>
        <v>0.05</v>
      </c>
      <c r="AR276" s="325">
        <f>IFERROR(_xlfn.XLOOKUP($D276,'Modelling New'!$D:$D,'Modelling New'!$N:$N),"")</f>
        <v>50.59999999999998</v>
      </c>
      <c r="AS276" s="325"/>
    </row>
    <row r="277" spans="1:45">
      <c r="A277" s="32">
        <f t="shared" si="29"/>
        <v>46020</v>
      </c>
      <c r="B277" s="43">
        <f>YEAR(Table13[[#This Row],[Date]])+IF(MONTH(Table13[[#This Row],[Date]])&gt;=4,1,0)</f>
        <v>2026</v>
      </c>
      <c r="C277" s="10">
        <f>YEAR(Table13[[#This Row],[Date]])</f>
        <v>2025</v>
      </c>
      <c r="D277" s="309">
        <f>Table13[[#This Row],[Date]]-DAY(Table13[[#This Row],[Date]])+1</f>
        <v>45992</v>
      </c>
      <c r="E277" s="10">
        <f t="shared" si="25"/>
        <v>31</v>
      </c>
      <c r="F277" s="241" t="str">
        <f>IFERROR(_xlfn.XLOOKUP($A277,Input_Raw!$E:$E,Input_Raw!DC:DC),"")</f>
        <v/>
      </c>
      <c r="G277" s="242"/>
      <c r="H277" s="242"/>
      <c r="I277" s="242"/>
      <c r="J277" s="242"/>
      <c r="K277" s="243"/>
      <c r="L277" s="242"/>
      <c r="M277" s="242" t="str">
        <f>IFERROR(_xlfn.XLOOKUP($A277,Input_Raw!$E:$E,Input_Raw!$BM:$BM),"")</f>
        <v/>
      </c>
      <c r="N277" s="242" t="str">
        <f>IFERROR(_xlfn.XLOOKUP($A277,Input_Raw!$E:$E,Input_Raw!$BN:$BN),"")</f>
        <v/>
      </c>
      <c r="O277" s="311" t="str">
        <f t="shared" si="26"/>
        <v/>
      </c>
      <c r="P277" s="311" t="str">
        <f>IFERROR(1-SUMIF(WTG_BD!$F:$F,$A277,WTG_BD!$AA:$AA)/($AA277+SUMIF(WTG_BD!$F:$F,$A277,WTG_BD!$AA:$AA)),"")</f>
        <v/>
      </c>
      <c r="Q277" s="328" t="str">
        <f>IFERROR(1-SUMIF(IGA_BD!$F:$F,$A277,IGA_BD!$W:$W)/($AA277+SUMIF(IGA_BD!$F:$F,$A277,IGA_BD!$W:$W)),"")</f>
        <v/>
      </c>
      <c r="R277" s="311" t="str">
        <f>IFERROR(1-SUMIF(Grid_BD!$F:$F,$A277,Grid_BD!$Y:$Y)/($AA277+SUMIF(Grid_BD!$F:$F,$A277,Grid_BD!$Y:$Y)),"")</f>
        <v/>
      </c>
      <c r="S277" s="10"/>
      <c r="T277" s="310"/>
      <c r="U277" s="311"/>
      <c r="V277" s="10"/>
      <c r="W277" s="312" t="str">
        <f t="shared" si="27"/>
        <v/>
      </c>
      <c r="X277" s="10" t="str">
        <f>IFERROR(_xlfn.XLOOKUP($A277,Input_Raw!$E:$E,Input_Raw!BG:BG),"")</f>
        <v/>
      </c>
      <c r="Y277" s="10" t="str">
        <f>IFERROR(_xlfn.XLOOKUP($A277,Input_Raw!$E:$E,Input_Raw!DF:DF),"")</f>
        <v/>
      </c>
      <c r="Z277" s="319" t="str">
        <f>IFERROR(_xlfn.XLOOKUP(A277,Input_Raw!E:E,Input_Raw!CT:CT)/_xlfn.XLOOKUP(A277,Input_Raw!E:E,Input_Raw!CS:CS)*Table13[[#This Row],[Mtr_Export (kWh)]],"")</f>
        <v/>
      </c>
      <c r="AA277" s="43" t="str">
        <f t="shared" si="28"/>
        <v/>
      </c>
      <c r="AB277" s="10" t="str">
        <f>IFERROR(_xlfn.XLOOKUP($A277,Input_Raw!$E:$E,Input_Raw!$CZ:$CZ),"")</f>
        <v/>
      </c>
      <c r="AC277" s="313">
        <f>IFERROR(_xlfn.XLOOKUP($D277,'Modelling New'!$D:$D,'Modelling New'!$J:$J),"")</f>
        <v>7.0533420977422105</v>
      </c>
      <c r="AD277" s="43">
        <f>IFERROR(_xlfn.XLOOKUP($D277,'Modelling New'!$D:$D,'Modelling New'!$T:$T)*1000,"")</f>
        <v>441856.45161290321</v>
      </c>
      <c r="AE277" s="312"/>
      <c r="AF277" s="312">
        <f>IFERROR(_xlfn.XLOOKUP($D277,'Modelling New'!$D:$D,'Modelling New'!$W:$W),"")</f>
        <v>0.36384753920693619</v>
      </c>
      <c r="AG277" s="312">
        <f>IFERROR(_xlfn.XLOOKUP($D277,'Modelling New'!$D:$D,'Modelling New'!$AE:$AE),"")</f>
        <v>0.95549849999999992</v>
      </c>
      <c r="AH277" s="312">
        <f>IFERROR(_xlfn.XLOOKUP($D277,'Modelling New'!$D:$D,'Modelling New'!$AF:$AF),"")</f>
        <v>0.995</v>
      </c>
      <c r="AI277" s="10" t="str">
        <f>IFERROR(_xlfn.XLOOKUP($A277,Input_Raw!$E:$E,Input_Raw!$DG:$DG),"")</f>
        <v/>
      </c>
      <c r="AJ277" s="10"/>
      <c r="AK277" s="10"/>
      <c r="AL277" s="10"/>
      <c r="AM277" s="10"/>
      <c r="AN277" s="314" t="str">
        <f>IFERROR(_xlfn.XLOOKUP($A277,Input_Raw!$E:$E,Input_Raw!$CY:$CY),"")</f>
        <v/>
      </c>
      <c r="AO277" s="312" t="str">
        <f>IFERROR((_xlfn.XLOOKUP($A277,'WTG Reactive Power'!$A:$A,'WTG Reactive Power'!AB:AB))/X277,"")</f>
        <v/>
      </c>
      <c r="AP277" s="312">
        <f>IFERROR(_xlfn.XLOOKUP($D277,'Modelling New'!$D:$D,'Modelling New'!AK:AK),"")</f>
        <v>0.05</v>
      </c>
      <c r="AQ277" s="312">
        <f>IFERROR(_xlfn.XLOOKUP($D277,'Modelling New'!$D:$D,'Modelling New'!AL:AL),"")</f>
        <v>0.05</v>
      </c>
      <c r="AR277" s="325">
        <f>IFERROR(_xlfn.XLOOKUP($D277,'Modelling New'!$D:$D,'Modelling New'!$N:$N),"")</f>
        <v>50.59999999999998</v>
      </c>
      <c r="AS277" s="325"/>
    </row>
    <row r="278" spans="1:45">
      <c r="A278" s="32">
        <f t="shared" si="29"/>
        <v>46021</v>
      </c>
      <c r="B278" s="43">
        <f>YEAR(Table13[[#This Row],[Date]])+IF(MONTH(Table13[[#This Row],[Date]])&gt;=4,1,0)</f>
        <v>2026</v>
      </c>
      <c r="C278" s="10">
        <f>YEAR(Table13[[#This Row],[Date]])</f>
        <v>2025</v>
      </c>
      <c r="D278" s="309">
        <f>Table13[[#This Row],[Date]]-DAY(Table13[[#This Row],[Date]])+1</f>
        <v>45992</v>
      </c>
      <c r="E278" s="10">
        <f t="shared" si="25"/>
        <v>31</v>
      </c>
      <c r="F278" s="241" t="str">
        <f>IFERROR(_xlfn.XLOOKUP($A278,Input_Raw!$E:$E,Input_Raw!DC:DC),"")</f>
        <v/>
      </c>
      <c r="G278" s="313"/>
      <c r="H278" s="313"/>
      <c r="I278" s="313"/>
      <c r="J278" s="313"/>
      <c r="K278" s="243"/>
      <c r="L278" s="242"/>
      <c r="M278" s="242" t="str">
        <f>IFERROR(_xlfn.XLOOKUP($A278,Input_Raw!$E:$E,Input_Raw!$BM:$BM),"")</f>
        <v/>
      </c>
      <c r="N278" s="242" t="str">
        <f>IFERROR(_xlfn.XLOOKUP($A278,Input_Raw!$E:$E,Input_Raw!$BN:$BN),"")</f>
        <v/>
      </c>
      <c r="O278" s="311" t="str">
        <f t="shared" si="26"/>
        <v/>
      </c>
      <c r="P278" s="311" t="str">
        <f>IFERROR(1-SUMIF(WTG_BD!$F:$F,$A278,WTG_BD!$AA:$AA)/($AA278+SUMIF(WTG_BD!$F:$F,$A278,WTG_BD!$AA:$AA)),"")</f>
        <v/>
      </c>
      <c r="Q278" s="328" t="str">
        <f>IFERROR(1-SUMIF(IGA_BD!$F:$F,$A278,IGA_BD!$W:$W)/($AA278+SUMIF(IGA_BD!$F:$F,$A278,IGA_BD!$W:$W)),"")</f>
        <v/>
      </c>
      <c r="R278" s="47" t="str">
        <f>IFERROR(1-SUMIF(Grid_BD!$F:$F,$A278,Grid_BD!$Y:$Y)/($AA278+SUMIF(Grid_BD!$F:$F,$A278,Grid_BD!$Y:$Y)),"")</f>
        <v/>
      </c>
      <c r="S278" s="10"/>
      <c r="T278" s="310"/>
      <c r="U278" s="311"/>
      <c r="V278" s="10"/>
      <c r="W278" s="312" t="str">
        <f t="shared" si="27"/>
        <v/>
      </c>
      <c r="X278" s="10" t="str">
        <f>IFERROR(_xlfn.XLOOKUP($A278,Input_Raw!$E:$E,Input_Raw!BG:BG),"")</f>
        <v/>
      </c>
      <c r="Y278" s="10" t="str">
        <f>IFERROR(_xlfn.XLOOKUP($A278,Input_Raw!$E:$E,Input_Raw!DF:DF),"")</f>
        <v/>
      </c>
      <c r="Z278" s="319" t="str">
        <f>IFERROR(_xlfn.XLOOKUP(A278,Input_Raw!E:E,Input_Raw!CT:CT)/_xlfn.XLOOKUP(A278,Input_Raw!E:E,Input_Raw!CS:CS)*Table13[[#This Row],[Mtr_Export (kWh)]],"")</f>
        <v/>
      </c>
      <c r="AA278" s="43" t="str">
        <f t="shared" si="28"/>
        <v/>
      </c>
      <c r="AB278" s="10" t="str">
        <f>IFERROR(_xlfn.XLOOKUP($A278,Input_Raw!$E:$E,Input_Raw!$CZ:$CZ),"")</f>
        <v/>
      </c>
      <c r="AC278" s="313">
        <f>IFERROR(_xlfn.XLOOKUP($D278,'Modelling New'!$D:$D,'Modelling New'!$J:$J),"")</f>
        <v>7.0533420977422105</v>
      </c>
      <c r="AD278" s="43">
        <f>IFERROR(_xlfn.XLOOKUP($D278,'Modelling New'!$D:$D,'Modelling New'!$T:$T)*1000,"")</f>
        <v>441856.45161290321</v>
      </c>
      <c r="AE278" s="312"/>
      <c r="AF278" s="312">
        <f>IFERROR(_xlfn.XLOOKUP($D278,'Modelling New'!$D:$D,'Modelling New'!$W:$W),"")</f>
        <v>0.36384753920693619</v>
      </c>
      <c r="AG278" s="312">
        <f>IFERROR(_xlfn.XLOOKUP($D278,'Modelling New'!$D:$D,'Modelling New'!$AE:$AE),"")</f>
        <v>0.95549849999999992</v>
      </c>
      <c r="AH278" s="312">
        <f>IFERROR(_xlfn.XLOOKUP($D278,'Modelling New'!$D:$D,'Modelling New'!$AF:$AF),"")</f>
        <v>0.995</v>
      </c>
      <c r="AI278" s="10" t="str">
        <f>IFERROR(_xlfn.XLOOKUP($A278,Input_Raw!$E:$E,Input_Raw!$DG:$DG),"")</f>
        <v/>
      </c>
      <c r="AJ278" s="10"/>
      <c r="AK278" s="10"/>
      <c r="AL278" s="10"/>
      <c r="AM278" s="10"/>
      <c r="AN278" s="314" t="str">
        <f>IFERROR(_xlfn.XLOOKUP($A278,Input_Raw!$E:$E,Input_Raw!$CY:$CY),"")</f>
        <v/>
      </c>
      <c r="AO278" s="312" t="str">
        <f>IFERROR((_xlfn.XLOOKUP($A278,'WTG Reactive Power'!$A:$A,'WTG Reactive Power'!AB:AB))/X278,"")</f>
        <v/>
      </c>
      <c r="AP278" s="312">
        <f>IFERROR(_xlfn.XLOOKUP($D278,'Modelling New'!$D:$D,'Modelling New'!AK:AK),"")</f>
        <v>0.05</v>
      </c>
      <c r="AQ278" s="312">
        <f>IFERROR(_xlfn.XLOOKUP($D278,'Modelling New'!$D:$D,'Modelling New'!AL:AL),"")</f>
        <v>0.05</v>
      </c>
      <c r="AR278" s="325">
        <f>IFERROR(_xlfn.XLOOKUP($D278,'Modelling New'!$D:$D,'Modelling New'!$N:$N),"")</f>
        <v>50.59999999999998</v>
      </c>
      <c r="AS278" s="325"/>
    </row>
    <row r="279" spans="1:45">
      <c r="A279" s="32">
        <f t="shared" si="29"/>
        <v>46022</v>
      </c>
      <c r="B279" s="43">
        <f>YEAR(Table13[[#This Row],[Date]])+IF(MONTH(Table13[[#This Row],[Date]])&gt;=4,1,0)</f>
        <v>2026</v>
      </c>
      <c r="C279" s="10">
        <f>YEAR(Table13[[#This Row],[Date]])</f>
        <v>2025</v>
      </c>
      <c r="D279" s="309">
        <f>Table13[[#This Row],[Date]]-DAY(Table13[[#This Row],[Date]])+1</f>
        <v>45992</v>
      </c>
      <c r="E279" s="10">
        <f t="shared" si="25"/>
        <v>31</v>
      </c>
      <c r="F279" s="241" t="str">
        <f>IFERROR(_xlfn.XLOOKUP($A279,Input_Raw!$E:$E,Input_Raw!DC:DC),"")</f>
        <v/>
      </c>
      <c r="G279" s="242"/>
      <c r="H279" s="242"/>
      <c r="I279" s="242"/>
      <c r="J279" s="242"/>
      <c r="K279" s="243"/>
      <c r="L279" s="242"/>
      <c r="M279" s="242" t="str">
        <f>IFERROR(_xlfn.XLOOKUP($A279,Input_Raw!$E:$E,Input_Raw!$BM:$BM),"")</f>
        <v/>
      </c>
      <c r="N279" s="242" t="str">
        <f>IFERROR(_xlfn.XLOOKUP($A279,Input_Raw!$E:$E,Input_Raw!$BN:$BN),"")</f>
        <v/>
      </c>
      <c r="O279" s="311" t="str">
        <f t="shared" si="26"/>
        <v/>
      </c>
      <c r="P279" s="311" t="str">
        <f>IFERROR(1-SUMIF(WTG_BD!$F:$F,$A279,WTG_BD!$AA:$AA)/($AA279+SUMIF(WTG_BD!$F:$F,$A279,WTG_BD!$AA:$AA)),"")</f>
        <v/>
      </c>
      <c r="Q279" s="328" t="str">
        <f>IFERROR(1-SUMIF(IGA_BD!$F:$F,$A279,IGA_BD!$W:$W)/($AA279+SUMIF(IGA_BD!$F:$F,$A279,IGA_BD!$W:$W)),"")</f>
        <v/>
      </c>
      <c r="R279" s="311" t="str">
        <f>IFERROR(1-SUMIF(Grid_BD!$F:$F,$A279,Grid_BD!$Y:$Y)/($AA279+SUMIF(Grid_BD!$F:$F,$A279,Grid_BD!$Y:$Y)),"")</f>
        <v/>
      </c>
      <c r="S279" s="10"/>
      <c r="T279" s="310"/>
      <c r="U279" s="311"/>
      <c r="V279" s="10"/>
      <c r="W279" s="312" t="str">
        <f t="shared" si="27"/>
        <v/>
      </c>
      <c r="X279" s="10" t="str">
        <f>IFERROR(_xlfn.XLOOKUP($A279,Input_Raw!$E:$E,Input_Raw!BG:BG),"")</f>
        <v/>
      </c>
      <c r="Y279" s="10" t="str">
        <f>IFERROR(_xlfn.XLOOKUP($A279,Input_Raw!$E:$E,Input_Raw!DF:DF),"")</f>
        <v/>
      </c>
      <c r="Z279" s="319" t="str">
        <f>IFERROR(_xlfn.XLOOKUP(A279,Input_Raw!E:E,Input_Raw!CT:CT)/_xlfn.XLOOKUP(A279,Input_Raw!E:E,Input_Raw!CS:CS)*Table13[[#This Row],[Mtr_Export (kWh)]],"")</f>
        <v/>
      </c>
      <c r="AA279" s="43" t="str">
        <f t="shared" si="28"/>
        <v/>
      </c>
      <c r="AB279" s="10" t="str">
        <f>IFERROR(_xlfn.XLOOKUP($A279,Input_Raw!$E:$E,Input_Raw!$CZ:$CZ),"")</f>
        <v/>
      </c>
      <c r="AC279" s="313">
        <f>IFERROR(_xlfn.XLOOKUP($D279,'Modelling New'!$D:$D,'Modelling New'!$J:$J),"")</f>
        <v>7.0533420977422105</v>
      </c>
      <c r="AD279" s="43">
        <f>IFERROR(_xlfn.XLOOKUP($D279,'Modelling New'!$D:$D,'Modelling New'!$T:$T)*1000,"")</f>
        <v>441856.45161290321</v>
      </c>
      <c r="AE279" s="312"/>
      <c r="AF279" s="312">
        <f>IFERROR(_xlfn.XLOOKUP($D279,'Modelling New'!$D:$D,'Modelling New'!$W:$W),"")</f>
        <v>0.36384753920693619</v>
      </c>
      <c r="AG279" s="312">
        <f>IFERROR(_xlfn.XLOOKUP($D279,'Modelling New'!$D:$D,'Modelling New'!$AE:$AE),"")</f>
        <v>0.95549849999999992</v>
      </c>
      <c r="AH279" s="312">
        <f>IFERROR(_xlfn.XLOOKUP($D279,'Modelling New'!$D:$D,'Modelling New'!$AF:$AF),"")</f>
        <v>0.995</v>
      </c>
      <c r="AI279" s="10" t="str">
        <f>IFERROR(_xlfn.XLOOKUP($A279,Input_Raw!$E:$E,Input_Raw!$DG:$DG),"")</f>
        <v/>
      </c>
      <c r="AJ279" s="10"/>
      <c r="AK279" s="10"/>
      <c r="AL279" s="10"/>
      <c r="AM279" s="10"/>
      <c r="AN279" s="314" t="str">
        <f>IFERROR(_xlfn.XLOOKUP($A279,Input_Raw!$E:$E,Input_Raw!$CY:$CY),"")</f>
        <v/>
      </c>
      <c r="AO279" s="312" t="str">
        <f>IFERROR((_xlfn.XLOOKUP($A279,'WTG Reactive Power'!$A:$A,'WTG Reactive Power'!AB:AB))/X279,"")</f>
        <v/>
      </c>
      <c r="AP279" s="312">
        <f>IFERROR(_xlfn.XLOOKUP($D279,'Modelling New'!$D:$D,'Modelling New'!AK:AK),"")</f>
        <v>0.05</v>
      </c>
      <c r="AQ279" s="312">
        <f>IFERROR(_xlfn.XLOOKUP($D279,'Modelling New'!$D:$D,'Modelling New'!AL:AL),"")</f>
        <v>0.05</v>
      </c>
      <c r="AR279" s="325">
        <f>IFERROR(_xlfn.XLOOKUP($D279,'Modelling New'!$D:$D,'Modelling New'!$N:$N),"")</f>
        <v>50.59999999999998</v>
      </c>
      <c r="AS279" s="325"/>
    </row>
    <row r="280" spans="1:45">
      <c r="A280" s="32">
        <f t="shared" si="29"/>
        <v>46023</v>
      </c>
      <c r="B280" s="43">
        <f>YEAR(Table13[[#This Row],[Date]])+IF(MONTH(Table13[[#This Row],[Date]])&gt;=4,1,0)</f>
        <v>2026</v>
      </c>
      <c r="C280" s="10">
        <f>YEAR(Table13[[#This Row],[Date]])</f>
        <v>2026</v>
      </c>
      <c r="D280" s="309">
        <f>Table13[[#This Row],[Date]]-DAY(Table13[[#This Row],[Date]])+1</f>
        <v>46023</v>
      </c>
      <c r="E280" s="10">
        <f t="shared" si="25"/>
        <v>31</v>
      </c>
      <c r="F280" s="241" t="str">
        <f>IFERROR(_xlfn.XLOOKUP($A280,Input_Raw!$E:$E,Input_Raw!DC:DC),"")</f>
        <v/>
      </c>
      <c r="G280" s="313"/>
      <c r="H280" s="313"/>
      <c r="I280" s="313"/>
      <c r="J280" s="313"/>
      <c r="K280" s="243"/>
      <c r="L280" s="242"/>
      <c r="M280" s="242" t="str">
        <f>IFERROR(_xlfn.XLOOKUP($A280,Input_Raw!$E:$E,Input_Raw!$BM:$BM),"")</f>
        <v/>
      </c>
      <c r="N280" s="242" t="str">
        <f>IFERROR(_xlfn.XLOOKUP($A280,Input_Raw!$E:$E,Input_Raw!$BN:$BN),"")</f>
        <v/>
      </c>
      <c r="O280" s="311" t="str">
        <f t="shared" si="26"/>
        <v/>
      </c>
      <c r="P280" s="311" t="str">
        <f>IFERROR(1-SUMIF(WTG_BD!$F:$F,$A280,WTG_BD!$AA:$AA)/($AA280+SUMIF(WTG_BD!$F:$F,$A280,WTG_BD!$AA:$AA)),"")</f>
        <v/>
      </c>
      <c r="Q280" s="328" t="str">
        <f>IFERROR(1-SUMIF(IGA_BD!$F:$F,$A280,IGA_BD!$W:$W)/($AA280+SUMIF(IGA_BD!$F:$F,$A280,IGA_BD!$W:$W)),"")</f>
        <v/>
      </c>
      <c r="R280" s="47" t="str">
        <f>IFERROR(1-SUMIF(Grid_BD!$F:$F,$A280,Grid_BD!$Y:$Y)/($AA280+SUMIF(Grid_BD!$F:$F,$A280,Grid_BD!$Y:$Y)),"")</f>
        <v/>
      </c>
      <c r="S280" s="10"/>
      <c r="T280" s="310"/>
      <c r="U280" s="311"/>
      <c r="V280" s="10"/>
      <c r="W280" s="312" t="str">
        <f t="shared" si="27"/>
        <v/>
      </c>
      <c r="X280" s="10" t="str">
        <f>IFERROR(_xlfn.XLOOKUP($A280,Input_Raw!$E:$E,Input_Raw!BG:BG),"")</f>
        <v/>
      </c>
      <c r="Y280" s="10" t="str">
        <f>IFERROR(_xlfn.XLOOKUP($A280,Input_Raw!$E:$E,Input_Raw!DF:DF),"")</f>
        <v/>
      </c>
      <c r="Z280" s="319" t="str">
        <f>IFERROR(_xlfn.XLOOKUP(A280,Input_Raw!E:E,Input_Raw!CT:CT)/_xlfn.XLOOKUP(A280,Input_Raw!E:E,Input_Raw!CS:CS)*Table13[[#This Row],[Mtr_Export (kWh)]],"")</f>
        <v/>
      </c>
      <c r="AA280" s="43" t="str">
        <f t="shared" si="28"/>
        <v/>
      </c>
      <c r="AB280" s="10" t="str">
        <f>IFERROR(_xlfn.XLOOKUP($A280,Input_Raw!$E:$E,Input_Raw!$CZ:$CZ),"")</f>
        <v/>
      </c>
      <c r="AC280" s="313">
        <f>IFERROR(_xlfn.XLOOKUP($D280,'Modelling New'!$D:$D,'Modelling New'!$J:$J),"")</f>
        <v>7.411120320091455</v>
      </c>
      <c r="AD280" s="43">
        <f>IFERROR(_xlfn.XLOOKUP($D280,'Modelling New'!$D:$D,'Modelling New'!$T:$T)*1000,"")</f>
        <v>422505.16129032255</v>
      </c>
      <c r="AE280" s="312"/>
      <c r="AF280" s="312">
        <f>IFERROR(_xlfn.XLOOKUP($D280,'Modelling New'!$D:$D,'Modelling New'!$W:$W),"")</f>
        <v>0.347912682221939</v>
      </c>
      <c r="AG280" s="312">
        <f>IFERROR(_xlfn.XLOOKUP($D280,'Modelling New'!$D:$D,'Modelling New'!$AE:$AE),"")</f>
        <v>0.95549849999999992</v>
      </c>
      <c r="AH280" s="312">
        <f>IFERROR(_xlfn.XLOOKUP($D280,'Modelling New'!$D:$D,'Modelling New'!$AF:$AF),"")</f>
        <v>0.995</v>
      </c>
      <c r="AI280" s="10" t="str">
        <f>IFERROR(_xlfn.XLOOKUP($A280,Input_Raw!$E:$E,Input_Raw!$DG:$DG),"")</f>
        <v/>
      </c>
      <c r="AJ280" s="10"/>
      <c r="AK280" s="10"/>
      <c r="AL280" s="10"/>
      <c r="AM280" s="10"/>
      <c r="AN280" s="314" t="str">
        <f>IFERROR(_xlfn.XLOOKUP($A280,Input_Raw!$E:$E,Input_Raw!$CY:$CY),"")</f>
        <v/>
      </c>
      <c r="AO280" s="312" t="str">
        <f>IFERROR((_xlfn.XLOOKUP($A280,'WTG Reactive Power'!$A:$A,'WTG Reactive Power'!AB:AB))/X280,"")</f>
        <v/>
      </c>
      <c r="AP280" s="312">
        <f>IFERROR(_xlfn.XLOOKUP($D280,'Modelling New'!$D:$D,'Modelling New'!AK:AK),"")</f>
        <v>0.05</v>
      </c>
      <c r="AQ280" s="312">
        <f>IFERROR(_xlfn.XLOOKUP($D280,'Modelling New'!$D:$D,'Modelling New'!AL:AL),"")</f>
        <v>0.05</v>
      </c>
      <c r="AR280" s="325">
        <f>IFERROR(_xlfn.XLOOKUP($D280,'Modelling New'!$D:$D,'Modelling New'!$N:$N),"")</f>
        <v>50.59999999999998</v>
      </c>
      <c r="AS280" s="325"/>
    </row>
    <row r="281" spans="1:45">
      <c r="A281" s="32">
        <f t="shared" si="29"/>
        <v>46024</v>
      </c>
      <c r="B281" s="43">
        <f>YEAR(Table13[[#This Row],[Date]])+IF(MONTH(Table13[[#This Row],[Date]])&gt;=4,1,0)</f>
        <v>2026</v>
      </c>
      <c r="C281" s="10">
        <f>YEAR(Table13[[#This Row],[Date]])</f>
        <v>2026</v>
      </c>
      <c r="D281" s="309">
        <f>Table13[[#This Row],[Date]]-DAY(Table13[[#This Row],[Date]])+1</f>
        <v>46023</v>
      </c>
      <c r="E281" s="10">
        <f t="shared" si="25"/>
        <v>31</v>
      </c>
      <c r="F281" s="241" t="str">
        <f>IFERROR(_xlfn.XLOOKUP($A281,Input_Raw!$E:$E,Input_Raw!DC:DC),"")</f>
        <v/>
      </c>
      <c r="G281" s="242"/>
      <c r="H281" s="242"/>
      <c r="I281" s="242"/>
      <c r="J281" s="242"/>
      <c r="K281" s="243"/>
      <c r="L281" s="242"/>
      <c r="M281" s="242" t="str">
        <f>IFERROR(_xlfn.XLOOKUP($A281,Input_Raw!$E:$E,Input_Raw!$BM:$BM),"")</f>
        <v/>
      </c>
      <c r="N281" s="242" t="str">
        <f>IFERROR(_xlfn.XLOOKUP($A281,Input_Raw!$E:$E,Input_Raw!$BN:$BN),"")</f>
        <v/>
      </c>
      <c r="O281" s="311" t="str">
        <f t="shared" si="26"/>
        <v/>
      </c>
      <c r="P281" s="311" t="str">
        <f>IFERROR(1-SUMIF(WTG_BD!$F:$F,$A281,WTG_BD!$AA:$AA)/($AA281+SUMIF(WTG_BD!$F:$F,$A281,WTG_BD!$AA:$AA)),"")</f>
        <v/>
      </c>
      <c r="Q281" s="328" t="str">
        <f>IFERROR(1-SUMIF(IGA_BD!$F:$F,$A281,IGA_BD!$W:$W)/($AA281+SUMIF(IGA_BD!$F:$F,$A281,IGA_BD!$W:$W)),"")</f>
        <v/>
      </c>
      <c r="R281" s="311" t="str">
        <f>IFERROR(1-SUMIF(Grid_BD!$F:$F,$A281,Grid_BD!$Y:$Y)/($AA281+SUMIF(Grid_BD!$F:$F,$A281,Grid_BD!$Y:$Y)),"")</f>
        <v/>
      </c>
      <c r="S281" s="10"/>
      <c r="T281" s="310"/>
      <c r="U281" s="311"/>
      <c r="V281" s="10"/>
      <c r="W281" s="312" t="str">
        <f t="shared" si="27"/>
        <v/>
      </c>
      <c r="X281" s="10" t="str">
        <f>IFERROR(_xlfn.XLOOKUP($A281,Input_Raw!$E:$E,Input_Raw!BG:BG),"")</f>
        <v/>
      </c>
      <c r="Y281" s="10" t="str">
        <f>IFERROR(_xlfn.XLOOKUP($A281,Input_Raw!$E:$E,Input_Raw!DF:DF),"")</f>
        <v/>
      </c>
      <c r="Z281" s="319" t="str">
        <f>IFERROR(_xlfn.XLOOKUP(A281,Input_Raw!E:E,Input_Raw!CT:CT)/_xlfn.XLOOKUP(A281,Input_Raw!E:E,Input_Raw!CS:CS)*Table13[[#This Row],[Mtr_Export (kWh)]],"")</f>
        <v/>
      </c>
      <c r="AA281" s="43" t="str">
        <f t="shared" si="28"/>
        <v/>
      </c>
      <c r="AB281" s="10" t="str">
        <f>IFERROR(_xlfn.XLOOKUP($A281,Input_Raw!$E:$E,Input_Raw!$CZ:$CZ),"")</f>
        <v/>
      </c>
      <c r="AC281" s="313">
        <f>IFERROR(_xlfn.XLOOKUP($D281,'Modelling New'!$D:$D,'Modelling New'!$J:$J),"")</f>
        <v>7.411120320091455</v>
      </c>
      <c r="AD281" s="43">
        <f>IFERROR(_xlfn.XLOOKUP($D281,'Modelling New'!$D:$D,'Modelling New'!$T:$T)*1000,"")</f>
        <v>422505.16129032255</v>
      </c>
      <c r="AE281" s="312"/>
      <c r="AF281" s="312">
        <f>IFERROR(_xlfn.XLOOKUP($D281,'Modelling New'!$D:$D,'Modelling New'!$W:$W),"")</f>
        <v>0.347912682221939</v>
      </c>
      <c r="AG281" s="312">
        <f>IFERROR(_xlfn.XLOOKUP($D281,'Modelling New'!$D:$D,'Modelling New'!$AE:$AE),"")</f>
        <v>0.95549849999999992</v>
      </c>
      <c r="AH281" s="312">
        <f>IFERROR(_xlfn.XLOOKUP($D281,'Modelling New'!$D:$D,'Modelling New'!$AF:$AF),"")</f>
        <v>0.995</v>
      </c>
      <c r="AI281" s="10" t="str">
        <f>IFERROR(_xlfn.XLOOKUP($A281,Input_Raw!$E:$E,Input_Raw!$DG:$DG),"")</f>
        <v/>
      </c>
      <c r="AJ281" s="10"/>
      <c r="AK281" s="10"/>
      <c r="AL281" s="10"/>
      <c r="AM281" s="10"/>
      <c r="AN281" s="314" t="str">
        <f>IFERROR(_xlfn.XLOOKUP($A281,Input_Raw!$E:$E,Input_Raw!$CY:$CY),"")</f>
        <v/>
      </c>
      <c r="AO281" s="312" t="str">
        <f>IFERROR((_xlfn.XLOOKUP($A281,'WTG Reactive Power'!$A:$A,'WTG Reactive Power'!AB:AB))/X281,"")</f>
        <v/>
      </c>
      <c r="AP281" s="312">
        <f>IFERROR(_xlfn.XLOOKUP($D281,'Modelling New'!$D:$D,'Modelling New'!AK:AK),"")</f>
        <v>0.05</v>
      </c>
      <c r="AQ281" s="312">
        <f>IFERROR(_xlfn.XLOOKUP($D281,'Modelling New'!$D:$D,'Modelling New'!AL:AL),"")</f>
        <v>0.05</v>
      </c>
      <c r="AR281" s="325">
        <f>IFERROR(_xlfn.XLOOKUP($D281,'Modelling New'!$D:$D,'Modelling New'!$N:$N),"")</f>
        <v>50.59999999999998</v>
      </c>
      <c r="AS281" s="325"/>
    </row>
    <row r="282" spans="1:45">
      <c r="A282" s="32">
        <f t="shared" si="29"/>
        <v>46025</v>
      </c>
      <c r="B282" s="43">
        <f>YEAR(Table13[[#This Row],[Date]])+IF(MONTH(Table13[[#This Row],[Date]])&gt;=4,1,0)</f>
        <v>2026</v>
      </c>
      <c r="C282" s="10">
        <f>YEAR(Table13[[#This Row],[Date]])</f>
        <v>2026</v>
      </c>
      <c r="D282" s="309">
        <f>Table13[[#This Row],[Date]]-DAY(Table13[[#This Row],[Date]])+1</f>
        <v>46023</v>
      </c>
      <c r="E282" s="10">
        <f t="shared" si="25"/>
        <v>31</v>
      </c>
      <c r="F282" s="241" t="str">
        <f>IFERROR(_xlfn.XLOOKUP($A282,Input_Raw!$E:$E,Input_Raw!DC:DC),"")</f>
        <v/>
      </c>
      <c r="G282" s="313"/>
      <c r="H282" s="313"/>
      <c r="I282" s="313"/>
      <c r="J282" s="313"/>
      <c r="K282" s="243"/>
      <c r="L282" s="242"/>
      <c r="M282" s="242" t="str">
        <f>IFERROR(_xlfn.XLOOKUP($A282,Input_Raw!$E:$E,Input_Raw!$BM:$BM),"")</f>
        <v/>
      </c>
      <c r="N282" s="242" t="str">
        <f>IFERROR(_xlfn.XLOOKUP($A282,Input_Raw!$E:$E,Input_Raw!$BN:$BN),"")</f>
        <v/>
      </c>
      <c r="O282" s="311" t="str">
        <f t="shared" si="26"/>
        <v/>
      </c>
      <c r="P282" s="311" t="str">
        <f>IFERROR(1-SUMIF(WTG_BD!$F:$F,$A282,WTG_BD!$AA:$AA)/($AA282+SUMIF(WTG_BD!$F:$F,$A282,WTG_BD!$AA:$AA)),"")</f>
        <v/>
      </c>
      <c r="Q282" s="328" t="str">
        <f>IFERROR(1-SUMIF(IGA_BD!$F:$F,$A282,IGA_BD!$W:$W)/($AA282+SUMIF(IGA_BD!$F:$F,$A282,IGA_BD!$W:$W)),"")</f>
        <v/>
      </c>
      <c r="R282" s="47" t="str">
        <f>IFERROR(1-SUMIF(Grid_BD!$F:$F,$A282,Grid_BD!$Y:$Y)/($AA282+SUMIF(Grid_BD!$F:$F,$A282,Grid_BD!$Y:$Y)),"")</f>
        <v/>
      </c>
      <c r="S282" s="10"/>
      <c r="T282" s="310"/>
      <c r="U282" s="311"/>
      <c r="V282" s="10"/>
      <c r="W282" s="312" t="str">
        <f t="shared" si="27"/>
        <v/>
      </c>
      <c r="X282" s="10" t="str">
        <f>IFERROR(_xlfn.XLOOKUP($A282,Input_Raw!$E:$E,Input_Raw!BG:BG),"")</f>
        <v/>
      </c>
      <c r="Y282" s="10" t="str">
        <f>IFERROR(_xlfn.XLOOKUP($A282,Input_Raw!$E:$E,Input_Raw!DF:DF),"")</f>
        <v/>
      </c>
      <c r="Z282" s="319" t="str">
        <f>IFERROR(_xlfn.XLOOKUP(A282,Input_Raw!E:E,Input_Raw!CT:CT)/_xlfn.XLOOKUP(A282,Input_Raw!E:E,Input_Raw!CS:CS)*Table13[[#This Row],[Mtr_Export (kWh)]],"")</f>
        <v/>
      </c>
      <c r="AA282" s="43" t="str">
        <f t="shared" si="28"/>
        <v/>
      </c>
      <c r="AB282" s="10" t="str">
        <f>IFERROR(_xlfn.XLOOKUP($A282,Input_Raw!$E:$E,Input_Raw!$CZ:$CZ),"")</f>
        <v/>
      </c>
      <c r="AC282" s="313">
        <f>IFERROR(_xlfn.XLOOKUP($D282,'Modelling New'!$D:$D,'Modelling New'!$J:$J),"")</f>
        <v>7.411120320091455</v>
      </c>
      <c r="AD282" s="43">
        <f>IFERROR(_xlfn.XLOOKUP($D282,'Modelling New'!$D:$D,'Modelling New'!$T:$T)*1000,"")</f>
        <v>422505.16129032255</v>
      </c>
      <c r="AE282" s="312"/>
      <c r="AF282" s="312">
        <f>IFERROR(_xlfn.XLOOKUP($D282,'Modelling New'!$D:$D,'Modelling New'!$W:$W),"")</f>
        <v>0.347912682221939</v>
      </c>
      <c r="AG282" s="312">
        <f>IFERROR(_xlfn.XLOOKUP($D282,'Modelling New'!$D:$D,'Modelling New'!$AE:$AE),"")</f>
        <v>0.95549849999999992</v>
      </c>
      <c r="AH282" s="312">
        <f>IFERROR(_xlfn.XLOOKUP($D282,'Modelling New'!$D:$D,'Modelling New'!$AF:$AF),"")</f>
        <v>0.995</v>
      </c>
      <c r="AI282" s="10" t="str">
        <f>IFERROR(_xlfn.XLOOKUP($A282,Input_Raw!$E:$E,Input_Raw!$DG:$DG),"")</f>
        <v/>
      </c>
      <c r="AJ282" s="10"/>
      <c r="AK282" s="10"/>
      <c r="AL282" s="10"/>
      <c r="AM282" s="10"/>
      <c r="AN282" s="314" t="str">
        <f>IFERROR(_xlfn.XLOOKUP($A282,Input_Raw!$E:$E,Input_Raw!$CY:$CY),"")</f>
        <v/>
      </c>
      <c r="AO282" s="312" t="str">
        <f>IFERROR((_xlfn.XLOOKUP($A282,'WTG Reactive Power'!$A:$A,'WTG Reactive Power'!AB:AB))/X282,"")</f>
        <v/>
      </c>
      <c r="AP282" s="312">
        <f>IFERROR(_xlfn.XLOOKUP($D282,'Modelling New'!$D:$D,'Modelling New'!AK:AK),"")</f>
        <v>0.05</v>
      </c>
      <c r="AQ282" s="312">
        <f>IFERROR(_xlfn.XLOOKUP($D282,'Modelling New'!$D:$D,'Modelling New'!AL:AL),"")</f>
        <v>0.05</v>
      </c>
      <c r="AR282" s="325">
        <f>IFERROR(_xlfn.XLOOKUP($D282,'Modelling New'!$D:$D,'Modelling New'!$N:$N),"")</f>
        <v>50.59999999999998</v>
      </c>
      <c r="AS282" s="325"/>
    </row>
    <row r="283" spans="1:45">
      <c r="A283" s="32">
        <f t="shared" si="29"/>
        <v>46026</v>
      </c>
      <c r="B283" s="43">
        <f>YEAR(Table13[[#This Row],[Date]])+IF(MONTH(Table13[[#This Row],[Date]])&gt;=4,1,0)</f>
        <v>2026</v>
      </c>
      <c r="C283" s="10">
        <f>YEAR(Table13[[#This Row],[Date]])</f>
        <v>2026</v>
      </c>
      <c r="D283" s="309">
        <f>Table13[[#This Row],[Date]]-DAY(Table13[[#This Row],[Date]])+1</f>
        <v>46023</v>
      </c>
      <c r="E283" s="10">
        <f t="shared" si="25"/>
        <v>31</v>
      </c>
      <c r="F283" s="241" t="str">
        <f>IFERROR(_xlfn.XLOOKUP($A283,Input_Raw!$E:$E,Input_Raw!DC:DC),"")</f>
        <v/>
      </c>
      <c r="G283" s="242"/>
      <c r="H283" s="242"/>
      <c r="I283" s="242"/>
      <c r="J283" s="242"/>
      <c r="K283" s="243"/>
      <c r="L283" s="242"/>
      <c r="M283" s="242" t="str">
        <f>IFERROR(_xlfn.XLOOKUP($A283,Input_Raw!$E:$E,Input_Raw!$BM:$BM),"")</f>
        <v/>
      </c>
      <c r="N283" s="242" t="str">
        <f>IFERROR(_xlfn.XLOOKUP($A283,Input_Raw!$E:$E,Input_Raw!$BN:$BN),"")</f>
        <v/>
      </c>
      <c r="O283" s="311" t="str">
        <f t="shared" si="26"/>
        <v/>
      </c>
      <c r="P283" s="311" t="str">
        <f>IFERROR(1-SUMIF(WTG_BD!$F:$F,$A283,WTG_BD!$AA:$AA)/($AA283+SUMIF(WTG_BD!$F:$F,$A283,WTG_BD!$AA:$AA)),"")</f>
        <v/>
      </c>
      <c r="Q283" s="328" t="str">
        <f>IFERROR(1-SUMIF(IGA_BD!$F:$F,$A283,IGA_BD!$W:$W)/($AA283+SUMIF(IGA_BD!$F:$F,$A283,IGA_BD!$W:$W)),"")</f>
        <v/>
      </c>
      <c r="R283" s="311" t="str">
        <f>IFERROR(1-SUMIF(Grid_BD!$F:$F,$A283,Grid_BD!$Y:$Y)/($AA283+SUMIF(Grid_BD!$F:$F,$A283,Grid_BD!$Y:$Y)),"")</f>
        <v/>
      </c>
      <c r="S283" s="10"/>
      <c r="T283" s="310"/>
      <c r="U283" s="311"/>
      <c r="V283" s="10"/>
      <c r="W283" s="312" t="str">
        <f t="shared" si="27"/>
        <v/>
      </c>
      <c r="X283" s="10" t="str">
        <f>IFERROR(_xlfn.XLOOKUP($A283,Input_Raw!$E:$E,Input_Raw!BG:BG),"")</f>
        <v/>
      </c>
      <c r="Y283" s="10" t="str">
        <f>IFERROR(_xlfn.XLOOKUP($A283,Input_Raw!$E:$E,Input_Raw!DF:DF),"")</f>
        <v/>
      </c>
      <c r="Z283" s="319" t="str">
        <f>IFERROR(_xlfn.XLOOKUP(A283,Input_Raw!E:E,Input_Raw!CT:CT)/_xlfn.XLOOKUP(A283,Input_Raw!E:E,Input_Raw!CS:CS)*Table13[[#This Row],[Mtr_Export (kWh)]],"")</f>
        <v/>
      </c>
      <c r="AA283" s="43" t="str">
        <f t="shared" si="28"/>
        <v/>
      </c>
      <c r="AB283" s="10" t="str">
        <f>IFERROR(_xlfn.XLOOKUP($A283,Input_Raw!$E:$E,Input_Raw!$CZ:$CZ),"")</f>
        <v/>
      </c>
      <c r="AC283" s="313">
        <f>IFERROR(_xlfn.XLOOKUP($D283,'Modelling New'!$D:$D,'Modelling New'!$J:$J),"")</f>
        <v>7.411120320091455</v>
      </c>
      <c r="AD283" s="43">
        <f>IFERROR(_xlfn.XLOOKUP($D283,'Modelling New'!$D:$D,'Modelling New'!$T:$T)*1000,"")</f>
        <v>422505.16129032255</v>
      </c>
      <c r="AE283" s="312"/>
      <c r="AF283" s="312">
        <f>IFERROR(_xlfn.XLOOKUP($D283,'Modelling New'!$D:$D,'Modelling New'!$W:$W),"")</f>
        <v>0.347912682221939</v>
      </c>
      <c r="AG283" s="312">
        <f>IFERROR(_xlfn.XLOOKUP($D283,'Modelling New'!$D:$D,'Modelling New'!$AE:$AE),"")</f>
        <v>0.95549849999999992</v>
      </c>
      <c r="AH283" s="312">
        <f>IFERROR(_xlfn.XLOOKUP($D283,'Modelling New'!$D:$D,'Modelling New'!$AF:$AF),"")</f>
        <v>0.995</v>
      </c>
      <c r="AI283" s="10" t="str">
        <f>IFERROR(_xlfn.XLOOKUP($A283,Input_Raw!$E:$E,Input_Raw!$DG:$DG),"")</f>
        <v/>
      </c>
      <c r="AJ283" s="10"/>
      <c r="AK283" s="10"/>
      <c r="AL283" s="10"/>
      <c r="AM283" s="10"/>
      <c r="AN283" s="314" t="str">
        <f>IFERROR(_xlfn.XLOOKUP($A283,Input_Raw!$E:$E,Input_Raw!$CY:$CY),"")</f>
        <v/>
      </c>
      <c r="AO283" s="312" t="str">
        <f>IFERROR((_xlfn.XLOOKUP($A283,'WTG Reactive Power'!$A:$A,'WTG Reactive Power'!AB:AB))/X283,"")</f>
        <v/>
      </c>
      <c r="AP283" s="312">
        <f>IFERROR(_xlfn.XLOOKUP($D283,'Modelling New'!$D:$D,'Modelling New'!AK:AK),"")</f>
        <v>0.05</v>
      </c>
      <c r="AQ283" s="312">
        <f>IFERROR(_xlfn.XLOOKUP($D283,'Modelling New'!$D:$D,'Modelling New'!AL:AL),"")</f>
        <v>0.05</v>
      </c>
      <c r="AR283" s="325">
        <f>IFERROR(_xlfn.XLOOKUP($D283,'Modelling New'!$D:$D,'Modelling New'!$N:$N),"")</f>
        <v>50.59999999999998</v>
      </c>
      <c r="AS283" s="325"/>
    </row>
    <row r="284" spans="1:45">
      <c r="A284" s="32">
        <f t="shared" si="29"/>
        <v>46027</v>
      </c>
      <c r="B284" s="43">
        <f>YEAR(Table13[[#This Row],[Date]])+IF(MONTH(Table13[[#This Row],[Date]])&gt;=4,1,0)</f>
        <v>2026</v>
      </c>
      <c r="C284" s="10">
        <f>YEAR(Table13[[#This Row],[Date]])</f>
        <v>2026</v>
      </c>
      <c r="D284" s="309">
        <f>Table13[[#This Row],[Date]]-DAY(Table13[[#This Row],[Date]])+1</f>
        <v>46023</v>
      </c>
      <c r="E284" s="10">
        <f t="shared" si="25"/>
        <v>31</v>
      </c>
      <c r="F284" s="241" t="str">
        <f>IFERROR(_xlfn.XLOOKUP($A284,Input_Raw!$E:$E,Input_Raw!DC:DC),"")</f>
        <v/>
      </c>
      <c r="G284" s="313"/>
      <c r="H284" s="313"/>
      <c r="I284" s="313"/>
      <c r="J284" s="313"/>
      <c r="K284" s="243"/>
      <c r="L284" s="242"/>
      <c r="M284" s="242" t="str">
        <f>IFERROR(_xlfn.XLOOKUP($A284,Input_Raw!$E:$E,Input_Raw!$BM:$BM),"")</f>
        <v/>
      </c>
      <c r="N284" s="242" t="str">
        <f>IFERROR(_xlfn.XLOOKUP($A284,Input_Raw!$E:$E,Input_Raw!$BN:$BN),"")</f>
        <v/>
      </c>
      <c r="O284" s="311" t="str">
        <f t="shared" si="26"/>
        <v/>
      </c>
      <c r="P284" s="311" t="str">
        <f>IFERROR(1-SUMIF(WTG_BD!$F:$F,$A284,WTG_BD!$AA:$AA)/($AA284+SUMIF(WTG_BD!$F:$F,$A284,WTG_BD!$AA:$AA)),"")</f>
        <v/>
      </c>
      <c r="Q284" s="328" t="str">
        <f>IFERROR(1-SUMIF(IGA_BD!$F:$F,$A284,IGA_BD!$W:$W)/($AA284+SUMIF(IGA_BD!$F:$F,$A284,IGA_BD!$W:$W)),"")</f>
        <v/>
      </c>
      <c r="R284" s="47" t="str">
        <f>IFERROR(1-SUMIF(Grid_BD!$F:$F,$A284,Grid_BD!$Y:$Y)/($AA284+SUMIF(Grid_BD!$F:$F,$A284,Grid_BD!$Y:$Y)),"")</f>
        <v/>
      </c>
      <c r="S284" s="10"/>
      <c r="T284" s="310"/>
      <c r="U284" s="311"/>
      <c r="V284" s="10"/>
      <c r="W284" s="312" t="str">
        <f t="shared" si="27"/>
        <v/>
      </c>
      <c r="X284" s="10" t="str">
        <f>IFERROR(_xlfn.XLOOKUP($A284,Input_Raw!$E:$E,Input_Raw!BG:BG),"")</f>
        <v/>
      </c>
      <c r="Y284" s="10" t="str">
        <f>IFERROR(_xlfn.XLOOKUP($A284,Input_Raw!$E:$E,Input_Raw!DF:DF),"")</f>
        <v/>
      </c>
      <c r="Z284" s="319" t="str">
        <f>IFERROR(_xlfn.XLOOKUP(A284,Input_Raw!E:E,Input_Raw!CT:CT)/_xlfn.XLOOKUP(A284,Input_Raw!E:E,Input_Raw!CS:CS)*Table13[[#This Row],[Mtr_Export (kWh)]],"")</f>
        <v/>
      </c>
      <c r="AA284" s="43" t="str">
        <f t="shared" si="28"/>
        <v/>
      </c>
      <c r="AB284" s="10" t="str">
        <f>IFERROR(_xlfn.XLOOKUP($A284,Input_Raw!$E:$E,Input_Raw!$CZ:$CZ),"")</f>
        <v/>
      </c>
      <c r="AC284" s="313">
        <f>IFERROR(_xlfn.XLOOKUP($D284,'Modelling New'!$D:$D,'Modelling New'!$J:$J),"")</f>
        <v>7.411120320091455</v>
      </c>
      <c r="AD284" s="43">
        <f>IFERROR(_xlfn.XLOOKUP($D284,'Modelling New'!$D:$D,'Modelling New'!$T:$T)*1000,"")</f>
        <v>422505.16129032255</v>
      </c>
      <c r="AE284" s="312"/>
      <c r="AF284" s="312">
        <f>IFERROR(_xlfn.XLOOKUP($D284,'Modelling New'!$D:$D,'Modelling New'!$W:$W),"")</f>
        <v>0.347912682221939</v>
      </c>
      <c r="AG284" s="312">
        <f>IFERROR(_xlfn.XLOOKUP($D284,'Modelling New'!$D:$D,'Modelling New'!$AE:$AE),"")</f>
        <v>0.95549849999999992</v>
      </c>
      <c r="AH284" s="312">
        <f>IFERROR(_xlfn.XLOOKUP($D284,'Modelling New'!$D:$D,'Modelling New'!$AF:$AF),"")</f>
        <v>0.995</v>
      </c>
      <c r="AI284" s="10" t="str">
        <f>IFERROR(_xlfn.XLOOKUP($A284,Input_Raw!$E:$E,Input_Raw!$DG:$DG),"")</f>
        <v/>
      </c>
      <c r="AJ284" s="10"/>
      <c r="AK284" s="10"/>
      <c r="AL284" s="10"/>
      <c r="AM284" s="10"/>
      <c r="AN284" s="314" t="str">
        <f>IFERROR(_xlfn.XLOOKUP($A284,Input_Raw!$E:$E,Input_Raw!$CY:$CY),"")</f>
        <v/>
      </c>
      <c r="AO284" s="312" t="str">
        <f>IFERROR((_xlfn.XLOOKUP($A284,'WTG Reactive Power'!$A:$A,'WTG Reactive Power'!AB:AB))/X284,"")</f>
        <v/>
      </c>
      <c r="AP284" s="312">
        <f>IFERROR(_xlfn.XLOOKUP($D284,'Modelling New'!$D:$D,'Modelling New'!AK:AK),"")</f>
        <v>0.05</v>
      </c>
      <c r="AQ284" s="312">
        <f>IFERROR(_xlfn.XLOOKUP($D284,'Modelling New'!$D:$D,'Modelling New'!AL:AL),"")</f>
        <v>0.05</v>
      </c>
      <c r="AR284" s="325">
        <f>IFERROR(_xlfn.XLOOKUP($D284,'Modelling New'!$D:$D,'Modelling New'!$N:$N),"")</f>
        <v>50.59999999999998</v>
      </c>
      <c r="AS284" s="325"/>
    </row>
    <row r="285" spans="1:45">
      <c r="A285" s="32">
        <f t="shared" si="29"/>
        <v>46028</v>
      </c>
      <c r="B285" s="43">
        <f>YEAR(Table13[[#This Row],[Date]])+IF(MONTH(Table13[[#This Row],[Date]])&gt;=4,1,0)</f>
        <v>2026</v>
      </c>
      <c r="C285" s="10">
        <f>YEAR(Table13[[#This Row],[Date]])</f>
        <v>2026</v>
      </c>
      <c r="D285" s="309">
        <f>Table13[[#This Row],[Date]]-DAY(Table13[[#This Row],[Date]])+1</f>
        <v>46023</v>
      </c>
      <c r="E285" s="10">
        <f t="shared" si="25"/>
        <v>31</v>
      </c>
      <c r="F285" s="241" t="str">
        <f>IFERROR(_xlfn.XLOOKUP($A285,Input_Raw!$E:$E,Input_Raw!DC:DC),"")</f>
        <v/>
      </c>
      <c r="G285" s="242"/>
      <c r="H285" s="242"/>
      <c r="I285" s="242"/>
      <c r="J285" s="242"/>
      <c r="K285" s="243"/>
      <c r="L285" s="242"/>
      <c r="M285" s="242" t="str">
        <f>IFERROR(_xlfn.XLOOKUP($A285,Input_Raw!$E:$E,Input_Raw!$BM:$BM),"")</f>
        <v/>
      </c>
      <c r="N285" s="242" t="str">
        <f>IFERROR(_xlfn.XLOOKUP($A285,Input_Raw!$E:$E,Input_Raw!$BN:$BN),"")</f>
        <v/>
      </c>
      <c r="O285" s="311" t="str">
        <f t="shared" si="26"/>
        <v/>
      </c>
      <c r="P285" s="311" t="str">
        <f>IFERROR(1-SUMIF(WTG_BD!$F:$F,$A285,WTG_BD!$AA:$AA)/($AA285+SUMIF(WTG_BD!$F:$F,$A285,WTG_BD!$AA:$AA)),"")</f>
        <v/>
      </c>
      <c r="Q285" s="328" t="str">
        <f>IFERROR(1-SUMIF(IGA_BD!$F:$F,$A285,IGA_BD!$W:$W)/($AA285+SUMIF(IGA_BD!$F:$F,$A285,IGA_BD!$W:$W)),"")</f>
        <v/>
      </c>
      <c r="R285" s="311" t="str">
        <f>IFERROR(1-SUMIF(Grid_BD!$F:$F,$A285,Grid_BD!$Y:$Y)/($AA285+SUMIF(Grid_BD!$F:$F,$A285,Grid_BD!$Y:$Y)),"")</f>
        <v/>
      </c>
      <c r="S285" s="10"/>
      <c r="T285" s="310"/>
      <c r="U285" s="311"/>
      <c r="V285" s="10"/>
      <c r="W285" s="312" t="str">
        <f t="shared" si="27"/>
        <v/>
      </c>
      <c r="X285" s="10" t="str">
        <f>IFERROR(_xlfn.XLOOKUP($A285,Input_Raw!$E:$E,Input_Raw!BG:BG),"")</f>
        <v/>
      </c>
      <c r="Y285" s="10" t="str">
        <f>IFERROR(_xlfn.XLOOKUP($A285,Input_Raw!$E:$E,Input_Raw!DF:DF),"")</f>
        <v/>
      </c>
      <c r="Z285" s="319" t="str">
        <f>IFERROR(_xlfn.XLOOKUP(A285,Input_Raw!E:E,Input_Raw!CT:CT)/_xlfn.XLOOKUP(A285,Input_Raw!E:E,Input_Raw!CS:CS)*Table13[[#This Row],[Mtr_Export (kWh)]],"")</f>
        <v/>
      </c>
      <c r="AA285" s="43" t="str">
        <f t="shared" si="28"/>
        <v/>
      </c>
      <c r="AB285" s="10" t="str">
        <f>IFERROR(_xlfn.XLOOKUP($A285,Input_Raw!$E:$E,Input_Raw!$CZ:$CZ),"")</f>
        <v/>
      </c>
      <c r="AC285" s="313">
        <f>IFERROR(_xlfn.XLOOKUP($D285,'Modelling New'!$D:$D,'Modelling New'!$J:$J),"")</f>
        <v>7.411120320091455</v>
      </c>
      <c r="AD285" s="43">
        <f>IFERROR(_xlfn.XLOOKUP($D285,'Modelling New'!$D:$D,'Modelling New'!$T:$T)*1000,"")</f>
        <v>422505.16129032255</v>
      </c>
      <c r="AE285" s="312"/>
      <c r="AF285" s="312">
        <f>IFERROR(_xlfn.XLOOKUP($D285,'Modelling New'!$D:$D,'Modelling New'!$W:$W),"")</f>
        <v>0.347912682221939</v>
      </c>
      <c r="AG285" s="312">
        <f>IFERROR(_xlfn.XLOOKUP($D285,'Modelling New'!$D:$D,'Modelling New'!$AE:$AE),"")</f>
        <v>0.95549849999999992</v>
      </c>
      <c r="AH285" s="312">
        <f>IFERROR(_xlfn.XLOOKUP($D285,'Modelling New'!$D:$D,'Modelling New'!$AF:$AF),"")</f>
        <v>0.995</v>
      </c>
      <c r="AI285" s="10" t="str">
        <f>IFERROR(_xlfn.XLOOKUP($A285,Input_Raw!$E:$E,Input_Raw!$DG:$DG),"")</f>
        <v/>
      </c>
      <c r="AJ285" s="10"/>
      <c r="AK285" s="10"/>
      <c r="AL285" s="10"/>
      <c r="AM285" s="10"/>
      <c r="AN285" s="314" t="str">
        <f>IFERROR(_xlfn.XLOOKUP($A285,Input_Raw!$E:$E,Input_Raw!$CY:$CY),"")</f>
        <v/>
      </c>
      <c r="AO285" s="312" t="str">
        <f>IFERROR((_xlfn.XLOOKUP($A285,'WTG Reactive Power'!$A:$A,'WTG Reactive Power'!AB:AB))/X285,"")</f>
        <v/>
      </c>
      <c r="AP285" s="312">
        <f>IFERROR(_xlfn.XLOOKUP($D285,'Modelling New'!$D:$D,'Modelling New'!AK:AK),"")</f>
        <v>0.05</v>
      </c>
      <c r="AQ285" s="312">
        <f>IFERROR(_xlfn.XLOOKUP($D285,'Modelling New'!$D:$D,'Modelling New'!AL:AL),"")</f>
        <v>0.05</v>
      </c>
      <c r="AR285" s="325">
        <f>IFERROR(_xlfn.XLOOKUP($D285,'Modelling New'!$D:$D,'Modelling New'!$N:$N),"")</f>
        <v>50.59999999999998</v>
      </c>
      <c r="AS285" s="325"/>
    </row>
    <row r="286" spans="1:45">
      <c r="A286" s="32">
        <f t="shared" si="29"/>
        <v>46029</v>
      </c>
      <c r="B286" s="43">
        <f>YEAR(Table13[[#This Row],[Date]])+IF(MONTH(Table13[[#This Row],[Date]])&gt;=4,1,0)</f>
        <v>2026</v>
      </c>
      <c r="C286" s="10">
        <f>YEAR(Table13[[#This Row],[Date]])</f>
        <v>2026</v>
      </c>
      <c r="D286" s="309">
        <f>Table13[[#This Row],[Date]]-DAY(Table13[[#This Row],[Date]])+1</f>
        <v>46023</v>
      </c>
      <c r="E286" s="10">
        <f t="shared" si="25"/>
        <v>31</v>
      </c>
      <c r="F286" s="241" t="str">
        <f>IFERROR(_xlfn.XLOOKUP($A286,Input_Raw!$E:$E,Input_Raw!DC:DC),"")</f>
        <v/>
      </c>
      <c r="G286" s="313"/>
      <c r="H286" s="313"/>
      <c r="I286" s="313"/>
      <c r="J286" s="313"/>
      <c r="K286" s="243"/>
      <c r="L286" s="242"/>
      <c r="M286" s="242" t="str">
        <f>IFERROR(_xlfn.XLOOKUP($A286,Input_Raw!$E:$E,Input_Raw!$BM:$BM),"")</f>
        <v/>
      </c>
      <c r="N286" s="242" t="str">
        <f>IFERROR(_xlfn.XLOOKUP($A286,Input_Raw!$E:$E,Input_Raw!$BN:$BN),"")</f>
        <v/>
      </c>
      <c r="O286" s="311" t="str">
        <f t="shared" si="26"/>
        <v/>
      </c>
      <c r="P286" s="311" t="str">
        <f>IFERROR(1-SUMIF(WTG_BD!$F:$F,$A286,WTG_BD!$AA:$AA)/($AA286+SUMIF(WTG_BD!$F:$F,$A286,WTG_BD!$AA:$AA)),"")</f>
        <v/>
      </c>
      <c r="Q286" s="328" t="str">
        <f>IFERROR(1-SUMIF(IGA_BD!$F:$F,$A286,IGA_BD!$W:$W)/($AA286+SUMIF(IGA_BD!$F:$F,$A286,IGA_BD!$W:$W)),"")</f>
        <v/>
      </c>
      <c r="R286" s="47" t="str">
        <f>IFERROR(1-SUMIF(Grid_BD!$F:$F,$A286,Grid_BD!$Y:$Y)/($AA286+SUMIF(Grid_BD!$F:$F,$A286,Grid_BD!$Y:$Y)),"")</f>
        <v/>
      </c>
      <c r="S286" s="10"/>
      <c r="T286" s="310"/>
      <c r="U286" s="311"/>
      <c r="V286" s="10"/>
      <c r="W286" s="312" t="str">
        <f t="shared" si="27"/>
        <v/>
      </c>
      <c r="X286" s="10" t="str">
        <f>IFERROR(_xlfn.XLOOKUP($A286,Input_Raw!$E:$E,Input_Raw!BG:BG),"")</f>
        <v/>
      </c>
      <c r="Y286" s="10" t="str">
        <f>IFERROR(_xlfn.XLOOKUP($A286,Input_Raw!$E:$E,Input_Raw!DF:DF),"")</f>
        <v/>
      </c>
      <c r="Z286" s="319" t="str">
        <f>IFERROR(_xlfn.XLOOKUP(A286,Input_Raw!E:E,Input_Raw!CT:CT)/_xlfn.XLOOKUP(A286,Input_Raw!E:E,Input_Raw!CS:CS)*Table13[[#This Row],[Mtr_Export (kWh)]],"")</f>
        <v/>
      </c>
      <c r="AA286" s="43" t="str">
        <f t="shared" si="28"/>
        <v/>
      </c>
      <c r="AB286" s="10" t="str">
        <f>IFERROR(_xlfn.XLOOKUP($A286,Input_Raw!$E:$E,Input_Raw!$CZ:$CZ),"")</f>
        <v/>
      </c>
      <c r="AC286" s="313">
        <f>IFERROR(_xlfn.XLOOKUP($D286,'Modelling New'!$D:$D,'Modelling New'!$J:$J),"")</f>
        <v>7.411120320091455</v>
      </c>
      <c r="AD286" s="43">
        <f>IFERROR(_xlfn.XLOOKUP($D286,'Modelling New'!$D:$D,'Modelling New'!$T:$T)*1000,"")</f>
        <v>422505.16129032255</v>
      </c>
      <c r="AE286" s="312"/>
      <c r="AF286" s="312">
        <f>IFERROR(_xlfn.XLOOKUP($D286,'Modelling New'!$D:$D,'Modelling New'!$W:$W),"")</f>
        <v>0.347912682221939</v>
      </c>
      <c r="AG286" s="312">
        <f>IFERROR(_xlfn.XLOOKUP($D286,'Modelling New'!$D:$D,'Modelling New'!$AE:$AE),"")</f>
        <v>0.95549849999999992</v>
      </c>
      <c r="AH286" s="312">
        <f>IFERROR(_xlfn.XLOOKUP($D286,'Modelling New'!$D:$D,'Modelling New'!$AF:$AF),"")</f>
        <v>0.995</v>
      </c>
      <c r="AI286" s="10" t="str">
        <f>IFERROR(_xlfn.XLOOKUP($A286,Input_Raw!$E:$E,Input_Raw!$DG:$DG),"")</f>
        <v/>
      </c>
      <c r="AJ286" s="10"/>
      <c r="AK286" s="10"/>
      <c r="AL286" s="10"/>
      <c r="AM286" s="10"/>
      <c r="AN286" s="314" t="str">
        <f>IFERROR(_xlfn.XLOOKUP($A286,Input_Raw!$E:$E,Input_Raw!$CY:$CY),"")</f>
        <v/>
      </c>
      <c r="AO286" s="312" t="str">
        <f>IFERROR((_xlfn.XLOOKUP($A286,'WTG Reactive Power'!$A:$A,'WTG Reactive Power'!AB:AB))/X286,"")</f>
        <v/>
      </c>
      <c r="AP286" s="312">
        <f>IFERROR(_xlfn.XLOOKUP($D286,'Modelling New'!$D:$D,'Modelling New'!AK:AK),"")</f>
        <v>0.05</v>
      </c>
      <c r="AQ286" s="312">
        <f>IFERROR(_xlfn.XLOOKUP($D286,'Modelling New'!$D:$D,'Modelling New'!AL:AL),"")</f>
        <v>0.05</v>
      </c>
      <c r="AR286" s="325">
        <f>IFERROR(_xlfn.XLOOKUP($D286,'Modelling New'!$D:$D,'Modelling New'!$N:$N),"")</f>
        <v>50.59999999999998</v>
      </c>
      <c r="AS286" s="325"/>
    </row>
    <row r="287" spans="1:45">
      <c r="A287" s="32">
        <f t="shared" si="29"/>
        <v>46030</v>
      </c>
      <c r="B287" s="43">
        <f>YEAR(Table13[[#This Row],[Date]])+IF(MONTH(Table13[[#This Row],[Date]])&gt;=4,1,0)</f>
        <v>2026</v>
      </c>
      <c r="C287" s="10">
        <f>YEAR(Table13[[#This Row],[Date]])</f>
        <v>2026</v>
      </c>
      <c r="D287" s="309">
        <f>Table13[[#This Row],[Date]]-DAY(Table13[[#This Row],[Date]])+1</f>
        <v>46023</v>
      </c>
      <c r="E287" s="10">
        <f t="shared" si="25"/>
        <v>31</v>
      </c>
      <c r="F287" s="241" t="str">
        <f>IFERROR(_xlfn.XLOOKUP($A287,Input_Raw!$E:$E,Input_Raw!DC:DC),"")</f>
        <v/>
      </c>
      <c r="G287" s="242"/>
      <c r="H287" s="242"/>
      <c r="I287" s="242"/>
      <c r="J287" s="242"/>
      <c r="K287" s="243"/>
      <c r="L287" s="242"/>
      <c r="M287" s="242" t="str">
        <f>IFERROR(_xlfn.XLOOKUP($A287,Input_Raw!$E:$E,Input_Raw!$BM:$BM),"")</f>
        <v/>
      </c>
      <c r="N287" s="242" t="str">
        <f>IFERROR(_xlfn.XLOOKUP($A287,Input_Raw!$E:$E,Input_Raw!$BN:$BN),"")</f>
        <v/>
      </c>
      <c r="O287" s="311" t="str">
        <f t="shared" si="26"/>
        <v/>
      </c>
      <c r="P287" s="311" t="str">
        <f>IFERROR(1-SUMIF(WTG_BD!$F:$F,$A287,WTG_BD!$AA:$AA)/($AA287+SUMIF(WTG_BD!$F:$F,$A287,WTG_BD!$AA:$AA)),"")</f>
        <v/>
      </c>
      <c r="Q287" s="328" t="str">
        <f>IFERROR(1-SUMIF(IGA_BD!$F:$F,$A287,IGA_BD!$W:$W)/($AA287+SUMIF(IGA_BD!$F:$F,$A287,IGA_BD!$W:$W)),"")</f>
        <v/>
      </c>
      <c r="R287" s="311" t="str">
        <f>IFERROR(1-SUMIF(Grid_BD!$F:$F,$A287,Grid_BD!$Y:$Y)/($AA287+SUMIF(Grid_BD!$F:$F,$A287,Grid_BD!$Y:$Y)),"")</f>
        <v/>
      </c>
      <c r="S287" s="10"/>
      <c r="T287" s="310"/>
      <c r="U287" s="311"/>
      <c r="V287" s="10"/>
      <c r="W287" s="312" t="str">
        <f t="shared" si="27"/>
        <v/>
      </c>
      <c r="X287" s="10" t="str">
        <f>IFERROR(_xlfn.XLOOKUP($A287,Input_Raw!$E:$E,Input_Raw!BG:BG),"")</f>
        <v/>
      </c>
      <c r="Y287" s="10" t="str">
        <f>IFERROR(_xlfn.XLOOKUP($A287,Input_Raw!$E:$E,Input_Raw!DF:DF),"")</f>
        <v/>
      </c>
      <c r="Z287" s="319" t="str">
        <f>IFERROR(_xlfn.XLOOKUP(A287,Input_Raw!E:E,Input_Raw!CT:CT)/_xlfn.XLOOKUP(A287,Input_Raw!E:E,Input_Raw!CS:CS)*Table13[[#This Row],[Mtr_Export (kWh)]],"")</f>
        <v/>
      </c>
      <c r="AA287" s="43" t="str">
        <f t="shared" si="28"/>
        <v/>
      </c>
      <c r="AB287" s="10" t="str">
        <f>IFERROR(_xlfn.XLOOKUP($A287,Input_Raw!$E:$E,Input_Raw!$CZ:$CZ),"")</f>
        <v/>
      </c>
      <c r="AC287" s="313">
        <f>IFERROR(_xlfn.XLOOKUP($D287,'Modelling New'!$D:$D,'Modelling New'!$J:$J),"")</f>
        <v>7.411120320091455</v>
      </c>
      <c r="AD287" s="43">
        <f>IFERROR(_xlfn.XLOOKUP($D287,'Modelling New'!$D:$D,'Modelling New'!$T:$T)*1000,"")</f>
        <v>422505.16129032255</v>
      </c>
      <c r="AE287" s="312"/>
      <c r="AF287" s="312">
        <f>IFERROR(_xlfn.XLOOKUP($D287,'Modelling New'!$D:$D,'Modelling New'!$W:$W),"")</f>
        <v>0.347912682221939</v>
      </c>
      <c r="AG287" s="312">
        <f>IFERROR(_xlfn.XLOOKUP($D287,'Modelling New'!$D:$D,'Modelling New'!$AE:$AE),"")</f>
        <v>0.95549849999999992</v>
      </c>
      <c r="AH287" s="312">
        <f>IFERROR(_xlfn.XLOOKUP($D287,'Modelling New'!$D:$D,'Modelling New'!$AF:$AF),"")</f>
        <v>0.995</v>
      </c>
      <c r="AI287" s="10" t="str">
        <f>IFERROR(_xlfn.XLOOKUP($A287,Input_Raw!$E:$E,Input_Raw!$DG:$DG),"")</f>
        <v/>
      </c>
      <c r="AJ287" s="10"/>
      <c r="AK287" s="10"/>
      <c r="AL287" s="10"/>
      <c r="AM287" s="10"/>
      <c r="AN287" s="314" t="str">
        <f>IFERROR(_xlfn.XLOOKUP($A287,Input_Raw!$E:$E,Input_Raw!$CY:$CY),"")</f>
        <v/>
      </c>
      <c r="AO287" s="312" t="str">
        <f>IFERROR((_xlfn.XLOOKUP($A287,'WTG Reactive Power'!$A:$A,'WTG Reactive Power'!AB:AB))/X287,"")</f>
        <v/>
      </c>
      <c r="AP287" s="312">
        <f>IFERROR(_xlfn.XLOOKUP($D287,'Modelling New'!$D:$D,'Modelling New'!AK:AK),"")</f>
        <v>0.05</v>
      </c>
      <c r="AQ287" s="312">
        <f>IFERROR(_xlfn.XLOOKUP($D287,'Modelling New'!$D:$D,'Modelling New'!AL:AL),"")</f>
        <v>0.05</v>
      </c>
      <c r="AR287" s="325">
        <f>IFERROR(_xlfn.XLOOKUP($D287,'Modelling New'!$D:$D,'Modelling New'!$N:$N),"")</f>
        <v>50.59999999999998</v>
      </c>
      <c r="AS287" s="325"/>
    </row>
    <row r="288" spans="1:45">
      <c r="A288" s="32">
        <f t="shared" si="29"/>
        <v>46031</v>
      </c>
      <c r="B288" s="43">
        <f>YEAR(Table13[[#This Row],[Date]])+IF(MONTH(Table13[[#This Row],[Date]])&gt;=4,1,0)</f>
        <v>2026</v>
      </c>
      <c r="C288" s="10">
        <f>YEAR(Table13[[#This Row],[Date]])</f>
        <v>2026</v>
      </c>
      <c r="D288" s="309">
        <f>Table13[[#This Row],[Date]]-DAY(Table13[[#This Row],[Date]])+1</f>
        <v>46023</v>
      </c>
      <c r="E288" s="10">
        <f t="shared" si="25"/>
        <v>31</v>
      </c>
      <c r="F288" s="241" t="str">
        <f>IFERROR(_xlfn.XLOOKUP($A288,Input_Raw!$E:$E,Input_Raw!DC:DC),"")</f>
        <v/>
      </c>
      <c r="G288" s="313"/>
      <c r="H288" s="313"/>
      <c r="I288" s="313"/>
      <c r="J288" s="313"/>
      <c r="K288" s="243"/>
      <c r="L288" s="242"/>
      <c r="M288" s="242" t="str">
        <f>IFERROR(_xlfn.XLOOKUP($A288,Input_Raw!$E:$E,Input_Raw!$BM:$BM),"")</f>
        <v/>
      </c>
      <c r="N288" s="242" t="str">
        <f>IFERROR(_xlfn.XLOOKUP($A288,Input_Raw!$E:$E,Input_Raw!$BN:$BN),"")</f>
        <v/>
      </c>
      <c r="O288" s="311" t="str">
        <f t="shared" si="26"/>
        <v/>
      </c>
      <c r="P288" s="311" t="str">
        <f>IFERROR(1-SUMIF(WTG_BD!$F:$F,$A288,WTG_BD!$AA:$AA)/($AA288+SUMIF(WTG_BD!$F:$F,$A288,WTG_BD!$AA:$AA)),"")</f>
        <v/>
      </c>
      <c r="Q288" s="328" t="str">
        <f>IFERROR(1-SUMIF(IGA_BD!$F:$F,$A288,IGA_BD!$W:$W)/($AA288+SUMIF(IGA_BD!$F:$F,$A288,IGA_BD!$W:$W)),"")</f>
        <v/>
      </c>
      <c r="R288" s="47" t="str">
        <f>IFERROR(1-SUMIF(Grid_BD!$F:$F,$A288,Grid_BD!$Y:$Y)/($AA288+SUMIF(Grid_BD!$F:$F,$A288,Grid_BD!$Y:$Y)),"")</f>
        <v/>
      </c>
      <c r="S288" s="10"/>
      <c r="T288" s="310"/>
      <c r="U288" s="311"/>
      <c r="V288" s="10"/>
      <c r="W288" s="312" t="str">
        <f t="shared" si="27"/>
        <v/>
      </c>
      <c r="X288" s="10" t="str">
        <f>IFERROR(_xlfn.XLOOKUP($A288,Input_Raw!$E:$E,Input_Raw!BG:BG),"")</f>
        <v/>
      </c>
      <c r="Y288" s="10" t="str">
        <f>IFERROR(_xlfn.XLOOKUP($A288,Input_Raw!$E:$E,Input_Raw!DF:DF),"")</f>
        <v/>
      </c>
      <c r="Z288" s="319" t="str">
        <f>IFERROR(_xlfn.XLOOKUP(A288,Input_Raw!E:E,Input_Raw!CT:CT)/_xlfn.XLOOKUP(A288,Input_Raw!E:E,Input_Raw!CS:CS)*Table13[[#This Row],[Mtr_Export (kWh)]],"")</f>
        <v/>
      </c>
      <c r="AA288" s="43" t="str">
        <f t="shared" si="28"/>
        <v/>
      </c>
      <c r="AB288" s="10" t="str">
        <f>IFERROR(_xlfn.XLOOKUP($A288,Input_Raw!$E:$E,Input_Raw!$CZ:$CZ),"")</f>
        <v/>
      </c>
      <c r="AC288" s="313">
        <f>IFERROR(_xlfn.XLOOKUP($D288,'Modelling New'!$D:$D,'Modelling New'!$J:$J),"")</f>
        <v>7.411120320091455</v>
      </c>
      <c r="AD288" s="43">
        <f>IFERROR(_xlfn.XLOOKUP($D288,'Modelling New'!$D:$D,'Modelling New'!$T:$T)*1000,"")</f>
        <v>422505.16129032255</v>
      </c>
      <c r="AE288" s="312"/>
      <c r="AF288" s="312">
        <f>IFERROR(_xlfn.XLOOKUP($D288,'Modelling New'!$D:$D,'Modelling New'!$W:$W),"")</f>
        <v>0.347912682221939</v>
      </c>
      <c r="AG288" s="312">
        <f>IFERROR(_xlfn.XLOOKUP($D288,'Modelling New'!$D:$D,'Modelling New'!$AE:$AE),"")</f>
        <v>0.95549849999999992</v>
      </c>
      <c r="AH288" s="312">
        <f>IFERROR(_xlfn.XLOOKUP($D288,'Modelling New'!$D:$D,'Modelling New'!$AF:$AF),"")</f>
        <v>0.995</v>
      </c>
      <c r="AI288" s="10" t="str">
        <f>IFERROR(_xlfn.XLOOKUP($A288,Input_Raw!$E:$E,Input_Raw!$DG:$DG),"")</f>
        <v/>
      </c>
      <c r="AJ288" s="10"/>
      <c r="AK288" s="10"/>
      <c r="AL288" s="10"/>
      <c r="AM288" s="10"/>
      <c r="AN288" s="314" t="str">
        <f>IFERROR(_xlfn.XLOOKUP($A288,Input_Raw!$E:$E,Input_Raw!$CY:$CY),"")</f>
        <v/>
      </c>
      <c r="AO288" s="312" t="str">
        <f>IFERROR((_xlfn.XLOOKUP($A288,'WTG Reactive Power'!$A:$A,'WTG Reactive Power'!AB:AB))/X288,"")</f>
        <v/>
      </c>
      <c r="AP288" s="312">
        <f>IFERROR(_xlfn.XLOOKUP($D288,'Modelling New'!$D:$D,'Modelling New'!AK:AK),"")</f>
        <v>0.05</v>
      </c>
      <c r="AQ288" s="312">
        <f>IFERROR(_xlfn.XLOOKUP($D288,'Modelling New'!$D:$D,'Modelling New'!AL:AL),"")</f>
        <v>0.05</v>
      </c>
      <c r="AR288" s="325">
        <f>IFERROR(_xlfn.XLOOKUP($D288,'Modelling New'!$D:$D,'Modelling New'!$N:$N),"")</f>
        <v>50.59999999999998</v>
      </c>
      <c r="AS288" s="325"/>
    </row>
    <row r="289" spans="1:45">
      <c r="A289" s="32">
        <f t="shared" si="29"/>
        <v>46032</v>
      </c>
      <c r="B289" s="43">
        <f>YEAR(Table13[[#This Row],[Date]])+IF(MONTH(Table13[[#This Row],[Date]])&gt;=4,1,0)</f>
        <v>2026</v>
      </c>
      <c r="C289" s="10">
        <f>YEAR(Table13[[#This Row],[Date]])</f>
        <v>2026</v>
      </c>
      <c r="D289" s="309">
        <f>Table13[[#This Row],[Date]]-DAY(Table13[[#This Row],[Date]])+1</f>
        <v>46023</v>
      </c>
      <c r="E289" s="10">
        <f t="shared" si="25"/>
        <v>31</v>
      </c>
      <c r="F289" s="241" t="str">
        <f>IFERROR(_xlfn.XLOOKUP($A289,Input_Raw!$E:$E,Input_Raw!DC:DC),"")</f>
        <v/>
      </c>
      <c r="G289" s="242"/>
      <c r="H289" s="242"/>
      <c r="I289" s="242"/>
      <c r="J289" s="242"/>
      <c r="K289" s="243"/>
      <c r="L289" s="242"/>
      <c r="M289" s="242" t="str">
        <f>IFERROR(_xlfn.XLOOKUP($A289,Input_Raw!$E:$E,Input_Raw!$BM:$BM),"")</f>
        <v/>
      </c>
      <c r="N289" s="242" t="str">
        <f>IFERROR(_xlfn.XLOOKUP($A289,Input_Raw!$E:$E,Input_Raw!$BN:$BN),"")</f>
        <v/>
      </c>
      <c r="O289" s="311" t="str">
        <f t="shared" si="26"/>
        <v/>
      </c>
      <c r="P289" s="311" t="str">
        <f>IFERROR(1-SUMIF(WTG_BD!$F:$F,$A289,WTG_BD!$AA:$AA)/($AA289+SUMIF(WTG_BD!$F:$F,$A289,WTG_BD!$AA:$AA)),"")</f>
        <v/>
      </c>
      <c r="Q289" s="328" t="str">
        <f>IFERROR(1-SUMIF(IGA_BD!$F:$F,$A289,IGA_BD!$W:$W)/($AA289+SUMIF(IGA_BD!$F:$F,$A289,IGA_BD!$W:$W)),"")</f>
        <v/>
      </c>
      <c r="R289" s="311" t="str">
        <f>IFERROR(1-SUMIF(Grid_BD!$F:$F,$A289,Grid_BD!$Y:$Y)/($AA289+SUMIF(Grid_BD!$F:$F,$A289,Grid_BD!$Y:$Y)),"")</f>
        <v/>
      </c>
      <c r="S289" s="10"/>
      <c r="T289" s="310"/>
      <c r="U289" s="311"/>
      <c r="V289" s="10"/>
      <c r="W289" s="312" t="str">
        <f t="shared" si="27"/>
        <v/>
      </c>
      <c r="X289" s="10" t="str">
        <f>IFERROR(_xlfn.XLOOKUP($A289,Input_Raw!$E:$E,Input_Raw!BG:BG),"")</f>
        <v/>
      </c>
      <c r="Y289" s="10" t="str">
        <f>IFERROR(_xlfn.XLOOKUP($A289,Input_Raw!$E:$E,Input_Raw!DF:DF),"")</f>
        <v/>
      </c>
      <c r="Z289" s="319" t="str">
        <f>IFERROR(_xlfn.XLOOKUP(A289,Input_Raw!E:E,Input_Raw!CT:CT)/_xlfn.XLOOKUP(A289,Input_Raw!E:E,Input_Raw!CS:CS)*Table13[[#This Row],[Mtr_Export (kWh)]],"")</f>
        <v/>
      </c>
      <c r="AA289" s="43" t="str">
        <f t="shared" si="28"/>
        <v/>
      </c>
      <c r="AB289" s="10" t="str">
        <f>IFERROR(_xlfn.XLOOKUP($A289,Input_Raw!$E:$E,Input_Raw!$CZ:$CZ),"")</f>
        <v/>
      </c>
      <c r="AC289" s="313">
        <f>IFERROR(_xlfn.XLOOKUP($D289,'Modelling New'!$D:$D,'Modelling New'!$J:$J),"")</f>
        <v>7.411120320091455</v>
      </c>
      <c r="AD289" s="43">
        <f>IFERROR(_xlfn.XLOOKUP($D289,'Modelling New'!$D:$D,'Modelling New'!$T:$T)*1000,"")</f>
        <v>422505.16129032255</v>
      </c>
      <c r="AE289" s="312"/>
      <c r="AF289" s="312">
        <f>IFERROR(_xlfn.XLOOKUP($D289,'Modelling New'!$D:$D,'Modelling New'!$W:$W),"")</f>
        <v>0.347912682221939</v>
      </c>
      <c r="AG289" s="312">
        <f>IFERROR(_xlfn.XLOOKUP($D289,'Modelling New'!$D:$D,'Modelling New'!$AE:$AE),"")</f>
        <v>0.95549849999999992</v>
      </c>
      <c r="AH289" s="312">
        <f>IFERROR(_xlfn.XLOOKUP($D289,'Modelling New'!$D:$D,'Modelling New'!$AF:$AF),"")</f>
        <v>0.995</v>
      </c>
      <c r="AI289" s="10" t="str">
        <f>IFERROR(_xlfn.XLOOKUP($A289,Input_Raw!$E:$E,Input_Raw!$DG:$DG),"")</f>
        <v/>
      </c>
      <c r="AJ289" s="10"/>
      <c r="AK289" s="10"/>
      <c r="AL289" s="10"/>
      <c r="AM289" s="10"/>
      <c r="AN289" s="314" t="str">
        <f>IFERROR(_xlfn.XLOOKUP($A289,Input_Raw!$E:$E,Input_Raw!$CY:$CY),"")</f>
        <v/>
      </c>
      <c r="AO289" s="312" t="str">
        <f>IFERROR((_xlfn.XLOOKUP($A289,'WTG Reactive Power'!$A:$A,'WTG Reactive Power'!AB:AB))/X289,"")</f>
        <v/>
      </c>
      <c r="AP289" s="312">
        <f>IFERROR(_xlfn.XLOOKUP($D289,'Modelling New'!$D:$D,'Modelling New'!AK:AK),"")</f>
        <v>0.05</v>
      </c>
      <c r="AQ289" s="312">
        <f>IFERROR(_xlfn.XLOOKUP($D289,'Modelling New'!$D:$D,'Modelling New'!AL:AL),"")</f>
        <v>0.05</v>
      </c>
      <c r="AR289" s="325">
        <f>IFERROR(_xlfn.XLOOKUP($D289,'Modelling New'!$D:$D,'Modelling New'!$N:$N),"")</f>
        <v>50.59999999999998</v>
      </c>
      <c r="AS289" s="325"/>
    </row>
    <row r="290" spans="1:45">
      <c r="A290" s="32">
        <f t="shared" si="29"/>
        <v>46033</v>
      </c>
      <c r="B290" s="43">
        <f>YEAR(Table13[[#This Row],[Date]])+IF(MONTH(Table13[[#This Row],[Date]])&gt;=4,1,0)</f>
        <v>2026</v>
      </c>
      <c r="C290" s="10">
        <f>YEAR(Table13[[#This Row],[Date]])</f>
        <v>2026</v>
      </c>
      <c r="D290" s="309">
        <f>Table13[[#This Row],[Date]]-DAY(Table13[[#This Row],[Date]])+1</f>
        <v>46023</v>
      </c>
      <c r="E290" s="10">
        <f t="shared" si="25"/>
        <v>31</v>
      </c>
      <c r="F290" s="241" t="str">
        <f>IFERROR(_xlfn.XLOOKUP($A290,Input_Raw!$E:$E,Input_Raw!DC:DC),"")</f>
        <v/>
      </c>
      <c r="G290" s="313"/>
      <c r="H290" s="313"/>
      <c r="I290" s="313"/>
      <c r="J290" s="313"/>
      <c r="K290" s="243"/>
      <c r="L290" s="242"/>
      <c r="M290" s="242" t="str">
        <f>IFERROR(_xlfn.XLOOKUP($A290,Input_Raw!$E:$E,Input_Raw!$BM:$BM),"")</f>
        <v/>
      </c>
      <c r="N290" s="242" t="str">
        <f>IFERROR(_xlfn.XLOOKUP($A290,Input_Raw!$E:$E,Input_Raw!$BN:$BN),"")</f>
        <v/>
      </c>
      <c r="O290" s="311" t="str">
        <f t="shared" si="26"/>
        <v/>
      </c>
      <c r="P290" s="311" t="str">
        <f>IFERROR(1-SUMIF(WTG_BD!$F:$F,$A290,WTG_BD!$AA:$AA)/($AA290+SUMIF(WTG_BD!$F:$F,$A290,WTG_BD!$AA:$AA)),"")</f>
        <v/>
      </c>
      <c r="Q290" s="328" t="str">
        <f>IFERROR(1-SUMIF(IGA_BD!$F:$F,$A290,IGA_BD!$W:$W)/($AA290+SUMIF(IGA_BD!$F:$F,$A290,IGA_BD!$W:$W)),"")</f>
        <v/>
      </c>
      <c r="R290" s="47" t="str">
        <f>IFERROR(1-SUMIF(Grid_BD!$F:$F,$A290,Grid_BD!$Y:$Y)/($AA290+SUMIF(Grid_BD!$F:$F,$A290,Grid_BD!$Y:$Y)),"")</f>
        <v/>
      </c>
      <c r="S290" s="10"/>
      <c r="T290" s="310"/>
      <c r="U290" s="311"/>
      <c r="V290" s="10"/>
      <c r="W290" s="312" t="str">
        <f t="shared" si="27"/>
        <v/>
      </c>
      <c r="X290" s="10" t="str">
        <f>IFERROR(_xlfn.XLOOKUP($A290,Input_Raw!$E:$E,Input_Raw!BG:BG),"")</f>
        <v/>
      </c>
      <c r="Y290" s="10" t="str">
        <f>IFERROR(_xlfn.XLOOKUP($A290,Input_Raw!$E:$E,Input_Raw!DF:DF),"")</f>
        <v/>
      </c>
      <c r="Z290" s="319" t="str">
        <f>IFERROR(_xlfn.XLOOKUP(A290,Input_Raw!E:E,Input_Raw!CT:CT)/_xlfn.XLOOKUP(A290,Input_Raw!E:E,Input_Raw!CS:CS)*Table13[[#This Row],[Mtr_Export (kWh)]],"")</f>
        <v/>
      </c>
      <c r="AA290" s="43" t="str">
        <f t="shared" si="28"/>
        <v/>
      </c>
      <c r="AB290" s="10" t="str">
        <f>IFERROR(_xlfn.XLOOKUP($A290,Input_Raw!$E:$E,Input_Raw!$CZ:$CZ),"")</f>
        <v/>
      </c>
      <c r="AC290" s="313">
        <f>IFERROR(_xlfn.XLOOKUP($D290,'Modelling New'!$D:$D,'Modelling New'!$J:$J),"")</f>
        <v>7.411120320091455</v>
      </c>
      <c r="AD290" s="43">
        <f>IFERROR(_xlfn.XLOOKUP($D290,'Modelling New'!$D:$D,'Modelling New'!$T:$T)*1000,"")</f>
        <v>422505.16129032255</v>
      </c>
      <c r="AE290" s="312"/>
      <c r="AF290" s="312">
        <f>IFERROR(_xlfn.XLOOKUP($D290,'Modelling New'!$D:$D,'Modelling New'!$W:$W),"")</f>
        <v>0.347912682221939</v>
      </c>
      <c r="AG290" s="312">
        <f>IFERROR(_xlfn.XLOOKUP($D290,'Modelling New'!$D:$D,'Modelling New'!$AE:$AE),"")</f>
        <v>0.95549849999999992</v>
      </c>
      <c r="AH290" s="312">
        <f>IFERROR(_xlfn.XLOOKUP($D290,'Modelling New'!$D:$D,'Modelling New'!$AF:$AF),"")</f>
        <v>0.995</v>
      </c>
      <c r="AI290" s="10" t="str">
        <f>IFERROR(_xlfn.XLOOKUP($A290,Input_Raw!$E:$E,Input_Raw!$DG:$DG),"")</f>
        <v/>
      </c>
      <c r="AJ290" s="10"/>
      <c r="AK290" s="10"/>
      <c r="AL290" s="10"/>
      <c r="AM290" s="10"/>
      <c r="AN290" s="314" t="str">
        <f>IFERROR(_xlfn.XLOOKUP($A290,Input_Raw!$E:$E,Input_Raw!$CY:$CY),"")</f>
        <v/>
      </c>
      <c r="AO290" s="312" t="str">
        <f>IFERROR((_xlfn.XLOOKUP($A290,'WTG Reactive Power'!$A:$A,'WTG Reactive Power'!AB:AB))/X290,"")</f>
        <v/>
      </c>
      <c r="AP290" s="312">
        <f>IFERROR(_xlfn.XLOOKUP($D290,'Modelling New'!$D:$D,'Modelling New'!AK:AK),"")</f>
        <v>0.05</v>
      </c>
      <c r="AQ290" s="312">
        <f>IFERROR(_xlfn.XLOOKUP($D290,'Modelling New'!$D:$D,'Modelling New'!AL:AL),"")</f>
        <v>0.05</v>
      </c>
      <c r="AR290" s="325">
        <f>IFERROR(_xlfn.XLOOKUP($D290,'Modelling New'!$D:$D,'Modelling New'!$N:$N),"")</f>
        <v>50.59999999999998</v>
      </c>
      <c r="AS290" s="325"/>
    </row>
    <row r="291" spans="1:45">
      <c r="A291" s="32">
        <f t="shared" si="29"/>
        <v>46034</v>
      </c>
      <c r="B291" s="43">
        <f>YEAR(Table13[[#This Row],[Date]])+IF(MONTH(Table13[[#This Row],[Date]])&gt;=4,1,0)</f>
        <v>2026</v>
      </c>
      <c r="C291" s="10">
        <f>YEAR(Table13[[#This Row],[Date]])</f>
        <v>2026</v>
      </c>
      <c r="D291" s="309">
        <f>Table13[[#This Row],[Date]]-DAY(Table13[[#This Row],[Date]])+1</f>
        <v>46023</v>
      </c>
      <c r="E291" s="10">
        <f t="shared" si="25"/>
        <v>31</v>
      </c>
      <c r="F291" s="241" t="str">
        <f>IFERROR(_xlfn.XLOOKUP($A291,Input_Raw!$E:$E,Input_Raw!DC:DC),"")</f>
        <v/>
      </c>
      <c r="G291" s="242"/>
      <c r="H291" s="242"/>
      <c r="I291" s="242"/>
      <c r="J291" s="242"/>
      <c r="K291" s="243"/>
      <c r="L291" s="242"/>
      <c r="M291" s="242" t="str">
        <f>IFERROR(_xlfn.XLOOKUP($A291,Input_Raw!$E:$E,Input_Raw!$BM:$BM),"")</f>
        <v/>
      </c>
      <c r="N291" s="242" t="str">
        <f>IFERROR(_xlfn.XLOOKUP($A291,Input_Raw!$E:$E,Input_Raw!$BN:$BN),"")</f>
        <v/>
      </c>
      <c r="O291" s="311" t="str">
        <f t="shared" si="26"/>
        <v/>
      </c>
      <c r="P291" s="311" t="str">
        <f>IFERROR(1-SUMIF(WTG_BD!$F:$F,$A291,WTG_BD!$AA:$AA)/($AA291+SUMIF(WTG_BD!$F:$F,$A291,WTG_BD!$AA:$AA)),"")</f>
        <v/>
      </c>
      <c r="Q291" s="328" t="str">
        <f>IFERROR(1-SUMIF(IGA_BD!$F:$F,$A291,IGA_BD!$W:$W)/($AA291+SUMIF(IGA_BD!$F:$F,$A291,IGA_BD!$W:$W)),"")</f>
        <v/>
      </c>
      <c r="R291" s="311" t="str">
        <f>IFERROR(1-SUMIF(Grid_BD!$F:$F,$A291,Grid_BD!$Y:$Y)/($AA291+SUMIF(Grid_BD!$F:$F,$A291,Grid_BD!$Y:$Y)),"")</f>
        <v/>
      </c>
      <c r="S291" s="10"/>
      <c r="T291" s="310"/>
      <c r="U291" s="311"/>
      <c r="V291" s="10"/>
      <c r="W291" s="312" t="str">
        <f t="shared" si="27"/>
        <v/>
      </c>
      <c r="X291" s="10" t="str">
        <f>IFERROR(_xlfn.XLOOKUP($A291,Input_Raw!$E:$E,Input_Raw!BG:BG),"")</f>
        <v/>
      </c>
      <c r="Y291" s="10" t="str">
        <f>IFERROR(_xlfn.XLOOKUP($A291,Input_Raw!$E:$E,Input_Raw!DF:DF),"")</f>
        <v/>
      </c>
      <c r="Z291" s="319" t="str">
        <f>IFERROR(_xlfn.XLOOKUP(A291,Input_Raw!E:E,Input_Raw!CT:CT)/_xlfn.XLOOKUP(A291,Input_Raw!E:E,Input_Raw!CS:CS)*Table13[[#This Row],[Mtr_Export (kWh)]],"")</f>
        <v/>
      </c>
      <c r="AA291" s="43" t="str">
        <f t="shared" si="28"/>
        <v/>
      </c>
      <c r="AB291" s="10" t="str">
        <f>IFERROR(_xlfn.XLOOKUP($A291,Input_Raw!$E:$E,Input_Raw!$CZ:$CZ),"")</f>
        <v/>
      </c>
      <c r="AC291" s="313">
        <f>IFERROR(_xlfn.XLOOKUP($D291,'Modelling New'!$D:$D,'Modelling New'!$J:$J),"")</f>
        <v>7.411120320091455</v>
      </c>
      <c r="AD291" s="43">
        <f>IFERROR(_xlfn.XLOOKUP($D291,'Modelling New'!$D:$D,'Modelling New'!$T:$T)*1000,"")</f>
        <v>422505.16129032255</v>
      </c>
      <c r="AE291" s="312"/>
      <c r="AF291" s="312">
        <f>IFERROR(_xlfn.XLOOKUP($D291,'Modelling New'!$D:$D,'Modelling New'!$W:$W),"")</f>
        <v>0.347912682221939</v>
      </c>
      <c r="AG291" s="312">
        <f>IFERROR(_xlfn.XLOOKUP($D291,'Modelling New'!$D:$D,'Modelling New'!$AE:$AE),"")</f>
        <v>0.95549849999999992</v>
      </c>
      <c r="AH291" s="312">
        <f>IFERROR(_xlfn.XLOOKUP($D291,'Modelling New'!$D:$D,'Modelling New'!$AF:$AF),"")</f>
        <v>0.995</v>
      </c>
      <c r="AI291" s="10" t="str">
        <f>IFERROR(_xlfn.XLOOKUP($A291,Input_Raw!$E:$E,Input_Raw!$DG:$DG),"")</f>
        <v/>
      </c>
      <c r="AJ291" s="10"/>
      <c r="AK291" s="10"/>
      <c r="AL291" s="10"/>
      <c r="AM291" s="10"/>
      <c r="AN291" s="314" t="str">
        <f>IFERROR(_xlfn.XLOOKUP($A291,Input_Raw!$E:$E,Input_Raw!$CY:$CY),"")</f>
        <v/>
      </c>
      <c r="AO291" s="312" t="str">
        <f>IFERROR((_xlfn.XLOOKUP($A291,'WTG Reactive Power'!$A:$A,'WTG Reactive Power'!AB:AB))/X291,"")</f>
        <v/>
      </c>
      <c r="AP291" s="312">
        <f>IFERROR(_xlfn.XLOOKUP($D291,'Modelling New'!$D:$D,'Modelling New'!AK:AK),"")</f>
        <v>0.05</v>
      </c>
      <c r="AQ291" s="312">
        <f>IFERROR(_xlfn.XLOOKUP($D291,'Modelling New'!$D:$D,'Modelling New'!AL:AL),"")</f>
        <v>0.05</v>
      </c>
      <c r="AR291" s="325">
        <f>IFERROR(_xlfn.XLOOKUP($D291,'Modelling New'!$D:$D,'Modelling New'!$N:$N),"")</f>
        <v>50.59999999999998</v>
      </c>
      <c r="AS291" s="325"/>
    </row>
    <row r="292" spans="1:45">
      <c r="A292" s="32">
        <f t="shared" si="29"/>
        <v>46035</v>
      </c>
      <c r="B292" s="43">
        <f>YEAR(Table13[[#This Row],[Date]])+IF(MONTH(Table13[[#This Row],[Date]])&gt;=4,1,0)</f>
        <v>2026</v>
      </c>
      <c r="C292" s="10">
        <f>YEAR(Table13[[#This Row],[Date]])</f>
        <v>2026</v>
      </c>
      <c r="D292" s="309">
        <f>Table13[[#This Row],[Date]]-DAY(Table13[[#This Row],[Date]])+1</f>
        <v>46023</v>
      </c>
      <c r="E292" s="10">
        <f t="shared" si="25"/>
        <v>31</v>
      </c>
      <c r="F292" s="241" t="str">
        <f>IFERROR(_xlfn.XLOOKUP($A292,Input_Raw!$E:$E,Input_Raw!DC:DC),"")</f>
        <v/>
      </c>
      <c r="G292" s="313"/>
      <c r="H292" s="313"/>
      <c r="I292" s="313"/>
      <c r="J292" s="313"/>
      <c r="K292" s="243"/>
      <c r="L292" s="242"/>
      <c r="M292" s="242" t="str">
        <f>IFERROR(_xlfn.XLOOKUP($A292,Input_Raw!$E:$E,Input_Raw!$BM:$BM),"")</f>
        <v/>
      </c>
      <c r="N292" s="242" t="str">
        <f>IFERROR(_xlfn.XLOOKUP($A292,Input_Raw!$E:$E,Input_Raw!$BN:$BN),"")</f>
        <v/>
      </c>
      <c r="O292" s="311" t="str">
        <f t="shared" si="26"/>
        <v/>
      </c>
      <c r="P292" s="311" t="str">
        <f>IFERROR(1-SUMIF(WTG_BD!$F:$F,$A292,WTG_BD!$AA:$AA)/($AA292+SUMIF(WTG_BD!$F:$F,$A292,WTG_BD!$AA:$AA)),"")</f>
        <v/>
      </c>
      <c r="Q292" s="328" t="str">
        <f>IFERROR(1-SUMIF(IGA_BD!$F:$F,$A292,IGA_BD!$W:$W)/($AA292+SUMIF(IGA_BD!$F:$F,$A292,IGA_BD!$W:$W)),"")</f>
        <v/>
      </c>
      <c r="R292" s="47" t="str">
        <f>IFERROR(1-SUMIF(Grid_BD!$F:$F,$A292,Grid_BD!$Y:$Y)/($AA292+SUMIF(Grid_BD!$F:$F,$A292,Grid_BD!$Y:$Y)),"")</f>
        <v/>
      </c>
      <c r="S292" s="10"/>
      <c r="T292" s="310"/>
      <c r="U292" s="311"/>
      <c r="V292" s="10"/>
      <c r="W292" s="312" t="str">
        <f t="shared" si="27"/>
        <v/>
      </c>
      <c r="X292" s="10" t="str">
        <f>IFERROR(_xlfn.XLOOKUP($A292,Input_Raw!$E:$E,Input_Raw!BG:BG),"")</f>
        <v/>
      </c>
      <c r="Y292" s="10" t="str">
        <f>IFERROR(_xlfn.XLOOKUP($A292,Input_Raw!$E:$E,Input_Raw!DF:DF),"")</f>
        <v/>
      </c>
      <c r="Z292" s="319" t="str">
        <f>IFERROR(_xlfn.XLOOKUP(A292,Input_Raw!E:E,Input_Raw!CT:CT)/_xlfn.XLOOKUP(A292,Input_Raw!E:E,Input_Raw!CS:CS)*Table13[[#This Row],[Mtr_Export (kWh)]],"")</f>
        <v/>
      </c>
      <c r="AA292" s="43" t="str">
        <f t="shared" si="28"/>
        <v/>
      </c>
      <c r="AB292" s="10" t="str">
        <f>IFERROR(_xlfn.XLOOKUP($A292,Input_Raw!$E:$E,Input_Raw!$CZ:$CZ),"")</f>
        <v/>
      </c>
      <c r="AC292" s="313">
        <f>IFERROR(_xlfn.XLOOKUP($D292,'Modelling New'!$D:$D,'Modelling New'!$J:$J),"")</f>
        <v>7.411120320091455</v>
      </c>
      <c r="AD292" s="43">
        <f>IFERROR(_xlfn.XLOOKUP($D292,'Modelling New'!$D:$D,'Modelling New'!$T:$T)*1000,"")</f>
        <v>422505.16129032255</v>
      </c>
      <c r="AE292" s="312"/>
      <c r="AF292" s="312">
        <f>IFERROR(_xlfn.XLOOKUP($D292,'Modelling New'!$D:$D,'Modelling New'!$W:$W),"")</f>
        <v>0.347912682221939</v>
      </c>
      <c r="AG292" s="312">
        <f>IFERROR(_xlfn.XLOOKUP($D292,'Modelling New'!$D:$D,'Modelling New'!$AE:$AE),"")</f>
        <v>0.95549849999999992</v>
      </c>
      <c r="AH292" s="312">
        <f>IFERROR(_xlfn.XLOOKUP($D292,'Modelling New'!$D:$D,'Modelling New'!$AF:$AF),"")</f>
        <v>0.995</v>
      </c>
      <c r="AI292" s="10" t="str">
        <f>IFERROR(_xlfn.XLOOKUP($A292,Input_Raw!$E:$E,Input_Raw!$DG:$DG),"")</f>
        <v/>
      </c>
      <c r="AJ292" s="10"/>
      <c r="AK292" s="10"/>
      <c r="AL292" s="10"/>
      <c r="AM292" s="10"/>
      <c r="AN292" s="314" t="str">
        <f>IFERROR(_xlfn.XLOOKUP($A292,Input_Raw!$E:$E,Input_Raw!$CY:$CY),"")</f>
        <v/>
      </c>
      <c r="AO292" s="312" t="str">
        <f>IFERROR((_xlfn.XLOOKUP($A292,'WTG Reactive Power'!$A:$A,'WTG Reactive Power'!AB:AB))/X292,"")</f>
        <v/>
      </c>
      <c r="AP292" s="312">
        <f>IFERROR(_xlfn.XLOOKUP($D292,'Modelling New'!$D:$D,'Modelling New'!AK:AK),"")</f>
        <v>0.05</v>
      </c>
      <c r="AQ292" s="312">
        <f>IFERROR(_xlfn.XLOOKUP($D292,'Modelling New'!$D:$D,'Modelling New'!AL:AL),"")</f>
        <v>0.05</v>
      </c>
      <c r="AR292" s="325">
        <f>IFERROR(_xlfn.XLOOKUP($D292,'Modelling New'!$D:$D,'Modelling New'!$N:$N),"")</f>
        <v>50.59999999999998</v>
      </c>
      <c r="AS292" s="325"/>
    </row>
    <row r="293" spans="1:45">
      <c r="A293" s="32">
        <f t="shared" si="29"/>
        <v>46036</v>
      </c>
      <c r="B293" s="43">
        <f>YEAR(Table13[[#This Row],[Date]])+IF(MONTH(Table13[[#This Row],[Date]])&gt;=4,1,0)</f>
        <v>2026</v>
      </c>
      <c r="C293" s="10">
        <f>YEAR(Table13[[#This Row],[Date]])</f>
        <v>2026</v>
      </c>
      <c r="D293" s="309">
        <f>Table13[[#This Row],[Date]]-DAY(Table13[[#This Row],[Date]])+1</f>
        <v>46023</v>
      </c>
      <c r="E293" s="10">
        <f t="shared" si="25"/>
        <v>31</v>
      </c>
      <c r="F293" s="241" t="str">
        <f>IFERROR(_xlfn.XLOOKUP($A293,Input_Raw!$E:$E,Input_Raw!DC:DC),"")</f>
        <v/>
      </c>
      <c r="G293" s="242"/>
      <c r="H293" s="242"/>
      <c r="I293" s="242"/>
      <c r="J293" s="242"/>
      <c r="K293" s="243"/>
      <c r="L293" s="242"/>
      <c r="M293" s="242" t="str">
        <f>IFERROR(_xlfn.XLOOKUP($A293,Input_Raw!$E:$E,Input_Raw!$BM:$BM),"")</f>
        <v/>
      </c>
      <c r="N293" s="242" t="str">
        <f>IFERROR(_xlfn.XLOOKUP($A293,Input_Raw!$E:$E,Input_Raw!$BN:$BN),"")</f>
        <v/>
      </c>
      <c r="O293" s="311" t="str">
        <f t="shared" si="26"/>
        <v/>
      </c>
      <c r="P293" s="311" t="str">
        <f>IFERROR(1-SUMIF(WTG_BD!$F:$F,$A293,WTG_BD!$AA:$AA)/($AA293+SUMIF(WTG_BD!$F:$F,$A293,WTG_BD!$AA:$AA)),"")</f>
        <v/>
      </c>
      <c r="Q293" s="328" t="str">
        <f>IFERROR(1-SUMIF(IGA_BD!$F:$F,$A293,IGA_BD!$W:$W)/($AA293+SUMIF(IGA_BD!$F:$F,$A293,IGA_BD!$W:$W)),"")</f>
        <v/>
      </c>
      <c r="R293" s="311" t="str">
        <f>IFERROR(1-SUMIF(Grid_BD!$F:$F,$A293,Grid_BD!$Y:$Y)/($AA293+SUMIF(Grid_BD!$F:$F,$A293,Grid_BD!$Y:$Y)),"")</f>
        <v/>
      </c>
      <c r="S293" s="10"/>
      <c r="T293" s="310"/>
      <c r="U293" s="311"/>
      <c r="V293" s="10"/>
      <c r="W293" s="312" t="str">
        <f t="shared" si="27"/>
        <v/>
      </c>
      <c r="X293" s="10" t="str">
        <f>IFERROR(_xlfn.XLOOKUP($A293,Input_Raw!$E:$E,Input_Raw!BG:BG),"")</f>
        <v/>
      </c>
      <c r="Y293" s="10" t="str">
        <f>IFERROR(_xlfn.XLOOKUP($A293,Input_Raw!$E:$E,Input_Raw!DF:DF),"")</f>
        <v/>
      </c>
      <c r="Z293" s="319" t="str">
        <f>IFERROR(_xlfn.XLOOKUP(A293,Input_Raw!E:E,Input_Raw!CT:CT)/_xlfn.XLOOKUP(A293,Input_Raw!E:E,Input_Raw!CS:CS)*Table13[[#This Row],[Mtr_Export (kWh)]],"")</f>
        <v/>
      </c>
      <c r="AA293" s="43" t="str">
        <f t="shared" si="28"/>
        <v/>
      </c>
      <c r="AB293" s="10" t="str">
        <f>IFERROR(_xlfn.XLOOKUP($A293,Input_Raw!$E:$E,Input_Raw!$CZ:$CZ),"")</f>
        <v/>
      </c>
      <c r="AC293" s="313">
        <f>IFERROR(_xlfn.XLOOKUP($D293,'Modelling New'!$D:$D,'Modelling New'!$J:$J),"")</f>
        <v>7.411120320091455</v>
      </c>
      <c r="AD293" s="43">
        <f>IFERROR(_xlfn.XLOOKUP($D293,'Modelling New'!$D:$D,'Modelling New'!$T:$T)*1000,"")</f>
        <v>422505.16129032255</v>
      </c>
      <c r="AE293" s="312"/>
      <c r="AF293" s="312">
        <f>IFERROR(_xlfn.XLOOKUP($D293,'Modelling New'!$D:$D,'Modelling New'!$W:$W),"")</f>
        <v>0.347912682221939</v>
      </c>
      <c r="AG293" s="312">
        <f>IFERROR(_xlfn.XLOOKUP($D293,'Modelling New'!$D:$D,'Modelling New'!$AE:$AE),"")</f>
        <v>0.95549849999999992</v>
      </c>
      <c r="AH293" s="312">
        <f>IFERROR(_xlfn.XLOOKUP($D293,'Modelling New'!$D:$D,'Modelling New'!$AF:$AF),"")</f>
        <v>0.995</v>
      </c>
      <c r="AI293" s="10" t="str">
        <f>IFERROR(_xlfn.XLOOKUP($A293,Input_Raw!$E:$E,Input_Raw!$DG:$DG),"")</f>
        <v/>
      </c>
      <c r="AJ293" s="10"/>
      <c r="AK293" s="10"/>
      <c r="AL293" s="10"/>
      <c r="AM293" s="10"/>
      <c r="AN293" s="314" t="str">
        <f>IFERROR(_xlfn.XLOOKUP($A293,Input_Raw!$E:$E,Input_Raw!$CY:$CY),"")</f>
        <v/>
      </c>
      <c r="AO293" s="312" t="str">
        <f>IFERROR((_xlfn.XLOOKUP($A293,'WTG Reactive Power'!$A:$A,'WTG Reactive Power'!AB:AB))/X293,"")</f>
        <v/>
      </c>
      <c r="AP293" s="312">
        <f>IFERROR(_xlfn.XLOOKUP($D293,'Modelling New'!$D:$D,'Modelling New'!AK:AK),"")</f>
        <v>0.05</v>
      </c>
      <c r="AQ293" s="312">
        <f>IFERROR(_xlfn.XLOOKUP($D293,'Modelling New'!$D:$D,'Modelling New'!AL:AL),"")</f>
        <v>0.05</v>
      </c>
      <c r="AR293" s="325">
        <f>IFERROR(_xlfn.XLOOKUP($D293,'Modelling New'!$D:$D,'Modelling New'!$N:$N),"")</f>
        <v>50.59999999999998</v>
      </c>
      <c r="AS293" s="325"/>
    </row>
    <row r="294" spans="1:45">
      <c r="A294" s="32">
        <f t="shared" si="29"/>
        <v>46037</v>
      </c>
      <c r="B294" s="43">
        <f>YEAR(Table13[[#This Row],[Date]])+IF(MONTH(Table13[[#This Row],[Date]])&gt;=4,1,0)</f>
        <v>2026</v>
      </c>
      <c r="C294" s="10">
        <f>YEAR(Table13[[#This Row],[Date]])</f>
        <v>2026</v>
      </c>
      <c r="D294" s="309">
        <f>Table13[[#This Row],[Date]]-DAY(Table13[[#This Row],[Date]])+1</f>
        <v>46023</v>
      </c>
      <c r="E294" s="10">
        <f t="shared" si="25"/>
        <v>31</v>
      </c>
      <c r="F294" s="241" t="str">
        <f>IFERROR(_xlfn.XLOOKUP($A294,Input_Raw!$E:$E,Input_Raw!DC:DC),"")</f>
        <v/>
      </c>
      <c r="G294" s="313"/>
      <c r="H294" s="313"/>
      <c r="I294" s="313"/>
      <c r="J294" s="313"/>
      <c r="K294" s="243"/>
      <c r="L294" s="242"/>
      <c r="M294" s="242" t="str">
        <f>IFERROR(_xlfn.XLOOKUP($A294,Input_Raw!$E:$E,Input_Raw!$BM:$BM),"")</f>
        <v/>
      </c>
      <c r="N294" s="242" t="str">
        <f>IFERROR(_xlfn.XLOOKUP($A294,Input_Raw!$E:$E,Input_Raw!$BN:$BN),"")</f>
        <v/>
      </c>
      <c r="O294" s="311" t="str">
        <f t="shared" si="26"/>
        <v/>
      </c>
      <c r="P294" s="311" t="str">
        <f>IFERROR(1-SUMIF(WTG_BD!$F:$F,$A294,WTG_BD!$AA:$AA)/($AA294+SUMIF(WTG_BD!$F:$F,$A294,WTG_BD!$AA:$AA)),"")</f>
        <v/>
      </c>
      <c r="Q294" s="328" t="str">
        <f>IFERROR(1-SUMIF(IGA_BD!$F:$F,$A294,IGA_BD!$W:$W)/($AA294+SUMIF(IGA_BD!$F:$F,$A294,IGA_BD!$W:$W)),"")</f>
        <v/>
      </c>
      <c r="R294" s="47" t="str">
        <f>IFERROR(1-SUMIF(Grid_BD!$F:$F,$A294,Grid_BD!$Y:$Y)/($AA294+SUMIF(Grid_BD!$F:$F,$A294,Grid_BD!$Y:$Y)),"")</f>
        <v/>
      </c>
      <c r="S294" s="10"/>
      <c r="T294" s="310"/>
      <c r="U294" s="311"/>
      <c r="V294" s="10"/>
      <c r="W294" s="312" t="str">
        <f t="shared" si="27"/>
        <v/>
      </c>
      <c r="X294" s="10" t="str">
        <f>IFERROR(_xlfn.XLOOKUP($A294,Input_Raw!$E:$E,Input_Raw!BG:BG),"")</f>
        <v/>
      </c>
      <c r="Y294" s="10" t="str">
        <f>IFERROR(_xlfn.XLOOKUP($A294,Input_Raw!$E:$E,Input_Raw!DF:DF),"")</f>
        <v/>
      </c>
      <c r="Z294" s="319" t="str">
        <f>IFERROR(_xlfn.XLOOKUP(A294,Input_Raw!E:E,Input_Raw!CT:CT)/_xlfn.XLOOKUP(A294,Input_Raw!E:E,Input_Raw!CS:CS)*Table13[[#This Row],[Mtr_Export (kWh)]],"")</f>
        <v/>
      </c>
      <c r="AA294" s="43" t="str">
        <f t="shared" si="28"/>
        <v/>
      </c>
      <c r="AB294" s="10" t="str">
        <f>IFERROR(_xlfn.XLOOKUP($A294,Input_Raw!$E:$E,Input_Raw!$CZ:$CZ),"")</f>
        <v/>
      </c>
      <c r="AC294" s="313">
        <f>IFERROR(_xlfn.XLOOKUP($D294,'Modelling New'!$D:$D,'Modelling New'!$J:$J),"")</f>
        <v>7.411120320091455</v>
      </c>
      <c r="AD294" s="43">
        <f>IFERROR(_xlfn.XLOOKUP($D294,'Modelling New'!$D:$D,'Modelling New'!$T:$T)*1000,"")</f>
        <v>422505.16129032255</v>
      </c>
      <c r="AE294" s="312"/>
      <c r="AF294" s="312">
        <f>IFERROR(_xlfn.XLOOKUP($D294,'Modelling New'!$D:$D,'Modelling New'!$W:$W),"")</f>
        <v>0.347912682221939</v>
      </c>
      <c r="AG294" s="312">
        <f>IFERROR(_xlfn.XLOOKUP($D294,'Modelling New'!$D:$D,'Modelling New'!$AE:$AE),"")</f>
        <v>0.95549849999999992</v>
      </c>
      <c r="AH294" s="312">
        <f>IFERROR(_xlfn.XLOOKUP($D294,'Modelling New'!$D:$D,'Modelling New'!$AF:$AF),"")</f>
        <v>0.995</v>
      </c>
      <c r="AI294" s="10" t="str">
        <f>IFERROR(_xlfn.XLOOKUP($A294,Input_Raw!$E:$E,Input_Raw!$DG:$DG),"")</f>
        <v/>
      </c>
      <c r="AJ294" s="10"/>
      <c r="AK294" s="10"/>
      <c r="AL294" s="10"/>
      <c r="AM294" s="10"/>
      <c r="AN294" s="314" t="str">
        <f>IFERROR(_xlfn.XLOOKUP($A294,Input_Raw!$E:$E,Input_Raw!$CY:$CY),"")</f>
        <v/>
      </c>
      <c r="AO294" s="312" t="str">
        <f>IFERROR((_xlfn.XLOOKUP($A294,'WTG Reactive Power'!$A:$A,'WTG Reactive Power'!AB:AB))/X294,"")</f>
        <v/>
      </c>
      <c r="AP294" s="312">
        <f>IFERROR(_xlfn.XLOOKUP($D294,'Modelling New'!$D:$D,'Modelling New'!AK:AK),"")</f>
        <v>0.05</v>
      </c>
      <c r="AQ294" s="312">
        <f>IFERROR(_xlfn.XLOOKUP($D294,'Modelling New'!$D:$D,'Modelling New'!AL:AL),"")</f>
        <v>0.05</v>
      </c>
      <c r="AR294" s="325">
        <f>IFERROR(_xlfn.XLOOKUP($D294,'Modelling New'!$D:$D,'Modelling New'!$N:$N),"")</f>
        <v>50.59999999999998</v>
      </c>
      <c r="AS294" s="325"/>
    </row>
    <row r="295" spans="1:45">
      <c r="A295" s="32">
        <f t="shared" si="29"/>
        <v>46038</v>
      </c>
      <c r="B295" s="43">
        <f>YEAR(Table13[[#This Row],[Date]])+IF(MONTH(Table13[[#This Row],[Date]])&gt;=4,1,0)</f>
        <v>2026</v>
      </c>
      <c r="C295" s="10">
        <f>YEAR(Table13[[#This Row],[Date]])</f>
        <v>2026</v>
      </c>
      <c r="D295" s="309">
        <f>Table13[[#This Row],[Date]]-DAY(Table13[[#This Row],[Date]])+1</f>
        <v>46023</v>
      </c>
      <c r="E295" s="10">
        <f t="shared" si="25"/>
        <v>31</v>
      </c>
      <c r="F295" s="241" t="str">
        <f>IFERROR(_xlfn.XLOOKUP($A295,Input_Raw!$E:$E,Input_Raw!DC:DC),"")</f>
        <v/>
      </c>
      <c r="G295" s="242"/>
      <c r="H295" s="242"/>
      <c r="I295" s="242"/>
      <c r="J295" s="242"/>
      <c r="K295" s="243"/>
      <c r="L295" s="242"/>
      <c r="M295" s="242" t="str">
        <f>IFERROR(_xlfn.XLOOKUP($A295,Input_Raw!$E:$E,Input_Raw!$BM:$BM),"")</f>
        <v/>
      </c>
      <c r="N295" s="242" t="str">
        <f>IFERROR(_xlfn.XLOOKUP($A295,Input_Raw!$E:$E,Input_Raw!$BN:$BN),"")</f>
        <v/>
      </c>
      <c r="O295" s="311" t="str">
        <f t="shared" si="26"/>
        <v/>
      </c>
      <c r="P295" s="311" t="str">
        <f>IFERROR(1-SUMIF(WTG_BD!$F:$F,$A295,WTG_BD!$AA:$AA)/($AA295+SUMIF(WTG_BD!$F:$F,$A295,WTG_BD!$AA:$AA)),"")</f>
        <v/>
      </c>
      <c r="Q295" s="328" t="str">
        <f>IFERROR(1-SUMIF(IGA_BD!$F:$F,$A295,IGA_BD!$W:$W)/($AA295+SUMIF(IGA_BD!$F:$F,$A295,IGA_BD!$W:$W)),"")</f>
        <v/>
      </c>
      <c r="R295" s="311" t="str">
        <f>IFERROR(1-SUMIF(Grid_BD!$F:$F,$A295,Grid_BD!$Y:$Y)/($AA295+SUMIF(Grid_BD!$F:$F,$A295,Grid_BD!$Y:$Y)),"")</f>
        <v/>
      </c>
      <c r="S295" s="10"/>
      <c r="T295" s="310"/>
      <c r="U295" s="311"/>
      <c r="V295" s="10"/>
      <c r="W295" s="312" t="str">
        <f t="shared" si="27"/>
        <v/>
      </c>
      <c r="X295" s="10" t="str">
        <f>IFERROR(_xlfn.XLOOKUP($A295,Input_Raw!$E:$E,Input_Raw!BG:BG),"")</f>
        <v/>
      </c>
      <c r="Y295" s="10" t="str">
        <f>IFERROR(_xlfn.XLOOKUP($A295,Input_Raw!$E:$E,Input_Raw!DF:DF),"")</f>
        <v/>
      </c>
      <c r="Z295" s="319" t="str">
        <f>IFERROR(_xlfn.XLOOKUP(A295,Input_Raw!E:E,Input_Raw!CT:CT)/_xlfn.XLOOKUP(A295,Input_Raw!E:E,Input_Raw!CS:CS)*Table13[[#This Row],[Mtr_Export (kWh)]],"")</f>
        <v/>
      </c>
      <c r="AA295" s="43" t="str">
        <f t="shared" si="28"/>
        <v/>
      </c>
      <c r="AB295" s="10" t="str">
        <f>IFERROR(_xlfn.XLOOKUP($A295,Input_Raw!$E:$E,Input_Raw!$CZ:$CZ),"")</f>
        <v/>
      </c>
      <c r="AC295" s="313">
        <f>IFERROR(_xlfn.XLOOKUP($D295,'Modelling New'!$D:$D,'Modelling New'!$J:$J),"")</f>
        <v>7.411120320091455</v>
      </c>
      <c r="AD295" s="43">
        <f>IFERROR(_xlfn.XLOOKUP($D295,'Modelling New'!$D:$D,'Modelling New'!$T:$T)*1000,"")</f>
        <v>422505.16129032255</v>
      </c>
      <c r="AE295" s="312"/>
      <c r="AF295" s="312">
        <f>IFERROR(_xlfn.XLOOKUP($D295,'Modelling New'!$D:$D,'Modelling New'!$W:$W),"")</f>
        <v>0.347912682221939</v>
      </c>
      <c r="AG295" s="312">
        <f>IFERROR(_xlfn.XLOOKUP($D295,'Modelling New'!$D:$D,'Modelling New'!$AE:$AE),"")</f>
        <v>0.95549849999999992</v>
      </c>
      <c r="AH295" s="312">
        <f>IFERROR(_xlfn.XLOOKUP($D295,'Modelling New'!$D:$D,'Modelling New'!$AF:$AF),"")</f>
        <v>0.995</v>
      </c>
      <c r="AI295" s="10" t="str">
        <f>IFERROR(_xlfn.XLOOKUP($A295,Input_Raw!$E:$E,Input_Raw!$DG:$DG),"")</f>
        <v/>
      </c>
      <c r="AJ295" s="10"/>
      <c r="AK295" s="10"/>
      <c r="AL295" s="10"/>
      <c r="AM295" s="10"/>
      <c r="AN295" s="314" t="str">
        <f>IFERROR(_xlfn.XLOOKUP($A295,Input_Raw!$E:$E,Input_Raw!$CY:$CY),"")</f>
        <v/>
      </c>
      <c r="AO295" s="312" t="str">
        <f>IFERROR((_xlfn.XLOOKUP($A295,'WTG Reactive Power'!$A:$A,'WTG Reactive Power'!AB:AB))/X295,"")</f>
        <v/>
      </c>
      <c r="AP295" s="312">
        <f>IFERROR(_xlfn.XLOOKUP($D295,'Modelling New'!$D:$D,'Modelling New'!AK:AK),"")</f>
        <v>0.05</v>
      </c>
      <c r="AQ295" s="312">
        <f>IFERROR(_xlfn.XLOOKUP($D295,'Modelling New'!$D:$D,'Modelling New'!AL:AL),"")</f>
        <v>0.05</v>
      </c>
      <c r="AR295" s="325">
        <f>IFERROR(_xlfn.XLOOKUP($D295,'Modelling New'!$D:$D,'Modelling New'!$N:$N),"")</f>
        <v>50.59999999999998</v>
      </c>
      <c r="AS295" s="325"/>
    </row>
    <row r="296" spans="1:45">
      <c r="A296" s="32">
        <f t="shared" si="29"/>
        <v>46039</v>
      </c>
      <c r="B296" s="43">
        <f>YEAR(Table13[[#This Row],[Date]])+IF(MONTH(Table13[[#This Row],[Date]])&gt;=4,1,0)</f>
        <v>2026</v>
      </c>
      <c r="C296" s="10">
        <f>YEAR(Table13[[#This Row],[Date]])</f>
        <v>2026</v>
      </c>
      <c r="D296" s="309">
        <f>Table13[[#This Row],[Date]]-DAY(Table13[[#This Row],[Date]])+1</f>
        <v>46023</v>
      </c>
      <c r="E296" s="10">
        <f t="shared" si="25"/>
        <v>31</v>
      </c>
      <c r="F296" s="241" t="str">
        <f>IFERROR(_xlfn.XLOOKUP($A296,Input_Raw!$E:$E,Input_Raw!DC:DC),"")</f>
        <v/>
      </c>
      <c r="G296" s="313"/>
      <c r="H296" s="313"/>
      <c r="I296" s="313"/>
      <c r="J296" s="313"/>
      <c r="K296" s="243"/>
      <c r="L296" s="242"/>
      <c r="M296" s="242" t="str">
        <f>IFERROR(_xlfn.XLOOKUP($A296,Input_Raw!$E:$E,Input_Raw!$BM:$BM),"")</f>
        <v/>
      </c>
      <c r="N296" s="242" t="str">
        <f>IFERROR(_xlfn.XLOOKUP($A296,Input_Raw!$E:$E,Input_Raw!$BN:$BN),"")</f>
        <v/>
      </c>
      <c r="O296" s="311" t="str">
        <f t="shared" si="26"/>
        <v/>
      </c>
      <c r="P296" s="311" t="str">
        <f>IFERROR(1-SUMIF(WTG_BD!$F:$F,$A296,WTG_BD!$AA:$AA)/($AA296+SUMIF(WTG_BD!$F:$F,$A296,WTG_BD!$AA:$AA)),"")</f>
        <v/>
      </c>
      <c r="Q296" s="328" t="str">
        <f>IFERROR(1-SUMIF(IGA_BD!$F:$F,$A296,IGA_BD!$W:$W)/($AA296+SUMIF(IGA_BD!$F:$F,$A296,IGA_BD!$W:$W)),"")</f>
        <v/>
      </c>
      <c r="R296" s="47" t="str">
        <f>IFERROR(1-SUMIF(Grid_BD!$F:$F,$A296,Grid_BD!$Y:$Y)/($AA296+SUMIF(Grid_BD!$F:$F,$A296,Grid_BD!$Y:$Y)),"")</f>
        <v/>
      </c>
      <c r="S296" s="10"/>
      <c r="T296" s="310"/>
      <c r="U296" s="311"/>
      <c r="V296" s="10"/>
      <c r="W296" s="312" t="str">
        <f t="shared" si="27"/>
        <v/>
      </c>
      <c r="X296" s="10" t="str">
        <f>IFERROR(_xlfn.XLOOKUP($A296,Input_Raw!$E:$E,Input_Raw!BG:BG),"")</f>
        <v/>
      </c>
      <c r="Y296" s="10" t="str">
        <f>IFERROR(_xlfn.XLOOKUP($A296,Input_Raw!$E:$E,Input_Raw!DF:DF),"")</f>
        <v/>
      </c>
      <c r="Z296" s="319" t="str">
        <f>IFERROR(_xlfn.XLOOKUP(A296,Input_Raw!E:E,Input_Raw!CT:CT)/_xlfn.XLOOKUP(A296,Input_Raw!E:E,Input_Raw!CS:CS)*Table13[[#This Row],[Mtr_Export (kWh)]],"")</f>
        <v/>
      </c>
      <c r="AA296" s="43" t="str">
        <f t="shared" si="28"/>
        <v/>
      </c>
      <c r="AB296" s="10" t="str">
        <f>IFERROR(_xlfn.XLOOKUP($A296,Input_Raw!$E:$E,Input_Raw!$CZ:$CZ),"")</f>
        <v/>
      </c>
      <c r="AC296" s="313">
        <f>IFERROR(_xlfn.XLOOKUP($D296,'Modelling New'!$D:$D,'Modelling New'!$J:$J),"")</f>
        <v>7.411120320091455</v>
      </c>
      <c r="AD296" s="43">
        <f>IFERROR(_xlfn.XLOOKUP($D296,'Modelling New'!$D:$D,'Modelling New'!$T:$T)*1000,"")</f>
        <v>422505.16129032255</v>
      </c>
      <c r="AE296" s="312"/>
      <c r="AF296" s="312">
        <f>IFERROR(_xlfn.XLOOKUP($D296,'Modelling New'!$D:$D,'Modelling New'!$W:$W),"")</f>
        <v>0.347912682221939</v>
      </c>
      <c r="AG296" s="312">
        <f>IFERROR(_xlfn.XLOOKUP($D296,'Modelling New'!$D:$D,'Modelling New'!$AE:$AE),"")</f>
        <v>0.95549849999999992</v>
      </c>
      <c r="AH296" s="312">
        <f>IFERROR(_xlfn.XLOOKUP($D296,'Modelling New'!$D:$D,'Modelling New'!$AF:$AF),"")</f>
        <v>0.995</v>
      </c>
      <c r="AI296" s="10" t="str">
        <f>IFERROR(_xlfn.XLOOKUP($A296,Input_Raw!$E:$E,Input_Raw!$DG:$DG),"")</f>
        <v/>
      </c>
      <c r="AJ296" s="10"/>
      <c r="AK296" s="10"/>
      <c r="AL296" s="10"/>
      <c r="AM296" s="10"/>
      <c r="AN296" s="314" t="str">
        <f>IFERROR(_xlfn.XLOOKUP($A296,Input_Raw!$E:$E,Input_Raw!$CY:$CY),"")</f>
        <v/>
      </c>
      <c r="AO296" s="312" t="str">
        <f>IFERROR((_xlfn.XLOOKUP($A296,'WTG Reactive Power'!$A:$A,'WTG Reactive Power'!AB:AB))/X296,"")</f>
        <v/>
      </c>
      <c r="AP296" s="312">
        <f>IFERROR(_xlfn.XLOOKUP($D296,'Modelling New'!$D:$D,'Modelling New'!AK:AK),"")</f>
        <v>0.05</v>
      </c>
      <c r="AQ296" s="312">
        <f>IFERROR(_xlfn.XLOOKUP($D296,'Modelling New'!$D:$D,'Modelling New'!AL:AL),"")</f>
        <v>0.05</v>
      </c>
      <c r="AR296" s="325">
        <f>IFERROR(_xlfn.XLOOKUP($D296,'Modelling New'!$D:$D,'Modelling New'!$N:$N),"")</f>
        <v>50.59999999999998</v>
      </c>
      <c r="AS296" s="325"/>
    </row>
    <row r="297" spans="1:45">
      <c r="A297" s="32">
        <f t="shared" si="29"/>
        <v>46040</v>
      </c>
      <c r="B297" s="43">
        <f>YEAR(Table13[[#This Row],[Date]])+IF(MONTH(Table13[[#This Row],[Date]])&gt;=4,1,0)</f>
        <v>2026</v>
      </c>
      <c r="C297" s="10">
        <f>YEAR(Table13[[#This Row],[Date]])</f>
        <v>2026</v>
      </c>
      <c r="D297" s="309">
        <f>Table13[[#This Row],[Date]]-DAY(Table13[[#This Row],[Date]])+1</f>
        <v>46023</v>
      </c>
      <c r="E297" s="10">
        <f t="shared" si="25"/>
        <v>31</v>
      </c>
      <c r="F297" s="241" t="str">
        <f>IFERROR(_xlfn.XLOOKUP($A297,Input_Raw!$E:$E,Input_Raw!DC:DC),"")</f>
        <v/>
      </c>
      <c r="G297" s="242"/>
      <c r="H297" s="242"/>
      <c r="I297" s="242"/>
      <c r="J297" s="242"/>
      <c r="K297" s="243"/>
      <c r="L297" s="242"/>
      <c r="M297" s="242" t="str">
        <f>IFERROR(_xlfn.XLOOKUP($A297,Input_Raw!$E:$E,Input_Raw!$BM:$BM),"")</f>
        <v/>
      </c>
      <c r="N297" s="242" t="str">
        <f>IFERROR(_xlfn.XLOOKUP($A297,Input_Raw!$E:$E,Input_Raw!$BN:$BN),"")</f>
        <v/>
      </c>
      <c r="O297" s="311" t="str">
        <f t="shared" si="26"/>
        <v/>
      </c>
      <c r="P297" s="311" t="str">
        <f>IFERROR(1-SUMIF(WTG_BD!$F:$F,$A297,WTG_BD!$AA:$AA)/($AA297+SUMIF(WTG_BD!$F:$F,$A297,WTG_BD!$AA:$AA)),"")</f>
        <v/>
      </c>
      <c r="Q297" s="328" t="str">
        <f>IFERROR(1-SUMIF(IGA_BD!$F:$F,$A297,IGA_BD!$W:$W)/($AA297+SUMIF(IGA_BD!$F:$F,$A297,IGA_BD!$W:$W)),"")</f>
        <v/>
      </c>
      <c r="R297" s="311" t="str">
        <f>IFERROR(1-SUMIF(Grid_BD!$F:$F,$A297,Grid_BD!$Y:$Y)/($AA297+SUMIF(Grid_BD!$F:$F,$A297,Grid_BD!$Y:$Y)),"")</f>
        <v/>
      </c>
      <c r="S297" s="10"/>
      <c r="T297" s="310"/>
      <c r="U297" s="311"/>
      <c r="V297" s="10"/>
      <c r="W297" s="312" t="str">
        <f t="shared" si="27"/>
        <v/>
      </c>
      <c r="X297" s="10" t="str">
        <f>IFERROR(_xlfn.XLOOKUP($A297,Input_Raw!$E:$E,Input_Raw!BG:BG),"")</f>
        <v/>
      </c>
      <c r="Y297" s="10" t="str">
        <f>IFERROR(_xlfn.XLOOKUP($A297,Input_Raw!$E:$E,Input_Raw!DF:DF),"")</f>
        <v/>
      </c>
      <c r="Z297" s="319" t="str">
        <f>IFERROR(_xlfn.XLOOKUP(A297,Input_Raw!E:E,Input_Raw!CT:CT)/_xlfn.XLOOKUP(A297,Input_Raw!E:E,Input_Raw!CS:CS)*Table13[[#This Row],[Mtr_Export (kWh)]],"")</f>
        <v/>
      </c>
      <c r="AA297" s="43" t="str">
        <f t="shared" si="28"/>
        <v/>
      </c>
      <c r="AB297" s="10" t="str">
        <f>IFERROR(_xlfn.XLOOKUP($A297,Input_Raw!$E:$E,Input_Raw!$CZ:$CZ),"")</f>
        <v/>
      </c>
      <c r="AC297" s="313">
        <f>IFERROR(_xlfn.XLOOKUP($D297,'Modelling New'!$D:$D,'Modelling New'!$J:$J),"")</f>
        <v>7.411120320091455</v>
      </c>
      <c r="AD297" s="43">
        <f>IFERROR(_xlfn.XLOOKUP($D297,'Modelling New'!$D:$D,'Modelling New'!$T:$T)*1000,"")</f>
        <v>422505.16129032255</v>
      </c>
      <c r="AE297" s="312"/>
      <c r="AF297" s="312">
        <f>IFERROR(_xlfn.XLOOKUP($D297,'Modelling New'!$D:$D,'Modelling New'!$W:$W),"")</f>
        <v>0.347912682221939</v>
      </c>
      <c r="AG297" s="312">
        <f>IFERROR(_xlfn.XLOOKUP($D297,'Modelling New'!$D:$D,'Modelling New'!$AE:$AE),"")</f>
        <v>0.95549849999999992</v>
      </c>
      <c r="AH297" s="312">
        <f>IFERROR(_xlfn.XLOOKUP($D297,'Modelling New'!$D:$D,'Modelling New'!$AF:$AF),"")</f>
        <v>0.995</v>
      </c>
      <c r="AI297" s="10" t="str">
        <f>IFERROR(_xlfn.XLOOKUP($A297,Input_Raw!$E:$E,Input_Raw!$DG:$DG),"")</f>
        <v/>
      </c>
      <c r="AJ297" s="10"/>
      <c r="AK297" s="10"/>
      <c r="AL297" s="10"/>
      <c r="AM297" s="10"/>
      <c r="AN297" s="314" t="str">
        <f>IFERROR(_xlfn.XLOOKUP($A297,Input_Raw!$E:$E,Input_Raw!$CY:$CY),"")</f>
        <v/>
      </c>
      <c r="AO297" s="312" t="str">
        <f>IFERROR((_xlfn.XLOOKUP($A297,'WTG Reactive Power'!$A:$A,'WTG Reactive Power'!AB:AB))/X297,"")</f>
        <v/>
      </c>
      <c r="AP297" s="312">
        <f>IFERROR(_xlfn.XLOOKUP($D297,'Modelling New'!$D:$D,'Modelling New'!AK:AK),"")</f>
        <v>0.05</v>
      </c>
      <c r="AQ297" s="312">
        <f>IFERROR(_xlfn.XLOOKUP($D297,'Modelling New'!$D:$D,'Modelling New'!AL:AL),"")</f>
        <v>0.05</v>
      </c>
      <c r="AR297" s="325">
        <f>IFERROR(_xlfn.XLOOKUP($D297,'Modelling New'!$D:$D,'Modelling New'!$N:$N),"")</f>
        <v>50.59999999999998</v>
      </c>
      <c r="AS297" s="325"/>
    </row>
    <row r="298" spans="1:45">
      <c r="A298" s="32">
        <f t="shared" si="29"/>
        <v>46041</v>
      </c>
      <c r="B298" s="43">
        <f>YEAR(Table13[[#This Row],[Date]])+IF(MONTH(Table13[[#This Row],[Date]])&gt;=4,1,0)</f>
        <v>2026</v>
      </c>
      <c r="C298" s="10">
        <f>YEAR(Table13[[#This Row],[Date]])</f>
        <v>2026</v>
      </c>
      <c r="D298" s="309">
        <f>Table13[[#This Row],[Date]]-DAY(Table13[[#This Row],[Date]])+1</f>
        <v>46023</v>
      </c>
      <c r="E298" s="10">
        <f t="shared" si="25"/>
        <v>31</v>
      </c>
      <c r="F298" s="241" t="str">
        <f>IFERROR(_xlfn.XLOOKUP($A298,Input_Raw!$E:$E,Input_Raw!DC:DC),"")</f>
        <v/>
      </c>
      <c r="G298" s="313"/>
      <c r="H298" s="313"/>
      <c r="I298" s="313"/>
      <c r="J298" s="313"/>
      <c r="K298" s="243"/>
      <c r="L298" s="242"/>
      <c r="M298" s="242" t="str">
        <f>IFERROR(_xlfn.XLOOKUP($A298,Input_Raw!$E:$E,Input_Raw!$BM:$BM),"")</f>
        <v/>
      </c>
      <c r="N298" s="242" t="str">
        <f>IFERROR(_xlfn.XLOOKUP($A298,Input_Raw!$E:$E,Input_Raw!$BN:$BN),"")</f>
        <v/>
      </c>
      <c r="O298" s="311" t="str">
        <f t="shared" si="26"/>
        <v/>
      </c>
      <c r="P298" s="311" t="str">
        <f>IFERROR(1-SUMIF(WTG_BD!$F:$F,$A298,WTG_BD!$AA:$AA)/($AA298+SUMIF(WTG_BD!$F:$F,$A298,WTG_BD!$AA:$AA)),"")</f>
        <v/>
      </c>
      <c r="Q298" s="328" t="str">
        <f>IFERROR(1-SUMIF(IGA_BD!$F:$F,$A298,IGA_BD!$W:$W)/($AA298+SUMIF(IGA_BD!$F:$F,$A298,IGA_BD!$W:$W)),"")</f>
        <v/>
      </c>
      <c r="R298" s="47" t="str">
        <f>IFERROR(1-SUMIF(Grid_BD!$F:$F,$A298,Grid_BD!$Y:$Y)/($AA298+SUMIF(Grid_BD!$F:$F,$A298,Grid_BD!$Y:$Y)),"")</f>
        <v/>
      </c>
      <c r="S298" s="10"/>
      <c r="T298" s="310"/>
      <c r="U298" s="311"/>
      <c r="V298" s="10"/>
      <c r="W298" s="312" t="str">
        <f t="shared" si="27"/>
        <v/>
      </c>
      <c r="X298" s="10" t="str">
        <f>IFERROR(_xlfn.XLOOKUP($A298,Input_Raw!$E:$E,Input_Raw!BG:BG),"")</f>
        <v/>
      </c>
      <c r="Y298" s="10" t="str">
        <f>IFERROR(_xlfn.XLOOKUP($A298,Input_Raw!$E:$E,Input_Raw!DF:DF),"")</f>
        <v/>
      </c>
      <c r="Z298" s="319" t="str">
        <f>IFERROR(_xlfn.XLOOKUP(A298,Input_Raw!E:E,Input_Raw!CT:CT)/_xlfn.XLOOKUP(A298,Input_Raw!E:E,Input_Raw!CS:CS)*Table13[[#This Row],[Mtr_Export (kWh)]],"")</f>
        <v/>
      </c>
      <c r="AA298" s="43" t="str">
        <f t="shared" si="28"/>
        <v/>
      </c>
      <c r="AB298" s="10" t="str">
        <f>IFERROR(_xlfn.XLOOKUP($A298,Input_Raw!$E:$E,Input_Raw!$CZ:$CZ),"")</f>
        <v/>
      </c>
      <c r="AC298" s="313">
        <f>IFERROR(_xlfn.XLOOKUP($D298,'Modelling New'!$D:$D,'Modelling New'!$J:$J),"")</f>
        <v>7.411120320091455</v>
      </c>
      <c r="AD298" s="43">
        <f>IFERROR(_xlfn.XLOOKUP($D298,'Modelling New'!$D:$D,'Modelling New'!$T:$T)*1000,"")</f>
        <v>422505.16129032255</v>
      </c>
      <c r="AE298" s="312"/>
      <c r="AF298" s="312">
        <f>IFERROR(_xlfn.XLOOKUP($D298,'Modelling New'!$D:$D,'Modelling New'!$W:$W),"")</f>
        <v>0.347912682221939</v>
      </c>
      <c r="AG298" s="312">
        <f>IFERROR(_xlfn.XLOOKUP($D298,'Modelling New'!$D:$D,'Modelling New'!$AE:$AE),"")</f>
        <v>0.95549849999999992</v>
      </c>
      <c r="AH298" s="312">
        <f>IFERROR(_xlfn.XLOOKUP($D298,'Modelling New'!$D:$D,'Modelling New'!$AF:$AF),"")</f>
        <v>0.995</v>
      </c>
      <c r="AI298" s="10" t="str">
        <f>IFERROR(_xlfn.XLOOKUP($A298,Input_Raw!$E:$E,Input_Raw!$DG:$DG),"")</f>
        <v/>
      </c>
      <c r="AJ298" s="10"/>
      <c r="AK298" s="10"/>
      <c r="AL298" s="10"/>
      <c r="AM298" s="10"/>
      <c r="AN298" s="314" t="str">
        <f>IFERROR(_xlfn.XLOOKUP($A298,Input_Raw!$E:$E,Input_Raw!$CY:$CY),"")</f>
        <v/>
      </c>
      <c r="AO298" s="312" t="str">
        <f>IFERROR((_xlfn.XLOOKUP($A298,'WTG Reactive Power'!$A:$A,'WTG Reactive Power'!AB:AB))/X298,"")</f>
        <v/>
      </c>
      <c r="AP298" s="312">
        <f>IFERROR(_xlfn.XLOOKUP($D298,'Modelling New'!$D:$D,'Modelling New'!AK:AK),"")</f>
        <v>0.05</v>
      </c>
      <c r="AQ298" s="312">
        <f>IFERROR(_xlfn.XLOOKUP($D298,'Modelling New'!$D:$D,'Modelling New'!AL:AL),"")</f>
        <v>0.05</v>
      </c>
      <c r="AR298" s="325">
        <f>IFERROR(_xlfn.XLOOKUP($D298,'Modelling New'!$D:$D,'Modelling New'!$N:$N),"")</f>
        <v>50.59999999999998</v>
      </c>
      <c r="AS298" s="325"/>
    </row>
    <row r="299" spans="1:45">
      <c r="A299" s="32">
        <f t="shared" si="29"/>
        <v>46042</v>
      </c>
      <c r="B299" s="43">
        <f>YEAR(Table13[[#This Row],[Date]])+IF(MONTH(Table13[[#This Row],[Date]])&gt;=4,1,0)</f>
        <v>2026</v>
      </c>
      <c r="C299" s="10">
        <f>YEAR(Table13[[#This Row],[Date]])</f>
        <v>2026</v>
      </c>
      <c r="D299" s="309">
        <f>Table13[[#This Row],[Date]]-DAY(Table13[[#This Row],[Date]])+1</f>
        <v>46023</v>
      </c>
      <c r="E299" s="10">
        <f t="shared" si="25"/>
        <v>31</v>
      </c>
      <c r="F299" s="241" t="str">
        <f>IFERROR(_xlfn.XLOOKUP($A299,Input_Raw!$E:$E,Input_Raw!DC:DC),"")</f>
        <v/>
      </c>
      <c r="G299" s="242"/>
      <c r="H299" s="242"/>
      <c r="I299" s="242"/>
      <c r="J299" s="242"/>
      <c r="K299" s="243"/>
      <c r="L299" s="242"/>
      <c r="M299" s="242" t="str">
        <f>IFERROR(_xlfn.XLOOKUP($A299,Input_Raw!$E:$E,Input_Raw!$BM:$BM),"")</f>
        <v/>
      </c>
      <c r="N299" s="242" t="str">
        <f>IFERROR(_xlfn.XLOOKUP($A299,Input_Raw!$E:$E,Input_Raw!$BN:$BN),"")</f>
        <v/>
      </c>
      <c r="O299" s="311" t="str">
        <f t="shared" si="26"/>
        <v/>
      </c>
      <c r="P299" s="311" t="str">
        <f>IFERROR(1-SUMIF(WTG_BD!$F:$F,$A299,WTG_BD!$AA:$AA)/($AA299+SUMIF(WTG_BD!$F:$F,$A299,WTG_BD!$AA:$AA)),"")</f>
        <v/>
      </c>
      <c r="Q299" s="328" t="str">
        <f>IFERROR(1-SUMIF(IGA_BD!$F:$F,$A299,IGA_BD!$W:$W)/($AA299+SUMIF(IGA_BD!$F:$F,$A299,IGA_BD!$W:$W)),"")</f>
        <v/>
      </c>
      <c r="R299" s="311" t="str">
        <f>IFERROR(1-SUMIF(Grid_BD!$F:$F,$A299,Grid_BD!$Y:$Y)/($AA299+SUMIF(Grid_BD!$F:$F,$A299,Grid_BD!$Y:$Y)),"")</f>
        <v/>
      </c>
      <c r="S299" s="10"/>
      <c r="T299" s="310"/>
      <c r="U299" s="311"/>
      <c r="V299" s="10"/>
      <c r="W299" s="312" t="str">
        <f t="shared" si="27"/>
        <v/>
      </c>
      <c r="X299" s="10" t="str">
        <f>IFERROR(_xlfn.XLOOKUP($A299,Input_Raw!$E:$E,Input_Raw!BG:BG),"")</f>
        <v/>
      </c>
      <c r="Y299" s="10" t="str">
        <f>IFERROR(_xlfn.XLOOKUP($A299,Input_Raw!$E:$E,Input_Raw!DF:DF),"")</f>
        <v/>
      </c>
      <c r="Z299" s="319" t="str">
        <f>IFERROR(_xlfn.XLOOKUP(A299,Input_Raw!E:E,Input_Raw!CT:CT)/_xlfn.XLOOKUP(A299,Input_Raw!E:E,Input_Raw!CS:CS)*Table13[[#This Row],[Mtr_Export (kWh)]],"")</f>
        <v/>
      </c>
      <c r="AA299" s="43" t="str">
        <f t="shared" si="28"/>
        <v/>
      </c>
      <c r="AB299" s="10" t="str">
        <f>IFERROR(_xlfn.XLOOKUP($A299,Input_Raw!$E:$E,Input_Raw!$CZ:$CZ),"")</f>
        <v/>
      </c>
      <c r="AC299" s="313">
        <f>IFERROR(_xlfn.XLOOKUP($D299,'Modelling New'!$D:$D,'Modelling New'!$J:$J),"")</f>
        <v>7.411120320091455</v>
      </c>
      <c r="AD299" s="43">
        <f>IFERROR(_xlfn.XLOOKUP($D299,'Modelling New'!$D:$D,'Modelling New'!$T:$T)*1000,"")</f>
        <v>422505.16129032255</v>
      </c>
      <c r="AE299" s="312"/>
      <c r="AF299" s="312">
        <f>IFERROR(_xlfn.XLOOKUP($D299,'Modelling New'!$D:$D,'Modelling New'!$W:$W),"")</f>
        <v>0.347912682221939</v>
      </c>
      <c r="AG299" s="312">
        <f>IFERROR(_xlfn.XLOOKUP($D299,'Modelling New'!$D:$D,'Modelling New'!$AE:$AE),"")</f>
        <v>0.95549849999999992</v>
      </c>
      <c r="AH299" s="312">
        <f>IFERROR(_xlfn.XLOOKUP($D299,'Modelling New'!$D:$D,'Modelling New'!$AF:$AF),"")</f>
        <v>0.995</v>
      </c>
      <c r="AI299" s="10" t="str">
        <f>IFERROR(_xlfn.XLOOKUP($A299,Input_Raw!$E:$E,Input_Raw!$DG:$DG),"")</f>
        <v/>
      </c>
      <c r="AJ299" s="10"/>
      <c r="AK299" s="10"/>
      <c r="AL299" s="10"/>
      <c r="AM299" s="10"/>
      <c r="AN299" s="314" t="str">
        <f>IFERROR(_xlfn.XLOOKUP($A299,Input_Raw!$E:$E,Input_Raw!$CY:$CY),"")</f>
        <v/>
      </c>
      <c r="AO299" s="312" t="str">
        <f>IFERROR((_xlfn.XLOOKUP($A299,'WTG Reactive Power'!$A:$A,'WTG Reactive Power'!AB:AB))/X299,"")</f>
        <v/>
      </c>
      <c r="AP299" s="312">
        <f>IFERROR(_xlfn.XLOOKUP($D299,'Modelling New'!$D:$D,'Modelling New'!AK:AK),"")</f>
        <v>0.05</v>
      </c>
      <c r="AQ299" s="312">
        <f>IFERROR(_xlfn.XLOOKUP($D299,'Modelling New'!$D:$D,'Modelling New'!AL:AL),"")</f>
        <v>0.05</v>
      </c>
      <c r="AR299" s="325">
        <f>IFERROR(_xlfn.XLOOKUP($D299,'Modelling New'!$D:$D,'Modelling New'!$N:$N),"")</f>
        <v>50.59999999999998</v>
      </c>
      <c r="AS299" s="325"/>
    </row>
    <row r="300" spans="1:45">
      <c r="A300" s="32">
        <f t="shared" si="29"/>
        <v>46043</v>
      </c>
      <c r="B300" s="43">
        <f>YEAR(Table13[[#This Row],[Date]])+IF(MONTH(Table13[[#This Row],[Date]])&gt;=4,1,0)</f>
        <v>2026</v>
      </c>
      <c r="C300" s="10">
        <f>YEAR(Table13[[#This Row],[Date]])</f>
        <v>2026</v>
      </c>
      <c r="D300" s="309">
        <f>Table13[[#This Row],[Date]]-DAY(Table13[[#This Row],[Date]])+1</f>
        <v>46023</v>
      </c>
      <c r="E300" s="10">
        <f t="shared" si="25"/>
        <v>31</v>
      </c>
      <c r="F300" s="241" t="str">
        <f>IFERROR(_xlfn.XLOOKUP($A300,Input_Raw!$E:$E,Input_Raw!DC:DC),"")</f>
        <v/>
      </c>
      <c r="G300" s="313"/>
      <c r="H300" s="313"/>
      <c r="I300" s="313"/>
      <c r="J300" s="313"/>
      <c r="K300" s="243"/>
      <c r="L300" s="242"/>
      <c r="M300" s="242" t="str">
        <f>IFERROR(_xlfn.XLOOKUP($A300,Input_Raw!$E:$E,Input_Raw!$BM:$BM),"")</f>
        <v/>
      </c>
      <c r="N300" s="242" t="str">
        <f>IFERROR(_xlfn.XLOOKUP($A300,Input_Raw!$E:$E,Input_Raw!$BN:$BN),"")</f>
        <v/>
      </c>
      <c r="O300" s="311" t="str">
        <f t="shared" si="26"/>
        <v/>
      </c>
      <c r="P300" s="311" t="str">
        <f>IFERROR(1-SUMIF(WTG_BD!$F:$F,$A300,WTG_BD!$AA:$AA)/($AA300+SUMIF(WTG_BD!$F:$F,$A300,WTG_BD!$AA:$AA)),"")</f>
        <v/>
      </c>
      <c r="Q300" s="328" t="str">
        <f>IFERROR(1-SUMIF(IGA_BD!$F:$F,$A300,IGA_BD!$W:$W)/($AA300+SUMIF(IGA_BD!$F:$F,$A300,IGA_BD!$W:$W)),"")</f>
        <v/>
      </c>
      <c r="R300" s="47" t="str">
        <f>IFERROR(1-SUMIF(Grid_BD!$F:$F,$A300,Grid_BD!$Y:$Y)/($AA300+SUMIF(Grid_BD!$F:$F,$A300,Grid_BD!$Y:$Y)),"")</f>
        <v/>
      </c>
      <c r="S300" s="10"/>
      <c r="T300" s="310"/>
      <c r="U300" s="311"/>
      <c r="V300" s="10"/>
      <c r="W300" s="312" t="str">
        <f t="shared" si="27"/>
        <v/>
      </c>
      <c r="X300" s="10" t="str">
        <f>IFERROR(_xlfn.XLOOKUP($A300,Input_Raw!$E:$E,Input_Raw!BG:BG),"")</f>
        <v/>
      </c>
      <c r="Y300" s="10" t="str">
        <f>IFERROR(_xlfn.XLOOKUP($A300,Input_Raw!$E:$E,Input_Raw!DF:DF),"")</f>
        <v/>
      </c>
      <c r="Z300" s="319" t="str">
        <f>IFERROR(_xlfn.XLOOKUP(A300,Input_Raw!E:E,Input_Raw!CT:CT)/_xlfn.XLOOKUP(A300,Input_Raw!E:E,Input_Raw!CS:CS)*Table13[[#This Row],[Mtr_Export (kWh)]],"")</f>
        <v/>
      </c>
      <c r="AA300" s="43" t="str">
        <f t="shared" si="28"/>
        <v/>
      </c>
      <c r="AB300" s="10" t="str">
        <f>IFERROR(_xlfn.XLOOKUP($A300,Input_Raw!$E:$E,Input_Raw!$CZ:$CZ),"")</f>
        <v/>
      </c>
      <c r="AC300" s="313">
        <f>IFERROR(_xlfn.XLOOKUP($D300,'Modelling New'!$D:$D,'Modelling New'!$J:$J),"")</f>
        <v>7.411120320091455</v>
      </c>
      <c r="AD300" s="43">
        <f>IFERROR(_xlfn.XLOOKUP($D300,'Modelling New'!$D:$D,'Modelling New'!$T:$T)*1000,"")</f>
        <v>422505.16129032255</v>
      </c>
      <c r="AE300" s="312"/>
      <c r="AF300" s="312">
        <f>IFERROR(_xlfn.XLOOKUP($D300,'Modelling New'!$D:$D,'Modelling New'!$W:$W),"")</f>
        <v>0.347912682221939</v>
      </c>
      <c r="AG300" s="312">
        <f>IFERROR(_xlfn.XLOOKUP($D300,'Modelling New'!$D:$D,'Modelling New'!$AE:$AE),"")</f>
        <v>0.95549849999999992</v>
      </c>
      <c r="AH300" s="312">
        <f>IFERROR(_xlfn.XLOOKUP($D300,'Modelling New'!$D:$D,'Modelling New'!$AF:$AF),"")</f>
        <v>0.995</v>
      </c>
      <c r="AI300" s="10" t="str">
        <f>IFERROR(_xlfn.XLOOKUP($A300,Input_Raw!$E:$E,Input_Raw!$DG:$DG),"")</f>
        <v/>
      </c>
      <c r="AJ300" s="10"/>
      <c r="AK300" s="10"/>
      <c r="AL300" s="10"/>
      <c r="AM300" s="10"/>
      <c r="AN300" s="314" t="str">
        <f>IFERROR(_xlfn.XLOOKUP($A300,Input_Raw!$E:$E,Input_Raw!$CY:$CY),"")</f>
        <v/>
      </c>
      <c r="AO300" s="312" t="str">
        <f>IFERROR((_xlfn.XLOOKUP($A300,'WTG Reactive Power'!$A:$A,'WTG Reactive Power'!AB:AB))/X300,"")</f>
        <v/>
      </c>
      <c r="AP300" s="312">
        <f>IFERROR(_xlfn.XLOOKUP($D300,'Modelling New'!$D:$D,'Modelling New'!AK:AK),"")</f>
        <v>0.05</v>
      </c>
      <c r="AQ300" s="312">
        <f>IFERROR(_xlfn.XLOOKUP($D300,'Modelling New'!$D:$D,'Modelling New'!AL:AL),"")</f>
        <v>0.05</v>
      </c>
      <c r="AR300" s="325">
        <f>IFERROR(_xlfn.XLOOKUP($D300,'Modelling New'!$D:$D,'Modelling New'!$N:$N),"")</f>
        <v>50.59999999999998</v>
      </c>
      <c r="AS300" s="325"/>
    </row>
    <row r="301" spans="1:45">
      <c r="A301" s="32">
        <f t="shared" si="29"/>
        <v>46044</v>
      </c>
      <c r="B301" s="43">
        <f>YEAR(Table13[[#This Row],[Date]])+IF(MONTH(Table13[[#This Row],[Date]])&gt;=4,1,0)</f>
        <v>2026</v>
      </c>
      <c r="C301" s="10">
        <f>YEAR(Table13[[#This Row],[Date]])</f>
        <v>2026</v>
      </c>
      <c r="D301" s="309">
        <f>Table13[[#This Row],[Date]]-DAY(Table13[[#This Row],[Date]])+1</f>
        <v>46023</v>
      </c>
      <c r="E301" s="10">
        <f t="shared" si="25"/>
        <v>31</v>
      </c>
      <c r="F301" s="241" t="str">
        <f>IFERROR(_xlfn.XLOOKUP($A301,Input_Raw!$E:$E,Input_Raw!DC:DC),"")</f>
        <v/>
      </c>
      <c r="G301" s="242"/>
      <c r="H301" s="242"/>
      <c r="I301" s="242"/>
      <c r="J301" s="242"/>
      <c r="K301" s="243"/>
      <c r="L301" s="242"/>
      <c r="M301" s="242" t="str">
        <f>IFERROR(_xlfn.XLOOKUP($A301,Input_Raw!$E:$E,Input_Raw!$BM:$BM),"")</f>
        <v/>
      </c>
      <c r="N301" s="242" t="str">
        <f>IFERROR(_xlfn.XLOOKUP($A301,Input_Raw!$E:$E,Input_Raw!$BN:$BN),"")</f>
        <v/>
      </c>
      <c r="O301" s="311" t="str">
        <f t="shared" si="26"/>
        <v/>
      </c>
      <c r="P301" s="311" t="str">
        <f>IFERROR(1-SUMIF(WTG_BD!$F:$F,$A301,WTG_BD!$AA:$AA)/($AA301+SUMIF(WTG_BD!$F:$F,$A301,WTG_BD!$AA:$AA)),"")</f>
        <v/>
      </c>
      <c r="Q301" s="328" t="str">
        <f>IFERROR(1-SUMIF(IGA_BD!$F:$F,$A301,IGA_BD!$W:$W)/($AA301+SUMIF(IGA_BD!$F:$F,$A301,IGA_BD!$W:$W)),"")</f>
        <v/>
      </c>
      <c r="R301" s="311" t="str">
        <f>IFERROR(1-SUMIF(Grid_BD!$F:$F,$A301,Grid_BD!$Y:$Y)/($AA301+SUMIF(Grid_BD!$F:$F,$A301,Grid_BD!$Y:$Y)),"")</f>
        <v/>
      </c>
      <c r="S301" s="10"/>
      <c r="T301" s="310"/>
      <c r="U301" s="311"/>
      <c r="V301" s="10"/>
      <c r="W301" s="312" t="str">
        <f t="shared" si="27"/>
        <v/>
      </c>
      <c r="X301" s="10" t="str">
        <f>IFERROR(_xlfn.XLOOKUP($A301,Input_Raw!$E:$E,Input_Raw!BG:BG),"")</f>
        <v/>
      </c>
      <c r="Y301" s="10" t="str">
        <f>IFERROR(_xlfn.XLOOKUP($A301,Input_Raw!$E:$E,Input_Raw!DF:DF),"")</f>
        <v/>
      </c>
      <c r="Z301" s="319" t="str">
        <f>IFERROR(_xlfn.XLOOKUP(A301,Input_Raw!E:E,Input_Raw!CT:CT)/_xlfn.XLOOKUP(A301,Input_Raw!E:E,Input_Raw!CS:CS)*Table13[[#This Row],[Mtr_Export (kWh)]],"")</f>
        <v/>
      </c>
      <c r="AA301" s="43" t="str">
        <f t="shared" si="28"/>
        <v/>
      </c>
      <c r="AB301" s="10" t="str">
        <f>IFERROR(_xlfn.XLOOKUP($A301,Input_Raw!$E:$E,Input_Raw!$CZ:$CZ),"")</f>
        <v/>
      </c>
      <c r="AC301" s="313">
        <f>IFERROR(_xlfn.XLOOKUP($D301,'Modelling New'!$D:$D,'Modelling New'!$J:$J),"")</f>
        <v>7.411120320091455</v>
      </c>
      <c r="AD301" s="43">
        <f>IFERROR(_xlfn.XLOOKUP($D301,'Modelling New'!$D:$D,'Modelling New'!$T:$T)*1000,"")</f>
        <v>422505.16129032255</v>
      </c>
      <c r="AE301" s="312"/>
      <c r="AF301" s="312">
        <f>IFERROR(_xlfn.XLOOKUP($D301,'Modelling New'!$D:$D,'Modelling New'!$W:$W),"")</f>
        <v>0.347912682221939</v>
      </c>
      <c r="AG301" s="312">
        <f>IFERROR(_xlfn.XLOOKUP($D301,'Modelling New'!$D:$D,'Modelling New'!$AE:$AE),"")</f>
        <v>0.95549849999999992</v>
      </c>
      <c r="AH301" s="312">
        <f>IFERROR(_xlfn.XLOOKUP($D301,'Modelling New'!$D:$D,'Modelling New'!$AF:$AF),"")</f>
        <v>0.995</v>
      </c>
      <c r="AI301" s="10" t="str">
        <f>IFERROR(_xlfn.XLOOKUP($A301,Input_Raw!$E:$E,Input_Raw!$DG:$DG),"")</f>
        <v/>
      </c>
      <c r="AJ301" s="10"/>
      <c r="AK301" s="10"/>
      <c r="AL301" s="10"/>
      <c r="AM301" s="10"/>
      <c r="AN301" s="314" t="str">
        <f>IFERROR(_xlfn.XLOOKUP($A301,Input_Raw!$E:$E,Input_Raw!$CY:$CY),"")</f>
        <v/>
      </c>
      <c r="AO301" s="312" t="str">
        <f>IFERROR((_xlfn.XLOOKUP($A301,'WTG Reactive Power'!$A:$A,'WTG Reactive Power'!AB:AB))/X301,"")</f>
        <v/>
      </c>
      <c r="AP301" s="312">
        <f>IFERROR(_xlfn.XLOOKUP($D301,'Modelling New'!$D:$D,'Modelling New'!AK:AK),"")</f>
        <v>0.05</v>
      </c>
      <c r="AQ301" s="312">
        <f>IFERROR(_xlfn.XLOOKUP($D301,'Modelling New'!$D:$D,'Modelling New'!AL:AL),"")</f>
        <v>0.05</v>
      </c>
      <c r="AR301" s="325">
        <f>IFERROR(_xlfn.XLOOKUP($D301,'Modelling New'!$D:$D,'Modelling New'!$N:$N),"")</f>
        <v>50.59999999999998</v>
      </c>
      <c r="AS301" s="325"/>
    </row>
    <row r="302" spans="1:45">
      <c r="A302" s="32">
        <f t="shared" si="29"/>
        <v>46045</v>
      </c>
      <c r="B302" s="43">
        <f>YEAR(Table13[[#This Row],[Date]])+IF(MONTH(Table13[[#This Row],[Date]])&gt;=4,1,0)</f>
        <v>2026</v>
      </c>
      <c r="C302" s="10">
        <f>YEAR(Table13[[#This Row],[Date]])</f>
        <v>2026</v>
      </c>
      <c r="D302" s="309">
        <f>Table13[[#This Row],[Date]]-DAY(Table13[[#This Row],[Date]])+1</f>
        <v>46023</v>
      </c>
      <c r="E302" s="10">
        <f t="shared" si="25"/>
        <v>31</v>
      </c>
      <c r="F302" s="241" t="str">
        <f>IFERROR(_xlfn.XLOOKUP($A302,Input_Raw!$E:$E,Input_Raw!DC:DC),"")</f>
        <v/>
      </c>
      <c r="G302" s="313"/>
      <c r="H302" s="313"/>
      <c r="I302" s="313"/>
      <c r="J302" s="313"/>
      <c r="K302" s="243"/>
      <c r="L302" s="242"/>
      <c r="M302" s="242" t="str">
        <f>IFERROR(_xlfn.XLOOKUP($A302,Input_Raw!$E:$E,Input_Raw!$BM:$BM),"")</f>
        <v/>
      </c>
      <c r="N302" s="242" t="str">
        <f>IFERROR(_xlfn.XLOOKUP($A302,Input_Raw!$E:$E,Input_Raw!$BN:$BN),"")</f>
        <v/>
      </c>
      <c r="O302" s="311" t="str">
        <f t="shared" si="26"/>
        <v/>
      </c>
      <c r="P302" s="311" t="str">
        <f>IFERROR(1-SUMIF(WTG_BD!$F:$F,$A302,WTG_BD!$AA:$AA)/($AA302+SUMIF(WTG_BD!$F:$F,$A302,WTG_BD!$AA:$AA)),"")</f>
        <v/>
      </c>
      <c r="Q302" s="328" t="str">
        <f>IFERROR(1-SUMIF(IGA_BD!$F:$F,$A302,IGA_BD!$W:$W)/($AA302+SUMIF(IGA_BD!$F:$F,$A302,IGA_BD!$W:$W)),"")</f>
        <v/>
      </c>
      <c r="R302" s="47" t="str">
        <f>IFERROR(1-SUMIF(Grid_BD!$F:$F,$A302,Grid_BD!$Y:$Y)/($AA302+SUMIF(Grid_BD!$F:$F,$A302,Grid_BD!$Y:$Y)),"")</f>
        <v/>
      </c>
      <c r="S302" s="10"/>
      <c r="T302" s="310"/>
      <c r="U302" s="311"/>
      <c r="V302" s="10"/>
      <c r="W302" s="312" t="str">
        <f t="shared" si="27"/>
        <v/>
      </c>
      <c r="X302" s="10" t="str">
        <f>IFERROR(_xlfn.XLOOKUP($A302,Input_Raw!$E:$E,Input_Raw!BG:BG),"")</f>
        <v/>
      </c>
      <c r="Y302" s="10" t="str">
        <f>IFERROR(_xlfn.XLOOKUP($A302,Input_Raw!$E:$E,Input_Raw!DF:DF),"")</f>
        <v/>
      </c>
      <c r="Z302" s="319" t="str">
        <f>IFERROR(_xlfn.XLOOKUP(A302,Input_Raw!E:E,Input_Raw!CT:CT)/_xlfn.XLOOKUP(A302,Input_Raw!E:E,Input_Raw!CS:CS)*Table13[[#This Row],[Mtr_Export (kWh)]],"")</f>
        <v/>
      </c>
      <c r="AA302" s="43" t="str">
        <f t="shared" si="28"/>
        <v/>
      </c>
      <c r="AB302" s="10" t="str">
        <f>IFERROR(_xlfn.XLOOKUP($A302,Input_Raw!$E:$E,Input_Raw!$CZ:$CZ),"")</f>
        <v/>
      </c>
      <c r="AC302" s="313">
        <f>IFERROR(_xlfn.XLOOKUP($D302,'Modelling New'!$D:$D,'Modelling New'!$J:$J),"")</f>
        <v>7.411120320091455</v>
      </c>
      <c r="AD302" s="43">
        <f>IFERROR(_xlfn.XLOOKUP($D302,'Modelling New'!$D:$D,'Modelling New'!$T:$T)*1000,"")</f>
        <v>422505.16129032255</v>
      </c>
      <c r="AE302" s="312"/>
      <c r="AF302" s="312">
        <f>IFERROR(_xlfn.XLOOKUP($D302,'Modelling New'!$D:$D,'Modelling New'!$W:$W),"")</f>
        <v>0.347912682221939</v>
      </c>
      <c r="AG302" s="312">
        <f>IFERROR(_xlfn.XLOOKUP($D302,'Modelling New'!$D:$D,'Modelling New'!$AE:$AE),"")</f>
        <v>0.95549849999999992</v>
      </c>
      <c r="AH302" s="312">
        <f>IFERROR(_xlfn.XLOOKUP($D302,'Modelling New'!$D:$D,'Modelling New'!$AF:$AF),"")</f>
        <v>0.995</v>
      </c>
      <c r="AI302" s="10" t="str">
        <f>IFERROR(_xlfn.XLOOKUP($A302,Input_Raw!$E:$E,Input_Raw!$DG:$DG),"")</f>
        <v/>
      </c>
      <c r="AJ302" s="10"/>
      <c r="AK302" s="10"/>
      <c r="AL302" s="10"/>
      <c r="AM302" s="10"/>
      <c r="AN302" s="314" t="str">
        <f>IFERROR(_xlfn.XLOOKUP($A302,Input_Raw!$E:$E,Input_Raw!$CY:$CY),"")</f>
        <v/>
      </c>
      <c r="AO302" s="312" t="str">
        <f>IFERROR((_xlfn.XLOOKUP($A302,'WTG Reactive Power'!$A:$A,'WTG Reactive Power'!AB:AB))/X302,"")</f>
        <v/>
      </c>
      <c r="AP302" s="312">
        <f>IFERROR(_xlfn.XLOOKUP($D302,'Modelling New'!$D:$D,'Modelling New'!AK:AK),"")</f>
        <v>0.05</v>
      </c>
      <c r="AQ302" s="312">
        <f>IFERROR(_xlfn.XLOOKUP($D302,'Modelling New'!$D:$D,'Modelling New'!AL:AL),"")</f>
        <v>0.05</v>
      </c>
      <c r="AR302" s="325">
        <f>IFERROR(_xlfn.XLOOKUP($D302,'Modelling New'!$D:$D,'Modelling New'!$N:$N),"")</f>
        <v>50.59999999999998</v>
      </c>
      <c r="AS302" s="325"/>
    </row>
    <row r="303" spans="1:45">
      <c r="A303" s="32">
        <f t="shared" si="29"/>
        <v>46046</v>
      </c>
      <c r="B303" s="43">
        <f>YEAR(Table13[[#This Row],[Date]])+IF(MONTH(Table13[[#This Row],[Date]])&gt;=4,1,0)</f>
        <v>2026</v>
      </c>
      <c r="C303" s="10">
        <f>YEAR(Table13[[#This Row],[Date]])</f>
        <v>2026</v>
      </c>
      <c r="D303" s="309">
        <f>Table13[[#This Row],[Date]]-DAY(Table13[[#This Row],[Date]])+1</f>
        <v>46023</v>
      </c>
      <c r="E303" s="10">
        <f t="shared" si="25"/>
        <v>31</v>
      </c>
      <c r="F303" s="241" t="str">
        <f>IFERROR(_xlfn.XLOOKUP($A303,Input_Raw!$E:$E,Input_Raw!DC:DC),"")</f>
        <v/>
      </c>
      <c r="G303" s="242"/>
      <c r="H303" s="242"/>
      <c r="I303" s="242"/>
      <c r="J303" s="242"/>
      <c r="K303" s="243"/>
      <c r="L303" s="242"/>
      <c r="M303" s="242" t="str">
        <f>IFERROR(_xlfn.XLOOKUP($A303,Input_Raw!$E:$E,Input_Raw!$BM:$BM),"")</f>
        <v/>
      </c>
      <c r="N303" s="242" t="str">
        <f>IFERROR(_xlfn.XLOOKUP($A303,Input_Raw!$E:$E,Input_Raw!$BN:$BN),"")</f>
        <v/>
      </c>
      <c r="O303" s="311" t="str">
        <f t="shared" si="26"/>
        <v/>
      </c>
      <c r="P303" s="311" t="str">
        <f>IFERROR(1-SUMIF(WTG_BD!$F:$F,$A303,WTG_BD!$AA:$AA)/($AA303+SUMIF(WTG_BD!$F:$F,$A303,WTG_BD!$AA:$AA)),"")</f>
        <v/>
      </c>
      <c r="Q303" s="328" t="str">
        <f>IFERROR(1-SUMIF(IGA_BD!$F:$F,$A303,IGA_BD!$W:$W)/($AA303+SUMIF(IGA_BD!$F:$F,$A303,IGA_BD!$W:$W)),"")</f>
        <v/>
      </c>
      <c r="R303" s="311" t="str">
        <f>IFERROR(1-SUMIF(Grid_BD!$F:$F,$A303,Grid_BD!$Y:$Y)/($AA303+SUMIF(Grid_BD!$F:$F,$A303,Grid_BD!$Y:$Y)),"")</f>
        <v/>
      </c>
      <c r="S303" s="10"/>
      <c r="T303" s="310"/>
      <c r="U303" s="311"/>
      <c r="V303" s="10"/>
      <c r="W303" s="312" t="str">
        <f t="shared" si="27"/>
        <v/>
      </c>
      <c r="X303" s="10" t="str">
        <f>IFERROR(_xlfn.XLOOKUP($A303,Input_Raw!$E:$E,Input_Raw!BG:BG),"")</f>
        <v/>
      </c>
      <c r="Y303" s="10" t="str">
        <f>IFERROR(_xlfn.XLOOKUP($A303,Input_Raw!$E:$E,Input_Raw!DF:DF),"")</f>
        <v/>
      </c>
      <c r="Z303" s="319" t="str">
        <f>IFERROR(_xlfn.XLOOKUP(A303,Input_Raw!E:E,Input_Raw!CT:CT)/_xlfn.XLOOKUP(A303,Input_Raw!E:E,Input_Raw!CS:CS)*Table13[[#This Row],[Mtr_Export (kWh)]],"")</f>
        <v/>
      </c>
      <c r="AA303" s="43" t="str">
        <f t="shared" si="28"/>
        <v/>
      </c>
      <c r="AB303" s="10" t="str">
        <f>IFERROR(_xlfn.XLOOKUP($A303,Input_Raw!$E:$E,Input_Raw!$CZ:$CZ),"")</f>
        <v/>
      </c>
      <c r="AC303" s="313">
        <f>IFERROR(_xlfn.XLOOKUP($D303,'Modelling New'!$D:$D,'Modelling New'!$J:$J),"")</f>
        <v>7.411120320091455</v>
      </c>
      <c r="AD303" s="43">
        <f>IFERROR(_xlfn.XLOOKUP($D303,'Modelling New'!$D:$D,'Modelling New'!$T:$T)*1000,"")</f>
        <v>422505.16129032255</v>
      </c>
      <c r="AE303" s="312"/>
      <c r="AF303" s="312">
        <f>IFERROR(_xlfn.XLOOKUP($D303,'Modelling New'!$D:$D,'Modelling New'!$W:$W),"")</f>
        <v>0.347912682221939</v>
      </c>
      <c r="AG303" s="312">
        <f>IFERROR(_xlfn.XLOOKUP($D303,'Modelling New'!$D:$D,'Modelling New'!$AE:$AE),"")</f>
        <v>0.95549849999999992</v>
      </c>
      <c r="AH303" s="312">
        <f>IFERROR(_xlfn.XLOOKUP($D303,'Modelling New'!$D:$D,'Modelling New'!$AF:$AF),"")</f>
        <v>0.995</v>
      </c>
      <c r="AI303" s="10" t="str">
        <f>IFERROR(_xlfn.XLOOKUP($A303,Input_Raw!$E:$E,Input_Raw!$DG:$DG),"")</f>
        <v/>
      </c>
      <c r="AJ303" s="10"/>
      <c r="AK303" s="10"/>
      <c r="AL303" s="10"/>
      <c r="AM303" s="10"/>
      <c r="AN303" s="314" t="str">
        <f>IFERROR(_xlfn.XLOOKUP($A303,Input_Raw!$E:$E,Input_Raw!$CY:$CY),"")</f>
        <v/>
      </c>
      <c r="AO303" s="312" t="str">
        <f>IFERROR((_xlfn.XLOOKUP($A303,'WTG Reactive Power'!$A:$A,'WTG Reactive Power'!AB:AB))/X303,"")</f>
        <v/>
      </c>
      <c r="AP303" s="312">
        <f>IFERROR(_xlfn.XLOOKUP($D303,'Modelling New'!$D:$D,'Modelling New'!AK:AK),"")</f>
        <v>0.05</v>
      </c>
      <c r="AQ303" s="312">
        <f>IFERROR(_xlfn.XLOOKUP($D303,'Modelling New'!$D:$D,'Modelling New'!AL:AL),"")</f>
        <v>0.05</v>
      </c>
      <c r="AR303" s="325">
        <f>IFERROR(_xlfn.XLOOKUP($D303,'Modelling New'!$D:$D,'Modelling New'!$N:$N),"")</f>
        <v>50.59999999999998</v>
      </c>
      <c r="AS303" s="325"/>
    </row>
    <row r="304" spans="1:45">
      <c r="A304" s="32">
        <f t="shared" si="29"/>
        <v>46047</v>
      </c>
      <c r="B304" s="43">
        <f>YEAR(Table13[[#This Row],[Date]])+IF(MONTH(Table13[[#This Row],[Date]])&gt;=4,1,0)</f>
        <v>2026</v>
      </c>
      <c r="C304" s="10">
        <f>YEAR(Table13[[#This Row],[Date]])</f>
        <v>2026</v>
      </c>
      <c r="D304" s="309">
        <f>Table13[[#This Row],[Date]]-DAY(Table13[[#This Row],[Date]])+1</f>
        <v>46023</v>
      </c>
      <c r="E304" s="10">
        <f t="shared" si="25"/>
        <v>31</v>
      </c>
      <c r="F304" s="241" t="str">
        <f>IFERROR(_xlfn.XLOOKUP($A304,Input_Raw!$E:$E,Input_Raw!DC:DC),"")</f>
        <v/>
      </c>
      <c r="G304" s="313"/>
      <c r="H304" s="313"/>
      <c r="I304" s="313"/>
      <c r="J304" s="313"/>
      <c r="K304" s="243"/>
      <c r="L304" s="242"/>
      <c r="M304" s="242" t="str">
        <f>IFERROR(_xlfn.XLOOKUP($A304,Input_Raw!$E:$E,Input_Raw!$BM:$BM),"")</f>
        <v/>
      </c>
      <c r="N304" s="242" t="str">
        <f>IFERROR(_xlfn.XLOOKUP($A304,Input_Raw!$E:$E,Input_Raw!$BN:$BN),"")</f>
        <v/>
      </c>
      <c r="O304" s="311" t="str">
        <f t="shared" si="26"/>
        <v/>
      </c>
      <c r="P304" s="311" t="str">
        <f>IFERROR(1-SUMIF(WTG_BD!$F:$F,$A304,WTG_BD!$AA:$AA)/($AA304+SUMIF(WTG_BD!$F:$F,$A304,WTG_BD!$AA:$AA)),"")</f>
        <v/>
      </c>
      <c r="Q304" s="328" t="str">
        <f>IFERROR(1-SUMIF(IGA_BD!$F:$F,$A304,IGA_BD!$W:$W)/($AA304+SUMIF(IGA_BD!$F:$F,$A304,IGA_BD!$W:$W)),"")</f>
        <v/>
      </c>
      <c r="R304" s="47" t="str">
        <f>IFERROR(1-SUMIF(Grid_BD!$F:$F,$A304,Grid_BD!$Y:$Y)/($AA304+SUMIF(Grid_BD!$F:$F,$A304,Grid_BD!$Y:$Y)),"")</f>
        <v/>
      </c>
      <c r="S304" s="10"/>
      <c r="T304" s="310"/>
      <c r="U304" s="311"/>
      <c r="V304" s="10"/>
      <c r="W304" s="312" t="str">
        <f t="shared" si="27"/>
        <v/>
      </c>
      <c r="X304" s="10" t="str">
        <f>IFERROR(_xlfn.XLOOKUP($A304,Input_Raw!$E:$E,Input_Raw!BG:BG),"")</f>
        <v/>
      </c>
      <c r="Y304" s="10" t="str">
        <f>IFERROR(_xlfn.XLOOKUP($A304,Input_Raw!$E:$E,Input_Raw!DF:DF),"")</f>
        <v/>
      </c>
      <c r="Z304" s="319" t="str">
        <f>IFERROR(_xlfn.XLOOKUP(A304,Input_Raw!E:E,Input_Raw!CT:CT)/_xlfn.XLOOKUP(A304,Input_Raw!E:E,Input_Raw!CS:CS)*Table13[[#This Row],[Mtr_Export (kWh)]],"")</f>
        <v/>
      </c>
      <c r="AA304" s="43" t="str">
        <f t="shared" si="28"/>
        <v/>
      </c>
      <c r="AB304" s="10" t="str">
        <f>IFERROR(_xlfn.XLOOKUP($A304,Input_Raw!$E:$E,Input_Raw!$CZ:$CZ),"")</f>
        <v/>
      </c>
      <c r="AC304" s="313">
        <f>IFERROR(_xlfn.XLOOKUP($D304,'Modelling New'!$D:$D,'Modelling New'!$J:$J),"")</f>
        <v>7.411120320091455</v>
      </c>
      <c r="AD304" s="43">
        <f>IFERROR(_xlfn.XLOOKUP($D304,'Modelling New'!$D:$D,'Modelling New'!$T:$T)*1000,"")</f>
        <v>422505.16129032255</v>
      </c>
      <c r="AE304" s="312"/>
      <c r="AF304" s="312">
        <f>IFERROR(_xlfn.XLOOKUP($D304,'Modelling New'!$D:$D,'Modelling New'!$W:$W),"")</f>
        <v>0.347912682221939</v>
      </c>
      <c r="AG304" s="312">
        <f>IFERROR(_xlfn.XLOOKUP($D304,'Modelling New'!$D:$D,'Modelling New'!$AE:$AE),"")</f>
        <v>0.95549849999999992</v>
      </c>
      <c r="AH304" s="312">
        <f>IFERROR(_xlfn.XLOOKUP($D304,'Modelling New'!$D:$D,'Modelling New'!$AF:$AF),"")</f>
        <v>0.995</v>
      </c>
      <c r="AI304" s="10" t="str">
        <f>IFERROR(_xlfn.XLOOKUP($A304,Input_Raw!$E:$E,Input_Raw!$DG:$DG),"")</f>
        <v/>
      </c>
      <c r="AJ304" s="10"/>
      <c r="AK304" s="10"/>
      <c r="AL304" s="10"/>
      <c r="AM304" s="10"/>
      <c r="AN304" s="314" t="str">
        <f>IFERROR(_xlfn.XLOOKUP($A304,Input_Raw!$E:$E,Input_Raw!$CY:$CY),"")</f>
        <v/>
      </c>
      <c r="AO304" s="312" t="str">
        <f>IFERROR((_xlfn.XLOOKUP($A304,'WTG Reactive Power'!$A:$A,'WTG Reactive Power'!AB:AB))/X304,"")</f>
        <v/>
      </c>
      <c r="AP304" s="312">
        <f>IFERROR(_xlfn.XLOOKUP($D304,'Modelling New'!$D:$D,'Modelling New'!AK:AK),"")</f>
        <v>0.05</v>
      </c>
      <c r="AQ304" s="312">
        <f>IFERROR(_xlfn.XLOOKUP($D304,'Modelling New'!$D:$D,'Modelling New'!AL:AL),"")</f>
        <v>0.05</v>
      </c>
      <c r="AR304" s="325">
        <f>IFERROR(_xlfn.XLOOKUP($D304,'Modelling New'!$D:$D,'Modelling New'!$N:$N),"")</f>
        <v>50.59999999999998</v>
      </c>
      <c r="AS304" s="325"/>
    </row>
    <row r="305" spans="1:45">
      <c r="A305" s="32">
        <f t="shared" si="29"/>
        <v>46048</v>
      </c>
      <c r="B305" s="43">
        <f>YEAR(Table13[[#This Row],[Date]])+IF(MONTH(Table13[[#This Row],[Date]])&gt;=4,1,0)</f>
        <v>2026</v>
      </c>
      <c r="C305" s="10">
        <f>YEAR(Table13[[#This Row],[Date]])</f>
        <v>2026</v>
      </c>
      <c r="D305" s="309">
        <f>Table13[[#This Row],[Date]]-DAY(Table13[[#This Row],[Date]])+1</f>
        <v>46023</v>
      </c>
      <c r="E305" s="10">
        <f t="shared" si="25"/>
        <v>31</v>
      </c>
      <c r="F305" s="241" t="str">
        <f>IFERROR(_xlfn.XLOOKUP($A305,Input_Raw!$E:$E,Input_Raw!DC:DC),"")</f>
        <v/>
      </c>
      <c r="G305" s="242"/>
      <c r="H305" s="242"/>
      <c r="I305" s="242"/>
      <c r="J305" s="242"/>
      <c r="K305" s="243"/>
      <c r="L305" s="242"/>
      <c r="M305" s="242" t="str">
        <f>IFERROR(_xlfn.XLOOKUP($A305,Input_Raw!$E:$E,Input_Raw!$BM:$BM),"")</f>
        <v/>
      </c>
      <c r="N305" s="242" t="str">
        <f>IFERROR(_xlfn.XLOOKUP($A305,Input_Raw!$E:$E,Input_Raw!$BN:$BN),"")</f>
        <v/>
      </c>
      <c r="O305" s="311" t="str">
        <f t="shared" si="26"/>
        <v/>
      </c>
      <c r="P305" s="311" t="str">
        <f>IFERROR(1-SUMIF(WTG_BD!$F:$F,$A305,WTG_BD!$AA:$AA)/($AA305+SUMIF(WTG_BD!$F:$F,$A305,WTG_BD!$AA:$AA)),"")</f>
        <v/>
      </c>
      <c r="Q305" s="328" t="str">
        <f>IFERROR(1-SUMIF(IGA_BD!$F:$F,$A305,IGA_BD!$W:$W)/($AA305+SUMIF(IGA_BD!$F:$F,$A305,IGA_BD!$W:$W)),"")</f>
        <v/>
      </c>
      <c r="R305" s="311" t="str">
        <f>IFERROR(1-SUMIF(Grid_BD!$F:$F,$A305,Grid_BD!$Y:$Y)/($AA305+SUMIF(Grid_BD!$F:$F,$A305,Grid_BD!$Y:$Y)),"")</f>
        <v/>
      </c>
      <c r="S305" s="10"/>
      <c r="T305" s="310"/>
      <c r="U305" s="311"/>
      <c r="V305" s="10"/>
      <c r="W305" s="312" t="str">
        <f t="shared" si="27"/>
        <v/>
      </c>
      <c r="X305" s="10" t="str">
        <f>IFERROR(_xlfn.XLOOKUP($A305,Input_Raw!$E:$E,Input_Raw!BG:BG),"")</f>
        <v/>
      </c>
      <c r="Y305" s="10" t="str">
        <f>IFERROR(_xlfn.XLOOKUP($A305,Input_Raw!$E:$E,Input_Raw!DF:DF),"")</f>
        <v/>
      </c>
      <c r="Z305" s="319" t="str">
        <f>IFERROR(_xlfn.XLOOKUP(A305,Input_Raw!E:E,Input_Raw!CT:CT)/_xlfn.XLOOKUP(A305,Input_Raw!E:E,Input_Raw!CS:CS)*Table13[[#This Row],[Mtr_Export (kWh)]],"")</f>
        <v/>
      </c>
      <c r="AA305" s="43" t="str">
        <f t="shared" si="28"/>
        <v/>
      </c>
      <c r="AB305" s="10" t="str">
        <f>IFERROR(_xlfn.XLOOKUP($A305,Input_Raw!$E:$E,Input_Raw!$CZ:$CZ),"")</f>
        <v/>
      </c>
      <c r="AC305" s="313">
        <f>IFERROR(_xlfn.XLOOKUP($D305,'Modelling New'!$D:$D,'Modelling New'!$J:$J),"")</f>
        <v>7.411120320091455</v>
      </c>
      <c r="AD305" s="43">
        <f>IFERROR(_xlfn.XLOOKUP($D305,'Modelling New'!$D:$D,'Modelling New'!$T:$T)*1000,"")</f>
        <v>422505.16129032255</v>
      </c>
      <c r="AE305" s="312"/>
      <c r="AF305" s="312">
        <f>IFERROR(_xlfn.XLOOKUP($D305,'Modelling New'!$D:$D,'Modelling New'!$W:$W),"")</f>
        <v>0.347912682221939</v>
      </c>
      <c r="AG305" s="312">
        <f>IFERROR(_xlfn.XLOOKUP($D305,'Modelling New'!$D:$D,'Modelling New'!$AE:$AE),"")</f>
        <v>0.95549849999999992</v>
      </c>
      <c r="AH305" s="312">
        <f>IFERROR(_xlfn.XLOOKUP($D305,'Modelling New'!$D:$D,'Modelling New'!$AF:$AF),"")</f>
        <v>0.995</v>
      </c>
      <c r="AI305" s="10" t="str">
        <f>IFERROR(_xlfn.XLOOKUP($A305,Input_Raw!$E:$E,Input_Raw!$DG:$DG),"")</f>
        <v/>
      </c>
      <c r="AJ305" s="10"/>
      <c r="AK305" s="10"/>
      <c r="AL305" s="10"/>
      <c r="AM305" s="10"/>
      <c r="AN305" s="314" t="str">
        <f>IFERROR(_xlfn.XLOOKUP($A305,Input_Raw!$E:$E,Input_Raw!$CY:$CY),"")</f>
        <v/>
      </c>
      <c r="AO305" s="312" t="str">
        <f>IFERROR((_xlfn.XLOOKUP($A305,'WTG Reactive Power'!$A:$A,'WTG Reactive Power'!AB:AB))/X305,"")</f>
        <v/>
      </c>
      <c r="AP305" s="312">
        <f>IFERROR(_xlfn.XLOOKUP($D305,'Modelling New'!$D:$D,'Modelling New'!AK:AK),"")</f>
        <v>0.05</v>
      </c>
      <c r="AQ305" s="312">
        <f>IFERROR(_xlfn.XLOOKUP($D305,'Modelling New'!$D:$D,'Modelling New'!AL:AL),"")</f>
        <v>0.05</v>
      </c>
      <c r="AR305" s="325">
        <f>IFERROR(_xlfn.XLOOKUP($D305,'Modelling New'!$D:$D,'Modelling New'!$N:$N),"")</f>
        <v>50.59999999999998</v>
      </c>
      <c r="AS305" s="325"/>
    </row>
    <row r="306" spans="1:45">
      <c r="A306" s="32">
        <f t="shared" si="29"/>
        <v>46049</v>
      </c>
      <c r="B306" s="43">
        <f>YEAR(Table13[[#This Row],[Date]])+IF(MONTH(Table13[[#This Row],[Date]])&gt;=4,1,0)</f>
        <v>2026</v>
      </c>
      <c r="C306" s="10">
        <f>YEAR(Table13[[#This Row],[Date]])</f>
        <v>2026</v>
      </c>
      <c r="D306" s="309">
        <f>Table13[[#This Row],[Date]]-DAY(Table13[[#This Row],[Date]])+1</f>
        <v>46023</v>
      </c>
      <c r="E306" s="10">
        <f t="shared" si="25"/>
        <v>31</v>
      </c>
      <c r="F306" s="241" t="str">
        <f>IFERROR(_xlfn.XLOOKUP($A306,Input_Raw!$E:$E,Input_Raw!DC:DC),"")</f>
        <v/>
      </c>
      <c r="G306" s="313"/>
      <c r="H306" s="313"/>
      <c r="I306" s="313"/>
      <c r="J306" s="313"/>
      <c r="K306" s="243"/>
      <c r="L306" s="242"/>
      <c r="M306" s="242" t="str">
        <f>IFERROR(_xlfn.XLOOKUP($A306,Input_Raw!$E:$E,Input_Raw!$BM:$BM),"")</f>
        <v/>
      </c>
      <c r="N306" s="242" t="str">
        <f>IFERROR(_xlfn.XLOOKUP($A306,Input_Raw!$E:$E,Input_Raw!$BN:$BN),"")</f>
        <v/>
      </c>
      <c r="O306" s="311" t="str">
        <f t="shared" si="26"/>
        <v/>
      </c>
      <c r="P306" s="311" t="str">
        <f>IFERROR(1-SUMIF(WTG_BD!$F:$F,$A306,WTG_BD!$AA:$AA)/($AA306+SUMIF(WTG_BD!$F:$F,$A306,WTG_BD!$AA:$AA)),"")</f>
        <v/>
      </c>
      <c r="Q306" s="328" t="str">
        <f>IFERROR(1-SUMIF(IGA_BD!$F:$F,$A306,IGA_BD!$W:$W)/($AA306+SUMIF(IGA_BD!$F:$F,$A306,IGA_BD!$W:$W)),"")</f>
        <v/>
      </c>
      <c r="R306" s="47" t="str">
        <f>IFERROR(1-SUMIF(Grid_BD!$F:$F,$A306,Grid_BD!$Y:$Y)/($AA306+SUMIF(Grid_BD!$F:$F,$A306,Grid_BD!$Y:$Y)),"")</f>
        <v/>
      </c>
      <c r="S306" s="10"/>
      <c r="T306" s="310"/>
      <c r="U306" s="311"/>
      <c r="V306" s="10"/>
      <c r="W306" s="312" t="str">
        <f t="shared" si="27"/>
        <v/>
      </c>
      <c r="X306" s="10" t="str">
        <f>IFERROR(_xlfn.XLOOKUP($A306,Input_Raw!$E:$E,Input_Raw!BG:BG),"")</f>
        <v/>
      </c>
      <c r="Y306" s="10" t="str">
        <f>IFERROR(_xlfn.XLOOKUP($A306,Input_Raw!$E:$E,Input_Raw!DF:DF),"")</f>
        <v/>
      </c>
      <c r="Z306" s="319" t="str">
        <f>IFERROR(_xlfn.XLOOKUP(A306,Input_Raw!E:E,Input_Raw!CT:CT)/_xlfn.XLOOKUP(A306,Input_Raw!E:E,Input_Raw!CS:CS)*Table13[[#This Row],[Mtr_Export (kWh)]],"")</f>
        <v/>
      </c>
      <c r="AA306" s="43" t="str">
        <f t="shared" si="28"/>
        <v/>
      </c>
      <c r="AB306" s="10" t="str">
        <f>IFERROR(_xlfn.XLOOKUP($A306,Input_Raw!$E:$E,Input_Raw!$CZ:$CZ),"")</f>
        <v/>
      </c>
      <c r="AC306" s="313">
        <f>IFERROR(_xlfn.XLOOKUP($D306,'Modelling New'!$D:$D,'Modelling New'!$J:$J),"")</f>
        <v>7.411120320091455</v>
      </c>
      <c r="AD306" s="43">
        <f>IFERROR(_xlfn.XLOOKUP($D306,'Modelling New'!$D:$D,'Modelling New'!$T:$T)*1000,"")</f>
        <v>422505.16129032255</v>
      </c>
      <c r="AE306" s="312"/>
      <c r="AF306" s="312">
        <f>IFERROR(_xlfn.XLOOKUP($D306,'Modelling New'!$D:$D,'Modelling New'!$W:$W),"")</f>
        <v>0.347912682221939</v>
      </c>
      <c r="AG306" s="312">
        <f>IFERROR(_xlfn.XLOOKUP($D306,'Modelling New'!$D:$D,'Modelling New'!$AE:$AE),"")</f>
        <v>0.95549849999999992</v>
      </c>
      <c r="AH306" s="312">
        <f>IFERROR(_xlfn.XLOOKUP($D306,'Modelling New'!$D:$D,'Modelling New'!$AF:$AF),"")</f>
        <v>0.995</v>
      </c>
      <c r="AI306" s="10" t="str">
        <f>IFERROR(_xlfn.XLOOKUP($A306,Input_Raw!$E:$E,Input_Raw!$DG:$DG),"")</f>
        <v/>
      </c>
      <c r="AJ306" s="10"/>
      <c r="AK306" s="10"/>
      <c r="AL306" s="10"/>
      <c r="AM306" s="10"/>
      <c r="AN306" s="314" t="str">
        <f>IFERROR(_xlfn.XLOOKUP($A306,Input_Raw!$E:$E,Input_Raw!$CY:$CY),"")</f>
        <v/>
      </c>
      <c r="AO306" s="312" t="str">
        <f>IFERROR((_xlfn.XLOOKUP($A306,'WTG Reactive Power'!$A:$A,'WTG Reactive Power'!AB:AB))/X306,"")</f>
        <v/>
      </c>
      <c r="AP306" s="312">
        <f>IFERROR(_xlfn.XLOOKUP($D306,'Modelling New'!$D:$D,'Modelling New'!AK:AK),"")</f>
        <v>0.05</v>
      </c>
      <c r="AQ306" s="312">
        <f>IFERROR(_xlfn.XLOOKUP($D306,'Modelling New'!$D:$D,'Modelling New'!AL:AL),"")</f>
        <v>0.05</v>
      </c>
      <c r="AR306" s="325">
        <f>IFERROR(_xlfn.XLOOKUP($D306,'Modelling New'!$D:$D,'Modelling New'!$N:$N),"")</f>
        <v>50.59999999999998</v>
      </c>
      <c r="AS306" s="325"/>
    </row>
    <row r="307" spans="1:45">
      <c r="A307" s="32">
        <f t="shared" si="29"/>
        <v>46050</v>
      </c>
      <c r="B307" s="43">
        <f>YEAR(Table13[[#This Row],[Date]])+IF(MONTH(Table13[[#This Row],[Date]])&gt;=4,1,0)</f>
        <v>2026</v>
      </c>
      <c r="C307" s="10">
        <f>YEAR(Table13[[#This Row],[Date]])</f>
        <v>2026</v>
      </c>
      <c r="D307" s="309">
        <f>Table13[[#This Row],[Date]]-DAY(Table13[[#This Row],[Date]])+1</f>
        <v>46023</v>
      </c>
      <c r="E307" s="10">
        <f t="shared" si="25"/>
        <v>31</v>
      </c>
      <c r="F307" s="241" t="str">
        <f>IFERROR(_xlfn.XLOOKUP($A307,Input_Raw!$E:$E,Input_Raw!DC:DC),"")</f>
        <v/>
      </c>
      <c r="G307" s="242"/>
      <c r="H307" s="242"/>
      <c r="I307" s="242"/>
      <c r="J307" s="242"/>
      <c r="K307" s="243"/>
      <c r="L307" s="242"/>
      <c r="M307" s="242" t="str">
        <f>IFERROR(_xlfn.XLOOKUP($A307,Input_Raw!$E:$E,Input_Raw!$BM:$BM),"")</f>
        <v/>
      </c>
      <c r="N307" s="242" t="str">
        <f>IFERROR(_xlfn.XLOOKUP($A307,Input_Raw!$E:$E,Input_Raw!$BN:$BN),"")</f>
        <v/>
      </c>
      <c r="O307" s="311" t="str">
        <f t="shared" si="26"/>
        <v/>
      </c>
      <c r="P307" s="311" t="str">
        <f>IFERROR(1-SUMIF(WTG_BD!$F:$F,$A307,WTG_BD!$AA:$AA)/($AA307+SUMIF(WTG_BD!$F:$F,$A307,WTG_BD!$AA:$AA)),"")</f>
        <v/>
      </c>
      <c r="Q307" s="328" t="str">
        <f>IFERROR(1-SUMIF(IGA_BD!$F:$F,$A307,IGA_BD!$W:$W)/($AA307+SUMIF(IGA_BD!$F:$F,$A307,IGA_BD!$W:$W)),"")</f>
        <v/>
      </c>
      <c r="R307" s="311" t="str">
        <f>IFERROR(1-SUMIF(Grid_BD!$F:$F,$A307,Grid_BD!$Y:$Y)/($AA307+SUMIF(Grid_BD!$F:$F,$A307,Grid_BD!$Y:$Y)),"")</f>
        <v/>
      </c>
      <c r="S307" s="10"/>
      <c r="T307" s="310"/>
      <c r="U307" s="311"/>
      <c r="V307" s="10"/>
      <c r="W307" s="312" t="str">
        <f t="shared" si="27"/>
        <v/>
      </c>
      <c r="X307" s="10" t="str">
        <f>IFERROR(_xlfn.XLOOKUP($A307,Input_Raw!$E:$E,Input_Raw!BG:BG),"")</f>
        <v/>
      </c>
      <c r="Y307" s="10" t="str">
        <f>IFERROR(_xlfn.XLOOKUP($A307,Input_Raw!$E:$E,Input_Raw!DF:DF),"")</f>
        <v/>
      </c>
      <c r="Z307" s="319" t="str">
        <f>IFERROR(_xlfn.XLOOKUP(A307,Input_Raw!E:E,Input_Raw!CT:CT)/_xlfn.XLOOKUP(A307,Input_Raw!E:E,Input_Raw!CS:CS)*Table13[[#This Row],[Mtr_Export (kWh)]],"")</f>
        <v/>
      </c>
      <c r="AA307" s="43" t="str">
        <f t="shared" si="28"/>
        <v/>
      </c>
      <c r="AB307" s="10" t="str">
        <f>IFERROR(_xlfn.XLOOKUP($A307,Input_Raw!$E:$E,Input_Raw!$CZ:$CZ),"")</f>
        <v/>
      </c>
      <c r="AC307" s="313">
        <f>IFERROR(_xlfn.XLOOKUP($D307,'Modelling New'!$D:$D,'Modelling New'!$J:$J),"")</f>
        <v>7.411120320091455</v>
      </c>
      <c r="AD307" s="43">
        <f>IFERROR(_xlfn.XLOOKUP($D307,'Modelling New'!$D:$D,'Modelling New'!$T:$T)*1000,"")</f>
        <v>422505.16129032255</v>
      </c>
      <c r="AE307" s="312"/>
      <c r="AF307" s="312">
        <f>IFERROR(_xlfn.XLOOKUP($D307,'Modelling New'!$D:$D,'Modelling New'!$W:$W),"")</f>
        <v>0.347912682221939</v>
      </c>
      <c r="AG307" s="312">
        <f>IFERROR(_xlfn.XLOOKUP($D307,'Modelling New'!$D:$D,'Modelling New'!$AE:$AE),"")</f>
        <v>0.95549849999999992</v>
      </c>
      <c r="AH307" s="312">
        <f>IFERROR(_xlfn.XLOOKUP($D307,'Modelling New'!$D:$D,'Modelling New'!$AF:$AF),"")</f>
        <v>0.995</v>
      </c>
      <c r="AI307" s="10" t="str">
        <f>IFERROR(_xlfn.XLOOKUP($A307,Input_Raw!$E:$E,Input_Raw!$DG:$DG),"")</f>
        <v/>
      </c>
      <c r="AJ307" s="10"/>
      <c r="AK307" s="10"/>
      <c r="AL307" s="10"/>
      <c r="AM307" s="10"/>
      <c r="AN307" s="314" t="str">
        <f>IFERROR(_xlfn.XLOOKUP($A307,Input_Raw!$E:$E,Input_Raw!$CY:$CY),"")</f>
        <v/>
      </c>
      <c r="AO307" s="312" t="str">
        <f>IFERROR((_xlfn.XLOOKUP($A307,'WTG Reactive Power'!$A:$A,'WTG Reactive Power'!AB:AB))/X307,"")</f>
        <v/>
      </c>
      <c r="AP307" s="312">
        <f>IFERROR(_xlfn.XLOOKUP($D307,'Modelling New'!$D:$D,'Modelling New'!AK:AK),"")</f>
        <v>0.05</v>
      </c>
      <c r="AQ307" s="312">
        <f>IFERROR(_xlfn.XLOOKUP($D307,'Modelling New'!$D:$D,'Modelling New'!AL:AL),"")</f>
        <v>0.05</v>
      </c>
      <c r="AR307" s="325">
        <f>IFERROR(_xlfn.XLOOKUP($D307,'Modelling New'!$D:$D,'Modelling New'!$N:$N),"")</f>
        <v>50.59999999999998</v>
      </c>
      <c r="AS307" s="325"/>
    </row>
    <row r="308" spans="1:45">
      <c r="A308" s="32">
        <f t="shared" si="29"/>
        <v>46051</v>
      </c>
      <c r="B308" s="43">
        <f>YEAR(Table13[[#This Row],[Date]])+IF(MONTH(Table13[[#This Row],[Date]])&gt;=4,1,0)</f>
        <v>2026</v>
      </c>
      <c r="C308" s="10">
        <f>YEAR(Table13[[#This Row],[Date]])</f>
        <v>2026</v>
      </c>
      <c r="D308" s="309">
        <f>Table13[[#This Row],[Date]]-DAY(Table13[[#This Row],[Date]])+1</f>
        <v>46023</v>
      </c>
      <c r="E308" s="10">
        <f t="shared" si="25"/>
        <v>31</v>
      </c>
      <c r="F308" s="241" t="str">
        <f>IFERROR(_xlfn.XLOOKUP($A308,Input_Raw!$E:$E,Input_Raw!DC:DC),"")</f>
        <v/>
      </c>
      <c r="G308" s="313"/>
      <c r="H308" s="313"/>
      <c r="I308" s="313"/>
      <c r="J308" s="313"/>
      <c r="K308" s="243"/>
      <c r="L308" s="242"/>
      <c r="M308" s="242" t="str">
        <f>IFERROR(_xlfn.XLOOKUP($A308,Input_Raw!$E:$E,Input_Raw!$BM:$BM),"")</f>
        <v/>
      </c>
      <c r="N308" s="242" t="str">
        <f>IFERROR(_xlfn.XLOOKUP($A308,Input_Raw!$E:$E,Input_Raw!$BN:$BN),"")</f>
        <v/>
      </c>
      <c r="O308" s="311" t="str">
        <f t="shared" si="26"/>
        <v/>
      </c>
      <c r="P308" s="311" t="str">
        <f>IFERROR(1-SUMIF(WTG_BD!$F:$F,$A308,WTG_BD!$AA:$AA)/($AA308+SUMIF(WTG_BD!$F:$F,$A308,WTG_BD!$AA:$AA)),"")</f>
        <v/>
      </c>
      <c r="Q308" s="328" t="str">
        <f>IFERROR(1-SUMIF(IGA_BD!$F:$F,$A308,IGA_BD!$W:$W)/($AA308+SUMIF(IGA_BD!$F:$F,$A308,IGA_BD!$W:$W)),"")</f>
        <v/>
      </c>
      <c r="R308" s="47" t="str">
        <f>IFERROR(1-SUMIF(Grid_BD!$F:$F,$A308,Grid_BD!$Y:$Y)/($AA308+SUMIF(Grid_BD!$F:$F,$A308,Grid_BD!$Y:$Y)),"")</f>
        <v/>
      </c>
      <c r="S308" s="10"/>
      <c r="T308" s="310"/>
      <c r="U308" s="311"/>
      <c r="V308" s="10"/>
      <c r="W308" s="312" t="str">
        <f t="shared" si="27"/>
        <v/>
      </c>
      <c r="X308" s="10" t="str">
        <f>IFERROR(_xlfn.XLOOKUP($A308,Input_Raw!$E:$E,Input_Raw!BG:BG),"")</f>
        <v/>
      </c>
      <c r="Y308" s="10" t="str">
        <f>IFERROR(_xlfn.XLOOKUP($A308,Input_Raw!$E:$E,Input_Raw!DF:DF),"")</f>
        <v/>
      </c>
      <c r="Z308" s="319" t="str">
        <f>IFERROR(_xlfn.XLOOKUP(A308,Input_Raw!E:E,Input_Raw!CT:CT)/_xlfn.XLOOKUP(A308,Input_Raw!E:E,Input_Raw!CS:CS)*Table13[[#This Row],[Mtr_Export (kWh)]],"")</f>
        <v/>
      </c>
      <c r="AA308" s="43" t="str">
        <f t="shared" si="28"/>
        <v/>
      </c>
      <c r="AB308" s="10" t="str">
        <f>IFERROR(_xlfn.XLOOKUP($A308,Input_Raw!$E:$E,Input_Raw!$CZ:$CZ),"")</f>
        <v/>
      </c>
      <c r="AC308" s="313">
        <f>IFERROR(_xlfn.XLOOKUP($D308,'Modelling New'!$D:$D,'Modelling New'!$J:$J),"")</f>
        <v>7.411120320091455</v>
      </c>
      <c r="AD308" s="43">
        <f>IFERROR(_xlfn.XLOOKUP($D308,'Modelling New'!$D:$D,'Modelling New'!$T:$T)*1000,"")</f>
        <v>422505.16129032255</v>
      </c>
      <c r="AE308" s="312"/>
      <c r="AF308" s="312">
        <f>IFERROR(_xlfn.XLOOKUP($D308,'Modelling New'!$D:$D,'Modelling New'!$W:$W),"")</f>
        <v>0.347912682221939</v>
      </c>
      <c r="AG308" s="312">
        <f>IFERROR(_xlfn.XLOOKUP($D308,'Modelling New'!$D:$D,'Modelling New'!$AE:$AE),"")</f>
        <v>0.95549849999999992</v>
      </c>
      <c r="AH308" s="312">
        <f>IFERROR(_xlfn.XLOOKUP($D308,'Modelling New'!$D:$D,'Modelling New'!$AF:$AF),"")</f>
        <v>0.995</v>
      </c>
      <c r="AI308" s="10" t="str">
        <f>IFERROR(_xlfn.XLOOKUP($A308,Input_Raw!$E:$E,Input_Raw!$DG:$DG),"")</f>
        <v/>
      </c>
      <c r="AJ308" s="10"/>
      <c r="AK308" s="10"/>
      <c r="AL308" s="10"/>
      <c r="AM308" s="10"/>
      <c r="AN308" s="314" t="str">
        <f>IFERROR(_xlfn.XLOOKUP($A308,Input_Raw!$E:$E,Input_Raw!$CY:$CY),"")</f>
        <v/>
      </c>
      <c r="AO308" s="312" t="str">
        <f>IFERROR((_xlfn.XLOOKUP($A308,'WTG Reactive Power'!$A:$A,'WTG Reactive Power'!AB:AB))/X308,"")</f>
        <v/>
      </c>
      <c r="AP308" s="312">
        <f>IFERROR(_xlfn.XLOOKUP($D308,'Modelling New'!$D:$D,'Modelling New'!AK:AK),"")</f>
        <v>0.05</v>
      </c>
      <c r="AQ308" s="312">
        <f>IFERROR(_xlfn.XLOOKUP($D308,'Modelling New'!$D:$D,'Modelling New'!AL:AL),"")</f>
        <v>0.05</v>
      </c>
      <c r="AR308" s="325">
        <f>IFERROR(_xlfn.XLOOKUP($D308,'Modelling New'!$D:$D,'Modelling New'!$N:$N),"")</f>
        <v>50.59999999999998</v>
      </c>
      <c r="AS308" s="325"/>
    </row>
    <row r="309" spans="1:45">
      <c r="A309" s="32">
        <f t="shared" si="29"/>
        <v>46052</v>
      </c>
      <c r="B309" s="43">
        <f>YEAR(Table13[[#This Row],[Date]])+IF(MONTH(Table13[[#This Row],[Date]])&gt;=4,1,0)</f>
        <v>2026</v>
      </c>
      <c r="C309" s="10">
        <f>YEAR(Table13[[#This Row],[Date]])</f>
        <v>2026</v>
      </c>
      <c r="D309" s="309">
        <f>Table13[[#This Row],[Date]]-DAY(Table13[[#This Row],[Date]])+1</f>
        <v>46023</v>
      </c>
      <c r="E309" s="10">
        <f t="shared" si="25"/>
        <v>31</v>
      </c>
      <c r="F309" s="241" t="str">
        <f>IFERROR(_xlfn.XLOOKUP($A309,Input_Raw!$E:$E,Input_Raw!DC:DC),"")</f>
        <v/>
      </c>
      <c r="G309" s="242"/>
      <c r="H309" s="242"/>
      <c r="I309" s="242"/>
      <c r="J309" s="242"/>
      <c r="K309" s="243"/>
      <c r="L309" s="242"/>
      <c r="M309" s="242" t="str">
        <f>IFERROR(_xlfn.XLOOKUP($A309,Input_Raw!$E:$E,Input_Raw!$BM:$BM),"")</f>
        <v/>
      </c>
      <c r="N309" s="242" t="str">
        <f>IFERROR(_xlfn.XLOOKUP($A309,Input_Raw!$E:$E,Input_Raw!$BN:$BN),"")</f>
        <v/>
      </c>
      <c r="O309" s="311" t="str">
        <f t="shared" si="26"/>
        <v/>
      </c>
      <c r="P309" s="311" t="str">
        <f>IFERROR(1-SUMIF(WTG_BD!$F:$F,$A309,WTG_BD!$AA:$AA)/($AA309+SUMIF(WTG_BD!$F:$F,$A309,WTG_BD!$AA:$AA)),"")</f>
        <v/>
      </c>
      <c r="Q309" s="328" t="str">
        <f>IFERROR(1-SUMIF(IGA_BD!$F:$F,$A309,IGA_BD!$W:$W)/($AA309+SUMIF(IGA_BD!$F:$F,$A309,IGA_BD!$W:$W)),"")</f>
        <v/>
      </c>
      <c r="R309" s="311" t="str">
        <f>IFERROR(1-SUMIF(Grid_BD!$F:$F,$A309,Grid_BD!$Y:$Y)/($AA309+SUMIF(Grid_BD!$F:$F,$A309,Grid_BD!$Y:$Y)),"")</f>
        <v/>
      </c>
      <c r="S309" s="10"/>
      <c r="T309" s="310"/>
      <c r="U309" s="311"/>
      <c r="V309" s="10"/>
      <c r="W309" s="312" t="str">
        <f t="shared" si="27"/>
        <v/>
      </c>
      <c r="X309" s="10" t="str">
        <f>IFERROR(_xlfn.XLOOKUP($A309,Input_Raw!$E:$E,Input_Raw!BG:BG),"")</f>
        <v/>
      </c>
      <c r="Y309" s="10" t="str">
        <f>IFERROR(_xlfn.XLOOKUP($A309,Input_Raw!$E:$E,Input_Raw!DF:DF),"")</f>
        <v/>
      </c>
      <c r="Z309" s="319" t="str">
        <f>IFERROR(_xlfn.XLOOKUP(A309,Input_Raw!E:E,Input_Raw!CT:CT)/_xlfn.XLOOKUP(A309,Input_Raw!E:E,Input_Raw!CS:CS)*Table13[[#This Row],[Mtr_Export (kWh)]],"")</f>
        <v/>
      </c>
      <c r="AA309" s="43" t="str">
        <f t="shared" si="28"/>
        <v/>
      </c>
      <c r="AB309" s="10" t="str">
        <f>IFERROR(_xlfn.XLOOKUP($A309,Input_Raw!$E:$E,Input_Raw!$CZ:$CZ),"")</f>
        <v/>
      </c>
      <c r="AC309" s="313">
        <f>IFERROR(_xlfn.XLOOKUP($D309,'Modelling New'!$D:$D,'Modelling New'!$J:$J),"")</f>
        <v>7.411120320091455</v>
      </c>
      <c r="AD309" s="43">
        <f>IFERROR(_xlfn.XLOOKUP($D309,'Modelling New'!$D:$D,'Modelling New'!$T:$T)*1000,"")</f>
        <v>422505.16129032255</v>
      </c>
      <c r="AE309" s="312"/>
      <c r="AF309" s="312">
        <f>IFERROR(_xlfn.XLOOKUP($D309,'Modelling New'!$D:$D,'Modelling New'!$W:$W),"")</f>
        <v>0.347912682221939</v>
      </c>
      <c r="AG309" s="312">
        <f>IFERROR(_xlfn.XLOOKUP($D309,'Modelling New'!$D:$D,'Modelling New'!$AE:$AE),"")</f>
        <v>0.95549849999999992</v>
      </c>
      <c r="AH309" s="312">
        <f>IFERROR(_xlfn.XLOOKUP($D309,'Modelling New'!$D:$D,'Modelling New'!$AF:$AF),"")</f>
        <v>0.995</v>
      </c>
      <c r="AI309" s="10" t="str">
        <f>IFERROR(_xlfn.XLOOKUP($A309,Input_Raw!$E:$E,Input_Raw!$DG:$DG),"")</f>
        <v/>
      </c>
      <c r="AJ309" s="10"/>
      <c r="AK309" s="10"/>
      <c r="AL309" s="10"/>
      <c r="AM309" s="10"/>
      <c r="AN309" s="314" t="str">
        <f>IFERROR(_xlfn.XLOOKUP($A309,Input_Raw!$E:$E,Input_Raw!$CY:$CY),"")</f>
        <v/>
      </c>
      <c r="AO309" s="312" t="str">
        <f>IFERROR((_xlfn.XLOOKUP($A309,'WTG Reactive Power'!$A:$A,'WTG Reactive Power'!AB:AB))/X309,"")</f>
        <v/>
      </c>
      <c r="AP309" s="312">
        <f>IFERROR(_xlfn.XLOOKUP($D309,'Modelling New'!$D:$D,'Modelling New'!AK:AK),"")</f>
        <v>0.05</v>
      </c>
      <c r="AQ309" s="312">
        <f>IFERROR(_xlfn.XLOOKUP($D309,'Modelling New'!$D:$D,'Modelling New'!AL:AL),"")</f>
        <v>0.05</v>
      </c>
      <c r="AR309" s="325">
        <f>IFERROR(_xlfn.XLOOKUP($D309,'Modelling New'!$D:$D,'Modelling New'!$N:$N),"")</f>
        <v>50.59999999999998</v>
      </c>
      <c r="AS309" s="325"/>
    </row>
    <row r="310" spans="1:45">
      <c r="A310" s="32">
        <f t="shared" si="29"/>
        <v>46053</v>
      </c>
      <c r="B310" s="43">
        <f>YEAR(Table13[[#This Row],[Date]])+IF(MONTH(Table13[[#This Row],[Date]])&gt;=4,1,0)</f>
        <v>2026</v>
      </c>
      <c r="C310" s="10">
        <f>YEAR(Table13[[#This Row],[Date]])</f>
        <v>2026</v>
      </c>
      <c r="D310" s="309">
        <f>Table13[[#This Row],[Date]]-DAY(Table13[[#This Row],[Date]])+1</f>
        <v>46023</v>
      </c>
      <c r="E310" s="10">
        <f t="shared" si="25"/>
        <v>31</v>
      </c>
      <c r="F310" s="241" t="str">
        <f>IFERROR(_xlfn.XLOOKUP($A310,Input_Raw!$E:$E,Input_Raw!DC:DC),"")</f>
        <v/>
      </c>
      <c r="G310" s="313"/>
      <c r="H310" s="313"/>
      <c r="I310" s="313"/>
      <c r="J310" s="313"/>
      <c r="K310" s="243"/>
      <c r="L310" s="242"/>
      <c r="M310" s="242" t="str">
        <f>IFERROR(_xlfn.XLOOKUP($A310,Input_Raw!$E:$E,Input_Raw!$BM:$BM),"")</f>
        <v/>
      </c>
      <c r="N310" s="242" t="str">
        <f>IFERROR(_xlfn.XLOOKUP($A310,Input_Raw!$E:$E,Input_Raw!$BN:$BN),"")</f>
        <v/>
      </c>
      <c r="O310" s="311" t="str">
        <f t="shared" si="26"/>
        <v/>
      </c>
      <c r="P310" s="311" t="str">
        <f>IFERROR(1-SUMIF(WTG_BD!$F:$F,$A310,WTG_BD!$AA:$AA)/($AA310+SUMIF(WTG_BD!$F:$F,$A310,WTG_BD!$AA:$AA)),"")</f>
        <v/>
      </c>
      <c r="Q310" s="328" t="str">
        <f>IFERROR(1-SUMIF(IGA_BD!$F:$F,$A310,IGA_BD!$W:$W)/($AA310+SUMIF(IGA_BD!$F:$F,$A310,IGA_BD!$W:$W)),"")</f>
        <v/>
      </c>
      <c r="R310" s="47" t="str">
        <f>IFERROR(1-SUMIF(Grid_BD!$F:$F,$A310,Grid_BD!$Y:$Y)/($AA310+SUMIF(Grid_BD!$F:$F,$A310,Grid_BD!$Y:$Y)),"")</f>
        <v/>
      </c>
      <c r="S310" s="10"/>
      <c r="T310" s="310"/>
      <c r="U310" s="311"/>
      <c r="V310" s="10"/>
      <c r="W310" s="312" t="str">
        <f t="shared" si="27"/>
        <v/>
      </c>
      <c r="X310" s="10" t="str">
        <f>IFERROR(_xlfn.XLOOKUP($A310,Input_Raw!$E:$E,Input_Raw!BG:BG),"")</f>
        <v/>
      </c>
      <c r="Y310" s="10" t="str">
        <f>IFERROR(_xlfn.XLOOKUP($A310,Input_Raw!$E:$E,Input_Raw!DF:DF),"")</f>
        <v/>
      </c>
      <c r="Z310" s="319" t="str">
        <f>IFERROR(_xlfn.XLOOKUP(A310,Input_Raw!E:E,Input_Raw!CT:CT)/_xlfn.XLOOKUP(A310,Input_Raw!E:E,Input_Raw!CS:CS)*Table13[[#This Row],[Mtr_Export (kWh)]],"")</f>
        <v/>
      </c>
      <c r="AA310" s="43" t="str">
        <f t="shared" si="28"/>
        <v/>
      </c>
      <c r="AB310" s="10" t="str">
        <f>IFERROR(_xlfn.XLOOKUP($A310,Input_Raw!$E:$E,Input_Raw!$CZ:$CZ),"")</f>
        <v/>
      </c>
      <c r="AC310" s="313">
        <f>IFERROR(_xlfn.XLOOKUP($D310,'Modelling New'!$D:$D,'Modelling New'!$J:$J),"")</f>
        <v>7.411120320091455</v>
      </c>
      <c r="AD310" s="43">
        <f>IFERROR(_xlfn.XLOOKUP($D310,'Modelling New'!$D:$D,'Modelling New'!$T:$T)*1000,"")</f>
        <v>422505.16129032255</v>
      </c>
      <c r="AE310" s="312"/>
      <c r="AF310" s="312">
        <f>IFERROR(_xlfn.XLOOKUP($D310,'Modelling New'!$D:$D,'Modelling New'!$W:$W),"")</f>
        <v>0.347912682221939</v>
      </c>
      <c r="AG310" s="312">
        <f>IFERROR(_xlfn.XLOOKUP($D310,'Modelling New'!$D:$D,'Modelling New'!$AE:$AE),"")</f>
        <v>0.95549849999999992</v>
      </c>
      <c r="AH310" s="312">
        <f>IFERROR(_xlfn.XLOOKUP($D310,'Modelling New'!$D:$D,'Modelling New'!$AF:$AF),"")</f>
        <v>0.995</v>
      </c>
      <c r="AI310" s="10" t="str">
        <f>IFERROR(_xlfn.XLOOKUP($A310,Input_Raw!$E:$E,Input_Raw!$DG:$DG),"")</f>
        <v/>
      </c>
      <c r="AJ310" s="10"/>
      <c r="AK310" s="10"/>
      <c r="AL310" s="10"/>
      <c r="AM310" s="10"/>
      <c r="AN310" s="314" t="str">
        <f>IFERROR(_xlfn.XLOOKUP($A310,Input_Raw!$E:$E,Input_Raw!$CY:$CY),"")</f>
        <v/>
      </c>
      <c r="AO310" s="312" t="str">
        <f>IFERROR((_xlfn.XLOOKUP($A310,'WTG Reactive Power'!$A:$A,'WTG Reactive Power'!AB:AB))/X310,"")</f>
        <v/>
      </c>
      <c r="AP310" s="312">
        <f>IFERROR(_xlfn.XLOOKUP($D310,'Modelling New'!$D:$D,'Modelling New'!AK:AK),"")</f>
        <v>0.05</v>
      </c>
      <c r="AQ310" s="312">
        <f>IFERROR(_xlfn.XLOOKUP($D310,'Modelling New'!$D:$D,'Modelling New'!AL:AL),"")</f>
        <v>0.05</v>
      </c>
      <c r="AR310" s="325">
        <f>IFERROR(_xlfn.XLOOKUP($D310,'Modelling New'!$D:$D,'Modelling New'!$N:$N),"")</f>
        <v>50.59999999999998</v>
      </c>
      <c r="AS310" s="325"/>
    </row>
    <row r="311" spans="1:45">
      <c r="A311" s="32">
        <f t="shared" si="29"/>
        <v>46054</v>
      </c>
      <c r="B311" s="43">
        <f>YEAR(Table13[[#This Row],[Date]])+IF(MONTH(Table13[[#This Row],[Date]])&gt;=4,1,0)</f>
        <v>2026</v>
      </c>
      <c r="C311" s="10">
        <f>YEAR(Table13[[#This Row],[Date]])</f>
        <v>2026</v>
      </c>
      <c r="D311" s="309">
        <f>Table13[[#This Row],[Date]]-DAY(Table13[[#This Row],[Date]])+1</f>
        <v>46054</v>
      </c>
      <c r="E311" s="10">
        <f t="shared" si="25"/>
        <v>28</v>
      </c>
      <c r="F311" s="241" t="str">
        <f>IFERROR(_xlfn.XLOOKUP($A311,Input_Raw!$E:$E,Input_Raw!DC:DC),"")</f>
        <v/>
      </c>
      <c r="G311" s="242"/>
      <c r="H311" s="242"/>
      <c r="I311" s="242"/>
      <c r="J311" s="242"/>
      <c r="K311" s="243"/>
      <c r="L311" s="242"/>
      <c r="M311" s="242" t="str">
        <f>IFERROR(_xlfn.XLOOKUP($A311,Input_Raw!$E:$E,Input_Raw!$BM:$BM),"")</f>
        <v/>
      </c>
      <c r="N311" s="242" t="str">
        <f>IFERROR(_xlfn.XLOOKUP($A311,Input_Raw!$E:$E,Input_Raw!$BN:$BN),"")</f>
        <v/>
      </c>
      <c r="O311" s="311" t="str">
        <f t="shared" si="26"/>
        <v/>
      </c>
      <c r="P311" s="311" t="str">
        <f>IFERROR(1-SUMIF(WTG_BD!$F:$F,$A311,WTG_BD!$AA:$AA)/($AA311+SUMIF(WTG_BD!$F:$F,$A311,WTG_BD!$AA:$AA)),"")</f>
        <v/>
      </c>
      <c r="Q311" s="328" t="str">
        <f>IFERROR(1-SUMIF(IGA_BD!$F:$F,$A311,IGA_BD!$W:$W)/($AA311+SUMIF(IGA_BD!$F:$F,$A311,IGA_BD!$W:$W)),"")</f>
        <v/>
      </c>
      <c r="R311" s="311" t="str">
        <f>IFERROR(1-SUMIF(Grid_BD!$F:$F,$A311,Grid_BD!$Y:$Y)/($AA311+SUMIF(Grid_BD!$F:$F,$A311,Grid_BD!$Y:$Y)),"")</f>
        <v/>
      </c>
      <c r="S311" s="10"/>
      <c r="T311" s="310"/>
      <c r="U311" s="311"/>
      <c r="V311" s="10"/>
      <c r="W311" s="312" t="str">
        <f t="shared" si="27"/>
        <v/>
      </c>
      <c r="X311" s="10" t="str">
        <f>IFERROR(_xlfn.XLOOKUP($A311,Input_Raw!$E:$E,Input_Raw!BG:BG),"")</f>
        <v/>
      </c>
      <c r="Y311" s="10" t="str">
        <f>IFERROR(_xlfn.XLOOKUP($A311,Input_Raw!$E:$E,Input_Raw!DF:DF),"")</f>
        <v/>
      </c>
      <c r="Z311" s="319" t="str">
        <f>IFERROR(_xlfn.XLOOKUP(A311,Input_Raw!E:E,Input_Raw!CT:CT)/_xlfn.XLOOKUP(A311,Input_Raw!E:E,Input_Raw!CS:CS)*Table13[[#This Row],[Mtr_Export (kWh)]],"")</f>
        <v/>
      </c>
      <c r="AA311" s="43" t="str">
        <f t="shared" si="28"/>
        <v/>
      </c>
      <c r="AB311" s="10" t="str">
        <f>IFERROR(_xlfn.XLOOKUP($A311,Input_Raw!$E:$E,Input_Raw!$CZ:$CZ),"")</f>
        <v/>
      </c>
      <c r="AC311" s="313">
        <f>IFERROR(_xlfn.XLOOKUP($D311,'Modelling New'!$D:$D,'Modelling New'!$J:$J),"")</f>
        <v>6.4041034581308942</v>
      </c>
      <c r="AD311" s="43">
        <f>IFERROR(_xlfn.XLOOKUP($D311,'Modelling New'!$D:$D,'Modelling New'!$T:$T)*1000,"")</f>
        <v>357078.92857142852</v>
      </c>
      <c r="AE311" s="312"/>
      <c r="AF311" s="312">
        <f>IFERROR(_xlfn.XLOOKUP($D311,'Modelling New'!$D:$D,'Modelling New'!$W:$W),"")</f>
        <v>0.29403732589873899</v>
      </c>
      <c r="AG311" s="312">
        <f>IFERROR(_xlfn.XLOOKUP($D311,'Modelling New'!$D:$D,'Modelling New'!$AE:$AE),"")</f>
        <v>0.95549849999999992</v>
      </c>
      <c r="AH311" s="312">
        <f>IFERROR(_xlfn.XLOOKUP($D311,'Modelling New'!$D:$D,'Modelling New'!$AF:$AF),"")</f>
        <v>0.995</v>
      </c>
      <c r="AI311" s="10" t="str">
        <f>IFERROR(_xlfn.XLOOKUP($A311,Input_Raw!$E:$E,Input_Raw!$DG:$DG),"")</f>
        <v/>
      </c>
      <c r="AJ311" s="10"/>
      <c r="AK311" s="10"/>
      <c r="AL311" s="10"/>
      <c r="AM311" s="10"/>
      <c r="AN311" s="314" t="str">
        <f>IFERROR(_xlfn.XLOOKUP($A311,Input_Raw!$E:$E,Input_Raw!$CY:$CY),"")</f>
        <v/>
      </c>
      <c r="AO311" s="312" t="str">
        <f>IFERROR((_xlfn.XLOOKUP($A311,'WTG Reactive Power'!$A:$A,'WTG Reactive Power'!AB:AB))/X311,"")</f>
        <v/>
      </c>
      <c r="AP311" s="312">
        <f>IFERROR(_xlfn.XLOOKUP($D311,'Modelling New'!$D:$D,'Modelling New'!AK:AK),"")</f>
        <v>0.05</v>
      </c>
      <c r="AQ311" s="312">
        <f>IFERROR(_xlfn.XLOOKUP($D311,'Modelling New'!$D:$D,'Modelling New'!AL:AL),"")</f>
        <v>0.05</v>
      </c>
      <c r="AR311" s="325">
        <f>IFERROR(_xlfn.XLOOKUP($D311,'Modelling New'!$D:$D,'Modelling New'!$N:$N),"")</f>
        <v>50.59999999999998</v>
      </c>
      <c r="AS311" s="325"/>
    </row>
    <row r="312" spans="1:45">
      <c r="A312" s="32">
        <f t="shared" si="29"/>
        <v>46055</v>
      </c>
      <c r="B312" s="43">
        <f>YEAR(Table13[[#This Row],[Date]])+IF(MONTH(Table13[[#This Row],[Date]])&gt;=4,1,0)</f>
        <v>2026</v>
      </c>
      <c r="C312" s="10">
        <f>YEAR(Table13[[#This Row],[Date]])</f>
        <v>2026</v>
      </c>
      <c r="D312" s="309">
        <f>Table13[[#This Row],[Date]]-DAY(Table13[[#This Row],[Date]])+1</f>
        <v>46054</v>
      </c>
      <c r="E312" s="10">
        <f t="shared" si="25"/>
        <v>28</v>
      </c>
      <c r="F312" s="241" t="str">
        <f>IFERROR(_xlfn.XLOOKUP($A312,Input_Raw!$E:$E,Input_Raw!DC:DC),"")</f>
        <v/>
      </c>
      <c r="G312" s="313"/>
      <c r="H312" s="313"/>
      <c r="I312" s="313"/>
      <c r="J312" s="313"/>
      <c r="K312" s="243"/>
      <c r="L312" s="242"/>
      <c r="M312" s="242" t="str">
        <f>IFERROR(_xlfn.XLOOKUP($A312,Input_Raw!$E:$E,Input_Raw!$BM:$BM),"")</f>
        <v/>
      </c>
      <c r="N312" s="242" t="str">
        <f>IFERROR(_xlfn.XLOOKUP($A312,Input_Raw!$E:$E,Input_Raw!$BN:$BN),"")</f>
        <v/>
      </c>
      <c r="O312" s="311" t="str">
        <f t="shared" si="26"/>
        <v/>
      </c>
      <c r="P312" s="311" t="str">
        <f>IFERROR(1-SUMIF(WTG_BD!$F:$F,$A312,WTG_BD!$AA:$AA)/($AA312+SUMIF(WTG_BD!$F:$F,$A312,WTG_BD!$AA:$AA)),"")</f>
        <v/>
      </c>
      <c r="Q312" s="328" t="str">
        <f>IFERROR(1-SUMIF(IGA_BD!$F:$F,$A312,IGA_BD!$W:$W)/($AA312+SUMIF(IGA_BD!$F:$F,$A312,IGA_BD!$W:$W)),"")</f>
        <v/>
      </c>
      <c r="R312" s="47" t="str">
        <f>IFERROR(1-SUMIF(Grid_BD!$F:$F,$A312,Grid_BD!$Y:$Y)/($AA312+SUMIF(Grid_BD!$F:$F,$A312,Grid_BD!$Y:$Y)),"")</f>
        <v/>
      </c>
      <c r="S312" s="10"/>
      <c r="T312" s="310"/>
      <c r="U312" s="311"/>
      <c r="V312" s="10"/>
      <c r="W312" s="312" t="str">
        <f t="shared" si="27"/>
        <v/>
      </c>
      <c r="X312" s="10" t="str">
        <f>IFERROR(_xlfn.XLOOKUP($A312,Input_Raw!$E:$E,Input_Raw!BG:BG),"")</f>
        <v/>
      </c>
      <c r="Y312" s="10" t="str">
        <f>IFERROR(_xlfn.XLOOKUP($A312,Input_Raw!$E:$E,Input_Raw!DF:DF),"")</f>
        <v/>
      </c>
      <c r="Z312" s="319" t="str">
        <f>IFERROR(_xlfn.XLOOKUP(A312,Input_Raw!E:E,Input_Raw!CT:CT)/_xlfn.XLOOKUP(A312,Input_Raw!E:E,Input_Raw!CS:CS)*Table13[[#This Row],[Mtr_Export (kWh)]],"")</f>
        <v/>
      </c>
      <c r="AA312" s="43" t="str">
        <f t="shared" si="28"/>
        <v/>
      </c>
      <c r="AB312" s="10" t="str">
        <f>IFERROR(_xlfn.XLOOKUP($A312,Input_Raw!$E:$E,Input_Raw!$CZ:$CZ),"")</f>
        <v/>
      </c>
      <c r="AC312" s="313">
        <f>IFERROR(_xlfn.XLOOKUP($D312,'Modelling New'!$D:$D,'Modelling New'!$J:$J),"")</f>
        <v>6.4041034581308942</v>
      </c>
      <c r="AD312" s="43">
        <f>IFERROR(_xlfn.XLOOKUP($D312,'Modelling New'!$D:$D,'Modelling New'!$T:$T)*1000,"")</f>
        <v>357078.92857142852</v>
      </c>
      <c r="AE312" s="312"/>
      <c r="AF312" s="312">
        <f>IFERROR(_xlfn.XLOOKUP($D312,'Modelling New'!$D:$D,'Modelling New'!$W:$W),"")</f>
        <v>0.29403732589873899</v>
      </c>
      <c r="AG312" s="312">
        <f>IFERROR(_xlfn.XLOOKUP($D312,'Modelling New'!$D:$D,'Modelling New'!$AE:$AE),"")</f>
        <v>0.95549849999999992</v>
      </c>
      <c r="AH312" s="312">
        <f>IFERROR(_xlfn.XLOOKUP($D312,'Modelling New'!$D:$D,'Modelling New'!$AF:$AF),"")</f>
        <v>0.995</v>
      </c>
      <c r="AI312" s="10" t="str">
        <f>IFERROR(_xlfn.XLOOKUP($A312,Input_Raw!$E:$E,Input_Raw!$DG:$DG),"")</f>
        <v/>
      </c>
      <c r="AJ312" s="10"/>
      <c r="AK312" s="10"/>
      <c r="AL312" s="10"/>
      <c r="AM312" s="10"/>
      <c r="AN312" s="314" t="str">
        <f>IFERROR(_xlfn.XLOOKUP($A312,Input_Raw!$E:$E,Input_Raw!$CY:$CY),"")</f>
        <v/>
      </c>
      <c r="AO312" s="312" t="str">
        <f>IFERROR((_xlfn.XLOOKUP($A312,'WTG Reactive Power'!$A:$A,'WTG Reactive Power'!AB:AB))/X312,"")</f>
        <v/>
      </c>
      <c r="AP312" s="312">
        <f>IFERROR(_xlfn.XLOOKUP($D312,'Modelling New'!$D:$D,'Modelling New'!AK:AK),"")</f>
        <v>0.05</v>
      </c>
      <c r="AQ312" s="312">
        <f>IFERROR(_xlfn.XLOOKUP($D312,'Modelling New'!$D:$D,'Modelling New'!AL:AL),"")</f>
        <v>0.05</v>
      </c>
      <c r="AR312" s="325">
        <f>IFERROR(_xlfn.XLOOKUP($D312,'Modelling New'!$D:$D,'Modelling New'!$N:$N),"")</f>
        <v>50.59999999999998</v>
      </c>
      <c r="AS312" s="325"/>
    </row>
    <row r="313" spans="1:45">
      <c r="A313" s="32">
        <f t="shared" si="29"/>
        <v>46056</v>
      </c>
      <c r="B313" s="43">
        <f>YEAR(Table13[[#This Row],[Date]])+IF(MONTH(Table13[[#This Row],[Date]])&gt;=4,1,0)</f>
        <v>2026</v>
      </c>
      <c r="C313" s="10">
        <f>YEAR(Table13[[#This Row],[Date]])</f>
        <v>2026</v>
      </c>
      <c r="D313" s="309">
        <f>Table13[[#This Row],[Date]]-DAY(Table13[[#This Row],[Date]])+1</f>
        <v>46054</v>
      </c>
      <c r="E313" s="10">
        <f t="shared" si="25"/>
        <v>28</v>
      </c>
      <c r="F313" s="241" t="str">
        <f>IFERROR(_xlfn.XLOOKUP($A313,Input_Raw!$E:$E,Input_Raw!DC:DC),"")</f>
        <v/>
      </c>
      <c r="G313" s="242"/>
      <c r="H313" s="242"/>
      <c r="I313" s="242"/>
      <c r="J313" s="242"/>
      <c r="K313" s="243"/>
      <c r="L313" s="242"/>
      <c r="M313" s="242" t="str">
        <f>IFERROR(_xlfn.XLOOKUP($A313,Input_Raw!$E:$E,Input_Raw!$BM:$BM),"")</f>
        <v/>
      </c>
      <c r="N313" s="242" t="str">
        <f>IFERROR(_xlfn.XLOOKUP($A313,Input_Raw!$E:$E,Input_Raw!$BN:$BN),"")</f>
        <v/>
      </c>
      <c r="O313" s="311" t="str">
        <f t="shared" si="26"/>
        <v/>
      </c>
      <c r="P313" s="311" t="str">
        <f>IFERROR(1-SUMIF(WTG_BD!$F:$F,$A313,WTG_BD!$AA:$AA)/($AA313+SUMIF(WTG_BD!$F:$F,$A313,WTG_BD!$AA:$AA)),"")</f>
        <v/>
      </c>
      <c r="Q313" s="328" t="str">
        <f>IFERROR(1-SUMIF(IGA_BD!$F:$F,$A313,IGA_BD!$W:$W)/($AA313+SUMIF(IGA_BD!$F:$F,$A313,IGA_BD!$W:$W)),"")</f>
        <v/>
      </c>
      <c r="R313" s="311" t="str">
        <f>IFERROR(1-SUMIF(Grid_BD!$F:$F,$A313,Grid_BD!$Y:$Y)/($AA313+SUMIF(Grid_BD!$F:$F,$A313,Grid_BD!$Y:$Y)),"")</f>
        <v/>
      </c>
      <c r="S313" s="10"/>
      <c r="T313" s="310"/>
      <c r="U313" s="311"/>
      <c r="V313" s="10"/>
      <c r="W313" s="312" t="str">
        <f t="shared" si="27"/>
        <v/>
      </c>
      <c r="X313" s="10" t="str">
        <f>IFERROR(_xlfn.XLOOKUP($A313,Input_Raw!$E:$E,Input_Raw!BG:BG),"")</f>
        <v/>
      </c>
      <c r="Y313" s="10" t="str">
        <f>IFERROR(_xlfn.XLOOKUP($A313,Input_Raw!$E:$E,Input_Raw!DF:DF),"")</f>
        <v/>
      </c>
      <c r="Z313" s="319" t="str">
        <f>IFERROR(_xlfn.XLOOKUP(A313,Input_Raw!E:E,Input_Raw!CT:CT)/_xlfn.XLOOKUP(A313,Input_Raw!E:E,Input_Raw!CS:CS)*Table13[[#This Row],[Mtr_Export (kWh)]],"")</f>
        <v/>
      </c>
      <c r="AA313" s="43" t="str">
        <f t="shared" si="28"/>
        <v/>
      </c>
      <c r="AB313" s="10" t="str">
        <f>IFERROR(_xlfn.XLOOKUP($A313,Input_Raw!$E:$E,Input_Raw!$CZ:$CZ),"")</f>
        <v/>
      </c>
      <c r="AC313" s="313">
        <f>IFERROR(_xlfn.XLOOKUP($D313,'Modelling New'!$D:$D,'Modelling New'!$J:$J),"")</f>
        <v>6.4041034581308942</v>
      </c>
      <c r="AD313" s="43">
        <f>IFERROR(_xlfn.XLOOKUP($D313,'Modelling New'!$D:$D,'Modelling New'!$T:$T)*1000,"")</f>
        <v>357078.92857142852</v>
      </c>
      <c r="AE313" s="312"/>
      <c r="AF313" s="312">
        <f>IFERROR(_xlfn.XLOOKUP($D313,'Modelling New'!$D:$D,'Modelling New'!$W:$W),"")</f>
        <v>0.29403732589873899</v>
      </c>
      <c r="AG313" s="312">
        <f>IFERROR(_xlfn.XLOOKUP($D313,'Modelling New'!$D:$D,'Modelling New'!$AE:$AE),"")</f>
        <v>0.95549849999999992</v>
      </c>
      <c r="AH313" s="312">
        <f>IFERROR(_xlfn.XLOOKUP($D313,'Modelling New'!$D:$D,'Modelling New'!$AF:$AF),"")</f>
        <v>0.995</v>
      </c>
      <c r="AI313" s="10" t="str">
        <f>IFERROR(_xlfn.XLOOKUP($A313,Input_Raw!$E:$E,Input_Raw!$DG:$DG),"")</f>
        <v/>
      </c>
      <c r="AJ313" s="10"/>
      <c r="AK313" s="10"/>
      <c r="AL313" s="10"/>
      <c r="AM313" s="10"/>
      <c r="AN313" s="314" t="str">
        <f>IFERROR(_xlfn.XLOOKUP($A313,Input_Raw!$E:$E,Input_Raw!$CY:$CY),"")</f>
        <v/>
      </c>
      <c r="AO313" s="312" t="str">
        <f>IFERROR((_xlfn.XLOOKUP($A313,'WTG Reactive Power'!$A:$A,'WTG Reactive Power'!AB:AB))/X313,"")</f>
        <v/>
      </c>
      <c r="AP313" s="312">
        <f>IFERROR(_xlfn.XLOOKUP($D313,'Modelling New'!$D:$D,'Modelling New'!AK:AK),"")</f>
        <v>0.05</v>
      </c>
      <c r="AQ313" s="312">
        <f>IFERROR(_xlfn.XLOOKUP($D313,'Modelling New'!$D:$D,'Modelling New'!AL:AL),"")</f>
        <v>0.05</v>
      </c>
      <c r="AR313" s="325">
        <f>IFERROR(_xlfn.XLOOKUP($D313,'Modelling New'!$D:$D,'Modelling New'!$N:$N),"")</f>
        <v>50.59999999999998</v>
      </c>
      <c r="AS313" s="325"/>
    </row>
    <row r="314" spans="1:45">
      <c r="A314" s="32">
        <f t="shared" si="29"/>
        <v>46057</v>
      </c>
      <c r="B314" s="43">
        <f>YEAR(Table13[[#This Row],[Date]])+IF(MONTH(Table13[[#This Row],[Date]])&gt;=4,1,0)</f>
        <v>2026</v>
      </c>
      <c r="C314" s="10">
        <f>YEAR(Table13[[#This Row],[Date]])</f>
        <v>2026</v>
      </c>
      <c r="D314" s="309">
        <f>Table13[[#This Row],[Date]]-DAY(Table13[[#This Row],[Date]])+1</f>
        <v>46054</v>
      </c>
      <c r="E314" s="10">
        <f t="shared" si="25"/>
        <v>28</v>
      </c>
      <c r="F314" s="241" t="str">
        <f>IFERROR(_xlfn.XLOOKUP($A314,Input_Raw!$E:$E,Input_Raw!DC:DC),"")</f>
        <v/>
      </c>
      <c r="G314" s="313"/>
      <c r="H314" s="313"/>
      <c r="I314" s="313"/>
      <c r="J314" s="313"/>
      <c r="K314" s="243"/>
      <c r="L314" s="242"/>
      <c r="M314" s="242" t="str">
        <f>IFERROR(_xlfn.XLOOKUP($A314,Input_Raw!$E:$E,Input_Raw!$BM:$BM),"")</f>
        <v/>
      </c>
      <c r="N314" s="242" t="str">
        <f>IFERROR(_xlfn.XLOOKUP($A314,Input_Raw!$E:$E,Input_Raw!$BN:$BN),"")</f>
        <v/>
      </c>
      <c r="O314" s="311" t="str">
        <f t="shared" si="26"/>
        <v/>
      </c>
      <c r="P314" s="311" t="str">
        <f>IFERROR(1-SUMIF(WTG_BD!$F:$F,$A314,WTG_BD!$AA:$AA)/($AA314+SUMIF(WTG_BD!$F:$F,$A314,WTG_BD!$AA:$AA)),"")</f>
        <v/>
      </c>
      <c r="Q314" s="328" t="str">
        <f>IFERROR(1-SUMIF(IGA_BD!$F:$F,$A314,IGA_BD!$W:$W)/($AA314+SUMIF(IGA_BD!$F:$F,$A314,IGA_BD!$W:$W)),"")</f>
        <v/>
      </c>
      <c r="R314" s="47" t="str">
        <f>IFERROR(1-SUMIF(Grid_BD!$F:$F,$A314,Grid_BD!$Y:$Y)/($AA314+SUMIF(Grid_BD!$F:$F,$A314,Grid_BD!$Y:$Y)),"")</f>
        <v/>
      </c>
      <c r="S314" s="10"/>
      <c r="T314" s="310"/>
      <c r="U314" s="311"/>
      <c r="V314" s="10"/>
      <c r="W314" s="312" t="str">
        <f t="shared" si="27"/>
        <v/>
      </c>
      <c r="X314" s="10" t="str">
        <f>IFERROR(_xlfn.XLOOKUP($A314,Input_Raw!$E:$E,Input_Raw!BG:BG),"")</f>
        <v/>
      </c>
      <c r="Y314" s="10" t="str">
        <f>IFERROR(_xlfn.XLOOKUP($A314,Input_Raw!$E:$E,Input_Raw!DF:DF),"")</f>
        <v/>
      </c>
      <c r="Z314" s="319" t="str">
        <f>IFERROR(_xlfn.XLOOKUP(A314,Input_Raw!E:E,Input_Raw!CT:CT)/_xlfn.XLOOKUP(A314,Input_Raw!E:E,Input_Raw!CS:CS)*Table13[[#This Row],[Mtr_Export (kWh)]],"")</f>
        <v/>
      </c>
      <c r="AA314" s="43" t="str">
        <f t="shared" si="28"/>
        <v/>
      </c>
      <c r="AB314" s="10" t="str">
        <f>IFERROR(_xlfn.XLOOKUP($A314,Input_Raw!$E:$E,Input_Raw!$CZ:$CZ),"")</f>
        <v/>
      </c>
      <c r="AC314" s="313">
        <f>IFERROR(_xlfn.XLOOKUP($D314,'Modelling New'!$D:$D,'Modelling New'!$J:$J),"")</f>
        <v>6.4041034581308942</v>
      </c>
      <c r="AD314" s="43">
        <f>IFERROR(_xlfn.XLOOKUP($D314,'Modelling New'!$D:$D,'Modelling New'!$T:$T)*1000,"")</f>
        <v>357078.92857142852</v>
      </c>
      <c r="AE314" s="312"/>
      <c r="AF314" s="312">
        <f>IFERROR(_xlfn.XLOOKUP($D314,'Modelling New'!$D:$D,'Modelling New'!$W:$W),"")</f>
        <v>0.29403732589873899</v>
      </c>
      <c r="AG314" s="312">
        <f>IFERROR(_xlfn.XLOOKUP($D314,'Modelling New'!$D:$D,'Modelling New'!$AE:$AE),"")</f>
        <v>0.95549849999999992</v>
      </c>
      <c r="AH314" s="312">
        <f>IFERROR(_xlfn.XLOOKUP($D314,'Modelling New'!$D:$D,'Modelling New'!$AF:$AF),"")</f>
        <v>0.995</v>
      </c>
      <c r="AI314" s="10" t="str">
        <f>IFERROR(_xlfn.XLOOKUP($A314,Input_Raw!$E:$E,Input_Raw!$DG:$DG),"")</f>
        <v/>
      </c>
      <c r="AJ314" s="10"/>
      <c r="AK314" s="10"/>
      <c r="AL314" s="10"/>
      <c r="AM314" s="10"/>
      <c r="AN314" s="314" t="str">
        <f>IFERROR(_xlfn.XLOOKUP($A314,Input_Raw!$E:$E,Input_Raw!$CY:$CY),"")</f>
        <v/>
      </c>
      <c r="AO314" s="312" t="str">
        <f>IFERROR((_xlfn.XLOOKUP($A314,'WTG Reactive Power'!$A:$A,'WTG Reactive Power'!AB:AB))/X314,"")</f>
        <v/>
      </c>
      <c r="AP314" s="312">
        <f>IFERROR(_xlfn.XLOOKUP($D314,'Modelling New'!$D:$D,'Modelling New'!AK:AK),"")</f>
        <v>0.05</v>
      </c>
      <c r="AQ314" s="312">
        <f>IFERROR(_xlfn.XLOOKUP($D314,'Modelling New'!$D:$D,'Modelling New'!AL:AL),"")</f>
        <v>0.05</v>
      </c>
      <c r="AR314" s="325">
        <f>IFERROR(_xlfn.XLOOKUP($D314,'Modelling New'!$D:$D,'Modelling New'!$N:$N),"")</f>
        <v>50.59999999999998</v>
      </c>
      <c r="AS314" s="325"/>
    </row>
    <row r="315" spans="1:45">
      <c r="A315" s="32">
        <f t="shared" si="29"/>
        <v>46058</v>
      </c>
      <c r="B315" s="43">
        <f>YEAR(Table13[[#This Row],[Date]])+IF(MONTH(Table13[[#This Row],[Date]])&gt;=4,1,0)</f>
        <v>2026</v>
      </c>
      <c r="C315" s="10">
        <f>YEAR(Table13[[#This Row],[Date]])</f>
        <v>2026</v>
      </c>
      <c r="D315" s="309">
        <f>Table13[[#This Row],[Date]]-DAY(Table13[[#This Row],[Date]])+1</f>
        <v>46054</v>
      </c>
      <c r="E315" s="10">
        <f t="shared" si="25"/>
        <v>28</v>
      </c>
      <c r="F315" s="241" t="str">
        <f>IFERROR(_xlfn.XLOOKUP($A315,Input_Raw!$E:$E,Input_Raw!DC:DC),"")</f>
        <v/>
      </c>
      <c r="G315" s="242"/>
      <c r="H315" s="242"/>
      <c r="I315" s="242"/>
      <c r="J315" s="242"/>
      <c r="K315" s="243"/>
      <c r="L315" s="242"/>
      <c r="M315" s="242" t="str">
        <f>IFERROR(_xlfn.XLOOKUP($A315,Input_Raw!$E:$E,Input_Raw!$BM:$BM),"")</f>
        <v/>
      </c>
      <c r="N315" s="242" t="str">
        <f>IFERROR(_xlfn.XLOOKUP($A315,Input_Raw!$E:$E,Input_Raw!$BN:$BN),"")</f>
        <v/>
      </c>
      <c r="O315" s="311" t="str">
        <f t="shared" si="26"/>
        <v/>
      </c>
      <c r="P315" s="311" t="str">
        <f>IFERROR(1-SUMIF(WTG_BD!$F:$F,$A315,WTG_BD!$AA:$AA)/($AA315+SUMIF(WTG_BD!$F:$F,$A315,WTG_BD!$AA:$AA)),"")</f>
        <v/>
      </c>
      <c r="Q315" s="328" t="str">
        <f>IFERROR(1-SUMIF(IGA_BD!$F:$F,$A315,IGA_BD!$W:$W)/($AA315+SUMIF(IGA_BD!$F:$F,$A315,IGA_BD!$W:$W)),"")</f>
        <v/>
      </c>
      <c r="R315" s="311" t="str">
        <f>IFERROR(1-SUMIF(Grid_BD!$F:$F,$A315,Grid_BD!$Y:$Y)/($AA315+SUMIF(Grid_BD!$F:$F,$A315,Grid_BD!$Y:$Y)),"")</f>
        <v/>
      </c>
      <c r="S315" s="10"/>
      <c r="T315" s="310"/>
      <c r="U315" s="311"/>
      <c r="V315" s="10"/>
      <c r="W315" s="312" t="str">
        <f t="shared" si="27"/>
        <v/>
      </c>
      <c r="X315" s="10" t="str">
        <f>IFERROR(_xlfn.XLOOKUP($A315,Input_Raw!$E:$E,Input_Raw!BG:BG),"")</f>
        <v/>
      </c>
      <c r="Y315" s="10" t="str">
        <f>IFERROR(_xlfn.XLOOKUP($A315,Input_Raw!$E:$E,Input_Raw!DF:DF),"")</f>
        <v/>
      </c>
      <c r="Z315" s="319" t="str">
        <f>IFERROR(_xlfn.XLOOKUP(A315,Input_Raw!E:E,Input_Raw!CT:CT)/_xlfn.XLOOKUP(A315,Input_Raw!E:E,Input_Raw!CS:CS)*Table13[[#This Row],[Mtr_Export (kWh)]],"")</f>
        <v/>
      </c>
      <c r="AA315" s="43" t="str">
        <f t="shared" si="28"/>
        <v/>
      </c>
      <c r="AB315" s="10" t="str">
        <f>IFERROR(_xlfn.XLOOKUP($A315,Input_Raw!$E:$E,Input_Raw!$CZ:$CZ),"")</f>
        <v/>
      </c>
      <c r="AC315" s="313">
        <f>IFERROR(_xlfn.XLOOKUP($D315,'Modelling New'!$D:$D,'Modelling New'!$J:$J),"")</f>
        <v>6.4041034581308942</v>
      </c>
      <c r="AD315" s="43">
        <f>IFERROR(_xlfn.XLOOKUP($D315,'Modelling New'!$D:$D,'Modelling New'!$T:$T)*1000,"")</f>
        <v>357078.92857142852</v>
      </c>
      <c r="AE315" s="312"/>
      <c r="AF315" s="312">
        <f>IFERROR(_xlfn.XLOOKUP($D315,'Modelling New'!$D:$D,'Modelling New'!$W:$W),"")</f>
        <v>0.29403732589873899</v>
      </c>
      <c r="AG315" s="312">
        <f>IFERROR(_xlfn.XLOOKUP($D315,'Modelling New'!$D:$D,'Modelling New'!$AE:$AE),"")</f>
        <v>0.95549849999999992</v>
      </c>
      <c r="AH315" s="312">
        <f>IFERROR(_xlfn.XLOOKUP($D315,'Modelling New'!$D:$D,'Modelling New'!$AF:$AF),"")</f>
        <v>0.995</v>
      </c>
      <c r="AI315" s="10" t="str">
        <f>IFERROR(_xlfn.XLOOKUP($A315,Input_Raw!$E:$E,Input_Raw!$DG:$DG),"")</f>
        <v/>
      </c>
      <c r="AJ315" s="10"/>
      <c r="AK315" s="10"/>
      <c r="AL315" s="10"/>
      <c r="AM315" s="10"/>
      <c r="AN315" s="314" t="str">
        <f>IFERROR(_xlfn.XLOOKUP($A315,Input_Raw!$E:$E,Input_Raw!$CY:$CY),"")</f>
        <v/>
      </c>
      <c r="AO315" s="312" t="str">
        <f>IFERROR((_xlfn.XLOOKUP($A315,'WTG Reactive Power'!$A:$A,'WTG Reactive Power'!AB:AB))/X315,"")</f>
        <v/>
      </c>
      <c r="AP315" s="312">
        <f>IFERROR(_xlfn.XLOOKUP($D315,'Modelling New'!$D:$D,'Modelling New'!AK:AK),"")</f>
        <v>0.05</v>
      </c>
      <c r="AQ315" s="312">
        <f>IFERROR(_xlfn.XLOOKUP($D315,'Modelling New'!$D:$D,'Modelling New'!AL:AL),"")</f>
        <v>0.05</v>
      </c>
      <c r="AR315" s="325">
        <f>IFERROR(_xlfn.XLOOKUP($D315,'Modelling New'!$D:$D,'Modelling New'!$N:$N),"")</f>
        <v>50.59999999999998</v>
      </c>
      <c r="AS315" s="325"/>
    </row>
    <row r="316" spans="1:45">
      <c r="A316" s="32">
        <f t="shared" si="29"/>
        <v>46059</v>
      </c>
      <c r="B316" s="43">
        <f>YEAR(Table13[[#This Row],[Date]])+IF(MONTH(Table13[[#This Row],[Date]])&gt;=4,1,0)</f>
        <v>2026</v>
      </c>
      <c r="C316" s="10">
        <f>YEAR(Table13[[#This Row],[Date]])</f>
        <v>2026</v>
      </c>
      <c r="D316" s="309">
        <f>Table13[[#This Row],[Date]]-DAY(Table13[[#This Row],[Date]])+1</f>
        <v>46054</v>
      </c>
      <c r="E316" s="10">
        <f t="shared" si="25"/>
        <v>28</v>
      </c>
      <c r="F316" s="241" t="str">
        <f>IFERROR(_xlfn.XLOOKUP($A316,Input_Raw!$E:$E,Input_Raw!DC:DC),"")</f>
        <v/>
      </c>
      <c r="G316" s="313"/>
      <c r="H316" s="313"/>
      <c r="I316" s="313"/>
      <c r="J316" s="313"/>
      <c r="K316" s="243"/>
      <c r="L316" s="242"/>
      <c r="M316" s="242" t="str">
        <f>IFERROR(_xlfn.XLOOKUP($A316,Input_Raw!$E:$E,Input_Raw!$BM:$BM),"")</f>
        <v/>
      </c>
      <c r="N316" s="242" t="str">
        <f>IFERROR(_xlfn.XLOOKUP($A316,Input_Raw!$E:$E,Input_Raw!$BN:$BN),"")</f>
        <v/>
      </c>
      <c r="O316" s="311" t="str">
        <f t="shared" si="26"/>
        <v/>
      </c>
      <c r="P316" s="311" t="str">
        <f>IFERROR(1-SUMIF(WTG_BD!$F:$F,$A316,WTG_BD!$AA:$AA)/($AA316+SUMIF(WTG_BD!$F:$F,$A316,WTG_BD!$AA:$AA)),"")</f>
        <v/>
      </c>
      <c r="Q316" s="328" t="str">
        <f>IFERROR(1-SUMIF(IGA_BD!$F:$F,$A316,IGA_BD!$W:$W)/($AA316+SUMIF(IGA_BD!$F:$F,$A316,IGA_BD!$W:$W)),"")</f>
        <v/>
      </c>
      <c r="R316" s="47" t="str">
        <f>IFERROR(1-SUMIF(Grid_BD!$F:$F,$A316,Grid_BD!$Y:$Y)/($AA316+SUMIF(Grid_BD!$F:$F,$A316,Grid_BD!$Y:$Y)),"")</f>
        <v/>
      </c>
      <c r="S316" s="10"/>
      <c r="T316" s="310"/>
      <c r="U316" s="311"/>
      <c r="V316" s="10"/>
      <c r="W316" s="312" t="str">
        <f t="shared" si="27"/>
        <v/>
      </c>
      <c r="X316" s="10" t="str">
        <f>IFERROR(_xlfn.XLOOKUP($A316,Input_Raw!$E:$E,Input_Raw!BG:BG),"")</f>
        <v/>
      </c>
      <c r="Y316" s="10" t="str">
        <f>IFERROR(_xlfn.XLOOKUP($A316,Input_Raw!$E:$E,Input_Raw!DF:DF),"")</f>
        <v/>
      </c>
      <c r="Z316" s="319" t="str">
        <f>IFERROR(_xlfn.XLOOKUP(A316,Input_Raw!E:E,Input_Raw!CT:CT)/_xlfn.XLOOKUP(A316,Input_Raw!E:E,Input_Raw!CS:CS)*Table13[[#This Row],[Mtr_Export (kWh)]],"")</f>
        <v/>
      </c>
      <c r="AA316" s="43" t="str">
        <f t="shared" si="28"/>
        <v/>
      </c>
      <c r="AB316" s="10" t="str">
        <f>IFERROR(_xlfn.XLOOKUP($A316,Input_Raw!$E:$E,Input_Raw!$CZ:$CZ),"")</f>
        <v/>
      </c>
      <c r="AC316" s="313">
        <f>IFERROR(_xlfn.XLOOKUP($D316,'Modelling New'!$D:$D,'Modelling New'!$J:$J),"")</f>
        <v>6.4041034581308942</v>
      </c>
      <c r="AD316" s="43">
        <f>IFERROR(_xlfn.XLOOKUP($D316,'Modelling New'!$D:$D,'Modelling New'!$T:$T)*1000,"")</f>
        <v>357078.92857142852</v>
      </c>
      <c r="AE316" s="312"/>
      <c r="AF316" s="312">
        <f>IFERROR(_xlfn.XLOOKUP($D316,'Modelling New'!$D:$D,'Modelling New'!$W:$W),"")</f>
        <v>0.29403732589873899</v>
      </c>
      <c r="AG316" s="312">
        <f>IFERROR(_xlfn.XLOOKUP($D316,'Modelling New'!$D:$D,'Modelling New'!$AE:$AE),"")</f>
        <v>0.95549849999999992</v>
      </c>
      <c r="AH316" s="312">
        <f>IFERROR(_xlfn.XLOOKUP($D316,'Modelling New'!$D:$D,'Modelling New'!$AF:$AF),"")</f>
        <v>0.995</v>
      </c>
      <c r="AI316" s="10" t="str">
        <f>IFERROR(_xlfn.XLOOKUP($A316,Input_Raw!$E:$E,Input_Raw!$DG:$DG),"")</f>
        <v/>
      </c>
      <c r="AJ316" s="10"/>
      <c r="AK316" s="10"/>
      <c r="AL316" s="10"/>
      <c r="AM316" s="10"/>
      <c r="AN316" s="314" t="str">
        <f>IFERROR(_xlfn.XLOOKUP($A316,Input_Raw!$E:$E,Input_Raw!$CY:$CY),"")</f>
        <v/>
      </c>
      <c r="AO316" s="312" t="str">
        <f>IFERROR((_xlfn.XLOOKUP($A316,'WTG Reactive Power'!$A:$A,'WTG Reactive Power'!AB:AB))/X316,"")</f>
        <v/>
      </c>
      <c r="AP316" s="312">
        <f>IFERROR(_xlfn.XLOOKUP($D316,'Modelling New'!$D:$D,'Modelling New'!AK:AK),"")</f>
        <v>0.05</v>
      </c>
      <c r="AQ316" s="312">
        <f>IFERROR(_xlfn.XLOOKUP($D316,'Modelling New'!$D:$D,'Modelling New'!AL:AL),"")</f>
        <v>0.05</v>
      </c>
      <c r="AR316" s="325">
        <f>IFERROR(_xlfn.XLOOKUP($D316,'Modelling New'!$D:$D,'Modelling New'!$N:$N),"")</f>
        <v>50.59999999999998</v>
      </c>
      <c r="AS316" s="325"/>
    </row>
    <row r="317" spans="1:45">
      <c r="A317" s="32">
        <f t="shared" si="29"/>
        <v>46060</v>
      </c>
      <c r="B317" s="43">
        <f>YEAR(Table13[[#This Row],[Date]])+IF(MONTH(Table13[[#This Row],[Date]])&gt;=4,1,0)</f>
        <v>2026</v>
      </c>
      <c r="C317" s="10">
        <f>YEAR(Table13[[#This Row],[Date]])</f>
        <v>2026</v>
      </c>
      <c r="D317" s="309">
        <f>Table13[[#This Row],[Date]]-DAY(Table13[[#This Row],[Date]])+1</f>
        <v>46054</v>
      </c>
      <c r="E317" s="10">
        <f t="shared" si="25"/>
        <v>28</v>
      </c>
      <c r="F317" s="241" t="str">
        <f>IFERROR(_xlfn.XLOOKUP($A317,Input_Raw!$E:$E,Input_Raw!DC:DC),"")</f>
        <v/>
      </c>
      <c r="G317" s="242"/>
      <c r="H317" s="242"/>
      <c r="I317" s="242"/>
      <c r="J317" s="242"/>
      <c r="K317" s="243"/>
      <c r="L317" s="242"/>
      <c r="M317" s="242" t="str">
        <f>IFERROR(_xlfn.XLOOKUP($A317,Input_Raw!$E:$E,Input_Raw!$BM:$BM),"")</f>
        <v/>
      </c>
      <c r="N317" s="242" t="str">
        <f>IFERROR(_xlfn.XLOOKUP($A317,Input_Raw!$E:$E,Input_Raw!$BN:$BN),"")</f>
        <v/>
      </c>
      <c r="O317" s="311" t="str">
        <f t="shared" si="26"/>
        <v/>
      </c>
      <c r="P317" s="311" t="str">
        <f>IFERROR(1-SUMIF(WTG_BD!$F:$F,$A317,WTG_BD!$AA:$AA)/($AA317+SUMIF(WTG_BD!$F:$F,$A317,WTG_BD!$AA:$AA)),"")</f>
        <v/>
      </c>
      <c r="Q317" s="328" t="str">
        <f>IFERROR(1-SUMIF(IGA_BD!$F:$F,$A317,IGA_BD!$W:$W)/($AA317+SUMIF(IGA_BD!$F:$F,$A317,IGA_BD!$W:$W)),"")</f>
        <v/>
      </c>
      <c r="R317" s="311" t="str">
        <f>IFERROR(1-SUMIF(Grid_BD!$F:$F,$A317,Grid_BD!$Y:$Y)/($AA317+SUMIF(Grid_BD!$F:$F,$A317,Grid_BD!$Y:$Y)),"")</f>
        <v/>
      </c>
      <c r="S317" s="10"/>
      <c r="T317" s="310"/>
      <c r="U317" s="311"/>
      <c r="V317" s="10"/>
      <c r="W317" s="312" t="str">
        <f t="shared" si="27"/>
        <v/>
      </c>
      <c r="X317" s="10" t="str">
        <f>IFERROR(_xlfn.XLOOKUP($A317,Input_Raw!$E:$E,Input_Raw!BG:BG),"")</f>
        <v/>
      </c>
      <c r="Y317" s="10" t="str">
        <f>IFERROR(_xlfn.XLOOKUP($A317,Input_Raw!$E:$E,Input_Raw!DF:DF),"")</f>
        <v/>
      </c>
      <c r="Z317" s="319" t="str">
        <f>IFERROR(_xlfn.XLOOKUP(A317,Input_Raw!E:E,Input_Raw!CT:CT)/_xlfn.XLOOKUP(A317,Input_Raw!E:E,Input_Raw!CS:CS)*Table13[[#This Row],[Mtr_Export (kWh)]],"")</f>
        <v/>
      </c>
      <c r="AA317" s="43" t="str">
        <f t="shared" si="28"/>
        <v/>
      </c>
      <c r="AB317" s="10" t="str">
        <f>IFERROR(_xlfn.XLOOKUP($A317,Input_Raw!$E:$E,Input_Raw!$CZ:$CZ),"")</f>
        <v/>
      </c>
      <c r="AC317" s="313">
        <f>IFERROR(_xlfn.XLOOKUP($D317,'Modelling New'!$D:$D,'Modelling New'!$J:$J),"")</f>
        <v>6.4041034581308942</v>
      </c>
      <c r="AD317" s="43">
        <f>IFERROR(_xlfn.XLOOKUP($D317,'Modelling New'!$D:$D,'Modelling New'!$T:$T)*1000,"")</f>
        <v>357078.92857142852</v>
      </c>
      <c r="AE317" s="312"/>
      <c r="AF317" s="312">
        <f>IFERROR(_xlfn.XLOOKUP($D317,'Modelling New'!$D:$D,'Modelling New'!$W:$W),"")</f>
        <v>0.29403732589873899</v>
      </c>
      <c r="AG317" s="312">
        <f>IFERROR(_xlfn.XLOOKUP($D317,'Modelling New'!$D:$D,'Modelling New'!$AE:$AE),"")</f>
        <v>0.95549849999999992</v>
      </c>
      <c r="AH317" s="312">
        <f>IFERROR(_xlfn.XLOOKUP($D317,'Modelling New'!$D:$D,'Modelling New'!$AF:$AF),"")</f>
        <v>0.995</v>
      </c>
      <c r="AI317" s="10" t="str">
        <f>IFERROR(_xlfn.XLOOKUP($A317,Input_Raw!$E:$E,Input_Raw!$DG:$DG),"")</f>
        <v/>
      </c>
      <c r="AJ317" s="10"/>
      <c r="AK317" s="10"/>
      <c r="AL317" s="10"/>
      <c r="AM317" s="10"/>
      <c r="AN317" s="314" t="str">
        <f>IFERROR(_xlfn.XLOOKUP($A317,Input_Raw!$E:$E,Input_Raw!$CY:$CY),"")</f>
        <v/>
      </c>
      <c r="AO317" s="312" t="str">
        <f>IFERROR((_xlfn.XLOOKUP($A317,'WTG Reactive Power'!$A:$A,'WTG Reactive Power'!AB:AB))/X317,"")</f>
        <v/>
      </c>
      <c r="AP317" s="312">
        <f>IFERROR(_xlfn.XLOOKUP($D317,'Modelling New'!$D:$D,'Modelling New'!AK:AK),"")</f>
        <v>0.05</v>
      </c>
      <c r="AQ317" s="312">
        <f>IFERROR(_xlfn.XLOOKUP($D317,'Modelling New'!$D:$D,'Modelling New'!AL:AL),"")</f>
        <v>0.05</v>
      </c>
      <c r="AR317" s="325">
        <f>IFERROR(_xlfn.XLOOKUP($D317,'Modelling New'!$D:$D,'Modelling New'!$N:$N),"")</f>
        <v>50.59999999999998</v>
      </c>
      <c r="AS317" s="325"/>
    </row>
    <row r="318" spans="1:45">
      <c r="A318" s="32">
        <f t="shared" si="29"/>
        <v>46061</v>
      </c>
      <c r="B318" s="43">
        <f>YEAR(Table13[[#This Row],[Date]])+IF(MONTH(Table13[[#This Row],[Date]])&gt;=4,1,0)</f>
        <v>2026</v>
      </c>
      <c r="C318" s="10">
        <f>YEAR(Table13[[#This Row],[Date]])</f>
        <v>2026</v>
      </c>
      <c r="D318" s="309">
        <f>Table13[[#This Row],[Date]]-DAY(Table13[[#This Row],[Date]])+1</f>
        <v>46054</v>
      </c>
      <c r="E318" s="10">
        <f t="shared" si="25"/>
        <v>28</v>
      </c>
      <c r="F318" s="241" t="str">
        <f>IFERROR(_xlfn.XLOOKUP($A318,Input_Raw!$E:$E,Input_Raw!DC:DC),"")</f>
        <v/>
      </c>
      <c r="G318" s="313"/>
      <c r="H318" s="313"/>
      <c r="I318" s="313"/>
      <c r="J318" s="313"/>
      <c r="K318" s="243"/>
      <c r="L318" s="242"/>
      <c r="M318" s="242" t="str">
        <f>IFERROR(_xlfn.XLOOKUP($A318,Input_Raw!$E:$E,Input_Raw!$BM:$BM),"")</f>
        <v/>
      </c>
      <c r="N318" s="242" t="str">
        <f>IFERROR(_xlfn.XLOOKUP($A318,Input_Raw!$E:$E,Input_Raw!$BN:$BN),"")</f>
        <v/>
      </c>
      <c r="O318" s="311" t="str">
        <f t="shared" si="26"/>
        <v/>
      </c>
      <c r="P318" s="311" t="str">
        <f>IFERROR(1-SUMIF(WTG_BD!$F:$F,$A318,WTG_BD!$AA:$AA)/($AA318+SUMIF(WTG_BD!$F:$F,$A318,WTG_BD!$AA:$AA)),"")</f>
        <v/>
      </c>
      <c r="Q318" s="328" t="str">
        <f>IFERROR(1-SUMIF(IGA_BD!$F:$F,$A318,IGA_BD!$W:$W)/($AA318+SUMIF(IGA_BD!$F:$F,$A318,IGA_BD!$W:$W)),"")</f>
        <v/>
      </c>
      <c r="R318" s="47" t="str">
        <f>IFERROR(1-SUMIF(Grid_BD!$F:$F,$A318,Grid_BD!$Y:$Y)/($AA318+SUMIF(Grid_BD!$F:$F,$A318,Grid_BD!$Y:$Y)),"")</f>
        <v/>
      </c>
      <c r="S318" s="10"/>
      <c r="T318" s="310"/>
      <c r="U318" s="311"/>
      <c r="V318" s="10"/>
      <c r="W318" s="312" t="str">
        <f t="shared" si="27"/>
        <v/>
      </c>
      <c r="X318" s="10" t="str">
        <f>IFERROR(_xlfn.XLOOKUP($A318,Input_Raw!$E:$E,Input_Raw!BG:BG),"")</f>
        <v/>
      </c>
      <c r="Y318" s="10" t="str">
        <f>IFERROR(_xlfn.XLOOKUP($A318,Input_Raw!$E:$E,Input_Raw!DF:DF),"")</f>
        <v/>
      </c>
      <c r="Z318" s="319" t="str">
        <f>IFERROR(_xlfn.XLOOKUP(A318,Input_Raw!E:E,Input_Raw!CT:CT)/_xlfn.XLOOKUP(A318,Input_Raw!E:E,Input_Raw!CS:CS)*Table13[[#This Row],[Mtr_Export (kWh)]],"")</f>
        <v/>
      </c>
      <c r="AA318" s="43" t="str">
        <f t="shared" si="28"/>
        <v/>
      </c>
      <c r="AB318" s="10" t="str">
        <f>IFERROR(_xlfn.XLOOKUP($A318,Input_Raw!$E:$E,Input_Raw!$CZ:$CZ),"")</f>
        <v/>
      </c>
      <c r="AC318" s="313">
        <f>IFERROR(_xlfn.XLOOKUP($D318,'Modelling New'!$D:$D,'Modelling New'!$J:$J),"")</f>
        <v>6.4041034581308942</v>
      </c>
      <c r="AD318" s="43">
        <f>IFERROR(_xlfn.XLOOKUP($D318,'Modelling New'!$D:$D,'Modelling New'!$T:$T)*1000,"")</f>
        <v>357078.92857142852</v>
      </c>
      <c r="AE318" s="312"/>
      <c r="AF318" s="312">
        <f>IFERROR(_xlfn.XLOOKUP($D318,'Modelling New'!$D:$D,'Modelling New'!$W:$W),"")</f>
        <v>0.29403732589873899</v>
      </c>
      <c r="AG318" s="312">
        <f>IFERROR(_xlfn.XLOOKUP($D318,'Modelling New'!$D:$D,'Modelling New'!$AE:$AE),"")</f>
        <v>0.95549849999999992</v>
      </c>
      <c r="AH318" s="312">
        <f>IFERROR(_xlfn.XLOOKUP($D318,'Modelling New'!$D:$D,'Modelling New'!$AF:$AF),"")</f>
        <v>0.995</v>
      </c>
      <c r="AI318" s="10" t="str">
        <f>IFERROR(_xlfn.XLOOKUP($A318,Input_Raw!$E:$E,Input_Raw!$DG:$DG),"")</f>
        <v/>
      </c>
      <c r="AJ318" s="10"/>
      <c r="AK318" s="10"/>
      <c r="AL318" s="10"/>
      <c r="AM318" s="10"/>
      <c r="AN318" s="314" t="str">
        <f>IFERROR(_xlfn.XLOOKUP($A318,Input_Raw!$E:$E,Input_Raw!$CY:$CY),"")</f>
        <v/>
      </c>
      <c r="AO318" s="312" t="str">
        <f>IFERROR((_xlfn.XLOOKUP($A318,'WTG Reactive Power'!$A:$A,'WTG Reactive Power'!AB:AB))/X318,"")</f>
        <v/>
      </c>
      <c r="AP318" s="312">
        <f>IFERROR(_xlfn.XLOOKUP($D318,'Modelling New'!$D:$D,'Modelling New'!AK:AK),"")</f>
        <v>0.05</v>
      </c>
      <c r="AQ318" s="312">
        <f>IFERROR(_xlfn.XLOOKUP($D318,'Modelling New'!$D:$D,'Modelling New'!AL:AL),"")</f>
        <v>0.05</v>
      </c>
      <c r="AR318" s="325">
        <f>IFERROR(_xlfn.XLOOKUP($D318,'Modelling New'!$D:$D,'Modelling New'!$N:$N),"")</f>
        <v>50.59999999999998</v>
      </c>
      <c r="AS318" s="325"/>
    </row>
    <row r="319" spans="1:45">
      <c r="A319" s="32">
        <f t="shared" si="29"/>
        <v>46062</v>
      </c>
      <c r="B319" s="43">
        <f>YEAR(Table13[[#This Row],[Date]])+IF(MONTH(Table13[[#This Row],[Date]])&gt;=4,1,0)</f>
        <v>2026</v>
      </c>
      <c r="C319" s="10">
        <f>YEAR(Table13[[#This Row],[Date]])</f>
        <v>2026</v>
      </c>
      <c r="D319" s="309">
        <f>Table13[[#This Row],[Date]]-DAY(Table13[[#This Row],[Date]])+1</f>
        <v>46054</v>
      </c>
      <c r="E319" s="10">
        <f t="shared" si="25"/>
        <v>28</v>
      </c>
      <c r="F319" s="241" t="str">
        <f>IFERROR(_xlfn.XLOOKUP($A319,Input_Raw!$E:$E,Input_Raw!DC:DC),"")</f>
        <v/>
      </c>
      <c r="G319" s="242"/>
      <c r="H319" s="242"/>
      <c r="I319" s="242"/>
      <c r="J319" s="242"/>
      <c r="K319" s="243"/>
      <c r="L319" s="242"/>
      <c r="M319" s="242" t="str">
        <f>IFERROR(_xlfn.XLOOKUP($A319,Input_Raw!$E:$E,Input_Raw!$BM:$BM),"")</f>
        <v/>
      </c>
      <c r="N319" s="242" t="str">
        <f>IFERROR(_xlfn.XLOOKUP($A319,Input_Raw!$E:$E,Input_Raw!$BN:$BN),"")</f>
        <v/>
      </c>
      <c r="O319" s="311" t="str">
        <f t="shared" si="26"/>
        <v/>
      </c>
      <c r="P319" s="311" t="str">
        <f>IFERROR(1-SUMIF(WTG_BD!$F:$F,$A319,WTG_BD!$AA:$AA)/($AA319+SUMIF(WTG_BD!$F:$F,$A319,WTG_BD!$AA:$AA)),"")</f>
        <v/>
      </c>
      <c r="Q319" s="328" t="str">
        <f>IFERROR(1-SUMIF(IGA_BD!$F:$F,$A319,IGA_BD!$W:$W)/($AA319+SUMIF(IGA_BD!$F:$F,$A319,IGA_BD!$W:$W)),"")</f>
        <v/>
      </c>
      <c r="R319" s="311" t="str">
        <f>IFERROR(1-SUMIF(Grid_BD!$F:$F,$A319,Grid_BD!$Y:$Y)/($AA319+SUMIF(Grid_BD!$F:$F,$A319,Grid_BD!$Y:$Y)),"")</f>
        <v/>
      </c>
      <c r="S319" s="10"/>
      <c r="T319" s="310"/>
      <c r="U319" s="311"/>
      <c r="V319" s="10"/>
      <c r="W319" s="312" t="str">
        <f t="shared" si="27"/>
        <v/>
      </c>
      <c r="X319" s="10" t="str">
        <f>IFERROR(_xlfn.XLOOKUP($A319,Input_Raw!$E:$E,Input_Raw!BG:BG),"")</f>
        <v/>
      </c>
      <c r="Y319" s="10" t="str">
        <f>IFERROR(_xlfn.XLOOKUP($A319,Input_Raw!$E:$E,Input_Raw!DF:DF),"")</f>
        <v/>
      </c>
      <c r="Z319" s="319" t="str">
        <f>IFERROR(_xlfn.XLOOKUP(A319,Input_Raw!E:E,Input_Raw!CT:CT)/_xlfn.XLOOKUP(A319,Input_Raw!E:E,Input_Raw!CS:CS)*Table13[[#This Row],[Mtr_Export (kWh)]],"")</f>
        <v/>
      </c>
      <c r="AA319" s="43" t="str">
        <f t="shared" si="28"/>
        <v/>
      </c>
      <c r="AB319" s="10" t="str">
        <f>IFERROR(_xlfn.XLOOKUP($A319,Input_Raw!$E:$E,Input_Raw!$CZ:$CZ),"")</f>
        <v/>
      </c>
      <c r="AC319" s="313">
        <f>IFERROR(_xlfn.XLOOKUP($D319,'Modelling New'!$D:$D,'Modelling New'!$J:$J),"")</f>
        <v>6.4041034581308942</v>
      </c>
      <c r="AD319" s="43">
        <f>IFERROR(_xlfn.XLOOKUP($D319,'Modelling New'!$D:$D,'Modelling New'!$T:$T)*1000,"")</f>
        <v>357078.92857142852</v>
      </c>
      <c r="AE319" s="312"/>
      <c r="AF319" s="312">
        <f>IFERROR(_xlfn.XLOOKUP($D319,'Modelling New'!$D:$D,'Modelling New'!$W:$W),"")</f>
        <v>0.29403732589873899</v>
      </c>
      <c r="AG319" s="312">
        <f>IFERROR(_xlfn.XLOOKUP($D319,'Modelling New'!$D:$D,'Modelling New'!$AE:$AE),"")</f>
        <v>0.95549849999999992</v>
      </c>
      <c r="AH319" s="312">
        <f>IFERROR(_xlfn.XLOOKUP($D319,'Modelling New'!$D:$D,'Modelling New'!$AF:$AF),"")</f>
        <v>0.995</v>
      </c>
      <c r="AI319" s="10" t="str">
        <f>IFERROR(_xlfn.XLOOKUP($A319,Input_Raw!$E:$E,Input_Raw!$DG:$DG),"")</f>
        <v/>
      </c>
      <c r="AJ319" s="10"/>
      <c r="AK319" s="10"/>
      <c r="AL319" s="10"/>
      <c r="AM319" s="10"/>
      <c r="AN319" s="314" t="str">
        <f>IFERROR(_xlfn.XLOOKUP($A319,Input_Raw!$E:$E,Input_Raw!$CY:$CY),"")</f>
        <v/>
      </c>
      <c r="AO319" s="312" t="str">
        <f>IFERROR((_xlfn.XLOOKUP($A319,'WTG Reactive Power'!$A:$A,'WTG Reactive Power'!AB:AB))/X319,"")</f>
        <v/>
      </c>
      <c r="AP319" s="312">
        <f>IFERROR(_xlfn.XLOOKUP($D319,'Modelling New'!$D:$D,'Modelling New'!AK:AK),"")</f>
        <v>0.05</v>
      </c>
      <c r="AQ319" s="312">
        <f>IFERROR(_xlfn.XLOOKUP($D319,'Modelling New'!$D:$D,'Modelling New'!AL:AL),"")</f>
        <v>0.05</v>
      </c>
      <c r="AR319" s="325">
        <f>IFERROR(_xlfn.XLOOKUP($D319,'Modelling New'!$D:$D,'Modelling New'!$N:$N),"")</f>
        <v>50.59999999999998</v>
      </c>
      <c r="AS319" s="325"/>
    </row>
    <row r="320" spans="1:45">
      <c r="A320" s="32">
        <f t="shared" si="29"/>
        <v>46063</v>
      </c>
      <c r="B320" s="43">
        <f>YEAR(Table13[[#This Row],[Date]])+IF(MONTH(Table13[[#This Row],[Date]])&gt;=4,1,0)</f>
        <v>2026</v>
      </c>
      <c r="C320" s="10">
        <f>YEAR(Table13[[#This Row],[Date]])</f>
        <v>2026</v>
      </c>
      <c r="D320" s="309">
        <f>Table13[[#This Row],[Date]]-DAY(Table13[[#This Row],[Date]])+1</f>
        <v>46054</v>
      </c>
      <c r="E320" s="10">
        <f t="shared" si="25"/>
        <v>28</v>
      </c>
      <c r="F320" s="241" t="str">
        <f>IFERROR(_xlfn.XLOOKUP($A320,Input_Raw!$E:$E,Input_Raw!DC:DC),"")</f>
        <v/>
      </c>
      <c r="G320" s="313"/>
      <c r="H320" s="313"/>
      <c r="I320" s="313"/>
      <c r="J320" s="313"/>
      <c r="K320" s="243"/>
      <c r="L320" s="242"/>
      <c r="M320" s="242" t="str">
        <f>IFERROR(_xlfn.XLOOKUP($A320,Input_Raw!$E:$E,Input_Raw!$BM:$BM),"")</f>
        <v/>
      </c>
      <c r="N320" s="242" t="str">
        <f>IFERROR(_xlfn.XLOOKUP($A320,Input_Raw!$E:$E,Input_Raw!$BN:$BN),"")</f>
        <v/>
      </c>
      <c r="O320" s="311" t="str">
        <f t="shared" si="26"/>
        <v/>
      </c>
      <c r="P320" s="311" t="str">
        <f>IFERROR(1-SUMIF(WTG_BD!$F:$F,$A320,WTG_BD!$AA:$AA)/($AA320+SUMIF(WTG_BD!$F:$F,$A320,WTG_BD!$AA:$AA)),"")</f>
        <v/>
      </c>
      <c r="Q320" s="328" t="str">
        <f>IFERROR(1-SUMIF(IGA_BD!$F:$F,$A320,IGA_BD!$W:$W)/($AA320+SUMIF(IGA_BD!$F:$F,$A320,IGA_BD!$W:$W)),"")</f>
        <v/>
      </c>
      <c r="R320" s="47" t="str">
        <f>IFERROR(1-SUMIF(Grid_BD!$F:$F,$A320,Grid_BD!$Y:$Y)/($AA320+SUMIF(Grid_BD!$F:$F,$A320,Grid_BD!$Y:$Y)),"")</f>
        <v/>
      </c>
      <c r="S320" s="10"/>
      <c r="T320" s="310"/>
      <c r="U320" s="311"/>
      <c r="V320" s="10"/>
      <c r="W320" s="312" t="str">
        <f t="shared" si="27"/>
        <v/>
      </c>
      <c r="X320" s="10" t="str">
        <f>IFERROR(_xlfn.XLOOKUP($A320,Input_Raw!$E:$E,Input_Raw!BG:BG),"")</f>
        <v/>
      </c>
      <c r="Y320" s="10" t="str">
        <f>IFERROR(_xlfn.XLOOKUP($A320,Input_Raw!$E:$E,Input_Raw!DF:DF),"")</f>
        <v/>
      </c>
      <c r="Z320" s="319" t="str">
        <f>IFERROR(_xlfn.XLOOKUP(A320,Input_Raw!E:E,Input_Raw!CT:CT)/_xlfn.XLOOKUP(A320,Input_Raw!E:E,Input_Raw!CS:CS)*Table13[[#This Row],[Mtr_Export (kWh)]],"")</f>
        <v/>
      </c>
      <c r="AA320" s="43" t="str">
        <f t="shared" si="28"/>
        <v/>
      </c>
      <c r="AB320" s="10" t="str">
        <f>IFERROR(_xlfn.XLOOKUP($A320,Input_Raw!$E:$E,Input_Raw!$CZ:$CZ),"")</f>
        <v/>
      </c>
      <c r="AC320" s="313">
        <f>IFERROR(_xlfn.XLOOKUP($D320,'Modelling New'!$D:$D,'Modelling New'!$J:$J),"")</f>
        <v>6.4041034581308942</v>
      </c>
      <c r="AD320" s="43">
        <f>IFERROR(_xlfn.XLOOKUP($D320,'Modelling New'!$D:$D,'Modelling New'!$T:$T)*1000,"")</f>
        <v>357078.92857142852</v>
      </c>
      <c r="AE320" s="312"/>
      <c r="AF320" s="312">
        <f>IFERROR(_xlfn.XLOOKUP($D320,'Modelling New'!$D:$D,'Modelling New'!$W:$W),"")</f>
        <v>0.29403732589873899</v>
      </c>
      <c r="AG320" s="312">
        <f>IFERROR(_xlfn.XLOOKUP($D320,'Modelling New'!$D:$D,'Modelling New'!$AE:$AE),"")</f>
        <v>0.95549849999999992</v>
      </c>
      <c r="AH320" s="312">
        <f>IFERROR(_xlfn.XLOOKUP($D320,'Modelling New'!$D:$D,'Modelling New'!$AF:$AF),"")</f>
        <v>0.995</v>
      </c>
      <c r="AI320" s="10" t="str">
        <f>IFERROR(_xlfn.XLOOKUP($A320,Input_Raw!$E:$E,Input_Raw!$DG:$DG),"")</f>
        <v/>
      </c>
      <c r="AJ320" s="10"/>
      <c r="AK320" s="10"/>
      <c r="AL320" s="10"/>
      <c r="AM320" s="10"/>
      <c r="AN320" s="314" t="str">
        <f>IFERROR(_xlfn.XLOOKUP($A320,Input_Raw!$E:$E,Input_Raw!$CY:$CY),"")</f>
        <v/>
      </c>
      <c r="AO320" s="312" t="str">
        <f>IFERROR((_xlfn.XLOOKUP($A320,'WTG Reactive Power'!$A:$A,'WTG Reactive Power'!AB:AB))/X320,"")</f>
        <v/>
      </c>
      <c r="AP320" s="312">
        <f>IFERROR(_xlfn.XLOOKUP($D320,'Modelling New'!$D:$D,'Modelling New'!AK:AK),"")</f>
        <v>0.05</v>
      </c>
      <c r="AQ320" s="312">
        <f>IFERROR(_xlfn.XLOOKUP($D320,'Modelling New'!$D:$D,'Modelling New'!AL:AL),"")</f>
        <v>0.05</v>
      </c>
      <c r="AR320" s="325">
        <f>IFERROR(_xlfn.XLOOKUP($D320,'Modelling New'!$D:$D,'Modelling New'!$N:$N),"")</f>
        <v>50.59999999999998</v>
      </c>
      <c r="AS320" s="325"/>
    </row>
    <row r="321" spans="1:45">
      <c r="A321" s="32">
        <f t="shared" si="29"/>
        <v>46064</v>
      </c>
      <c r="B321" s="43">
        <f>YEAR(Table13[[#This Row],[Date]])+IF(MONTH(Table13[[#This Row],[Date]])&gt;=4,1,0)</f>
        <v>2026</v>
      </c>
      <c r="C321" s="10">
        <f>YEAR(Table13[[#This Row],[Date]])</f>
        <v>2026</v>
      </c>
      <c r="D321" s="309">
        <f>Table13[[#This Row],[Date]]-DAY(Table13[[#This Row],[Date]])+1</f>
        <v>46054</v>
      </c>
      <c r="E321" s="10">
        <f t="shared" si="25"/>
        <v>28</v>
      </c>
      <c r="F321" s="241" t="str">
        <f>IFERROR(_xlfn.XLOOKUP($A321,Input_Raw!$E:$E,Input_Raw!DC:DC),"")</f>
        <v/>
      </c>
      <c r="G321" s="242"/>
      <c r="H321" s="242"/>
      <c r="I321" s="242"/>
      <c r="J321" s="242"/>
      <c r="K321" s="243"/>
      <c r="L321" s="242"/>
      <c r="M321" s="242" t="str">
        <f>IFERROR(_xlfn.XLOOKUP($A321,Input_Raw!$E:$E,Input_Raw!$BM:$BM),"")</f>
        <v/>
      </c>
      <c r="N321" s="242" t="str">
        <f>IFERROR(_xlfn.XLOOKUP($A321,Input_Raw!$E:$E,Input_Raw!$BN:$BN),"")</f>
        <v/>
      </c>
      <c r="O321" s="311" t="str">
        <f t="shared" si="26"/>
        <v/>
      </c>
      <c r="P321" s="311" t="str">
        <f>IFERROR(1-SUMIF(WTG_BD!$F:$F,$A321,WTG_BD!$AA:$AA)/($AA321+SUMIF(WTG_BD!$F:$F,$A321,WTG_BD!$AA:$AA)),"")</f>
        <v/>
      </c>
      <c r="Q321" s="328" t="str">
        <f>IFERROR(1-SUMIF(IGA_BD!$F:$F,$A321,IGA_BD!$W:$W)/($AA321+SUMIF(IGA_BD!$F:$F,$A321,IGA_BD!$W:$W)),"")</f>
        <v/>
      </c>
      <c r="R321" s="311" t="str">
        <f>IFERROR(1-SUMIF(Grid_BD!$F:$F,$A321,Grid_BD!$Y:$Y)/($AA321+SUMIF(Grid_BD!$F:$F,$A321,Grid_BD!$Y:$Y)),"")</f>
        <v/>
      </c>
      <c r="S321" s="10"/>
      <c r="T321" s="310"/>
      <c r="U321" s="311"/>
      <c r="V321" s="10"/>
      <c r="W321" s="312" t="str">
        <f t="shared" si="27"/>
        <v/>
      </c>
      <c r="X321" s="10" t="str">
        <f>IFERROR(_xlfn.XLOOKUP($A321,Input_Raw!$E:$E,Input_Raw!BG:BG),"")</f>
        <v/>
      </c>
      <c r="Y321" s="10" t="str">
        <f>IFERROR(_xlfn.XLOOKUP($A321,Input_Raw!$E:$E,Input_Raw!DF:DF),"")</f>
        <v/>
      </c>
      <c r="Z321" s="319" t="str">
        <f>IFERROR(_xlfn.XLOOKUP(A321,Input_Raw!E:E,Input_Raw!CT:CT)/_xlfn.XLOOKUP(A321,Input_Raw!E:E,Input_Raw!CS:CS)*Table13[[#This Row],[Mtr_Export (kWh)]],"")</f>
        <v/>
      </c>
      <c r="AA321" s="43" t="str">
        <f t="shared" si="28"/>
        <v/>
      </c>
      <c r="AB321" s="10" t="str">
        <f>IFERROR(_xlfn.XLOOKUP($A321,Input_Raw!$E:$E,Input_Raw!$CZ:$CZ),"")</f>
        <v/>
      </c>
      <c r="AC321" s="313">
        <f>IFERROR(_xlfn.XLOOKUP($D321,'Modelling New'!$D:$D,'Modelling New'!$J:$J),"")</f>
        <v>6.4041034581308942</v>
      </c>
      <c r="AD321" s="43">
        <f>IFERROR(_xlfn.XLOOKUP($D321,'Modelling New'!$D:$D,'Modelling New'!$T:$T)*1000,"")</f>
        <v>357078.92857142852</v>
      </c>
      <c r="AE321" s="312"/>
      <c r="AF321" s="312">
        <f>IFERROR(_xlfn.XLOOKUP($D321,'Modelling New'!$D:$D,'Modelling New'!$W:$W),"")</f>
        <v>0.29403732589873899</v>
      </c>
      <c r="AG321" s="312">
        <f>IFERROR(_xlfn.XLOOKUP($D321,'Modelling New'!$D:$D,'Modelling New'!$AE:$AE),"")</f>
        <v>0.95549849999999992</v>
      </c>
      <c r="AH321" s="312">
        <f>IFERROR(_xlfn.XLOOKUP($D321,'Modelling New'!$D:$D,'Modelling New'!$AF:$AF),"")</f>
        <v>0.995</v>
      </c>
      <c r="AI321" s="10" t="str">
        <f>IFERROR(_xlfn.XLOOKUP($A321,Input_Raw!$E:$E,Input_Raw!$DG:$DG),"")</f>
        <v/>
      </c>
      <c r="AJ321" s="10"/>
      <c r="AK321" s="10"/>
      <c r="AL321" s="10"/>
      <c r="AM321" s="10"/>
      <c r="AN321" s="314" t="str">
        <f>IFERROR(_xlfn.XLOOKUP($A321,Input_Raw!$E:$E,Input_Raw!$CY:$CY),"")</f>
        <v/>
      </c>
      <c r="AO321" s="312" t="str">
        <f>IFERROR((_xlfn.XLOOKUP($A321,'WTG Reactive Power'!$A:$A,'WTG Reactive Power'!AB:AB))/X321,"")</f>
        <v/>
      </c>
      <c r="AP321" s="312">
        <f>IFERROR(_xlfn.XLOOKUP($D321,'Modelling New'!$D:$D,'Modelling New'!AK:AK),"")</f>
        <v>0.05</v>
      </c>
      <c r="AQ321" s="312">
        <f>IFERROR(_xlfn.XLOOKUP($D321,'Modelling New'!$D:$D,'Modelling New'!AL:AL),"")</f>
        <v>0.05</v>
      </c>
      <c r="AR321" s="325">
        <f>IFERROR(_xlfn.XLOOKUP($D321,'Modelling New'!$D:$D,'Modelling New'!$N:$N),"")</f>
        <v>50.59999999999998</v>
      </c>
      <c r="AS321" s="325"/>
    </row>
    <row r="322" spans="1:45">
      <c r="A322" s="32">
        <f t="shared" si="29"/>
        <v>46065</v>
      </c>
      <c r="B322" s="43">
        <f>YEAR(Table13[[#This Row],[Date]])+IF(MONTH(Table13[[#This Row],[Date]])&gt;=4,1,0)</f>
        <v>2026</v>
      </c>
      <c r="C322" s="10">
        <f>YEAR(Table13[[#This Row],[Date]])</f>
        <v>2026</v>
      </c>
      <c r="D322" s="309">
        <f>Table13[[#This Row],[Date]]-DAY(Table13[[#This Row],[Date]])+1</f>
        <v>46054</v>
      </c>
      <c r="E322" s="10">
        <f t="shared" si="25"/>
        <v>28</v>
      </c>
      <c r="F322" s="241" t="str">
        <f>IFERROR(_xlfn.XLOOKUP($A322,Input_Raw!$E:$E,Input_Raw!DC:DC),"")</f>
        <v/>
      </c>
      <c r="G322" s="313"/>
      <c r="H322" s="313"/>
      <c r="I322" s="313"/>
      <c r="J322" s="313"/>
      <c r="K322" s="243"/>
      <c r="L322" s="242"/>
      <c r="M322" s="242" t="str">
        <f>IFERROR(_xlfn.XLOOKUP($A322,Input_Raw!$E:$E,Input_Raw!$BM:$BM),"")</f>
        <v/>
      </c>
      <c r="N322" s="242" t="str">
        <f>IFERROR(_xlfn.XLOOKUP($A322,Input_Raw!$E:$E,Input_Raw!$BN:$BN),"")</f>
        <v/>
      </c>
      <c r="O322" s="311" t="str">
        <f t="shared" si="26"/>
        <v/>
      </c>
      <c r="P322" s="311" t="str">
        <f>IFERROR(1-SUMIF(WTG_BD!$F:$F,$A322,WTG_BD!$AA:$AA)/($AA322+SUMIF(WTG_BD!$F:$F,$A322,WTG_BD!$AA:$AA)),"")</f>
        <v/>
      </c>
      <c r="Q322" s="328" t="str">
        <f>IFERROR(1-SUMIF(IGA_BD!$F:$F,$A322,IGA_BD!$W:$W)/($AA322+SUMIF(IGA_BD!$F:$F,$A322,IGA_BD!$W:$W)),"")</f>
        <v/>
      </c>
      <c r="R322" s="47" t="str">
        <f>IFERROR(1-SUMIF(Grid_BD!$F:$F,$A322,Grid_BD!$Y:$Y)/($AA322+SUMIF(Grid_BD!$F:$F,$A322,Grid_BD!$Y:$Y)),"")</f>
        <v/>
      </c>
      <c r="S322" s="10"/>
      <c r="T322" s="310"/>
      <c r="U322" s="311"/>
      <c r="V322" s="10"/>
      <c r="W322" s="312" t="str">
        <f t="shared" si="27"/>
        <v/>
      </c>
      <c r="X322" s="10" t="str">
        <f>IFERROR(_xlfn.XLOOKUP($A322,Input_Raw!$E:$E,Input_Raw!BG:BG),"")</f>
        <v/>
      </c>
      <c r="Y322" s="10" t="str">
        <f>IFERROR(_xlfn.XLOOKUP($A322,Input_Raw!$E:$E,Input_Raw!DF:DF),"")</f>
        <v/>
      </c>
      <c r="Z322" s="319" t="str">
        <f>IFERROR(_xlfn.XLOOKUP(A322,Input_Raw!E:E,Input_Raw!CT:CT)/_xlfn.XLOOKUP(A322,Input_Raw!E:E,Input_Raw!CS:CS)*Table13[[#This Row],[Mtr_Export (kWh)]],"")</f>
        <v/>
      </c>
      <c r="AA322" s="43" t="str">
        <f t="shared" si="28"/>
        <v/>
      </c>
      <c r="AB322" s="10" t="str">
        <f>IFERROR(_xlfn.XLOOKUP($A322,Input_Raw!$E:$E,Input_Raw!$CZ:$CZ),"")</f>
        <v/>
      </c>
      <c r="AC322" s="313">
        <f>IFERROR(_xlfn.XLOOKUP($D322,'Modelling New'!$D:$D,'Modelling New'!$J:$J),"")</f>
        <v>6.4041034581308942</v>
      </c>
      <c r="AD322" s="43">
        <f>IFERROR(_xlfn.XLOOKUP($D322,'Modelling New'!$D:$D,'Modelling New'!$T:$T)*1000,"")</f>
        <v>357078.92857142852</v>
      </c>
      <c r="AE322" s="312"/>
      <c r="AF322" s="312">
        <f>IFERROR(_xlfn.XLOOKUP($D322,'Modelling New'!$D:$D,'Modelling New'!$W:$W),"")</f>
        <v>0.29403732589873899</v>
      </c>
      <c r="AG322" s="312">
        <f>IFERROR(_xlfn.XLOOKUP($D322,'Modelling New'!$D:$D,'Modelling New'!$AE:$AE),"")</f>
        <v>0.95549849999999992</v>
      </c>
      <c r="AH322" s="312">
        <f>IFERROR(_xlfn.XLOOKUP($D322,'Modelling New'!$D:$D,'Modelling New'!$AF:$AF),"")</f>
        <v>0.995</v>
      </c>
      <c r="AI322" s="10" t="str">
        <f>IFERROR(_xlfn.XLOOKUP($A322,Input_Raw!$E:$E,Input_Raw!$DG:$DG),"")</f>
        <v/>
      </c>
      <c r="AJ322" s="10"/>
      <c r="AK322" s="10"/>
      <c r="AL322" s="10"/>
      <c r="AM322" s="10"/>
      <c r="AN322" s="314" t="str">
        <f>IFERROR(_xlfn.XLOOKUP($A322,Input_Raw!$E:$E,Input_Raw!$CY:$CY),"")</f>
        <v/>
      </c>
      <c r="AO322" s="312" t="str">
        <f>IFERROR((_xlfn.XLOOKUP($A322,'WTG Reactive Power'!$A:$A,'WTG Reactive Power'!AB:AB))/X322,"")</f>
        <v/>
      </c>
      <c r="AP322" s="312">
        <f>IFERROR(_xlfn.XLOOKUP($D322,'Modelling New'!$D:$D,'Modelling New'!AK:AK),"")</f>
        <v>0.05</v>
      </c>
      <c r="AQ322" s="312">
        <f>IFERROR(_xlfn.XLOOKUP($D322,'Modelling New'!$D:$D,'Modelling New'!AL:AL),"")</f>
        <v>0.05</v>
      </c>
      <c r="AR322" s="325">
        <f>IFERROR(_xlfn.XLOOKUP($D322,'Modelling New'!$D:$D,'Modelling New'!$N:$N),"")</f>
        <v>50.59999999999998</v>
      </c>
      <c r="AS322" s="325"/>
    </row>
    <row r="323" spans="1:45">
      <c r="A323" s="32">
        <f t="shared" si="29"/>
        <v>46066</v>
      </c>
      <c r="B323" s="43">
        <f>YEAR(Table13[[#This Row],[Date]])+IF(MONTH(Table13[[#This Row],[Date]])&gt;=4,1,0)</f>
        <v>2026</v>
      </c>
      <c r="C323" s="10">
        <f>YEAR(Table13[[#This Row],[Date]])</f>
        <v>2026</v>
      </c>
      <c r="D323" s="309">
        <f>Table13[[#This Row],[Date]]-DAY(Table13[[#This Row],[Date]])+1</f>
        <v>46054</v>
      </c>
      <c r="E323" s="10">
        <f t="shared" si="25"/>
        <v>28</v>
      </c>
      <c r="F323" s="241" t="str">
        <f>IFERROR(_xlfn.XLOOKUP($A323,Input_Raw!$E:$E,Input_Raw!DC:DC),"")</f>
        <v/>
      </c>
      <c r="G323" s="242"/>
      <c r="H323" s="242"/>
      <c r="I323" s="242"/>
      <c r="J323" s="242"/>
      <c r="K323" s="243"/>
      <c r="L323" s="242"/>
      <c r="M323" s="242" t="str">
        <f>IFERROR(_xlfn.XLOOKUP($A323,Input_Raw!$E:$E,Input_Raw!$BM:$BM),"")</f>
        <v/>
      </c>
      <c r="N323" s="242" t="str">
        <f>IFERROR(_xlfn.XLOOKUP($A323,Input_Raw!$E:$E,Input_Raw!$BN:$BN),"")</f>
        <v/>
      </c>
      <c r="O323" s="311" t="str">
        <f t="shared" si="26"/>
        <v/>
      </c>
      <c r="P323" s="311" t="str">
        <f>IFERROR(1-SUMIF(WTG_BD!$F:$F,$A323,WTG_BD!$AA:$AA)/($AA323+SUMIF(WTG_BD!$F:$F,$A323,WTG_BD!$AA:$AA)),"")</f>
        <v/>
      </c>
      <c r="Q323" s="328" t="str">
        <f>IFERROR(1-SUMIF(IGA_BD!$F:$F,$A323,IGA_BD!$W:$W)/($AA323+SUMIF(IGA_BD!$F:$F,$A323,IGA_BD!$W:$W)),"")</f>
        <v/>
      </c>
      <c r="R323" s="311" t="str">
        <f>IFERROR(1-SUMIF(Grid_BD!$F:$F,$A323,Grid_BD!$Y:$Y)/($AA323+SUMIF(Grid_BD!$F:$F,$A323,Grid_BD!$Y:$Y)),"")</f>
        <v/>
      </c>
      <c r="S323" s="10"/>
      <c r="T323" s="310"/>
      <c r="U323" s="311"/>
      <c r="V323" s="10"/>
      <c r="W323" s="312" t="str">
        <f t="shared" si="27"/>
        <v/>
      </c>
      <c r="X323" s="10" t="str">
        <f>IFERROR(_xlfn.XLOOKUP($A323,Input_Raw!$E:$E,Input_Raw!BG:BG),"")</f>
        <v/>
      </c>
      <c r="Y323" s="10" t="str">
        <f>IFERROR(_xlfn.XLOOKUP($A323,Input_Raw!$E:$E,Input_Raw!DF:DF),"")</f>
        <v/>
      </c>
      <c r="Z323" s="319" t="str">
        <f>IFERROR(_xlfn.XLOOKUP(A323,Input_Raw!E:E,Input_Raw!CT:CT)/_xlfn.XLOOKUP(A323,Input_Raw!E:E,Input_Raw!CS:CS)*Table13[[#This Row],[Mtr_Export (kWh)]],"")</f>
        <v/>
      </c>
      <c r="AA323" s="43" t="str">
        <f t="shared" si="28"/>
        <v/>
      </c>
      <c r="AB323" s="10" t="str">
        <f>IFERROR(_xlfn.XLOOKUP($A323,Input_Raw!$E:$E,Input_Raw!$CZ:$CZ),"")</f>
        <v/>
      </c>
      <c r="AC323" s="313">
        <f>IFERROR(_xlfn.XLOOKUP($D323,'Modelling New'!$D:$D,'Modelling New'!$J:$J),"")</f>
        <v>6.4041034581308942</v>
      </c>
      <c r="AD323" s="43">
        <f>IFERROR(_xlfn.XLOOKUP($D323,'Modelling New'!$D:$D,'Modelling New'!$T:$T)*1000,"")</f>
        <v>357078.92857142852</v>
      </c>
      <c r="AE323" s="312"/>
      <c r="AF323" s="312">
        <f>IFERROR(_xlfn.XLOOKUP($D323,'Modelling New'!$D:$D,'Modelling New'!$W:$W),"")</f>
        <v>0.29403732589873899</v>
      </c>
      <c r="AG323" s="312">
        <f>IFERROR(_xlfn.XLOOKUP($D323,'Modelling New'!$D:$D,'Modelling New'!$AE:$AE),"")</f>
        <v>0.95549849999999992</v>
      </c>
      <c r="AH323" s="312">
        <f>IFERROR(_xlfn.XLOOKUP($D323,'Modelling New'!$D:$D,'Modelling New'!$AF:$AF),"")</f>
        <v>0.995</v>
      </c>
      <c r="AI323" s="10" t="str">
        <f>IFERROR(_xlfn.XLOOKUP($A323,Input_Raw!$E:$E,Input_Raw!$DG:$DG),"")</f>
        <v/>
      </c>
      <c r="AJ323" s="10"/>
      <c r="AK323" s="10"/>
      <c r="AL323" s="10"/>
      <c r="AM323" s="10"/>
      <c r="AN323" s="314" t="str">
        <f>IFERROR(_xlfn.XLOOKUP($A323,Input_Raw!$E:$E,Input_Raw!$CY:$CY),"")</f>
        <v/>
      </c>
      <c r="AO323" s="312" t="str">
        <f>IFERROR((_xlfn.XLOOKUP($A323,'WTG Reactive Power'!$A:$A,'WTG Reactive Power'!AB:AB))/X323,"")</f>
        <v/>
      </c>
      <c r="AP323" s="312">
        <f>IFERROR(_xlfn.XLOOKUP($D323,'Modelling New'!$D:$D,'Modelling New'!AK:AK),"")</f>
        <v>0.05</v>
      </c>
      <c r="AQ323" s="312">
        <f>IFERROR(_xlfn.XLOOKUP($D323,'Modelling New'!$D:$D,'Modelling New'!AL:AL),"")</f>
        <v>0.05</v>
      </c>
      <c r="AR323" s="325">
        <f>IFERROR(_xlfn.XLOOKUP($D323,'Modelling New'!$D:$D,'Modelling New'!$N:$N),"")</f>
        <v>50.59999999999998</v>
      </c>
      <c r="AS323" s="325"/>
    </row>
    <row r="324" spans="1:45">
      <c r="A324" s="32">
        <f t="shared" si="29"/>
        <v>46067</v>
      </c>
      <c r="B324" s="43">
        <f>YEAR(Table13[[#This Row],[Date]])+IF(MONTH(Table13[[#This Row],[Date]])&gt;=4,1,0)</f>
        <v>2026</v>
      </c>
      <c r="C324" s="10">
        <f>YEAR(Table13[[#This Row],[Date]])</f>
        <v>2026</v>
      </c>
      <c r="D324" s="309">
        <f>Table13[[#This Row],[Date]]-DAY(Table13[[#This Row],[Date]])+1</f>
        <v>46054</v>
      </c>
      <c r="E324" s="10">
        <f t="shared" si="25"/>
        <v>28</v>
      </c>
      <c r="F324" s="241" t="str">
        <f>IFERROR(_xlfn.XLOOKUP($A324,Input_Raw!$E:$E,Input_Raw!DC:DC),"")</f>
        <v/>
      </c>
      <c r="G324" s="313"/>
      <c r="H324" s="313"/>
      <c r="I324" s="313"/>
      <c r="J324" s="313"/>
      <c r="K324" s="243"/>
      <c r="L324" s="242"/>
      <c r="M324" s="242" t="str">
        <f>IFERROR(_xlfn.XLOOKUP($A324,Input_Raw!$E:$E,Input_Raw!$BM:$BM),"")</f>
        <v/>
      </c>
      <c r="N324" s="242" t="str">
        <f>IFERROR(_xlfn.XLOOKUP($A324,Input_Raw!$E:$E,Input_Raw!$BN:$BN),"")</f>
        <v/>
      </c>
      <c r="O324" s="311" t="str">
        <f t="shared" si="26"/>
        <v/>
      </c>
      <c r="P324" s="311" t="str">
        <f>IFERROR(1-SUMIF(WTG_BD!$F:$F,$A324,WTG_BD!$AA:$AA)/($AA324+SUMIF(WTG_BD!$F:$F,$A324,WTG_BD!$AA:$AA)),"")</f>
        <v/>
      </c>
      <c r="Q324" s="328" t="str">
        <f>IFERROR(1-SUMIF(IGA_BD!$F:$F,$A324,IGA_BD!$W:$W)/($AA324+SUMIF(IGA_BD!$F:$F,$A324,IGA_BD!$W:$W)),"")</f>
        <v/>
      </c>
      <c r="R324" s="47" t="str">
        <f>IFERROR(1-SUMIF(Grid_BD!$F:$F,$A324,Grid_BD!$Y:$Y)/($AA324+SUMIF(Grid_BD!$F:$F,$A324,Grid_BD!$Y:$Y)),"")</f>
        <v/>
      </c>
      <c r="S324" s="10"/>
      <c r="T324" s="310"/>
      <c r="U324" s="311"/>
      <c r="V324" s="10"/>
      <c r="W324" s="312" t="str">
        <f t="shared" si="27"/>
        <v/>
      </c>
      <c r="X324" s="10" t="str">
        <f>IFERROR(_xlfn.XLOOKUP($A324,Input_Raw!$E:$E,Input_Raw!BG:BG),"")</f>
        <v/>
      </c>
      <c r="Y324" s="10" t="str">
        <f>IFERROR(_xlfn.XLOOKUP($A324,Input_Raw!$E:$E,Input_Raw!DF:DF),"")</f>
        <v/>
      </c>
      <c r="Z324" s="319" t="str">
        <f>IFERROR(_xlfn.XLOOKUP(A324,Input_Raw!E:E,Input_Raw!CT:CT)/_xlfn.XLOOKUP(A324,Input_Raw!E:E,Input_Raw!CS:CS)*Table13[[#This Row],[Mtr_Export (kWh)]],"")</f>
        <v/>
      </c>
      <c r="AA324" s="43" t="str">
        <f t="shared" si="28"/>
        <v/>
      </c>
      <c r="AB324" s="10" t="str">
        <f>IFERROR(_xlfn.XLOOKUP($A324,Input_Raw!$E:$E,Input_Raw!$CZ:$CZ),"")</f>
        <v/>
      </c>
      <c r="AC324" s="313">
        <f>IFERROR(_xlfn.XLOOKUP($D324,'Modelling New'!$D:$D,'Modelling New'!$J:$J),"")</f>
        <v>6.4041034581308942</v>
      </c>
      <c r="AD324" s="43">
        <f>IFERROR(_xlfn.XLOOKUP($D324,'Modelling New'!$D:$D,'Modelling New'!$T:$T)*1000,"")</f>
        <v>357078.92857142852</v>
      </c>
      <c r="AE324" s="312"/>
      <c r="AF324" s="312">
        <f>IFERROR(_xlfn.XLOOKUP($D324,'Modelling New'!$D:$D,'Modelling New'!$W:$W),"")</f>
        <v>0.29403732589873899</v>
      </c>
      <c r="AG324" s="312">
        <f>IFERROR(_xlfn.XLOOKUP($D324,'Modelling New'!$D:$D,'Modelling New'!$AE:$AE),"")</f>
        <v>0.95549849999999992</v>
      </c>
      <c r="AH324" s="312">
        <f>IFERROR(_xlfn.XLOOKUP($D324,'Modelling New'!$D:$D,'Modelling New'!$AF:$AF),"")</f>
        <v>0.995</v>
      </c>
      <c r="AI324" s="10" t="str">
        <f>IFERROR(_xlfn.XLOOKUP($A324,Input_Raw!$E:$E,Input_Raw!$DG:$DG),"")</f>
        <v/>
      </c>
      <c r="AJ324" s="10"/>
      <c r="AK324" s="10"/>
      <c r="AL324" s="10"/>
      <c r="AM324" s="10"/>
      <c r="AN324" s="314" t="str">
        <f>IFERROR(_xlfn.XLOOKUP($A324,Input_Raw!$E:$E,Input_Raw!$CY:$CY),"")</f>
        <v/>
      </c>
      <c r="AO324" s="312" t="str">
        <f>IFERROR((_xlfn.XLOOKUP($A324,'WTG Reactive Power'!$A:$A,'WTG Reactive Power'!AB:AB))/X324,"")</f>
        <v/>
      </c>
      <c r="AP324" s="312">
        <f>IFERROR(_xlfn.XLOOKUP($D324,'Modelling New'!$D:$D,'Modelling New'!AK:AK),"")</f>
        <v>0.05</v>
      </c>
      <c r="AQ324" s="312">
        <f>IFERROR(_xlfn.XLOOKUP($D324,'Modelling New'!$D:$D,'Modelling New'!AL:AL),"")</f>
        <v>0.05</v>
      </c>
      <c r="AR324" s="325">
        <f>IFERROR(_xlfn.XLOOKUP($D324,'Modelling New'!$D:$D,'Modelling New'!$N:$N),"")</f>
        <v>50.59999999999998</v>
      </c>
      <c r="AS324" s="325"/>
    </row>
    <row r="325" spans="1:45">
      <c r="A325" s="32">
        <f t="shared" si="29"/>
        <v>46068</v>
      </c>
      <c r="B325" s="43">
        <f>YEAR(Table13[[#This Row],[Date]])+IF(MONTH(Table13[[#This Row],[Date]])&gt;=4,1,0)</f>
        <v>2026</v>
      </c>
      <c r="C325" s="10">
        <f>YEAR(Table13[[#This Row],[Date]])</f>
        <v>2026</v>
      </c>
      <c r="D325" s="309">
        <f>Table13[[#This Row],[Date]]-DAY(Table13[[#This Row],[Date]])+1</f>
        <v>46054</v>
      </c>
      <c r="E325" s="10">
        <f t="shared" si="25"/>
        <v>28</v>
      </c>
      <c r="F325" s="241" t="str">
        <f>IFERROR(_xlfn.XLOOKUP($A325,Input_Raw!$E:$E,Input_Raw!DC:DC),"")</f>
        <v/>
      </c>
      <c r="G325" s="242"/>
      <c r="H325" s="242"/>
      <c r="I325" s="242"/>
      <c r="J325" s="242"/>
      <c r="K325" s="243"/>
      <c r="L325" s="242"/>
      <c r="M325" s="242" t="str">
        <f>IFERROR(_xlfn.XLOOKUP($A325,Input_Raw!$E:$E,Input_Raw!$BM:$BM),"")</f>
        <v/>
      </c>
      <c r="N325" s="242" t="str">
        <f>IFERROR(_xlfn.XLOOKUP($A325,Input_Raw!$E:$E,Input_Raw!$BN:$BN),"")</f>
        <v/>
      </c>
      <c r="O325" s="311" t="str">
        <f t="shared" si="26"/>
        <v/>
      </c>
      <c r="P325" s="311" t="str">
        <f>IFERROR(1-SUMIF(WTG_BD!$F:$F,$A325,WTG_BD!$AA:$AA)/($AA325+SUMIF(WTG_BD!$F:$F,$A325,WTG_BD!$AA:$AA)),"")</f>
        <v/>
      </c>
      <c r="Q325" s="328" t="str">
        <f>IFERROR(1-SUMIF(IGA_BD!$F:$F,$A325,IGA_BD!$W:$W)/($AA325+SUMIF(IGA_BD!$F:$F,$A325,IGA_BD!$W:$W)),"")</f>
        <v/>
      </c>
      <c r="R325" s="311" t="str">
        <f>IFERROR(1-SUMIF(Grid_BD!$F:$F,$A325,Grid_BD!$Y:$Y)/($AA325+SUMIF(Grid_BD!$F:$F,$A325,Grid_BD!$Y:$Y)),"")</f>
        <v/>
      </c>
      <c r="S325" s="10"/>
      <c r="T325" s="310"/>
      <c r="U325" s="311"/>
      <c r="V325" s="10"/>
      <c r="W325" s="312" t="str">
        <f t="shared" si="27"/>
        <v/>
      </c>
      <c r="X325" s="10" t="str">
        <f>IFERROR(_xlfn.XLOOKUP($A325,Input_Raw!$E:$E,Input_Raw!BG:BG),"")</f>
        <v/>
      </c>
      <c r="Y325" s="10" t="str">
        <f>IFERROR(_xlfn.XLOOKUP($A325,Input_Raw!$E:$E,Input_Raw!DF:DF),"")</f>
        <v/>
      </c>
      <c r="Z325" s="319" t="str">
        <f>IFERROR(_xlfn.XLOOKUP(A325,Input_Raw!E:E,Input_Raw!CT:CT)/_xlfn.XLOOKUP(A325,Input_Raw!E:E,Input_Raw!CS:CS)*Table13[[#This Row],[Mtr_Export (kWh)]],"")</f>
        <v/>
      </c>
      <c r="AA325" s="43" t="str">
        <f t="shared" si="28"/>
        <v/>
      </c>
      <c r="AB325" s="10" t="str">
        <f>IFERROR(_xlfn.XLOOKUP($A325,Input_Raw!$E:$E,Input_Raw!$CZ:$CZ),"")</f>
        <v/>
      </c>
      <c r="AC325" s="313">
        <f>IFERROR(_xlfn.XLOOKUP($D325,'Modelling New'!$D:$D,'Modelling New'!$J:$J),"")</f>
        <v>6.4041034581308942</v>
      </c>
      <c r="AD325" s="43">
        <f>IFERROR(_xlfn.XLOOKUP($D325,'Modelling New'!$D:$D,'Modelling New'!$T:$T)*1000,"")</f>
        <v>357078.92857142852</v>
      </c>
      <c r="AE325" s="312"/>
      <c r="AF325" s="312">
        <f>IFERROR(_xlfn.XLOOKUP($D325,'Modelling New'!$D:$D,'Modelling New'!$W:$W),"")</f>
        <v>0.29403732589873899</v>
      </c>
      <c r="AG325" s="312">
        <f>IFERROR(_xlfn.XLOOKUP($D325,'Modelling New'!$D:$D,'Modelling New'!$AE:$AE),"")</f>
        <v>0.95549849999999992</v>
      </c>
      <c r="AH325" s="312">
        <f>IFERROR(_xlfn.XLOOKUP($D325,'Modelling New'!$D:$D,'Modelling New'!$AF:$AF),"")</f>
        <v>0.995</v>
      </c>
      <c r="AI325" s="10" t="str">
        <f>IFERROR(_xlfn.XLOOKUP($A325,Input_Raw!$E:$E,Input_Raw!$DG:$DG),"")</f>
        <v/>
      </c>
      <c r="AJ325" s="10"/>
      <c r="AK325" s="10"/>
      <c r="AL325" s="10"/>
      <c r="AM325" s="10"/>
      <c r="AN325" s="314" t="str">
        <f>IFERROR(_xlfn.XLOOKUP($A325,Input_Raw!$E:$E,Input_Raw!$CY:$CY),"")</f>
        <v/>
      </c>
      <c r="AO325" s="312" t="str">
        <f>IFERROR((_xlfn.XLOOKUP($A325,'WTG Reactive Power'!$A:$A,'WTG Reactive Power'!AB:AB))/X325,"")</f>
        <v/>
      </c>
      <c r="AP325" s="312">
        <f>IFERROR(_xlfn.XLOOKUP($D325,'Modelling New'!$D:$D,'Modelling New'!AK:AK),"")</f>
        <v>0.05</v>
      </c>
      <c r="AQ325" s="312">
        <f>IFERROR(_xlfn.XLOOKUP($D325,'Modelling New'!$D:$D,'Modelling New'!AL:AL),"")</f>
        <v>0.05</v>
      </c>
      <c r="AR325" s="325">
        <f>IFERROR(_xlfn.XLOOKUP($D325,'Modelling New'!$D:$D,'Modelling New'!$N:$N),"")</f>
        <v>50.59999999999998</v>
      </c>
      <c r="AS325" s="325"/>
    </row>
    <row r="326" spans="1:45">
      <c r="A326" s="32">
        <f t="shared" si="29"/>
        <v>46069</v>
      </c>
      <c r="B326" s="43">
        <f>YEAR(Table13[[#This Row],[Date]])+IF(MONTH(Table13[[#This Row],[Date]])&gt;=4,1,0)</f>
        <v>2026</v>
      </c>
      <c r="C326" s="10">
        <f>YEAR(Table13[[#This Row],[Date]])</f>
        <v>2026</v>
      </c>
      <c r="D326" s="309">
        <f>Table13[[#This Row],[Date]]-DAY(Table13[[#This Row],[Date]])+1</f>
        <v>46054</v>
      </c>
      <c r="E326" s="10">
        <f t="shared" si="25"/>
        <v>28</v>
      </c>
      <c r="F326" s="241" t="str">
        <f>IFERROR(_xlfn.XLOOKUP($A326,Input_Raw!$E:$E,Input_Raw!DC:DC),"")</f>
        <v/>
      </c>
      <c r="G326" s="313"/>
      <c r="H326" s="313"/>
      <c r="I326" s="313"/>
      <c r="J326" s="313"/>
      <c r="K326" s="243"/>
      <c r="L326" s="242"/>
      <c r="M326" s="242" t="str">
        <f>IFERROR(_xlfn.XLOOKUP($A326,Input_Raw!$E:$E,Input_Raw!$BM:$BM),"")</f>
        <v/>
      </c>
      <c r="N326" s="242" t="str">
        <f>IFERROR(_xlfn.XLOOKUP($A326,Input_Raw!$E:$E,Input_Raw!$BN:$BN),"")</f>
        <v/>
      </c>
      <c r="O326" s="311" t="str">
        <f t="shared" si="26"/>
        <v/>
      </c>
      <c r="P326" s="311" t="str">
        <f>IFERROR(1-SUMIF(WTG_BD!$F:$F,$A326,WTG_BD!$AA:$AA)/($AA326+SUMIF(WTG_BD!$F:$F,$A326,WTG_BD!$AA:$AA)),"")</f>
        <v/>
      </c>
      <c r="Q326" s="328" t="str">
        <f>IFERROR(1-SUMIF(IGA_BD!$F:$F,$A326,IGA_BD!$W:$W)/($AA326+SUMIF(IGA_BD!$F:$F,$A326,IGA_BD!$W:$W)),"")</f>
        <v/>
      </c>
      <c r="R326" s="47" t="str">
        <f>IFERROR(1-SUMIF(Grid_BD!$F:$F,$A326,Grid_BD!$Y:$Y)/($AA326+SUMIF(Grid_BD!$F:$F,$A326,Grid_BD!$Y:$Y)),"")</f>
        <v/>
      </c>
      <c r="S326" s="10"/>
      <c r="T326" s="310"/>
      <c r="U326" s="311"/>
      <c r="V326" s="10"/>
      <c r="W326" s="312" t="str">
        <f t="shared" si="27"/>
        <v/>
      </c>
      <c r="X326" s="10" t="str">
        <f>IFERROR(_xlfn.XLOOKUP($A326,Input_Raw!$E:$E,Input_Raw!BG:BG),"")</f>
        <v/>
      </c>
      <c r="Y326" s="10" t="str">
        <f>IFERROR(_xlfn.XLOOKUP($A326,Input_Raw!$E:$E,Input_Raw!DF:DF),"")</f>
        <v/>
      </c>
      <c r="Z326" s="319" t="str">
        <f>IFERROR(_xlfn.XLOOKUP(A326,Input_Raw!E:E,Input_Raw!CT:CT)/_xlfn.XLOOKUP(A326,Input_Raw!E:E,Input_Raw!CS:CS)*Table13[[#This Row],[Mtr_Export (kWh)]],"")</f>
        <v/>
      </c>
      <c r="AA326" s="43" t="str">
        <f t="shared" si="28"/>
        <v/>
      </c>
      <c r="AB326" s="10" t="str">
        <f>IFERROR(_xlfn.XLOOKUP($A326,Input_Raw!$E:$E,Input_Raw!$CZ:$CZ),"")</f>
        <v/>
      </c>
      <c r="AC326" s="313">
        <f>IFERROR(_xlfn.XLOOKUP($D326,'Modelling New'!$D:$D,'Modelling New'!$J:$J),"")</f>
        <v>6.4041034581308942</v>
      </c>
      <c r="AD326" s="43">
        <f>IFERROR(_xlfn.XLOOKUP($D326,'Modelling New'!$D:$D,'Modelling New'!$T:$T)*1000,"")</f>
        <v>357078.92857142852</v>
      </c>
      <c r="AE326" s="312"/>
      <c r="AF326" s="312">
        <f>IFERROR(_xlfn.XLOOKUP($D326,'Modelling New'!$D:$D,'Modelling New'!$W:$W),"")</f>
        <v>0.29403732589873899</v>
      </c>
      <c r="AG326" s="312">
        <f>IFERROR(_xlfn.XLOOKUP($D326,'Modelling New'!$D:$D,'Modelling New'!$AE:$AE),"")</f>
        <v>0.95549849999999992</v>
      </c>
      <c r="AH326" s="312">
        <f>IFERROR(_xlfn.XLOOKUP($D326,'Modelling New'!$D:$D,'Modelling New'!$AF:$AF),"")</f>
        <v>0.995</v>
      </c>
      <c r="AI326" s="10" t="str">
        <f>IFERROR(_xlfn.XLOOKUP($A326,Input_Raw!$E:$E,Input_Raw!$DG:$DG),"")</f>
        <v/>
      </c>
      <c r="AJ326" s="10"/>
      <c r="AK326" s="10"/>
      <c r="AL326" s="10"/>
      <c r="AM326" s="10"/>
      <c r="AN326" s="314" t="str">
        <f>IFERROR(_xlfn.XLOOKUP($A326,Input_Raw!$E:$E,Input_Raw!$CY:$CY),"")</f>
        <v/>
      </c>
      <c r="AO326" s="312" t="str">
        <f>IFERROR((_xlfn.XLOOKUP($A326,'WTG Reactive Power'!$A:$A,'WTG Reactive Power'!AB:AB))/X326,"")</f>
        <v/>
      </c>
      <c r="AP326" s="312">
        <f>IFERROR(_xlfn.XLOOKUP($D326,'Modelling New'!$D:$D,'Modelling New'!AK:AK),"")</f>
        <v>0.05</v>
      </c>
      <c r="AQ326" s="312">
        <f>IFERROR(_xlfn.XLOOKUP($D326,'Modelling New'!$D:$D,'Modelling New'!AL:AL),"")</f>
        <v>0.05</v>
      </c>
      <c r="AR326" s="325">
        <f>IFERROR(_xlfn.XLOOKUP($D326,'Modelling New'!$D:$D,'Modelling New'!$N:$N),"")</f>
        <v>50.59999999999998</v>
      </c>
      <c r="AS326" s="325"/>
    </row>
    <row r="327" spans="1:45">
      <c r="A327" s="32">
        <f t="shared" si="29"/>
        <v>46070</v>
      </c>
      <c r="B327" s="43">
        <f>YEAR(Table13[[#This Row],[Date]])+IF(MONTH(Table13[[#This Row],[Date]])&gt;=4,1,0)</f>
        <v>2026</v>
      </c>
      <c r="C327" s="10">
        <f>YEAR(Table13[[#This Row],[Date]])</f>
        <v>2026</v>
      </c>
      <c r="D327" s="309">
        <f>Table13[[#This Row],[Date]]-DAY(Table13[[#This Row],[Date]])+1</f>
        <v>46054</v>
      </c>
      <c r="E327" s="10">
        <f t="shared" ref="E327:E390" si="30">DAY(EOMONTH(A327,0))</f>
        <v>28</v>
      </c>
      <c r="F327" s="241" t="str">
        <f>IFERROR(_xlfn.XLOOKUP($A327,Input_Raw!$E:$E,Input_Raw!DC:DC),"")</f>
        <v/>
      </c>
      <c r="G327" s="242"/>
      <c r="H327" s="242"/>
      <c r="I327" s="242"/>
      <c r="J327" s="242"/>
      <c r="K327" s="243"/>
      <c r="L327" s="242"/>
      <c r="M327" s="242" t="str">
        <f>IFERROR(_xlfn.XLOOKUP($A327,Input_Raw!$E:$E,Input_Raw!$BM:$BM),"")</f>
        <v/>
      </c>
      <c r="N327" s="242" t="str">
        <f>IFERROR(_xlfn.XLOOKUP($A327,Input_Raw!$E:$E,Input_Raw!$BN:$BN),"")</f>
        <v/>
      </c>
      <c r="O327" s="311" t="str">
        <f t="shared" ref="O327:O390" si="31">IFERROR(P327*Q327,"")</f>
        <v/>
      </c>
      <c r="P327" s="311" t="str">
        <f>IFERROR(1-SUMIF(WTG_BD!$F:$F,$A327,WTG_BD!$AA:$AA)/($AA327+SUMIF(WTG_BD!$F:$F,$A327,WTG_BD!$AA:$AA)),"")</f>
        <v/>
      </c>
      <c r="Q327" s="328" t="str">
        <f>IFERROR(1-SUMIF(IGA_BD!$F:$F,$A327,IGA_BD!$W:$W)/($AA327+SUMIF(IGA_BD!$F:$F,$A327,IGA_BD!$W:$W)),"")</f>
        <v/>
      </c>
      <c r="R327" s="311" t="str">
        <f>IFERROR(1-SUMIF(Grid_BD!$F:$F,$A327,Grid_BD!$Y:$Y)/($AA327+SUMIF(Grid_BD!$F:$F,$A327,Grid_BD!$Y:$Y)),"")</f>
        <v/>
      </c>
      <c r="S327" s="10"/>
      <c r="T327" s="310"/>
      <c r="U327" s="311"/>
      <c r="V327" s="10"/>
      <c r="W327" s="312" t="str">
        <f t="shared" ref="W327:W390" si="32">IFERROR(X327/(24*AR327*1000),"")</f>
        <v/>
      </c>
      <c r="X327" s="10" t="str">
        <f>IFERROR(_xlfn.XLOOKUP($A327,Input_Raw!$E:$E,Input_Raw!BG:BG),"")</f>
        <v/>
      </c>
      <c r="Y327" s="10" t="str">
        <f>IFERROR(_xlfn.XLOOKUP($A327,Input_Raw!$E:$E,Input_Raw!DF:DF),"")</f>
        <v/>
      </c>
      <c r="Z327" s="319" t="str">
        <f>IFERROR(_xlfn.XLOOKUP(A327,Input_Raw!E:E,Input_Raw!CT:CT)/_xlfn.XLOOKUP(A327,Input_Raw!E:E,Input_Raw!CS:CS)*Table13[[#This Row],[Mtr_Export (kWh)]],"")</f>
        <v/>
      </c>
      <c r="AA327" s="43" t="str">
        <f t="shared" ref="AA327:AA390" si="33">IFERROR(Y327-Z327,"")</f>
        <v/>
      </c>
      <c r="AB327" s="10" t="str">
        <f>IFERROR(_xlfn.XLOOKUP($A327,Input_Raw!$E:$E,Input_Raw!$CZ:$CZ),"")</f>
        <v/>
      </c>
      <c r="AC327" s="313">
        <f>IFERROR(_xlfn.XLOOKUP($D327,'Modelling New'!$D:$D,'Modelling New'!$J:$J),"")</f>
        <v>6.4041034581308942</v>
      </c>
      <c r="AD327" s="43">
        <f>IFERROR(_xlfn.XLOOKUP($D327,'Modelling New'!$D:$D,'Modelling New'!$T:$T)*1000,"")</f>
        <v>357078.92857142852</v>
      </c>
      <c r="AE327" s="312"/>
      <c r="AF327" s="312">
        <f>IFERROR(_xlfn.XLOOKUP($D327,'Modelling New'!$D:$D,'Modelling New'!$W:$W),"")</f>
        <v>0.29403732589873899</v>
      </c>
      <c r="AG327" s="312">
        <f>IFERROR(_xlfn.XLOOKUP($D327,'Modelling New'!$D:$D,'Modelling New'!$AE:$AE),"")</f>
        <v>0.95549849999999992</v>
      </c>
      <c r="AH327" s="312">
        <f>IFERROR(_xlfn.XLOOKUP($D327,'Modelling New'!$D:$D,'Modelling New'!$AF:$AF),"")</f>
        <v>0.995</v>
      </c>
      <c r="AI327" s="10" t="str">
        <f>IFERROR(_xlfn.XLOOKUP($A327,Input_Raw!$E:$E,Input_Raw!$DG:$DG),"")</f>
        <v/>
      </c>
      <c r="AJ327" s="10"/>
      <c r="AK327" s="10"/>
      <c r="AL327" s="10"/>
      <c r="AM327" s="10"/>
      <c r="AN327" s="314" t="str">
        <f>IFERROR(_xlfn.XLOOKUP($A327,Input_Raw!$E:$E,Input_Raw!$CY:$CY),"")</f>
        <v/>
      </c>
      <c r="AO327" s="312" t="str">
        <f>IFERROR((_xlfn.XLOOKUP($A327,'WTG Reactive Power'!$A:$A,'WTG Reactive Power'!AB:AB))/X327,"")</f>
        <v/>
      </c>
      <c r="AP327" s="312">
        <f>IFERROR(_xlfn.XLOOKUP($D327,'Modelling New'!$D:$D,'Modelling New'!AK:AK),"")</f>
        <v>0.05</v>
      </c>
      <c r="AQ327" s="312">
        <f>IFERROR(_xlfn.XLOOKUP($D327,'Modelling New'!$D:$D,'Modelling New'!AL:AL),"")</f>
        <v>0.05</v>
      </c>
      <c r="AR327" s="325">
        <f>IFERROR(_xlfn.XLOOKUP($D327,'Modelling New'!$D:$D,'Modelling New'!$N:$N),"")</f>
        <v>50.59999999999998</v>
      </c>
      <c r="AS327" s="325"/>
    </row>
    <row r="328" spans="1:45">
      <c r="A328" s="32">
        <f t="shared" si="29"/>
        <v>46071</v>
      </c>
      <c r="B328" s="43">
        <f>YEAR(Table13[[#This Row],[Date]])+IF(MONTH(Table13[[#This Row],[Date]])&gt;=4,1,0)</f>
        <v>2026</v>
      </c>
      <c r="C328" s="10">
        <f>YEAR(Table13[[#This Row],[Date]])</f>
        <v>2026</v>
      </c>
      <c r="D328" s="309">
        <f>Table13[[#This Row],[Date]]-DAY(Table13[[#This Row],[Date]])+1</f>
        <v>46054</v>
      </c>
      <c r="E328" s="10">
        <f t="shared" si="30"/>
        <v>28</v>
      </c>
      <c r="F328" s="241" t="str">
        <f>IFERROR(_xlfn.XLOOKUP($A328,Input_Raw!$E:$E,Input_Raw!DC:DC),"")</f>
        <v/>
      </c>
      <c r="G328" s="313"/>
      <c r="H328" s="313"/>
      <c r="I328" s="313"/>
      <c r="J328" s="313"/>
      <c r="K328" s="243"/>
      <c r="L328" s="242"/>
      <c r="M328" s="242" t="str">
        <f>IFERROR(_xlfn.XLOOKUP($A328,Input_Raw!$E:$E,Input_Raw!$BM:$BM),"")</f>
        <v/>
      </c>
      <c r="N328" s="242" t="str">
        <f>IFERROR(_xlfn.XLOOKUP($A328,Input_Raw!$E:$E,Input_Raw!$BN:$BN),"")</f>
        <v/>
      </c>
      <c r="O328" s="311" t="str">
        <f t="shared" si="31"/>
        <v/>
      </c>
      <c r="P328" s="311" t="str">
        <f>IFERROR(1-SUMIF(WTG_BD!$F:$F,$A328,WTG_BD!$AA:$AA)/($AA328+SUMIF(WTG_BD!$F:$F,$A328,WTG_BD!$AA:$AA)),"")</f>
        <v/>
      </c>
      <c r="Q328" s="328" t="str">
        <f>IFERROR(1-SUMIF(IGA_BD!$F:$F,$A328,IGA_BD!$W:$W)/($AA328+SUMIF(IGA_BD!$F:$F,$A328,IGA_BD!$W:$W)),"")</f>
        <v/>
      </c>
      <c r="R328" s="47" t="str">
        <f>IFERROR(1-SUMIF(Grid_BD!$F:$F,$A328,Grid_BD!$Y:$Y)/($AA328+SUMIF(Grid_BD!$F:$F,$A328,Grid_BD!$Y:$Y)),"")</f>
        <v/>
      </c>
      <c r="S328" s="10"/>
      <c r="T328" s="310"/>
      <c r="U328" s="311"/>
      <c r="V328" s="10"/>
      <c r="W328" s="312" t="str">
        <f t="shared" si="32"/>
        <v/>
      </c>
      <c r="X328" s="10" t="str">
        <f>IFERROR(_xlfn.XLOOKUP($A328,Input_Raw!$E:$E,Input_Raw!BG:BG),"")</f>
        <v/>
      </c>
      <c r="Y328" s="10" t="str">
        <f>IFERROR(_xlfn.XLOOKUP($A328,Input_Raw!$E:$E,Input_Raw!DF:DF),"")</f>
        <v/>
      </c>
      <c r="Z328" s="319" t="str">
        <f>IFERROR(_xlfn.XLOOKUP(A328,Input_Raw!E:E,Input_Raw!CT:CT)/_xlfn.XLOOKUP(A328,Input_Raw!E:E,Input_Raw!CS:CS)*Table13[[#This Row],[Mtr_Export (kWh)]],"")</f>
        <v/>
      </c>
      <c r="AA328" s="43" t="str">
        <f t="shared" si="33"/>
        <v/>
      </c>
      <c r="AB328" s="10" t="str">
        <f>IFERROR(_xlfn.XLOOKUP($A328,Input_Raw!$E:$E,Input_Raw!$CZ:$CZ),"")</f>
        <v/>
      </c>
      <c r="AC328" s="313">
        <f>IFERROR(_xlfn.XLOOKUP($D328,'Modelling New'!$D:$D,'Modelling New'!$J:$J),"")</f>
        <v>6.4041034581308942</v>
      </c>
      <c r="AD328" s="43">
        <f>IFERROR(_xlfn.XLOOKUP($D328,'Modelling New'!$D:$D,'Modelling New'!$T:$T)*1000,"")</f>
        <v>357078.92857142852</v>
      </c>
      <c r="AE328" s="312"/>
      <c r="AF328" s="312">
        <f>IFERROR(_xlfn.XLOOKUP($D328,'Modelling New'!$D:$D,'Modelling New'!$W:$W),"")</f>
        <v>0.29403732589873899</v>
      </c>
      <c r="AG328" s="312">
        <f>IFERROR(_xlfn.XLOOKUP($D328,'Modelling New'!$D:$D,'Modelling New'!$AE:$AE),"")</f>
        <v>0.95549849999999992</v>
      </c>
      <c r="AH328" s="312">
        <f>IFERROR(_xlfn.XLOOKUP($D328,'Modelling New'!$D:$D,'Modelling New'!$AF:$AF),"")</f>
        <v>0.995</v>
      </c>
      <c r="AI328" s="10" t="str">
        <f>IFERROR(_xlfn.XLOOKUP($A328,Input_Raw!$E:$E,Input_Raw!$DG:$DG),"")</f>
        <v/>
      </c>
      <c r="AJ328" s="10"/>
      <c r="AK328" s="10"/>
      <c r="AL328" s="10"/>
      <c r="AM328" s="10"/>
      <c r="AN328" s="314" t="str">
        <f>IFERROR(_xlfn.XLOOKUP($A328,Input_Raw!$E:$E,Input_Raw!$CY:$CY),"")</f>
        <v/>
      </c>
      <c r="AO328" s="312" t="str">
        <f>IFERROR((_xlfn.XLOOKUP($A328,'WTG Reactive Power'!$A:$A,'WTG Reactive Power'!AB:AB))/X328,"")</f>
        <v/>
      </c>
      <c r="AP328" s="312">
        <f>IFERROR(_xlfn.XLOOKUP($D328,'Modelling New'!$D:$D,'Modelling New'!AK:AK),"")</f>
        <v>0.05</v>
      </c>
      <c r="AQ328" s="312">
        <f>IFERROR(_xlfn.XLOOKUP($D328,'Modelling New'!$D:$D,'Modelling New'!AL:AL),"")</f>
        <v>0.05</v>
      </c>
      <c r="AR328" s="325">
        <f>IFERROR(_xlfn.XLOOKUP($D328,'Modelling New'!$D:$D,'Modelling New'!$N:$N),"")</f>
        <v>50.59999999999998</v>
      </c>
      <c r="AS328" s="325"/>
    </row>
    <row r="329" spans="1:45">
      <c r="A329" s="32">
        <f t="shared" ref="A329:A392" si="34">A328+1</f>
        <v>46072</v>
      </c>
      <c r="B329" s="43">
        <f>YEAR(Table13[[#This Row],[Date]])+IF(MONTH(Table13[[#This Row],[Date]])&gt;=4,1,0)</f>
        <v>2026</v>
      </c>
      <c r="C329" s="10">
        <f>YEAR(Table13[[#This Row],[Date]])</f>
        <v>2026</v>
      </c>
      <c r="D329" s="309">
        <f>Table13[[#This Row],[Date]]-DAY(Table13[[#This Row],[Date]])+1</f>
        <v>46054</v>
      </c>
      <c r="E329" s="10">
        <f t="shared" si="30"/>
        <v>28</v>
      </c>
      <c r="F329" s="241" t="str">
        <f>IFERROR(_xlfn.XLOOKUP($A329,Input_Raw!$E:$E,Input_Raw!DC:DC),"")</f>
        <v/>
      </c>
      <c r="G329" s="242"/>
      <c r="H329" s="242"/>
      <c r="I329" s="242"/>
      <c r="J329" s="242"/>
      <c r="K329" s="243"/>
      <c r="L329" s="242"/>
      <c r="M329" s="242" t="str">
        <f>IFERROR(_xlfn.XLOOKUP($A329,Input_Raw!$E:$E,Input_Raw!$BM:$BM),"")</f>
        <v/>
      </c>
      <c r="N329" s="242" t="str">
        <f>IFERROR(_xlfn.XLOOKUP($A329,Input_Raw!$E:$E,Input_Raw!$BN:$BN),"")</f>
        <v/>
      </c>
      <c r="O329" s="311" t="str">
        <f t="shared" si="31"/>
        <v/>
      </c>
      <c r="P329" s="311" t="str">
        <f>IFERROR(1-SUMIF(WTG_BD!$F:$F,$A329,WTG_BD!$AA:$AA)/($AA329+SUMIF(WTG_BD!$F:$F,$A329,WTG_BD!$AA:$AA)),"")</f>
        <v/>
      </c>
      <c r="Q329" s="328" t="str">
        <f>IFERROR(1-SUMIF(IGA_BD!$F:$F,$A329,IGA_BD!$W:$W)/($AA329+SUMIF(IGA_BD!$F:$F,$A329,IGA_BD!$W:$W)),"")</f>
        <v/>
      </c>
      <c r="R329" s="311" t="str">
        <f>IFERROR(1-SUMIF(Grid_BD!$F:$F,$A329,Grid_BD!$Y:$Y)/($AA329+SUMIF(Grid_BD!$F:$F,$A329,Grid_BD!$Y:$Y)),"")</f>
        <v/>
      </c>
      <c r="S329" s="10"/>
      <c r="T329" s="310"/>
      <c r="U329" s="311"/>
      <c r="V329" s="10"/>
      <c r="W329" s="312" t="str">
        <f t="shared" si="32"/>
        <v/>
      </c>
      <c r="X329" s="10" t="str">
        <f>IFERROR(_xlfn.XLOOKUP($A329,Input_Raw!$E:$E,Input_Raw!BG:BG),"")</f>
        <v/>
      </c>
      <c r="Y329" s="10" t="str">
        <f>IFERROR(_xlfn.XLOOKUP($A329,Input_Raw!$E:$E,Input_Raw!DF:DF),"")</f>
        <v/>
      </c>
      <c r="Z329" s="319" t="str">
        <f>IFERROR(_xlfn.XLOOKUP(A329,Input_Raw!E:E,Input_Raw!CT:CT)/_xlfn.XLOOKUP(A329,Input_Raw!E:E,Input_Raw!CS:CS)*Table13[[#This Row],[Mtr_Export (kWh)]],"")</f>
        <v/>
      </c>
      <c r="AA329" s="43" t="str">
        <f t="shared" si="33"/>
        <v/>
      </c>
      <c r="AB329" s="10" t="str">
        <f>IFERROR(_xlfn.XLOOKUP($A329,Input_Raw!$E:$E,Input_Raw!$CZ:$CZ),"")</f>
        <v/>
      </c>
      <c r="AC329" s="313">
        <f>IFERROR(_xlfn.XLOOKUP($D329,'Modelling New'!$D:$D,'Modelling New'!$J:$J),"")</f>
        <v>6.4041034581308942</v>
      </c>
      <c r="AD329" s="43">
        <f>IFERROR(_xlfn.XLOOKUP($D329,'Modelling New'!$D:$D,'Modelling New'!$T:$T)*1000,"")</f>
        <v>357078.92857142852</v>
      </c>
      <c r="AE329" s="312"/>
      <c r="AF329" s="312">
        <f>IFERROR(_xlfn.XLOOKUP($D329,'Modelling New'!$D:$D,'Modelling New'!$W:$W),"")</f>
        <v>0.29403732589873899</v>
      </c>
      <c r="AG329" s="312">
        <f>IFERROR(_xlfn.XLOOKUP($D329,'Modelling New'!$D:$D,'Modelling New'!$AE:$AE),"")</f>
        <v>0.95549849999999992</v>
      </c>
      <c r="AH329" s="312">
        <f>IFERROR(_xlfn.XLOOKUP($D329,'Modelling New'!$D:$D,'Modelling New'!$AF:$AF),"")</f>
        <v>0.995</v>
      </c>
      <c r="AI329" s="10" t="str">
        <f>IFERROR(_xlfn.XLOOKUP($A329,Input_Raw!$E:$E,Input_Raw!$DG:$DG),"")</f>
        <v/>
      </c>
      <c r="AJ329" s="10"/>
      <c r="AK329" s="10"/>
      <c r="AL329" s="10"/>
      <c r="AM329" s="10"/>
      <c r="AN329" s="314" t="str">
        <f>IFERROR(_xlfn.XLOOKUP($A329,Input_Raw!$E:$E,Input_Raw!$CY:$CY),"")</f>
        <v/>
      </c>
      <c r="AO329" s="312" t="str">
        <f>IFERROR((_xlfn.XLOOKUP($A329,'WTG Reactive Power'!$A:$A,'WTG Reactive Power'!AB:AB))/X329,"")</f>
        <v/>
      </c>
      <c r="AP329" s="312">
        <f>IFERROR(_xlfn.XLOOKUP($D329,'Modelling New'!$D:$D,'Modelling New'!AK:AK),"")</f>
        <v>0.05</v>
      </c>
      <c r="AQ329" s="312">
        <f>IFERROR(_xlfn.XLOOKUP($D329,'Modelling New'!$D:$D,'Modelling New'!AL:AL),"")</f>
        <v>0.05</v>
      </c>
      <c r="AR329" s="325">
        <f>IFERROR(_xlfn.XLOOKUP($D329,'Modelling New'!$D:$D,'Modelling New'!$N:$N),"")</f>
        <v>50.59999999999998</v>
      </c>
      <c r="AS329" s="325"/>
    </row>
    <row r="330" spans="1:45">
      <c r="A330" s="32">
        <f t="shared" si="34"/>
        <v>46073</v>
      </c>
      <c r="B330" s="43">
        <f>YEAR(Table13[[#This Row],[Date]])+IF(MONTH(Table13[[#This Row],[Date]])&gt;=4,1,0)</f>
        <v>2026</v>
      </c>
      <c r="C330" s="10">
        <f>YEAR(Table13[[#This Row],[Date]])</f>
        <v>2026</v>
      </c>
      <c r="D330" s="309">
        <f>Table13[[#This Row],[Date]]-DAY(Table13[[#This Row],[Date]])+1</f>
        <v>46054</v>
      </c>
      <c r="E330" s="10">
        <f t="shared" si="30"/>
        <v>28</v>
      </c>
      <c r="F330" s="241" t="str">
        <f>IFERROR(_xlfn.XLOOKUP($A330,Input_Raw!$E:$E,Input_Raw!DC:DC),"")</f>
        <v/>
      </c>
      <c r="G330" s="313"/>
      <c r="H330" s="313"/>
      <c r="I330" s="313"/>
      <c r="J330" s="313"/>
      <c r="K330" s="243"/>
      <c r="L330" s="242"/>
      <c r="M330" s="242" t="str">
        <f>IFERROR(_xlfn.XLOOKUP($A330,Input_Raw!$E:$E,Input_Raw!$BM:$BM),"")</f>
        <v/>
      </c>
      <c r="N330" s="242" t="str">
        <f>IFERROR(_xlfn.XLOOKUP($A330,Input_Raw!$E:$E,Input_Raw!$BN:$BN),"")</f>
        <v/>
      </c>
      <c r="O330" s="311" t="str">
        <f t="shared" si="31"/>
        <v/>
      </c>
      <c r="P330" s="311" t="str">
        <f>IFERROR(1-SUMIF(WTG_BD!$F:$F,$A330,WTG_BD!$AA:$AA)/($AA330+SUMIF(WTG_BD!$F:$F,$A330,WTG_BD!$AA:$AA)),"")</f>
        <v/>
      </c>
      <c r="Q330" s="328" t="str">
        <f>IFERROR(1-SUMIF(IGA_BD!$F:$F,$A330,IGA_BD!$W:$W)/($AA330+SUMIF(IGA_BD!$F:$F,$A330,IGA_BD!$W:$W)),"")</f>
        <v/>
      </c>
      <c r="R330" s="47" t="str">
        <f>IFERROR(1-SUMIF(Grid_BD!$F:$F,$A330,Grid_BD!$Y:$Y)/($AA330+SUMIF(Grid_BD!$F:$F,$A330,Grid_BD!$Y:$Y)),"")</f>
        <v/>
      </c>
      <c r="S330" s="10"/>
      <c r="T330" s="310"/>
      <c r="U330" s="311"/>
      <c r="V330" s="10"/>
      <c r="W330" s="312" t="str">
        <f t="shared" si="32"/>
        <v/>
      </c>
      <c r="X330" s="10" t="str">
        <f>IFERROR(_xlfn.XLOOKUP($A330,Input_Raw!$E:$E,Input_Raw!BG:BG),"")</f>
        <v/>
      </c>
      <c r="Y330" s="10" t="str">
        <f>IFERROR(_xlfn.XLOOKUP($A330,Input_Raw!$E:$E,Input_Raw!DF:DF),"")</f>
        <v/>
      </c>
      <c r="Z330" s="319" t="str">
        <f>IFERROR(_xlfn.XLOOKUP(A330,Input_Raw!E:E,Input_Raw!CT:CT)/_xlfn.XLOOKUP(A330,Input_Raw!E:E,Input_Raw!CS:CS)*Table13[[#This Row],[Mtr_Export (kWh)]],"")</f>
        <v/>
      </c>
      <c r="AA330" s="43" t="str">
        <f t="shared" si="33"/>
        <v/>
      </c>
      <c r="AB330" s="10" t="str">
        <f>IFERROR(_xlfn.XLOOKUP($A330,Input_Raw!$E:$E,Input_Raw!$CZ:$CZ),"")</f>
        <v/>
      </c>
      <c r="AC330" s="313">
        <f>IFERROR(_xlfn.XLOOKUP($D330,'Modelling New'!$D:$D,'Modelling New'!$J:$J),"")</f>
        <v>6.4041034581308942</v>
      </c>
      <c r="AD330" s="43">
        <f>IFERROR(_xlfn.XLOOKUP($D330,'Modelling New'!$D:$D,'Modelling New'!$T:$T)*1000,"")</f>
        <v>357078.92857142852</v>
      </c>
      <c r="AE330" s="312"/>
      <c r="AF330" s="312">
        <f>IFERROR(_xlfn.XLOOKUP($D330,'Modelling New'!$D:$D,'Modelling New'!$W:$W),"")</f>
        <v>0.29403732589873899</v>
      </c>
      <c r="AG330" s="312">
        <f>IFERROR(_xlfn.XLOOKUP($D330,'Modelling New'!$D:$D,'Modelling New'!$AE:$AE),"")</f>
        <v>0.95549849999999992</v>
      </c>
      <c r="AH330" s="312">
        <f>IFERROR(_xlfn.XLOOKUP($D330,'Modelling New'!$D:$D,'Modelling New'!$AF:$AF),"")</f>
        <v>0.995</v>
      </c>
      <c r="AI330" s="10" t="str">
        <f>IFERROR(_xlfn.XLOOKUP($A330,Input_Raw!$E:$E,Input_Raw!$DG:$DG),"")</f>
        <v/>
      </c>
      <c r="AJ330" s="10"/>
      <c r="AK330" s="10"/>
      <c r="AL330" s="10"/>
      <c r="AM330" s="10"/>
      <c r="AN330" s="314" t="str">
        <f>IFERROR(_xlfn.XLOOKUP($A330,Input_Raw!$E:$E,Input_Raw!$CY:$CY),"")</f>
        <v/>
      </c>
      <c r="AO330" s="312" t="str">
        <f>IFERROR((_xlfn.XLOOKUP($A330,'WTG Reactive Power'!$A:$A,'WTG Reactive Power'!AB:AB))/X330,"")</f>
        <v/>
      </c>
      <c r="AP330" s="312">
        <f>IFERROR(_xlfn.XLOOKUP($D330,'Modelling New'!$D:$D,'Modelling New'!AK:AK),"")</f>
        <v>0.05</v>
      </c>
      <c r="AQ330" s="312">
        <f>IFERROR(_xlfn.XLOOKUP($D330,'Modelling New'!$D:$D,'Modelling New'!AL:AL),"")</f>
        <v>0.05</v>
      </c>
      <c r="AR330" s="325">
        <f>IFERROR(_xlfn.XLOOKUP($D330,'Modelling New'!$D:$D,'Modelling New'!$N:$N),"")</f>
        <v>50.59999999999998</v>
      </c>
      <c r="AS330" s="325"/>
    </row>
    <row r="331" spans="1:45">
      <c r="A331" s="32">
        <f t="shared" si="34"/>
        <v>46074</v>
      </c>
      <c r="B331" s="43">
        <f>YEAR(Table13[[#This Row],[Date]])+IF(MONTH(Table13[[#This Row],[Date]])&gt;=4,1,0)</f>
        <v>2026</v>
      </c>
      <c r="C331" s="10">
        <f>YEAR(Table13[[#This Row],[Date]])</f>
        <v>2026</v>
      </c>
      <c r="D331" s="309">
        <f>Table13[[#This Row],[Date]]-DAY(Table13[[#This Row],[Date]])+1</f>
        <v>46054</v>
      </c>
      <c r="E331" s="10">
        <f t="shared" si="30"/>
        <v>28</v>
      </c>
      <c r="F331" s="241" t="str">
        <f>IFERROR(_xlfn.XLOOKUP($A331,Input_Raw!$E:$E,Input_Raw!DC:DC),"")</f>
        <v/>
      </c>
      <c r="G331" s="242"/>
      <c r="H331" s="242"/>
      <c r="I331" s="242"/>
      <c r="J331" s="242"/>
      <c r="K331" s="243"/>
      <c r="L331" s="242"/>
      <c r="M331" s="242" t="str">
        <f>IFERROR(_xlfn.XLOOKUP($A331,Input_Raw!$E:$E,Input_Raw!$BM:$BM),"")</f>
        <v/>
      </c>
      <c r="N331" s="242" t="str">
        <f>IFERROR(_xlfn.XLOOKUP($A331,Input_Raw!$E:$E,Input_Raw!$BN:$BN),"")</f>
        <v/>
      </c>
      <c r="O331" s="311" t="str">
        <f t="shared" si="31"/>
        <v/>
      </c>
      <c r="P331" s="311" t="str">
        <f>IFERROR(1-SUMIF(WTG_BD!$F:$F,$A331,WTG_BD!$AA:$AA)/($AA331+SUMIF(WTG_BD!$F:$F,$A331,WTG_BD!$AA:$AA)),"")</f>
        <v/>
      </c>
      <c r="Q331" s="328" t="str">
        <f>IFERROR(1-SUMIF(IGA_BD!$F:$F,$A331,IGA_BD!$W:$W)/($AA331+SUMIF(IGA_BD!$F:$F,$A331,IGA_BD!$W:$W)),"")</f>
        <v/>
      </c>
      <c r="R331" s="311" t="str">
        <f>IFERROR(1-SUMIF(Grid_BD!$F:$F,$A331,Grid_BD!$Y:$Y)/($AA331+SUMIF(Grid_BD!$F:$F,$A331,Grid_BD!$Y:$Y)),"")</f>
        <v/>
      </c>
      <c r="S331" s="10"/>
      <c r="T331" s="310"/>
      <c r="U331" s="311"/>
      <c r="V331" s="10"/>
      <c r="W331" s="312" t="str">
        <f t="shared" si="32"/>
        <v/>
      </c>
      <c r="X331" s="10" t="str">
        <f>IFERROR(_xlfn.XLOOKUP($A331,Input_Raw!$E:$E,Input_Raw!BG:BG),"")</f>
        <v/>
      </c>
      <c r="Y331" s="10" t="str">
        <f>IFERROR(_xlfn.XLOOKUP($A331,Input_Raw!$E:$E,Input_Raw!DF:DF),"")</f>
        <v/>
      </c>
      <c r="Z331" s="319" t="str">
        <f>IFERROR(_xlfn.XLOOKUP(A331,Input_Raw!E:E,Input_Raw!CT:CT)/_xlfn.XLOOKUP(A331,Input_Raw!E:E,Input_Raw!CS:CS)*Table13[[#This Row],[Mtr_Export (kWh)]],"")</f>
        <v/>
      </c>
      <c r="AA331" s="43" t="str">
        <f t="shared" si="33"/>
        <v/>
      </c>
      <c r="AB331" s="10" t="str">
        <f>IFERROR(_xlfn.XLOOKUP($A331,Input_Raw!$E:$E,Input_Raw!$CZ:$CZ),"")</f>
        <v/>
      </c>
      <c r="AC331" s="313">
        <f>IFERROR(_xlfn.XLOOKUP($D331,'Modelling New'!$D:$D,'Modelling New'!$J:$J),"")</f>
        <v>6.4041034581308942</v>
      </c>
      <c r="AD331" s="43">
        <f>IFERROR(_xlfn.XLOOKUP($D331,'Modelling New'!$D:$D,'Modelling New'!$T:$T)*1000,"")</f>
        <v>357078.92857142852</v>
      </c>
      <c r="AE331" s="312"/>
      <c r="AF331" s="312">
        <f>IFERROR(_xlfn.XLOOKUP($D331,'Modelling New'!$D:$D,'Modelling New'!$W:$W),"")</f>
        <v>0.29403732589873899</v>
      </c>
      <c r="AG331" s="312">
        <f>IFERROR(_xlfn.XLOOKUP($D331,'Modelling New'!$D:$D,'Modelling New'!$AE:$AE),"")</f>
        <v>0.95549849999999992</v>
      </c>
      <c r="AH331" s="312">
        <f>IFERROR(_xlfn.XLOOKUP($D331,'Modelling New'!$D:$D,'Modelling New'!$AF:$AF),"")</f>
        <v>0.995</v>
      </c>
      <c r="AI331" s="10" t="str">
        <f>IFERROR(_xlfn.XLOOKUP($A331,Input_Raw!$E:$E,Input_Raw!$DG:$DG),"")</f>
        <v/>
      </c>
      <c r="AJ331" s="10"/>
      <c r="AK331" s="10"/>
      <c r="AL331" s="10"/>
      <c r="AM331" s="10"/>
      <c r="AN331" s="314" t="str">
        <f>IFERROR(_xlfn.XLOOKUP($A331,Input_Raw!$E:$E,Input_Raw!$CY:$CY),"")</f>
        <v/>
      </c>
      <c r="AO331" s="312" t="str">
        <f>IFERROR((_xlfn.XLOOKUP($A331,'WTG Reactive Power'!$A:$A,'WTG Reactive Power'!AB:AB))/X331,"")</f>
        <v/>
      </c>
      <c r="AP331" s="312">
        <f>IFERROR(_xlfn.XLOOKUP($D331,'Modelling New'!$D:$D,'Modelling New'!AK:AK),"")</f>
        <v>0.05</v>
      </c>
      <c r="AQ331" s="312">
        <f>IFERROR(_xlfn.XLOOKUP($D331,'Modelling New'!$D:$D,'Modelling New'!AL:AL),"")</f>
        <v>0.05</v>
      </c>
      <c r="AR331" s="325">
        <f>IFERROR(_xlfn.XLOOKUP($D331,'Modelling New'!$D:$D,'Modelling New'!$N:$N),"")</f>
        <v>50.59999999999998</v>
      </c>
      <c r="AS331" s="325"/>
    </row>
    <row r="332" spans="1:45">
      <c r="A332" s="32">
        <f t="shared" si="34"/>
        <v>46075</v>
      </c>
      <c r="B332" s="43">
        <f>YEAR(Table13[[#This Row],[Date]])+IF(MONTH(Table13[[#This Row],[Date]])&gt;=4,1,0)</f>
        <v>2026</v>
      </c>
      <c r="C332" s="10">
        <f>YEAR(Table13[[#This Row],[Date]])</f>
        <v>2026</v>
      </c>
      <c r="D332" s="309">
        <f>Table13[[#This Row],[Date]]-DAY(Table13[[#This Row],[Date]])+1</f>
        <v>46054</v>
      </c>
      <c r="E332" s="10">
        <f t="shared" si="30"/>
        <v>28</v>
      </c>
      <c r="F332" s="241" t="str">
        <f>IFERROR(_xlfn.XLOOKUP($A332,Input_Raw!$E:$E,Input_Raw!DC:DC),"")</f>
        <v/>
      </c>
      <c r="G332" s="313"/>
      <c r="H332" s="313"/>
      <c r="I332" s="313"/>
      <c r="J332" s="313"/>
      <c r="K332" s="243"/>
      <c r="L332" s="242"/>
      <c r="M332" s="242" t="str">
        <f>IFERROR(_xlfn.XLOOKUP($A332,Input_Raw!$E:$E,Input_Raw!$BM:$BM),"")</f>
        <v/>
      </c>
      <c r="N332" s="242" t="str">
        <f>IFERROR(_xlfn.XLOOKUP($A332,Input_Raw!$E:$E,Input_Raw!$BN:$BN),"")</f>
        <v/>
      </c>
      <c r="O332" s="311" t="str">
        <f t="shared" si="31"/>
        <v/>
      </c>
      <c r="P332" s="311" t="str">
        <f>IFERROR(1-SUMIF(WTG_BD!$F:$F,$A332,WTG_BD!$AA:$AA)/($AA332+SUMIF(WTG_BD!$F:$F,$A332,WTG_BD!$AA:$AA)),"")</f>
        <v/>
      </c>
      <c r="Q332" s="328" t="str">
        <f>IFERROR(1-SUMIF(IGA_BD!$F:$F,$A332,IGA_BD!$W:$W)/($AA332+SUMIF(IGA_BD!$F:$F,$A332,IGA_BD!$W:$W)),"")</f>
        <v/>
      </c>
      <c r="R332" s="47" t="str">
        <f>IFERROR(1-SUMIF(Grid_BD!$F:$F,$A332,Grid_BD!$Y:$Y)/($AA332+SUMIF(Grid_BD!$F:$F,$A332,Grid_BD!$Y:$Y)),"")</f>
        <v/>
      </c>
      <c r="S332" s="10"/>
      <c r="T332" s="310"/>
      <c r="U332" s="311"/>
      <c r="V332" s="10"/>
      <c r="W332" s="312" t="str">
        <f t="shared" si="32"/>
        <v/>
      </c>
      <c r="X332" s="10" t="str">
        <f>IFERROR(_xlfn.XLOOKUP($A332,Input_Raw!$E:$E,Input_Raw!BG:BG),"")</f>
        <v/>
      </c>
      <c r="Y332" s="10" t="str">
        <f>IFERROR(_xlfn.XLOOKUP($A332,Input_Raw!$E:$E,Input_Raw!DF:DF),"")</f>
        <v/>
      </c>
      <c r="Z332" s="319" t="str">
        <f>IFERROR(_xlfn.XLOOKUP(A332,Input_Raw!E:E,Input_Raw!CT:CT)/_xlfn.XLOOKUP(A332,Input_Raw!E:E,Input_Raw!CS:CS)*Table13[[#This Row],[Mtr_Export (kWh)]],"")</f>
        <v/>
      </c>
      <c r="AA332" s="43" t="str">
        <f t="shared" si="33"/>
        <v/>
      </c>
      <c r="AB332" s="10" t="str">
        <f>IFERROR(_xlfn.XLOOKUP($A332,Input_Raw!$E:$E,Input_Raw!$CZ:$CZ),"")</f>
        <v/>
      </c>
      <c r="AC332" s="313">
        <f>IFERROR(_xlfn.XLOOKUP($D332,'Modelling New'!$D:$D,'Modelling New'!$J:$J),"")</f>
        <v>6.4041034581308942</v>
      </c>
      <c r="AD332" s="43">
        <f>IFERROR(_xlfn.XLOOKUP($D332,'Modelling New'!$D:$D,'Modelling New'!$T:$T)*1000,"")</f>
        <v>357078.92857142852</v>
      </c>
      <c r="AE332" s="312"/>
      <c r="AF332" s="312">
        <f>IFERROR(_xlfn.XLOOKUP($D332,'Modelling New'!$D:$D,'Modelling New'!$W:$W),"")</f>
        <v>0.29403732589873899</v>
      </c>
      <c r="AG332" s="312">
        <f>IFERROR(_xlfn.XLOOKUP($D332,'Modelling New'!$D:$D,'Modelling New'!$AE:$AE),"")</f>
        <v>0.95549849999999992</v>
      </c>
      <c r="AH332" s="312">
        <f>IFERROR(_xlfn.XLOOKUP($D332,'Modelling New'!$D:$D,'Modelling New'!$AF:$AF),"")</f>
        <v>0.995</v>
      </c>
      <c r="AI332" s="10" t="str">
        <f>IFERROR(_xlfn.XLOOKUP($A332,Input_Raw!$E:$E,Input_Raw!$DG:$DG),"")</f>
        <v/>
      </c>
      <c r="AJ332" s="10"/>
      <c r="AK332" s="10"/>
      <c r="AL332" s="10"/>
      <c r="AM332" s="10"/>
      <c r="AN332" s="314" t="str">
        <f>IFERROR(_xlfn.XLOOKUP($A332,Input_Raw!$E:$E,Input_Raw!$CY:$CY),"")</f>
        <v/>
      </c>
      <c r="AO332" s="312" t="str">
        <f>IFERROR((_xlfn.XLOOKUP($A332,'WTG Reactive Power'!$A:$A,'WTG Reactive Power'!AB:AB))/X332,"")</f>
        <v/>
      </c>
      <c r="AP332" s="312">
        <f>IFERROR(_xlfn.XLOOKUP($D332,'Modelling New'!$D:$D,'Modelling New'!AK:AK),"")</f>
        <v>0.05</v>
      </c>
      <c r="AQ332" s="312">
        <f>IFERROR(_xlfn.XLOOKUP($D332,'Modelling New'!$D:$D,'Modelling New'!AL:AL),"")</f>
        <v>0.05</v>
      </c>
      <c r="AR332" s="325">
        <f>IFERROR(_xlfn.XLOOKUP($D332,'Modelling New'!$D:$D,'Modelling New'!$N:$N),"")</f>
        <v>50.59999999999998</v>
      </c>
      <c r="AS332" s="325"/>
    </row>
    <row r="333" spans="1:45">
      <c r="A333" s="32">
        <f t="shared" si="34"/>
        <v>46076</v>
      </c>
      <c r="B333" s="43">
        <f>YEAR(Table13[[#This Row],[Date]])+IF(MONTH(Table13[[#This Row],[Date]])&gt;=4,1,0)</f>
        <v>2026</v>
      </c>
      <c r="C333" s="10">
        <f>YEAR(Table13[[#This Row],[Date]])</f>
        <v>2026</v>
      </c>
      <c r="D333" s="309">
        <f>Table13[[#This Row],[Date]]-DAY(Table13[[#This Row],[Date]])+1</f>
        <v>46054</v>
      </c>
      <c r="E333" s="10">
        <f t="shared" si="30"/>
        <v>28</v>
      </c>
      <c r="F333" s="241" t="str">
        <f>IFERROR(_xlfn.XLOOKUP($A333,Input_Raw!$E:$E,Input_Raw!DC:DC),"")</f>
        <v/>
      </c>
      <c r="G333" s="242"/>
      <c r="H333" s="242"/>
      <c r="I333" s="242"/>
      <c r="J333" s="242"/>
      <c r="K333" s="243"/>
      <c r="L333" s="242"/>
      <c r="M333" s="242" t="str">
        <f>IFERROR(_xlfn.XLOOKUP($A333,Input_Raw!$E:$E,Input_Raw!$BM:$BM),"")</f>
        <v/>
      </c>
      <c r="N333" s="242" t="str">
        <f>IFERROR(_xlfn.XLOOKUP($A333,Input_Raw!$E:$E,Input_Raw!$BN:$BN),"")</f>
        <v/>
      </c>
      <c r="O333" s="311" t="str">
        <f t="shared" si="31"/>
        <v/>
      </c>
      <c r="P333" s="311" t="str">
        <f>IFERROR(1-SUMIF(WTG_BD!$F:$F,$A333,WTG_BD!$AA:$AA)/($AA333+SUMIF(WTG_BD!$F:$F,$A333,WTG_BD!$AA:$AA)),"")</f>
        <v/>
      </c>
      <c r="Q333" s="328" t="str">
        <f>IFERROR(1-SUMIF(IGA_BD!$F:$F,$A333,IGA_BD!$W:$W)/($AA333+SUMIF(IGA_BD!$F:$F,$A333,IGA_BD!$W:$W)),"")</f>
        <v/>
      </c>
      <c r="R333" s="311" t="str">
        <f>IFERROR(1-SUMIF(Grid_BD!$F:$F,$A333,Grid_BD!$Y:$Y)/($AA333+SUMIF(Grid_BD!$F:$F,$A333,Grid_BD!$Y:$Y)),"")</f>
        <v/>
      </c>
      <c r="S333" s="10"/>
      <c r="T333" s="310"/>
      <c r="U333" s="311"/>
      <c r="V333" s="10"/>
      <c r="W333" s="312" t="str">
        <f t="shared" si="32"/>
        <v/>
      </c>
      <c r="X333" s="10" t="str">
        <f>IFERROR(_xlfn.XLOOKUP($A333,Input_Raw!$E:$E,Input_Raw!BG:BG),"")</f>
        <v/>
      </c>
      <c r="Y333" s="10" t="str">
        <f>IFERROR(_xlfn.XLOOKUP($A333,Input_Raw!$E:$E,Input_Raw!DF:DF),"")</f>
        <v/>
      </c>
      <c r="Z333" s="319" t="str">
        <f>IFERROR(_xlfn.XLOOKUP(A333,Input_Raw!E:E,Input_Raw!CT:CT)/_xlfn.XLOOKUP(A333,Input_Raw!E:E,Input_Raw!CS:CS)*Table13[[#This Row],[Mtr_Export (kWh)]],"")</f>
        <v/>
      </c>
      <c r="AA333" s="43" t="str">
        <f t="shared" si="33"/>
        <v/>
      </c>
      <c r="AB333" s="10" t="str">
        <f>IFERROR(_xlfn.XLOOKUP($A333,Input_Raw!$E:$E,Input_Raw!$CZ:$CZ),"")</f>
        <v/>
      </c>
      <c r="AC333" s="313">
        <f>IFERROR(_xlfn.XLOOKUP($D333,'Modelling New'!$D:$D,'Modelling New'!$J:$J),"")</f>
        <v>6.4041034581308942</v>
      </c>
      <c r="AD333" s="43">
        <f>IFERROR(_xlfn.XLOOKUP($D333,'Modelling New'!$D:$D,'Modelling New'!$T:$T)*1000,"")</f>
        <v>357078.92857142852</v>
      </c>
      <c r="AE333" s="312"/>
      <c r="AF333" s="312">
        <f>IFERROR(_xlfn.XLOOKUP($D333,'Modelling New'!$D:$D,'Modelling New'!$W:$W),"")</f>
        <v>0.29403732589873899</v>
      </c>
      <c r="AG333" s="312">
        <f>IFERROR(_xlfn.XLOOKUP($D333,'Modelling New'!$D:$D,'Modelling New'!$AE:$AE),"")</f>
        <v>0.95549849999999992</v>
      </c>
      <c r="AH333" s="312">
        <f>IFERROR(_xlfn.XLOOKUP($D333,'Modelling New'!$D:$D,'Modelling New'!$AF:$AF),"")</f>
        <v>0.995</v>
      </c>
      <c r="AI333" s="10" t="str">
        <f>IFERROR(_xlfn.XLOOKUP($A333,Input_Raw!$E:$E,Input_Raw!$DG:$DG),"")</f>
        <v/>
      </c>
      <c r="AJ333" s="10"/>
      <c r="AK333" s="10"/>
      <c r="AL333" s="10"/>
      <c r="AM333" s="10"/>
      <c r="AN333" s="314" t="str">
        <f>IFERROR(_xlfn.XLOOKUP($A333,Input_Raw!$E:$E,Input_Raw!$CY:$CY),"")</f>
        <v/>
      </c>
      <c r="AO333" s="312" t="str">
        <f>IFERROR((_xlfn.XLOOKUP($A333,'WTG Reactive Power'!$A:$A,'WTG Reactive Power'!AB:AB))/X333,"")</f>
        <v/>
      </c>
      <c r="AP333" s="312">
        <f>IFERROR(_xlfn.XLOOKUP($D333,'Modelling New'!$D:$D,'Modelling New'!AK:AK),"")</f>
        <v>0.05</v>
      </c>
      <c r="AQ333" s="312">
        <f>IFERROR(_xlfn.XLOOKUP($D333,'Modelling New'!$D:$D,'Modelling New'!AL:AL),"")</f>
        <v>0.05</v>
      </c>
      <c r="AR333" s="325">
        <f>IFERROR(_xlfn.XLOOKUP($D333,'Modelling New'!$D:$D,'Modelling New'!$N:$N),"")</f>
        <v>50.59999999999998</v>
      </c>
      <c r="AS333" s="325"/>
    </row>
    <row r="334" spans="1:45">
      <c r="A334" s="32">
        <f t="shared" si="34"/>
        <v>46077</v>
      </c>
      <c r="B334" s="43">
        <f>YEAR(Table13[[#This Row],[Date]])+IF(MONTH(Table13[[#This Row],[Date]])&gt;=4,1,0)</f>
        <v>2026</v>
      </c>
      <c r="C334" s="10">
        <f>YEAR(Table13[[#This Row],[Date]])</f>
        <v>2026</v>
      </c>
      <c r="D334" s="309">
        <f>Table13[[#This Row],[Date]]-DAY(Table13[[#This Row],[Date]])+1</f>
        <v>46054</v>
      </c>
      <c r="E334" s="10">
        <f t="shared" si="30"/>
        <v>28</v>
      </c>
      <c r="F334" s="241" t="str">
        <f>IFERROR(_xlfn.XLOOKUP($A334,Input_Raw!$E:$E,Input_Raw!DC:DC),"")</f>
        <v/>
      </c>
      <c r="G334" s="313"/>
      <c r="H334" s="313"/>
      <c r="I334" s="313"/>
      <c r="J334" s="313"/>
      <c r="K334" s="243"/>
      <c r="L334" s="242"/>
      <c r="M334" s="242" t="str">
        <f>IFERROR(_xlfn.XLOOKUP($A334,Input_Raw!$E:$E,Input_Raw!$BM:$BM),"")</f>
        <v/>
      </c>
      <c r="N334" s="242" t="str">
        <f>IFERROR(_xlfn.XLOOKUP($A334,Input_Raw!$E:$E,Input_Raw!$BN:$BN),"")</f>
        <v/>
      </c>
      <c r="O334" s="311" t="str">
        <f t="shared" si="31"/>
        <v/>
      </c>
      <c r="P334" s="311" t="str">
        <f>IFERROR(1-SUMIF(WTG_BD!$F:$F,$A334,WTG_BD!$AA:$AA)/($AA334+SUMIF(WTG_BD!$F:$F,$A334,WTG_BD!$AA:$AA)),"")</f>
        <v/>
      </c>
      <c r="Q334" s="328" t="str">
        <f>IFERROR(1-SUMIF(IGA_BD!$F:$F,$A334,IGA_BD!$W:$W)/($AA334+SUMIF(IGA_BD!$F:$F,$A334,IGA_BD!$W:$W)),"")</f>
        <v/>
      </c>
      <c r="R334" s="47" t="str">
        <f>IFERROR(1-SUMIF(Grid_BD!$F:$F,$A334,Grid_BD!$Y:$Y)/($AA334+SUMIF(Grid_BD!$F:$F,$A334,Grid_BD!$Y:$Y)),"")</f>
        <v/>
      </c>
      <c r="S334" s="10"/>
      <c r="T334" s="310"/>
      <c r="U334" s="311"/>
      <c r="V334" s="10"/>
      <c r="W334" s="312" t="str">
        <f t="shared" si="32"/>
        <v/>
      </c>
      <c r="X334" s="10" t="str">
        <f>IFERROR(_xlfn.XLOOKUP($A334,Input_Raw!$E:$E,Input_Raw!BG:BG),"")</f>
        <v/>
      </c>
      <c r="Y334" s="10" t="str">
        <f>IFERROR(_xlfn.XLOOKUP($A334,Input_Raw!$E:$E,Input_Raw!DF:DF),"")</f>
        <v/>
      </c>
      <c r="Z334" s="319" t="str">
        <f>IFERROR(_xlfn.XLOOKUP(A334,Input_Raw!E:E,Input_Raw!CT:CT)/_xlfn.XLOOKUP(A334,Input_Raw!E:E,Input_Raw!CS:CS)*Table13[[#This Row],[Mtr_Export (kWh)]],"")</f>
        <v/>
      </c>
      <c r="AA334" s="43" t="str">
        <f t="shared" si="33"/>
        <v/>
      </c>
      <c r="AB334" s="10" t="str">
        <f>IFERROR(_xlfn.XLOOKUP($A334,Input_Raw!$E:$E,Input_Raw!$CZ:$CZ),"")</f>
        <v/>
      </c>
      <c r="AC334" s="313">
        <f>IFERROR(_xlfn.XLOOKUP($D334,'Modelling New'!$D:$D,'Modelling New'!$J:$J),"")</f>
        <v>6.4041034581308942</v>
      </c>
      <c r="AD334" s="43">
        <f>IFERROR(_xlfn.XLOOKUP($D334,'Modelling New'!$D:$D,'Modelling New'!$T:$T)*1000,"")</f>
        <v>357078.92857142852</v>
      </c>
      <c r="AE334" s="312"/>
      <c r="AF334" s="312">
        <f>IFERROR(_xlfn.XLOOKUP($D334,'Modelling New'!$D:$D,'Modelling New'!$W:$W),"")</f>
        <v>0.29403732589873899</v>
      </c>
      <c r="AG334" s="312">
        <f>IFERROR(_xlfn.XLOOKUP($D334,'Modelling New'!$D:$D,'Modelling New'!$AE:$AE),"")</f>
        <v>0.95549849999999992</v>
      </c>
      <c r="AH334" s="312">
        <f>IFERROR(_xlfn.XLOOKUP($D334,'Modelling New'!$D:$D,'Modelling New'!$AF:$AF),"")</f>
        <v>0.995</v>
      </c>
      <c r="AI334" s="10" t="str">
        <f>IFERROR(_xlfn.XLOOKUP($A334,Input_Raw!$E:$E,Input_Raw!$DG:$DG),"")</f>
        <v/>
      </c>
      <c r="AJ334" s="10"/>
      <c r="AK334" s="10"/>
      <c r="AL334" s="10"/>
      <c r="AM334" s="10"/>
      <c r="AN334" s="314" t="str">
        <f>IFERROR(_xlfn.XLOOKUP($A334,Input_Raw!$E:$E,Input_Raw!$CY:$CY),"")</f>
        <v/>
      </c>
      <c r="AO334" s="312" t="str">
        <f>IFERROR((_xlfn.XLOOKUP($A334,'WTG Reactive Power'!$A:$A,'WTG Reactive Power'!AB:AB))/X334,"")</f>
        <v/>
      </c>
      <c r="AP334" s="312">
        <f>IFERROR(_xlfn.XLOOKUP($D334,'Modelling New'!$D:$D,'Modelling New'!AK:AK),"")</f>
        <v>0.05</v>
      </c>
      <c r="AQ334" s="312">
        <f>IFERROR(_xlfn.XLOOKUP($D334,'Modelling New'!$D:$D,'Modelling New'!AL:AL),"")</f>
        <v>0.05</v>
      </c>
      <c r="AR334" s="325">
        <f>IFERROR(_xlfn.XLOOKUP($D334,'Modelling New'!$D:$D,'Modelling New'!$N:$N),"")</f>
        <v>50.59999999999998</v>
      </c>
      <c r="AS334" s="325"/>
    </row>
    <row r="335" spans="1:45">
      <c r="A335" s="32">
        <f t="shared" si="34"/>
        <v>46078</v>
      </c>
      <c r="B335" s="43">
        <f>YEAR(Table13[[#This Row],[Date]])+IF(MONTH(Table13[[#This Row],[Date]])&gt;=4,1,0)</f>
        <v>2026</v>
      </c>
      <c r="C335" s="10">
        <f>YEAR(Table13[[#This Row],[Date]])</f>
        <v>2026</v>
      </c>
      <c r="D335" s="309">
        <f>Table13[[#This Row],[Date]]-DAY(Table13[[#This Row],[Date]])+1</f>
        <v>46054</v>
      </c>
      <c r="E335" s="10">
        <f t="shared" si="30"/>
        <v>28</v>
      </c>
      <c r="F335" s="241" t="str">
        <f>IFERROR(_xlfn.XLOOKUP($A335,Input_Raw!$E:$E,Input_Raw!DC:DC),"")</f>
        <v/>
      </c>
      <c r="G335" s="242"/>
      <c r="H335" s="242"/>
      <c r="I335" s="242"/>
      <c r="J335" s="242"/>
      <c r="K335" s="243"/>
      <c r="L335" s="242"/>
      <c r="M335" s="242" t="str">
        <f>IFERROR(_xlfn.XLOOKUP($A335,Input_Raw!$E:$E,Input_Raw!$BM:$BM),"")</f>
        <v/>
      </c>
      <c r="N335" s="242" t="str">
        <f>IFERROR(_xlfn.XLOOKUP($A335,Input_Raw!$E:$E,Input_Raw!$BN:$BN),"")</f>
        <v/>
      </c>
      <c r="O335" s="311" t="str">
        <f t="shared" si="31"/>
        <v/>
      </c>
      <c r="P335" s="311" t="str">
        <f>IFERROR(1-SUMIF(WTG_BD!$F:$F,$A335,WTG_BD!$AA:$AA)/($AA335+SUMIF(WTG_BD!$F:$F,$A335,WTG_BD!$AA:$AA)),"")</f>
        <v/>
      </c>
      <c r="Q335" s="328" t="str">
        <f>IFERROR(1-SUMIF(IGA_BD!$F:$F,$A335,IGA_BD!$W:$W)/($AA335+SUMIF(IGA_BD!$F:$F,$A335,IGA_BD!$W:$W)),"")</f>
        <v/>
      </c>
      <c r="R335" s="311" t="str">
        <f>IFERROR(1-SUMIF(Grid_BD!$F:$F,$A335,Grid_BD!$Y:$Y)/($AA335+SUMIF(Grid_BD!$F:$F,$A335,Grid_BD!$Y:$Y)),"")</f>
        <v/>
      </c>
      <c r="S335" s="10"/>
      <c r="T335" s="310"/>
      <c r="U335" s="311"/>
      <c r="V335" s="10"/>
      <c r="W335" s="312" t="str">
        <f t="shared" si="32"/>
        <v/>
      </c>
      <c r="X335" s="10" t="str">
        <f>IFERROR(_xlfn.XLOOKUP($A335,Input_Raw!$E:$E,Input_Raw!BG:BG),"")</f>
        <v/>
      </c>
      <c r="Y335" s="10" t="str">
        <f>IFERROR(_xlfn.XLOOKUP($A335,Input_Raw!$E:$E,Input_Raw!DF:DF),"")</f>
        <v/>
      </c>
      <c r="Z335" s="319" t="str">
        <f>IFERROR(_xlfn.XLOOKUP(A335,Input_Raw!E:E,Input_Raw!CT:CT)/_xlfn.XLOOKUP(A335,Input_Raw!E:E,Input_Raw!CS:CS)*Table13[[#This Row],[Mtr_Export (kWh)]],"")</f>
        <v/>
      </c>
      <c r="AA335" s="43" t="str">
        <f t="shared" si="33"/>
        <v/>
      </c>
      <c r="AB335" s="10" t="str">
        <f>IFERROR(_xlfn.XLOOKUP($A335,Input_Raw!$E:$E,Input_Raw!$CZ:$CZ),"")</f>
        <v/>
      </c>
      <c r="AC335" s="313">
        <f>IFERROR(_xlfn.XLOOKUP($D335,'Modelling New'!$D:$D,'Modelling New'!$J:$J),"")</f>
        <v>6.4041034581308942</v>
      </c>
      <c r="AD335" s="43">
        <f>IFERROR(_xlfn.XLOOKUP($D335,'Modelling New'!$D:$D,'Modelling New'!$T:$T)*1000,"")</f>
        <v>357078.92857142852</v>
      </c>
      <c r="AE335" s="312"/>
      <c r="AF335" s="312">
        <f>IFERROR(_xlfn.XLOOKUP($D335,'Modelling New'!$D:$D,'Modelling New'!$W:$W),"")</f>
        <v>0.29403732589873899</v>
      </c>
      <c r="AG335" s="312">
        <f>IFERROR(_xlfn.XLOOKUP($D335,'Modelling New'!$D:$D,'Modelling New'!$AE:$AE),"")</f>
        <v>0.95549849999999992</v>
      </c>
      <c r="AH335" s="312">
        <f>IFERROR(_xlfn.XLOOKUP($D335,'Modelling New'!$D:$D,'Modelling New'!$AF:$AF),"")</f>
        <v>0.995</v>
      </c>
      <c r="AI335" s="10" t="str">
        <f>IFERROR(_xlfn.XLOOKUP($A335,Input_Raw!$E:$E,Input_Raw!$DG:$DG),"")</f>
        <v/>
      </c>
      <c r="AJ335" s="10"/>
      <c r="AK335" s="10"/>
      <c r="AL335" s="10"/>
      <c r="AM335" s="10"/>
      <c r="AN335" s="314" t="str">
        <f>IFERROR(_xlfn.XLOOKUP($A335,Input_Raw!$E:$E,Input_Raw!$CY:$CY),"")</f>
        <v/>
      </c>
      <c r="AO335" s="312" t="str">
        <f>IFERROR((_xlfn.XLOOKUP($A335,'WTG Reactive Power'!$A:$A,'WTG Reactive Power'!AB:AB))/X335,"")</f>
        <v/>
      </c>
      <c r="AP335" s="312">
        <f>IFERROR(_xlfn.XLOOKUP($D335,'Modelling New'!$D:$D,'Modelling New'!AK:AK),"")</f>
        <v>0.05</v>
      </c>
      <c r="AQ335" s="312">
        <f>IFERROR(_xlfn.XLOOKUP($D335,'Modelling New'!$D:$D,'Modelling New'!AL:AL),"")</f>
        <v>0.05</v>
      </c>
      <c r="AR335" s="325">
        <f>IFERROR(_xlfn.XLOOKUP($D335,'Modelling New'!$D:$D,'Modelling New'!$N:$N),"")</f>
        <v>50.59999999999998</v>
      </c>
      <c r="AS335" s="325"/>
    </row>
    <row r="336" spans="1:45">
      <c r="A336" s="32">
        <f t="shared" si="34"/>
        <v>46079</v>
      </c>
      <c r="B336" s="43">
        <f>YEAR(Table13[[#This Row],[Date]])+IF(MONTH(Table13[[#This Row],[Date]])&gt;=4,1,0)</f>
        <v>2026</v>
      </c>
      <c r="C336" s="10">
        <f>YEAR(Table13[[#This Row],[Date]])</f>
        <v>2026</v>
      </c>
      <c r="D336" s="309">
        <f>Table13[[#This Row],[Date]]-DAY(Table13[[#This Row],[Date]])+1</f>
        <v>46054</v>
      </c>
      <c r="E336" s="10">
        <f t="shared" si="30"/>
        <v>28</v>
      </c>
      <c r="F336" s="241" t="str">
        <f>IFERROR(_xlfn.XLOOKUP($A336,Input_Raw!$E:$E,Input_Raw!DC:DC),"")</f>
        <v/>
      </c>
      <c r="G336" s="313"/>
      <c r="H336" s="313"/>
      <c r="I336" s="313"/>
      <c r="J336" s="313"/>
      <c r="K336" s="243"/>
      <c r="L336" s="242"/>
      <c r="M336" s="242" t="str">
        <f>IFERROR(_xlfn.XLOOKUP($A336,Input_Raw!$E:$E,Input_Raw!$BM:$BM),"")</f>
        <v/>
      </c>
      <c r="N336" s="242" t="str">
        <f>IFERROR(_xlfn.XLOOKUP($A336,Input_Raw!$E:$E,Input_Raw!$BN:$BN),"")</f>
        <v/>
      </c>
      <c r="O336" s="311" t="str">
        <f t="shared" si="31"/>
        <v/>
      </c>
      <c r="P336" s="311" t="str">
        <f>IFERROR(1-SUMIF(WTG_BD!$F:$F,$A336,WTG_BD!$AA:$AA)/($AA336+SUMIF(WTG_BD!$F:$F,$A336,WTG_BD!$AA:$AA)),"")</f>
        <v/>
      </c>
      <c r="Q336" s="328" t="str">
        <f>IFERROR(1-SUMIF(IGA_BD!$F:$F,$A336,IGA_BD!$W:$W)/($AA336+SUMIF(IGA_BD!$F:$F,$A336,IGA_BD!$W:$W)),"")</f>
        <v/>
      </c>
      <c r="R336" s="47" t="str">
        <f>IFERROR(1-SUMIF(Grid_BD!$F:$F,$A336,Grid_BD!$Y:$Y)/($AA336+SUMIF(Grid_BD!$F:$F,$A336,Grid_BD!$Y:$Y)),"")</f>
        <v/>
      </c>
      <c r="S336" s="10"/>
      <c r="T336" s="310"/>
      <c r="U336" s="311"/>
      <c r="V336" s="10"/>
      <c r="W336" s="312" t="str">
        <f t="shared" si="32"/>
        <v/>
      </c>
      <c r="X336" s="10" t="str">
        <f>IFERROR(_xlfn.XLOOKUP($A336,Input_Raw!$E:$E,Input_Raw!BG:BG),"")</f>
        <v/>
      </c>
      <c r="Y336" s="10" t="str">
        <f>IFERROR(_xlfn.XLOOKUP($A336,Input_Raw!$E:$E,Input_Raw!DF:DF),"")</f>
        <v/>
      </c>
      <c r="Z336" s="319" t="str">
        <f>IFERROR(_xlfn.XLOOKUP(A336,Input_Raw!E:E,Input_Raw!CT:CT)/_xlfn.XLOOKUP(A336,Input_Raw!E:E,Input_Raw!CS:CS)*Table13[[#This Row],[Mtr_Export (kWh)]],"")</f>
        <v/>
      </c>
      <c r="AA336" s="43" t="str">
        <f t="shared" si="33"/>
        <v/>
      </c>
      <c r="AB336" s="10" t="str">
        <f>IFERROR(_xlfn.XLOOKUP($A336,Input_Raw!$E:$E,Input_Raw!$CZ:$CZ),"")</f>
        <v/>
      </c>
      <c r="AC336" s="313">
        <f>IFERROR(_xlfn.XLOOKUP($D336,'Modelling New'!$D:$D,'Modelling New'!$J:$J),"")</f>
        <v>6.4041034581308942</v>
      </c>
      <c r="AD336" s="43">
        <f>IFERROR(_xlfn.XLOOKUP($D336,'Modelling New'!$D:$D,'Modelling New'!$T:$T)*1000,"")</f>
        <v>357078.92857142852</v>
      </c>
      <c r="AE336" s="312"/>
      <c r="AF336" s="312">
        <f>IFERROR(_xlfn.XLOOKUP($D336,'Modelling New'!$D:$D,'Modelling New'!$W:$W),"")</f>
        <v>0.29403732589873899</v>
      </c>
      <c r="AG336" s="312">
        <f>IFERROR(_xlfn.XLOOKUP($D336,'Modelling New'!$D:$D,'Modelling New'!$AE:$AE),"")</f>
        <v>0.95549849999999992</v>
      </c>
      <c r="AH336" s="312">
        <f>IFERROR(_xlfn.XLOOKUP($D336,'Modelling New'!$D:$D,'Modelling New'!$AF:$AF),"")</f>
        <v>0.995</v>
      </c>
      <c r="AI336" s="10" t="str">
        <f>IFERROR(_xlfn.XLOOKUP($A336,Input_Raw!$E:$E,Input_Raw!$DG:$DG),"")</f>
        <v/>
      </c>
      <c r="AJ336" s="10"/>
      <c r="AK336" s="10"/>
      <c r="AL336" s="10"/>
      <c r="AM336" s="10"/>
      <c r="AN336" s="314" t="str">
        <f>IFERROR(_xlfn.XLOOKUP($A336,Input_Raw!$E:$E,Input_Raw!$CY:$CY),"")</f>
        <v/>
      </c>
      <c r="AO336" s="312" t="str">
        <f>IFERROR((_xlfn.XLOOKUP($A336,'WTG Reactive Power'!$A:$A,'WTG Reactive Power'!AB:AB))/X336,"")</f>
        <v/>
      </c>
      <c r="AP336" s="312">
        <f>IFERROR(_xlfn.XLOOKUP($D336,'Modelling New'!$D:$D,'Modelling New'!AK:AK),"")</f>
        <v>0.05</v>
      </c>
      <c r="AQ336" s="312">
        <f>IFERROR(_xlfn.XLOOKUP($D336,'Modelling New'!$D:$D,'Modelling New'!AL:AL),"")</f>
        <v>0.05</v>
      </c>
      <c r="AR336" s="325">
        <f>IFERROR(_xlfn.XLOOKUP($D336,'Modelling New'!$D:$D,'Modelling New'!$N:$N),"")</f>
        <v>50.59999999999998</v>
      </c>
      <c r="AS336" s="325"/>
    </row>
    <row r="337" spans="1:45">
      <c r="A337" s="32">
        <f t="shared" si="34"/>
        <v>46080</v>
      </c>
      <c r="B337" s="43">
        <f>YEAR(Table13[[#This Row],[Date]])+IF(MONTH(Table13[[#This Row],[Date]])&gt;=4,1,0)</f>
        <v>2026</v>
      </c>
      <c r="C337" s="10">
        <f>YEAR(Table13[[#This Row],[Date]])</f>
        <v>2026</v>
      </c>
      <c r="D337" s="309">
        <f>Table13[[#This Row],[Date]]-DAY(Table13[[#This Row],[Date]])+1</f>
        <v>46054</v>
      </c>
      <c r="E337" s="10">
        <f t="shared" si="30"/>
        <v>28</v>
      </c>
      <c r="F337" s="241" t="str">
        <f>IFERROR(_xlfn.XLOOKUP($A337,Input_Raw!$E:$E,Input_Raw!DC:DC),"")</f>
        <v/>
      </c>
      <c r="G337" s="242"/>
      <c r="H337" s="242"/>
      <c r="I337" s="242"/>
      <c r="J337" s="242"/>
      <c r="K337" s="243"/>
      <c r="L337" s="242"/>
      <c r="M337" s="242" t="str">
        <f>IFERROR(_xlfn.XLOOKUP($A337,Input_Raw!$E:$E,Input_Raw!$BM:$BM),"")</f>
        <v/>
      </c>
      <c r="N337" s="242" t="str">
        <f>IFERROR(_xlfn.XLOOKUP($A337,Input_Raw!$E:$E,Input_Raw!$BN:$BN),"")</f>
        <v/>
      </c>
      <c r="O337" s="311" t="str">
        <f t="shared" si="31"/>
        <v/>
      </c>
      <c r="P337" s="311" t="str">
        <f>IFERROR(1-SUMIF(WTG_BD!$F:$F,$A337,WTG_BD!$AA:$AA)/($AA337+SUMIF(WTG_BD!$F:$F,$A337,WTG_BD!$AA:$AA)),"")</f>
        <v/>
      </c>
      <c r="Q337" s="328" t="str">
        <f>IFERROR(1-SUMIF(IGA_BD!$F:$F,$A337,IGA_BD!$W:$W)/($AA337+SUMIF(IGA_BD!$F:$F,$A337,IGA_BD!$W:$W)),"")</f>
        <v/>
      </c>
      <c r="R337" s="311" t="str">
        <f>IFERROR(1-SUMIF(Grid_BD!$F:$F,$A337,Grid_BD!$Y:$Y)/($AA337+SUMIF(Grid_BD!$F:$F,$A337,Grid_BD!$Y:$Y)),"")</f>
        <v/>
      </c>
      <c r="S337" s="10"/>
      <c r="T337" s="310"/>
      <c r="U337" s="311"/>
      <c r="V337" s="10"/>
      <c r="W337" s="312" t="str">
        <f t="shared" si="32"/>
        <v/>
      </c>
      <c r="X337" s="10" t="str">
        <f>IFERROR(_xlfn.XLOOKUP($A337,Input_Raw!$E:$E,Input_Raw!BG:BG),"")</f>
        <v/>
      </c>
      <c r="Y337" s="10" t="str">
        <f>IFERROR(_xlfn.XLOOKUP($A337,Input_Raw!$E:$E,Input_Raw!DF:DF),"")</f>
        <v/>
      </c>
      <c r="Z337" s="319" t="str">
        <f>IFERROR(_xlfn.XLOOKUP(A337,Input_Raw!E:E,Input_Raw!CT:CT)/_xlfn.XLOOKUP(A337,Input_Raw!E:E,Input_Raw!CS:CS)*Table13[[#This Row],[Mtr_Export (kWh)]],"")</f>
        <v/>
      </c>
      <c r="AA337" s="43" t="str">
        <f t="shared" si="33"/>
        <v/>
      </c>
      <c r="AB337" s="10" t="str">
        <f>IFERROR(_xlfn.XLOOKUP($A337,Input_Raw!$E:$E,Input_Raw!$CZ:$CZ),"")</f>
        <v/>
      </c>
      <c r="AC337" s="313">
        <f>IFERROR(_xlfn.XLOOKUP($D337,'Modelling New'!$D:$D,'Modelling New'!$J:$J),"")</f>
        <v>6.4041034581308942</v>
      </c>
      <c r="AD337" s="43">
        <f>IFERROR(_xlfn.XLOOKUP($D337,'Modelling New'!$D:$D,'Modelling New'!$T:$T)*1000,"")</f>
        <v>357078.92857142852</v>
      </c>
      <c r="AE337" s="312"/>
      <c r="AF337" s="312">
        <f>IFERROR(_xlfn.XLOOKUP($D337,'Modelling New'!$D:$D,'Modelling New'!$W:$W),"")</f>
        <v>0.29403732589873899</v>
      </c>
      <c r="AG337" s="312">
        <f>IFERROR(_xlfn.XLOOKUP($D337,'Modelling New'!$D:$D,'Modelling New'!$AE:$AE),"")</f>
        <v>0.95549849999999992</v>
      </c>
      <c r="AH337" s="312">
        <f>IFERROR(_xlfn.XLOOKUP($D337,'Modelling New'!$D:$D,'Modelling New'!$AF:$AF),"")</f>
        <v>0.995</v>
      </c>
      <c r="AI337" s="10" t="str">
        <f>IFERROR(_xlfn.XLOOKUP($A337,Input_Raw!$E:$E,Input_Raw!$DG:$DG),"")</f>
        <v/>
      </c>
      <c r="AJ337" s="10"/>
      <c r="AK337" s="10"/>
      <c r="AL337" s="10"/>
      <c r="AM337" s="10"/>
      <c r="AN337" s="314" t="str">
        <f>IFERROR(_xlfn.XLOOKUP($A337,Input_Raw!$E:$E,Input_Raw!$CY:$CY),"")</f>
        <v/>
      </c>
      <c r="AO337" s="312" t="str">
        <f>IFERROR((_xlfn.XLOOKUP($A337,'WTG Reactive Power'!$A:$A,'WTG Reactive Power'!AB:AB))/X337,"")</f>
        <v/>
      </c>
      <c r="AP337" s="312">
        <f>IFERROR(_xlfn.XLOOKUP($D337,'Modelling New'!$D:$D,'Modelling New'!AK:AK),"")</f>
        <v>0.05</v>
      </c>
      <c r="AQ337" s="312">
        <f>IFERROR(_xlfn.XLOOKUP($D337,'Modelling New'!$D:$D,'Modelling New'!AL:AL),"")</f>
        <v>0.05</v>
      </c>
      <c r="AR337" s="325">
        <f>IFERROR(_xlfn.XLOOKUP($D337,'Modelling New'!$D:$D,'Modelling New'!$N:$N),"")</f>
        <v>50.59999999999998</v>
      </c>
      <c r="AS337" s="325"/>
    </row>
    <row r="338" spans="1:45">
      <c r="A338" s="32">
        <f t="shared" si="34"/>
        <v>46081</v>
      </c>
      <c r="B338" s="43">
        <f>YEAR(Table13[[#This Row],[Date]])+IF(MONTH(Table13[[#This Row],[Date]])&gt;=4,1,0)</f>
        <v>2026</v>
      </c>
      <c r="C338" s="10">
        <f>YEAR(Table13[[#This Row],[Date]])</f>
        <v>2026</v>
      </c>
      <c r="D338" s="309">
        <f>Table13[[#This Row],[Date]]-DAY(Table13[[#This Row],[Date]])+1</f>
        <v>46054</v>
      </c>
      <c r="E338" s="10">
        <f t="shared" si="30"/>
        <v>28</v>
      </c>
      <c r="F338" s="241" t="str">
        <f>IFERROR(_xlfn.XLOOKUP($A338,Input_Raw!$E:$E,Input_Raw!DC:DC),"")</f>
        <v/>
      </c>
      <c r="G338" s="313"/>
      <c r="H338" s="313"/>
      <c r="I338" s="313"/>
      <c r="J338" s="313"/>
      <c r="K338" s="243"/>
      <c r="L338" s="242"/>
      <c r="M338" s="242" t="str">
        <f>IFERROR(_xlfn.XLOOKUP($A338,Input_Raw!$E:$E,Input_Raw!$BM:$BM),"")</f>
        <v/>
      </c>
      <c r="N338" s="242" t="str">
        <f>IFERROR(_xlfn.XLOOKUP($A338,Input_Raw!$E:$E,Input_Raw!$BN:$BN),"")</f>
        <v/>
      </c>
      <c r="O338" s="311" t="str">
        <f t="shared" si="31"/>
        <v/>
      </c>
      <c r="P338" s="311" t="str">
        <f>IFERROR(1-SUMIF(WTG_BD!$F:$F,$A338,WTG_BD!$AA:$AA)/($AA338+SUMIF(WTG_BD!$F:$F,$A338,WTG_BD!$AA:$AA)),"")</f>
        <v/>
      </c>
      <c r="Q338" s="328" t="str">
        <f>IFERROR(1-SUMIF(IGA_BD!$F:$F,$A338,IGA_BD!$W:$W)/($AA338+SUMIF(IGA_BD!$F:$F,$A338,IGA_BD!$W:$W)),"")</f>
        <v/>
      </c>
      <c r="R338" s="47" t="str">
        <f>IFERROR(1-SUMIF(Grid_BD!$F:$F,$A338,Grid_BD!$Y:$Y)/($AA338+SUMIF(Grid_BD!$F:$F,$A338,Grid_BD!$Y:$Y)),"")</f>
        <v/>
      </c>
      <c r="S338" s="10"/>
      <c r="T338" s="310"/>
      <c r="U338" s="311"/>
      <c r="V338" s="10"/>
      <c r="W338" s="312" t="str">
        <f t="shared" si="32"/>
        <v/>
      </c>
      <c r="X338" s="10" t="str">
        <f>IFERROR(_xlfn.XLOOKUP($A338,Input_Raw!$E:$E,Input_Raw!BG:BG),"")</f>
        <v/>
      </c>
      <c r="Y338" s="10" t="str">
        <f>IFERROR(_xlfn.XLOOKUP($A338,Input_Raw!$E:$E,Input_Raw!DF:DF),"")</f>
        <v/>
      </c>
      <c r="Z338" s="319" t="str">
        <f>IFERROR(_xlfn.XLOOKUP(A338,Input_Raw!E:E,Input_Raw!CT:CT)/_xlfn.XLOOKUP(A338,Input_Raw!E:E,Input_Raw!CS:CS)*Table13[[#This Row],[Mtr_Export (kWh)]],"")</f>
        <v/>
      </c>
      <c r="AA338" s="43" t="str">
        <f t="shared" si="33"/>
        <v/>
      </c>
      <c r="AB338" s="10" t="str">
        <f>IFERROR(_xlfn.XLOOKUP($A338,Input_Raw!$E:$E,Input_Raw!$CZ:$CZ),"")</f>
        <v/>
      </c>
      <c r="AC338" s="313">
        <f>IFERROR(_xlfn.XLOOKUP($D338,'Modelling New'!$D:$D,'Modelling New'!$J:$J),"")</f>
        <v>6.4041034581308942</v>
      </c>
      <c r="AD338" s="43">
        <f>IFERROR(_xlfn.XLOOKUP($D338,'Modelling New'!$D:$D,'Modelling New'!$T:$T)*1000,"")</f>
        <v>357078.92857142852</v>
      </c>
      <c r="AE338" s="312"/>
      <c r="AF338" s="312">
        <f>IFERROR(_xlfn.XLOOKUP($D338,'Modelling New'!$D:$D,'Modelling New'!$W:$W),"")</f>
        <v>0.29403732589873899</v>
      </c>
      <c r="AG338" s="312">
        <f>IFERROR(_xlfn.XLOOKUP($D338,'Modelling New'!$D:$D,'Modelling New'!$AE:$AE),"")</f>
        <v>0.95549849999999992</v>
      </c>
      <c r="AH338" s="312">
        <f>IFERROR(_xlfn.XLOOKUP($D338,'Modelling New'!$D:$D,'Modelling New'!$AF:$AF),"")</f>
        <v>0.995</v>
      </c>
      <c r="AI338" s="10" t="str">
        <f>IFERROR(_xlfn.XLOOKUP($A338,Input_Raw!$E:$E,Input_Raw!$DG:$DG),"")</f>
        <v/>
      </c>
      <c r="AJ338" s="10"/>
      <c r="AK338" s="10"/>
      <c r="AL338" s="10"/>
      <c r="AM338" s="10"/>
      <c r="AN338" s="314" t="str">
        <f>IFERROR(_xlfn.XLOOKUP($A338,Input_Raw!$E:$E,Input_Raw!$CY:$CY),"")</f>
        <v/>
      </c>
      <c r="AO338" s="312" t="str">
        <f>IFERROR((_xlfn.XLOOKUP($A338,'WTG Reactive Power'!$A:$A,'WTG Reactive Power'!AB:AB))/X338,"")</f>
        <v/>
      </c>
      <c r="AP338" s="312">
        <f>IFERROR(_xlfn.XLOOKUP($D338,'Modelling New'!$D:$D,'Modelling New'!AK:AK),"")</f>
        <v>0.05</v>
      </c>
      <c r="AQ338" s="312">
        <f>IFERROR(_xlfn.XLOOKUP($D338,'Modelling New'!$D:$D,'Modelling New'!AL:AL),"")</f>
        <v>0.05</v>
      </c>
      <c r="AR338" s="325">
        <f>IFERROR(_xlfn.XLOOKUP($D338,'Modelling New'!$D:$D,'Modelling New'!$N:$N),"")</f>
        <v>50.59999999999998</v>
      </c>
      <c r="AS338" s="325"/>
    </row>
    <row r="339" spans="1:45">
      <c r="A339" s="32">
        <f t="shared" si="34"/>
        <v>46082</v>
      </c>
      <c r="B339" s="43">
        <f>YEAR(Table13[[#This Row],[Date]])+IF(MONTH(Table13[[#This Row],[Date]])&gt;=4,1,0)</f>
        <v>2026</v>
      </c>
      <c r="C339" s="10">
        <f>YEAR(Table13[[#This Row],[Date]])</f>
        <v>2026</v>
      </c>
      <c r="D339" s="309">
        <f>Table13[[#This Row],[Date]]-DAY(Table13[[#This Row],[Date]])+1</f>
        <v>46082</v>
      </c>
      <c r="E339" s="10">
        <f t="shared" si="30"/>
        <v>31</v>
      </c>
      <c r="F339" s="241" t="str">
        <f>IFERROR(_xlfn.XLOOKUP($A339,Input_Raw!$E:$E,Input_Raw!DC:DC),"")</f>
        <v/>
      </c>
      <c r="G339" s="242"/>
      <c r="H339" s="242"/>
      <c r="I339" s="242"/>
      <c r="J339" s="242"/>
      <c r="K339" s="243"/>
      <c r="L339" s="242"/>
      <c r="M339" s="242" t="str">
        <f>IFERROR(_xlfn.XLOOKUP($A339,Input_Raw!$E:$E,Input_Raw!$BM:$BM),"")</f>
        <v/>
      </c>
      <c r="N339" s="242" t="str">
        <f>IFERROR(_xlfn.XLOOKUP($A339,Input_Raw!$E:$E,Input_Raw!$BN:$BN),"")</f>
        <v/>
      </c>
      <c r="O339" s="311" t="str">
        <f t="shared" si="31"/>
        <v/>
      </c>
      <c r="P339" s="311" t="str">
        <f>IFERROR(1-SUMIF(WTG_BD!$F:$F,$A339,WTG_BD!$AA:$AA)/($AA339+SUMIF(WTG_BD!$F:$F,$A339,WTG_BD!$AA:$AA)),"")</f>
        <v/>
      </c>
      <c r="Q339" s="328" t="str">
        <f>IFERROR(1-SUMIF(IGA_BD!$F:$F,$A339,IGA_BD!$W:$W)/($AA339+SUMIF(IGA_BD!$F:$F,$A339,IGA_BD!$W:$W)),"")</f>
        <v/>
      </c>
      <c r="R339" s="311" t="str">
        <f>IFERROR(1-SUMIF(Grid_BD!$F:$F,$A339,Grid_BD!$Y:$Y)/($AA339+SUMIF(Grid_BD!$F:$F,$A339,Grid_BD!$Y:$Y)),"")</f>
        <v/>
      </c>
      <c r="S339" s="10"/>
      <c r="T339" s="310"/>
      <c r="U339" s="311"/>
      <c r="V339" s="10"/>
      <c r="W339" s="312" t="str">
        <f t="shared" si="32"/>
        <v/>
      </c>
      <c r="X339" s="10" t="str">
        <f>IFERROR(_xlfn.XLOOKUP($A339,Input_Raw!$E:$E,Input_Raw!BG:BG),"")</f>
        <v/>
      </c>
      <c r="Y339" s="10" t="str">
        <f>IFERROR(_xlfn.XLOOKUP($A339,Input_Raw!$E:$E,Input_Raw!DF:DF),"")</f>
        <v/>
      </c>
      <c r="Z339" s="319" t="str">
        <f>IFERROR(_xlfn.XLOOKUP(A339,Input_Raw!E:E,Input_Raw!CT:CT)/_xlfn.XLOOKUP(A339,Input_Raw!E:E,Input_Raw!CS:CS)*Table13[[#This Row],[Mtr_Export (kWh)]],"")</f>
        <v/>
      </c>
      <c r="AA339" s="43" t="str">
        <f t="shared" si="33"/>
        <v/>
      </c>
      <c r="AB339" s="10" t="str">
        <f>IFERROR(_xlfn.XLOOKUP($A339,Input_Raw!$E:$E,Input_Raw!$CZ:$CZ),"")</f>
        <v/>
      </c>
      <c r="AC339" s="313">
        <f>IFERROR(_xlfn.XLOOKUP($D339,'Modelling New'!$D:$D,'Modelling New'!$J:$J),"")</f>
        <v>5.9681800514432695</v>
      </c>
      <c r="AD339" s="43">
        <f>IFERROR(_xlfn.XLOOKUP($D339,'Modelling New'!$D:$D,'Modelling New'!$T:$T)*1000,"")</f>
        <v>280595.16129032261</v>
      </c>
      <c r="AE339" s="312"/>
      <c r="AF339" s="312">
        <f>IFERROR(_xlfn.XLOOKUP($D339,'Modelling New'!$D:$D,'Modelling New'!$W:$W),"")</f>
        <v>0.23105662161587837</v>
      </c>
      <c r="AG339" s="312">
        <f>IFERROR(_xlfn.XLOOKUP($D339,'Modelling New'!$D:$D,'Modelling New'!$AE:$AE),"")</f>
        <v>0.95549849999999992</v>
      </c>
      <c r="AH339" s="312">
        <f>IFERROR(_xlfn.XLOOKUP($D339,'Modelling New'!$D:$D,'Modelling New'!$AF:$AF),"")</f>
        <v>0.995</v>
      </c>
      <c r="AI339" s="10" t="str">
        <f>IFERROR(_xlfn.XLOOKUP($A339,Input_Raw!$E:$E,Input_Raw!$DG:$DG),"")</f>
        <v/>
      </c>
      <c r="AJ339" s="10"/>
      <c r="AK339" s="10"/>
      <c r="AL339" s="10"/>
      <c r="AM339" s="10"/>
      <c r="AN339" s="314" t="str">
        <f>IFERROR(_xlfn.XLOOKUP($A339,Input_Raw!$E:$E,Input_Raw!$CY:$CY),"")</f>
        <v/>
      </c>
      <c r="AO339" s="312" t="str">
        <f>IFERROR((_xlfn.XLOOKUP($A339,'WTG Reactive Power'!$A:$A,'WTG Reactive Power'!AB:AB))/X339,"")</f>
        <v/>
      </c>
      <c r="AP339" s="312">
        <f>IFERROR(_xlfn.XLOOKUP($D339,'Modelling New'!$D:$D,'Modelling New'!AK:AK),"")</f>
        <v>0.05</v>
      </c>
      <c r="AQ339" s="312">
        <f>IFERROR(_xlfn.XLOOKUP($D339,'Modelling New'!$D:$D,'Modelling New'!AL:AL),"")</f>
        <v>0.05</v>
      </c>
      <c r="AR339" s="325">
        <f>IFERROR(_xlfn.XLOOKUP($D339,'Modelling New'!$D:$D,'Modelling New'!$N:$N),"")</f>
        <v>50.59999999999998</v>
      </c>
      <c r="AS339" s="325"/>
    </row>
    <row r="340" spans="1:45">
      <c r="A340" s="32">
        <f t="shared" si="34"/>
        <v>46083</v>
      </c>
      <c r="B340" s="43">
        <f>YEAR(Table13[[#This Row],[Date]])+IF(MONTH(Table13[[#This Row],[Date]])&gt;=4,1,0)</f>
        <v>2026</v>
      </c>
      <c r="C340" s="10">
        <f>YEAR(Table13[[#This Row],[Date]])</f>
        <v>2026</v>
      </c>
      <c r="D340" s="309">
        <f>Table13[[#This Row],[Date]]-DAY(Table13[[#This Row],[Date]])+1</f>
        <v>46082</v>
      </c>
      <c r="E340" s="10">
        <f t="shared" si="30"/>
        <v>31</v>
      </c>
      <c r="F340" s="241" t="str">
        <f>IFERROR(_xlfn.XLOOKUP($A340,Input_Raw!$E:$E,Input_Raw!DC:DC),"")</f>
        <v/>
      </c>
      <c r="G340" s="313"/>
      <c r="H340" s="313"/>
      <c r="I340" s="313"/>
      <c r="J340" s="313"/>
      <c r="K340" s="243"/>
      <c r="L340" s="242"/>
      <c r="M340" s="242" t="str">
        <f>IFERROR(_xlfn.XLOOKUP($A340,Input_Raw!$E:$E,Input_Raw!$BM:$BM),"")</f>
        <v/>
      </c>
      <c r="N340" s="242" t="str">
        <f>IFERROR(_xlfn.XLOOKUP($A340,Input_Raw!$E:$E,Input_Raw!$BN:$BN),"")</f>
        <v/>
      </c>
      <c r="O340" s="311" t="str">
        <f t="shared" si="31"/>
        <v/>
      </c>
      <c r="P340" s="311" t="str">
        <f>IFERROR(1-SUMIF(WTG_BD!$F:$F,$A340,WTG_BD!$AA:$AA)/($AA340+SUMIF(WTG_BD!$F:$F,$A340,WTG_BD!$AA:$AA)),"")</f>
        <v/>
      </c>
      <c r="Q340" s="328" t="str">
        <f>IFERROR(1-SUMIF(IGA_BD!$F:$F,$A340,IGA_BD!$W:$W)/($AA340+SUMIF(IGA_BD!$F:$F,$A340,IGA_BD!$W:$W)),"")</f>
        <v/>
      </c>
      <c r="R340" s="47" t="str">
        <f>IFERROR(1-SUMIF(Grid_BD!$F:$F,$A340,Grid_BD!$Y:$Y)/($AA340+SUMIF(Grid_BD!$F:$F,$A340,Grid_BD!$Y:$Y)),"")</f>
        <v/>
      </c>
      <c r="S340" s="10"/>
      <c r="T340" s="310"/>
      <c r="U340" s="311"/>
      <c r="V340" s="10"/>
      <c r="W340" s="312" t="str">
        <f t="shared" si="32"/>
        <v/>
      </c>
      <c r="X340" s="10" t="str">
        <f>IFERROR(_xlfn.XLOOKUP($A340,Input_Raw!$E:$E,Input_Raw!BG:BG),"")</f>
        <v/>
      </c>
      <c r="Y340" s="10" t="str">
        <f>IFERROR(_xlfn.XLOOKUP($A340,Input_Raw!$E:$E,Input_Raw!DF:DF),"")</f>
        <v/>
      </c>
      <c r="Z340" s="319" t="str">
        <f>IFERROR(_xlfn.XLOOKUP(A340,Input_Raw!E:E,Input_Raw!CT:CT)/_xlfn.XLOOKUP(A340,Input_Raw!E:E,Input_Raw!CS:CS)*Table13[[#This Row],[Mtr_Export (kWh)]],"")</f>
        <v/>
      </c>
      <c r="AA340" s="43" t="str">
        <f t="shared" si="33"/>
        <v/>
      </c>
      <c r="AB340" s="10" t="str">
        <f>IFERROR(_xlfn.XLOOKUP($A340,Input_Raw!$E:$E,Input_Raw!$CZ:$CZ),"")</f>
        <v/>
      </c>
      <c r="AC340" s="313">
        <f>IFERROR(_xlfn.XLOOKUP($D340,'Modelling New'!$D:$D,'Modelling New'!$J:$J),"")</f>
        <v>5.9681800514432695</v>
      </c>
      <c r="AD340" s="43">
        <f>IFERROR(_xlfn.XLOOKUP($D340,'Modelling New'!$D:$D,'Modelling New'!$T:$T)*1000,"")</f>
        <v>280595.16129032261</v>
      </c>
      <c r="AE340" s="312"/>
      <c r="AF340" s="312">
        <f>IFERROR(_xlfn.XLOOKUP($D340,'Modelling New'!$D:$D,'Modelling New'!$W:$W),"")</f>
        <v>0.23105662161587837</v>
      </c>
      <c r="AG340" s="312">
        <f>IFERROR(_xlfn.XLOOKUP($D340,'Modelling New'!$D:$D,'Modelling New'!$AE:$AE),"")</f>
        <v>0.95549849999999992</v>
      </c>
      <c r="AH340" s="312">
        <f>IFERROR(_xlfn.XLOOKUP($D340,'Modelling New'!$D:$D,'Modelling New'!$AF:$AF),"")</f>
        <v>0.995</v>
      </c>
      <c r="AI340" s="10" t="str">
        <f>IFERROR(_xlfn.XLOOKUP($A340,Input_Raw!$E:$E,Input_Raw!$DG:$DG),"")</f>
        <v/>
      </c>
      <c r="AJ340" s="10"/>
      <c r="AK340" s="10"/>
      <c r="AL340" s="10"/>
      <c r="AM340" s="10"/>
      <c r="AN340" s="314" t="str">
        <f>IFERROR(_xlfn.XLOOKUP($A340,Input_Raw!$E:$E,Input_Raw!$CY:$CY),"")</f>
        <v/>
      </c>
      <c r="AO340" s="312" t="str">
        <f>IFERROR((_xlfn.XLOOKUP($A340,'WTG Reactive Power'!$A:$A,'WTG Reactive Power'!AB:AB))/X340,"")</f>
        <v/>
      </c>
      <c r="AP340" s="312">
        <f>IFERROR(_xlfn.XLOOKUP($D340,'Modelling New'!$D:$D,'Modelling New'!AK:AK),"")</f>
        <v>0.05</v>
      </c>
      <c r="AQ340" s="312">
        <f>IFERROR(_xlfn.XLOOKUP($D340,'Modelling New'!$D:$D,'Modelling New'!AL:AL),"")</f>
        <v>0.05</v>
      </c>
      <c r="AR340" s="325">
        <f>IFERROR(_xlfn.XLOOKUP($D340,'Modelling New'!$D:$D,'Modelling New'!$N:$N),"")</f>
        <v>50.59999999999998</v>
      </c>
      <c r="AS340" s="325"/>
    </row>
    <row r="341" spans="1:45">
      <c r="A341" s="32">
        <f t="shared" si="34"/>
        <v>46084</v>
      </c>
      <c r="B341" s="43">
        <f>YEAR(Table13[[#This Row],[Date]])+IF(MONTH(Table13[[#This Row],[Date]])&gt;=4,1,0)</f>
        <v>2026</v>
      </c>
      <c r="C341" s="10">
        <f>YEAR(Table13[[#This Row],[Date]])</f>
        <v>2026</v>
      </c>
      <c r="D341" s="309">
        <f>Table13[[#This Row],[Date]]-DAY(Table13[[#This Row],[Date]])+1</f>
        <v>46082</v>
      </c>
      <c r="E341" s="10">
        <f t="shared" si="30"/>
        <v>31</v>
      </c>
      <c r="F341" s="241" t="str">
        <f>IFERROR(_xlfn.XLOOKUP($A341,Input_Raw!$E:$E,Input_Raw!DC:DC),"")</f>
        <v/>
      </c>
      <c r="G341" s="242"/>
      <c r="H341" s="242"/>
      <c r="I341" s="242"/>
      <c r="J341" s="242"/>
      <c r="K341" s="243"/>
      <c r="L341" s="242"/>
      <c r="M341" s="242" t="str">
        <f>IFERROR(_xlfn.XLOOKUP($A341,Input_Raw!$E:$E,Input_Raw!$BM:$BM),"")</f>
        <v/>
      </c>
      <c r="N341" s="242" t="str">
        <f>IFERROR(_xlfn.XLOOKUP($A341,Input_Raw!$E:$E,Input_Raw!$BN:$BN),"")</f>
        <v/>
      </c>
      <c r="O341" s="311" t="str">
        <f t="shared" si="31"/>
        <v/>
      </c>
      <c r="P341" s="311" t="str">
        <f>IFERROR(1-SUMIF(WTG_BD!$F:$F,$A341,WTG_BD!$AA:$AA)/($AA341+SUMIF(WTG_BD!$F:$F,$A341,WTG_BD!$AA:$AA)),"")</f>
        <v/>
      </c>
      <c r="Q341" s="328" t="str">
        <f>IFERROR(1-SUMIF(IGA_BD!$F:$F,$A341,IGA_BD!$W:$W)/($AA341+SUMIF(IGA_BD!$F:$F,$A341,IGA_BD!$W:$W)),"")</f>
        <v/>
      </c>
      <c r="R341" s="311" t="str">
        <f>IFERROR(1-SUMIF(Grid_BD!$F:$F,$A341,Grid_BD!$Y:$Y)/($AA341+SUMIF(Grid_BD!$F:$F,$A341,Grid_BD!$Y:$Y)),"")</f>
        <v/>
      </c>
      <c r="S341" s="10"/>
      <c r="T341" s="310"/>
      <c r="U341" s="311"/>
      <c r="V341" s="10"/>
      <c r="W341" s="312" t="str">
        <f t="shared" si="32"/>
        <v/>
      </c>
      <c r="X341" s="10" t="str">
        <f>IFERROR(_xlfn.XLOOKUP($A341,Input_Raw!$E:$E,Input_Raw!BG:BG),"")</f>
        <v/>
      </c>
      <c r="Y341" s="10" t="str">
        <f>IFERROR(_xlfn.XLOOKUP($A341,Input_Raw!$E:$E,Input_Raw!DF:DF),"")</f>
        <v/>
      </c>
      <c r="Z341" s="319" t="str">
        <f>IFERROR(_xlfn.XLOOKUP(A341,Input_Raw!E:E,Input_Raw!CT:CT)/_xlfn.XLOOKUP(A341,Input_Raw!E:E,Input_Raw!CS:CS)*Table13[[#This Row],[Mtr_Export (kWh)]],"")</f>
        <v/>
      </c>
      <c r="AA341" s="43" t="str">
        <f t="shared" si="33"/>
        <v/>
      </c>
      <c r="AB341" s="10" t="str">
        <f>IFERROR(_xlfn.XLOOKUP($A341,Input_Raw!$E:$E,Input_Raw!$CZ:$CZ),"")</f>
        <v/>
      </c>
      <c r="AC341" s="313">
        <f>IFERROR(_xlfn.XLOOKUP($D341,'Modelling New'!$D:$D,'Modelling New'!$J:$J),"")</f>
        <v>5.9681800514432695</v>
      </c>
      <c r="AD341" s="43">
        <f>IFERROR(_xlfn.XLOOKUP($D341,'Modelling New'!$D:$D,'Modelling New'!$T:$T)*1000,"")</f>
        <v>280595.16129032261</v>
      </c>
      <c r="AE341" s="312"/>
      <c r="AF341" s="312">
        <f>IFERROR(_xlfn.XLOOKUP($D341,'Modelling New'!$D:$D,'Modelling New'!$W:$W),"")</f>
        <v>0.23105662161587837</v>
      </c>
      <c r="AG341" s="312">
        <f>IFERROR(_xlfn.XLOOKUP($D341,'Modelling New'!$D:$D,'Modelling New'!$AE:$AE),"")</f>
        <v>0.95549849999999992</v>
      </c>
      <c r="AH341" s="312">
        <f>IFERROR(_xlfn.XLOOKUP($D341,'Modelling New'!$D:$D,'Modelling New'!$AF:$AF),"")</f>
        <v>0.995</v>
      </c>
      <c r="AI341" s="10" t="str">
        <f>IFERROR(_xlfn.XLOOKUP($A341,Input_Raw!$E:$E,Input_Raw!$DG:$DG),"")</f>
        <v/>
      </c>
      <c r="AJ341" s="10"/>
      <c r="AK341" s="10"/>
      <c r="AL341" s="10"/>
      <c r="AM341" s="10"/>
      <c r="AN341" s="314" t="str">
        <f>IFERROR(_xlfn.XLOOKUP($A341,Input_Raw!$E:$E,Input_Raw!$CY:$CY),"")</f>
        <v/>
      </c>
      <c r="AO341" s="312" t="str">
        <f>IFERROR((_xlfn.XLOOKUP($A341,'WTG Reactive Power'!$A:$A,'WTG Reactive Power'!AB:AB))/X341,"")</f>
        <v/>
      </c>
      <c r="AP341" s="312">
        <f>IFERROR(_xlfn.XLOOKUP($D341,'Modelling New'!$D:$D,'Modelling New'!AK:AK),"")</f>
        <v>0.05</v>
      </c>
      <c r="AQ341" s="312">
        <f>IFERROR(_xlfn.XLOOKUP($D341,'Modelling New'!$D:$D,'Modelling New'!AL:AL),"")</f>
        <v>0.05</v>
      </c>
      <c r="AR341" s="325">
        <f>IFERROR(_xlfn.XLOOKUP($D341,'Modelling New'!$D:$D,'Modelling New'!$N:$N),"")</f>
        <v>50.59999999999998</v>
      </c>
      <c r="AS341" s="325"/>
    </row>
    <row r="342" spans="1:45">
      <c r="A342" s="32">
        <f t="shared" si="34"/>
        <v>46085</v>
      </c>
      <c r="B342" s="43">
        <f>YEAR(Table13[[#This Row],[Date]])+IF(MONTH(Table13[[#This Row],[Date]])&gt;=4,1,0)</f>
        <v>2026</v>
      </c>
      <c r="C342" s="10">
        <f>YEAR(Table13[[#This Row],[Date]])</f>
        <v>2026</v>
      </c>
      <c r="D342" s="309">
        <f>Table13[[#This Row],[Date]]-DAY(Table13[[#This Row],[Date]])+1</f>
        <v>46082</v>
      </c>
      <c r="E342" s="10">
        <f t="shared" si="30"/>
        <v>31</v>
      </c>
      <c r="F342" s="241" t="str">
        <f>IFERROR(_xlfn.XLOOKUP($A342,Input_Raw!$E:$E,Input_Raw!DC:DC),"")</f>
        <v/>
      </c>
      <c r="G342" s="313"/>
      <c r="H342" s="313"/>
      <c r="I342" s="313"/>
      <c r="J342" s="313"/>
      <c r="K342" s="243"/>
      <c r="L342" s="242"/>
      <c r="M342" s="242" t="str">
        <f>IFERROR(_xlfn.XLOOKUP($A342,Input_Raw!$E:$E,Input_Raw!$BM:$BM),"")</f>
        <v/>
      </c>
      <c r="N342" s="242" t="str">
        <f>IFERROR(_xlfn.XLOOKUP($A342,Input_Raw!$E:$E,Input_Raw!$BN:$BN),"")</f>
        <v/>
      </c>
      <c r="O342" s="311" t="str">
        <f t="shared" si="31"/>
        <v/>
      </c>
      <c r="P342" s="311" t="str">
        <f>IFERROR(1-SUMIF(WTG_BD!$F:$F,$A342,WTG_BD!$AA:$AA)/($AA342+SUMIF(WTG_BD!$F:$F,$A342,WTG_BD!$AA:$AA)),"")</f>
        <v/>
      </c>
      <c r="Q342" s="328" t="str">
        <f>IFERROR(1-SUMIF(IGA_BD!$F:$F,$A342,IGA_BD!$W:$W)/($AA342+SUMIF(IGA_BD!$F:$F,$A342,IGA_BD!$W:$W)),"")</f>
        <v/>
      </c>
      <c r="R342" s="47" t="str">
        <f>IFERROR(1-SUMIF(Grid_BD!$F:$F,$A342,Grid_BD!$Y:$Y)/($AA342+SUMIF(Grid_BD!$F:$F,$A342,Grid_BD!$Y:$Y)),"")</f>
        <v/>
      </c>
      <c r="S342" s="10"/>
      <c r="T342" s="310"/>
      <c r="U342" s="311"/>
      <c r="V342" s="10"/>
      <c r="W342" s="312" t="str">
        <f t="shared" si="32"/>
        <v/>
      </c>
      <c r="X342" s="10" t="str">
        <f>IFERROR(_xlfn.XLOOKUP($A342,Input_Raw!$E:$E,Input_Raw!BG:BG),"")</f>
        <v/>
      </c>
      <c r="Y342" s="10" t="str">
        <f>IFERROR(_xlfn.XLOOKUP($A342,Input_Raw!$E:$E,Input_Raw!DF:DF),"")</f>
        <v/>
      </c>
      <c r="Z342" s="319" t="str">
        <f>IFERROR(_xlfn.XLOOKUP(A342,Input_Raw!E:E,Input_Raw!CT:CT)/_xlfn.XLOOKUP(A342,Input_Raw!E:E,Input_Raw!CS:CS)*Table13[[#This Row],[Mtr_Export (kWh)]],"")</f>
        <v/>
      </c>
      <c r="AA342" s="43" t="str">
        <f t="shared" si="33"/>
        <v/>
      </c>
      <c r="AB342" s="10" t="str">
        <f>IFERROR(_xlfn.XLOOKUP($A342,Input_Raw!$E:$E,Input_Raw!$CZ:$CZ),"")</f>
        <v/>
      </c>
      <c r="AC342" s="313">
        <f>IFERROR(_xlfn.XLOOKUP($D342,'Modelling New'!$D:$D,'Modelling New'!$J:$J),"")</f>
        <v>5.9681800514432695</v>
      </c>
      <c r="AD342" s="43">
        <f>IFERROR(_xlfn.XLOOKUP($D342,'Modelling New'!$D:$D,'Modelling New'!$T:$T)*1000,"")</f>
        <v>280595.16129032261</v>
      </c>
      <c r="AE342" s="312"/>
      <c r="AF342" s="312">
        <f>IFERROR(_xlfn.XLOOKUP($D342,'Modelling New'!$D:$D,'Modelling New'!$W:$W),"")</f>
        <v>0.23105662161587837</v>
      </c>
      <c r="AG342" s="312">
        <f>IFERROR(_xlfn.XLOOKUP($D342,'Modelling New'!$D:$D,'Modelling New'!$AE:$AE),"")</f>
        <v>0.95549849999999992</v>
      </c>
      <c r="AH342" s="312">
        <f>IFERROR(_xlfn.XLOOKUP($D342,'Modelling New'!$D:$D,'Modelling New'!$AF:$AF),"")</f>
        <v>0.995</v>
      </c>
      <c r="AI342" s="10" t="str">
        <f>IFERROR(_xlfn.XLOOKUP($A342,Input_Raw!$E:$E,Input_Raw!$DG:$DG),"")</f>
        <v/>
      </c>
      <c r="AJ342" s="10"/>
      <c r="AK342" s="10"/>
      <c r="AL342" s="10"/>
      <c r="AM342" s="10"/>
      <c r="AN342" s="314" t="str">
        <f>IFERROR(_xlfn.XLOOKUP($A342,Input_Raw!$E:$E,Input_Raw!$CY:$CY),"")</f>
        <v/>
      </c>
      <c r="AO342" s="312" t="str">
        <f>IFERROR((_xlfn.XLOOKUP($A342,'WTG Reactive Power'!$A:$A,'WTG Reactive Power'!AB:AB))/X342,"")</f>
        <v/>
      </c>
      <c r="AP342" s="312">
        <f>IFERROR(_xlfn.XLOOKUP($D342,'Modelling New'!$D:$D,'Modelling New'!AK:AK),"")</f>
        <v>0.05</v>
      </c>
      <c r="AQ342" s="312">
        <f>IFERROR(_xlfn.XLOOKUP($D342,'Modelling New'!$D:$D,'Modelling New'!AL:AL),"")</f>
        <v>0.05</v>
      </c>
      <c r="AR342" s="325">
        <f>IFERROR(_xlfn.XLOOKUP($D342,'Modelling New'!$D:$D,'Modelling New'!$N:$N),"")</f>
        <v>50.59999999999998</v>
      </c>
      <c r="AS342" s="325"/>
    </row>
    <row r="343" spans="1:45">
      <c r="A343" s="32">
        <f t="shared" si="34"/>
        <v>46086</v>
      </c>
      <c r="B343" s="43">
        <f>YEAR(Table13[[#This Row],[Date]])+IF(MONTH(Table13[[#This Row],[Date]])&gt;=4,1,0)</f>
        <v>2026</v>
      </c>
      <c r="C343" s="10">
        <f>YEAR(Table13[[#This Row],[Date]])</f>
        <v>2026</v>
      </c>
      <c r="D343" s="309">
        <f>Table13[[#This Row],[Date]]-DAY(Table13[[#This Row],[Date]])+1</f>
        <v>46082</v>
      </c>
      <c r="E343" s="10">
        <f t="shared" si="30"/>
        <v>31</v>
      </c>
      <c r="F343" s="241" t="str">
        <f>IFERROR(_xlfn.XLOOKUP($A343,Input_Raw!$E:$E,Input_Raw!DC:DC),"")</f>
        <v/>
      </c>
      <c r="G343" s="242"/>
      <c r="H343" s="242"/>
      <c r="I343" s="242"/>
      <c r="J343" s="242"/>
      <c r="K343" s="243"/>
      <c r="L343" s="242"/>
      <c r="M343" s="242" t="str">
        <f>IFERROR(_xlfn.XLOOKUP($A343,Input_Raw!$E:$E,Input_Raw!$BM:$BM),"")</f>
        <v/>
      </c>
      <c r="N343" s="242" t="str">
        <f>IFERROR(_xlfn.XLOOKUP($A343,Input_Raw!$E:$E,Input_Raw!$BN:$BN),"")</f>
        <v/>
      </c>
      <c r="O343" s="311" t="str">
        <f t="shared" si="31"/>
        <v/>
      </c>
      <c r="P343" s="311" t="str">
        <f>IFERROR(1-SUMIF(WTG_BD!$F:$F,$A343,WTG_BD!$AA:$AA)/($AA343+SUMIF(WTG_BD!$F:$F,$A343,WTG_BD!$AA:$AA)),"")</f>
        <v/>
      </c>
      <c r="Q343" s="328" t="str">
        <f>IFERROR(1-SUMIF(IGA_BD!$F:$F,$A343,IGA_BD!$W:$W)/($AA343+SUMIF(IGA_BD!$F:$F,$A343,IGA_BD!$W:$W)),"")</f>
        <v/>
      </c>
      <c r="R343" s="311" t="str">
        <f>IFERROR(1-SUMIF(Grid_BD!$F:$F,$A343,Grid_BD!$Y:$Y)/($AA343+SUMIF(Grid_BD!$F:$F,$A343,Grid_BD!$Y:$Y)),"")</f>
        <v/>
      </c>
      <c r="S343" s="10"/>
      <c r="T343" s="310"/>
      <c r="U343" s="311"/>
      <c r="V343" s="10"/>
      <c r="W343" s="312" t="str">
        <f t="shared" si="32"/>
        <v/>
      </c>
      <c r="X343" s="10" t="str">
        <f>IFERROR(_xlfn.XLOOKUP($A343,Input_Raw!$E:$E,Input_Raw!BG:BG),"")</f>
        <v/>
      </c>
      <c r="Y343" s="10" t="str">
        <f>IFERROR(_xlfn.XLOOKUP($A343,Input_Raw!$E:$E,Input_Raw!DF:DF),"")</f>
        <v/>
      </c>
      <c r="Z343" s="319" t="str">
        <f>IFERROR(_xlfn.XLOOKUP(A343,Input_Raw!E:E,Input_Raw!CT:CT)/_xlfn.XLOOKUP(A343,Input_Raw!E:E,Input_Raw!CS:CS)*Table13[[#This Row],[Mtr_Export (kWh)]],"")</f>
        <v/>
      </c>
      <c r="AA343" s="43" t="str">
        <f t="shared" si="33"/>
        <v/>
      </c>
      <c r="AB343" s="10" t="str">
        <f>IFERROR(_xlfn.XLOOKUP($A343,Input_Raw!$E:$E,Input_Raw!$CZ:$CZ),"")</f>
        <v/>
      </c>
      <c r="AC343" s="313">
        <f>IFERROR(_xlfn.XLOOKUP($D343,'Modelling New'!$D:$D,'Modelling New'!$J:$J),"")</f>
        <v>5.9681800514432695</v>
      </c>
      <c r="AD343" s="43">
        <f>IFERROR(_xlfn.XLOOKUP($D343,'Modelling New'!$D:$D,'Modelling New'!$T:$T)*1000,"")</f>
        <v>280595.16129032261</v>
      </c>
      <c r="AE343" s="312"/>
      <c r="AF343" s="312">
        <f>IFERROR(_xlfn.XLOOKUP($D343,'Modelling New'!$D:$D,'Modelling New'!$W:$W),"")</f>
        <v>0.23105662161587837</v>
      </c>
      <c r="AG343" s="312">
        <f>IFERROR(_xlfn.XLOOKUP($D343,'Modelling New'!$D:$D,'Modelling New'!$AE:$AE),"")</f>
        <v>0.95549849999999992</v>
      </c>
      <c r="AH343" s="312">
        <f>IFERROR(_xlfn.XLOOKUP($D343,'Modelling New'!$D:$D,'Modelling New'!$AF:$AF),"")</f>
        <v>0.995</v>
      </c>
      <c r="AI343" s="10" t="str">
        <f>IFERROR(_xlfn.XLOOKUP($A343,Input_Raw!$E:$E,Input_Raw!$DG:$DG),"")</f>
        <v/>
      </c>
      <c r="AJ343" s="10"/>
      <c r="AK343" s="10"/>
      <c r="AL343" s="10"/>
      <c r="AM343" s="10"/>
      <c r="AN343" s="314" t="str">
        <f>IFERROR(_xlfn.XLOOKUP($A343,Input_Raw!$E:$E,Input_Raw!$CY:$CY),"")</f>
        <v/>
      </c>
      <c r="AO343" s="312" t="str">
        <f>IFERROR((_xlfn.XLOOKUP($A343,'WTG Reactive Power'!$A:$A,'WTG Reactive Power'!AB:AB))/X343,"")</f>
        <v/>
      </c>
      <c r="AP343" s="312">
        <f>IFERROR(_xlfn.XLOOKUP($D343,'Modelling New'!$D:$D,'Modelling New'!AK:AK),"")</f>
        <v>0.05</v>
      </c>
      <c r="AQ343" s="312">
        <f>IFERROR(_xlfn.XLOOKUP($D343,'Modelling New'!$D:$D,'Modelling New'!AL:AL),"")</f>
        <v>0.05</v>
      </c>
      <c r="AR343" s="325">
        <f>IFERROR(_xlfn.XLOOKUP($D343,'Modelling New'!$D:$D,'Modelling New'!$N:$N),"")</f>
        <v>50.59999999999998</v>
      </c>
      <c r="AS343" s="325"/>
    </row>
    <row r="344" spans="1:45">
      <c r="A344" s="32">
        <f t="shared" si="34"/>
        <v>46087</v>
      </c>
      <c r="B344" s="43">
        <f>YEAR(Table13[[#This Row],[Date]])+IF(MONTH(Table13[[#This Row],[Date]])&gt;=4,1,0)</f>
        <v>2026</v>
      </c>
      <c r="C344" s="10">
        <f>YEAR(Table13[[#This Row],[Date]])</f>
        <v>2026</v>
      </c>
      <c r="D344" s="309">
        <f>Table13[[#This Row],[Date]]-DAY(Table13[[#This Row],[Date]])+1</f>
        <v>46082</v>
      </c>
      <c r="E344" s="10">
        <f t="shared" si="30"/>
        <v>31</v>
      </c>
      <c r="F344" s="241" t="str">
        <f>IFERROR(_xlfn.XLOOKUP($A344,Input_Raw!$E:$E,Input_Raw!DC:DC),"")</f>
        <v/>
      </c>
      <c r="G344" s="313"/>
      <c r="H344" s="313"/>
      <c r="I344" s="313"/>
      <c r="J344" s="313"/>
      <c r="K344" s="243"/>
      <c r="L344" s="242"/>
      <c r="M344" s="242" t="str">
        <f>IFERROR(_xlfn.XLOOKUP($A344,Input_Raw!$E:$E,Input_Raw!$BM:$BM),"")</f>
        <v/>
      </c>
      <c r="N344" s="242" t="str">
        <f>IFERROR(_xlfn.XLOOKUP($A344,Input_Raw!$E:$E,Input_Raw!$BN:$BN),"")</f>
        <v/>
      </c>
      <c r="O344" s="311" t="str">
        <f t="shared" si="31"/>
        <v/>
      </c>
      <c r="P344" s="311" t="str">
        <f>IFERROR(1-SUMIF(WTG_BD!$F:$F,$A344,WTG_BD!$AA:$AA)/($AA344+SUMIF(WTG_BD!$F:$F,$A344,WTG_BD!$AA:$AA)),"")</f>
        <v/>
      </c>
      <c r="Q344" s="328" t="str">
        <f>IFERROR(1-SUMIF(IGA_BD!$F:$F,$A344,IGA_BD!$W:$W)/($AA344+SUMIF(IGA_BD!$F:$F,$A344,IGA_BD!$W:$W)),"")</f>
        <v/>
      </c>
      <c r="R344" s="47" t="str">
        <f>IFERROR(1-SUMIF(Grid_BD!$F:$F,$A344,Grid_BD!$Y:$Y)/($AA344+SUMIF(Grid_BD!$F:$F,$A344,Grid_BD!$Y:$Y)),"")</f>
        <v/>
      </c>
      <c r="S344" s="10"/>
      <c r="T344" s="310"/>
      <c r="U344" s="311"/>
      <c r="V344" s="10"/>
      <c r="W344" s="312" t="str">
        <f t="shared" si="32"/>
        <v/>
      </c>
      <c r="X344" s="10" t="str">
        <f>IFERROR(_xlfn.XLOOKUP($A344,Input_Raw!$E:$E,Input_Raw!BG:BG),"")</f>
        <v/>
      </c>
      <c r="Y344" s="10" t="str">
        <f>IFERROR(_xlfn.XLOOKUP($A344,Input_Raw!$E:$E,Input_Raw!DF:DF),"")</f>
        <v/>
      </c>
      <c r="Z344" s="319" t="str">
        <f>IFERROR(_xlfn.XLOOKUP(A344,Input_Raw!E:E,Input_Raw!CT:CT)/_xlfn.XLOOKUP(A344,Input_Raw!E:E,Input_Raw!CS:CS)*Table13[[#This Row],[Mtr_Export (kWh)]],"")</f>
        <v/>
      </c>
      <c r="AA344" s="43" t="str">
        <f t="shared" si="33"/>
        <v/>
      </c>
      <c r="AB344" s="10" t="str">
        <f>IFERROR(_xlfn.XLOOKUP($A344,Input_Raw!$E:$E,Input_Raw!$CZ:$CZ),"")</f>
        <v/>
      </c>
      <c r="AC344" s="313">
        <f>IFERROR(_xlfn.XLOOKUP($D344,'Modelling New'!$D:$D,'Modelling New'!$J:$J),"")</f>
        <v>5.9681800514432695</v>
      </c>
      <c r="AD344" s="43">
        <f>IFERROR(_xlfn.XLOOKUP($D344,'Modelling New'!$D:$D,'Modelling New'!$T:$T)*1000,"")</f>
        <v>280595.16129032261</v>
      </c>
      <c r="AE344" s="312"/>
      <c r="AF344" s="312">
        <f>IFERROR(_xlfn.XLOOKUP($D344,'Modelling New'!$D:$D,'Modelling New'!$W:$W),"")</f>
        <v>0.23105662161587837</v>
      </c>
      <c r="AG344" s="312">
        <f>IFERROR(_xlfn.XLOOKUP($D344,'Modelling New'!$D:$D,'Modelling New'!$AE:$AE),"")</f>
        <v>0.95549849999999992</v>
      </c>
      <c r="AH344" s="312">
        <f>IFERROR(_xlfn.XLOOKUP($D344,'Modelling New'!$D:$D,'Modelling New'!$AF:$AF),"")</f>
        <v>0.995</v>
      </c>
      <c r="AI344" s="10" t="str">
        <f>IFERROR(_xlfn.XLOOKUP($A344,Input_Raw!$E:$E,Input_Raw!$DG:$DG),"")</f>
        <v/>
      </c>
      <c r="AJ344" s="10"/>
      <c r="AK344" s="10"/>
      <c r="AL344" s="10"/>
      <c r="AM344" s="10"/>
      <c r="AN344" s="314" t="str">
        <f>IFERROR(_xlfn.XLOOKUP($A344,Input_Raw!$E:$E,Input_Raw!$CY:$CY),"")</f>
        <v/>
      </c>
      <c r="AO344" s="312" t="str">
        <f>IFERROR((_xlfn.XLOOKUP($A344,'WTG Reactive Power'!$A:$A,'WTG Reactive Power'!AB:AB))/X344,"")</f>
        <v/>
      </c>
      <c r="AP344" s="312">
        <f>IFERROR(_xlfn.XLOOKUP($D344,'Modelling New'!$D:$D,'Modelling New'!AK:AK),"")</f>
        <v>0.05</v>
      </c>
      <c r="AQ344" s="312">
        <f>IFERROR(_xlfn.XLOOKUP($D344,'Modelling New'!$D:$D,'Modelling New'!AL:AL),"")</f>
        <v>0.05</v>
      </c>
      <c r="AR344" s="325">
        <f>IFERROR(_xlfn.XLOOKUP($D344,'Modelling New'!$D:$D,'Modelling New'!$N:$N),"")</f>
        <v>50.59999999999998</v>
      </c>
      <c r="AS344" s="325"/>
    </row>
    <row r="345" spans="1:45">
      <c r="A345" s="32">
        <f t="shared" si="34"/>
        <v>46088</v>
      </c>
      <c r="B345" s="43">
        <f>YEAR(Table13[[#This Row],[Date]])+IF(MONTH(Table13[[#This Row],[Date]])&gt;=4,1,0)</f>
        <v>2026</v>
      </c>
      <c r="C345" s="10">
        <f>YEAR(Table13[[#This Row],[Date]])</f>
        <v>2026</v>
      </c>
      <c r="D345" s="309">
        <f>Table13[[#This Row],[Date]]-DAY(Table13[[#This Row],[Date]])+1</f>
        <v>46082</v>
      </c>
      <c r="E345" s="10">
        <f t="shared" si="30"/>
        <v>31</v>
      </c>
      <c r="F345" s="241" t="str">
        <f>IFERROR(_xlfn.XLOOKUP($A345,Input_Raw!$E:$E,Input_Raw!DC:DC),"")</f>
        <v/>
      </c>
      <c r="G345" s="242"/>
      <c r="H345" s="242"/>
      <c r="I345" s="242"/>
      <c r="J345" s="242"/>
      <c r="K345" s="243"/>
      <c r="L345" s="242"/>
      <c r="M345" s="242" t="str">
        <f>IFERROR(_xlfn.XLOOKUP($A345,Input_Raw!$E:$E,Input_Raw!$BM:$BM),"")</f>
        <v/>
      </c>
      <c r="N345" s="242" t="str">
        <f>IFERROR(_xlfn.XLOOKUP($A345,Input_Raw!$E:$E,Input_Raw!$BN:$BN),"")</f>
        <v/>
      </c>
      <c r="O345" s="311" t="str">
        <f t="shared" si="31"/>
        <v/>
      </c>
      <c r="P345" s="311" t="str">
        <f>IFERROR(1-SUMIF(WTG_BD!$F:$F,$A345,WTG_BD!$AA:$AA)/($AA345+SUMIF(WTG_BD!$F:$F,$A345,WTG_BD!$AA:$AA)),"")</f>
        <v/>
      </c>
      <c r="Q345" s="328" t="str">
        <f>IFERROR(1-SUMIF(IGA_BD!$F:$F,$A345,IGA_BD!$W:$W)/($AA345+SUMIF(IGA_BD!$F:$F,$A345,IGA_BD!$W:$W)),"")</f>
        <v/>
      </c>
      <c r="R345" s="311" t="str">
        <f>IFERROR(1-SUMIF(Grid_BD!$F:$F,$A345,Grid_BD!$Y:$Y)/($AA345+SUMIF(Grid_BD!$F:$F,$A345,Grid_BD!$Y:$Y)),"")</f>
        <v/>
      </c>
      <c r="S345" s="10"/>
      <c r="T345" s="310"/>
      <c r="U345" s="311"/>
      <c r="V345" s="10"/>
      <c r="W345" s="312" t="str">
        <f t="shared" si="32"/>
        <v/>
      </c>
      <c r="X345" s="10" t="str">
        <f>IFERROR(_xlfn.XLOOKUP($A345,Input_Raw!$E:$E,Input_Raw!BG:BG),"")</f>
        <v/>
      </c>
      <c r="Y345" s="10" t="str">
        <f>IFERROR(_xlfn.XLOOKUP($A345,Input_Raw!$E:$E,Input_Raw!DF:DF),"")</f>
        <v/>
      </c>
      <c r="Z345" s="319" t="str">
        <f>IFERROR(_xlfn.XLOOKUP(A345,Input_Raw!E:E,Input_Raw!CT:CT)/_xlfn.XLOOKUP(A345,Input_Raw!E:E,Input_Raw!CS:CS)*Table13[[#This Row],[Mtr_Export (kWh)]],"")</f>
        <v/>
      </c>
      <c r="AA345" s="43" t="str">
        <f t="shared" si="33"/>
        <v/>
      </c>
      <c r="AB345" s="10" t="str">
        <f>IFERROR(_xlfn.XLOOKUP($A345,Input_Raw!$E:$E,Input_Raw!$CZ:$CZ),"")</f>
        <v/>
      </c>
      <c r="AC345" s="313">
        <f>IFERROR(_xlfn.XLOOKUP($D345,'Modelling New'!$D:$D,'Modelling New'!$J:$J),"")</f>
        <v>5.9681800514432695</v>
      </c>
      <c r="AD345" s="43">
        <f>IFERROR(_xlfn.XLOOKUP($D345,'Modelling New'!$D:$D,'Modelling New'!$T:$T)*1000,"")</f>
        <v>280595.16129032261</v>
      </c>
      <c r="AE345" s="312"/>
      <c r="AF345" s="312">
        <f>IFERROR(_xlfn.XLOOKUP($D345,'Modelling New'!$D:$D,'Modelling New'!$W:$W),"")</f>
        <v>0.23105662161587837</v>
      </c>
      <c r="AG345" s="312">
        <f>IFERROR(_xlfn.XLOOKUP($D345,'Modelling New'!$D:$D,'Modelling New'!$AE:$AE),"")</f>
        <v>0.95549849999999992</v>
      </c>
      <c r="AH345" s="312">
        <f>IFERROR(_xlfn.XLOOKUP($D345,'Modelling New'!$D:$D,'Modelling New'!$AF:$AF),"")</f>
        <v>0.995</v>
      </c>
      <c r="AI345" s="10" t="str">
        <f>IFERROR(_xlfn.XLOOKUP($A345,Input_Raw!$E:$E,Input_Raw!$DG:$DG),"")</f>
        <v/>
      </c>
      <c r="AJ345" s="10"/>
      <c r="AK345" s="10"/>
      <c r="AL345" s="10"/>
      <c r="AM345" s="10"/>
      <c r="AN345" s="314" t="str">
        <f>IFERROR(_xlfn.XLOOKUP($A345,Input_Raw!$E:$E,Input_Raw!$CY:$CY),"")</f>
        <v/>
      </c>
      <c r="AO345" s="312" t="str">
        <f>IFERROR((_xlfn.XLOOKUP($A345,'WTG Reactive Power'!$A:$A,'WTG Reactive Power'!AB:AB))/X345,"")</f>
        <v/>
      </c>
      <c r="AP345" s="312">
        <f>IFERROR(_xlfn.XLOOKUP($D345,'Modelling New'!$D:$D,'Modelling New'!AK:AK),"")</f>
        <v>0.05</v>
      </c>
      <c r="AQ345" s="312">
        <f>IFERROR(_xlfn.XLOOKUP($D345,'Modelling New'!$D:$D,'Modelling New'!AL:AL),"")</f>
        <v>0.05</v>
      </c>
      <c r="AR345" s="325">
        <f>IFERROR(_xlfn.XLOOKUP($D345,'Modelling New'!$D:$D,'Modelling New'!$N:$N),"")</f>
        <v>50.59999999999998</v>
      </c>
      <c r="AS345" s="325"/>
    </row>
    <row r="346" spans="1:45">
      <c r="A346" s="32">
        <f t="shared" si="34"/>
        <v>46089</v>
      </c>
      <c r="B346" s="43">
        <f>YEAR(Table13[[#This Row],[Date]])+IF(MONTH(Table13[[#This Row],[Date]])&gt;=4,1,0)</f>
        <v>2026</v>
      </c>
      <c r="C346" s="10">
        <f>YEAR(Table13[[#This Row],[Date]])</f>
        <v>2026</v>
      </c>
      <c r="D346" s="309">
        <f>Table13[[#This Row],[Date]]-DAY(Table13[[#This Row],[Date]])+1</f>
        <v>46082</v>
      </c>
      <c r="E346" s="10">
        <f t="shared" si="30"/>
        <v>31</v>
      </c>
      <c r="F346" s="241" t="str">
        <f>IFERROR(_xlfn.XLOOKUP($A346,Input_Raw!$E:$E,Input_Raw!DC:DC),"")</f>
        <v/>
      </c>
      <c r="G346" s="313"/>
      <c r="H346" s="313"/>
      <c r="I346" s="313"/>
      <c r="J346" s="313"/>
      <c r="K346" s="243"/>
      <c r="L346" s="242"/>
      <c r="M346" s="242" t="str">
        <f>IFERROR(_xlfn.XLOOKUP($A346,Input_Raw!$E:$E,Input_Raw!$BM:$BM),"")</f>
        <v/>
      </c>
      <c r="N346" s="242" t="str">
        <f>IFERROR(_xlfn.XLOOKUP($A346,Input_Raw!$E:$E,Input_Raw!$BN:$BN),"")</f>
        <v/>
      </c>
      <c r="O346" s="311" t="str">
        <f t="shared" si="31"/>
        <v/>
      </c>
      <c r="P346" s="311" t="str">
        <f>IFERROR(1-SUMIF(WTG_BD!$F:$F,$A346,WTG_BD!$AA:$AA)/($AA346+SUMIF(WTG_BD!$F:$F,$A346,WTG_BD!$AA:$AA)),"")</f>
        <v/>
      </c>
      <c r="Q346" s="328" t="str">
        <f>IFERROR(1-SUMIF(IGA_BD!$F:$F,$A346,IGA_BD!$W:$W)/($AA346+SUMIF(IGA_BD!$F:$F,$A346,IGA_BD!$W:$W)),"")</f>
        <v/>
      </c>
      <c r="R346" s="47" t="str">
        <f>IFERROR(1-SUMIF(Grid_BD!$F:$F,$A346,Grid_BD!$Y:$Y)/($AA346+SUMIF(Grid_BD!$F:$F,$A346,Grid_BD!$Y:$Y)),"")</f>
        <v/>
      </c>
      <c r="S346" s="10"/>
      <c r="T346" s="310"/>
      <c r="U346" s="311"/>
      <c r="V346" s="10"/>
      <c r="W346" s="312" t="str">
        <f t="shared" si="32"/>
        <v/>
      </c>
      <c r="X346" s="10" t="str">
        <f>IFERROR(_xlfn.XLOOKUP($A346,Input_Raw!$E:$E,Input_Raw!BG:BG),"")</f>
        <v/>
      </c>
      <c r="Y346" s="10" t="str">
        <f>IFERROR(_xlfn.XLOOKUP($A346,Input_Raw!$E:$E,Input_Raw!DF:DF),"")</f>
        <v/>
      </c>
      <c r="Z346" s="319" t="str">
        <f>IFERROR(_xlfn.XLOOKUP(A346,Input_Raw!E:E,Input_Raw!CT:CT)/_xlfn.XLOOKUP(A346,Input_Raw!E:E,Input_Raw!CS:CS)*Table13[[#This Row],[Mtr_Export (kWh)]],"")</f>
        <v/>
      </c>
      <c r="AA346" s="43" t="str">
        <f t="shared" si="33"/>
        <v/>
      </c>
      <c r="AB346" s="10" t="str">
        <f>IFERROR(_xlfn.XLOOKUP($A346,Input_Raw!$E:$E,Input_Raw!$CZ:$CZ),"")</f>
        <v/>
      </c>
      <c r="AC346" s="313">
        <f>IFERROR(_xlfn.XLOOKUP($D346,'Modelling New'!$D:$D,'Modelling New'!$J:$J),"")</f>
        <v>5.9681800514432695</v>
      </c>
      <c r="AD346" s="43">
        <f>IFERROR(_xlfn.XLOOKUP($D346,'Modelling New'!$D:$D,'Modelling New'!$T:$T)*1000,"")</f>
        <v>280595.16129032261</v>
      </c>
      <c r="AE346" s="312"/>
      <c r="AF346" s="312">
        <f>IFERROR(_xlfn.XLOOKUP($D346,'Modelling New'!$D:$D,'Modelling New'!$W:$W),"")</f>
        <v>0.23105662161587837</v>
      </c>
      <c r="AG346" s="312">
        <f>IFERROR(_xlfn.XLOOKUP($D346,'Modelling New'!$D:$D,'Modelling New'!$AE:$AE),"")</f>
        <v>0.95549849999999992</v>
      </c>
      <c r="AH346" s="312">
        <f>IFERROR(_xlfn.XLOOKUP($D346,'Modelling New'!$D:$D,'Modelling New'!$AF:$AF),"")</f>
        <v>0.995</v>
      </c>
      <c r="AI346" s="10" t="str">
        <f>IFERROR(_xlfn.XLOOKUP($A346,Input_Raw!$E:$E,Input_Raw!$DG:$DG),"")</f>
        <v/>
      </c>
      <c r="AJ346" s="10"/>
      <c r="AK346" s="10"/>
      <c r="AL346" s="10"/>
      <c r="AM346" s="10"/>
      <c r="AN346" s="314" t="str">
        <f>IFERROR(_xlfn.XLOOKUP($A346,Input_Raw!$E:$E,Input_Raw!$CY:$CY),"")</f>
        <v/>
      </c>
      <c r="AO346" s="312" t="str">
        <f>IFERROR((_xlfn.XLOOKUP($A346,'WTG Reactive Power'!$A:$A,'WTG Reactive Power'!AB:AB))/X346,"")</f>
        <v/>
      </c>
      <c r="AP346" s="312">
        <f>IFERROR(_xlfn.XLOOKUP($D346,'Modelling New'!$D:$D,'Modelling New'!AK:AK),"")</f>
        <v>0.05</v>
      </c>
      <c r="AQ346" s="312">
        <f>IFERROR(_xlfn.XLOOKUP($D346,'Modelling New'!$D:$D,'Modelling New'!AL:AL),"")</f>
        <v>0.05</v>
      </c>
      <c r="AR346" s="325">
        <f>IFERROR(_xlfn.XLOOKUP($D346,'Modelling New'!$D:$D,'Modelling New'!$N:$N),"")</f>
        <v>50.59999999999998</v>
      </c>
      <c r="AS346" s="325"/>
    </row>
    <row r="347" spans="1:45">
      <c r="A347" s="32">
        <f t="shared" si="34"/>
        <v>46090</v>
      </c>
      <c r="B347" s="43">
        <f>YEAR(Table13[[#This Row],[Date]])+IF(MONTH(Table13[[#This Row],[Date]])&gt;=4,1,0)</f>
        <v>2026</v>
      </c>
      <c r="C347" s="10">
        <f>YEAR(Table13[[#This Row],[Date]])</f>
        <v>2026</v>
      </c>
      <c r="D347" s="309">
        <f>Table13[[#This Row],[Date]]-DAY(Table13[[#This Row],[Date]])+1</f>
        <v>46082</v>
      </c>
      <c r="E347" s="10">
        <f t="shared" si="30"/>
        <v>31</v>
      </c>
      <c r="F347" s="241" t="str">
        <f>IFERROR(_xlfn.XLOOKUP($A347,Input_Raw!$E:$E,Input_Raw!DC:DC),"")</f>
        <v/>
      </c>
      <c r="G347" s="242"/>
      <c r="H347" s="242"/>
      <c r="I347" s="242"/>
      <c r="J347" s="242"/>
      <c r="K347" s="243"/>
      <c r="L347" s="242"/>
      <c r="M347" s="242" t="str">
        <f>IFERROR(_xlfn.XLOOKUP($A347,Input_Raw!$E:$E,Input_Raw!$BM:$BM),"")</f>
        <v/>
      </c>
      <c r="N347" s="242" t="str">
        <f>IFERROR(_xlfn.XLOOKUP($A347,Input_Raw!$E:$E,Input_Raw!$BN:$BN),"")</f>
        <v/>
      </c>
      <c r="O347" s="311" t="str">
        <f t="shared" si="31"/>
        <v/>
      </c>
      <c r="P347" s="311" t="str">
        <f>IFERROR(1-SUMIF(WTG_BD!$F:$F,$A347,WTG_BD!$AA:$AA)/($AA347+SUMIF(WTG_BD!$F:$F,$A347,WTG_BD!$AA:$AA)),"")</f>
        <v/>
      </c>
      <c r="Q347" s="328" t="str">
        <f>IFERROR(1-SUMIF(IGA_BD!$F:$F,$A347,IGA_BD!$W:$W)/($AA347+SUMIF(IGA_BD!$F:$F,$A347,IGA_BD!$W:$W)),"")</f>
        <v/>
      </c>
      <c r="R347" s="311" t="str">
        <f>IFERROR(1-SUMIF(Grid_BD!$F:$F,$A347,Grid_BD!$Y:$Y)/($AA347+SUMIF(Grid_BD!$F:$F,$A347,Grid_BD!$Y:$Y)),"")</f>
        <v/>
      </c>
      <c r="S347" s="10"/>
      <c r="T347" s="310"/>
      <c r="U347" s="311"/>
      <c r="V347" s="10"/>
      <c r="W347" s="312" t="str">
        <f t="shared" si="32"/>
        <v/>
      </c>
      <c r="X347" s="10" t="str">
        <f>IFERROR(_xlfn.XLOOKUP($A347,Input_Raw!$E:$E,Input_Raw!BG:BG),"")</f>
        <v/>
      </c>
      <c r="Y347" s="10" t="str">
        <f>IFERROR(_xlfn.XLOOKUP($A347,Input_Raw!$E:$E,Input_Raw!DF:DF),"")</f>
        <v/>
      </c>
      <c r="Z347" s="319" t="str">
        <f>IFERROR(_xlfn.XLOOKUP(A347,Input_Raw!E:E,Input_Raw!CT:CT)/_xlfn.XLOOKUP(A347,Input_Raw!E:E,Input_Raw!CS:CS)*Table13[[#This Row],[Mtr_Export (kWh)]],"")</f>
        <v/>
      </c>
      <c r="AA347" s="43" t="str">
        <f t="shared" si="33"/>
        <v/>
      </c>
      <c r="AB347" s="10" t="str">
        <f>IFERROR(_xlfn.XLOOKUP($A347,Input_Raw!$E:$E,Input_Raw!$CZ:$CZ),"")</f>
        <v/>
      </c>
      <c r="AC347" s="313">
        <f>IFERROR(_xlfn.XLOOKUP($D347,'Modelling New'!$D:$D,'Modelling New'!$J:$J),"")</f>
        <v>5.9681800514432695</v>
      </c>
      <c r="AD347" s="43">
        <f>IFERROR(_xlfn.XLOOKUP($D347,'Modelling New'!$D:$D,'Modelling New'!$T:$T)*1000,"")</f>
        <v>280595.16129032261</v>
      </c>
      <c r="AE347" s="312"/>
      <c r="AF347" s="312">
        <f>IFERROR(_xlfn.XLOOKUP($D347,'Modelling New'!$D:$D,'Modelling New'!$W:$W),"")</f>
        <v>0.23105662161587837</v>
      </c>
      <c r="AG347" s="312">
        <f>IFERROR(_xlfn.XLOOKUP($D347,'Modelling New'!$D:$D,'Modelling New'!$AE:$AE),"")</f>
        <v>0.95549849999999992</v>
      </c>
      <c r="AH347" s="312">
        <f>IFERROR(_xlfn.XLOOKUP($D347,'Modelling New'!$D:$D,'Modelling New'!$AF:$AF),"")</f>
        <v>0.995</v>
      </c>
      <c r="AI347" s="10" t="str">
        <f>IFERROR(_xlfn.XLOOKUP($A347,Input_Raw!$E:$E,Input_Raw!$DG:$DG),"")</f>
        <v/>
      </c>
      <c r="AJ347" s="10"/>
      <c r="AK347" s="10"/>
      <c r="AL347" s="10"/>
      <c r="AM347" s="10"/>
      <c r="AN347" s="314" t="str">
        <f>IFERROR(_xlfn.XLOOKUP($A347,Input_Raw!$E:$E,Input_Raw!$CY:$CY),"")</f>
        <v/>
      </c>
      <c r="AO347" s="312" t="str">
        <f>IFERROR((_xlfn.XLOOKUP($A347,'WTG Reactive Power'!$A:$A,'WTG Reactive Power'!AB:AB))/X347,"")</f>
        <v/>
      </c>
      <c r="AP347" s="312">
        <f>IFERROR(_xlfn.XLOOKUP($D347,'Modelling New'!$D:$D,'Modelling New'!AK:AK),"")</f>
        <v>0.05</v>
      </c>
      <c r="AQ347" s="312">
        <f>IFERROR(_xlfn.XLOOKUP($D347,'Modelling New'!$D:$D,'Modelling New'!AL:AL),"")</f>
        <v>0.05</v>
      </c>
      <c r="AR347" s="325">
        <f>IFERROR(_xlfn.XLOOKUP($D347,'Modelling New'!$D:$D,'Modelling New'!$N:$N),"")</f>
        <v>50.59999999999998</v>
      </c>
      <c r="AS347" s="325"/>
    </row>
    <row r="348" spans="1:45">
      <c r="A348" s="32">
        <f t="shared" si="34"/>
        <v>46091</v>
      </c>
      <c r="B348" s="43">
        <f>YEAR(Table13[[#This Row],[Date]])+IF(MONTH(Table13[[#This Row],[Date]])&gt;=4,1,0)</f>
        <v>2026</v>
      </c>
      <c r="C348" s="10">
        <f>YEAR(Table13[[#This Row],[Date]])</f>
        <v>2026</v>
      </c>
      <c r="D348" s="309">
        <f>Table13[[#This Row],[Date]]-DAY(Table13[[#This Row],[Date]])+1</f>
        <v>46082</v>
      </c>
      <c r="E348" s="10">
        <f t="shared" si="30"/>
        <v>31</v>
      </c>
      <c r="F348" s="241" t="str">
        <f>IFERROR(_xlfn.XLOOKUP($A348,Input_Raw!$E:$E,Input_Raw!DC:DC),"")</f>
        <v/>
      </c>
      <c r="G348" s="313"/>
      <c r="H348" s="313"/>
      <c r="I348" s="313"/>
      <c r="J348" s="313"/>
      <c r="K348" s="243"/>
      <c r="L348" s="242"/>
      <c r="M348" s="242" t="str">
        <f>IFERROR(_xlfn.XLOOKUP($A348,Input_Raw!$E:$E,Input_Raw!$BM:$BM),"")</f>
        <v/>
      </c>
      <c r="N348" s="242" t="str">
        <f>IFERROR(_xlfn.XLOOKUP($A348,Input_Raw!$E:$E,Input_Raw!$BN:$BN),"")</f>
        <v/>
      </c>
      <c r="O348" s="311" t="str">
        <f t="shared" si="31"/>
        <v/>
      </c>
      <c r="P348" s="311" t="str">
        <f>IFERROR(1-SUMIF(WTG_BD!$F:$F,$A348,WTG_BD!$AA:$AA)/($AA348+SUMIF(WTG_BD!$F:$F,$A348,WTG_BD!$AA:$AA)),"")</f>
        <v/>
      </c>
      <c r="Q348" s="328" t="str">
        <f>IFERROR(1-SUMIF(IGA_BD!$F:$F,$A348,IGA_BD!$W:$W)/($AA348+SUMIF(IGA_BD!$F:$F,$A348,IGA_BD!$W:$W)),"")</f>
        <v/>
      </c>
      <c r="R348" s="47" t="str">
        <f>IFERROR(1-SUMIF(Grid_BD!$F:$F,$A348,Grid_BD!$Y:$Y)/($AA348+SUMIF(Grid_BD!$F:$F,$A348,Grid_BD!$Y:$Y)),"")</f>
        <v/>
      </c>
      <c r="S348" s="10"/>
      <c r="T348" s="310"/>
      <c r="U348" s="311"/>
      <c r="V348" s="10"/>
      <c r="W348" s="312" t="str">
        <f t="shared" si="32"/>
        <v/>
      </c>
      <c r="X348" s="10" t="str">
        <f>IFERROR(_xlfn.XLOOKUP($A348,Input_Raw!$E:$E,Input_Raw!BG:BG),"")</f>
        <v/>
      </c>
      <c r="Y348" s="10" t="str">
        <f>IFERROR(_xlfn.XLOOKUP($A348,Input_Raw!$E:$E,Input_Raw!DF:DF),"")</f>
        <v/>
      </c>
      <c r="Z348" s="319" t="str">
        <f>IFERROR(_xlfn.XLOOKUP(A348,Input_Raw!E:E,Input_Raw!CT:CT)/_xlfn.XLOOKUP(A348,Input_Raw!E:E,Input_Raw!CS:CS)*Table13[[#This Row],[Mtr_Export (kWh)]],"")</f>
        <v/>
      </c>
      <c r="AA348" s="43" t="str">
        <f t="shared" si="33"/>
        <v/>
      </c>
      <c r="AB348" s="10" t="str">
        <f>IFERROR(_xlfn.XLOOKUP($A348,Input_Raw!$E:$E,Input_Raw!$CZ:$CZ),"")</f>
        <v/>
      </c>
      <c r="AC348" s="313">
        <f>IFERROR(_xlfn.XLOOKUP($D348,'Modelling New'!$D:$D,'Modelling New'!$J:$J),"")</f>
        <v>5.9681800514432695</v>
      </c>
      <c r="AD348" s="43">
        <f>IFERROR(_xlfn.XLOOKUP($D348,'Modelling New'!$D:$D,'Modelling New'!$T:$T)*1000,"")</f>
        <v>280595.16129032261</v>
      </c>
      <c r="AE348" s="312"/>
      <c r="AF348" s="312">
        <f>IFERROR(_xlfn.XLOOKUP($D348,'Modelling New'!$D:$D,'Modelling New'!$W:$W),"")</f>
        <v>0.23105662161587837</v>
      </c>
      <c r="AG348" s="312">
        <f>IFERROR(_xlfn.XLOOKUP($D348,'Modelling New'!$D:$D,'Modelling New'!$AE:$AE),"")</f>
        <v>0.95549849999999992</v>
      </c>
      <c r="AH348" s="312">
        <f>IFERROR(_xlfn.XLOOKUP($D348,'Modelling New'!$D:$D,'Modelling New'!$AF:$AF),"")</f>
        <v>0.995</v>
      </c>
      <c r="AI348" s="10" t="str">
        <f>IFERROR(_xlfn.XLOOKUP($A348,Input_Raw!$E:$E,Input_Raw!$DG:$DG),"")</f>
        <v/>
      </c>
      <c r="AJ348" s="10"/>
      <c r="AK348" s="10"/>
      <c r="AL348" s="10"/>
      <c r="AM348" s="10"/>
      <c r="AN348" s="314" t="str">
        <f>IFERROR(_xlfn.XLOOKUP($A348,Input_Raw!$E:$E,Input_Raw!$CY:$CY),"")</f>
        <v/>
      </c>
      <c r="AO348" s="312" t="str">
        <f>IFERROR((_xlfn.XLOOKUP($A348,'WTG Reactive Power'!$A:$A,'WTG Reactive Power'!AB:AB))/X348,"")</f>
        <v/>
      </c>
      <c r="AP348" s="312">
        <f>IFERROR(_xlfn.XLOOKUP($D348,'Modelling New'!$D:$D,'Modelling New'!AK:AK),"")</f>
        <v>0.05</v>
      </c>
      <c r="AQ348" s="312">
        <f>IFERROR(_xlfn.XLOOKUP($D348,'Modelling New'!$D:$D,'Modelling New'!AL:AL),"")</f>
        <v>0.05</v>
      </c>
      <c r="AR348" s="325">
        <f>IFERROR(_xlfn.XLOOKUP($D348,'Modelling New'!$D:$D,'Modelling New'!$N:$N),"")</f>
        <v>50.59999999999998</v>
      </c>
      <c r="AS348" s="325"/>
    </row>
    <row r="349" spans="1:45">
      <c r="A349" s="32">
        <f t="shared" si="34"/>
        <v>46092</v>
      </c>
      <c r="B349" s="43">
        <f>YEAR(Table13[[#This Row],[Date]])+IF(MONTH(Table13[[#This Row],[Date]])&gt;=4,1,0)</f>
        <v>2026</v>
      </c>
      <c r="C349" s="10">
        <f>YEAR(Table13[[#This Row],[Date]])</f>
        <v>2026</v>
      </c>
      <c r="D349" s="309">
        <f>Table13[[#This Row],[Date]]-DAY(Table13[[#This Row],[Date]])+1</f>
        <v>46082</v>
      </c>
      <c r="E349" s="10">
        <f t="shared" si="30"/>
        <v>31</v>
      </c>
      <c r="F349" s="241" t="str">
        <f>IFERROR(_xlfn.XLOOKUP($A349,Input_Raw!$E:$E,Input_Raw!DC:DC),"")</f>
        <v/>
      </c>
      <c r="G349" s="242"/>
      <c r="H349" s="242"/>
      <c r="I349" s="242"/>
      <c r="J349" s="242"/>
      <c r="K349" s="243"/>
      <c r="L349" s="242"/>
      <c r="M349" s="242" t="str">
        <f>IFERROR(_xlfn.XLOOKUP($A349,Input_Raw!$E:$E,Input_Raw!$BM:$BM),"")</f>
        <v/>
      </c>
      <c r="N349" s="242" t="str">
        <f>IFERROR(_xlfn.XLOOKUP($A349,Input_Raw!$E:$E,Input_Raw!$BN:$BN),"")</f>
        <v/>
      </c>
      <c r="O349" s="311" t="str">
        <f t="shared" si="31"/>
        <v/>
      </c>
      <c r="P349" s="311" t="str">
        <f>IFERROR(1-SUMIF(WTG_BD!$F:$F,$A349,WTG_BD!$AA:$AA)/($AA349+SUMIF(WTG_BD!$F:$F,$A349,WTG_BD!$AA:$AA)),"")</f>
        <v/>
      </c>
      <c r="Q349" s="328" t="str">
        <f>IFERROR(1-SUMIF(IGA_BD!$F:$F,$A349,IGA_BD!$W:$W)/($AA349+SUMIF(IGA_BD!$F:$F,$A349,IGA_BD!$W:$W)),"")</f>
        <v/>
      </c>
      <c r="R349" s="311" t="str">
        <f>IFERROR(1-SUMIF(Grid_BD!$F:$F,$A349,Grid_BD!$Y:$Y)/($AA349+SUMIF(Grid_BD!$F:$F,$A349,Grid_BD!$Y:$Y)),"")</f>
        <v/>
      </c>
      <c r="S349" s="10"/>
      <c r="T349" s="310"/>
      <c r="U349" s="311"/>
      <c r="V349" s="10"/>
      <c r="W349" s="312" t="str">
        <f t="shared" si="32"/>
        <v/>
      </c>
      <c r="X349" s="10" t="str">
        <f>IFERROR(_xlfn.XLOOKUP($A349,Input_Raw!$E:$E,Input_Raw!BG:BG),"")</f>
        <v/>
      </c>
      <c r="Y349" s="10" t="str">
        <f>IFERROR(_xlfn.XLOOKUP($A349,Input_Raw!$E:$E,Input_Raw!DF:DF),"")</f>
        <v/>
      </c>
      <c r="Z349" s="319" t="str">
        <f>IFERROR(_xlfn.XLOOKUP(A349,Input_Raw!E:E,Input_Raw!CT:CT)/_xlfn.XLOOKUP(A349,Input_Raw!E:E,Input_Raw!CS:CS)*Table13[[#This Row],[Mtr_Export (kWh)]],"")</f>
        <v/>
      </c>
      <c r="AA349" s="43" t="str">
        <f t="shared" si="33"/>
        <v/>
      </c>
      <c r="AB349" s="10" t="str">
        <f>IFERROR(_xlfn.XLOOKUP($A349,Input_Raw!$E:$E,Input_Raw!$CZ:$CZ),"")</f>
        <v/>
      </c>
      <c r="AC349" s="313">
        <f>IFERROR(_xlfn.XLOOKUP($D349,'Modelling New'!$D:$D,'Modelling New'!$J:$J),"")</f>
        <v>5.9681800514432695</v>
      </c>
      <c r="AD349" s="43">
        <f>IFERROR(_xlfn.XLOOKUP($D349,'Modelling New'!$D:$D,'Modelling New'!$T:$T)*1000,"")</f>
        <v>280595.16129032261</v>
      </c>
      <c r="AE349" s="312"/>
      <c r="AF349" s="312">
        <f>IFERROR(_xlfn.XLOOKUP($D349,'Modelling New'!$D:$D,'Modelling New'!$W:$W),"")</f>
        <v>0.23105662161587837</v>
      </c>
      <c r="AG349" s="312">
        <f>IFERROR(_xlfn.XLOOKUP($D349,'Modelling New'!$D:$D,'Modelling New'!$AE:$AE),"")</f>
        <v>0.95549849999999992</v>
      </c>
      <c r="AH349" s="312">
        <f>IFERROR(_xlfn.XLOOKUP($D349,'Modelling New'!$D:$D,'Modelling New'!$AF:$AF),"")</f>
        <v>0.995</v>
      </c>
      <c r="AI349" s="10" t="str">
        <f>IFERROR(_xlfn.XLOOKUP($A349,Input_Raw!$E:$E,Input_Raw!$DG:$DG),"")</f>
        <v/>
      </c>
      <c r="AJ349" s="10"/>
      <c r="AK349" s="10"/>
      <c r="AL349" s="10"/>
      <c r="AM349" s="10"/>
      <c r="AN349" s="314" t="str">
        <f>IFERROR(_xlfn.XLOOKUP($A349,Input_Raw!$E:$E,Input_Raw!$CY:$CY),"")</f>
        <v/>
      </c>
      <c r="AO349" s="312" t="str">
        <f>IFERROR((_xlfn.XLOOKUP($A349,'WTG Reactive Power'!$A:$A,'WTG Reactive Power'!AB:AB))/X349,"")</f>
        <v/>
      </c>
      <c r="AP349" s="312">
        <f>IFERROR(_xlfn.XLOOKUP($D349,'Modelling New'!$D:$D,'Modelling New'!AK:AK),"")</f>
        <v>0.05</v>
      </c>
      <c r="AQ349" s="312">
        <f>IFERROR(_xlfn.XLOOKUP($D349,'Modelling New'!$D:$D,'Modelling New'!AL:AL),"")</f>
        <v>0.05</v>
      </c>
      <c r="AR349" s="325">
        <f>IFERROR(_xlfn.XLOOKUP($D349,'Modelling New'!$D:$D,'Modelling New'!$N:$N),"")</f>
        <v>50.59999999999998</v>
      </c>
      <c r="AS349" s="325"/>
    </row>
    <row r="350" spans="1:45">
      <c r="A350" s="32">
        <f t="shared" si="34"/>
        <v>46093</v>
      </c>
      <c r="B350" s="43">
        <f>YEAR(Table13[[#This Row],[Date]])+IF(MONTH(Table13[[#This Row],[Date]])&gt;=4,1,0)</f>
        <v>2026</v>
      </c>
      <c r="C350" s="10">
        <f>YEAR(Table13[[#This Row],[Date]])</f>
        <v>2026</v>
      </c>
      <c r="D350" s="309">
        <f>Table13[[#This Row],[Date]]-DAY(Table13[[#This Row],[Date]])+1</f>
        <v>46082</v>
      </c>
      <c r="E350" s="10">
        <f t="shared" si="30"/>
        <v>31</v>
      </c>
      <c r="F350" s="241" t="str">
        <f>IFERROR(_xlfn.XLOOKUP($A350,Input_Raw!$E:$E,Input_Raw!DC:DC),"")</f>
        <v/>
      </c>
      <c r="G350" s="313"/>
      <c r="H350" s="313"/>
      <c r="I350" s="313"/>
      <c r="J350" s="313"/>
      <c r="K350" s="243"/>
      <c r="L350" s="242"/>
      <c r="M350" s="242" t="str">
        <f>IFERROR(_xlfn.XLOOKUP($A350,Input_Raw!$E:$E,Input_Raw!$BM:$BM),"")</f>
        <v/>
      </c>
      <c r="N350" s="242" t="str">
        <f>IFERROR(_xlfn.XLOOKUP($A350,Input_Raw!$E:$E,Input_Raw!$BN:$BN),"")</f>
        <v/>
      </c>
      <c r="O350" s="311" t="str">
        <f t="shared" si="31"/>
        <v/>
      </c>
      <c r="P350" s="311" t="str">
        <f>IFERROR(1-SUMIF(WTG_BD!$F:$F,$A350,WTG_BD!$AA:$AA)/($AA350+SUMIF(WTG_BD!$F:$F,$A350,WTG_BD!$AA:$AA)),"")</f>
        <v/>
      </c>
      <c r="Q350" s="328" t="str">
        <f>IFERROR(1-SUMIF(IGA_BD!$F:$F,$A350,IGA_BD!$W:$W)/($AA350+SUMIF(IGA_BD!$F:$F,$A350,IGA_BD!$W:$W)),"")</f>
        <v/>
      </c>
      <c r="R350" s="47" t="str">
        <f>IFERROR(1-SUMIF(Grid_BD!$F:$F,$A350,Grid_BD!$Y:$Y)/($AA350+SUMIF(Grid_BD!$F:$F,$A350,Grid_BD!$Y:$Y)),"")</f>
        <v/>
      </c>
      <c r="S350" s="10"/>
      <c r="T350" s="310"/>
      <c r="U350" s="311"/>
      <c r="V350" s="10"/>
      <c r="W350" s="312" t="str">
        <f t="shared" si="32"/>
        <v/>
      </c>
      <c r="X350" s="10" t="str">
        <f>IFERROR(_xlfn.XLOOKUP($A350,Input_Raw!$E:$E,Input_Raw!BG:BG),"")</f>
        <v/>
      </c>
      <c r="Y350" s="10" t="str">
        <f>IFERROR(_xlfn.XLOOKUP($A350,Input_Raw!$E:$E,Input_Raw!DF:DF),"")</f>
        <v/>
      </c>
      <c r="Z350" s="319" t="str">
        <f>IFERROR(_xlfn.XLOOKUP(A350,Input_Raw!E:E,Input_Raw!CT:CT)/_xlfn.XLOOKUP(A350,Input_Raw!E:E,Input_Raw!CS:CS)*Table13[[#This Row],[Mtr_Export (kWh)]],"")</f>
        <v/>
      </c>
      <c r="AA350" s="43" t="str">
        <f t="shared" si="33"/>
        <v/>
      </c>
      <c r="AB350" s="10" t="str">
        <f>IFERROR(_xlfn.XLOOKUP($A350,Input_Raw!$E:$E,Input_Raw!$CZ:$CZ),"")</f>
        <v/>
      </c>
      <c r="AC350" s="313">
        <f>IFERROR(_xlfn.XLOOKUP($D350,'Modelling New'!$D:$D,'Modelling New'!$J:$J),"")</f>
        <v>5.9681800514432695</v>
      </c>
      <c r="AD350" s="43">
        <f>IFERROR(_xlfn.XLOOKUP($D350,'Modelling New'!$D:$D,'Modelling New'!$T:$T)*1000,"")</f>
        <v>280595.16129032261</v>
      </c>
      <c r="AE350" s="312"/>
      <c r="AF350" s="312">
        <f>IFERROR(_xlfn.XLOOKUP($D350,'Modelling New'!$D:$D,'Modelling New'!$W:$W),"")</f>
        <v>0.23105662161587837</v>
      </c>
      <c r="AG350" s="312">
        <f>IFERROR(_xlfn.XLOOKUP($D350,'Modelling New'!$D:$D,'Modelling New'!$AE:$AE),"")</f>
        <v>0.95549849999999992</v>
      </c>
      <c r="AH350" s="312">
        <f>IFERROR(_xlfn.XLOOKUP($D350,'Modelling New'!$D:$D,'Modelling New'!$AF:$AF),"")</f>
        <v>0.995</v>
      </c>
      <c r="AI350" s="10" t="str">
        <f>IFERROR(_xlfn.XLOOKUP($A350,Input_Raw!$E:$E,Input_Raw!$DG:$DG),"")</f>
        <v/>
      </c>
      <c r="AJ350" s="10"/>
      <c r="AK350" s="10"/>
      <c r="AL350" s="10"/>
      <c r="AM350" s="10"/>
      <c r="AN350" s="314" t="str">
        <f>IFERROR(_xlfn.XLOOKUP($A350,Input_Raw!$E:$E,Input_Raw!$CY:$CY),"")</f>
        <v/>
      </c>
      <c r="AO350" s="312" t="str">
        <f>IFERROR((_xlfn.XLOOKUP($A350,'WTG Reactive Power'!$A:$A,'WTG Reactive Power'!AB:AB))/X350,"")</f>
        <v/>
      </c>
      <c r="AP350" s="312">
        <f>IFERROR(_xlfn.XLOOKUP($D350,'Modelling New'!$D:$D,'Modelling New'!AK:AK),"")</f>
        <v>0.05</v>
      </c>
      <c r="AQ350" s="312">
        <f>IFERROR(_xlfn.XLOOKUP($D350,'Modelling New'!$D:$D,'Modelling New'!AL:AL),"")</f>
        <v>0.05</v>
      </c>
      <c r="AR350" s="325">
        <f>IFERROR(_xlfn.XLOOKUP($D350,'Modelling New'!$D:$D,'Modelling New'!$N:$N),"")</f>
        <v>50.59999999999998</v>
      </c>
      <c r="AS350" s="325"/>
    </row>
    <row r="351" spans="1:45">
      <c r="A351" s="32">
        <f t="shared" si="34"/>
        <v>46094</v>
      </c>
      <c r="B351" s="43">
        <f>YEAR(Table13[[#This Row],[Date]])+IF(MONTH(Table13[[#This Row],[Date]])&gt;=4,1,0)</f>
        <v>2026</v>
      </c>
      <c r="C351" s="10">
        <f>YEAR(Table13[[#This Row],[Date]])</f>
        <v>2026</v>
      </c>
      <c r="D351" s="309">
        <f>Table13[[#This Row],[Date]]-DAY(Table13[[#This Row],[Date]])+1</f>
        <v>46082</v>
      </c>
      <c r="E351" s="10">
        <f t="shared" si="30"/>
        <v>31</v>
      </c>
      <c r="F351" s="241" t="str">
        <f>IFERROR(_xlfn.XLOOKUP($A351,Input_Raw!$E:$E,Input_Raw!DC:DC),"")</f>
        <v/>
      </c>
      <c r="G351" s="242"/>
      <c r="H351" s="242"/>
      <c r="I351" s="242"/>
      <c r="J351" s="242"/>
      <c r="K351" s="243"/>
      <c r="L351" s="242"/>
      <c r="M351" s="242" t="str">
        <f>IFERROR(_xlfn.XLOOKUP($A351,Input_Raw!$E:$E,Input_Raw!$BM:$BM),"")</f>
        <v/>
      </c>
      <c r="N351" s="242" t="str">
        <f>IFERROR(_xlfn.XLOOKUP($A351,Input_Raw!$E:$E,Input_Raw!$BN:$BN),"")</f>
        <v/>
      </c>
      <c r="O351" s="311" t="str">
        <f t="shared" si="31"/>
        <v/>
      </c>
      <c r="P351" s="311" t="str">
        <f>IFERROR(1-SUMIF(WTG_BD!$F:$F,$A351,WTG_BD!$AA:$AA)/($AA351+SUMIF(WTG_BD!$F:$F,$A351,WTG_BD!$AA:$AA)),"")</f>
        <v/>
      </c>
      <c r="Q351" s="328" t="str">
        <f>IFERROR(1-SUMIF(IGA_BD!$F:$F,$A351,IGA_BD!$W:$W)/($AA351+SUMIF(IGA_BD!$F:$F,$A351,IGA_BD!$W:$W)),"")</f>
        <v/>
      </c>
      <c r="R351" s="311" t="str">
        <f>IFERROR(1-SUMIF(Grid_BD!$F:$F,$A351,Grid_BD!$Y:$Y)/($AA351+SUMIF(Grid_BD!$F:$F,$A351,Grid_BD!$Y:$Y)),"")</f>
        <v/>
      </c>
      <c r="S351" s="10"/>
      <c r="T351" s="310"/>
      <c r="U351" s="311"/>
      <c r="V351" s="10"/>
      <c r="W351" s="312" t="str">
        <f t="shared" si="32"/>
        <v/>
      </c>
      <c r="X351" s="10" t="str">
        <f>IFERROR(_xlfn.XLOOKUP($A351,Input_Raw!$E:$E,Input_Raw!BG:BG),"")</f>
        <v/>
      </c>
      <c r="Y351" s="10" t="str">
        <f>IFERROR(_xlfn.XLOOKUP($A351,Input_Raw!$E:$E,Input_Raw!DF:DF),"")</f>
        <v/>
      </c>
      <c r="Z351" s="319" t="str">
        <f>IFERROR(_xlfn.XLOOKUP(A351,Input_Raw!E:E,Input_Raw!CT:CT)/_xlfn.XLOOKUP(A351,Input_Raw!E:E,Input_Raw!CS:CS)*Table13[[#This Row],[Mtr_Export (kWh)]],"")</f>
        <v/>
      </c>
      <c r="AA351" s="43" t="str">
        <f t="shared" si="33"/>
        <v/>
      </c>
      <c r="AB351" s="10" t="str">
        <f>IFERROR(_xlfn.XLOOKUP($A351,Input_Raw!$E:$E,Input_Raw!$CZ:$CZ),"")</f>
        <v/>
      </c>
      <c r="AC351" s="313">
        <f>IFERROR(_xlfn.XLOOKUP($D351,'Modelling New'!$D:$D,'Modelling New'!$J:$J),"")</f>
        <v>5.9681800514432695</v>
      </c>
      <c r="AD351" s="43">
        <f>IFERROR(_xlfn.XLOOKUP($D351,'Modelling New'!$D:$D,'Modelling New'!$T:$T)*1000,"")</f>
        <v>280595.16129032261</v>
      </c>
      <c r="AE351" s="312"/>
      <c r="AF351" s="312">
        <f>IFERROR(_xlfn.XLOOKUP($D351,'Modelling New'!$D:$D,'Modelling New'!$W:$W),"")</f>
        <v>0.23105662161587837</v>
      </c>
      <c r="AG351" s="312">
        <f>IFERROR(_xlfn.XLOOKUP($D351,'Modelling New'!$D:$D,'Modelling New'!$AE:$AE),"")</f>
        <v>0.95549849999999992</v>
      </c>
      <c r="AH351" s="312">
        <f>IFERROR(_xlfn.XLOOKUP($D351,'Modelling New'!$D:$D,'Modelling New'!$AF:$AF),"")</f>
        <v>0.995</v>
      </c>
      <c r="AI351" s="10" t="str">
        <f>IFERROR(_xlfn.XLOOKUP($A351,Input_Raw!$E:$E,Input_Raw!$DG:$DG),"")</f>
        <v/>
      </c>
      <c r="AJ351" s="10"/>
      <c r="AK351" s="10"/>
      <c r="AL351" s="10"/>
      <c r="AM351" s="10"/>
      <c r="AN351" s="314" t="str">
        <f>IFERROR(_xlfn.XLOOKUP($A351,Input_Raw!$E:$E,Input_Raw!$CY:$CY),"")</f>
        <v/>
      </c>
      <c r="AO351" s="312" t="str">
        <f>IFERROR((_xlfn.XLOOKUP($A351,'WTG Reactive Power'!$A:$A,'WTG Reactive Power'!AB:AB))/X351,"")</f>
        <v/>
      </c>
      <c r="AP351" s="312">
        <f>IFERROR(_xlfn.XLOOKUP($D351,'Modelling New'!$D:$D,'Modelling New'!AK:AK),"")</f>
        <v>0.05</v>
      </c>
      <c r="AQ351" s="312">
        <f>IFERROR(_xlfn.XLOOKUP($D351,'Modelling New'!$D:$D,'Modelling New'!AL:AL),"")</f>
        <v>0.05</v>
      </c>
      <c r="AR351" s="325">
        <f>IFERROR(_xlfn.XLOOKUP($D351,'Modelling New'!$D:$D,'Modelling New'!$N:$N),"")</f>
        <v>50.59999999999998</v>
      </c>
      <c r="AS351" s="325"/>
    </row>
    <row r="352" spans="1:45">
      <c r="A352" s="32">
        <f t="shared" si="34"/>
        <v>46095</v>
      </c>
      <c r="B352" s="43">
        <f>YEAR(Table13[[#This Row],[Date]])+IF(MONTH(Table13[[#This Row],[Date]])&gt;=4,1,0)</f>
        <v>2026</v>
      </c>
      <c r="C352" s="10">
        <f>YEAR(Table13[[#This Row],[Date]])</f>
        <v>2026</v>
      </c>
      <c r="D352" s="309">
        <f>Table13[[#This Row],[Date]]-DAY(Table13[[#This Row],[Date]])+1</f>
        <v>46082</v>
      </c>
      <c r="E352" s="10">
        <f t="shared" si="30"/>
        <v>31</v>
      </c>
      <c r="F352" s="241" t="str">
        <f>IFERROR(_xlfn.XLOOKUP($A352,Input_Raw!$E:$E,Input_Raw!DC:DC),"")</f>
        <v/>
      </c>
      <c r="G352" s="313"/>
      <c r="H352" s="313"/>
      <c r="I352" s="313"/>
      <c r="J352" s="313"/>
      <c r="K352" s="243"/>
      <c r="L352" s="242"/>
      <c r="M352" s="242" t="str">
        <f>IFERROR(_xlfn.XLOOKUP($A352,Input_Raw!$E:$E,Input_Raw!$BM:$BM),"")</f>
        <v/>
      </c>
      <c r="N352" s="242" t="str">
        <f>IFERROR(_xlfn.XLOOKUP($A352,Input_Raw!$E:$E,Input_Raw!$BN:$BN),"")</f>
        <v/>
      </c>
      <c r="O352" s="311" t="str">
        <f t="shared" si="31"/>
        <v/>
      </c>
      <c r="P352" s="311" t="str">
        <f>IFERROR(1-SUMIF(WTG_BD!$F:$F,$A352,WTG_BD!$AA:$AA)/($AA352+SUMIF(WTG_BD!$F:$F,$A352,WTG_BD!$AA:$AA)),"")</f>
        <v/>
      </c>
      <c r="Q352" s="328" t="str">
        <f>IFERROR(1-SUMIF(IGA_BD!$F:$F,$A352,IGA_BD!$W:$W)/($AA352+SUMIF(IGA_BD!$F:$F,$A352,IGA_BD!$W:$W)),"")</f>
        <v/>
      </c>
      <c r="R352" s="47" t="str">
        <f>IFERROR(1-SUMIF(Grid_BD!$F:$F,$A352,Grid_BD!$Y:$Y)/($AA352+SUMIF(Grid_BD!$F:$F,$A352,Grid_BD!$Y:$Y)),"")</f>
        <v/>
      </c>
      <c r="S352" s="10"/>
      <c r="T352" s="310"/>
      <c r="U352" s="311"/>
      <c r="V352" s="10"/>
      <c r="W352" s="312" t="str">
        <f t="shared" si="32"/>
        <v/>
      </c>
      <c r="X352" s="10" t="str">
        <f>IFERROR(_xlfn.XLOOKUP($A352,Input_Raw!$E:$E,Input_Raw!BG:BG),"")</f>
        <v/>
      </c>
      <c r="Y352" s="10" t="str">
        <f>IFERROR(_xlfn.XLOOKUP($A352,Input_Raw!$E:$E,Input_Raw!DF:DF),"")</f>
        <v/>
      </c>
      <c r="Z352" s="319" t="str">
        <f>IFERROR(_xlfn.XLOOKUP(A352,Input_Raw!E:E,Input_Raw!CT:CT)/_xlfn.XLOOKUP(A352,Input_Raw!E:E,Input_Raw!CS:CS)*Table13[[#This Row],[Mtr_Export (kWh)]],"")</f>
        <v/>
      </c>
      <c r="AA352" s="43" t="str">
        <f t="shared" si="33"/>
        <v/>
      </c>
      <c r="AB352" s="10" t="str">
        <f>IFERROR(_xlfn.XLOOKUP($A352,Input_Raw!$E:$E,Input_Raw!$CZ:$CZ),"")</f>
        <v/>
      </c>
      <c r="AC352" s="313">
        <f>IFERROR(_xlfn.XLOOKUP($D352,'Modelling New'!$D:$D,'Modelling New'!$J:$J),"")</f>
        <v>5.9681800514432695</v>
      </c>
      <c r="AD352" s="43">
        <f>IFERROR(_xlfn.XLOOKUP($D352,'Modelling New'!$D:$D,'Modelling New'!$T:$T)*1000,"")</f>
        <v>280595.16129032261</v>
      </c>
      <c r="AE352" s="312"/>
      <c r="AF352" s="312">
        <f>IFERROR(_xlfn.XLOOKUP($D352,'Modelling New'!$D:$D,'Modelling New'!$W:$W),"")</f>
        <v>0.23105662161587837</v>
      </c>
      <c r="AG352" s="312">
        <f>IFERROR(_xlfn.XLOOKUP($D352,'Modelling New'!$D:$D,'Modelling New'!$AE:$AE),"")</f>
        <v>0.95549849999999992</v>
      </c>
      <c r="AH352" s="312">
        <f>IFERROR(_xlfn.XLOOKUP($D352,'Modelling New'!$D:$D,'Modelling New'!$AF:$AF),"")</f>
        <v>0.995</v>
      </c>
      <c r="AI352" s="10" t="str">
        <f>IFERROR(_xlfn.XLOOKUP($A352,Input_Raw!$E:$E,Input_Raw!$DG:$DG),"")</f>
        <v/>
      </c>
      <c r="AJ352" s="10"/>
      <c r="AK352" s="10"/>
      <c r="AL352" s="10"/>
      <c r="AM352" s="10"/>
      <c r="AN352" s="314" t="str">
        <f>IFERROR(_xlfn.XLOOKUP($A352,Input_Raw!$E:$E,Input_Raw!$CY:$CY),"")</f>
        <v/>
      </c>
      <c r="AO352" s="312" t="str">
        <f>IFERROR((_xlfn.XLOOKUP($A352,'WTG Reactive Power'!$A:$A,'WTG Reactive Power'!AB:AB))/X352,"")</f>
        <v/>
      </c>
      <c r="AP352" s="312">
        <f>IFERROR(_xlfn.XLOOKUP($D352,'Modelling New'!$D:$D,'Modelling New'!AK:AK),"")</f>
        <v>0.05</v>
      </c>
      <c r="AQ352" s="312">
        <f>IFERROR(_xlfn.XLOOKUP($D352,'Modelling New'!$D:$D,'Modelling New'!AL:AL),"")</f>
        <v>0.05</v>
      </c>
      <c r="AR352" s="325">
        <f>IFERROR(_xlfn.XLOOKUP($D352,'Modelling New'!$D:$D,'Modelling New'!$N:$N),"")</f>
        <v>50.59999999999998</v>
      </c>
      <c r="AS352" s="325"/>
    </row>
    <row r="353" spans="1:45">
      <c r="A353" s="32">
        <f t="shared" si="34"/>
        <v>46096</v>
      </c>
      <c r="B353" s="43">
        <f>YEAR(Table13[[#This Row],[Date]])+IF(MONTH(Table13[[#This Row],[Date]])&gt;=4,1,0)</f>
        <v>2026</v>
      </c>
      <c r="C353" s="10">
        <f>YEAR(Table13[[#This Row],[Date]])</f>
        <v>2026</v>
      </c>
      <c r="D353" s="309">
        <f>Table13[[#This Row],[Date]]-DAY(Table13[[#This Row],[Date]])+1</f>
        <v>46082</v>
      </c>
      <c r="E353" s="10">
        <f t="shared" si="30"/>
        <v>31</v>
      </c>
      <c r="F353" s="241" t="str">
        <f>IFERROR(_xlfn.XLOOKUP($A353,Input_Raw!$E:$E,Input_Raw!DC:DC),"")</f>
        <v/>
      </c>
      <c r="G353" s="242"/>
      <c r="H353" s="242"/>
      <c r="I353" s="242"/>
      <c r="J353" s="242"/>
      <c r="K353" s="243"/>
      <c r="L353" s="242"/>
      <c r="M353" s="242" t="str">
        <f>IFERROR(_xlfn.XLOOKUP($A353,Input_Raw!$E:$E,Input_Raw!$BM:$BM),"")</f>
        <v/>
      </c>
      <c r="N353" s="242" t="str">
        <f>IFERROR(_xlfn.XLOOKUP($A353,Input_Raw!$E:$E,Input_Raw!$BN:$BN),"")</f>
        <v/>
      </c>
      <c r="O353" s="311" t="str">
        <f t="shared" si="31"/>
        <v/>
      </c>
      <c r="P353" s="311" t="str">
        <f>IFERROR(1-SUMIF(WTG_BD!$F:$F,$A353,WTG_BD!$AA:$AA)/($AA353+SUMIF(WTG_BD!$F:$F,$A353,WTG_BD!$AA:$AA)),"")</f>
        <v/>
      </c>
      <c r="Q353" s="328" t="str">
        <f>IFERROR(1-SUMIF(IGA_BD!$F:$F,$A353,IGA_BD!$W:$W)/($AA353+SUMIF(IGA_BD!$F:$F,$A353,IGA_BD!$W:$W)),"")</f>
        <v/>
      </c>
      <c r="R353" s="311" t="str">
        <f>IFERROR(1-SUMIF(Grid_BD!$F:$F,$A353,Grid_BD!$Y:$Y)/($AA353+SUMIF(Grid_BD!$F:$F,$A353,Grid_BD!$Y:$Y)),"")</f>
        <v/>
      </c>
      <c r="S353" s="10"/>
      <c r="T353" s="310"/>
      <c r="U353" s="311"/>
      <c r="V353" s="10"/>
      <c r="W353" s="312" t="str">
        <f t="shared" si="32"/>
        <v/>
      </c>
      <c r="X353" s="10" t="str">
        <f>IFERROR(_xlfn.XLOOKUP($A353,Input_Raw!$E:$E,Input_Raw!BG:BG),"")</f>
        <v/>
      </c>
      <c r="Y353" s="10" t="str">
        <f>IFERROR(_xlfn.XLOOKUP($A353,Input_Raw!$E:$E,Input_Raw!DF:DF),"")</f>
        <v/>
      </c>
      <c r="Z353" s="319" t="str">
        <f>IFERROR(_xlfn.XLOOKUP(A353,Input_Raw!E:E,Input_Raw!CT:CT)/_xlfn.XLOOKUP(A353,Input_Raw!E:E,Input_Raw!CS:CS)*Table13[[#This Row],[Mtr_Export (kWh)]],"")</f>
        <v/>
      </c>
      <c r="AA353" s="43" t="str">
        <f t="shared" si="33"/>
        <v/>
      </c>
      <c r="AB353" s="10" t="str">
        <f>IFERROR(_xlfn.XLOOKUP($A353,Input_Raw!$E:$E,Input_Raw!$CZ:$CZ),"")</f>
        <v/>
      </c>
      <c r="AC353" s="313">
        <f>IFERROR(_xlfn.XLOOKUP($D353,'Modelling New'!$D:$D,'Modelling New'!$J:$J),"")</f>
        <v>5.9681800514432695</v>
      </c>
      <c r="AD353" s="43">
        <f>IFERROR(_xlfn.XLOOKUP($D353,'Modelling New'!$D:$D,'Modelling New'!$T:$T)*1000,"")</f>
        <v>280595.16129032261</v>
      </c>
      <c r="AE353" s="312"/>
      <c r="AF353" s="312">
        <f>IFERROR(_xlfn.XLOOKUP($D353,'Modelling New'!$D:$D,'Modelling New'!$W:$W),"")</f>
        <v>0.23105662161587837</v>
      </c>
      <c r="AG353" s="312">
        <f>IFERROR(_xlfn.XLOOKUP($D353,'Modelling New'!$D:$D,'Modelling New'!$AE:$AE),"")</f>
        <v>0.95549849999999992</v>
      </c>
      <c r="AH353" s="312">
        <f>IFERROR(_xlfn.XLOOKUP($D353,'Modelling New'!$D:$D,'Modelling New'!$AF:$AF),"")</f>
        <v>0.995</v>
      </c>
      <c r="AI353" s="10" t="str">
        <f>IFERROR(_xlfn.XLOOKUP($A353,Input_Raw!$E:$E,Input_Raw!$DG:$DG),"")</f>
        <v/>
      </c>
      <c r="AJ353" s="10"/>
      <c r="AK353" s="10"/>
      <c r="AL353" s="10"/>
      <c r="AM353" s="10"/>
      <c r="AN353" s="314" t="str">
        <f>IFERROR(_xlfn.XLOOKUP($A353,Input_Raw!$E:$E,Input_Raw!$CY:$CY),"")</f>
        <v/>
      </c>
      <c r="AO353" s="312" t="str">
        <f>IFERROR((_xlfn.XLOOKUP($A353,'WTG Reactive Power'!$A:$A,'WTG Reactive Power'!AB:AB))/X353,"")</f>
        <v/>
      </c>
      <c r="AP353" s="312">
        <f>IFERROR(_xlfn.XLOOKUP($D353,'Modelling New'!$D:$D,'Modelling New'!AK:AK),"")</f>
        <v>0.05</v>
      </c>
      <c r="AQ353" s="312">
        <f>IFERROR(_xlfn.XLOOKUP($D353,'Modelling New'!$D:$D,'Modelling New'!AL:AL),"")</f>
        <v>0.05</v>
      </c>
      <c r="AR353" s="325">
        <f>IFERROR(_xlfn.XLOOKUP($D353,'Modelling New'!$D:$D,'Modelling New'!$N:$N),"")</f>
        <v>50.59999999999998</v>
      </c>
      <c r="AS353" s="325"/>
    </row>
    <row r="354" spans="1:45">
      <c r="A354" s="32">
        <f t="shared" si="34"/>
        <v>46097</v>
      </c>
      <c r="B354" s="43">
        <f>YEAR(Table13[[#This Row],[Date]])+IF(MONTH(Table13[[#This Row],[Date]])&gt;=4,1,0)</f>
        <v>2026</v>
      </c>
      <c r="C354" s="10">
        <f>YEAR(Table13[[#This Row],[Date]])</f>
        <v>2026</v>
      </c>
      <c r="D354" s="309">
        <f>Table13[[#This Row],[Date]]-DAY(Table13[[#This Row],[Date]])+1</f>
        <v>46082</v>
      </c>
      <c r="E354" s="10">
        <f t="shared" si="30"/>
        <v>31</v>
      </c>
      <c r="F354" s="241" t="str">
        <f>IFERROR(_xlfn.XLOOKUP($A354,Input_Raw!$E:$E,Input_Raw!DC:DC),"")</f>
        <v/>
      </c>
      <c r="G354" s="313"/>
      <c r="H354" s="313"/>
      <c r="I354" s="313"/>
      <c r="J354" s="313"/>
      <c r="K354" s="243"/>
      <c r="L354" s="242"/>
      <c r="M354" s="242" t="str">
        <f>IFERROR(_xlfn.XLOOKUP($A354,Input_Raw!$E:$E,Input_Raw!$BM:$BM),"")</f>
        <v/>
      </c>
      <c r="N354" s="242" t="str">
        <f>IFERROR(_xlfn.XLOOKUP($A354,Input_Raw!$E:$E,Input_Raw!$BN:$BN),"")</f>
        <v/>
      </c>
      <c r="O354" s="311" t="str">
        <f t="shared" si="31"/>
        <v/>
      </c>
      <c r="P354" s="311" t="str">
        <f>IFERROR(1-SUMIF(WTG_BD!$F:$F,$A354,WTG_BD!$AA:$AA)/($AA354+SUMIF(WTG_BD!$F:$F,$A354,WTG_BD!$AA:$AA)),"")</f>
        <v/>
      </c>
      <c r="Q354" s="328" t="str">
        <f>IFERROR(1-SUMIF(IGA_BD!$F:$F,$A354,IGA_BD!$W:$W)/($AA354+SUMIF(IGA_BD!$F:$F,$A354,IGA_BD!$W:$W)),"")</f>
        <v/>
      </c>
      <c r="R354" s="47" t="str">
        <f>IFERROR(1-SUMIF(Grid_BD!$F:$F,$A354,Grid_BD!$Y:$Y)/($AA354+SUMIF(Grid_BD!$F:$F,$A354,Grid_BD!$Y:$Y)),"")</f>
        <v/>
      </c>
      <c r="S354" s="10"/>
      <c r="T354" s="310"/>
      <c r="U354" s="311"/>
      <c r="V354" s="10"/>
      <c r="W354" s="312" t="str">
        <f t="shared" si="32"/>
        <v/>
      </c>
      <c r="X354" s="10" t="str">
        <f>IFERROR(_xlfn.XLOOKUP($A354,Input_Raw!$E:$E,Input_Raw!BG:BG),"")</f>
        <v/>
      </c>
      <c r="Y354" s="10" t="str">
        <f>IFERROR(_xlfn.XLOOKUP($A354,Input_Raw!$E:$E,Input_Raw!DF:DF),"")</f>
        <v/>
      </c>
      <c r="Z354" s="319" t="str">
        <f>IFERROR(_xlfn.XLOOKUP(A354,Input_Raw!E:E,Input_Raw!CT:CT)/_xlfn.XLOOKUP(A354,Input_Raw!E:E,Input_Raw!CS:CS)*Table13[[#This Row],[Mtr_Export (kWh)]],"")</f>
        <v/>
      </c>
      <c r="AA354" s="43" t="str">
        <f t="shared" si="33"/>
        <v/>
      </c>
      <c r="AB354" s="10" t="str">
        <f>IFERROR(_xlfn.XLOOKUP($A354,Input_Raw!$E:$E,Input_Raw!$CZ:$CZ),"")</f>
        <v/>
      </c>
      <c r="AC354" s="313">
        <f>IFERROR(_xlfn.XLOOKUP($D354,'Modelling New'!$D:$D,'Modelling New'!$J:$J),"")</f>
        <v>5.9681800514432695</v>
      </c>
      <c r="AD354" s="43">
        <f>IFERROR(_xlfn.XLOOKUP($D354,'Modelling New'!$D:$D,'Modelling New'!$T:$T)*1000,"")</f>
        <v>280595.16129032261</v>
      </c>
      <c r="AE354" s="312"/>
      <c r="AF354" s="312">
        <f>IFERROR(_xlfn.XLOOKUP($D354,'Modelling New'!$D:$D,'Modelling New'!$W:$W),"")</f>
        <v>0.23105662161587837</v>
      </c>
      <c r="AG354" s="312">
        <f>IFERROR(_xlfn.XLOOKUP($D354,'Modelling New'!$D:$D,'Modelling New'!$AE:$AE),"")</f>
        <v>0.95549849999999992</v>
      </c>
      <c r="AH354" s="312">
        <f>IFERROR(_xlfn.XLOOKUP($D354,'Modelling New'!$D:$D,'Modelling New'!$AF:$AF),"")</f>
        <v>0.995</v>
      </c>
      <c r="AI354" s="10" t="str">
        <f>IFERROR(_xlfn.XLOOKUP($A354,Input_Raw!$E:$E,Input_Raw!$DG:$DG),"")</f>
        <v/>
      </c>
      <c r="AJ354" s="10"/>
      <c r="AK354" s="10"/>
      <c r="AL354" s="10"/>
      <c r="AM354" s="10"/>
      <c r="AN354" s="314" t="str">
        <f>IFERROR(_xlfn.XLOOKUP($A354,Input_Raw!$E:$E,Input_Raw!$CY:$CY),"")</f>
        <v/>
      </c>
      <c r="AO354" s="312" t="str">
        <f>IFERROR((_xlfn.XLOOKUP($A354,'WTG Reactive Power'!$A:$A,'WTG Reactive Power'!AB:AB))/X354,"")</f>
        <v/>
      </c>
      <c r="AP354" s="312">
        <f>IFERROR(_xlfn.XLOOKUP($D354,'Modelling New'!$D:$D,'Modelling New'!AK:AK),"")</f>
        <v>0.05</v>
      </c>
      <c r="AQ354" s="312">
        <f>IFERROR(_xlfn.XLOOKUP($D354,'Modelling New'!$D:$D,'Modelling New'!AL:AL),"")</f>
        <v>0.05</v>
      </c>
      <c r="AR354" s="325">
        <f>IFERROR(_xlfn.XLOOKUP($D354,'Modelling New'!$D:$D,'Modelling New'!$N:$N),"")</f>
        <v>50.59999999999998</v>
      </c>
      <c r="AS354" s="325"/>
    </row>
    <row r="355" spans="1:45">
      <c r="A355" s="32">
        <f t="shared" si="34"/>
        <v>46098</v>
      </c>
      <c r="B355" s="43">
        <f>YEAR(Table13[[#This Row],[Date]])+IF(MONTH(Table13[[#This Row],[Date]])&gt;=4,1,0)</f>
        <v>2026</v>
      </c>
      <c r="C355" s="10">
        <f>YEAR(Table13[[#This Row],[Date]])</f>
        <v>2026</v>
      </c>
      <c r="D355" s="309">
        <f>Table13[[#This Row],[Date]]-DAY(Table13[[#This Row],[Date]])+1</f>
        <v>46082</v>
      </c>
      <c r="E355" s="10">
        <f t="shared" si="30"/>
        <v>31</v>
      </c>
      <c r="F355" s="241" t="str">
        <f>IFERROR(_xlfn.XLOOKUP($A355,Input_Raw!$E:$E,Input_Raw!DC:DC),"")</f>
        <v/>
      </c>
      <c r="G355" s="242"/>
      <c r="H355" s="242"/>
      <c r="I355" s="242"/>
      <c r="J355" s="242"/>
      <c r="K355" s="243"/>
      <c r="L355" s="242"/>
      <c r="M355" s="242" t="str">
        <f>IFERROR(_xlfn.XLOOKUP($A355,Input_Raw!$E:$E,Input_Raw!$BM:$BM),"")</f>
        <v/>
      </c>
      <c r="N355" s="242" t="str">
        <f>IFERROR(_xlfn.XLOOKUP($A355,Input_Raw!$E:$E,Input_Raw!$BN:$BN),"")</f>
        <v/>
      </c>
      <c r="O355" s="311" t="str">
        <f t="shared" si="31"/>
        <v/>
      </c>
      <c r="P355" s="311" t="str">
        <f>IFERROR(1-SUMIF(WTG_BD!$F:$F,$A355,WTG_BD!$AA:$AA)/($AA355+SUMIF(WTG_BD!$F:$F,$A355,WTG_BD!$AA:$AA)),"")</f>
        <v/>
      </c>
      <c r="Q355" s="328" t="str">
        <f>IFERROR(1-SUMIF(IGA_BD!$F:$F,$A355,IGA_BD!$W:$W)/($AA355+SUMIF(IGA_BD!$F:$F,$A355,IGA_BD!$W:$W)),"")</f>
        <v/>
      </c>
      <c r="R355" s="311" t="str">
        <f>IFERROR(1-SUMIF(Grid_BD!$F:$F,$A355,Grid_BD!$Y:$Y)/($AA355+SUMIF(Grid_BD!$F:$F,$A355,Grid_BD!$Y:$Y)),"")</f>
        <v/>
      </c>
      <c r="S355" s="10"/>
      <c r="T355" s="310"/>
      <c r="U355" s="311"/>
      <c r="V355" s="10"/>
      <c r="W355" s="312" t="str">
        <f t="shared" si="32"/>
        <v/>
      </c>
      <c r="X355" s="10" t="str">
        <f>IFERROR(_xlfn.XLOOKUP($A355,Input_Raw!$E:$E,Input_Raw!BG:BG),"")</f>
        <v/>
      </c>
      <c r="Y355" s="10" t="str">
        <f>IFERROR(_xlfn.XLOOKUP($A355,Input_Raw!$E:$E,Input_Raw!DF:DF),"")</f>
        <v/>
      </c>
      <c r="Z355" s="319" t="str">
        <f>IFERROR(_xlfn.XLOOKUP(A355,Input_Raw!E:E,Input_Raw!CT:CT)/_xlfn.XLOOKUP(A355,Input_Raw!E:E,Input_Raw!CS:CS)*Table13[[#This Row],[Mtr_Export (kWh)]],"")</f>
        <v/>
      </c>
      <c r="AA355" s="43" t="str">
        <f t="shared" si="33"/>
        <v/>
      </c>
      <c r="AB355" s="10" t="str">
        <f>IFERROR(_xlfn.XLOOKUP($A355,Input_Raw!$E:$E,Input_Raw!$CZ:$CZ),"")</f>
        <v/>
      </c>
      <c r="AC355" s="313">
        <f>IFERROR(_xlfn.XLOOKUP($D355,'Modelling New'!$D:$D,'Modelling New'!$J:$J),"")</f>
        <v>5.9681800514432695</v>
      </c>
      <c r="AD355" s="43">
        <f>IFERROR(_xlfn.XLOOKUP($D355,'Modelling New'!$D:$D,'Modelling New'!$T:$T)*1000,"")</f>
        <v>280595.16129032261</v>
      </c>
      <c r="AE355" s="312"/>
      <c r="AF355" s="312">
        <f>IFERROR(_xlfn.XLOOKUP($D355,'Modelling New'!$D:$D,'Modelling New'!$W:$W),"")</f>
        <v>0.23105662161587837</v>
      </c>
      <c r="AG355" s="312">
        <f>IFERROR(_xlfn.XLOOKUP($D355,'Modelling New'!$D:$D,'Modelling New'!$AE:$AE),"")</f>
        <v>0.95549849999999992</v>
      </c>
      <c r="AH355" s="312">
        <f>IFERROR(_xlfn.XLOOKUP($D355,'Modelling New'!$D:$D,'Modelling New'!$AF:$AF),"")</f>
        <v>0.995</v>
      </c>
      <c r="AI355" s="10" t="str">
        <f>IFERROR(_xlfn.XLOOKUP($A355,Input_Raw!$E:$E,Input_Raw!$DG:$DG),"")</f>
        <v/>
      </c>
      <c r="AJ355" s="10"/>
      <c r="AK355" s="10"/>
      <c r="AL355" s="10"/>
      <c r="AM355" s="10"/>
      <c r="AN355" s="314" t="str">
        <f>IFERROR(_xlfn.XLOOKUP($A355,Input_Raw!$E:$E,Input_Raw!$CY:$CY),"")</f>
        <v/>
      </c>
      <c r="AO355" s="312" t="str">
        <f>IFERROR((_xlfn.XLOOKUP($A355,'WTG Reactive Power'!$A:$A,'WTG Reactive Power'!AB:AB))/X355,"")</f>
        <v/>
      </c>
      <c r="AP355" s="312">
        <f>IFERROR(_xlfn.XLOOKUP($D355,'Modelling New'!$D:$D,'Modelling New'!AK:AK),"")</f>
        <v>0.05</v>
      </c>
      <c r="AQ355" s="312">
        <f>IFERROR(_xlfn.XLOOKUP($D355,'Modelling New'!$D:$D,'Modelling New'!AL:AL),"")</f>
        <v>0.05</v>
      </c>
      <c r="AR355" s="325">
        <f>IFERROR(_xlfn.XLOOKUP($D355,'Modelling New'!$D:$D,'Modelling New'!$N:$N),"")</f>
        <v>50.59999999999998</v>
      </c>
      <c r="AS355" s="325"/>
    </row>
    <row r="356" spans="1:45">
      <c r="A356" s="32">
        <f t="shared" si="34"/>
        <v>46099</v>
      </c>
      <c r="B356" s="43">
        <f>YEAR(Table13[[#This Row],[Date]])+IF(MONTH(Table13[[#This Row],[Date]])&gt;=4,1,0)</f>
        <v>2026</v>
      </c>
      <c r="C356" s="10">
        <f>YEAR(Table13[[#This Row],[Date]])</f>
        <v>2026</v>
      </c>
      <c r="D356" s="309">
        <f>Table13[[#This Row],[Date]]-DAY(Table13[[#This Row],[Date]])+1</f>
        <v>46082</v>
      </c>
      <c r="E356" s="10">
        <f t="shared" si="30"/>
        <v>31</v>
      </c>
      <c r="F356" s="241" t="str">
        <f>IFERROR(_xlfn.XLOOKUP($A356,Input_Raw!$E:$E,Input_Raw!DC:DC),"")</f>
        <v/>
      </c>
      <c r="G356" s="313"/>
      <c r="H356" s="313"/>
      <c r="I356" s="313"/>
      <c r="J356" s="313"/>
      <c r="K356" s="243"/>
      <c r="L356" s="242"/>
      <c r="M356" s="242" t="str">
        <f>IFERROR(_xlfn.XLOOKUP($A356,Input_Raw!$E:$E,Input_Raw!$BM:$BM),"")</f>
        <v/>
      </c>
      <c r="N356" s="242" t="str">
        <f>IFERROR(_xlfn.XLOOKUP($A356,Input_Raw!$E:$E,Input_Raw!$BN:$BN),"")</f>
        <v/>
      </c>
      <c r="O356" s="311" t="str">
        <f t="shared" si="31"/>
        <v/>
      </c>
      <c r="P356" s="311" t="str">
        <f>IFERROR(1-SUMIF(WTG_BD!$F:$F,$A356,WTG_BD!$AA:$AA)/($AA356+SUMIF(WTG_BD!$F:$F,$A356,WTG_BD!$AA:$AA)),"")</f>
        <v/>
      </c>
      <c r="Q356" s="328" t="str">
        <f>IFERROR(1-SUMIF(IGA_BD!$F:$F,$A356,IGA_BD!$W:$W)/($AA356+SUMIF(IGA_BD!$F:$F,$A356,IGA_BD!$W:$W)),"")</f>
        <v/>
      </c>
      <c r="R356" s="47" t="str">
        <f>IFERROR(1-SUMIF(Grid_BD!$F:$F,$A356,Grid_BD!$Y:$Y)/($AA356+SUMIF(Grid_BD!$F:$F,$A356,Grid_BD!$Y:$Y)),"")</f>
        <v/>
      </c>
      <c r="S356" s="10"/>
      <c r="T356" s="310"/>
      <c r="U356" s="311"/>
      <c r="V356" s="10"/>
      <c r="W356" s="312" t="str">
        <f t="shared" si="32"/>
        <v/>
      </c>
      <c r="X356" s="10" t="str">
        <f>IFERROR(_xlfn.XLOOKUP($A356,Input_Raw!$E:$E,Input_Raw!BG:BG),"")</f>
        <v/>
      </c>
      <c r="Y356" s="10" t="str">
        <f>IFERROR(_xlfn.XLOOKUP($A356,Input_Raw!$E:$E,Input_Raw!DF:DF),"")</f>
        <v/>
      </c>
      <c r="Z356" s="319" t="str">
        <f>IFERROR(_xlfn.XLOOKUP(A356,Input_Raw!E:E,Input_Raw!CT:CT)/_xlfn.XLOOKUP(A356,Input_Raw!E:E,Input_Raw!CS:CS)*Table13[[#This Row],[Mtr_Export (kWh)]],"")</f>
        <v/>
      </c>
      <c r="AA356" s="43" t="str">
        <f t="shared" si="33"/>
        <v/>
      </c>
      <c r="AB356" s="10" t="str">
        <f>IFERROR(_xlfn.XLOOKUP($A356,Input_Raw!$E:$E,Input_Raw!$CZ:$CZ),"")</f>
        <v/>
      </c>
      <c r="AC356" s="313">
        <f>IFERROR(_xlfn.XLOOKUP($D356,'Modelling New'!$D:$D,'Modelling New'!$J:$J),"")</f>
        <v>5.9681800514432695</v>
      </c>
      <c r="AD356" s="43">
        <f>IFERROR(_xlfn.XLOOKUP($D356,'Modelling New'!$D:$D,'Modelling New'!$T:$T)*1000,"")</f>
        <v>280595.16129032261</v>
      </c>
      <c r="AE356" s="312"/>
      <c r="AF356" s="312">
        <f>IFERROR(_xlfn.XLOOKUP($D356,'Modelling New'!$D:$D,'Modelling New'!$W:$W),"")</f>
        <v>0.23105662161587837</v>
      </c>
      <c r="AG356" s="312">
        <f>IFERROR(_xlfn.XLOOKUP($D356,'Modelling New'!$D:$D,'Modelling New'!$AE:$AE),"")</f>
        <v>0.95549849999999992</v>
      </c>
      <c r="AH356" s="312">
        <f>IFERROR(_xlfn.XLOOKUP($D356,'Modelling New'!$D:$D,'Modelling New'!$AF:$AF),"")</f>
        <v>0.995</v>
      </c>
      <c r="AI356" s="10" t="str">
        <f>IFERROR(_xlfn.XLOOKUP($A356,Input_Raw!$E:$E,Input_Raw!$DG:$DG),"")</f>
        <v/>
      </c>
      <c r="AJ356" s="10"/>
      <c r="AK356" s="10"/>
      <c r="AL356" s="10"/>
      <c r="AM356" s="10"/>
      <c r="AN356" s="314" t="str">
        <f>IFERROR(_xlfn.XLOOKUP($A356,Input_Raw!$E:$E,Input_Raw!$CY:$CY),"")</f>
        <v/>
      </c>
      <c r="AO356" s="312" t="str">
        <f>IFERROR((_xlfn.XLOOKUP($A356,'WTG Reactive Power'!$A:$A,'WTG Reactive Power'!AB:AB))/X356,"")</f>
        <v/>
      </c>
      <c r="AP356" s="312">
        <f>IFERROR(_xlfn.XLOOKUP($D356,'Modelling New'!$D:$D,'Modelling New'!AK:AK),"")</f>
        <v>0.05</v>
      </c>
      <c r="AQ356" s="312">
        <f>IFERROR(_xlfn.XLOOKUP($D356,'Modelling New'!$D:$D,'Modelling New'!AL:AL),"")</f>
        <v>0.05</v>
      </c>
      <c r="AR356" s="325">
        <f>IFERROR(_xlfn.XLOOKUP($D356,'Modelling New'!$D:$D,'Modelling New'!$N:$N),"")</f>
        <v>50.59999999999998</v>
      </c>
      <c r="AS356" s="325"/>
    </row>
    <row r="357" spans="1:45">
      <c r="A357" s="32">
        <f t="shared" si="34"/>
        <v>46100</v>
      </c>
      <c r="B357" s="43">
        <f>YEAR(Table13[[#This Row],[Date]])+IF(MONTH(Table13[[#This Row],[Date]])&gt;=4,1,0)</f>
        <v>2026</v>
      </c>
      <c r="C357" s="10">
        <f>YEAR(Table13[[#This Row],[Date]])</f>
        <v>2026</v>
      </c>
      <c r="D357" s="309">
        <f>Table13[[#This Row],[Date]]-DAY(Table13[[#This Row],[Date]])+1</f>
        <v>46082</v>
      </c>
      <c r="E357" s="10">
        <f t="shared" si="30"/>
        <v>31</v>
      </c>
      <c r="F357" s="241" t="str">
        <f>IFERROR(_xlfn.XLOOKUP($A357,Input_Raw!$E:$E,Input_Raw!DC:DC),"")</f>
        <v/>
      </c>
      <c r="G357" s="242"/>
      <c r="H357" s="242"/>
      <c r="I357" s="242"/>
      <c r="J357" s="242"/>
      <c r="K357" s="243"/>
      <c r="L357" s="242"/>
      <c r="M357" s="242" t="str">
        <f>IFERROR(_xlfn.XLOOKUP($A357,Input_Raw!$E:$E,Input_Raw!$BM:$BM),"")</f>
        <v/>
      </c>
      <c r="N357" s="242" t="str">
        <f>IFERROR(_xlfn.XLOOKUP($A357,Input_Raw!$E:$E,Input_Raw!$BN:$BN),"")</f>
        <v/>
      </c>
      <c r="O357" s="311" t="str">
        <f t="shared" si="31"/>
        <v/>
      </c>
      <c r="P357" s="311" t="str">
        <f>IFERROR(1-SUMIF(WTG_BD!$F:$F,$A357,WTG_BD!$AA:$AA)/($AA357+SUMIF(WTG_BD!$F:$F,$A357,WTG_BD!$AA:$AA)),"")</f>
        <v/>
      </c>
      <c r="Q357" s="328" t="str">
        <f>IFERROR(1-SUMIF(IGA_BD!$F:$F,$A357,IGA_BD!$W:$W)/($AA357+SUMIF(IGA_BD!$F:$F,$A357,IGA_BD!$W:$W)),"")</f>
        <v/>
      </c>
      <c r="R357" s="311" t="str">
        <f>IFERROR(1-SUMIF(Grid_BD!$F:$F,$A357,Grid_BD!$Y:$Y)/($AA357+SUMIF(Grid_BD!$F:$F,$A357,Grid_BD!$Y:$Y)),"")</f>
        <v/>
      </c>
      <c r="S357" s="10"/>
      <c r="T357" s="310"/>
      <c r="U357" s="311"/>
      <c r="V357" s="10"/>
      <c r="W357" s="312" t="str">
        <f t="shared" si="32"/>
        <v/>
      </c>
      <c r="X357" s="10" t="str">
        <f>IFERROR(_xlfn.XLOOKUP($A357,Input_Raw!$E:$E,Input_Raw!BG:BG),"")</f>
        <v/>
      </c>
      <c r="Y357" s="10" t="str">
        <f>IFERROR(_xlfn.XLOOKUP($A357,Input_Raw!$E:$E,Input_Raw!DF:DF),"")</f>
        <v/>
      </c>
      <c r="Z357" s="319" t="str">
        <f>IFERROR(_xlfn.XLOOKUP(A357,Input_Raw!E:E,Input_Raw!CT:CT)/_xlfn.XLOOKUP(A357,Input_Raw!E:E,Input_Raw!CS:CS)*Table13[[#This Row],[Mtr_Export (kWh)]],"")</f>
        <v/>
      </c>
      <c r="AA357" s="43" t="str">
        <f t="shared" si="33"/>
        <v/>
      </c>
      <c r="AB357" s="10" t="str">
        <f>IFERROR(_xlfn.XLOOKUP($A357,Input_Raw!$E:$E,Input_Raw!$CZ:$CZ),"")</f>
        <v/>
      </c>
      <c r="AC357" s="313">
        <f>IFERROR(_xlfn.XLOOKUP($D357,'Modelling New'!$D:$D,'Modelling New'!$J:$J),"")</f>
        <v>5.9681800514432695</v>
      </c>
      <c r="AD357" s="43">
        <f>IFERROR(_xlfn.XLOOKUP($D357,'Modelling New'!$D:$D,'Modelling New'!$T:$T)*1000,"")</f>
        <v>280595.16129032261</v>
      </c>
      <c r="AE357" s="312"/>
      <c r="AF357" s="312">
        <f>IFERROR(_xlfn.XLOOKUP($D357,'Modelling New'!$D:$D,'Modelling New'!$W:$W),"")</f>
        <v>0.23105662161587837</v>
      </c>
      <c r="AG357" s="312">
        <f>IFERROR(_xlfn.XLOOKUP($D357,'Modelling New'!$D:$D,'Modelling New'!$AE:$AE),"")</f>
        <v>0.95549849999999992</v>
      </c>
      <c r="AH357" s="312">
        <f>IFERROR(_xlfn.XLOOKUP($D357,'Modelling New'!$D:$D,'Modelling New'!$AF:$AF),"")</f>
        <v>0.995</v>
      </c>
      <c r="AI357" s="10" t="str">
        <f>IFERROR(_xlfn.XLOOKUP($A357,Input_Raw!$E:$E,Input_Raw!$DG:$DG),"")</f>
        <v/>
      </c>
      <c r="AJ357" s="10"/>
      <c r="AK357" s="10"/>
      <c r="AL357" s="10"/>
      <c r="AM357" s="10"/>
      <c r="AN357" s="314" t="str">
        <f>IFERROR(_xlfn.XLOOKUP($A357,Input_Raw!$E:$E,Input_Raw!$CY:$CY),"")</f>
        <v/>
      </c>
      <c r="AO357" s="312" t="str">
        <f>IFERROR((_xlfn.XLOOKUP($A357,'WTG Reactive Power'!$A:$A,'WTG Reactive Power'!AB:AB))/X357,"")</f>
        <v/>
      </c>
      <c r="AP357" s="312">
        <f>IFERROR(_xlfn.XLOOKUP($D357,'Modelling New'!$D:$D,'Modelling New'!AK:AK),"")</f>
        <v>0.05</v>
      </c>
      <c r="AQ357" s="312">
        <f>IFERROR(_xlfn.XLOOKUP($D357,'Modelling New'!$D:$D,'Modelling New'!AL:AL),"")</f>
        <v>0.05</v>
      </c>
      <c r="AR357" s="325">
        <f>IFERROR(_xlfn.XLOOKUP($D357,'Modelling New'!$D:$D,'Modelling New'!$N:$N),"")</f>
        <v>50.59999999999998</v>
      </c>
      <c r="AS357" s="325"/>
    </row>
    <row r="358" spans="1:45">
      <c r="A358" s="32">
        <f t="shared" si="34"/>
        <v>46101</v>
      </c>
      <c r="B358" s="43">
        <f>YEAR(Table13[[#This Row],[Date]])+IF(MONTH(Table13[[#This Row],[Date]])&gt;=4,1,0)</f>
        <v>2026</v>
      </c>
      <c r="C358" s="10">
        <f>YEAR(Table13[[#This Row],[Date]])</f>
        <v>2026</v>
      </c>
      <c r="D358" s="309">
        <f>Table13[[#This Row],[Date]]-DAY(Table13[[#This Row],[Date]])+1</f>
        <v>46082</v>
      </c>
      <c r="E358" s="10">
        <f t="shared" si="30"/>
        <v>31</v>
      </c>
      <c r="F358" s="241" t="str">
        <f>IFERROR(_xlfn.XLOOKUP($A358,Input_Raw!$E:$E,Input_Raw!DC:DC),"")</f>
        <v/>
      </c>
      <c r="G358" s="313"/>
      <c r="H358" s="313"/>
      <c r="I358" s="313"/>
      <c r="J358" s="313"/>
      <c r="K358" s="243"/>
      <c r="L358" s="242"/>
      <c r="M358" s="242" t="str">
        <f>IFERROR(_xlfn.XLOOKUP($A358,Input_Raw!$E:$E,Input_Raw!$BM:$BM),"")</f>
        <v/>
      </c>
      <c r="N358" s="242" t="str">
        <f>IFERROR(_xlfn.XLOOKUP($A358,Input_Raw!$E:$E,Input_Raw!$BN:$BN),"")</f>
        <v/>
      </c>
      <c r="O358" s="311" t="str">
        <f t="shared" si="31"/>
        <v/>
      </c>
      <c r="P358" s="311" t="str">
        <f>IFERROR(1-SUMIF(WTG_BD!$F:$F,$A358,WTG_BD!$AA:$AA)/($AA358+SUMIF(WTG_BD!$F:$F,$A358,WTG_BD!$AA:$AA)),"")</f>
        <v/>
      </c>
      <c r="Q358" s="328" t="str">
        <f>IFERROR(1-SUMIF(IGA_BD!$F:$F,$A358,IGA_BD!$W:$W)/($AA358+SUMIF(IGA_BD!$F:$F,$A358,IGA_BD!$W:$W)),"")</f>
        <v/>
      </c>
      <c r="R358" s="47" t="str">
        <f>IFERROR(1-SUMIF(Grid_BD!$F:$F,$A358,Grid_BD!$Y:$Y)/($AA358+SUMIF(Grid_BD!$F:$F,$A358,Grid_BD!$Y:$Y)),"")</f>
        <v/>
      </c>
      <c r="S358" s="10"/>
      <c r="T358" s="310"/>
      <c r="U358" s="311"/>
      <c r="V358" s="10"/>
      <c r="W358" s="312" t="str">
        <f t="shared" si="32"/>
        <v/>
      </c>
      <c r="X358" s="10" t="str">
        <f>IFERROR(_xlfn.XLOOKUP($A358,Input_Raw!$E:$E,Input_Raw!BG:BG),"")</f>
        <v/>
      </c>
      <c r="Y358" s="10" t="str">
        <f>IFERROR(_xlfn.XLOOKUP($A358,Input_Raw!$E:$E,Input_Raw!DF:DF),"")</f>
        <v/>
      </c>
      <c r="Z358" s="319" t="str">
        <f>IFERROR(_xlfn.XLOOKUP(A358,Input_Raw!E:E,Input_Raw!CT:CT)/_xlfn.XLOOKUP(A358,Input_Raw!E:E,Input_Raw!CS:CS)*Table13[[#This Row],[Mtr_Export (kWh)]],"")</f>
        <v/>
      </c>
      <c r="AA358" s="43" t="str">
        <f t="shared" si="33"/>
        <v/>
      </c>
      <c r="AB358" s="10" t="str">
        <f>IFERROR(_xlfn.XLOOKUP($A358,Input_Raw!$E:$E,Input_Raw!$CZ:$CZ),"")</f>
        <v/>
      </c>
      <c r="AC358" s="313">
        <f>IFERROR(_xlfn.XLOOKUP($D358,'Modelling New'!$D:$D,'Modelling New'!$J:$J),"")</f>
        <v>5.9681800514432695</v>
      </c>
      <c r="AD358" s="43">
        <f>IFERROR(_xlfn.XLOOKUP($D358,'Modelling New'!$D:$D,'Modelling New'!$T:$T)*1000,"")</f>
        <v>280595.16129032261</v>
      </c>
      <c r="AE358" s="312"/>
      <c r="AF358" s="312">
        <f>IFERROR(_xlfn.XLOOKUP($D358,'Modelling New'!$D:$D,'Modelling New'!$W:$W),"")</f>
        <v>0.23105662161587837</v>
      </c>
      <c r="AG358" s="312">
        <f>IFERROR(_xlfn.XLOOKUP($D358,'Modelling New'!$D:$D,'Modelling New'!$AE:$AE),"")</f>
        <v>0.95549849999999992</v>
      </c>
      <c r="AH358" s="312">
        <f>IFERROR(_xlfn.XLOOKUP($D358,'Modelling New'!$D:$D,'Modelling New'!$AF:$AF),"")</f>
        <v>0.995</v>
      </c>
      <c r="AI358" s="10" t="str">
        <f>IFERROR(_xlfn.XLOOKUP($A358,Input_Raw!$E:$E,Input_Raw!$DG:$DG),"")</f>
        <v/>
      </c>
      <c r="AJ358" s="10"/>
      <c r="AK358" s="10"/>
      <c r="AL358" s="10"/>
      <c r="AM358" s="10"/>
      <c r="AN358" s="314" t="str">
        <f>IFERROR(_xlfn.XLOOKUP($A358,Input_Raw!$E:$E,Input_Raw!$CY:$CY),"")</f>
        <v/>
      </c>
      <c r="AO358" s="312" t="str">
        <f>IFERROR((_xlfn.XLOOKUP($A358,'WTG Reactive Power'!$A:$A,'WTG Reactive Power'!AB:AB))/X358,"")</f>
        <v/>
      </c>
      <c r="AP358" s="312">
        <f>IFERROR(_xlfn.XLOOKUP($D358,'Modelling New'!$D:$D,'Modelling New'!AK:AK),"")</f>
        <v>0.05</v>
      </c>
      <c r="AQ358" s="312">
        <f>IFERROR(_xlfn.XLOOKUP($D358,'Modelling New'!$D:$D,'Modelling New'!AL:AL),"")</f>
        <v>0.05</v>
      </c>
      <c r="AR358" s="325">
        <f>IFERROR(_xlfn.XLOOKUP($D358,'Modelling New'!$D:$D,'Modelling New'!$N:$N),"")</f>
        <v>50.59999999999998</v>
      </c>
      <c r="AS358" s="325"/>
    </row>
    <row r="359" spans="1:45">
      <c r="A359" s="32">
        <f t="shared" si="34"/>
        <v>46102</v>
      </c>
      <c r="B359" s="43">
        <f>YEAR(Table13[[#This Row],[Date]])+IF(MONTH(Table13[[#This Row],[Date]])&gt;=4,1,0)</f>
        <v>2026</v>
      </c>
      <c r="C359" s="10">
        <f>YEAR(Table13[[#This Row],[Date]])</f>
        <v>2026</v>
      </c>
      <c r="D359" s="309">
        <f>Table13[[#This Row],[Date]]-DAY(Table13[[#This Row],[Date]])+1</f>
        <v>46082</v>
      </c>
      <c r="E359" s="10">
        <f t="shared" si="30"/>
        <v>31</v>
      </c>
      <c r="F359" s="241" t="str">
        <f>IFERROR(_xlfn.XLOOKUP($A359,Input_Raw!$E:$E,Input_Raw!DC:DC),"")</f>
        <v/>
      </c>
      <c r="G359" s="242"/>
      <c r="H359" s="242"/>
      <c r="I359" s="242"/>
      <c r="J359" s="242"/>
      <c r="K359" s="243"/>
      <c r="L359" s="242"/>
      <c r="M359" s="242" t="str">
        <f>IFERROR(_xlfn.XLOOKUP($A359,Input_Raw!$E:$E,Input_Raw!$BM:$BM),"")</f>
        <v/>
      </c>
      <c r="N359" s="242" t="str">
        <f>IFERROR(_xlfn.XLOOKUP($A359,Input_Raw!$E:$E,Input_Raw!$BN:$BN),"")</f>
        <v/>
      </c>
      <c r="O359" s="311" t="str">
        <f t="shared" si="31"/>
        <v/>
      </c>
      <c r="P359" s="311" t="str">
        <f>IFERROR(1-SUMIF(WTG_BD!$F:$F,$A359,WTG_BD!$AA:$AA)/($AA359+SUMIF(WTG_BD!$F:$F,$A359,WTG_BD!$AA:$AA)),"")</f>
        <v/>
      </c>
      <c r="Q359" s="328" t="str">
        <f>IFERROR(1-SUMIF(IGA_BD!$F:$F,$A359,IGA_BD!$W:$W)/($AA359+SUMIF(IGA_BD!$F:$F,$A359,IGA_BD!$W:$W)),"")</f>
        <v/>
      </c>
      <c r="R359" s="311" t="str">
        <f>IFERROR(1-SUMIF(Grid_BD!$F:$F,$A359,Grid_BD!$Y:$Y)/($AA359+SUMIF(Grid_BD!$F:$F,$A359,Grid_BD!$Y:$Y)),"")</f>
        <v/>
      </c>
      <c r="S359" s="10"/>
      <c r="T359" s="310"/>
      <c r="U359" s="311"/>
      <c r="V359" s="10"/>
      <c r="W359" s="312" t="str">
        <f t="shared" si="32"/>
        <v/>
      </c>
      <c r="X359" s="10" t="str">
        <f>IFERROR(_xlfn.XLOOKUP($A359,Input_Raw!$E:$E,Input_Raw!BG:BG),"")</f>
        <v/>
      </c>
      <c r="Y359" s="10" t="str">
        <f>IFERROR(_xlfn.XLOOKUP($A359,Input_Raw!$E:$E,Input_Raw!DF:DF),"")</f>
        <v/>
      </c>
      <c r="Z359" s="319" t="str">
        <f>IFERROR(_xlfn.XLOOKUP(A359,Input_Raw!E:E,Input_Raw!CT:CT)/_xlfn.XLOOKUP(A359,Input_Raw!E:E,Input_Raw!CS:CS)*Table13[[#This Row],[Mtr_Export (kWh)]],"")</f>
        <v/>
      </c>
      <c r="AA359" s="43" t="str">
        <f t="shared" si="33"/>
        <v/>
      </c>
      <c r="AB359" s="10" t="str">
        <f>IFERROR(_xlfn.XLOOKUP($A359,Input_Raw!$E:$E,Input_Raw!$CZ:$CZ),"")</f>
        <v/>
      </c>
      <c r="AC359" s="313">
        <f>IFERROR(_xlfn.XLOOKUP($D359,'Modelling New'!$D:$D,'Modelling New'!$J:$J),"")</f>
        <v>5.9681800514432695</v>
      </c>
      <c r="AD359" s="43">
        <f>IFERROR(_xlfn.XLOOKUP($D359,'Modelling New'!$D:$D,'Modelling New'!$T:$T)*1000,"")</f>
        <v>280595.16129032261</v>
      </c>
      <c r="AE359" s="312"/>
      <c r="AF359" s="312">
        <f>IFERROR(_xlfn.XLOOKUP($D359,'Modelling New'!$D:$D,'Modelling New'!$W:$W),"")</f>
        <v>0.23105662161587837</v>
      </c>
      <c r="AG359" s="312">
        <f>IFERROR(_xlfn.XLOOKUP($D359,'Modelling New'!$D:$D,'Modelling New'!$AE:$AE),"")</f>
        <v>0.95549849999999992</v>
      </c>
      <c r="AH359" s="312">
        <f>IFERROR(_xlfn.XLOOKUP($D359,'Modelling New'!$D:$D,'Modelling New'!$AF:$AF),"")</f>
        <v>0.995</v>
      </c>
      <c r="AI359" s="10" t="str">
        <f>IFERROR(_xlfn.XLOOKUP($A359,Input_Raw!$E:$E,Input_Raw!$DG:$DG),"")</f>
        <v/>
      </c>
      <c r="AJ359" s="10"/>
      <c r="AK359" s="10"/>
      <c r="AL359" s="10"/>
      <c r="AM359" s="10"/>
      <c r="AN359" s="314" t="str">
        <f>IFERROR(_xlfn.XLOOKUP($A359,Input_Raw!$E:$E,Input_Raw!$CY:$CY),"")</f>
        <v/>
      </c>
      <c r="AO359" s="312" t="str">
        <f>IFERROR((_xlfn.XLOOKUP($A359,'WTG Reactive Power'!$A:$A,'WTG Reactive Power'!AB:AB))/X359,"")</f>
        <v/>
      </c>
      <c r="AP359" s="312">
        <f>IFERROR(_xlfn.XLOOKUP($D359,'Modelling New'!$D:$D,'Modelling New'!AK:AK),"")</f>
        <v>0.05</v>
      </c>
      <c r="AQ359" s="312">
        <f>IFERROR(_xlfn.XLOOKUP($D359,'Modelling New'!$D:$D,'Modelling New'!AL:AL),"")</f>
        <v>0.05</v>
      </c>
      <c r="AR359" s="325">
        <f>IFERROR(_xlfn.XLOOKUP($D359,'Modelling New'!$D:$D,'Modelling New'!$N:$N),"")</f>
        <v>50.59999999999998</v>
      </c>
      <c r="AS359" s="325"/>
    </row>
    <row r="360" spans="1:45">
      <c r="A360" s="32">
        <f t="shared" si="34"/>
        <v>46103</v>
      </c>
      <c r="B360" s="43">
        <f>YEAR(Table13[[#This Row],[Date]])+IF(MONTH(Table13[[#This Row],[Date]])&gt;=4,1,0)</f>
        <v>2026</v>
      </c>
      <c r="C360" s="10">
        <f>YEAR(Table13[[#This Row],[Date]])</f>
        <v>2026</v>
      </c>
      <c r="D360" s="309">
        <f>Table13[[#This Row],[Date]]-DAY(Table13[[#This Row],[Date]])+1</f>
        <v>46082</v>
      </c>
      <c r="E360" s="10">
        <f t="shared" si="30"/>
        <v>31</v>
      </c>
      <c r="F360" s="241" t="str">
        <f>IFERROR(_xlfn.XLOOKUP($A360,Input_Raw!$E:$E,Input_Raw!DC:DC),"")</f>
        <v/>
      </c>
      <c r="G360" s="313"/>
      <c r="H360" s="313"/>
      <c r="I360" s="313"/>
      <c r="J360" s="313"/>
      <c r="K360" s="243"/>
      <c r="L360" s="242"/>
      <c r="M360" s="242" t="str">
        <f>IFERROR(_xlfn.XLOOKUP($A360,Input_Raw!$E:$E,Input_Raw!$BM:$BM),"")</f>
        <v/>
      </c>
      <c r="N360" s="242" t="str">
        <f>IFERROR(_xlfn.XLOOKUP($A360,Input_Raw!$E:$E,Input_Raw!$BN:$BN),"")</f>
        <v/>
      </c>
      <c r="O360" s="311" t="str">
        <f t="shared" si="31"/>
        <v/>
      </c>
      <c r="P360" s="311" t="str">
        <f>IFERROR(1-SUMIF(WTG_BD!$F:$F,$A360,WTG_BD!$AA:$AA)/($AA360+SUMIF(WTG_BD!$F:$F,$A360,WTG_BD!$AA:$AA)),"")</f>
        <v/>
      </c>
      <c r="Q360" s="328" t="str">
        <f>IFERROR(1-SUMIF(IGA_BD!$F:$F,$A360,IGA_BD!$W:$W)/($AA360+SUMIF(IGA_BD!$F:$F,$A360,IGA_BD!$W:$W)),"")</f>
        <v/>
      </c>
      <c r="R360" s="47" t="str">
        <f>IFERROR(1-SUMIF(Grid_BD!$F:$F,$A360,Grid_BD!$Y:$Y)/($AA360+SUMIF(Grid_BD!$F:$F,$A360,Grid_BD!$Y:$Y)),"")</f>
        <v/>
      </c>
      <c r="S360" s="10"/>
      <c r="T360" s="310"/>
      <c r="U360" s="311"/>
      <c r="V360" s="10"/>
      <c r="W360" s="312" t="str">
        <f t="shared" si="32"/>
        <v/>
      </c>
      <c r="X360" s="10" t="str">
        <f>IFERROR(_xlfn.XLOOKUP($A360,Input_Raw!$E:$E,Input_Raw!BG:BG),"")</f>
        <v/>
      </c>
      <c r="Y360" s="10" t="str">
        <f>IFERROR(_xlfn.XLOOKUP($A360,Input_Raw!$E:$E,Input_Raw!DF:DF),"")</f>
        <v/>
      </c>
      <c r="Z360" s="319" t="str">
        <f>IFERROR(_xlfn.XLOOKUP(A360,Input_Raw!E:E,Input_Raw!CT:CT)/_xlfn.XLOOKUP(A360,Input_Raw!E:E,Input_Raw!CS:CS)*Table13[[#This Row],[Mtr_Export (kWh)]],"")</f>
        <v/>
      </c>
      <c r="AA360" s="43" t="str">
        <f t="shared" si="33"/>
        <v/>
      </c>
      <c r="AB360" s="10" t="str">
        <f>IFERROR(_xlfn.XLOOKUP($A360,Input_Raw!$E:$E,Input_Raw!$CZ:$CZ),"")</f>
        <v/>
      </c>
      <c r="AC360" s="313">
        <f>IFERROR(_xlfn.XLOOKUP($D360,'Modelling New'!$D:$D,'Modelling New'!$J:$J),"")</f>
        <v>5.9681800514432695</v>
      </c>
      <c r="AD360" s="43">
        <f>IFERROR(_xlfn.XLOOKUP($D360,'Modelling New'!$D:$D,'Modelling New'!$T:$T)*1000,"")</f>
        <v>280595.16129032261</v>
      </c>
      <c r="AE360" s="312"/>
      <c r="AF360" s="312">
        <f>IFERROR(_xlfn.XLOOKUP($D360,'Modelling New'!$D:$D,'Modelling New'!$W:$W),"")</f>
        <v>0.23105662161587837</v>
      </c>
      <c r="AG360" s="312">
        <f>IFERROR(_xlfn.XLOOKUP($D360,'Modelling New'!$D:$D,'Modelling New'!$AE:$AE),"")</f>
        <v>0.95549849999999992</v>
      </c>
      <c r="AH360" s="312">
        <f>IFERROR(_xlfn.XLOOKUP($D360,'Modelling New'!$D:$D,'Modelling New'!$AF:$AF),"")</f>
        <v>0.995</v>
      </c>
      <c r="AI360" s="10" t="str">
        <f>IFERROR(_xlfn.XLOOKUP($A360,Input_Raw!$E:$E,Input_Raw!$DG:$DG),"")</f>
        <v/>
      </c>
      <c r="AJ360" s="10"/>
      <c r="AK360" s="10"/>
      <c r="AL360" s="10"/>
      <c r="AM360" s="10"/>
      <c r="AN360" s="314" t="str">
        <f>IFERROR(_xlfn.XLOOKUP($A360,Input_Raw!$E:$E,Input_Raw!$CY:$CY),"")</f>
        <v/>
      </c>
      <c r="AO360" s="312" t="str">
        <f>IFERROR((_xlfn.XLOOKUP($A360,'WTG Reactive Power'!$A:$A,'WTG Reactive Power'!AB:AB))/X360,"")</f>
        <v/>
      </c>
      <c r="AP360" s="312">
        <f>IFERROR(_xlfn.XLOOKUP($D360,'Modelling New'!$D:$D,'Modelling New'!AK:AK),"")</f>
        <v>0.05</v>
      </c>
      <c r="AQ360" s="312">
        <f>IFERROR(_xlfn.XLOOKUP($D360,'Modelling New'!$D:$D,'Modelling New'!AL:AL),"")</f>
        <v>0.05</v>
      </c>
      <c r="AR360" s="325">
        <f>IFERROR(_xlfn.XLOOKUP($D360,'Modelling New'!$D:$D,'Modelling New'!$N:$N),"")</f>
        <v>50.59999999999998</v>
      </c>
      <c r="AS360" s="325"/>
    </row>
    <row r="361" spans="1:45">
      <c r="A361" s="32">
        <f t="shared" si="34"/>
        <v>46104</v>
      </c>
      <c r="B361" s="43">
        <f>YEAR(Table13[[#This Row],[Date]])+IF(MONTH(Table13[[#This Row],[Date]])&gt;=4,1,0)</f>
        <v>2026</v>
      </c>
      <c r="C361" s="10">
        <f>YEAR(Table13[[#This Row],[Date]])</f>
        <v>2026</v>
      </c>
      <c r="D361" s="309">
        <f>Table13[[#This Row],[Date]]-DAY(Table13[[#This Row],[Date]])+1</f>
        <v>46082</v>
      </c>
      <c r="E361" s="10">
        <f t="shared" si="30"/>
        <v>31</v>
      </c>
      <c r="F361" s="241" t="str">
        <f>IFERROR(_xlfn.XLOOKUP($A361,Input_Raw!$E:$E,Input_Raw!DC:DC),"")</f>
        <v/>
      </c>
      <c r="G361" s="242"/>
      <c r="H361" s="242"/>
      <c r="I361" s="242"/>
      <c r="J361" s="242"/>
      <c r="K361" s="243"/>
      <c r="L361" s="242"/>
      <c r="M361" s="242" t="str">
        <f>IFERROR(_xlfn.XLOOKUP($A361,Input_Raw!$E:$E,Input_Raw!$BM:$BM),"")</f>
        <v/>
      </c>
      <c r="N361" s="242" t="str">
        <f>IFERROR(_xlfn.XLOOKUP($A361,Input_Raw!$E:$E,Input_Raw!$BN:$BN),"")</f>
        <v/>
      </c>
      <c r="O361" s="311" t="str">
        <f t="shared" si="31"/>
        <v/>
      </c>
      <c r="P361" s="311" t="str">
        <f>IFERROR(1-SUMIF(WTG_BD!$F:$F,$A361,WTG_BD!$AA:$AA)/($AA361+SUMIF(WTG_BD!$F:$F,$A361,WTG_BD!$AA:$AA)),"")</f>
        <v/>
      </c>
      <c r="Q361" s="328" t="str">
        <f>IFERROR(1-SUMIF(IGA_BD!$F:$F,$A361,IGA_BD!$W:$W)/($AA361+SUMIF(IGA_BD!$F:$F,$A361,IGA_BD!$W:$W)),"")</f>
        <v/>
      </c>
      <c r="R361" s="311" t="str">
        <f>IFERROR(1-SUMIF(Grid_BD!$F:$F,$A361,Grid_BD!$Y:$Y)/($AA361+SUMIF(Grid_BD!$F:$F,$A361,Grid_BD!$Y:$Y)),"")</f>
        <v/>
      </c>
      <c r="S361" s="10"/>
      <c r="T361" s="310"/>
      <c r="U361" s="311"/>
      <c r="V361" s="10"/>
      <c r="W361" s="312" t="str">
        <f t="shared" si="32"/>
        <v/>
      </c>
      <c r="X361" s="10" t="str">
        <f>IFERROR(_xlfn.XLOOKUP($A361,Input_Raw!$E:$E,Input_Raw!BG:BG),"")</f>
        <v/>
      </c>
      <c r="Y361" s="10" t="str">
        <f>IFERROR(_xlfn.XLOOKUP($A361,Input_Raw!$E:$E,Input_Raw!DF:DF),"")</f>
        <v/>
      </c>
      <c r="Z361" s="319" t="str">
        <f>IFERROR(_xlfn.XLOOKUP(A361,Input_Raw!E:E,Input_Raw!CT:CT)/_xlfn.XLOOKUP(A361,Input_Raw!E:E,Input_Raw!CS:CS)*Table13[[#This Row],[Mtr_Export (kWh)]],"")</f>
        <v/>
      </c>
      <c r="AA361" s="43" t="str">
        <f t="shared" si="33"/>
        <v/>
      </c>
      <c r="AB361" s="10" t="str">
        <f>IFERROR(_xlfn.XLOOKUP($A361,Input_Raw!$E:$E,Input_Raw!$CZ:$CZ),"")</f>
        <v/>
      </c>
      <c r="AC361" s="313">
        <f>IFERROR(_xlfn.XLOOKUP($D361,'Modelling New'!$D:$D,'Modelling New'!$J:$J),"")</f>
        <v>5.9681800514432695</v>
      </c>
      <c r="AD361" s="43">
        <f>IFERROR(_xlfn.XLOOKUP($D361,'Modelling New'!$D:$D,'Modelling New'!$T:$T)*1000,"")</f>
        <v>280595.16129032261</v>
      </c>
      <c r="AE361" s="312"/>
      <c r="AF361" s="312">
        <f>IFERROR(_xlfn.XLOOKUP($D361,'Modelling New'!$D:$D,'Modelling New'!$W:$W),"")</f>
        <v>0.23105662161587837</v>
      </c>
      <c r="AG361" s="312">
        <f>IFERROR(_xlfn.XLOOKUP($D361,'Modelling New'!$D:$D,'Modelling New'!$AE:$AE),"")</f>
        <v>0.95549849999999992</v>
      </c>
      <c r="AH361" s="312">
        <f>IFERROR(_xlfn.XLOOKUP($D361,'Modelling New'!$D:$D,'Modelling New'!$AF:$AF),"")</f>
        <v>0.995</v>
      </c>
      <c r="AI361" s="10" t="str">
        <f>IFERROR(_xlfn.XLOOKUP($A361,Input_Raw!$E:$E,Input_Raw!$DG:$DG),"")</f>
        <v/>
      </c>
      <c r="AJ361" s="10"/>
      <c r="AK361" s="10"/>
      <c r="AL361" s="10"/>
      <c r="AM361" s="10"/>
      <c r="AN361" s="314" t="str">
        <f>IFERROR(_xlfn.XLOOKUP($A361,Input_Raw!$E:$E,Input_Raw!$CY:$CY),"")</f>
        <v/>
      </c>
      <c r="AO361" s="312" t="str">
        <f>IFERROR((_xlfn.XLOOKUP($A361,'WTG Reactive Power'!$A:$A,'WTG Reactive Power'!AB:AB))/X361,"")</f>
        <v/>
      </c>
      <c r="AP361" s="312">
        <f>IFERROR(_xlfn.XLOOKUP($D361,'Modelling New'!$D:$D,'Modelling New'!AK:AK),"")</f>
        <v>0.05</v>
      </c>
      <c r="AQ361" s="312">
        <f>IFERROR(_xlfn.XLOOKUP($D361,'Modelling New'!$D:$D,'Modelling New'!AL:AL),"")</f>
        <v>0.05</v>
      </c>
      <c r="AR361" s="325">
        <f>IFERROR(_xlfn.XLOOKUP($D361,'Modelling New'!$D:$D,'Modelling New'!$N:$N),"")</f>
        <v>50.59999999999998</v>
      </c>
      <c r="AS361" s="325"/>
    </row>
    <row r="362" spans="1:45">
      <c r="A362" s="32">
        <f t="shared" si="34"/>
        <v>46105</v>
      </c>
      <c r="B362" s="43">
        <f>YEAR(Table13[[#This Row],[Date]])+IF(MONTH(Table13[[#This Row],[Date]])&gt;=4,1,0)</f>
        <v>2026</v>
      </c>
      <c r="C362" s="10">
        <f>YEAR(Table13[[#This Row],[Date]])</f>
        <v>2026</v>
      </c>
      <c r="D362" s="309">
        <f>Table13[[#This Row],[Date]]-DAY(Table13[[#This Row],[Date]])+1</f>
        <v>46082</v>
      </c>
      <c r="E362" s="10">
        <f t="shared" si="30"/>
        <v>31</v>
      </c>
      <c r="F362" s="241" t="str">
        <f>IFERROR(_xlfn.XLOOKUP($A362,Input_Raw!$E:$E,Input_Raw!DC:DC),"")</f>
        <v/>
      </c>
      <c r="G362" s="313"/>
      <c r="H362" s="313"/>
      <c r="I362" s="313"/>
      <c r="J362" s="313"/>
      <c r="K362" s="243"/>
      <c r="L362" s="242"/>
      <c r="M362" s="242" t="str">
        <f>IFERROR(_xlfn.XLOOKUP($A362,Input_Raw!$E:$E,Input_Raw!$BM:$BM),"")</f>
        <v/>
      </c>
      <c r="N362" s="242" t="str">
        <f>IFERROR(_xlfn.XLOOKUP($A362,Input_Raw!$E:$E,Input_Raw!$BN:$BN),"")</f>
        <v/>
      </c>
      <c r="O362" s="311" t="str">
        <f t="shared" si="31"/>
        <v/>
      </c>
      <c r="P362" s="311" t="str">
        <f>IFERROR(1-SUMIF(WTG_BD!$F:$F,$A362,WTG_BD!$AA:$AA)/($AA362+SUMIF(WTG_BD!$F:$F,$A362,WTG_BD!$AA:$AA)),"")</f>
        <v/>
      </c>
      <c r="Q362" s="328" t="str">
        <f>IFERROR(1-SUMIF(IGA_BD!$F:$F,$A362,IGA_BD!$W:$W)/($AA362+SUMIF(IGA_BD!$F:$F,$A362,IGA_BD!$W:$W)),"")</f>
        <v/>
      </c>
      <c r="R362" s="47" t="str">
        <f>IFERROR(1-SUMIF(Grid_BD!$F:$F,$A362,Grid_BD!$Y:$Y)/($AA362+SUMIF(Grid_BD!$F:$F,$A362,Grid_BD!$Y:$Y)),"")</f>
        <v/>
      </c>
      <c r="S362" s="10"/>
      <c r="T362" s="310"/>
      <c r="U362" s="311"/>
      <c r="V362" s="10"/>
      <c r="W362" s="312" t="str">
        <f t="shared" si="32"/>
        <v/>
      </c>
      <c r="X362" s="10" t="str">
        <f>IFERROR(_xlfn.XLOOKUP($A362,Input_Raw!$E:$E,Input_Raw!BG:BG),"")</f>
        <v/>
      </c>
      <c r="Y362" s="10" t="str">
        <f>IFERROR(_xlfn.XLOOKUP($A362,Input_Raw!$E:$E,Input_Raw!DF:DF),"")</f>
        <v/>
      </c>
      <c r="Z362" s="319" t="str">
        <f>IFERROR(_xlfn.XLOOKUP(A362,Input_Raw!E:E,Input_Raw!CT:CT)/_xlfn.XLOOKUP(A362,Input_Raw!E:E,Input_Raw!CS:CS)*Table13[[#This Row],[Mtr_Export (kWh)]],"")</f>
        <v/>
      </c>
      <c r="AA362" s="43" t="str">
        <f t="shared" si="33"/>
        <v/>
      </c>
      <c r="AB362" s="10" t="str">
        <f>IFERROR(_xlfn.XLOOKUP($A362,Input_Raw!$E:$E,Input_Raw!$CZ:$CZ),"")</f>
        <v/>
      </c>
      <c r="AC362" s="313">
        <f>IFERROR(_xlfn.XLOOKUP($D362,'Modelling New'!$D:$D,'Modelling New'!$J:$J),"")</f>
        <v>5.9681800514432695</v>
      </c>
      <c r="AD362" s="43">
        <f>IFERROR(_xlfn.XLOOKUP($D362,'Modelling New'!$D:$D,'Modelling New'!$T:$T)*1000,"")</f>
        <v>280595.16129032261</v>
      </c>
      <c r="AE362" s="312"/>
      <c r="AF362" s="312">
        <f>IFERROR(_xlfn.XLOOKUP($D362,'Modelling New'!$D:$D,'Modelling New'!$W:$W),"")</f>
        <v>0.23105662161587837</v>
      </c>
      <c r="AG362" s="312">
        <f>IFERROR(_xlfn.XLOOKUP($D362,'Modelling New'!$D:$D,'Modelling New'!$AE:$AE),"")</f>
        <v>0.95549849999999992</v>
      </c>
      <c r="AH362" s="312">
        <f>IFERROR(_xlfn.XLOOKUP($D362,'Modelling New'!$D:$D,'Modelling New'!$AF:$AF),"")</f>
        <v>0.995</v>
      </c>
      <c r="AI362" s="10" t="str">
        <f>IFERROR(_xlfn.XLOOKUP($A362,Input_Raw!$E:$E,Input_Raw!$DG:$DG),"")</f>
        <v/>
      </c>
      <c r="AJ362" s="10"/>
      <c r="AK362" s="10"/>
      <c r="AL362" s="10"/>
      <c r="AM362" s="10"/>
      <c r="AN362" s="314" t="str">
        <f>IFERROR(_xlfn.XLOOKUP($A362,Input_Raw!$E:$E,Input_Raw!$CY:$CY),"")</f>
        <v/>
      </c>
      <c r="AO362" s="312" t="str">
        <f>IFERROR((_xlfn.XLOOKUP($A362,'WTG Reactive Power'!$A:$A,'WTG Reactive Power'!AB:AB))/X362,"")</f>
        <v/>
      </c>
      <c r="AP362" s="312">
        <f>IFERROR(_xlfn.XLOOKUP($D362,'Modelling New'!$D:$D,'Modelling New'!AK:AK),"")</f>
        <v>0.05</v>
      </c>
      <c r="AQ362" s="312">
        <f>IFERROR(_xlfn.XLOOKUP($D362,'Modelling New'!$D:$D,'Modelling New'!AL:AL),"")</f>
        <v>0.05</v>
      </c>
      <c r="AR362" s="325">
        <f>IFERROR(_xlfn.XLOOKUP($D362,'Modelling New'!$D:$D,'Modelling New'!$N:$N),"")</f>
        <v>50.59999999999998</v>
      </c>
      <c r="AS362" s="325"/>
    </row>
    <row r="363" spans="1:45">
      <c r="A363" s="32">
        <f t="shared" si="34"/>
        <v>46106</v>
      </c>
      <c r="B363" s="43">
        <f>YEAR(Table13[[#This Row],[Date]])+IF(MONTH(Table13[[#This Row],[Date]])&gt;=4,1,0)</f>
        <v>2026</v>
      </c>
      <c r="C363" s="10">
        <f>YEAR(Table13[[#This Row],[Date]])</f>
        <v>2026</v>
      </c>
      <c r="D363" s="309">
        <f>Table13[[#This Row],[Date]]-DAY(Table13[[#This Row],[Date]])+1</f>
        <v>46082</v>
      </c>
      <c r="E363" s="10">
        <f t="shared" si="30"/>
        <v>31</v>
      </c>
      <c r="F363" s="241" t="str">
        <f>IFERROR(_xlfn.XLOOKUP($A363,Input_Raw!$E:$E,Input_Raw!DC:DC),"")</f>
        <v/>
      </c>
      <c r="G363" s="242"/>
      <c r="H363" s="242"/>
      <c r="I363" s="242"/>
      <c r="J363" s="242"/>
      <c r="K363" s="243"/>
      <c r="L363" s="242"/>
      <c r="M363" s="242" t="str">
        <f>IFERROR(_xlfn.XLOOKUP($A363,Input_Raw!$E:$E,Input_Raw!$BM:$BM),"")</f>
        <v/>
      </c>
      <c r="N363" s="242" t="str">
        <f>IFERROR(_xlfn.XLOOKUP($A363,Input_Raw!$E:$E,Input_Raw!$BN:$BN),"")</f>
        <v/>
      </c>
      <c r="O363" s="311" t="str">
        <f t="shared" si="31"/>
        <v/>
      </c>
      <c r="P363" s="311" t="str">
        <f>IFERROR(1-SUMIF(WTG_BD!$F:$F,$A363,WTG_BD!$AA:$AA)/($AA363+SUMIF(WTG_BD!$F:$F,$A363,WTG_BD!$AA:$AA)),"")</f>
        <v/>
      </c>
      <c r="Q363" s="328" t="str">
        <f>IFERROR(1-SUMIF(IGA_BD!$F:$F,$A363,IGA_BD!$W:$W)/($AA363+SUMIF(IGA_BD!$F:$F,$A363,IGA_BD!$W:$W)),"")</f>
        <v/>
      </c>
      <c r="R363" s="311" t="str">
        <f>IFERROR(1-SUMIF(Grid_BD!$F:$F,$A363,Grid_BD!$Y:$Y)/($AA363+SUMIF(Grid_BD!$F:$F,$A363,Grid_BD!$Y:$Y)),"")</f>
        <v/>
      </c>
      <c r="S363" s="10"/>
      <c r="T363" s="310"/>
      <c r="U363" s="311"/>
      <c r="V363" s="10"/>
      <c r="W363" s="312" t="str">
        <f t="shared" si="32"/>
        <v/>
      </c>
      <c r="X363" s="10" t="str">
        <f>IFERROR(_xlfn.XLOOKUP($A363,Input_Raw!$E:$E,Input_Raw!BG:BG),"")</f>
        <v/>
      </c>
      <c r="Y363" s="10" t="str">
        <f>IFERROR(_xlfn.XLOOKUP($A363,Input_Raw!$E:$E,Input_Raw!DF:DF),"")</f>
        <v/>
      </c>
      <c r="Z363" s="319" t="str">
        <f>IFERROR(_xlfn.XLOOKUP(A363,Input_Raw!E:E,Input_Raw!CT:CT)/_xlfn.XLOOKUP(A363,Input_Raw!E:E,Input_Raw!CS:CS)*Table13[[#This Row],[Mtr_Export (kWh)]],"")</f>
        <v/>
      </c>
      <c r="AA363" s="43" t="str">
        <f t="shared" si="33"/>
        <v/>
      </c>
      <c r="AB363" s="10" t="str">
        <f>IFERROR(_xlfn.XLOOKUP($A363,Input_Raw!$E:$E,Input_Raw!$CZ:$CZ),"")</f>
        <v/>
      </c>
      <c r="AC363" s="313">
        <f>IFERROR(_xlfn.XLOOKUP($D363,'Modelling New'!$D:$D,'Modelling New'!$J:$J),"")</f>
        <v>5.9681800514432695</v>
      </c>
      <c r="AD363" s="43">
        <f>IFERROR(_xlfn.XLOOKUP($D363,'Modelling New'!$D:$D,'Modelling New'!$T:$T)*1000,"")</f>
        <v>280595.16129032261</v>
      </c>
      <c r="AE363" s="312"/>
      <c r="AF363" s="312">
        <f>IFERROR(_xlfn.XLOOKUP($D363,'Modelling New'!$D:$D,'Modelling New'!$W:$W),"")</f>
        <v>0.23105662161587837</v>
      </c>
      <c r="AG363" s="312">
        <f>IFERROR(_xlfn.XLOOKUP($D363,'Modelling New'!$D:$D,'Modelling New'!$AE:$AE),"")</f>
        <v>0.95549849999999992</v>
      </c>
      <c r="AH363" s="312">
        <f>IFERROR(_xlfn.XLOOKUP($D363,'Modelling New'!$D:$D,'Modelling New'!$AF:$AF),"")</f>
        <v>0.995</v>
      </c>
      <c r="AI363" s="10" t="str">
        <f>IFERROR(_xlfn.XLOOKUP($A363,Input_Raw!$E:$E,Input_Raw!$DG:$DG),"")</f>
        <v/>
      </c>
      <c r="AJ363" s="10"/>
      <c r="AK363" s="10"/>
      <c r="AL363" s="10"/>
      <c r="AM363" s="10"/>
      <c r="AN363" s="314" t="str">
        <f>IFERROR(_xlfn.XLOOKUP($A363,Input_Raw!$E:$E,Input_Raw!$CY:$CY),"")</f>
        <v/>
      </c>
      <c r="AO363" s="312" t="str">
        <f>IFERROR((_xlfn.XLOOKUP($A363,'WTG Reactive Power'!$A:$A,'WTG Reactive Power'!AB:AB))/X363,"")</f>
        <v/>
      </c>
      <c r="AP363" s="312">
        <f>IFERROR(_xlfn.XLOOKUP($D363,'Modelling New'!$D:$D,'Modelling New'!AK:AK),"")</f>
        <v>0.05</v>
      </c>
      <c r="AQ363" s="312">
        <f>IFERROR(_xlfn.XLOOKUP($D363,'Modelling New'!$D:$D,'Modelling New'!AL:AL),"")</f>
        <v>0.05</v>
      </c>
      <c r="AR363" s="325">
        <f>IFERROR(_xlfn.XLOOKUP($D363,'Modelling New'!$D:$D,'Modelling New'!$N:$N),"")</f>
        <v>50.59999999999998</v>
      </c>
      <c r="AS363" s="325"/>
    </row>
    <row r="364" spans="1:45">
      <c r="A364" s="32">
        <f t="shared" si="34"/>
        <v>46107</v>
      </c>
      <c r="B364" s="43">
        <f>YEAR(Table13[[#This Row],[Date]])+IF(MONTH(Table13[[#This Row],[Date]])&gt;=4,1,0)</f>
        <v>2026</v>
      </c>
      <c r="C364" s="10">
        <f>YEAR(Table13[[#This Row],[Date]])</f>
        <v>2026</v>
      </c>
      <c r="D364" s="309">
        <f>Table13[[#This Row],[Date]]-DAY(Table13[[#This Row],[Date]])+1</f>
        <v>46082</v>
      </c>
      <c r="E364" s="10">
        <f t="shared" si="30"/>
        <v>31</v>
      </c>
      <c r="F364" s="241" t="str">
        <f>IFERROR(_xlfn.XLOOKUP($A364,Input_Raw!$E:$E,Input_Raw!DC:DC),"")</f>
        <v/>
      </c>
      <c r="G364" s="313"/>
      <c r="H364" s="313"/>
      <c r="I364" s="313"/>
      <c r="J364" s="313"/>
      <c r="K364" s="243"/>
      <c r="L364" s="242"/>
      <c r="M364" s="242" t="str">
        <f>IFERROR(_xlfn.XLOOKUP($A364,Input_Raw!$E:$E,Input_Raw!$BM:$BM),"")</f>
        <v/>
      </c>
      <c r="N364" s="242" t="str">
        <f>IFERROR(_xlfn.XLOOKUP($A364,Input_Raw!$E:$E,Input_Raw!$BN:$BN),"")</f>
        <v/>
      </c>
      <c r="O364" s="311" t="str">
        <f t="shared" si="31"/>
        <v/>
      </c>
      <c r="P364" s="311" t="str">
        <f>IFERROR(1-SUMIF(WTG_BD!$F:$F,$A364,WTG_BD!$AA:$AA)/($AA364+SUMIF(WTG_BD!$F:$F,$A364,WTG_BD!$AA:$AA)),"")</f>
        <v/>
      </c>
      <c r="Q364" s="328" t="str">
        <f>IFERROR(1-SUMIF(IGA_BD!$F:$F,$A364,IGA_BD!$W:$W)/($AA364+SUMIF(IGA_BD!$F:$F,$A364,IGA_BD!$W:$W)),"")</f>
        <v/>
      </c>
      <c r="R364" s="47" t="str">
        <f>IFERROR(1-SUMIF(Grid_BD!$F:$F,$A364,Grid_BD!$Y:$Y)/($AA364+SUMIF(Grid_BD!$F:$F,$A364,Grid_BD!$Y:$Y)),"")</f>
        <v/>
      </c>
      <c r="S364" s="10"/>
      <c r="T364" s="310"/>
      <c r="U364" s="311"/>
      <c r="V364" s="10"/>
      <c r="W364" s="312" t="str">
        <f t="shared" si="32"/>
        <v/>
      </c>
      <c r="X364" s="10" t="str">
        <f>IFERROR(_xlfn.XLOOKUP($A364,Input_Raw!$E:$E,Input_Raw!BG:BG),"")</f>
        <v/>
      </c>
      <c r="Y364" s="10" t="str">
        <f>IFERROR(_xlfn.XLOOKUP($A364,Input_Raw!$E:$E,Input_Raw!DF:DF),"")</f>
        <v/>
      </c>
      <c r="Z364" s="319" t="str">
        <f>IFERROR(_xlfn.XLOOKUP(A364,Input_Raw!E:E,Input_Raw!CT:CT)/_xlfn.XLOOKUP(A364,Input_Raw!E:E,Input_Raw!CS:CS)*Table13[[#This Row],[Mtr_Export (kWh)]],"")</f>
        <v/>
      </c>
      <c r="AA364" s="43" t="str">
        <f t="shared" si="33"/>
        <v/>
      </c>
      <c r="AB364" s="10" t="str">
        <f>IFERROR(_xlfn.XLOOKUP($A364,Input_Raw!$E:$E,Input_Raw!$CZ:$CZ),"")</f>
        <v/>
      </c>
      <c r="AC364" s="313">
        <f>IFERROR(_xlfn.XLOOKUP($D364,'Modelling New'!$D:$D,'Modelling New'!$J:$J),"")</f>
        <v>5.9681800514432695</v>
      </c>
      <c r="AD364" s="43">
        <f>IFERROR(_xlfn.XLOOKUP($D364,'Modelling New'!$D:$D,'Modelling New'!$T:$T)*1000,"")</f>
        <v>280595.16129032261</v>
      </c>
      <c r="AE364" s="312"/>
      <c r="AF364" s="312">
        <f>IFERROR(_xlfn.XLOOKUP($D364,'Modelling New'!$D:$D,'Modelling New'!$W:$W),"")</f>
        <v>0.23105662161587837</v>
      </c>
      <c r="AG364" s="312">
        <f>IFERROR(_xlfn.XLOOKUP($D364,'Modelling New'!$D:$D,'Modelling New'!$AE:$AE),"")</f>
        <v>0.95549849999999992</v>
      </c>
      <c r="AH364" s="312">
        <f>IFERROR(_xlfn.XLOOKUP($D364,'Modelling New'!$D:$D,'Modelling New'!$AF:$AF),"")</f>
        <v>0.995</v>
      </c>
      <c r="AI364" s="10" t="str">
        <f>IFERROR(_xlfn.XLOOKUP($A364,Input_Raw!$E:$E,Input_Raw!$DG:$DG),"")</f>
        <v/>
      </c>
      <c r="AJ364" s="10"/>
      <c r="AK364" s="10"/>
      <c r="AL364" s="10"/>
      <c r="AM364" s="10"/>
      <c r="AN364" s="314" t="str">
        <f>IFERROR(_xlfn.XLOOKUP($A364,Input_Raw!$E:$E,Input_Raw!$CY:$CY),"")</f>
        <v/>
      </c>
      <c r="AO364" s="312" t="str">
        <f>IFERROR((_xlfn.XLOOKUP($A364,'WTG Reactive Power'!$A:$A,'WTG Reactive Power'!AB:AB))/X364,"")</f>
        <v/>
      </c>
      <c r="AP364" s="312">
        <f>IFERROR(_xlfn.XLOOKUP($D364,'Modelling New'!$D:$D,'Modelling New'!AK:AK),"")</f>
        <v>0.05</v>
      </c>
      <c r="AQ364" s="312">
        <f>IFERROR(_xlfn.XLOOKUP($D364,'Modelling New'!$D:$D,'Modelling New'!AL:AL),"")</f>
        <v>0.05</v>
      </c>
      <c r="AR364" s="325">
        <f>IFERROR(_xlfn.XLOOKUP($D364,'Modelling New'!$D:$D,'Modelling New'!$N:$N),"")</f>
        <v>50.59999999999998</v>
      </c>
      <c r="AS364" s="325"/>
    </row>
    <row r="365" spans="1:45">
      <c r="A365" s="32">
        <f t="shared" si="34"/>
        <v>46108</v>
      </c>
      <c r="B365" s="43">
        <f>YEAR(Table13[[#This Row],[Date]])+IF(MONTH(Table13[[#This Row],[Date]])&gt;=4,1,0)</f>
        <v>2026</v>
      </c>
      <c r="C365" s="10">
        <f>YEAR(Table13[[#This Row],[Date]])</f>
        <v>2026</v>
      </c>
      <c r="D365" s="309">
        <f>Table13[[#This Row],[Date]]-DAY(Table13[[#This Row],[Date]])+1</f>
        <v>46082</v>
      </c>
      <c r="E365" s="10">
        <f t="shared" si="30"/>
        <v>31</v>
      </c>
      <c r="F365" s="241" t="str">
        <f>IFERROR(_xlfn.XLOOKUP($A365,Input_Raw!$E:$E,Input_Raw!DC:DC),"")</f>
        <v/>
      </c>
      <c r="G365" s="242"/>
      <c r="H365" s="242"/>
      <c r="I365" s="242"/>
      <c r="J365" s="242"/>
      <c r="K365" s="243"/>
      <c r="L365" s="242"/>
      <c r="M365" s="242" t="str">
        <f>IFERROR(_xlfn.XLOOKUP($A365,Input_Raw!$E:$E,Input_Raw!$BM:$BM),"")</f>
        <v/>
      </c>
      <c r="N365" s="242" t="str">
        <f>IFERROR(_xlfn.XLOOKUP($A365,Input_Raw!$E:$E,Input_Raw!$BN:$BN),"")</f>
        <v/>
      </c>
      <c r="O365" s="311" t="str">
        <f t="shared" si="31"/>
        <v/>
      </c>
      <c r="P365" s="311" t="str">
        <f>IFERROR(1-SUMIF(WTG_BD!$F:$F,$A365,WTG_BD!$AA:$AA)/($AA365+SUMIF(WTG_BD!$F:$F,$A365,WTG_BD!$AA:$AA)),"")</f>
        <v/>
      </c>
      <c r="Q365" s="328" t="str">
        <f>IFERROR(1-SUMIF(IGA_BD!$F:$F,$A365,IGA_BD!$W:$W)/($AA365+SUMIF(IGA_BD!$F:$F,$A365,IGA_BD!$W:$W)),"")</f>
        <v/>
      </c>
      <c r="R365" s="311" t="str">
        <f>IFERROR(1-SUMIF(Grid_BD!$F:$F,$A365,Grid_BD!$Y:$Y)/($AA365+SUMIF(Grid_BD!$F:$F,$A365,Grid_BD!$Y:$Y)),"")</f>
        <v/>
      </c>
      <c r="S365" s="10"/>
      <c r="T365" s="310"/>
      <c r="U365" s="311"/>
      <c r="V365" s="10"/>
      <c r="W365" s="312" t="str">
        <f t="shared" si="32"/>
        <v/>
      </c>
      <c r="X365" s="10" t="str">
        <f>IFERROR(_xlfn.XLOOKUP($A365,Input_Raw!$E:$E,Input_Raw!BG:BG),"")</f>
        <v/>
      </c>
      <c r="Y365" s="10" t="str">
        <f>IFERROR(_xlfn.XLOOKUP($A365,Input_Raw!$E:$E,Input_Raw!DF:DF),"")</f>
        <v/>
      </c>
      <c r="Z365" s="319" t="str">
        <f>IFERROR(_xlfn.XLOOKUP(A365,Input_Raw!E:E,Input_Raw!CT:CT)/_xlfn.XLOOKUP(A365,Input_Raw!E:E,Input_Raw!CS:CS)*Table13[[#This Row],[Mtr_Export (kWh)]],"")</f>
        <v/>
      </c>
      <c r="AA365" s="43" t="str">
        <f t="shared" si="33"/>
        <v/>
      </c>
      <c r="AB365" s="10" t="str">
        <f>IFERROR(_xlfn.XLOOKUP($A365,Input_Raw!$E:$E,Input_Raw!$CZ:$CZ),"")</f>
        <v/>
      </c>
      <c r="AC365" s="313">
        <f>IFERROR(_xlfn.XLOOKUP($D365,'Modelling New'!$D:$D,'Modelling New'!$J:$J),"")</f>
        <v>5.9681800514432695</v>
      </c>
      <c r="AD365" s="43">
        <f>IFERROR(_xlfn.XLOOKUP($D365,'Modelling New'!$D:$D,'Modelling New'!$T:$T)*1000,"")</f>
        <v>280595.16129032261</v>
      </c>
      <c r="AE365" s="312"/>
      <c r="AF365" s="312">
        <f>IFERROR(_xlfn.XLOOKUP($D365,'Modelling New'!$D:$D,'Modelling New'!$W:$W),"")</f>
        <v>0.23105662161587837</v>
      </c>
      <c r="AG365" s="312">
        <f>IFERROR(_xlfn.XLOOKUP($D365,'Modelling New'!$D:$D,'Modelling New'!$AE:$AE),"")</f>
        <v>0.95549849999999992</v>
      </c>
      <c r="AH365" s="312">
        <f>IFERROR(_xlfn.XLOOKUP($D365,'Modelling New'!$D:$D,'Modelling New'!$AF:$AF),"")</f>
        <v>0.995</v>
      </c>
      <c r="AI365" s="10" t="str">
        <f>IFERROR(_xlfn.XLOOKUP($A365,Input_Raw!$E:$E,Input_Raw!$DG:$DG),"")</f>
        <v/>
      </c>
      <c r="AJ365" s="10"/>
      <c r="AK365" s="10"/>
      <c r="AL365" s="10"/>
      <c r="AM365" s="10"/>
      <c r="AN365" s="314" t="str">
        <f>IFERROR(_xlfn.XLOOKUP($A365,Input_Raw!$E:$E,Input_Raw!$CY:$CY),"")</f>
        <v/>
      </c>
      <c r="AO365" s="312" t="str">
        <f>IFERROR((_xlfn.XLOOKUP($A365,'WTG Reactive Power'!$A:$A,'WTG Reactive Power'!AB:AB))/X365,"")</f>
        <v/>
      </c>
      <c r="AP365" s="312">
        <f>IFERROR(_xlfn.XLOOKUP($D365,'Modelling New'!$D:$D,'Modelling New'!AK:AK),"")</f>
        <v>0.05</v>
      </c>
      <c r="AQ365" s="312">
        <f>IFERROR(_xlfn.XLOOKUP($D365,'Modelling New'!$D:$D,'Modelling New'!AL:AL),"")</f>
        <v>0.05</v>
      </c>
      <c r="AR365" s="325">
        <f>IFERROR(_xlfn.XLOOKUP($D365,'Modelling New'!$D:$D,'Modelling New'!$N:$N),"")</f>
        <v>50.59999999999998</v>
      </c>
      <c r="AS365" s="325"/>
    </row>
    <row r="366" spans="1:45">
      <c r="A366" s="32">
        <f t="shared" si="34"/>
        <v>46109</v>
      </c>
      <c r="B366" s="43">
        <f>YEAR(Table13[[#This Row],[Date]])+IF(MONTH(Table13[[#This Row],[Date]])&gt;=4,1,0)</f>
        <v>2026</v>
      </c>
      <c r="C366" s="10">
        <f>YEAR(Table13[[#This Row],[Date]])</f>
        <v>2026</v>
      </c>
      <c r="D366" s="309">
        <f>Table13[[#This Row],[Date]]-DAY(Table13[[#This Row],[Date]])+1</f>
        <v>46082</v>
      </c>
      <c r="E366" s="10">
        <f t="shared" si="30"/>
        <v>31</v>
      </c>
      <c r="F366" s="241" t="str">
        <f>IFERROR(_xlfn.XLOOKUP($A366,Input_Raw!$E:$E,Input_Raw!DC:DC),"")</f>
        <v/>
      </c>
      <c r="G366" s="313"/>
      <c r="H366" s="313"/>
      <c r="I366" s="313"/>
      <c r="J366" s="313"/>
      <c r="K366" s="243"/>
      <c r="L366" s="242"/>
      <c r="M366" s="242" t="str">
        <f>IFERROR(_xlfn.XLOOKUP($A366,Input_Raw!$E:$E,Input_Raw!$BM:$BM),"")</f>
        <v/>
      </c>
      <c r="N366" s="242" t="str">
        <f>IFERROR(_xlfn.XLOOKUP($A366,Input_Raw!$E:$E,Input_Raw!$BN:$BN),"")</f>
        <v/>
      </c>
      <c r="O366" s="311" t="str">
        <f t="shared" si="31"/>
        <v/>
      </c>
      <c r="P366" s="311" t="str">
        <f>IFERROR(1-SUMIF(WTG_BD!$F:$F,$A366,WTG_BD!$AA:$AA)/($AA366+SUMIF(WTG_BD!$F:$F,$A366,WTG_BD!$AA:$AA)),"")</f>
        <v/>
      </c>
      <c r="Q366" s="328" t="str">
        <f>IFERROR(1-SUMIF(IGA_BD!$F:$F,$A366,IGA_BD!$W:$W)/($AA366+SUMIF(IGA_BD!$F:$F,$A366,IGA_BD!$W:$W)),"")</f>
        <v/>
      </c>
      <c r="R366" s="47" t="str">
        <f>IFERROR(1-SUMIF(Grid_BD!$F:$F,$A366,Grid_BD!$Y:$Y)/($AA366+SUMIF(Grid_BD!$F:$F,$A366,Grid_BD!$Y:$Y)),"")</f>
        <v/>
      </c>
      <c r="S366" s="10"/>
      <c r="T366" s="310"/>
      <c r="U366" s="311"/>
      <c r="V366" s="10"/>
      <c r="W366" s="312" t="str">
        <f t="shared" si="32"/>
        <v/>
      </c>
      <c r="X366" s="10" t="str">
        <f>IFERROR(_xlfn.XLOOKUP($A366,Input_Raw!$E:$E,Input_Raw!BG:BG),"")</f>
        <v/>
      </c>
      <c r="Y366" s="10" t="str">
        <f>IFERROR(_xlfn.XLOOKUP($A366,Input_Raw!$E:$E,Input_Raw!DF:DF),"")</f>
        <v/>
      </c>
      <c r="Z366" s="319" t="str">
        <f>IFERROR(_xlfn.XLOOKUP(A366,Input_Raw!E:E,Input_Raw!CT:CT)/_xlfn.XLOOKUP(A366,Input_Raw!E:E,Input_Raw!CS:CS)*Table13[[#This Row],[Mtr_Export (kWh)]],"")</f>
        <v/>
      </c>
      <c r="AA366" s="43" t="str">
        <f t="shared" si="33"/>
        <v/>
      </c>
      <c r="AB366" s="10" t="str">
        <f>IFERROR(_xlfn.XLOOKUP($A366,Input_Raw!$E:$E,Input_Raw!$CZ:$CZ),"")</f>
        <v/>
      </c>
      <c r="AC366" s="313">
        <f>IFERROR(_xlfn.XLOOKUP($D366,'Modelling New'!$D:$D,'Modelling New'!$J:$J),"")</f>
        <v>5.9681800514432695</v>
      </c>
      <c r="AD366" s="43">
        <f>IFERROR(_xlfn.XLOOKUP($D366,'Modelling New'!$D:$D,'Modelling New'!$T:$T)*1000,"")</f>
        <v>280595.16129032261</v>
      </c>
      <c r="AE366" s="312"/>
      <c r="AF366" s="312">
        <f>IFERROR(_xlfn.XLOOKUP($D366,'Modelling New'!$D:$D,'Modelling New'!$W:$W),"")</f>
        <v>0.23105662161587837</v>
      </c>
      <c r="AG366" s="312">
        <f>IFERROR(_xlfn.XLOOKUP($D366,'Modelling New'!$D:$D,'Modelling New'!$AE:$AE),"")</f>
        <v>0.95549849999999992</v>
      </c>
      <c r="AH366" s="312">
        <f>IFERROR(_xlfn.XLOOKUP($D366,'Modelling New'!$D:$D,'Modelling New'!$AF:$AF),"")</f>
        <v>0.995</v>
      </c>
      <c r="AI366" s="10" t="str">
        <f>IFERROR(_xlfn.XLOOKUP($A366,Input_Raw!$E:$E,Input_Raw!$DG:$DG),"")</f>
        <v/>
      </c>
      <c r="AJ366" s="10"/>
      <c r="AK366" s="10"/>
      <c r="AL366" s="10"/>
      <c r="AM366" s="10"/>
      <c r="AN366" s="314" t="str">
        <f>IFERROR(_xlfn.XLOOKUP($A366,Input_Raw!$E:$E,Input_Raw!$CY:$CY),"")</f>
        <v/>
      </c>
      <c r="AO366" s="312" t="str">
        <f>IFERROR((_xlfn.XLOOKUP($A366,'WTG Reactive Power'!$A:$A,'WTG Reactive Power'!AB:AB))/X366,"")</f>
        <v/>
      </c>
      <c r="AP366" s="312">
        <f>IFERROR(_xlfn.XLOOKUP($D366,'Modelling New'!$D:$D,'Modelling New'!AK:AK),"")</f>
        <v>0.05</v>
      </c>
      <c r="AQ366" s="312">
        <f>IFERROR(_xlfn.XLOOKUP($D366,'Modelling New'!$D:$D,'Modelling New'!AL:AL),"")</f>
        <v>0.05</v>
      </c>
      <c r="AR366" s="325">
        <f>IFERROR(_xlfn.XLOOKUP($D366,'Modelling New'!$D:$D,'Modelling New'!$N:$N),"")</f>
        <v>50.59999999999998</v>
      </c>
      <c r="AS366" s="325"/>
    </row>
    <row r="367" spans="1:45">
      <c r="A367" s="32">
        <f t="shared" si="34"/>
        <v>46110</v>
      </c>
      <c r="B367" s="43">
        <f>YEAR(Table13[[#This Row],[Date]])+IF(MONTH(Table13[[#This Row],[Date]])&gt;=4,1,0)</f>
        <v>2026</v>
      </c>
      <c r="C367" s="10">
        <f>YEAR(Table13[[#This Row],[Date]])</f>
        <v>2026</v>
      </c>
      <c r="D367" s="309">
        <f>Table13[[#This Row],[Date]]-DAY(Table13[[#This Row],[Date]])+1</f>
        <v>46082</v>
      </c>
      <c r="E367" s="10">
        <f t="shared" si="30"/>
        <v>31</v>
      </c>
      <c r="F367" s="241" t="str">
        <f>IFERROR(_xlfn.XLOOKUP($A367,Input_Raw!$E:$E,Input_Raw!DC:DC),"")</f>
        <v/>
      </c>
      <c r="G367" s="242"/>
      <c r="H367" s="242"/>
      <c r="I367" s="242"/>
      <c r="J367" s="242"/>
      <c r="K367" s="243"/>
      <c r="L367" s="242"/>
      <c r="M367" s="242" t="str">
        <f>IFERROR(_xlfn.XLOOKUP($A367,Input_Raw!$E:$E,Input_Raw!$BM:$BM),"")</f>
        <v/>
      </c>
      <c r="N367" s="242" t="str">
        <f>IFERROR(_xlfn.XLOOKUP($A367,Input_Raw!$E:$E,Input_Raw!$BN:$BN),"")</f>
        <v/>
      </c>
      <c r="O367" s="311" t="str">
        <f t="shared" si="31"/>
        <v/>
      </c>
      <c r="P367" s="311" t="str">
        <f>IFERROR(1-SUMIF(WTG_BD!$F:$F,$A367,WTG_BD!$AA:$AA)/($AA367+SUMIF(WTG_BD!$F:$F,$A367,WTG_BD!$AA:$AA)),"")</f>
        <v/>
      </c>
      <c r="Q367" s="328" t="str">
        <f>IFERROR(1-SUMIF(IGA_BD!$F:$F,$A367,IGA_BD!$W:$W)/($AA367+SUMIF(IGA_BD!$F:$F,$A367,IGA_BD!$W:$W)),"")</f>
        <v/>
      </c>
      <c r="R367" s="311" t="str">
        <f>IFERROR(1-SUMIF(Grid_BD!$F:$F,$A367,Grid_BD!$Y:$Y)/($AA367+SUMIF(Grid_BD!$F:$F,$A367,Grid_BD!$Y:$Y)),"")</f>
        <v/>
      </c>
      <c r="S367" s="10"/>
      <c r="T367" s="310"/>
      <c r="U367" s="311"/>
      <c r="V367" s="10"/>
      <c r="W367" s="312" t="str">
        <f t="shared" si="32"/>
        <v/>
      </c>
      <c r="X367" s="10" t="str">
        <f>IFERROR(_xlfn.XLOOKUP($A367,Input_Raw!$E:$E,Input_Raw!BG:BG),"")</f>
        <v/>
      </c>
      <c r="Y367" s="10" t="str">
        <f>IFERROR(_xlfn.XLOOKUP($A367,Input_Raw!$E:$E,Input_Raw!DF:DF),"")</f>
        <v/>
      </c>
      <c r="Z367" s="319" t="str">
        <f>IFERROR(_xlfn.XLOOKUP(A367,Input_Raw!E:E,Input_Raw!CT:CT)/_xlfn.XLOOKUP(A367,Input_Raw!E:E,Input_Raw!CS:CS)*Table13[[#This Row],[Mtr_Export (kWh)]],"")</f>
        <v/>
      </c>
      <c r="AA367" s="43" t="str">
        <f t="shared" si="33"/>
        <v/>
      </c>
      <c r="AB367" s="10" t="str">
        <f>IFERROR(_xlfn.XLOOKUP($A367,Input_Raw!$E:$E,Input_Raw!$CZ:$CZ),"")</f>
        <v/>
      </c>
      <c r="AC367" s="313">
        <f>IFERROR(_xlfn.XLOOKUP($D367,'Modelling New'!$D:$D,'Modelling New'!$J:$J),"")</f>
        <v>5.9681800514432695</v>
      </c>
      <c r="AD367" s="43">
        <f>IFERROR(_xlfn.XLOOKUP($D367,'Modelling New'!$D:$D,'Modelling New'!$T:$T)*1000,"")</f>
        <v>280595.16129032261</v>
      </c>
      <c r="AE367" s="312"/>
      <c r="AF367" s="312">
        <f>IFERROR(_xlfn.XLOOKUP($D367,'Modelling New'!$D:$D,'Modelling New'!$W:$W),"")</f>
        <v>0.23105662161587837</v>
      </c>
      <c r="AG367" s="312">
        <f>IFERROR(_xlfn.XLOOKUP($D367,'Modelling New'!$D:$D,'Modelling New'!$AE:$AE),"")</f>
        <v>0.95549849999999992</v>
      </c>
      <c r="AH367" s="312">
        <f>IFERROR(_xlfn.XLOOKUP($D367,'Modelling New'!$D:$D,'Modelling New'!$AF:$AF),"")</f>
        <v>0.995</v>
      </c>
      <c r="AI367" s="10" t="str">
        <f>IFERROR(_xlfn.XLOOKUP($A367,Input_Raw!$E:$E,Input_Raw!$DG:$DG),"")</f>
        <v/>
      </c>
      <c r="AJ367" s="10"/>
      <c r="AK367" s="10"/>
      <c r="AL367" s="10"/>
      <c r="AM367" s="10"/>
      <c r="AN367" s="314" t="str">
        <f>IFERROR(_xlfn.XLOOKUP($A367,Input_Raw!$E:$E,Input_Raw!$CY:$CY),"")</f>
        <v/>
      </c>
      <c r="AO367" s="312" t="str">
        <f>IFERROR((_xlfn.XLOOKUP($A367,'WTG Reactive Power'!$A:$A,'WTG Reactive Power'!AB:AB))/X367,"")</f>
        <v/>
      </c>
      <c r="AP367" s="312">
        <f>IFERROR(_xlfn.XLOOKUP($D367,'Modelling New'!$D:$D,'Modelling New'!AK:AK),"")</f>
        <v>0.05</v>
      </c>
      <c r="AQ367" s="312">
        <f>IFERROR(_xlfn.XLOOKUP($D367,'Modelling New'!$D:$D,'Modelling New'!AL:AL),"")</f>
        <v>0.05</v>
      </c>
      <c r="AR367" s="325">
        <f>IFERROR(_xlfn.XLOOKUP($D367,'Modelling New'!$D:$D,'Modelling New'!$N:$N),"")</f>
        <v>50.59999999999998</v>
      </c>
      <c r="AS367" s="325"/>
    </row>
    <row r="368" spans="1:45">
      <c r="A368" s="32">
        <f t="shared" si="34"/>
        <v>46111</v>
      </c>
      <c r="B368" s="43">
        <f>YEAR(Table13[[#This Row],[Date]])+IF(MONTH(Table13[[#This Row],[Date]])&gt;=4,1,0)</f>
        <v>2026</v>
      </c>
      <c r="C368" s="10">
        <f>YEAR(Table13[[#This Row],[Date]])</f>
        <v>2026</v>
      </c>
      <c r="D368" s="309">
        <f>Table13[[#This Row],[Date]]-DAY(Table13[[#This Row],[Date]])+1</f>
        <v>46082</v>
      </c>
      <c r="E368" s="10">
        <f t="shared" si="30"/>
        <v>31</v>
      </c>
      <c r="F368" s="241" t="str">
        <f>IFERROR(_xlfn.XLOOKUP($A368,Input_Raw!$E:$E,Input_Raw!DC:DC),"")</f>
        <v/>
      </c>
      <c r="G368" s="313"/>
      <c r="H368" s="313"/>
      <c r="I368" s="313"/>
      <c r="J368" s="313"/>
      <c r="K368" s="243"/>
      <c r="L368" s="242"/>
      <c r="M368" s="242" t="str">
        <f>IFERROR(_xlfn.XLOOKUP($A368,Input_Raw!$E:$E,Input_Raw!$BM:$BM),"")</f>
        <v/>
      </c>
      <c r="N368" s="242" t="str">
        <f>IFERROR(_xlfn.XLOOKUP($A368,Input_Raw!$E:$E,Input_Raw!$BN:$BN),"")</f>
        <v/>
      </c>
      <c r="O368" s="311" t="str">
        <f t="shared" si="31"/>
        <v/>
      </c>
      <c r="P368" s="311" t="str">
        <f>IFERROR(1-SUMIF(WTG_BD!$F:$F,$A368,WTG_BD!$AA:$AA)/($AA368+SUMIF(WTG_BD!$F:$F,$A368,WTG_BD!$AA:$AA)),"")</f>
        <v/>
      </c>
      <c r="Q368" s="328" t="str">
        <f>IFERROR(1-SUMIF(IGA_BD!$F:$F,$A368,IGA_BD!$W:$W)/($AA368+SUMIF(IGA_BD!$F:$F,$A368,IGA_BD!$W:$W)),"")</f>
        <v/>
      </c>
      <c r="R368" s="47" t="str">
        <f>IFERROR(1-SUMIF(Grid_BD!$F:$F,$A368,Grid_BD!$Y:$Y)/($AA368+SUMIF(Grid_BD!$F:$F,$A368,Grid_BD!$Y:$Y)),"")</f>
        <v/>
      </c>
      <c r="S368" s="10"/>
      <c r="T368" s="310"/>
      <c r="U368" s="311"/>
      <c r="V368" s="10"/>
      <c r="W368" s="312" t="str">
        <f t="shared" si="32"/>
        <v/>
      </c>
      <c r="X368" s="10" t="str">
        <f>IFERROR(_xlfn.XLOOKUP($A368,Input_Raw!$E:$E,Input_Raw!BG:BG),"")</f>
        <v/>
      </c>
      <c r="Y368" s="10" t="str">
        <f>IFERROR(_xlfn.XLOOKUP($A368,Input_Raw!$E:$E,Input_Raw!DF:DF),"")</f>
        <v/>
      </c>
      <c r="Z368" s="319" t="str">
        <f>IFERROR(_xlfn.XLOOKUP(A368,Input_Raw!E:E,Input_Raw!CT:CT)/_xlfn.XLOOKUP(A368,Input_Raw!E:E,Input_Raw!CS:CS)*Table13[[#This Row],[Mtr_Export (kWh)]],"")</f>
        <v/>
      </c>
      <c r="AA368" s="43" t="str">
        <f t="shared" si="33"/>
        <v/>
      </c>
      <c r="AB368" s="10" t="str">
        <f>IFERROR(_xlfn.XLOOKUP($A368,Input_Raw!$E:$E,Input_Raw!$CZ:$CZ),"")</f>
        <v/>
      </c>
      <c r="AC368" s="313">
        <f>IFERROR(_xlfn.XLOOKUP($D368,'Modelling New'!$D:$D,'Modelling New'!$J:$J),"")</f>
        <v>5.9681800514432695</v>
      </c>
      <c r="AD368" s="43">
        <f>IFERROR(_xlfn.XLOOKUP($D368,'Modelling New'!$D:$D,'Modelling New'!$T:$T)*1000,"")</f>
        <v>280595.16129032261</v>
      </c>
      <c r="AE368" s="312"/>
      <c r="AF368" s="312">
        <f>IFERROR(_xlfn.XLOOKUP($D368,'Modelling New'!$D:$D,'Modelling New'!$W:$W),"")</f>
        <v>0.23105662161587837</v>
      </c>
      <c r="AG368" s="312">
        <f>IFERROR(_xlfn.XLOOKUP($D368,'Modelling New'!$D:$D,'Modelling New'!$AE:$AE),"")</f>
        <v>0.95549849999999992</v>
      </c>
      <c r="AH368" s="312">
        <f>IFERROR(_xlfn.XLOOKUP($D368,'Modelling New'!$D:$D,'Modelling New'!$AF:$AF),"")</f>
        <v>0.995</v>
      </c>
      <c r="AI368" s="10" t="str">
        <f>IFERROR(_xlfn.XLOOKUP($A368,Input_Raw!$E:$E,Input_Raw!$DG:$DG),"")</f>
        <v/>
      </c>
      <c r="AJ368" s="10"/>
      <c r="AK368" s="10"/>
      <c r="AL368" s="10"/>
      <c r="AM368" s="10"/>
      <c r="AN368" s="314" t="str">
        <f>IFERROR(_xlfn.XLOOKUP($A368,Input_Raw!$E:$E,Input_Raw!$CY:$CY),"")</f>
        <v/>
      </c>
      <c r="AO368" s="312" t="str">
        <f>IFERROR((_xlfn.XLOOKUP($A368,'WTG Reactive Power'!$A:$A,'WTG Reactive Power'!AB:AB))/X368,"")</f>
        <v/>
      </c>
      <c r="AP368" s="312">
        <f>IFERROR(_xlfn.XLOOKUP($D368,'Modelling New'!$D:$D,'Modelling New'!AK:AK),"")</f>
        <v>0.05</v>
      </c>
      <c r="AQ368" s="312">
        <f>IFERROR(_xlfn.XLOOKUP($D368,'Modelling New'!$D:$D,'Modelling New'!AL:AL),"")</f>
        <v>0.05</v>
      </c>
      <c r="AR368" s="325">
        <f>IFERROR(_xlfn.XLOOKUP($D368,'Modelling New'!$D:$D,'Modelling New'!$N:$N),"")</f>
        <v>50.59999999999998</v>
      </c>
      <c r="AS368" s="325"/>
    </row>
    <row r="369" spans="1:45">
      <c r="A369" s="32">
        <f t="shared" si="34"/>
        <v>46112</v>
      </c>
      <c r="B369" s="43">
        <f>YEAR(Table13[[#This Row],[Date]])+IF(MONTH(Table13[[#This Row],[Date]])&gt;=4,1,0)</f>
        <v>2026</v>
      </c>
      <c r="C369" s="10">
        <f>YEAR(Table13[[#This Row],[Date]])</f>
        <v>2026</v>
      </c>
      <c r="D369" s="309">
        <f>Table13[[#This Row],[Date]]-DAY(Table13[[#This Row],[Date]])+1</f>
        <v>46082</v>
      </c>
      <c r="E369" s="10">
        <f t="shared" si="30"/>
        <v>31</v>
      </c>
      <c r="F369" s="241" t="str">
        <f>IFERROR(_xlfn.XLOOKUP($A369,Input_Raw!$E:$E,Input_Raw!DC:DC),"")</f>
        <v/>
      </c>
      <c r="G369" s="242"/>
      <c r="H369" s="242"/>
      <c r="I369" s="242"/>
      <c r="J369" s="242"/>
      <c r="K369" s="243"/>
      <c r="L369" s="242"/>
      <c r="M369" s="242" t="str">
        <f>IFERROR(_xlfn.XLOOKUP($A369,Input_Raw!$E:$E,Input_Raw!$BM:$BM),"")</f>
        <v/>
      </c>
      <c r="N369" s="242" t="str">
        <f>IFERROR(_xlfn.XLOOKUP($A369,Input_Raw!$E:$E,Input_Raw!$BN:$BN),"")</f>
        <v/>
      </c>
      <c r="O369" s="311" t="str">
        <f t="shared" si="31"/>
        <v/>
      </c>
      <c r="P369" s="311" t="str">
        <f>IFERROR(1-SUMIF(WTG_BD!$F:$F,$A369,WTG_BD!$AA:$AA)/($AA369+SUMIF(WTG_BD!$F:$F,$A369,WTG_BD!$AA:$AA)),"")</f>
        <v/>
      </c>
      <c r="Q369" s="328" t="str">
        <f>IFERROR(1-SUMIF(IGA_BD!$F:$F,$A369,IGA_BD!$W:$W)/($AA369+SUMIF(IGA_BD!$F:$F,$A369,IGA_BD!$W:$W)),"")</f>
        <v/>
      </c>
      <c r="R369" s="311" t="str">
        <f>IFERROR(1-SUMIF(Grid_BD!$F:$F,$A369,Grid_BD!$Y:$Y)/($AA369+SUMIF(Grid_BD!$F:$F,$A369,Grid_BD!$Y:$Y)),"")</f>
        <v/>
      </c>
      <c r="S369" s="10"/>
      <c r="T369" s="310"/>
      <c r="U369" s="311"/>
      <c r="V369" s="10"/>
      <c r="W369" s="312" t="str">
        <f t="shared" si="32"/>
        <v/>
      </c>
      <c r="X369" s="10" t="str">
        <f>IFERROR(_xlfn.XLOOKUP($A369,Input_Raw!$E:$E,Input_Raw!BG:BG),"")</f>
        <v/>
      </c>
      <c r="Y369" s="10" t="str">
        <f>IFERROR(_xlfn.XLOOKUP($A369,Input_Raw!$E:$E,Input_Raw!DF:DF),"")</f>
        <v/>
      </c>
      <c r="Z369" s="319" t="str">
        <f>IFERROR(_xlfn.XLOOKUP(A369,Input_Raw!E:E,Input_Raw!CT:CT)/_xlfn.XLOOKUP(A369,Input_Raw!E:E,Input_Raw!CS:CS)*Table13[[#This Row],[Mtr_Export (kWh)]],"")</f>
        <v/>
      </c>
      <c r="AA369" s="43" t="str">
        <f t="shared" si="33"/>
        <v/>
      </c>
      <c r="AB369" s="10" t="str">
        <f>IFERROR(_xlfn.XLOOKUP($A369,Input_Raw!$E:$E,Input_Raw!$CZ:$CZ),"")</f>
        <v/>
      </c>
      <c r="AC369" s="313">
        <f>IFERROR(_xlfn.XLOOKUP($D369,'Modelling New'!$D:$D,'Modelling New'!$J:$J),"")</f>
        <v>5.9681800514432695</v>
      </c>
      <c r="AD369" s="43">
        <f>IFERROR(_xlfn.XLOOKUP($D369,'Modelling New'!$D:$D,'Modelling New'!$T:$T)*1000,"")</f>
        <v>280595.16129032261</v>
      </c>
      <c r="AE369" s="312"/>
      <c r="AF369" s="312">
        <f>IFERROR(_xlfn.XLOOKUP($D369,'Modelling New'!$D:$D,'Modelling New'!$W:$W),"")</f>
        <v>0.23105662161587837</v>
      </c>
      <c r="AG369" s="312">
        <f>IFERROR(_xlfn.XLOOKUP($D369,'Modelling New'!$D:$D,'Modelling New'!$AE:$AE),"")</f>
        <v>0.95549849999999992</v>
      </c>
      <c r="AH369" s="312">
        <f>IFERROR(_xlfn.XLOOKUP($D369,'Modelling New'!$D:$D,'Modelling New'!$AF:$AF),"")</f>
        <v>0.995</v>
      </c>
      <c r="AI369" s="10" t="str">
        <f>IFERROR(_xlfn.XLOOKUP($A369,Input_Raw!$E:$E,Input_Raw!$DG:$DG),"")</f>
        <v/>
      </c>
      <c r="AJ369" s="10"/>
      <c r="AK369" s="10"/>
      <c r="AL369" s="10"/>
      <c r="AM369" s="10"/>
      <c r="AN369" s="314" t="str">
        <f>IFERROR(_xlfn.XLOOKUP($A369,Input_Raw!$E:$E,Input_Raw!$CY:$CY),"")</f>
        <v/>
      </c>
      <c r="AO369" s="312" t="str">
        <f>IFERROR((_xlfn.XLOOKUP($A369,'WTG Reactive Power'!$A:$A,'WTG Reactive Power'!AB:AB))/X369,"")</f>
        <v/>
      </c>
      <c r="AP369" s="312">
        <f>IFERROR(_xlfn.XLOOKUP($D369,'Modelling New'!$D:$D,'Modelling New'!AK:AK),"")</f>
        <v>0.05</v>
      </c>
      <c r="AQ369" s="312">
        <f>IFERROR(_xlfn.XLOOKUP($D369,'Modelling New'!$D:$D,'Modelling New'!AL:AL),"")</f>
        <v>0.05</v>
      </c>
      <c r="AR369" s="325">
        <f>IFERROR(_xlfn.XLOOKUP($D369,'Modelling New'!$D:$D,'Modelling New'!$N:$N),"")</f>
        <v>50.59999999999998</v>
      </c>
      <c r="AS369" s="325"/>
    </row>
    <row r="370" spans="1:45">
      <c r="A370" s="32">
        <f t="shared" si="34"/>
        <v>46113</v>
      </c>
      <c r="B370" s="43">
        <f>YEAR(Table13[[#This Row],[Date]])+IF(MONTH(Table13[[#This Row],[Date]])&gt;=4,1,0)</f>
        <v>2027</v>
      </c>
      <c r="C370" s="10">
        <f>YEAR(Table13[[#This Row],[Date]])</f>
        <v>2026</v>
      </c>
      <c r="D370" s="309">
        <f>Table13[[#This Row],[Date]]-DAY(Table13[[#This Row],[Date]])+1</f>
        <v>46113</v>
      </c>
      <c r="E370" s="10">
        <f t="shared" si="30"/>
        <v>30</v>
      </c>
      <c r="F370" s="241" t="str">
        <f>IFERROR(_xlfn.XLOOKUP($A370,Input_Raw!$E:$E,Input_Raw!DC:DC),"")</f>
        <v/>
      </c>
      <c r="G370" s="313"/>
      <c r="H370" s="313"/>
      <c r="I370" s="313"/>
      <c r="J370" s="313"/>
      <c r="K370" s="243"/>
      <c r="L370" s="242"/>
      <c r="M370" s="242" t="str">
        <f>IFERROR(_xlfn.XLOOKUP($A370,Input_Raw!$E:$E,Input_Raw!$BM:$BM),"")</f>
        <v/>
      </c>
      <c r="N370" s="242" t="str">
        <f>IFERROR(_xlfn.XLOOKUP($A370,Input_Raw!$E:$E,Input_Raw!$BN:$BN),"")</f>
        <v/>
      </c>
      <c r="O370" s="311" t="str">
        <f t="shared" si="31"/>
        <v/>
      </c>
      <c r="P370" s="311" t="str">
        <f>IFERROR(1-SUMIF(WTG_BD!$F:$F,$A370,WTG_BD!$AA:$AA)/($AA370+SUMIF(WTG_BD!$F:$F,$A370,WTG_BD!$AA:$AA)),"")</f>
        <v/>
      </c>
      <c r="Q370" s="328" t="str">
        <f>IFERROR(1-SUMIF(IGA_BD!$F:$F,$A370,IGA_BD!$W:$W)/($AA370+SUMIF(IGA_BD!$F:$F,$A370,IGA_BD!$W:$W)),"")</f>
        <v/>
      </c>
      <c r="R370" s="47" t="str">
        <f>IFERROR(1-SUMIF(Grid_BD!$F:$F,$A370,Grid_BD!$Y:$Y)/($AA370+SUMIF(Grid_BD!$F:$F,$A370,Grid_BD!$Y:$Y)),"")</f>
        <v/>
      </c>
      <c r="S370" s="10"/>
      <c r="T370" s="310"/>
      <c r="U370" s="311"/>
      <c r="V370" s="10"/>
      <c r="W370" s="312" t="str">
        <f t="shared" si="32"/>
        <v/>
      </c>
      <c r="X370" s="10" t="str">
        <f>IFERROR(_xlfn.XLOOKUP($A370,Input_Raw!$E:$E,Input_Raw!BG:BG),"")</f>
        <v/>
      </c>
      <c r="Y370" s="10" t="str">
        <f>IFERROR(_xlfn.XLOOKUP($A370,Input_Raw!$E:$E,Input_Raw!DF:DF),"")</f>
        <v/>
      </c>
      <c r="Z370" s="319" t="str">
        <f>IFERROR(_xlfn.XLOOKUP(A370,Input_Raw!E:E,Input_Raw!CT:CT)/_xlfn.XLOOKUP(A370,Input_Raw!E:E,Input_Raw!CS:CS)*Table13[[#This Row],[Mtr_Export (kWh)]],"")</f>
        <v/>
      </c>
      <c r="AA370" s="43" t="str">
        <f t="shared" si="33"/>
        <v/>
      </c>
      <c r="AB370" s="10" t="str">
        <f>IFERROR(_xlfn.XLOOKUP($A370,Input_Raw!$E:$E,Input_Raw!$CZ:$CZ),"")</f>
        <v/>
      </c>
      <c r="AC370" s="313" t="str">
        <f>IFERROR(_xlfn.XLOOKUP($D370,'Modelling New'!$D:$D,'Modelling New'!$J:$J),"")</f>
        <v/>
      </c>
      <c r="AD370" s="43" t="str">
        <f>IFERROR(_xlfn.XLOOKUP($D370,'Modelling New'!$D:$D,'Modelling New'!$T:$T)*1000,"")</f>
        <v/>
      </c>
      <c r="AE370" s="312"/>
      <c r="AF370" s="312" t="str">
        <f>IFERROR(_xlfn.XLOOKUP($D370,'Modelling New'!$D:$D,'Modelling New'!$W:$W),"")</f>
        <v/>
      </c>
      <c r="AG370" s="312" t="str">
        <f>IFERROR(_xlfn.XLOOKUP($D370,'Modelling New'!$D:$D,'Modelling New'!$AE:$AE),"")</f>
        <v/>
      </c>
      <c r="AH370" s="312" t="str">
        <f>IFERROR(_xlfn.XLOOKUP($D370,'Modelling New'!$D:$D,'Modelling New'!$AF:$AF),"")</f>
        <v/>
      </c>
      <c r="AI370" s="10" t="str">
        <f>IFERROR(_xlfn.XLOOKUP($A370,Input_Raw!$E:$E,Input_Raw!$DG:$DG),"")</f>
        <v/>
      </c>
      <c r="AJ370" s="10"/>
      <c r="AK370" s="10"/>
      <c r="AL370" s="10"/>
      <c r="AM370" s="10"/>
      <c r="AN370" s="314" t="str">
        <f>IFERROR(_xlfn.XLOOKUP($A370,Input_Raw!$E:$E,Input_Raw!$CY:$CY),"")</f>
        <v/>
      </c>
      <c r="AO370" s="312" t="str">
        <f>IFERROR((_xlfn.XLOOKUP($A370,'WTG Reactive Power'!$A:$A,'WTG Reactive Power'!AB:AB))/X370,"")</f>
        <v/>
      </c>
      <c r="AP370" s="312" t="str">
        <f>IFERROR(_xlfn.XLOOKUP($D370,'Modelling New'!$D:$D,'Modelling New'!AK:AK),"")</f>
        <v/>
      </c>
      <c r="AQ370" s="312" t="str">
        <f>IFERROR(_xlfn.XLOOKUP($D370,'Modelling New'!$D:$D,'Modelling New'!AL:AL),"")</f>
        <v/>
      </c>
      <c r="AR370" s="325" t="str">
        <f>IFERROR(_xlfn.XLOOKUP($D370,'Modelling New'!$D:$D,'Modelling New'!$N:$N),"")</f>
        <v/>
      </c>
      <c r="AS370" s="325"/>
    </row>
    <row r="371" spans="1:45">
      <c r="A371" s="32">
        <f t="shared" si="34"/>
        <v>46114</v>
      </c>
      <c r="B371" s="43">
        <f>YEAR(Table13[[#This Row],[Date]])+IF(MONTH(Table13[[#This Row],[Date]])&gt;=4,1,0)</f>
        <v>2027</v>
      </c>
      <c r="C371" s="10">
        <f>YEAR(Table13[[#This Row],[Date]])</f>
        <v>2026</v>
      </c>
      <c r="D371" s="309">
        <f>Table13[[#This Row],[Date]]-DAY(Table13[[#This Row],[Date]])+1</f>
        <v>46113</v>
      </c>
      <c r="E371" s="10">
        <f t="shared" si="30"/>
        <v>30</v>
      </c>
      <c r="F371" s="241" t="str">
        <f>IFERROR(_xlfn.XLOOKUP($A371,Input_Raw!$E:$E,Input_Raw!DC:DC),"")</f>
        <v/>
      </c>
      <c r="G371" s="242"/>
      <c r="H371" s="242"/>
      <c r="I371" s="242"/>
      <c r="J371" s="242"/>
      <c r="K371" s="243"/>
      <c r="L371" s="242"/>
      <c r="M371" s="242" t="str">
        <f>IFERROR(_xlfn.XLOOKUP($A371,Input_Raw!$E:$E,Input_Raw!$BM:$BM),"")</f>
        <v/>
      </c>
      <c r="N371" s="242" t="str">
        <f>IFERROR(_xlfn.XLOOKUP($A371,Input_Raw!$E:$E,Input_Raw!$BN:$BN),"")</f>
        <v/>
      </c>
      <c r="O371" s="311" t="str">
        <f t="shared" si="31"/>
        <v/>
      </c>
      <c r="P371" s="311" t="str">
        <f>IFERROR(1-SUMIF(WTG_BD!$F:$F,$A371,WTG_BD!$AA:$AA)/($AA371+SUMIF(WTG_BD!$F:$F,$A371,WTG_BD!$AA:$AA)),"")</f>
        <v/>
      </c>
      <c r="Q371" s="328" t="str">
        <f>IFERROR(1-SUMIF(IGA_BD!$F:$F,$A371,IGA_BD!$W:$W)/($AA371+SUMIF(IGA_BD!$F:$F,$A371,IGA_BD!$W:$W)),"")</f>
        <v/>
      </c>
      <c r="R371" s="311" t="str">
        <f>IFERROR(1-SUMIF(Grid_BD!$F:$F,$A371,Grid_BD!$Y:$Y)/($AA371+SUMIF(Grid_BD!$F:$F,$A371,Grid_BD!$Y:$Y)),"")</f>
        <v/>
      </c>
      <c r="S371" s="10"/>
      <c r="T371" s="310"/>
      <c r="U371" s="311"/>
      <c r="V371" s="10"/>
      <c r="W371" s="312" t="str">
        <f t="shared" si="32"/>
        <v/>
      </c>
      <c r="X371" s="10" t="str">
        <f>IFERROR(_xlfn.XLOOKUP($A371,Input_Raw!$E:$E,Input_Raw!BG:BG),"")</f>
        <v/>
      </c>
      <c r="Y371" s="10" t="str">
        <f>IFERROR(_xlfn.XLOOKUP($A371,Input_Raw!$E:$E,Input_Raw!DF:DF),"")</f>
        <v/>
      </c>
      <c r="Z371" s="319" t="str">
        <f>IFERROR(_xlfn.XLOOKUP(A371,Input_Raw!E:E,Input_Raw!CT:CT)/_xlfn.XLOOKUP(A371,Input_Raw!E:E,Input_Raw!CS:CS)*Table13[[#This Row],[Mtr_Export (kWh)]],"")</f>
        <v/>
      </c>
      <c r="AA371" s="43" t="str">
        <f t="shared" si="33"/>
        <v/>
      </c>
      <c r="AB371" s="10" t="str">
        <f>IFERROR(_xlfn.XLOOKUP($A371,Input_Raw!$E:$E,Input_Raw!$CZ:$CZ),"")</f>
        <v/>
      </c>
      <c r="AC371" s="313" t="str">
        <f>IFERROR(_xlfn.XLOOKUP($D371,'Modelling New'!$D:$D,'Modelling New'!$J:$J),"")</f>
        <v/>
      </c>
      <c r="AD371" s="43" t="str">
        <f>IFERROR(_xlfn.XLOOKUP($D371,'Modelling New'!$D:$D,'Modelling New'!$T:$T)*1000,"")</f>
        <v/>
      </c>
      <c r="AE371" s="312"/>
      <c r="AF371" s="312" t="str">
        <f>IFERROR(_xlfn.XLOOKUP($D371,'Modelling New'!$D:$D,'Modelling New'!$W:$W),"")</f>
        <v/>
      </c>
      <c r="AG371" s="312" t="str">
        <f>IFERROR(_xlfn.XLOOKUP($D371,'Modelling New'!$D:$D,'Modelling New'!$AE:$AE),"")</f>
        <v/>
      </c>
      <c r="AH371" s="312" t="str">
        <f>IFERROR(_xlfn.XLOOKUP($D371,'Modelling New'!$D:$D,'Modelling New'!$AF:$AF),"")</f>
        <v/>
      </c>
      <c r="AI371" s="10" t="str">
        <f>IFERROR(_xlfn.XLOOKUP($A371,Input_Raw!$E:$E,Input_Raw!$DG:$DG),"")</f>
        <v/>
      </c>
      <c r="AJ371" s="10"/>
      <c r="AK371" s="10"/>
      <c r="AL371" s="10"/>
      <c r="AM371" s="10"/>
      <c r="AN371" s="314" t="str">
        <f>IFERROR(_xlfn.XLOOKUP($A371,Input_Raw!$E:$E,Input_Raw!$CY:$CY),"")</f>
        <v/>
      </c>
      <c r="AO371" s="312" t="str">
        <f>IFERROR((_xlfn.XLOOKUP($A371,'WTG Reactive Power'!$A:$A,'WTG Reactive Power'!AB:AB))/X371,"")</f>
        <v/>
      </c>
      <c r="AP371" s="312" t="str">
        <f>IFERROR(_xlfn.XLOOKUP($D371,'Modelling New'!$D:$D,'Modelling New'!AK:AK),"")</f>
        <v/>
      </c>
      <c r="AQ371" s="312" t="str">
        <f>IFERROR(_xlfn.XLOOKUP($D371,'Modelling New'!$D:$D,'Modelling New'!AL:AL),"")</f>
        <v/>
      </c>
      <c r="AR371" s="325" t="str">
        <f>IFERROR(_xlfn.XLOOKUP($D371,'Modelling New'!$D:$D,'Modelling New'!$N:$N),"")</f>
        <v/>
      </c>
      <c r="AS371" s="325"/>
    </row>
    <row r="372" spans="1:45">
      <c r="A372" s="32">
        <f t="shared" si="34"/>
        <v>46115</v>
      </c>
      <c r="B372" s="43">
        <f>YEAR(Table13[[#This Row],[Date]])+IF(MONTH(Table13[[#This Row],[Date]])&gt;=4,1,0)</f>
        <v>2027</v>
      </c>
      <c r="C372" s="10">
        <f>YEAR(Table13[[#This Row],[Date]])</f>
        <v>2026</v>
      </c>
      <c r="D372" s="309">
        <f>Table13[[#This Row],[Date]]-DAY(Table13[[#This Row],[Date]])+1</f>
        <v>46113</v>
      </c>
      <c r="E372" s="10">
        <f t="shared" si="30"/>
        <v>30</v>
      </c>
      <c r="F372" s="241" t="str">
        <f>IFERROR(_xlfn.XLOOKUP($A372,Input_Raw!$E:$E,Input_Raw!DC:DC),"")</f>
        <v/>
      </c>
      <c r="G372" s="313"/>
      <c r="H372" s="313"/>
      <c r="I372" s="313"/>
      <c r="J372" s="313"/>
      <c r="K372" s="243"/>
      <c r="L372" s="242"/>
      <c r="M372" s="242" t="str">
        <f>IFERROR(_xlfn.XLOOKUP($A372,Input_Raw!$E:$E,Input_Raw!$BM:$BM),"")</f>
        <v/>
      </c>
      <c r="N372" s="242" t="str">
        <f>IFERROR(_xlfn.XLOOKUP($A372,Input_Raw!$E:$E,Input_Raw!$BN:$BN),"")</f>
        <v/>
      </c>
      <c r="O372" s="311" t="str">
        <f t="shared" si="31"/>
        <v/>
      </c>
      <c r="P372" s="311" t="str">
        <f>IFERROR(1-SUMIF(WTG_BD!$F:$F,$A372,WTG_BD!$AA:$AA)/($AA372+SUMIF(WTG_BD!$F:$F,$A372,WTG_BD!$AA:$AA)),"")</f>
        <v/>
      </c>
      <c r="Q372" s="328" t="str">
        <f>IFERROR(1-SUMIF(IGA_BD!$F:$F,$A372,IGA_BD!$W:$W)/($AA372+SUMIF(IGA_BD!$F:$F,$A372,IGA_BD!$W:$W)),"")</f>
        <v/>
      </c>
      <c r="R372" s="47" t="str">
        <f>IFERROR(1-SUMIF(Grid_BD!$F:$F,$A372,Grid_BD!$Y:$Y)/($AA372+SUMIF(Grid_BD!$F:$F,$A372,Grid_BD!$Y:$Y)),"")</f>
        <v/>
      </c>
      <c r="S372" s="10"/>
      <c r="T372" s="310"/>
      <c r="U372" s="311"/>
      <c r="V372" s="10"/>
      <c r="W372" s="312" t="str">
        <f t="shared" si="32"/>
        <v/>
      </c>
      <c r="X372" s="10" t="str">
        <f>IFERROR(_xlfn.XLOOKUP($A372,Input_Raw!$E:$E,Input_Raw!BG:BG),"")</f>
        <v/>
      </c>
      <c r="Y372" s="10" t="str">
        <f>IFERROR(_xlfn.XLOOKUP($A372,Input_Raw!$E:$E,Input_Raw!DF:DF),"")</f>
        <v/>
      </c>
      <c r="Z372" s="319" t="str">
        <f>IFERROR(_xlfn.XLOOKUP(A372,Input_Raw!E:E,Input_Raw!CT:CT)/_xlfn.XLOOKUP(A372,Input_Raw!E:E,Input_Raw!CS:CS)*Table13[[#This Row],[Mtr_Export (kWh)]],"")</f>
        <v/>
      </c>
      <c r="AA372" s="43" t="str">
        <f t="shared" si="33"/>
        <v/>
      </c>
      <c r="AB372" s="10" t="str">
        <f>IFERROR(_xlfn.XLOOKUP($A372,Input_Raw!$E:$E,Input_Raw!$CZ:$CZ),"")</f>
        <v/>
      </c>
      <c r="AC372" s="313" t="str">
        <f>IFERROR(_xlfn.XLOOKUP($D372,'Modelling New'!$D:$D,'Modelling New'!$J:$J),"")</f>
        <v/>
      </c>
      <c r="AD372" s="43" t="str">
        <f>IFERROR(_xlfn.XLOOKUP($D372,'Modelling New'!$D:$D,'Modelling New'!$T:$T)*1000,"")</f>
        <v/>
      </c>
      <c r="AE372" s="312"/>
      <c r="AF372" s="312" t="str">
        <f>IFERROR(_xlfn.XLOOKUP($D372,'Modelling New'!$D:$D,'Modelling New'!$W:$W),"")</f>
        <v/>
      </c>
      <c r="AG372" s="312" t="str">
        <f>IFERROR(_xlfn.XLOOKUP($D372,'Modelling New'!$D:$D,'Modelling New'!$AE:$AE),"")</f>
        <v/>
      </c>
      <c r="AH372" s="312" t="str">
        <f>IFERROR(_xlfn.XLOOKUP($D372,'Modelling New'!$D:$D,'Modelling New'!$AF:$AF),"")</f>
        <v/>
      </c>
      <c r="AI372" s="10" t="str">
        <f>IFERROR(_xlfn.XLOOKUP($A372,Input_Raw!$E:$E,Input_Raw!$DG:$DG),"")</f>
        <v/>
      </c>
      <c r="AJ372" s="10"/>
      <c r="AK372" s="10"/>
      <c r="AL372" s="10"/>
      <c r="AM372" s="10"/>
      <c r="AN372" s="314" t="str">
        <f>IFERROR(_xlfn.XLOOKUP($A372,Input_Raw!$E:$E,Input_Raw!$CY:$CY),"")</f>
        <v/>
      </c>
      <c r="AO372" s="312" t="str">
        <f>IFERROR((_xlfn.XLOOKUP($A372,'WTG Reactive Power'!$A:$A,'WTG Reactive Power'!AB:AB))/X372,"")</f>
        <v/>
      </c>
      <c r="AP372" s="312" t="str">
        <f>IFERROR(_xlfn.XLOOKUP($D372,'Modelling New'!$D:$D,'Modelling New'!AK:AK),"")</f>
        <v/>
      </c>
      <c r="AQ372" s="312" t="str">
        <f>IFERROR(_xlfn.XLOOKUP($D372,'Modelling New'!$D:$D,'Modelling New'!AL:AL),"")</f>
        <v/>
      </c>
      <c r="AR372" s="325" t="str">
        <f>IFERROR(_xlfn.XLOOKUP($D372,'Modelling New'!$D:$D,'Modelling New'!$N:$N),"")</f>
        <v/>
      </c>
      <c r="AS372" s="325"/>
    </row>
    <row r="373" spans="1:45">
      <c r="A373" s="32">
        <f t="shared" si="34"/>
        <v>46116</v>
      </c>
      <c r="B373" s="43">
        <f>YEAR(Table13[[#This Row],[Date]])+IF(MONTH(Table13[[#This Row],[Date]])&gt;=4,1,0)</f>
        <v>2027</v>
      </c>
      <c r="C373" s="10">
        <f>YEAR(Table13[[#This Row],[Date]])</f>
        <v>2026</v>
      </c>
      <c r="D373" s="309">
        <f>Table13[[#This Row],[Date]]-DAY(Table13[[#This Row],[Date]])+1</f>
        <v>46113</v>
      </c>
      <c r="E373" s="10">
        <f t="shared" si="30"/>
        <v>30</v>
      </c>
      <c r="F373" s="241" t="str">
        <f>IFERROR(_xlfn.XLOOKUP($A373,Input_Raw!$E:$E,Input_Raw!DC:DC),"")</f>
        <v/>
      </c>
      <c r="G373" s="242"/>
      <c r="H373" s="242"/>
      <c r="I373" s="242"/>
      <c r="J373" s="242"/>
      <c r="K373" s="243"/>
      <c r="L373" s="242"/>
      <c r="M373" s="242" t="str">
        <f>IFERROR(_xlfn.XLOOKUP($A373,Input_Raw!$E:$E,Input_Raw!$BM:$BM),"")</f>
        <v/>
      </c>
      <c r="N373" s="242" t="str">
        <f>IFERROR(_xlfn.XLOOKUP($A373,Input_Raw!$E:$E,Input_Raw!$BN:$BN),"")</f>
        <v/>
      </c>
      <c r="O373" s="311" t="str">
        <f t="shared" si="31"/>
        <v/>
      </c>
      <c r="P373" s="311" t="str">
        <f>IFERROR(1-SUMIF(WTG_BD!$F:$F,$A373,WTG_BD!$AA:$AA)/($AA373+SUMIF(WTG_BD!$F:$F,$A373,WTG_BD!$AA:$AA)),"")</f>
        <v/>
      </c>
      <c r="Q373" s="328" t="str">
        <f>IFERROR(1-SUMIF(IGA_BD!$F:$F,$A373,IGA_BD!$W:$W)/($AA373+SUMIF(IGA_BD!$F:$F,$A373,IGA_BD!$W:$W)),"")</f>
        <v/>
      </c>
      <c r="R373" s="311" t="str">
        <f>IFERROR(1-SUMIF(Grid_BD!$F:$F,$A373,Grid_BD!$Y:$Y)/($AA373+SUMIF(Grid_BD!$F:$F,$A373,Grid_BD!$Y:$Y)),"")</f>
        <v/>
      </c>
      <c r="S373" s="10"/>
      <c r="T373" s="310"/>
      <c r="U373" s="311"/>
      <c r="V373" s="10"/>
      <c r="W373" s="312" t="str">
        <f t="shared" si="32"/>
        <v/>
      </c>
      <c r="X373" s="10" t="str">
        <f>IFERROR(_xlfn.XLOOKUP($A373,Input_Raw!$E:$E,Input_Raw!BG:BG),"")</f>
        <v/>
      </c>
      <c r="Y373" s="10" t="str">
        <f>IFERROR(_xlfn.XLOOKUP($A373,Input_Raw!$E:$E,Input_Raw!DF:DF),"")</f>
        <v/>
      </c>
      <c r="Z373" s="319" t="str">
        <f>IFERROR(_xlfn.XLOOKUP(A373,Input_Raw!E:E,Input_Raw!CT:CT)/_xlfn.XLOOKUP(A373,Input_Raw!E:E,Input_Raw!CS:CS)*Table13[[#This Row],[Mtr_Export (kWh)]],"")</f>
        <v/>
      </c>
      <c r="AA373" s="43" t="str">
        <f t="shared" si="33"/>
        <v/>
      </c>
      <c r="AB373" s="10" t="str">
        <f>IFERROR(_xlfn.XLOOKUP($A373,Input_Raw!$E:$E,Input_Raw!$CZ:$CZ),"")</f>
        <v/>
      </c>
      <c r="AC373" s="313" t="str">
        <f>IFERROR(_xlfn.XLOOKUP($D373,'Modelling New'!$D:$D,'Modelling New'!$J:$J),"")</f>
        <v/>
      </c>
      <c r="AD373" s="43" t="str">
        <f>IFERROR(_xlfn.XLOOKUP($D373,'Modelling New'!$D:$D,'Modelling New'!$T:$T)*1000,"")</f>
        <v/>
      </c>
      <c r="AE373" s="312"/>
      <c r="AF373" s="312" t="str">
        <f>IFERROR(_xlfn.XLOOKUP($D373,'Modelling New'!$D:$D,'Modelling New'!$W:$W),"")</f>
        <v/>
      </c>
      <c r="AG373" s="312" t="str">
        <f>IFERROR(_xlfn.XLOOKUP($D373,'Modelling New'!$D:$D,'Modelling New'!$AE:$AE),"")</f>
        <v/>
      </c>
      <c r="AH373" s="312" t="str">
        <f>IFERROR(_xlfn.XLOOKUP($D373,'Modelling New'!$D:$D,'Modelling New'!$AF:$AF),"")</f>
        <v/>
      </c>
      <c r="AI373" s="10" t="str">
        <f>IFERROR(_xlfn.XLOOKUP($A373,Input_Raw!$E:$E,Input_Raw!$DG:$DG),"")</f>
        <v/>
      </c>
      <c r="AJ373" s="10"/>
      <c r="AK373" s="10"/>
      <c r="AL373" s="10"/>
      <c r="AM373" s="10"/>
      <c r="AN373" s="314" t="str">
        <f>IFERROR(_xlfn.XLOOKUP($A373,Input_Raw!$E:$E,Input_Raw!$CY:$CY),"")</f>
        <v/>
      </c>
      <c r="AO373" s="312" t="str">
        <f>IFERROR((_xlfn.XLOOKUP($A373,'WTG Reactive Power'!$A:$A,'WTG Reactive Power'!AB:AB))/X373,"")</f>
        <v/>
      </c>
      <c r="AP373" s="312" t="str">
        <f>IFERROR(_xlfn.XLOOKUP($D373,'Modelling New'!$D:$D,'Modelling New'!AK:AK),"")</f>
        <v/>
      </c>
      <c r="AQ373" s="312" t="str">
        <f>IFERROR(_xlfn.XLOOKUP($D373,'Modelling New'!$D:$D,'Modelling New'!AL:AL),"")</f>
        <v/>
      </c>
      <c r="AR373" s="325" t="str">
        <f>IFERROR(_xlfn.XLOOKUP($D373,'Modelling New'!$D:$D,'Modelling New'!$N:$N),"")</f>
        <v/>
      </c>
      <c r="AS373" s="325"/>
    </row>
    <row r="374" spans="1:45">
      <c r="A374" s="32">
        <f t="shared" si="34"/>
        <v>46117</v>
      </c>
      <c r="B374" s="43">
        <f>YEAR(Table13[[#This Row],[Date]])+IF(MONTH(Table13[[#This Row],[Date]])&gt;=4,1,0)</f>
        <v>2027</v>
      </c>
      <c r="C374" s="10">
        <f>YEAR(Table13[[#This Row],[Date]])</f>
        <v>2026</v>
      </c>
      <c r="D374" s="309">
        <f>Table13[[#This Row],[Date]]-DAY(Table13[[#This Row],[Date]])+1</f>
        <v>46113</v>
      </c>
      <c r="E374" s="10">
        <f t="shared" si="30"/>
        <v>30</v>
      </c>
      <c r="F374" s="241" t="str">
        <f>IFERROR(_xlfn.XLOOKUP($A374,Input_Raw!$E:$E,Input_Raw!DC:DC),"")</f>
        <v/>
      </c>
      <c r="G374" s="313"/>
      <c r="H374" s="313"/>
      <c r="I374" s="313"/>
      <c r="J374" s="313"/>
      <c r="K374" s="243"/>
      <c r="L374" s="242"/>
      <c r="M374" s="242" t="str">
        <f>IFERROR(_xlfn.XLOOKUP($A374,Input_Raw!$E:$E,Input_Raw!$BM:$BM),"")</f>
        <v/>
      </c>
      <c r="N374" s="242" t="str">
        <f>IFERROR(_xlfn.XLOOKUP($A374,Input_Raw!$E:$E,Input_Raw!$BN:$BN),"")</f>
        <v/>
      </c>
      <c r="O374" s="311" t="str">
        <f t="shared" si="31"/>
        <v/>
      </c>
      <c r="P374" s="311" t="str">
        <f>IFERROR(1-SUMIF(WTG_BD!$F:$F,$A374,WTG_BD!$AA:$AA)/($AA374+SUMIF(WTG_BD!$F:$F,$A374,WTG_BD!$AA:$AA)),"")</f>
        <v/>
      </c>
      <c r="Q374" s="328" t="str">
        <f>IFERROR(1-SUMIF(IGA_BD!$F:$F,$A374,IGA_BD!$W:$W)/($AA374+SUMIF(IGA_BD!$F:$F,$A374,IGA_BD!$W:$W)),"")</f>
        <v/>
      </c>
      <c r="R374" s="47" t="str">
        <f>IFERROR(1-SUMIF(Grid_BD!$F:$F,$A374,Grid_BD!$Y:$Y)/($AA374+SUMIF(Grid_BD!$F:$F,$A374,Grid_BD!$Y:$Y)),"")</f>
        <v/>
      </c>
      <c r="S374" s="10"/>
      <c r="T374" s="310"/>
      <c r="U374" s="311"/>
      <c r="V374" s="10"/>
      <c r="W374" s="312" t="str">
        <f t="shared" si="32"/>
        <v/>
      </c>
      <c r="X374" s="10" t="str">
        <f>IFERROR(_xlfn.XLOOKUP($A374,Input_Raw!$E:$E,Input_Raw!BG:BG),"")</f>
        <v/>
      </c>
      <c r="Y374" s="10" t="str">
        <f>IFERROR(_xlfn.XLOOKUP($A374,Input_Raw!$E:$E,Input_Raw!DF:DF),"")</f>
        <v/>
      </c>
      <c r="Z374" s="319" t="str">
        <f>IFERROR(_xlfn.XLOOKUP(A374,Input_Raw!E:E,Input_Raw!CT:CT)/_xlfn.XLOOKUP(A374,Input_Raw!E:E,Input_Raw!CS:CS)*Table13[[#This Row],[Mtr_Export (kWh)]],"")</f>
        <v/>
      </c>
      <c r="AA374" s="43" t="str">
        <f t="shared" si="33"/>
        <v/>
      </c>
      <c r="AB374" s="10" t="str">
        <f>IFERROR(_xlfn.XLOOKUP($A374,Input_Raw!$E:$E,Input_Raw!$CZ:$CZ),"")</f>
        <v/>
      </c>
      <c r="AC374" s="313" t="str">
        <f>IFERROR(_xlfn.XLOOKUP($D374,'Modelling New'!$D:$D,'Modelling New'!$J:$J),"")</f>
        <v/>
      </c>
      <c r="AD374" s="43" t="str">
        <f>IFERROR(_xlfn.XLOOKUP($D374,'Modelling New'!$D:$D,'Modelling New'!$T:$T)*1000,"")</f>
        <v/>
      </c>
      <c r="AE374" s="312"/>
      <c r="AF374" s="312" t="str">
        <f>IFERROR(_xlfn.XLOOKUP($D374,'Modelling New'!$D:$D,'Modelling New'!$W:$W),"")</f>
        <v/>
      </c>
      <c r="AG374" s="312" t="str">
        <f>IFERROR(_xlfn.XLOOKUP($D374,'Modelling New'!$D:$D,'Modelling New'!$AE:$AE),"")</f>
        <v/>
      </c>
      <c r="AH374" s="312" t="str">
        <f>IFERROR(_xlfn.XLOOKUP($D374,'Modelling New'!$D:$D,'Modelling New'!$AF:$AF),"")</f>
        <v/>
      </c>
      <c r="AI374" s="10" t="str">
        <f>IFERROR(_xlfn.XLOOKUP($A374,Input_Raw!$E:$E,Input_Raw!$DG:$DG),"")</f>
        <v/>
      </c>
      <c r="AJ374" s="10"/>
      <c r="AK374" s="10"/>
      <c r="AL374" s="10"/>
      <c r="AM374" s="10"/>
      <c r="AN374" s="314" t="str">
        <f>IFERROR(_xlfn.XLOOKUP($A374,Input_Raw!$E:$E,Input_Raw!$CY:$CY),"")</f>
        <v/>
      </c>
      <c r="AO374" s="312" t="str">
        <f>IFERROR((_xlfn.XLOOKUP($A374,'WTG Reactive Power'!$A:$A,'WTG Reactive Power'!AB:AB))/X374,"")</f>
        <v/>
      </c>
      <c r="AP374" s="312" t="str">
        <f>IFERROR(_xlfn.XLOOKUP($D374,'Modelling New'!$D:$D,'Modelling New'!AK:AK),"")</f>
        <v/>
      </c>
      <c r="AQ374" s="312" t="str">
        <f>IFERROR(_xlfn.XLOOKUP($D374,'Modelling New'!$D:$D,'Modelling New'!AL:AL),"")</f>
        <v/>
      </c>
      <c r="AR374" s="325" t="str">
        <f>IFERROR(_xlfn.XLOOKUP($D374,'Modelling New'!$D:$D,'Modelling New'!$N:$N),"")</f>
        <v/>
      </c>
      <c r="AS374" s="325"/>
    </row>
    <row r="375" spans="1:45">
      <c r="A375" s="32">
        <f t="shared" si="34"/>
        <v>46118</v>
      </c>
      <c r="B375" s="43">
        <f>YEAR(Table13[[#This Row],[Date]])+IF(MONTH(Table13[[#This Row],[Date]])&gt;=4,1,0)</f>
        <v>2027</v>
      </c>
      <c r="C375" s="10">
        <f>YEAR(Table13[[#This Row],[Date]])</f>
        <v>2026</v>
      </c>
      <c r="D375" s="309">
        <f>Table13[[#This Row],[Date]]-DAY(Table13[[#This Row],[Date]])+1</f>
        <v>46113</v>
      </c>
      <c r="E375" s="10">
        <f t="shared" si="30"/>
        <v>30</v>
      </c>
      <c r="F375" s="241" t="str">
        <f>IFERROR(_xlfn.XLOOKUP($A375,Input_Raw!$E:$E,Input_Raw!DC:DC),"")</f>
        <v/>
      </c>
      <c r="G375" s="242"/>
      <c r="H375" s="242"/>
      <c r="I375" s="242"/>
      <c r="J375" s="242"/>
      <c r="K375" s="243"/>
      <c r="L375" s="242"/>
      <c r="M375" s="242" t="str">
        <f>IFERROR(_xlfn.XLOOKUP($A375,Input_Raw!$E:$E,Input_Raw!$BM:$BM),"")</f>
        <v/>
      </c>
      <c r="N375" s="242" t="str">
        <f>IFERROR(_xlfn.XLOOKUP($A375,Input_Raw!$E:$E,Input_Raw!$BN:$BN),"")</f>
        <v/>
      </c>
      <c r="O375" s="311" t="str">
        <f t="shared" si="31"/>
        <v/>
      </c>
      <c r="P375" s="311" t="str">
        <f>IFERROR(1-SUMIF(WTG_BD!$F:$F,$A375,WTG_BD!$AA:$AA)/($AA375+SUMIF(WTG_BD!$F:$F,$A375,WTG_BD!$AA:$AA)),"")</f>
        <v/>
      </c>
      <c r="Q375" s="328" t="str">
        <f>IFERROR(1-SUMIF(IGA_BD!$F:$F,$A375,IGA_BD!$W:$W)/($AA375+SUMIF(IGA_BD!$F:$F,$A375,IGA_BD!$W:$W)),"")</f>
        <v/>
      </c>
      <c r="R375" s="311" t="str">
        <f>IFERROR(1-SUMIF(Grid_BD!$F:$F,$A375,Grid_BD!$Y:$Y)/($AA375+SUMIF(Grid_BD!$F:$F,$A375,Grid_BD!$Y:$Y)),"")</f>
        <v/>
      </c>
      <c r="S375" s="10"/>
      <c r="T375" s="310"/>
      <c r="U375" s="311"/>
      <c r="V375" s="10"/>
      <c r="W375" s="312" t="str">
        <f t="shared" si="32"/>
        <v/>
      </c>
      <c r="X375" s="10" t="str">
        <f>IFERROR(_xlfn.XLOOKUP($A375,Input_Raw!$E:$E,Input_Raw!BG:BG),"")</f>
        <v/>
      </c>
      <c r="Y375" s="10" t="str">
        <f>IFERROR(_xlfn.XLOOKUP($A375,Input_Raw!$E:$E,Input_Raw!DF:DF),"")</f>
        <v/>
      </c>
      <c r="Z375" s="319" t="str">
        <f>IFERROR(_xlfn.XLOOKUP(A375,Input_Raw!E:E,Input_Raw!CT:CT)/_xlfn.XLOOKUP(A375,Input_Raw!E:E,Input_Raw!CS:CS)*Table13[[#This Row],[Mtr_Export (kWh)]],"")</f>
        <v/>
      </c>
      <c r="AA375" s="43" t="str">
        <f t="shared" si="33"/>
        <v/>
      </c>
      <c r="AB375" s="10" t="str">
        <f>IFERROR(_xlfn.XLOOKUP($A375,Input_Raw!$E:$E,Input_Raw!$CZ:$CZ),"")</f>
        <v/>
      </c>
      <c r="AC375" s="313" t="str">
        <f>IFERROR(_xlfn.XLOOKUP($D375,'Modelling New'!$D:$D,'Modelling New'!$J:$J),"")</f>
        <v/>
      </c>
      <c r="AD375" s="43" t="str">
        <f>IFERROR(_xlfn.XLOOKUP($D375,'Modelling New'!$D:$D,'Modelling New'!$T:$T)*1000,"")</f>
        <v/>
      </c>
      <c r="AE375" s="312"/>
      <c r="AF375" s="312" t="str">
        <f>IFERROR(_xlfn.XLOOKUP($D375,'Modelling New'!$D:$D,'Modelling New'!$W:$W),"")</f>
        <v/>
      </c>
      <c r="AG375" s="312" t="str">
        <f>IFERROR(_xlfn.XLOOKUP($D375,'Modelling New'!$D:$D,'Modelling New'!$AE:$AE),"")</f>
        <v/>
      </c>
      <c r="AH375" s="312" t="str">
        <f>IFERROR(_xlfn.XLOOKUP($D375,'Modelling New'!$D:$D,'Modelling New'!$AF:$AF),"")</f>
        <v/>
      </c>
      <c r="AI375" s="10" t="str">
        <f>IFERROR(_xlfn.XLOOKUP($A375,Input_Raw!$E:$E,Input_Raw!$DG:$DG),"")</f>
        <v/>
      </c>
      <c r="AJ375" s="10"/>
      <c r="AK375" s="10"/>
      <c r="AL375" s="10"/>
      <c r="AM375" s="10"/>
      <c r="AN375" s="314" t="str">
        <f>IFERROR(_xlfn.XLOOKUP($A375,Input_Raw!$E:$E,Input_Raw!$CY:$CY),"")</f>
        <v/>
      </c>
      <c r="AO375" s="312" t="str">
        <f>IFERROR((_xlfn.XLOOKUP($A375,'WTG Reactive Power'!$A:$A,'WTG Reactive Power'!AB:AB))/X375,"")</f>
        <v/>
      </c>
      <c r="AP375" s="312" t="str">
        <f>IFERROR(_xlfn.XLOOKUP($D375,'Modelling New'!$D:$D,'Modelling New'!AK:AK),"")</f>
        <v/>
      </c>
      <c r="AQ375" s="312" t="str">
        <f>IFERROR(_xlfn.XLOOKUP($D375,'Modelling New'!$D:$D,'Modelling New'!AL:AL),"")</f>
        <v/>
      </c>
      <c r="AR375" s="325" t="str">
        <f>IFERROR(_xlfn.XLOOKUP($D375,'Modelling New'!$D:$D,'Modelling New'!$N:$N),"")</f>
        <v/>
      </c>
      <c r="AS375" s="325"/>
    </row>
    <row r="376" spans="1:45">
      <c r="A376" s="32">
        <f t="shared" si="34"/>
        <v>46119</v>
      </c>
      <c r="B376" s="43">
        <f>YEAR(Table13[[#This Row],[Date]])+IF(MONTH(Table13[[#This Row],[Date]])&gt;=4,1,0)</f>
        <v>2027</v>
      </c>
      <c r="C376" s="10">
        <f>YEAR(Table13[[#This Row],[Date]])</f>
        <v>2026</v>
      </c>
      <c r="D376" s="309">
        <f>Table13[[#This Row],[Date]]-DAY(Table13[[#This Row],[Date]])+1</f>
        <v>46113</v>
      </c>
      <c r="E376" s="10">
        <f t="shared" si="30"/>
        <v>30</v>
      </c>
      <c r="F376" s="241" t="str">
        <f>IFERROR(_xlfn.XLOOKUP($A376,Input_Raw!$E:$E,Input_Raw!DC:DC),"")</f>
        <v/>
      </c>
      <c r="G376" s="313"/>
      <c r="H376" s="313"/>
      <c r="I376" s="313"/>
      <c r="J376" s="313"/>
      <c r="K376" s="243"/>
      <c r="L376" s="242"/>
      <c r="M376" s="242" t="str">
        <f>IFERROR(_xlfn.XLOOKUP($A376,Input_Raw!$E:$E,Input_Raw!$BM:$BM),"")</f>
        <v/>
      </c>
      <c r="N376" s="242" t="str">
        <f>IFERROR(_xlfn.XLOOKUP($A376,Input_Raw!$E:$E,Input_Raw!$BN:$BN),"")</f>
        <v/>
      </c>
      <c r="O376" s="311" t="str">
        <f t="shared" si="31"/>
        <v/>
      </c>
      <c r="P376" s="311" t="str">
        <f>IFERROR(1-SUMIF(WTG_BD!$F:$F,$A376,WTG_BD!$AA:$AA)/($AA376+SUMIF(WTG_BD!$F:$F,$A376,WTG_BD!$AA:$AA)),"")</f>
        <v/>
      </c>
      <c r="Q376" s="328" t="str">
        <f>IFERROR(1-SUMIF(IGA_BD!$F:$F,$A376,IGA_BD!$W:$W)/($AA376+SUMIF(IGA_BD!$F:$F,$A376,IGA_BD!$W:$W)),"")</f>
        <v/>
      </c>
      <c r="R376" s="47" t="str">
        <f>IFERROR(1-SUMIF(Grid_BD!$F:$F,$A376,Grid_BD!$Y:$Y)/($AA376+SUMIF(Grid_BD!$F:$F,$A376,Grid_BD!$Y:$Y)),"")</f>
        <v/>
      </c>
      <c r="S376" s="10"/>
      <c r="T376" s="310"/>
      <c r="U376" s="311"/>
      <c r="V376" s="10"/>
      <c r="W376" s="312" t="str">
        <f t="shared" si="32"/>
        <v/>
      </c>
      <c r="X376" s="10" t="str">
        <f>IFERROR(_xlfn.XLOOKUP($A376,Input_Raw!$E:$E,Input_Raw!BG:BG),"")</f>
        <v/>
      </c>
      <c r="Y376" s="10" t="str">
        <f>IFERROR(_xlfn.XLOOKUP($A376,Input_Raw!$E:$E,Input_Raw!DF:DF),"")</f>
        <v/>
      </c>
      <c r="Z376" s="319" t="str">
        <f>IFERROR(_xlfn.XLOOKUP(A376,Input_Raw!E:E,Input_Raw!CT:CT)/_xlfn.XLOOKUP(A376,Input_Raw!E:E,Input_Raw!CS:CS)*Table13[[#This Row],[Mtr_Export (kWh)]],"")</f>
        <v/>
      </c>
      <c r="AA376" s="43" t="str">
        <f t="shared" si="33"/>
        <v/>
      </c>
      <c r="AB376" s="10" t="str">
        <f>IFERROR(_xlfn.XLOOKUP($A376,Input_Raw!$E:$E,Input_Raw!$CZ:$CZ),"")</f>
        <v/>
      </c>
      <c r="AC376" s="313" t="str">
        <f>IFERROR(_xlfn.XLOOKUP($D376,'Modelling New'!$D:$D,'Modelling New'!$J:$J),"")</f>
        <v/>
      </c>
      <c r="AD376" s="43" t="str">
        <f>IFERROR(_xlfn.XLOOKUP($D376,'Modelling New'!$D:$D,'Modelling New'!$T:$T)*1000,"")</f>
        <v/>
      </c>
      <c r="AE376" s="312"/>
      <c r="AF376" s="312" t="str">
        <f>IFERROR(_xlfn.XLOOKUP($D376,'Modelling New'!$D:$D,'Modelling New'!$W:$W),"")</f>
        <v/>
      </c>
      <c r="AG376" s="312" t="str">
        <f>IFERROR(_xlfn.XLOOKUP($D376,'Modelling New'!$D:$D,'Modelling New'!$AE:$AE),"")</f>
        <v/>
      </c>
      <c r="AH376" s="312" t="str">
        <f>IFERROR(_xlfn.XLOOKUP($D376,'Modelling New'!$D:$D,'Modelling New'!$AF:$AF),"")</f>
        <v/>
      </c>
      <c r="AI376" s="10" t="str">
        <f>IFERROR(_xlfn.XLOOKUP($A376,Input_Raw!$E:$E,Input_Raw!$DG:$DG),"")</f>
        <v/>
      </c>
      <c r="AJ376" s="10"/>
      <c r="AK376" s="10"/>
      <c r="AL376" s="10"/>
      <c r="AM376" s="10"/>
      <c r="AN376" s="314" t="str">
        <f>IFERROR(_xlfn.XLOOKUP($A376,Input_Raw!$E:$E,Input_Raw!$CY:$CY),"")</f>
        <v/>
      </c>
      <c r="AO376" s="312" t="str">
        <f>IFERROR((_xlfn.XLOOKUP($A376,'WTG Reactive Power'!$A:$A,'WTG Reactive Power'!AB:AB))/X376,"")</f>
        <v/>
      </c>
      <c r="AP376" s="312" t="str">
        <f>IFERROR(_xlfn.XLOOKUP($D376,'Modelling New'!$D:$D,'Modelling New'!AK:AK),"")</f>
        <v/>
      </c>
      <c r="AQ376" s="312" t="str">
        <f>IFERROR(_xlfn.XLOOKUP($D376,'Modelling New'!$D:$D,'Modelling New'!AL:AL),"")</f>
        <v/>
      </c>
      <c r="AR376" s="325" t="str">
        <f>IFERROR(_xlfn.XLOOKUP($D376,'Modelling New'!$D:$D,'Modelling New'!$N:$N),"")</f>
        <v/>
      </c>
      <c r="AS376" s="325"/>
    </row>
    <row r="377" spans="1:45">
      <c r="A377" s="32">
        <f t="shared" si="34"/>
        <v>46120</v>
      </c>
      <c r="B377" s="43">
        <f>YEAR(Table13[[#This Row],[Date]])+IF(MONTH(Table13[[#This Row],[Date]])&gt;=4,1,0)</f>
        <v>2027</v>
      </c>
      <c r="C377" s="10">
        <f>YEAR(Table13[[#This Row],[Date]])</f>
        <v>2026</v>
      </c>
      <c r="D377" s="309">
        <f>Table13[[#This Row],[Date]]-DAY(Table13[[#This Row],[Date]])+1</f>
        <v>46113</v>
      </c>
      <c r="E377" s="10">
        <f t="shared" si="30"/>
        <v>30</v>
      </c>
      <c r="F377" s="241" t="str">
        <f>IFERROR(_xlfn.XLOOKUP($A377,Input_Raw!$E:$E,Input_Raw!DC:DC),"")</f>
        <v/>
      </c>
      <c r="G377" s="242"/>
      <c r="H377" s="242"/>
      <c r="I377" s="242"/>
      <c r="J377" s="242"/>
      <c r="K377" s="243"/>
      <c r="L377" s="242"/>
      <c r="M377" s="242" t="str">
        <f>IFERROR(_xlfn.XLOOKUP($A377,Input_Raw!$E:$E,Input_Raw!$BM:$BM),"")</f>
        <v/>
      </c>
      <c r="N377" s="242" t="str">
        <f>IFERROR(_xlfn.XLOOKUP($A377,Input_Raw!$E:$E,Input_Raw!$BN:$BN),"")</f>
        <v/>
      </c>
      <c r="O377" s="311" t="str">
        <f t="shared" si="31"/>
        <v/>
      </c>
      <c r="P377" s="311" t="str">
        <f>IFERROR(1-SUMIF(WTG_BD!$F:$F,$A377,WTG_BD!$AA:$AA)/($AA377+SUMIF(WTG_BD!$F:$F,$A377,WTG_BD!$AA:$AA)),"")</f>
        <v/>
      </c>
      <c r="Q377" s="328" t="str">
        <f>IFERROR(1-SUMIF(IGA_BD!$F:$F,$A377,IGA_BD!$W:$W)/($AA377+SUMIF(IGA_BD!$F:$F,$A377,IGA_BD!$W:$W)),"")</f>
        <v/>
      </c>
      <c r="R377" s="311" t="str">
        <f>IFERROR(1-SUMIF(Grid_BD!$F:$F,$A377,Grid_BD!$Y:$Y)/($AA377+SUMIF(Grid_BD!$F:$F,$A377,Grid_BD!$Y:$Y)),"")</f>
        <v/>
      </c>
      <c r="S377" s="10"/>
      <c r="T377" s="310"/>
      <c r="U377" s="311"/>
      <c r="V377" s="10"/>
      <c r="W377" s="312" t="str">
        <f t="shared" si="32"/>
        <v/>
      </c>
      <c r="X377" s="10" t="str">
        <f>IFERROR(_xlfn.XLOOKUP($A377,Input_Raw!$E:$E,Input_Raw!BG:BG),"")</f>
        <v/>
      </c>
      <c r="Y377" s="10" t="str">
        <f>IFERROR(_xlfn.XLOOKUP($A377,Input_Raw!$E:$E,Input_Raw!DF:DF),"")</f>
        <v/>
      </c>
      <c r="Z377" s="319" t="str">
        <f>IFERROR(_xlfn.XLOOKUP(A377,Input_Raw!E:E,Input_Raw!CT:CT)/_xlfn.XLOOKUP(A377,Input_Raw!E:E,Input_Raw!CS:CS)*Table13[[#This Row],[Mtr_Export (kWh)]],"")</f>
        <v/>
      </c>
      <c r="AA377" s="43" t="str">
        <f t="shared" si="33"/>
        <v/>
      </c>
      <c r="AB377" s="10" t="str">
        <f>IFERROR(_xlfn.XLOOKUP($A377,Input_Raw!$E:$E,Input_Raw!$CZ:$CZ),"")</f>
        <v/>
      </c>
      <c r="AC377" s="313" t="str">
        <f>IFERROR(_xlfn.XLOOKUP($D377,'Modelling New'!$D:$D,'Modelling New'!$J:$J),"")</f>
        <v/>
      </c>
      <c r="AD377" s="43" t="str">
        <f>IFERROR(_xlfn.XLOOKUP($D377,'Modelling New'!$D:$D,'Modelling New'!$T:$T)*1000,"")</f>
        <v/>
      </c>
      <c r="AE377" s="312"/>
      <c r="AF377" s="312" t="str">
        <f>IFERROR(_xlfn.XLOOKUP($D377,'Modelling New'!$D:$D,'Modelling New'!$W:$W),"")</f>
        <v/>
      </c>
      <c r="AG377" s="312" t="str">
        <f>IFERROR(_xlfn.XLOOKUP($D377,'Modelling New'!$D:$D,'Modelling New'!$AE:$AE),"")</f>
        <v/>
      </c>
      <c r="AH377" s="312" t="str">
        <f>IFERROR(_xlfn.XLOOKUP($D377,'Modelling New'!$D:$D,'Modelling New'!$AF:$AF),"")</f>
        <v/>
      </c>
      <c r="AI377" s="10" t="str">
        <f>IFERROR(_xlfn.XLOOKUP($A377,Input_Raw!$E:$E,Input_Raw!$DG:$DG),"")</f>
        <v/>
      </c>
      <c r="AJ377" s="10"/>
      <c r="AK377" s="10"/>
      <c r="AL377" s="10"/>
      <c r="AM377" s="10"/>
      <c r="AN377" s="314" t="str">
        <f>IFERROR(_xlfn.XLOOKUP($A377,Input_Raw!$E:$E,Input_Raw!$CY:$CY),"")</f>
        <v/>
      </c>
      <c r="AO377" s="312" t="str">
        <f>IFERROR((_xlfn.XLOOKUP($A377,'WTG Reactive Power'!$A:$A,'WTG Reactive Power'!AB:AB))/X377,"")</f>
        <v/>
      </c>
      <c r="AP377" s="312" t="str">
        <f>IFERROR(_xlfn.XLOOKUP($D377,'Modelling New'!$D:$D,'Modelling New'!AK:AK),"")</f>
        <v/>
      </c>
      <c r="AQ377" s="312" t="str">
        <f>IFERROR(_xlfn.XLOOKUP($D377,'Modelling New'!$D:$D,'Modelling New'!AL:AL),"")</f>
        <v/>
      </c>
      <c r="AR377" s="325" t="str">
        <f>IFERROR(_xlfn.XLOOKUP($D377,'Modelling New'!$D:$D,'Modelling New'!$N:$N),"")</f>
        <v/>
      </c>
      <c r="AS377" s="325"/>
    </row>
    <row r="378" spans="1:45">
      <c r="A378" s="32">
        <f t="shared" si="34"/>
        <v>46121</v>
      </c>
      <c r="B378" s="43">
        <f>YEAR(Table13[[#This Row],[Date]])+IF(MONTH(Table13[[#This Row],[Date]])&gt;=4,1,0)</f>
        <v>2027</v>
      </c>
      <c r="C378" s="10">
        <f>YEAR(Table13[[#This Row],[Date]])</f>
        <v>2026</v>
      </c>
      <c r="D378" s="309">
        <f>Table13[[#This Row],[Date]]-DAY(Table13[[#This Row],[Date]])+1</f>
        <v>46113</v>
      </c>
      <c r="E378" s="10">
        <f t="shared" si="30"/>
        <v>30</v>
      </c>
      <c r="F378" s="241" t="str">
        <f>IFERROR(_xlfn.XLOOKUP($A378,Input_Raw!$E:$E,Input_Raw!DC:DC),"")</f>
        <v/>
      </c>
      <c r="G378" s="313"/>
      <c r="H378" s="313"/>
      <c r="I378" s="313"/>
      <c r="J378" s="313"/>
      <c r="K378" s="243"/>
      <c r="L378" s="242"/>
      <c r="M378" s="242" t="str">
        <f>IFERROR(_xlfn.XLOOKUP($A378,Input_Raw!$E:$E,Input_Raw!$BM:$BM),"")</f>
        <v/>
      </c>
      <c r="N378" s="242" t="str">
        <f>IFERROR(_xlfn.XLOOKUP($A378,Input_Raw!$E:$E,Input_Raw!$BN:$BN),"")</f>
        <v/>
      </c>
      <c r="O378" s="311" t="str">
        <f t="shared" si="31"/>
        <v/>
      </c>
      <c r="P378" s="311" t="str">
        <f>IFERROR(1-SUMIF(WTG_BD!$F:$F,$A378,WTG_BD!$AA:$AA)/($AA378+SUMIF(WTG_BD!$F:$F,$A378,WTG_BD!$AA:$AA)),"")</f>
        <v/>
      </c>
      <c r="Q378" s="328" t="str">
        <f>IFERROR(1-SUMIF(IGA_BD!$F:$F,$A378,IGA_BD!$W:$W)/($AA378+SUMIF(IGA_BD!$F:$F,$A378,IGA_BD!$W:$W)),"")</f>
        <v/>
      </c>
      <c r="R378" s="47" t="str">
        <f>IFERROR(1-SUMIF(Grid_BD!$F:$F,$A378,Grid_BD!$Y:$Y)/($AA378+SUMIF(Grid_BD!$F:$F,$A378,Grid_BD!$Y:$Y)),"")</f>
        <v/>
      </c>
      <c r="S378" s="10"/>
      <c r="T378" s="310"/>
      <c r="U378" s="311"/>
      <c r="V378" s="10"/>
      <c r="W378" s="312" t="str">
        <f t="shared" si="32"/>
        <v/>
      </c>
      <c r="X378" s="10" t="str">
        <f>IFERROR(_xlfn.XLOOKUP($A378,Input_Raw!$E:$E,Input_Raw!BG:BG),"")</f>
        <v/>
      </c>
      <c r="Y378" s="10" t="str">
        <f>IFERROR(_xlfn.XLOOKUP($A378,Input_Raw!$E:$E,Input_Raw!DF:DF),"")</f>
        <v/>
      </c>
      <c r="Z378" s="319" t="str">
        <f>IFERROR(_xlfn.XLOOKUP(A378,Input_Raw!E:E,Input_Raw!CT:CT)/_xlfn.XLOOKUP(A378,Input_Raw!E:E,Input_Raw!CS:CS)*Table13[[#This Row],[Mtr_Export (kWh)]],"")</f>
        <v/>
      </c>
      <c r="AA378" s="43" t="str">
        <f t="shared" si="33"/>
        <v/>
      </c>
      <c r="AB378" s="10" t="str">
        <f>IFERROR(_xlfn.XLOOKUP($A378,Input_Raw!$E:$E,Input_Raw!$CZ:$CZ),"")</f>
        <v/>
      </c>
      <c r="AC378" s="313" t="str">
        <f>IFERROR(_xlfn.XLOOKUP($D378,'Modelling New'!$D:$D,'Modelling New'!$J:$J),"")</f>
        <v/>
      </c>
      <c r="AD378" s="43" t="str">
        <f>IFERROR(_xlfn.XLOOKUP($D378,'Modelling New'!$D:$D,'Modelling New'!$T:$T)*1000,"")</f>
        <v/>
      </c>
      <c r="AE378" s="312"/>
      <c r="AF378" s="312" t="str">
        <f>IFERROR(_xlfn.XLOOKUP($D378,'Modelling New'!$D:$D,'Modelling New'!$W:$W),"")</f>
        <v/>
      </c>
      <c r="AG378" s="312" t="str">
        <f>IFERROR(_xlfn.XLOOKUP($D378,'Modelling New'!$D:$D,'Modelling New'!$AE:$AE),"")</f>
        <v/>
      </c>
      <c r="AH378" s="312" t="str">
        <f>IFERROR(_xlfn.XLOOKUP($D378,'Modelling New'!$D:$D,'Modelling New'!$AF:$AF),"")</f>
        <v/>
      </c>
      <c r="AI378" s="10" t="str">
        <f>IFERROR(_xlfn.XLOOKUP($A378,Input_Raw!$E:$E,Input_Raw!$DG:$DG),"")</f>
        <v/>
      </c>
      <c r="AJ378" s="10"/>
      <c r="AK378" s="10"/>
      <c r="AL378" s="10"/>
      <c r="AM378" s="10"/>
      <c r="AN378" s="314" t="str">
        <f>IFERROR(_xlfn.XLOOKUP($A378,Input_Raw!$E:$E,Input_Raw!$CY:$CY),"")</f>
        <v/>
      </c>
      <c r="AO378" s="312" t="str">
        <f>IFERROR((_xlfn.XLOOKUP($A378,'WTG Reactive Power'!$A:$A,'WTG Reactive Power'!AB:AB))/X378,"")</f>
        <v/>
      </c>
      <c r="AP378" s="312" t="str">
        <f>IFERROR(_xlfn.XLOOKUP($D378,'Modelling New'!$D:$D,'Modelling New'!AK:AK),"")</f>
        <v/>
      </c>
      <c r="AQ378" s="312" t="str">
        <f>IFERROR(_xlfn.XLOOKUP($D378,'Modelling New'!$D:$D,'Modelling New'!AL:AL),"")</f>
        <v/>
      </c>
      <c r="AR378" s="325" t="str">
        <f>IFERROR(_xlfn.XLOOKUP($D378,'Modelling New'!$D:$D,'Modelling New'!$N:$N),"")</f>
        <v/>
      </c>
      <c r="AS378" s="325"/>
    </row>
    <row r="379" spans="1:45">
      <c r="A379" s="32">
        <f t="shared" si="34"/>
        <v>46122</v>
      </c>
      <c r="B379" s="43">
        <f>YEAR(Table13[[#This Row],[Date]])+IF(MONTH(Table13[[#This Row],[Date]])&gt;=4,1,0)</f>
        <v>2027</v>
      </c>
      <c r="C379" s="10">
        <f>YEAR(Table13[[#This Row],[Date]])</f>
        <v>2026</v>
      </c>
      <c r="D379" s="309">
        <f>Table13[[#This Row],[Date]]-DAY(Table13[[#This Row],[Date]])+1</f>
        <v>46113</v>
      </c>
      <c r="E379" s="10">
        <f t="shared" si="30"/>
        <v>30</v>
      </c>
      <c r="F379" s="241" t="str">
        <f>IFERROR(_xlfn.XLOOKUP($A379,Input_Raw!$E:$E,Input_Raw!DC:DC),"")</f>
        <v/>
      </c>
      <c r="G379" s="242"/>
      <c r="H379" s="242"/>
      <c r="I379" s="242"/>
      <c r="J379" s="242"/>
      <c r="K379" s="243"/>
      <c r="L379" s="242"/>
      <c r="M379" s="242" t="str">
        <f>IFERROR(_xlfn.XLOOKUP($A379,Input_Raw!$E:$E,Input_Raw!$BM:$BM),"")</f>
        <v/>
      </c>
      <c r="N379" s="242" t="str">
        <f>IFERROR(_xlfn.XLOOKUP($A379,Input_Raw!$E:$E,Input_Raw!$BN:$BN),"")</f>
        <v/>
      </c>
      <c r="O379" s="311" t="str">
        <f t="shared" si="31"/>
        <v/>
      </c>
      <c r="P379" s="311" t="str">
        <f>IFERROR(1-SUMIF(WTG_BD!$F:$F,$A379,WTG_BD!$AA:$AA)/($AA379+SUMIF(WTG_BD!$F:$F,$A379,WTG_BD!$AA:$AA)),"")</f>
        <v/>
      </c>
      <c r="Q379" s="328" t="str">
        <f>IFERROR(1-SUMIF(IGA_BD!$F:$F,$A379,IGA_BD!$W:$W)/($AA379+SUMIF(IGA_BD!$F:$F,$A379,IGA_BD!$W:$W)),"")</f>
        <v/>
      </c>
      <c r="R379" s="311" t="str">
        <f>IFERROR(1-SUMIF(Grid_BD!$F:$F,$A379,Grid_BD!$Y:$Y)/($AA379+SUMIF(Grid_BD!$F:$F,$A379,Grid_BD!$Y:$Y)),"")</f>
        <v/>
      </c>
      <c r="S379" s="10"/>
      <c r="T379" s="310"/>
      <c r="U379" s="311"/>
      <c r="V379" s="10"/>
      <c r="W379" s="312" t="str">
        <f t="shared" si="32"/>
        <v/>
      </c>
      <c r="X379" s="10" t="str">
        <f>IFERROR(_xlfn.XLOOKUP($A379,Input_Raw!$E:$E,Input_Raw!BG:BG),"")</f>
        <v/>
      </c>
      <c r="Y379" s="10" t="str">
        <f>IFERROR(_xlfn.XLOOKUP($A379,Input_Raw!$E:$E,Input_Raw!DF:DF),"")</f>
        <v/>
      </c>
      <c r="Z379" s="319" t="str">
        <f>IFERROR(_xlfn.XLOOKUP(A379,Input_Raw!E:E,Input_Raw!CT:CT)/_xlfn.XLOOKUP(A379,Input_Raw!E:E,Input_Raw!CS:CS)*Table13[[#This Row],[Mtr_Export (kWh)]],"")</f>
        <v/>
      </c>
      <c r="AA379" s="43" t="str">
        <f t="shared" si="33"/>
        <v/>
      </c>
      <c r="AB379" s="10" t="str">
        <f>IFERROR(_xlfn.XLOOKUP($A379,Input_Raw!$E:$E,Input_Raw!$CZ:$CZ),"")</f>
        <v/>
      </c>
      <c r="AC379" s="313" t="str">
        <f>IFERROR(_xlfn.XLOOKUP($D379,'Modelling New'!$D:$D,'Modelling New'!$J:$J),"")</f>
        <v/>
      </c>
      <c r="AD379" s="43" t="str">
        <f>IFERROR(_xlfn.XLOOKUP($D379,'Modelling New'!$D:$D,'Modelling New'!$T:$T)*1000,"")</f>
        <v/>
      </c>
      <c r="AE379" s="312"/>
      <c r="AF379" s="312" t="str">
        <f>IFERROR(_xlfn.XLOOKUP($D379,'Modelling New'!$D:$D,'Modelling New'!$W:$W),"")</f>
        <v/>
      </c>
      <c r="AG379" s="312" t="str">
        <f>IFERROR(_xlfn.XLOOKUP($D379,'Modelling New'!$D:$D,'Modelling New'!$AE:$AE),"")</f>
        <v/>
      </c>
      <c r="AH379" s="312" t="str">
        <f>IFERROR(_xlfn.XLOOKUP($D379,'Modelling New'!$D:$D,'Modelling New'!$AF:$AF),"")</f>
        <v/>
      </c>
      <c r="AI379" s="10" t="str">
        <f>IFERROR(_xlfn.XLOOKUP($A379,Input_Raw!$E:$E,Input_Raw!$DG:$DG),"")</f>
        <v/>
      </c>
      <c r="AJ379" s="10"/>
      <c r="AK379" s="10"/>
      <c r="AL379" s="10"/>
      <c r="AM379" s="10"/>
      <c r="AN379" s="314" t="str">
        <f>IFERROR(_xlfn.XLOOKUP($A379,Input_Raw!$E:$E,Input_Raw!$CY:$CY),"")</f>
        <v/>
      </c>
      <c r="AO379" s="312" t="str">
        <f>IFERROR((_xlfn.XLOOKUP($A379,'WTG Reactive Power'!$A:$A,'WTG Reactive Power'!AB:AB))/X379,"")</f>
        <v/>
      </c>
      <c r="AP379" s="312" t="str">
        <f>IFERROR(_xlfn.XLOOKUP($D379,'Modelling New'!$D:$D,'Modelling New'!AK:AK),"")</f>
        <v/>
      </c>
      <c r="AQ379" s="312" t="str">
        <f>IFERROR(_xlfn.XLOOKUP($D379,'Modelling New'!$D:$D,'Modelling New'!AL:AL),"")</f>
        <v/>
      </c>
      <c r="AR379" s="325" t="str">
        <f>IFERROR(_xlfn.XLOOKUP($D379,'Modelling New'!$D:$D,'Modelling New'!$N:$N),"")</f>
        <v/>
      </c>
      <c r="AS379" s="325"/>
    </row>
    <row r="380" spans="1:45">
      <c r="A380" s="32">
        <f t="shared" si="34"/>
        <v>46123</v>
      </c>
      <c r="B380" s="43">
        <f>YEAR(Table13[[#This Row],[Date]])+IF(MONTH(Table13[[#This Row],[Date]])&gt;=4,1,0)</f>
        <v>2027</v>
      </c>
      <c r="C380" s="10">
        <f>YEAR(Table13[[#This Row],[Date]])</f>
        <v>2026</v>
      </c>
      <c r="D380" s="309">
        <f>Table13[[#This Row],[Date]]-DAY(Table13[[#This Row],[Date]])+1</f>
        <v>46113</v>
      </c>
      <c r="E380" s="10">
        <f t="shared" si="30"/>
        <v>30</v>
      </c>
      <c r="F380" s="241" t="str">
        <f>IFERROR(_xlfn.XLOOKUP($A380,Input_Raw!$E:$E,Input_Raw!DC:DC),"")</f>
        <v/>
      </c>
      <c r="G380" s="313"/>
      <c r="H380" s="313"/>
      <c r="I380" s="313"/>
      <c r="J380" s="313"/>
      <c r="K380" s="243"/>
      <c r="L380" s="242"/>
      <c r="M380" s="242" t="str">
        <f>IFERROR(_xlfn.XLOOKUP($A380,Input_Raw!$E:$E,Input_Raw!$BM:$BM),"")</f>
        <v/>
      </c>
      <c r="N380" s="242" t="str">
        <f>IFERROR(_xlfn.XLOOKUP($A380,Input_Raw!$E:$E,Input_Raw!$BN:$BN),"")</f>
        <v/>
      </c>
      <c r="O380" s="311" t="str">
        <f t="shared" si="31"/>
        <v/>
      </c>
      <c r="P380" s="311" t="str">
        <f>IFERROR(1-SUMIF(WTG_BD!$F:$F,$A380,WTG_BD!$AA:$AA)/($AA380+SUMIF(WTG_BD!$F:$F,$A380,WTG_BD!$AA:$AA)),"")</f>
        <v/>
      </c>
      <c r="Q380" s="328" t="str">
        <f>IFERROR(1-SUMIF(IGA_BD!$F:$F,$A380,IGA_BD!$W:$W)/($AA380+SUMIF(IGA_BD!$F:$F,$A380,IGA_BD!$W:$W)),"")</f>
        <v/>
      </c>
      <c r="R380" s="47" t="str">
        <f>IFERROR(1-SUMIF(Grid_BD!$F:$F,$A380,Grid_BD!$Y:$Y)/($AA380+SUMIF(Grid_BD!$F:$F,$A380,Grid_BD!$Y:$Y)),"")</f>
        <v/>
      </c>
      <c r="S380" s="10"/>
      <c r="T380" s="310"/>
      <c r="U380" s="311"/>
      <c r="V380" s="10"/>
      <c r="W380" s="312" t="str">
        <f t="shared" si="32"/>
        <v/>
      </c>
      <c r="X380" s="10" t="str">
        <f>IFERROR(_xlfn.XLOOKUP($A380,Input_Raw!$E:$E,Input_Raw!BG:BG),"")</f>
        <v/>
      </c>
      <c r="Y380" s="10" t="str">
        <f>IFERROR(_xlfn.XLOOKUP($A380,Input_Raw!$E:$E,Input_Raw!DF:DF),"")</f>
        <v/>
      </c>
      <c r="Z380" s="319" t="str">
        <f>IFERROR(_xlfn.XLOOKUP(A380,Input_Raw!E:E,Input_Raw!CT:CT)/_xlfn.XLOOKUP(A380,Input_Raw!E:E,Input_Raw!CS:CS)*Table13[[#This Row],[Mtr_Export (kWh)]],"")</f>
        <v/>
      </c>
      <c r="AA380" s="43" t="str">
        <f t="shared" si="33"/>
        <v/>
      </c>
      <c r="AB380" s="10" t="str">
        <f>IFERROR(_xlfn.XLOOKUP($A380,Input_Raw!$E:$E,Input_Raw!$CZ:$CZ),"")</f>
        <v/>
      </c>
      <c r="AC380" s="313" t="str">
        <f>IFERROR(_xlfn.XLOOKUP($D380,'Modelling New'!$D:$D,'Modelling New'!$J:$J),"")</f>
        <v/>
      </c>
      <c r="AD380" s="43" t="str">
        <f>IFERROR(_xlfn.XLOOKUP($D380,'Modelling New'!$D:$D,'Modelling New'!$T:$T)*1000,"")</f>
        <v/>
      </c>
      <c r="AE380" s="312"/>
      <c r="AF380" s="312" t="str">
        <f>IFERROR(_xlfn.XLOOKUP($D380,'Modelling New'!$D:$D,'Modelling New'!$W:$W),"")</f>
        <v/>
      </c>
      <c r="AG380" s="312" t="str">
        <f>IFERROR(_xlfn.XLOOKUP($D380,'Modelling New'!$D:$D,'Modelling New'!$AE:$AE),"")</f>
        <v/>
      </c>
      <c r="AH380" s="312" t="str">
        <f>IFERROR(_xlfn.XLOOKUP($D380,'Modelling New'!$D:$D,'Modelling New'!$AF:$AF),"")</f>
        <v/>
      </c>
      <c r="AI380" s="10" t="str">
        <f>IFERROR(_xlfn.XLOOKUP($A380,Input_Raw!$E:$E,Input_Raw!$DG:$DG),"")</f>
        <v/>
      </c>
      <c r="AJ380" s="10"/>
      <c r="AK380" s="10"/>
      <c r="AL380" s="10"/>
      <c r="AM380" s="10"/>
      <c r="AN380" s="314" t="str">
        <f>IFERROR(_xlfn.XLOOKUP($A380,Input_Raw!$E:$E,Input_Raw!$CY:$CY),"")</f>
        <v/>
      </c>
      <c r="AO380" s="312" t="str">
        <f>IFERROR((_xlfn.XLOOKUP($A380,'WTG Reactive Power'!$A:$A,'WTG Reactive Power'!AB:AB))/X380,"")</f>
        <v/>
      </c>
      <c r="AP380" s="312" t="str">
        <f>IFERROR(_xlfn.XLOOKUP($D380,'Modelling New'!$D:$D,'Modelling New'!AK:AK),"")</f>
        <v/>
      </c>
      <c r="AQ380" s="312" t="str">
        <f>IFERROR(_xlfn.XLOOKUP($D380,'Modelling New'!$D:$D,'Modelling New'!AL:AL),"")</f>
        <v/>
      </c>
      <c r="AR380" s="325" t="str">
        <f>IFERROR(_xlfn.XLOOKUP($D380,'Modelling New'!$D:$D,'Modelling New'!$N:$N),"")</f>
        <v/>
      </c>
      <c r="AS380" s="325"/>
    </row>
    <row r="381" spans="1:45">
      <c r="A381" s="32">
        <f t="shared" si="34"/>
        <v>46124</v>
      </c>
      <c r="B381" s="43">
        <f>YEAR(Table13[[#This Row],[Date]])+IF(MONTH(Table13[[#This Row],[Date]])&gt;=4,1,0)</f>
        <v>2027</v>
      </c>
      <c r="C381" s="10">
        <f>YEAR(Table13[[#This Row],[Date]])</f>
        <v>2026</v>
      </c>
      <c r="D381" s="309">
        <f>Table13[[#This Row],[Date]]-DAY(Table13[[#This Row],[Date]])+1</f>
        <v>46113</v>
      </c>
      <c r="E381" s="10">
        <f t="shared" si="30"/>
        <v>30</v>
      </c>
      <c r="F381" s="241" t="str">
        <f>IFERROR(_xlfn.XLOOKUP($A381,Input_Raw!$E:$E,Input_Raw!DC:DC),"")</f>
        <v/>
      </c>
      <c r="G381" s="242"/>
      <c r="H381" s="242"/>
      <c r="I381" s="242"/>
      <c r="J381" s="242"/>
      <c r="K381" s="243"/>
      <c r="L381" s="242"/>
      <c r="M381" s="242" t="str">
        <f>IFERROR(_xlfn.XLOOKUP($A381,Input_Raw!$E:$E,Input_Raw!$BM:$BM),"")</f>
        <v/>
      </c>
      <c r="N381" s="242" t="str">
        <f>IFERROR(_xlfn.XLOOKUP($A381,Input_Raw!$E:$E,Input_Raw!$BN:$BN),"")</f>
        <v/>
      </c>
      <c r="O381" s="311" t="str">
        <f t="shared" si="31"/>
        <v/>
      </c>
      <c r="P381" s="311" t="str">
        <f>IFERROR(1-SUMIF(WTG_BD!$F:$F,$A381,WTG_BD!$AA:$AA)/($AA381+SUMIF(WTG_BD!$F:$F,$A381,WTG_BD!$AA:$AA)),"")</f>
        <v/>
      </c>
      <c r="Q381" s="328" t="str">
        <f>IFERROR(1-SUMIF(IGA_BD!$F:$F,$A381,IGA_BD!$W:$W)/($AA381+SUMIF(IGA_BD!$F:$F,$A381,IGA_BD!$W:$W)),"")</f>
        <v/>
      </c>
      <c r="R381" s="311" t="str">
        <f>IFERROR(1-SUMIF(Grid_BD!$F:$F,$A381,Grid_BD!$Y:$Y)/($AA381+SUMIF(Grid_BD!$F:$F,$A381,Grid_BD!$Y:$Y)),"")</f>
        <v/>
      </c>
      <c r="S381" s="10"/>
      <c r="T381" s="310"/>
      <c r="U381" s="311"/>
      <c r="V381" s="10"/>
      <c r="W381" s="312" t="str">
        <f t="shared" si="32"/>
        <v/>
      </c>
      <c r="X381" s="10" t="str">
        <f>IFERROR(_xlfn.XLOOKUP($A381,Input_Raw!$E:$E,Input_Raw!BG:BG),"")</f>
        <v/>
      </c>
      <c r="Y381" s="10" t="str">
        <f>IFERROR(_xlfn.XLOOKUP($A381,Input_Raw!$E:$E,Input_Raw!DF:DF),"")</f>
        <v/>
      </c>
      <c r="Z381" s="319" t="str">
        <f>IFERROR(_xlfn.XLOOKUP(A381,Input_Raw!E:E,Input_Raw!CT:CT)/_xlfn.XLOOKUP(A381,Input_Raw!E:E,Input_Raw!CS:CS)*Table13[[#This Row],[Mtr_Export (kWh)]],"")</f>
        <v/>
      </c>
      <c r="AA381" s="43" t="str">
        <f t="shared" si="33"/>
        <v/>
      </c>
      <c r="AB381" s="10" t="str">
        <f>IFERROR(_xlfn.XLOOKUP($A381,Input_Raw!$E:$E,Input_Raw!$CZ:$CZ),"")</f>
        <v/>
      </c>
      <c r="AC381" s="313" t="str">
        <f>IFERROR(_xlfn.XLOOKUP($D381,'Modelling New'!$D:$D,'Modelling New'!$J:$J),"")</f>
        <v/>
      </c>
      <c r="AD381" s="43" t="str">
        <f>IFERROR(_xlfn.XLOOKUP($D381,'Modelling New'!$D:$D,'Modelling New'!$T:$T)*1000,"")</f>
        <v/>
      </c>
      <c r="AE381" s="312"/>
      <c r="AF381" s="312" t="str">
        <f>IFERROR(_xlfn.XLOOKUP($D381,'Modelling New'!$D:$D,'Modelling New'!$W:$W),"")</f>
        <v/>
      </c>
      <c r="AG381" s="312" t="str">
        <f>IFERROR(_xlfn.XLOOKUP($D381,'Modelling New'!$D:$D,'Modelling New'!$AE:$AE),"")</f>
        <v/>
      </c>
      <c r="AH381" s="312" t="str">
        <f>IFERROR(_xlfn.XLOOKUP($D381,'Modelling New'!$D:$D,'Modelling New'!$AF:$AF),"")</f>
        <v/>
      </c>
      <c r="AI381" s="10" t="str">
        <f>IFERROR(_xlfn.XLOOKUP($A381,Input_Raw!$E:$E,Input_Raw!$DG:$DG),"")</f>
        <v/>
      </c>
      <c r="AJ381" s="10"/>
      <c r="AK381" s="10"/>
      <c r="AL381" s="10"/>
      <c r="AM381" s="10"/>
      <c r="AN381" s="314" t="str">
        <f>IFERROR(_xlfn.XLOOKUP($A381,Input_Raw!$E:$E,Input_Raw!$CY:$CY),"")</f>
        <v/>
      </c>
      <c r="AO381" s="312" t="str">
        <f>IFERROR((_xlfn.XLOOKUP($A381,'WTG Reactive Power'!$A:$A,'WTG Reactive Power'!AB:AB))/X381,"")</f>
        <v/>
      </c>
      <c r="AP381" s="312" t="str">
        <f>IFERROR(_xlfn.XLOOKUP($D381,'Modelling New'!$D:$D,'Modelling New'!AK:AK),"")</f>
        <v/>
      </c>
      <c r="AQ381" s="312" t="str">
        <f>IFERROR(_xlfn.XLOOKUP($D381,'Modelling New'!$D:$D,'Modelling New'!AL:AL),"")</f>
        <v/>
      </c>
      <c r="AR381" s="325" t="str">
        <f>IFERROR(_xlfn.XLOOKUP($D381,'Modelling New'!$D:$D,'Modelling New'!$N:$N),"")</f>
        <v/>
      </c>
      <c r="AS381" s="325"/>
    </row>
    <row r="382" spans="1:45">
      <c r="A382" s="32">
        <f t="shared" si="34"/>
        <v>46125</v>
      </c>
      <c r="B382" s="43">
        <f>YEAR(Table13[[#This Row],[Date]])+IF(MONTH(Table13[[#This Row],[Date]])&gt;=4,1,0)</f>
        <v>2027</v>
      </c>
      <c r="C382" s="10">
        <f>YEAR(Table13[[#This Row],[Date]])</f>
        <v>2026</v>
      </c>
      <c r="D382" s="309">
        <f>Table13[[#This Row],[Date]]-DAY(Table13[[#This Row],[Date]])+1</f>
        <v>46113</v>
      </c>
      <c r="E382" s="10">
        <f t="shared" si="30"/>
        <v>30</v>
      </c>
      <c r="F382" s="241" t="str">
        <f>IFERROR(_xlfn.XLOOKUP($A382,Input_Raw!$E:$E,Input_Raw!DC:DC),"")</f>
        <v/>
      </c>
      <c r="G382" s="313"/>
      <c r="H382" s="313"/>
      <c r="I382" s="313"/>
      <c r="J382" s="313"/>
      <c r="K382" s="243"/>
      <c r="L382" s="242"/>
      <c r="M382" s="242" t="str">
        <f>IFERROR(_xlfn.XLOOKUP($A382,Input_Raw!$E:$E,Input_Raw!$BM:$BM),"")</f>
        <v/>
      </c>
      <c r="N382" s="242" t="str">
        <f>IFERROR(_xlfn.XLOOKUP($A382,Input_Raw!$E:$E,Input_Raw!$BN:$BN),"")</f>
        <v/>
      </c>
      <c r="O382" s="311" t="str">
        <f t="shared" si="31"/>
        <v/>
      </c>
      <c r="P382" s="311" t="str">
        <f>IFERROR(1-SUMIF(WTG_BD!$F:$F,$A382,WTG_BD!$AA:$AA)/($AA382+SUMIF(WTG_BD!$F:$F,$A382,WTG_BD!$AA:$AA)),"")</f>
        <v/>
      </c>
      <c r="Q382" s="328" t="str">
        <f>IFERROR(1-SUMIF(IGA_BD!$F:$F,$A382,IGA_BD!$W:$W)/($AA382+SUMIF(IGA_BD!$F:$F,$A382,IGA_BD!$W:$W)),"")</f>
        <v/>
      </c>
      <c r="R382" s="47" t="str">
        <f>IFERROR(1-SUMIF(Grid_BD!$F:$F,$A382,Grid_BD!$Y:$Y)/($AA382+SUMIF(Grid_BD!$F:$F,$A382,Grid_BD!$Y:$Y)),"")</f>
        <v/>
      </c>
      <c r="S382" s="10"/>
      <c r="T382" s="310"/>
      <c r="U382" s="311"/>
      <c r="V382" s="10"/>
      <c r="W382" s="312" t="str">
        <f t="shared" si="32"/>
        <v/>
      </c>
      <c r="X382" s="10" t="str">
        <f>IFERROR(_xlfn.XLOOKUP($A382,Input_Raw!$E:$E,Input_Raw!BG:BG),"")</f>
        <v/>
      </c>
      <c r="Y382" s="10" t="str">
        <f>IFERROR(_xlfn.XLOOKUP($A382,Input_Raw!$E:$E,Input_Raw!DF:DF),"")</f>
        <v/>
      </c>
      <c r="Z382" s="319" t="str">
        <f>IFERROR(_xlfn.XLOOKUP(A382,Input_Raw!E:E,Input_Raw!CT:CT)/_xlfn.XLOOKUP(A382,Input_Raw!E:E,Input_Raw!CS:CS)*Table13[[#This Row],[Mtr_Export (kWh)]],"")</f>
        <v/>
      </c>
      <c r="AA382" s="43" t="str">
        <f t="shared" si="33"/>
        <v/>
      </c>
      <c r="AB382" s="10" t="str">
        <f>IFERROR(_xlfn.XLOOKUP($A382,Input_Raw!$E:$E,Input_Raw!$CZ:$CZ),"")</f>
        <v/>
      </c>
      <c r="AC382" s="313" t="str">
        <f>IFERROR(_xlfn.XLOOKUP($D382,'Modelling New'!$D:$D,'Modelling New'!$J:$J),"")</f>
        <v/>
      </c>
      <c r="AD382" s="43" t="str">
        <f>IFERROR(_xlfn.XLOOKUP($D382,'Modelling New'!$D:$D,'Modelling New'!$T:$T)*1000,"")</f>
        <v/>
      </c>
      <c r="AE382" s="312"/>
      <c r="AF382" s="312" t="str">
        <f>IFERROR(_xlfn.XLOOKUP($D382,'Modelling New'!$D:$D,'Modelling New'!$W:$W),"")</f>
        <v/>
      </c>
      <c r="AG382" s="312" t="str">
        <f>IFERROR(_xlfn.XLOOKUP($D382,'Modelling New'!$D:$D,'Modelling New'!$AE:$AE),"")</f>
        <v/>
      </c>
      <c r="AH382" s="312" t="str">
        <f>IFERROR(_xlfn.XLOOKUP($D382,'Modelling New'!$D:$D,'Modelling New'!$AF:$AF),"")</f>
        <v/>
      </c>
      <c r="AI382" s="10" t="str">
        <f>IFERROR(_xlfn.XLOOKUP($A382,Input_Raw!$E:$E,Input_Raw!$DG:$DG),"")</f>
        <v/>
      </c>
      <c r="AJ382" s="10"/>
      <c r="AK382" s="10"/>
      <c r="AL382" s="10"/>
      <c r="AM382" s="10"/>
      <c r="AN382" s="314" t="str">
        <f>IFERROR(_xlfn.XLOOKUP($A382,Input_Raw!$E:$E,Input_Raw!$CY:$CY),"")</f>
        <v/>
      </c>
      <c r="AO382" s="312" t="str">
        <f>IFERROR((_xlfn.XLOOKUP($A382,'WTG Reactive Power'!$A:$A,'WTG Reactive Power'!AB:AB))/X382,"")</f>
        <v/>
      </c>
      <c r="AP382" s="312" t="str">
        <f>IFERROR(_xlfn.XLOOKUP($D382,'Modelling New'!$D:$D,'Modelling New'!AK:AK),"")</f>
        <v/>
      </c>
      <c r="AQ382" s="312" t="str">
        <f>IFERROR(_xlfn.XLOOKUP($D382,'Modelling New'!$D:$D,'Modelling New'!AL:AL),"")</f>
        <v/>
      </c>
      <c r="AR382" s="325" t="str">
        <f>IFERROR(_xlfn.XLOOKUP($D382,'Modelling New'!$D:$D,'Modelling New'!$N:$N),"")</f>
        <v/>
      </c>
      <c r="AS382" s="325"/>
    </row>
    <row r="383" spans="1:45">
      <c r="A383" s="32">
        <f t="shared" si="34"/>
        <v>46126</v>
      </c>
      <c r="B383" s="43">
        <f>YEAR(Table13[[#This Row],[Date]])+IF(MONTH(Table13[[#This Row],[Date]])&gt;=4,1,0)</f>
        <v>2027</v>
      </c>
      <c r="C383" s="10">
        <f>YEAR(Table13[[#This Row],[Date]])</f>
        <v>2026</v>
      </c>
      <c r="D383" s="309">
        <f>Table13[[#This Row],[Date]]-DAY(Table13[[#This Row],[Date]])+1</f>
        <v>46113</v>
      </c>
      <c r="E383" s="10">
        <f t="shared" si="30"/>
        <v>30</v>
      </c>
      <c r="F383" s="241" t="str">
        <f>IFERROR(_xlfn.XLOOKUP($A383,Input_Raw!$E:$E,Input_Raw!DC:DC),"")</f>
        <v/>
      </c>
      <c r="G383" s="242"/>
      <c r="H383" s="242"/>
      <c r="I383" s="242"/>
      <c r="J383" s="242"/>
      <c r="K383" s="243"/>
      <c r="L383" s="242"/>
      <c r="M383" s="242" t="str">
        <f>IFERROR(_xlfn.XLOOKUP($A383,Input_Raw!$E:$E,Input_Raw!$BM:$BM),"")</f>
        <v/>
      </c>
      <c r="N383" s="242" t="str">
        <f>IFERROR(_xlfn.XLOOKUP($A383,Input_Raw!$E:$E,Input_Raw!$BN:$BN),"")</f>
        <v/>
      </c>
      <c r="O383" s="311" t="str">
        <f t="shared" si="31"/>
        <v/>
      </c>
      <c r="P383" s="311" t="str">
        <f>IFERROR(1-SUMIF(WTG_BD!$F:$F,$A383,WTG_BD!$AA:$AA)/($AA383+SUMIF(WTG_BD!$F:$F,$A383,WTG_BD!$AA:$AA)),"")</f>
        <v/>
      </c>
      <c r="Q383" s="328" t="str">
        <f>IFERROR(1-SUMIF(IGA_BD!$F:$F,$A383,IGA_BD!$W:$W)/($AA383+SUMIF(IGA_BD!$F:$F,$A383,IGA_BD!$W:$W)),"")</f>
        <v/>
      </c>
      <c r="R383" s="311" t="str">
        <f>IFERROR(1-SUMIF(Grid_BD!$F:$F,$A383,Grid_BD!$Y:$Y)/($AA383+SUMIF(Grid_BD!$F:$F,$A383,Grid_BD!$Y:$Y)),"")</f>
        <v/>
      </c>
      <c r="S383" s="10"/>
      <c r="T383" s="310"/>
      <c r="U383" s="311"/>
      <c r="V383" s="10"/>
      <c r="W383" s="312" t="str">
        <f t="shared" si="32"/>
        <v/>
      </c>
      <c r="X383" s="10" t="str">
        <f>IFERROR(_xlfn.XLOOKUP($A383,Input_Raw!$E:$E,Input_Raw!BG:BG),"")</f>
        <v/>
      </c>
      <c r="Y383" s="10" t="str">
        <f>IFERROR(_xlfn.XLOOKUP($A383,Input_Raw!$E:$E,Input_Raw!DF:DF),"")</f>
        <v/>
      </c>
      <c r="Z383" s="319" t="str">
        <f>IFERROR(_xlfn.XLOOKUP(A383,Input_Raw!E:E,Input_Raw!CT:CT)/_xlfn.XLOOKUP(A383,Input_Raw!E:E,Input_Raw!CS:CS)*Table13[[#This Row],[Mtr_Export (kWh)]],"")</f>
        <v/>
      </c>
      <c r="AA383" s="43" t="str">
        <f t="shared" si="33"/>
        <v/>
      </c>
      <c r="AB383" s="10" t="str">
        <f>IFERROR(_xlfn.XLOOKUP($A383,Input_Raw!$E:$E,Input_Raw!$CZ:$CZ),"")</f>
        <v/>
      </c>
      <c r="AC383" s="313" t="str">
        <f>IFERROR(_xlfn.XLOOKUP($D383,'Modelling New'!$D:$D,'Modelling New'!$J:$J),"")</f>
        <v/>
      </c>
      <c r="AD383" s="43" t="str">
        <f>IFERROR(_xlfn.XLOOKUP($D383,'Modelling New'!$D:$D,'Modelling New'!$T:$T)*1000,"")</f>
        <v/>
      </c>
      <c r="AE383" s="312"/>
      <c r="AF383" s="312" t="str">
        <f>IFERROR(_xlfn.XLOOKUP($D383,'Modelling New'!$D:$D,'Modelling New'!$W:$W),"")</f>
        <v/>
      </c>
      <c r="AG383" s="312" t="str">
        <f>IFERROR(_xlfn.XLOOKUP($D383,'Modelling New'!$D:$D,'Modelling New'!$AE:$AE),"")</f>
        <v/>
      </c>
      <c r="AH383" s="312" t="str">
        <f>IFERROR(_xlfn.XLOOKUP($D383,'Modelling New'!$D:$D,'Modelling New'!$AF:$AF),"")</f>
        <v/>
      </c>
      <c r="AI383" s="10" t="str">
        <f>IFERROR(_xlfn.XLOOKUP($A383,Input_Raw!$E:$E,Input_Raw!$DG:$DG),"")</f>
        <v/>
      </c>
      <c r="AJ383" s="10"/>
      <c r="AK383" s="10"/>
      <c r="AL383" s="10"/>
      <c r="AM383" s="10"/>
      <c r="AN383" s="314" t="str">
        <f>IFERROR(_xlfn.XLOOKUP($A383,Input_Raw!$E:$E,Input_Raw!$CY:$CY),"")</f>
        <v/>
      </c>
      <c r="AO383" s="312" t="str">
        <f>IFERROR((_xlfn.XLOOKUP($A383,'WTG Reactive Power'!$A:$A,'WTG Reactive Power'!AB:AB))/X383,"")</f>
        <v/>
      </c>
      <c r="AP383" s="312" t="str">
        <f>IFERROR(_xlfn.XLOOKUP($D383,'Modelling New'!$D:$D,'Modelling New'!AK:AK),"")</f>
        <v/>
      </c>
      <c r="AQ383" s="312" t="str">
        <f>IFERROR(_xlfn.XLOOKUP($D383,'Modelling New'!$D:$D,'Modelling New'!AL:AL),"")</f>
        <v/>
      </c>
      <c r="AR383" s="325" t="str">
        <f>IFERROR(_xlfn.XLOOKUP($D383,'Modelling New'!$D:$D,'Modelling New'!$N:$N),"")</f>
        <v/>
      </c>
      <c r="AS383" s="325"/>
    </row>
    <row r="384" spans="1:45">
      <c r="A384" s="32">
        <f t="shared" si="34"/>
        <v>46127</v>
      </c>
      <c r="B384" s="43">
        <f>YEAR(Table13[[#This Row],[Date]])+IF(MONTH(Table13[[#This Row],[Date]])&gt;=4,1,0)</f>
        <v>2027</v>
      </c>
      <c r="C384" s="10">
        <f>YEAR(Table13[[#This Row],[Date]])</f>
        <v>2026</v>
      </c>
      <c r="D384" s="309">
        <f>Table13[[#This Row],[Date]]-DAY(Table13[[#This Row],[Date]])+1</f>
        <v>46113</v>
      </c>
      <c r="E384" s="10">
        <f t="shared" si="30"/>
        <v>30</v>
      </c>
      <c r="F384" s="241" t="str">
        <f>IFERROR(_xlfn.XLOOKUP($A384,Input_Raw!$E:$E,Input_Raw!DC:DC),"")</f>
        <v/>
      </c>
      <c r="G384" s="313"/>
      <c r="H384" s="313"/>
      <c r="I384" s="313"/>
      <c r="J384" s="313"/>
      <c r="K384" s="243"/>
      <c r="L384" s="242"/>
      <c r="M384" s="242" t="str">
        <f>IFERROR(_xlfn.XLOOKUP($A384,Input_Raw!$E:$E,Input_Raw!$BM:$BM),"")</f>
        <v/>
      </c>
      <c r="N384" s="242" t="str">
        <f>IFERROR(_xlfn.XLOOKUP($A384,Input_Raw!$E:$E,Input_Raw!$BN:$BN),"")</f>
        <v/>
      </c>
      <c r="O384" s="311" t="str">
        <f t="shared" si="31"/>
        <v/>
      </c>
      <c r="P384" s="311" t="str">
        <f>IFERROR(1-SUMIF(WTG_BD!$F:$F,$A384,WTG_BD!$AA:$AA)/($AA384+SUMIF(WTG_BD!$F:$F,$A384,WTG_BD!$AA:$AA)),"")</f>
        <v/>
      </c>
      <c r="Q384" s="328" t="str">
        <f>IFERROR(1-SUMIF(IGA_BD!$F:$F,$A384,IGA_BD!$W:$W)/($AA384+SUMIF(IGA_BD!$F:$F,$A384,IGA_BD!$W:$W)),"")</f>
        <v/>
      </c>
      <c r="R384" s="47" t="str">
        <f>IFERROR(1-SUMIF(Grid_BD!$F:$F,$A384,Grid_BD!$Y:$Y)/($AA384+SUMIF(Grid_BD!$F:$F,$A384,Grid_BD!$Y:$Y)),"")</f>
        <v/>
      </c>
      <c r="S384" s="10"/>
      <c r="T384" s="310"/>
      <c r="U384" s="311"/>
      <c r="V384" s="10"/>
      <c r="W384" s="312" t="str">
        <f t="shared" si="32"/>
        <v/>
      </c>
      <c r="X384" s="10" t="str">
        <f>IFERROR(_xlfn.XLOOKUP($A384,Input_Raw!$E:$E,Input_Raw!BG:BG),"")</f>
        <v/>
      </c>
      <c r="Y384" s="10" t="str">
        <f>IFERROR(_xlfn.XLOOKUP($A384,Input_Raw!$E:$E,Input_Raw!DF:DF),"")</f>
        <v/>
      </c>
      <c r="Z384" s="319" t="str">
        <f>IFERROR(_xlfn.XLOOKUP(A384,Input_Raw!E:E,Input_Raw!CT:CT)/_xlfn.XLOOKUP(A384,Input_Raw!E:E,Input_Raw!CS:CS)*Table13[[#This Row],[Mtr_Export (kWh)]],"")</f>
        <v/>
      </c>
      <c r="AA384" s="43" t="str">
        <f t="shared" si="33"/>
        <v/>
      </c>
      <c r="AB384" s="10" t="str">
        <f>IFERROR(_xlfn.XLOOKUP($A384,Input_Raw!$E:$E,Input_Raw!$CZ:$CZ),"")</f>
        <v/>
      </c>
      <c r="AC384" s="313" t="str">
        <f>IFERROR(_xlfn.XLOOKUP($D384,'Modelling New'!$D:$D,'Modelling New'!$J:$J),"")</f>
        <v/>
      </c>
      <c r="AD384" s="43" t="str">
        <f>IFERROR(_xlfn.XLOOKUP($D384,'Modelling New'!$D:$D,'Modelling New'!$T:$T)*1000,"")</f>
        <v/>
      </c>
      <c r="AE384" s="312"/>
      <c r="AF384" s="312" t="str">
        <f>IFERROR(_xlfn.XLOOKUP($D384,'Modelling New'!$D:$D,'Modelling New'!$W:$W),"")</f>
        <v/>
      </c>
      <c r="AG384" s="312" t="str">
        <f>IFERROR(_xlfn.XLOOKUP($D384,'Modelling New'!$D:$D,'Modelling New'!$AE:$AE),"")</f>
        <v/>
      </c>
      <c r="AH384" s="312" t="str">
        <f>IFERROR(_xlfn.XLOOKUP($D384,'Modelling New'!$D:$D,'Modelling New'!$AF:$AF),"")</f>
        <v/>
      </c>
      <c r="AI384" s="10" t="str">
        <f>IFERROR(_xlfn.XLOOKUP($A384,Input_Raw!$E:$E,Input_Raw!$DG:$DG),"")</f>
        <v/>
      </c>
      <c r="AJ384" s="10"/>
      <c r="AK384" s="10"/>
      <c r="AL384" s="10"/>
      <c r="AM384" s="10"/>
      <c r="AN384" s="314" t="str">
        <f>IFERROR(_xlfn.XLOOKUP($A384,Input_Raw!$E:$E,Input_Raw!$CY:$CY),"")</f>
        <v/>
      </c>
      <c r="AO384" s="312" t="str">
        <f>IFERROR((_xlfn.XLOOKUP($A384,'WTG Reactive Power'!$A:$A,'WTG Reactive Power'!AB:AB))/X384,"")</f>
        <v/>
      </c>
      <c r="AP384" s="312" t="str">
        <f>IFERROR(_xlfn.XLOOKUP($D384,'Modelling New'!$D:$D,'Modelling New'!AK:AK),"")</f>
        <v/>
      </c>
      <c r="AQ384" s="312" t="str">
        <f>IFERROR(_xlfn.XLOOKUP($D384,'Modelling New'!$D:$D,'Modelling New'!AL:AL),"")</f>
        <v/>
      </c>
      <c r="AR384" s="325" t="str">
        <f>IFERROR(_xlfn.XLOOKUP($D384,'Modelling New'!$D:$D,'Modelling New'!$N:$N),"")</f>
        <v/>
      </c>
      <c r="AS384" s="325"/>
    </row>
    <row r="385" spans="1:45">
      <c r="A385" s="32">
        <f t="shared" si="34"/>
        <v>46128</v>
      </c>
      <c r="B385" s="43">
        <f>YEAR(Table13[[#This Row],[Date]])+IF(MONTH(Table13[[#This Row],[Date]])&gt;=4,1,0)</f>
        <v>2027</v>
      </c>
      <c r="C385" s="10">
        <f>YEAR(Table13[[#This Row],[Date]])</f>
        <v>2026</v>
      </c>
      <c r="D385" s="309">
        <f>Table13[[#This Row],[Date]]-DAY(Table13[[#This Row],[Date]])+1</f>
        <v>46113</v>
      </c>
      <c r="E385" s="10">
        <f t="shared" si="30"/>
        <v>30</v>
      </c>
      <c r="F385" s="241" t="str">
        <f>IFERROR(_xlfn.XLOOKUP($A385,Input_Raw!$E:$E,Input_Raw!DC:DC),"")</f>
        <v/>
      </c>
      <c r="G385" s="242"/>
      <c r="H385" s="242"/>
      <c r="I385" s="242"/>
      <c r="J385" s="242"/>
      <c r="K385" s="243"/>
      <c r="L385" s="242"/>
      <c r="M385" s="242" t="str">
        <f>IFERROR(_xlfn.XLOOKUP($A385,Input_Raw!$E:$E,Input_Raw!$BM:$BM),"")</f>
        <v/>
      </c>
      <c r="N385" s="242" t="str">
        <f>IFERROR(_xlfn.XLOOKUP($A385,Input_Raw!$E:$E,Input_Raw!$BN:$BN),"")</f>
        <v/>
      </c>
      <c r="O385" s="311" t="str">
        <f t="shared" si="31"/>
        <v/>
      </c>
      <c r="P385" s="311" t="str">
        <f>IFERROR(1-SUMIF(WTG_BD!$F:$F,$A385,WTG_BD!$AA:$AA)/($AA385+SUMIF(WTG_BD!$F:$F,$A385,WTG_BD!$AA:$AA)),"")</f>
        <v/>
      </c>
      <c r="Q385" s="328" t="str">
        <f>IFERROR(1-SUMIF(IGA_BD!$F:$F,$A385,IGA_BD!$W:$W)/($AA385+SUMIF(IGA_BD!$F:$F,$A385,IGA_BD!$W:$W)),"")</f>
        <v/>
      </c>
      <c r="R385" s="311" t="str">
        <f>IFERROR(1-SUMIF(Grid_BD!$F:$F,$A385,Grid_BD!$Y:$Y)/($AA385+SUMIF(Grid_BD!$F:$F,$A385,Grid_BD!$Y:$Y)),"")</f>
        <v/>
      </c>
      <c r="S385" s="10"/>
      <c r="T385" s="310"/>
      <c r="U385" s="311"/>
      <c r="V385" s="10"/>
      <c r="W385" s="312" t="str">
        <f t="shared" si="32"/>
        <v/>
      </c>
      <c r="X385" s="10" t="str">
        <f>IFERROR(_xlfn.XLOOKUP($A385,Input_Raw!$E:$E,Input_Raw!BG:BG),"")</f>
        <v/>
      </c>
      <c r="Y385" s="10" t="str">
        <f>IFERROR(_xlfn.XLOOKUP($A385,Input_Raw!$E:$E,Input_Raw!DF:DF),"")</f>
        <v/>
      </c>
      <c r="Z385" s="319" t="str">
        <f>IFERROR(_xlfn.XLOOKUP(A385,Input_Raw!E:E,Input_Raw!CT:CT)/_xlfn.XLOOKUP(A385,Input_Raw!E:E,Input_Raw!CS:CS)*Table13[[#This Row],[Mtr_Export (kWh)]],"")</f>
        <v/>
      </c>
      <c r="AA385" s="43" t="str">
        <f t="shared" si="33"/>
        <v/>
      </c>
      <c r="AB385" s="10" t="str">
        <f>IFERROR(_xlfn.XLOOKUP($A385,Input_Raw!$E:$E,Input_Raw!$CZ:$CZ),"")</f>
        <v/>
      </c>
      <c r="AC385" s="313" t="str">
        <f>IFERROR(_xlfn.XLOOKUP($D385,'Modelling New'!$D:$D,'Modelling New'!$J:$J),"")</f>
        <v/>
      </c>
      <c r="AD385" s="43" t="str">
        <f>IFERROR(_xlfn.XLOOKUP($D385,'Modelling New'!$D:$D,'Modelling New'!$T:$T)*1000,"")</f>
        <v/>
      </c>
      <c r="AE385" s="312"/>
      <c r="AF385" s="312" t="str">
        <f>IFERROR(_xlfn.XLOOKUP($D385,'Modelling New'!$D:$D,'Modelling New'!$W:$W),"")</f>
        <v/>
      </c>
      <c r="AG385" s="312" t="str">
        <f>IFERROR(_xlfn.XLOOKUP($D385,'Modelling New'!$D:$D,'Modelling New'!$AE:$AE),"")</f>
        <v/>
      </c>
      <c r="AH385" s="312" t="str">
        <f>IFERROR(_xlfn.XLOOKUP($D385,'Modelling New'!$D:$D,'Modelling New'!$AF:$AF),"")</f>
        <v/>
      </c>
      <c r="AI385" s="10" t="str">
        <f>IFERROR(_xlfn.XLOOKUP($A385,Input_Raw!$E:$E,Input_Raw!$DG:$DG),"")</f>
        <v/>
      </c>
      <c r="AJ385" s="10"/>
      <c r="AK385" s="10"/>
      <c r="AL385" s="10"/>
      <c r="AM385" s="10"/>
      <c r="AN385" s="314" t="str">
        <f>IFERROR(_xlfn.XLOOKUP($A385,Input_Raw!$E:$E,Input_Raw!$CY:$CY),"")</f>
        <v/>
      </c>
      <c r="AO385" s="312" t="str">
        <f>IFERROR((_xlfn.XLOOKUP($A385,'WTG Reactive Power'!$A:$A,'WTG Reactive Power'!AB:AB))/X385,"")</f>
        <v/>
      </c>
      <c r="AP385" s="312" t="str">
        <f>IFERROR(_xlfn.XLOOKUP($D385,'Modelling New'!$D:$D,'Modelling New'!AK:AK),"")</f>
        <v/>
      </c>
      <c r="AQ385" s="312" t="str">
        <f>IFERROR(_xlfn.XLOOKUP($D385,'Modelling New'!$D:$D,'Modelling New'!AL:AL),"")</f>
        <v/>
      </c>
      <c r="AR385" s="325" t="str">
        <f>IFERROR(_xlfn.XLOOKUP($D385,'Modelling New'!$D:$D,'Modelling New'!$N:$N),"")</f>
        <v/>
      </c>
      <c r="AS385" s="325"/>
    </row>
    <row r="386" spans="1:45">
      <c r="A386" s="32">
        <f t="shared" si="34"/>
        <v>46129</v>
      </c>
      <c r="B386" s="43">
        <f>YEAR(Table13[[#This Row],[Date]])+IF(MONTH(Table13[[#This Row],[Date]])&gt;=4,1,0)</f>
        <v>2027</v>
      </c>
      <c r="C386" s="10">
        <f>YEAR(Table13[[#This Row],[Date]])</f>
        <v>2026</v>
      </c>
      <c r="D386" s="309">
        <f>Table13[[#This Row],[Date]]-DAY(Table13[[#This Row],[Date]])+1</f>
        <v>46113</v>
      </c>
      <c r="E386" s="10">
        <f t="shared" si="30"/>
        <v>30</v>
      </c>
      <c r="F386" s="241" t="str">
        <f>IFERROR(_xlfn.XLOOKUP($A386,Input_Raw!$E:$E,Input_Raw!DC:DC),"")</f>
        <v/>
      </c>
      <c r="G386" s="313"/>
      <c r="H386" s="313"/>
      <c r="I386" s="313"/>
      <c r="J386" s="313"/>
      <c r="K386" s="243"/>
      <c r="L386" s="242"/>
      <c r="M386" s="242" t="str">
        <f>IFERROR(_xlfn.XLOOKUP($A386,Input_Raw!$E:$E,Input_Raw!$BM:$BM),"")</f>
        <v/>
      </c>
      <c r="N386" s="242" t="str">
        <f>IFERROR(_xlfn.XLOOKUP($A386,Input_Raw!$E:$E,Input_Raw!$BN:$BN),"")</f>
        <v/>
      </c>
      <c r="O386" s="311" t="str">
        <f t="shared" si="31"/>
        <v/>
      </c>
      <c r="P386" s="311" t="str">
        <f>IFERROR(1-SUMIF(WTG_BD!$F:$F,$A386,WTG_BD!$AA:$AA)/($AA386+SUMIF(WTG_BD!$F:$F,$A386,WTG_BD!$AA:$AA)),"")</f>
        <v/>
      </c>
      <c r="Q386" s="328" t="str">
        <f>IFERROR(1-SUMIF(IGA_BD!$F:$F,$A386,IGA_BD!$W:$W)/($AA386+SUMIF(IGA_BD!$F:$F,$A386,IGA_BD!$W:$W)),"")</f>
        <v/>
      </c>
      <c r="R386" s="47" t="str">
        <f>IFERROR(1-SUMIF(Grid_BD!$F:$F,$A386,Grid_BD!$Y:$Y)/($AA386+SUMIF(Grid_BD!$F:$F,$A386,Grid_BD!$Y:$Y)),"")</f>
        <v/>
      </c>
      <c r="S386" s="10"/>
      <c r="T386" s="310"/>
      <c r="U386" s="311"/>
      <c r="V386" s="10"/>
      <c r="W386" s="312" t="str">
        <f t="shared" si="32"/>
        <v/>
      </c>
      <c r="X386" s="10" t="str">
        <f>IFERROR(_xlfn.XLOOKUP($A386,Input_Raw!$E:$E,Input_Raw!BG:BG),"")</f>
        <v/>
      </c>
      <c r="Y386" s="10" t="str">
        <f>IFERROR(_xlfn.XLOOKUP($A386,Input_Raw!$E:$E,Input_Raw!DF:DF),"")</f>
        <v/>
      </c>
      <c r="Z386" s="319" t="str">
        <f>IFERROR(_xlfn.XLOOKUP(A386,Input_Raw!E:E,Input_Raw!CT:CT)/_xlfn.XLOOKUP(A386,Input_Raw!E:E,Input_Raw!CS:CS)*Table13[[#This Row],[Mtr_Export (kWh)]],"")</f>
        <v/>
      </c>
      <c r="AA386" s="43" t="str">
        <f t="shared" si="33"/>
        <v/>
      </c>
      <c r="AB386" s="10" t="str">
        <f>IFERROR(_xlfn.XLOOKUP($A386,Input_Raw!$E:$E,Input_Raw!$CZ:$CZ),"")</f>
        <v/>
      </c>
      <c r="AC386" s="313" t="str">
        <f>IFERROR(_xlfn.XLOOKUP($D386,'Modelling New'!$D:$D,'Modelling New'!$J:$J),"")</f>
        <v/>
      </c>
      <c r="AD386" s="43" t="str">
        <f>IFERROR(_xlfn.XLOOKUP($D386,'Modelling New'!$D:$D,'Modelling New'!$T:$T)*1000,"")</f>
        <v/>
      </c>
      <c r="AE386" s="312"/>
      <c r="AF386" s="312" t="str">
        <f>IFERROR(_xlfn.XLOOKUP($D386,'Modelling New'!$D:$D,'Modelling New'!$W:$W),"")</f>
        <v/>
      </c>
      <c r="AG386" s="312" t="str">
        <f>IFERROR(_xlfn.XLOOKUP($D386,'Modelling New'!$D:$D,'Modelling New'!$AE:$AE),"")</f>
        <v/>
      </c>
      <c r="AH386" s="312" t="str">
        <f>IFERROR(_xlfn.XLOOKUP($D386,'Modelling New'!$D:$D,'Modelling New'!$AF:$AF),"")</f>
        <v/>
      </c>
      <c r="AI386" s="10" t="str">
        <f>IFERROR(_xlfn.XLOOKUP($A386,Input_Raw!$E:$E,Input_Raw!$DG:$DG),"")</f>
        <v/>
      </c>
      <c r="AJ386" s="10"/>
      <c r="AK386" s="10"/>
      <c r="AL386" s="10"/>
      <c r="AM386" s="10"/>
      <c r="AN386" s="314" t="str">
        <f>IFERROR(_xlfn.XLOOKUP($A386,Input_Raw!$E:$E,Input_Raw!$CY:$CY),"")</f>
        <v/>
      </c>
      <c r="AO386" s="312" t="str">
        <f>IFERROR((_xlfn.XLOOKUP($A386,'WTG Reactive Power'!$A:$A,'WTG Reactive Power'!AB:AB))/X386,"")</f>
        <v/>
      </c>
      <c r="AP386" s="312" t="str">
        <f>IFERROR(_xlfn.XLOOKUP($D386,'Modelling New'!$D:$D,'Modelling New'!AK:AK),"")</f>
        <v/>
      </c>
      <c r="AQ386" s="312" t="str">
        <f>IFERROR(_xlfn.XLOOKUP($D386,'Modelling New'!$D:$D,'Modelling New'!AL:AL),"")</f>
        <v/>
      </c>
      <c r="AR386" s="325" t="str">
        <f>IFERROR(_xlfn.XLOOKUP($D386,'Modelling New'!$D:$D,'Modelling New'!$N:$N),"")</f>
        <v/>
      </c>
      <c r="AS386" s="325"/>
    </row>
    <row r="387" spans="1:45">
      <c r="A387" s="32">
        <f t="shared" si="34"/>
        <v>46130</v>
      </c>
      <c r="B387" s="43">
        <f>YEAR(Table13[[#This Row],[Date]])+IF(MONTH(Table13[[#This Row],[Date]])&gt;=4,1,0)</f>
        <v>2027</v>
      </c>
      <c r="C387" s="10">
        <f>YEAR(Table13[[#This Row],[Date]])</f>
        <v>2026</v>
      </c>
      <c r="D387" s="309">
        <f>Table13[[#This Row],[Date]]-DAY(Table13[[#This Row],[Date]])+1</f>
        <v>46113</v>
      </c>
      <c r="E387" s="10">
        <f t="shared" si="30"/>
        <v>30</v>
      </c>
      <c r="F387" s="241" t="str">
        <f>IFERROR(_xlfn.XLOOKUP($A387,Input_Raw!$E:$E,Input_Raw!DC:DC),"")</f>
        <v/>
      </c>
      <c r="G387" s="242"/>
      <c r="H387" s="242"/>
      <c r="I387" s="242"/>
      <c r="J387" s="242"/>
      <c r="K387" s="243"/>
      <c r="L387" s="242"/>
      <c r="M387" s="242" t="str">
        <f>IFERROR(_xlfn.XLOOKUP($A387,Input_Raw!$E:$E,Input_Raw!$BM:$BM),"")</f>
        <v/>
      </c>
      <c r="N387" s="242" t="str">
        <f>IFERROR(_xlfn.XLOOKUP($A387,Input_Raw!$E:$E,Input_Raw!$BN:$BN),"")</f>
        <v/>
      </c>
      <c r="O387" s="311" t="str">
        <f t="shared" si="31"/>
        <v/>
      </c>
      <c r="P387" s="311" t="str">
        <f>IFERROR(1-SUMIF(WTG_BD!$F:$F,$A387,WTG_BD!$AA:$AA)/($AA387+SUMIF(WTG_BD!$F:$F,$A387,WTG_BD!$AA:$AA)),"")</f>
        <v/>
      </c>
      <c r="Q387" s="328" t="str">
        <f>IFERROR(1-SUMIF(IGA_BD!$F:$F,$A387,IGA_BD!$W:$W)/($AA387+SUMIF(IGA_BD!$F:$F,$A387,IGA_BD!$W:$W)),"")</f>
        <v/>
      </c>
      <c r="R387" s="311" t="str">
        <f>IFERROR(1-SUMIF(Grid_BD!$F:$F,$A387,Grid_BD!$Y:$Y)/($AA387+SUMIF(Grid_BD!$F:$F,$A387,Grid_BD!$Y:$Y)),"")</f>
        <v/>
      </c>
      <c r="S387" s="10"/>
      <c r="T387" s="310"/>
      <c r="U387" s="311"/>
      <c r="V387" s="10"/>
      <c r="W387" s="312" t="str">
        <f t="shared" si="32"/>
        <v/>
      </c>
      <c r="X387" s="10" t="str">
        <f>IFERROR(_xlfn.XLOOKUP($A387,Input_Raw!$E:$E,Input_Raw!BG:BG),"")</f>
        <v/>
      </c>
      <c r="Y387" s="10" t="str">
        <f>IFERROR(_xlfn.XLOOKUP($A387,Input_Raw!$E:$E,Input_Raw!DF:DF),"")</f>
        <v/>
      </c>
      <c r="Z387" s="319" t="str">
        <f>IFERROR(_xlfn.XLOOKUP(A387,Input_Raw!E:E,Input_Raw!CT:CT)/_xlfn.XLOOKUP(A387,Input_Raw!E:E,Input_Raw!CS:CS)*Table13[[#This Row],[Mtr_Export (kWh)]],"")</f>
        <v/>
      </c>
      <c r="AA387" s="43" t="str">
        <f t="shared" si="33"/>
        <v/>
      </c>
      <c r="AB387" s="10" t="str">
        <f>IFERROR(_xlfn.XLOOKUP($A387,Input_Raw!$E:$E,Input_Raw!$CZ:$CZ),"")</f>
        <v/>
      </c>
      <c r="AC387" s="313" t="str">
        <f>IFERROR(_xlfn.XLOOKUP($D387,'Modelling New'!$D:$D,'Modelling New'!$J:$J),"")</f>
        <v/>
      </c>
      <c r="AD387" s="43" t="str">
        <f>IFERROR(_xlfn.XLOOKUP($D387,'Modelling New'!$D:$D,'Modelling New'!$T:$T)*1000,"")</f>
        <v/>
      </c>
      <c r="AE387" s="312"/>
      <c r="AF387" s="312" t="str">
        <f>IFERROR(_xlfn.XLOOKUP($D387,'Modelling New'!$D:$D,'Modelling New'!$W:$W),"")</f>
        <v/>
      </c>
      <c r="AG387" s="312" t="str">
        <f>IFERROR(_xlfn.XLOOKUP($D387,'Modelling New'!$D:$D,'Modelling New'!$AE:$AE),"")</f>
        <v/>
      </c>
      <c r="AH387" s="312" t="str">
        <f>IFERROR(_xlfn.XLOOKUP($D387,'Modelling New'!$D:$D,'Modelling New'!$AF:$AF),"")</f>
        <v/>
      </c>
      <c r="AI387" s="10" t="str">
        <f>IFERROR(_xlfn.XLOOKUP($A387,Input_Raw!$E:$E,Input_Raw!$DG:$DG),"")</f>
        <v/>
      </c>
      <c r="AJ387" s="10"/>
      <c r="AK387" s="10"/>
      <c r="AL387" s="10"/>
      <c r="AM387" s="10"/>
      <c r="AN387" s="314" t="str">
        <f>IFERROR(_xlfn.XLOOKUP($A387,Input_Raw!$E:$E,Input_Raw!$CY:$CY),"")</f>
        <v/>
      </c>
      <c r="AO387" s="312" t="str">
        <f>IFERROR((_xlfn.XLOOKUP($A387,'WTG Reactive Power'!$A:$A,'WTG Reactive Power'!AB:AB))/X387,"")</f>
        <v/>
      </c>
      <c r="AP387" s="312" t="str">
        <f>IFERROR(_xlfn.XLOOKUP($D387,'Modelling New'!$D:$D,'Modelling New'!AK:AK),"")</f>
        <v/>
      </c>
      <c r="AQ387" s="312" t="str">
        <f>IFERROR(_xlfn.XLOOKUP($D387,'Modelling New'!$D:$D,'Modelling New'!AL:AL),"")</f>
        <v/>
      </c>
      <c r="AR387" s="325" t="str">
        <f>IFERROR(_xlfn.XLOOKUP($D387,'Modelling New'!$D:$D,'Modelling New'!$N:$N),"")</f>
        <v/>
      </c>
      <c r="AS387" s="325"/>
    </row>
    <row r="388" spans="1:45">
      <c r="A388" s="32">
        <f t="shared" si="34"/>
        <v>46131</v>
      </c>
      <c r="B388" s="43">
        <f>YEAR(Table13[[#This Row],[Date]])+IF(MONTH(Table13[[#This Row],[Date]])&gt;=4,1,0)</f>
        <v>2027</v>
      </c>
      <c r="C388" s="10">
        <f>YEAR(Table13[[#This Row],[Date]])</f>
        <v>2026</v>
      </c>
      <c r="D388" s="309">
        <f>Table13[[#This Row],[Date]]-DAY(Table13[[#This Row],[Date]])+1</f>
        <v>46113</v>
      </c>
      <c r="E388" s="10">
        <f t="shared" si="30"/>
        <v>30</v>
      </c>
      <c r="F388" s="241" t="str">
        <f>IFERROR(_xlfn.XLOOKUP($A388,Input_Raw!$E:$E,Input_Raw!DC:DC),"")</f>
        <v/>
      </c>
      <c r="G388" s="313"/>
      <c r="H388" s="313"/>
      <c r="I388" s="313"/>
      <c r="J388" s="313"/>
      <c r="K388" s="243"/>
      <c r="L388" s="242"/>
      <c r="M388" s="242" t="str">
        <f>IFERROR(_xlfn.XLOOKUP($A388,Input_Raw!$E:$E,Input_Raw!$BM:$BM),"")</f>
        <v/>
      </c>
      <c r="N388" s="242" t="str">
        <f>IFERROR(_xlfn.XLOOKUP($A388,Input_Raw!$E:$E,Input_Raw!$BN:$BN),"")</f>
        <v/>
      </c>
      <c r="O388" s="311" t="str">
        <f t="shared" si="31"/>
        <v/>
      </c>
      <c r="P388" s="311" t="str">
        <f>IFERROR(1-SUMIF(WTG_BD!$F:$F,$A388,WTG_BD!$AA:$AA)/($AA388+SUMIF(WTG_BD!$F:$F,$A388,WTG_BD!$AA:$AA)),"")</f>
        <v/>
      </c>
      <c r="Q388" s="328" t="str">
        <f>IFERROR(1-SUMIF(IGA_BD!$F:$F,$A388,IGA_BD!$W:$W)/($AA388+SUMIF(IGA_BD!$F:$F,$A388,IGA_BD!$W:$W)),"")</f>
        <v/>
      </c>
      <c r="R388" s="47" t="str">
        <f>IFERROR(1-SUMIF(Grid_BD!$F:$F,$A388,Grid_BD!$Y:$Y)/($AA388+SUMIF(Grid_BD!$F:$F,$A388,Grid_BD!$Y:$Y)),"")</f>
        <v/>
      </c>
      <c r="S388" s="10"/>
      <c r="T388" s="310"/>
      <c r="U388" s="311"/>
      <c r="V388" s="10"/>
      <c r="W388" s="312" t="str">
        <f t="shared" si="32"/>
        <v/>
      </c>
      <c r="X388" s="10" t="str">
        <f>IFERROR(_xlfn.XLOOKUP($A388,Input_Raw!$E:$E,Input_Raw!BG:BG),"")</f>
        <v/>
      </c>
      <c r="Y388" s="10" t="str">
        <f>IFERROR(_xlfn.XLOOKUP($A388,Input_Raw!$E:$E,Input_Raw!DF:DF),"")</f>
        <v/>
      </c>
      <c r="Z388" s="319" t="str">
        <f>IFERROR(_xlfn.XLOOKUP(A388,Input_Raw!E:E,Input_Raw!CT:CT)/_xlfn.XLOOKUP(A388,Input_Raw!E:E,Input_Raw!CS:CS)*Table13[[#This Row],[Mtr_Export (kWh)]],"")</f>
        <v/>
      </c>
      <c r="AA388" s="43" t="str">
        <f t="shared" si="33"/>
        <v/>
      </c>
      <c r="AB388" s="10" t="str">
        <f>IFERROR(_xlfn.XLOOKUP($A388,Input_Raw!$E:$E,Input_Raw!$CZ:$CZ),"")</f>
        <v/>
      </c>
      <c r="AC388" s="313" t="str">
        <f>IFERROR(_xlfn.XLOOKUP($D388,'Modelling New'!$D:$D,'Modelling New'!$J:$J),"")</f>
        <v/>
      </c>
      <c r="AD388" s="43" t="str">
        <f>IFERROR(_xlfn.XLOOKUP($D388,'Modelling New'!$D:$D,'Modelling New'!$T:$T)*1000,"")</f>
        <v/>
      </c>
      <c r="AE388" s="312"/>
      <c r="AF388" s="312" t="str">
        <f>IFERROR(_xlfn.XLOOKUP($D388,'Modelling New'!$D:$D,'Modelling New'!$W:$W),"")</f>
        <v/>
      </c>
      <c r="AG388" s="312" t="str">
        <f>IFERROR(_xlfn.XLOOKUP($D388,'Modelling New'!$D:$D,'Modelling New'!$AE:$AE),"")</f>
        <v/>
      </c>
      <c r="AH388" s="312" t="str">
        <f>IFERROR(_xlfn.XLOOKUP($D388,'Modelling New'!$D:$D,'Modelling New'!$AF:$AF),"")</f>
        <v/>
      </c>
      <c r="AI388" s="10" t="str">
        <f>IFERROR(_xlfn.XLOOKUP($A388,Input_Raw!$E:$E,Input_Raw!$DG:$DG),"")</f>
        <v/>
      </c>
      <c r="AJ388" s="10"/>
      <c r="AK388" s="10"/>
      <c r="AL388" s="10"/>
      <c r="AM388" s="10"/>
      <c r="AN388" s="314" t="str">
        <f>IFERROR(_xlfn.XLOOKUP($A388,Input_Raw!$E:$E,Input_Raw!$CY:$CY),"")</f>
        <v/>
      </c>
      <c r="AO388" s="312" t="str">
        <f>IFERROR((_xlfn.XLOOKUP($A388,'WTG Reactive Power'!$A:$A,'WTG Reactive Power'!AB:AB))/X388,"")</f>
        <v/>
      </c>
      <c r="AP388" s="312" t="str">
        <f>IFERROR(_xlfn.XLOOKUP($D388,'Modelling New'!$D:$D,'Modelling New'!AK:AK),"")</f>
        <v/>
      </c>
      <c r="AQ388" s="312" t="str">
        <f>IFERROR(_xlfn.XLOOKUP($D388,'Modelling New'!$D:$D,'Modelling New'!AL:AL),"")</f>
        <v/>
      </c>
      <c r="AR388" s="325" t="str">
        <f>IFERROR(_xlfn.XLOOKUP($D388,'Modelling New'!$D:$D,'Modelling New'!$N:$N),"")</f>
        <v/>
      </c>
      <c r="AS388" s="325"/>
    </row>
    <row r="389" spans="1:45">
      <c r="A389" s="32">
        <f t="shared" si="34"/>
        <v>46132</v>
      </c>
      <c r="B389" s="43">
        <f>YEAR(Table13[[#This Row],[Date]])+IF(MONTH(Table13[[#This Row],[Date]])&gt;=4,1,0)</f>
        <v>2027</v>
      </c>
      <c r="C389" s="10">
        <f>YEAR(Table13[[#This Row],[Date]])</f>
        <v>2026</v>
      </c>
      <c r="D389" s="309">
        <f>Table13[[#This Row],[Date]]-DAY(Table13[[#This Row],[Date]])+1</f>
        <v>46113</v>
      </c>
      <c r="E389" s="10">
        <f t="shared" si="30"/>
        <v>30</v>
      </c>
      <c r="F389" s="241" t="str">
        <f>IFERROR(_xlfn.XLOOKUP($A389,Input_Raw!$E:$E,Input_Raw!DC:DC),"")</f>
        <v/>
      </c>
      <c r="G389" s="242"/>
      <c r="H389" s="242"/>
      <c r="I389" s="242"/>
      <c r="J389" s="242"/>
      <c r="K389" s="243"/>
      <c r="L389" s="242"/>
      <c r="M389" s="242" t="str">
        <f>IFERROR(_xlfn.XLOOKUP($A389,Input_Raw!$E:$E,Input_Raw!$BM:$BM),"")</f>
        <v/>
      </c>
      <c r="N389" s="242" t="str">
        <f>IFERROR(_xlfn.XLOOKUP($A389,Input_Raw!$E:$E,Input_Raw!$BN:$BN),"")</f>
        <v/>
      </c>
      <c r="O389" s="311" t="str">
        <f t="shared" si="31"/>
        <v/>
      </c>
      <c r="P389" s="311" t="str">
        <f>IFERROR(1-SUMIF(WTG_BD!$F:$F,$A389,WTG_BD!$AA:$AA)/($AA389+SUMIF(WTG_BD!$F:$F,$A389,WTG_BD!$AA:$AA)),"")</f>
        <v/>
      </c>
      <c r="Q389" s="328" t="str">
        <f>IFERROR(1-SUMIF(IGA_BD!$F:$F,$A389,IGA_BD!$W:$W)/($AA389+SUMIF(IGA_BD!$F:$F,$A389,IGA_BD!$W:$W)),"")</f>
        <v/>
      </c>
      <c r="R389" s="311" t="str">
        <f>IFERROR(1-SUMIF(Grid_BD!$F:$F,$A389,Grid_BD!$Y:$Y)/($AA389+SUMIF(Grid_BD!$F:$F,$A389,Grid_BD!$Y:$Y)),"")</f>
        <v/>
      </c>
      <c r="S389" s="10"/>
      <c r="T389" s="310"/>
      <c r="U389" s="311"/>
      <c r="V389" s="10"/>
      <c r="W389" s="312" t="str">
        <f t="shared" si="32"/>
        <v/>
      </c>
      <c r="X389" s="10" t="str">
        <f>IFERROR(_xlfn.XLOOKUP($A389,Input_Raw!$E:$E,Input_Raw!BG:BG),"")</f>
        <v/>
      </c>
      <c r="Y389" s="10" t="str">
        <f>IFERROR(_xlfn.XLOOKUP($A389,Input_Raw!$E:$E,Input_Raw!DF:DF),"")</f>
        <v/>
      </c>
      <c r="Z389" s="319" t="str">
        <f>IFERROR(_xlfn.XLOOKUP(A389,Input_Raw!E:E,Input_Raw!CT:CT)/_xlfn.XLOOKUP(A389,Input_Raw!E:E,Input_Raw!CS:CS)*Table13[[#This Row],[Mtr_Export (kWh)]],"")</f>
        <v/>
      </c>
      <c r="AA389" s="43" t="str">
        <f t="shared" si="33"/>
        <v/>
      </c>
      <c r="AB389" s="10" t="str">
        <f>IFERROR(_xlfn.XLOOKUP($A389,Input_Raw!$E:$E,Input_Raw!$CZ:$CZ),"")</f>
        <v/>
      </c>
      <c r="AC389" s="313" t="str">
        <f>IFERROR(_xlfn.XLOOKUP($D389,'Modelling New'!$D:$D,'Modelling New'!$J:$J),"")</f>
        <v/>
      </c>
      <c r="AD389" s="43" t="str">
        <f>IFERROR(_xlfn.XLOOKUP($D389,'Modelling New'!$D:$D,'Modelling New'!$T:$T)*1000,"")</f>
        <v/>
      </c>
      <c r="AE389" s="312"/>
      <c r="AF389" s="312" t="str">
        <f>IFERROR(_xlfn.XLOOKUP($D389,'Modelling New'!$D:$D,'Modelling New'!$W:$W),"")</f>
        <v/>
      </c>
      <c r="AG389" s="312" t="str">
        <f>IFERROR(_xlfn.XLOOKUP($D389,'Modelling New'!$D:$D,'Modelling New'!$AE:$AE),"")</f>
        <v/>
      </c>
      <c r="AH389" s="312" t="str">
        <f>IFERROR(_xlfn.XLOOKUP($D389,'Modelling New'!$D:$D,'Modelling New'!$AF:$AF),"")</f>
        <v/>
      </c>
      <c r="AI389" s="10" t="str">
        <f>IFERROR(_xlfn.XLOOKUP($A389,Input_Raw!$E:$E,Input_Raw!$DG:$DG),"")</f>
        <v/>
      </c>
      <c r="AJ389" s="10"/>
      <c r="AK389" s="10"/>
      <c r="AL389" s="10"/>
      <c r="AM389" s="10"/>
      <c r="AN389" s="314" t="str">
        <f>IFERROR(_xlfn.XLOOKUP($A389,Input_Raw!$E:$E,Input_Raw!$CY:$CY),"")</f>
        <v/>
      </c>
      <c r="AO389" s="312" t="str">
        <f>IFERROR((_xlfn.XLOOKUP($A389,'WTG Reactive Power'!$A:$A,'WTG Reactive Power'!AB:AB))/X389,"")</f>
        <v/>
      </c>
      <c r="AP389" s="312" t="str">
        <f>IFERROR(_xlfn.XLOOKUP($D389,'Modelling New'!$D:$D,'Modelling New'!AK:AK),"")</f>
        <v/>
      </c>
      <c r="AQ389" s="312" t="str">
        <f>IFERROR(_xlfn.XLOOKUP($D389,'Modelling New'!$D:$D,'Modelling New'!AL:AL),"")</f>
        <v/>
      </c>
      <c r="AR389" s="325" t="str">
        <f>IFERROR(_xlfn.XLOOKUP($D389,'Modelling New'!$D:$D,'Modelling New'!$N:$N),"")</f>
        <v/>
      </c>
      <c r="AS389" s="325"/>
    </row>
    <row r="390" spans="1:45">
      <c r="A390" s="32">
        <f t="shared" si="34"/>
        <v>46133</v>
      </c>
      <c r="B390" s="43">
        <f>YEAR(Table13[[#This Row],[Date]])+IF(MONTH(Table13[[#This Row],[Date]])&gt;=4,1,0)</f>
        <v>2027</v>
      </c>
      <c r="C390" s="10">
        <f>YEAR(Table13[[#This Row],[Date]])</f>
        <v>2026</v>
      </c>
      <c r="D390" s="309">
        <f>Table13[[#This Row],[Date]]-DAY(Table13[[#This Row],[Date]])+1</f>
        <v>46113</v>
      </c>
      <c r="E390" s="10">
        <f t="shared" si="30"/>
        <v>30</v>
      </c>
      <c r="F390" s="241" t="str">
        <f>IFERROR(_xlfn.XLOOKUP($A390,Input_Raw!$E:$E,Input_Raw!DC:DC),"")</f>
        <v/>
      </c>
      <c r="G390" s="313"/>
      <c r="H390" s="313"/>
      <c r="I390" s="313"/>
      <c r="J390" s="313"/>
      <c r="K390" s="243"/>
      <c r="L390" s="242"/>
      <c r="M390" s="242" t="str">
        <f>IFERROR(_xlfn.XLOOKUP($A390,Input_Raw!$E:$E,Input_Raw!$BM:$BM),"")</f>
        <v/>
      </c>
      <c r="N390" s="242" t="str">
        <f>IFERROR(_xlfn.XLOOKUP($A390,Input_Raw!$E:$E,Input_Raw!$BN:$BN),"")</f>
        <v/>
      </c>
      <c r="O390" s="311" t="str">
        <f t="shared" si="31"/>
        <v/>
      </c>
      <c r="P390" s="311" t="str">
        <f>IFERROR(1-SUMIF(WTG_BD!$F:$F,$A390,WTG_BD!$AA:$AA)/($AA390+SUMIF(WTG_BD!$F:$F,$A390,WTG_BD!$AA:$AA)),"")</f>
        <v/>
      </c>
      <c r="Q390" s="328" t="str">
        <f>IFERROR(1-SUMIF(IGA_BD!$F:$F,$A390,IGA_BD!$W:$W)/($AA390+SUMIF(IGA_BD!$F:$F,$A390,IGA_BD!$W:$W)),"")</f>
        <v/>
      </c>
      <c r="R390" s="47" t="str">
        <f>IFERROR(1-SUMIF(Grid_BD!$F:$F,$A390,Grid_BD!$Y:$Y)/($AA390+SUMIF(Grid_BD!$F:$F,$A390,Grid_BD!$Y:$Y)),"")</f>
        <v/>
      </c>
      <c r="S390" s="10"/>
      <c r="T390" s="310"/>
      <c r="U390" s="311"/>
      <c r="V390" s="10"/>
      <c r="W390" s="312" t="str">
        <f t="shared" si="32"/>
        <v/>
      </c>
      <c r="X390" s="10" t="str">
        <f>IFERROR(_xlfn.XLOOKUP($A390,Input_Raw!$E:$E,Input_Raw!BG:BG),"")</f>
        <v/>
      </c>
      <c r="Y390" s="10" t="str">
        <f>IFERROR(_xlfn.XLOOKUP($A390,Input_Raw!$E:$E,Input_Raw!DF:DF),"")</f>
        <v/>
      </c>
      <c r="Z390" s="319" t="str">
        <f>IFERROR(_xlfn.XLOOKUP(A390,Input_Raw!E:E,Input_Raw!CT:CT)/_xlfn.XLOOKUP(A390,Input_Raw!E:E,Input_Raw!CS:CS)*Table13[[#This Row],[Mtr_Export (kWh)]],"")</f>
        <v/>
      </c>
      <c r="AA390" s="43" t="str">
        <f t="shared" si="33"/>
        <v/>
      </c>
      <c r="AB390" s="10" t="str">
        <f>IFERROR(_xlfn.XLOOKUP($A390,Input_Raw!$E:$E,Input_Raw!$CZ:$CZ),"")</f>
        <v/>
      </c>
      <c r="AC390" s="313" t="str">
        <f>IFERROR(_xlfn.XLOOKUP($D390,'Modelling New'!$D:$D,'Modelling New'!$J:$J),"")</f>
        <v/>
      </c>
      <c r="AD390" s="43" t="str">
        <f>IFERROR(_xlfn.XLOOKUP($D390,'Modelling New'!$D:$D,'Modelling New'!$T:$T)*1000,"")</f>
        <v/>
      </c>
      <c r="AE390" s="312"/>
      <c r="AF390" s="312" t="str">
        <f>IFERROR(_xlfn.XLOOKUP($D390,'Modelling New'!$D:$D,'Modelling New'!$W:$W),"")</f>
        <v/>
      </c>
      <c r="AG390" s="312" t="str">
        <f>IFERROR(_xlfn.XLOOKUP($D390,'Modelling New'!$D:$D,'Modelling New'!$AE:$AE),"")</f>
        <v/>
      </c>
      <c r="AH390" s="312" t="str">
        <f>IFERROR(_xlfn.XLOOKUP($D390,'Modelling New'!$D:$D,'Modelling New'!$AF:$AF),"")</f>
        <v/>
      </c>
      <c r="AI390" s="10" t="str">
        <f>IFERROR(_xlfn.XLOOKUP($A390,Input_Raw!$E:$E,Input_Raw!$DG:$DG),"")</f>
        <v/>
      </c>
      <c r="AJ390" s="10"/>
      <c r="AK390" s="10"/>
      <c r="AL390" s="10"/>
      <c r="AM390" s="10"/>
      <c r="AN390" s="314" t="str">
        <f>IFERROR(_xlfn.XLOOKUP($A390,Input_Raw!$E:$E,Input_Raw!$CY:$CY),"")</f>
        <v/>
      </c>
      <c r="AO390" s="312" t="str">
        <f>IFERROR((_xlfn.XLOOKUP($A390,'WTG Reactive Power'!$A:$A,'WTG Reactive Power'!AB:AB))/X390,"")</f>
        <v/>
      </c>
      <c r="AP390" s="312" t="str">
        <f>IFERROR(_xlfn.XLOOKUP($D390,'Modelling New'!$D:$D,'Modelling New'!AK:AK),"")</f>
        <v/>
      </c>
      <c r="AQ390" s="312" t="str">
        <f>IFERROR(_xlfn.XLOOKUP($D390,'Modelling New'!$D:$D,'Modelling New'!AL:AL),"")</f>
        <v/>
      </c>
      <c r="AR390" s="325" t="str">
        <f>IFERROR(_xlfn.XLOOKUP($D390,'Modelling New'!$D:$D,'Modelling New'!$N:$N),"")</f>
        <v/>
      </c>
      <c r="AS390" s="325"/>
    </row>
    <row r="391" spans="1:45">
      <c r="A391" s="32">
        <f t="shared" si="34"/>
        <v>46134</v>
      </c>
      <c r="B391" s="43">
        <f>YEAR(Table13[[#This Row],[Date]])+IF(MONTH(Table13[[#This Row],[Date]])&gt;=4,1,0)</f>
        <v>2027</v>
      </c>
      <c r="C391" s="10">
        <f>YEAR(Table13[[#This Row],[Date]])</f>
        <v>2026</v>
      </c>
      <c r="D391" s="309">
        <f>Table13[[#This Row],[Date]]-DAY(Table13[[#This Row],[Date]])+1</f>
        <v>46113</v>
      </c>
      <c r="E391" s="10">
        <f t="shared" ref="E391:E454" si="35">DAY(EOMONTH(A391,0))</f>
        <v>30</v>
      </c>
      <c r="F391" s="241" t="str">
        <f>IFERROR(_xlfn.XLOOKUP($A391,Input_Raw!$E:$E,Input_Raw!DC:DC),"")</f>
        <v/>
      </c>
      <c r="G391" s="242"/>
      <c r="H391" s="242"/>
      <c r="I391" s="242"/>
      <c r="J391" s="242"/>
      <c r="K391" s="243"/>
      <c r="L391" s="242"/>
      <c r="M391" s="242" t="str">
        <f>IFERROR(_xlfn.XLOOKUP($A391,Input_Raw!$E:$E,Input_Raw!$BM:$BM),"")</f>
        <v/>
      </c>
      <c r="N391" s="242" t="str">
        <f>IFERROR(_xlfn.XLOOKUP($A391,Input_Raw!$E:$E,Input_Raw!$BN:$BN),"")</f>
        <v/>
      </c>
      <c r="O391" s="311" t="str">
        <f t="shared" ref="O391:O454" si="36">IFERROR(P391*Q391,"")</f>
        <v/>
      </c>
      <c r="P391" s="311" t="str">
        <f>IFERROR(1-SUMIF(WTG_BD!$F:$F,$A391,WTG_BD!$AA:$AA)/($AA391+SUMIF(WTG_BD!$F:$F,$A391,WTG_BD!$AA:$AA)),"")</f>
        <v/>
      </c>
      <c r="Q391" s="328" t="str">
        <f>IFERROR(1-SUMIF(IGA_BD!$F:$F,$A391,IGA_BD!$W:$W)/($AA391+SUMIF(IGA_BD!$F:$F,$A391,IGA_BD!$W:$W)),"")</f>
        <v/>
      </c>
      <c r="R391" s="311" t="str">
        <f>IFERROR(1-SUMIF(Grid_BD!$F:$F,$A391,Grid_BD!$Y:$Y)/($AA391+SUMIF(Grid_BD!$F:$F,$A391,Grid_BD!$Y:$Y)),"")</f>
        <v/>
      </c>
      <c r="S391" s="10"/>
      <c r="T391" s="310"/>
      <c r="U391" s="311"/>
      <c r="V391" s="10"/>
      <c r="W391" s="312" t="str">
        <f t="shared" ref="W391:W454" si="37">IFERROR(X391/(24*AR391*1000),"")</f>
        <v/>
      </c>
      <c r="X391" s="10" t="str">
        <f>IFERROR(_xlfn.XLOOKUP($A391,Input_Raw!$E:$E,Input_Raw!BG:BG),"")</f>
        <v/>
      </c>
      <c r="Y391" s="10" t="str">
        <f>IFERROR(_xlfn.XLOOKUP($A391,Input_Raw!$E:$E,Input_Raw!DF:DF),"")</f>
        <v/>
      </c>
      <c r="Z391" s="319" t="str">
        <f>IFERROR(_xlfn.XLOOKUP(A391,Input_Raw!E:E,Input_Raw!CT:CT)/_xlfn.XLOOKUP(A391,Input_Raw!E:E,Input_Raw!CS:CS)*Table13[[#This Row],[Mtr_Export (kWh)]],"")</f>
        <v/>
      </c>
      <c r="AA391" s="43" t="str">
        <f t="shared" ref="AA391:AA454" si="38">IFERROR(Y391-Z391,"")</f>
        <v/>
      </c>
      <c r="AB391" s="10" t="str">
        <f>IFERROR(_xlfn.XLOOKUP($A391,Input_Raw!$E:$E,Input_Raw!$CZ:$CZ),"")</f>
        <v/>
      </c>
      <c r="AC391" s="313" t="str">
        <f>IFERROR(_xlfn.XLOOKUP($D391,'Modelling New'!$D:$D,'Modelling New'!$J:$J),"")</f>
        <v/>
      </c>
      <c r="AD391" s="43" t="str">
        <f>IFERROR(_xlfn.XLOOKUP($D391,'Modelling New'!$D:$D,'Modelling New'!$T:$T)*1000,"")</f>
        <v/>
      </c>
      <c r="AE391" s="312"/>
      <c r="AF391" s="312" t="str">
        <f>IFERROR(_xlfn.XLOOKUP($D391,'Modelling New'!$D:$D,'Modelling New'!$W:$W),"")</f>
        <v/>
      </c>
      <c r="AG391" s="312" t="str">
        <f>IFERROR(_xlfn.XLOOKUP($D391,'Modelling New'!$D:$D,'Modelling New'!$AE:$AE),"")</f>
        <v/>
      </c>
      <c r="AH391" s="312" t="str">
        <f>IFERROR(_xlfn.XLOOKUP($D391,'Modelling New'!$D:$D,'Modelling New'!$AF:$AF),"")</f>
        <v/>
      </c>
      <c r="AI391" s="10" t="str">
        <f>IFERROR(_xlfn.XLOOKUP($A391,Input_Raw!$E:$E,Input_Raw!$DG:$DG),"")</f>
        <v/>
      </c>
      <c r="AJ391" s="10"/>
      <c r="AK391" s="10"/>
      <c r="AL391" s="10"/>
      <c r="AM391" s="10"/>
      <c r="AN391" s="314" t="str">
        <f>IFERROR(_xlfn.XLOOKUP($A391,Input_Raw!$E:$E,Input_Raw!$CY:$CY),"")</f>
        <v/>
      </c>
      <c r="AO391" s="312" t="str">
        <f>IFERROR((_xlfn.XLOOKUP($A391,'WTG Reactive Power'!$A:$A,'WTG Reactive Power'!AB:AB))/X391,"")</f>
        <v/>
      </c>
      <c r="AP391" s="312" t="str">
        <f>IFERROR(_xlfn.XLOOKUP($D391,'Modelling New'!$D:$D,'Modelling New'!AK:AK),"")</f>
        <v/>
      </c>
      <c r="AQ391" s="312" t="str">
        <f>IFERROR(_xlfn.XLOOKUP($D391,'Modelling New'!$D:$D,'Modelling New'!AL:AL),"")</f>
        <v/>
      </c>
      <c r="AR391" s="325" t="str">
        <f>IFERROR(_xlfn.XLOOKUP($D391,'Modelling New'!$D:$D,'Modelling New'!$N:$N),"")</f>
        <v/>
      </c>
      <c r="AS391" s="325"/>
    </row>
    <row r="392" spans="1:45">
      <c r="A392" s="32">
        <f t="shared" si="34"/>
        <v>46135</v>
      </c>
      <c r="B392" s="43">
        <f>YEAR(Table13[[#This Row],[Date]])+IF(MONTH(Table13[[#This Row],[Date]])&gt;=4,1,0)</f>
        <v>2027</v>
      </c>
      <c r="C392" s="10">
        <f>YEAR(Table13[[#This Row],[Date]])</f>
        <v>2026</v>
      </c>
      <c r="D392" s="309">
        <f>Table13[[#This Row],[Date]]-DAY(Table13[[#This Row],[Date]])+1</f>
        <v>46113</v>
      </c>
      <c r="E392" s="10">
        <f t="shared" si="35"/>
        <v>30</v>
      </c>
      <c r="F392" s="241" t="str">
        <f>IFERROR(_xlfn.XLOOKUP($A392,Input_Raw!$E:$E,Input_Raw!DC:DC),"")</f>
        <v/>
      </c>
      <c r="G392" s="313"/>
      <c r="H392" s="313"/>
      <c r="I392" s="313"/>
      <c r="J392" s="313"/>
      <c r="K392" s="243"/>
      <c r="L392" s="242"/>
      <c r="M392" s="242" t="str">
        <f>IFERROR(_xlfn.XLOOKUP($A392,Input_Raw!$E:$E,Input_Raw!$BM:$BM),"")</f>
        <v/>
      </c>
      <c r="N392" s="242" t="str">
        <f>IFERROR(_xlfn.XLOOKUP($A392,Input_Raw!$E:$E,Input_Raw!$BN:$BN),"")</f>
        <v/>
      </c>
      <c r="O392" s="311" t="str">
        <f t="shared" si="36"/>
        <v/>
      </c>
      <c r="P392" s="311" t="str">
        <f>IFERROR(1-SUMIF(WTG_BD!$F:$F,$A392,WTG_BD!$AA:$AA)/($AA392+SUMIF(WTG_BD!$F:$F,$A392,WTG_BD!$AA:$AA)),"")</f>
        <v/>
      </c>
      <c r="Q392" s="328" t="str">
        <f>IFERROR(1-SUMIF(IGA_BD!$F:$F,$A392,IGA_BD!$W:$W)/($AA392+SUMIF(IGA_BD!$F:$F,$A392,IGA_BD!$W:$W)),"")</f>
        <v/>
      </c>
      <c r="R392" s="47" t="str">
        <f>IFERROR(1-SUMIF(Grid_BD!$F:$F,$A392,Grid_BD!$Y:$Y)/($AA392+SUMIF(Grid_BD!$F:$F,$A392,Grid_BD!$Y:$Y)),"")</f>
        <v/>
      </c>
      <c r="S392" s="10"/>
      <c r="T392" s="310"/>
      <c r="U392" s="311"/>
      <c r="V392" s="10"/>
      <c r="W392" s="312" t="str">
        <f t="shared" si="37"/>
        <v/>
      </c>
      <c r="X392" s="10" t="str">
        <f>IFERROR(_xlfn.XLOOKUP($A392,Input_Raw!$E:$E,Input_Raw!BG:BG),"")</f>
        <v/>
      </c>
      <c r="Y392" s="10" t="str">
        <f>IFERROR(_xlfn.XLOOKUP($A392,Input_Raw!$E:$E,Input_Raw!DF:DF),"")</f>
        <v/>
      </c>
      <c r="Z392" s="319" t="str">
        <f>IFERROR(_xlfn.XLOOKUP(A392,Input_Raw!E:E,Input_Raw!CT:CT)/_xlfn.XLOOKUP(A392,Input_Raw!E:E,Input_Raw!CS:CS)*Table13[[#This Row],[Mtr_Export (kWh)]],"")</f>
        <v/>
      </c>
      <c r="AA392" s="43" t="str">
        <f t="shared" si="38"/>
        <v/>
      </c>
      <c r="AB392" s="10" t="str">
        <f>IFERROR(_xlfn.XLOOKUP($A392,Input_Raw!$E:$E,Input_Raw!$CZ:$CZ),"")</f>
        <v/>
      </c>
      <c r="AC392" s="313" t="str">
        <f>IFERROR(_xlfn.XLOOKUP($D392,'Modelling New'!$D:$D,'Modelling New'!$J:$J),"")</f>
        <v/>
      </c>
      <c r="AD392" s="43" t="str">
        <f>IFERROR(_xlfn.XLOOKUP($D392,'Modelling New'!$D:$D,'Modelling New'!$T:$T)*1000,"")</f>
        <v/>
      </c>
      <c r="AE392" s="312"/>
      <c r="AF392" s="312" t="str">
        <f>IFERROR(_xlfn.XLOOKUP($D392,'Modelling New'!$D:$D,'Modelling New'!$W:$W),"")</f>
        <v/>
      </c>
      <c r="AG392" s="312" t="str">
        <f>IFERROR(_xlfn.XLOOKUP($D392,'Modelling New'!$D:$D,'Modelling New'!$AE:$AE),"")</f>
        <v/>
      </c>
      <c r="AH392" s="312" t="str">
        <f>IFERROR(_xlfn.XLOOKUP($D392,'Modelling New'!$D:$D,'Modelling New'!$AF:$AF),"")</f>
        <v/>
      </c>
      <c r="AI392" s="10" t="str">
        <f>IFERROR(_xlfn.XLOOKUP($A392,Input_Raw!$E:$E,Input_Raw!$DG:$DG),"")</f>
        <v/>
      </c>
      <c r="AJ392" s="10"/>
      <c r="AK392" s="10"/>
      <c r="AL392" s="10"/>
      <c r="AM392" s="10"/>
      <c r="AN392" s="314" t="str">
        <f>IFERROR(_xlfn.XLOOKUP($A392,Input_Raw!$E:$E,Input_Raw!$CY:$CY),"")</f>
        <v/>
      </c>
      <c r="AO392" s="312" t="str">
        <f>IFERROR((_xlfn.XLOOKUP($A392,'WTG Reactive Power'!$A:$A,'WTG Reactive Power'!AB:AB))/X392,"")</f>
        <v/>
      </c>
      <c r="AP392" s="312" t="str">
        <f>IFERROR(_xlfn.XLOOKUP($D392,'Modelling New'!$D:$D,'Modelling New'!AK:AK),"")</f>
        <v/>
      </c>
      <c r="AQ392" s="312" t="str">
        <f>IFERROR(_xlfn.XLOOKUP($D392,'Modelling New'!$D:$D,'Modelling New'!AL:AL),"")</f>
        <v/>
      </c>
      <c r="AR392" s="325" t="str">
        <f>IFERROR(_xlfn.XLOOKUP($D392,'Modelling New'!$D:$D,'Modelling New'!$N:$N),"")</f>
        <v/>
      </c>
      <c r="AS392" s="325"/>
    </row>
    <row r="393" spans="1:45">
      <c r="A393" s="32">
        <f t="shared" ref="A393:A456" si="39">A392+1</f>
        <v>46136</v>
      </c>
      <c r="B393" s="43">
        <f>YEAR(Table13[[#This Row],[Date]])+IF(MONTH(Table13[[#This Row],[Date]])&gt;=4,1,0)</f>
        <v>2027</v>
      </c>
      <c r="C393" s="10">
        <f>YEAR(Table13[[#This Row],[Date]])</f>
        <v>2026</v>
      </c>
      <c r="D393" s="309">
        <f>Table13[[#This Row],[Date]]-DAY(Table13[[#This Row],[Date]])+1</f>
        <v>46113</v>
      </c>
      <c r="E393" s="10">
        <f t="shared" si="35"/>
        <v>30</v>
      </c>
      <c r="F393" s="241" t="str">
        <f>IFERROR(_xlfn.XLOOKUP($A393,Input_Raw!$E:$E,Input_Raw!DC:DC),"")</f>
        <v/>
      </c>
      <c r="G393" s="242"/>
      <c r="H393" s="242"/>
      <c r="I393" s="242"/>
      <c r="J393" s="242"/>
      <c r="K393" s="243"/>
      <c r="L393" s="242"/>
      <c r="M393" s="242" t="str">
        <f>IFERROR(_xlfn.XLOOKUP($A393,Input_Raw!$E:$E,Input_Raw!$BM:$BM),"")</f>
        <v/>
      </c>
      <c r="N393" s="242" t="str">
        <f>IFERROR(_xlfn.XLOOKUP($A393,Input_Raw!$E:$E,Input_Raw!$BN:$BN),"")</f>
        <v/>
      </c>
      <c r="O393" s="311" t="str">
        <f t="shared" si="36"/>
        <v/>
      </c>
      <c r="P393" s="311" t="str">
        <f>IFERROR(1-SUMIF(WTG_BD!$F:$F,$A393,WTG_BD!$AA:$AA)/($AA393+SUMIF(WTG_BD!$F:$F,$A393,WTG_BD!$AA:$AA)),"")</f>
        <v/>
      </c>
      <c r="Q393" s="328" t="str">
        <f>IFERROR(1-SUMIF(IGA_BD!$F:$F,$A393,IGA_BD!$W:$W)/($AA393+SUMIF(IGA_BD!$F:$F,$A393,IGA_BD!$W:$W)),"")</f>
        <v/>
      </c>
      <c r="R393" s="311" t="str">
        <f>IFERROR(1-SUMIF(Grid_BD!$F:$F,$A393,Grid_BD!$Y:$Y)/($AA393+SUMIF(Grid_BD!$F:$F,$A393,Grid_BD!$Y:$Y)),"")</f>
        <v/>
      </c>
      <c r="S393" s="10"/>
      <c r="T393" s="310"/>
      <c r="U393" s="311"/>
      <c r="V393" s="10"/>
      <c r="W393" s="312" t="str">
        <f t="shared" si="37"/>
        <v/>
      </c>
      <c r="X393" s="10" t="str">
        <f>IFERROR(_xlfn.XLOOKUP($A393,Input_Raw!$E:$E,Input_Raw!BG:BG),"")</f>
        <v/>
      </c>
      <c r="Y393" s="10" t="str">
        <f>IFERROR(_xlfn.XLOOKUP($A393,Input_Raw!$E:$E,Input_Raw!DF:DF),"")</f>
        <v/>
      </c>
      <c r="Z393" s="319" t="str">
        <f>IFERROR(_xlfn.XLOOKUP(A393,Input_Raw!E:E,Input_Raw!CT:CT)/_xlfn.XLOOKUP(A393,Input_Raw!E:E,Input_Raw!CS:CS)*Table13[[#This Row],[Mtr_Export (kWh)]],"")</f>
        <v/>
      </c>
      <c r="AA393" s="43" t="str">
        <f t="shared" si="38"/>
        <v/>
      </c>
      <c r="AB393" s="10" t="str">
        <f>IFERROR(_xlfn.XLOOKUP($A393,Input_Raw!$E:$E,Input_Raw!$CZ:$CZ),"")</f>
        <v/>
      </c>
      <c r="AC393" s="313" t="str">
        <f>IFERROR(_xlfn.XLOOKUP($D393,'Modelling New'!$D:$D,'Modelling New'!$J:$J),"")</f>
        <v/>
      </c>
      <c r="AD393" s="43" t="str">
        <f>IFERROR(_xlfn.XLOOKUP($D393,'Modelling New'!$D:$D,'Modelling New'!$T:$T)*1000,"")</f>
        <v/>
      </c>
      <c r="AE393" s="312"/>
      <c r="AF393" s="312" t="str">
        <f>IFERROR(_xlfn.XLOOKUP($D393,'Modelling New'!$D:$D,'Modelling New'!$W:$W),"")</f>
        <v/>
      </c>
      <c r="AG393" s="312" t="str">
        <f>IFERROR(_xlfn.XLOOKUP($D393,'Modelling New'!$D:$D,'Modelling New'!$AE:$AE),"")</f>
        <v/>
      </c>
      <c r="AH393" s="312" t="str">
        <f>IFERROR(_xlfn.XLOOKUP($D393,'Modelling New'!$D:$D,'Modelling New'!$AF:$AF),"")</f>
        <v/>
      </c>
      <c r="AI393" s="10" t="str">
        <f>IFERROR(_xlfn.XLOOKUP($A393,Input_Raw!$E:$E,Input_Raw!$DG:$DG),"")</f>
        <v/>
      </c>
      <c r="AJ393" s="10"/>
      <c r="AK393" s="10"/>
      <c r="AL393" s="10"/>
      <c r="AM393" s="10"/>
      <c r="AN393" s="314" t="str">
        <f>IFERROR(_xlfn.XLOOKUP($A393,Input_Raw!$E:$E,Input_Raw!$CY:$CY),"")</f>
        <v/>
      </c>
      <c r="AO393" s="312" t="str">
        <f>IFERROR((_xlfn.XLOOKUP($A393,'WTG Reactive Power'!$A:$A,'WTG Reactive Power'!AB:AB))/X393,"")</f>
        <v/>
      </c>
      <c r="AP393" s="312" t="str">
        <f>IFERROR(_xlfn.XLOOKUP($D393,'Modelling New'!$D:$D,'Modelling New'!AK:AK),"")</f>
        <v/>
      </c>
      <c r="AQ393" s="312" t="str">
        <f>IFERROR(_xlfn.XLOOKUP($D393,'Modelling New'!$D:$D,'Modelling New'!AL:AL),"")</f>
        <v/>
      </c>
      <c r="AR393" s="325" t="str">
        <f>IFERROR(_xlfn.XLOOKUP($D393,'Modelling New'!$D:$D,'Modelling New'!$N:$N),"")</f>
        <v/>
      </c>
      <c r="AS393" s="325"/>
    </row>
    <row r="394" spans="1:45">
      <c r="A394" s="32">
        <f t="shared" si="39"/>
        <v>46137</v>
      </c>
      <c r="B394" s="43">
        <f>YEAR(Table13[[#This Row],[Date]])+IF(MONTH(Table13[[#This Row],[Date]])&gt;=4,1,0)</f>
        <v>2027</v>
      </c>
      <c r="C394" s="10">
        <f>YEAR(Table13[[#This Row],[Date]])</f>
        <v>2026</v>
      </c>
      <c r="D394" s="309">
        <f>Table13[[#This Row],[Date]]-DAY(Table13[[#This Row],[Date]])+1</f>
        <v>46113</v>
      </c>
      <c r="E394" s="10">
        <f t="shared" si="35"/>
        <v>30</v>
      </c>
      <c r="F394" s="241" t="str">
        <f>IFERROR(_xlfn.XLOOKUP($A394,Input_Raw!$E:$E,Input_Raw!DC:DC),"")</f>
        <v/>
      </c>
      <c r="G394" s="313"/>
      <c r="H394" s="313"/>
      <c r="I394" s="313"/>
      <c r="J394" s="313"/>
      <c r="K394" s="243"/>
      <c r="L394" s="242"/>
      <c r="M394" s="242" t="str">
        <f>IFERROR(_xlfn.XLOOKUP($A394,Input_Raw!$E:$E,Input_Raw!$BM:$BM),"")</f>
        <v/>
      </c>
      <c r="N394" s="242" t="str">
        <f>IFERROR(_xlfn.XLOOKUP($A394,Input_Raw!$E:$E,Input_Raw!$BN:$BN),"")</f>
        <v/>
      </c>
      <c r="O394" s="311" t="str">
        <f t="shared" si="36"/>
        <v/>
      </c>
      <c r="P394" s="311" t="str">
        <f>IFERROR(1-SUMIF(WTG_BD!$F:$F,$A394,WTG_BD!$AA:$AA)/($AA394+SUMIF(WTG_BD!$F:$F,$A394,WTG_BD!$AA:$AA)),"")</f>
        <v/>
      </c>
      <c r="Q394" s="328" t="str">
        <f>IFERROR(1-SUMIF(IGA_BD!$F:$F,$A394,IGA_BD!$W:$W)/($AA394+SUMIF(IGA_BD!$F:$F,$A394,IGA_BD!$W:$W)),"")</f>
        <v/>
      </c>
      <c r="R394" s="47" t="str">
        <f>IFERROR(1-SUMIF(Grid_BD!$F:$F,$A394,Grid_BD!$Y:$Y)/($AA394+SUMIF(Grid_BD!$F:$F,$A394,Grid_BD!$Y:$Y)),"")</f>
        <v/>
      </c>
      <c r="S394" s="10"/>
      <c r="T394" s="310"/>
      <c r="U394" s="311"/>
      <c r="V394" s="10"/>
      <c r="W394" s="312" t="str">
        <f t="shared" si="37"/>
        <v/>
      </c>
      <c r="X394" s="10" t="str">
        <f>IFERROR(_xlfn.XLOOKUP($A394,Input_Raw!$E:$E,Input_Raw!BG:BG),"")</f>
        <v/>
      </c>
      <c r="Y394" s="10" t="str">
        <f>IFERROR(_xlfn.XLOOKUP($A394,Input_Raw!$E:$E,Input_Raw!DF:DF),"")</f>
        <v/>
      </c>
      <c r="Z394" s="319" t="str">
        <f>IFERROR(_xlfn.XLOOKUP(A394,Input_Raw!E:E,Input_Raw!CT:CT)/_xlfn.XLOOKUP(A394,Input_Raw!E:E,Input_Raw!CS:CS)*Table13[[#This Row],[Mtr_Export (kWh)]],"")</f>
        <v/>
      </c>
      <c r="AA394" s="43" t="str">
        <f t="shared" si="38"/>
        <v/>
      </c>
      <c r="AB394" s="10" t="str">
        <f>IFERROR(_xlfn.XLOOKUP($A394,Input_Raw!$E:$E,Input_Raw!$CZ:$CZ),"")</f>
        <v/>
      </c>
      <c r="AC394" s="313" t="str">
        <f>IFERROR(_xlfn.XLOOKUP($D394,'Modelling New'!$D:$D,'Modelling New'!$J:$J),"")</f>
        <v/>
      </c>
      <c r="AD394" s="43" t="str">
        <f>IFERROR(_xlfn.XLOOKUP($D394,'Modelling New'!$D:$D,'Modelling New'!$T:$T)*1000,"")</f>
        <v/>
      </c>
      <c r="AE394" s="312"/>
      <c r="AF394" s="312" t="str">
        <f>IFERROR(_xlfn.XLOOKUP($D394,'Modelling New'!$D:$D,'Modelling New'!$W:$W),"")</f>
        <v/>
      </c>
      <c r="AG394" s="312" t="str">
        <f>IFERROR(_xlfn.XLOOKUP($D394,'Modelling New'!$D:$D,'Modelling New'!$AE:$AE),"")</f>
        <v/>
      </c>
      <c r="AH394" s="312" t="str">
        <f>IFERROR(_xlfn.XLOOKUP($D394,'Modelling New'!$D:$D,'Modelling New'!$AF:$AF),"")</f>
        <v/>
      </c>
      <c r="AI394" s="10" t="str">
        <f>IFERROR(_xlfn.XLOOKUP($A394,Input_Raw!$E:$E,Input_Raw!$DG:$DG),"")</f>
        <v/>
      </c>
      <c r="AJ394" s="10"/>
      <c r="AK394" s="10"/>
      <c r="AL394" s="10"/>
      <c r="AM394" s="10"/>
      <c r="AN394" s="314" t="str">
        <f>IFERROR(_xlfn.XLOOKUP($A394,Input_Raw!$E:$E,Input_Raw!$CY:$CY),"")</f>
        <v/>
      </c>
      <c r="AO394" s="312" t="str">
        <f>IFERROR((_xlfn.XLOOKUP($A394,'WTG Reactive Power'!$A:$A,'WTG Reactive Power'!AB:AB))/X394,"")</f>
        <v/>
      </c>
      <c r="AP394" s="312" t="str">
        <f>IFERROR(_xlfn.XLOOKUP($D394,'Modelling New'!$D:$D,'Modelling New'!AK:AK),"")</f>
        <v/>
      </c>
      <c r="AQ394" s="312" t="str">
        <f>IFERROR(_xlfn.XLOOKUP($D394,'Modelling New'!$D:$D,'Modelling New'!AL:AL),"")</f>
        <v/>
      </c>
      <c r="AR394" s="325" t="str">
        <f>IFERROR(_xlfn.XLOOKUP($D394,'Modelling New'!$D:$D,'Modelling New'!$N:$N),"")</f>
        <v/>
      </c>
      <c r="AS394" s="325"/>
    </row>
    <row r="395" spans="1:45">
      <c r="A395" s="32">
        <f t="shared" si="39"/>
        <v>46138</v>
      </c>
      <c r="B395" s="43">
        <f>YEAR(Table13[[#This Row],[Date]])+IF(MONTH(Table13[[#This Row],[Date]])&gt;=4,1,0)</f>
        <v>2027</v>
      </c>
      <c r="C395" s="10">
        <f>YEAR(Table13[[#This Row],[Date]])</f>
        <v>2026</v>
      </c>
      <c r="D395" s="309">
        <f>Table13[[#This Row],[Date]]-DAY(Table13[[#This Row],[Date]])+1</f>
        <v>46113</v>
      </c>
      <c r="E395" s="10">
        <f t="shared" si="35"/>
        <v>30</v>
      </c>
      <c r="F395" s="241" t="str">
        <f>IFERROR(_xlfn.XLOOKUP($A395,Input_Raw!$E:$E,Input_Raw!DC:DC),"")</f>
        <v/>
      </c>
      <c r="G395" s="242"/>
      <c r="H395" s="242"/>
      <c r="I395" s="242"/>
      <c r="J395" s="242"/>
      <c r="K395" s="243"/>
      <c r="L395" s="242"/>
      <c r="M395" s="242" t="str">
        <f>IFERROR(_xlfn.XLOOKUP($A395,Input_Raw!$E:$E,Input_Raw!$BM:$BM),"")</f>
        <v/>
      </c>
      <c r="N395" s="242" t="str">
        <f>IFERROR(_xlfn.XLOOKUP($A395,Input_Raw!$E:$E,Input_Raw!$BN:$BN),"")</f>
        <v/>
      </c>
      <c r="O395" s="311" t="str">
        <f t="shared" si="36"/>
        <v/>
      </c>
      <c r="P395" s="311" t="str">
        <f>IFERROR(1-SUMIF(WTG_BD!$F:$F,$A395,WTG_BD!$AA:$AA)/($AA395+SUMIF(WTG_BD!$F:$F,$A395,WTG_BD!$AA:$AA)),"")</f>
        <v/>
      </c>
      <c r="Q395" s="328" t="str">
        <f>IFERROR(1-SUMIF(IGA_BD!$F:$F,$A395,IGA_BD!$W:$W)/($AA395+SUMIF(IGA_BD!$F:$F,$A395,IGA_BD!$W:$W)),"")</f>
        <v/>
      </c>
      <c r="R395" s="311" t="str">
        <f>IFERROR(1-SUMIF(Grid_BD!$F:$F,$A395,Grid_BD!$Y:$Y)/($AA395+SUMIF(Grid_BD!$F:$F,$A395,Grid_BD!$Y:$Y)),"")</f>
        <v/>
      </c>
      <c r="S395" s="10"/>
      <c r="T395" s="310"/>
      <c r="U395" s="311"/>
      <c r="V395" s="10"/>
      <c r="W395" s="312" t="str">
        <f t="shared" si="37"/>
        <v/>
      </c>
      <c r="X395" s="10" t="str">
        <f>IFERROR(_xlfn.XLOOKUP($A395,Input_Raw!$E:$E,Input_Raw!BG:BG),"")</f>
        <v/>
      </c>
      <c r="Y395" s="10" t="str">
        <f>IFERROR(_xlfn.XLOOKUP($A395,Input_Raw!$E:$E,Input_Raw!DF:DF),"")</f>
        <v/>
      </c>
      <c r="Z395" s="319" t="str">
        <f>IFERROR(_xlfn.XLOOKUP(A395,Input_Raw!E:E,Input_Raw!CT:CT)/_xlfn.XLOOKUP(A395,Input_Raw!E:E,Input_Raw!CS:CS)*Table13[[#This Row],[Mtr_Export (kWh)]],"")</f>
        <v/>
      </c>
      <c r="AA395" s="43" t="str">
        <f t="shared" si="38"/>
        <v/>
      </c>
      <c r="AB395" s="10" t="str">
        <f>IFERROR(_xlfn.XLOOKUP($A395,Input_Raw!$E:$E,Input_Raw!$CZ:$CZ),"")</f>
        <v/>
      </c>
      <c r="AC395" s="313" t="str">
        <f>IFERROR(_xlfn.XLOOKUP($D395,'Modelling New'!$D:$D,'Modelling New'!$J:$J),"")</f>
        <v/>
      </c>
      <c r="AD395" s="43" t="str">
        <f>IFERROR(_xlfn.XLOOKUP($D395,'Modelling New'!$D:$D,'Modelling New'!$T:$T)*1000,"")</f>
        <v/>
      </c>
      <c r="AE395" s="312"/>
      <c r="AF395" s="312" t="str">
        <f>IFERROR(_xlfn.XLOOKUP($D395,'Modelling New'!$D:$D,'Modelling New'!$W:$W),"")</f>
        <v/>
      </c>
      <c r="AG395" s="312" t="str">
        <f>IFERROR(_xlfn.XLOOKUP($D395,'Modelling New'!$D:$D,'Modelling New'!$AE:$AE),"")</f>
        <v/>
      </c>
      <c r="AH395" s="312" t="str">
        <f>IFERROR(_xlfn.XLOOKUP($D395,'Modelling New'!$D:$D,'Modelling New'!$AF:$AF),"")</f>
        <v/>
      </c>
      <c r="AI395" s="10" t="str">
        <f>IFERROR(_xlfn.XLOOKUP($A395,Input_Raw!$E:$E,Input_Raw!$DG:$DG),"")</f>
        <v/>
      </c>
      <c r="AJ395" s="10"/>
      <c r="AK395" s="10"/>
      <c r="AL395" s="10"/>
      <c r="AM395" s="10"/>
      <c r="AN395" s="314" t="str">
        <f>IFERROR(_xlfn.XLOOKUP($A395,Input_Raw!$E:$E,Input_Raw!$CY:$CY),"")</f>
        <v/>
      </c>
      <c r="AO395" s="312" t="str">
        <f>IFERROR((_xlfn.XLOOKUP($A395,'WTG Reactive Power'!$A:$A,'WTG Reactive Power'!AB:AB))/X395,"")</f>
        <v/>
      </c>
      <c r="AP395" s="312" t="str">
        <f>IFERROR(_xlfn.XLOOKUP($D395,'Modelling New'!$D:$D,'Modelling New'!AK:AK),"")</f>
        <v/>
      </c>
      <c r="AQ395" s="312" t="str">
        <f>IFERROR(_xlfn.XLOOKUP($D395,'Modelling New'!$D:$D,'Modelling New'!AL:AL),"")</f>
        <v/>
      </c>
      <c r="AR395" s="325" t="str">
        <f>IFERROR(_xlfn.XLOOKUP($D395,'Modelling New'!$D:$D,'Modelling New'!$N:$N),"")</f>
        <v/>
      </c>
      <c r="AS395" s="325"/>
    </row>
    <row r="396" spans="1:45">
      <c r="A396" s="32">
        <f t="shared" si="39"/>
        <v>46139</v>
      </c>
      <c r="B396" s="43">
        <f>YEAR(Table13[[#This Row],[Date]])+IF(MONTH(Table13[[#This Row],[Date]])&gt;=4,1,0)</f>
        <v>2027</v>
      </c>
      <c r="C396" s="10">
        <f>YEAR(Table13[[#This Row],[Date]])</f>
        <v>2026</v>
      </c>
      <c r="D396" s="309">
        <f>Table13[[#This Row],[Date]]-DAY(Table13[[#This Row],[Date]])+1</f>
        <v>46113</v>
      </c>
      <c r="E396" s="10">
        <f t="shared" si="35"/>
        <v>30</v>
      </c>
      <c r="F396" s="241" t="str">
        <f>IFERROR(_xlfn.XLOOKUP($A396,Input_Raw!$E:$E,Input_Raw!DC:DC),"")</f>
        <v/>
      </c>
      <c r="G396" s="313"/>
      <c r="H396" s="313"/>
      <c r="I396" s="313"/>
      <c r="J396" s="313"/>
      <c r="K396" s="243"/>
      <c r="L396" s="242"/>
      <c r="M396" s="242" t="str">
        <f>IFERROR(_xlfn.XLOOKUP($A396,Input_Raw!$E:$E,Input_Raw!$BM:$BM),"")</f>
        <v/>
      </c>
      <c r="N396" s="242" t="str">
        <f>IFERROR(_xlfn.XLOOKUP($A396,Input_Raw!$E:$E,Input_Raw!$BN:$BN),"")</f>
        <v/>
      </c>
      <c r="O396" s="311" t="str">
        <f t="shared" si="36"/>
        <v/>
      </c>
      <c r="P396" s="311" t="str">
        <f>IFERROR(1-SUMIF(WTG_BD!$F:$F,$A396,WTG_BD!$AA:$AA)/($AA396+SUMIF(WTG_BD!$F:$F,$A396,WTG_BD!$AA:$AA)),"")</f>
        <v/>
      </c>
      <c r="Q396" s="328" t="str">
        <f>IFERROR(1-SUMIF(IGA_BD!$F:$F,$A396,IGA_BD!$W:$W)/($AA396+SUMIF(IGA_BD!$F:$F,$A396,IGA_BD!$W:$W)),"")</f>
        <v/>
      </c>
      <c r="R396" s="47" t="str">
        <f>IFERROR(1-SUMIF(Grid_BD!$F:$F,$A396,Grid_BD!$Y:$Y)/($AA396+SUMIF(Grid_BD!$F:$F,$A396,Grid_BD!$Y:$Y)),"")</f>
        <v/>
      </c>
      <c r="S396" s="10"/>
      <c r="T396" s="310"/>
      <c r="U396" s="311"/>
      <c r="V396" s="10"/>
      <c r="W396" s="312" t="str">
        <f t="shared" si="37"/>
        <v/>
      </c>
      <c r="X396" s="10" t="str">
        <f>IFERROR(_xlfn.XLOOKUP($A396,Input_Raw!$E:$E,Input_Raw!BG:BG),"")</f>
        <v/>
      </c>
      <c r="Y396" s="10" t="str">
        <f>IFERROR(_xlfn.XLOOKUP($A396,Input_Raw!$E:$E,Input_Raw!DF:DF),"")</f>
        <v/>
      </c>
      <c r="Z396" s="319" t="str">
        <f>IFERROR(_xlfn.XLOOKUP(A396,Input_Raw!E:E,Input_Raw!CT:CT)/_xlfn.XLOOKUP(A396,Input_Raw!E:E,Input_Raw!CS:CS)*Table13[[#This Row],[Mtr_Export (kWh)]],"")</f>
        <v/>
      </c>
      <c r="AA396" s="43" t="str">
        <f t="shared" si="38"/>
        <v/>
      </c>
      <c r="AB396" s="10" t="str">
        <f>IFERROR(_xlfn.XLOOKUP($A396,Input_Raw!$E:$E,Input_Raw!$CZ:$CZ),"")</f>
        <v/>
      </c>
      <c r="AC396" s="313" t="str">
        <f>IFERROR(_xlfn.XLOOKUP($D396,'Modelling New'!$D:$D,'Modelling New'!$J:$J),"")</f>
        <v/>
      </c>
      <c r="AD396" s="43" t="str">
        <f>IFERROR(_xlfn.XLOOKUP($D396,'Modelling New'!$D:$D,'Modelling New'!$T:$T)*1000,"")</f>
        <v/>
      </c>
      <c r="AE396" s="312"/>
      <c r="AF396" s="312" t="str">
        <f>IFERROR(_xlfn.XLOOKUP($D396,'Modelling New'!$D:$D,'Modelling New'!$W:$W),"")</f>
        <v/>
      </c>
      <c r="AG396" s="312" t="str">
        <f>IFERROR(_xlfn.XLOOKUP($D396,'Modelling New'!$D:$D,'Modelling New'!$AE:$AE),"")</f>
        <v/>
      </c>
      <c r="AH396" s="312" t="str">
        <f>IFERROR(_xlfn.XLOOKUP($D396,'Modelling New'!$D:$D,'Modelling New'!$AF:$AF),"")</f>
        <v/>
      </c>
      <c r="AI396" s="10" t="str">
        <f>IFERROR(_xlfn.XLOOKUP($A396,Input_Raw!$E:$E,Input_Raw!$DG:$DG),"")</f>
        <v/>
      </c>
      <c r="AJ396" s="10"/>
      <c r="AK396" s="10"/>
      <c r="AL396" s="10"/>
      <c r="AM396" s="10"/>
      <c r="AN396" s="314" t="str">
        <f>IFERROR(_xlfn.XLOOKUP($A396,Input_Raw!$E:$E,Input_Raw!$CY:$CY),"")</f>
        <v/>
      </c>
      <c r="AO396" s="312" t="str">
        <f>IFERROR((_xlfn.XLOOKUP($A396,'WTG Reactive Power'!$A:$A,'WTG Reactive Power'!AB:AB))/X396,"")</f>
        <v/>
      </c>
      <c r="AP396" s="312" t="str">
        <f>IFERROR(_xlfn.XLOOKUP($D396,'Modelling New'!$D:$D,'Modelling New'!AK:AK),"")</f>
        <v/>
      </c>
      <c r="AQ396" s="312" t="str">
        <f>IFERROR(_xlfn.XLOOKUP($D396,'Modelling New'!$D:$D,'Modelling New'!AL:AL),"")</f>
        <v/>
      </c>
      <c r="AR396" s="325" t="str">
        <f>IFERROR(_xlfn.XLOOKUP($D396,'Modelling New'!$D:$D,'Modelling New'!$N:$N),"")</f>
        <v/>
      </c>
      <c r="AS396" s="325"/>
    </row>
    <row r="397" spans="1:45">
      <c r="A397" s="32">
        <f t="shared" si="39"/>
        <v>46140</v>
      </c>
      <c r="B397" s="43">
        <f>YEAR(Table13[[#This Row],[Date]])+IF(MONTH(Table13[[#This Row],[Date]])&gt;=4,1,0)</f>
        <v>2027</v>
      </c>
      <c r="C397" s="10">
        <f>YEAR(Table13[[#This Row],[Date]])</f>
        <v>2026</v>
      </c>
      <c r="D397" s="309">
        <f>Table13[[#This Row],[Date]]-DAY(Table13[[#This Row],[Date]])+1</f>
        <v>46113</v>
      </c>
      <c r="E397" s="10">
        <f t="shared" si="35"/>
        <v>30</v>
      </c>
      <c r="F397" s="241" t="str">
        <f>IFERROR(_xlfn.XLOOKUP($A397,Input_Raw!$E:$E,Input_Raw!DC:DC),"")</f>
        <v/>
      </c>
      <c r="G397" s="242"/>
      <c r="H397" s="242"/>
      <c r="I397" s="242"/>
      <c r="J397" s="242"/>
      <c r="K397" s="243"/>
      <c r="L397" s="242"/>
      <c r="M397" s="242" t="str">
        <f>IFERROR(_xlfn.XLOOKUP($A397,Input_Raw!$E:$E,Input_Raw!$BM:$BM),"")</f>
        <v/>
      </c>
      <c r="N397" s="242" t="str">
        <f>IFERROR(_xlfn.XLOOKUP($A397,Input_Raw!$E:$E,Input_Raw!$BN:$BN),"")</f>
        <v/>
      </c>
      <c r="O397" s="311" t="str">
        <f t="shared" si="36"/>
        <v/>
      </c>
      <c r="P397" s="311" t="str">
        <f>IFERROR(1-SUMIF(WTG_BD!$F:$F,$A397,WTG_BD!$AA:$AA)/($AA397+SUMIF(WTG_BD!$F:$F,$A397,WTG_BD!$AA:$AA)),"")</f>
        <v/>
      </c>
      <c r="Q397" s="328" t="str">
        <f>IFERROR(1-SUMIF(IGA_BD!$F:$F,$A397,IGA_BD!$W:$W)/($AA397+SUMIF(IGA_BD!$F:$F,$A397,IGA_BD!$W:$W)),"")</f>
        <v/>
      </c>
      <c r="R397" s="311" t="str">
        <f>IFERROR(1-SUMIF(Grid_BD!$F:$F,$A397,Grid_BD!$Y:$Y)/($AA397+SUMIF(Grid_BD!$F:$F,$A397,Grid_BD!$Y:$Y)),"")</f>
        <v/>
      </c>
      <c r="S397" s="10"/>
      <c r="T397" s="310"/>
      <c r="U397" s="311"/>
      <c r="V397" s="10"/>
      <c r="W397" s="312" t="str">
        <f t="shared" si="37"/>
        <v/>
      </c>
      <c r="X397" s="10" t="str">
        <f>IFERROR(_xlfn.XLOOKUP($A397,Input_Raw!$E:$E,Input_Raw!BG:BG),"")</f>
        <v/>
      </c>
      <c r="Y397" s="10" t="str">
        <f>IFERROR(_xlfn.XLOOKUP($A397,Input_Raw!$E:$E,Input_Raw!DF:DF),"")</f>
        <v/>
      </c>
      <c r="Z397" s="319" t="str">
        <f>IFERROR(_xlfn.XLOOKUP(A397,Input_Raw!E:E,Input_Raw!CT:CT)/_xlfn.XLOOKUP(A397,Input_Raw!E:E,Input_Raw!CS:CS)*Table13[[#This Row],[Mtr_Export (kWh)]],"")</f>
        <v/>
      </c>
      <c r="AA397" s="43" t="str">
        <f t="shared" si="38"/>
        <v/>
      </c>
      <c r="AB397" s="10" t="str">
        <f>IFERROR(_xlfn.XLOOKUP($A397,Input_Raw!$E:$E,Input_Raw!$CZ:$CZ),"")</f>
        <v/>
      </c>
      <c r="AC397" s="313" t="str">
        <f>IFERROR(_xlfn.XLOOKUP($D397,'Modelling New'!$D:$D,'Modelling New'!$J:$J),"")</f>
        <v/>
      </c>
      <c r="AD397" s="43" t="str">
        <f>IFERROR(_xlfn.XLOOKUP($D397,'Modelling New'!$D:$D,'Modelling New'!$T:$T)*1000,"")</f>
        <v/>
      </c>
      <c r="AE397" s="312"/>
      <c r="AF397" s="312" t="str">
        <f>IFERROR(_xlfn.XLOOKUP($D397,'Modelling New'!$D:$D,'Modelling New'!$W:$W),"")</f>
        <v/>
      </c>
      <c r="AG397" s="312" t="str">
        <f>IFERROR(_xlfn.XLOOKUP($D397,'Modelling New'!$D:$D,'Modelling New'!$AE:$AE),"")</f>
        <v/>
      </c>
      <c r="AH397" s="312" t="str">
        <f>IFERROR(_xlfn.XLOOKUP($D397,'Modelling New'!$D:$D,'Modelling New'!$AF:$AF),"")</f>
        <v/>
      </c>
      <c r="AI397" s="10" t="str">
        <f>IFERROR(_xlfn.XLOOKUP($A397,Input_Raw!$E:$E,Input_Raw!$DG:$DG),"")</f>
        <v/>
      </c>
      <c r="AJ397" s="10"/>
      <c r="AK397" s="10"/>
      <c r="AL397" s="10"/>
      <c r="AM397" s="10"/>
      <c r="AN397" s="314" t="str">
        <f>IFERROR(_xlfn.XLOOKUP($A397,Input_Raw!$E:$E,Input_Raw!$CY:$CY),"")</f>
        <v/>
      </c>
      <c r="AO397" s="312" t="str">
        <f>IFERROR((_xlfn.XLOOKUP($A397,'WTG Reactive Power'!$A:$A,'WTG Reactive Power'!AB:AB))/X397,"")</f>
        <v/>
      </c>
      <c r="AP397" s="312" t="str">
        <f>IFERROR(_xlfn.XLOOKUP($D397,'Modelling New'!$D:$D,'Modelling New'!AK:AK),"")</f>
        <v/>
      </c>
      <c r="AQ397" s="312" t="str">
        <f>IFERROR(_xlfn.XLOOKUP($D397,'Modelling New'!$D:$D,'Modelling New'!AL:AL),"")</f>
        <v/>
      </c>
      <c r="AR397" s="325" t="str">
        <f>IFERROR(_xlfn.XLOOKUP($D397,'Modelling New'!$D:$D,'Modelling New'!$N:$N),"")</f>
        <v/>
      </c>
      <c r="AS397" s="325"/>
    </row>
    <row r="398" spans="1:45">
      <c r="A398" s="32">
        <f t="shared" si="39"/>
        <v>46141</v>
      </c>
      <c r="B398" s="43">
        <f>YEAR(Table13[[#This Row],[Date]])+IF(MONTH(Table13[[#This Row],[Date]])&gt;=4,1,0)</f>
        <v>2027</v>
      </c>
      <c r="C398" s="10">
        <f>YEAR(Table13[[#This Row],[Date]])</f>
        <v>2026</v>
      </c>
      <c r="D398" s="309">
        <f>Table13[[#This Row],[Date]]-DAY(Table13[[#This Row],[Date]])+1</f>
        <v>46113</v>
      </c>
      <c r="E398" s="10">
        <f t="shared" si="35"/>
        <v>30</v>
      </c>
      <c r="F398" s="241" t="str">
        <f>IFERROR(_xlfn.XLOOKUP($A398,Input_Raw!$E:$E,Input_Raw!DC:DC),"")</f>
        <v/>
      </c>
      <c r="G398" s="313"/>
      <c r="H398" s="313"/>
      <c r="I398" s="313"/>
      <c r="J398" s="313"/>
      <c r="K398" s="243"/>
      <c r="L398" s="242"/>
      <c r="M398" s="242" t="str">
        <f>IFERROR(_xlfn.XLOOKUP($A398,Input_Raw!$E:$E,Input_Raw!$BM:$BM),"")</f>
        <v/>
      </c>
      <c r="N398" s="242" t="str">
        <f>IFERROR(_xlfn.XLOOKUP($A398,Input_Raw!$E:$E,Input_Raw!$BN:$BN),"")</f>
        <v/>
      </c>
      <c r="O398" s="311" t="str">
        <f t="shared" si="36"/>
        <v/>
      </c>
      <c r="P398" s="311" t="str">
        <f>IFERROR(1-SUMIF(WTG_BD!$F:$F,$A398,WTG_BD!$AA:$AA)/($AA398+SUMIF(WTG_BD!$F:$F,$A398,WTG_BD!$AA:$AA)),"")</f>
        <v/>
      </c>
      <c r="Q398" s="328" t="str">
        <f>IFERROR(1-SUMIF(IGA_BD!$F:$F,$A398,IGA_BD!$W:$W)/($AA398+SUMIF(IGA_BD!$F:$F,$A398,IGA_BD!$W:$W)),"")</f>
        <v/>
      </c>
      <c r="R398" s="47" t="str">
        <f>IFERROR(1-SUMIF(Grid_BD!$F:$F,$A398,Grid_BD!$Y:$Y)/($AA398+SUMIF(Grid_BD!$F:$F,$A398,Grid_BD!$Y:$Y)),"")</f>
        <v/>
      </c>
      <c r="S398" s="10"/>
      <c r="T398" s="310"/>
      <c r="U398" s="311"/>
      <c r="V398" s="10"/>
      <c r="W398" s="312" t="str">
        <f t="shared" si="37"/>
        <v/>
      </c>
      <c r="X398" s="10" t="str">
        <f>IFERROR(_xlfn.XLOOKUP($A398,Input_Raw!$E:$E,Input_Raw!BG:BG),"")</f>
        <v/>
      </c>
      <c r="Y398" s="10" t="str">
        <f>IFERROR(_xlfn.XLOOKUP($A398,Input_Raw!$E:$E,Input_Raw!DF:DF),"")</f>
        <v/>
      </c>
      <c r="Z398" s="319" t="str">
        <f>IFERROR(_xlfn.XLOOKUP(A398,Input_Raw!E:E,Input_Raw!CT:CT)/_xlfn.XLOOKUP(A398,Input_Raw!E:E,Input_Raw!CS:CS)*Table13[[#This Row],[Mtr_Export (kWh)]],"")</f>
        <v/>
      </c>
      <c r="AA398" s="43" t="str">
        <f t="shared" si="38"/>
        <v/>
      </c>
      <c r="AB398" s="10" t="str">
        <f>IFERROR(_xlfn.XLOOKUP($A398,Input_Raw!$E:$E,Input_Raw!$CZ:$CZ),"")</f>
        <v/>
      </c>
      <c r="AC398" s="313" t="str">
        <f>IFERROR(_xlfn.XLOOKUP($D398,'Modelling New'!$D:$D,'Modelling New'!$J:$J),"")</f>
        <v/>
      </c>
      <c r="AD398" s="43" t="str">
        <f>IFERROR(_xlfn.XLOOKUP($D398,'Modelling New'!$D:$D,'Modelling New'!$T:$T)*1000,"")</f>
        <v/>
      </c>
      <c r="AE398" s="312"/>
      <c r="AF398" s="312" t="str">
        <f>IFERROR(_xlfn.XLOOKUP($D398,'Modelling New'!$D:$D,'Modelling New'!$W:$W),"")</f>
        <v/>
      </c>
      <c r="AG398" s="312" t="str">
        <f>IFERROR(_xlfn.XLOOKUP($D398,'Modelling New'!$D:$D,'Modelling New'!$AE:$AE),"")</f>
        <v/>
      </c>
      <c r="AH398" s="312" t="str">
        <f>IFERROR(_xlfn.XLOOKUP($D398,'Modelling New'!$D:$D,'Modelling New'!$AF:$AF),"")</f>
        <v/>
      </c>
      <c r="AI398" s="10" t="str">
        <f>IFERROR(_xlfn.XLOOKUP($A398,Input_Raw!$E:$E,Input_Raw!$DG:$DG),"")</f>
        <v/>
      </c>
      <c r="AJ398" s="10"/>
      <c r="AK398" s="10"/>
      <c r="AL398" s="10"/>
      <c r="AM398" s="10"/>
      <c r="AN398" s="314" t="str">
        <f>IFERROR(_xlfn.XLOOKUP($A398,Input_Raw!$E:$E,Input_Raw!$CY:$CY),"")</f>
        <v/>
      </c>
      <c r="AO398" s="312" t="str">
        <f>IFERROR((_xlfn.XLOOKUP($A398,'WTG Reactive Power'!$A:$A,'WTG Reactive Power'!AB:AB))/X398,"")</f>
        <v/>
      </c>
      <c r="AP398" s="312" t="str">
        <f>IFERROR(_xlfn.XLOOKUP($D398,'Modelling New'!$D:$D,'Modelling New'!AK:AK),"")</f>
        <v/>
      </c>
      <c r="AQ398" s="312" t="str">
        <f>IFERROR(_xlfn.XLOOKUP($D398,'Modelling New'!$D:$D,'Modelling New'!AL:AL),"")</f>
        <v/>
      </c>
      <c r="AR398" s="325" t="str">
        <f>IFERROR(_xlfn.XLOOKUP($D398,'Modelling New'!$D:$D,'Modelling New'!$N:$N),"")</f>
        <v/>
      </c>
      <c r="AS398" s="325"/>
    </row>
    <row r="399" spans="1:45">
      <c r="A399" s="32">
        <f t="shared" si="39"/>
        <v>46142</v>
      </c>
      <c r="B399" s="43">
        <f>YEAR(Table13[[#This Row],[Date]])+IF(MONTH(Table13[[#This Row],[Date]])&gt;=4,1,0)</f>
        <v>2027</v>
      </c>
      <c r="C399" s="10">
        <f>YEAR(Table13[[#This Row],[Date]])</f>
        <v>2026</v>
      </c>
      <c r="D399" s="309">
        <f>Table13[[#This Row],[Date]]-DAY(Table13[[#This Row],[Date]])+1</f>
        <v>46113</v>
      </c>
      <c r="E399" s="10">
        <f t="shared" si="35"/>
        <v>30</v>
      </c>
      <c r="F399" s="241" t="str">
        <f>IFERROR(_xlfn.XLOOKUP($A399,Input_Raw!$E:$E,Input_Raw!DC:DC),"")</f>
        <v/>
      </c>
      <c r="G399" s="242"/>
      <c r="H399" s="242"/>
      <c r="I399" s="242"/>
      <c r="J399" s="242"/>
      <c r="K399" s="243"/>
      <c r="L399" s="242"/>
      <c r="M399" s="242" t="str">
        <f>IFERROR(_xlfn.XLOOKUP($A399,Input_Raw!$E:$E,Input_Raw!$BM:$BM),"")</f>
        <v/>
      </c>
      <c r="N399" s="242" t="str">
        <f>IFERROR(_xlfn.XLOOKUP($A399,Input_Raw!$E:$E,Input_Raw!$BN:$BN),"")</f>
        <v/>
      </c>
      <c r="O399" s="311" t="str">
        <f t="shared" si="36"/>
        <v/>
      </c>
      <c r="P399" s="311" t="str">
        <f>IFERROR(1-SUMIF(WTG_BD!$F:$F,$A399,WTG_BD!$AA:$AA)/($AA399+SUMIF(WTG_BD!$F:$F,$A399,WTG_BD!$AA:$AA)),"")</f>
        <v/>
      </c>
      <c r="Q399" s="328" t="str">
        <f>IFERROR(1-SUMIF(IGA_BD!$F:$F,$A399,IGA_BD!$W:$W)/($AA399+SUMIF(IGA_BD!$F:$F,$A399,IGA_BD!$W:$W)),"")</f>
        <v/>
      </c>
      <c r="R399" s="311" t="str">
        <f>IFERROR(1-SUMIF(Grid_BD!$F:$F,$A399,Grid_BD!$Y:$Y)/($AA399+SUMIF(Grid_BD!$F:$F,$A399,Grid_BD!$Y:$Y)),"")</f>
        <v/>
      </c>
      <c r="S399" s="10"/>
      <c r="T399" s="310"/>
      <c r="U399" s="311"/>
      <c r="V399" s="10"/>
      <c r="W399" s="312" t="str">
        <f t="shared" si="37"/>
        <v/>
      </c>
      <c r="X399" s="10" t="str">
        <f>IFERROR(_xlfn.XLOOKUP($A399,Input_Raw!$E:$E,Input_Raw!BG:BG),"")</f>
        <v/>
      </c>
      <c r="Y399" s="10" t="str">
        <f>IFERROR(_xlfn.XLOOKUP($A399,Input_Raw!$E:$E,Input_Raw!DF:DF),"")</f>
        <v/>
      </c>
      <c r="Z399" s="319" t="str">
        <f>IFERROR(_xlfn.XLOOKUP(A399,Input_Raw!E:E,Input_Raw!CT:CT)/_xlfn.XLOOKUP(A399,Input_Raw!E:E,Input_Raw!CS:CS)*Table13[[#This Row],[Mtr_Export (kWh)]],"")</f>
        <v/>
      </c>
      <c r="AA399" s="43" t="str">
        <f t="shared" si="38"/>
        <v/>
      </c>
      <c r="AB399" s="10" t="str">
        <f>IFERROR(_xlfn.XLOOKUP($A399,Input_Raw!$E:$E,Input_Raw!$CZ:$CZ),"")</f>
        <v/>
      </c>
      <c r="AC399" s="313" t="str">
        <f>IFERROR(_xlfn.XLOOKUP($D399,'Modelling New'!$D:$D,'Modelling New'!$J:$J),"")</f>
        <v/>
      </c>
      <c r="AD399" s="43" t="str">
        <f>IFERROR(_xlfn.XLOOKUP($D399,'Modelling New'!$D:$D,'Modelling New'!$T:$T)*1000,"")</f>
        <v/>
      </c>
      <c r="AE399" s="312"/>
      <c r="AF399" s="312" t="str">
        <f>IFERROR(_xlfn.XLOOKUP($D399,'Modelling New'!$D:$D,'Modelling New'!$W:$W),"")</f>
        <v/>
      </c>
      <c r="AG399" s="312" t="str">
        <f>IFERROR(_xlfn.XLOOKUP($D399,'Modelling New'!$D:$D,'Modelling New'!$AE:$AE),"")</f>
        <v/>
      </c>
      <c r="AH399" s="312" t="str">
        <f>IFERROR(_xlfn.XLOOKUP($D399,'Modelling New'!$D:$D,'Modelling New'!$AF:$AF),"")</f>
        <v/>
      </c>
      <c r="AI399" s="10" t="str">
        <f>IFERROR(_xlfn.XLOOKUP($A399,Input_Raw!$E:$E,Input_Raw!$DG:$DG),"")</f>
        <v/>
      </c>
      <c r="AJ399" s="10"/>
      <c r="AK399" s="10"/>
      <c r="AL399" s="10"/>
      <c r="AM399" s="10"/>
      <c r="AN399" s="314" t="str">
        <f>IFERROR(_xlfn.XLOOKUP($A399,Input_Raw!$E:$E,Input_Raw!$CY:$CY),"")</f>
        <v/>
      </c>
      <c r="AO399" s="312" t="str">
        <f>IFERROR((_xlfn.XLOOKUP($A399,'WTG Reactive Power'!$A:$A,'WTG Reactive Power'!AB:AB))/X399,"")</f>
        <v/>
      </c>
      <c r="AP399" s="312" t="str">
        <f>IFERROR(_xlfn.XLOOKUP($D399,'Modelling New'!$D:$D,'Modelling New'!AK:AK),"")</f>
        <v/>
      </c>
      <c r="AQ399" s="312" t="str">
        <f>IFERROR(_xlfn.XLOOKUP($D399,'Modelling New'!$D:$D,'Modelling New'!AL:AL),"")</f>
        <v/>
      </c>
      <c r="AR399" s="325" t="str">
        <f>IFERROR(_xlfn.XLOOKUP($D399,'Modelling New'!$D:$D,'Modelling New'!$N:$N),"")</f>
        <v/>
      </c>
      <c r="AS399" s="325"/>
    </row>
    <row r="400" spans="1:45">
      <c r="A400" s="32">
        <f t="shared" si="39"/>
        <v>46143</v>
      </c>
      <c r="B400" s="43">
        <f>YEAR(Table13[[#This Row],[Date]])+IF(MONTH(Table13[[#This Row],[Date]])&gt;=4,1,0)</f>
        <v>2027</v>
      </c>
      <c r="C400" s="10">
        <f>YEAR(Table13[[#This Row],[Date]])</f>
        <v>2026</v>
      </c>
      <c r="D400" s="309">
        <f>Table13[[#This Row],[Date]]-DAY(Table13[[#This Row],[Date]])+1</f>
        <v>46143</v>
      </c>
      <c r="E400" s="10">
        <f t="shared" si="35"/>
        <v>31</v>
      </c>
      <c r="F400" s="241" t="str">
        <f>IFERROR(_xlfn.XLOOKUP($A400,Input_Raw!$E:$E,Input_Raw!DC:DC),"")</f>
        <v/>
      </c>
      <c r="G400" s="313"/>
      <c r="H400" s="313"/>
      <c r="I400" s="313"/>
      <c r="J400" s="313"/>
      <c r="K400" s="243"/>
      <c r="L400" s="242"/>
      <c r="M400" s="242" t="str">
        <f>IFERROR(_xlfn.XLOOKUP($A400,Input_Raw!$E:$E,Input_Raw!$BM:$BM),"")</f>
        <v/>
      </c>
      <c r="N400" s="242" t="str">
        <f>IFERROR(_xlfn.XLOOKUP($A400,Input_Raw!$E:$E,Input_Raw!$BN:$BN),"")</f>
        <v/>
      </c>
      <c r="O400" s="311" t="str">
        <f t="shared" si="36"/>
        <v/>
      </c>
      <c r="P400" s="311" t="str">
        <f>IFERROR(1-SUMIF(WTG_BD!$F:$F,$A400,WTG_BD!$AA:$AA)/($AA400+SUMIF(WTG_BD!$F:$F,$A400,WTG_BD!$AA:$AA)),"")</f>
        <v/>
      </c>
      <c r="Q400" s="328" t="str">
        <f>IFERROR(1-SUMIF(IGA_BD!$F:$F,$A400,IGA_BD!$W:$W)/($AA400+SUMIF(IGA_BD!$F:$F,$A400,IGA_BD!$W:$W)),"")</f>
        <v/>
      </c>
      <c r="R400" s="47" t="str">
        <f>IFERROR(1-SUMIF(Grid_BD!$F:$F,$A400,Grid_BD!$Y:$Y)/($AA400+SUMIF(Grid_BD!$F:$F,$A400,Grid_BD!$Y:$Y)),"")</f>
        <v/>
      </c>
      <c r="S400" s="10"/>
      <c r="T400" s="310"/>
      <c r="U400" s="311"/>
      <c r="V400" s="10"/>
      <c r="W400" s="312" t="str">
        <f t="shared" si="37"/>
        <v/>
      </c>
      <c r="X400" s="10" t="str">
        <f>IFERROR(_xlfn.XLOOKUP($A400,Input_Raw!$E:$E,Input_Raw!BG:BG),"")</f>
        <v/>
      </c>
      <c r="Y400" s="10" t="str">
        <f>IFERROR(_xlfn.XLOOKUP($A400,Input_Raw!$E:$E,Input_Raw!DF:DF),"")</f>
        <v/>
      </c>
      <c r="Z400" s="319" t="str">
        <f>IFERROR(_xlfn.XLOOKUP(A400,Input_Raw!E:E,Input_Raw!CT:CT)/_xlfn.XLOOKUP(A400,Input_Raw!E:E,Input_Raw!CS:CS)*Table13[[#This Row],[Mtr_Export (kWh)]],"")</f>
        <v/>
      </c>
      <c r="AA400" s="43" t="str">
        <f t="shared" si="38"/>
        <v/>
      </c>
      <c r="AB400" s="10" t="str">
        <f>IFERROR(_xlfn.XLOOKUP($A400,Input_Raw!$E:$E,Input_Raw!$CZ:$CZ),"")</f>
        <v/>
      </c>
      <c r="AC400" s="313" t="str">
        <f>IFERROR(_xlfn.XLOOKUP($D400,'Modelling New'!$D:$D,'Modelling New'!$J:$J),"")</f>
        <v/>
      </c>
      <c r="AD400" s="43" t="str">
        <f>IFERROR(_xlfn.XLOOKUP($D400,'Modelling New'!$D:$D,'Modelling New'!$T:$T)*1000,"")</f>
        <v/>
      </c>
      <c r="AE400" s="312"/>
      <c r="AF400" s="312" t="str">
        <f>IFERROR(_xlfn.XLOOKUP($D400,'Modelling New'!$D:$D,'Modelling New'!$W:$W),"")</f>
        <v/>
      </c>
      <c r="AG400" s="312" t="str">
        <f>IFERROR(_xlfn.XLOOKUP($D400,'Modelling New'!$D:$D,'Modelling New'!$AE:$AE),"")</f>
        <v/>
      </c>
      <c r="AH400" s="312" t="str">
        <f>IFERROR(_xlfn.XLOOKUP($D400,'Modelling New'!$D:$D,'Modelling New'!$AF:$AF),"")</f>
        <v/>
      </c>
      <c r="AI400" s="10" t="str">
        <f>IFERROR(_xlfn.XLOOKUP($A400,Input_Raw!$E:$E,Input_Raw!$DG:$DG),"")</f>
        <v/>
      </c>
      <c r="AJ400" s="10"/>
      <c r="AK400" s="10"/>
      <c r="AL400" s="10"/>
      <c r="AM400" s="10"/>
      <c r="AN400" s="314" t="str">
        <f>IFERROR(_xlfn.XLOOKUP($A400,Input_Raw!$E:$E,Input_Raw!$CY:$CY),"")</f>
        <v/>
      </c>
      <c r="AO400" s="312" t="str">
        <f>IFERROR((_xlfn.XLOOKUP($A400,'WTG Reactive Power'!$A:$A,'WTG Reactive Power'!AB:AB))/X400,"")</f>
        <v/>
      </c>
      <c r="AP400" s="312" t="str">
        <f>IFERROR(_xlfn.XLOOKUP($D400,'Modelling New'!$D:$D,'Modelling New'!AK:AK),"")</f>
        <v/>
      </c>
      <c r="AQ400" s="312" t="str">
        <f>IFERROR(_xlfn.XLOOKUP($D400,'Modelling New'!$D:$D,'Modelling New'!AL:AL),"")</f>
        <v/>
      </c>
      <c r="AR400" s="325" t="str">
        <f>IFERROR(_xlfn.XLOOKUP($D400,'Modelling New'!$D:$D,'Modelling New'!$N:$N),"")</f>
        <v/>
      </c>
      <c r="AS400" s="325"/>
    </row>
    <row r="401" spans="1:45">
      <c r="A401" s="32">
        <f t="shared" si="39"/>
        <v>46144</v>
      </c>
      <c r="B401" s="43">
        <f>YEAR(Table13[[#This Row],[Date]])+IF(MONTH(Table13[[#This Row],[Date]])&gt;=4,1,0)</f>
        <v>2027</v>
      </c>
      <c r="C401" s="10">
        <f>YEAR(Table13[[#This Row],[Date]])</f>
        <v>2026</v>
      </c>
      <c r="D401" s="309">
        <f>Table13[[#This Row],[Date]]-DAY(Table13[[#This Row],[Date]])+1</f>
        <v>46143</v>
      </c>
      <c r="E401" s="10">
        <f t="shared" si="35"/>
        <v>31</v>
      </c>
      <c r="F401" s="241" t="str">
        <f>IFERROR(_xlfn.XLOOKUP($A401,Input_Raw!$E:$E,Input_Raw!DC:DC),"")</f>
        <v/>
      </c>
      <c r="G401" s="242"/>
      <c r="H401" s="242"/>
      <c r="I401" s="242"/>
      <c r="J401" s="242"/>
      <c r="K401" s="243"/>
      <c r="L401" s="242"/>
      <c r="M401" s="242" t="str">
        <f>IFERROR(_xlfn.XLOOKUP($A401,Input_Raw!$E:$E,Input_Raw!$BM:$BM),"")</f>
        <v/>
      </c>
      <c r="N401" s="242" t="str">
        <f>IFERROR(_xlfn.XLOOKUP($A401,Input_Raw!$E:$E,Input_Raw!$BN:$BN),"")</f>
        <v/>
      </c>
      <c r="O401" s="311" t="str">
        <f t="shared" si="36"/>
        <v/>
      </c>
      <c r="P401" s="311" t="str">
        <f>IFERROR(1-SUMIF(WTG_BD!$F:$F,$A401,WTG_BD!$AA:$AA)/($AA401+SUMIF(WTG_BD!$F:$F,$A401,WTG_BD!$AA:$AA)),"")</f>
        <v/>
      </c>
      <c r="Q401" s="328" t="str">
        <f>IFERROR(1-SUMIF(IGA_BD!$F:$F,$A401,IGA_BD!$W:$W)/($AA401+SUMIF(IGA_BD!$F:$F,$A401,IGA_BD!$W:$W)),"")</f>
        <v/>
      </c>
      <c r="R401" s="311" t="str">
        <f>IFERROR(1-SUMIF(Grid_BD!$F:$F,$A401,Grid_BD!$Y:$Y)/($AA401+SUMIF(Grid_BD!$F:$F,$A401,Grid_BD!$Y:$Y)),"")</f>
        <v/>
      </c>
      <c r="S401" s="10"/>
      <c r="T401" s="310"/>
      <c r="U401" s="311"/>
      <c r="V401" s="10"/>
      <c r="W401" s="312" t="str">
        <f t="shared" si="37"/>
        <v/>
      </c>
      <c r="X401" s="10" t="str">
        <f>IFERROR(_xlfn.XLOOKUP($A401,Input_Raw!$E:$E,Input_Raw!BG:BG),"")</f>
        <v/>
      </c>
      <c r="Y401" s="10" t="str">
        <f>IFERROR(_xlfn.XLOOKUP($A401,Input_Raw!$E:$E,Input_Raw!DF:DF),"")</f>
        <v/>
      </c>
      <c r="Z401" s="319" t="str">
        <f>IFERROR(_xlfn.XLOOKUP(A401,Input_Raw!E:E,Input_Raw!CT:CT)/_xlfn.XLOOKUP(A401,Input_Raw!E:E,Input_Raw!CS:CS)*Table13[[#This Row],[Mtr_Export (kWh)]],"")</f>
        <v/>
      </c>
      <c r="AA401" s="43" t="str">
        <f t="shared" si="38"/>
        <v/>
      </c>
      <c r="AB401" s="10" t="str">
        <f>IFERROR(_xlfn.XLOOKUP($A401,Input_Raw!$E:$E,Input_Raw!$CZ:$CZ),"")</f>
        <v/>
      </c>
      <c r="AC401" s="313" t="str">
        <f>IFERROR(_xlfn.XLOOKUP($D401,'Modelling New'!$D:$D,'Modelling New'!$J:$J),"")</f>
        <v/>
      </c>
      <c r="AD401" s="43" t="str">
        <f>IFERROR(_xlfn.XLOOKUP($D401,'Modelling New'!$D:$D,'Modelling New'!$T:$T)*1000,"")</f>
        <v/>
      </c>
      <c r="AE401" s="312"/>
      <c r="AF401" s="312" t="str">
        <f>IFERROR(_xlfn.XLOOKUP($D401,'Modelling New'!$D:$D,'Modelling New'!$W:$W),"")</f>
        <v/>
      </c>
      <c r="AG401" s="312" t="str">
        <f>IFERROR(_xlfn.XLOOKUP($D401,'Modelling New'!$D:$D,'Modelling New'!$AE:$AE),"")</f>
        <v/>
      </c>
      <c r="AH401" s="312" t="str">
        <f>IFERROR(_xlfn.XLOOKUP($D401,'Modelling New'!$D:$D,'Modelling New'!$AF:$AF),"")</f>
        <v/>
      </c>
      <c r="AI401" s="10" t="str">
        <f>IFERROR(_xlfn.XLOOKUP($A401,Input_Raw!$E:$E,Input_Raw!$DG:$DG),"")</f>
        <v/>
      </c>
      <c r="AJ401" s="10"/>
      <c r="AK401" s="10"/>
      <c r="AL401" s="10"/>
      <c r="AM401" s="10"/>
      <c r="AN401" s="314" t="str">
        <f>IFERROR(_xlfn.XLOOKUP($A401,Input_Raw!$E:$E,Input_Raw!$CY:$CY),"")</f>
        <v/>
      </c>
      <c r="AO401" s="312" t="str">
        <f>IFERROR((_xlfn.XLOOKUP($A401,'WTG Reactive Power'!$A:$A,'WTG Reactive Power'!AB:AB))/X401,"")</f>
        <v/>
      </c>
      <c r="AP401" s="312" t="str">
        <f>IFERROR(_xlfn.XLOOKUP($D401,'Modelling New'!$D:$D,'Modelling New'!AK:AK),"")</f>
        <v/>
      </c>
      <c r="AQ401" s="312" t="str">
        <f>IFERROR(_xlfn.XLOOKUP($D401,'Modelling New'!$D:$D,'Modelling New'!AL:AL),"")</f>
        <v/>
      </c>
      <c r="AR401" s="325" t="str">
        <f>IFERROR(_xlfn.XLOOKUP($D401,'Modelling New'!$D:$D,'Modelling New'!$N:$N),"")</f>
        <v/>
      </c>
      <c r="AS401" s="325"/>
    </row>
    <row r="402" spans="1:45">
      <c r="A402" s="32">
        <f t="shared" si="39"/>
        <v>46145</v>
      </c>
      <c r="B402" s="43">
        <f>YEAR(Table13[[#This Row],[Date]])+IF(MONTH(Table13[[#This Row],[Date]])&gt;=4,1,0)</f>
        <v>2027</v>
      </c>
      <c r="C402" s="10">
        <f>YEAR(Table13[[#This Row],[Date]])</f>
        <v>2026</v>
      </c>
      <c r="D402" s="309">
        <f>Table13[[#This Row],[Date]]-DAY(Table13[[#This Row],[Date]])+1</f>
        <v>46143</v>
      </c>
      <c r="E402" s="10">
        <f t="shared" si="35"/>
        <v>31</v>
      </c>
      <c r="F402" s="241" t="str">
        <f>IFERROR(_xlfn.XLOOKUP($A402,Input_Raw!$E:$E,Input_Raw!DC:DC),"")</f>
        <v/>
      </c>
      <c r="G402" s="313"/>
      <c r="H402" s="313"/>
      <c r="I402" s="313"/>
      <c r="J402" s="313"/>
      <c r="K402" s="243"/>
      <c r="L402" s="242"/>
      <c r="M402" s="242" t="str">
        <f>IFERROR(_xlfn.XLOOKUP($A402,Input_Raw!$E:$E,Input_Raw!$BM:$BM),"")</f>
        <v/>
      </c>
      <c r="N402" s="242" t="str">
        <f>IFERROR(_xlfn.XLOOKUP($A402,Input_Raw!$E:$E,Input_Raw!$BN:$BN),"")</f>
        <v/>
      </c>
      <c r="O402" s="311" t="str">
        <f t="shared" si="36"/>
        <v/>
      </c>
      <c r="P402" s="311" t="str">
        <f>IFERROR(1-SUMIF(WTG_BD!$F:$F,$A402,WTG_BD!$AA:$AA)/($AA402+SUMIF(WTG_BD!$F:$F,$A402,WTG_BD!$AA:$AA)),"")</f>
        <v/>
      </c>
      <c r="Q402" s="328" t="str">
        <f>IFERROR(1-SUMIF(IGA_BD!$F:$F,$A402,IGA_BD!$W:$W)/($AA402+SUMIF(IGA_BD!$F:$F,$A402,IGA_BD!$W:$W)),"")</f>
        <v/>
      </c>
      <c r="R402" s="47" t="str">
        <f>IFERROR(1-SUMIF(Grid_BD!$F:$F,$A402,Grid_BD!$Y:$Y)/($AA402+SUMIF(Grid_BD!$F:$F,$A402,Grid_BD!$Y:$Y)),"")</f>
        <v/>
      </c>
      <c r="S402" s="10"/>
      <c r="T402" s="310"/>
      <c r="U402" s="311"/>
      <c r="V402" s="10"/>
      <c r="W402" s="312" t="str">
        <f t="shared" si="37"/>
        <v/>
      </c>
      <c r="X402" s="10" t="str">
        <f>IFERROR(_xlfn.XLOOKUP($A402,Input_Raw!$E:$E,Input_Raw!BG:BG),"")</f>
        <v/>
      </c>
      <c r="Y402" s="10" t="str">
        <f>IFERROR(_xlfn.XLOOKUP($A402,Input_Raw!$E:$E,Input_Raw!DF:DF),"")</f>
        <v/>
      </c>
      <c r="Z402" s="319" t="str">
        <f>IFERROR(_xlfn.XLOOKUP(A402,Input_Raw!E:E,Input_Raw!CT:CT)/_xlfn.XLOOKUP(A402,Input_Raw!E:E,Input_Raw!CS:CS)*Table13[[#This Row],[Mtr_Export (kWh)]],"")</f>
        <v/>
      </c>
      <c r="AA402" s="43" t="str">
        <f t="shared" si="38"/>
        <v/>
      </c>
      <c r="AB402" s="10" t="str">
        <f>IFERROR(_xlfn.XLOOKUP($A402,Input_Raw!$E:$E,Input_Raw!$CZ:$CZ),"")</f>
        <v/>
      </c>
      <c r="AC402" s="313" t="str">
        <f>IFERROR(_xlfn.XLOOKUP($D402,'Modelling New'!$D:$D,'Modelling New'!$J:$J),"")</f>
        <v/>
      </c>
      <c r="AD402" s="43" t="str">
        <f>IFERROR(_xlfn.XLOOKUP($D402,'Modelling New'!$D:$D,'Modelling New'!$T:$T)*1000,"")</f>
        <v/>
      </c>
      <c r="AE402" s="312"/>
      <c r="AF402" s="312" t="str">
        <f>IFERROR(_xlfn.XLOOKUP($D402,'Modelling New'!$D:$D,'Modelling New'!$W:$W),"")</f>
        <v/>
      </c>
      <c r="AG402" s="312" t="str">
        <f>IFERROR(_xlfn.XLOOKUP($D402,'Modelling New'!$D:$D,'Modelling New'!$AE:$AE),"")</f>
        <v/>
      </c>
      <c r="AH402" s="312" t="str">
        <f>IFERROR(_xlfn.XLOOKUP($D402,'Modelling New'!$D:$D,'Modelling New'!$AF:$AF),"")</f>
        <v/>
      </c>
      <c r="AI402" s="10" t="str">
        <f>IFERROR(_xlfn.XLOOKUP($A402,Input_Raw!$E:$E,Input_Raw!$DG:$DG),"")</f>
        <v/>
      </c>
      <c r="AJ402" s="10"/>
      <c r="AK402" s="10"/>
      <c r="AL402" s="10"/>
      <c r="AM402" s="10"/>
      <c r="AN402" s="314" t="str">
        <f>IFERROR(_xlfn.XLOOKUP($A402,Input_Raw!$E:$E,Input_Raw!$CY:$CY),"")</f>
        <v/>
      </c>
      <c r="AO402" s="312" t="str">
        <f>IFERROR((_xlfn.XLOOKUP($A402,'WTG Reactive Power'!$A:$A,'WTG Reactive Power'!AB:AB))/X402,"")</f>
        <v/>
      </c>
      <c r="AP402" s="312" t="str">
        <f>IFERROR(_xlfn.XLOOKUP($D402,'Modelling New'!$D:$D,'Modelling New'!AK:AK),"")</f>
        <v/>
      </c>
      <c r="AQ402" s="312" t="str">
        <f>IFERROR(_xlfn.XLOOKUP($D402,'Modelling New'!$D:$D,'Modelling New'!AL:AL),"")</f>
        <v/>
      </c>
      <c r="AR402" s="325" t="str">
        <f>IFERROR(_xlfn.XLOOKUP($D402,'Modelling New'!$D:$D,'Modelling New'!$N:$N),"")</f>
        <v/>
      </c>
      <c r="AS402" s="325"/>
    </row>
    <row r="403" spans="1:45">
      <c r="A403" s="32">
        <f t="shared" si="39"/>
        <v>46146</v>
      </c>
      <c r="B403" s="43">
        <f>YEAR(Table13[[#This Row],[Date]])+IF(MONTH(Table13[[#This Row],[Date]])&gt;=4,1,0)</f>
        <v>2027</v>
      </c>
      <c r="C403" s="10">
        <f>YEAR(Table13[[#This Row],[Date]])</f>
        <v>2026</v>
      </c>
      <c r="D403" s="309">
        <f>Table13[[#This Row],[Date]]-DAY(Table13[[#This Row],[Date]])+1</f>
        <v>46143</v>
      </c>
      <c r="E403" s="10">
        <f t="shared" si="35"/>
        <v>31</v>
      </c>
      <c r="F403" s="241" t="str">
        <f>IFERROR(_xlfn.XLOOKUP($A403,Input_Raw!$E:$E,Input_Raw!DC:DC),"")</f>
        <v/>
      </c>
      <c r="G403" s="242"/>
      <c r="H403" s="242"/>
      <c r="I403" s="242"/>
      <c r="J403" s="242"/>
      <c r="K403" s="243"/>
      <c r="L403" s="242"/>
      <c r="M403" s="242" t="str">
        <f>IFERROR(_xlfn.XLOOKUP($A403,Input_Raw!$E:$E,Input_Raw!$BM:$BM),"")</f>
        <v/>
      </c>
      <c r="N403" s="242" t="str">
        <f>IFERROR(_xlfn.XLOOKUP($A403,Input_Raw!$E:$E,Input_Raw!$BN:$BN),"")</f>
        <v/>
      </c>
      <c r="O403" s="311" t="str">
        <f t="shared" si="36"/>
        <v/>
      </c>
      <c r="P403" s="311" t="str">
        <f>IFERROR(1-SUMIF(WTG_BD!$F:$F,$A403,WTG_BD!$AA:$AA)/($AA403+SUMIF(WTG_BD!$F:$F,$A403,WTG_BD!$AA:$AA)),"")</f>
        <v/>
      </c>
      <c r="Q403" s="328" t="str">
        <f>IFERROR(1-SUMIF(IGA_BD!$F:$F,$A403,IGA_BD!$W:$W)/($AA403+SUMIF(IGA_BD!$F:$F,$A403,IGA_BD!$W:$W)),"")</f>
        <v/>
      </c>
      <c r="R403" s="311" t="str">
        <f>IFERROR(1-SUMIF(Grid_BD!$F:$F,$A403,Grid_BD!$Y:$Y)/($AA403+SUMIF(Grid_BD!$F:$F,$A403,Grid_BD!$Y:$Y)),"")</f>
        <v/>
      </c>
      <c r="S403" s="10"/>
      <c r="T403" s="310"/>
      <c r="U403" s="311"/>
      <c r="V403" s="10"/>
      <c r="W403" s="312" t="str">
        <f t="shared" si="37"/>
        <v/>
      </c>
      <c r="X403" s="10" t="str">
        <f>IFERROR(_xlfn.XLOOKUP($A403,Input_Raw!$E:$E,Input_Raw!BG:BG),"")</f>
        <v/>
      </c>
      <c r="Y403" s="10" t="str">
        <f>IFERROR(_xlfn.XLOOKUP($A403,Input_Raw!$E:$E,Input_Raw!DF:DF),"")</f>
        <v/>
      </c>
      <c r="Z403" s="319" t="str">
        <f>IFERROR(_xlfn.XLOOKUP(A403,Input_Raw!E:E,Input_Raw!CT:CT)/_xlfn.XLOOKUP(A403,Input_Raw!E:E,Input_Raw!CS:CS)*Table13[[#This Row],[Mtr_Export (kWh)]],"")</f>
        <v/>
      </c>
      <c r="AA403" s="43" t="str">
        <f t="shared" si="38"/>
        <v/>
      </c>
      <c r="AB403" s="10" t="str">
        <f>IFERROR(_xlfn.XLOOKUP($A403,Input_Raw!$E:$E,Input_Raw!$CZ:$CZ),"")</f>
        <v/>
      </c>
      <c r="AC403" s="313" t="str">
        <f>IFERROR(_xlfn.XLOOKUP($D403,'Modelling New'!$D:$D,'Modelling New'!$J:$J),"")</f>
        <v/>
      </c>
      <c r="AD403" s="43" t="str">
        <f>IFERROR(_xlfn.XLOOKUP($D403,'Modelling New'!$D:$D,'Modelling New'!$T:$T)*1000,"")</f>
        <v/>
      </c>
      <c r="AE403" s="312"/>
      <c r="AF403" s="312" t="str">
        <f>IFERROR(_xlfn.XLOOKUP($D403,'Modelling New'!$D:$D,'Modelling New'!$W:$W),"")</f>
        <v/>
      </c>
      <c r="AG403" s="312" t="str">
        <f>IFERROR(_xlfn.XLOOKUP($D403,'Modelling New'!$D:$D,'Modelling New'!$AE:$AE),"")</f>
        <v/>
      </c>
      <c r="AH403" s="312" t="str">
        <f>IFERROR(_xlfn.XLOOKUP($D403,'Modelling New'!$D:$D,'Modelling New'!$AF:$AF),"")</f>
        <v/>
      </c>
      <c r="AI403" s="10" t="str">
        <f>IFERROR(_xlfn.XLOOKUP($A403,Input_Raw!$E:$E,Input_Raw!$DG:$DG),"")</f>
        <v/>
      </c>
      <c r="AJ403" s="10"/>
      <c r="AK403" s="10"/>
      <c r="AL403" s="10"/>
      <c r="AM403" s="10"/>
      <c r="AN403" s="314" t="str">
        <f>IFERROR(_xlfn.XLOOKUP($A403,Input_Raw!$E:$E,Input_Raw!$CY:$CY),"")</f>
        <v/>
      </c>
      <c r="AO403" s="312" t="str">
        <f>IFERROR((_xlfn.XLOOKUP($A403,'WTG Reactive Power'!$A:$A,'WTG Reactive Power'!AB:AB))/X403,"")</f>
        <v/>
      </c>
      <c r="AP403" s="312" t="str">
        <f>IFERROR(_xlfn.XLOOKUP($D403,'Modelling New'!$D:$D,'Modelling New'!AK:AK),"")</f>
        <v/>
      </c>
      <c r="AQ403" s="312" t="str">
        <f>IFERROR(_xlfn.XLOOKUP($D403,'Modelling New'!$D:$D,'Modelling New'!AL:AL),"")</f>
        <v/>
      </c>
      <c r="AR403" s="325" t="str">
        <f>IFERROR(_xlfn.XLOOKUP($D403,'Modelling New'!$D:$D,'Modelling New'!$N:$N),"")</f>
        <v/>
      </c>
      <c r="AS403" s="325"/>
    </row>
    <row r="404" spans="1:45">
      <c r="A404" s="32">
        <f t="shared" si="39"/>
        <v>46147</v>
      </c>
      <c r="B404" s="43">
        <f>YEAR(Table13[[#This Row],[Date]])+IF(MONTH(Table13[[#This Row],[Date]])&gt;=4,1,0)</f>
        <v>2027</v>
      </c>
      <c r="C404" s="10">
        <f>YEAR(Table13[[#This Row],[Date]])</f>
        <v>2026</v>
      </c>
      <c r="D404" s="309">
        <f>Table13[[#This Row],[Date]]-DAY(Table13[[#This Row],[Date]])+1</f>
        <v>46143</v>
      </c>
      <c r="E404" s="10">
        <f t="shared" si="35"/>
        <v>31</v>
      </c>
      <c r="F404" s="241" t="str">
        <f>IFERROR(_xlfn.XLOOKUP($A404,Input_Raw!$E:$E,Input_Raw!DC:DC),"")</f>
        <v/>
      </c>
      <c r="G404" s="313"/>
      <c r="H404" s="313"/>
      <c r="I404" s="313"/>
      <c r="J404" s="313"/>
      <c r="K404" s="243"/>
      <c r="L404" s="242"/>
      <c r="M404" s="242" t="str">
        <f>IFERROR(_xlfn.XLOOKUP($A404,Input_Raw!$E:$E,Input_Raw!$BM:$BM),"")</f>
        <v/>
      </c>
      <c r="N404" s="242" t="str">
        <f>IFERROR(_xlfn.XLOOKUP($A404,Input_Raw!$E:$E,Input_Raw!$BN:$BN),"")</f>
        <v/>
      </c>
      <c r="O404" s="311" t="str">
        <f t="shared" si="36"/>
        <v/>
      </c>
      <c r="P404" s="311" t="str">
        <f>IFERROR(1-SUMIF(WTG_BD!$F:$F,$A404,WTG_BD!$AA:$AA)/($AA404+SUMIF(WTG_BD!$F:$F,$A404,WTG_BD!$AA:$AA)),"")</f>
        <v/>
      </c>
      <c r="Q404" s="328" t="str">
        <f>IFERROR(1-SUMIF(IGA_BD!$F:$F,$A404,IGA_BD!$W:$W)/($AA404+SUMIF(IGA_BD!$F:$F,$A404,IGA_BD!$W:$W)),"")</f>
        <v/>
      </c>
      <c r="R404" s="47" t="str">
        <f>IFERROR(1-SUMIF(Grid_BD!$F:$F,$A404,Grid_BD!$Y:$Y)/($AA404+SUMIF(Grid_BD!$F:$F,$A404,Grid_BD!$Y:$Y)),"")</f>
        <v/>
      </c>
      <c r="S404" s="10"/>
      <c r="T404" s="310"/>
      <c r="U404" s="311"/>
      <c r="V404" s="10"/>
      <c r="W404" s="312" t="str">
        <f t="shared" si="37"/>
        <v/>
      </c>
      <c r="X404" s="10" t="str">
        <f>IFERROR(_xlfn.XLOOKUP($A404,Input_Raw!$E:$E,Input_Raw!BG:BG),"")</f>
        <v/>
      </c>
      <c r="Y404" s="10" t="str">
        <f>IFERROR(_xlfn.XLOOKUP($A404,Input_Raw!$E:$E,Input_Raw!DF:DF),"")</f>
        <v/>
      </c>
      <c r="Z404" s="319" t="str">
        <f>IFERROR(_xlfn.XLOOKUP(A404,Input_Raw!E:E,Input_Raw!CT:CT)/_xlfn.XLOOKUP(A404,Input_Raw!E:E,Input_Raw!CS:CS)*Table13[[#This Row],[Mtr_Export (kWh)]],"")</f>
        <v/>
      </c>
      <c r="AA404" s="43" t="str">
        <f t="shared" si="38"/>
        <v/>
      </c>
      <c r="AB404" s="10" t="str">
        <f>IFERROR(_xlfn.XLOOKUP($A404,Input_Raw!$E:$E,Input_Raw!$CZ:$CZ),"")</f>
        <v/>
      </c>
      <c r="AC404" s="313" t="str">
        <f>IFERROR(_xlfn.XLOOKUP($D404,'Modelling New'!$D:$D,'Modelling New'!$J:$J),"")</f>
        <v/>
      </c>
      <c r="AD404" s="43" t="str">
        <f>IFERROR(_xlfn.XLOOKUP($D404,'Modelling New'!$D:$D,'Modelling New'!$T:$T)*1000,"")</f>
        <v/>
      </c>
      <c r="AE404" s="312"/>
      <c r="AF404" s="312" t="str">
        <f>IFERROR(_xlfn.XLOOKUP($D404,'Modelling New'!$D:$D,'Modelling New'!$W:$W),"")</f>
        <v/>
      </c>
      <c r="AG404" s="312" t="str">
        <f>IFERROR(_xlfn.XLOOKUP($D404,'Modelling New'!$D:$D,'Modelling New'!$AE:$AE),"")</f>
        <v/>
      </c>
      <c r="AH404" s="312" t="str">
        <f>IFERROR(_xlfn.XLOOKUP($D404,'Modelling New'!$D:$D,'Modelling New'!$AF:$AF),"")</f>
        <v/>
      </c>
      <c r="AI404" s="10" t="str">
        <f>IFERROR(_xlfn.XLOOKUP($A404,Input_Raw!$E:$E,Input_Raw!$DG:$DG),"")</f>
        <v/>
      </c>
      <c r="AJ404" s="10"/>
      <c r="AK404" s="10"/>
      <c r="AL404" s="10"/>
      <c r="AM404" s="10"/>
      <c r="AN404" s="314" t="str">
        <f>IFERROR(_xlfn.XLOOKUP($A404,Input_Raw!$E:$E,Input_Raw!$CY:$CY),"")</f>
        <v/>
      </c>
      <c r="AO404" s="312" t="str">
        <f>IFERROR((_xlfn.XLOOKUP($A404,'WTG Reactive Power'!$A:$A,'WTG Reactive Power'!AB:AB))/X404,"")</f>
        <v/>
      </c>
      <c r="AP404" s="312" t="str">
        <f>IFERROR(_xlfn.XLOOKUP($D404,'Modelling New'!$D:$D,'Modelling New'!AK:AK),"")</f>
        <v/>
      </c>
      <c r="AQ404" s="312" t="str">
        <f>IFERROR(_xlfn.XLOOKUP($D404,'Modelling New'!$D:$D,'Modelling New'!AL:AL),"")</f>
        <v/>
      </c>
      <c r="AR404" s="325" t="str">
        <f>IFERROR(_xlfn.XLOOKUP($D404,'Modelling New'!$D:$D,'Modelling New'!$N:$N),"")</f>
        <v/>
      </c>
      <c r="AS404" s="325"/>
    </row>
    <row r="405" spans="1:45">
      <c r="A405" s="32">
        <f t="shared" si="39"/>
        <v>46148</v>
      </c>
      <c r="B405" s="43">
        <f>YEAR(Table13[[#This Row],[Date]])+IF(MONTH(Table13[[#This Row],[Date]])&gt;=4,1,0)</f>
        <v>2027</v>
      </c>
      <c r="C405" s="10">
        <f>YEAR(Table13[[#This Row],[Date]])</f>
        <v>2026</v>
      </c>
      <c r="D405" s="309">
        <f>Table13[[#This Row],[Date]]-DAY(Table13[[#This Row],[Date]])+1</f>
        <v>46143</v>
      </c>
      <c r="E405" s="10">
        <f t="shared" si="35"/>
        <v>31</v>
      </c>
      <c r="F405" s="241" t="str">
        <f>IFERROR(_xlfn.XLOOKUP($A405,Input_Raw!$E:$E,Input_Raw!DC:DC),"")</f>
        <v/>
      </c>
      <c r="G405" s="242"/>
      <c r="H405" s="242"/>
      <c r="I405" s="242"/>
      <c r="J405" s="242"/>
      <c r="K405" s="243"/>
      <c r="L405" s="242"/>
      <c r="M405" s="242" t="str">
        <f>IFERROR(_xlfn.XLOOKUP($A405,Input_Raw!$E:$E,Input_Raw!$BM:$BM),"")</f>
        <v/>
      </c>
      <c r="N405" s="242" t="str">
        <f>IFERROR(_xlfn.XLOOKUP($A405,Input_Raw!$E:$E,Input_Raw!$BN:$BN),"")</f>
        <v/>
      </c>
      <c r="O405" s="311" t="str">
        <f t="shared" si="36"/>
        <v/>
      </c>
      <c r="P405" s="311" t="str">
        <f>IFERROR(1-SUMIF(WTG_BD!$F:$F,$A405,WTG_BD!$AA:$AA)/($AA405+SUMIF(WTG_BD!$F:$F,$A405,WTG_BD!$AA:$AA)),"")</f>
        <v/>
      </c>
      <c r="Q405" s="328" t="str">
        <f>IFERROR(1-SUMIF(IGA_BD!$F:$F,$A405,IGA_BD!$W:$W)/($AA405+SUMIF(IGA_BD!$F:$F,$A405,IGA_BD!$W:$W)),"")</f>
        <v/>
      </c>
      <c r="R405" s="311" t="str">
        <f>IFERROR(1-SUMIF(Grid_BD!$F:$F,$A405,Grid_BD!$Y:$Y)/($AA405+SUMIF(Grid_BD!$F:$F,$A405,Grid_BD!$Y:$Y)),"")</f>
        <v/>
      </c>
      <c r="S405" s="10"/>
      <c r="T405" s="310"/>
      <c r="U405" s="311"/>
      <c r="V405" s="10"/>
      <c r="W405" s="312" t="str">
        <f t="shared" si="37"/>
        <v/>
      </c>
      <c r="X405" s="10" t="str">
        <f>IFERROR(_xlfn.XLOOKUP($A405,Input_Raw!$E:$E,Input_Raw!BG:BG),"")</f>
        <v/>
      </c>
      <c r="Y405" s="10" t="str">
        <f>IFERROR(_xlfn.XLOOKUP($A405,Input_Raw!$E:$E,Input_Raw!DF:DF),"")</f>
        <v/>
      </c>
      <c r="Z405" s="319" t="str">
        <f>IFERROR(_xlfn.XLOOKUP(A405,Input_Raw!E:E,Input_Raw!CT:CT)/_xlfn.XLOOKUP(A405,Input_Raw!E:E,Input_Raw!CS:CS)*Table13[[#This Row],[Mtr_Export (kWh)]],"")</f>
        <v/>
      </c>
      <c r="AA405" s="43" t="str">
        <f t="shared" si="38"/>
        <v/>
      </c>
      <c r="AB405" s="10" t="str">
        <f>IFERROR(_xlfn.XLOOKUP($A405,Input_Raw!$E:$E,Input_Raw!$CZ:$CZ),"")</f>
        <v/>
      </c>
      <c r="AC405" s="313" t="str">
        <f>IFERROR(_xlfn.XLOOKUP($D405,'Modelling New'!$D:$D,'Modelling New'!$J:$J),"")</f>
        <v/>
      </c>
      <c r="AD405" s="43" t="str">
        <f>IFERROR(_xlfn.XLOOKUP($D405,'Modelling New'!$D:$D,'Modelling New'!$T:$T)*1000,"")</f>
        <v/>
      </c>
      <c r="AE405" s="312"/>
      <c r="AF405" s="312" t="str">
        <f>IFERROR(_xlfn.XLOOKUP($D405,'Modelling New'!$D:$D,'Modelling New'!$W:$W),"")</f>
        <v/>
      </c>
      <c r="AG405" s="312" t="str">
        <f>IFERROR(_xlfn.XLOOKUP($D405,'Modelling New'!$D:$D,'Modelling New'!$AE:$AE),"")</f>
        <v/>
      </c>
      <c r="AH405" s="312" t="str">
        <f>IFERROR(_xlfn.XLOOKUP($D405,'Modelling New'!$D:$D,'Modelling New'!$AF:$AF),"")</f>
        <v/>
      </c>
      <c r="AI405" s="10" t="str">
        <f>IFERROR(_xlfn.XLOOKUP($A405,Input_Raw!$E:$E,Input_Raw!$DG:$DG),"")</f>
        <v/>
      </c>
      <c r="AJ405" s="10"/>
      <c r="AK405" s="10"/>
      <c r="AL405" s="10"/>
      <c r="AM405" s="10"/>
      <c r="AN405" s="314" t="str">
        <f>IFERROR(_xlfn.XLOOKUP($A405,Input_Raw!$E:$E,Input_Raw!$CY:$CY),"")</f>
        <v/>
      </c>
      <c r="AO405" s="312" t="str">
        <f>IFERROR((_xlfn.XLOOKUP($A405,'WTG Reactive Power'!$A:$A,'WTG Reactive Power'!AB:AB))/X405,"")</f>
        <v/>
      </c>
      <c r="AP405" s="312" t="str">
        <f>IFERROR(_xlfn.XLOOKUP($D405,'Modelling New'!$D:$D,'Modelling New'!AK:AK),"")</f>
        <v/>
      </c>
      <c r="AQ405" s="312" t="str">
        <f>IFERROR(_xlfn.XLOOKUP($D405,'Modelling New'!$D:$D,'Modelling New'!AL:AL),"")</f>
        <v/>
      </c>
      <c r="AR405" s="325" t="str">
        <f>IFERROR(_xlfn.XLOOKUP($D405,'Modelling New'!$D:$D,'Modelling New'!$N:$N),"")</f>
        <v/>
      </c>
      <c r="AS405" s="325"/>
    </row>
    <row r="406" spans="1:45">
      <c r="A406" s="32">
        <f t="shared" si="39"/>
        <v>46149</v>
      </c>
      <c r="B406" s="43">
        <f>YEAR(Table13[[#This Row],[Date]])+IF(MONTH(Table13[[#This Row],[Date]])&gt;=4,1,0)</f>
        <v>2027</v>
      </c>
      <c r="C406" s="10">
        <f>YEAR(Table13[[#This Row],[Date]])</f>
        <v>2026</v>
      </c>
      <c r="D406" s="309">
        <f>Table13[[#This Row],[Date]]-DAY(Table13[[#This Row],[Date]])+1</f>
        <v>46143</v>
      </c>
      <c r="E406" s="10">
        <f t="shared" si="35"/>
        <v>31</v>
      </c>
      <c r="F406" s="241" t="str">
        <f>IFERROR(_xlfn.XLOOKUP($A406,Input_Raw!$E:$E,Input_Raw!DC:DC),"")</f>
        <v/>
      </c>
      <c r="G406" s="313"/>
      <c r="H406" s="313"/>
      <c r="I406" s="313"/>
      <c r="J406" s="313"/>
      <c r="K406" s="243"/>
      <c r="L406" s="242"/>
      <c r="M406" s="242" t="str">
        <f>IFERROR(_xlfn.XLOOKUP($A406,Input_Raw!$E:$E,Input_Raw!$BM:$BM),"")</f>
        <v/>
      </c>
      <c r="N406" s="242" t="str">
        <f>IFERROR(_xlfn.XLOOKUP($A406,Input_Raw!$E:$E,Input_Raw!$BN:$BN),"")</f>
        <v/>
      </c>
      <c r="O406" s="311" t="str">
        <f t="shared" si="36"/>
        <v/>
      </c>
      <c r="P406" s="311" t="str">
        <f>IFERROR(1-SUMIF(WTG_BD!$F:$F,$A406,WTG_BD!$AA:$AA)/($AA406+SUMIF(WTG_BD!$F:$F,$A406,WTG_BD!$AA:$AA)),"")</f>
        <v/>
      </c>
      <c r="Q406" s="328" t="str">
        <f>IFERROR(1-SUMIF(IGA_BD!$F:$F,$A406,IGA_BD!$W:$W)/($AA406+SUMIF(IGA_BD!$F:$F,$A406,IGA_BD!$W:$W)),"")</f>
        <v/>
      </c>
      <c r="R406" s="47" t="str">
        <f>IFERROR(1-SUMIF(Grid_BD!$F:$F,$A406,Grid_BD!$Y:$Y)/($AA406+SUMIF(Grid_BD!$F:$F,$A406,Grid_BD!$Y:$Y)),"")</f>
        <v/>
      </c>
      <c r="S406" s="10"/>
      <c r="T406" s="310"/>
      <c r="U406" s="311"/>
      <c r="V406" s="10"/>
      <c r="W406" s="312" t="str">
        <f t="shared" si="37"/>
        <v/>
      </c>
      <c r="X406" s="10" t="str">
        <f>IFERROR(_xlfn.XLOOKUP($A406,Input_Raw!$E:$E,Input_Raw!BG:BG),"")</f>
        <v/>
      </c>
      <c r="Y406" s="10" t="str">
        <f>IFERROR(_xlfn.XLOOKUP($A406,Input_Raw!$E:$E,Input_Raw!DF:DF),"")</f>
        <v/>
      </c>
      <c r="Z406" s="319" t="str">
        <f>IFERROR(_xlfn.XLOOKUP(A406,Input_Raw!E:E,Input_Raw!CT:CT)/_xlfn.XLOOKUP(A406,Input_Raw!E:E,Input_Raw!CS:CS)*Table13[[#This Row],[Mtr_Export (kWh)]],"")</f>
        <v/>
      </c>
      <c r="AA406" s="43" t="str">
        <f t="shared" si="38"/>
        <v/>
      </c>
      <c r="AB406" s="10" t="str">
        <f>IFERROR(_xlfn.XLOOKUP($A406,Input_Raw!$E:$E,Input_Raw!$CZ:$CZ),"")</f>
        <v/>
      </c>
      <c r="AC406" s="313" t="str">
        <f>IFERROR(_xlfn.XLOOKUP($D406,'Modelling New'!$D:$D,'Modelling New'!$J:$J),"")</f>
        <v/>
      </c>
      <c r="AD406" s="43" t="str">
        <f>IFERROR(_xlfn.XLOOKUP($D406,'Modelling New'!$D:$D,'Modelling New'!$T:$T)*1000,"")</f>
        <v/>
      </c>
      <c r="AE406" s="312"/>
      <c r="AF406" s="312" t="str">
        <f>IFERROR(_xlfn.XLOOKUP($D406,'Modelling New'!$D:$D,'Modelling New'!$W:$W),"")</f>
        <v/>
      </c>
      <c r="AG406" s="312" t="str">
        <f>IFERROR(_xlfn.XLOOKUP($D406,'Modelling New'!$D:$D,'Modelling New'!$AE:$AE),"")</f>
        <v/>
      </c>
      <c r="AH406" s="312" t="str">
        <f>IFERROR(_xlfn.XLOOKUP($D406,'Modelling New'!$D:$D,'Modelling New'!$AF:$AF),"")</f>
        <v/>
      </c>
      <c r="AI406" s="10" t="str">
        <f>IFERROR(_xlfn.XLOOKUP($A406,Input_Raw!$E:$E,Input_Raw!$DG:$DG),"")</f>
        <v/>
      </c>
      <c r="AJ406" s="10"/>
      <c r="AK406" s="10"/>
      <c r="AL406" s="10"/>
      <c r="AM406" s="10"/>
      <c r="AN406" s="314" t="str">
        <f>IFERROR(_xlfn.XLOOKUP($A406,Input_Raw!$E:$E,Input_Raw!$CY:$CY),"")</f>
        <v/>
      </c>
      <c r="AO406" s="312" t="str">
        <f>IFERROR((_xlfn.XLOOKUP($A406,'WTG Reactive Power'!$A:$A,'WTG Reactive Power'!AB:AB))/X406,"")</f>
        <v/>
      </c>
      <c r="AP406" s="312" t="str">
        <f>IFERROR(_xlfn.XLOOKUP($D406,'Modelling New'!$D:$D,'Modelling New'!AK:AK),"")</f>
        <v/>
      </c>
      <c r="AQ406" s="312" t="str">
        <f>IFERROR(_xlfn.XLOOKUP($D406,'Modelling New'!$D:$D,'Modelling New'!AL:AL),"")</f>
        <v/>
      </c>
      <c r="AR406" s="325" t="str">
        <f>IFERROR(_xlfn.XLOOKUP($D406,'Modelling New'!$D:$D,'Modelling New'!$N:$N),"")</f>
        <v/>
      </c>
      <c r="AS406" s="325"/>
    </row>
    <row r="407" spans="1:45">
      <c r="A407" s="32">
        <f t="shared" si="39"/>
        <v>46150</v>
      </c>
      <c r="B407" s="43">
        <f>YEAR(Table13[[#This Row],[Date]])+IF(MONTH(Table13[[#This Row],[Date]])&gt;=4,1,0)</f>
        <v>2027</v>
      </c>
      <c r="C407" s="10">
        <f>YEAR(Table13[[#This Row],[Date]])</f>
        <v>2026</v>
      </c>
      <c r="D407" s="309">
        <f>Table13[[#This Row],[Date]]-DAY(Table13[[#This Row],[Date]])+1</f>
        <v>46143</v>
      </c>
      <c r="E407" s="10">
        <f t="shared" si="35"/>
        <v>31</v>
      </c>
      <c r="F407" s="241" t="str">
        <f>IFERROR(_xlfn.XLOOKUP($A407,Input_Raw!$E:$E,Input_Raw!DC:DC),"")</f>
        <v/>
      </c>
      <c r="G407" s="242"/>
      <c r="H407" s="242"/>
      <c r="I407" s="242"/>
      <c r="J407" s="242"/>
      <c r="K407" s="243"/>
      <c r="L407" s="242"/>
      <c r="M407" s="242" t="str">
        <f>IFERROR(_xlfn.XLOOKUP($A407,Input_Raw!$E:$E,Input_Raw!$BM:$BM),"")</f>
        <v/>
      </c>
      <c r="N407" s="242" t="str">
        <f>IFERROR(_xlfn.XLOOKUP($A407,Input_Raw!$E:$E,Input_Raw!$BN:$BN),"")</f>
        <v/>
      </c>
      <c r="O407" s="311" t="str">
        <f t="shared" si="36"/>
        <v/>
      </c>
      <c r="P407" s="311" t="str">
        <f>IFERROR(1-SUMIF(WTG_BD!$F:$F,$A407,WTG_BD!$AA:$AA)/($AA407+SUMIF(WTG_BD!$F:$F,$A407,WTG_BD!$AA:$AA)),"")</f>
        <v/>
      </c>
      <c r="Q407" s="328" t="str">
        <f>IFERROR(1-SUMIF(IGA_BD!$F:$F,$A407,IGA_BD!$W:$W)/($AA407+SUMIF(IGA_BD!$F:$F,$A407,IGA_BD!$W:$W)),"")</f>
        <v/>
      </c>
      <c r="R407" s="311" t="str">
        <f>IFERROR(1-SUMIF(Grid_BD!$F:$F,$A407,Grid_BD!$Y:$Y)/($AA407+SUMIF(Grid_BD!$F:$F,$A407,Grid_BD!$Y:$Y)),"")</f>
        <v/>
      </c>
      <c r="S407" s="10"/>
      <c r="T407" s="310"/>
      <c r="U407" s="311"/>
      <c r="V407" s="10"/>
      <c r="W407" s="312" t="str">
        <f t="shared" si="37"/>
        <v/>
      </c>
      <c r="X407" s="10" t="str">
        <f>IFERROR(_xlfn.XLOOKUP($A407,Input_Raw!$E:$E,Input_Raw!BG:BG),"")</f>
        <v/>
      </c>
      <c r="Y407" s="10" t="str">
        <f>IFERROR(_xlfn.XLOOKUP($A407,Input_Raw!$E:$E,Input_Raw!DF:DF),"")</f>
        <v/>
      </c>
      <c r="Z407" s="319" t="str">
        <f>IFERROR(_xlfn.XLOOKUP(A407,Input_Raw!E:E,Input_Raw!CT:CT)/_xlfn.XLOOKUP(A407,Input_Raw!E:E,Input_Raw!CS:CS)*Table13[[#This Row],[Mtr_Export (kWh)]],"")</f>
        <v/>
      </c>
      <c r="AA407" s="43" t="str">
        <f t="shared" si="38"/>
        <v/>
      </c>
      <c r="AB407" s="10" t="str">
        <f>IFERROR(_xlfn.XLOOKUP($A407,Input_Raw!$E:$E,Input_Raw!$CZ:$CZ),"")</f>
        <v/>
      </c>
      <c r="AC407" s="313" t="str">
        <f>IFERROR(_xlfn.XLOOKUP($D407,'Modelling New'!$D:$D,'Modelling New'!$J:$J),"")</f>
        <v/>
      </c>
      <c r="AD407" s="43" t="str">
        <f>IFERROR(_xlfn.XLOOKUP($D407,'Modelling New'!$D:$D,'Modelling New'!$T:$T)*1000,"")</f>
        <v/>
      </c>
      <c r="AE407" s="312"/>
      <c r="AF407" s="312" t="str">
        <f>IFERROR(_xlfn.XLOOKUP($D407,'Modelling New'!$D:$D,'Modelling New'!$W:$W),"")</f>
        <v/>
      </c>
      <c r="AG407" s="312" t="str">
        <f>IFERROR(_xlfn.XLOOKUP($D407,'Modelling New'!$D:$D,'Modelling New'!$AE:$AE),"")</f>
        <v/>
      </c>
      <c r="AH407" s="312" t="str">
        <f>IFERROR(_xlfn.XLOOKUP($D407,'Modelling New'!$D:$D,'Modelling New'!$AF:$AF),"")</f>
        <v/>
      </c>
      <c r="AI407" s="10" t="str">
        <f>IFERROR(_xlfn.XLOOKUP($A407,Input_Raw!$E:$E,Input_Raw!$DG:$DG),"")</f>
        <v/>
      </c>
      <c r="AJ407" s="10"/>
      <c r="AK407" s="10"/>
      <c r="AL407" s="10"/>
      <c r="AM407" s="10"/>
      <c r="AN407" s="314" t="str">
        <f>IFERROR(_xlfn.XLOOKUP($A407,Input_Raw!$E:$E,Input_Raw!$CY:$CY),"")</f>
        <v/>
      </c>
      <c r="AO407" s="312" t="str">
        <f>IFERROR((_xlfn.XLOOKUP($A407,'WTG Reactive Power'!$A:$A,'WTG Reactive Power'!AB:AB))/X407,"")</f>
        <v/>
      </c>
      <c r="AP407" s="312" t="str">
        <f>IFERROR(_xlfn.XLOOKUP($D407,'Modelling New'!$D:$D,'Modelling New'!AK:AK),"")</f>
        <v/>
      </c>
      <c r="AQ407" s="312" t="str">
        <f>IFERROR(_xlfn.XLOOKUP($D407,'Modelling New'!$D:$D,'Modelling New'!AL:AL),"")</f>
        <v/>
      </c>
      <c r="AR407" s="325" t="str">
        <f>IFERROR(_xlfn.XLOOKUP($D407,'Modelling New'!$D:$D,'Modelling New'!$N:$N),"")</f>
        <v/>
      </c>
      <c r="AS407" s="325"/>
    </row>
    <row r="408" spans="1:45">
      <c r="A408" s="32">
        <f t="shared" si="39"/>
        <v>46151</v>
      </c>
      <c r="B408" s="43">
        <f>YEAR(Table13[[#This Row],[Date]])+IF(MONTH(Table13[[#This Row],[Date]])&gt;=4,1,0)</f>
        <v>2027</v>
      </c>
      <c r="C408" s="10">
        <f>YEAR(Table13[[#This Row],[Date]])</f>
        <v>2026</v>
      </c>
      <c r="D408" s="309">
        <f>Table13[[#This Row],[Date]]-DAY(Table13[[#This Row],[Date]])+1</f>
        <v>46143</v>
      </c>
      <c r="E408" s="10">
        <f t="shared" si="35"/>
        <v>31</v>
      </c>
      <c r="F408" s="241" t="str">
        <f>IFERROR(_xlfn.XLOOKUP($A408,Input_Raw!$E:$E,Input_Raw!DC:DC),"")</f>
        <v/>
      </c>
      <c r="G408" s="313"/>
      <c r="H408" s="313"/>
      <c r="I408" s="313"/>
      <c r="J408" s="313"/>
      <c r="K408" s="243"/>
      <c r="L408" s="242"/>
      <c r="M408" s="242" t="str">
        <f>IFERROR(_xlfn.XLOOKUP($A408,Input_Raw!$E:$E,Input_Raw!$BM:$BM),"")</f>
        <v/>
      </c>
      <c r="N408" s="242" t="str">
        <f>IFERROR(_xlfn.XLOOKUP($A408,Input_Raw!$E:$E,Input_Raw!$BN:$BN),"")</f>
        <v/>
      </c>
      <c r="O408" s="311" t="str">
        <f t="shared" si="36"/>
        <v/>
      </c>
      <c r="P408" s="311" t="str">
        <f>IFERROR(1-SUMIF(WTG_BD!$F:$F,$A408,WTG_BD!$AA:$AA)/($AA408+SUMIF(WTG_BD!$F:$F,$A408,WTG_BD!$AA:$AA)),"")</f>
        <v/>
      </c>
      <c r="Q408" s="328" t="str">
        <f>IFERROR(1-SUMIF(IGA_BD!$F:$F,$A408,IGA_BD!$W:$W)/($AA408+SUMIF(IGA_BD!$F:$F,$A408,IGA_BD!$W:$W)),"")</f>
        <v/>
      </c>
      <c r="R408" s="47" t="str">
        <f>IFERROR(1-SUMIF(Grid_BD!$F:$F,$A408,Grid_BD!$Y:$Y)/($AA408+SUMIF(Grid_BD!$F:$F,$A408,Grid_BD!$Y:$Y)),"")</f>
        <v/>
      </c>
      <c r="S408" s="10"/>
      <c r="T408" s="310"/>
      <c r="U408" s="311"/>
      <c r="V408" s="10"/>
      <c r="W408" s="312" t="str">
        <f t="shared" si="37"/>
        <v/>
      </c>
      <c r="X408" s="10" t="str">
        <f>IFERROR(_xlfn.XLOOKUP($A408,Input_Raw!$E:$E,Input_Raw!BG:BG),"")</f>
        <v/>
      </c>
      <c r="Y408" s="10" t="str">
        <f>IFERROR(_xlfn.XLOOKUP($A408,Input_Raw!$E:$E,Input_Raw!DF:DF),"")</f>
        <v/>
      </c>
      <c r="Z408" s="319" t="str">
        <f>IFERROR(_xlfn.XLOOKUP(A408,Input_Raw!E:E,Input_Raw!CT:CT)/_xlfn.XLOOKUP(A408,Input_Raw!E:E,Input_Raw!CS:CS)*Table13[[#This Row],[Mtr_Export (kWh)]],"")</f>
        <v/>
      </c>
      <c r="AA408" s="43" t="str">
        <f t="shared" si="38"/>
        <v/>
      </c>
      <c r="AB408" s="10" t="str">
        <f>IFERROR(_xlfn.XLOOKUP($A408,Input_Raw!$E:$E,Input_Raw!$CZ:$CZ),"")</f>
        <v/>
      </c>
      <c r="AC408" s="313" t="str">
        <f>IFERROR(_xlfn.XLOOKUP($D408,'Modelling New'!$D:$D,'Modelling New'!$J:$J),"")</f>
        <v/>
      </c>
      <c r="AD408" s="43" t="str">
        <f>IFERROR(_xlfn.XLOOKUP($D408,'Modelling New'!$D:$D,'Modelling New'!$T:$T)*1000,"")</f>
        <v/>
      </c>
      <c r="AE408" s="312"/>
      <c r="AF408" s="312" t="str">
        <f>IFERROR(_xlfn.XLOOKUP($D408,'Modelling New'!$D:$D,'Modelling New'!$W:$W),"")</f>
        <v/>
      </c>
      <c r="AG408" s="312" t="str">
        <f>IFERROR(_xlfn.XLOOKUP($D408,'Modelling New'!$D:$D,'Modelling New'!$AE:$AE),"")</f>
        <v/>
      </c>
      <c r="AH408" s="312" t="str">
        <f>IFERROR(_xlfn.XLOOKUP($D408,'Modelling New'!$D:$D,'Modelling New'!$AF:$AF),"")</f>
        <v/>
      </c>
      <c r="AI408" s="10" t="str">
        <f>IFERROR(_xlfn.XLOOKUP($A408,Input_Raw!$E:$E,Input_Raw!$DG:$DG),"")</f>
        <v/>
      </c>
      <c r="AJ408" s="10"/>
      <c r="AK408" s="10"/>
      <c r="AL408" s="10"/>
      <c r="AM408" s="10"/>
      <c r="AN408" s="314" t="str">
        <f>IFERROR(_xlfn.XLOOKUP($A408,Input_Raw!$E:$E,Input_Raw!$CY:$CY),"")</f>
        <v/>
      </c>
      <c r="AO408" s="312" t="str">
        <f>IFERROR((_xlfn.XLOOKUP($A408,'WTG Reactive Power'!$A:$A,'WTG Reactive Power'!AB:AB))/X408,"")</f>
        <v/>
      </c>
      <c r="AP408" s="312" t="str">
        <f>IFERROR(_xlfn.XLOOKUP($D408,'Modelling New'!$D:$D,'Modelling New'!AK:AK),"")</f>
        <v/>
      </c>
      <c r="AQ408" s="312" t="str">
        <f>IFERROR(_xlfn.XLOOKUP($D408,'Modelling New'!$D:$D,'Modelling New'!AL:AL),"")</f>
        <v/>
      </c>
      <c r="AR408" s="325" t="str">
        <f>IFERROR(_xlfn.XLOOKUP($D408,'Modelling New'!$D:$D,'Modelling New'!$N:$N),"")</f>
        <v/>
      </c>
      <c r="AS408" s="325"/>
    </row>
    <row r="409" spans="1:45">
      <c r="A409" s="32">
        <f t="shared" si="39"/>
        <v>46152</v>
      </c>
      <c r="B409" s="43">
        <f>YEAR(Table13[[#This Row],[Date]])+IF(MONTH(Table13[[#This Row],[Date]])&gt;=4,1,0)</f>
        <v>2027</v>
      </c>
      <c r="C409" s="10">
        <f>YEAR(Table13[[#This Row],[Date]])</f>
        <v>2026</v>
      </c>
      <c r="D409" s="309">
        <f>Table13[[#This Row],[Date]]-DAY(Table13[[#This Row],[Date]])+1</f>
        <v>46143</v>
      </c>
      <c r="E409" s="10">
        <f t="shared" si="35"/>
        <v>31</v>
      </c>
      <c r="F409" s="241" t="str">
        <f>IFERROR(_xlfn.XLOOKUP($A409,Input_Raw!$E:$E,Input_Raw!DC:DC),"")</f>
        <v/>
      </c>
      <c r="G409" s="242"/>
      <c r="H409" s="242"/>
      <c r="I409" s="242"/>
      <c r="J409" s="242"/>
      <c r="K409" s="243"/>
      <c r="L409" s="242"/>
      <c r="M409" s="242" t="str">
        <f>IFERROR(_xlfn.XLOOKUP($A409,Input_Raw!$E:$E,Input_Raw!$BM:$BM),"")</f>
        <v/>
      </c>
      <c r="N409" s="242" t="str">
        <f>IFERROR(_xlfn.XLOOKUP($A409,Input_Raw!$E:$E,Input_Raw!$BN:$BN),"")</f>
        <v/>
      </c>
      <c r="O409" s="311" t="str">
        <f t="shared" si="36"/>
        <v/>
      </c>
      <c r="P409" s="311" t="str">
        <f>IFERROR(1-SUMIF(WTG_BD!$F:$F,$A409,WTG_BD!$AA:$AA)/($AA409+SUMIF(WTG_BD!$F:$F,$A409,WTG_BD!$AA:$AA)),"")</f>
        <v/>
      </c>
      <c r="Q409" s="328" t="str">
        <f>IFERROR(1-SUMIF(IGA_BD!$F:$F,$A409,IGA_BD!$W:$W)/($AA409+SUMIF(IGA_BD!$F:$F,$A409,IGA_BD!$W:$W)),"")</f>
        <v/>
      </c>
      <c r="R409" s="311" t="str">
        <f>IFERROR(1-SUMIF(Grid_BD!$F:$F,$A409,Grid_BD!$Y:$Y)/($AA409+SUMIF(Grid_BD!$F:$F,$A409,Grid_BD!$Y:$Y)),"")</f>
        <v/>
      </c>
      <c r="S409" s="10"/>
      <c r="T409" s="310"/>
      <c r="U409" s="311"/>
      <c r="V409" s="10"/>
      <c r="W409" s="312" t="str">
        <f t="shared" si="37"/>
        <v/>
      </c>
      <c r="X409" s="10" t="str">
        <f>IFERROR(_xlfn.XLOOKUP($A409,Input_Raw!$E:$E,Input_Raw!BG:BG),"")</f>
        <v/>
      </c>
      <c r="Y409" s="10" t="str">
        <f>IFERROR(_xlfn.XLOOKUP($A409,Input_Raw!$E:$E,Input_Raw!DF:DF),"")</f>
        <v/>
      </c>
      <c r="Z409" s="319" t="str">
        <f>IFERROR(_xlfn.XLOOKUP(A409,Input_Raw!E:E,Input_Raw!CT:CT)/_xlfn.XLOOKUP(A409,Input_Raw!E:E,Input_Raw!CS:CS)*Table13[[#This Row],[Mtr_Export (kWh)]],"")</f>
        <v/>
      </c>
      <c r="AA409" s="43" t="str">
        <f t="shared" si="38"/>
        <v/>
      </c>
      <c r="AB409" s="10" t="str">
        <f>IFERROR(_xlfn.XLOOKUP($A409,Input_Raw!$E:$E,Input_Raw!$CZ:$CZ),"")</f>
        <v/>
      </c>
      <c r="AC409" s="313" t="str">
        <f>IFERROR(_xlfn.XLOOKUP($D409,'Modelling New'!$D:$D,'Modelling New'!$J:$J),"")</f>
        <v/>
      </c>
      <c r="AD409" s="43" t="str">
        <f>IFERROR(_xlfn.XLOOKUP($D409,'Modelling New'!$D:$D,'Modelling New'!$T:$T)*1000,"")</f>
        <v/>
      </c>
      <c r="AE409" s="312"/>
      <c r="AF409" s="312" t="str">
        <f>IFERROR(_xlfn.XLOOKUP($D409,'Modelling New'!$D:$D,'Modelling New'!$W:$W),"")</f>
        <v/>
      </c>
      <c r="AG409" s="312" t="str">
        <f>IFERROR(_xlfn.XLOOKUP($D409,'Modelling New'!$D:$D,'Modelling New'!$AE:$AE),"")</f>
        <v/>
      </c>
      <c r="AH409" s="312" t="str">
        <f>IFERROR(_xlfn.XLOOKUP($D409,'Modelling New'!$D:$D,'Modelling New'!$AF:$AF),"")</f>
        <v/>
      </c>
      <c r="AI409" s="10" t="str">
        <f>IFERROR(_xlfn.XLOOKUP($A409,Input_Raw!$E:$E,Input_Raw!$DG:$DG),"")</f>
        <v/>
      </c>
      <c r="AJ409" s="10"/>
      <c r="AK409" s="10"/>
      <c r="AL409" s="10"/>
      <c r="AM409" s="10"/>
      <c r="AN409" s="314" t="str">
        <f>IFERROR(_xlfn.XLOOKUP($A409,Input_Raw!$E:$E,Input_Raw!$CY:$CY),"")</f>
        <v/>
      </c>
      <c r="AO409" s="312" t="str">
        <f>IFERROR((_xlfn.XLOOKUP($A409,'WTG Reactive Power'!$A:$A,'WTG Reactive Power'!AB:AB))/X409,"")</f>
        <v/>
      </c>
      <c r="AP409" s="312" t="str">
        <f>IFERROR(_xlfn.XLOOKUP($D409,'Modelling New'!$D:$D,'Modelling New'!AK:AK),"")</f>
        <v/>
      </c>
      <c r="AQ409" s="312" t="str">
        <f>IFERROR(_xlfn.XLOOKUP($D409,'Modelling New'!$D:$D,'Modelling New'!AL:AL),"")</f>
        <v/>
      </c>
      <c r="AR409" s="325" t="str">
        <f>IFERROR(_xlfn.XLOOKUP($D409,'Modelling New'!$D:$D,'Modelling New'!$N:$N),"")</f>
        <v/>
      </c>
      <c r="AS409" s="325"/>
    </row>
    <row r="410" spans="1:45">
      <c r="A410" s="32">
        <f t="shared" si="39"/>
        <v>46153</v>
      </c>
      <c r="B410" s="43">
        <f>YEAR(Table13[[#This Row],[Date]])+IF(MONTH(Table13[[#This Row],[Date]])&gt;=4,1,0)</f>
        <v>2027</v>
      </c>
      <c r="C410" s="10">
        <f>YEAR(Table13[[#This Row],[Date]])</f>
        <v>2026</v>
      </c>
      <c r="D410" s="309">
        <f>Table13[[#This Row],[Date]]-DAY(Table13[[#This Row],[Date]])+1</f>
        <v>46143</v>
      </c>
      <c r="E410" s="10">
        <f t="shared" si="35"/>
        <v>31</v>
      </c>
      <c r="F410" s="241" t="str">
        <f>IFERROR(_xlfn.XLOOKUP($A410,Input_Raw!$E:$E,Input_Raw!DC:DC),"")</f>
        <v/>
      </c>
      <c r="G410" s="313"/>
      <c r="H410" s="313"/>
      <c r="I410" s="313"/>
      <c r="J410" s="313"/>
      <c r="K410" s="243"/>
      <c r="L410" s="242"/>
      <c r="M410" s="242" t="str">
        <f>IFERROR(_xlfn.XLOOKUP($A410,Input_Raw!$E:$E,Input_Raw!$BM:$BM),"")</f>
        <v/>
      </c>
      <c r="N410" s="242" t="str">
        <f>IFERROR(_xlfn.XLOOKUP($A410,Input_Raw!$E:$E,Input_Raw!$BN:$BN),"")</f>
        <v/>
      </c>
      <c r="O410" s="311" t="str">
        <f t="shared" si="36"/>
        <v/>
      </c>
      <c r="P410" s="311" t="str">
        <f>IFERROR(1-SUMIF(WTG_BD!$F:$F,$A410,WTG_BD!$AA:$AA)/($AA410+SUMIF(WTG_BD!$F:$F,$A410,WTG_BD!$AA:$AA)),"")</f>
        <v/>
      </c>
      <c r="Q410" s="328" t="str">
        <f>IFERROR(1-SUMIF(IGA_BD!$F:$F,$A410,IGA_BD!$W:$W)/($AA410+SUMIF(IGA_BD!$F:$F,$A410,IGA_BD!$W:$W)),"")</f>
        <v/>
      </c>
      <c r="R410" s="47" t="str">
        <f>IFERROR(1-SUMIF(Grid_BD!$F:$F,$A410,Grid_BD!$Y:$Y)/($AA410+SUMIF(Grid_BD!$F:$F,$A410,Grid_BD!$Y:$Y)),"")</f>
        <v/>
      </c>
      <c r="S410" s="10"/>
      <c r="T410" s="310"/>
      <c r="U410" s="311"/>
      <c r="V410" s="10"/>
      <c r="W410" s="312" t="str">
        <f t="shared" si="37"/>
        <v/>
      </c>
      <c r="X410" s="10" t="str">
        <f>IFERROR(_xlfn.XLOOKUP($A410,Input_Raw!$E:$E,Input_Raw!BG:BG),"")</f>
        <v/>
      </c>
      <c r="Y410" s="10" t="str">
        <f>IFERROR(_xlfn.XLOOKUP($A410,Input_Raw!$E:$E,Input_Raw!DF:DF),"")</f>
        <v/>
      </c>
      <c r="Z410" s="319" t="str">
        <f>IFERROR(_xlfn.XLOOKUP(A410,Input_Raw!E:E,Input_Raw!CT:CT)/_xlfn.XLOOKUP(A410,Input_Raw!E:E,Input_Raw!CS:CS)*Table13[[#This Row],[Mtr_Export (kWh)]],"")</f>
        <v/>
      </c>
      <c r="AA410" s="43" t="str">
        <f t="shared" si="38"/>
        <v/>
      </c>
      <c r="AB410" s="10" t="str">
        <f>IFERROR(_xlfn.XLOOKUP($A410,Input_Raw!$E:$E,Input_Raw!$CZ:$CZ),"")</f>
        <v/>
      </c>
      <c r="AC410" s="313" t="str">
        <f>IFERROR(_xlfn.XLOOKUP($D410,'Modelling New'!$D:$D,'Modelling New'!$J:$J),"")</f>
        <v/>
      </c>
      <c r="AD410" s="43" t="str">
        <f>IFERROR(_xlfn.XLOOKUP($D410,'Modelling New'!$D:$D,'Modelling New'!$T:$T)*1000,"")</f>
        <v/>
      </c>
      <c r="AE410" s="312"/>
      <c r="AF410" s="312" t="str">
        <f>IFERROR(_xlfn.XLOOKUP($D410,'Modelling New'!$D:$D,'Modelling New'!$W:$W),"")</f>
        <v/>
      </c>
      <c r="AG410" s="312" t="str">
        <f>IFERROR(_xlfn.XLOOKUP($D410,'Modelling New'!$D:$D,'Modelling New'!$AE:$AE),"")</f>
        <v/>
      </c>
      <c r="AH410" s="312" t="str">
        <f>IFERROR(_xlfn.XLOOKUP($D410,'Modelling New'!$D:$D,'Modelling New'!$AF:$AF),"")</f>
        <v/>
      </c>
      <c r="AI410" s="10" t="str">
        <f>IFERROR(_xlfn.XLOOKUP($A410,Input_Raw!$E:$E,Input_Raw!$DG:$DG),"")</f>
        <v/>
      </c>
      <c r="AJ410" s="10"/>
      <c r="AK410" s="10"/>
      <c r="AL410" s="10"/>
      <c r="AM410" s="10"/>
      <c r="AN410" s="314" t="str">
        <f>IFERROR(_xlfn.XLOOKUP($A410,Input_Raw!$E:$E,Input_Raw!$CY:$CY),"")</f>
        <v/>
      </c>
      <c r="AO410" s="312" t="str">
        <f>IFERROR((_xlfn.XLOOKUP($A410,'WTG Reactive Power'!$A:$A,'WTG Reactive Power'!AB:AB))/X410,"")</f>
        <v/>
      </c>
      <c r="AP410" s="312" t="str">
        <f>IFERROR(_xlfn.XLOOKUP($D410,'Modelling New'!$D:$D,'Modelling New'!AK:AK),"")</f>
        <v/>
      </c>
      <c r="AQ410" s="312" t="str">
        <f>IFERROR(_xlfn.XLOOKUP($D410,'Modelling New'!$D:$D,'Modelling New'!AL:AL),"")</f>
        <v/>
      </c>
      <c r="AR410" s="325" t="str">
        <f>IFERROR(_xlfn.XLOOKUP($D410,'Modelling New'!$D:$D,'Modelling New'!$N:$N),"")</f>
        <v/>
      </c>
      <c r="AS410" s="325"/>
    </row>
    <row r="411" spans="1:45">
      <c r="A411" s="32">
        <f t="shared" si="39"/>
        <v>46154</v>
      </c>
      <c r="B411" s="43">
        <f>YEAR(Table13[[#This Row],[Date]])+IF(MONTH(Table13[[#This Row],[Date]])&gt;=4,1,0)</f>
        <v>2027</v>
      </c>
      <c r="C411" s="10">
        <f>YEAR(Table13[[#This Row],[Date]])</f>
        <v>2026</v>
      </c>
      <c r="D411" s="309">
        <f>Table13[[#This Row],[Date]]-DAY(Table13[[#This Row],[Date]])+1</f>
        <v>46143</v>
      </c>
      <c r="E411" s="10">
        <f t="shared" si="35"/>
        <v>31</v>
      </c>
      <c r="F411" s="241" t="str">
        <f>IFERROR(_xlfn.XLOOKUP($A411,Input_Raw!$E:$E,Input_Raw!DC:DC),"")</f>
        <v/>
      </c>
      <c r="G411" s="242"/>
      <c r="H411" s="242"/>
      <c r="I411" s="242"/>
      <c r="J411" s="242"/>
      <c r="K411" s="243"/>
      <c r="L411" s="242"/>
      <c r="M411" s="242" t="str">
        <f>IFERROR(_xlfn.XLOOKUP($A411,Input_Raw!$E:$E,Input_Raw!$BM:$BM),"")</f>
        <v/>
      </c>
      <c r="N411" s="242" t="str">
        <f>IFERROR(_xlfn.XLOOKUP($A411,Input_Raw!$E:$E,Input_Raw!$BN:$BN),"")</f>
        <v/>
      </c>
      <c r="O411" s="311" t="str">
        <f t="shared" si="36"/>
        <v/>
      </c>
      <c r="P411" s="311" t="str">
        <f>IFERROR(1-SUMIF(WTG_BD!$F:$F,$A411,WTG_BD!$AA:$AA)/($AA411+SUMIF(WTG_BD!$F:$F,$A411,WTG_BD!$AA:$AA)),"")</f>
        <v/>
      </c>
      <c r="Q411" s="328" t="str">
        <f>IFERROR(1-SUMIF(IGA_BD!$F:$F,$A411,IGA_BD!$W:$W)/($AA411+SUMIF(IGA_BD!$F:$F,$A411,IGA_BD!$W:$W)),"")</f>
        <v/>
      </c>
      <c r="R411" s="311" t="str">
        <f>IFERROR(1-SUMIF(Grid_BD!$F:$F,$A411,Grid_BD!$Y:$Y)/($AA411+SUMIF(Grid_BD!$F:$F,$A411,Grid_BD!$Y:$Y)),"")</f>
        <v/>
      </c>
      <c r="S411" s="10"/>
      <c r="T411" s="310"/>
      <c r="U411" s="311"/>
      <c r="V411" s="10"/>
      <c r="W411" s="312" t="str">
        <f t="shared" si="37"/>
        <v/>
      </c>
      <c r="X411" s="10" t="str">
        <f>IFERROR(_xlfn.XLOOKUP($A411,Input_Raw!$E:$E,Input_Raw!BG:BG),"")</f>
        <v/>
      </c>
      <c r="Y411" s="10" t="str">
        <f>IFERROR(_xlfn.XLOOKUP($A411,Input_Raw!$E:$E,Input_Raw!DF:DF),"")</f>
        <v/>
      </c>
      <c r="Z411" s="319" t="str">
        <f>IFERROR(_xlfn.XLOOKUP(A411,Input_Raw!E:E,Input_Raw!CT:CT)/_xlfn.XLOOKUP(A411,Input_Raw!E:E,Input_Raw!CS:CS)*Table13[[#This Row],[Mtr_Export (kWh)]],"")</f>
        <v/>
      </c>
      <c r="AA411" s="43" t="str">
        <f t="shared" si="38"/>
        <v/>
      </c>
      <c r="AB411" s="10" t="str">
        <f>IFERROR(_xlfn.XLOOKUP($A411,Input_Raw!$E:$E,Input_Raw!$CZ:$CZ),"")</f>
        <v/>
      </c>
      <c r="AC411" s="313" t="str">
        <f>IFERROR(_xlfn.XLOOKUP($D411,'Modelling New'!$D:$D,'Modelling New'!$J:$J),"")</f>
        <v/>
      </c>
      <c r="AD411" s="43" t="str">
        <f>IFERROR(_xlfn.XLOOKUP($D411,'Modelling New'!$D:$D,'Modelling New'!$T:$T)*1000,"")</f>
        <v/>
      </c>
      <c r="AE411" s="312"/>
      <c r="AF411" s="312" t="str">
        <f>IFERROR(_xlfn.XLOOKUP($D411,'Modelling New'!$D:$D,'Modelling New'!$W:$W),"")</f>
        <v/>
      </c>
      <c r="AG411" s="312" t="str">
        <f>IFERROR(_xlfn.XLOOKUP($D411,'Modelling New'!$D:$D,'Modelling New'!$AE:$AE),"")</f>
        <v/>
      </c>
      <c r="AH411" s="312" t="str">
        <f>IFERROR(_xlfn.XLOOKUP($D411,'Modelling New'!$D:$D,'Modelling New'!$AF:$AF),"")</f>
        <v/>
      </c>
      <c r="AI411" s="10" t="str">
        <f>IFERROR(_xlfn.XLOOKUP($A411,Input_Raw!$E:$E,Input_Raw!$DG:$DG),"")</f>
        <v/>
      </c>
      <c r="AJ411" s="10"/>
      <c r="AK411" s="10"/>
      <c r="AL411" s="10"/>
      <c r="AM411" s="10"/>
      <c r="AN411" s="314" t="str">
        <f>IFERROR(_xlfn.XLOOKUP($A411,Input_Raw!$E:$E,Input_Raw!$CY:$CY),"")</f>
        <v/>
      </c>
      <c r="AO411" s="312" t="str">
        <f>IFERROR((_xlfn.XLOOKUP($A411,'WTG Reactive Power'!$A:$A,'WTG Reactive Power'!AB:AB))/X411,"")</f>
        <v/>
      </c>
      <c r="AP411" s="312" t="str">
        <f>IFERROR(_xlfn.XLOOKUP($D411,'Modelling New'!$D:$D,'Modelling New'!AK:AK),"")</f>
        <v/>
      </c>
      <c r="AQ411" s="312" t="str">
        <f>IFERROR(_xlfn.XLOOKUP($D411,'Modelling New'!$D:$D,'Modelling New'!AL:AL),"")</f>
        <v/>
      </c>
      <c r="AR411" s="325" t="str">
        <f>IFERROR(_xlfn.XLOOKUP($D411,'Modelling New'!$D:$D,'Modelling New'!$N:$N),"")</f>
        <v/>
      </c>
      <c r="AS411" s="325"/>
    </row>
    <row r="412" spans="1:45">
      <c r="A412" s="32">
        <f t="shared" si="39"/>
        <v>46155</v>
      </c>
      <c r="B412" s="43">
        <f>YEAR(Table13[[#This Row],[Date]])+IF(MONTH(Table13[[#This Row],[Date]])&gt;=4,1,0)</f>
        <v>2027</v>
      </c>
      <c r="C412" s="10">
        <f>YEAR(Table13[[#This Row],[Date]])</f>
        <v>2026</v>
      </c>
      <c r="D412" s="309">
        <f>Table13[[#This Row],[Date]]-DAY(Table13[[#This Row],[Date]])+1</f>
        <v>46143</v>
      </c>
      <c r="E412" s="10">
        <f t="shared" si="35"/>
        <v>31</v>
      </c>
      <c r="F412" s="241" t="str">
        <f>IFERROR(_xlfn.XLOOKUP($A412,Input_Raw!$E:$E,Input_Raw!DC:DC),"")</f>
        <v/>
      </c>
      <c r="G412" s="313"/>
      <c r="H412" s="313"/>
      <c r="I412" s="313"/>
      <c r="J412" s="313"/>
      <c r="K412" s="243"/>
      <c r="L412" s="242"/>
      <c r="M412" s="242" t="str">
        <f>IFERROR(_xlfn.XLOOKUP($A412,Input_Raw!$E:$E,Input_Raw!$BM:$BM),"")</f>
        <v/>
      </c>
      <c r="N412" s="242" t="str">
        <f>IFERROR(_xlfn.XLOOKUP($A412,Input_Raw!$E:$E,Input_Raw!$BN:$BN),"")</f>
        <v/>
      </c>
      <c r="O412" s="311" t="str">
        <f t="shared" si="36"/>
        <v/>
      </c>
      <c r="P412" s="311" t="str">
        <f>IFERROR(1-SUMIF(WTG_BD!$F:$F,$A412,WTG_BD!$AA:$AA)/($AA412+SUMIF(WTG_BD!$F:$F,$A412,WTG_BD!$AA:$AA)),"")</f>
        <v/>
      </c>
      <c r="Q412" s="328" t="str">
        <f>IFERROR(1-SUMIF(IGA_BD!$F:$F,$A412,IGA_BD!$W:$W)/($AA412+SUMIF(IGA_BD!$F:$F,$A412,IGA_BD!$W:$W)),"")</f>
        <v/>
      </c>
      <c r="R412" s="47" t="str">
        <f>IFERROR(1-SUMIF(Grid_BD!$F:$F,$A412,Grid_BD!$Y:$Y)/($AA412+SUMIF(Grid_BD!$F:$F,$A412,Grid_BD!$Y:$Y)),"")</f>
        <v/>
      </c>
      <c r="S412" s="10"/>
      <c r="T412" s="310"/>
      <c r="U412" s="311"/>
      <c r="V412" s="10"/>
      <c r="W412" s="312" t="str">
        <f t="shared" si="37"/>
        <v/>
      </c>
      <c r="X412" s="10" t="str">
        <f>IFERROR(_xlfn.XLOOKUP($A412,Input_Raw!$E:$E,Input_Raw!BG:BG),"")</f>
        <v/>
      </c>
      <c r="Y412" s="10" t="str">
        <f>IFERROR(_xlfn.XLOOKUP($A412,Input_Raw!$E:$E,Input_Raw!DF:DF),"")</f>
        <v/>
      </c>
      <c r="Z412" s="319" t="str">
        <f>IFERROR(_xlfn.XLOOKUP(A412,Input_Raw!E:E,Input_Raw!CT:CT)/_xlfn.XLOOKUP(A412,Input_Raw!E:E,Input_Raw!CS:CS)*Table13[[#This Row],[Mtr_Export (kWh)]],"")</f>
        <v/>
      </c>
      <c r="AA412" s="43" t="str">
        <f t="shared" si="38"/>
        <v/>
      </c>
      <c r="AB412" s="10" t="str">
        <f>IFERROR(_xlfn.XLOOKUP($A412,Input_Raw!$E:$E,Input_Raw!$CZ:$CZ),"")</f>
        <v/>
      </c>
      <c r="AC412" s="313" t="str">
        <f>IFERROR(_xlfn.XLOOKUP($D412,'Modelling New'!$D:$D,'Modelling New'!$J:$J),"")</f>
        <v/>
      </c>
      <c r="AD412" s="43" t="str">
        <f>IFERROR(_xlfn.XLOOKUP($D412,'Modelling New'!$D:$D,'Modelling New'!$T:$T)*1000,"")</f>
        <v/>
      </c>
      <c r="AE412" s="312"/>
      <c r="AF412" s="312" t="str">
        <f>IFERROR(_xlfn.XLOOKUP($D412,'Modelling New'!$D:$D,'Modelling New'!$W:$W),"")</f>
        <v/>
      </c>
      <c r="AG412" s="312" t="str">
        <f>IFERROR(_xlfn.XLOOKUP($D412,'Modelling New'!$D:$D,'Modelling New'!$AE:$AE),"")</f>
        <v/>
      </c>
      <c r="AH412" s="312" t="str">
        <f>IFERROR(_xlfn.XLOOKUP($D412,'Modelling New'!$D:$D,'Modelling New'!$AF:$AF),"")</f>
        <v/>
      </c>
      <c r="AI412" s="10" t="str">
        <f>IFERROR(_xlfn.XLOOKUP($A412,Input_Raw!$E:$E,Input_Raw!$DG:$DG),"")</f>
        <v/>
      </c>
      <c r="AJ412" s="10"/>
      <c r="AK412" s="10"/>
      <c r="AL412" s="10"/>
      <c r="AM412" s="10"/>
      <c r="AN412" s="314" t="str">
        <f>IFERROR(_xlfn.XLOOKUP($A412,Input_Raw!$E:$E,Input_Raw!$CY:$CY),"")</f>
        <v/>
      </c>
      <c r="AO412" s="312" t="str">
        <f>IFERROR((_xlfn.XLOOKUP($A412,'WTG Reactive Power'!$A:$A,'WTG Reactive Power'!AB:AB))/X412,"")</f>
        <v/>
      </c>
      <c r="AP412" s="312" t="str">
        <f>IFERROR(_xlfn.XLOOKUP($D412,'Modelling New'!$D:$D,'Modelling New'!AK:AK),"")</f>
        <v/>
      </c>
      <c r="AQ412" s="312" t="str">
        <f>IFERROR(_xlfn.XLOOKUP($D412,'Modelling New'!$D:$D,'Modelling New'!AL:AL),"")</f>
        <v/>
      </c>
      <c r="AR412" s="325" t="str">
        <f>IFERROR(_xlfn.XLOOKUP($D412,'Modelling New'!$D:$D,'Modelling New'!$N:$N),"")</f>
        <v/>
      </c>
      <c r="AS412" s="325"/>
    </row>
    <row r="413" spans="1:45">
      <c r="A413" s="32">
        <f t="shared" si="39"/>
        <v>46156</v>
      </c>
      <c r="B413" s="43">
        <f>YEAR(Table13[[#This Row],[Date]])+IF(MONTH(Table13[[#This Row],[Date]])&gt;=4,1,0)</f>
        <v>2027</v>
      </c>
      <c r="C413" s="10">
        <f>YEAR(Table13[[#This Row],[Date]])</f>
        <v>2026</v>
      </c>
      <c r="D413" s="309">
        <f>Table13[[#This Row],[Date]]-DAY(Table13[[#This Row],[Date]])+1</f>
        <v>46143</v>
      </c>
      <c r="E413" s="10">
        <f t="shared" si="35"/>
        <v>31</v>
      </c>
      <c r="F413" s="241" t="str">
        <f>IFERROR(_xlfn.XLOOKUP($A413,Input_Raw!$E:$E,Input_Raw!DC:DC),"")</f>
        <v/>
      </c>
      <c r="G413" s="242"/>
      <c r="H413" s="242"/>
      <c r="I413" s="242"/>
      <c r="J413" s="242"/>
      <c r="K413" s="243"/>
      <c r="L413" s="242"/>
      <c r="M413" s="242" t="str">
        <f>IFERROR(_xlfn.XLOOKUP($A413,Input_Raw!$E:$E,Input_Raw!$BM:$BM),"")</f>
        <v/>
      </c>
      <c r="N413" s="242" t="str">
        <f>IFERROR(_xlfn.XLOOKUP($A413,Input_Raw!$E:$E,Input_Raw!$BN:$BN),"")</f>
        <v/>
      </c>
      <c r="O413" s="311" t="str">
        <f t="shared" si="36"/>
        <v/>
      </c>
      <c r="P413" s="311" t="str">
        <f>IFERROR(1-SUMIF(WTG_BD!$F:$F,$A413,WTG_BD!$AA:$AA)/($AA413+SUMIF(WTG_BD!$F:$F,$A413,WTG_BD!$AA:$AA)),"")</f>
        <v/>
      </c>
      <c r="Q413" s="328" t="str">
        <f>IFERROR(1-SUMIF(IGA_BD!$F:$F,$A413,IGA_BD!$W:$W)/($AA413+SUMIF(IGA_BD!$F:$F,$A413,IGA_BD!$W:$W)),"")</f>
        <v/>
      </c>
      <c r="R413" s="311" t="str">
        <f>IFERROR(1-SUMIF(Grid_BD!$F:$F,$A413,Grid_BD!$Y:$Y)/($AA413+SUMIF(Grid_BD!$F:$F,$A413,Grid_BD!$Y:$Y)),"")</f>
        <v/>
      </c>
      <c r="S413" s="10"/>
      <c r="T413" s="310"/>
      <c r="U413" s="311"/>
      <c r="V413" s="10"/>
      <c r="W413" s="312" t="str">
        <f t="shared" si="37"/>
        <v/>
      </c>
      <c r="X413" s="10" t="str">
        <f>IFERROR(_xlfn.XLOOKUP($A413,Input_Raw!$E:$E,Input_Raw!BG:BG),"")</f>
        <v/>
      </c>
      <c r="Y413" s="10" t="str">
        <f>IFERROR(_xlfn.XLOOKUP($A413,Input_Raw!$E:$E,Input_Raw!DF:DF),"")</f>
        <v/>
      </c>
      <c r="Z413" s="319" t="str">
        <f>IFERROR(_xlfn.XLOOKUP(A413,Input_Raw!E:E,Input_Raw!CT:CT)/_xlfn.XLOOKUP(A413,Input_Raw!E:E,Input_Raw!CS:CS)*Table13[[#This Row],[Mtr_Export (kWh)]],"")</f>
        <v/>
      </c>
      <c r="AA413" s="43" t="str">
        <f t="shared" si="38"/>
        <v/>
      </c>
      <c r="AB413" s="10" t="str">
        <f>IFERROR(_xlfn.XLOOKUP($A413,Input_Raw!$E:$E,Input_Raw!$CZ:$CZ),"")</f>
        <v/>
      </c>
      <c r="AC413" s="313" t="str">
        <f>IFERROR(_xlfn.XLOOKUP($D413,'Modelling New'!$D:$D,'Modelling New'!$J:$J),"")</f>
        <v/>
      </c>
      <c r="AD413" s="43" t="str">
        <f>IFERROR(_xlfn.XLOOKUP($D413,'Modelling New'!$D:$D,'Modelling New'!$T:$T)*1000,"")</f>
        <v/>
      </c>
      <c r="AE413" s="312"/>
      <c r="AF413" s="312" t="str">
        <f>IFERROR(_xlfn.XLOOKUP($D413,'Modelling New'!$D:$D,'Modelling New'!$W:$W),"")</f>
        <v/>
      </c>
      <c r="AG413" s="312" t="str">
        <f>IFERROR(_xlfn.XLOOKUP($D413,'Modelling New'!$D:$D,'Modelling New'!$AE:$AE),"")</f>
        <v/>
      </c>
      <c r="AH413" s="312" t="str">
        <f>IFERROR(_xlfn.XLOOKUP($D413,'Modelling New'!$D:$D,'Modelling New'!$AF:$AF),"")</f>
        <v/>
      </c>
      <c r="AI413" s="10" t="str">
        <f>IFERROR(_xlfn.XLOOKUP($A413,Input_Raw!$E:$E,Input_Raw!$DG:$DG),"")</f>
        <v/>
      </c>
      <c r="AJ413" s="10"/>
      <c r="AK413" s="10"/>
      <c r="AL413" s="10"/>
      <c r="AM413" s="10"/>
      <c r="AN413" s="314" t="str">
        <f>IFERROR(_xlfn.XLOOKUP($A413,Input_Raw!$E:$E,Input_Raw!$CY:$CY),"")</f>
        <v/>
      </c>
      <c r="AO413" s="312" t="str">
        <f>IFERROR((_xlfn.XLOOKUP($A413,'WTG Reactive Power'!$A:$A,'WTG Reactive Power'!AB:AB))/X413,"")</f>
        <v/>
      </c>
      <c r="AP413" s="312" t="str">
        <f>IFERROR(_xlfn.XLOOKUP($D413,'Modelling New'!$D:$D,'Modelling New'!AK:AK),"")</f>
        <v/>
      </c>
      <c r="AQ413" s="312" t="str">
        <f>IFERROR(_xlfn.XLOOKUP($D413,'Modelling New'!$D:$D,'Modelling New'!AL:AL),"")</f>
        <v/>
      </c>
      <c r="AR413" s="325" t="str">
        <f>IFERROR(_xlfn.XLOOKUP($D413,'Modelling New'!$D:$D,'Modelling New'!$N:$N),"")</f>
        <v/>
      </c>
      <c r="AS413" s="325"/>
    </row>
    <row r="414" spans="1:45">
      <c r="A414" s="32">
        <f t="shared" si="39"/>
        <v>46157</v>
      </c>
      <c r="B414" s="43">
        <f>YEAR(Table13[[#This Row],[Date]])+IF(MONTH(Table13[[#This Row],[Date]])&gt;=4,1,0)</f>
        <v>2027</v>
      </c>
      <c r="C414" s="10">
        <f>YEAR(Table13[[#This Row],[Date]])</f>
        <v>2026</v>
      </c>
      <c r="D414" s="309">
        <f>Table13[[#This Row],[Date]]-DAY(Table13[[#This Row],[Date]])+1</f>
        <v>46143</v>
      </c>
      <c r="E414" s="10">
        <f t="shared" si="35"/>
        <v>31</v>
      </c>
      <c r="F414" s="241" t="str">
        <f>IFERROR(_xlfn.XLOOKUP($A414,Input_Raw!$E:$E,Input_Raw!DC:DC),"")</f>
        <v/>
      </c>
      <c r="G414" s="313"/>
      <c r="H414" s="313"/>
      <c r="I414" s="313"/>
      <c r="J414" s="313"/>
      <c r="K414" s="243"/>
      <c r="L414" s="242"/>
      <c r="M414" s="242" t="str">
        <f>IFERROR(_xlfn.XLOOKUP($A414,Input_Raw!$E:$E,Input_Raw!$BM:$BM),"")</f>
        <v/>
      </c>
      <c r="N414" s="242" t="str">
        <f>IFERROR(_xlfn.XLOOKUP($A414,Input_Raw!$E:$E,Input_Raw!$BN:$BN),"")</f>
        <v/>
      </c>
      <c r="O414" s="311" t="str">
        <f t="shared" si="36"/>
        <v/>
      </c>
      <c r="P414" s="311" t="str">
        <f>IFERROR(1-SUMIF(WTG_BD!$F:$F,$A414,WTG_BD!$AA:$AA)/($AA414+SUMIF(WTG_BD!$F:$F,$A414,WTG_BD!$AA:$AA)),"")</f>
        <v/>
      </c>
      <c r="Q414" s="328" t="str">
        <f>IFERROR(1-SUMIF(IGA_BD!$F:$F,$A414,IGA_BD!$W:$W)/($AA414+SUMIF(IGA_BD!$F:$F,$A414,IGA_BD!$W:$W)),"")</f>
        <v/>
      </c>
      <c r="R414" s="47" t="str">
        <f>IFERROR(1-SUMIF(Grid_BD!$F:$F,$A414,Grid_BD!$Y:$Y)/($AA414+SUMIF(Grid_BD!$F:$F,$A414,Grid_BD!$Y:$Y)),"")</f>
        <v/>
      </c>
      <c r="S414" s="10"/>
      <c r="T414" s="310"/>
      <c r="U414" s="311"/>
      <c r="V414" s="10"/>
      <c r="W414" s="312" t="str">
        <f t="shared" si="37"/>
        <v/>
      </c>
      <c r="X414" s="10" t="str">
        <f>IFERROR(_xlfn.XLOOKUP($A414,Input_Raw!$E:$E,Input_Raw!BG:BG),"")</f>
        <v/>
      </c>
      <c r="Y414" s="10" t="str">
        <f>IFERROR(_xlfn.XLOOKUP($A414,Input_Raw!$E:$E,Input_Raw!DF:DF),"")</f>
        <v/>
      </c>
      <c r="Z414" s="319" t="str">
        <f>IFERROR(_xlfn.XLOOKUP(A414,Input_Raw!E:E,Input_Raw!CT:CT)/_xlfn.XLOOKUP(A414,Input_Raw!E:E,Input_Raw!CS:CS)*Table13[[#This Row],[Mtr_Export (kWh)]],"")</f>
        <v/>
      </c>
      <c r="AA414" s="43" t="str">
        <f t="shared" si="38"/>
        <v/>
      </c>
      <c r="AB414" s="10" t="str">
        <f>IFERROR(_xlfn.XLOOKUP($A414,Input_Raw!$E:$E,Input_Raw!$CZ:$CZ),"")</f>
        <v/>
      </c>
      <c r="AC414" s="313" t="str">
        <f>IFERROR(_xlfn.XLOOKUP($D414,'Modelling New'!$D:$D,'Modelling New'!$J:$J),"")</f>
        <v/>
      </c>
      <c r="AD414" s="43" t="str">
        <f>IFERROR(_xlfn.XLOOKUP($D414,'Modelling New'!$D:$D,'Modelling New'!$T:$T)*1000,"")</f>
        <v/>
      </c>
      <c r="AE414" s="312"/>
      <c r="AF414" s="312" t="str">
        <f>IFERROR(_xlfn.XLOOKUP($D414,'Modelling New'!$D:$D,'Modelling New'!$W:$W),"")</f>
        <v/>
      </c>
      <c r="AG414" s="312" t="str">
        <f>IFERROR(_xlfn.XLOOKUP($D414,'Modelling New'!$D:$D,'Modelling New'!$AE:$AE),"")</f>
        <v/>
      </c>
      <c r="AH414" s="312" t="str">
        <f>IFERROR(_xlfn.XLOOKUP($D414,'Modelling New'!$D:$D,'Modelling New'!$AF:$AF),"")</f>
        <v/>
      </c>
      <c r="AI414" s="10" t="str">
        <f>IFERROR(_xlfn.XLOOKUP($A414,Input_Raw!$E:$E,Input_Raw!$DG:$DG),"")</f>
        <v/>
      </c>
      <c r="AJ414" s="10"/>
      <c r="AK414" s="10"/>
      <c r="AL414" s="10"/>
      <c r="AM414" s="10"/>
      <c r="AN414" s="314" t="str">
        <f>IFERROR(_xlfn.XLOOKUP($A414,Input_Raw!$E:$E,Input_Raw!$CY:$CY),"")</f>
        <v/>
      </c>
      <c r="AO414" s="312" t="str">
        <f>IFERROR((_xlfn.XLOOKUP($A414,'WTG Reactive Power'!$A:$A,'WTG Reactive Power'!AB:AB))/X414,"")</f>
        <v/>
      </c>
      <c r="AP414" s="312" t="str">
        <f>IFERROR(_xlfn.XLOOKUP($D414,'Modelling New'!$D:$D,'Modelling New'!AK:AK),"")</f>
        <v/>
      </c>
      <c r="AQ414" s="312" t="str">
        <f>IFERROR(_xlfn.XLOOKUP($D414,'Modelling New'!$D:$D,'Modelling New'!AL:AL),"")</f>
        <v/>
      </c>
      <c r="AR414" s="325" t="str">
        <f>IFERROR(_xlfn.XLOOKUP($D414,'Modelling New'!$D:$D,'Modelling New'!$N:$N),"")</f>
        <v/>
      </c>
      <c r="AS414" s="325"/>
    </row>
    <row r="415" spans="1:45">
      <c r="A415" s="32">
        <f t="shared" si="39"/>
        <v>46158</v>
      </c>
      <c r="B415" s="43">
        <f>YEAR(Table13[[#This Row],[Date]])+IF(MONTH(Table13[[#This Row],[Date]])&gt;=4,1,0)</f>
        <v>2027</v>
      </c>
      <c r="C415" s="10">
        <f>YEAR(Table13[[#This Row],[Date]])</f>
        <v>2026</v>
      </c>
      <c r="D415" s="309">
        <f>Table13[[#This Row],[Date]]-DAY(Table13[[#This Row],[Date]])+1</f>
        <v>46143</v>
      </c>
      <c r="E415" s="10">
        <f t="shared" si="35"/>
        <v>31</v>
      </c>
      <c r="F415" s="241" t="str">
        <f>IFERROR(_xlfn.XLOOKUP($A415,Input_Raw!$E:$E,Input_Raw!DC:DC),"")</f>
        <v/>
      </c>
      <c r="G415" s="242"/>
      <c r="H415" s="242"/>
      <c r="I415" s="242"/>
      <c r="J415" s="242"/>
      <c r="K415" s="243"/>
      <c r="L415" s="242"/>
      <c r="M415" s="242" t="str">
        <f>IFERROR(_xlfn.XLOOKUP($A415,Input_Raw!$E:$E,Input_Raw!$BM:$BM),"")</f>
        <v/>
      </c>
      <c r="N415" s="242" t="str">
        <f>IFERROR(_xlfn.XLOOKUP($A415,Input_Raw!$E:$E,Input_Raw!$BN:$BN),"")</f>
        <v/>
      </c>
      <c r="O415" s="311" t="str">
        <f t="shared" si="36"/>
        <v/>
      </c>
      <c r="P415" s="311" t="str">
        <f>IFERROR(1-SUMIF(WTG_BD!$F:$F,$A415,WTG_BD!$AA:$AA)/($AA415+SUMIF(WTG_BD!$F:$F,$A415,WTG_BD!$AA:$AA)),"")</f>
        <v/>
      </c>
      <c r="Q415" s="328" t="str">
        <f>IFERROR(1-SUMIF(IGA_BD!$F:$F,$A415,IGA_BD!$W:$W)/($AA415+SUMIF(IGA_BD!$F:$F,$A415,IGA_BD!$W:$W)),"")</f>
        <v/>
      </c>
      <c r="R415" s="311" t="str">
        <f>IFERROR(1-SUMIF(Grid_BD!$F:$F,$A415,Grid_BD!$Y:$Y)/($AA415+SUMIF(Grid_BD!$F:$F,$A415,Grid_BD!$Y:$Y)),"")</f>
        <v/>
      </c>
      <c r="S415" s="10"/>
      <c r="T415" s="310"/>
      <c r="U415" s="311"/>
      <c r="V415" s="10"/>
      <c r="W415" s="312" t="str">
        <f t="shared" si="37"/>
        <v/>
      </c>
      <c r="X415" s="10" t="str">
        <f>IFERROR(_xlfn.XLOOKUP($A415,Input_Raw!$E:$E,Input_Raw!BG:BG),"")</f>
        <v/>
      </c>
      <c r="Y415" s="10" t="str">
        <f>IFERROR(_xlfn.XLOOKUP($A415,Input_Raw!$E:$E,Input_Raw!DF:DF),"")</f>
        <v/>
      </c>
      <c r="Z415" s="319" t="str">
        <f>IFERROR(_xlfn.XLOOKUP(A415,Input_Raw!E:E,Input_Raw!CT:CT)/_xlfn.XLOOKUP(A415,Input_Raw!E:E,Input_Raw!CS:CS)*Table13[[#This Row],[Mtr_Export (kWh)]],"")</f>
        <v/>
      </c>
      <c r="AA415" s="43" t="str">
        <f t="shared" si="38"/>
        <v/>
      </c>
      <c r="AB415" s="10" t="str">
        <f>IFERROR(_xlfn.XLOOKUP($A415,Input_Raw!$E:$E,Input_Raw!$CZ:$CZ),"")</f>
        <v/>
      </c>
      <c r="AC415" s="313" t="str">
        <f>IFERROR(_xlfn.XLOOKUP($D415,'Modelling New'!$D:$D,'Modelling New'!$J:$J),"")</f>
        <v/>
      </c>
      <c r="AD415" s="43" t="str">
        <f>IFERROR(_xlfn.XLOOKUP($D415,'Modelling New'!$D:$D,'Modelling New'!$T:$T)*1000,"")</f>
        <v/>
      </c>
      <c r="AE415" s="312"/>
      <c r="AF415" s="312" t="str">
        <f>IFERROR(_xlfn.XLOOKUP($D415,'Modelling New'!$D:$D,'Modelling New'!$W:$W),"")</f>
        <v/>
      </c>
      <c r="AG415" s="312" t="str">
        <f>IFERROR(_xlfn.XLOOKUP($D415,'Modelling New'!$D:$D,'Modelling New'!$AE:$AE),"")</f>
        <v/>
      </c>
      <c r="AH415" s="312" t="str">
        <f>IFERROR(_xlfn.XLOOKUP($D415,'Modelling New'!$D:$D,'Modelling New'!$AF:$AF),"")</f>
        <v/>
      </c>
      <c r="AI415" s="10" t="str">
        <f>IFERROR(_xlfn.XLOOKUP($A415,Input_Raw!$E:$E,Input_Raw!$DG:$DG),"")</f>
        <v/>
      </c>
      <c r="AJ415" s="10"/>
      <c r="AK415" s="10"/>
      <c r="AL415" s="10"/>
      <c r="AM415" s="10"/>
      <c r="AN415" s="314" t="str">
        <f>IFERROR(_xlfn.XLOOKUP($A415,Input_Raw!$E:$E,Input_Raw!$CY:$CY),"")</f>
        <v/>
      </c>
      <c r="AO415" s="312" t="str">
        <f>IFERROR((_xlfn.XLOOKUP($A415,'WTG Reactive Power'!$A:$A,'WTG Reactive Power'!AB:AB))/X415,"")</f>
        <v/>
      </c>
      <c r="AP415" s="312" t="str">
        <f>IFERROR(_xlfn.XLOOKUP($D415,'Modelling New'!$D:$D,'Modelling New'!AK:AK),"")</f>
        <v/>
      </c>
      <c r="AQ415" s="312" t="str">
        <f>IFERROR(_xlfn.XLOOKUP($D415,'Modelling New'!$D:$D,'Modelling New'!AL:AL),"")</f>
        <v/>
      </c>
      <c r="AR415" s="325" t="str">
        <f>IFERROR(_xlfn.XLOOKUP($D415,'Modelling New'!$D:$D,'Modelling New'!$N:$N),"")</f>
        <v/>
      </c>
      <c r="AS415" s="325"/>
    </row>
    <row r="416" spans="1:45">
      <c r="A416" s="32">
        <f t="shared" si="39"/>
        <v>46159</v>
      </c>
      <c r="B416" s="43">
        <f>YEAR(Table13[[#This Row],[Date]])+IF(MONTH(Table13[[#This Row],[Date]])&gt;=4,1,0)</f>
        <v>2027</v>
      </c>
      <c r="C416" s="10">
        <f>YEAR(Table13[[#This Row],[Date]])</f>
        <v>2026</v>
      </c>
      <c r="D416" s="309">
        <f>Table13[[#This Row],[Date]]-DAY(Table13[[#This Row],[Date]])+1</f>
        <v>46143</v>
      </c>
      <c r="E416" s="10">
        <f t="shared" si="35"/>
        <v>31</v>
      </c>
      <c r="F416" s="241" t="str">
        <f>IFERROR(_xlfn.XLOOKUP($A416,Input_Raw!$E:$E,Input_Raw!DC:DC),"")</f>
        <v/>
      </c>
      <c r="G416" s="313"/>
      <c r="H416" s="313"/>
      <c r="I416" s="313"/>
      <c r="J416" s="313"/>
      <c r="K416" s="243"/>
      <c r="L416" s="242"/>
      <c r="M416" s="242" t="str">
        <f>IFERROR(_xlfn.XLOOKUP($A416,Input_Raw!$E:$E,Input_Raw!$BM:$BM),"")</f>
        <v/>
      </c>
      <c r="N416" s="242" t="str">
        <f>IFERROR(_xlfn.XLOOKUP($A416,Input_Raw!$E:$E,Input_Raw!$BN:$BN),"")</f>
        <v/>
      </c>
      <c r="O416" s="311" t="str">
        <f t="shared" si="36"/>
        <v/>
      </c>
      <c r="P416" s="311" t="str">
        <f>IFERROR(1-SUMIF(WTG_BD!$F:$F,$A416,WTG_BD!$AA:$AA)/($AA416+SUMIF(WTG_BD!$F:$F,$A416,WTG_BD!$AA:$AA)),"")</f>
        <v/>
      </c>
      <c r="Q416" s="328" t="str">
        <f>IFERROR(1-SUMIF(IGA_BD!$F:$F,$A416,IGA_BD!$W:$W)/($AA416+SUMIF(IGA_BD!$F:$F,$A416,IGA_BD!$W:$W)),"")</f>
        <v/>
      </c>
      <c r="R416" s="47" t="str">
        <f>IFERROR(1-SUMIF(Grid_BD!$F:$F,$A416,Grid_BD!$Y:$Y)/($AA416+SUMIF(Grid_BD!$F:$F,$A416,Grid_BD!$Y:$Y)),"")</f>
        <v/>
      </c>
      <c r="S416" s="10"/>
      <c r="T416" s="310"/>
      <c r="U416" s="311"/>
      <c r="V416" s="10"/>
      <c r="W416" s="312" t="str">
        <f t="shared" si="37"/>
        <v/>
      </c>
      <c r="X416" s="10" t="str">
        <f>IFERROR(_xlfn.XLOOKUP($A416,Input_Raw!$E:$E,Input_Raw!BG:BG),"")</f>
        <v/>
      </c>
      <c r="Y416" s="10" t="str">
        <f>IFERROR(_xlfn.XLOOKUP($A416,Input_Raw!$E:$E,Input_Raw!DF:DF),"")</f>
        <v/>
      </c>
      <c r="Z416" s="319" t="str">
        <f>IFERROR(_xlfn.XLOOKUP(A416,Input_Raw!E:E,Input_Raw!CT:CT)/_xlfn.XLOOKUP(A416,Input_Raw!E:E,Input_Raw!CS:CS)*Table13[[#This Row],[Mtr_Export (kWh)]],"")</f>
        <v/>
      </c>
      <c r="AA416" s="43" t="str">
        <f t="shared" si="38"/>
        <v/>
      </c>
      <c r="AB416" s="10" t="str">
        <f>IFERROR(_xlfn.XLOOKUP($A416,Input_Raw!$E:$E,Input_Raw!$CZ:$CZ),"")</f>
        <v/>
      </c>
      <c r="AC416" s="313" t="str">
        <f>IFERROR(_xlfn.XLOOKUP($D416,'Modelling New'!$D:$D,'Modelling New'!$J:$J),"")</f>
        <v/>
      </c>
      <c r="AD416" s="43" t="str">
        <f>IFERROR(_xlfn.XLOOKUP($D416,'Modelling New'!$D:$D,'Modelling New'!$T:$T)*1000,"")</f>
        <v/>
      </c>
      <c r="AE416" s="312"/>
      <c r="AF416" s="312" t="str">
        <f>IFERROR(_xlfn.XLOOKUP($D416,'Modelling New'!$D:$D,'Modelling New'!$W:$W),"")</f>
        <v/>
      </c>
      <c r="AG416" s="312" t="str">
        <f>IFERROR(_xlfn.XLOOKUP($D416,'Modelling New'!$D:$D,'Modelling New'!$AE:$AE),"")</f>
        <v/>
      </c>
      <c r="AH416" s="312" t="str">
        <f>IFERROR(_xlfn.XLOOKUP($D416,'Modelling New'!$D:$D,'Modelling New'!$AF:$AF),"")</f>
        <v/>
      </c>
      <c r="AI416" s="10" t="str">
        <f>IFERROR(_xlfn.XLOOKUP($A416,Input_Raw!$E:$E,Input_Raw!$DG:$DG),"")</f>
        <v/>
      </c>
      <c r="AJ416" s="10"/>
      <c r="AK416" s="10"/>
      <c r="AL416" s="10"/>
      <c r="AM416" s="10"/>
      <c r="AN416" s="314" t="str">
        <f>IFERROR(_xlfn.XLOOKUP($A416,Input_Raw!$E:$E,Input_Raw!$CY:$CY),"")</f>
        <v/>
      </c>
      <c r="AO416" s="312" t="str">
        <f>IFERROR((_xlfn.XLOOKUP($A416,'WTG Reactive Power'!$A:$A,'WTG Reactive Power'!AB:AB))/X416,"")</f>
        <v/>
      </c>
      <c r="AP416" s="312" t="str">
        <f>IFERROR(_xlfn.XLOOKUP($D416,'Modelling New'!$D:$D,'Modelling New'!AK:AK),"")</f>
        <v/>
      </c>
      <c r="AQ416" s="312" t="str">
        <f>IFERROR(_xlfn.XLOOKUP($D416,'Modelling New'!$D:$D,'Modelling New'!AL:AL),"")</f>
        <v/>
      </c>
      <c r="AR416" s="325" t="str">
        <f>IFERROR(_xlfn.XLOOKUP($D416,'Modelling New'!$D:$D,'Modelling New'!$N:$N),"")</f>
        <v/>
      </c>
      <c r="AS416" s="325"/>
    </row>
    <row r="417" spans="1:45">
      <c r="A417" s="32">
        <f t="shared" si="39"/>
        <v>46160</v>
      </c>
      <c r="B417" s="43">
        <f>YEAR(Table13[[#This Row],[Date]])+IF(MONTH(Table13[[#This Row],[Date]])&gt;=4,1,0)</f>
        <v>2027</v>
      </c>
      <c r="C417" s="10">
        <f>YEAR(Table13[[#This Row],[Date]])</f>
        <v>2026</v>
      </c>
      <c r="D417" s="309">
        <f>Table13[[#This Row],[Date]]-DAY(Table13[[#This Row],[Date]])+1</f>
        <v>46143</v>
      </c>
      <c r="E417" s="10">
        <f t="shared" si="35"/>
        <v>31</v>
      </c>
      <c r="F417" s="241" t="str">
        <f>IFERROR(_xlfn.XLOOKUP($A417,Input_Raw!$E:$E,Input_Raw!DC:DC),"")</f>
        <v/>
      </c>
      <c r="G417" s="242"/>
      <c r="H417" s="242"/>
      <c r="I417" s="242"/>
      <c r="J417" s="242"/>
      <c r="K417" s="243"/>
      <c r="L417" s="242"/>
      <c r="M417" s="242" t="str">
        <f>IFERROR(_xlfn.XLOOKUP($A417,Input_Raw!$E:$E,Input_Raw!$BM:$BM),"")</f>
        <v/>
      </c>
      <c r="N417" s="242" t="str">
        <f>IFERROR(_xlfn.XLOOKUP($A417,Input_Raw!$E:$E,Input_Raw!$BN:$BN),"")</f>
        <v/>
      </c>
      <c r="O417" s="311" t="str">
        <f t="shared" si="36"/>
        <v/>
      </c>
      <c r="P417" s="311" t="str">
        <f>IFERROR(1-SUMIF(WTG_BD!$F:$F,$A417,WTG_BD!$AA:$AA)/($AA417+SUMIF(WTG_BD!$F:$F,$A417,WTG_BD!$AA:$AA)),"")</f>
        <v/>
      </c>
      <c r="Q417" s="328" t="str">
        <f>IFERROR(1-SUMIF(IGA_BD!$F:$F,$A417,IGA_BD!$W:$W)/($AA417+SUMIF(IGA_BD!$F:$F,$A417,IGA_BD!$W:$W)),"")</f>
        <v/>
      </c>
      <c r="R417" s="311" t="str">
        <f>IFERROR(1-SUMIF(Grid_BD!$F:$F,$A417,Grid_BD!$Y:$Y)/($AA417+SUMIF(Grid_BD!$F:$F,$A417,Grid_BD!$Y:$Y)),"")</f>
        <v/>
      </c>
      <c r="S417" s="10"/>
      <c r="T417" s="310"/>
      <c r="U417" s="311"/>
      <c r="V417" s="10"/>
      <c r="W417" s="312" t="str">
        <f t="shared" si="37"/>
        <v/>
      </c>
      <c r="X417" s="10" t="str">
        <f>IFERROR(_xlfn.XLOOKUP($A417,Input_Raw!$E:$E,Input_Raw!BG:BG),"")</f>
        <v/>
      </c>
      <c r="Y417" s="10" t="str">
        <f>IFERROR(_xlfn.XLOOKUP($A417,Input_Raw!$E:$E,Input_Raw!DF:DF),"")</f>
        <v/>
      </c>
      <c r="Z417" s="319" t="str">
        <f>IFERROR(_xlfn.XLOOKUP(A417,Input_Raw!E:E,Input_Raw!CT:CT)/_xlfn.XLOOKUP(A417,Input_Raw!E:E,Input_Raw!CS:CS)*Table13[[#This Row],[Mtr_Export (kWh)]],"")</f>
        <v/>
      </c>
      <c r="AA417" s="43" t="str">
        <f t="shared" si="38"/>
        <v/>
      </c>
      <c r="AB417" s="10" t="str">
        <f>IFERROR(_xlfn.XLOOKUP($A417,Input_Raw!$E:$E,Input_Raw!$CZ:$CZ),"")</f>
        <v/>
      </c>
      <c r="AC417" s="313" t="str">
        <f>IFERROR(_xlfn.XLOOKUP($D417,'Modelling New'!$D:$D,'Modelling New'!$J:$J),"")</f>
        <v/>
      </c>
      <c r="AD417" s="43" t="str">
        <f>IFERROR(_xlfn.XLOOKUP($D417,'Modelling New'!$D:$D,'Modelling New'!$T:$T)*1000,"")</f>
        <v/>
      </c>
      <c r="AE417" s="312"/>
      <c r="AF417" s="312" t="str">
        <f>IFERROR(_xlfn.XLOOKUP($D417,'Modelling New'!$D:$D,'Modelling New'!$W:$W),"")</f>
        <v/>
      </c>
      <c r="AG417" s="312" t="str">
        <f>IFERROR(_xlfn.XLOOKUP($D417,'Modelling New'!$D:$D,'Modelling New'!$AE:$AE),"")</f>
        <v/>
      </c>
      <c r="AH417" s="312" t="str">
        <f>IFERROR(_xlfn.XLOOKUP($D417,'Modelling New'!$D:$D,'Modelling New'!$AF:$AF),"")</f>
        <v/>
      </c>
      <c r="AI417" s="10" t="str">
        <f>IFERROR(_xlfn.XLOOKUP($A417,Input_Raw!$E:$E,Input_Raw!$DG:$DG),"")</f>
        <v/>
      </c>
      <c r="AJ417" s="10"/>
      <c r="AK417" s="10"/>
      <c r="AL417" s="10"/>
      <c r="AM417" s="10"/>
      <c r="AN417" s="314" t="str">
        <f>IFERROR(_xlfn.XLOOKUP($A417,Input_Raw!$E:$E,Input_Raw!$CY:$CY),"")</f>
        <v/>
      </c>
      <c r="AO417" s="312" t="str">
        <f>IFERROR((_xlfn.XLOOKUP($A417,'WTG Reactive Power'!$A:$A,'WTG Reactive Power'!AB:AB))/X417,"")</f>
        <v/>
      </c>
      <c r="AP417" s="312" t="str">
        <f>IFERROR(_xlfn.XLOOKUP($D417,'Modelling New'!$D:$D,'Modelling New'!AK:AK),"")</f>
        <v/>
      </c>
      <c r="AQ417" s="312" t="str">
        <f>IFERROR(_xlfn.XLOOKUP($D417,'Modelling New'!$D:$D,'Modelling New'!AL:AL),"")</f>
        <v/>
      </c>
      <c r="AR417" s="325" t="str">
        <f>IFERROR(_xlfn.XLOOKUP($D417,'Modelling New'!$D:$D,'Modelling New'!$N:$N),"")</f>
        <v/>
      </c>
      <c r="AS417" s="325"/>
    </row>
    <row r="418" spans="1:45">
      <c r="A418" s="32">
        <f t="shared" si="39"/>
        <v>46161</v>
      </c>
      <c r="B418" s="43">
        <f>YEAR(Table13[[#This Row],[Date]])+IF(MONTH(Table13[[#This Row],[Date]])&gt;=4,1,0)</f>
        <v>2027</v>
      </c>
      <c r="C418" s="10">
        <f>YEAR(Table13[[#This Row],[Date]])</f>
        <v>2026</v>
      </c>
      <c r="D418" s="309">
        <f>Table13[[#This Row],[Date]]-DAY(Table13[[#This Row],[Date]])+1</f>
        <v>46143</v>
      </c>
      <c r="E418" s="10">
        <f t="shared" si="35"/>
        <v>31</v>
      </c>
      <c r="F418" s="241" t="str">
        <f>IFERROR(_xlfn.XLOOKUP($A418,Input_Raw!$E:$E,Input_Raw!DC:DC),"")</f>
        <v/>
      </c>
      <c r="G418" s="313"/>
      <c r="H418" s="313"/>
      <c r="I418" s="313"/>
      <c r="J418" s="313"/>
      <c r="K418" s="243"/>
      <c r="L418" s="242"/>
      <c r="M418" s="242" t="str">
        <f>IFERROR(_xlfn.XLOOKUP($A418,Input_Raw!$E:$E,Input_Raw!$BM:$BM),"")</f>
        <v/>
      </c>
      <c r="N418" s="242" t="str">
        <f>IFERROR(_xlfn.XLOOKUP($A418,Input_Raw!$E:$E,Input_Raw!$BN:$BN),"")</f>
        <v/>
      </c>
      <c r="O418" s="311" t="str">
        <f t="shared" si="36"/>
        <v/>
      </c>
      <c r="P418" s="311" t="str">
        <f>IFERROR(1-SUMIF(WTG_BD!$F:$F,$A418,WTG_BD!$AA:$AA)/($AA418+SUMIF(WTG_BD!$F:$F,$A418,WTG_BD!$AA:$AA)),"")</f>
        <v/>
      </c>
      <c r="Q418" s="328" t="str">
        <f>IFERROR(1-SUMIF(IGA_BD!$F:$F,$A418,IGA_BD!$W:$W)/($AA418+SUMIF(IGA_BD!$F:$F,$A418,IGA_BD!$W:$W)),"")</f>
        <v/>
      </c>
      <c r="R418" s="47" t="str">
        <f>IFERROR(1-SUMIF(Grid_BD!$F:$F,$A418,Grid_BD!$Y:$Y)/($AA418+SUMIF(Grid_BD!$F:$F,$A418,Grid_BD!$Y:$Y)),"")</f>
        <v/>
      </c>
      <c r="S418" s="10"/>
      <c r="T418" s="310"/>
      <c r="U418" s="311"/>
      <c r="V418" s="10"/>
      <c r="W418" s="312" t="str">
        <f t="shared" si="37"/>
        <v/>
      </c>
      <c r="X418" s="10" t="str">
        <f>IFERROR(_xlfn.XLOOKUP($A418,Input_Raw!$E:$E,Input_Raw!BG:BG),"")</f>
        <v/>
      </c>
      <c r="Y418" s="10" t="str">
        <f>IFERROR(_xlfn.XLOOKUP($A418,Input_Raw!$E:$E,Input_Raw!DF:DF),"")</f>
        <v/>
      </c>
      <c r="Z418" s="319" t="str">
        <f>IFERROR(_xlfn.XLOOKUP(A418,Input_Raw!E:E,Input_Raw!CT:CT)/_xlfn.XLOOKUP(A418,Input_Raw!E:E,Input_Raw!CS:CS)*Table13[[#This Row],[Mtr_Export (kWh)]],"")</f>
        <v/>
      </c>
      <c r="AA418" s="43" t="str">
        <f t="shared" si="38"/>
        <v/>
      </c>
      <c r="AB418" s="10" t="str">
        <f>IFERROR(_xlfn.XLOOKUP($A418,Input_Raw!$E:$E,Input_Raw!$CZ:$CZ),"")</f>
        <v/>
      </c>
      <c r="AC418" s="313" t="str">
        <f>IFERROR(_xlfn.XLOOKUP($D418,'Modelling New'!$D:$D,'Modelling New'!$J:$J),"")</f>
        <v/>
      </c>
      <c r="AD418" s="43" t="str">
        <f>IFERROR(_xlfn.XLOOKUP($D418,'Modelling New'!$D:$D,'Modelling New'!$T:$T)*1000,"")</f>
        <v/>
      </c>
      <c r="AE418" s="312"/>
      <c r="AF418" s="312" t="str">
        <f>IFERROR(_xlfn.XLOOKUP($D418,'Modelling New'!$D:$D,'Modelling New'!$W:$W),"")</f>
        <v/>
      </c>
      <c r="AG418" s="312" t="str">
        <f>IFERROR(_xlfn.XLOOKUP($D418,'Modelling New'!$D:$D,'Modelling New'!$AE:$AE),"")</f>
        <v/>
      </c>
      <c r="AH418" s="312" t="str">
        <f>IFERROR(_xlfn.XLOOKUP($D418,'Modelling New'!$D:$D,'Modelling New'!$AF:$AF),"")</f>
        <v/>
      </c>
      <c r="AI418" s="10" t="str">
        <f>IFERROR(_xlfn.XLOOKUP($A418,Input_Raw!$E:$E,Input_Raw!$DG:$DG),"")</f>
        <v/>
      </c>
      <c r="AJ418" s="10"/>
      <c r="AK418" s="10"/>
      <c r="AL418" s="10"/>
      <c r="AM418" s="10"/>
      <c r="AN418" s="314" t="str">
        <f>IFERROR(_xlfn.XLOOKUP($A418,Input_Raw!$E:$E,Input_Raw!$CY:$CY),"")</f>
        <v/>
      </c>
      <c r="AO418" s="312" t="str">
        <f>IFERROR((_xlfn.XLOOKUP($A418,'WTG Reactive Power'!$A:$A,'WTG Reactive Power'!AB:AB))/X418,"")</f>
        <v/>
      </c>
      <c r="AP418" s="312" t="str">
        <f>IFERROR(_xlfn.XLOOKUP($D418,'Modelling New'!$D:$D,'Modelling New'!AK:AK),"")</f>
        <v/>
      </c>
      <c r="AQ418" s="312" t="str">
        <f>IFERROR(_xlfn.XLOOKUP($D418,'Modelling New'!$D:$D,'Modelling New'!AL:AL),"")</f>
        <v/>
      </c>
      <c r="AR418" s="325" t="str">
        <f>IFERROR(_xlfn.XLOOKUP($D418,'Modelling New'!$D:$D,'Modelling New'!$N:$N),"")</f>
        <v/>
      </c>
      <c r="AS418" s="325"/>
    </row>
    <row r="419" spans="1:45">
      <c r="A419" s="32">
        <f t="shared" si="39"/>
        <v>46162</v>
      </c>
      <c r="B419" s="43">
        <f>YEAR(Table13[[#This Row],[Date]])+IF(MONTH(Table13[[#This Row],[Date]])&gt;=4,1,0)</f>
        <v>2027</v>
      </c>
      <c r="C419" s="10">
        <f>YEAR(Table13[[#This Row],[Date]])</f>
        <v>2026</v>
      </c>
      <c r="D419" s="309">
        <f>Table13[[#This Row],[Date]]-DAY(Table13[[#This Row],[Date]])+1</f>
        <v>46143</v>
      </c>
      <c r="E419" s="10">
        <f t="shared" si="35"/>
        <v>31</v>
      </c>
      <c r="F419" s="241" t="str">
        <f>IFERROR(_xlfn.XLOOKUP($A419,Input_Raw!$E:$E,Input_Raw!DC:DC),"")</f>
        <v/>
      </c>
      <c r="G419" s="242"/>
      <c r="H419" s="242"/>
      <c r="I419" s="242"/>
      <c r="J419" s="242"/>
      <c r="K419" s="243"/>
      <c r="L419" s="242"/>
      <c r="M419" s="242" t="str">
        <f>IFERROR(_xlfn.XLOOKUP($A419,Input_Raw!$E:$E,Input_Raw!$BM:$BM),"")</f>
        <v/>
      </c>
      <c r="N419" s="242" t="str">
        <f>IFERROR(_xlfn.XLOOKUP($A419,Input_Raw!$E:$E,Input_Raw!$BN:$BN),"")</f>
        <v/>
      </c>
      <c r="O419" s="311" t="str">
        <f t="shared" si="36"/>
        <v/>
      </c>
      <c r="P419" s="311" t="str">
        <f>IFERROR(1-SUMIF(WTG_BD!$F:$F,$A419,WTG_BD!$AA:$AA)/($AA419+SUMIF(WTG_BD!$F:$F,$A419,WTG_BD!$AA:$AA)),"")</f>
        <v/>
      </c>
      <c r="Q419" s="328" t="str">
        <f>IFERROR(1-SUMIF(IGA_BD!$F:$F,$A419,IGA_BD!$W:$W)/($AA419+SUMIF(IGA_BD!$F:$F,$A419,IGA_BD!$W:$W)),"")</f>
        <v/>
      </c>
      <c r="R419" s="311" t="str">
        <f>IFERROR(1-SUMIF(Grid_BD!$F:$F,$A419,Grid_BD!$Y:$Y)/($AA419+SUMIF(Grid_BD!$F:$F,$A419,Grid_BD!$Y:$Y)),"")</f>
        <v/>
      </c>
      <c r="S419" s="10"/>
      <c r="T419" s="310"/>
      <c r="U419" s="311"/>
      <c r="V419" s="10"/>
      <c r="W419" s="312" t="str">
        <f t="shared" si="37"/>
        <v/>
      </c>
      <c r="X419" s="10" t="str">
        <f>IFERROR(_xlfn.XLOOKUP($A419,Input_Raw!$E:$E,Input_Raw!BG:BG),"")</f>
        <v/>
      </c>
      <c r="Y419" s="10" t="str">
        <f>IFERROR(_xlfn.XLOOKUP($A419,Input_Raw!$E:$E,Input_Raw!DF:DF),"")</f>
        <v/>
      </c>
      <c r="Z419" s="319" t="str">
        <f>IFERROR(_xlfn.XLOOKUP(A419,Input_Raw!E:E,Input_Raw!CT:CT)/_xlfn.XLOOKUP(A419,Input_Raw!E:E,Input_Raw!CS:CS)*Table13[[#This Row],[Mtr_Export (kWh)]],"")</f>
        <v/>
      </c>
      <c r="AA419" s="43" t="str">
        <f t="shared" si="38"/>
        <v/>
      </c>
      <c r="AB419" s="10" t="str">
        <f>IFERROR(_xlfn.XLOOKUP($A419,Input_Raw!$E:$E,Input_Raw!$CZ:$CZ),"")</f>
        <v/>
      </c>
      <c r="AC419" s="313" t="str">
        <f>IFERROR(_xlfn.XLOOKUP($D419,'Modelling New'!$D:$D,'Modelling New'!$J:$J),"")</f>
        <v/>
      </c>
      <c r="AD419" s="43" t="str">
        <f>IFERROR(_xlfn.XLOOKUP($D419,'Modelling New'!$D:$D,'Modelling New'!$T:$T)*1000,"")</f>
        <v/>
      </c>
      <c r="AE419" s="312"/>
      <c r="AF419" s="312" t="str">
        <f>IFERROR(_xlfn.XLOOKUP($D419,'Modelling New'!$D:$D,'Modelling New'!$W:$W),"")</f>
        <v/>
      </c>
      <c r="AG419" s="312" t="str">
        <f>IFERROR(_xlfn.XLOOKUP($D419,'Modelling New'!$D:$D,'Modelling New'!$AE:$AE),"")</f>
        <v/>
      </c>
      <c r="AH419" s="312" t="str">
        <f>IFERROR(_xlfn.XLOOKUP($D419,'Modelling New'!$D:$D,'Modelling New'!$AF:$AF),"")</f>
        <v/>
      </c>
      <c r="AI419" s="10" t="str">
        <f>IFERROR(_xlfn.XLOOKUP($A419,Input_Raw!$E:$E,Input_Raw!$DG:$DG),"")</f>
        <v/>
      </c>
      <c r="AJ419" s="10"/>
      <c r="AK419" s="10"/>
      <c r="AL419" s="10"/>
      <c r="AM419" s="10"/>
      <c r="AN419" s="314" t="str">
        <f>IFERROR(_xlfn.XLOOKUP($A419,Input_Raw!$E:$E,Input_Raw!$CY:$CY),"")</f>
        <v/>
      </c>
      <c r="AO419" s="312" t="str">
        <f>IFERROR((_xlfn.XLOOKUP($A419,'WTG Reactive Power'!$A:$A,'WTG Reactive Power'!AB:AB))/X419,"")</f>
        <v/>
      </c>
      <c r="AP419" s="312" t="str">
        <f>IFERROR(_xlfn.XLOOKUP($D419,'Modelling New'!$D:$D,'Modelling New'!AK:AK),"")</f>
        <v/>
      </c>
      <c r="AQ419" s="312" t="str">
        <f>IFERROR(_xlfn.XLOOKUP($D419,'Modelling New'!$D:$D,'Modelling New'!AL:AL),"")</f>
        <v/>
      </c>
      <c r="AR419" s="325" t="str">
        <f>IFERROR(_xlfn.XLOOKUP($D419,'Modelling New'!$D:$D,'Modelling New'!$N:$N),"")</f>
        <v/>
      </c>
      <c r="AS419" s="325"/>
    </row>
    <row r="420" spans="1:45">
      <c r="A420" s="32">
        <f t="shared" si="39"/>
        <v>46163</v>
      </c>
      <c r="B420" s="43">
        <f>YEAR(Table13[[#This Row],[Date]])+IF(MONTH(Table13[[#This Row],[Date]])&gt;=4,1,0)</f>
        <v>2027</v>
      </c>
      <c r="C420" s="10">
        <f>YEAR(Table13[[#This Row],[Date]])</f>
        <v>2026</v>
      </c>
      <c r="D420" s="309">
        <f>Table13[[#This Row],[Date]]-DAY(Table13[[#This Row],[Date]])+1</f>
        <v>46143</v>
      </c>
      <c r="E420" s="10">
        <f t="shared" si="35"/>
        <v>31</v>
      </c>
      <c r="F420" s="241" t="str">
        <f>IFERROR(_xlfn.XLOOKUP($A420,Input_Raw!$E:$E,Input_Raw!DC:DC),"")</f>
        <v/>
      </c>
      <c r="G420" s="313"/>
      <c r="H420" s="313"/>
      <c r="I420" s="313"/>
      <c r="J420" s="313"/>
      <c r="K420" s="243"/>
      <c r="L420" s="242"/>
      <c r="M420" s="242" t="str">
        <f>IFERROR(_xlfn.XLOOKUP($A420,Input_Raw!$E:$E,Input_Raw!$BM:$BM),"")</f>
        <v/>
      </c>
      <c r="N420" s="242" t="str">
        <f>IFERROR(_xlfn.XLOOKUP($A420,Input_Raw!$E:$E,Input_Raw!$BN:$BN),"")</f>
        <v/>
      </c>
      <c r="O420" s="311" t="str">
        <f t="shared" si="36"/>
        <v/>
      </c>
      <c r="P420" s="311" t="str">
        <f>IFERROR(1-SUMIF(WTG_BD!$F:$F,$A420,WTG_BD!$AA:$AA)/($AA420+SUMIF(WTG_BD!$F:$F,$A420,WTG_BD!$AA:$AA)),"")</f>
        <v/>
      </c>
      <c r="Q420" s="328" t="str">
        <f>IFERROR(1-SUMIF(IGA_BD!$F:$F,$A420,IGA_BD!$W:$W)/($AA420+SUMIF(IGA_BD!$F:$F,$A420,IGA_BD!$W:$W)),"")</f>
        <v/>
      </c>
      <c r="R420" s="47" t="str">
        <f>IFERROR(1-SUMIF(Grid_BD!$F:$F,$A420,Grid_BD!$Y:$Y)/($AA420+SUMIF(Grid_BD!$F:$F,$A420,Grid_BD!$Y:$Y)),"")</f>
        <v/>
      </c>
      <c r="S420" s="10"/>
      <c r="T420" s="310"/>
      <c r="U420" s="311"/>
      <c r="V420" s="10"/>
      <c r="W420" s="312" t="str">
        <f t="shared" si="37"/>
        <v/>
      </c>
      <c r="X420" s="10" t="str">
        <f>IFERROR(_xlfn.XLOOKUP($A420,Input_Raw!$E:$E,Input_Raw!BG:BG),"")</f>
        <v/>
      </c>
      <c r="Y420" s="10" t="str">
        <f>IFERROR(_xlfn.XLOOKUP($A420,Input_Raw!$E:$E,Input_Raw!DF:DF),"")</f>
        <v/>
      </c>
      <c r="Z420" s="319" t="str">
        <f>IFERROR(_xlfn.XLOOKUP(A420,Input_Raw!E:E,Input_Raw!CT:CT)/_xlfn.XLOOKUP(A420,Input_Raw!E:E,Input_Raw!CS:CS)*Table13[[#This Row],[Mtr_Export (kWh)]],"")</f>
        <v/>
      </c>
      <c r="AA420" s="43" t="str">
        <f t="shared" si="38"/>
        <v/>
      </c>
      <c r="AB420" s="10" t="str">
        <f>IFERROR(_xlfn.XLOOKUP($A420,Input_Raw!$E:$E,Input_Raw!$CZ:$CZ),"")</f>
        <v/>
      </c>
      <c r="AC420" s="313" t="str">
        <f>IFERROR(_xlfn.XLOOKUP($D420,'Modelling New'!$D:$D,'Modelling New'!$J:$J),"")</f>
        <v/>
      </c>
      <c r="AD420" s="43" t="str">
        <f>IFERROR(_xlfn.XLOOKUP($D420,'Modelling New'!$D:$D,'Modelling New'!$T:$T)*1000,"")</f>
        <v/>
      </c>
      <c r="AE420" s="312"/>
      <c r="AF420" s="312" t="str">
        <f>IFERROR(_xlfn.XLOOKUP($D420,'Modelling New'!$D:$D,'Modelling New'!$W:$W),"")</f>
        <v/>
      </c>
      <c r="AG420" s="312" t="str">
        <f>IFERROR(_xlfn.XLOOKUP($D420,'Modelling New'!$D:$D,'Modelling New'!$AE:$AE),"")</f>
        <v/>
      </c>
      <c r="AH420" s="312" t="str">
        <f>IFERROR(_xlfn.XLOOKUP($D420,'Modelling New'!$D:$D,'Modelling New'!$AF:$AF),"")</f>
        <v/>
      </c>
      <c r="AI420" s="10" t="str">
        <f>IFERROR(_xlfn.XLOOKUP($A420,Input_Raw!$E:$E,Input_Raw!$DG:$DG),"")</f>
        <v/>
      </c>
      <c r="AJ420" s="10"/>
      <c r="AK420" s="10"/>
      <c r="AL420" s="10"/>
      <c r="AM420" s="10"/>
      <c r="AN420" s="314" t="str">
        <f>IFERROR(_xlfn.XLOOKUP($A420,Input_Raw!$E:$E,Input_Raw!$CY:$CY),"")</f>
        <v/>
      </c>
      <c r="AO420" s="312" t="str">
        <f>IFERROR((_xlfn.XLOOKUP($A420,'WTG Reactive Power'!$A:$A,'WTG Reactive Power'!AB:AB))/X420,"")</f>
        <v/>
      </c>
      <c r="AP420" s="312" t="str">
        <f>IFERROR(_xlfn.XLOOKUP($D420,'Modelling New'!$D:$D,'Modelling New'!AK:AK),"")</f>
        <v/>
      </c>
      <c r="AQ420" s="312" t="str">
        <f>IFERROR(_xlfn.XLOOKUP($D420,'Modelling New'!$D:$D,'Modelling New'!AL:AL),"")</f>
        <v/>
      </c>
      <c r="AR420" s="325" t="str">
        <f>IFERROR(_xlfn.XLOOKUP($D420,'Modelling New'!$D:$D,'Modelling New'!$N:$N),"")</f>
        <v/>
      </c>
      <c r="AS420" s="325"/>
    </row>
    <row r="421" spans="1:45">
      <c r="A421" s="32">
        <f t="shared" si="39"/>
        <v>46164</v>
      </c>
      <c r="B421" s="43">
        <f>YEAR(Table13[[#This Row],[Date]])+IF(MONTH(Table13[[#This Row],[Date]])&gt;=4,1,0)</f>
        <v>2027</v>
      </c>
      <c r="C421" s="10">
        <f>YEAR(Table13[[#This Row],[Date]])</f>
        <v>2026</v>
      </c>
      <c r="D421" s="309">
        <f>Table13[[#This Row],[Date]]-DAY(Table13[[#This Row],[Date]])+1</f>
        <v>46143</v>
      </c>
      <c r="E421" s="10">
        <f t="shared" si="35"/>
        <v>31</v>
      </c>
      <c r="F421" s="241" t="str">
        <f>IFERROR(_xlfn.XLOOKUP($A421,Input_Raw!$E:$E,Input_Raw!DC:DC),"")</f>
        <v/>
      </c>
      <c r="G421" s="242"/>
      <c r="H421" s="242"/>
      <c r="I421" s="242"/>
      <c r="J421" s="242"/>
      <c r="K421" s="243"/>
      <c r="L421" s="242"/>
      <c r="M421" s="242" t="str">
        <f>IFERROR(_xlfn.XLOOKUP($A421,Input_Raw!$E:$E,Input_Raw!$BM:$BM),"")</f>
        <v/>
      </c>
      <c r="N421" s="242" t="str">
        <f>IFERROR(_xlfn.XLOOKUP($A421,Input_Raw!$E:$E,Input_Raw!$BN:$BN),"")</f>
        <v/>
      </c>
      <c r="O421" s="311" t="str">
        <f t="shared" si="36"/>
        <v/>
      </c>
      <c r="P421" s="311" t="str">
        <f>IFERROR(1-SUMIF(WTG_BD!$F:$F,$A421,WTG_BD!$AA:$AA)/($AA421+SUMIF(WTG_BD!$F:$F,$A421,WTG_BD!$AA:$AA)),"")</f>
        <v/>
      </c>
      <c r="Q421" s="328" t="str">
        <f>IFERROR(1-SUMIF(IGA_BD!$F:$F,$A421,IGA_BD!$W:$W)/($AA421+SUMIF(IGA_BD!$F:$F,$A421,IGA_BD!$W:$W)),"")</f>
        <v/>
      </c>
      <c r="R421" s="311" t="str">
        <f>IFERROR(1-SUMIF(Grid_BD!$F:$F,$A421,Grid_BD!$Y:$Y)/($AA421+SUMIF(Grid_BD!$F:$F,$A421,Grid_BD!$Y:$Y)),"")</f>
        <v/>
      </c>
      <c r="S421" s="10"/>
      <c r="T421" s="310"/>
      <c r="U421" s="311"/>
      <c r="V421" s="10"/>
      <c r="W421" s="312" t="str">
        <f t="shared" si="37"/>
        <v/>
      </c>
      <c r="X421" s="10" t="str">
        <f>IFERROR(_xlfn.XLOOKUP($A421,Input_Raw!$E:$E,Input_Raw!BG:BG),"")</f>
        <v/>
      </c>
      <c r="Y421" s="10" t="str">
        <f>IFERROR(_xlfn.XLOOKUP($A421,Input_Raw!$E:$E,Input_Raw!DF:DF),"")</f>
        <v/>
      </c>
      <c r="Z421" s="319" t="str">
        <f>IFERROR(_xlfn.XLOOKUP(A421,Input_Raw!E:E,Input_Raw!CT:CT)/_xlfn.XLOOKUP(A421,Input_Raw!E:E,Input_Raw!CS:CS)*Table13[[#This Row],[Mtr_Export (kWh)]],"")</f>
        <v/>
      </c>
      <c r="AA421" s="43" t="str">
        <f t="shared" si="38"/>
        <v/>
      </c>
      <c r="AB421" s="10" t="str">
        <f>IFERROR(_xlfn.XLOOKUP($A421,Input_Raw!$E:$E,Input_Raw!$CZ:$CZ),"")</f>
        <v/>
      </c>
      <c r="AC421" s="313" t="str">
        <f>IFERROR(_xlfn.XLOOKUP($D421,'Modelling New'!$D:$D,'Modelling New'!$J:$J),"")</f>
        <v/>
      </c>
      <c r="AD421" s="43" t="str">
        <f>IFERROR(_xlfn.XLOOKUP($D421,'Modelling New'!$D:$D,'Modelling New'!$T:$T)*1000,"")</f>
        <v/>
      </c>
      <c r="AE421" s="312"/>
      <c r="AF421" s="312" t="str">
        <f>IFERROR(_xlfn.XLOOKUP($D421,'Modelling New'!$D:$D,'Modelling New'!$W:$W),"")</f>
        <v/>
      </c>
      <c r="AG421" s="312" t="str">
        <f>IFERROR(_xlfn.XLOOKUP($D421,'Modelling New'!$D:$D,'Modelling New'!$AE:$AE),"")</f>
        <v/>
      </c>
      <c r="AH421" s="312" t="str">
        <f>IFERROR(_xlfn.XLOOKUP($D421,'Modelling New'!$D:$D,'Modelling New'!$AF:$AF),"")</f>
        <v/>
      </c>
      <c r="AI421" s="10" t="str">
        <f>IFERROR(_xlfn.XLOOKUP($A421,Input_Raw!$E:$E,Input_Raw!$DG:$DG),"")</f>
        <v/>
      </c>
      <c r="AJ421" s="10"/>
      <c r="AK421" s="10"/>
      <c r="AL421" s="10"/>
      <c r="AM421" s="10"/>
      <c r="AN421" s="314" t="str">
        <f>IFERROR(_xlfn.XLOOKUP($A421,Input_Raw!$E:$E,Input_Raw!$CY:$CY),"")</f>
        <v/>
      </c>
      <c r="AO421" s="312" t="str">
        <f>IFERROR((_xlfn.XLOOKUP($A421,'WTG Reactive Power'!$A:$A,'WTG Reactive Power'!AB:AB))/X421,"")</f>
        <v/>
      </c>
      <c r="AP421" s="312" t="str">
        <f>IFERROR(_xlfn.XLOOKUP($D421,'Modelling New'!$D:$D,'Modelling New'!AK:AK),"")</f>
        <v/>
      </c>
      <c r="AQ421" s="312" t="str">
        <f>IFERROR(_xlfn.XLOOKUP($D421,'Modelling New'!$D:$D,'Modelling New'!AL:AL),"")</f>
        <v/>
      </c>
      <c r="AR421" s="325" t="str">
        <f>IFERROR(_xlfn.XLOOKUP($D421,'Modelling New'!$D:$D,'Modelling New'!$N:$N),"")</f>
        <v/>
      </c>
      <c r="AS421" s="325"/>
    </row>
    <row r="422" spans="1:45">
      <c r="A422" s="32">
        <f t="shared" si="39"/>
        <v>46165</v>
      </c>
      <c r="B422" s="43">
        <f>YEAR(Table13[[#This Row],[Date]])+IF(MONTH(Table13[[#This Row],[Date]])&gt;=4,1,0)</f>
        <v>2027</v>
      </c>
      <c r="C422" s="10">
        <f>YEAR(Table13[[#This Row],[Date]])</f>
        <v>2026</v>
      </c>
      <c r="D422" s="309">
        <f>Table13[[#This Row],[Date]]-DAY(Table13[[#This Row],[Date]])+1</f>
        <v>46143</v>
      </c>
      <c r="E422" s="10">
        <f t="shared" si="35"/>
        <v>31</v>
      </c>
      <c r="F422" s="241" t="str">
        <f>IFERROR(_xlfn.XLOOKUP($A422,Input_Raw!$E:$E,Input_Raw!DC:DC),"")</f>
        <v/>
      </c>
      <c r="G422" s="313"/>
      <c r="H422" s="313"/>
      <c r="I422" s="313"/>
      <c r="J422" s="313"/>
      <c r="K422" s="243"/>
      <c r="L422" s="242"/>
      <c r="M422" s="242" t="str">
        <f>IFERROR(_xlfn.XLOOKUP($A422,Input_Raw!$E:$E,Input_Raw!$BM:$BM),"")</f>
        <v/>
      </c>
      <c r="N422" s="242" t="str">
        <f>IFERROR(_xlfn.XLOOKUP($A422,Input_Raw!$E:$E,Input_Raw!$BN:$BN),"")</f>
        <v/>
      </c>
      <c r="O422" s="311" t="str">
        <f t="shared" si="36"/>
        <v/>
      </c>
      <c r="P422" s="311" t="str">
        <f>IFERROR(1-SUMIF(WTG_BD!$F:$F,$A422,WTG_BD!$AA:$AA)/($AA422+SUMIF(WTG_BD!$F:$F,$A422,WTG_BD!$AA:$AA)),"")</f>
        <v/>
      </c>
      <c r="Q422" s="328" t="str">
        <f>IFERROR(1-SUMIF(IGA_BD!$F:$F,$A422,IGA_BD!$W:$W)/($AA422+SUMIF(IGA_BD!$F:$F,$A422,IGA_BD!$W:$W)),"")</f>
        <v/>
      </c>
      <c r="R422" s="47" t="str">
        <f>IFERROR(1-SUMIF(Grid_BD!$F:$F,$A422,Grid_BD!$Y:$Y)/($AA422+SUMIF(Grid_BD!$F:$F,$A422,Grid_BD!$Y:$Y)),"")</f>
        <v/>
      </c>
      <c r="S422" s="10"/>
      <c r="T422" s="310"/>
      <c r="U422" s="311"/>
      <c r="V422" s="10"/>
      <c r="W422" s="312" t="str">
        <f t="shared" si="37"/>
        <v/>
      </c>
      <c r="X422" s="10" t="str">
        <f>IFERROR(_xlfn.XLOOKUP($A422,Input_Raw!$E:$E,Input_Raw!BG:BG),"")</f>
        <v/>
      </c>
      <c r="Y422" s="10" t="str">
        <f>IFERROR(_xlfn.XLOOKUP($A422,Input_Raw!$E:$E,Input_Raw!DF:DF),"")</f>
        <v/>
      </c>
      <c r="Z422" s="319" t="str">
        <f>IFERROR(_xlfn.XLOOKUP(A422,Input_Raw!E:E,Input_Raw!CT:CT)/_xlfn.XLOOKUP(A422,Input_Raw!E:E,Input_Raw!CS:CS)*Table13[[#This Row],[Mtr_Export (kWh)]],"")</f>
        <v/>
      </c>
      <c r="AA422" s="43" t="str">
        <f t="shared" si="38"/>
        <v/>
      </c>
      <c r="AB422" s="10" t="str">
        <f>IFERROR(_xlfn.XLOOKUP($A422,Input_Raw!$E:$E,Input_Raw!$CZ:$CZ),"")</f>
        <v/>
      </c>
      <c r="AC422" s="313" t="str">
        <f>IFERROR(_xlfn.XLOOKUP($D422,'Modelling New'!$D:$D,'Modelling New'!$J:$J),"")</f>
        <v/>
      </c>
      <c r="AD422" s="43" t="str">
        <f>IFERROR(_xlfn.XLOOKUP($D422,'Modelling New'!$D:$D,'Modelling New'!$T:$T)*1000,"")</f>
        <v/>
      </c>
      <c r="AE422" s="312"/>
      <c r="AF422" s="312" t="str">
        <f>IFERROR(_xlfn.XLOOKUP($D422,'Modelling New'!$D:$D,'Modelling New'!$W:$W),"")</f>
        <v/>
      </c>
      <c r="AG422" s="312" t="str">
        <f>IFERROR(_xlfn.XLOOKUP($D422,'Modelling New'!$D:$D,'Modelling New'!$AE:$AE),"")</f>
        <v/>
      </c>
      <c r="AH422" s="312" t="str">
        <f>IFERROR(_xlfn.XLOOKUP($D422,'Modelling New'!$D:$D,'Modelling New'!$AF:$AF),"")</f>
        <v/>
      </c>
      <c r="AI422" s="10" t="str">
        <f>IFERROR(_xlfn.XLOOKUP($A422,Input_Raw!$E:$E,Input_Raw!$DG:$DG),"")</f>
        <v/>
      </c>
      <c r="AJ422" s="10"/>
      <c r="AK422" s="10"/>
      <c r="AL422" s="10"/>
      <c r="AM422" s="10"/>
      <c r="AN422" s="314" t="str">
        <f>IFERROR(_xlfn.XLOOKUP($A422,Input_Raw!$E:$E,Input_Raw!$CY:$CY),"")</f>
        <v/>
      </c>
      <c r="AO422" s="312" t="str">
        <f>IFERROR((_xlfn.XLOOKUP($A422,'WTG Reactive Power'!$A:$A,'WTG Reactive Power'!AB:AB))/X422,"")</f>
        <v/>
      </c>
      <c r="AP422" s="312" t="str">
        <f>IFERROR(_xlfn.XLOOKUP($D422,'Modelling New'!$D:$D,'Modelling New'!AK:AK),"")</f>
        <v/>
      </c>
      <c r="AQ422" s="312" t="str">
        <f>IFERROR(_xlfn.XLOOKUP($D422,'Modelling New'!$D:$D,'Modelling New'!AL:AL),"")</f>
        <v/>
      </c>
      <c r="AR422" s="325" t="str">
        <f>IFERROR(_xlfn.XLOOKUP($D422,'Modelling New'!$D:$D,'Modelling New'!$N:$N),"")</f>
        <v/>
      </c>
      <c r="AS422" s="325"/>
    </row>
    <row r="423" spans="1:45">
      <c r="A423" s="32">
        <f t="shared" si="39"/>
        <v>46166</v>
      </c>
      <c r="B423" s="43">
        <f>YEAR(Table13[[#This Row],[Date]])+IF(MONTH(Table13[[#This Row],[Date]])&gt;=4,1,0)</f>
        <v>2027</v>
      </c>
      <c r="C423" s="10">
        <f>YEAR(Table13[[#This Row],[Date]])</f>
        <v>2026</v>
      </c>
      <c r="D423" s="309">
        <f>Table13[[#This Row],[Date]]-DAY(Table13[[#This Row],[Date]])+1</f>
        <v>46143</v>
      </c>
      <c r="E423" s="10">
        <f t="shared" si="35"/>
        <v>31</v>
      </c>
      <c r="F423" s="241" t="str">
        <f>IFERROR(_xlfn.XLOOKUP($A423,Input_Raw!$E:$E,Input_Raw!DC:DC),"")</f>
        <v/>
      </c>
      <c r="G423" s="242"/>
      <c r="H423" s="242"/>
      <c r="I423" s="242"/>
      <c r="J423" s="242"/>
      <c r="K423" s="243"/>
      <c r="L423" s="242"/>
      <c r="M423" s="242" t="str">
        <f>IFERROR(_xlfn.XLOOKUP($A423,Input_Raw!$E:$E,Input_Raw!$BM:$BM),"")</f>
        <v/>
      </c>
      <c r="N423" s="242" t="str">
        <f>IFERROR(_xlfn.XLOOKUP($A423,Input_Raw!$E:$E,Input_Raw!$BN:$BN),"")</f>
        <v/>
      </c>
      <c r="O423" s="311" t="str">
        <f t="shared" si="36"/>
        <v/>
      </c>
      <c r="P423" s="311" t="str">
        <f>IFERROR(1-SUMIF(WTG_BD!$F:$F,$A423,WTG_BD!$AA:$AA)/($AA423+SUMIF(WTG_BD!$F:$F,$A423,WTG_BD!$AA:$AA)),"")</f>
        <v/>
      </c>
      <c r="Q423" s="328" t="str">
        <f>IFERROR(1-SUMIF(IGA_BD!$F:$F,$A423,IGA_BD!$W:$W)/($AA423+SUMIF(IGA_BD!$F:$F,$A423,IGA_BD!$W:$W)),"")</f>
        <v/>
      </c>
      <c r="R423" s="311" t="str">
        <f>IFERROR(1-SUMIF(Grid_BD!$F:$F,$A423,Grid_BD!$Y:$Y)/($AA423+SUMIF(Grid_BD!$F:$F,$A423,Grid_BD!$Y:$Y)),"")</f>
        <v/>
      </c>
      <c r="S423" s="10"/>
      <c r="T423" s="310"/>
      <c r="U423" s="311"/>
      <c r="V423" s="10"/>
      <c r="W423" s="312" t="str">
        <f t="shared" si="37"/>
        <v/>
      </c>
      <c r="X423" s="10" t="str">
        <f>IFERROR(_xlfn.XLOOKUP($A423,Input_Raw!$E:$E,Input_Raw!BG:BG),"")</f>
        <v/>
      </c>
      <c r="Y423" s="10" t="str">
        <f>IFERROR(_xlfn.XLOOKUP($A423,Input_Raw!$E:$E,Input_Raw!DF:DF),"")</f>
        <v/>
      </c>
      <c r="Z423" s="319" t="str">
        <f>IFERROR(_xlfn.XLOOKUP(A423,Input_Raw!E:E,Input_Raw!CT:CT)/_xlfn.XLOOKUP(A423,Input_Raw!E:E,Input_Raw!CS:CS)*Table13[[#This Row],[Mtr_Export (kWh)]],"")</f>
        <v/>
      </c>
      <c r="AA423" s="43" t="str">
        <f t="shared" si="38"/>
        <v/>
      </c>
      <c r="AB423" s="10" t="str">
        <f>IFERROR(_xlfn.XLOOKUP($A423,Input_Raw!$E:$E,Input_Raw!$CZ:$CZ),"")</f>
        <v/>
      </c>
      <c r="AC423" s="313" t="str">
        <f>IFERROR(_xlfn.XLOOKUP($D423,'Modelling New'!$D:$D,'Modelling New'!$J:$J),"")</f>
        <v/>
      </c>
      <c r="AD423" s="43" t="str">
        <f>IFERROR(_xlfn.XLOOKUP($D423,'Modelling New'!$D:$D,'Modelling New'!$T:$T)*1000,"")</f>
        <v/>
      </c>
      <c r="AE423" s="312"/>
      <c r="AF423" s="312" t="str">
        <f>IFERROR(_xlfn.XLOOKUP($D423,'Modelling New'!$D:$D,'Modelling New'!$W:$W),"")</f>
        <v/>
      </c>
      <c r="AG423" s="312" t="str">
        <f>IFERROR(_xlfn.XLOOKUP($D423,'Modelling New'!$D:$D,'Modelling New'!$AE:$AE),"")</f>
        <v/>
      </c>
      <c r="AH423" s="312" t="str">
        <f>IFERROR(_xlfn.XLOOKUP($D423,'Modelling New'!$D:$D,'Modelling New'!$AF:$AF),"")</f>
        <v/>
      </c>
      <c r="AI423" s="10" t="str">
        <f>IFERROR(_xlfn.XLOOKUP($A423,Input_Raw!$E:$E,Input_Raw!$DG:$DG),"")</f>
        <v/>
      </c>
      <c r="AJ423" s="10"/>
      <c r="AK423" s="10"/>
      <c r="AL423" s="10"/>
      <c r="AM423" s="10"/>
      <c r="AN423" s="314" t="str">
        <f>IFERROR(_xlfn.XLOOKUP($A423,Input_Raw!$E:$E,Input_Raw!$CY:$CY),"")</f>
        <v/>
      </c>
      <c r="AO423" s="312" t="str">
        <f>IFERROR((_xlfn.XLOOKUP($A423,'WTG Reactive Power'!$A:$A,'WTG Reactive Power'!AB:AB))/X423,"")</f>
        <v/>
      </c>
      <c r="AP423" s="312" t="str">
        <f>IFERROR(_xlfn.XLOOKUP($D423,'Modelling New'!$D:$D,'Modelling New'!AK:AK),"")</f>
        <v/>
      </c>
      <c r="AQ423" s="312" t="str">
        <f>IFERROR(_xlfn.XLOOKUP($D423,'Modelling New'!$D:$D,'Modelling New'!AL:AL),"")</f>
        <v/>
      </c>
      <c r="AR423" s="325" t="str">
        <f>IFERROR(_xlfn.XLOOKUP($D423,'Modelling New'!$D:$D,'Modelling New'!$N:$N),"")</f>
        <v/>
      </c>
      <c r="AS423" s="325"/>
    </row>
    <row r="424" spans="1:45">
      <c r="A424" s="32">
        <f t="shared" si="39"/>
        <v>46167</v>
      </c>
      <c r="B424" s="43">
        <f>YEAR(Table13[[#This Row],[Date]])+IF(MONTH(Table13[[#This Row],[Date]])&gt;=4,1,0)</f>
        <v>2027</v>
      </c>
      <c r="C424" s="10">
        <f>YEAR(Table13[[#This Row],[Date]])</f>
        <v>2026</v>
      </c>
      <c r="D424" s="309">
        <f>Table13[[#This Row],[Date]]-DAY(Table13[[#This Row],[Date]])+1</f>
        <v>46143</v>
      </c>
      <c r="E424" s="10">
        <f t="shared" si="35"/>
        <v>31</v>
      </c>
      <c r="F424" s="241" t="str">
        <f>IFERROR(_xlfn.XLOOKUP($A424,Input_Raw!$E:$E,Input_Raw!DC:DC),"")</f>
        <v/>
      </c>
      <c r="G424" s="313"/>
      <c r="H424" s="313"/>
      <c r="I424" s="313"/>
      <c r="J424" s="313"/>
      <c r="K424" s="243"/>
      <c r="L424" s="242"/>
      <c r="M424" s="242" t="str">
        <f>IFERROR(_xlfn.XLOOKUP($A424,Input_Raw!$E:$E,Input_Raw!$BM:$BM),"")</f>
        <v/>
      </c>
      <c r="N424" s="242" t="str">
        <f>IFERROR(_xlfn.XLOOKUP($A424,Input_Raw!$E:$E,Input_Raw!$BN:$BN),"")</f>
        <v/>
      </c>
      <c r="O424" s="311" t="str">
        <f t="shared" si="36"/>
        <v/>
      </c>
      <c r="P424" s="311" t="str">
        <f>IFERROR(1-SUMIF(WTG_BD!$F:$F,$A424,WTG_BD!$AA:$AA)/($AA424+SUMIF(WTG_BD!$F:$F,$A424,WTG_BD!$AA:$AA)),"")</f>
        <v/>
      </c>
      <c r="Q424" s="328" t="str">
        <f>IFERROR(1-SUMIF(IGA_BD!$F:$F,$A424,IGA_BD!$W:$W)/($AA424+SUMIF(IGA_BD!$F:$F,$A424,IGA_BD!$W:$W)),"")</f>
        <v/>
      </c>
      <c r="R424" s="47" t="str">
        <f>IFERROR(1-SUMIF(Grid_BD!$F:$F,$A424,Grid_BD!$Y:$Y)/($AA424+SUMIF(Grid_BD!$F:$F,$A424,Grid_BD!$Y:$Y)),"")</f>
        <v/>
      </c>
      <c r="S424" s="10"/>
      <c r="T424" s="310"/>
      <c r="U424" s="311"/>
      <c r="V424" s="10"/>
      <c r="W424" s="312" t="str">
        <f t="shared" si="37"/>
        <v/>
      </c>
      <c r="X424" s="10" t="str">
        <f>IFERROR(_xlfn.XLOOKUP($A424,Input_Raw!$E:$E,Input_Raw!BG:BG),"")</f>
        <v/>
      </c>
      <c r="Y424" s="10" t="str">
        <f>IFERROR(_xlfn.XLOOKUP($A424,Input_Raw!$E:$E,Input_Raw!DF:DF),"")</f>
        <v/>
      </c>
      <c r="Z424" s="319" t="str">
        <f>IFERROR(_xlfn.XLOOKUP(A424,Input_Raw!E:E,Input_Raw!CT:CT)/_xlfn.XLOOKUP(A424,Input_Raw!E:E,Input_Raw!CS:CS)*Table13[[#This Row],[Mtr_Export (kWh)]],"")</f>
        <v/>
      </c>
      <c r="AA424" s="43" t="str">
        <f t="shared" si="38"/>
        <v/>
      </c>
      <c r="AB424" s="10" t="str">
        <f>IFERROR(_xlfn.XLOOKUP($A424,Input_Raw!$E:$E,Input_Raw!$CZ:$CZ),"")</f>
        <v/>
      </c>
      <c r="AC424" s="313" t="str">
        <f>IFERROR(_xlfn.XLOOKUP($D424,'Modelling New'!$D:$D,'Modelling New'!$J:$J),"")</f>
        <v/>
      </c>
      <c r="AD424" s="43" t="str">
        <f>IFERROR(_xlfn.XLOOKUP($D424,'Modelling New'!$D:$D,'Modelling New'!$T:$T)*1000,"")</f>
        <v/>
      </c>
      <c r="AE424" s="312"/>
      <c r="AF424" s="312" t="str">
        <f>IFERROR(_xlfn.XLOOKUP($D424,'Modelling New'!$D:$D,'Modelling New'!$W:$W),"")</f>
        <v/>
      </c>
      <c r="AG424" s="312" t="str">
        <f>IFERROR(_xlfn.XLOOKUP($D424,'Modelling New'!$D:$D,'Modelling New'!$AE:$AE),"")</f>
        <v/>
      </c>
      <c r="AH424" s="312" t="str">
        <f>IFERROR(_xlfn.XLOOKUP($D424,'Modelling New'!$D:$D,'Modelling New'!$AF:$AF),"")</f>
        <v/>
      </c>
      <c r="AI424" s="10" t="str">
        <f>IFERROR(_xlfn.XLOOKUP($A424,Input_Raw!$E:$E,Input_Raw!$DG:$DG),"")</f>
        <v/>
      </c>
      <c r="AJ424" s="10"/>
      <c r="AK424" s="10"/>
      <c r="AL424" s="10"/>
      <c r="AM424" s="10"/>
      <c r="AN424" s="314" t="str">
        <f>IFERROR(_xlfn.XLOOKUP($A424,Input_Raw!$E:$E,Input_Raw!$CY:$CY),"")</f>
        <v/>
      </c>
      <c r="AO424" s="312" t="str">
        <f>IFERROR((_xlfn.XLOOKUP($A424,'WTG Reactive Power'!$A:$A,'WTG Reactive Power'!AB:AB))/X424,"")</f>
        <v/>
      </c>
      <c r="AP424" s="312" t="str">
        <f>IFERROR(_xlfn.XLOOKUP($D424,'Modelling New'!$D:$D,'Modelling New'!AK:AK),"")</f>
        <v/>
      </c>
      <c r="AQ424" s="312" t="str">
        <f>IFERROR(_xlfn.XLOOKUP($D424,'Modelling New'!$D:$D,'Modelling New'!AL:AL),"")</f>
        <v/>
      </c>
      <c r="AR424" s="325" t="str">
        <f>IFERROR(_xlfn.XLOOKUP($D424,'Modelling New'!$D:$D,'Modelling New'!$N:$N),"")</f>
        <v/>
      </c>
      <c r="AS424" s="325"/>
    </row>
    <row r="425" spans="1:45">
      <c r="A425" s="32">
        <f t="shared" si="39"/>
        <v>46168</v>
      </c>
      <c r="B425" s="43">
        <f>YEAR(Table13[[#This Row],[Date]])+IF(MONTH(Table13[[#This Row],[Date]])&gt;=4,1,0)</f>
        <v>2027</v>
      </c>
      <c r="C425" s="10">
        <f>YEAR(Table13[[#This Row],[Date]])</f>
        <v>2026</v>
      </c>
      <c r="D425" s="309">
        <f>Table13[[#This Row],[Date]]-DAY(Table13[[#This Row],[Date]])+1</f>
        <v>46143</v>
      </c>
      <c r="E425" s="10">
        <f t="shared" si="35"/>
        <v>31</v>
      </c>
      <c r="F425" s="241" t="str">
        <f>IFERROR(_xlfn.XLOOKUP($A425,Input_Raw!$E:$E,Input_Raw!DC:DC),"")</f>
        <v/>
      </c>
      <c r="G425" s="242"/>
      <c r="H425" s="242"/>
      <c r="I425" s="242"/>
      <c r="J425" s="242"/>
      <c r="K425" s="243"/>
      <c r="L425" s="242"/>
      <c r="M425" s="242" t="str">
        <f>IFERROR(_xlfn.XLOOKUP($A425,Input_Raw!$E:$E,Input_Raw!$BM:$BM),"")</f>
        <v/>
      </c>
      <c r="N425" s="242" t="str">
        <f>IFERROR(_xlfn.XLOOKUP($A425,Input_Raw!$E:$E,Input_Raw!$BN:$BN),"")</f>
        <v/>
      </c>
      <c r="O425" s="311" t="str">
        <f t="shared" si="36"/>
        <v/>
      </c>
      <c r="P425" s="311" t="str">
        <f>IFERROR(1-SUMIF(WTG_BD!$F:$F,$A425,WTG_BD!$AA:$AA)/($AA425+SUMIF(WTG_BD!$F:$F,$A425,WTG_BD!$AA:$AA)),"")</f>
        <v/>
      </c>
      <c r="Q425" s="328" t="str">
        <f>IFERROR(1-SUMIF(IGA_BD!$F:$F,$A425,IGA_BD!$W:$W)/($AA425+SUMIF(IGA_BD!$F:$F,$A425,IGA_BD!$W:$W)),"")</f>
        <v/>
      </c>
      <c r="R425" s="311" t="str">
        <f>IFERROR(1-SUMIF(Grid_BD!$F:$F,$A425,Grid_BD!$Y:$Y)/($AA425+SUMIF(Grid_BD!$F:$F,$A425,Grid_BD!$Y:$Y)),"")</f>
        <v/>
      </c>
      <c r="S425" s="10"/>
      <c r="T425" s="310"/>
      <c r="U425" s="311"/>
      <c r="V425" s="10"/>
      <c r="W425" s="312" t="str">
        <f t="shared" si="37"/>
        <v/>
      </c>
      <c r="X425" s="10" t="str">
        <f>IFERROR(_xlfn.XLOOKUP($A425,Input_Raw!$E:$E,Input_Raw!BG:BG),"")</f>
        <v/>
      </c>
      <c r="Y425" s="10" t="str">
        <f>IFERROR(_xlfn.XLOOKUP($A425,Input_Raw!$E:$E,Input_Raw!DF:DF),"")</f>
        <v/>
      </c>
      <c r="Z425" s="319" t="str">
        <f>IFERROR(_xlfn.XLOOKUP(A425,Input_Raw!E:E,Input_Raw!CT:CT)/_xlfn.XLOOKUP(A425,Input_Raw!E:E,Input_Raw!CS:CS)*Table13[[#This Row],[Mtr_Export (kWh)]],"")</f>
        <v/>
      </c>
      <c r="AA425" s="43" t="str">
        <f t="shared" si="38"/>
        <v/>
      </c>
      <c r="AB425" s="10" t="str">
        <f>IFERROR(_xlfn.XLOOKUP($A425,Input_Raw!$E:$E,Input_Raw!$CZ:$CZ),"")</f>
        <v/>
      </c>
      <c r="AC425" s="313" t="str">
        <f>IFERROR(_xlfn.XLOOKUP($D425,'Modelling New'!$D:$D,'Modelling New'!$J:$J),"")</f>
        <v/>
      </c>
      <c r="AD425" s="43" t="str">
        <f>IFERROR(_xlfn.XLOOKUP($D425,'Modelling New'!$D:$D,'Modelling New'!$T:$T)*1000,"")</f>
        <v/>
      </c>
      <c r="AE425" s="312"/>
      <c r="AF425" s="312" t="str">
        <f>IFERROR(_xlfn.XLOOKUP($D425,'Modelling New'!$D:$D,'Modelling New'!$W:$W),"")</f>
        <v/>
      </c>
      <c r="AG425" s="312" t="str">
        <f>IFERROR(_xlfn.XLOOKUP($D425,'Modelling New'!$D:$D,'Modelling New'!$AE:$AE),"")</f>
        <v/>
      </c>
      <c r="AH425" s="312" t="str">
        <f>IFERROR(_xlfn.XLOOKUP($D425,'Modelling New'!$D:$D,'Modelling New'!$AF:$AF),"")</f>
        <v/>
      </c>
      <c r="AI425" s="10" t="str">
        <f>IFERROR(_xlfn.XLOOKUP($A425,Input_Raw!$E:$E,Input_Raw!$DG:$DG),"")</f>
        <v/>
      </c>
      <c r="AJ425" s="10"/>
      <c r="AK425" s="10"/>
      <c r="AL425" s="10"/>
      <c r="AM425" s="10"/>
      <c r="AN425" s="314" t="str">
        <f>IFERROR(_xlfn.XLOOKUP($A425,Input_Raw!$E:$E,Input_Raw!$CY:$CY),"")</f>
        <v/>
      </c>
      <c r="AO425" s="312" t="str">
        <f>IFERROR((_xlfn.XLOOKUP($A425,'WTG Reactive Power'!$A:$A,'WTG Reactive Power'!AB:AB))/X425,"")</f>
        <v/>
      </c>
      <c r="AP425" s="312" t="str">
        <f>IFERROR(_xlfn.XLOOKUP($D425,'Modelling New'!$D:$D,'Modelling New'!AK:AK),"")</f>
        <v/>
      </c>
      <c r="AQ425" s="312" t="str">
        <f>IFERROR(_xlfn.XLOOKUP($D425,'Modelling New'!$D:$D,'Modelling New'!AL:AL),"")</f>
        <v/>
      </c>
      <c r="AR425" s="325" t="str">
        <f>IFERROR(_xlfn.XLOOKUP($D425,'Modelling New'!$D:$D,'Modelling New'!$N:$N),"")</f>
        <v/>
      </c>
      <c r="AS425" s="325"/>
    </row>
    <row r="426" spans="1:45">
      <c r="A426" s="32">
        <f t="shared" si="39"/>
        <v>46169</v>
      </c>
      <c r="B426" s="43">
        <f>YEAR(Table13[[#This Row],[Date]])+IF(MONTH(Table13[[#This Row],[Date]])&gt;=4,1,0)</f>
        <v>2027</v>
      </c>
      <c r="C426" s="10">
        <f>YEAR(Table13[[#This Row],[Date]])</f>
        <v>2026</v>
      </c>
      <c r="D426" s="309">
        <f>Table13[[#This Row],[Date]]-DAY(Table13[[#This Row],[Date]])+1</f>
        <v>46143</v>
      </c>
      <c r="E426" s="10">
        <f t="shared" si="35"/>
        <v>31</v>
      </c>
      <c r="F426" s="241" t="str">
        <f>IFERROR(_xlfn.XLOOKUP($A426,Input_Raw!$E:$E,Input_Raw!DC:DC),"")</f>
        <v/>
      </c>
      <c r="G426" s="313"/>
      <c r="H426" s="313"/>
      <c r="I426" s="313"/>
      <c r="J426" s="313"/>
      <c r="K426" s="243"/>
      <c r="L426" s="242"/>
      <c r="M426" s="242" t="str">
        <f>IFERROR(_xlfn.XLOOKUP($A426,Input_Raw!$E:$E,Input_Raw!$BM:$BM),"")</f>
        <v/>
      </c>
      <c r="N426" s="242" t="str">
        <f>IFERROR(_xlfn.XLOOKUP($A426,Input_Raw!$E:$E,Input_Raw!$BN:$BN),"")</f>
        <v/>
      </c>
      <c r="O426" s="311" t="str">
        <f t="shared" si="36"/>
        <v/>
      </c>
      <c r="P426" s="311" t="str">
        <f>IFERROR(1-SUMIF(WTG_BD!$F:$F,$A426,WTG_BD!$AA:$AA)/($AA426+SUMIF(WTG_BD!$F:$F,$A426,WTG_BD!$AA:$AA)),"")</f>
        <v/>
      </c>
      <c r="Q426" s="328" t="str">
        <f>IFERROR(1-SUMIF(IGA_BD!$F:$F,$A426,IGA_BD!$W:$W)/($AA426+SUMIF(IGA_BD!$F:$F,$A426,IGA_BD!$W:$W)),"")</f>
        <v/>
      </c>
      <c r="R426" s="47" t="str">
        <f>IFERROR(1-SUMIF(Grid_BD!$F:$F,$A426,Grid_BD!$Y:$Y)/($AA426+SUMIF(Grid_BD!$F:$F,$A426,Grid_BD!$Y:$Y)),"")</f>
        <v/>
      </c>
      <c r="S426" s="10"/>
      <c r="T426" s="310"/>
      <c r="U426" s="311"/>
      <c r="V426" s="10"/>
      <c r="W426" s="312" t="str">
        <f t="shared" si="37"/>
        <v/>
      </c>
      <c r="X426" s="10" t="str">
        <f>IFERROR(_xlfn.XLOOKUP($A426,Input_Raw!$E:$E,Input_Raw!BG:BG),"")</f>
        <v/>
      </c>
      <c r="Y426" s="10" t="str">
        <f>IFERROR(_xlfn.XLOOKUP($A426,Input_Raw!$E:$E,Input_Raw!DF:DF),"")</f>
        <v/>
      </c>
      <c r="Z426" s="319" t="str">
        <f>IFERROR(_xlfn.XLOOKUP(A426,Input_Raw!E:E,Input_Raw!CT:CT)/_xlfn.XLOOKUP(A426,Input_Raw!E:E,Input_Raw!CS:CS)*Table13[[#This Row],[Mtr_Export (kWh)]],"")</f>
        <v/>
      </c>
      <c r="AA426" s="43" t="str">
        <f t="shared" si="38"/>
        <v/>
      </c>
      <c r="AB426" s="10" t="str">
        <f>IFERROR(_xlfn.XLOOKUP($A426,Input_Raw!$E:$E,Input_Raw!$CZ:$CZ),"")</f>
        <v/>
      </c>
      <c r="AC426" s="313" t="str">
        <f>IFERROR(_xlfn.XLOOKUP($D426,'Modelling New'!$D:$D,'Modelling New'!$J:$J),"")</f>
        <v/>
      </c>
      <c r="AD426" s="43" t="str">
        <f>IFERROR(_xlfn.XLOOKUP($D426,'Modelling New'!$D:$D,'Modelling New'!$T:$T)*1000,"")</f>
        <v/>
      </c>
      <c r="AE426" s="312"/>
      <c r="AF426" s="312" t="str">
        <f>IFERROR(_xlfn.XLOOKUP($D426,'Modelling New'!$D:$D,'Modelling New'!$W:$W),"")</f>
        <v/>
      </c>
      <c r="AG426" s="312" t="str">
        <f>IFERROR(_xlfn.XLOOKUP($D426,'Modelling New'!$D:$D,'Modelling New'!$AE:$AE),"")</f>
        <v/>
      </c>
      <c r="AH426" s="312" t="str">
        <f>IFERROR(_xlfn.XLOOKUP($D426,'Modelling New'!$D:$D,'Modelling New'!$AF:$AF),"")</f>
        <v/>
      </c>
      <c r="AI426" s="10" t="str">
        <f>IFERROR(_xlfn.XLOOKUP($A426,Input_Raw!$E:$E,Input_Raw!$DG:$DG),"")</f>
        <v/>
      </c>
      <c r="AJ426" s="10"/>
      <c r="AK426" s="10"/>
      <c r="AL426" s="10"/>
      <c r="AM426" s="10"/>
      <c r="AN426" s="314" t="str">
        <f>IFERROR(_xlfn.XLOOKUP($A426,Input_Raw!$E:$E,Input_Raw!$CY:$CY),"")</f>
        <v/>
      </c>
      <c r="AO426" s="312" t="str">
        <f>IFERROR((_xlfn.XLOOKUP($A426,'WTG Reactive Power'!$A:$A,'WTG Reactive Power'!AB:AB))/X426,"")</f>
        <v/>
      </c>
      <c r="AP426" s="312" t="str">
        <f>IFERROR(_xlfn.XLOOKUP($D426,'Modelling New'!$D:$D,'Modelling New'!AK:AK),"")</f>
        <v/>
      </c>
      <c r="AQ426" s="312" t="str">
        <f>IFERROR(_xlfn.XLOOKUP($D426,'Modelling New'!$D:$D,'Modelling New'!AL:AL),"")</f>
        <v/>
      </c>
      <c r="AR426" s="325" t="str">
        <f>IFERROR(_xlfn.XLOOKUP($D426,'Modelling New'!$D:$D,'Modelling New'!$N:$N),"")</f>
        <v/>
      </c>
      <c r="AS426" s="325"/>
    </row>
    <row r="427" spans="1:45">
      <c r="A427" s="32">
        <f t="shared" si="39"/>
        <v>46170</v>
      </c>
      <c r="B427" s="43">
        <f>YEAR(Table13[[#This Row],[Date]])+IF(MONTH(Table13[[#This Row],[Date]])&gt;=4,1,0)</f>
        <v>2027</v>
      </c>
      <c r="C427" s="10">
        <f>YEAR(Table13[[#This Row],[Date]])</f>
        <v>2026</v>
      </c>
      <c r="D427" s="309">
        <f>Table13[[#This Row],[Date]]-DAY(Table13[[#This Row],[Date]])+1</f>
        <v>46143</v>
      </c>
      <c r="E427" s="10">
        <f t="shared" si="35"/>
        <v>31</v>
      </c>
      <c r="F427" s="241" t="str">
        <f>IFERROR(_xlfn.XLOOKUP($A427,Input_Raw!$E:$E,Input_Raw!DC:DC),"")</f>
        <v/>
      </c>
      <c r="G427" s="242"/>
      <c r="H427" s="242"/>
      <c r="I427" s="242"/>
      <c r="J427" s="242"/>
      <c r="K427" s="243"/>
      <c r="L427" s="242"/>
      <c r="M427" s="242" t="str">
        <f>IFERROR(_xlfn.XLOOKUP($A427,Input_Raw!$E:$E,Input_Raw!$BM:$BM),"")</f>
        <v/>
      </c>
      <c r="N427" s="242" t="str">
        <f>IFERROR(_xlfn.XLOOKUP($A427,Input_Raw!$E:$E,Input_Raw!$BN:$BN),"")</f>
        <v/>
      </c>
      <c r="O427" s="311" t="str">
        <f t="shared" si="36"/>
        <v/>
      </c>
      <c r="P427" s="311" t="str">
        <f>IFERROR(1-SUMIF(WTG_BD!$F:$F,$A427,WTG_BD!$AA:$AA)/($AA427+SUMIF(WTG_BD!$F:$F,$A427,WTG_BD!$AA:$AA)),"")</f>
        <v/>
      </c>
      <c r="Q427" s="328" t="str">
        <f>IFERROR(1-SUMIF(IGA_BD!$F:$F,$A427,IGA_BD!$W:$W)/($AA427+SUMIF(IGA_BD!$F:$F,$A427,IGA_BD!$W:$W)),"")</f>
        <v/>
      </c>
      <c r="R427" s="311" t="str">
        <f>IFERROR(1-SUMIF(Grid_BD!$F:$F,$A427,Grid_BD!$Y:$Y)/($AA427+SUMIF(Grid_BD!$F:$F,$A427,Grid_BD!$Y:$Y)),"")</f>
        <v/>
      </c>
      <c r="S427" s="10"/>
      <c r="T427" s="310"/>
      <c r="U427" s="311"/>
      <c r="V427" s="10"/>
      <c r="W427" s="312" t="str">
        <f t="shared" si="37"/>
        <v/>
      </c>
      <c r="X427" s="10" t="str">
        <f>IFERROR(_xlfn.XLOOKUP($A427,Input_Raw!$E:$E,Input_Raw!BG:BG),"")</f>
        <v/>
      </c>
      <c r="Y427" s="10" t="str">
        <f>IFERROR(_xlfn.XLOOKUP($A427,Input_Raw!$E:$E,Input_Raw!DF:DF),"")</f>
        <v/>
      </c>
      <c r="Z427" s="319" t="str">
        <f>IFERROR(_xlfn.XLOOKUP(A427,Input_Raw!E:E,Input_Raw!CT:CT)/_xlfn.XLOOKUP(A427,Input_Raw!E:E,Input_Raw!CS:CS)*Table13[[#This Row],[Mtr_Export (kWh)]],"")</f>
        <v/>
      </c>
      <c r="AA427" s="43" t="str">
        <f t="shared" si="38"/>
        <v/>
      </c>
      <c r="AB427" s="10" t="str">
        <f>IFERROR(_xlfn.XLOOKUP($A427,Input_Raw!$E:$E,Input_Raw!$CZ:$CZ),"")</f>
        <v/>
      </c>
      <c r="AC427" s="313" t="str">
        <f>IFERROR(_xlfn.XLOOKUP($D427,'Modelling New'!$D:$D,'Modelling New'!$J:$J),"")</f>
        <v/>
      </c>
      <c r="AD427" s="43" t="str">
        <f>IFERROR(_xlfn.XLOOKUP($D427,'Modelling New'!$D:$D,'Modelling New'!$T:$T)*1000,"")</f>
        <v/>
      </c>
      <c r="AE427" s="312"/>
      <c r="AF427" s="312" t="str">
        <f>IFERROR(_xlfn.XLOOKUP($D427,'Modelling New'!$D:$D,'Modelling New'!$W:$W),"")</f>
        <v/>
      </c>
      <c r="AG427" s="312" t="str">
        <f>IFERROR(_xlfn.XLOOKUP($D427,'Modelling New'!$D:$D,'Modelling New'!$AE:$AE),"")</f>
        <v/>
      </c>
      <c r="AH427" s="312" t="str">
        <f>IFERROR(_xlfn.XLOOKUP($D427,'Modelling New'!$D:$D,'Modelling New'!$AF:$AF),"")</f>
        <v/>
      </c>
      <c r="AI427" s="10" t="str">
        <f>IFERROR(_xlfn.XLOOKUP($A427,Input_Raw!$E:$E,Input_Raw!$DG:$DG),"")</f>
        <v/>
      </c>
      <c r="AJ427" s="10"/>
      <c r="AK427" s="10"/>
      <c r="AL427" s="10"/>
      <c r="AM427" s="10"/>
      <c r="AN427" s="314" t="str">
        <f>IFERROR(_xlfn.XLOOKUP($A427,Input_Raw!$E:$E,Input_Raw!$CY:$CY),"")</f>
        <v/>
      </c>
      <c r="AO427" s="312" t="str">
        <f>IFERROR((_xlfn.XLOOKUP($A427,'WTG Reactive Power'!$A:$A,'WTG Reactive Power'!AB:AB))/X427,"")</f>
        <v/>
      </c>
      <c r="AP427" s="312" t="str">
        <f>IFERROR(_xlfn.XLOOKUP($D427,'Modelling New'!$D:$D,'Modelling New'!AK:AK),"")</f>
        <v/>
      </c>
      <c r="AQ427" s="312" t="str">
        <f>IFERROR(_xlfn.XLOOKUP($D427,'Modelling New'!$D:$D,'Modelling New'!AL:AL),"")</f>
        <v/>
      </c>
      <c r="AR427" s="325" t="str">
        <f>IFERROR(_xlfn.XLOOKUP($D427,'Modelling New'!$D:$D,'Modelling New'!$N:$N),"")</f>
        <v/>
      </c>
      <c r="AS427" s="325"/>
    </row>
    <row r="428" spans="1:45">
      <c r="A428" s="32">
        <f t="shared" si="39"/>
        <v>46171</v>
      </c>
      <c r="B428" s="43">
        <f>YEAR(Table13[[#This Row],[Date]])+IF(MONTH(Table13[[#This Row],[Date]])&gt;=4,1,0)</f>
        <v>2027</v>
      </c>
      <c r="C428" s="10">
        <f>YEAR(Table13[[#This Row],[Date]])</f>
        <v>2026</v>
      </c>
      <c r="D428" s="309">
        <f>Table13[[#This Row],[Date]]-DAY(Table13[[#This Row],[Date]])+1</f>
        <v>46143</v>
      </c>
      <c r="E428" s="10">
        <f t="shared" si="35"/>
        <v>31</v>
      </c>
      <c r="F428" s="241" t="str">
        <f>IFERROR(_xlfn.XLOOKUP($A428,Input_Raw!$E:$E,Input_Raw!DC:DC),"")</f>
        <v/>
      </c>
      <c r="G428" s="313"/>
      <c r="H428" s="313"/>
      <c r="I428" s="313"/>
      <c r="J428" s="313"/>
      <c r="K428" s="243"/>
      <c r="L428" s="242"/>
      <c r="M428" s="242" t="str">
        <f>IFERROR(_xlfn.XLOOKUP($A428,Input_Raw!$E:$E,Input_Raw!$BM:$BM),"")</f>
        <v/>
      </c>
      <c r="N428" s="242" t="str">
        <f>IFERROR(_xlfn.XLOOKUP($A428,Input_Raw!$E:$E,Input_Raw!$BN:$BN),"")</f>
        <v/>
      </c>
      <c r="O428" s="311" t="str">
        <f t="shared" si="36"/>
        <v/>
      </c>
      <c r="P428" s="311" t="str">
        <f>IFERROR(1-SUMIF(WTG_BD!$F:$F,$A428,WTG_BD!$AA:$AA)/($AA428+SUMIF(WTG_BD!$F:$F,$A428,WTG_BD!$AA:$AA)),"")</f>
        <v/>
      </c>
      <c r="Q428" s="328" t="str">
        <f>IFERROR(1-SUMIF(IGA_BD!$F:$F,$A428,IGA_BD!$W:$W)/($AA428+SUMIF(IGA_BD!$F:$F,$A428,IGA_BD!$W:$W)),"")</f>
        <v/>
      </c>
      <c r="R428" s="47" t="str">
        <f>IFERROR(1-SUMIF(Grid_BD!$F:$F,$A428,Grid_BD!$Y:$Y)/($AA428+SUMIF(Grid_BD!$F:$F,$A428,Grid_BD!$Y:$Y)),"")</f>
        <v/>
      </c>
      <c r="S428" s="10"/>
      <c r="T428" s="310"/>
      <c r="U428" s="311"/>
      <c r="V428" s="10"/>
      <c r="W428" s="312" t="str">
        <f t="shared" si="37"/>
        <v/>
      </c>
      <c r="X428" s="10" t="str">
        <f>IFERROR(_xlfn.XLOOKUP($A428,Input_Raw!$E:$E,Input_Raw!BG:BG),"")</f>
        <v/>
      </c>
      <c r="Y428" s="10" t="str">
        <f>IFERROR(_xlfn.XLOOKUP($A428,Input_Raw!$E:$E,Input_Raw!DF:DF),"")</f>
        <v/>
      </c>
      <c r="Z428" s="319" t="str">
        <f>IFERROR(_xlfn.XLOOKUP(A428,Input_Raw!E:E,Input_Raw!CT:CT)/_xlfn.XLOOKUP(A428,Input_Raw!E:E,Input_Raw!CS:CS)*Table13[[#This Row],[Mtr_Export (kWh)]],"")</f>
        <v/>
      </c>
      <c r="AA428" s="43" t="str">
        <f t="shared" si="38"/>
        <v/>
      </c>
      <c r="AB428" s="10" t="str">
        <f>IFERROR(_xlfn.XLOOKUP($A428,Input_Raw!$E:$E,Input_Raw!$CZ:$CZ),"")</f>
        <v/>
      </c>
      <c r="AC428" s="313" t="str">
        <f>IFERROR(_xlfn.XLOOKUP($D428,'Modelling New'!$D:$D,'Modelling New'!$J:$J),"")</f>
        <v/>
      </c>
      <c r="AD428" s="43" t="str">
        <f>IFERROR(_xlfn.XLOOKUP($D428,'Modelling New'!$D:$D,'Modelling New'!$T:$T)*1000,"")</f>
        <v/>
      </c>
      <c r="AE428" s="312"/>
      <c r="AF428" s="312" t="str">
        <f>IFERROR(_xlfn.XLOOKUP($D428,'Modelling New'!$D:$D,'Modelling New'!$W:$W),"")</f>
        <v/>
      </c>
      <c r="AG428" s="312" t="str">
        <f>IFERROR(_xlfn.XLOOKUP($D428,'Modelling New'!$D:$D,'Modelling New'!$AE:$AE),"")</f>
        <v/>
      </c>
      <c r="AH428" s="312" t="str">
        <f>IFERROR(_xlfn.XLOOKUP($D428,'Modelling New'!$D:$D,'Modelling New'!$AF:$AF),"")</f>
        <v/>
      </c>
      <c r="AI428" s="10" t="str">
        <f>IFERROR(_xlfn.XLOOKUP($A428,Input_Raw!$E:$E,Input_Raw!$DG:$DG),"")</f>
        <v/>
      </c>
      <c r="AJ428" s="10"/>
      <c r="AK428" s="10"/>
      <c r="AL428" s="10"/>
      <c r="AM428" s="10"/>
      <c r="AN428" s="314" t="str">
        <f>IFERROR(_xlfn.XLOOKUP($A428,Input_Raw!$E:$E,Input_Raw!$CY:$CY),"")</f>
        <v/>
      </c>
      <c r="AO428" s="312" t="str">
        <f>IFERROR((_xlfn.XLOOKUP($A428,'WTG Reactive Power'!$A:$A,'WTG Reactive Power'!AB:AB))/X428,"")</f>
        <v/>
      </c>
      <c r="AP428" s="312" t="str">
        <f>IFERROR(_xlfn.XLOOKUP($D428,'Modelling New'!$D:$D,'Modelling New'!AK:AK),"")</f>
        <v/>
      </c>
      <c r="AQ428" s="312" t="str">
        <f>IFERROR(_xlfn.XLOOKUP($D428,'Modelling New'!$D:$D,'Modelling New'!AL:AL),"")</f>
        <v/>
      </c>
      <c r="AR428" s="325" t="str">
        <f>IFERROR(_xlfn.XLOOKUP($D428,'Modelling New'!$D:$D,'Modelling New'!$N:$N),"")</f>
        <v/>
      </c>
      <c r="AS428" s="325"/>
    </row>
    <row r="429" spans="1:45">
      <c r="A429" s="32">
        <f t="shared" si="39"/>
        <v>46172</v>
      </c>
      <c r="B429" s="43">
        <f>YEAR(Table13[[#This Row],[Date]])+IF(MONTH(Table13[[#This Row],[Date]])&gt;=4,1,0)</f>
        <v>2027</v>
      </c>
      <c r="C429" s="10">
        <f>YEAR(Table13[[#This Row],[Date]])</f>
        <v>2026</v>
      </c>
      <c r="D429" s="309">
        <f>Table13[[#This Row],[Date]]-DAY(Table13[[#This Row],[Date]])+1</f>
        <v>46143</v>
      </c>
      <c r="E429" s="10">
        <f t="shared" si="35"/>
        <v>31</v>
      </c>
      <c r="F429" s="241" t="str">
        <f>IFERROR(_xlfn.XLOOKUP($A429,Input_Raw!$E:$E,Input_Raw!DC:DC),"")</f>
        <v/>
      </c>
      <c r="G429" s="242"/>
      <c r="H429" s="242"/>
      <c r="I429" s="242"/>
      <c r="J429" s="242"/>
      <c r="K429" s="243"/>
      <c r="L429" s="242"/>
      <c r="M429" s="242" t="str">
        <f>IFERROR(_xlfn.XLOOKUP($A429,Input_Raw!$E:$E,Input_Raw!$BM:$BM),"")</f>
        <v/>
      </c>
      <c r="N429" s="242" t="str">
        <f>IFERROR(_xlfn.XLOOKUP($A429,Input_Raw!$E:$E,Input_Raw!$BN:$BN),"")</f>
        <v/>
      </c>
      <c r="O429" s="311" t="str">
        <f t="shared" si="36"/>
        <v/>
      </c>
      <c r="P429" s="311" t="str">
        <f>IFERROR(1-SUMIF(WTG_BD!$F:$F,$A429,WTG_BD!$AA:$AA)/($AA429+SUMIF(WTG_BD!$F:$F,$A429,WTG_BD!$AA:$AA)),"")</f>
        <v/>
      </c>
      <c r="Q429" s="328" t="str">
        <f>IFERROR(1-SUMIF(IGA_BD!$F:$F,$A429,IGA_BD!$W:$W)/($AA429+SUMIF(IGA_BD!$F:$F,$A429,IGA_BD!$W:$W)),"")</f>
        <v/>
      </c>
      <c r="R429" s="311" t="str">
        <f>IFERROR(1-SUMIF(Grid_BD!$F:$F,$A429,Grid_BD!$Y:$Y)/($AA429+SUMIF(Grid_BD!$F:$F,$A429,Grid_BD!$Y:$Y)),"")</f>
        <v/>
      </c>
      <c r="S429" s="10"/>
      <c r="T429" s="310"/>
      <c r="U429" s="311"/>
      <c r="V429" s="10"/>
      <c r="W429" s="312" t="str">
        <f t="shared" si="37"/>
        <v/>
      </c>
      <c r="X429" s="10" t="str">
        <f>IFERROR(_xlfn.XLOOKUP($A429,Input_Raw!$E:$E,Input_Raw!BG:BG),"")</f>
        <v/>
      </c>
      <c r="Y429" s="10" t="str">
        <f>IFERROR(_xlfn.XLOOKUP($A429,Input_Raw!$E:$E,Input_Raw!DF:DF),"")</f>
        <v/>
      </c>
      <c r="Z429" s="319" t="str">
        <f>IFERROR(_xlfn.XLOOKUP(A429,Input_Raw!E:E,Input_Raw!CT:CT)/_xlfn.XLOOKUP(A429,Input_Raw!E:E,Input_Raw!CS:CS)*Table13[[#This Row],[Mtr_Export (kWh)]],"")</f>
        <v/>
      </c>
      <c r="AA429" s="43" t="str">
        <f t="shared" si="38"/>
        <v/>
      </c>
      <c r="AB429" s="10" t="str">
        <f>IFERROR(_xlfn.XLOOKUP($A429,Input_Raw!$E:$E,Input_Raw!$CZ:$CZ),"")</f>
        <v/>
      </c>
      <c r="AC429" s="313" t="str">
        <f>IFERROR(_xlfn.XLOOKUP($D429,'Modelling New'!$D:$D,'Modelling New'!$J:$J),"")</f>
        <v/>
      </c>
      <c r="AD429" s="43" t="str">
        <f>IFERROR(_xlfn.XLOOKUP($D429,'Modelling New'!$D:$D,'Modelling New'!$T:$T)*1000,"")</f>
        <v/>
      </c>
      <c r="AE429" s="312"/>
      <c r="AF429" s="312" t="str">
        <f>IFERROR(_xlfn.XLOOKUP($D429,'Modelling New'!$D:$D,'Modelling New'!$W:$W),"")</f>
        <v/>
      </c>
      <c r="AG429" s="312" t="str">
        <f>IFERROR(_xlfn.XLOOKUP($D429,'Modelling New'!$D:$D,'Modelling New'!$AE:$AE),"")</f>
        <v/>
      </c>
      <c r="AH429" s="312" t="str">
        <f>IFERROR(_xlfn.XLOOKUP($D429,'Modelling New'!$D:$D,'Modelling New'!$AF:$AF),"")</f>
        <v/>
      </c>
      <c r="AI429" s="10" t="str">
        <f>IFERROR(_xlfn.XLOOKUP($A429,Input_Raw!$E:$E,Input_Raw!$DG:$DG),"")</f>
        <v/>
      </c>
      <c r="AJ429" s="10"/>
      <c r="AK429" s="10"/>
      <c r="AL429" s="10"/>
      <c r="AM429" s="10"/>
      <c r="AN429" s="314" t="str">
        <f>IFERROR(_xlfn.XLOOKUP($A429,Input_Raw!$E:$E,Input_Raw!$CY:$CY),"")</f>
        <v/>
      </c>
      <c r="AO429" s="312" t="str">
        <f>IFERROR((_xlfn.XLOOKUP($A429,'WTG Reactive Power'!$A:$A,'WTG Reactive Power'!AB:AB))/X429,"")</f>
        <v/>
      </c>
      <c r="AP429" s="312" t="str">
        <f>IFERROR(_xlfn.XLOOKUP($D429,'Modelling New'!$D:$D,'Modelling New'!AK:AK),"")</f>
        <v/>
      </c>
      <c r="AQ429" s="312" t="str">
        <f>IFERROR(_xlfn.XLOOKUP($D429,'Modelling New'!$D:$D,'Modelling New'!AL:AL),"")</f>
        <v/>
      </c>
      <c r="AR429" s="325" t="str">
        <f>IFERROR(_xlfn.XLOOKUP($D429,'Modelling New'!$D:$D,'Modelling New'!$N:$N),"")</f>
        <v/>
      </c>
      <c r="AS429" s="325"/>
    </row>
    <row r="430" spans="1:45">
      <c r="A430" s="32">
        <f t="shared" si="39"/>
        <v>46173</v>
      </c>
      <c r="B430" s="43">
        <f>YEAR(Table13[[#This Row],[Date]])+IF(MONTH(Table13[[#This Row],[Date]])&gt;=4,1,0)</f>
        <v>2027</v>
      </c>
      <c r="C430" s="10">
        <f>YEAR(Table13[[#This Row],[Date]])</f>
        <v>2026</v>
      </c>
      <c r="D430" s="309">
        <f>Table13[[#This Row],[Date]]-DAY(Table13[[#This Row],[Date]])+1</f>
        <v>46143</v>
      </c>
      <c r="E430" s="10">
        <f t="shared" si="35"/>
        <v>31</v>
      </c>
      <c r="F430" s="241" t="str">
        <f>IFERROR(_xlfn.XLOOKUP($A430,Input_Raw!$E:$E,Input_Raw!DC:DC),"")</f>
        <v/>
      </c>
      <c r="G430" s="313"/>
      <c r="H430" s="313"/>
      <c r="I430" s="313"/>
      <c r="J430" s="313"/>
      <c r="K430" s="243"/>
      <c r="L430" s="242"/>
      <c r="M430" s="242" t="str">
        <f>IFERROR(_xlfn.XLOOKUP($A430,Input_Raw!$E:$E,Input_Raw!$BM:$BM),"")</f>
        <v/>
      </c>
      <c r="N430" s="242" t="str">
        <f>IFERROR(_xlfn.XLOOKUP($A430,Input_Raw!$E:$E,Input_Raw!$BN:$BN),"")</f>
        <v/>
      </c>
      <c r="O430" s="311" t="str">
        <f t="shared" si="36"/>
        <v/>
      </c>
      <c r="P430" s="311" t="str">
        <f>IFERROR(1-SUMIF(WTG_BD!$F:$F,$A430,WTG_BD!$AA:$AA)/($AA430+SUMIF(WTG_BD!$F:$F,$A430,WTG_BD!$AA:$AA)),"")</f>
        <v/>
      </c>
      <c r="Q430" s="328" t="str">
        <f>IFERROR(1-SUMIF(IGA_BD!$F:$F,$A430,IGA_BD!$W:$W)/($AA430+SUMIF(IGA_BD!$F:$F,$A430,IGA_BD!$W:$W)),"")</f>
        <v/>
      </c>
      <c r="R430" s="47" t="str">
        <f>IFERROR(1-SUMIF(Grid_BD!$F:$F,$A430,Grid_BD!$Y:$Y)/($AA430+SUMIF(Grid_BD!$F:$F,$A430,Grid_BD!$Y:$Y)),"")</f>
        <v/>
      </c>
      <c r="S430" s="10"/>
      <c r="T430" s="310"/>
      <c r="U430" s="311"/>
      <c r="V430" s="10"/>
      <c r="W430" s="312" t="str">
        <f t="shared" si="37"/>
        <v/>
      </c>
      <c r="X430" s="10" t="str">
        <f>IFERROR(_xlfn.XLOOKUP($A430,Input_Raw!$E:$E,Input_Raw!BG:BG),"")</f>
        <v/>
      </c>
      <c r="Y430" s="10" t="str">
        <f>IFERROR(_xlfn.XLOOKUP($A430,Input_Raw!$E:$E,Input_Raw!DF:DF),"")</f>
        <v/>
      </c>
      <c r="Z430" s="319" t="str">
        <f>IFERROR(_xlfn.XLOOKUP(A430,Input_Raw!E:E,Input_Raw!CT:CT)/_xlfn.XLOOKUP(A430,Input_Raw!E:E,Input_Raw!CS:CS)*Table13[[#This Row],[Mtr_Export (kWh)]],"")</f>
        <v/>
      </c>
      <c r="AA430" s="43" t="str">
        <f t="shared" si="38"/>
        <v/>
      </c>
      <c r="AB430" s="10" t="str">
        <f>IFERROR(_xlfn.XLOOKUP($A430,Input_Raw!$E:$E,Input_Raw!$CZ:$CZ),"")</f>
        <v/>
      </c>
      <c r="AC430" s="313" t="str">
        <f>IFERROR(_xlfn.XLOOKUP($D430,'Modelling New'!$D:$D,'Modelling New'!$J:$J),"")</f>
        <v/>
      </c>
      <c r="AD430" s="43" t="str">
        <f>IFERROR(_xlfn.XLOOKUP($D430,'Modelling New'!$D:$D,'Modelling New'!$T:$T)*1000,"")</f>
        <v/>
      </c>
      <c r="AE430" s="312"/>
      <c r="AF430" s="312" t="str">
        <f>IFERROR(_xlfn.XLOOKUP($D430,'Modelling New'!$D:$D,'Modelling New'!$W:$W),"")</f>
        <v/>
      </c>
      <c r="AG430" s="312" t="str">
        <f>IFERROR(_xlfn.XLOOKUP($D430,'Modelling New'!$D:$D,'Modelling New'!$AE:$AE),"")</f>
        <v/>
      </c>
      <c r="AH430" s="312" t="str">
        <f>IFERROR(_xlfn.XLOOKUP($D430,'Modelling New'!$D:$D,'Modelling New'!$AF:$AF),"")</f>
        <v/>
      </c>
      <c r="AI430" s="10" t="str">
        <f>IFERROR(_xlfn.XLOOKUP($A430,Input_Raw!$E:$E,Input_Raw!$DG:$DG),"")</f>
        <v/>
      </c>
      <c r="AJ430" s="10"/>
      <c r="AK430" s="10"/>
      <c r="AL430" s="10"/>
      <c r="AM430" s="10"/>
      <c r="AN430" s="314" t="str">
        <f>IFERROR(_xlfn.XLOOKUP($A430,Input_Raw!$E:$E,Input_Raw!$CY:$CY),"")</f>
        <v/>
      </c>
      <c r="AO430" s="312" t="str">
        <f>IFERROR((_xlfn.XLOOKUP($A430,'WTG Reactive Power'!$A:$A,'WTG Reactive Power'!AB:AB))/X430,"")</f>
        <v/>
      </c>
      <c r="AP430" s="312" t="str">
        <f>IFERROR(_xlfn.XLOOKUP($D430,'Modelling New'!$D:$D,'Modelling New'!AK:AK),"")</f>
        <v/>
      </c>
      <c r="AQ430" s="312" t="str">
        <f>IFERROR(_xlfn.XLOOKUP($D430,'Modelling New'!$D:$D,'Modelling New'!AL:AL),"")</f>
        <v/>
      </c>
      <c r="AR430" s="325" t="str">
        <f>IFERROR(_xlfn.XLOOKUP($D430,'Modelling New'!$D:$D,'Modelling New'!$N:$N),"")</f>
        <v/>
      </c>
      <c r="AS430" s="325"/>
    </row>
    <row r="431" spans="1:45">
      <c r="A431" s="32">
        <f t="shared" si="39"/>
        <v>46174</v>
      </c>
      <c r="B431" s="43">
        <f>YEAR(Table13[[#This Row],[Date]])+IF(MONTH(Table13[[#This Row],[Date]])&gt;=4,1,0)</f>
        <v>2027</v>
      </c>
      <c r="C431" s="10">
        <f>YEAR(Table13[[#This Row],[Date]])</f>
        <v>2026</v>
      </c>
      <c r="D431" s="309">
        <f>Table13[[#This Row],[Date]]-DAY(Table13[[#This Row],[Date]])+1</f>
        <v>46174</v>
      </c>
      <c r="E431" s="10">
        <f t="shared" si="35"/>
        <v>30</v>
      </c>
      <c r="F431" s="241" t="str">
        <f>IFERROR(_xlfn.XLOOKUP($A431,Input_Raw!$E:$E,Input_Raw!DC:DC),"")</f>
        <v/>
      </c>
      <c r="G431" s="242"/>
      <c r="H431" s="242"/>
      <c r="I431" s="242"/>
      <c r="J431" s="242"/>
      <c r="K431" s="243"/>
      <c r="L431" s="242"/>
      <c r="M431" s="242" t="str">
        <f>IFERROR(_xlfn.XLOOKUP($A431,Input_Raw!$E:$E,Input_Raw!$BM:$BM),"")</f>
        <v/>
      </c>
      <c r="N431" s="242" t="str">
        <f>IFERROR(_xlfn.XLOOKUP($A431,Input_Raw!$E:$E,Input_Raw!$BN:$BN),"")</f>
        <v/>
      </c>
      <c r="O431" s="311" t="str">
        <f t="shared" si="36"/>
        <v/>
      </c>
      <c r="P431" s="311" t="str">
        <f>IFERROR(1-SUMIF(WTG_BD!$F:$F,$A431,WTG_BD!$AA:$AA)/($AA431+SUMIF(WTG_BD!$F:$F,$A431,WTG_BD!$AA:$AA)),"")</f>
        <v/>
      </c>
      <c r="Q431" s="328" t="str">
        <f>IFERROR(1-SUMIF(IGA_BD!$F:$F,$A431,IGA_BD!$W:$W)/($AA431+SUMIF(IGA_BD!$F:$F,$A431,IGA_BD!$W:$W)),"")</f>
        <v/>
      </c>
      <c r="R431" s="311" t="str">
        <f>IFERROR(1-SUMIF(Grid_BD!$F:$F,$A431,Grid_BD!$Y:$Y)/($AA431+SUMIF(Grid_BD!$F:$F,$A431,Grid_BD!$Y:$Y)),"")</f>
        <v/>
      </c>
      <c r="S431" s="10"/>
      <c r="T431" s="310"/>
      <c r="U431" s="311"/>
      <c r="V431" s="10"/>
      <c r="W431" s="312" t="str">
        <f t="shared" si="37"/>
        <v/>
      </c>
      <c r="X431" s="10" t="str">
        <f>IFERROR(_xlfn.XLOOKUP($A431,Input_Raw!$E:$E,Input_Raw!BG:BG),"")</f>
        <v/>
      </c>
      <c r="Y431" s="10" t="str">
        <f>IFERROR(_xlfn.XLOOKUP($A431,Input_Raw!$E:$E,Input_Raw!DF:DF),"")</f>
        <v/>
      </c>
      <c r="Z431" s="319" t="str">
        <f>IFERROR(_xlfn.XLOOKUP(A431,Input_Raw!E:E,Input_Raw!CT:CT)/_xlfn.XLOOKUP(A431,Input_Raw!E:E,Input_Raw!CS:CS)*Table13[[#This Row],[Mtr_Export (kWh)]],"")</f>
        <v/>
      </c>
      <c r="AA431" s="43" t="str">
        <f t="shared" si="38"/>
        <v/>
      </c>
      <c r="AB431" s="10" t="str">
        <f>IFERROR(_xlfn.XLOOKUP($A431,Input_Raw!$E:$E,Input_Raw!$CZ:$CZ),"")</f>
        <v/>
      </c>
      <c r="AC431" s="313" t="str">
        <f>IFERROR(_xlfn.XLOOKUP($D431,'Modelling New'!$D:$D,'Modelling New'!$J:$J),"")</f>
        <v/>
      </c>
      <c r="AD431" s="43" t="str">
        <f>IFERROR(_xlfn.XLOOKUP($D431,'Modelling New'!$D:$D,'Modelling New'!$T:$T)*1000,"")</f>
        <v/>
      </c>
      <c r="AE431" s="312"/>
      <c r="AF431" s="312" t="str">
        <f>IFERROR(_xlfn.XLOOKUP($D431,'Modelling New'!$D:$D,'Modelling New'!$W:$W),"")</f>
        <v/>
      </c>
      <c r="AG431" s="312" t="str">
        <f>IFERROR(_xlfn.XLOOKUP($D431,'Modelling New'!$D:$D,'Modelling New'!$AE:$AE),"")</f>
        <v/>
      </c>
      <c r="AH431" s="312" t="str">
        <f>IFERROR(_xlfn.XLOOKUP($D431,'Modelling New'!$D:$D,'Modelling New'!$AF:$AF),"")</f>
        <v/>
      </c>
      <c r="AI431" s="10" t="str">
        <f>IFERROR(_xlfn.XLOOKUP($A431,Input_Raw!$E:$E,Input_Raw!$DG:$DG),"")</f>
        <v/>
      </c>
      <c r="AJ431" s="10"/>
      <c r="AK431" s="10"/>
      <c r="AL431" s="10"/>
      <c r="AM431" s="10"/>
      <c r="AN431" s="314" t="str">
        <f>IFERROR(_xlfn.XLOOKUP($A431,Input_Raw!$E:$E,Input_Raw!$CY:$CY),"")</f>
        <v/>
      </c>
      <c r="AO431" s="312" t="str">
        <f>IFERROR((_xlfn.XLOOKUP($A431,'WTG Reactive Power'!$A:$A,'WTG Reactive Power'!AB:AB))/X431,"")</f>
        <v/>
      </c>
      <c r="AP431" s="312" t="str">
        <f>IFERROR(_xlfn.XLOOKUP($D431,'Modelling New'!$D:$D,'Modelling New'!AK:AK),"")</f>
        <v/>
      </c>
      <c r="AQ431" s="312" t="str">
        <f>IFERROR(_xlfn.XLOOKUP($D431,'Modelling New'!$D:$D,'Modelling New'!AL:AL),"")</f>
        <v/>
      </c>
      <c r="AR431" s="325" t="str">
        <f>IFERROR(_xlfn.XLOOKUP($D431,'Modelling New'!$D:$D,'Modelling New'!$N:$N),"")</f>
        <v/>
      </c>
      <c r="AS431" s="325"/>
    </row>
    <row r="432" spans="1:45">
      <c r="A432" s="32">
        <f t="shared" si="39"/>
        <v>46175</v>
      </c>
      <c r="B432" s="43">
        <f>YEAR(Table13[[#This Row],[Date]])+IF(MONTH(Table13[[#This Row],[Date]])&gt;=4,1,0)</f>
        <v>2027</v>
      </c>
      <c r="C432" s="10">
        <f>YEAR(Table13[[#This Row],[Date]])</f>
        <v>2026</v>
      </c>
      <c r="D432" s="309">
        <f>Table13[[#This Row],[Date]]-DAY(Table13[[#This Row],[Date]])+1</f>
        <v>46174</v>
      </c>
      <c r="E432" s="10">
        <f t="shared" si="35"/>
        <v>30</v>
      </c>
      <c r="F432" s="241" t="str">
        <f>IFERROR(_xlfn.XLOOKUP($A432,Input_Raw!$E:$E,Input_Raw!DC:DC),"")</f>
        <v/>
      </c>
      <c r="G432" s="313"/>
      <c r="H432" s="313"/>
      <c r="I432" s="313"/>
      <c r="J432" s="313"/>
      <c r="K432" s="243"/>
      <c r="L432" s="242"/>
      <c r="M432" s="242" t="str">
        <f>IFERROR(_xlfn.XLOOKUP($A432,Input_Raw!$E:$E,Input_Raw!$BM:$BM),"")</f>
        <v/>
      </c>
      <c r="N432" s="242" t="str">
        <f>IFERROR(_xlfn.XLOOKUP($A432,Input_Raw!$E:$E,Input_Raw!$BN:$BN),"")</f>
        <v/>
      </c>
      <c r="O432" s="311" t="str">
        <f t="shared" si="36"/>
        <v/>
      </c>
      <c r="P432" s="311" t="str">
        <f>IFERROR(1-SUMIF(WTG_BD!$F:$F,$A432,WTG_BD!$AA:$AA)/($AA432+SUMIF(WTG_BD!$F:$F,$A432,WTG_BD!$AA:$AA)),"")</f>
        <v/>
      </c>
      <c r="Q432" s="328" t="str">
        <f>IFERROR(1-SUMIF(IGA_BD!$F:$F,$A432,IGA_BD!$W:$W)/($AA432+SUMIF(IGA_BD!$F:$F,$A432,IGA_BD!$W:$W)),"")</f>
        <v/>
      </c>
      <c r="R432" s="47" t="str">
        <f>IFERROR(1-SUMIF(Grid_BD!$F:$F,$A432,Grid_BD!$Y:$Y)/($AA432+SUMIF(Grid_BD!$F:$F,$A432,Grid_BD!$Y:$Y)),"")</f>
        <v/>
      </c>
      <c r="S432" s="10"/>
      <c r="T432" s="310"/>
      <c r="U432" s="311"/>
      <c r="V432" s="10"/>
      <c r="W432" s="312" t="str">
        <f t="shared" si="37"/>
        <v/>
      </c>
      <c r="X432" s="10" t="str">
        <f>IFERROR(_xlfn.XLOOKUP($A432,Input_Raw!$E:$E,Input_Raw!BG:BG),"")</f>
        <v/>
      </c>
      <c r="Y432" s="10" t="str">
        <f>IFERROR(_xlfn.XLOOKUP($A432,Input_Raw!$E:$E,Input_Raw!DF:DF),"")</f>
        <v/>
      </c>
      <c r="Z432" s="319" t="str">
        <f>IFERROR(_xlfn.XLOOKUP(A432,Input_Raw!E:E,Input_Raw!CT:CT)/_xlfn.XLOOKUP(A432,Input_Raw!E:E,Input_Raw!CS:CS)*Table13[[#This Row],[Mtr_Export (kWh)]],"")</f>
        <v/>
      </c>
      <c r="AA432" s="43" t="str">
        <f t="shared" si="38"/>
        <v/>
      </c>
      <c r="AB432" s="10" t="str">
        <f>IFERROR(_xlfn.XLOOKUP($A432,Input_Raw!$E:$E,Input_Raw!$CZ:$CZ),"")</f>
        <v/>
      </c>
      <c r="AC432" s="313" t="str">
        <f>IFERROR(_xlfn.XLOOKUP($D432,'Modelling New'!$D:$D,'Modelling New'!$J:$J),"")</f>
        <v/>
      </c>
      <c r="AD432" s="43" t="str">
        <f>IFERROR(_xlfn.XLOOKUP($D432,'Modelling New'!$D:$D,'Modelling New'!$T:$T)*1000,"")</f>
        <v/>
      </c>
      <c r="AE432" s="312"/>
      <c r="AF432" s="312" t="str">
        <f>IFERROR(_xlfn.XLOOKUP($D432,'Modelling New'!$D:$D,'Modelling New'!$W:$W),"")</f>
        <v/>
      </c>
      <c r="AG432" s="312" t="str">
        <f>IFERROR(_xlfn.XLOOKUP($D432,'Modelling New'!$D:$D,'Modelling New'!$AE:$AE),"")</f>
        <v/>
      </c>
      <c r="AH432" s="312" t="str">
        <f>IFERROR(_xlfn.XLOOKUP($D432,'Modelling New'!$D:$D,'Modelling New'!$AF:$AF),"")</f>
        <v/>
      </c>
      <c r="AI432" s="10" t="str">
        <f>IFERROR(_xlfn.XLOOKUP($A432,Input_Raw!$E:$E,Input_Raw!$DG:$DG),"")</f>
        <v/>
      </c>
      <c r="AJ432" s="10"/>
      <c r="AK432" s="10"/>
      <c r="AL432" s="10"/>
      <c r="AM432" s="10"/>
      <c r="AN432" s="314" t="str">
        <f>IFERROR(_xlfn.XLOOKUP($A432,Input_Raw!$E:$E,Input_Raw!$CY:$CY),"")</f>
        <v/>
      </c>
      <c r="AO432" s="312" t="str">
        <f>IFERROR((_xlfn.XLOOKUP($A432,'WTG Reactive Power'!$A:$A,'WTG Reactive Power'!AB:AB))/X432,"")</f>
        <v/>
      </c>
      <c r="AP432" s="312" t="str">
        <f>IFERROR(_xlfn.XLOOKUP($D432,'Modelling New'!$D:$D,'Modelling New'!AK:AK),"")</f>
        <v/>
      </c>
      <c r="AQ432" s="312" t="str">
        <f>IFERROR(_xlfn.XLOOKUP($D432,'Modelling New'!$D:$D,'Modelling New'!AL:AL),"")</f>
        <v/>
      </c>
      <c r="AR432" s="325" t="str">
        <f>IFERROR(_xlfn.XLOOKUP($D432,'Modelling New'!$D:$D,'Modelling New'!$N:$N),"")</f>
        <v/>
      </c>
      <c r="AS432" s="325"/>
    </row>
    <row r="433" spans="1:45">
      <c r="A433" s="32">
        <f t="shared" si="39"/>
        <v>46176</v>
      </c>
      <c r="B433" s="43">
        <f>YEAR(Table13[[#This Row],[Date]])+IF(MONTH(Table13[[#This Row],[Date]])&gt;=4,1,0)</f>
        <v>2027</v>
      </c>
      <c r="C433" s="10">
        <f>YEAR(Table13[[#This Row],[Date]])</f>
        <v>2026</v>
      </c>
      <c r="D433" s="309">
        <f>Table13[[#This Row],[Date]]-DAY(Table13[[#This Row],[Date]])+1</f>
        <v>46174</v>
      </c>
      <c r="E433" s="10">
        <f t="shared" si="35"/>
        <v>30</v>
      </c>
      <c r="F433" s="241" t="str">
        <f>IFERROR(_xlfn.XLOOKUP($A433,Input_Raw!$E:$E,Input_Raw!DC:DC),"")</f>
        <v/>
      </c>
      <c r="G433" s="242"/>
      <c r="H433" s="242"/>
      <c r="I433" s="242"/>
      <c r="J433" s="242"/>
      <c r="K433" s="243"/>
      <c r="L433" s="242"/>
      <c r="M433" s="242" t="str">
        <f>IFERROR(_xlfn.XLOOKUP($A433,Input_Raw!$E:$E,Input_Raw!$BM:$BM),"")</f>
        <v/>
      </c>
      <c r="N433" s="242" t="str">
        <f>IFERROR(_xlfn.XLOOKUP($A433,Input_Raw!$E:$E,Input_Raw!$BN:$BN),"")</f>
        <v/>
      </c>
      <c r="O433" s="311" t="str">
        <f t="shared" si="36"/>
        <v/>
      </c>
      <c r="P433" s="311" t="str">
        <f>IFERROR(1-SUMIF(WTG_BD!$F:$F,$A433,WTG_BD!$AA:$AA)/($AA433+SUMIF(WTG_BD!$F:$F,$A433,WTG_BD!$AA:$AA)),"")</f>
        <v/>
      </c>
      <c r="Q433" s="328" t="str">
        <f>IFERROR(1-SUMIF(IGA_BD!$F:$F,$A433,IGA_BD!$W:$W)/($AA433+SUMIF(IGA_BD!$F:$F,$A433,IGA_BD!$W:$W)),"")</f>
        <v/>
      </c>
      <c r="R433" s="311" t="str">
        <f>IFERROR(1-SUMIF(Grid_BD!$F:$F,$A433,Grid_BD!$Y:$Y)/($AA433+SUMIF(Grid_BD!$F:$F,$A433,Grid_BD!$Y:$Y)),"")</f>
        <v/>
      </c>
      <c r="S433" s="10"/>
      <c r="T433" s="310"/>
      <c r="U433" s="311"/>
      <c r="V433" s="10"/>
      <c r="W433" s="312" t="str">
        <f t="shared" si="37"/>
        <v/>
      </c>
      <c r="X433" s="10" t="str">
        <f>IFERROR(_xlfn.XLOOKUP($A433,Input_Raw!$E:$E,Input_Raw!BG:BG),"")</f>
        <v/>
      </c>
      <c r="Y433" s="10" t="str">
        <f>IFERROR(_xlfn.XLOOKUP($A433,Input_Raw!$E:$E,Input_Raw!DF:DF),"")</f>
        <v/>
      </c>
      <c r="Z433" s="319" t="str">
        <f>IFERROR(_xlfn.XLOOKUP(A433,Input_Raw!E:E,Input_Raw!CT:CT)/_xlfn.XLOOKUP(A433,Input_Raw!E:E,Input_Raw!CS:CS)*Table13[[#This Row],[Mtr_Export (kWh)]],"")</f>
        <v/>
      </c>
      <c r="AA433" s="43" t="str">
        <f t="shared" si="38"/>
        <v/>
      </c>
      <c r="AB433" s="10" t="str">
        <f>IFERROR(_xlfn.XLOOKUP($A433,Input_Raw!$E:$E,Input_Raw!$CZ:$CZ),"")</f>
        <v/>
      </c>
      <c r="AC433" s="313" t="str">
        <f>IFERROR(_xlfn.XLOOKUP($D433,'Modelling New'!$D:$D,'Modelling New'!$J:$J),"")</f>
        <v/>
      </c>
      <c r="AD433" s="43" t="str">
        <f>IFERROR(_xlfn.XLOOKUP($D433,'Modelling New'!$D:$D,'Modelling New'!$T:$T)*1000,"")</f>
        <v/>
      </c>
      <c r="AE433" s="312"/>
      <c r="AF433" s="312" t="str">
        <f>IFERROR(_xlfn.XLOOKUP($D433,'Modelling New'!$D:$D,'Modelling New'!$W:$W),"")</f>
        <v/>
      </c>
      <c r="AG433" s="312" t="str">
        <f>IFERROR(_xlfn.XLOOKUP($D433,'Modelling New'!$D:$D,'Modelling New'!$AE:$AE),"")</f>
        <v/>
      </c>
      <c r="AH433" s="312" t="str">
        <f>IFERROR(_xlfn.XLOOKUP($D433,'Modelling New'!$D:$D,'Modelling New'!$AF:$AF),"")</f>
        <v/>
      </c>
      <c r="AI433" s="10" t="str">
        <f>IFERROR(_xlfn.XLOOKUP($A433,Input_Raw!$E:$E,Input_Raw!$DG:$DG),"")</f>
        <v/>
      </c>
      <c r="AJ433" s="10"/>
      <c r="AK433" s="10"/>
      <c r="AL433" s="10"/>
      <c r="AM433" s="10"/>
      <c r="AN433" s="314" t="str">
        <f>IFERROR(_xlfn.XLOOKUP($A433,Input_Raw!$E:$E,Input_Raw!$CY:$CY),"")</f>
        <v/>
      </c>
      <c r="AO433" s="312" t="str">
        <f>IFERROR((_xlfn.XLOOKUP($A433,'WTG Reactive Power'!$A:$A,'WTG Reactive Power'!AB:AB))/X433,"")</f>
        <v/>
      </c>
      <c r="AP433" s="312" t="str">
        <f>IFERROR(_xlfn.XLOOKUP($D433,'Modelling New'!$D:$D,'Modelling New'!AK:AK),"")</f>
        <v/>
      </c>
      <c r="AQ433" s="312" t="str">
        <f>IFERROR(_xlfn.XLOOKUP($D433,'Modelling New'!$D:$D,'Modelling New'!AL:AL),"")</f>
        <v/>
      </c>
      <c r="AR433" s="325" t="str">
        <f>IFERROR(_xlfn.XLOOKUP($D433,'Modelling New'!$D:$D,'Modelling New'!$N:$N),"")</f>
        <v/>
      </c>
      <c r="AS433" s="325"/>
    </row>
    <row r="434" spans="1:45">
      <c r="A434" s="32">
        <f t="shared" si="39"/>
        <v>46177</v>
      </c>
      <c r="B434" s="43">
        <f>YEAR(Table13[[#This Row],[Date]])+IF(MONTH(Table13[[#This Row],[Date]])&gt;=4,1,0)</f>
        <v>2027</v>
      </c>
      <c r="C434" s="10">
        <f>YEAR(Table13[[#This Row],[Date]])</f>
        <v>2026</v>
      </c>
      <c r="D434" s="309">
        <f>Table13[[#This Row],[Date]]-DAY(Table13[[#This Row],[Date]])+1</f>
        <v>46174</v>
      </c>
      <c r="E434" s="10">
        <f t="shared" si="35"/>
        <v>30</v>
      </c>
      <c r="F434" s="241" t="str">
        <f>IFERROR(_xlfn.XLOOKUP($A434,Input_Raw!$E:$E,Input_Raw!DC:DC),"")</f>
        <v/>
      </c>
      <c r="G434" s="313"/>
      <c r="H434" s="313"/>
      <c r="I434" s="313"/>
      <c r="J434" s="313"/>
      <c r="K434" s="243"/>
      <c r="L434" s="242"/>
      <c r="M434" s="242" t="str">
        <f>IFERROR(_xlfn.XLOOKUP($A434,Input_Raw!$E:$E,Input_Raw!$BM:$BM),"")</f>
        <v/>
      </c>
      <c r="N434" s="242" t="str">
        <f>IFERROR(_xlfn.XLOOKUP($A434,Input_Raw!$E:$E,Input_Raw!$BN:$BN),"")</f>
        <v/>
      </c>
      <c r="O434" s="311" t="str">
        <f t="shared" si="36"/>
        <v/>
      </c>
      <c r="P434" s="311" t="str">
        <f>IFERROR(1-SUMIF(WTG_BD!$F:$F,$A434,WTG_BD!$AA:$AA)/($AA434+SUMIF(WTG_BD!$F:$F,$A434,WTG_BD!$AA:$AA)),"")</f>
        <v/>
      </c>
      <c r="Q434" s="328" t="str">
        <f>IFERROR(1-SUMIF(IGA_BD!$F:$F,$A434,IGA_BD!$W:$W)/($AA434+SUMIF(IGA_BD!$F:$F,$A434,IGA_BD!$W:$W)),"")</f>
        <v/>
      </c>
      <c r="R434" s="47" t="str">
        <f>IFERROR(1-SUMIF(Grid_BD!$F:$F,$A434,Grid_BD!$Y:$Y)/($AA434+SUMIF(Grid_BD!$F:$F,$A434,Grid_BD!$Y:$Y)),"")</f>
        <v/>
      </c>
      <c r="S434" s="10"/>
      <c r="T434" s="310"/>
      <c r="U434" s="311"/>
      <c r="V434" s="10"/>
      <c r="W434" s="312" t="str">
        <f t="shared" si="37"/>
        <v/>
      </c>
      <c r="X434" s="10" t="str">
        <f>IFERROR(_xlfn.XLOOKUP($A434,Input_Raw!$E:$E,Input_Raw!BG:BG),"")</f>
        <v/>
      </c>
      <c r="Y434" s="10" t="str">
        <f>IFERROR(_xlfn.XLOOKUP($A434,Input_Raw!$E:$E,Input_Raw!DF:DF),"")</f>
        <v/>
      </c>
      <c r="Z434" s="319" t="str">
        <f>IFERROR(_xlfn.XLOOKUP(A434,Input_Raw!E:E,Input_Raw!CT:CT)/_xlfn.XLOOKUP(A434,Input_Raw!E:E,Input_Raw!CS:CS)*Table13[[#This Row],[Mtr_Export (kWh)]],"")</f>
        <v/>
      </c>
      <c r="AA434" s="43" t="str">
        <f t="shared" si="38"/>
        <v/>
      </c>
      <c r="AB434" s="10" t="str">
        <f>IFERROR(_xlfn.XLOOKUP($A434,Input_Raw!$E:$E,Input_Raw!$CZ:$CZ),"")</f>
        <v/>
      </c>
      <c r="AC434" s="313" t="str">
        <f>IFERROR(_xlfn.XLOOKUP($D434,'Modelling New'!$D:$D,'Modelling New'!$J:$J),"")</f>
        <v/>
      </c>
      <c r="AD434" s="43" t="str">
        <f>IFERROR(_xlfn.XLOOKUP($D434,'Modelling New'!$D:$D,'Modelling New'!$T:$T)*1000,"")</f>
        <v/>
      </c>
      <c r="AE434" s="312"/>
      <c r="AF434" s="312" t="str">
        <f>IFERROR(_xlfn.XLOOKUP($D434,'Modelling New'!$D:$D,'Modelling New'!$W:$W),"")</f>
        <v/>
      </c>
      <c r="AG434" s="312" t="str">
        <f>IFERROR(_xlfn.XLOOKUP($D434,'Modelling New'!$D:$D,'Modelling New'!$AE:$AE),"")</f>
        <v/>
      </c>
      <c r="AH434" s="312" t="str">
        <f>IFERROR(_xlfn.XLOOKUP($D434,'Modelling New'!$D:$D,'Modelling New'!$AF:$AF),"")</f>
        <v/>
      </c>
      <c r="AI434" s="10" t="str">
        <f>IFERROR(_xlfn.XLOOKUP($A434,Input_Raw!$E:$E,Input_Raw!$DG:$DG),"")</f>
        <v/>
      </c>
      <c r="AJ434" s="10"/>
      <c r="AK434" s="10"/>
      <c r="AL434" s="10"/>
      <c r="AM434" s="10"/>
      <c r="AN434" s="314" t="str">
        <f>IFERROR(_xlfn.XLOOKUP($A434,Input_Raw!$E:$E,Input_Raw!$CY:$CY),"")</f>
        <v/>
      </c>
      <c r="AO434" s="312" t="str">
        <f>IFERROR((_xlfn.XLOOKUP($A434,'WTG Reactive Power'!$A:$A,'WTG Reactive Power'!AB:AB))/X434,"")</f>
        <v/>
      </c>
      <c r="AP434" s="312" t="str">
        <f>IFERROR(_xlfn.XLOOKUP($D434,'Modelling New'!$D:$D,'Modelling New'!AK:AK),"")</f>
        <v/>
      </c>
      <c r="AQ434" s="312" t="str">
        <f>IFERROR(_xlfn.XLOOKUP($D434,'Modelling New'!$D:$D,'Modelling New'!AL:AL),"")</f>
        <v/>
      </c>
      <c r="AR434" s="325" t="str">
        <f>IFERROR(_xlfn.XLOOKUP($D434,'Modelling New'!$D:$D,'Modelling New'!$N:$N),"")</f>
        <v/>
      </c>
      <c r="AS434" s="325"/>
    </row>
    <row r="435" spans="1:45">
      <c r="A435" s="32">
        <f t="shared" si="39"/>
        <v>46178</v>
      </c>
      <c r="B435" s="43">
        <f>YEAR(Table13[[#This Row],[Date]])+IF(MONTH(Table13[[#This Row],[Date]])&gt;=4,1,0)</f>
        <v>2027</v>
      </c>
      <c r="C435" s="10">
        <f>YEAR(Table13[[#This Row],[Date]])</f>
        <v>2026</v>
      </c>
      <c r="D435" s="309">
        <f>Table13[[#This Row],[Date]]-DAY(Table13[[#This Row],[Date]])+1</f>
        <v>46174</v>
      </c>
      <c r="E435" s="10">
        <f t="shared" si="35"/>
        <v>30</v>
      </c>
      <c r="F435" s="241" t="str">
        <f>IFERROR(_xlfn.XLOOKUP($A435,Input_Raw!$E:$E,Input_Raw!DC:DC),"")</f>
        <v/>
      </c>
      <c r="G435" s="242"/>
      <c r="H435" s="242"/>
      <c r="I435" s="242"/>
      <c r="J435" s="242"/>
      <c r="K435" s="243"/>
      <c r="L435" s="242"/>
      <c r="M435" s="242" t="str">
        <f>IFERROR(_xlfn.XLOOKUP($A435,Input_Raw!$E:$E,Input_Raw!$BM:$BM),"")</f>
        <v/>
      </c>
      <c r="N435" s="242" t="str">
        <f>IFERROR(_xlfn.XLOOKUP($A435,Input_Raw!$E:$E,Input_Raw!$BN:$BN),"")</f>
        <v/>
      </c>
      <c r="O435" s="311" t="str">
        <f t="shared" si="36"/>
        <v/>
      </c>
      <c r="P435" s="311" t="str">
        <f>IFERROR(1-SUMIF(WTG_BD!$F:$F,$A435,WTG_BD!$AA:$AA)/($AA435+SUMIF(WTG_BD!$F:$F,$A435,WTG_BD!$AA:$AA)),"")</f>
        <v/>
      </c>
      <c r="Q435" s="328" t="str">
        <f>IFERROR(1-SUMIF(IGA_BD!$F:$F,$A435,IGA_BD!$W:$W)/($AA435+SUMIF(IGA_BD!$F:$F,$A435,IGA_BD!$W:$W)),"")</f>
        <v/>
      </c>
      <c r="R435" s="311" t="str">
        <f>IFERROR(1-SUMIF(Grid_BD!$F:$F,$A435,Grid_BD!$Y:$Y)/($AA435+SUMIF(Grid_BD!$F:$F,$A435,Grid_BD!$Y:$Y)),"")</f>
        <v/>
      </c>
      <c r="S435" s="10"/>
      <c r="T435" s="310"/>
      <c r="U435" s="311"/>
      <c r="V435" s="10"/>
      <c r="W435" s="312" t="str">
        <f t="shared" si="37"/>
        <v/>
      </c>
      <c r="X435" s="10" t="str">
        <f>IFERROR(_xlfn.XLOOKUP($A435,Input_Raw!$E:$E,Input_Raw!BG:BG),"")</f>
        <v/>
      </c>
      <c r="Y435" s="10" t="str">
        <f>IFERROR(_xlfn.XLOOKUP($A435,Input_Raw!$E:$E,Input_Raw!DF:DF),"")</f>
        <v/>
      </c>
      <c r="Z435" s="319" t="str">
        <f>IFERROR(_xlfn.XLOOKUP(A435,Input_Raw!E:E,Input_Raw!CT:CT)/_xlfn.XLOOKUP(A435,Input_Raw!E:E,Input_Raw!CS:CS)*Table13[[#This Row],[Mtr_Export (kWh)]],"")</f>
        <v/>
      </c>
      <c r="AA435" s="43" t="str">
        <f t="shared" si="38"/>
        <v/>
      </c>
      <c r="AB435" s="10" t="str">
        <f>IFERROR(_xlfn.XLOOKUP($A435,Input_Raw!$E:$E,Input_Raw!$CZ:$CZ),"")</f>
        <v/>
      </c>
      <c r="AC435" s="313" t="str">
        <f>IFERROR(_xlfn.XLOOKUP($D435,'Modelling New'!$D:$D,'Modelling New'!$J:$J),"")</f>
        <v/>
      </c>
      <c r="AD435" s="43" t="str">
        <f>IFERROR(_xlfn.XLOOKUP($D435,'Modelling New'!$D:$D,'Modelling New'!$T:$T)*1000,"")</f>
        <v/>
      </c>
      <c r="AE435" s="312"/>
      <c r="AF435" s="312" t="str">
        <f>IFERROR(_xlfn.XLOOKUP($D435,'Modelling New'!$D:$D,'Modelling New'!$W:$W),"")</f>
        <v/>
      </c>
      <c r="AG435" s="312" t="str">
        <f>IFERROR(_xlfn.XLOOKUP($D435,'Modelling New'!$D:$D,'Modelling New'!$AE:$AE),"")</f>
        <v/>
      </c>
      <c r="AH435" s="312" t="str">
        <f>IFERROR(_xlfn.XLOOKUP($D435,'Modelling New'!$D:$D,'Modelling New'!$AF:$AF),"")</f>
        <v/>
      </c>
      <c r="AI435" s="10" t="str">
        <f>IFERROR(_xlfn.XLOOKUP($A435,Input_Raw!$E:$E,Input_Raw!$DG:$DG),"")</f>
        <v/>
      </c>
      <c r="AJ435" s="10"/>
      <c r="AK435" s="10"/>
      <c r="AL435" s="10"/>
      <c r="AM435" s="10"/>
      <c r="AN435" s="314" t="str">
        <f>IFERROR(_xlfn.XLOOKUP($A435,Input_Raw!$E:$E,Input_Raw!$CY:$CY),"")</f>
        <v/>
      </c>
      <c r="AO435" s="312" t="str">
        <f>IFERROR((_xlfn.XLOOKUP($A435,'WTG Reactive Power'!$A:$A,'WTG Reactive Power'!AB:AB))/X435,"")</f>
        <v/>
      </c>
      <c r="AP435" s="312" t="str">
        <f>IFERROR(_xlfn.XLOOKUP($D435,'Modelling New'!$D:$D,'Modelling New'!AK:AK),"")</f>
        <v/>
      </c>
      <c r="AQ435" s="312" t="str">
        <f>IFERROR(_xlfn.XLOOKUP($D435,'Modelling New'!$D:$D,'Modelling New'!AL:AL),"")</f>
        <v/>
      </c>
      <c r="AR435" s="325" t="str">
        <f>IFERROR(_xlfn.XLOOKUP($D435,'Modelling New'!$D:$D,'Modelling New'!$N:$N),"")</f>
        <v/>
      </c>
      <c r="AS435" s="325"/>
    </row>
    <row r="436" spans="1:45">
      <c r="A436" s="32">
        <f t="shared" si="39"/>
        <v>46179</v>
      </c>
      <c r="B436" s="43">
        <f>YEAR(Table13[[#This Row],[Date]])+IF(MONTH(Table13[[#This Row],[Date]])&gt;=4,1,0)</f>
        <v>2027</v>
      </c>
      <c r="C436" s="10">
        <f>YEAR(Table13[[#This Row],[Date]])</f>
        <v>2026</v>
      </c>
      <c r="D436" s="309">
        <f>Table13[[#This Row],[Date]]-DAY(Table13[[#This Row],[Date]])+1</f>
        <v>46174</v>
      </c>
      <c r="E436" s="10">
        <f t="shared" si="35"/>
        <v>30</v>
      </c>
      <c r="F436" s="241" t="str">
        <f>IFERROR(_xlfn.XLOOKUP($A436,Input_Raw!$E:$E,Input_Raw!DC:DC),"")</f>
        <v/>
      </c>
      <c r="G436" s="313"/>
      <c r="H436" s="313"/>
      <c r="I436" s="313"/>
      <c r="J436" s="313"/>
      <c r="K436" s="243"/>
      <c r="L436" s="242"/>
      <c r="M436" s="242" t="str">
        <f>IFERROR(_xlfn.XLOOKUP($A436,Input_Raw!$E:$E,Input_Raw!$BM:$BM),"")</f>
        <v/>
      </c>
      <c r="N436" s="242" t="str">
        <f>IFERROR(_xlfn.XLOOKUP($A436,Input_Raw!$E:$E,Input_Raw!$BN:$BN),"")</f>
        <v/>
      </c>
      <c r="O436" s="311" t="str">
        <f t="shared" si="36"/>
        <v/>
      </c>
      <c r="P436" s="311" t="str">
        <f>IFERROR(1-SUMIF(WTG_BD!$F:$F,$A436,WTG_BD!$AA:$AA)/($AA436+SUMIF(WTG_BD!$F:$F,$A436,WTG_BD!$AA:$AA)),"")</f>
        <v/>
      </c>
      <c r="Q436" s="328" t="str">
        <f>IFERROR(1-SUMIF(IGA_BD!$F:$F,$A436,IGA_BD!$W:$W)/($AA436+SUMIF(IGA_BD!$F:$F,$A436,IGA_BD!$W:$W)),"")</f>
        <v/>
      </c>
      <c r="R436" s="47" t="str">
        <f>IFERROR(1-SUMIF(Grid_BD!$F:$F,$A436,Grid_BD!$Y:$Y)/($AA436+SUMIF(Grid_BD!$F:$F,$A436,Grid_BD!$Y:$Y)),"")</f>
        <v/>
      </c>
      <c r="S436" s="10"/>
      <c r="T436" s="310"/>
      <c r="U436" s="311"/>
      <c r="V436" s="10"/>
      <c r="W436" s="312" t="str">
        <f t="shared" si="37"/>
        <v/>
      </c>
      <c r="X436" s="10" t="str">
        <f>IFERROR(_xlfn.XLOOKUP($A436,Input_Raw!$E:$E,Input_Raw!BG:BG),"")</f>
        <v/>
      </c>
      <c r="Y436" s="10" t="str">
        <f>IFERROR(_xlfn.XLOOKUP($A436,Input_Raw!$E:$E,Input_Raw!DF:DF),"")</f>
        <v/>
      </c>
      <c r="Z436" s="319" t="str">
        <f>IFERROR(_xlfn.XLOOKUP(A436,Input_Raw!E:E,Input_Raw!CT:CT)/_xlfn.XLOOKUP(A436,Input_Raw!E:E,Input_Raw!CS:CS)*Table13[[#This Row],[Mtr_Export (kWh)]],"")</f>
        <v/>
      </c>
      <c r="AA436" s="43" t="str">
        <f t="shared" si="38"/>
        <v/>
      </c>
      <c r="AB436" s="10" t="str">
        <f>IFERROR(_xlfn.XLOOKUP($A436,Input_Raw!$E:$E,Input_Raw!$CZ:$CZ),"")</f>
        <v/>
      </c>
      <c r="AC436" s="313" t="str">
        <f>IFERROR(_xlfn.XLOOKUP($D436,'Modelling New'!$D:$D,'Modelling New'!$J:$J),"")</f>
        <v/>
      </c>
      <c r="AD436" s="43" t="str">
        <f>IFERROR(_xlfn.XLOOKUP($D436,'Modelling New'!$D:$D,'Modelling New'!$T:$T)*1000,"")</f>
        <v/>
      </c>
      <c r="AE436" s="312"/>
      <c r="AF436" s="312" t="str">
        <f>IFERROR(_xlfn.XLOOKUP($D436,'Modelling New'!$D:$D,'Modelling New'!$W:$W),"")</f>
        <v/>
      </c>
      <c r="AG436" s="312" t="str">
        <f>IFERROR(_xlfn.XLOOKUP($D436,'Modelling New'!$D:$D,'Modelling New'!$AE:$AE),"")</f>
        <v/>
      </c>
      <c r="AH436" s="312" t="str">
        <f>IFERROR(_xlfn.XLOOKUP($D436,'Modelling New'!$D:$D,'Modelling New'!$AF:$AF),"")</f>
        <v/>
      </c>
      <c r="AI436" s="10" t="str">
        <f>IFERROR(_xlfn.XLOOKUP($A436,Input_Raw!$E:$E,Input_Raw!$DG:$DG),"")</f>
        <v/>
      </c>
      <c r="AJ436" s="10"/>
      <c r="AK436" s="10"/>
      <c r="AL436" s="10"/>
      <c r="AM436" s="10"/>
      <c r="AN436" s="314" t="str">
        <f>IFERROR(_xlfn.XLOOKUP($A436,Input_Raw!$E:$E,Input_Raw!$CY:$CY),"")</f>
        <v/>
      </c>
      <c r="AO436" s="312" t="str">
        <f>IFERROR((_xlfn.XLOOKUP($A436,'WTG Reactive Power'!$A:$A,'WTG Reactive Power'!AB:AB))/X436,"")</f>
        <v/>
      </c>
      <c r="AP436" s="312" t="str">
        <f>IFERROR(_xlfn.XLOOKUP($D436,'Modelling New'!$D:$D,'Modelling New'!AK:AK),"")</f>
        <v/>
      </c>
      <c r="AQ436" s="312" t="str">
        <f>IFERROR(_xlfn.XLOOKUP($D436,'Modelling New'!$D:$D,'Modelling New'!AL:AL),"")</f>
        <v/>
      </c>
      <c r="AR436" s="325" t="str">
        <f>IFERROR(_xlfn.XLOOKUP($D436,'Modelling New'!$D:$D,'Modelling New'!$N:$N),"")</f>
        <v/>
      </c>
      <c r="AS436" s="325"/>
    </row>
    <row r="437" spans="1:45">
      <c r="A437" s="32">
        <f t="shared" si="39"/>
        <v>46180</v>
      </c>
      <c r="B437" s="43">
        <f>YEAR(Table13[[#This Row],[Date]])+IF(MONTH(Table13[[#This Row],[Date]])&gt;=4,1,0)</f>
        <v>2027</v>
      </c>
      <c r="C437" s="10">
        <f>YEAR(Table13[[#This Row],[Date]])</f>
        <v>2026</v>
      </c>
      <c r="D437" s="309">
        <f>Table13[[#This Row],[Date]]-DAY(Table13[[#This Row],[Date]])+1</f>
        <v>46174</v>
      </c>
      <c r="E437" s="10">
        <f t="shared" si="35"/>
        <v>30</v>
      </c>
      <c r="F437" s="241" t="str">
        <f>IFERROR(_xlfn.XLOOKUP($A437,Input_Raw!$E:$E,Input_Raw!DC:DC),"")</f>
        <v/>
      </c>
      <c r="G437" s="242"/>
      <c r="H437" s="242"/>
      <c r="I437" s="242"/>
      <c r="J437" s="242"/>
      <c r="K437" s="243"/>
      <c r="L437" s="242"/>
      <c r="M437" s="242" t="str">
        <f>IFERROR(_xlfn.XLOOKUP($A437,Input_Raw!$E:$E,Input_Raw!$BM:$BM),"")</f>
        <v/>
      </c>
      <c r="N437" s="242" t="str">
        <f>IFERROR(_xlfn.XLOOKUP($A437,Input_Raw!$E:$E,Input_Raw!$BN:$BN),"")</f>
        <v/>
      </c>
      <c r="O437" s="311" t="str">
        <f t="shared" si="36"/>
        <v/>
      </c>
      <c r="P437" s="311" t="str">
        <f>IFERROR(1-SUMIF(WTG_BD!$F:$F,$A437,WTG_BD!$AA:$AA)/($AA437+SUMIF(WTG_BD!$F:$F,$A437,WTG_BD!$AA:$AA)),"")</f>
        <v/>
      </c>
      <c r="Q437" s="328" t="str">
        <f>IFERROR(1-SUMIF(IGA_BD!$F:$F,$A437,IGA_BD!$W:$W)/($AA437+SUMIF(IGA_BD!$F:$F,$A437,IGA_BD!$W:$W)),"")</f>
        <v/>
      </c>
      <c r="R437" s="311" t="str">
        <f>IFERROR(1-SUMIF(Grid_BD!$F:$F,$A437,Grid_BD!$Y:$Y)/($AA437+SUMIF(Grid_BD!$F:$F,$A437,Grid_BD!$Y:$Y)),"")</f>
        <v/>
      </c>
      <c r="S437" s="10"/>
      <c r="T437" s="310"/>
      <c r="U437" s="311"/>
      <c r="V437" s="10"/>
      <c r="W437" s="312" t="str">
        <f t="shared" si="37"/>
        <v/>
      </c>
      <c r="X437" s="10" t="str">
        <f>IFERROR(_xlfn.XLOOKUP($A437,Input_Raw!$E:$E,Input_Raw!BG:BG),"")</f>
        <v/>
      </c>
      <c r="Y437" s="10" t="str">
        <f>IFERROR(_xlfn.XLOOKUP($A437,Input_Raw!$E:$E,Input_Raw!DF:DF),"")</f>
        <v/>
      </c>
      <c r="Z437" s="319" t="str">
        <f>IFERROR(_xlfn.XLOOKUP(A437,Input_Raw!E:E,Input_Raw!CT:CT)/_xlfn.XLOOKUP(A437,Input_Raw!E:E,Input_Raw!CS:CS)*Table13[[#This Row],[Mtr_Export (kWh)]],"")</f>
        <v/>
      </c>
      <c r="AA437" s="43" t="str">
        <f t="shared" si="38"/>
        <v/>
      </c>
      <c r="AB437" s="10" t="str">
        <f>IFERROR(_xlfn.XLOOKUP($A437,Input_Raw!$E:$E,Input_Raw!$CZ:$CZ),"")</f>
        <v/>
      </c>
      <c r="AC437" s="313" t="str">
        <f>IFERROR(_xlfn.XLOOKUP($D437,'Modelling New'!$D:$D,'Modelling New'!$J:$J),"")</f>
        <v/>
      </c>
      <c r="AD437" s="43" t="str">
        <f>IFERROR(_xlfn.XLOOKUP($D437,'Modelling New'!$D:$D,'Modelling New'!$T:$T)*1000,"")</f>
        <v/>
      </c>
      <c r="AE437" s="312"/>
      <c r="AF437" s="312" t="str">
        <f>IFERROR(_xlfn.XLOOKUP($D437,'Modelling New'!$D:$D,'Modelling New'!$W:$W),"")</f>
        <v/>
      </c>
      <c r="AG437" s="312" t="str">
        <f>IFERROR(_xlfn.XLOOKUP($D437,'Modelling New'!$D:$D,'Modelling New'!$AE:$AE),"")</f>
        <v/>
      </c>
      <c r="AH437" s="312" t="str">
        <f>IFERROR(_xlfn.XLOOKUP($D437,'Modelling New'!$D:$D,'Modelling New'!$AF:$AF),"")</f>
        <v/>
      </c>
      <c r="AI437" s="10" t="str">
        <f>IFERROR(_xlfn.XLOOKUP($A437,Input_Raw!$E:$E,Input_Raw!$DG:$DG),"")</f>
        <v/>
      </c>
      <c r="AJ437" s="10"/>
      <c r="AK437" s="10"/>
      <c r="AL437" s="10"/>
      <c r="AM437" s="10"/>
      <c r="AN437" s="314" t="str">
        <f>IFERROR(_xlfn.XLOOKUP($A437,Input_Raw!$E:$E,Input_Raw!$CY:$CY),"")</f>
        <v/>
      </c>
      <c r="AO437" s="312" t="str">
        <f>IFERROR((_xlfn.XLOOKUP($A437,'WTG Reactive Power'!$A:$A,'WTG Reactive Power'!AB:AB))/X437,"")</f>
        <v/>
      </c>
      <c r="AP437" s="312" t="str">
        <f>IFERROR(_xlfn.XLOOKUP($D437,'Modelling New'!$D:$D,'Modelling New'!AK:AK),"")</f>
        <v/>
      </c>
      <c r="AQ437" s="312" t="str">
        <f>IFERROR(_xlfn.XLOOKUP($D437,'Modelling New'!$D:$D,'Modelling New'!AL:AL),"")</f>
        <v/>
      </c>
      <c r="AR437" s="325" t="str">
        <f>IFERROR(_xlfn.XLOOKUP($D437,'Modelling New'!$D:$D,'Modelling New'!$N:$N),"")</f>
        <v/>
      </c>
      <c r="AS437" s="325"/>
    </row>
    <row r="438" spans="1:45">
      <c r="A438" s="32">
        <f t="shared" si="39"/>
        <v>46181</v>
      </c>
      <c r="B438" s="43">
        <f>YEAR(Table13[[#This Row],[Date]])+IF(MONTH(Table13[[#This Row],[Date]])&gt;=4,1,0)</f>
        <v>2027</v>
      </c>
      <c r="C438" s="10">
        <f>YEAR(Table13[[#This Row],[Date]])</f>
        <v>2026</v>
      </c>
      <c r="D438" s="309">
        <f>Table13[[#This Row],[Date]]-DAY(Table13[[#This Row],[Date]])+1</f>
        <v>46174</v>
      </c>
      <c r="E438" s="10">
        <f t="shared" si="35"/>
        <v>30</v>
      </c>
      <c r="F438" s="241" t="str">
        <f>IFERROR(_xlfn.XLOOKUP($A438,Input_Raw!$E:$E,Input_Raw!DC:DC),"")</f>
        <v/>
      </c>
      <c r="G438" s="313"/>
      <c r="H438" s="313"/>
      <c r="I438" s="313"/>
      <c r="J438" s="313"/>
      <c r="K438" s="243"/>
      <c r="L438" s="242"/>
      <c r="M438" s="242" t="str">
        <f>IFERROR(_xlfn.XLOOKUP($A438,Input_Raw!$E:$E,Input_Raw!$BM:$BM),"")</f>
        <v/>
      </c>
      <c r="N438" s="242" t="str">
        <f>IFERROR(_xlfn.XLOOKUP($A438,Input_Raw!$E:$E,Input_Raw!$BN:$BN),"")</f>
        <v/>
      </c>
      <c r="O438" s="311" t="str">
        <f t="shared" si="36"/>
        <v/>
      </c>
      <c r="P438" s="311" t="str">
        <f>IFERROR(1-SUMIF(WTG_BD!$F:$F,$A438,WTG_BD!$AA:$AA)/($AA438+SUMIF(WTG_BD!$F:$F,$A438,WTG_BD!$AA:$AA)),"")</f>
        <v/>
      </c>
      <c r="Q438" s="328" t="str">
        <f>IFERROR(1-SUMIF(IGA_BD!$F:$F,$A438,IGA_BD!$W:$W)/($AA438+SUMIF(IGA_BD!$F:$F,$A438,IGA_BD!$W:$W)),"")</f>
        <v/>
      </c>
      <c r="R438" s="47" t="str">
        <f>IFERROR(1-SUMIF(Grid_BD!$F:$F,$A438,Grid_BD!$Y:$Y)/($AA438+SUMIF(Grid_BD!$F:$F,$A438,Grid_BD!$Y:$Y)),"")</f>
        <v/>
      </c>
      <c r="S438" s="10"/>
      <c r="T438" s="310"/>
      <c r="U438" s="311"/>
      <c r="V438" s="10"/>
      <c r="W438" s="312" t="str">
        <f t="shared" si="37"/>
        <v/>
      </c>
      <c r="X438" s="10" t="str">
        <f>IFERROR(_xlfn.XLOOKUP($A438,Input_Raw!$E:$E,Input_Raw!BG:BG),"")</f>
        <v/>
      </c>
      <c r="Y438" s="10" t="str">
        <f>IFERROR(_xlfn.XLOOKUP($A438,Input_Raw!$E:$E,Input_Raw!DF:DF),"")</f>
        <v/>
      </c>
      <c r="Z438" s="319" t="str">
        <f>IFERROR(_xlfn.XLOOKUP(A438,Input_Raw!E:E,Input_Raw!CT:CT)/_xlfn.XLOOKUP(A438,Input_Raw!E:E,Input_Raw!CS:CS)*Table13[[#This Row],[Mtr_Export (kWh)]],"")</f>
        <v/>
      </c>
      <c r="AA438" s="43" t="str">
        <f t="shared" si="38"/>
        <v/>
      </c>
      <c r="AB438" s="10" t="str">
        <f>IFERROR(_xlfn.XLOOKUP($A438,Input_Raw!$E:$E,Input_Raw!$CZ:$CZ),"")</f>
        <v/>
      </c>
      <c r="AC438" s="313" t="str">
        <f>IFERROR(_xlfn.XLOOKUP($D438,'Modelling New'!$D:$D,'Modelling New'!$J:$J),"")</f>
        <v/>
      </c>
      <c r="AD438" s="43" t="str">
        <f>IFERROR(_xlfn.XLOOKUP($D438,'Modelling New'!$D:$D,'Modelling New'!$T:$T)*1000,"")</f>
        <v/>
      </c>
      <c r="AE438" s="312"/>
      <c r="AF438" s="312" t="str">
        <f>IFERROR(_xlfn.XLOOKUP($D438,'Modelling New'!$D:$D,'Modelling New'!$W:$W),"")</f>
        <v/>
      </c>
      <c r="AG438" s="312" t="str">
        <f>IFERROR(_xlfn.XLOOKUP($D438,'Modelling New'!$D:$D,'Modelling New'!$AE:$AE),"")</f>
        <v/>
      </c>
      <c r="AH438" s="312" t="str">
        <f>IFERROR(_xlfn.XLOOKUP($D438,'Modelling New'!$D:$D,'Modelling New'!$AF:$AF),"")</f>
        <v/>
      </c>
      <c r="AI438" s="10" t="str">
        <f>IFERROR(_xlfn.XLOOKUP($A438,Input_Raw!$E:$E,Input_Raw!$DG:$DG),"")</f>
        <v/>
      </c>
      <c r="AJ438" s="10"/>
      <c r="AK438" s="10"/>
      <c r="AL438" s="10"/>
      <c r="AM438" s="10"/>
      <c r="AN438" s="314" t="str">
        <f>IFERROR(_xlfn.XLOOKUP($A438,Input_Raw!$E:$E,Input_Raw!$CY:$CY),"")</f>
        <v/>
      </c>
      <c r="AO438" s="312" t="str">
        <f>IFERROR((_xlfn.XLOOKUP($A438,'WTG Reactive Power'!$A:$A,'WTG Reactive Power'!AB:AB))/X438,"")</f>
        <v/>
      </c>
      <c r="AP438" s="312" t="str">
        <f>IFERROR(_xlfn.XLOOKUP($D438,'Modelling New'!$D:$D,'Modelling New'!AK:AK),"")</f>
        <v/>
      </c>
      <c r="AQ438" s="312" t="str">
        <f>IFERROR(_xlfn.XLOOKUP($D438,'Modelling New'!$D:$D,'Modelling New'!AL:AL),"")</f>
        <v/>
      </c>
      <c r="AR438" s="325" t="str">
        <f>IFERROR(_xlfn.XLOOKUP($D438,'Modelling New'!$D:$D,'Modelling New'!$N:$N),"")</f>
        <v/>
      </c>
      <c r="AS438" s="325"/>
    </row>
    <row r="439" spans="1:45">
      <c r="A439" s="32">
        <f t="shared" si="39"/>
        <v>46182</v>
      </c>
      <c r="B439" s="43">
        <f>YEAR(Table13[[#This Row],[Date]])+IF(MONTH(Table13[[#This Row],[Date]])&gt;=4,1,0)</f>
        <v>2027</v>
      </c>
      <c r="C439" s="10">
        <f>YEAR(Table13[[#This Row],[Date]])</f>
        <v>2026</v>
      </c>
      <c r="D439" s="309">
        <f>Table13[[#This Row],[Date]]-DAY(Table13[[#This Row],[Date]])+1</f>
        <v>46174</v>
      </c>
      <c r="E439" s="10">
        <f t="shared" si="35"/>
        <v>30</v>
      </c>
      <c r="F439" s="241" t="str">
        <f>IFERROR(_xlfn.XLOOKUP($A439,Input_Raw!$E:$E,Input_Raw!DC:DC),"")</f>
        <v/>
      </c>
      <c r="G439" s="242"/>
      <c r="H439" s="242"/>
      <c r="I439" s="242"/>
      <c r="J439" s="242"/>
      <c r="K439" s="243"/>
      <c r="L439" s="242"/>
      <c r="M439" s="242" t="str">
        <f>IFERROR(_xlfn.XLOOKUP($A439,Input_Raw!$E:$E,Input_Raw!$BM:$BM),"")</f>
        <v/>
      </c>
      <c r="N439" s="242" t="str">
        <f>IFERROR(_xlfn.XLOOKUP($A439,Input_Raw!$E:$E,Input_Raw!$BN:$BN),"")</f>
        <v/>
      </c>
      <c r="O439" s="311" t="str">
        <f t="shared" si="36"/>
        <v/>
      </c>
      <c r="P439" s="311" t="str">
        <f>IFERROR(1-SUMIF(WTG_BD!$F:$F,$A439,WTG_BD!$AA:$AA)/($AA439+SUMIF(WTG_BD!$F:$F,$A439,WTG_BD!$AA:$AA)),"")</f>
        <v/>
      </c>
      <c r="Q439" s="328" t="str">
        <f>IFERROR(1-SUMIF(IGA_BD!$F:$F,$A439,IGA_BD!$W:$W)/($AA439+SUMIF(IGA_BD!$F:$F,$A439,IGA_BD!$W:$W)),"")</f>
        <v/>
      </c>
      <c r="R439" s="311" t="str">
        <f>IFERROR(1-SUMIF(Grid_BD!$F:$F,$A439,Grid_BD!$Y:$Y)/($AA439+SUMIF(Grid_BD!$F:$F,$A439,Grid_BD!$Y:$Y)),"")</f>
        <v/>
      </c>
      <c r="S439" s="10"/>
      <c r="T439" s="310"/>
      <c r="U439" s="311"/>
      <c r="V439" s="10"/>
      <c r="W439" s="312" t="str">
        <f t="shared" si="37"/>
        <v/>
      </c>
      <c r="X439" s="10" t="str">
        <f>IFERROR(_xlfn.XLOOKUP($A439,Input_Raw!$E:$E,Input_Raw!BG:BG),"")</f>
        <v/>
      </c>
      <c r="Y439" s="10" t="str">
        <f>IFERROR(_xlfn.XLOOKUP($A439,Input_Raw!$E:$E,Input_Raw!DF:DF),"")</f>
        <v/>
      </c>
      <c r="Z439" s="319" t="str">
        <f>IFERROR(_xlfn.XLOOKUP(A439,Input_Raw!E:E,Input_Raw!CT:CT)/_xlfn.XLOOKUP(A439,Input_Raw!E:E,Input_Raw!CS:CS)*Table13[[#This Row],[Mtr_Export (kWh)]],"")</f>
        <v/>
      </c>
      <c r="AA439" s="43" t="str">
        <f t="shared" si="38"/>
        <v/>
      </c>
      <c r="AB439" s="10" t="str">
        <f>IFERROR(_xlfn.XLOOKUP($A439,Input_Raw!$E:$E,Input_Raw!$CZ:$CZ),"")</f>
        <v/>
      </c>
      <c r="AC439" s="313" t="str">
        <f>IFERROR(_xlfn.XLOOKUP($D439,'Modelling New'!$D:$D,'Modelling New'!$J:$J),"")</f>
        <v/>
      </c>
      <c r="AD439" s="43" t="str">
        <f>IFERROR(_xlfn.XLOOKUP($D439,'Modelling New'!$D:$D,'Modelling New'!$T:$T)*1000,"")</f>
        <v/>
      </c>
      <c r="AE439" s="312"/>
      <c r="AF439" s="312" t="str">
        <f>IFERROR(_xlfn.XLOOKUP($D439,'Modelling New'!$D:$D,'Modelling New'!$W:$W),"")</f>
        <v/>
      </c>
      <c r="AG439" s="312" t="str">
        <f>IFERROR(_xlfn.XLOOKUP($D439,'Modelling New'!$D:$D,'Modelling New'!$AE:$AE),"")</f>
        <v/>
      </c>
      <c r="AH439" s="312" t="str">
        <f>IFERROR(_xlfn.XLOOKUP($D439,'Modelling New'!$D:$D,'Modelling New'!$AF:$AF),"")</f>
        <v/>
      </c>
      <c r="AI439" s="10" t="str">
        <f>IFERROR(_xlfn.XLOOKUP($A439,Input_Raw!$E:$E,Input_Raw!$DG:$DG),"")</f>
        <v/>
      </c>
      <c r="AJ439" s="10"/>
      <c r="AK439" s="10"/>
      <c r="AL439" s="10"/>
      <c r="AM439" s="10"/>
      <c r="AN439" s="314" t="str">
        <f>IFERROR(_xlfn.XLOOKUP($A439,Input_Raw!$E:$E,Input_Raw!$CY:$CY),"")</f>
        <v/>
      </c>
      <c r="AO439" s="312" t="str">
        <f>IFERROR((_xlfn.XLOOKUP($A439,'WTG Reactive Power'!$A:$A,'WTG Reactive Power'!AB:AB))/X439,"")</f>
        <v/>
      </c>
      <c r="AP439" s="312" t="str">
        <f>IFERROR(_xlfn.XLOOKUP($D439,'Modelling New'!$D:$D,'Modelling New'!AK:AK),"")</f>
        <v/>
      </c>
      <c r="AQ439" s="312" t="str">
        <f>IFERROR(_xlfn.XLOOKUP($D439,'Modelling New'!$D:$D,'Modelling New'!AL:AL),"")</f>
        <v/>
      </c>
      <c r="AR439" s="325" t="str">
        <f>IFERROR(_xlfn.XLOOKUP($D439,'Modelling New'!$D:$D,'Modelling New'!$N:$N),"")</f>
        <v/>
      </c>
      <c r="AS439" s="325"/>
    </row>
    <row r="440" spans="1:45">
      <c r="A440" s="32">
        <f t="shared" si="39"/>
        <v>46183</v>
      </c>
      <c r="B440" s="43">
        <f>YEAR(Table13[[#This Row],[Date]])+IF(MONTH(Table13[[#This Row],[Date]])&gt;=4,1,0)</f>
        <v>2027</v>
      </c>
      <c r="C440" s="10">
        <f>YEAR(Table13[[#This Row],[Date]])</f>
        <v>2026</v>
      </c>
      <c r="D440" s="309">
        <f>Table13[[#This Row],[Date]]-DAY(Table13[[#This Row],[Date]])+1</f>
        <v>46174</v>
      </c>
      <c r="E440" s="10">
        <f t="shared" si="35"/>
        <v>30</v>
      </c>
      <c r="F440" s="241" t="str">
        <f>IFERROR(_xlfn.XLOOKUP($A440,Input_Raw!$E:$E,Input_Raw!DC:DC),"")</f>
        <v/>
      </c>
      <c r="G440" s="313"/>
      <c r="H440" s="313"/>
      <c r="I440" s="313"/>
      <c r="J440" s="313"/>
      <c r="K440" s="243"/>
      <c r="L440" s="242"/>
      <c r="M440" s="242" t="str">
        <f>IFERROR(_xlfn.XLOOKUP($A440,Input_Raw!$E:$E,Input_Raw!$BM:$BM),"")</f>
        <v/>
      </c>
      <c r="N440" s="242" t="str">
        <f>IFERROR(_xlfn.XLOOKUP($A440,Input_Raw!$E:$E,Input_Raw!$BN:$BN),"")</f>
        <v/>
      </c>
      <c r="O440" s="311" t="str">
        <f t="shared" si="36"/>
        <v/>
      </c>
      <c r="P440" s="311" t="str">
        <f>IFERROR(1-SUMIF(WTG_BD!$F:$F,$A440,WTG_BD!$AA:$AA)/($AA440+SUMIF(WTG_BD!$F:$F,$A440,WTG_BD!$AA:$AA)),"")</f>
        <v/>
      </c>
      <c r="Q440" s="328" t="str">
        <f>IFERROR(1-SUMIF(IGA_BD!$F:$F,$A440,IGA_BD!$W:$W)/($AA440+SUMIF(IGA_BD!$F:$F,$A440,IGA_BD!$W:$W)),"")</f>
        <v/>
      </c>
      <c r="R440" s="47" t="str">
        <f>IFERROR(1-SUMIF(Grid_BD!$F:$F,$A440,Grid_BD!$Y:$Y)/($AA440+SUMIF(Grid_BD!$F:$F,$A440,Grid_BD!$Y:$Y)),"")</f>
        <v/>
      </c>
      <c r="S440" s="10"/>
      <c r="T440" s="310"/>
      <c r="U440" s="311"/>
      <c r="V440" s="10"/>
      <c r="W440" s="312" t="str">
        <f t="shared" si="37"/>
        <v/>
      </c>
      <c r="X440" s="10" t="str">
        <f>IFERROR(_xlfn.XLOOKUP($A440,Input_Raw!$E:$E,Input_Raw!BG:BG),"")</f>
        <v/>
      </c>
      <c r="Y440" s="10" t="str">
        <f>IFERROR(_xlfn.XLOOKUP($A440,Input_Raw!$E:$E,Input_Raw!DF:DF),"")</f>
        <v/>
      </c>
      <c r="Z440" s="319" t="str">
        <f>IFERROR(_xlfn.XLOOKUP(A440,Input_Raw!E:E,Input_Raw!CT:CT)/_xlfn.XLOOKUP(A440,Input_Raw!E:E,Input_Raw!CS:CS)*Table13[[#This Row],[Mtr_Export (kWh)]],"")</f>
        <v/>
      </c>
      <c r="AA440" s="43" t="str">
        <f t="shared" si="38"/>
        <v/>
      </c>
      <c r="AB440" s="10" t="str">
        <f>IFERROR(_xlfn.XLOOKUP($A440,Input_Raw!$E:$E,Input_Raw!$CZ:$CZ),"")</f>
        <v/>
      </c>
      <c r="AC440" s="313" t="str">
        <f>IFERROR(_xlfn.XLOOKUP($D440,'Modelling New'!$D:$D,'Modelling New'!$J:$J),"")</f>
        <v/>
      </c>
      <c r="AD440" s="43" t="str">
        <f>IFERROR(_xlfn.XLOOKUP($D440,'Modelling New'!$D:$D,'Modelling New'!$T:$T)*1000,"")</f>
        <v/>
      </c>
      <c r="AE440" s="312"/>
      <c r="AF440" s="312" t="str">
        <f>IFERROR(_xlfn.XLOOKUP($D440,'Modelling New'!$D:$D,'Modelling New'!$W:$W),"")</f>
        <v/>
      </c>
      <c r="AG440" s="312" t="str">
        <f>IFERROR(_xlfn.XLOOKUP($D440,'Modelling New'!$D:$D,'Modelling New'!$AE:$AE),"")</f>
        <v/>
      </c>
      <c r="AH440" s="312" t="str">
        <f>IFERROR(_xlfn.XLOOKUP($D440,'Modelling New'!$D:$D,'Modelling New'!$AF:$AF),"")</f>
        <v/>
      </c>
      <c r="AI440" s="10" t="str">
        <f>IFERROR(_xlfn.XLOOKUP($A440,Input_Raw!$E:$E,Input_Raw!$DG:$DG),"")</f>
        <v/>
      </c>
      <c r="AJ440" s="10"/>
      <c r="AK440" s="10"/>
      <c r="AL440" s="10"/>
      <c r="AM440" s="10"/>
      <c r="AN440" s="314" t="str">
        <f>IFERROR(_xlfn.XLOOKUP($A440,Input_Raw!$E:$E,Input_Raw!$CY:$CY),"")</f>
        <v/>
      </c>
      <c r="AO440" s="312" t="str">
        <f>IFERROR((_xlfn.XLOOKUP($A440,'WTG Reactive Power'!$A:$A,'WTG Reactive Power'!AB:AB))/X440,"")</f>
        <v/>
      </c>
      <c r="AP440" s="312" t="str">
        <f>IFERROR(_xlfn.XLOOKUP($D440,'Modelling New'!$D:$D,'Modelling New'!AK:AK),"")</f>
        <v/>
      </c>
      <c r="AQ440" s="312" t="str">
        <f>IFERROR(_xlfn.XLOOKUP($D440,'Modelling New'!$D:$D,'Modelling New'!AL:AL),"")</f>
        <v/>
      </c>
      <c r="AR440" s="325" t="str">
        <f>IFERROR(_xlfn.XLOOKUP($D440,'Modelling New'!$D:$D,'Modelling New'!$N:$N),"")</f>
        <v/>
      </c>
      <c r="AS440" s="325"/>
    </row>
    <row r="441" spans="1:45">
      <c r="A441" s="32">
        <f t="shared" si="39"/>
        <v>46184</v>
      </c>
      <c r="B441" s="43">
        <f>YEAR(Table13[[#This Row],[Date]])+IF(MONTH(Table13[[#This Row],[Date]])&gt;=4,1,0)</f>
        <v>2027</v>
      </c>
      <c r="C441" s="10">
        <f>YEAR(Table13[[#This Row],[Date]])</f>
        <v>2026</v>
      </c>
      <c r="D441" s="309">
        <f>Table13[[#This Row],[Date]]-DAY(Table13[[#This Row],[Date]])+1</f>
        <v>46174</v>
      </c>
      <c r="E441" s="10">
        <f t="shared" si="35"/>
        <v>30</v>
      </c>
      <c r="F441" s="241" t="str">
        <f>IFERROR(_xlfn.XLOOKUP($A441,Input_Raw!$E:$E,Input_Raw!DC:DC),"")</f>
        <v/>
      </c>
      <c r="G441" s="242"/>
      <c r="H441" s="242"/>
      <c r="I441" s="242"/>
      <c r="J441" s="242"/>
      <c r="K441" s="243"/>
      <c r="L441" s="242"/>
      <c r="M441" s="242" t="str">
        <f>IFERROR(_xlfn.XLOOKUP($A441,Input_Raw!$E:$E,Input_Raw!$BM:$BM),"")</f>
        <v/>
      </c>
      <c r="N441" s="242" t="str">
        <f>IFERROR(_xlfn.XLOOKUP($A441,Input_Raw!$E:$E,Input_Raw!$BN:$BN),"")</f>
        <v/>
      </c>
      <c r="O441" s="311" t="str">
        <f t="shared" si="36"/>
        <v/>
      </c>
      <c r="P441" s="311" t="str">
        <f>IFERROR(1-SUMIF(WTG_BD!$F:$F,$A441,WTG_BD!$AA:$AA)/($AA441+SUMIF(WTG_BD!$F:$F,$A441,WTG_BD!$AA:$AA)),"")</f>
        <v/>
      </c>
      <c r="Q441" s="328" t="str">
        <f>IFERROR(1-SUMIF(IGA_BD!$F:$F,$A441,IGA_BD!$W:$W)/($AA441+SUMIF(IGA_BD!$F:$F,$A441,IGA_BD!$W:$W)),"")</f>
        <v/>
      </c>
      <c r="R441" s="311" t="str">
        <f>IFERROR(1-SUMIF(Grid_BD!$F:$F,$A441,Grid_BD!$Y:$Y)/($AA441+SUMIF(Grid_BD!$F:$F,$A441,Grid_BD!$Y:$Y)),"")</f>
        <v/>
      </c>
      <c r="S441" s="10"/>
      <c r="T441" s="310"/>
      <c r="U441" s="311"/>
      <c r="V441" s="10"/>
      <c r="W441" s="312" t="str">
        <f t="shared" si="37"/>
        <v/>
      </c>
      <c r="X441" s="10" t="str">
        <f>IFERROR(_xlfn.XLOOKUP($A441,Input_Raw!$E:$E,Input_Raw!BG:BG),"")</f>
        <v/>
      </c>
      <c r="Y441" s="10" t="str">
        <f>IFERROR(_xlfn.XLOOKUP($A441,Input_Raw!$E:$E,Input_Raw!DF:DF),"")</f>
        <v/>
      </c>
      <c r="Z441" s="319" t="str">
        <f>IFERROR(_xlfn.XLOOKUP(A441,Input_Raw!E:E,Input_Raw!CT:CT)/_xlfn.XLOOKUP(A441,Input_Raw!E:E,Input_Raw!CS:CS)*Table13[[#This Row],[Mtr_Export (kWh)]],"")</f>
        <v/>
      </c>
      <c r="AA441" s="43" t="str">
        <f t="shared" si="38"/>
        <v/>
      </c>
      <c r="AB441" s="10" t="str">
        <f>IFERROR(_xlfn.XLOOKUP($A441,Input_Raw!$E:$E,Input_Raw!$CZ:$CZ),"")</f>
        <v/>
      </c>
      <c r="AC441" s="313" t="str">
        <f>IFERROR(_xlfn.XLOOKUP($D441,'Modelling New'!$D:$D,'Modelling New'!$J:$J),"")</f>
        <v/>
      </c>
      <c r="AD441" s="43" t="str">
        <f>IFERROR(_xlfn.XLOOKUP($D441,'Modelling New'!$D:$D,'Modelling New'!$T:$T)*1000,"")</f>
        <v/>
      </c>
      <c r="AE441" s="312"/>
      <c r="AF441" s="312" t="str">
        <f>IFERROR(_xlfn.XLOOKUP($D441,'Modelling New'!$D:$D,'Modelling New'!$W:$W),"")</f>
        <v/>
      </c>
      <c r="AG441" s="312" t="str">
        <f>IFERROR(_xlfn.XLOOKUP($D441,'Modelling New'!$D:$D,'Modelling New'!$AE:$AE),"")</f>
        <v/>
      </c>
      <c r="AH441" s="312" t="str">
        <f>IFERROR(_xlfn.XLOOKUP($D441,'Modelling New'!$D:$D,'Modelling New'!$AF:$AF),"")</f>
        <v/>
      </c>
      <c r="AI441" s="10" t="str">
        <f>IFERROR(_xlfn.XLOOKUP($A441,Input_Raw!$E:$E,Input_Raw!$DG:$DG),"")</f>
        <v/>
      </c>
      <c r="AJ441" s="10"/>
      <c r="AK441" s="10"/>
      <c r="AL441" s="10"/>
      <c r="AM441" s="10"/>
      <c r="AN441" s="314" t="str">
        <f>IFERROR(_xlfn.XLOOKUP($A441,Input_Raw!$E:$E,Input_Raw!$CY:$CY),"")</f>
        <v/>
      </c>
      <c r="AO441" s="312" t="str">
        <f>IFERROR((_xlfn.XLOOKUP($A441,'WTG Reactive Power'!$A:$A,'WTG Reactive Power'!AB:AB))/X441,"")</f>
        <v/>
      </c>
      <c r="AP441" s="312" t="str">
        <f>IFERROR(_xlfn.XLOOKUP($D441,'Modelling New'!$D:$D,'Modelling New'!AK:AK),"")</f>
        <v/>
      </c>
      <c r="AQ441" s="312" t="str">
        <f>IFERROR(_xlfn.XLOOKUP($D441,'Modelling New'!$D:$D,'Modelling New'!AL:AL),"")</f>
        <v/>
      </c>
      <c r="AR441" s="325" t="str">
        <f>IFERROR(_xlfn.XLOOKUP($D441,'Modelling New'!$D:$D,'Modelling New'!$N:$N),"")</f>
        <v/>
      </c>
      <c r="AS441" s="325"/>
    </row>
    <row r="442" spans="1:45">
      <c r="A442" s="32">
        <f t="shared" si="39"/>
        <v>46185</v>
      </c>
      <c r="B442" s="43">
        <f>YEAR(Table13[[#This Row],[Date]])+IF(MONTH(Table13[[#This Row],[Date]])&gt;=4,1,0)</f>
        <v>2027</v>
      </c>
      <c r="C442" s="10">
        <f>YEAR(Table13[[#This Row],[Date]])</f>
        <v>2026</v>
      </c>
      <c r="D442" s="309">
        <f>Table13[[#This Row],[Date]]-DAY(Table13[[#This Row],[Date]])+1</f>
        <v>46174</v>
      </c>
      <c r="E442" s="10">
        <f t="shared" si="35"/>
        <v>30</v>
      </c>
      <c r="F442" s="241" t="str">
        <f>IFERROR(_xlfn.XLOOKUP($A442,Input_Raw!$E:$E,Input_Raw!DC:DC),"")</f>
        <v/>
      </c>
      <c r="G442" s="313"/>
      <c r="H442" s="313"/>
      <c r="I442" s="313"/>
      <c r="J442" s="313"/>
      <c r="K442" s="243"/>
      <c r="L442" s="242"/>
      <c r="M442" s="242" t="str">
        <f>IFERROR(_xlfn.XLOOKUP($A442,Input_Raw!$E:$E,Input_Raw!$BM:$BM),"")</f>
        <v/>
      </c>
      <c r="N442" s="242" t="str">
        <f>IFERROR(_xlfn.XLOOKUP($A442,Input_Raw!$E:$E,Input_Raw!$BN:$BN),"")</f>
        <v/>
      </c>
      <c r="O442" s="311" t="str">
        <f t="shared" si="36"/>
        <v/>
      </c>
      <c r="P442" s="311" t="str">
        <f>IFERROR(1-SUMIF(WTG_BD!$F:$F,$A442,WTG_BD!$AA:$AA)/($AA442+SUMIF(WTG_BD!$F:$F,$A442,WTG_BD!$AA:$AA)),"")</f>
        <v/>
      </c>
      <c r="Q442" s="328" t="str">
        <f>IFERROR(1-SUMIF(IGA_BD!$F:$F,$A442,IGA_BD!$W:$W)/($AA442+SUMIF(IGA_BD!$F:$F,$A442,IGA_BD!$W:$W)),"")</f>
        <v/>
      </c>
      <c r="R442" s="47" t="str">
        <f>IFERROR(1-SUMIF(Grid_BD!$F:$F,$A442,Grid_BD!$Y:$Y)/($AA442+SUMIF(Grid_BD!$F:$F,$A442,Grid_BD!$Y:$Y)),"")</f>
        <v/>
      </c>
      <c r="S442" s="10"/>
      <c r="T442" s="310"/>
      <c r="U442" s="311"/>
      <c r="V442" s="10"/>
      <c r="W442" s="312" t="str">
        <f t="shared" si="37"/>
        <v/>
      </c>
      <c r="X442" s="10" t="str">
        <f>IFERROR(_xlfn.XLOOKUP($A442,Input_Raw!$E:$E,Input_Raw!BG:BG),"")</f>
        <v/>
      </c>
      <c r="Y442" s="10" t="str">
        <f>IFERROR(_xlfn.XLOOKUP($A442,Input_Raw!$E:$E,Input_Raw!DF:DF),"")</f>
        <v/>
      </c>
      <c r="Z442" s="319" t="str">
        <f>IFERROR(_xlfn.XLOOKUP(A442,Input_Raw!E:E,Input_Raw!CT:CT)/_xlfn.XLOOKUP(A442,Input_Raw!E:E,Input_Raw!CS:CS)*Table13[[#This Row],[Mtr_Export (kWh)]],"")</f>
        <v/>
      </c>
      <c r="AA442" s="43" t="str">
        <f t="shared" si="38"/>
        <v/>
      </c>
      <c r="AB442" s="10" t="str">
        <f>IFERROR(_xlfn.XLOOKUP($A442,Input_Raw!$E:$E,Input_Raw!$CZ:$CZ),"")</f>
        <v/>
      </c>
      <c r="AC442" s="313" t="str">
        <f>IFERROR(_xlfn.XLOOKUP($D442,'Modelling New'!$D:$D,'Modelling New'!$J:$J),"")</f>
        <v/>
      </c>
      <c r="AD442" s="43" t="str">
        <f>IFERROR(_xlfn.XLOOKUP($D442,'Modelling New'!$D:$D,'Modelling New'!$T:$T)*1000,"")</f>
        <v/>
      </c>
      <c r="AE442" s="312"/>
      <c r="AF442" s="312" t="str">
        <f>IFERROR(_xlfn.XLOOKUP($D442,'Modelling New'!$D:$D,'Modelling New'!$W:$W),"")</f>
        <v/>
      </c>
      <c r="AG442" s="312" t="str">
        <f>IFERROR(_xlfn.XLOOKUP($D442,'Modelling New'!$D:$D,'Modelling New'!$AE:$AE),"")</f>
        <v/>
      </c>
      <c r="AH442" s="312" t="str">
        <f>IFERROR(_xlfn.XLOOKUP($D442,'Modelling New'!$D:$D,'Modelling New'!$AF:$AF),"")</f>
        <v/>
      </c>
      <c r="AI442" s="10" t="str">
        <f>IFERROR(_xlfn.XLOOKUP($A442,Input_Raw!$E:$E,Input_Raw!$DG:$DG),"")</f>
        <v/>
      </c>
      <c r="AJ442" s="10"/>
      <c r="AK442" s="10"/>
      <c r="AL442" s="10"/>
      <c r="AM442" s="10"/>
      <c r="AN442" s="314" t="str">
        <f>IFERROR(_xlfn.XLOOKUP($A442,Input_Raw!$E:$E,Input_Raw!$CY:$CY),"")</f>
        <v/>
      </c>
      <c r="AO442" s="312" t="str">
        <f>IFERROR((_xlfn.XLOOKUP($A442,'WTG Reactive Power'!$A:$A,'WTG Reactive Power'!AB:AB))/X442,"")</f>
        <v/>
      </c>
      <c r="AP442" s="312" t="str">
        <f>IFERROR(_xlfn.XLOOKUP($D442,'Modelling New'!$D:$D,'Modelling New'!AK:AK),"")</f>
        <v/>
      </c>
      <c r="AQ442" s="312" t="str">
        <f>IFERROR(_xlfn.XLOOKUP($D442,'Modelling New'!$D:$D,'Modelling New'!AL:AL),"")</f>
        <v/>
      </c>
      <c r="AR442" s="325" t="str">
        <f>IFERROR(_xlfn.XLOOKUP($D442,'Modelling New'!$D:$D,'Modelling New'!$N:$N),"")</f>
        <v/>
      </c>
      <c r="AS442" s="325"/>
    </row>
    <row r="443" spans="1:45">
      <c r="A443" s="32">
        <f t="shared" si="39"/>
        <v>46186</v>
      </c>
      <c r="B443" s="43">
        <f>YEAR(Table13[[#This Row],[Date]])+IF(MONTH(Table13[[#This Row],[Date]])&gt;=4,1,0)</f>
        <v>2027</v>
      </c>
      <c r="C443" s="10">
        <f>YEAR(Table13[[#This Row],[Date]])</f>
        <v>2026</v>
      </c>
      <c r="D443" s="309">
        <f>Table13[[#This Row],[Date]]-DAY(Table13[[#This Row],[Date]])+1</f>
        <v>46174</v>
      </c>
      <c r="E443" s="10">
        <f t="shared" si="35"/>
        <v>30</v>
      </c>
      <c r="F443" s="241" t="str">
        <f>IFERROR(_xlfn.XLOOKUP($A443,Input_Raw!$E:$E,Input_Raw!DC:DC),"")</f>
        <v/>
      </c>
      <c r="G443" s="242"/>
      <c r="H443" s="242"/>
      <c r="I443" s="242"/>
      <c r="J443" s="242"/>
      <c r="K443" s="243"/>
      <c r="L443" s="242"/>
      <c r="M443" s="242" t="str">
        <f>IFERROR(_xlfn.XLOOKUP($A443,Input_Raw!$E:$E,Input_Raw!$BM:$BM),"")</f>
        <v/>
      </c>
      <c r="N443" s="242" t="str">
        <f>IFERROR(_xlfn.XLOOKUP($A443,Input_Raw!$E:$E,Input_Raw!$BN:$BN),"")</f>
        <v/>
      </c>
      <c r="O443" s="311" t="str">
        <f t="shared" si="36"/>
        <v/>
      </c>
      <c r="P443" s="311" t="str">
        <f>IFERROR(1-SUMIF(WTG_BD!$F:$F,$A443,WTG_BD!$AA:$AA)/($AA443+SUMIF(WTG_BD!$F:$F,$A443,WTG_BD!$AA:$AA)),"")</f>
        <v/>
      </c>
      <c r="Q443" s="328" t="str">
        <f>IFERROR(1-SUMIF(IGA_BD!$F:$F,$A443,IGA_BD!$W:$W)/($AA443+SUMIF(IGA_BD!$F:$F,$A443,IGA_BD!$W:$W)),"")</f>
        <v/>
      </c>
      <c r="R443" s="311" t="str">
        <f>IFERROR(1-SUMIF(Grid_BD!$F:$F,$A443,Grid_BD!$Y:$Y)/($AA443+SUMIF(Grid_BD!$F:$F,$A443,Grid_BD!$Y:$Y)),"")</f>
        <v/>
      </c>
      <c r="S443" s="10"/>
      <c r="T443" s="310"/>
      <c r="U443" s="311"/>
      <c r="V443" s="10"/>
      <c r="W443" s="312" t="str">
        <f t="shared" si="37"/>
        <v/>
      </c>
      <c r="X443" s="10" t="str">
        <f>IFERROR(_xlfn.XLOOKUP($A443,Input_Raw!$E:$E,Input_Raw!BG:BG),"")</f>
        <v/>
      </c>
      <c r="Y443" s="10" t="str">
        <f>IFERROR(_xlfn.XLOOKUP($A443,Input_Raw!$E:$E,Input_Raw!DF:DF),"")</f>
        <v/>
      </c>
      <c r="Z443" s="319" t="str">
        <f>IFERROR(_xlfn.XLOOKUP(A443,Input_Raw!E:E,Input_Raw!CT:CT)/_xlfn.XLOOKUP(A443,Input_Raw!E:E,Input_Raw!CS:CS)*Table13[[#This Row],[Mtr_Export (kWh)]],"")</f>
        <v/>
      </c>
      <c r="AA443" s="43" t="str">
        <f t="shared" si="38"/>
        <v/>
      </c>
      <c r="AB443" s="10" t="str">
        <f>IFERROR(_xlfn.XLOOKUP($A443,Input_Raw!$E:$E,Input_Raw!$CZ:$CZ),"")</f>
        <v/>
      </c>
      <c r="AC443" s="313" t="str">
        <f>IFERROR(_xlfn.XLOOKUP($D443,'Modelling New'!$D:$D,'Modelling New'!$J:$J),"")</f>
        <v/>
      </c>
      <c r="AD443" s="43" t="str">
        <f>IFERROR(_xlfn.XLOOKUP($D443,'Modelling New'!$D:$D,'Modelling New'!$T:$T)*1000,"")</f>
        <v/>
      </c>
      <c r="AE443" s="312"/>
      <c r="AF443" s="312" t="str">
        <f>IFERROR(_xlfn.XLOOKUP($D443,'Modelling New'!$D:$D,'Modelling New'!$W:$W),"")</f>
        <v/>
      </c>
      <c r="AG443" s="312" t="str">
        <f>IFERROR(_xlfn.XLOOKUP($D443,'Modelling New'!$D:$D,'Modelling New'!$AE:$AE),"")</f>
        <v/>
      </c>
      <c r="AH443" s="312" t="str">
        <f>IFERROR(_xlfn.XLOOKUP($D443,'Modelling New'!$D:$D,'Modelling New'!$AF:$AF),"")</f>
        <v/>
      </c>
      <c r="AI443" s="10" t="str">
        <f>IFERROR(_xlfn.XLOOKUP($A443,Input_Raw!$E:$E,Input_Raw!$DG:$DG),"")</f>
        <v/>
      </c>
      <c r="AJ443" s="10"/>
      <c r="AK443" s="10"/>
      <c r="AL443" s="10"/>
      <c r="AM443" s="10"/>
      <c r="AN443" s="314" t="str">
        <f>IFERROR(_xlfn.XLOOKUP($A443,Input_Raw!$E:$E,Input_Raw!$CY:$CY),"")</f>
        <v/>
      </c>
      <c r="AO443" s="312" t="str">
        <f>IFERROR((_xlfn.XLOOKUP($A443,'WTG Reactive Power'!$A:$A,'WTG Reactive Power'!AB:AB))/X443,"")</f>
        <v/>
      </c>
      <c r="AP443" s="312" t="str">
        <f>IFERROR(_xlfn.XLOOKUP($D443,'Modelling New'!$D:$D,'Modelling New'!AK:AK),"")</f>
        <v/>
      </c>
      <c r="AQ443" s="312" t="str">
        <f>IFERROR(_xlfn.XLOOKUP($D443,'Modelling New'!$D:$D,'Modelling New'!AL:AL),"")</f>
        <v/>
      </c>
      <c r="AR443" s="325" t="str">
        <f>IFERROR(_xlfn.XLOOKUP($D443,'Modelling New'!$D:$D,'Modelling New'!$N:$N),"")</f>
        <v/>
      </c>
      <c r="AS443" s="325"/>
    </row>
    <row r="444" spans="1:45">
      <c r="A444" s="32">
        <f t="shared" si="39"/>
        <v>46187</v>
      </c>
      <c r="B444" s="43">
        <f>YEAR(Table13[[#This Row],[Date]])+IF(MONTH(Table13[[#This Row],[Date]])&gt;=4,1,0)</f>
        <v>2027</v>
      </c>
      <c r="C444" s="10">
        <f>YEAR(Table13[[#This Row],[Date]])</f>
        <v>2026</v>
      </c>
      <c r="D444" s="309">
        <f>Table13[[#This Row],[Date]]-DAY(Table13[[#This Row],[Date]])+1</f>
        <v>46174</v>
      </c>
      <c r="E444" s="10">
        <f t="shared" si="35"/>
        <v>30</v>
      </c>
      <c r="F444" s="241" t="str">
        <f>IFERROR(_xlfn.XLOOKUP($A444,Input_Raw!$E:$E,Input_Raw!DC:DC),"")</f>
        <v/>
      </c>
      <c r="G444" s="313"/>
      <c r="H444" s="313"/>
      <c r="I444" s="313"/>
      <c r="J444" s="313"/>
      <c r="K444" s="243"/>
      <c r="L444" s="242"/>
      <c r="M444" s="242" t="str">
        <f>IFERROR(_xlfn.XLOOKUP($A444,Input_Raw!$E:$E,Input_Raw!$BM:$BM),"")</f>
        <v/>
      </c>
      <c r="N444" s="242" t="str">
        <f>IFERROR(_xlfn.XLOOKUP($A444,Input_Raw!$E:$E,Input_Raw!$BN:$BN),"")</f>
        <v/>
      </c>
      <c r="O444" s="311" t="str">
        <f t="shared" si="36"/>
        <v/>
      </c>
      <c r="P444" s="311" t="str">
        <f>IFERROR(1-SUMIF(WTG_BD!$F:$F,$A444,WTG_BD!$AA:$AA)/($AA444+SUMIF(WTG_BD!$F:$F,$A444,WTG_BD!$AA:$AA)),"")</f>
        <v/>
      </c>
      <c r="Q444" s="328" t="str">
        <f>IFERROR(1-SUMIF(IGA_BD!$F:$F,$A444,IGA_BD!$W:$W)/($AA444+SUMIF(IGA_BD!$F:$F,$A444,IGA_BD!$W:$W)),"")</f>
        <v/>
      </c>
      <c r="R444" s="47" t="str">
        <f>IFERROR(1-SUMIF(Grid_BD!$F:$F,$A444,Grid_BD!$Y:$Y)/($AA444+SUMIF(Grid_BD!$F:$F,$A444,Grid_BD!$Y:$Y)),"")</f>
        <v/>
      </c>
      <c r="S444" s="10"/>
      <c r="T444" s="310"/>
      <c r="U444" s="311"/>
      <c r="V444" s="10"/>
      <c r="W444" s="312" t="str">
        <f t="shared" si="37"/>
        <v/>
      </c>
      <c r="X444" s="10" t="str">
        <f>IFERROR(_xlfn.XLOOKUP($A444,Input_Raw!$E:$E,Input_Raw!BG:BG),"")</f>
        <v/>
      </c>
      <c r="Y444" s="10" t="str">
        <f>IFERROR(_xlfn.XLOOKUP($A444,Input_Raw!$E:$E,Input_Raw!DF:DF),"")</f>
        <v/>
      </c>
      <c r="Z444" s="319" t="str">
        <f>IFERROR(_xlfn.XLOOKUP(A444,Input_Raw!E:E,Input_Raw!CT:CT)/_xlfn.XLOOKUP(A444,Input_Raw!E:E,Input_Raw!CS:CS)*Table13[[#This Row],[Mtr_Export (kWh)]],"")</f>
        <v/>
      </c>
      <c r="AA444" s="43" t="str">
        <f t="shared" si="38"/>
        <v/>
      </c>
      <c r="AB444" s="10" t="str">
        <f>IFERROR(_xlfn.XLOOKUP($A444,Input_Raw!$E:$E,Input_Raw!$CZ:$CZ),"")</f>
        <v/>
      </c>
      <c r="AC444" s="313" t="str">
        <f>IFERROR(_xlfn.XLOOKUP($D444,'Modelling New'!$D:$D,'Modelling New'!$J:$J),"")</f>
        <v/>
      </c>
      <c r="AD444" s="43" t="str">
        <f>IFERROR(_xlfn.XLOOKUP($D444,'Modelling New'!$D:$D,'Modelling New'!$T:$T)*1000,"")</f>
        <v/>
      </c>
      <c r="AE444" s="312"/>
      <c r="AF444" s="312" t="str">
        <f>IFERROR(_xlfn.XLOOKUP($D444,'Modelling New'!$D:$D,'Modelling New'!$W:$W),"")</f>
        <v/>
      </c>
      <c r="AG444" s="312" t="str">
        <f>IFERROR(_xlfn.XLOOKUP($D444,'Modelling New'!$D:$D,'Modelling New'!$AE:$AE),"")</f>
        <v/>
      </c>
      <c r="AH444" s="312" t="str">
        <f>IFERROR(_xlfn.XLOOKUP($D444,'Modelling New'!$D:$D,'Modelling New'!$AF:$AF),"")</f>
        <v/>
      </c>
      <c r="AI444" s="10" t="str">
        <f>IFERROR(_xlfn.XLOOKUP($A444,Input_Raw!$E:$E,Input_Raw!$DG:$DG),"")</f>
        <v/>
      </c>
      <c r="AJ444" s="10"/>
      <c r="AK444" s="10"/>
      <c r="AL444" s="10"/>
      <c r="AM444" s="10"/>
      <c r="AN444" s="314" t="str">
        <f>IFERROR(_xlfn.XLOOKUP($A444,Input_Raw!$E:$E,Input_Raw!$CY:$CY),"")</f>
        <v/>
      </c>
      <c r="AO444" s="312" t="str">
        <f>IFERROR((_xlfn.XLOOKUP($A444,'WTG Reactive Power'!$A:$A,'WTG Reactive Power'!AB:AB))/X444,"")</f>
        <v/>
      </c>
      <c r="AP444" s="312" t="str">
        <f>IFERROR(_xlfn.XLOOKUP($D444,'Modelling New'!$D:$D,'Modelling New'!AK:AK),"")</f>
        <v/>
      </c>
      <c r="AQ444" s="312" t="str">
        <f>IFERROR(_xlfn.XLOOKUP($D444,'Modelling New'!$D:$D,'Modelling New'!AL:AL),"")</f>
        <v/>
      </c>
      <c r="AR444" s="325" t="str">
        <f>IFERROR(_xlfn.XLOOKUP($D444,'Modelling New'!$D:$D,'Modelling New'!$N:$N),"")</f>
        <v/>
      </c>
      <c r="AS444" s="325"/>
    </row>
    <row r="445" spans="1:45">
      <c r="A445" s="32">
        <f t="shared" si="39"/>
        <v>46188</v>
      </c>
      <c r="B445" s="43">
        <f>YEAR(Table13[[#This Row],[Date]])+IF(MONTH(Table13[[#This Row],[Date]])&gt;=4,1,0)</f>
        <v>2027</v>
      </c>
      <c r="C445" s="10">
        <f>YEAR(Table13[[#This Row],[Date]])</f>
        <v>2026</v>
      </c>
      <c r="D445" s="309">
        <f>Table13[[#This Row],[Date]]-DAY(Table13[[#This Row],[Date]])+1</f>
        <v>46174</v>
      </c>
      <c r="E445" s="10">
        <f t="shared" si="35"/>
        <v>30</v>
      </c>
      <c r="F445" s="241" t="str">
        <f>IFERROR(_xlfn.XLOOKUP($A445,Input_Raw!$E:$E,Input_Raw!DC:DC),"")</f>
        <v/>
      </c>
      <c r="G445" s="242"/>
      <c r="H445" s="242"/>
      <c r="I445" s="242"/>
      <c r="J445" s="242"/>
      <c r="K445" s="243"/>
      <c r="L445" s="242"/>
      <c r="M445" s="242" t="str">
        <f>IFERROR(_xlfn.XLOOKUP($A445,Input_Raw!$E:$E,Input_Raw!$BM:$BM),"")</f>
        <v/>
      </c>
      <c r="N445" s="242" t="str">
        <f>IFERROR(_xlfn.XLOOKUP($A445,Input_Raw!$E:$E,Input_Raw!$BN:$BN),"")</f>
        <v/>
      </c>
      <c r="O445" s="311" t="str">
        <f t="shared" si="36"/>
        <v/>
      </c>
      <c r="P445" s="311" t="str">
        <f>IFERROR(1-SUMIF(WTG_BD!$F:$F,$A445,WTG_BD!$AA:$AA)/($AA445+SUMIF(WTG_BD!$F:$F,$A445,WTG_BD!$AA:$AA)),"")</f>
        <v/>
      </c>
      <c r="Q445" s="328" t="str">
        <f>IFERROR(1-SUMIF(IGA_BD!$F:$F,$A445,IGA_BD!$W:$W)/($AA445+SUMIF(IGA_BD!$F:$F,$A445,IGA_BD!$W:$W)),"")</f>
        <v/>
      </c>
      <c r="R445" s="311" t="str">
        <f>IFERROR(1-SUMIF(Grid_BD!$F:$F,$A445,Grid_BD!$Y:$Y)/($AA445+SUMIF(Grid_BD!$F:$F,$A445,Grid_BD!$Y:$Y)),"")</f>
        <v/>
      </c>
      <c r="S445" s="10"/>
      <c r="T445" s="310"/>
      <c r="U445" s="311"/>
      <c r="V445" s="10"/>
      <c r="W445" s="312" t="str">
        <f t="shared" si="37"/>
        <v/>
      </c>
      <c r="X445" s="10" t="str">
        <f>IFERROR(_xlfn.XLOOKUP($A445,Input_Raw!$E:$E,Input_Raw!BG:BG),"")</f>
        <v/>
      </c>
      <c r="Y445" s="10" t="str">
        <f>IFERROR(_xlfn.XLOOKUP($A445,Input_Raw!$E:$E,Input_Raw!DF:DF),"")</f>
        <v/>
      </c>
      <c r="Z445" s="319" t="str">
        <f>IFERROR(_xlfn.XLOOKUP(A445,Input_Raw!E:E,Input_Raw!CT:CT)/_xlfn.XLOOKUP(A445,Input_Raw!E:E,Input_Raw!CS:CS)*Table13[[#This Row],[Mtr_Export (kWh)]],"")</f>
        <v/>
      </c>
      <c r="AA445" s="43" t="str">
        <f t="shared" si="38"/>
        <v/>
      </c>
      <c r="AB445" s="10" t="str">
        <f>IFERROR(_xlfn.XLOOKUP($A445,Input_Raw!$E:$E,Input_Raw!$CZ:$CZ),"")</f>
        <v/>
      </c>
      <c r="AC445" s="313" t="str">
        <f>IFERROR(_xlfn.XLOOKUP($D445,'Modelling New'!$D:$D,'Modelling New'!$J:$J),"")</f>
        <v/>
      </c>
      <c r="AD445" s="43" t="str">
        <f>IFERROR(_xlfn.XLOOKUP($D445,'Modelling New'!$D:$D,'Modelling New'!$T:$T)*1000,"")</f>
        <v/>
      </c>
      <c r="AE445" s="312"/>
      <c r="AF445" s="312" t="str">
        <f>IFERROR(_xlfn.XLOOKUP($D445,'Modelling New'!$D:$D,'Modelling New'!$W:$W),"")</f>
        <v/>
      </c>
      <c r="AG445" s="312" t="str">
        <f>IFERROR(_xlfn.XLOOKUP($D445,'Modelling New'!$D:$D,'Modelling New'!$AE:$AE),"")</f>
        <v/>
      </c>
      <c r="AH445" s="312" t="str">
        <f>IFERROR(_xlfn.XLOOKUP($D445,'Modelling New'!$D:$D,'Modelling New'!$AF:$AF),"")</f>
        <v/>
      </c>
      <c r="AI445" s="10" t="str">
        <f>IFERROR(_xlfn.XLOOKUP($A445,Input_Raw!$E:$E,Input_Raw!$DG:$DG),"")</f>
        <v/>
      </c>
      <c r="AJ445" s="10"/>
      <c r="AK445" s="10"/>
      <c r="AL445" s="10"/>
      <c r="AM445" s="10"/>
      <c r="AN445" s="314" t="str">
        <f>IFERROR(_xlfn.XLOOKUP($A445,Input_Raw!$E:$E,Input_Raw!$CY:$CY),"")</f>
        <v/>
      </c>
      <c r="AO445" s="312" t="str">
        <f>IFERROR((_xlfn.XLOOKUP($A445,'WTG Reactive Power'!$A:$A,'WTG Reactive Power'!AB:AB))/X445,"")</f>
        <v/>
      </c>
      <c r="AP445" s="312" t="str">
        <f>IFERROR(_xlfn.XLOOKUP($D445,'Modelling New'!$D:$D,'Modelling New'!AK:AK),"")</f>
        <v/>
      </c>
      <c r="AQ445" s="312" t="str">
        <f>IFERROR(_xlfn.XLOOKUP($D445,'Modelling New'!$D:$D,'Modelling New'!AL:AL),"")</f>
        <v/>
      </c>
      <c r="AR445" s="325" t="str">
        <f>IFERROR(_xlfn.XLOOKUP($D445,'Modelling New'!$D:$D,'Modelling New'!$N:$N),"")</f>
        <v/>
      </c>
      <c r="AS445" s="325"/>
    </row>
    <row r="446" spans="1:45">
      <c r="A446" s="32">
        <f t="shared" si="39"/>
        <v>46189</v>
      </c>
      <c r="B446" s="43">
        <f>YEAR(Table13[[#This Row],[Date]])+IF(MONTH(Table13[[#This Row],[Date]])&gt;=4,1,0)</f>
        <v>2027</v>
      </c>
      <c r="C446" s="10">
        <f>YEAR(Table13[[#This Row],[Date]])</f>
        <v>2026</v>
      </c>
      <c r="D446" s="309">
        <f>Table13[[#This Row],[Date]]-DAY(Table13[[#This Row],[Date]])+1</f>
        <v>46174</v>
      </c>
      <c r="E446" s="10">
        <f t="shared" si="35"/>
        <v>30</v>
      </c>
      <c r="F446" s="241" t="str">
        <f>IFERROR(_xlfn.XLOOKUP($A446,Input_Raw!$E:$E,Input_Raw!DC:DC),"")</f>
        <v/>
      </c>
      <c r="G446" s="313"/>
      <c r="H446" s="313"/>
      <c r="I446" s="313"/>
      <c r="J446" s="313"/>
      <c r="K446" s="243"/>
      <c r="L446" s="242"/>
      <c r="M446" s="242" t="str">
        <f>IFERROR(_xlfn.XLOOKUP($A446,Input_Raw!$E:$E,Input_Raw!$BM:$BM),"")</f>
        <v/>
      </c>
      <c r="N446" s="242" t="str">
        <f>IFERROR(_xlfn.XLOOKUP($A446,Input_Raw!$E:$E,Input_Raw!$BN:$BN),"")</f>
        <v/>
      </c>
      <c r="O446" s="311" t="str">
        <f t="shared" si="36"/>
        <v/>
      </c>
      <c r="P446" s="311" t="str">
        <f>IFERROR(1-SUMIF(WTG_BD!$F:$F,$A446,WTG_BD!$AA:$AA)/($AA446+SUMIF(WTG_BD!$F:$F,$A446,WTG_BD!$AA:$AA)),"")</f>
        <v/>
      </c>
      <c r="Q446" s="328" t="str">
        <f>IFERROR(1-SUMIF(IGA_BD!$F:$F,$A446,IGA_BD!$W:$W)/($AA446+SUMIF(IGA_BD!$F:$F,$A446,IGA_BD!$W:$W)),"")</f>
        <v/>
      </c>
      <c r="R446" s="47" t="str">
        <f>IFERROR(1-SUMIF(Grid_BD!$F:$F,$A446,Grid_BD!$Y:$Y)/($AA446+SUMIF(Grid_BD!$F:$F,$A446,Grid_BD!$Y:$Y)),"")</f>
        <v/>
      </c>
      <c r="S446" s="10"/>
      <c r="T446" s="310"/>
      <c r="U446" s="311"/>
      <c r="V446" s="10"/>
      <c r="W446" s="312" t="str">
        <f t="shared" si="37"/>
        <v/>
      </c>
      <c r="X446" s="10" t="str">
        <f>IFERROR(_xlfn.XLOOKUP($A446,Input_Raw!$E:$E,Input_Raw!BG:BG),"")</f>
        <v/>
      </c>
      <c r="Y446" s="10" t="str">
        <f>IFERROR(_xlfn.XLOOKUP($A446,Input_Raw!$E:$E,Input_Raw!DF:DF),"")</f>
        <v/>
      </c>
      <c r="Z446" s="319" t="str">
        <f>IFERROR(_xlfn.XLOOKUP(A446,Input_Raw!E:E,Input_Raw!CT:CT)/_xlfn.XLOOKUP(A446,Input_Raw!E:E,Input_Raw!CS:CS)*Table13[[#This Row],[Mtr_Export (kWh)]],"")</f>
        <v/>
      </c>
      <c r="AA446" s="43" t="str">
        <f t="shared" si="38"/>
        <v/>
      </c>
      <c r="AB446" s="10" t="str">
        <f>IFERROR(_xlfn.XLOOKUP($A446,Input_Raw!$E:$E,Input_Raw!$CZ:$CZ),"")</f>
        <v/>
      </c>
      <c r="AC446" s="313" t="str">
        <f>IFERROR(_xlfn.XLOOKUP($D446,'Modelling New'!$D:$D,'Modelling New'!$J:$J),"")</f>
        <v/>
      </c>
      <c r="AD446" s="43" t="str">
        <f>IFERROR(_xlfn.XLOOKUP($D446,'Modelling New'!$D:$D,'Modelling New'!$T:$T)*1000,"")</f>
        <v/>
      </c>
      <c r="AE446" s="312"/>
      <c r="AF446" s="312" t="str">
        <f>IFERROR(_xlfn.XLOOKUP($D446,'Modelling New'!$D:$D,'Modelling New'!$W:$W),"")</f>
        <v/>
      </c>
      <c r="AG446" s="312" t="str">
        <f>IFERROR(_xlfn.XLOOKUP($D446,'Modelling New'!$D:$D,'Modelling New'!$AE:$AE),"")</f>
        <v/>
      </c>
      <c r="AH446" s="312" t="str">
        <f>IFERROR(_xlfn.XLOOKUP($D446,'Modelling New'!$D:$D,'Modelling New'!$AF:$AF),"")</f>
        <v/>
      </c>
      <c r="AI446" s="10" t="str">
        <f>IFERROR(_xlfn.XLOOKUP($A446,Input_Raw!$E:$E,Input_Raw!$DG:$DG),"")</f>
        <v/>
      </c>
      <c r="AJ446" s="10"/>
      <c r="AK446" s="10"/>
      <c r="AL446" s="10"/>
      <c r="AM446" s="10"/>
      <c r="AN446" s="314" t="str">
        <f>IFERROR(_xlfn.XLOOKUP($A446,Input_Raw!$E:$E,Input_Raw!$CY:$CY),"")</f>
        <v/>
      </c>
      <c r="AO446" s="312" t="str">
        <f>IFERROR((_xlfn.XLOOKUP($A446,'WTG Reactive Power'!$A:$A,'WTG Reactive Power'!AB:AB))/X446,"")</f>
        <v/>
      </c>
      <c r="AP446" s="312" t="str">
        <f>IFERROR(_xlfn.XLOOKUP($D446,'Modelling New'!$D:$D,'Modelling New'!AK:AK),"")</f>
        <v/>
      </c>
      <c r="AQ446" s="312" t="str">
        <f>IFERROR(_xlfn.XLOOKUP($D446,'Modelling New'!$D:$D,'Modelling New'!AL:AL),"")</f>
        <v/>
      </c>
      <c r="AR446" s="325" t="str">
        <f>IFERROR(_xlfn.XLOOKUP($D446,'Modelling New'!$D:$D,'Modelling New'!$N:$N),"")</f>
        <v/>
      </c>
      <c r="AS446" s="325"/>
    </row>
    <row r="447" spans="1:45">
      <c r="A447" s="32">
        <f t="shared" si="39"/>
        <v>46190</v>
      </c>
      <c r="B447" s="43">
        <f>YEAR(Table13[[#This Row],[Date]])+IF(MONTH(Table13[[#This Row],[Date]])&gt;=4,1,0)</f>
        <v>2027</v>
      </c>
      <c r="C447" s="10">
        <f>YEAR(Table13[[#This Row],[Date]])</f>
        <v>2026</v>
      </c>
      <c r="D447" s="309">
        <f>Table13[[#This Row],[Date]]-DAY(Table13[[#This Row],[Date]])+1</f>
        <v>46174</v>
      </c>
      <c r="E447" s="10">
        <f t="shared" si="35"/>
        <v>30</v>
      </c>
      <c r="F447" s="241" t="str">
        <f>IFERROR(_xlfn.XLOOKUP($A447,Input_Raw!$E:$E,Input_Raw!DC:DC),"")</f>
        <v/>
      </c>
      <c r="G447" s="242"/>
      <c r="H447" s="242"/>
      <c r="I447" s="242"/>
      <c r="J447" s="242"/>
      <c r="K447" s="243"/>
      <c r="L447" s="242"/>
      <c r="M447" s="242" t="str">
        <f>IFERROR(_xlfn.XLOOKUP($A447,Input_Raw!$E:$E,Input_Raw!$BM:$BM),"")</f>
        <v/>
      </c>
      <c r="N447" s="242" t="str">
        <f>IFERROR(_xlfn.XLOOKUP($A447,Input_Raw!$E:$E,Input_Raw!$BN:$BN),"")</f>
        <v/>
      </c>
      <c r="O447" s="311" t="str">
        <f t="shared" si="36"/>
        <v/>
      </c>
      <c r="P447" s="311" t="str">
        <f>IFERROR(1-SUMIF(WTG_BD!$F:$F,$A447,WTG_BD!$AA:$AA)/($AA447+SUMIF(WTG_BD!$F:$F,$A447,WTG_BD!$AA:$AA)),"")</f>
        <v/>
      </c>
      <c r="Q447" s="328" t="str">
        <f>IFERROR(1-SUMIF(IGA_BD!$F:$F,$A447,IGA_BD!$W:$W)/($AA447+SUMIF(IGA_BD!$F:$F,$A447,IGA_BD!$W:$W)),"")</f>
        <v/>
      </c>
      <c r="R447" s="311" t="str">
        <f>IFERROR(1-SUMIF(Grid_BD!$F:$F,$A447,Grid_BD!$Y:$Y)/($AA447+SUMIF(Grid_BD!$F:$F,$A447,Grid_BD!$Y:$Y)),"")</f>
        <v/>
      </c>
      <c r="S447" s="10"/>
      <c r="T447" s="310"/>
      <c r="U447" s="311"/>
      <c r="V447" s="10"/>
      <c r="W447" s="312" t="str">
        <f t="shared" si="37"/>
        <v/>
      </c>
      <c r="X447" s="10" t="str">
        <f>IFERROR(_xlfn.XLOOKUP($A447,Input_Raw!$E:$E,Input_Raw!BG:BG),"")</f>
        <v/>
      </c>
      <c r="Y447" s="10" t="str">
        <f>IFERROR(_xlfn.XLOOKUP($A447,Input_Raw!$E:$E,Input_Raw!DF:DF),"")</f>
        <v/>
      </c>
      <c r="Z447" s="319" t="str">
        <f>IFERROR(_xlfn.XLOOKUP(A447,Input_Raw!E:E,Input_Raw!CT:CT)/_xlfn.XLOOKUP(A447,Input_Raw!E:E,Input_Raw!CS:CS)*Table13[[#This Row],[Mtr_Export (kWh)]],"")</f>
        <v/>
      </c>
      <c r="AA447" s="43" t="str">
        <f t="shared" si="38"/>
        <v/>
      </c>
      <c r="AB447" s="10" t="str">
        <f>IFERROR(_xlfn.XLOOKUP($A447,Input_Raw!$E:$E,Input_Raw!$CZ:$CZ),"")</f>
        <v/>
      </c>
      <c r="AC447" s="313" t="str">
        <f>IFERROR(_xlfn.XLOOKUP($D447,'Modelling New'!$D:$D,'Modelling New'!$J:$J),"")</f>
        <v/>
      </c>
      <c r="AD447" s="43" t="str">
        <f>IFERROR(_xlfn.XLOOKUP($D447,'Modelling New'!$D:$D,'Modelling New'!$T:$T)*1000,"")</f>
        <v/>
      </c>
      <c r="AE447" s="312"/>
      <c r="AF447" s="312" t="str">
        <f>IFERROR(_xlfn.XLOOKUP($D447,'Modelling New'!$D:$D,'Modelling New'!$W:$W),"")</f>
        <v/>
      </c>
      <c r="AG447" s="312" t="str">
        <f>IFERROR(_xlfn.XLOOKUP($D447,'Modelling New'!$D:$D,'Modelling New'!$AE:$AE),"")</f>
        <v/>
      </c>
      <c r="AH447" s="312" t="str">
        <f>IFERROR(_xlfn.XLOOKUP($D447,'Modelling New'!$D:$D,'Modelling New'!$AF:$AF),"")</f>
        <v/>
      </c>
      <c r="AI447" s="10" t="str">
        <f>IFERROR(_xlfn.XLOOKUP($A447,Input_Raw!$E:$E,Input_Raw!$DG:$DG),"")</f>
        <v/>
      </c>
      <c r="AJ447" s="10"/>
      <c r="AK447" s="10"/>
      <c r="AL447" s="10"/>
      <c r="AM447" s="10"/>
      <c r="AN447" s="314" t="str">
        <f>IFERROR(_xlfn.XLOOKUP($A447,Input_Raw!$E:$E,Input_Raw!$CY:$CY),"")</f>
        <v/>
      </c>
      <c r="AO447" s="312" t="str">
        <f>IFERROR((_xlfn.XLOOKUP($A447,'WTG Reactive Power'!$A:$A,'WTG Reactive Power'!AB:AB))/X447,"")</f>
        <v/>
      </c>
      <c r="AP447" s="312" t="str">
        <f>IFERROR(_xlfn.XLOOKUP($D447,'Modelling New'!$D:$D,'Modelling New'!AK:AK),"")</f>
        <v/>
      </c>
      <c r="AQ447" s="312" t="str">
        <f>IFERROR(_xlfn.XLOOKUP($D447,'Modelling New'!$D:$D,'Modelling New'!AL:AL),"")</f>
        <v/>
      </c>
      <c r="AR447" s="325" t="str">
        <f>IFERROR(_xlfn.XLOOKUP($D447,'Modelling New'!$D:$D,'Modelling New'!$N:$N),"")</f>
        <v/>
      </c>
      <c r="AS447" s="325"/>
    </row>
    <row r="448" spans="1:45">
      <c r="A448" s="32">
        <f t="shared" si="39"/>
        <v>46191</v>
      </c>
      <c r="B448" s="43">
        <f>YEAR(Table13[[#This Row],[Date]])+IF(MONTH(Table13[[#This Row],[Date]])&gt;=4,1,0)</f>
        <v>2027</v>
      </c>
      <c r="C448" s="10">
        <f>YEAR(Table13[[#This Row],[Date]])</f>
        <v>2026</v>
      </c>
      <c r="D448" s="309">
        <f>Table13[[#This Row],[Date]]-DAY(Table13[[#This Row],[Date]])+1</f>
        <v>46174</v>
      </c>
      <c r="E448" s="10">
        <f t="shared" si="35"/>
        <v>30</v>
      </c>
      <c r="F448" s="241" t="str">
        <f>IFERROR(_xlfn.XLOOKUP($A448,Input_Raw!$E:$E,Input_Raw!DC:DC),"")</f>
        <v/>
      </c>
      <c r="G448" s="313"/>
      <c r="H448" s="313"/>
      <c r="I448" s="313"/>
      <c r="J448" s="313"/>
      <c r="K448" s="243"/>
      <c r="L448" s="242"/>
      <c r="M448" s="242" t="str">
        <f>IFERROR(_xlfn.XLOOKUP($A448,Input_Raw!$E:$E,Input_Raw!$BM:$BM),"")</f>
        <v/>
      </c>
      <c r="N448" s="242" t="str">
        <f>IFERROR(_xlfn.XLOOKUP($A448,Input_Raw!$E:$E,Input_Raw!$BN:$BN),"")</f>
        <v/>
      </c>
      <c r="O448" s="311" t="str">
        <f t="shared" si="36"/>
        <v/>
      </c>
      <c r="P448" s="311" t="str">
        <f>IFERROR(1-SUMIF(WTG_BD!$F:$F,$A448,WTG_BD!$AA:$AA)/($AA448+SUMIF(WTG_BD!$F:$F,$A448,WTG_BD!$AA:$AA)),"")</f>
        <v/>
      </c>
      <c r="Q448" s="328" t="str">
        <f>IFERROR(1-SUMIF(IGA_BD!$F:$F,$A448,IGA_BD!$W:$W)/($AA448+SUMIF(IGA_BD!$F:$F,$A448,IGA_BD!$W:$W)),"")</f>
        <v/>
      </c>
      <c r="R448" s="47" t="str">
        <f>IFERROR(1-SUMIF(Grid_BD!$F:$F,$A448,Grid_BD!$Y:$Y)/($AA448+SUMIF(Grid_BD!$F:$F,$A448,Grid_BD!$Y:$Y)),"")</f>
        <v/>
      </c>
      <c r="S448" s="10"/>
      <c r="T448" s="310"/>
      <c r="U448" s="311"/>
      <c r="V448" s="10"/>
      <c r="W448" s="312" t="str">
        <f t="shared" si="37"/>
        <v/>
      </c>
      <c r="X448" s="10" t="str">
        <f>IFERROR(_xlfn.XLOOKUP($A448,Input_Raw!$E:$E,Input_Raw!BG:BG),"")</f>
        <v/>
      </c>
      <c r="Y448" s="10" t="str">
        <f>IFERROR(_xlfn.XLOOKUP($A448,Input_Raw!$E:$E,Input_Raw!DF:DF),"")</f>
        <v/>
      </c>
      <c r="Z448" s="319" t="str">
        <f>IFERROR(_xlfn.XLOOKUP(A448,Input_Raw!E:E,Input_Raw!CT:CT)/_xlfn.XLOOKUP(A448,Input_Raw!E:E,Input_Raw!CS:CS)*Table13[[#This Row],[Mtr_Export (kWh)]],"")</f>
        <v/>
      </c>
      <c r="AA448" s="43" t="str">
        <f t="shared" si="38"/>
        <v/>
      </c>
      <c r="AB448" s="10" t="str">
        <f>IFERROR(_xlfn.XLOOKUP($A448,Input_Raw!$E:$E,Input_Raw!$CZ:$CZ),"")</f>
        <v/>
      </c>
      <c r="AC448" s="313" t="str">
        <f>IFERROR(_xlfn.XLOOKUP($D448,'Modelling New'!$D:$D,'Modelling New'!$J:$J),"")</f>
        <v/>
      </c>
      <c r="AD448" s="43" t="str">
        <f>IFERROR(_xlfn.XLOOKUP($D448,'Modelling New'!$D:$D,'Modelling New'!$T:$T)*1000,"")</f>
        <v/>
      </c>
      <c r="AE448" s="312"/>
      <c r="AF448" s="312" t="str">
        <f>IFERROR(_xlfn.XLOOKUP($D448,'Modelling New'!$D:$D,'Modelling New'!$W:$W),"")</f>
        <v/>
      </c>
      <c r="AG448" s="312" t="str">
        <f>IFERROR(_xlfn.XLOOKUP($D448,'Modelling New'!$D:$D,'Modelling New'!$AE:$AE),"")</f>
        <v/>
      </c>
      <c r="AH448" s="312" t="str">
        <f>IFERROR(_xlfn.XLOOKUP($D448,'Modelling New'!$D:$D,'Modelling New'!$AF:$AF),"")</f>
        <v/>
      </c>
      <c r="AI448" s="10" t="str">
        <f>IFERROR(_xlfn.XLOOKUP($A448,Input_Raw!$E:$E,Input_Raw!$DG:$DG),"")</f>
        <v/>
      </c>
      <c r="AJ448" s="10"/>
      <c r="AK448" s="10"/>
      <c r="AL448" s="10"/>
      <c r="AM448" s="10"/>
      <c r="AN448" s="314" t="str">
        <f>IFERROR(_xlfn.XLOOKUP($A448,Input_Raw!$E:$E,Input_Raw!$CY:$CY),"")</f>
        <v/>
      </c>
      <c r="AO448" s="312" t="str">
        <f>IFERROR((_xlfn.XLOOKUP($A448,'WTG Reactive Power'!$A:$A,'WTG Reactive Power'!AB:AB))/X448,"")</f>
        <v/>
      </c>
      <c r="AP448" s="312" t="str">
        <f>IFERROR(_xlfn.XLOOKUP($D448,'Modelling New'!$D:$D,'Modelling New'!AK:AK),"")</f>
        <v/>
      </c>
      <c r="AQ448" s="312" t="str">
        <f>IFERROR(_xlfn.XLOOKUP($D448,'Modelling New'!$D:$D,'Modelling New'!AL:AL),"")</f>
        <v/>
      </c>
      <c r="AR448" s="325" t="str">
        <f>IFERROR(_xlfn.XLOOKUP($D448,'Modelling New'!$D:$D,'Modelling New'!$N:$N),"")</f>
        <v/>
      </c>
      <c r="AS448" s="325"/>
    </row>
    <row r="449" spans="1:45">
      <c r="A449" s="32">
        <f t="shared" si="39"/>
        <v>46192</v>
      </c>
      <c r="B449" s="43">
        <f>YEAR(Table13[[#This Row],[Date]])+IF(MONTH(Table13[[#This Row],[Date]])&gt;=4,1,0)</f>
        <v>2027</v>
      </c>
      <c r="C449" s="10">
        <f>YEAR(Table13[[#This Row],[Date]])</f>
        <v>2026</v>
      </c>
      <c r="D449" s="309">
        <f>Table13[[#This Row],[Date]]-DAY(Table13[[#This Row],[Date]])+1</f>
        <v>46174</v>
      </c>
      <c r="E449" s="10">
        <f t="shared" si="35"/>
        <v>30</v>
      </c>
      <c r="F449" s="241" t="str">
        <f>IFERROR(_xlfn.XLOOKUP($A449,Input_Raw!$E:$E,Input_Raw!DC:DC),"")</f>
        <v/>
      </c>
      <c r="G449" s="242"/>
      <c r="H449" s="242"/>
      <c r="I449" s="242"/>
      <c r="J449" s="242"/>
      <c r="K449" s="243"/>
      <c r="L449" s="242"/>
      <c r="M449" s="242" t="str">
        <f>IFERROR(_xlfn.XLOOKUP($A449,Input_Raw!$E:$E,Input_Raw!$BM:$BM),"")</f>
        <v/>
      </c>
      <c r="N449" s="242" t="str">
        <f>IFERROR(_xlfn.XLOOKUP($A449,Input_Raw!$E:$E,Input_Raw!$BN:$BN),"")</f>
        <v/>
      </c>
      <c r="O449" s="311" t="str">
        <f t="shared" si="36"/>
        <v/>
      </c>
      <c r="P449" s="311" t="str">
        <f>IFERROR(1-SUMIF(WTG_BD!$F:$F,$A449,WTG_BD!$AA:$AA)/($AA449+SUMIF(WTG_BD!$F:$F,$A449,WTG_BD!$AA:$AA)),"")</f>
        <v/>
      </c>
      <c r="Q449" s="328" t="str">
        <f>IFERROR(1-SUMIF(IGA_BD!$F:$F,$A449,IGA_BD!$W:$W)/($AA449+SUMIF(IGA_BD!$F:$F,$A449,IGA_BD!$W:$W)),"")</f>
        <v/>
      </c>
      <c r="R449" s="311" t="str">
        <f>IFERROR(1-SUMIF(Grid_BD!$F:$F,$A449,Grid_BD!$Y:$Y)/($AA449+SUMIF(Grid_BD!$F:$F,$A449,Grid_BD!$Y:$Y)),"")</f>
        <v/>
      </c>
      <c r="S449" s="10"/>
      <c r="T449" s="310"/>
      <c r="U449" s="311"/>
      <c r="V449" s="10"/>
      <c r="W449" s="312" t="str">
        <f t="shared" si="37"/>
        <v/>
      </c>
      <c r="X449" s="10" t="str">
        <f>IFERROR(_xlfn.XLOOKUP($A449,Input_Raw!$E:$E,Input_Raw!BG:BG),"")</f>
        <v/>
      </c>
      <c r="Y449" s="10" t="str">
        <f>IFERROR(_xlfn.XLOOKUP($A449,Input_Raw!$E:$E,Input_Raw!DF:DF),"")</f>
        <v/>
      </c>
      <c r="Z449" s="319" t="str">
        <f>IFERROR(_xlfn.XLOOKUP(A449,Input_Raw!E:E,Input_Raw!CT:CT)/_xlfn.XLOOKUP(A449,Input_Raw!E:E,Input_Raw!CS:CS)*Table13[[#This Row],[Mtr_Export (kWh)]],"")</f>
        <v/>
      </c>
      <c r="AA449" s="43" t="str">
        <f t="shared" si="38"/>
        <v/>
      </c>
      <c r="AB449" s="10" t="str">
        <f>IFERROR(_xlfn.XLOOKUP($A449,Input_Raw!$E:$E,Input_Raw!$CZ:$CZ),"")</f>
        <v/>
      </c>
      <c r="AC449" s="313" t="str">
        <f>IFERROR(_xlfn.XLOOKUP($D449,'Modelling New'!$D:$D,'Modelling New'!$J:$J),"")</f>
        <v/>
      </c>
      <c r="AD449" s="43" t="str">
        <f>IFERROR(_xlfn.XLOOKUP($D449,'Modelling New'!$D:$D,'Modelling New'!$T:$T)*1000,"")</f>
        <v/>
      </c>
      <c r="AE449" s="312"/>
      <c r="AF449" s="312" t="str">
        <f>IFERROR(_xlfn.XLOOKUP($D449,'Modelling New'!$D:$D,'Modelling New'!$W:$W),"")</f>
        <v/>
      </c>
      <c r="AG449" s="312" t="str">
        <f>IFERROR(_xlfn.XLOOKUP($D449,'Modelling New'!$D:$D,'Modelling New'!$AE:$AE),"")</f>
        <v/>
      </c>
      <c r="AH449" s="312" t="str">
        <f>IFERROR(_xlfn.XLOOKUP($D449,'Modelling New'!$D:$D,'Modelling New'!$AF:$AF),"")</f>
        <v/>
      </c>
      <c r="AI449" s="10" t="str">
        <f>IFERROR(_xlfn.XLOOKUP($A449,Input_Raw!$E:$E,Input_Raw!$DG:$DG),"")</f>
        <v/>
      </c>
      <c r="AJ449" s="10"/>
      <c r="AK449" s="10"/>
      <c r="AL449" s="10"/>
      <c r="AM449" s="10"/>
      <c r="AN449" s="314" t="str">
        <f>IFERROR(_xlfn.XLOOKUP($A449,Input_Raw!$E:$E,Input_Raw!$CY:$CY),"")</f>
        <v/>
      </c>
      <c r="AO449" s="312" t="str">
        <f>IFERROR((_xlfn.XLOOKUP($A449,'WTG Reactive Power'!$A:$A,'WTG Reactive Power'!AB:AB))/X449,"")</f>
        <v/>
      </c>
      <c r="AP449" s="312" t="str">
        <f>IFERROR(_xlfn.XLOOKUP($D449,'Modelling New'!$D:$D,'Modelling New'!AK:AK),"")</f>
        <v/>
      </c>
      <c r="AQ449" s="312" t="str">
        <f>IFERROR(_xlfn.XLOOKUP($D449,'Modelling New'!$D:$D,'Modelling New'!AL:AL),"")</f>
        <v/>
      </c>
      <c r="AR449" s="325" t="str">
        <f>IFERROR(_xlfn.XLOOKUP($D449,'Modelling New'!$D:$D,'Modelling New'!$N:$N),"")</f>
        <v/>
      </c>
      <c r="AS449" s="325"/>
    </row>
    <row r="450" spans="1:45">
      <c r="A450" s="32">
        <f t="shared" si="39"/>
        <v>46193</v>
      </c>
      <c r="B450" s="43">
        <f>YEAR(Table13[[#This Row],[Date]])+IF(MONTH(Table13[[#This Row],[Date]])&gt;=4,1,0)</f>
        <v>2027</v>
      </c>
      <c r="C450" s="10">
        <f>YEAR(Table13[[#This Row],[Date]])</f>
        <v>2026</v>
      </c>
      <c r="D450" s="309">
        <f>Table13[[#This Row],[Date]]-DAY(Table13[[#This Row],[Date]])+1</f>
        <v>46174</v>
      </c>
      <c r="E450" s="10">
        <f t="shared" si="35"/>
        <v>30</v>
      </c>
      <c r="F450" s="241" t="str">
        <f>IFERROR(_xlfn.XLOOKUP($A450,Input_Raw!$E:$E,Input_Raw!DC:DC),"")</f>
        <v/>
      </c>
      <c r="G450" s="313"/>
      <c r="H450" s="313"/>
      <c r="I450" s="313"/>
      <c r="J450" s="313"/>
      <c r="K450" s="243"/>
      <c r="L450" s="242"/>
      <c r="M450" s="242" t="str">
        <f>IFERROR(_xlfn.XLOOKUP($A450,Input_Raw!$E:$E,Input_Raw!$BM:$BM),"")</f>
        <v/>
      </c>
      <c r="N450" s="242" t="str">
        <f>IFERROR(_xlfn.XLOOKUP($A450,Input_Raw!$E:$E,Input_Raw!$BN:$BN),"")</f>
        <v/>
      </c>
      <c r="O450" s="311" t="str">
        <f t="shared" si="36"/>
        <v/>
      </c>
      <c r="P450" s="311" t="str">
        <f>IFERROR(1-SUMIF(WTG_BD!$F:$F,$A450,WTG_BD!$AA:$AA)/($AA450+SUMIF(WTG_BD!$F:$F,$A450,WTG_BD!$AA:$AA)),"")</f>
        <v/>
      </c>
      <c r="Q450" s="328" t="str">
        <f>IFERROR(1-SUMIF(IGA_BD!$F:$F,$A450,IGA_BD!$W:$W)/($AA450+SUMIF(IGA_BD!$F:$F,$A450,IGA_BD!$W:$W)),"")</f>
        <v/>
      </c>
      <c r="R450" s="47" t="str">
        <f>IFERROR(1-SUMIF(Grid_BD!$F:$F,$A450,Grid_BD!$Y:$Y)/($AA450+SUMIF(Grid_BD!$F:$F,$A450,Grid_BD!$Y:$Y)),"")</f>
        <v/>
      </c>
      <c r="S450" s="10"/>
      <c r="T450" s="310"/>
      <c r="U450" s="311"/>
      <c r="V450" s="10"/>
      <c r="W450" s="312" t="str">
        <f t="shared" si="37"/>
        <v/>
      </c>
      <c r="X450" s="10" t="str">
        <f>IFERROR(_xlfn.XLOOKUP($A450,Input_Raw!$E:$E,Input_Raw!BG:BG),"")</f>
        <v/>
      </c>
      <c r="Y450" s="10" t="str">
        <f>IFERROR(_xlfn.XLOOKUP($A450,Input_Raw!$E:$E,Input_Raw!DF:DF),"")</f>
        <v/>
      </c>
      <c r="Z450" s="319" t="str">
        <f>IFERROR(_xlfn.XLOOKUP(A450,Input_Raw!E:E,Input_Raw!CT:CT)/_xlfn.XLOOKUP(A450,Input_Raw!E:E,Input_Raw!CS:CS)*Table13[[#This Row],[Mtr_Export (kWh)]],"")</f>
        <v/>
      </c>
      <c r="AA450" s="43" t="str">
        <f t="shared" si="38"/>
        <v/>
      </c>
      <c r="AB450" s="10" t="str">
        <f>IFERROR(_xlfn.XLOOKUP($A450,Input_Raw!$E:$E,Input_Raw!$CZ:$CZ),"")</f>
        <v/>
      </c>
      <c r="AC450" s="313" t="str">
        <f>IFERROR(_xlfn.XLOOKUP($D450,'Modelling New'!$D:$D,'Modelling New'!$J:$J),"")</f>
        <v/>
      </c>
      <c r="AD450" s="43" t="str">
        <f>IFERROR(_xlfn.XLOOKUP($D450,'Modelling New'!$D:$D,'Modelling New'!$T:$T)*1000,"")</f>
        <v/>
      </c>
      <c r="AE450" s="312"/>
      <c r="AF450" s="312" t="str">
        <f>IFERROR(_xlfn.XLOOKUP($D450,'Modelling New'!$D:$D,'Modelling New'!$W:$W),"")</f>
        <v/>
      </c>
      <c r="AG450" s="312" t="str">
        <f>IFERROR(_xlfn.XLOOKUP($D450,'Modelling New'!$D:$D,'Modelling New'!$AE:$AE),"")</f>
        <v/>
      </c>
      <c r="AH450" s="312" t="str">
        <f>IFERROR(_xlfn.XLOOKUP($D450,'Modelling New'!$D:$D,'Modelling New'!$AF:$AF),"")</f>
        <v/>
      </c>
      <c r="AI450" s="10" t="str">
        <f>IFERROR(_xlfn.XLOOKUP($A450,Input_Raw!$E:$E,Input_Raw!$DG:$DG),"")</f>
        <v/>
      </c>
      <c r="AJ450" s="10"/>
      <c r="AK450" s="10"/>
      <c r="AL450" s="10"/>
      <c r="AM450" s="10"/>
      <c r="AN450" s="314" t="str">
        <f>IFERROR(_xlfn.XLOOKUP($A450,Input_Raw!$E:$E,Input_Raw!$CY:$CY),"")</f>
        <v/>
      </c>
      <c r="AO450" s="312" t="str">
        <f>IFERROR((_xlfn.XLOOKUP($A450,'WTG Reactive Power'!$A:$A,'WTG Reactive Power'!AB:AB))/X450,"")</f>
        <v/>
      </c>
      <c r="AP450" s="312" t="str">
        <f>IFERROR(_xlfn.XLOOKUP($D450,'Modelling New'!$D:$D,'Modelling New'!AK:AK),"")</f>
        <v/>
      </c>
      <c r="AQ450" s="312" t="str">
        <f>IFERROR(_xlfn.XLOOKUP($D450,'Modelling New'!$D:$D,'Modelling New'!AL:AL),"")</f>
        <v/>
      </c>
      <c r="AR450" s="325" t="str">
        <f>IFERROR(_xlfn.XLOOKUP($D450,'Modelling New'!$D:$D,'Modelling New'!$N:$N),"")</f>
        <v/>
      </c>
      <c r="AS450" s="325"/>
    </row>
    <row r="451" spans="1:45">
      <c r="A451" s="32">
        <f t="shared" si="39"/>
        <v>46194</v>
      </c>
      <c r="B451" s="43">
        <f>YEAR(Table13[[#This Row],[Date]])+IF(MONTH(Table13[[#This Row],[Date]])&gt;=4,1,0)</f>
        <v>2027</v>
      </c>
      <c r="C451" s="10">
        <f>YEAR(Table13[[#This Row],[Date]])</f>
        <v>2026</v>
      </c>
      <c r="D451" s="309">
        <f>Table13[[#This Row],[Date]]-DAY(Table13[[#This Row],[Date]])+1</f>
        <v>46174</v>
      </c>
      <c r="E451" s="10">
        <f t="shared" si="35"/>
        <v>30</v>
      </c>
      <c r="F451" s="241" t="str">
        <f>IFERROR(_xlfn.XLOOKUP($A451,Input_Raw!$E:$E,Input_Raw!DC:DC),"")</f>
        <v/>
      </c>
      <c r="G451" s="242"/>
      <c r="H451" s="242"/>
      <c r="I451" s="242"/>
      <c r="J451" s="242"/>
      <c r="K451" s="243"/>
      <c r="L451" s="242"/>
      <c r="M451" s="242" t="str">
        <f>IFERROR(_xlfn.XLOOKUP($A451,Input_Raw!$E:$E,Input_Raw!$BM:$BM),"")</f>
        <v/>
      </c>
      <c r="N451" s="242" t="str">
        <f>IFERROR(_xlfn.XLOOKUP($A451,Input_Raw!$E:$E,Input_Raw!$BN:$BN),"")</f>
        <v/>
      </c>
      <c r="O451" s="311" t="str">
        <f t="shared" si="36"/>
        <v/>
      </c>
      <c r="P451" s="311" t="str">
        <f>IFERROR(1-SUMIF(WTG_BD!$F:$F,$A451,WTG_BD!$AA:$AA)/($AA451+SUMIF(WTG_BD!$F:$F,$A451,WTG_BD!$AA:$AA)),"")</f>
        <v/>
      </c>
      <c r="Q451" s="328" t="str">
        <f>IFERROR(1-SUMIF(IGA_BD!$F:$F,$A451,IGA_BD!$W:$W)/($AA451+SUMIF(IGA_BD!$F:$F,$A451,IGA_BD!$W:$W)),"")</f>
        <v/>
      </c>
      <c r="R451" s="311" t="str">
        <f>IFERROR(1-SUMIF(Grid_BD!$F:$F,$A451,Grid_BD!$Y:$Y)/($AA451+SUMIF(Grid_BD!$F:$F,$A451,Grid_BD!$Y:$Y)),"")</f>
        <v/>
      </c>
      <c r="S451" s="10"/>
      <c r="T451" s="310"/>
      <c r="U451" s="311"/>
      <c r="V451" s="10"/>
      <c r="W451" s="312" t="str">
        <f t="shared" si="37"/>
        <v/>
      </c>
      <c r="X451" s="10" t="str">
        <f>IFERROR(_xlfn.XLOOKUP($A451,Input_Raw!$E:$E,Input_Raw!BG:BG),"")</f>
        <v/>
      </c>
      <c r="Y451" s="10" t="str">
        <f>IFERROR(_xlfn.XLOOKUP($A451,Input_Raw!$E:$E,Input_Raw!DF:DF),"")</f>
        <v/>
      </c>
      <c r="Z451" s="319" t="str">
        <f>IFERROR(_xlfn.XLOOKUP(A451,Input_Raw!E:E,Input_Raw!CT:CT)/_xlfn.XLOOKUP(A451,Input_Raw!E:E,Input_Raw!CS:CS)*Table13[[#This Row],[Mtr_Export (kWh)]],"")</f>
        <v/>
      </c>
      <c r="AA451" s="43" t="str">
        <f t="shared" si="38"/>
        <v/>
      </c>
      <c r="AB451" s="10" t="str">
        <f>IFERROR(_xlfn.XLOOKUP($A451,Input_Raw!$E:$E,Input_Raw!$CZ:$CZ),"")</f>
        <v/>
      </c>
      <c r="AC451" s="313" t="str">
        <f>IFERROR(_xlfn.XLOOKUP($D451,'Modelling New'!$D:$D,'Modelling New'!$J:$J),"")</f>
        <v/>
      </c>
      <c r="AD451" s="43" t="str">
        <f>IFERROR(_xlfn.XLOOKUP($D451,'Modelling New'!$D:$D,'Modelling New'!$T:$T)*1000,"")</f>
        <v/>
      </c>
      <c r="AE451" s="312"/>
      <c r="AF451" s="312" t="str">
        <f>IFERROR(_xlfn.XLOOKUP($D451,'Modelling New'!$D:$D,'Modelling New'!$W:$W),"")</f>
        <v/>
      </c>
      <c r="AG451" s="312" t="str">
        <f>IFERROR(_xlfn.XLOOKUP($D451,'Modelling New'!$D:$D,'Modelling New'!$AE:$AE),"")</f>
        <v/>
      </c>
      <c r="AH451" s="312" t="str">
        <f>IFERROR(_xlfn.XLOOKUP($D451,'Modelling New'!$D:$D,'Modelling New'!$AF:$AF),"")</f>
        <v/>
      </c>
      <c r="AI451" s="10" t="str">
        <f>IFERROR(_xlfn.XLOOKUP($A451,Input_Raw!$E:$E,Input_Raw!$DG:$DG),"")</f>
        <v/>
      </c>
      <c r="AJ451" s="10"/>
      <c r="AK451" s="10"/>
      <c r="AL451" s="10"/>
      <c r="AM451" s="10"/>
      <c r="AN451" s="314" t="str">
        <f>IFERROR(_xlfn.XLOOKUP($A451,Input_Raw!$E:$E,Input_Raw!$CY:$CY),"")</f>
        <v/>
      </c>
      <c r="AO451" s="312" t="str">
        <f>IFERROR((_xlfn.XLOOKUP($A451,'WTG Reactive Power'!$A:$A,'WTG Reactive Power'!AB:AB))/X451,"")</f>
        <v/>
      </c>
      <c r="AP451" s="312" t="str">
        <f>IFERROR(_xlfn.XLOOKUP($D451,'Modelling New'!$D:$D,'Modelling New'!AK:AK),"")</f>
        <v/>
      </c>
      <c r="AQ451" s="312" t="str">
        <f>IFERROR(_xlfn.XLOOKUP($D451,'Modelling New'!$D:$D,'Modelling New'!AL:AL),"")</f>
        <v/>
      </c>
      <c r="AR451" s="325" t="str">
        <f>IFERROR(_xlfn.XLOOKUP($D451,'Modelling New'!$D:$D,'Modelling New'!$N:$N),"")</f>
        <v/>
      </c>
      <c r="AS451" s="325"/>
    </row>
    <row r="452" spans="1:45">
      <c r="A452" s="32">
        <f t="shared" si="39"/>
        <v>46195</v>
      </c>
      <c r="B452" s="43">
        <f>YEAR(Table13[[#This Row],[Date]])+IF(MONTH(Table13[[#This Row],[Date]])&gt;=4,1,0)</f>
        <v>2027</v>
      </c>
      <c r="C452" s="10">
        <f>YEAR(Table13[[#This Row],[Date]])</f>
        <v>2026</v>
      </c>
      <c r="D452" s="309">
        <f>Table13[[#This Row],[Date]]-DAY(Table13[[#This Row],[Date]])+1</f>
        <v>46174</v>
      </c>
      <c r="E452" s="10">
        <f t="shared" si="35"/>
        <v>30</v>
      </c>
      <c r="F452" s="241" t="str">
        <f>IFERROR(_xlfn.XLOOKUP($A452,Input_Raw!$E:$E,Input_Raw!DC:DC),"")</f>
        <v/>
      </c>
      <c r="G452" s="313"/>
      <c r="H452" s="313"/>
      <c r="I452" s="313"/>
      <c r="J452" s="313"/>
      <c r="K452" s="243"/>
      <c r="L452" s="242"/>
      <c r="M452" s="242" t="str">
        <f>IFERROR(_xlfn.XLOOKUP($A452,Input_Raw!$E:$E,Input_Raw!$BM:$BM),"")</f>
        <v/>
      </c>
      <c r="N452" s="242" t="str">
        <f>IFERROR(_xlfn.XLOOKUP($A452,Input_Raw!$E:$E,Input_Raw!$BN:$BN),"")</f>
        <v/>
      </c>
      <c r="O452" s="311" t="str">
        <f t="shared" si="36"/>
        <v/>
      </c>
      <c r="P452" s="311" t="str">
        <f>IFERROR(1-SUMIF(WTG_BD!$F:$F,$A452,WTG_BD!$AA:$AA)/($AA452+SUMIF(WTG_BD!$F:$F,$A452,WTG_BD!$AA:$AA)),"")</f>
        <v/>
      </c>
      <c r="Q452" s="328" t="str">
        <f>IFERROR(1-SUMIF(IGA_BD!$F:$F,$A452,IGA_BD!$W:$W)/($AA452+SUMIF(IGA_BD!$F:$F,$A452,IGA_BD!$W:$W)),"")</f>
        <v/>
      </c>
      <c r="R452" s="47" t="str">
        <f>IFERROR(1-SUMIF(Grid_BD!$F:$F,$A452,Grid_BD!$Y:$Y)/($AA452+SUMIF(Grid_BD!$F:$F,$A452,Grid_BD!$Y:$Y)),"")</f>
        <v/>
      </c>
      <c r="S452" s="10"/>
      <c r="T452" s="310"/>
      <c r="U452" s="311"/>
      <c r="V452" s="10"/>
      <c r="W452" s="312" t="str">
        <f t="shared" si="37"/>
        <v/>
      </c>
      <c r="X452" s="10" t="str">
        <f>IFERROR(_xlfn.XLOOKUP($A452,Input_Raw!$E:$E,Input_Raw!BG:BG),"")</f>
        <v/>
      </c>
      <c r="Y452" s="10" t="str">
        <f>IFERROR(_xlfn.XLOOKUP($A452,Input_Raw!$E:$E,Input_Raw!DF:DF),"")</f>
        <v/>
      </c>
      <c r="Z452" s="319" t="str">
        <f>IFERROR(_xlfn.XLOOKUP(A452,Input_Raw!E:E,Input_Raw!CT:CT)/_xlfn.XLOOKUP(A452,Input_Raw!E:E,Input_Raw!CS:CS)*Table13[[#This Row],[Mtr_Export (kWh)]],"")</f>
        <v/>
      </c>
      <c r="AA452" s="43" t="str">
        <f t="shared" si="38"/>
        <v/>
      </c>
      <c r="AB452" s="10" t="str">
        <f>IFERROR(_xlfn.XLOOKUP($A452,Input_Raw!$E:$E,Input_Raw!$CZ:$CZ),"")</f>
        <v/>
      </c>
      <c r="AC452" s="313" t="str">
        <f>IFERROR(_xlfn.XLOOKUP($D452,'Modelling New'!$D:$D,'Modelling New'!$J:$J),"")</f>
        <v/>
      </c>
      <c r="AD452" s="43" t="str">
        <f>IFERROR(_xlfn.XLOOKUP($D452,'Modelling New'!$D:$D,'Modelling New'!$T:$T)*1000,"")</f>
        <v/>
      </c>
      <c r="AE452" s="312"/>
      <c r="AF452" s="312" t="str">
        <f>IFERROR(_xlfn.XLOOKUP($D452,'Modelling New'!$D:$D,'Modelling New'!$W:$W),"")</f>
        <v/>
      </c>
      <c r="AG452" s="312" t="str">
        <f>IFERROR(_xlfn.XLOOKUP($D452,'Modelling New'!$D:$D,'Modelling New'!$AE:$AE),"")</f>
        <v/>
      </c>
      <c r="AH452" s="312" t="str">
        <f>IFERROR(_xlfn.XLOOKUP($D452,'Modelling New'!$D:$D,'Modelling New'!$AF:$AF),"")</f>
        <v/>
      </c>
      <c r="AI452" s="10" t="str">
        <f>IFERROR(_xlfn.XLOOKUP($A452,Input_Raw!$E:$E,Input_Raw!$DG:$DG),"")</f>
        <v/>
      </c>
      <c r="AJ452" s="10"/>
      <c r="AK452" s="10"/>
      <c r="AL452" s="10"/>
      <c r="AM452" s="10"/>
      <c r="AN452" s="314" t="str">
        <f>IFERROR(_xlfn.XLOOKUP($A452,Input_Raw!$E:$E,Input_Raw!$CY:$CY),"")</f>
        <v/>
      </c>
      <c r="AO452" s="312" t="str">
        <f>IFERROR((_xlfn.XLOOKUP($A452,'WTG Reactive Power'!$A:$A,'WTG Reactive Power'!AB:AB))/X452,"")</f>
        <v/>
      </c>
      <c r="AP452" s="312" t="str">
        <f>IFERROR(_xlfn.XLOOKUP($D452,'Modelling New'!$D:$D,'Modelling New'!AK:AK),"")</f>
        <v/>
      </c>
      <c r="AQ452" s="312" t="str">
        <f>IFERROR(_xlfn.XLOOKUP($D452,'Modelling New'!$D:$D,'Modelling New'!AL:AL),"")</f>
        <v/>
      </c>
      <c r="AR452" s="325" t="str">
        <f>IFERROR(_xlfn.XLOOKUP($D452,'Modelling New'!$D:$D,'Modelling New'!$N:$N),"")</f>
        <v/>
      </c>
      <c r="AS452" s="325"/>
    </row>
    <row r="453" spans="1:45">
      <c r="A453" s="32">
        <f t="shared" si="39"/>
        <v>46196</v>
      </c>
      <c r="B453" s="43">
        <f>YEAR(Table13[[#This Row],[Date]])+IF(MONTH(Table13[[#This Row],[Date]])&gt;=4,1,0)</f>
        <v>2027</v>
      </c>
      <c r="C453" s="10">
        <f>YEAR(Table13[[#This Row],[Date]])</f>
        <v>2026</v>
      </c>
      <c r="D453" s="309">
        <f>Table13[[#This Row],[Date]]-DAY(Table13[[#This Row],[Date]])+1</f>
        <v>46174</v>
      </c>
      <c r="E453" s="10">
        <f t="shared" si="35"/>
        <v>30</v>
      </c>
      <c r="F453" s="241" t="str">
        <f>IFERROR(_xlfn.XLOOKUP($A453,Input_Raw!$E:$E,Input_Raw!DC:DC),"")</f>
        <v/>
      </c>
      <c r="G453" s="242"/>
      <c r="H453" s="242"/>
      <c r="I453" s="242"/>
      <c r="J453" s="242"/>
      <c r="K453" s="243"/>
      <c r="L453" s="242"/>
      <c r="M453" s="242" t="str">
        <f>IFERROR(_xlfn.XLOOKUP($A453,Input_Raw!$E:$E,Input_Raw!$BM:$BM),"")</f>
        <v/>
      </c>
      <c r="N453" s="242" t="str">
        <f>IFERROR(_xlfn.XLOOKUP($A453,Input_Raw!$E:$E,Input_Raw!$BN:$BN),"")</f>
        <v/>
      </c>
      <c r="O453" s="311" t="str">
        <f t="shared" si="36"/>
        <v/>
      </c>
      <c r="P453" s="311" t="str">
        <f>IFERROR(1-SUMIF(WTG_BD!$F:$F,$A453,WTG_BD!$AA:$AA)/($AA453+SUMIF(WTG_BD!$F:$F,$A453,WTG_BD!$AA:$AA)),"")</f>
        <v/>
      </c>
      <c r="Q453" s="328" t="str">
        <f>IFERROR(1-SUMIF(IGA_BD!$F:$F,$A453,IGA_BD!$W:$W)/($AA453+SUMIF(IGA_BD!$F:$F,$A453,IGA_BD!$W:$W)),"")</f>
        <v/>
      </c>
      <c r="R453" s="311" t="str">
        <f>IFERROR(1-SUMIF(Grid_BD!$F:$F,$A453,Grid_BD!$Y:$Y)/($AA453+SUMIF(Grid_BD!$F:$F,$A453,Grid_BD!$Y:$Y)),"")</f>
        <v/>
      </c>
      <c r="S453" s="10"/>
      <c r="T453" s="310"/>
      <c r="U453" s="311"/>
      <c r="V453" s="10"/>
      <c r="W453" s="312" t="str">
        <f t="shared" si="37"/>
        <v/>
      </c>
      <c r="X453" s="10" t="str">
        <f>IFERROR(_xlfn.XLOOKUP($A453,Input_Raw!$E:$E,Input_Raw!BG:BG),"")</f>
        <v/>
      </c>
      <c r="Y453" s="10" t="str">
        <f>IFERROR(_xlfn.XLOOKUP($A453,Input_Raw!$E:$E,Input_Raw!DF:DF),"")</f>
        <v/>
      </c>
      <c r="Z453" s="319" t="str">
        <f>IFERROR(_xlfn.XLOOKUP(A453,Input_Raw!E:E,Input_Raw!CT:CT)/_xlfn.XLOOKUP(A453,Input_Raw!E:E,Input_Raw!CS:CS)*Table13[[#This Row],[Mtr_Export (kWh)]],"")</f>
        <v/>
      </c>
      <c r="AA453" s="43" t="str">
        <f t="shared" si="38"/>
        <v/>
      </c>
      <c r="AB453" s="10" t="str">
        <f>IFERROR(_xlfn.XLOOKUP($A453,Input_Raw!$E:$E,Input_Raw!$CZ:$CZ),"")</f>
        <v/>
      </c>
      <c r="AC453" s="313" t="str">
        <f>IFERROR(_xlfn.XLOOKUP($D453,'Modelling New'!$D:$D,'Modelling New'!$J:$J),"")</f>
        <v/>
      </c>
      <c r="AD453" s="43" t="str">
        <f>IFERROR(_xlfn.XLOOKUP($D453,'Modelling New'!$D:$D,'Modelling New'!$T:$T)*1000,"")</f>
        <v/>
      </c>
      <c r="AE453" s="312"/>
      <c r="AF453" s="312" t="str">
        <f>IFERROR(_xlfn.XLOOKUP($D453,'Modelling New'!$D:$D,'Modelling New'!$W:$W),"")</f>
        <v/>
      </c>
      <c r="AG453" s="312" t="str">
        <f>IFERROR(_xlfn.XLOOKUP($D453,'Modelling New'!$D:$D,'Modelling New'!$AE:$AE),"")</f>
        <v/>
      </c>
      <c r="AH453" s="312" t="str">
        <f>IFERROR(_xlfn.XLOOKUP($D453,'Modelling New'!$D:$D,'Modelling New'!$AF:$AF),"")</f>
        <v/>
      </c>
      <c r="AI453" s="10" t="str">
        <f>IFERROR(_xlfn.XLOOKUP($A453,Input_Raw!$E:$E,Input_Raw!$DG:$DG),"")</f>
        <v/>
      </c>
      <c r="AJ453" s="10"/>
      <c r="AK453" s="10"/>
      <c r="AL453" s="10"/>
      <c r="AM453" s="10"/>
      <c r="AN453" s="314" t="str">
        <f>IFERROR(_xlfn.XLOOKUP($A453,Input_Raw!$E:$E,Input_Raw!$CY:$CY),"")</f>
        <v/>
      </c>
      <c r="AO453" s="312" t="str">
        <f>IFERROR((_xlfn.XLOOKUP($A453,'WTG Reactive Power'!$A:$A,'WTG Reactive Power'!AB:AB))/X453,"")</f>
        <v/>
      </c>
      <c r="AP453" s="312" t="str">
        <f>IFERROR(_xlfn.XLOOKUP($D453,'Modelling New'!$D:$D,'Modelling New'!AK:AK),"")</f>
        <v/>
      </c>
      <c r="AQ453" s="312" t="str">
        <f>IFERROR(_xlfn.XLOOKUP($D453,'Modelling New'!$D:$D,'Modelling New'!AL:AL),"")</f>
        <v/>
      </c>
      <c r="AR453" s="325" t="str">
        <f>IFERROR(_xlfn.XLOOKUP($D453,'Modelling New'!$D:$D,'Modelling New'!$N:$N),"")</f>
        <v/>
      </c>
      <c r="AS453" s="325"/>
    </row>
    <row r="454" spans="1:45">
      <c r="A454" s="32">
        <f t="shared" si="39"/>
        <v>46197</v>
      </c>
      <c r="B454" s="43">
        <f>YEAR(Table13[[#This Row],[Date]])+IF(MONTH(Table13[[#This Row],[Date]])&gt;=4,1,0)</f>
        <v>2027</v>
      </c>
      <c r="C454" s="10">
        <f>YEAR(Table13[[#This Row],[Date]])</f>
        <v>2026</v>
      </c>
      <c r="D454" s="309">
        <f>Table13[[#This Row],[Date]]-DAY(Table13[[#This Row],[Date]])+1</f>
        <v>46174</v>
      </c>
      <c r="E454" s="10">
        <f t="shared" si="35"/>
        <v>30</v>
      </c>
      <c r="F454" s="241" t="str">
        <f>IFERROR(_xlfn.XLOOKUP($A454,Input_Raw!$E:$E,Input_Raw!DC:DC),"")</f>
        <v/>
      </c>
      <c r="G454" s="313"/>
      <c r="H454" s="313"/>
      <c r="I454" s="313"/>
      <c r="J454" s="313"/>
      <c r="K454" s="243"/>
      <c r="L454" s="242"/>
      <c r="M454" s="242" t="str">
        <f>IFERROR(_xlfn.XLOOKUP($A454,Input_Raw!$E:$E,Input_Raw!$BM:$BM),"")</f>
        <v/>
      </c>
      <c r="N454" s="242" t="str">
        <f>IFERROR(_xlfn.XLOOKUP($A454,Input_Raw!$E:$E,Input_Raw!$BN:$BN),"")</f>
        <v/>
      </c>
      <c r="O454" s="311" t="str">
        <f t="shared" si="36"/>
        <v/>
      </c>
      <c r="P454" s="311" t="str">
        <f>IFERROR(1-SUMIF(WTG_BD!$F:$F,$A454,WTG_BD!$AA:$AA)/($AA454+SUMIF(WTG_BD!$F:$F,$A454,WTG_BD!$AA:$AA)),"")</f>
        <v/>
      </c>
      <c r="Q454" s="328" t="str">
        <f>IFERROR(1-SUMIF(IGA_BD!$F:$F,$A454,IGA_BD!$W:$W)/($AA454+SUMIF(IGA_BD!$F:$F,$A454,IGA_BD!$W:$W)),"")</f>
        <v/>
      </c>
      <c r="R454" s="47" t="str">
        <f>IFERROR(1-SUMIF(Grid_BD!$F:$F,$A454,Grid_BD!$Y:$Y)/($AA454+SUMIF(Grid_BD!$F:$F,$A454,Grid_BD!$Y:$Y)),"")</f>
        <v/>
      </c>
      <c r="S454" s="10"/>
      <c r="T454" s="310"/>
      <c r="U454" s="311"/>
      <c r="V454" s="10"/>
      <c r="W454" s="312" t="str">
        <f t="shared" si="37"/>
        <v/>
      </c>
      <c r="X454" s="10" t="str">
        <f>IFERROR(_xlfn.XLOOKUP($A454,Input_Raw!$E:$E,Input_Raw!BG:BG),"")</f>
        <v/>
      </c>
      <c r="Y454" s="10" t="str">
        <f>IFERROR(_xlfn.XLOOKUP($A454,Input_Raw!$E:$E,Input_Raw!DF:DF),"")</f>
        <v/>
      </c>
      <c r="Z454" s="319" t="str">
        <f>IFERROR(_xlfn.XLOOKUP(A454,Input_Raw!E:E,Input_Raw!CT:CT)/_xlfn.XLOOKUP(A454,Input_Raw!E:E,Input_Raw!CS:CS)*Table13[[#This Row],[Mtr_Export (kWh)]],"")</f>
        <v/>
      </c>
      <c r="AA454" s="43" t="str">
        <f t="shared" si="38"/>
        <v/>
      </c>
      <c r="AB454" s="10" t="str">
        <f>IFERROR(_xlfn.XLOOKUP($A454,Input_Raw!$E:$E,Input_Raw!$CZ:$CZ),"")</f>
        <v/>
      </c>
      <c r="AC454" s="313" t="str">
        <f>IFERROR(_xlfn.XLOOKUP($D454,'Modelling New'!$D:$D,'Modelling New'!$J:$J),"")</f>
        <v/>
      </c>
      <c r="AD454" s="43" t="str">
        <f>IFERROR(_xlfn.XLOOKUP($D454,'Modelling New'!$D:$D,'Modelling New'!$T:$T)*1000,"")</f>
        <v/>
      </c>
      <c r="AE454" s="312"/>
      <c r="AF454" s="312" t="str">
        <f>IFERROR(_xlfn.XLOOKUP($D454,'Modelling New'!$D:$D,'Modelling New'!$W:$W),"")</f>
        <v/>
      </c>
      <c r="AG454" s="312" t="str">
        <f>IFERROR(_xlfn.XLOOKUP($D454,'Modelling New'!$D:$D,'Modelling New'!$AE:$AE),"")</f>
        <v/>
      </c>
      <c r="AH454" s="312" t="str">
        <f>IFERROR(_xlfn.XLOOKUP($D454,'Modelling New'!$D:$D,'Modelling New'!$AF:$AF),"")</f>
        <v/>
      </c>
      <c r="AI454" s="10" t="str">
        <f>IFERROR(_xlfn.XLOOKUP($A454,Input_Raw!$E:$E,Input_Raw!$DG:$DG),"")</f>
        <v/>
      </c>
      <c r="AJ454" s="10"/>
      <c r="AK454" s="10"/>
      <c r="AL454" s="10"/>
      <c r="AM454" s="10"/>
      <c r="AN454" s="314" t="str">
        <f>IFERROR(_xlfn.XLOOKUP($A454,Input_Raw!$E:$E,Input_Raw!$CY:$CY),"")</f>
        <v/>
      </c>
      <c r="AO454" s="312" t="str">
        <f>IFERROR((_xlfn.XLOOKUP($A454,'WTG Reactive Power'!$A:$A,'WTG Reactive Power'!AB:AB))/X454,"")</f>
        <v/>
      </c>
      <c r="AP454" s="312" t="str">
        <f>IFERROR(_xlfn.XLOOKUP($D454,'Modelling New'!$D:$D,'Modelling New'!AK:AK),"")</f>
        <v/>
      </c>
      <c r="AQ454" s="312" t="str">
        <f>IFERROR(_xlfn.XLOOKUP($D454,'Modelling New'!$D:$D,'Modelling New'!AL:AL),"")</f>
        <v/>
      </c>
      <c r="AR454" s="325" t="str">
        <f>IFERROR(_xlfn.XLOOKUP($D454,'Modelling New'!$D:$D,'Modelling New'!$N:$N),"")</f>
        <v/>
      </c>
      <c r="AS454" s="325"/>
    </row>
    <row r="455" spans="1:45">
      <c r="A455" s="32">
        <f t="shared" si="39"/>
        <v>46198</v>
      </c>
      <c r="B455" s="43">
        <f>YEAR(Table13[[#This Row],[Date]])+IF(MONTH(Table13[[#This Row],[Date]])&gt;=4,1,0)</f>
        <v>2027</v>
      </c>
      <c r="C455" s="10">
        <f>YEAR(Table13[[#This Row],[Date]])</f>
        <v>2026</v>
      </c>
      <c r="D455" s="309">
        <f>Table13[[#This Row],[Date]]-DAY(Table13[[#This Row],[Date]])+1</f>
        <v>46174</v>
      </c>
      <c r="E455" s="10">
        <f t="shared" ref="E455:E518" si="40">DAY(EOMONTH(A455,0))</f>
        <v>30</v>
      </c>
      <c r="F455" s="241" t="str">
        <f>IFERROR(_xlfn.XLOOKUP($A455,Input_Raw!$E:$E,Input_Raw!DC:DC),"")</f>
        <v/>
      </c>
      <c r="G455" s="242"/>
      <c r="H455" s="242"/>
      <c r="I455" s="242"/>
      <c r="J455" s="242"/>
      <c r="K455" s="243"/>
      <c r="L455" s="242"/>
      <c r="M455" s="242" t="str">
        <f>IFERROR(_xlfn.XLOOKUP($A455,Input_Raw!$E:$E,Input_Raw!$BM:$BM),"")</f>
        <v/>
      </c>
      <c r="N455" s="242" t="str">
        <f>IFERROR(_xlfn.XLOOKUP($A455,Input_Raw!$E:$E,Input_Raw!$BN:$BN),"")</f>
        <v/>
      </c>
      <c r="O455" s="311" t="str">
        <f t="shared" ref="O455:O518" si="41">IFERROR(P455*Q455,"")</f>
        <v/>
      </c>
      <c r="P455" s="311" t="str">
        <f>IFERROR(1-SUMIF(WTG_BD!$F:$F,$A455,WTG_BD!$AA:$AA)/($AA455+SUMIF(WTG_BD!$F:$F,$A455,WTG_BD!$AA:$AA)),"")</f>
        <v/>
      </c>
      <c r="Q455" s="328" t="str">
        <f>IFERROR(1-SUMIF(IGA_BD!$F:$F,$A455,IGA_BD!$W:$W)/($AA455+SUMIF(IGA_BD!$F:$F,$A455,IGA_BD!$W:$W)),"")</f>
        <v/>
      </c>
      <c r="R455" s="311" t="str">
        <f>IFERROR(1-SUMIF(Grid_BD!$F:$F,$A455,Grid_BD!$Y:$Y)/($AA455+SUMIF(Grid_BD!$F:$F,$A455,Grid_BD!$Y:$Y)),"")</f>
        <v/>
      </c>
      <c r="S455" s="10"/>
      <c r="T455" s="310"/>
      <c r="U455" s="311"/>
      <c r="V455" s="10"/>
      <c r="W455" s="312" t="str">
        <f t="shared" ref="W455:W518" si="42">IFERROR(X455/(24*AR455*1000),"")</f>
        <v/>
      </c>
      <c r="X455" s="10" t="str">
        <f>IFERROR(_xlfn.XLOOKUP($A455,Input_Raw!$E:$E,Input_Raw!BG:BG),"")</f>
        <v/>
      </c>
      <c r="Y455" s="10" t="str">
        <f>IFERROR(_xlfn.XLOOKUP($A455,Input_Raw!$E:$E,Input_Raw!DF:DF),"")</f>
        <v/>
      </c>
      <c r="Z455" s="319" t="str">
        <f>IFERROR(_xlfn.XLOOKUP(A455,Input_Raw!E:E,Input_Raw!CT:CT)/_xlfn.XLOOKUP(A455,Input_Raw!E:E,Input_Raw!CS:CS)*Table13[[#This Row],[Mtr_Export (kWh)]],"")</f>
        <v/>
      </c>
      <c r="AA455" s="43" t="str">
        <f t="shared" ref="AA455:AA518" si="43">IFERROR(Y455-Z455,"")</f>
        <v/>
      </c>
      <c r="AB455" s="10" t="str">
        <f>IFERROR(_xlfn.XLOOKUP($A455,Input_Raw!$E:$E,Input_Raw!$CZ:$CZ),"")</f>
        <v/>
      </c>
      <c r="AC455" s="313" t="str">
        <f>IFERROR(_xlfn.XLOOKUP($D455,'Modelling New'!$D:$D,'Modelling New'!$J:$J),"")</f>
        <v/>
      </c>
      <c r="AD455" s="43" t="str">
        <f>IFERROR(_xlfn.XLOOKUP($D455,'Modelling New'!$D:$D,'Modelling New'!$T:$T)*1000,"")</f>
        <v/>
      </c>
      <c r="AE455" s="312"/>
      <c r="AF455" s="312" t="str">
        <f>IFERROR(_xlfn.XLOOKUP($D455,'Modelling New'!$D:$D,'Modelling New'!$W:$W),"")</f>
        <v/>
      </c>
      <c r="AG455" s="312" t="str">
        <f>IFERROR(_xlfn.XLOOKUP($D455,'Modelling New'!$D:$D,'Modelling New'!$AE:$AE),"")</f>
        <v/>
      </c>
      <c r="AH455" s="312" t="str">
        <f>IFERROR(_xlfn.XLOOKUP($D455,'Modelling New'!$D:$D,'Modelling New'!$AF:$AF),"")</f>
        <v/>
      </c>
      <c r="AI455" s="10" t="str">
        <f>IFERROR(_xlfn.XLOOKUP($A455,Input_Raw!$E:$E,Input_Raw!$DG:$DG),"")</f>
        <v/>
      </c>
      <c r="AJ455" s="10"/>
      <c r="AK455" s="10"/>
      <c r="AL455" s="10"/>
      <c r="AM455" s="10"/>
      <c r="AN455" s="314" t="str">
        <f>IFERROR(_xlfn.XLOOKUP($A455,Input_Raw!$E:$E,Input_Raw!$CY:$CY),"")</f>
        <v/>
      </c>
      <c r="AO455" s="312" t="str">
        <f>IFERROR((_xlfn.XLOOKUP($A455,'WTG Reactive Power'!$A:$A,'WTG Reactive Power'!AB:AB))/X455,"")</f>
        <v/>
      </c>
      <c r="AP455" s="312" t="str">
        <f>IFERROR(_xlfn.XLOOKUP($D455,'Modelling New'!$D:$D,'Modelling New'!AK:AK),"")</f>
        <v/>
      </c>
      <c r="AQ455" s="312" t="str">
        <f>IFERROR(_xlfn.XLOOKUP($D455,'Modelling New'!$D:$D,'Modelling New'!AL:AL),"")</f>
        <v/>
      </c>
      <c r="AR455" s="325" t="str">
        <f>IFERROR(_xlfn.XLOOKUP($D455,'Modelling New'!$D:$D,'Modelling New'!$N:$N),"")</f>
        <v/>
      </c>
      <c r="AS455" s="325"/>
    </row>
    <row r="456" spans="1:45">
      <c r="A456" s="32">
        <f t="shared" si="39"/>
        <v>46199</v>
      </c>
      <c r="B456" s="43">
        <f>YEAR(Table13[[#This Row],[Date]])+IF(MONTH(Table13[[#This Row],[Date]])&gt;=4,1,0)</f>
        <v>2027</v>
      </c>
      <c r="C456" s="10">
        <f>YEAR(Table13[[#This Row],[Date]])</f>
        <v>2026</v>
      </c>
      <c r="D456" s="309">
        <f>Table13[[#This Row],[Date]]-DAY(Table13[[#This Row],[Date]])+1</f>
        <v>46174</v>
      </c>
      <c r="E456" s="10">
        <f t="shared" si="40"/>
        <v>30</v>
      </c>
      <c r="F456" s="241" t="str">
        <f>IFERROR(_xlfn.XLOOKUP($A456,Input_Raw!$E:$E,Input_Raw!DC:DC),"")</f>
        <v/>
      </c>
      <c r="G456" s="313"/>
      <c r="H456" s="313"/>
      <c r="I456" s="313"/>
      <c r="J456" s="313"/>
      <c r="K456" s="243"/>
      <c r="L456" s="242"/>
      <c r="M456" s="242" t="str">
        <f>IFERROR(_xlfn.XLOOKUP($A456,Input_Raw!$E:$E,Input_Raw!$BM:$BM),"")</f>
        <v/>
      </c>
      <c r="N456" s="242" t="str">
        <f>IFERROR(_xlfn.XLOOKUP($A456,Input_Raw!$E:$E,Input_Raw!$BN:$BN),"")</f>
        <v/>
      </c>
      <c r="O456" s="311" t="str">
        <f t="shared" si="41"/>
        <v/>
      </c>
      <c r="P456" s="311" t="str">
        <f>IFERROR(1-SUMIF(WTG_BD!$F:$F,$A456,WTG_BD!$AA:$AA)/($AA456+SUMIF(WTG_BD!$F:$F,$A456,WTG_BD!$AA:$AA)),"")</f>
        <v/>
      </c>
      <c r="Q456" s="328" t="str">
        <f>IFERROR(1-SUMIF(IGA_BD!$F:$F,$A456,IGA_BD!$W:$W)/($AA456+SUMIF(IGA_BD!$F:$F,$A456,IGA_BD!$W:$W)),"")</f>
        <v/>
      </c>
      <c r="R456" s="47" t="str">
        <f>IFERROR(1-SUMIF(Grid_BD!$F:$F,$A456,Grid_BD!$Y:$Y)/($AA456+SUMIF(Grid_BD!$F:$F,$A456,Grid_BD!$Y:$Y)),"")</f>
        <v/>
      </c>
      <c r="S456" s="10"/>
      <c r="T456" s="310"/>
      <c r="U456" s="311"/>
      <c r="V456" s="10"/>
      <c r="W456" s="312" t="str">
        <f t="shared" si="42"/>
        <v/>
      </c>
      <c r="X456" s="10" t="str">
        <f>IFERROR(_xlfn.XLOOKUP($A456,Input_Raw!$E:$E,Input_Raw!BG:BG),"")</f>
        <v/>
      </c>
      <c r="Y456" s="10" t="str">
        <f>IFERROR(_xlfn.XLOOKUP($A456,Input_Raw!$E:$E,Input_Raw!DF:DF),"")</f>
        <v/>
      </c>
      <c r="Z456" s="319" t="str">
        <f>IFERROR(_xlfn.XLOOKUP(A456,Input_Raw!E:E,Input_Raw!CT:CT)/_xlfn.XLOOKUP(A456,Input_Raw!E:E,Input_Raw!CS:CS)*Table13[[#This Row],[Mtr_Export (kWh)]],"")</f>
        <v/>
      </c>
      <c r="AA456" s="43" t="str">
        <f t="shared" si="43"/>
        <v/>
      </c>
      <c r="AB456" s="10" t="str">
        <f>IFERROR(_xlfn.XLOOKUP($A456,Input_Raw!$E:$E,Input_Raw!$CZ:$CZ),"")</f>
        <v/>
      </c>
      <c r="AC456" s="313" t="str">
        <f>IFERROR(_xlfn.XLOOKUP($D456,'Modelling New'!$D:$D,'Modelling New'!$J:$J),"")</f>
        <v/>
      </c>
      <c r="AD456" s="43" t="str">
        <f>IFERROR(_xlfn.XLOOKUP($D456,'Modelling New'!$D:$D,'Modelling New'!$T:$T)*1000,"")</f>
        <v/>
      </c>
      <c r="AE456" s="312"/>
      <c r="AF456" s="312" t="str">
        <f>IFERROR(_xlfn.XLOOKUP($D456,'Modelling New'!$D:$D,'Modelling New'!$W:$W),"")</f>
        <v/>
      </c>
      <c r="AG456" s="312" t="str">
        <f>IFERROR(_xlfn.XLOOKUP($D456,'Modelling New'!$D:$D,'Modelling New'!$AE:$AE),"")</f>
        <v/>
      </c>
      <c r="AH456" s="312" t="str">
        <f>IFERROR(_xlfn.XLOOKUP($D456,'Modelling New'!$D:$D,'Modelling New'!$AF:$AF),"")</f>
        <v/>
      </c>
      <c r="AI456" s="10" t="str">
        <f>IFERROR(_xlfn.XLOOKUP($A456,Input_Raw!$E:$E,Input_Raw!$DG:$DG),"")</f>
        <v/>
      </c>
      <c r="AJ456" s="10"/>
      <c r="AK456" s="10"/>
      <c r="AL456" s="10"/>
      <c r="AM456" s="10"/>
      <c r="AN456" s="314" t="str">
        <f>IFERROR(_xlfn.XLOOKUP($A456,Input_Raw!$E:$E,Input_Raw!$CY:$CY),"")</f>
        <v/>
      </c>
      <c r="AO456" s="312" t="str">
        <f>IFERROR((_xlfn.XLOOKUP($A456,'WTG Reactive Power'!$A:$A,'WTG Reactive Power'!AB:AB))/X456,"")</f>
        <v/>
      </c>
      <c r="AP456" s="312" t="str">
        <f>IFERROR(_xlfn.XLOOKUP($D456,'Modelling New'!$D:$D,'Modelling New'!AK:AK),"")</f>
        <v/>
      </c>
      <c r="AQ456" s="312" t="str">
        <f>IFERROR(_xlfn.XLOOKUP($D456,'Modelling New'!$D:$D,'Modelling New'!AL:AL),"")</f>
        <v/>
      </c>
      <c r="AR456" s="325" t="str">
        <f>IFERROR(_xlfn.XLOOKUP($D456,'Modelling New'!$D:$D,'Modelling New'!$N:$N),"")</f>
        <v/>
      </c>
      <c r="AS456" s="325"/>
    </row>
    <row r="457" spans="1:45">
      <c r="A457" s="32">
        <f t="shared" ref="A457:A520" si="44">A456+1</f>
        <v>46200</v>
      </c>
      <c r="B457" s="43">
        <f>YEAR(Table13[[#This Row],[Date]])+IF(MONTH(Table13[[#This Row],[Date]])&gt;=4,1,0)</f>
        <v>2027</v>
      </c>
      <c r="C457" s="10">
        <f>YEAR(Table13[[#This Row],[Date]])</f>
        <v>2026</v>
      </c>
      <c r="D457" s="309">
        <f>Table13[[#This Row],[Date]]-DAY(Table13[[#This Row],[Date]])+1</f>
        <v>46174</v>
      </c>
      <c r="E457" s="10">
        <f t="shared" si="40"/>
        <v>30</v>
      </c>
      <c r="F457" s="241" t="str">
        <f>IFERROR(_xlfn.XLOOKUP($A457,Input_Raw!$E:$E,Input_Raw!DC:DC),"")</f>
        <v/>
      </c>
      <c r="G457" s="242"/>
      <c r="H457" s="242"/>
      <c r="I457" s="242"/>
      <c r="J457" s="242"/>
      <c r="K457" s="243"/>
      <c r="L457" s="242"/>
      <c r="M457" s="242" t="str">
        <f>IFERROR(_xlfn.XLOOKUP($A457,Input_Raw!$E:$E,Input_Raw!$BM:$BM),"")</f>
        <v/>
      </c>
      <c r="N457" s="242" t="str">
        <f>IFERROR(_xlfn.XLOOKUP($A457,Input_Raw!$E:$E,Input_Raw!$BN:$BN),"")</f>
        <v/>
      </c>
      <c r="O457" s="311" t="str">
        <f t="shared" si="41"/>
        <v/>
      </c>
      <c r="P457" s="311" t="str">
        <f>IFERROR(1-SUMIF(WTG_BD!$F:$F,$A457,WTG_BD!$AA:$AA)/($AA457+SUMIF(WTG_BD!$F:$F,$A457,WTG_BD!$AA:$AA)),"")</f>
        <v/>
      </c>
      <c r="Q457" s="328" t="str">
        <f>IFERROR(1-SUMIF(IGA_BD!$F:$F,$A457,IGA_BD!$W:$W)/($AA457+SUMIF(IGA_BD!$F:$F,$A457,IGA_BD!$W:$W)),"")</f>
        <v/>
      </c>
      <c r="R457" s="311" t="str">
        <f>IFERROR(1-SUMIF(Grid_BD!$F:$F,$A457,Grid_BD!$Y:$Y)/($AA457+SUMIF(Grid_BD!$F:$F,$A457,Grid_BD!$Y:$Y)),"")</f>
        <v/>
      </c>
      <c r="S457" s="10"/>
      <c r="T457" s="310"/>
      <c r="U457" s="311"/>
      <c r="V457" s="10"/>
      <c r="W457" s="312" t="str">
        <f t="shared" si="42"/>
        <v/>
      </c>
      <c r="X457" s="10" t="str">
        <f>IFERROR(_xlfn.XLOOKUP($A457,Input_Raw!$E:$E,Input_Raw!BG:BG),"")</f>
        <v/>
      </c>
      <c r="Y457" s="10" t="str">
        <f>IFERROR(_xlfn.XLOOKUP($A457,Input_Raw!$E:$E,Input_Raw!DF:DF),"")</f>
        <v/>
      </c>
      <c r="Z457" s="319" t="str">
        <f>IFERROR(_xlfn.XLOOKUP(A457,Input_Raw!E:E,Input_Raw!CT:CT)/_xlfn.XLOOKUP(A457,Input_Raw!E:E,Input_Raw!CS:CS)*Table13[[#This Row],[Mtr_Export (kWh)]],"")</f>
        <v/>
      </c>
      <c r="AA457" s="43" t="str">
        <f t="shared" si="43"/>
        <v/>
      </c>
      <c r="AB457" s="10" t="str">
        <f>IFERROR(_xlfn.XLOOKUP($A457,Input_Raw!$E:$E,Input_Raw!$CZ:$CZ),"")</f>
        <v/>
      </c>
      <c r="AC457" s="313" t="str">
        <f>IFERROR(_xlfn.XLOOKUP($D457,'Modelling New'!$D:$D,'Modelling New'!$J:$J),"")</f>
        <v/>
      </c>
      <c r="AD457" s="43" t="str">
        <f>IFERROR(_xlfn.XLOOKUP($D457,'Modelling New'!$D:$D,'Modelling New'!$T:$T)*1000,"")</f>
        <v/>
      </c>
      <c r="AE457" s="312"/>
      <c r="AF457" s="312" t="str">
        <f>IFERROR(_xlfn.XLOOKUP($D457,'Modelling New'!$D:$D,'Modelling New'!$W:$W),"")</f>
        <v/>
      </c>
      <c r="AG457" s="312" t="str">
        <f>IFERROR(_xlfn.XLOOKUP($D457,'Modelling New'!$D:$D,'Modelling New'!$AE:$AE),"")</f>
        <v/>
      </c>
      <c r="AH457" s="312" t="str">
        <f>IFERROR(_xlfn.XLOOKUP($D457,'Modelling New'!$D:$D,'Modelling New'!$AF:$AF),"")</f>
        <v/>
      </c>
      <c r="AI457" s="10" t="str">
        <f>IFERROR(_xlfn.XLOOKUP($A457,Input_Raw!$E:$E,Input_Raw!$DG:$DG),"")</f>
        <v/>
      </c>
      <c r="AJ457" s="10"/>
      <c r="AK457" s="10"/>
      <c r="AL457" s="10"/>
      <c r="AM457" s="10"/>
      <c r="AN457" s="314" t="str">
        <f>IFERROR(_xlfn.XLOOKUP($A457,Input_Raw!$E:$E,Input_Raw!$CY:$CY),"")</f>
        <v/>
      </c>
      <c r="AO457" s="312" t="str">
        <f>IFERROR((_xlfn.XLOOKUP($A457,'WTG Reactive Power'!$A:$A,'WTG Reactive Power'!AB:AB))/X457,"")</f>
        <v/>
      </c>
      <c r="AP457" s="312" t="str">
        <f>IFERROR(_xlfn.XLOOKUP($D457,'Modelling New'!$D:$D,'Modelling New'!AK:AK),"")</f>
        <v/>
      </c>
      <c r="AQ457" s="312" t="str">
        <f>IFERROR(_xlfn.XLOOKUP($D457,'Modelling New'!$D:$D,'Modelling New'!AL:AL),"")</f>
        <v/>
      </c>
      <c r="AR457" s="325" t="str">
        <f>IFERROR(_xlfn.XLOOKUP($D457,'Modelling New'!$D:$D,'Modelling New'!$N:$N),"")</f>
        <v/>
      </c>
      <c r="AS457" s="325"/>
    </row>
    <row r="458" spans="1:45">
      <c r="A458" s="32">
        <f t="shared" si="44"/>
        <v>46201</v>
      </c>
      <c r="B458" s="43">
        <f>YEAR(Table13[[#This Row],[Date]])+IF(MONTH(Table13[[#This Row],[Date]])&gt;=4,1,0)</f>
        <v>2027</v>
      </c>
      <c r="C458" s="10">
        <f>YEAR(Table13[[#This Row],[Date]])</f>
        <v>2026</v>
      </c>
      <c r="D458" s="309">
        <f>Table13[[#This Row],[Date]]-DAY(Table13[[#This Row],[Date]])+1</f>
        <v>46174</v>
      </c>
      <c r="E458" s="10">
        <f t="shared" si="40"/>
        <v>30</v>
      </c>
      <c r="F458" s="241" t="str">
        <f>IFERROR(_xlfn.XLOOKUP($A458,Input_Raw!$E:$E,Input_Raw!DC:DC),"")</f>
        <v/>
      </c>
      <c r="G458" s="313"/>
      <c r="H458" s="313"/>
      <c r="I458" s="313"/>
      <c r="J458" s="313"/>
      <c r="K458" s="243"/>
      <c r="L458" s="242"/>
      <c r="M458" s="242" t="str">
        <f>IFERROR(_xlfn.XLOOKUP($A458,Input_Raw!$E:$E,Input_Raw!$BM:$BM),"")</f>
        <v/>
      </c>
      <c r="N458" s="242" t="str">
        <f>IFERROR(_xlfn.XLOOKUP($A458,Input_Raw!$E:$E,Input_Raw!$BN:$BN),"")</f>
        <v/>
      </c>
      <c r="O458" s="311" t="str">
        <f t="shared" si="41"/>
        <v/>
      </c>
      <c r="P458" s="311" t="str">
        <f>IFERROR(1-SUMIF(WTG_BD!$F:$F,$A458,WTG_BD!$AA:$AA)/($AA458+SUMIF(WTG_BD!$F:$F,$A458,WTG_BD!$AA:$AA)),"")</f>
        <v/>
      </c>
      <c r="Q458" s="328" t="str">
        <f>IFERROR(1-SUMIF(IGA_BD!$F:$F,$A458,IGA_BD!$W:$W)/($AA458+SUMIF(IGA_BD!$F:$F,$A458,IGA_BD!$W:$W)),"")</f>
        <v/>
      </c>
      <c r="R458" s="47" t="str">
        <f>IFERROR(1-SUMIF(Grid_BD!$F:$F,$A458,Grid_BD!$Y:$Y)/($AA458+SUMIF(Grid_BD!$F:$F,$A458,Grid_BD!$Y:$Y)),"")</f>
        <v/>
      </c>
      <c r="S458" s="10"/>
      <c r="T458" s="310"/>
      <c r="U458" s="311"/>
      <c r="V458" s="10"/>
      <c r="W458" s="312" t="str">
        <f t="shared" si="42"/>
        <v/>
      </c>
      <c r="X458" s="10" t="str">
        <f>IFERROR(_xlfn.XLOOKUP($A458,Input_Raw!$E:$E,Input_Raw!BG:BG),"")</f>
        <v/>
      </c>
      <c r="Y458" s="10" t="str">
        <f>IFERROR(_xlfn.XLOOKUP($A458,Input_Raw!$E:$E,Input_Raw!DF:DF),"")</f>
        <v/>
      </c>
      <c r="Z458" s="319" t="str">
        <f>IFERROR(_xlfn.XLOOKUP(A458,Input_Raw!E:E,Input_Raw!CT:CT)/_xlfn.XLOOKUP(A458,Input_Raw!E:E,Input_Raw!CS:CS)*Table13[[#This Row],[Mtr_Export (kWh)]],"")</f>
        <v/>
      </c>
      <c r="AA458" s="43" t="str">
        <f t="shared" si="43"/>
        <v/>
      </c>
      <c r="AB458" s="10" t="str">
        <f>IFERROR(_xlfn.XLOOKUP($A458,Input_Raw!$E:$E,Input_Raw!$CZ:$CZ),"")</f>
        <v/>
      </c>
      <c r="AC458" s="313" t="str">
        <f>IFERROR(_xlfn.XLOOKUP($D458,'Modelling New'!$D:$D,'Modelling New'!$J:$J),"")</f>
        <v/>
      </c>
      <c r="AD458" s="43" t="str">
        <f>IFERROR(_xlfn.XLOOKUP($D458,'Modelling New'!$D:$D,'Modelling New'!$T:$T)*1000,"")</f>
        <v/>
      </c>
      <c r="AE458" s="312"/>
      <c r="AF458" s="312" t="str">
        <f>IFERROR(_xlfn.XLOOKUP($D458,'Modelling New'!$D:$D,'Modelling New'!$W:$W),"")</f>
        <v/>
      </c>
      <c r="AG458" s="312" t="str">
        <f>IFERROR(_xlfn.XLOOKUP($D458,'Modelling New'!$D:$D,'Modelling New'!$AE:$AE),"")</f>
        <v/>
      </c>
      <c r="AH458" s="312" t="str">
        <f>IFERROR(_xlfn.XLOOKUP($D458,'Modelling New'!$D:$D,'Modelling New'!$AF:$AF),"")</f>
        <v/>
      </c>
      <c r="AI458" s="10" t="str">
        <f>IFERROR(_xlfn.XLOOKUP($A458,Input_Raw!$E:$E,Input_Raw!$DG:$DG),"")</f>
        <v/>
      </c>
      <c r="AJ458" s="10"/>
      <c r="AK458" s="10"/>
      <c r="AL458" s="10"/>
      <c r="AM458" s="10"/>
      <c r="AN458" s="314" t="str">
        <f>IFERROR(_xlfn.XLOOKUP($A458,Input_Raw!$E:$E,Input_Raw!$CY:$CY),"")</f>
        <v/>
      </c>
      <c r="AO458" s="312" t="str">
        <f>IFERROR((_xlfn.XLOOKUP($A458,'WTG Reactive Power'!$A:$A,'WTG Reactive Power'!AB:AB))/X458,"")</f>
        <v/>
      </c>
      <c r="AP458" s="312" t="str">
        <f>IFERROR(_xlfn.XLOOKUP($D458,'Modelling New'!$D:$D,'Modelling New'!AK:AK),"")</f>
        <v/>
      </c>
      <c r="AQ458" s="312" t="str">
        <f>IFERROR(_xlfn.XLOOKUP($D458,'Modelling New'!$D:$D,'Modelling New'!AL:AL),"")</f>
        <v/>
      </c>
      <c r="AR458" s="325" t="str">
        <f>IFERROR(_xlfn.XLOOKUP($D458,'Modelling New'!$D:$D,'Modelling New'!$N:$N),"")</f>
        <v/>
      </c>
      <c r="AS458" s="325"/>
    </row>
    <row r="459" spans="1:45">
      <c r="A459" s="32">
        <f t="shared" si="44"/>
        <v>46202</v>
      </c>
      <c r="B459" s="43">
        <f>YEAR(Table13[[#This Row],[Date]])+IF(MONTH(Table13[[#This Row],[Date]])&gt;=4,1,0)</f>
        <v>2027</v>
      </c>
      <c r="C459" s="10">
        <f>YEAR(Table13[[#This Row],[Date]])</f>
        <v>2026</v>
      </c>
      <c r="D459" s="309">
        <f>Table13[[#This Row],[Date]]-DAY(Table13[[#This Row],[Date]])+1</f>
        <v>46174</v>
      </c>
      <c r="E459" s="10">
        <f t="shared" si="40"/>
        <v>30</v>
      </c>
      <c r="F459" s="241" t="str">
        <f>IFERROR(_xlfn.XLOOKUP($A459,Input_Raw!$E:$E,Input_Raw!DC:DC),"")</f>
        <v/>
      </c>
      <c r="G459" s="242"/>
      <c r="H459" s="242"/>
      <c r="I459" s="242"/>
      <c r="J459" s="242"/>
      <c r="K459" s="243"/>
      <c r="L459" s="242"/>
      <c r="M459" s="242" t="str">
        <f>IFERROR(_xlfn.XLOOKUP($A459,Input_Raw!$E:$E,Input_Raw!$BM:$BM),"")</f>
        <v/>
      </c>
      <c r="N459" s="242" t="str">
        <f>IFERROR(_xlfn.XLOOKUP($A459,Input_Raw!$E:$E,Input_Raw!$BN:$BN),"")</f>
        <v/>
      </c>
      <c r="O459" s="311" t="str">
        <f t="shared" si="41"/>
        <v/>
      </c>
      <c r="P459" s="311" t="str">
        <f>IFERROR(1-SUMIF(WTG_BD!$F:$F,$A459,WTG_BD!$AA:$AA)/($AA459+SUMIF(WTG_BD!$F:$F,$A459,WTG_BD!$AA:$AA)),"")</f>
        <v/>
      </c>
      <c r="Q459" s="328" t="str">
        <f>IFERROR(1-SUMIF(IGA_BD!$F:$F,$A459,IGA_BD!$W:$W)/($AA459+SUMIF(IGA_BD!$F:$F,$A459,IGA_BD!$W:$W)),"")</f>
        <v/>
      </c>
      <c r="R459" s="311" t="str">
        <f>IFERROR(1-SUMIF(Grid_BD!$F:$F,$A459,Grid_BD!$Y:$Y)/($AA459+SUMIF(Grid_BD!$F:$F,$A459,Grid_BD!$Y:$Y)),"")</f>
        <v/>
      </c>
      <c r="S459" s="10"/>
      <c r="T459" s="310"/>
      <c r="U459" s="311"/>
      <c r="V459" s="10"/>
      <c r="W459" s="312" t="str">
        <f t="shared" si="42"/>
        <v/>
      </c>
      <c r="X459" s="10" t="str">
        <f>IFERROR(_xlfn.XLOOKUP($A459,Input_Raw!$E:$E,Input_Raw!BG:BG),"")</f>
        <v/>
      </c>
      <c r="Y459" s="10" t="str">
        <f>IFERROR(_xlfn.XLOOKUP($A459,Input_Raw!$E:$E,Input_Raw!DF:DF),"")</f>
        <v/>
      </c>
      <c r="Z459" s="319" t="str">
        <f>IFERROR(_xlfn.XLOOKUP(A459,Input_Raw!E:E,Input_Raw!CT:CT)/_xlfn.XLOOKUP(A459,Input_Raw!E:E,Input_Raw!CS:CS)*Table13[[#This Row],[Mtr_Export (kWh)]],"")</f>
        <v/>
      </c>
      <c r="AA459" s="43" t="str">
        <f t="shared" si="43"/>
        <v/>
      </c>
      <c r="AB459" s="10" t="str">
        <f>IFERROR(_xlfn.XLOOKUP($A459,Input_Raw!$E:$E,Input_Raw!$CZ:$CZ),"")</f>
        <v/>
      </c>
      <c r="AC459" s="313" t="str">
        <f>IFERROR(_xlfn.XLOOKUP($D459,'Modelling New'!$D:$D,'Modelling New'!$J:$J),"")</f>
        <v/>
      </c>
      <c r="AD459" s="43" t="str">
        <f>IFERROR(_xlfn.XLOOKUP($D459,'Modelling New'!$D:$D,'Modelling New'!$T:$T)*1000,"")</f>
        <v/>
      </c>
      <c r="AE459" s="312"/>
      <c r="AF459" s="312" t="str">
        <f>IFERROR(_xlfn.XLOOKUP($D459,'Modelling New'!$D:$D,'Modelling New'!$W:$W),"")</f>
        <v/>
      </c>
      <c r="AG459" s="312" t="str">
        <f>IFERROR(_xlfn.XLOOKUP($D459,'Modelling New'!$D:$D,'Modelling New'!$AE:$AE),"")</f>
        <v/>
      </c>
      <c r="AH459" s="312" t="str">
        <f>IFERROR(_xlfn.XLOOKUP($D459,'Modelling New'!$D:$D,'Modelling New'!$AF:$AF),"")</f>
        <v/>
      </c>
      <c r="AI459" s="10" t="str">
        <f>IFERROR(_xlfn.XLOOKUP($A459,Input_Raw!$E:$E,Input_Raw!$DG:$DG),"")</f>
        <v/>
      </c>
      <c r="AJ459" s="10"/>
      <c r="AK459" s="10"/>
      <c r="AL459" s="10"/>
      <c r="AM459" s="10"/>
      <c r="AN459" s="314" t="str">
        <f>IFERROR(_xlfn.XLOOKUP($A459,Input_Raw!$E:$E,Input_Raw!$CY:$CY),"")</f>
        <v/>
      </c>
      <c r="AO459" s="312" t="str">
        <f>IFERROR((_xlfn.XLOOKUP($A459,'WTG Reactive Power'!$A:$A,'WTG Reactive Power'!AB:AB))/X459,"")</f>
        <v/>
      </c>
      <c r="AP459" s="312" t="str">
        <f>IFERROR(_xlfn.XLOOKUP($D459,'Modelling New'!$D:$D,'Modelling New'!AK:AK),"")</f>
        <v/>
      </c>
      <c r="AQ459" s="312" t="str">
        <f>IFERROR(_xlfn.XLOOKUP($D459,'Modelling New'!$D:$D,'Modelling New'!AL:AL),"")</f>
        <v/>
      </c>
      <c r="AR459" s="325" t="str">
        <f>IFERROR(_xlfn.XLOOKUP($D459,'Modelling New'!$D:$D,'Modelling New'!$N:$N),"")</f>
        <v/>
      </c>
      <c r="AS459" s="325"/>
    </row>
    <row r="460" spans="1:45">
      <c r="A460" s="32">
        <f t="shared" si="44"/>
        <v>46203</v>
      </c>
      <c r="B460" s="43">
        <f>YEAR(Table13[[#This Row],[Date]])+IF(MONTH(Table13[[#This Row],[Date]])&gt;=4,1,0)</f>
        <v>2027</v>
      </c>
      <c r="C460" s="10">
        <f>YEAR(Table13[[#This Row],[Date]])</f>
        <v>2026</v>
      </c>
      <c r="D460" s="309">
        <f>Table13[[#This Row],[Date]]-DAY(Table13[[#This Row],[Date]])+1</f>
        <v>46174</v>
      </c>
      <c r="E460" s="10">
        <f t="shared" si="40"/>
        <v>30</v>
      </c>
      <c r="F460" s="241" t="str">
        <f>IFERROR(_xlfn.XLOOKUP($A460,Input_Raw!$E:$E,Input_Raw!DC:DC),"")</f>
        <v/>
      </c>
      <c r="G460" s="313"/>
      <c r="H460" s="313"/>
      <c r="I460" s="313"/>
      <c r="J460" s="313"/>
      <c r="K460" s="243"/>
      <c r="L460" s="242"/>
      <c r="M460" s="242" t="str">
        <f>IFERROR(_xlfn.XLOOKUP($A460,Input_Raw!$E:$E,Input_Raw!$BM:$BM),"")</f>
        <v/>
      </c>
      <c r="N460" s="242" t="str">
        <f>IFERROR(_xlfn.XLOOKUP($A460,Input_Raw!$E:$E,Input_Raw!$BN:$BN),"")</f>
        <v/>
      </c>
      <c r="O460" s="311" t="str">
        <f t="shared" si="41"/>
        <v/>
      </c>
      <c r="P460" s="311" t="str">
        <f>IFERROR(1-SUMIF(WTG_BD!$F:$F,$A460,WTG_BD!$AA:$AA)/($AA460+SUMIF(WTG_BD!$F:$F,$A460,WTG_BD!$AA:$AA)),"")</f>
        <v/>
      </c>
      <c r="Q460" s="328" t="str">
        <f>IFERROR(1-SUMIF(IGA_BD!$F:$F,$A460,IGA_BD!$W:$W)/($AA460+SUMIF(IGA_BD!$F:$F,$A460,IGA_BD!$W:$W)),"")</f>
        <v/>
      </c>
      <c r="R460" s="47" t="str">
        <f>IFERROR(1-SUMIF(Grid_BD!$F:$F,$A460,Grid_BD!$Y:$Y)/($AA460+SUMIF(Grid_BD!$F:$F,$A460,Grid_BD!$Y:$Y)),"")</f>
        <v/>
      </c>
      <c r="S460" s="10"/>
      <c r="T460" s="310"/>
      <c r="U460" s="311"/>
      <c r="V460" s="10"/>
      <c r="W460" s="312" t="str">
        <f t="shared" si="42"/>
        <v/>
      </c>
      <c r="X460" s="10" t="str">
        <f>IFERROR(_xlfn.XLOOKUP($A460,Input_Raw!$E:$E,Input_Raw!BG:BG),"")</f>
        <v/>
      </c>
      <c r="Y460" s="10" t="str">
        <f>IFERROR(_xlfn.XLOOKUP($A460,Input_Raw!$E:$E,Input_Raw!DF:DF),"")</f>
        <v/>
      </c>
      <c r="Z460" s="319" t="str">
        <f>IFERROR(_xlfn.XLOOKUP(A460,Input_Raw!E:E,Input_Raw!CT:CT)/_xlfn.XLOOKUP(A460,Input_Raw!E:E,Input_Raw!CS:CS)*Table13[[#This Row],[Mtr_Export (kWh)]],"")</f>
        <v/>
      </c>
      <c r="AA460" s="43" t="str">
        <f t="shared" si="43"/>
        <v/>
      </c>
      <c r="AB460" s="10" t="str">
        <f>IFERROR(_xlfn.XLOOKUP($A460,Input_Raw!$E:$E,Input_Raw!$CZ:$CZ),"")</f>
        <v/>
      </c>
      <c r="AC460" s="313" t="str">
        <f>IFERROR(_xlfn.XLOOKUP($D460,'Modelling New'!$D:$D,'Modelling New'!$J:$J),"")</f>
        <v/>
      </c>
      <c r="AD460" s="43" t="str">
        <f>IFERROR(_xlfn.XLOOKUP($D460,'Modelling New'!$D:$D,'Modelling New'!$T:$T)*1000,"")</f>
        <v/>
      </c>
      <c r="AE460" s="312"/>
      <c r="AF460" s="312" t="str">
        <f>IFERROR(_xlfn.XLOOKUP($D460,'Modelling New'!$D:$D,'Modelling New'!$W:$W),"")</f>
        <v/>
      </c>
      <c r="AG460" s="312" t="str">
        <f>IFERROR(_xlfn.XLOOKUP($D460,'Modelling New'!$D:$D,'Modelling New'!$AE:$AE),"")</f>
        <v/>
      </c>
      <c r="AH460" s="312" t="str">
        <f>IFERROR(_xlfn.XLOOKUP($D460,'Modelling New'!$D:$D,'Modelling New'!$AF:$AF),"")</f>
        <v/>
      </c>
      <c r="AI460" s="10" t="str">
        <f>IFERROR(_xlfn.XLOOKUP($A460,Input_Raw!$E:$E,Input_Raw!$DG:$DG),"")</f>
        <v/>
      </c>
      <c r="AJ460" s="10"/>
      <c r="AK460" s="10"/>
      <c r="AL460" s="10"/>
      <c r="AM460" s="10"/>
      <c r="AN460" s="314" t="str">
        <f>IFERROR(_xlfn.XLOOKUP($A460,Input_Raw!$E:$E,Input_Raw!$CY:$CY),"")</f>
        <v/>
      </c>
      <c r="AO460" s="312" t="str">
        <f>IFERROR((_xlfn.XLOOKUP($A460,'WTG Reactive Power'!$A:$A,'WTG Reactive Power'!AB:AB))/X460,"")</f>
        <v/>
      </c>
      <c r="AP460" s="312" t="str">
        <f>IFERROR(_xlfn.XLOOKUP($D460,'Modelling New'!$D:$D,'Modelling New'!AK:AK),"")</f>
        <v/>
      </c>
      <c r="AQ460" s="312" t="str">
        <f>IFERROR(_xlfn.XLOOKUP($D460,'Modelling New'!$D:$D,'Modelling New'!AL:AL),"")</f>
        <v/>
      </c>
      <c r="AR460" s="325" t="str">
        <f>IFERROR(_xlfn.XLOOKUP($D460,'Modelling New'!$D:$D,'Modelling New'!$N:$N),"")</f>
        <v/>
      </c>
      <c r="AS460" s="325"/>
    </row>
    <row r="461" spans="1:45">
      <c r="A461" s="32">
        <f t="shared" si="44"/>
        <v>46204</v>
      </c>
      <c r="B461" s="43">
        <f>YEAR(Table13[[#This Row],[Date]])+IF(MONTH(Table13[[#This Row],[Date]])&gt;=4,1,0)</f>
        <v>2027</v>
      </c>
      <c r="C461" s="10">
        <f>YEAR(Table13[[#This Row],[Date]])</f>
        <v>2026</v>
      </c>
      <c r="D461" s="309">
        <f>Table13[[#This Row],[Date]]-DAY(Table13[[#This Row],[Date]])+1</f>
        <v>46204</v>
      </c>
      <c r="E461" s="10">
        <f t="shared" si="40"/>
        <v>31</v>
      </c>
      <c r="F461" s="241" t="str">
        <f>IFERROR(_xlfn.XLOOKUP($A461,Input_Raw!$E:$E,Input_Raw!DC:DC),"")</f>
        <v/>
      </c>
      <c r="G461" s="242"/>
      <c r="H461" s="242"/>
      <c r="I461" s="242"/>
      <c r="J461" s="242"/>
      <c r="K461" s="243"/>
      <c r="L461" s="242"/>
      <c r="M461" s="242" t="str">
        <f>IFERROR(_xlfn.XLOOKUP($A461,Input_Raw!$E:$E,Input_Raw!$BM:$BM),"")</f>
        <v/>
      </c>
      <c r="N461" s="242" t="str">
        <f>IFERROR(_xlfn.XLOOKUP($A461,Input_Raw!$E:$E,Input_Raw!$BN:$BN),"")</f>
        <v/>
      </c>
      <c r="O461" s="311" t="str">
        <f t="shared" si="41"/>
        <v/>
      </c>
      <c r="P461" s="311" t="str">
        <f>IFERROR(1-SUMIF(WTG_BD!$F:$F,$A461,WTG_BD!$AA:$AA)/($AA461+SUMIF(WTG_BD!$F:$F,$A461,WTG_BD!$AA:$AA)),"")</f>
        <v/>
      </c>
      <c r="Q461" s="328" t="str">
        <f>IFERROR(1-SUMIF(IGA_BD!$F:$F,$A461,IGA_BD!$W:$W)/($AA461+SUMIF(IGA_BD!$F:$F,$A461,IGA_BD!$W:$W)),"")</f>
        <v/>
      </c>
      <c r="R461" s="311" t="str">
        <f>IFERROR(1-SUMIF(Grid_BD!$F:$F,$A461,Grid_BD!$Y:$Y)/($AA461+SUMIF(Grid_BD!$F:$F,$A461,Grid_BD!$Y:$Y)),"")</f>
        <v/>
      </c>
      <c r="S461" s="10"/>
      <c r="T461" s="310"/>
      <c r="U461" s="311"/>
      <c r="V461" s="10"/>
      <c r="W461" s="312" t="str">
        <f t="shared" si="42"/>
        <v/>
      </c>
      <c r="X461" s="10" t="str">
        <f>IFERROR(_xlfn.XLOOKUP($A461,Input_Raw!$E:$E,Input_Raw!BG:BG),"")</f>
        <v/>
      </c>
      <c r="Y461" s="10" t="str">
        <f>IFERROR(_xlfn.XLOOKUP($A461,Input_Raw!$E:$E,Input_Raw!DF:DF),"")</f>
        <v/>
      </c>
      <c r="Z461" s="319" t="str">
        <f>IFERROR(_xlfn.XLOOKUP(A461,Input_Raw!E:E,Input_Raw!CT:CT)/_xlfn.XLOOKUP(A461,Input_Raw!E:E,Input_Raw!CS:CS)*Table13[[#This Row],[Mtr_Export (kWh)]],"")</f>
        <v/>
      </c>
      <c r="AA461" s="43" t="str">
        <f t="shared" si="43"/>
        <v/>
      </c>
      <c r="AB461" s="10" t="str">
        <f>IFERROR(_xlfn.XLOOKUP($A461,Input_Raw!$E:$E,Input_Raw!$CZ:$CZ),"")</f>
        <v/>
      </c>
      <c r="AC461" s="313" t="str">
        <f>IFERROR(_xlfn.XLOOKUP($D461,'Modelling New'!$D:$D,'Modelling New'!$J:$J),"")</f>
        <v/>
      </c>
      <c r="AD461" s="43" t="str">
        <f>IFERROR(_xlfn.XLOOKUP($D461,'Modelling New'!$D:$D,'Modelling New'!$T:$T)*1000,"")</f>
        <v/>
      </c>
      <c r="AE461" s="312"/>
      <c r="AF461" s="312" t="str">
        <f>IFERROR(_xlfn.XLOOKUP($D461,'Modelling New'!$D:$D,'Modelling New'!$W:$W),"")</f>
        <v/>
      </c>
      <c r="AG461" s="312" t="str">
        <f>IFERROR(_xlfn.XLOOKUP($D461,'Modelling New'!$D:$D,'Modelling New'!$AE:$AE),"")</f>
        <v/>
      </c>
      <c r="AH461" s="312" t="str">
        <f>IFERROR(_xlfn.XLOOKUP($D461,'Modelling New'!$D:$D,'Modelling New'!$AF:$AF),"")</f>
        <v/>
      </c>
      <c r="AI461" s="10" t="str">
        <f>IFERROR(_xlfn.XLOOKUP($A461,Input_Raw!$E:$E,Input_Raw!$DG:$DG),"")</f>
        <v/>
      </c>
      <c r="AJ461" s="10"/>
      <c r="AK461" s="10"/>
      <c r="AL461" s="10"/>
      <c r="AM461" s="10"/>
      <c r="AN461" s="314" t="str">
        <f>IFERROR(_xlfn.XLOOKUP($A461,Input_Raw!$E:$E,Input_Raw!$CY:$CY),"")</f>
        <v/>
      </c>
      <c r="AO461" s="312" t="str">
        <f>IFERROR((_xlfn.XLOOKUP($A461,'WTG Reactive Power'!$A:$A,'WTG Reactive Power'!AB:AB))/X461,"")</f>
        <v/>
      </c>
      <c r="AP461" s="312" t="str">
        <f>IFERROR(_xlfn.XLOOKUP($D461,'Modelling New'!$D:$D,'Modelling New'!AK:AK),"")</f>
        <v/>
      </c>
      <c r="AQ461" s="312" t="str">
        <f>IFERROR(_xlfn.XLOOKUP($D461,'Modelling New'!$D:$D,'Modelling New'!AL:AL),"")</f>
        <v/>
      </c>
      <c r="AR461" s="325" t="str">
        <f>IFERROR(_xlfn.XLOOKUP($D461,'Modelling New'!$D:$D,'Modelling New'!$N:$N),"")</f>
        <v/>
      </c>
      <c r="AS461" s="325"/>
    </row>
    <row r="462" spans="1:45">
      <c r="A462" s="32">
        <f t="shared" si="44"/>
        <v>46205</v>
      </c>
      <c r="B462" s="43">
        <f>YEAR(Table13[[#This Row],[Date]])+IF(MONTH(Table13[[#This Row],[Date]])&gt;=4,1,0)</f>
        <v>2027</v>
      </c>
      <c r="C462" s="10">
        <f>YEAR(Table13[[#This Row],[Date]])</f>
        <v>2026</v>
      </c>
      <c r="D462" s="309">
        <f>Table13[[#This Row],[Date]]-DAY(Table13[[#This Row],[Date]])+1</f>
        <v>46204</v>
      </c>
      <c r="E462" s="10">
        <f t="shared" si="40"/>
        <v>31</v>
      </c>
      <c r="F462" s="241" t="str">
        <f>IFERROR(_xlfn.XLOOKUP($A462,Input_Raw!$E:$E,Input_Raw!DC:DC),"")</f>
        <v/>
      </c>
      <c r="G462" s="313"/>
      <c r="H462" s="313"/>
      <c r="I462" s="313"/>
      <c r="J462" s="313"/>
      <c r="K462" s="243"/>
      <c r="L462" s="242"/>
      <c r="M462" s="242" t="str">
        <f>IFERROR(_xlfn.XLOOKUP($A462,Input_Raw!$E:$E,Input_Raw!$BM:$BM),"")</f>
        <v/>
      </c>
      <c r="N462" s="242" t="str">
        <f>IFERROR(_xlfn.XLOOKUP($A462,Input_Raw!$E:$E,Input_Raw!$BN:$BN),"")</f>
        <v/>
      </c>
      <c r="O462" s="311" t="str">
        <f t="shared" si="41"/>
        <v/>
      </c>
      <c r="P462" s="311" t="str">
        <f>IFERROR(1-SUMIF(WTG_BD!$F:$F,$A462,WTG_BD!$AA:$AA)/($AA462+SUMIF(WTG_BD!$F:$F,$A462,WTG_BD!$AA:$AA)),"")</f>
        <v/>
      </c>
      <c r="Q462" s="328" t="str">
        <f>IFERROR(1-SUMIF(IGA_BD!$F:$F,$A462,IGA_BD!$W:$W)/($AA462+SUMIF(IGA_BD!$F:$F,$A462,IGA_BD!$W:$W)),"")</f>
        <v/>
      </c>
      <c r="R462" s="47" t="str">
        <f>IFERROR(1-SUMIF(Grid_BD!$F:$F,$A462,Grid_BD!$Y:$Y)/($AA462+SUMIF(Grid_BD!$F:$F,$A462,Grid_BD!$Y:$Y)),"")</f>
        <v/>
      </c>
      <c r="S462" s="10"/>
      <c r="T462" s="310"/>
      <c r="U462" s="311"/>
      <c r="V462" s="10"/>
      <c r="W462" s="312" t="str">
        <f t="shared" si="42"/>
        <v/>
      </c>
      <c r="X462" s="10" t="str">
        <f>IFERROR(_xlfn.XLOOKUP($A462,Input_Raw!$E:$E,Input_Raw!BG:BG),"")</f>
        <v/>
      </c>
      <c r="Y462" s="10" t="str">
        <f>IFERROR(_xlfn.XLOOKUP($A462,Input_Raw!$E:$E,Input_Raw!DF:DF),"")</f>
        <v/>
      </c>
      <c r="Z462" s="319" t="str">
        <f>IFERROR(_xlfn.XLOOKUP(A462,Input_Raw!E:E,Input_Raw!CT:CT)/_xlfn.XLOOKUP(A462,Input_Raw!E:E,Input_Raw!CS:CS)*Table13[[#This Row],[Mtr_Export (kWh)]],"")</f>
        <v/>
      </c>
      <c r="AA462" s="43" t="str">
        <f t="shared" si="43"/>
        <v/>
      </c>
      <c r="AB462" s="10" t="str">
        <f>IFERROR(_xlfn.XLOOKUP($A462,Input_Raw!$E:$E,Input_Raw!$CZ:$CZ),"")</f>
        <v/>
      </c>
      <c r="AC462" s="313" t="str">
        <f>IFERROR(_xlfn.XLOOKUP($D462,'Modelling New'!$D:$D,'Modelling New'!$J:$J),"")</f>
        <v/>
      </c>
      <c r="AD462" s="43" t="str">
        <f>IFERROR(_xlfn.XLOOKUP($D462,'Modelling New'!$D:$D,'Modelling New'!$T:$T)*1000,"")</f>
        <v/>
      </c>
      <c r="AE462" s="312"/>
      <c r="AF462" s="312" t="str">
        <f>IFERROR(_xlfn.XLOOKUP($D462,'Modelling New'!$D:$D,'Modelling New'!$W:$W),"")</f>
        <v/>
      </c>
      <c r="AG462" s="312" t="str">
        <f>IFERROR(_xlfn.XLOOKUP($D462,'Modelling New'!$D:$D,'Modelling New'!$AE:$AE),"")</f>
        <v/>
      </c>
      <c r="AH462" s="312" t="str">
        <f>IFERROR(_xlfn.XLOOKUP($D462,'Modelling New'!$D:$D,'Modelling New'!$AF:$AF),"")</f>
        <v/>
      </c>
      <c r="AI462" s="10" t="str">
        <f>IFERROR(_xlfn.XLOOKUP($A462,Input_Raw!$E:$E,Input_Raw!$DG:$DG),"")</f>
        <v/>
      </c>
      <c r="AJ462" s="10"/>
      <c r="AK462" s="10"/>
      <c r="AL462" s="10"/>
      <c r="AM462" s="10"/>
      <c r="AN462" s="314" t="str">
        <f>IFERROR(_xlfn.XLOOKUP($A462,Input_Raw!$E:$E,Input_Raw!$CY:$CY),"")</f>
        <v/>
      </c>
      <c r="AO462" s="312" t="str">
        <f>IFERROR((_xlfn.XLOOKUP($A462,'WTG Reactive Power'!$A:$A,'WTG Reactive Power'!AB:AB))/X462,"")</f>
        <v/>
      </c>
      <c r="AP462" s="312" t="str">
        <f>IFERROR(_xlfn.XLOOKUP($D462,'Modelling New'!$D:$D,'Modelling New'!AK:AK),"")</f>
        <v/>
      </c>
      <c r="AQ462" s="312" t="str">
        <f>IFERROR(_xlfn.XLOOKUP($D462,'Modelling New'!$D:$D,'Modelling New'!AL:AL),"")</f>
        <v/>
      </c>
      <c r="AR462" s="325" t="str">
        <f>IFERROR(_xlfn.XLOOKUP($D462,'Modelling New'!$D:$D,'Modelling New'!$N:$N),"")</f>
        <v/>
      </c>
      <c r="AS462" s="325"/>
    </row>
    <row r="463" spans="1:45">
      <c r="A463" s="32">
        <f t="shared" si="44"/>
        <v>46206</v>
      </c>
      <c r="B463" s="43">
        <f>YEAR(Table13[[#This Row],[Date]])+IF(MONTH(Table13[[#This Row],[Date]])&gt;=4,1,0)</f>
        <v>2027</v>
      </c>
      <c r="C463" s="10">
        <f>YEAR(Table13[[#This Row],[Date]])</f>
        <v>2026</v>
      </c>
      <c r="D463" s="309">
        <f>Table13[[#This Row],[Date]]-DAY(Table13[[#This Row],[Date]])+1</f>
        <v>46204</v>
      </c>
      <c r="E463" s="10">
        <f t="shared" si="40"/>
        <v>31</v>
      </c>
      <c r="F463" s="241" t="str">
        <f>IFERROR(_xlfn.XLOOKUP($A463,Input_Raw!$E:$E,Input_Raw!DC:DC),"")</f>
        <v/>
      </c>
      <c r="G463" s="242"/>
      <c r="H463" s="242"/>
      <c r="I463" s="242"/>
      <c r="J463" s="242"/>
      <c r="K463" s="243"/>
      <c r="L463" s="242"/>
      <c r="M463" s="242" t="str">
        <f>IFERROR(_xlfn.XLOOKUP($A463,Input_Raw!$E:$E,Input_Raw!$BM:$BM),"")</f>
        <v/>
      </c>
      <c r="N463" s="242" t="str">
        <f>IFERROR(_xlfn.XLOOKUP($A463,Input_Raw!$E:$E,Input_Raw!$BN:$BN),"")</f>
        <v/>
      </c>
      <c r="O463" s="311" t="str">
        <f t="shared" si="41"/>
        <v/>
      </c>
      <c r="P463" s="311" t="str">
        <f>IFERROR(1-SUMIF(WTG_BD!$F:$F,$A463,WTG_BD!$AA:$AA)/($AA463+SUMIF(WTG_BD!$F:$F,$A463,WTG_BD!$AA:$AA)),"")</f>
        <v/>
      </c>
      <c r="Q463" s="328" t="str">
        <f>IFERROR(1-SUMIF(IGA_BD!$F:$F,$A463,IGA_BD!$W:$W)/($AA463+SUMIF(IGA_BD!$F:$F,$A463,IGA_BD!$W:$W)),"")</f>
        <v/>
      </c>
      <c r="R463" s="311" t="str">
        <f>IFERROR(1-SUMIF(Grid_BD!$F:$F,$A463,Grid_BD!$Y:$Y)/($AA463+SUMIF(Grid_BD!$F:$F,$A463,Grid_BD!$Y:$Y)),"")</f>
        <v/>
      </c>
      <c r="S463" s="10"/>
      <c r="T463" s="310"/>
      <c r="U463" s="311"/>
      <c r="V463" s="10"/>
      <c r="W463" s="312" t="str">
        <f t="shared" si="42"/>
        <v/>
      </c>
      <c r="X463" s="10" t="str">
        <f>IFERROR(_xlfn.XLOOKUP($A463,Input_Raw!$E:$E,Input_Raw!BG:BG),"")</f>
        <v/>
      </c>
      <c r="Y463" s="10" t="str">
        <f>IFERROR(_xlfn.XLOOKUP($A463,Input_Raw!$E:$E,Input_Raw!DF:DF),"")</f>
        <v/>
      </c>
      <c r="Z463" s="319" t="str">
        <f>IFERROR(_xlfn.XLOOKUP(A463,Input_Raw!E:E,Input_Raw!CT:CT)/_xlfn.XLOOKUP(A463,Input_Raw!E:E,Input_Raw!CS:CS)*Table13[[#This Row],[Mtr_Export (kWh)]],"")</f>
        <v/>
      </c>
      <c r="AA463" s="43" t="str">
        <f t="shared" si="43"/>
        <v/>
      </c>
      <c r="AB463" s="10" t="str">
        <f>IFERROR(_xlfn.XLOOKUP($A463,Input_Raw!$E:$E,Input_Raw!$CZ:$CZ),"")</f>
        <v/>
      </c>
      <c r="AC463" s="313" t="str">
        <f>IFERROR(_xlfn.XLOOKUP($D463,'Modelling New'!$D:$D,'Modelling New'!$J:$J),"")</f>
        <v/>
      </c>
      <c r="AD463" s="43" t="str">
        <f>IFERROR(_xlfn.XLOOKUP($D463,'Modelling New'!$D:$D,'Modelling New'!$T:$T)*1000,"")</f>
        <v/>
      </c>
      <c r="AE463" s="312"/>
      <c r="AF463" s="312" t="str">
        <f>IFERROR(_xlfn.XLOOKUP($D463,'Modelling New'!$D:$D,'Modelling New'!$W:$W),"")</f>
        <v/>
      </c>
      <c r="AG463" s="312" t="str">
        <f>IFERROR(_xlfn.XLOOKUP($D463,'Modelling New'!$D:$D,'Modelling New'!$AE:$AE),"")</f>
        <v/>
      </c>
      <c r="AH463" s="312" t="str">
        <f>IFERROR(_xlfn.XLOOKUP($D463,'Modelling New'!$D:$D,'Modelling New'!$AF:$AF),"")</f>
        <v/>
      </c>
      <c r="AI463" s="10" t="str">
        <f>IFERROR(_xlfn.XLOOKUP($A463,Input_Raw!$E:$E,Input_Raw!$DG:$DG),"")</f>
        <v/>
      </c>
      <c r="AJ463" s="10"/>
      <c r="AK463" s="10"/>
      <c r="AL463" s="10"/>
      <c r="AM463" s="10"/>
      <c r="AN463" s="314" t="str">
        <f>IFERROR(_xlfn.XLOOKUP($A463,Input_Raw!$E:$E,Input_Raw!$CY:$CY),"")</f>
        <v/>
      </c>
      <c r="AO463" s="312" t="str">
        <f>IFERROR((_xlfn.XLOOKUP($A463,'WTG Reactive Power'!$A:$A,'WTG Reactive Power'!AB:AB))/X463,"")</f>
        <v/>
      </c>
      <c r="AP463" s="312" t="str">
        <f>IFERROR(_xlfn.XLOOKUP($D463,'Modelling New'!$D:$D,'Modelling New'!AK:AK),"")</f>
        <v/>
      </c>
      <c r="AQ463" s="312" t="str">
        <f>IFERROR(_xlfn.XLOOKUP($D463,'Modelling New'!$D:$D,'Modelling New'!AL:AL),"")</f>
        <v/>
      </c>
      <c r="AR463" s="325" t="str">
        <f>IFERROR(_xlfn.XLOOKUP($D463,'Modelling New'!$D:$D,'Modelling New'!$N:$N),"")</f>
        <v/>
      </c>
      <c r="AS463" s="325"/>
    </row>
    <row r="464" spans="1:45">
      <c r="A464" s="32">
        <f t="shared" si="44"/>
        <v>46207</v>
      </c>
      <c r="B464" s="43">
        <f>YEAR(Table13[[#This Row],[Date]])+IF(MONTH(Table13[[#This Row],[Date]])&gt;=4,1,0)</f>
        <v>2027</v>
      </c>
      <c r="C464" s="10">
        <f>YEAR(Table13[[#This Row],[Date]])</f>
        <v>2026</v>
      </c>
      <c r="D464" s="309">
        <f>Table13[[#This Row],[Date]]-DAY(Table13[[#This Row],[Date]])+1</f>
        <v>46204</v>
      </c>
      <c r="E464" s="10">
        <f t="shared" si="40"/>
        <v>31</v>
      </c>
      <c r="F464" s="241" t="str">
        <f>IFERROR(_xlfn.XLOOKUP($A464,Input_Raw!$E:$E,Input_Raw!DC:DC),"")</f>
        <v/>
      </c>
      <c r="G464" s="313"/>
      <c r="H464" s="313"/>
      <c r="I464" s="313"/>
      <c r="J464" s="313"/>
      <c r="K464" s="243"/>
      <c r="L464" s="242"/>
      <c r="M464" s="242" t="str">
        <f>IFERROR(_xlfn.XLOOKUP($A464,Input_Raw!$E:$E,Input_Raw!$BM:$BM),"")</f>
        <v/>
      </c>
      <c r="N464" s="242" t="str">
        <f>IFERROR(_xlfn.XLOOKUP($A464,Input_Raw!$E:$E,Input_Raw!$BN:$BN),"")</f>
        <v/>
      </c>
      <c r="O464" s="311" t="str">
        <f t="shared" si="41"/>
        <v/>
      </c>
      <c r="P464" s="311" t="str">
        <f>IFERROR(1-SUMIF(WTG_BD!$F:$F,$A464,WTG_BD!$AA:$AA)/($AA464+SUMIF(WTG_BD!$F:$F,$A464,WTG_BD!$AA:$AA)),"")</f>
        <v/>
      </c>
      <c r="Q464" s="328" t="str">
        <f>IFERROR(1-SUMIF(IGA_BD!$F:$F,$A464,IGA_BD!$W:$W)/($AA464+SUMIF(IGA_BD!$F:$F,$A464,IGA_BD!$W:$W)),"")</f>
        <v/>
      </c>
      <c r="R464" s="47" t="str">
        <f>IFERROR(1-SUMIF(Grid_BD!$F:$F,$A464,Grid_BD!$Y:$Y)/($AA464+SUMIF(Grid_BD!$F:$F,$A464,Grid_BD!$Y:$Y)),"")</f>
        <v/>
      </c>
      <c r="S464" s="10"/>
      <c r="T464" s="310"/>
      <c r="U464" s="311"/>
      <c r="V464" s="10"/>
      <c r="W464" s="312" t="str">
        <f t="shared" si="42"/>
        <v/>
      </c>
      <c r="X464" s="10" t="str">
        <f>IFERROR(_xlfn.XLOOKUP($A464,Input_Raw!$E:$E,Input_Raw!BG:BG),"")</f>
        <v/>
      </c>
      <c r="Y464" s="10" t="str">
        <f>IFERROR(_xlfn.XLOOKUP($A464,Input_Raw!$E:$E,Input_Raw!DF:DF),"")</f>
        <v/>
      </c>
      <c r="Z464" s="319" t="str">
        <f>IFERROR(_xlfn.XLOOKUP(A464,Input_Raw!E:E,Input_Raw!CT:CT)/_xlfn.XLOOKUP(A464,Input_Raw!E:E,Input_Raw!CS:CS)*Table13[[#This Row],[Mtr_Export (kWh)]],"")</f>
        <v/>
      </c>
      <c r="AA464" s="43" t="str">
        <f t="shared" si="43"/>
        <v/>
      </c>
      <c r="AB464" s="10" t="str">
        <f>IFERROR(_xlfn.XLOOKUP($A464,Input_Raw!$E:$E,Input_Raw!$CZ:$CZ),"")</f>
        <v/>
      </c>
      <c r="AC464" s="313" t="str">
        <f>IFERROR(_xlfn.XLOOKUP($D464,'Modelling New'!$D:$D,'Modelling New'!$J:$J),"")</f>
        <v/>
      </c>
      <c r="AD464" s="43" t="str">
        <f>IFERROR(_xlfn.XLOOKUP($D464,'Modelling New'!$D:$D,'Modelling New'!$T:$T)*1000,"")</f>
        <v/>
      </c>
      <c r="AE464" s="312"/>
      <c r="AF464" s="312" t="str">
        <f>IFERROR(_xlfn.XLOOKUP($D464,'Modelling New'!$D:$D,'Modelling New'!$W:$W),"")</f>
        <v/>
      </c>
      <c r="AG464" s="312" t="str">
        <f>IFERROR(_xlfn.XLOOKUP($D464,'Modelling New'!$D:$D,'Modelling New'!$AE:$AE),"")</f>
        <v/>
      </c>
      <c r="AH464" s="312" t="str">
        <f>IFERROR(_xlfn.XLOOKUP($D464,'Modelling New'!$D:$D,'Modelling New'!$AF:$AF),"")</f>
        <v/>
      </c>
      <c r="AI464" s="10" t="str">
        <f>IFERROR(_xlfn.XLOOKUP($A464,Input_Raw!$E:$E,Input_Raw!$DG:$DG),"")</f>
        <v/>
      </c>
      <c r="AJ464" s="10"/>
      <c r="AK464" s="10"/>
      <c r="AL464" s="10"/>
      <c r="AM464" s="10"/>
      <c r="AN464" s="314" t="str">
        <f>IFERROR(_xlfn.XLOOKUP($A464,Input_Raw!$E:$E,Input_Raw!$CY:$CY),"")</f>
        <v/>
      </c>
      <c r="AO464" s="312" t="str">
        <f>IFERROR((_xlfn.XLOOKUP($A464,'WTG Reactive Power'!$A:$A,'WTG Reactive Power'!AB:AB))/X464,"")</f>
        <v/>
      </c>
      <c r="AP464" s="312" t="str">
        <f>IFERROR(_xlfn.XLOOKUP($D464,'Modelling New'!$D:$D,'Modelling New'!AK:AK),"")</f>
        <v/>
      </c>
      <c r="AQ464" s="312" t="str">
        <f>IFERROR(_xlfn.XLOOKUP($D464,'Modelling New'!$D:$D,'Modelling New'!AL:AL),"")</f>
        <v/>
      </c>
      <c r="AR464" s="325" t="str">
        <f>IFERROR(_xlfn.XLOOKUP($D464,'Modelling New'!$D:$D,'Modelling New'!$N:$N),"")</f>
        <v/>
      </c>
      <c r="AS464" s="325"/>
    </row>
    <row r="465" spans="1:45">
      <c r="A465" s="32">
        <f t="shared" si="44"/>
        <v>46208</v>
      </c>
      <c r="B465" s="43">
        <f>YEAR(Table13[[#This Row],[Date]])+IF(MONTH(Table13[[#This Row],[Date]])&gt;=4,1,0)</f>
        <v>2027</v>
      </c>
      <c r="C465" s="10">
        <f>YEAR(Table13[[#This Row],[Date]])</f>
        <v>2026</v>
      </c>
      <c r="D465" s="309">
        <f>Table13[[#This Row],[Date]]-DAY(Table13[[#This Row],[Date]])+1</f>
        <v>46204</v>
      </c>
      <c r="E465" s="10">
        <f t="shared" si="40"/>
        <v>31</v>
      </c>
      <c r="F465" s="241" t="str">
        <f>IFERROR(_xlfn.XLOOKUP($A465,Input_Raw!$E:$E,Input_Raw!DC:DC),"")</f>
        <v/>
      </c>
      <c r="G465" s="242"/>
      <c r="H465" s="242"/>
      <c r="I465" s="242"/>
      <c r="J465" s="242"/>
      <c r="K465" s="243"/>
      <c r="L465" s="242"/>
      <c r="M465" s="242" t="str">
        <f>IFERROR(_xlfn.XLOOKUP($A465,Input_Raw!$E:$E,Input_Raw!$BM:$BM),"")</f>
        <v/>
      </c>
      <c r="N465" s="242" t="str">
        <f>IFERROR(_xlfn.XLOOKUP($A465,Input_Raw!$E:$E,Input_Raw!$BN:$BN),"")</f>
        <v/>
      </c>
      <c r="O465" s="311" t="str">
        <f t="shared" si="41"/>
        <v/>
      </c>
      <c r="P465" s="311" t="str">
        <f>IFERROR(1-SUMIF(WTG_BD!$F:$F,$A465,WTG_BD!$AA:$AA)/($AA465+SUMIF(WTG_BD!$F:$F,$A465,WTG_BD!$AA:$AA)),"")</f>
        <v/>
      </c>
      <c r="Q465" s="328" t="str">
        <f>IFERROR(1-SUMIF(IGA_BD!$F:$F,$A465,IGA_BD!$W:$W)/($AA465+SUMIF(IGA_BD!$F:$F,$A465,IGA_BD!$W:$W)),"")</f>
        <v/>
      </c>
      <c r="R465" s="311" t="str">
        <f>IFERROR(1-SUMIF(Grid_BD!$F:$F,$A465,Grid_BD!$Y:$Y)/($AA465+SUMIF(Grid_BD!$F:$F,$A465,Grid_BD!$Y:$Y)),"")</f>
        <v/>
      </c>
      <c r="S465" s="10"/>
      <c r="T465" s="310"/>
      <c r="U465" s="311"/>
      <c r="V465" s="10"/>
      <c r="W465" s="312" t="str">
        <f t="shared" si="42"/>
        <v/>
      </c>
      <c r="X465" s="10" t="str">
        <f>IFERROR(_xlfn.XLOOKUP($A465,Input_Raw!$E:$E,Input_Raw!BG:BG),"")</f>
        <v/>
      </c>
      <c r="Y465" s="10" t="str">
        <f>IFERROR(_xlfn.XLOOKUP($A465,Input_Raw!$E:$E,Input_Raw!DF:DF),"")</f>
        <v/>
      </c>
      <c r="Z465" s="319" t="str">
        <f>IFERROR(_xlfn.XLOOKUP(A465,Input_Raw!E:E,Input_Raw!CT:CT)/_xlfn.XLOOKUP(A465,Input_Raw!E:E,Input_Raw!CS:CS)*Table13[[#This Row],[Mtr_Export (kWh)]],"")</f>
        <v/>
      </c>
      <c r="AA465" s="43" t="str">
        <f t="shared" si="43"/>
        <v/>
      </c>
      <c r="AB465" s="10" t="str">
        <f>IFERROR(_xlfn.XLOOKUP($A465,Input_Raw!$E:$E,Input_Raw!$CZ:$CZ),"")</f>
        <v/>
      </c>
      <c r="AC465" s="313" t="str">
        <f>IFERROR(_xlfn.XLOOKUP($D465,'Modelling New'!$D:$D,'Modelling New'!$J:$J),"")</f>
        <v/>
      </c>
      <c r="AD465" s="43" t="str">
        <f>IFERROR(_xlfn.XLOOKUP($D465,'Modelling New'!$D:$D,'Modelling New'!$T:$T)*1000,"")</f>
        <v/>
      </c>
      <c r="AE465" s="312"/>
      <c r="AF465" s="312" t="str">
        <f>IFERROR(_xlfn.XLOOKUP($D465,'Modelling New'!$D:$D,'Modelling New'!$W:$W),"")</f>
        <v/>
      </c>
      <c r="AG465" s="312" t="str">
        <f>IFERROR(_xlfn.XLOOKUP($D465,'Modelling New'!$D:$D,'Modelling New'!$AE:$AE),"")</f>
        <v/>
      </c>
      <c r="AH465" s="312" t="str">
        <f>IFERROR(_xlfn.XLOOKUP($D465,'Modelling New'!$D:$D,'Modelling New'!$AF:$AF),"")</f>
        <v/>
      </c>
      <c r="AI465" s="10" t="str">
        <f>IFERROR(_xlfn.XLOOKUP($A465,Input_Raw!$E:$E,Input_Raw!$DG:$DG),"")</f>
        <v/>
      </c>
      <c r="AJ465" s="10"/>
      <c r="AK465" s="10"/>
      <c r="AL465" s="10"/>
      <c r="AM465" s="10"/>
      <c r="AN465" s="314" t="str">
        <f>IFERROR(_xlfn.XLOOKUP($A465,Input_Raw!$E:$E,Input_Raw!$CY:$CY),"")</f>
        <v/>
      </c>
      <c r="AO465" s="312" t="str">
        <f>IFERROR((_xlfn.XLOOKUP($A465,'WTG Reactive Power'!$A:$A,'WTG Reactive Power'!AB:AB))/X465,"")</f>
        <v/>
      </c>
      <c r="AP465" s="312" t="str">
        <f>IFERROR(_xlfn.XLOOKUP($D465,'Modelling New'!$D:$D,'Modelling New'!AK:AK),"")</f>
        <v/>
      </c>
      <c r="AQ465" s="312" t="str">
        <f>IFERROR(_xlfn.XLOOKUP($D465,'Modelling New'!$D:$D,'Modelling New'!AL:AL),"")</f>
        <v/>
      </c>
      <c r="AR465" s="325" t="str">
        <f>IFERROR(_xlfn.XLOOKUP($D465,'Modelling New'!$D:$D,'Modelling New'!$N:$N),"")</f>
        <v/>
      </c>
      <c r="AS465" s="325"/>
    </row>
    <row r="466" spans="1:45">
      <c r="A466" s="32">
        <f t="shared" si="44"/>
        <v>46209</v>
      </c>
      <c r="B466" s="43">
        <f>YEAR(Table13[[#This Row],[Date]])+IF(MONTH(Table13[[#This Row],[Date]])&gt;=4,1,0)</f>
        <v>2027</v>
      </c>
      <c r="C466" s="10">
        <f>YEAR(Table13[[#This Row],[Date]])</f>
        <v>2026</v>
      </c>
      <c r="D466" s="309">
        <f>Table13[[#This Row],[Date]]-DAY(Table13[[#This Row],[Date]])+1</f>
        <v>46204</v>
      </c>
      <c r="E466" s="10">
        <f t="shared" si="40"/>
        <v>31</v>
      </c>
      <c r="F466" s="241" t="str">
        <f>IFERROR(_xlfn.XLOOKUP($A466,Input_Raw!$E:$E,Input_Raw!DC:DC),"")</f>
        <v/>
      </c>
      <c r="G466" s="313"/>
      <c r="H466" s="313"/>
      <c r="I466" s="313"/>
      <c r="J466" s="313"/>
      <c r="K466" s="243"/>
      <c r="L466" s="242"/>
      <c r="M466" s="242" t="str">
        <f>IFERROR(_xlfn.XLOOKUP($A466,Input_Raw!$E:$E,Input_Raw!$BM:$BM),"")</f>
        <v/>
      </c>
      <c r="N466" s="242" t="str">
        <f>IFERROR(_xlfn.XLOOKUP($A466,Input_Raw!$E:$E,Input_Raw!$BN:$BN),"")</f>
        <v/>
      </c>
      <c r="O466" s="311" t="str">
        <f t="shared" si="41"/>
        <v/>
      </c>
      <c r="P466" s="311" t="str">
        <f>IFERROR(1-SUMIF(WTG_BD!$F:$F,$A466,WTG_BD!$AA:$AA)/($AA466+SUMIF(WTG_BD!$F:$F,$A466,WTG_BD!$AA:$AA)),"")</f>
        <v/>
      </c>
      <c r="Q466" s="328" t="str">
        <f>IFERROR(1-SUMIF(IGA_BD!$F:$F,$A466,IGA_BD!$W:$W)/($AA466+SUMIF(IGA_BD!$F:$F,$A466,IGA_BD!$W:$W)),"")</f>
        <v/>
      </c>
      <c r="R466" s="47" t="str">
        <f>IFERROR(1-SUMIF(Grid_BD!$F:$F,$A466,Grid_BD!$Y:$Y)/($AA466+SUMIF(Grid_BD!$F:$F,$A466,Grid_BD!$Y:$Y)),"")</f>
        <v/>
      </c>
      <c r="S466" s="10"/>
      <c r="T466" s="310"/>
      <c r="U466" s="311"/>
      <c r="V466" s="10"/>
      <c r="W466" s="312" t="str">
        <f t="shared" si="42"/>
        <v/>
      </c>
      <c r="X466" s="10" t="str">
        <f>IFERROR(_xlfn.XLOOKUP($A466,Input_Raw!$E:$E,Input_Raw!BG:BG),"")</f>
        <v/>
      </c>
      <c r="Y466" s="10" t="str">
        <f>IFERROR(_xlfn.XLOOKUP($A466,Input_Raw!$E:$E,Input_Raw!DF:DF),"")</f>
        <v/>
      </c>
      <c r="Z466" s="319" t="str">
        <f>IFERROR(_xlfn.XLOOKUP(A466,Input_Raw!E:E,Input_Raw!CT:CT)/_xlfn.XLOOKUP(A466,Input_Raw!E:E,Input_Raw!CS:CS)*Table13[[#This Row],[Mtr_Export (kWh)]],"")</f>
        <v/>
      </c>
      <c r="AA466" s="43" t="str">
        <f t="shared" si="43"/>
        <v/>
      </c>
      <c r="AB466" s="10" t="str">
        <f>IFERROR(_xlfn.XLOOKUP($A466,Input_Raw!$E:$E,Input_Raw!$CZ:$CZ),"")</f>
        <v/>
      </c>
      <c r="AC466" s="313" t="str">
        <f>IFERROR(_xlfn.XLOOKUP($D466,'Modelling New'!$D:$D,'Modelling New'!$J:$J),"")</f>
        <v/>
      </c>
      <c r="AD466" s="43" t="str">
        <f>IFERROR(_xlfn.XLOOKUP($D466,'Modelling New'!$D:$D,'Modelling New'!$T:$T)*1000,"")</f>
        <v/>
      </c>
      <c r="AE466" s="312"/>
      <c r="AF466" s="312" t="str">
        <f>IFERROR(_xlfn.XLOOKUP($D466,'Modelling New'!$D:$D,'Modelling New'!$W:$W),"")</f>
        <v/>
      </c>
      <c r="AG466" s="312" t="str">
        <f>IFERROR(_xlfn.XLOOKUP($D466,'Modelling New'!$D:$D,'Modelling New'!$AE:$AE),"")</f>
        <v/>
      </c>
      <c r="AH466" s="312" t="str">
        <f>IFERROR(_xlfn.XLOOKUP($D466,'Modelling New'!$D:$D,'Modelling New'!$AF:$AF),"")</f>
        <v/>
      </c>
      <c r="AI466" s="10" t="str">
        <f>IFERROR(_xlfn.XLOOKUP($A466,Input_Raw!$E:$E,Input_Raw!$DG:$DG),"")</f>
        <v/>
      </c>
      <c r="AJ466" s="10"/>
      <c r="AK466" s="10"/>
      <c r="AL466" s="10"/>
      <c r="AM466" s="10"/>
      <c r="AN466" s="314" t="str">
        <f>IFERROR(_xlfn.XLOOKUP($A466,Input_Raw!$E:$E,Input_Raw!$CY:$CY),"")</f>
        <v/>
      </c>
      <c r="AO466" s="312" t="str">
        <f>IFERROR((_xlfn.XLOOKUP($A466,'WTG Reactive Power'!$A:$A,'WTG Reactive Power'!AB:AB))/X466,"")</f>
        <v/>
      </c>
      <c r="AP466" s="312" t="str">
        <f>IFERROR(_xlfn.XLOOKUP($D466,'Modelling New'!$D:$D,'Modelling New'!AK:AK),"")</f>
        <v/>
      </c>
      <c r="AQ466" s="312" t="str">
        <f>IFERROR(_xlfn.XLOOKUP($D466,'Modelling New'!$D:$D,'Modelling New'!AL:AL),"")</f>
        <v/>
      </c>
      <c r="AR466" s="325" t="str">
        <f>IFERROR(_xlfn.XLOOKUP($D466,'Modelling New'!$D:$D,'Modelling New'!$N:$N),"")</f>
        <v/>
      </c>
      <c r="AS466" s="325"/>
    </row>
    <row r="467" spans="1:45">
      <c r="A467" s="32">
        <f t="shared" si="44"/>
        <v>46210</v>
      </c>
      <c r="B467" s="43">
        <f>YEAR(Table13[[#This Row],[Date]])+IF(MONTH(Table13[[#This Row],[Date]])&gt;=4,1,0)</f>
        <v>2027</v>
      </c>
      <c r="C467" s="10">
        <f>YEAR(Table13[[#This Row],[Date]])</f>
        <v>2026</v>
      </c>
      <c r="D467" s="309">
        <f>Table13[[#This Row],[Date]]-DAY(Table13[[#This Row],[Date]])+1</f>
        <v>46204</v>
      </c>
      <c r="E467" s="10">
        <f t="shared" si="40"/>
        <v>31</v>
      </c>
      <c r="F467" s="241" t="str">
        <f>IFERROR(_xlfn.XLOOKUP($A467,Input_Raw!$E:$E,Input_Raw!DC:DC),"")</f>
        <v/>
      </c>
      <c r="G467" s="242"/>
      <c r="H467" s="242"/>
      <c r="I467" s="242"/>
      <c r="J467" s="242"/>
      <c r="K467" s="243"/>
      <c r="L467" s="242"/>
      <c r="M467" s="242" t="str">
        <f>IFERROR(_xlfn.XLOOKUP($A467,Input_Raw!$E:$E,Input_Raw!$BM:$BM),"")</f>
        <v/>
      </c>
      <c r="N467" s="242" t="str">
        <f>IFERROR(_xlfn.XLOOKUP($A467,Input_Raw!$E:$E,Input_Raw!$BN:$BN),"")</f>
        <v/>
      </c>
      <c r="O467" s="311" t="str">
        <f t="shared" si="41"/>
        <v/>
      </c>
      <c r="P467" s="311" t="str">
        <f>IFERROR(1-SUMIF(WTG_BD!$F:$F,$A467,WTG_BD!$AA:$AA)/($AA467+SUMIF(WTG_BD!$F:$F,$A467,WTG_BD!$AA:$AA)),"")</f>
        <v/>
      </c>
      <c r="Q467" s="328" t="str">
        <f>IFERROR(1-SUMIF(IGA_BD!$F:$F,$A467,IGA_BD!$W:$W)/($AA467+SUMIF(IGA_BD!$F:$F,$A467,IGA_BD!$W:$W)),"")</f>
        <v/>
      </c>
      <c r="R467" s="311" t="str">
        <f>IFERROR(1-SUMIF(Grid_BD!$F:$F,$A467,Grid_BD!$Y:$Y)/($AA467+SUMIF(Grid_BD!$F:$F,$A467,Grid_BD!$Y:$Y)),"")</f>
        <v/>
      </c>
      <c r="S467" s="10"/>
      <c r="T467" s="310"/>
      <c r="U467" s="311"/>
      <c r="V467" s="10"/>
      <c r="W467" s="312" t="str">
        <f t="shared" si="42"/>
        <v/>
      </c>
      <c r="X467" s="10" t="str">
        <f>IFERROR(_xlfn.XLOOKUP($A467,Input_Raw!$E:$E,Input_Raw!BG:BG),"")</f>
        <v/>
      </c>
      <c r="Y467" s="10" t="str">
        <f>IFERROR(_xlfn.XLOOKUP($A467,Input_Raw!$E:$E,Input_Raw!DF:DF),"")</f>
        <v/>
      </c>
      <c r="Z467" s="319" t="str">
        <f>IFERROR(_xlfn.XLOOKUP(A467,Input_Raw!E:E,Input_Raw!CT:CT)/_xlfn.XLOOKUP(A467,Input_Raw!E:E,Input_Raw!CS:CS)*Table13[[#This Row],[Mtr_Export (kWh)]],"")</f>
        <v/>
      </c>
      <c r="AA467" s="43" t="str">
        <f t="shared" si="43"/>
        <v/>
      </c>
      <c r="AB467" s="10" t="str">
        <f>IFERROR(_xlfn.XLOOKUP($A467,Input_Raw!$E:$E,Input_Raw!$CZ:$CZ),"")</f>
        <v/>
      </c>
      <c r="AC467" s="313" t="str">
        <f>IFERROR(_xlfn.XLOOKUP($D467,'Modelling New'!$D:$D,'Modelling New'!$J:$J),"")</f>
        <v/>
      </c>
      <c r="AD467" s="43" t="str">
        <f>IFERROR(_xlfn.XLOOKUP($D467,'Modelling New'!$D:$D,'Modelling New'!$T:$T)*1000,"")</f>
        <v/>
      </c>
      <c r="AE467" s="312"/>
      <c r="AF467" s="312" t="str">
        <f>IFERROR(_xlfn.XLOOKUP($D467,'Modelling New'!$D:$D,'Modelling New'!$W:$W),"")</f>
        <v/>
      </c>
      <c r="AG467" s="312" t="str">
        <f>IFERROR(_xlfn.XLOOKUP($D467,'Modelling New'!$D:$D,'Modelling New'!$AE:$AE),"")</f>
        <v/>
      </c>
      <c r="AH467" s="312" t="str">
        <f>IFERROR(_xlfn.XLOOKUP($D467,'Modelling New'!$D:$D,'Modelling New'!$AF:$AF),"")</f>
        <v/>
      </c>
      <c r="AI467" s="10" t="str">
        <f>IFERROR(_xlfn.XLOOKUP($A467,Input_Raw!$E:$E,Input_Raw!$DG:$DG),"")</f>
        <v/>
      </c>
      <c r="AJ467" s="10"/>
      <c r="AK467" s="10"/>
      <c r="AL467" s="10"/>
      <c r="AM467" s="10"/>
      <c r="AN467" s="314" t="str">
        <f>IFERROR(_xlfn.XLOOKUP($A467,Input_Raw!$E:$E,Input_Raw!$CY:$CY),"")</f>
        <v/>
      </c>
      <c r="AO467" s="312" t="str">
        <f>IFERROR((_xlfn.XLOOKUP($A467,'WTG Reactive Power'!$A:$A,'WTG Reactive Power'!AB:AB))/X467,"")</f>
        <v/>
      </c>
      <c r="AP467" s="312" t="str">
        <f>IFERROR(_xlfn.XLOOKUP($D467,'Modelling New'!$D:$D,'Modelling New'!AK:AK),"")</f>
        <v/>
      </c>
      <c r="AQ467" s="312" t="str">
        <f>IFERROR(_xlfn.XLOOKUP($D467,'Modelling New'!$D:$D,'Modelling New'!AL:AL),"")</f>
        <v/>
      </c>
      <c r="AR467" s="325" t="str">
        <f>IFERROR(_xlfn.XLOOKUP($D467,'Modelling New'!$D:$D,'Modelling New'!$N:$N),"")</f>
        <v/>
      </c>
      <c r="AS467" s="325"/>
    </row>
    <row r="468" spans="1:45">
      <c r="A468" s="32">
        <f t="shared" si="44"/>
        <v>46211</v>
      </c>
      <c r="B468" s="43">
        <f>YEAR(Table13[[#This Row],[Date]])+IF(MONTH(Table13[[#This Row],[Date]])&gt;=4,1,0)</f>
        <v>2027</v>
      </c>
      <c r="C468" s="10">
        <f>YEAR(Table13[[#This Row],[Date]])</f>
        <v>2026</v>
      </c>
      <c r="D468" s="309">
        <f>Table13[[#This Row],[Date]]-DAY(Table13[[#This Row],[Date]])+1</f>
        <v>46204</v>
      </c>
      <c r="E468" s="10">
        <f t="shared" si="40"/>
        <v>31</v>
      </c>
      <c r="F468" s="241" t="str">
        <f>IFERROR(_xlfn.XLOOKUP($A468,Input_Raw!$E:$E,Input_Raw!DC:DC),"")</f>
        <v/>
      </c>
      <c r="G468" s="313"/>
      <c r="H468" s="313"/>
      <c r="I468" s="313"/>
      <c r="J468" s="313"/>
      <c r="K468" s="243"/>
      <c r="L468" s="242"/>
      <c r="M468" s="242" t="str">
        <f>IFERROR(_xlfn.XLOOKUP($A468,Input_Raw!$E:$E,Input_Raw!$BM:$BM),"")</f>
        <v/>
      </c>
      <c r="N468" s="242" t="str">
        <f>IFERROR(_xlfn.XLOOKUP($A468,Input_Raw!$E:$E,Input_Raw!$BN:$BN),"")</f>
        <v/>
      </c>
      <c r="O468" s="311" t="str">
        <f t="shared" si="41"/>
        <v/>
      </c>
      <c r="P468" s="311" t="str">
        <f>IFERROR(1-SUMIF(WTG_BD!$F:$F,$A468,WTG_BD!$AA:$AA)/($AA468+SUMIF(WTG_BD!$F:$F,$A468,WTG_BD!$AA:$AA)),"")</f>
        <v/>
      </c>
      <c r="Q468" s="328" t="str">
        <f>IFERROR(1-SUMIF(IGA_BD!$F:$F,$A468,IGA_BD!$W:$W)/($AA468+SUMIF(IGA_BD!$F:$F,$A468,IGA_BD!$W:$W)),"")</f>
        <v/>
      </c>
      <c r="R468" s="47" t="str">
        <f>IFERROR(1-SUMIF(Grid_BD!$F:$F,$A468,Grid_BD!$Y:$Y)/($AA468+SUMIF(Grid_BD!$F:$F,$A468,Grid_BD!$Y:$Y)),"")</f>
        <v/>
      </c>
      <c r="S468" s="10"/>
      <c r="T468" s="310"/>
      <c r="U468" s="311"/>
      <c r="V468" s="10"/>
      <c r="W468" s="312" t="str">
        <f t="shared" si="42"/>
        <v/>
      </c>
      <c r="X468" s="10" t="str">
        <f>IFERROR(_xlfn.XLOOKUP($A468,Input_Raw!$E:$E,Input_Raw!BG:BG),"")</f>
        <v/>
      </c>
      <c r="Y468" s="10" t="str">
        <f>IFERROR(_xlfn.XLOOKUP($A468,Input_Raw!$E:$E,Input_Raw!DF:DF),"")</f>
        <v/>
      </c>
      <c r="Z468" s="319" t="str">
        <f>IFERROR(_xlfn.XLOOKUP(A468,Input_Raw!E:E,Input_Raw!CT:CT)/_xlfn.XLOOKUP(A468,Input_Raw!E:E,Input_Raw!CS:CS)*Table13[[#This Row],[Mtr_Export (kWh)]],"")</f>
        <v/>
      </c>
      <c r="AA468" s="43" t="str">
        <f t="shared" si="43"/>
        <v/>
      </c>
      <c r="AB468" s="10" t="str">
        <f>IFERROR(_xlfn.XLOOKUP($A468,Input_Raw!$E:$E,Input_Raw!$CZ:$CZ),"")</f>
        <v/>
      </c>
      <c r="AC468" s="313" t="str">
        <f>IFERROR(_xlfn.XLOOKUP($D468,'Modelling New'!$D:$D,'Modelling New'!$J:$J),"")</f>
        <v/>
      </c>
      <c r="AD468" s="43" t="str">
        <f>IFERROR(_xlfn.XLOOKUP($D468,'Modelling New'!$D:$D,'Modelling New'!$T:$T)*1000,"")</f>
        <v/>
      </c>
      <c r="AE468" s="312"/>
      <c r="AF468" s="312" t="str">
        <f>IFERROR(_xlfn.XLOOKUP($D468,'Modelling New'!$D:$D,'Modelling New'!$W:$W),"")</f>
        <v/>
      </c>
      <c r="AG468" s="312" t="str">
        <f>IFERROR(_xlfn.XLOOKUP($D468,'Modelling New'!$D:$D,'Modelling New'!$AE:$AE),"")</f>
        <v/>
      </c>
      <c r="AH468" s="312" t="str">
        <f>IFERROR(_xlfn.XLOOKUP($D468,'Modelling New'!$D:$D,'Modelling New'!$AF:$AF),"")</f>
        <v/>
      </c>
      <c r="AI468" s="10" t="str">
        <f>IFERROR(_xlfn.XLOOKUP($A468,Input_Raw!$E:$E,Input_Raw!$DG:$DG),"")</f>
        <v/>
      </c>
      <c r="AJ468" s="10"/>
      <c r="AK468" s="10"/>
      <c r="AL468" s="10"/>
      <c r="AM468" s="10"/>
      <c r="AN468" s="314" t="str">
        <f>IFERROR(_xlfn.XLOOKUP($A468,Input_Raw!$E:$E,Input_Raw!$CY:$CY),"")</f>
        <v/>
      </c>
      <c r="AO468" s="312" t="str">
        <f>IFERROR((_xlfn.XLOOKUP($A468,'WTG Reactive Power'!$A:$A,'WTG Reactive Power'!AB:AB))/X468,"")</f>
        <v/>
      </c>
      <c r="AP468" s="312" t="str">
        <f>IFERROR(_xlfn.XLOOKUP($D468,'Modelling New'!$D:$D,'Modelling New'!AK:AK),"")</f>
        <v/>
      </c>
      <c r="AQ468" s="312" t="str">
        <f>IFERROR(_xlfn.XLOOKUP($D468,'Modelling New'!$D:$D,'Modelling New'!AL:AL),"")</f>
        <v/>
      </c>
      <c r="AR468" s="325" t="str">
        <f>IFERROR(_xlfn.XLOOKUP($D468,'Modelling New'!$D:$D,'Modelling New'!$N:$N),"")</f>
        <v/>
      </c>
      <c r="AS468" s="325"/>
    </row>
    <row r="469" spans="1:45">
      <c r="A469" s="32">
        <f t="shared" si="44"/>
        <v>46212</v>
      </c>
      <c r="B469" s="43">
        <f>YEAR(Table13[[#This Row],[Date]])+IF(MONTH(Table13[[#This Row],[Date]])&gt;=4,1,0)</f>
        <v>2027</v>
      </c>
      <c r="C469" s="10">
        <f>YEAR(Table13[[#This Row],[Date]])</f>
        <v>2026</v>
      </c>
      <c r="D469" s="309">
        <f>Table13[[#This Row],[Date]]-DAY(Table13[[#This Row],[Date]])+1</f>
        <v>46204</v>
      </c>
      <c r="E469" s="10">
        <f t="shared" si="40"/>
        <v>31</v>
      </c>
      <c r="F469" s="241" t="str">
        <f>IFERROR(_xlfn.XLOOKUP($A469,Input_Raw!$E:$E,Input_Raw!DC:DC),"")</f>
        <v/>
      </c>
      <c r="G469" s="242"/>
      <c r="H469" s="242"/>
      <c r="I469" s="242"/>
      <c r="J469" s="242"/>
      <c r="K469" s="243"/>
      <c r="L469" s="242"/>
      <c r="M469" s="242" t="str">
        <f>IFERROR(_xlfn.XLOOKUP($A469,Input_Raw!$E:$E,Input_Raw!$BM:$BM),"")</f>
        <v/>
      </c>
      <c r="N469" s="242" t="str">
        <f>IFERROR(_xlfn.XLOOKUP($A469,Input_Raw!$E:$E,Input_Raw!$BN:$BN),"")</f>
        <v/>
      </c>
      <c r="O469" s="311" t="str">
        <f t="shared" si="41"/>
        <v/>
      </c>
      <c r="P469" s="311" t="str">
        <f>IFERROR(1-SUMIF(WTG_BD!$F:$F,$A469,WTG_BD!$AA:$AA)/($AA469+SUMIF(WTG_BD!$F:$F,$A469,WTG_BD!$AA:$AA)),"")</f>
        <v/>
      </c>
      <c r="Q469" s="328" t="str">
        <f>IFERROR(1-SUMIF(IGA_BD!$F:$F,$A469,IGA_BD!$W:$W)/($AA469+SUMIF(IGA_BD!$F:$F,$A469,IGA_BD!$W:$W)),"")</f>
        <v/>
      </c>
      <c r="R469" s="311" t="str">
        <f>IFERROR(1-SUMIF(Grid_BD!$F:$F,$A469,Grid_BD!$Y:$Y)/($AA469+SUMIF(Grid_BD!$F:$F,$A469,Grid_BD!$Y:$Y)),"")</f>
        <v/>
      </c>
      <c r="S469" s="10"/>
      <c r="T469" s="310"/>
      <c r="U469" s="311"/>
      <c r="V469" s="10"/>
      <c r="W469" s="312" t="str">
        <f t="shared" si="42"/>
        <v/>
      </c>
      <c r="X469" s="10" t="str">
        <f>IFERROR(_xlfn.XLOOKUP($A469,Input_Raw!$E:$E,Input_Raw!BG:BG),"")</f>
        <v/>
      </c>
      <c r="Y469" s="10" t="str">
        <f>IFERROR(_xlfn.XLOOKUP($A469,Input_Raw!$E:$E,Input_Raw!DF:DF),"")</f>
        <v/>
      </c>
      <c r="Z469" s="319" t="str">
        <f>IFERROR(_xlfn.XLOOKUP(A469,Input_Raw!E:E,Input_Raw!CT:CT)/_xlfn.XLOOKUP(A469,Input_Raw!E:E,Input_Raw!CS:CS)*Table13[[#This Row],[Mtr_Export (kWh)]],"")</f>
        <v/>
      </c>
      <c r="AA469" s="43" t="str">
        <f t="shared" si="43"/>
        <v/>
      </c>
      <c r="AB469" s="10" t="str">
        <f>IFERROR(_xlfn.XLOOKUP($A469,Input_Raw!$E:$E,Input_Raw!$CZ:$CZ),"")</f>
        <v/>
      </c>
      <c r="AC469" s="313" t="str">
        <f>IFERROR(_xlfn.XLOOKUP($D469,'Modelling New'!$D:$D,'Modelling New'!$J:$J),"")</f>
        <v/>
      </c>
      <c r="AD469" s="43" t="str">
        <f>IFERROR(_xlfn.XLOOKUP($D469,'Modelling New'!$D:$D,'Modelling New'!$T:$T)*1000,"")</f>
        <v/>
      </c>
      <c r="AE469" s="312"/>
      <c r="AF469" s="312" t="str">
        <f>IFERROR(_xlfn.XLOOKUP($D469,'Modelling New'!$D:$D,'Modelling New'!$W:$W),"")</f>
        <v/>
      </c>
      <c r="AG469" s="312" t="str">
        <f>IFERROR(_xlfn.XLOOKUP($D469,'Modelling New'!$D:$D,'Modelling New'!$AE:$AE),"")</f>
        <v/>
      </c>
      <c r="AH469" s="312" t="str">
        <f>IFERROR(_xlfn.XLOOKUP($D469,'Modelling New'!$D:$D,'Modelling New'!$AF:$AF),"")</f>
        <v/>
      </c>
      <c r="AI469" s="10" t="str">
        <f>IFERROR(_xlfn.XLOOKUP($A469,Input_Raw!$E:$E,Input_Raw!$DG:$DG),"")</f>
        <v/>
      </c>
      <c r="AJ469" s="10"/>
      <c r="AK469" s="10"/>
      <c r="AL469" s="10"/>
      <c r="AM469" s="10"/>
      <c r="AN469" s="314" t="str">
        <f>IFERROR(_xlfn.XLOOKUP($A469,Input_Raw!$E:$E,Input_Raw!$CY:$CY),"")</f>
        <v/>
      </c>
      <c r="AO469" s="312" t="str">
        <f>IFERROR((_xlfn.XLOOKUP($A469,'WTG Reactive Power'!$A:$A,'WTG Reactive Power'!AB:AB))/X469,"")</f>
        <v/>
      </c>
      <c r="AP469" s="312" t="str">
        <f>IFERROR(_xlfn.XLOOKUP($D469,'Modelling New'!$D:$D,'Modelling New'!AK:AK),"")</f>
        <v/>
      </c>
      <c r="AQ469" s="312" t="str">
        <f>IFERROR(_xlfn.XLOOKUP($D469,'Modelling New'!$D:$D,'Modelling New'!AL:AL),"")</f>
        <v/>
      </c>
      <c r="AR469" s="325" t="str">
        <f>IFERROR(_xlfn.XLOOKUP($D469,'Modelling New'!$D:$D,'Modelling New'!$N:$N),"")</f>
        <v/>
      </c>
      <c r="AS469" s="325"/>
    </row>
    <row r="470" spans="1:45">
      <c r="A470" s="32">
        <f t="shared" si="44"/>
        <v>46213</v>
      </c>
      <c r="B470" s="43">
        <f>YEAR(Table13[[#This Row],[Date]])+IF(MONTH(Table13[[#This Row],[Date]])&gt;=4,1,0)</f>
        <v>2027</v>
      </c>
      <c r="C470" s="10">
        <f>YEAR(Table13[[#This Row],[Date]])</f>
        <v>2026</v>
      </c>
      <c r="D470" s="309">
        <f>Table13[[#This Row],[Date]]-DAY(Table13[[#This Row],[Date]])+1</f>
        <v>46204</v>
      </c>
      <c r="E470" s="10">
        <f t="shared" si="40"/>
        <v>31</v>
      </c>
      <c r="F470" s="241" t="str">
        <f>IFERROR(_xlfn.XLOOKUP($A470,Input_Raw!$E:$E,Input_Raw!DC:DC),"")</f>
        <v/>
      </c>
      <c r="G470" s="313"/>
      <c r="H470" s="313"/>
      <c r="I470" s="313"/>
      <c r="J470" s="313"/>
      <c r="K470" s="243"/>
      <c r="L470" s="242"/>
      <c r="M470" s="242" t="str">
        <f>IFERROR(_xlfn.XLOOKUP($A470,Input_Raw!$E:$E,Input_Raw!$BM:$BM),"")</f>
        <v/>
      </c>
      <c r="N470" s="242" t="str">
        <f>IFERROR(_xlfn.XLOOKUP($A470,Input_Raw!$E:$E,Input_Raw!$BN:$BN),"")</f>
        <v/>
      </c>
      <c r="O470" s="311" t="str">
        <f t="shared" si="41"/>
        <v/>
      </c>
      <c r="P470" s="311" t="str">
        <f>IFERROR(1-SUMIF(WTG_BD!$F:$F,$A470,WTG_BD!$AA:$AA)/($AA470+SUMIF(WTG_BD!$F:$F,$A470,WTG_BD!$AA:$AA)),"")</f>
        <v/>
      </c>
      <c r="Q470" s="328" t="str">
        <f>IFERROR(1-SUMIF(IGA_BD!$F:$F,$A470,IGA_BD!$W:$W)/($AA470+SUMIF(IGA_BD!$F:$F,$A470,IGA_BD!$W:$W)),"")</f>
        <v/>
      </c>
      <c r="R470" s="47" t="str">
        <f>IFERROR(1-SUMIF(Grid_BD!$F:$F,$A470,Grid_BD!$Y:$Y)/($AA470+SUMIF(Grid_BD!$F:$F,$A470,Grid_BD!$Y:$Y)),"")</f>
        <v/>
      </c>
      <c r="S470" s="10"/>
      <c r="T470" s="310"/>
      <c r="U470" s="311"/>
      <c r="V470" s="10"/>
      <c r="W470" s="312" t="str">
        <f t="shared" si="42"/>
        <v/>
      </c>
      <c r="X470" s="10" t="str">
        <f>IFERROR(_xlfn.XLOOKUP($A470,Input_Raw!$E:$E,Input_Raw!BG:BG),"")</f>
        <v/>
      </c>
      <c r="Y470" s="10" t="str">
        <f>IFERROR(_xlfn.XLOOKUP($A470,Input_Raw!$E:$E,Input_Raw!DF:DF),"")</f>
        <v/>
      </c>
      <c r="Z470" s="319" t="str">
        <f>IFERROR(_xlfn.XLOOKUP(A470,Input_Raw!E:E,Input_Raw!CT:CT)/_xlfn.XLOOKUP(A470,Input_Raw!E:E,Input_Raw!CS:CS)*Table13[[#This Row],[Mtr_Export (kWh)]],"")</f>
        <v/>
      </c>
      <c r="AA470" s="43" t="str">
        <f t="shared" si="43"/>
        <v/>
      </c>
      <c r="AB470" s="10" t="str">
        <f>IFERROR(_xlfn.XLOOKUP($A470,Input_Raw!$E:$E,Input_Raw!$CZ:$CZ),"")</f>
        <v/>
      </c>
      <c r="AC470" s="313" t="str">
        <f>IFERROR(_xlfn.XLOOKUP($D470,'Modelling New'!$D:$D,'Modelling New'!$J:$J),"")</f>
        <v/>
      </c>
      <c r="AD470" s="43" t="str">
        <f>IFERROR(_xlfn.XLOOKUP($D470,'Modelling New'!$D:$D,'Modelling New'!$T:$T)*1000,"")</f>
        <v/>
      </c>
      <c r="AE470" s="312"/>
      <c r="AF470" s="312" t="str">
        <f>IFERROR(_xlfn.XLOOKUP($D470,'Modelling New'!$D:$D,'Modelling New'!$W:$W),"")</f>
        <v/>
      </c>
      <c r="AG470" s="312" t="str">
        <f>IFERROR(_xlfn.XLOOKUP($D470,'Modelling New'!$D:$D,'Modelling New'!$AE:$AE),"")</f>
        <v/>
      </c>
      <c r="AH470" s="312" t="str">
        <f>IFERROR(_xlfn.XLOOKUP($D470,'Modelling New'!$D:$D,'Modelling New'!$AF:$AF),"")</f>
        <v/>
      </c>
      <c r="AI470" s="10" t="str">
        <f>IFERROR(_xlfn.XLOOKUP($A470,Input_Raw!$E:$E,Input_Raw!$DG:$DG),"")</f>
        <v/>
      </c>
      <c r="AJ470" s="10"/>
      <c r="AK470" s="10"/>
      <c r="AL470" s="10"/>
      <c r="AM470" s="10"/>
      <c r="AN470" s="314" t="str">
        <f>IFERROR(_xlfn.XLOOKUP($A470,Input_Raw!$E:$E,Input_Raw!$CY:$CY),"")</f>
        <v/>
      </c>
      <c r="AO470" s="312" t="str">
        <f>IFERROR((_xlfn.XLOOKUP($A470,'WTG Reactive Power'!$A:$A,'WTG Reactive Power'!AB:AB))/X470,"")</f>
        <v/>
      </c>
      <c r="AP470" s="312" t="str">
        <f>IFERROR(_xlfn.XLOOKUP($D470,'Modelling New'!$D:$D,'Modelling New'!AK:AK),"")</f>
        <v/>
      </c>
      <c r="AQ470" s="312" t="str">
        <f>IFERROR(_xlfn.XLOOKUP($D470,'Modelling New'!$D:$D,'Modelling New'!AL:AL),"")</f>
        <v/>
      </c>
      <c r="AR470" s="325" t="str">
        <f>IFERROR(_xlfn.XLOOKUP($D470,'Modelling New'!$D:$D,'Modelling New'!$N:$N),"")</f>
        <v/>
      </c>
      <c r="AS470" s="325"/>
    </row>
    <row r="471" spans="1:45">
      <c r="A471" s="32">
        <f t="shared" si="44"/>
        <v>46214</v>
      </c>
      <c r="B471" s="43">
        <f>YEAR(Table13[[#This Row],[Date]])+IF(MONTH(Table13[[#This Row],[Date]])&gt;=4,1,0)</f>
        <v>2027</v>
      </c>
      <c r="C471" s="10">
        <f>YEAR(Table13[[#This Row],[Date]])</f>
        <v>2026</v>
      </c>
      <c r="D471" s="309">
        <f>Table13[[#This Row],[Date]]-DAY(Table13[[#This Row],[Date]])+1</f>
        <v>46204</v>
      </c>
      <c r="E471" s="10">
        <f t="shared" si="40"/>
        <v>31</v>
      </c>
      <c r="F471" s="241" t="str">
        <f>IFERROR(_xlfn.XLOOKUP($A471,Input_Raw!$E:$E,Input_Raw!DC:DC),"")</f>
        <v/>
      </c>
      <c r="G471" s="242"/>
      <c r="H471" s="242"/>
      <c r="I471" s="242"/>
      <c r="J471" s="242"/>
      <c r="K471" s="243"/>
      <c r="L471" s="242"/>
      <c r="M471" s="242" t="str">
        <f>IFERROR(_xlfn.XLOOKUP($A471,Input_Raw!$E:$E,Input_Raw!$BM:$BM),"")</f>
        <v/>
      </c>
      <c r="N471" s="242" t="str">
        <f>IFERROR(_xlfn.XLOOKUP($A471,Input_Raw!$E:$E,Input_Raw!$BN:$BN),"")</f>
        <v/>
      </c>
      <c r="O471" s="311" t="str">
        <f t="shared" si="41"/>
        <v/>
      </c>
      <c r="P471" s="311" t="str">
        <f>IFERROR(1-SUMIF(WTG_BD!$F:$F,$A471,WTG_BD!$AA:$AA)/($AA471+SUMIF(WTG_BD!$F:$F,$A471,WTG_BD!$AA:$AA)),"")</f>
        <v/>
      </c>
      <c r="Q471" s="328" t="str">
        <f>IFERROR(1-SUMIF(IGA_BD!$F:$F,$A471,IGA_BD!$W:$W)/($AA471+SUMIF(IGA_BD!$F:$F,$A471,IGA_BD!$W:$W)),"")</f>
        <v/>
      </c>
      <c r="R471" s="311" t="str">
        <f>IFERROR(1-SUMIF(Grid_BD!$F:$F,$A471,Grid_BD!$Y:$Y)/($AA471+SUMIF(Grid_BD!$F:$F,$A471,Grid_BD!$Y:$Y)),"")</f>
        <v/>
      </c>
      <c r="S471" s="10"/>
      <c r="T471" s="310"/>
      <c r="U471" s="311"/>
      <c r="V471" s="10"/>
      <c r="W471" s="312" t="str">
        <f t="shared" si="42"/>
        <v/>
      </c>
      <c r="X471" s="10" t="str">
        <f>IFERROR(_xlfn.XLOOKUP($A471,Input_Raw!$E:$E,Input_Raw!BG:BG),"")</f>
        <v/>
      </c>
      <c r="Y471" s="10" t="str">
        <f>IFERROR(_xlfn.XLOOKUP($A471,Input_Raw!$E:$E,Input_Raw!DF:DF),"")</f>
        <v/>
      </c>
      <c r="Z471" s="319" t="str">
        <f>IFERROR(_xlfn.XLOOKUP(A471,Input_Raw!E:E,Input_Raw!CT:CT)/_xlfn.XLOOKUP(A471,Input_Raw!E:E,Input_Raw!CS:CS)*Table13[[#This Row],[Mtr_Export (kWh)]],"")</f>
        <v/>
      </c>
      <c r="AA471" s="43" t="str">
        <f t="shared" si="43"/>
        <v/>
      </c>
      <c r="AB471" s="10" t="str">
        <f>IFERROR(_xlfn.XLOOKUP($A471,Input_Raw!$E:$E,Input_Raw!$CZ:$CZ),"")</f>
        <v/>
      </c>
      <c r="AC471" s="313" t="str">
        <f>IFERROR(_xlfn.XLOOKUP($D471,'Modelling New'!$D:$D,'Modelling New'!$J:$J),"")</f>
        <v/>
      </c>
      <c r="AD471" s="43" t="str">
        <f>IFERROR(_xlfn.XLOOKUP($D471,'Modelling New'!$D:$D,'Modelling New'!$T:$T)*1000,"")</f>
        <v/>
      </c>
      <c r="AE471" s="312"/>
      <c r="AF471" s="312" t="str">
        <f>IFERROR(_xlfn.XLOOKUP($D471,'Modelling New'!$D:$D,'Modelling New'!$W:$W),"")</f>
        <v/>
      </c>
      <c r="AG471" s="312" t="str">
        <f>IFERROR(_xlfn.XLOOKUP($D471,'Modelling New'!$D:$D,'Modelling New'!$AE:$AE),"")</f>
        <v/>
      </c>
      <c r="AH471" s="312" t="str">
        <f>IFERROR(_xlfn.XLOOKUP($D471,'Modelling New'!$D:$D,'Modelling New'!$AF:$AF),"")</f>
        <v/>
      </c>
      <c r="AI471" s="10" t="str">
        <f>IFERROR(_xlfn.XLOOKUP($A471,Input_Raw!$E:$E,Input_Raw!$DG:$DG),"")</f>
        <v/>
      </c>
      <c r="AJ471" s="10"/>
      <c r="AK471" s="10"/>
      <c r="AL471" s="10"/>
      <c r="AM471" s="10"/>
      <c r="AN471" s="314" t="str">
        <f>IFERROR(_xlfn.XLOOKUP($A471,Input_Raw!$E:$E,Input_Raw!$CY:$CY),"")</f>
        <v/>
      </c>
      <c r="AO471" s="312" t="str">
        <f>IFERROR((_xlfn.XLOOKUP($A471,'WTG Reactive Power'!$A:$A,'WTG Reactive Power'!AB:AB))/X471,"")</f>
        <v/>
      </c>
      <c r="AP471" s="312" t="str">
        <f>IFERROR(_xlfn.XLOOKUP($D471,'Modelling New'!$D:$D,'Modelling New'!AK:AK),"")</f>
        <v/>
      </c>
      <c r="AQ471" s="312" t="str">
        <f>IFERROR(_xlfn.XLOOKUP($D471,'Modelling New'!$D:$D,'Modelling New'!AL:AL),"")</f>
        <v/>
      </c>
      <c r="AR471" s="325" t="str">
        <f>IFERROR(_xlfn.XLOOKUP($D471,'Modelling New'!$D:$D,'Modelling New'!$N:$N),"")</f>
        <v/>
      </c>
      <c r="AS471" s="325"/>
    </row>
    <row r="472" spans="1:45">
      <c r="A472" s="32">
        <f t="shared" si="44"/>
        <v>46215</v>
      </c>
      <c r="B472" s="43">
        <f>YEAR(Table13[[#This Row],[Date]])+IF(MONTH(Table13[[#This Row],[Date]])&gt;=4,1,0)</f>
        <v>2027</v>
      </c>
      <c r="C472" s="10">
        <f>YEAR(Table13[[#This Row],[Date]])</f>
        <v>2026</v>
      </c>
      <c r="D472" s="309">
        <f>Table13[[#This Row],[Date]]-DAY(Table13[[#This Row],[Date]])+1</f>
        <v>46204</v>
      </c>
      <c r="E472" s="10">
        <f t="shared" si="40"/>
        <v>31</v>
      </c>
      <c r="F472" s="241" t="str">
        <f>IFERROR(_xlfn.XLOOKUP($A472,Input_Raw!$E:$E,Input_Raw!DC:DC),"")</f>
        <v/>
      </c>
      <c r="G472" s="313"/>
      <c r="H472" s="313"/>
      <c r="I472" s="313"/>
      <c r="J472" s="313"/>
      <c r="K472" s="243"/>
      <c r="L472" s="242"/>
      <c r="M472" s="242" t="str">
        <f>IFERROR(_xlfn.XLOOKUP($A472,Input_Raw!$E:$E,Input_Raw!$BM:$BM),"")</f>
        <v/>
      </c>
      <c r="N472" s="242" t="str">
        <f>IFERROR(_xlfn.XLOOKUP($A472,Input_Raw!$E:$E,Input_Raw!$BN:$BN),"")</f>
        <v/>
      </c>
      <c r="O472" s="311" t="str">
        <f t="shared" si="41"/>
        <v/>
      </c>
      <c r="P472" s="311" t="str">
        <f>IFERROR(1-SUMIF(WTG_BD!$F:$F,$A472,WTG_BD!$AA:$AA)/($AA472+SUMIF(WTG_BD!$F:$F,$A472,WTG_BD!$AA:$AA)),"")</f>
        <v/>
      </c>
      <c r="Q472" s="328" t="str">
        <f>IFERROR(1-SUMIF(IGA_BD!$F:$F,$A472,IGA_BD!$W:$W)/($AA472+SUMIF(IGA_BD!$F:$F,$A472,IGA_BD!$W:$W)),"")</f>
        <v/>
      </c>
      <c r="R472" s="47" t="str">
        <f>IFERROR(1-SUMIF(Grid_BD!$F:$F,$A472,Grid_BD!$Y:$Y)/($AA472+SUMIF(Grid_BD!$F:$F,$A472,Grid_BD!$Y:$Y)),"")</f>
        <v/>
      </c>
      <c r="S472" s="10"/>
      <c r="T472" s="310"/>
      <c r="U472" s="311"/>
      <c r="V472" s="10"/>
      <c r="W472" s="312" t="str">
        <f t="shared" si="42"/>
        <v/>
      </c>
      <c r="X472" s="10" t="str">
        <f>IFERROR(_xlfn.XLOOKUP($A472,Input_Raw!$E:$E,Input_Raw!BG:BG),"")</f>
        <v/>
      </c>
      <c r="Y472" s="10" t="str">
        <f>IFERROR(_xlfn.XLOOKUP($A472,Input_Raw!$E:$E,Input_Raw!DF:DF),"")</f>
        <v/>
      </c>
      <c r="Z472" s="319" t="str">
        <f>IFERROR(_xlfn.XLOOKUP(A472,Input_Raw!E:E,Input_Raw!CT:CT)/_xlfn.XLOOKUP(A472,Input_Raw!E:E,Input_Raw!CS:CS)*Table13[[#This Row],[Mtr_Export (kWh)]],"")</f>
        <v/>
      </c>
      <c r="AA472" s="43" t="str">
        <f t="shared" si="43"/>
        <v/>
      </c>
      <c r="AB472" s="10" t="str">
        <f>IFERROR(_xlfn.XLOOKUP($A472,Input_Raw!$E:$E,Input_Raw!$CZ:$CZ),"")</f>
        <v/>
      </c>
      <c r="AC472" s="313" t="str">
        <f>IFERROR(_xlfn.XLOOKUP($D472,'Modelling New'!$D:$D,'Modelling New'!$J:$J),"")</f>
        <v/>
      </c>
      <c r="AD472" s="43" t="str">
        <f>IFERROR(_xlfn.XLOOKUP($D472,'Modelling New'!$D:$D,'Modelling New'!$T:$T)*1000,"")</f>
        <v/>
      </c>
      <c r="AE472" s="312"/>
      <c r="AF472" s="312" t="str">
        <f>IFERROR(_xlfn.XLOOKUP($D472,'Modelling New'!$D:$D,'Modelling New'!$W:$W),"")</f>
        <v/>
      </c>
      <c r="AG472" s="312" t="str">
        <f>IFERROR(_xlfn.XLOOKUP($D472,'Modelling New'!$D:$D,'Modelling New'!$AE:$AE),"")</f>
        <v/>
      </c>
      <c r="AH472" s="312" t="str">
        <f>IFERROR(_xlfn.XLOOKUP($D472,'Modelling New'!$D:$D,'Modelling New'!$AF:$AF),"")</f>
        <v/>
      </c>
      <c r="AI472" s="10" t="str">
        <f>IFERROR(_xlfn.XLOOKUP($A472,Input_Raw!$E:$E,Input_Raw!$DG:$DG),"")</f>
        <v/>
      </c>
      <c r="AJ472" s="10"/>
      <c r="AK472" s="10"/>
      <c r="AL472" s="10"/>
      <c r="AM472" s="10"/>
      <c r="AN472" s="314" t="str">
        <f>IFERROR(_xlfn.XLOOKUP($A472,Input_Raw!$E:$E,Input_Raw!$CY:$CY),"")</f>
        <v/>
      </c>
      <c r="AO472" s="312" t="str">
        <f>IFERROR((_xlfn.XLOOKUP($A472,'WTG Reactive Power'!$A:$A,'WTG Reactive Power'!AB:AB))/X472,"")</f>
        <v/>
      </c>
      <c r="AP472" s="312" t="str">
        <f>IFERROR(_xlfn.XLOOKUP($D472,'Modelling New'!$D:$D,'Modelling New'!AK:AK),"")</f>
        <v/>
      </c>
      <c r="AQ472" s="312" t="str">
        <f>IFERROR(_xlfn.XLOOKUP($D472,'Modelling New'!$D:$D,'Modelling New'!AL:AL),"")</f>
        <v/>
      </c>
      <c r="AR472" s="325" t="str">
        <f>IFERROR(_xlfn.XLOOKUP($D472,'Modelling New'!$D:$D,'Modelling New'!$N:$N),"")</f>
        <v/>
      </c>
      <c r="AS472" s="325"/>
    </row>
    <row r="473" spans="1:45">
      <c r="A473" s="32">
        <f t="shared" si="44"/>
        <v>46216</v>
      </c>
      <c r="B473" s="43">
        <f>YEAR(Table13[[#This Row],[Date]])+IF(MONTH(Table13[[#This Row],[Date]])&gt;=4,1,0)</f>
        <v>2027</v>
      </c>
      <c r="C473" s="10">
        <f>YEAR(Table13[[#This Row],[Date]])</f>
        <v>2026</v>
      </c>
      <c r="D473" s="309">
        <f>Table13[[#This Row],[Date]]-DAY(Table13[[#This Row],[Date]])+1</f>
        <v>46204</v>
      </c>
      <c r="E473" s="10">
        <f t="shared" si="40"/>
        <v>31</v>
      </c>
      <c r="F473" s="241" t="str">
        <f>IFERROR(_xlfn.XLOOKUP($A473,Input_Raw!$E:$E,Input_Raw!DC:DC),"")</f>
        <v/>
      </c>
      <c r="G473" s="242"/>
      <c r="H473" s="242"/>
      <c r="I473" s="242"/>
      <c r="J473" s="242"/>
      <c r="K473" s="243"/>
      <c r="L473" s="242"/>
      <c r="M473" s="242" t="str">
        <f>IFERROR(_xlfn.XLOOKUP($A473,Input_Raw!$E:$E,Input_Raw!$BM:$BM),"")</f>
        <v/>
      </c>
      <c r="N473" s="242" t="str">
        <f>IFERROR(_xlfn.XLOOKUP($A473,Input_Raw!$E:$E,Input_Raw!$BN:$BN),"")</f>
        <v/>
      </c>
      <c r="O473" s="311" t="str">
        <f t="shared" si="41"/>
        <v/>
      </c>
      <c r="P473" s="311" t="str">
        <f>IFERROR(1-SUMIF(WTG_BD!$F:$F,$A473,WTG_BD!$AA:$AA)/($AA473+SUMIF(WTG_BD!$F:$F,$A473,WTG_BD!$AA:$AA)),"")</f>
        <v/>
      </c>
      <c r="Q473" s="328" t="str">
        <f>IFERROR(1-SUMIF(IGA_BD!$F:$F,$A473,IGA_BD!$W:$W)/($AA473+SUMIF(IGA_BD!$F:$F,$A473,IGA_BD!$W:$W)),"")</f>
        <v/>
      </c>
      <c r="R473" s="311" t="str">
        <f>IFERROR(1-SUMIF(Grid_BD!$F:$F,$A473,Grid_BD!$Y:$Y)/($AA473+SUMIF(Grid_BD!$F:$F,$A473,Grid_BD!$Y:$Y)),"")</f>
        <v/>
      </c>
      <c r="S473" s="10"/>
      <c r="T473" s="310"/>
      <c r="U473" s="311"/>
      <c r="V473" s="10"/>
      <c r="W473" s="312" t="str">
        <f t="shared" si="42"/>
        <v/>
      </c>
      <c r="X473" s="10" t="str">
        <f>IFERROR(_xlfn.XLOOKUP($A473,Input_Raw!$E:$E,Input_Raw!BG:BG),"")</f>
        <v/>
      </c>
      <c r="Y473" s="10" t="str">
        <f>IFERROR(_xlfn.XLOOKUP($A473,Input_Raw!$E:$E,Input_Raw!DF:DF),"")</f>
        <v/>
      </c>
      <c r="Z473" s="319" t="str">
        <f>IFERROR(_xlfn.XLOOKUP(A473,Input_Raw!E:E,Input_Raw!CT:CT)/_xlfn.XLOOKUP(A473,Input_Raw!E:E,Input_Raw!CS:CS)*Table13[[#This Row],[Mtr_Export (kWh)]],"")</f>
        <v/>
      </c>
      <c r="AA473" s="43" t="str">
        <f t="shared" si="43"/>
        <v/>
      </c>
      <c r="AB473" s="10" t="str">
        <f>IFERROR(_xlfn.XLOOKUP($A473,Input_Raw!$E:$E,Input_Raw!$CZ:$CZ),"")</f>
        <v/>
      </c>
      <c r="AC473" s="313" t="str">
        <f>IFERROR(_xlfn.XLOOKUP($D473,'Modelling New'!$D:$D,'Modelling New'!$J:$J),"")</f>
        <v/>
      </c>
      <c r="AD473" s="43" t="str">
        <f>IFERROR(_xlfn.XLOOKUP($D473,'Modelling New'!$D:$D,'Modelling New'!$T:$T)*1000,"")</f>
        <v/>
      </c>
      <c r="AE473" s="312"/>
      <c r="AF473" s="312" t="str">
        <f>IFERROR(_xlfn.XLOOKUP($D473,'Modelling New'!$D:$D,'Modelling New'!$W:$W),"")</f>
        <v/>
      </c>
      <c r="AG473" s="312" t="str">
        <f>IFERROR(_xlfn.XLOOKUP($D473,'Modelling New'!$D:$D,'Modelling New'!$AE:$AE),"")</f>
        <v/>
      </c>
      <c r="AH473" s="312" t="str">
        <f>IFERROR(_xlfn.XLOOKUP($D473,'Modelling New'!$D:$D,'Modelling New'!$AF:$AF),"")</f>
        <v/>
      </c>
      <c r="AI473" s="10" t="str">
        <f>IFERROR(_xlfn.XLOOKUP($A473,Input_Raw!$E:$E,Input_Raw!$DG:$DG),"")</f>
        <v/>
      </c>
      <c r="AJ473" s="10"/>
      <c r="AK473" s="10"/>
      <c r="AL473" s="10"/>
      <c r="AM473" s="10"/>
      <c r="AN473" s="314" t="str">
        <f>IFERROR(_xlfn.XLOOKUP($A473,Input_Raw!$E:$E,Input_Raw!$CY:$CY),"")</f>
        <v/>
      </c>
      <c r="AO473" s="312" t="str">
        <f>IFERROR((_xlfn.XLOOKUP($A473,'WTG Reactive Power'!$A:$A,'WTG Reactive Power'!AB:AB))/X473,"")</f>
        <v/>
      </c>
      <c r="AP473" s="312" t="str">
        <f>IFERROR(_xlfn.XLOOKUP($D473,'Modelling New'!$D:$D,'Modelling New'!AK:AK),"")</f>
        <v/>
      </c>
      <c r="AQ473" s="312" t="str">
        <f>IFERROR(_xlfn.XLOOKUP($D473,'Modelling New'!$D:$D,'Modelling New'!AL:AL),"")</f>
        <v/>
      </c>
      <c r="AR473" s="325" t="str">
        <f>IFERROR(_xlfn.XLOOKUP($D473,'Modelling New'!$D:$D,'Modelling New'!$N:$N),"")</f>
        <v/>
      </c>
      <c r="AS473" s="325"/>
    </row>
    <row r="474" spans="1:45">
      <c r="A474" s="32">
        <f t="shared" si="44"/>
        <v>46217</v>
      </c>
      <c r="B474" s="43">
        <f>YEAR(Table13[[#This Row],[Date]])+IF(MONTH(Table13[[#This Row],[Date]])&gt;=4,1,0)</f>
        <v>2027</v>
      </c>
      <c r="C474" s="10">
        <f>YEAR(Table13[[#This Row],[Date]])</f>
        <v>2026</v>
      </c>
      <c r="D474" s="309">
        <f>Table13[[#This Row],[Date]]-DAY(Table13[[#This Row],[Date]])+1</f>
        <v>46204</v>
      </c>
      <c r="E474" s="10">
        <f t="shared" si="40"/>
        <v>31</v>
      </c>
      <c r="F474" s="241" t="str">
        <f>IFERROR(_xlfn.XLOOKUP($A474,Input_Raw!$E:$E,Input_Raw!DC:DC),"")</f>
        <v/>
      </c>
      <c r="G474" s="313"/>
      <c r="H474" s="313"/>
      <c r="I474" s="313"/>
      <c r="J474" s="313"/>
      <c r="K474" s="243"/>
      <c r="L474" s="242"/>
      <c r="M474" s="242" t="str">
        <f>IFERROR(_xlfn.XLOOKUP($A474,Input_Raw!$E:$E,Input_Raw!$BM:$BM),"")</f>
        <v/>
      </c>
      <c r="N474" s="242" t="str">
        <f>IFERROR(_xlfn.XLOOKUP($A474,Input_Raw!$E:$E,Input_Raw!$BN:$BN),"")</f>
        <v/>
      </c>
      <c r="O474" s="311" t="str">
        <f t="shared" si="41"/>
        <v/>
      </c>
      <c r="P474" s="311" t="str">
        <f>IFERROR(1-SUMIF(WTG_BD!$F:$F,$A474,WTG_BD!$AA:$AA)/($AA474+SUMIF(WTG_BD!$F:$F,$A474,WTG_BD!$AA:$AA)),"")</f>
        <v/>
      </c>
      <c r="Q474" s="328" t="str">
        <f>IFERROR(1-SUMIF(IGA_BD!$F:$F,$A474,IGA_BD!$W:$W)/($AA474+SUMIF(IGA_BD!$F:$F,$A474,IGA_BD!$W:$W)),"")</f>
        <v/>
      </c>
      <c r="R474" s="47" t="str">
        <f>IFERROR(1-SUMIF(Grid_BD!$F:$F,$A474,Grid_BD!$Y:$Y)/($AA474+SUMIF(Grid_BD!$F:$F,$A474,Grid_BD!$Y:$Y)),"")</f>
        <v/>
      </c>
      <c r="S474" s="10"/>
      <c r="T474" s="310"/>
      <c r="U474" s="311"/>
      <c r="V474" s="10"/>
      <c r="W474" s="312" t="str">
        <f t="shared" si="42"/>
        <v/>
      </c>
      <c r="X474" s="10" t="str">
        <f>IFERROR(_xlfn.XLOOKUP($A474,Input_Raw!$E:$E,Input_Raw!BG:BG),"")</f>
        <v/>
      </c>
      <c r="Y474" s="10" t="str">
        <f>IFERROR(_xlfn.XLOOKUP($A474,Input_Raw!$E:$E,Input_Raw!DF:DF),"")</f>
        <v/>
      </c>
      <c r="Z474" s="319" t="str">
        <f>IFERROR(_xlfn.XLOOKUP(A474,Input_Raw!E:E,Input_Raw!CT:CT)/_xlfn.XLOOKUP(A474,Input_Raw!E:E,Input_Raw!CS:CS)*Table13[[#This Row],[Mtr_Export (kWh)]],"")</f>
        <v/>
      </c>
      <c r="AA474" s="43" t="str">
        <f t="shared" si="43"/>
        <v/>
      </c>
      <c r="AB474" s="10" t="str">
        <f>IFERROR(_xlfn.XLOOKUP($A474,Input_Raw!$E:$E,Input_Raw!$CZ:$CZ),"")</f>
        <v/>
      </c>
      <c r="AC474" s="313" t="str">
        <f>IFERROR(_xlfn.XLOOKUP($D474,'Modelling New'!$D:$D,'Modelling New'!$J:$J),"")</f>
        <v/>
      </c>
      <c r="AD474" s="43" t="str">
        <f>IFERROR(_xlfn.XLOOKUP($D474,'Modelling New'!$D:$D,'Modelling New'!$T:$T)*1000,"")</f>
        <v/>
      </c>
      <c r="AE474" s="312"/>
      <c r="AF474" s="312" t="str">
        <f>IFERROR(_xlfn.XLOOKUP($D474,'Modelling New'!$D:$D,'Modelling New'!$W:$W),"")</f>
        <v/>
      </c>
      <c r="AG474" s="312" t="str">
        <f>IFERROR(_xlfn.XLOOKUP($D474,'Modelling New'!$D:$D,'Modelling New'!$AE:$AE),"")</f>
        <v/>
      </c>
      <c r="AH474" s="312" t="str">
        <f>IFERROR(_xlfn.XLOOKUP($D474,'Modelling New'!$D:$D,'Modelling New'!$AF:$AF),"")</f>
        <v/>
      </c>
      <c r="AI474" s="10" t="str">
        <f>IFERROR(_xlfn.XLOOKUP($A474,Input_Raw!$E:$E,Input_Raw!$DG:$DG),"")</f>
        <v/>
      </c>
      <c r="AJ474" s="10"/>
      <c r="AK474" s="10"/>
      <c r="AL474" s="10"/>
      <c r="AM474" s="10"/>
      <c r="AN474" s="314" t="str">
        <f>IFERROR(_xlfn.XLOOKUP($A474,Input_Raw!$E:$E,Input_Raw!$CY:$CY),"")</f>
        <v/>
      </c>
      <c r="AO474" s="312" t="str">
        <f>IFERROR((_xlfn.XLOOKUP($A474,'WTG Reactive Power'!$A:$A,'WTG Reactive Power'!AB:AB))/X474,"")</f>
        <v/>
      </c>
      <c r="AP474" s="312" t="str">
        <f>IFERROR(_xlfn.XLOOKUP($D474,'Modelling New'!$D:$D,'Modelling New'!AK:AK),"")</f>
        <v/>
      </c>
      <c r="AQ474" s="312" t="str">
        <f>IFERROR(_xlfn.XLOOKUP($D474,'Modelling New'!$D:$D,'Modelling New'!AL:AL),"")</f>
        <v/>
      </c>
      <c r="AR474" s="325" t="str">
        <f>IFERROR(_xlfn.XLOOKUP($D474,'Modelling New'!$D:$D,'Modelling New'!$N:$N),"")</f>
        <v/>
      </c>
      <c r="AS474" s="325"/>
    </row>
    <row r="475" spans="1:45">
      <c r="A475" s="32">
        <f t="shared" si="44"/>
        <v>46218</v>
      </c>
      <c r="B475" s="43">
        <f>YEAR(Table13[[#This Row],[Date]])+IF(MONTH(Table13[[#This Row],[Date]])&gt;=4,1,0)</f>
        <v>2027</v>
      </c>
      <c r="C475" s="10">
        <f>YEAR(Table13[[#This Row],[Date]])</f>
        <v>2026</v>
      </c>
      <c r="D475" s="309">
        <f>Table13[[#This Row],[Date]]-DAY(Table13[[#This Row],[Date]])+1</f>
        <v>46204</v>
      </c>
      <c r="E475" s="10">
        <f t="shared" si="40"/>
        <v>31</v>
      </c>
      <c r="F475" s="241" t="str">
        <f>IFERROR(_xlfn.XLOOKUP($A475,Input_Raw!$E:$E,Input_Raw!DC:DC),"")</f>
        <v/>
      </c>
      <c r="G475" s="242"/>
      <c r="H475" s="242"/>
      <c r="I475" s="242"/>
      <c r="J475" s="242"/>
      <c r="K475" s="243"/>
      <c r="L475" s="242"/>
      <c r="M475" s="242" t="str">
        <f>IFERROR(_xlfn.XLOOKUP($A475,Input_Raw!$E:$E,Input_Raw!$BM:$BM),"")</f>
        <v/>
      </c>
      <c r="N475" s="242" t="str">
        <f>IFERROR(_xlfn.XLOOKUP($A475,Input_Raw!$E:$E,Input_Raw!$BN:$BN),"")</f>
        <v/>
      </c>
      <c r="O475" s="311" t="str">
        <f t="shared" si="41"/>
        <v/>
      </c>
      <c r="P475" s="311" t="str">
        <f>IFERROR(1-SUMIF(WTG_BD!$F:$F,$A475,WTG_BD!$AA:$AA)/($AA475+SUMIF(WTG_BD!$F:$F,$A475,WTG_BD!$AA:$AA)),"")</f>
        <v/>
      </c>
      <c r="Q475" s="328" t="str">
        <f>IFERROR(1-SUMIF(IGA_BD!$F:$F,$A475,IGA_BD!$W:$W)/($AA475+SUMIF(IGA_BD!$F:$F,$A475,IGA_BD!$W:$W)),"")</f>
        <v/>
      </c>
      <c r="R475" s="311" t="str">
        <f>IFERROR(1-SUMIF(Grid_BD!$F:$F,$A475,Grid_BD!$Y:$Y)/($AA475+SUMIF(Grid_BD!$F:$F,$A475,Grid_BD!$Y:$Y)),"")</f>
        <v/>
      </c>
      <c r="S475" s="10"/>
      <c r="T475" s="310"/>
      <c r="U475" s="311"/>
      <c r="V475" s="10"/>
      <c r="W475" s="312" t="str">
        <f t="shared" si="42"/>
        <v/>
      </c>
      <c r="X475" s="10" t="str">
        <f>IFERROR(_xlfn.XLOOKUP($A475,Input_Raw!$E:$E,Input_Raw!BG:BG),"")</f>
        <v/>
      </c>
      <c r="Y475" s="10" t="str">
        <f>IFERROR(_xlfn.XLOOKUP($A475,Input_Raw!$E:$E,Input_Raw!DF:DF),"")</f>
        <v/>
      </c>
      <c r="Z475" s="319" t="str">
        <f>IFERROR(_xlfn.XLOOKUP(A475,Input_Raw!E:E,Input_Raw!CT:CT)/_xlfn.XLOOKUP(A475,Input_Raw!E:E,Input_Raw!CS:CS)*Table13[[#This Row],[Mtr_Export (kWh)]],"")</f>
        <v/>
      </c>
      <c r="AA475" s="43" t="str">
        <f t="shared" si="43"/>
        <v/>
      </c>
      <c r="AB475" s="10" t="str">
        <f>IFERROR(_xlfn.XLOOKUP($A475,Input_Raw!$E:$E,Input_Raw!$CZ:$CZ),"")</f>
        <v/>
      </c>
      <c r="AC475" s="313" t="str">
        <f>IFERROR(_xlfn.XLOOKUP($D475,'Modelling New'!$D:$D,'Modelling New'!$J:$J),"")</f>
        <v/>
      </c>
      <c r="AD475" s="43" t="str">
        <f>IFERROR(_xlfn.XLOOKUP($D475,'Modelling New'!$D:$D,'Modelling New'!$T:$T)*1000,"")</f>
        <v/>
      </c>
      <c r="AE475" s="312"/>
      <c r="AF475" s="312" t="str">
        <f>IFERROR(_xlfn.XLOOKUP($D475,'Modelling New'!$D:$D,'Modelling New'!$W:$W),"")</f>
        <v/>
      </c>
      <c r="AG475" s="312" t="str">
        <f>IFERROR(_xlfn.XLOOKUP($D475,'Modelling New'!$D:$D,'Modelling New'!$AE:$AE),"")</f>
        <v/>
      </c>
      <c r="AH475" s="312" t="str">
        <f>IFERROR(_xlfn.XLOOKUP($D475,'Modelling New'!$D:$D,'Modelling New'!$AF:$AF),"")</f>
        <v/>
      </c>
      <c r="AI475" s="10" t="str">
        <f>IFERROR(_xlfn.XLOOKUP($A475,Input_Raw!$E:$E,Input_Raw!$DG:$DG),"")</f>
        <v/>
      </c>
      <c r="AJ475" s="10"/>
      <c r="AK475" s="10"/>
      <c r="AL475" s="10"/>
      <c r="AM475" s="10"/>
      <c r="AN475" s="314" t="str">
        <f>IFERROR(_xlfn.XLOOKUP($A475,Input_Raw!$E:$E,Input_Raw!$CY:$CY),"")</f>
        <v/>
      </c>
      <c r="AO475" s="312" t="str">
        <f>IFERROR((_xlfn.XLOOKUP($A475,'WTG Reactive Power'!$A:$A,'WTG Reactive Power'!AB:AB))/X475,"")</f>
        <v/>
      </c>
      <c r="AP475" s="312" t="str">
        <f>IFERROR(_xlfn.XLOOKUP($D475,'Modelling New'!$D:$D,'Modelling New'!AK:AK),"")</f>
        <v/>
      </c>
      <c r="AQ475" s="312" t="str">
        <f>IFERROR(_xlfn.XLOOKUP($D475,'Modelling New'!$D:$D,'Modelling New'!AL:AL),"")</f>
        <v/>
      </c>
      <c r="AR475" s="325" t="str">
        <f>IFERROR(_xlfn.XLOOKUP($D475,'Modelling New'!$D:$D,'Modelling New'!$N:$N),"")</f>
        <v/>
      </c>
      <c r="AS475" s="325"/>
    </row>
    <row r="476" spans="1:45">
      <c r="A476" s="32">
        <f t="shared" si="44"/>
        <v>46219</v>
      </c>
      <c r="B476" s="43">
        <f>YEAR(Table13[[#This Row],[Date]])+IF(MONTH(Table13[[#This Row],[Date]])&gt;=4,1,0)</f>
        <v>2027</v>
      </c>
      <c r="C476" s="10">
        <f>YEAR(Table13[[#This Row],[Date]])</f>
        <v>2026</v>
      </c>
      <c r="D476" s="309">
        <f>Table13[[#This Row],[Date]]-DAY(Table13[[#This Row],[Date]])+1</f>
        <v>46204</v>
      </c>
      <c r="E476" s="10">
        <f t="shared" si="40"/>
        <v>31</v>
      </c>
      <c r="F476" s="241" t="str">
        <f>IFERROR(_xlfn.XLOOKUP($A476,Input_Raw!$E:$E,Input_Raw!DC:DC),"")</f>
        <v/>
      </c>
      <c r="G476" s="313"/>
      <c r="H476" s="313"/>
      <c r="I476" s="313"/>
      <c r="J476" s="313"/>
      <c r="K476" s="243"/>
      <c r="L476" s="242"/>
      <c r="M476" s="242" t="str">
        <f>IFERROR(_xlfn.XLOOKUP($A476,Input_Raw!$E:$E,Input_Raw!$BM:$BM),"")</f>
        <v/>
      </c>
      <c r="N476" s="242" t="str">
        <f>IFERROR(_xlfn.XLOOKUP($A476,Input_Raw!$E:$E,Input_Raw!$BN:$BN),"")</f>
        <v/>
      </c>
      <c r="O476" s="311" t="str">
        <f t="shared" si="41"/>
        <v/>
      </c>
      <c r="P476" s="311" t="str">
        <f>IFERROR(1-SUMIF(WTG_BD!$F:$F,$A476,WTG_BD!$AA:$AA)/($AA476+SUMIF(WTG_BD!$F:$F,$A476,WTG_BD!$AA:$AA)),"")</f>
        <v/>
      </c>
      <c r="Q476" s="328" t="str">
        <f>IFERROR(1-SUMIF(IGA_BD!$F:$F,$A476,IGA_BD!$W:$W)/($AA476+SUMIF(IGA_BD!$F:$F,$A476,IGA_BD!$W:$W)),"")</f>
        <v/>
      </c>
      <c r="R476" s="47" t="str">
        <f>IFERROR(1-SUMIF(Grid_BD!$F:$F,$A476,Grid_BD!$Y:$Y)/($AA476+SUMIF(Grid_BD!$F:$F,$A476,Grid_BD!$Y:$Y)),"")</f>
        <v/>
      </c>
      <c r="S476" s="10"/>
      <c r="T476" s="310"/>
      <c r="U476" s="311"/>
      <c r="V476" s="10"/>
      <c r="W476" s="312" t="str">
        <f t="shared" si="42"/>
        <v/>
      </c>
      <c r="X476" s="10" t="str">
        <f>IFERROR(_xlfn.XLOOKUP($A476,Input_Raw!$E:$E,Input_Raw!BG:BG),"")</f>
        <v/>
      </c>
      <c r="Y476" s="10" t="str">
        <f>IFERROR(_xlfn.XLOOKUP($A476,Input_Raw!$E:$E,Input_Raw!DF:DF),"")</f>
        <v/>
      </c>
      <c r="Z476" s="319" t="str">
        <f>IFERROR(_xlfn.XLOOKUP(A476,Input_Raw!E:E,Input_Raw!CT:CT)/_xlfn.XLOOKUP(A476,Input_Raw!E:E,Input_Raw!CS:CS)*Table13[[#This Row],[Mtr_Export (kWh)]],"")</f>
        <v/>
      </c>
      <c r="AA476" s="43" t="str">
        <f t="shared" si="43"/>
        <v/>
      </c>
      <c r="AB476" s="10" t="str">
        <f>IFERROR(_xlfn.XLOOKUP($A476,Input_Raw!$E:$E,Input_Raw!$CZ:$CZ),"")</f>
        <v/>
      </c>
      <c r="AC476" s="313" t="str">
        <f>IFERROR(_xlfn.XLOOKUP($D476,'Modelling New'!$D:$D,'Modelling New'!$J:$J),"")</f>
        <v/>
      </c>
      <c r="AD476" s="43" t="str">
        <f>IFERROR(_xlfn.XLOOKUP($D476,'Modelling New'!$D:$D,'Modelling New'!$T:$T)*1000,"")</f>
        <v/>
      </c>
      <c r="AE476" s="312"/>
      <c r="AF476" s="312" t="str">
        <f>IFERROR(_xlfn.XLOOKUP($D476,'Modelling New'!$D:$D,'Modelling New'!$W:$W),"")</f>
        <v/>
      </c>
      <c r="AG476" s="312" t="str">
        <f>IFERROR(_xlfn.XLOOKUP($D476,'Modelling New'!$D:$D,'Modelling New'!$AE:$AE),"")</f>
        <v/>
      </c>
      <c r="AH476" s="312" t="str">
        <f>IFERROR(_xlfn.XLOOKUP($D476,'Modelling New'!$D:$D,'Modelling New'!$AF:$AF),"")</f>
        <v/>
      </c>
      <c r="AI476" s="10" t="str">
        <f>IFERROR(_xlfn.XLOOKUP($A476,Input_Raw!$E:$E,Input_Raw!$DG:$DG),"")</f>
        <v/>
      </c>
      <c r="AJ476" s="10"/>
      <c r="AK476" s="10"/>
      <c r="AL476" s="10"/>
      <c r="AM476" s="10"/>
      <c r="AN476" s="314" t="str">
        <f>IFERROR(_xlfn.XLOOKUP($A476,Input_Raw!$E:$E,Input_Raw!$CY:$CY),"")</f>
        <v/>
      </c>
      <c r="AO476" s="312" t="str">
        <f>IFERROR((_xlfn.XLOOKUP($A476,'WTG Reactive Power'!$A:$A,'WTG Reactive Power'!AB:AB))/X476,"")</f>
        <v/>
      </c>
      <c r="AP476" s="312" t="str">
        <f>IFERROR(_xlfn.XLOOKUP($D476,'Modelling New'!$D:$D,'Modelling New'!AK:AK),"")</f>
        <v/>
      </c>
      <c r="AQ476" s="312" t="str">
        <f>IFERROR(_xlfn.XLOOKUP($D476,'Modelling New'!$D:$D,'Modelling New'!AL:AL),"")</f>
        <v/>
      </c>
      <c r="AR476" s="325" t="str">
        <f>IFERROR(_xlfn.XLOOKUP($D476,'Modelling New'!$D:$D,'Modelling New'!$N:$N),"")</f>
        <v/>
      </c>
      <c r="AS476" s="325"/>
    </row>
    <row r="477" spans="1:45">
      <c r="A477" s="32">
        <f t="shared" si="44"/>
        <v>46220</v>
      </c>
      <c r="B477" s="43">
        <f>YEAR(Table13[[#This Row],[Date]])+IF(MONTH(Table13[[#This Row],[Date]])&gt;=4,1,0)</f>
        <v>2027</v>
      </c>
      <c r="C477" s="10">
        <f>YEAR(Table13[[#This Row],[Date]])</f>
        <v>2026</v>
      </c>
      <c r="D477" s="309">
        <f>Table13[[#This Row],[Date]]-DAY(Table13[[#This Row],[Date]])+1</f>
        <v>46204</v>
      </c>
      <c r="E477" s="10">
        <f t="shared" si="40"/>
        <v>31</v>
      </c>
      <c r="F477" s="241" t="str">
        <f>IFERROR(_xlfn.XLOOKUP($A477,Input_Raw!$E:$E,Input_Raw!DC:DC),"")</f>
        <v/>
      </c>
      <c r="G477" s="242"/>
      <c r="H477" s="242"/>
      <c r="I477" s="242"/>
      <c r="J477" s="242"/>
      <c r="K477" s="243"/>
      <c r="L477" s="242"/>
      <c r="M477" s="242" t="str">
        <f>IFERROR(_xlfn.XLOOKUP($A477,Input_Raw!$E:$E,Input_Raw!$BM:$BM),"")</f>
        <v/>
      </c>
      <c r="N477" s="242" t="str">
        <f>IFERROR(_xlfn.XLOOKUP($A477,Input_Raw!$E:$E,Input_Raw!$BN:$BN),"")</f>
        <v/>
      </c>
      <c r="O477" s="311" t="str">
        <f t="shared" si="41"/>
        <v/>
      </c>
      <c r="P477" s="311" t="str">
        <f>IFERROR(1-SUMIF(WTG_BD!$F:$F,$A477,WTG_BD!$AA:$AA)/($AA477+SUMIF(WTG_BD!$F:$F,$A477,WTG_BD!$AA:$AA)),"")</f>
        <v/>
      </c>
      <c r="Q477" s="328" t="str">
        <f>IFERROR(1-SUMIF(IGA_BD!$F:$F,$A477,IGA_BD!$W:$W)/($AA477+SUMIF(IGA_BD!$F:$F,$A477,IGA_BD!$W:$W)),"")</f>
        <v/>
      </c>
      <c r="R477" s="311" t="str">
        <f>IFERROR(1-SUMIF(Grid_BD!$F:$F,$A477,Grid_BD!$Y:$Y)/($AA477+SUMIF(Grid_BD!$F:$F,$A477,Grid_BD!$Y:$Y)),"")</f>
        <v/>
      </c>
      <c r="S477" s="10"/>
      <c r="T477" s="310"/>
      <c r="U477" s="311"/>
      <c r="V477" s="10"/>
      <c r="W477" s="312" t="str">
        <f t="shared" si="42"/>
        <v/>
      </c>
      <c r="X477" s="10" t="str">
        <f>IFERROR(_xlfn.XLOOKUP($A477,Input_Raw!$E:$E,Input_Raw!BG:BG),"")</f>
        <v/>
      </c>
      <c r="Y477" s="10" t="str">
        <f>IFERROR(_xlfn.XLOOKUP($A477,Input_Raw!$E:$E,Input_Raw!DF:DF),"")</f>
        <v/>
      </c>
      <c r="Z477" s="319" t="str">
        <f>IFERROR(_xlfn.XLOOKUP(A477,Input_Raw!E:E,Input_Raw!CT:CT)/_xlfn.XLOOKUP(A477,Input_Raw!E:E,Input_Raw!CS:CS)*Table13[[#This Row],[Mtr_Export (kWh)]],"")</f>
        <v/>
      </c>
      <c r="AA477" s="43" t="str">
        <f t="shared" si="43"/>
        <v/>
      </c>
      <c r="AB477" s="10" t="str">
        <f>IFERROR(_xlfn.XLOOKUP($A477,Input_Raw!$E:$E,Input_Raw!$CZ:$CZ),"")</f>
        <v/>
      </c>
      <c r="AC477" s="313" t="str">
        <f>IFERROR(_xlfn.XLOOKUP($D477,'Modelling New'!$D:$D,'Modelling New'!$J:$J),"")</f>
        <v/>
      </c>
      <c r="AD477" s="43" t="str">
        <f>IFERROR(_xlfn.XLOOKUP($D477,'Modelling New'!$D:$D,'Modelling New'!$T:$T)*1000,"")</f>
        <v/>
      </c>
      <c r="AE477" s="312"/>
      <c r="AF477" s="312" t="str">
        <f>IFERROR(_xlfn.XLOOKUP($D477,'Modelling New'!$D:$D,'Modelling New'!$W:$W),"")</f>
        <v/>
      </c>
      <c r="AG477" s="312" t="str">
        <f>IFERROR(_xlfn.XLOOKUP($D477,'Modelling New'!$D:$D,'Modelling New'!$AE:$AE),"")</f>
        <v/>
      </c>
      <c r="AH477" s="312" t="str">
        <f>IFERROR(_xlfn.XLOOKUP($D477,'Modelling New'!$D:$D,'Modelling New'!$AF:$AF),"")</f>
        <v/>
      </c>
      <c r="AI477" s="10" t="str">
        <f>IFERROR(_xlfn.XLOOKUP($A477,Input_Raw!$E:$E,Input_Raw!$DG:$DG),"")</f>
        <v/>
      </c>
      <c r="AJ477" s="10"/>
      <c r="AK477" s="10"/>
      <c r="AL477" s="10"/>
      <c r="AM477" s="10"/>
      <c r="AN477" s="314" t="str">
        <f>IFERROR(_xlfn.XLOOKUP($A477,Input_Raw!$E:$E,Input_Raw!$CY:$CY),"")</f>
        <v/>
      </c>
      <c r="AO477" s="312" t="str">
        <f>IFERROR((_xlfn.XLOOKUP($A477,'WTG Reactive Power'!$A:$A,'WTG Reactive Power'!AB:AB))/X477,"")</f>
        <v/>
      </c>
      <c r="AP477" s="312" t="str">
        <f>IFERROR(_xlfn.XLOOKUP($D477,'Modelling New'!$D:$D,'Modelling New'!AK:AK),"")</f>
        <v/>
      </c>
      <c r="AQ477" s="312" t="str">
        <f>IFERROR(_xlfn.XLOOKUP($D477,'Modelling New'!$D:$D,'Modelling New'!AL:AL),"")</f>
        <v/>
      </c>
      <c r="AR477" s="325" t="str">
        <f>IFERROR(_xlfn.XLOOKUP($D477,'Modelling New'!$D:$D,'Modelling New'!$N:$N),"")</f>
        <v/>
      </c>
      <c r="AS477" s="325"/>
    </row>
    <row r="478" spans="1:45">
      <c r="A478" s="32">
        <f t="shared" si="44"/>
        <v>46221</v>
      </c>
      <c r="B478" s="43">
        <f>YEAR(Table13[[#This Row],[Date]])+IF(MONTH(Table13[[#This Row],[Date]])&gt;=4,1,0)</f>
        <v>2027</v>
      </c>
      <c r="C478" s="10">
        <f>YEAR(Table13[[#This Row],[Date]])</f>
        <v>2026</v>
      </c>
      <c r="D478" s="309">
        <f>Table13[[#This Row],[Date]]-DAY(Table13[[#This Row],[Date]])+1</f>
        <v>46204</v>
      </c>
      <c r="E478" s="10">
        <f t="shared" si="40"/>
        <v>31</v>
      </c>
      <c r="F478" s="241" t="str">
        <f>IFERROR(_xlfn.XLOOKUP($A478,Input_Raw!$E:$E,Input_Raw!DC:DC),"")</f>
        <v/>
      </c>
      <c r="G478" s="313"/>
      <c r="H478" s="313"/>
      <c r="I478" s="313"/>
      <c r="J478" s="313"/>
      <c r="K478" s="243"/>
      <c r="L478" s="242"/>
      <c r="M478" s="242" t="str">
        <f>IFERROR(_xlfn.XLOOKUP($A478,Input_Raw!$E:$E,Input_Raw!$BM:$BM),"")</f>
        <v/>
      </c>
      <c r="N478" s="242" t="str">
        <f>IFERROR(_xlfn.XLOOKUP($A478,Input_Raw!$E:$E,Input_Raw!$BN:$BN),"")</f>
        <v/>
      </c>
      <c r="O478" s="311" t="str">
        <f t="shared" si="41"/>
        <v/>
      </c>
      <c r="P478" s="311" t="str">
        <f>IFERROR(1-SUMIF(WTG_BD!$F:$F,$A478,WTG_BD!$AA:$AA)/($AA478+SUMIF(WTG_BD!$F:$F,$A478,WTG_BD!$AA:$AA)),"")</f>
        <v/>
      </c>
      <c r="Q478" s="328" t="str">
        <f>IFERROR(1-SUMIF(IGA_BD!$F:$F,$A478,IGA_BD!$W:$W)/($AA478+SUMIF(IGA_BD!$F:$F,$A478,IGA_BD!$W:$W)),"")</f>
        <v/>
      </c>
      <c r="R478" s="47" t="str">
        <f>IFERROR(1-SUMIF(Grid_BD!$F:$F,$A478,Grid_BD!$Y:$Y)/($AA478+SUMIF(Grid_BD!$F:$F,$A478,Grid_BD!$Y:$Y)),"")</f>
        <v/>
      </c>
      <c r="S478" s="10"/>
      <c r="T478" s="310"/>
      <c r="U478" s="311"/>
      <c r="V478" s="10"/>
      <c r="W478" s="312" t="str">
        <f t="shared" si="42"/>
        <v/>
      </c>
      <c r="X478" s="10" t="str">
        <f>IFERROR(_xlfn.XLOOKUP($A478,Input_Raw!$E:$E,Input_Raw!BG:BG),"")</f>
        <v/>
      </c>
      <c r="Y478" s="10" t="str">
        <f>IFERROR(_xlfn.XLOOKUP($A478,Input_Raw!$E:$E,Input_Raw!DF:DF),"")</f>
        <v/>
      </c>
      <c r="Z478" s="319" t="str">
        <f>IFERROR(_xlfn.XLOOKUP(A478,Input_Raw!E:E,Input_Raw!CT:CT)/_xlfn.XLOOKUP(A478,Input_Raw!E:E,Input_Raw!CS:CS)*Table13[[#This Row],[Mtr_Export (kWh)]],"")</f>
        <v/>
      </c>
      <c r="AA478" s="43" t="str">
        <f t="shared" si="43"/>
        <v/>
      </c>
      <c r="AB478" s="10" t="str">
        <f>IFERROR(_xlfn.XLOOKUP($A478,Input_Raw!$E:$E,Input_Raw!$CZ:$CZ),"")</f>
        <v/>
      </c>
      <c r="AC478" s="313" t="str">
        <f>IFERROR(_xlfn.XLOOKUP($D478,'Modelling New'!$D:$D,'Modelling New'!$J:$J),"")</f>
        <v/>
      </c>
      <c r="AD478" s="43" t="str">
        <f>IFERROR(_xlfn.XLOOKUP($D478,'Modelling New'!$D:$D,'Modelling New'!$T:$T)*1000,"")</f>
        <v/>
      </c>
      <c r="AE478" s="312"/>
      <c r="AF478" s="312" t="str">
        <f>IFERROR(_xlfn.XLOOKUP($D478,'Modelling New'!$D:$D,'Modelling New'!$W:$W),"")</f>
        <v/>
      </c>
      <c r="AG478" s="312" t="str">
        <f>IFERROR(_xlfn.XLOOKUP($D478,'Modelling New'!$D:$D,'Modelling New'!$AE:$AE),"")</f>
        <v/>
      </c>
      <c r="AH478" s="312" t="str">
        <f>IFERROR(_xlfn.XLOOKUP($D478,'Modelling New'!$D:$D,'Modelling New'!$AF:$AF),"")</f>
        <v/>
      </c>
      <c r="AI478" s="10" t="str">
        <f>IFERROR(_xlfn.XLOOKUP($A478,Input_Raw!$E:$E,Input_Raw!$DG:$DG),"")</f>
        <v/>
      </c>
      <c r="AJ478" s="10"/>
      <c r="AK478" s="10"/>
      <c r="AL478" s="10"/>
      <c r="AM478" s="10"/>
      <c r="AN478" s="314" t="str">
        <f>IFERROR(_xlfn.XLOOKUP($A478,Input_Raw!$E:$E,Input_Raw!$CY:$CY),"")</f>
        <v/>
      </c>
      <c r="AO478" s="312" t="str">
        <f>IFERROR((_xlfn.XLOOKUP($A478,'WTG Reactive Power'!$A:$A,'WTG Reactive Power'!AB:AB))/X478,"")</f>
        <v/>
      </c>
      <c r="AP478" s="312" t="str">
        <f>IFERROR(_xlfn.XLOOKUP($D478,'Modelling New'!$D:$D,'Modelling New'!AK:AK),"")</f>
        <v/>
      </c>
      <c r="AQ478" s="312" t="str">
        <f>IFERROR(_xlfn.XLOOKUP($D478,'Modelling New'!$D:$D,'Modelling New'!AL:AL),"")</f>
        <v/>
      </c>
      <c r="AR478" s="325" t="str">
        <f>IFERROR(_xlfn.XLOOKUP($D478,'Modelling New'!$D:$D,'Modelling New'!$N:$N),"")</f>
        <v/>
      </c>
      <c r="AS478" s="325"/>
    </row>
    <row r="479" spans="1:45">
      <c r="A479" s="32">
        <f t="shared" si="44"/>
        <v>46222</v>
      </c>
      <c r="B479" s="43">
        <f>YEAR(Table13[[#This Row],[Date]])+IF(MONTH(Table13[[#This Row],[Date]])&gt;=4,1,0)</f>
        <v>2027</v>
      </c>
      <c r="C479" s="10">
        <f>YEAR(Table13[[#This Row],[Date]])</f>
        <v>2026</v>
      </c>
      <c r="D479" s="309">
        <f>Table13[[#This Row],[Date]]-DAY(Table13[[#This Row],[Date]])+1</f>
        <v>46204</v>
      </c>
      <c r="E479" s="10">
        <f t="shared" si="40"/>
        <v>31</v>
      </c>
      <c r="F479" s="241" t="str">
        <f>IFERROR(_xlfn.XLOOKUP($A479,Input_Raw!$E:$E,Input_Raw!DC:DC),"")</f>
        <v/>
      </c>
      <c r="G479" s="242"/>
      <c r="H479" s="242"/>
      <c r="I479" s="242"/>
      <c r="J479" s="242"/>
      <c r="K479" s="243"/>
      <c r="L479" s="242"/>
      <c r="M479" s="242" t="str">
        <f>IFERROR(_xlfn.XLOOKUP($A479,Input_Raw!$E:$E,Input_Raw!$BM:$BM),"")</f>
        <v/>
      </c>
      <c r="N479" s="242" t="str">
        <f>IFERROR(_xlfn.XLOOKUP($A479,Input_Raw!$E:$E,Input_Raw!$BN:$BN),"")</f>
        <v/>
      </c>
      <c r="O479" s="311" t="str">
        <f t="shared" si="41"/>
        <v/>
      </c>
      <c r="P479" s="311" t="str">
        <f>IFERROR(1-SUMIF(WTG_BD!$F:$F,$A479,WTG_BD!$AA:$AA)/($AA479+SUMIF(WTG_BD!$F:$F,$A479,WTG_BD!$AA:$AA)),"")</f>
        <v/>
      </c>
      <c r="Q479" s="328" t="str">
        <f>IFERROR(1-SUMIF(IGA_BD!$F:$F,$A479,IGA_BD!$W:$W)/($AA479+SUMIF(IGA_BD!$F:$F,$A479,IGA_BD!$W:$W)),"")</f>
        <v/>
      </c>
      <c r="R479" s="311" t="str">
        <f>IFERROR(1-SUMIF(Grid_BD!$F:$F,$A479,Grid_BD!$Y:$Y)/($AA479+SUMIF(Grid_BD!$F:$F,$A479,Grid_BD!$Y:$Y)),"")</f>
        <v/>
      </c>
      <c r="S479" s="10"/>
      <c r="T479" s="310"/>
      <c r="U479" s="311"/>
      <c r="V479" s="10"/>
      <c r="W479" s="312" t="str">
        <f t="shared" si="42"/>
        <v/>
      </c>
      <c r="X479" s="10" t="str">
        <f>IFERROR(_xlfn.XLOOKUP($A479,Input_Raw!$E:$E,Input_Raw!BG:BG),"")</f>
        <v/>
      </c>
      <c r="Y479" s="10" t="str">
        <f>IFERROR(_xlfn.XLOOKUP($A479,Input_Raw!$E:$E,Input_Raw!DF:DF),"")</f>
        <v/>
      </c>
      <c r="Z479" s="319" t="str">
        <f>IFERROR(_xlfn.XLOOKUP(A479,Input_Raw!E:E,Input_Raw!CT:CT)/_xlfn.XLOOKUP(A479,Input_Raw!E:E,Input_Raw!CS:CS)*Table13[[#This Row],[Mtr_Export (kWh)]],"")</f>
        <v/>
      </c>
      <c r="AA479" s="43" t="str">
        <f t="shared" si="43"/>
        <v/>
      </c>
      <c r="AB479" s="10" t="str">
        <f>IFERROR(_xlfn.XLOOKUP($A479,Input_Raw!$E:$E,Input_Raw!$CZ:$CZ),"")</f>
        <v/>
      </c>
      <c r="AC479" s="313" t="str">
        <f>IFERROR(_xlfn.XLOOKUP($D479,'Modelling New'!$D:$D,'Modelling New'!$J:$J),"")</f>
        <v/>
      </c>
      <c r="AD479" s="43" t="str">
        <f>IFERROR(_xlfn.XLOOKUP($D479,'Modelling New'!$D:$D,'Modelling New'!$T:$T)*1000,"")</f>
        <v/>
      </c>
      <c r="AE479" s="312"/>
      <c r="AF479" s="312" t="str">
        <f>IFERROR(_xlfn.XLOOKUP($D479,'Modelling New'!$D:$D,'Modelling New'!$W:$W),"")</f>
        <v/>
      </c>
      <c r="AG479" s="312" t="str">
        <f>IFERROR(_xlfn.XLOOKUP($D479,'Modelling New'!$D:$D,'Modelling New'!$AE:$AE),"")</f>
        <v/>
      </c>
      <c r="AH479" s="312" t="str">
        <f>IFERROR(_xlfn.XLOOKUP($D479,'Modelling New'!$D:$D,'Modelling New'!$AF:$AF),"")</f>
        <v/>
      </c>
      <c r="AI479" s="10" t="str">
        <f>IFERROR(_xlfn.XLOOKUP($A479,Input_Raw!$E:$E,Input_Raw!$DG:$DG),"")</f>
        <v/>
      </c>
      <c r="AJ479" s="10"/>
      <c r="AK479" s="10"/>
      <c r="AL479" s="10"/>
      <c r="AM479" s="10"/>
      <c r="AN479" s="314" t="str">
        <f>IFERROR(_xlfn.XLOOKUP($A479,Input_Raw!$E:$E,Input_Raw!$CY:$CY),"")</f>
        <v/>
      </c>
      <c r="AO479" s="312" t="str">
        <f>IFERROR((_xlfn.XLOOKUP($A479,'WTG Reactive Power'!$A:$A,'WTG Reactive Power'!AB:AB))/X479,"")</f>
        <v/>
      </c>
      <c r="AP479" s="312" t="str">
        <f>IFERROR(_xlfn.XLOOKUP($D479,'Modelling New'!$D:$D,'Modelling New'!AK:AK),"")</f>
        <v/>
      </c>
      <c r="AQ479" s="312" t="str">
        <f>IFERROR(_xlfn.XLOOKUP($D479,'Modelling New'!$D:$D,'Modelling New'!AL:AL),"")</f>
        <v/>
      </c>
      <c r="AR479" s="325" t="str">
        <f>IFERROR(_xlfn.XLOOKUP($D479,'Modelling New'!$D:$D,'Modelling New'!$N:$N),"")</f>
        <v/>
      </c>
      <c r="AS479" s="325"/>
    </row>
    <row r="480" spans="1:45">
      <c r="A480" s="32">
        <f t="shared" si="44"/>
        <v>46223</v>
      </c>
      <c r="B480" s="43">
        <f>YEAR(Table13[[#This Row],[Date]])+IF(MONTH(Table13[[#This Row],[Date]])&gt;=4,1,0)</f>
        <v>2027</v>
      </c>
      <c r="C480" s="10">
        <f>YEAR(Table13[[#This Row],[Date]])</f>
        <v>2026</v>
      </c>
      <c r="D480" s="309">
        <f>Table13[[#This Row],[Date]]-DAY(Table13[[#This Row],[Date]])+1</f>
        <v>46204</v>
      </c>
      <c r="E480" s="10">
        <f t="shared" si="40"/>
        <v>31</v>
      </c>
      <c r="F480" s="241" t="str">
        <f>IFERROR(_xlfn.XLOOKUP($A480,Input_Raw!$E:$E,Input_Raw!DC:DC),"")</f>
        <v/>
      </c>
      <c r="G480" s="313"/>
      <c r="H480" s="313"/>
      <c r="I480" s="313"/>
      <c r="J480" s="313"/>
      <c r="K480" s="243"/>
      <c r="L480" s="242"/>
      <c r="M480" s="242" t="str">
        <f>IFERROR(_xlfn.XLOOKUP($A480,Input_Raw!$E:$E,Input_Raw!$BM:$BM),"")</f>
        <v/>
      </c>
      <c r="N480" s="242" t="str">
        <f>IFERROR(_xlfn.XLOOKUP($A480,Input_Raw!$E:$E,Input_Raw!$BN:$BN),"")</f>
        <v/>
      </c>
      <c r="O480" s="311" t="str">
        <f t="shared" si="41"/>
        <v/>
      </c>
      <c r="P480" s="311" t="str">
        <f>IFERROR(1-SUMIF(WTG_BD!$F:$F,$A480,WTG_BD!$AA:$AA)/($AA480+SUMIF(WTG_BD!$F:$F,$A480,WTG_BD!$AA:$AA)),"")</f>
        <v/>
      </c>
      <c r="Q480" s="328" t="str">
        <f>IFERROR(1-SUMIF(IGA_BD!$F:$F,$A480,IGA_BD!$W:$W)/($AA480+SUMIF(IGA_BD!$F:$F,$A480,IGA_BD!$W:$W)),"")</f>
        <v/>
      </c>
      <c r="R480" s="47" t="str">
        <f>IFERROR(1-SUMIF(Grid_BD!$F:$F,$A480,Grid_BD!$Y:$Y)/($AA480+SUMIF(Grid_BD!$F:$F,$A480,Grid_BD!$Y:$Y)),"")</f>
        <v/>
      </c>
      <c r="S480" s="10"/>
      <c r="T480" s="310"/>
      <c r="U480" s="311"/>
      <c r="V480" s="10"/>
      <c r="W480" s="312" t="str">
        <f t="shared" si="42"/>
        <v/>
      </c>
      <c r="X480" s="10" t="str">
        <f>IFERROR(_xlfn.XLOOKUP($A480,Input_Raw!$E:$E,Input_Raw!BG:BG),"")</f>
        <v/>
      </c>
      <c r="Y480" s="10" t="str">
        <f>IFERROR(_xlfn.XLOOKUP($A480,Input_Raw!$E:$E,Input_Raw!DF:DF),"")</f>
        <v/>
      </c>
      <c r="Z480" s="319" t="str">
        <f>IFERROR(_xlfn.XLOOKUP(A480,Input_Raw!E:E,Input_Raw!CT:CT)/_xlfn.XLOOKUP(A480,Input_Raw!E:E,Input_Raw!CS:CS)*Table13[[#This Row],[Mtr_Export (kWh)]],"")</f>
        <v/>
      </c>
      <c r="AA480" s="43" t="str">
        <f t="shared" si="43"/>
        <v/>
      </c>
      <c r="AB480" s="10" t="str">
        <f>IFERROR(_xlfn.XLOOKUP($A480,Input_Raw!$E:$E,Input_Raw!$CZ:$CZ),"")</f>
        <v/>
      </c>
      <c r="AC480" s="313" t="str">
        <f>IFERROR(_xlfn.XLOOKUP($D480,'Modelling New'!$D:$D,'Modelling New'!$J:$J),"")</f>
        <v/>
      </c>
      <c r="AD480" s="43" t="str">
        <f>IFERROR(_xlfn.XLOOKUP($D480,'Modelling New'!$D:$D,'Modelling New'!$T:$T)*1000,"")</f>
        <v/>
      </c>
      <c r="AE480" s="312"/>
      <c r="AF480" s="312" t="str">
        <f>IFERROR(_xlfn.XLOOKUP($D480,'Modelling New'!$D:$D,'Modelling New'!$W:$W),"")</f>
        <v/>
      </c>
      <c r="AG480" s="312" t="str">
        <f>IFERROR(_xlfn.XLOOKUP($D480,'Modelling New'!$D:$D,'Modelling New'!$AE:$AE),"")</f>
        <v/>
      </c>
      <c r="AH480" s="312" t="str">
        <f>IFERROR(_xlfn.XLOOKUP($D480,'Modelling New'!$D:$D,'Modelling New'!$AF:$AF),"")</f>
        <v/>
      </c>
      <c r="AI480" s="10" t="str">
        <f>IFERROR(_xlfn.XLOOKUP($A480,Input_Raw!$E:$E,Input_Raw!$DG:$DG),"")</f>
        <v/>
      </c>
      <c r="AJ480" s="10"/>
      <c r="AK480" s="10"/>
      <c r="AL480" s="10"/>
      <c r="AM480" s="10"/>
      <c r="AN480" s="314" t="str">
        <f>IFERROR(_xlfn.XLOOKUP($A480,Input_Raw!$E:$E,Input_Raw!$CY:$CY),"")</f>
        <v/>
      </c>
      <c r="AO480" s="312" t="str">
        <f>IFERROR((_xlfn.XLOOKUP($A480,'WTG Reactive Power'!$A:$A,'WTG Reactive Power'!AB:AB))/X480,"")</f>
        <v/>
      </c>
      <c r="AP480" s="312" t="str">
        <f>IFERROR(_xlfn.XLOOKUP($D480,'Modelling New'!$D:$D,'Modelling New'!AK:AK),"")</f>
        <v/>
      </c>
      <c r="AQ480" s="312" t="str">
        <f>IFERROR(_xlfn.XLOOKUP($D480,'Modelling New'!$D:$D,'Modelling New'!AL:AL),"")</f>
        <v/>
      </c>
      <c r="AR480" s="325" t="str">
        <f>IFERROR(_xlfn.XLOOKUP($D480,'Modelling New'!$D:$D,'Modelling New'!$N:$N),"")</f>
        <v/>
      </c>
      <c r="AS480" s="325"/>
    </row>
    <row r="481" spans="1:45">
      <c r="A481" s="32">
        <f t="shared" si="44"/>
        <v>46224</v>
      </c>
      <c r="B481" s="43">
        <f>YEAR(Table13[[#This Row],[Date]])+IF(MONTH(Table13[[#This Row],[Date]])&gt;=4,1,0)</f>
        <v>2027</v>
      </c>
      <c r="C481" s="10">
        <f>YEAR(Table13[[#This Row],[Date]])</f>
        <v>2026</v>
      </c>
      <c r="D481" s="309">
        <f>Table13[[#This Row],[Date]]-DAY(Table13[[#This Row],[Date]])+1</f>
        <v>46204</v>
      </c>
      <c r="E481" s="10">
        <f t="shared" si="40"/>
        <v>31</v>
      </c>
      <c r="F481" s="241" t="str">
        <f>IFERROR(_xlfn.XLOOKUP($A481,Input_Raw!$E:$E,Input_Raw!DC:DC),"")</f>
        <v/>
      </c>
      <c r="G481" s="242"/>
      <c r="H481" s="242"/>
      <c r="I481" s="242"/>
      <c r="J481" s="242"/>
      <c r="K481" s="243"/>
      <c r="L481" s="242"/>
      <c r="M481" s="242" t="str">
        <f>IFERROR(_xlfn.XLOOKUP($A481,Input_Raw!$E:$E,Input_Raw!$BM:$BM),"")</f>
        <v/>
      </c>
      <c r="N481" s="242" t="str">
        <f>IFERROR(_xlfn.XLOOKUP($A481,Input_Raw!$E:$E,Input_Raw!$BN:$BN),"")</f>
        <v/>
      </c>
      <c r="O481" s="311" t="str">
        <f t="shared" si="41"/>
        <v/>
      </c>
      <c r="P481" s="311" t="str">
        <f>IFERROR(1-SUMIF(WTG_BD!$F:$F,$A481,WTG_BD!$AA:$AA)/($AA481+SUMIF(WTG_BD!$F:$F,$A481,WTG_BD!$AA:$AA)),"")</f>
        <v/>
      </c>
      <c r="Q481" s="328" t="str">
        <f>IFERROR(1-SUMIF(IGA_BD!$F:$F,$A481,IGA_BD!$W:$W)/($AA481+SUMIF(IGA_BD!$F:$F,$A481,IGA_BD!$W:$W)),"")</f>
        <v/>
      </c>
      <c r="R481" s="311" t="str">
        <f>IFERROR(1-SUMIF(Grid_BD!$F:$F,$A481,Grid_BD!$Y:$Y)/($AA481+SUMIF(Grid_BD!$F:$F,$A481,Grid_BD!$Y:$Y)),"")</f>
        <v/>
      </c>
      <c r="S481" s="10"/>
      <c r="T481" s="310"/>
      <c r="U481" s="311"/>
      <c r="V481" s="10"/>
      <c r="W481" s="312" t="str">
        <f t="shared" si="42"/>
        <v/>
      </c>
      <c r="X481" s="10" t="str">
        <f>IFERROR(_xlfn.XLOOKUP($A481,Input_Raw!$E:$E,Input_Raw!BG:BG),"")</f>
        <v/>
      </c>
      <c r="Y481" s="10" t="str">
        <f>IFERROR(_xlfn.XLOOKUP($A481,Input_Raw!$E:$E,Input_Raw!DF:DF),"")</f>
        <v/>
      </c>
      <c r="Z481" s="319" t="str">
        <f>IFERROR(_xlfn.XLOOKUP(A481,Input_Raw!E:E,Input_Raw!CT:CT)/_xlfn.XLOOKUP(A481,Input_Raw!E:E,Input_Raw!CS:CS)*Table13[[#This Row],[Mtr_Export (kWh)]],"")</f>
        <v/>
      </c>
      <c r="AA481" s="43" t="str">
        <f t="shared" si="43"/>
        <v/>
      </c>
      <c r="AB481" s="10" t="str">
        <f>IFERROR(_xlfn.XLOOKUP($A481,Input_Raw!$E:$E,Input_Raw!$CZ:$CZ),"")</f>
        <v/>
      </c>
      <c r="AC481" s="313" t="str">
        <f>IFERROR(_xlfn.XLOOKUP($D481,'Modelling New'!$D:$D,'Modelling New'!$J:$J),"")</f>
        <v/>
      </c>
      <c r="AD481" s="43" t="str">
        <f>IFERROR(_xlfn.XLOOKUP($D481,'Modelling New'!$D:$D,'Modelling New'!$T:$T)*1000,"")</f>
        <v/>
      </c>
      <c r="AE481" s="312"/>
      <c r="AF481" s="312" t="str">
        <f>IFERROR(_xlfn.XLOOKUP($D481,'Modelling New'!$D:$D,'Modelling New'!$W:$W),"")</f>
        <v/>
      </c>
      <c r="AG481" s="312" t="str">
        <f>IFERROR(_xlfn.XLOOKUP($D481,'Modelling New'!$D:$D,'Modelling New'!$AE:$AE),"")</f>
        <v/>
      </c>
      <c r="AH481" s="312" t="str">
        <f>IFERROR(_xlfn.XLOOKUP($D481,'Modelling New'!$D:$D,'Modelling New'!$AF:$AF),"")</f>
        <v/>
      </c>
      <c r="AI481" s="10" t="str">
        <f>IFERROR(_xlfn.XLOOKUP($A481,Input_Raw!$E:$E,Input_Raw!$DG:$DG),"")</f>
        <v/>
      </c>
      <c r="AJ481" s="10"/>
      <c r="AK481" s="10"/>
      <c r="AL481" s="10"/>
      <c r="AM481" s="10"/>
      <c r="AN481" s="314" t="str">
        <f>IFERROR(_xlfn.XLOOKUP($A481,Input_Raw!$E:$E,Input_Raw!$CY:$CY),"")</f>
        <v/>
      </c>
      <c r="AO481" s="312" t="str">
        <f>IFERROR((_xlfn.XLOOKUP($A481,'WTG Reactive Power'!$A:$A,'WTG Reactive Power'!AB:AB))/X481,"")</f>
        <v/>
      </c>
      <c r="AP481" s="312" t="str">
        <f>IFERROR(_xlfn.XLOOKUP($D481,'Modelling New'!$D:$D,'Modelling New'!AK:AK),"")</f>
        <v/>
      </c>
      <c r="AQ481" s="312" t="str">
        <f>IFERROR(_xlfn.XLOOKUP($D481,'Modelling New'!$D:$D,'Modelling New'!AL:AL),"")</f>
        <v/>
      </c>
      <c r="AR481" s="325" t="str">
        <f>IFERROR(_xlfn.XLOOKUP($D481,'Modelling New'!$D:$D,'Modelling New'!$N:$N),"")</f>
        <v/>
      </c>
      <c r="AS481" s="325"/>
    </row>
    <row r="482" spans="1:45">
      <c r="A482" s="32">
        <f t="shared" si="44"/>
        <v>46225</v>
      </c>
      <c r="B482" s="43">
        <f>YEAR(Table13[[#This Row],[Date]])+IF(MONTH(Table13[[#This Row],[Date]])&gt;=4,1,0)</f>
        <v>2027</v>
      </c>
      <c r="C482" s="10">
        <f>YEAR(Table13[[#This Row],[Date]])</f>
        <v>2026</v>
      </c>
      <c r="D482" s="309">
        <f>Table13[[#This Row],[Date]]-DAY(Table13[[#This Row],[Date]])+1</f>
        <v>46204</v>
      </c>
      <c r="E482" s="10">
        <f t="shared" si="40"/>
        <v>31</v>
      </c>
      <c r="F482" s="241" t="str">
        <f>IFERROR(_xlfn.XLOOKUP($A482,Input_Raw!$E:$E,Input_Raw!DC:DC),"")</f>
        <v/>
      </c>
      <c r="G482" s="313"/>
      <c r="H482" s="313"/>
      <c r="I482" s="313"/>
      <c r="J482" s="313"/>
      <c r="K482" s="243"/>
      <c r="L482" s="242"/>
      <c r="M482" s="242" t="str">
        <f>IFERROR(_xlfn.XLOOKUP($A482,Input_Raw!$E:$E,Input_Raw!$BM:$BM),"")</f>
        <v/>
      </c>
      <c r="N482" s="242" t="str">
        <f>IFERROR(_xlfn.XLOOKUP($A482,Input_Raw!$E:$E,Input_Raw!$BN:$BN),"")</f>
        <v/>
      </c>
      <c r="O482" s="311" t="str">
        <f t="shared" si="41"/>
        <v/>
      </c>
      <c r="P482" s="311" t="str">
        <f>IFERROR(1-SUMIF(WTG_BD!$F:$F,$A482,WTG_BD!$AA:$AA)/($AA482+SUMIF(WTG_BD!$F:$F,$A482,WTG_BD!$AA:$AA)),"")</f>
        <v/>
      </c>
      <c r="Q482" s="328" t="str">
        <f>IFERROR(1-SUMIF(IGA_BD!$F:$F,$A482,IGA_BD!$W:$W)/($AA482+SUMIF(IGA_BD!$F:$F,$A482,IGA_BD!$W:$W)),"")</f>
        <v/>
      </c>
      <c r="R482" s="47" t="str">
        <f>IFERROR(1-SUMIF(Grid_BD!$F:$F,$A482,Grid_BD!$Y:$Y)/($AA482+SUMIF(Grid_BD!$F:$F,$A482,Grid_BD!$Y:$Y)),"")</f>
        <v/>
      </c>
      <c r="S482" s="10"/>
      <c r="T482" s="310"/>
      <c r="U482" s="311"/>
      <c r="V482" s="10"/>
      <c r="W482" s="312" t="str">
        <f t="shared" si="42"/>
        <v/>
      </c>
      <c r="X482" s="10" t="str">
        <f>IFERROR(_xlfn.XLOOKUP($A482,Input_Raw!$E:$E,Input_Raw!BG:BG),"")</f>
        <v/>
      </c>
      <c r="Y482" s="10" t="str">
        <f>IFERROR(_xlfn.XLOOKUP($A482,Input_Raw!$E:$E,Input_Raw!DF:DF),"")</f>
        <v/>
      </c>
      <c r="Z482" s="319" t="str">
        <f>IFERROR(_xlfn.XLOOKUP(A482,Input_Raw!E:E,Input_Raw!CT:CT)/_xlfn.XLOOKUP(A482,Input_Raw!E:E,Input_Raw!CS:CS)*Table13[[#This Row],[Mtr_Export (kWh)]],"")</f>
        <v/>
      </c>
      <c r="AA482" s="43" t="str">
        <f t="shared" si="43"/>
        <v/>
      </c>
      <c r="AB482" s="10" t="str">
        <f>IFERROR(_xlfn.XLOOKUP($A482,Input_Raw!$E:$E,Input_Raw!$CZ:$CZ),"")</f>
        <v/>
      </c>
      <c r="AC482" s="313" t="str">
        <f>IFERROR(_xlfn.XLOOKUP($D482,'Modelling New'!$D:$D,'Modelling New'!$J:$J),"")</f>
        <v/>
      </c>
      <c r="AD482" s="43" t="str">
        <f>IFERROR(_xlfn.XLOOKUP($D482,'Modelling New'!$D:$D,'Modelling New'!$T:$T)*1000,"")</f>
        <v/>
      </c>
      <c r="AE482" s="312"/>
      <c r="AF482" s="312" t="str">
        <f>IFERROR(_xlfn.XLOOKUP($D482,'Modelling New'!$D:$D,'Modelling New'!$W:$W),"")</f>
        <v/>
      </c>
      <c r="AG482" s="312" t="str">
        <f>IFERROR(_xlfn.XLOOKUP($D482,'Modelling New'!$D:$D,'Modelling New'!$AE:$AE),"")</f>
        <v/>
      </c>
      <c r="AH482" s="312" t="str">
        <f>IFERROR(_xlfn.XLOOKUP($D482,'Modelling New'!$D:$D,'Modelling New'!$AF:$AF),"")</f>
        <v/>
      </c>
      <c r="AI482" s="10" t="str">
        <f>IFERROR(_xlfn.XLOOKUP($A482,Input_Raw!$E:$E,Input_Raw!$DG:$DG),"")</f>
        <v/>
      </c>
      <c r="AJ482" s="10"/>
      <c r="AK482" s="10"/>
      <c r="AL482" s="10"/>
      <c r="AM482" s="10"/>
      <c r="AN482" s="314" t="str">
        <f>IFERROR(_xlfn.XLOOKUP($A482,Input_Raw!$E:$E,Input_Raw!$CY:$CY),"")</f>
        <v/>
      </c>
      <c r="AO482" s="312" t="str">
        <f>IFERROR((_xlfn.XLOOKUP($A482,'WTG Reactive Power'!$A:$A,'WTG Reactive Power'!AB:AB))/X482,"")</f>
        <v/>
      </c>
      <c r="AP482" s="312" t="str">
        <f>IFERROR(_xlfn.XLOOKUP($D482,'Modelling New'!$D:$D,'Modelling New'!AK:AK),"")</f>
        <v/>
      </c>
      <c r="AQ482" s="312" t="str">
        <f>IFERROR(_xlfn.XLOOKUP($D482,'Modelling New'!$D:$D,'Modelling New'!AL:AL),"")</f>
        <v/>
      </c>
      <c r="AR482" s="325" t="str">
        <f>IFERROR(_xlfn.XLOOKUP($D482,'Modelling New'!$D:$D,'Modelling New'!$N:$N),"")</f>
        <v/>
      </c>
      <c r="AS482" s="325"/>
    </row>
    <row r="483" spans="1:45">
      <c r="A483" s="32">
        <f t="shared" si="44"/>
        <v>46226</v>
      </c>
      <c r="B483" s="43">
        <f>YEAR(Table13[[#This Row],[Date]])+IF(MONTH(Table13[[#This Row],[Date]])&gt;=4,1,0)</f>
        <v>2027</v>
      </c>
      <c r="C483" s="10">
        <f>YEAR(Table13[[#This Row],[Date]])</f>
        <v>2026</v>
      </c>
      <c r="D483" s="309">
        <f>Table13[[#This Row],[Date]]-DAY(Table13[[#This Row],[Date]])+1</f>
        <v>46204</v>
      </c>
      <c r="E483" s="10">
        <f t="shared" si="40"/>
        <v>31</v>
      </c>
      <c r="F483" s="241" t="str">
        <f>IFERROR(_xlfn.XLOOKUP($A483,Input_Raw!$E:$E,Input_Raw!DC:DC),"")</f>
        <v/>
      </c>
      <c r="G483" s="242"/>
      <c r="H483" s="242"/>
      <c r="I483" s="242"/>
      <c r="J483" s="242"/>
      <c r="K483" s="243"/>
      <c r="L483" s="242"/>
      <c r="M483" s="242" t="str">
        <f>IFERROR(_xlfn.XLOOKUP($A483,Input_Raw!$E:$E,Input_Raw!$BM:$BM),"")</f>
        <v/>
      </c>
      <c r="N483" s="242" t="str">
        <f>IFERROR(_xlfn.XLOOKUP($A483,Input_Raw!$E:$E,Input_Raw!$BN:$BN),"")</f>
        <v/>
      </c>
      <c r="O483" s="311" t="str">
        <f t="shared" si="41"/>
        <v/>
      </c>
      <c r="P483" s="311" t="str">
        <f>IFERROR(1-SUMIF(WTG_BD!$F:$F,$A483,WTG_BD!$AA:$AA)/($AA483+SUMIF(WTG_BD!$F:$F,$A483,WTG_BD!$AA:$AA)),"")</f>
        <v/>
      </c>
      <c r="Q483" s="328" t="str">
        <f>IFERROR(1-SUMIF(IGA_BD!$F:$F,$A483,IGA_BD!$W:$W)/($AA483+SUMIF(IGA_BD!$F:$F,$A483,IGA_BD!$W:$W)),"")</f>
        <v/>
      </c>
      <c r="R483" s="311" t="str">
        <f>IFERROR(1-SUMIF(Grid_BD!$F:$F,$A483,Grid_BD!$Y:$Y)/($AA483+SUMIF(Grid_BD!$F:$F,$A483,Grid_BD!$Y:$Y)),"")</f>
        <v/>
      </c>
      <c r="S483" s="10"/>
      <c r="T483" s="310"/>
      <c r="U483" s="311"/>
      <c r="V483" s="10"/>
      <c r="W483" s="312" t="str">
        <f t="shared" si="42"/>
        <v/>
      </c>
      <c r="X483" s="10" t="str">
        <f>IFERROR(_xlfn.XLOOKUP($A483,Input_Raw!$E:$E,Input_Raw!BG:BG),"")</f>
        <v/>
      </c>
      <c r="Y483" s="10" t="str">
        <f>IFERROR(_xlfn.XLOOKUP($A483,Input_Raw!$E:$E,Input_Raw!DF:DF),"")</f>
        <v/>
      </c>
      <c r="Z483" s="319" t="str">
        <f>IFERROR(_xlfn.XLOOKUP(A483,Input_Raw!E:E,Input_Raw!CT:CT)/_xlfn.XLOOKUP(A483,Input_Raw!E:E,Input_Raw!CS:CS)*Table13[[#This Row],[Mtr_Export (kWh)]],"")</f>
        <v/>
      </c>
      <c r="AA483" s="43" t="str">
        <f t="shared" si="43"/>
        <v/>
      </c>
      <c r="AB483" s="10" t="str">
        <f>IFERROR(_xlfn.XLOOKUP($A483,Input_Raw!$E:$E,Input_Raw!$CZ:$CZ),"")</f>
        <v/>
      </c>
      <c r="AC483" s="313" t="str">
        <f>IFERROR(_xlfn.XLOOKUP($D483,'Modelling New'!$D:$D,'Modelling New'!$J:$J),"")</f>
        <v/>
      </c>
      <c r="AD483" s="43" t="str">
        <f>IFERROR(_xlfn.XLOOKUP($D483,'Modelling New'!$D:$D,'Modelling New'!$T:$T)*1000,"")</f>
        <v/>
      </c>
      <c r="AE483" s="312"/>
      <c r="AF483" s="312" t="str">
        <f>IFERROR(_xlfn.XLOOKUP($D483,'Modelling New'!$D:$D,'Modelling New'!$W:$W),"")</f>
        <v/>
      </c>
      <c r="AG483" s="312" t="str">
        <f>IFERROR(_xlfn.XLOOKUP($D483,'Modelling New'!$D:$D,'Modelling New'!$AE:$AE),"")</f>
        <v/>
      </c>
      <c r="AH483" s="312" t="str">
        <f>IFERROR(_xlfn.XLOOKUP($D483,'Modelling New'!$D:$D,'Modelling New'!$AF:$AF),"")</f>
        <v/>
      </c>
      <c r="AI483" s="10" t="str">
        <f>IFERROR(_xlfn.XLOOKUP($A483,Input_Raw!$E:$E,Input_Raw!$DG:$DG),"")</f>
        <v/>
      </c>
      <c r="AJ483" s="10"/>
      <c r="AK483" s="10"/>
      <c r="AL483" s="10"/>
      <c r="AM483" s="10"/>
      <c r="AN483" s="314" t="str">
        <f>IFERROR(_xlfn.XLOOKUP($A483,Input_Raw!$E:$E,Input_Raw!$CY:$CY),"")</f>
        <v/>
      </c>
      <c r="AO483" s="312" t="str">
        <f>IFERROR((_xlfn.XLOOKUP($A483,'WTG Reactive Power'!$A:$A,'WTG Reactive Power'!AB:AB))/X483,"")</f>
        <v/>
      </c>
      <c r="AP483" s="312" t="str">
        <f>IFERROR(_xlfn.XLOOKUP($D483,'Modelling New'!$D:$D,'Modelling New'!AK:AK),"")</f>
        <v/>
      </c>
      <c r="AQ483" s="312" t="str">
        <f>IFERROR(_xlfn.XLOOKUP($D483,'Modelling New'!$D:$D,'Modelling New'!AL:AL),"")</f>
        <v/>
      </c>
      <c r="AR483" s="325" t="str">
        <f>IFERROR(_xlfn.XLOOKUP($D483,'Modelling New'!$D:$D,'Modelling New'!$N:$N),"")</f>
        <v/>
      </c>
      <c r="AS483" s="325"/>
    </row>
    <row r="484" spans="1:45">
      <c r="A484" s="32">
        <f t="shared" si="44"/>
        <v>46227</v>
      </c>
      <c r="B484" s="43">
        <f>YEAR(Table13[[#This Row],[Date]])+IF(MONTH(Table13[[#This Row],[Date]])&gt;=4,1,0)</f>
        <v>2027</v>
      </c>
      <c r="C484" s="10">
        <f>YEAR(Table13[[#This Row],[Date]])</f>
        <v>2026</v>
      </c>
      <c r="D484" s="309">
        <f>Table13[[#This Row],[Date]]-DAY(Table13[[#This Row],[Date]])+1</f>
        <v>46204</v>
      </c>
      <c r="E484" s="10">
        <f t="shared" si="40"/>
        <v>31</v>
      </c>
      <c r="F484" s="241" t="str">
        <f>IFERROR(_xlfn.XLOOKUP($A484,Input_Raw!$E:$E,Input_Raw!DC:DC),"")</f>
        <v/>
      </c>
      <c r="G484" s="313"/>
      <c r="H484" s="313"/>
      <c r="I484" s="313"/>
      <c r="J484" s="313"/>
      <c r="K484" s="243"/>
      <c r="L484" s="242"/>
      <c r="M484" s="242" t="str">
        <f>IFERROR(_xlfn.XLOOKUP($A484,Input_Raw!$E:$E,Input_Raw!$BM:$BM),"")</f>
        <v/>
      </c>
      <c r="N484" s="242" t="str">
        <f>IFERROR(_xlfn.XLOOKUP($A484,Input_Raw!$E:$E,Input_Raw!$BN:$BN),"")</f>
        <v/>
      </c>
      <c r="O484" s="311" t="str">
        <f t="shared" si="41"/>
        <v/>
      </c>
      <c r="P484" s="311" t="str">
        <f>IFERROR(1-SUMIF(WTG_BD!$F:$F,$A484,WTG_BD!$AA:$AA)/($AA484+SUMIF(WTG_BD!$F:$F,$A484,WTG_BD!$AA:$AA)),"")</f>
        <v/>
      </c>
      <c r="Q484" s="328" t="str">
        <f>IFERROR(1-SUMIF(IGA_BD!$F:$F,$A484,IGA_BD!$W:$W)/($AA484+SUMIF(IGA_BD!$F:$F,$A484,IGA_BD!$W:$W)),"")</f>
        <v/>
      </c>
      <c r="R484" s="47" t="str">
        <f>IFERROR(1-SUMIF(Grid_BD!$F:$F,$A484,Grid_BD!$Y:$Y)/($AA484+SUMIF(Grid_BD!$F:$F,$A484,Grid_BD!$Y:$Y)),"")</f>
        <v/>
      </c>
      <c r="S484" s="10"/>
      <c r="T484" s="310"/>
      <c r="U484" s="311"/>
      <c r="V484" s="10"/>
      <c r="W484" s="312" t="str">
        <f t="shared" si="42"/>
        <v/>
      </c>
      <c r="X484" s="10" t="str">
        <f>IFERROR(_xlfn.XLOOKUP($A484,Input_Raw!$E:$E,Input_Raw!BG:BG),"")</f>
        <v/>
      </c>
      <c r="Y484" s="10" t="str">
        <f>IFERROR(_xlfn.XLOOKUP($A484,Input_Raw!$E:$E,Input_Raw!DF:DF),"")</f>
        <v/>
      </c>
      <c r="Z484" s="319" t="str">
        <f>IFERROR(_xlfn.XLOOKUP(A484,Input_Raw!E:E,Input_Raw!CT:CT)/_xlfn.XLOOKUP(A484,Input_Raw!E:E,Input_Raw!CS:CS)*Table13[[#This Row],[Mtr_Export (kWh)]],"")</f>
        <v/>
      </c>
      <c r="AA484" s="43" t="str">
        <f t="shared" si="43"/>
        <v/>
      </c>
      <c r="AB484" s="10" t="str">
        <f>IFERROR(_xlfn.XLOOKUP($A484,Input_Raw!$E:$E,Input_Raw!$CZ:$CZ),"")</f>
        <v/>
      </c>
      <c r="AC484" s="313" t="str">
        <f>IFERROR(_xlfn.XLOOKUP($D484,'Modelling New'!$D:$D,'Modelling New'!$J:$J),"")</f>
        <v/>
      </c>
      <c r="AD484" s="43" t="str">
        <f>IFERROR(_xlfn.XLOOKUP($D484,'Modelling New'!$D:$D,'Modelling New'!$T:$T)*1000,"")</f>
        <v/>
      </c>
      <c r="AE484" s="312"/>
      <c r="AF484" s="312" t="str">
        <f>IFERROR(_xlfn.XLOOKUP($D484,'Modelling New'!$D:$D,'Modelling New'!$W:$W),"")</f>
        <v/>
      </c>
      <c r="AG484" s="312" t="str">
        <f>IFERROR(_xlfn.XLOOKUP($D484,'Modelling New'!$D:$D,'Modelling New'!$AE:$AE),"")</f>
        <v/>
      </c>
      <c r="AH484" s="312" t="str">
        <f>IFERROR(_xlfn.XLOOKUP($D484,'Modelling New'!$D:$D,'Modelling New'!$AF:$AF),"")</f>
        <v/>
      </c>
      <c r="AI484" s="10" t="str">
        <f>IFERROR(_xlfn.XLOOKUP($A484,Input_Raw!$E:$E,Input_Raw!$DG:$DG),"")</f>
        <v/>
      </c>
      <c r="AJ484" s="10"/>
      <c r="AK484" s="10"/>
      <c r="AL484" s="10"/>
      <c r="AM484" s="10"/>
      <c r="AN484" s="314" t="str">
        <f>IFERROR(_xlfn.XLOOKUP($A484,Input_Raw!$E:$E,Input_Raw!$CY:$CY),"")</f>
        <v/>
      </c>
      <c r="AO484" s="312" t="str">
        <f>IFERROR((_xlfn.XLOOKUP($A484,'WTG Reactive Power'!$A:$A,'WTG Reactive Power'!AB:AB))/X484,"")</f>
        <v/>
      </c>
      <c r="AP484" s="312" t="str">
        <f>IFERROR(_xlfn.XLOOKUP($D484,'Modelling New'!$D:$D,'Modelling New'!AK:AK),"")</f>
        <v/>
      </c>
      <c r="AQ484" s="312" t="str">
        <f>IFERROR(_xlfn.XLOOKUP($D484,'Modelling New'!$D:$D,'Modelling New'!AL:AL),"")</f>
        <v/>
      </c>
      <c r="AR484" s="325" t="str">
        <f>IFERROR(_xlfn.XLOOKUP($D484,'Modelling New'!$D:$D,'Modelling New'!$N:$N),"")</f>
        <v/>
      </c>
      <c r="AS484" s="325"/>
    </row>
    <row r="485" spans="1:45">
      <c r="A485" s="32">
        <f t="shared" si="44"/>
        <v>46228</v>
      </c>
      <c r="B485" s="43">
        <f>YEAR(Table13[[#This Row],[Date]])+IF(MONTH(Table13[[#This Row],[Date]])&gt;=4,1,0)</f>
        <v>2027</v>
      </c>
      <c r="C485" s="10">
        <f>YEAR(Table13[[#This Row],[Date]])</f>
        <v>2026</v>
      </c>
      <c r="D485" s="309">
        <f>Table13[[#This Row],[Date]]-DAY(Table13[[#This Row],[Date]])+1</f>
        <v>46204</v>
      </c>
      <c r="E485" s="10">
        <f t="shared" si="40"/>
        <v>31</v>
      </c>
      <c r="F485" s="241" t="str">
        <f>IFERROR(_xlfn.XLOOKUP($A485,Input_Raw!$E:$E,Input_Raw!DC:DC),"")</f>
        <v/>
      </c>
      <c r="G485" s="242"/>
      <c r="H485" s="242"/>
      <c r="I485" s="242"/>
      <c r="J485" s="242"/>
      <c r="K485" s="243"/>
      <c r="L485" s="242"/>
      <c r="M485" s="242" t="str">
        <f>IFERROR(_xlfn.XLOOKUP($A485,Input_Raw!$E:$E,Input_Raw!$BM:$BM),"")</f>
        <v/>
      </c>
      <c r="N485" s="242" t="str">
        <f>IFERROR(_xlfn.XLOOKUP($A485,Input_Raw!$E:$E,Input_Raw!$BN:$BN),"")</f>
        <v/>
      </c>
      <c r="O485" s="311" t="str">
        <f t="shared" si="41"/>
        <v/>
      </c>
      <c r="P485" s="311" t="str">
        <f>IFERROR(1-SUMIF(WTG_BD!$F:$F,$A485,WTG_BD!$AA:$AA)/($AA485+SUMIF(WTG_BD!$F:$F,$A485,WTG_BD!$AA:$AA)),"")</f>
        <v/>
      </c>
      <c r="Q485" s="328" t="str">
        <f>IFERROR(1-SUMIF(IGA_BD!$F:$F,$A485,IGA_BD!$W:$W)/($AA485+SUMIF(IGA_BD!$F:$F,$A485,IGA_BD!$W:$W)),"")</f>
        <v/>
      </c>
      <c r="R485" s="311" t="str">
        <f>IFERROR(1-SUMIF(Grid_BD!$F:$F,$A485,Grid_BD!$Y:$Y)/($AA485+SUMIF(Grid_BD!$F:$F,$A485,Grid_BD!$Y:$Y)),"")</f>
        <v/>
      </c>
      <c r="S485" s="10"/>
      <c r="T485" s="310"/>
      <c r="U485" s="311"/>
      <c r="V485" s="10"/>
      <c r="W485" s="312" t="str">
        <f t="shared" si="42"/>
        <v/>
      </c>
      <c r="X485" s="10" t="str">
        <f>IFERROR(_xlfn.XLOOKUP($A485,Input_Raw!$E:$E,Input_Raw!BG:BG),"")</f>
        <v/>
      </c>
      <c r="Y485" s="10" t="str">
        <f>IFERROR(_xlfn.XLOOKUP($A485,Input_Raw!$E:$E,Input_Raw!DF:DF),"")</f>
        <v/>
      </c>
      <c r="Z485" s="319" t="str">
        <f>IFERROR(_xlfn.XLOOKUP(A485,Input_Raw!E:E,Input_Raw!CT:CT)/_xlfn.XLOOKUP(A485,Input_Raw!E:E,Input_Raw!CS:CS)*Table13[[#This Row],[Mtr_Export (kWh)]],"")</f>
        <v/>
      </c>
      <c r="AA485" s="43" t="str">
        <f t="shared" si="43"/>
        <v/>
      </c>
      <c r="AB485" s="10" t="str">
        <f>IFERROR(_xlfn.XLOOKUP($A485,Input_Raw!$E:$E,Input_Raw!$CZ:$CZ),"")</f>
        <v/>
      </c>
      <c r="AC485" s="313" t="str">
        <f>IFERROR(_xlfn.XLOOKUP($D485,'Modelling New'!$D:$D,'Modelling New'!$J:$J),"")</f>
        <v/>
      </c>
      <c r="AD485" s="43" t="str">
        <f>IFERROR(_xlfn.XLOOKUP($D485,'Modelling New'!$D:$D,'Modelling New'!$T:$T)*1000,"")</f>
        <v/>
      </c>
      <c r="AE485" s="312"/>
      <c r="AF485" s="312" t="str">
        <f>IFERROR(_xlfn.XLOOKUP($D485,'Modelling New'!$D:$D,'Modelling New'!$W:$W),"")</f>
        <v/>
      </c>
      <c r="AG485" s="312" t="str">
        <f>IFERROR(_xlfn.XLOOKUP($D485,'Modelling New'!$D:$D,'Modelling New'!$AE:$AE),"")</f>
        <v/>
      </c>
      <c r="AH485" s="312" t="str">
        <f>IFERROR(_xlfn.XLOOKUP($D485,'Modelling New'!$D:$D,'Modelling New'!$AF:$AF),"")</f>
        <v/>
      </c>
      <c r="AI485" s="10" t="str">
        <f>IFERROR(_xlfn.XLOOKUP($A485,Input_Raw!$E:$E,Input_Raw!$DG:$DG),"")</f>
        <v/>
      </c>
      <c r="AJ485" s="10"/>
      <c r="AK485" s="10"/>
      <c r="AL485" s="10"/>
      <c r="AM485" s="10"/>
      <c r="AN485" s="314" t="str">
        <f>IFERROR(_xlfn.XLOOKUP($A485,Input_Raw!$E:$E,Input_Raw!$CY:$CY),"")</f>
        <v/>
      </c>
      <c r="AO485" s="312" t="str">
        <f>IFERROR((_xlfn.XLOOKUP($A485,'WTG Reactive Power'!$A:$A,'WTG Reactive Power'!AB:AB))/X485,"")</f>
        <v/>
      </c>
      <c r="AP485" s="312" t="str">
        <f>IFERROR(_xlfn.XLOOKUP($D485,'Modelling New'!$D:$D,'Modelling New'!AK:AK),"")</f>
        <v/>
      </c>
      <c r="AQ485" s="312" t="str">
        <f>IFERROR(_xlfn.XLOOKUP($D485,'Modelling New'!$D:$D,'Modelling New'!AL:AL),"")</f>
        <v/>
      </c>
      <c r="AR485" s="325" t="str">
        <f>IFERROR(_xlfn.XLOOKUP($D485,'Modelling New'!$D:$D,'Modelling New'!$N:$N),"")</f>
        <v/>
      </c>
      <c r="AS485" s="325"/>
    </row>
    <row r="486" spans="1:45">
      <c r="A486" s="32">
        <f t="shared" si="44"/>
        <v>46229</v>
      </c>
      <c r="B486" s="43">
        <f>YEAR(Table13[[#This Row],[Date]])+IF(MONTH(Table13[[#This Row],[Date]])&gt;=4,1,0)</f>
        <v>2027</v>
      </c>
      <c r="C486" s="10">
        <f>YEAR(Table13[[#This Row],[Date]])</f>
        <v>2026</v>
      </c>
      <c r="D486" s="309">
        <f>Table13[[#This Row],[Date]]-DAY(Table13[[#This Row],[Date]])+1</f>
        <v>46204</v>
      </c>
      <c r="E486" s="10">
        <f t="shared" si="40"/>
        <v>31</v>
      </c>
      <c r="F486" s="241" t="str">
        <f>IFERROR(_xlfn.XLOOKUP($A486,Input_Raw!$E:$E,Input_Raw!DC:DC),"")</f>
        <v/>
      </c>
      <c r="G486" s="313"/>
      <c r="H486" s="313"/>
      <c r="I486" s="313"/>
      <c r="J486" s="313"/>
      <c r="K486" s="243"/>
      <c r="L486" s="242"/>
      <c r="M486" s="242" t="str">
        <f>IFERROR(_xlfn.XLOOKUP($A486,Input_Raw!$E:$E,Input_Raw!$BM:$BM),"")</f>
        <v/>
      </c>
      <c r="N486" s="242" t="str">
        <f>IFERROR(_xlfn.XLOOKUP($A486,Input_Raw!$E:$E,Input_Raw!$BN:$BN),"")</f>
        <v/>
      </c>
      <c r="O486" s="311" t="str">
        <f t="shared" si="41"/>
        <v/>
      </c>
      <c r="P486" s="311" t="str">
        <f>IFERROR(1-SUMIF(WTG_BD!$F:$F,$A486,WTG_BD!$AA:$AA)/($AA486+SUMIF(WTG_BD!$F:$F,$A486,WTG_BD!$AA:$AA)),"")</f>
        <v/>
      </c>
      <c r="Q486" s="328" t="str">
        <f>IFERROR(1-SUMIF(IGA_BD!$F:$F,$A486,IGA_BD!$W:$W)/($AA486+SUMIF(IGA_BD!$F:$F,$A486,IGA_BD!$W:$W)),"")</f>
        <v/>
      </c>
      <c r="R486" s="47" t="str">
        <f>IFERROR(1-SUMIF(Grid_BD!$F:$F,$A486,Grid_BD!$Y:$Y)/($AA486+SUMIF(Grid_BD!$F:$F,$A486,Grid_BD!$Y:$Y)),"")</f>
        <v/>
      </c>
      <c r="S486" s="10"/>
      <c r="T486" s="310"/>
      <c r="U486" s="311"/>
      <c r="V486" s="10"/>
      <c r="W486" s="312" t="str">
        <f t="shared" si="42"/>
        <v/>
      </c>
      <c r="X486" s="10" t="str">
        <f>IFERROR(_xlfn.XLOOKUP($A486,Input_Raw!$E:$E,Input_Raw!BG:BG),"")</f>
        <v/>
      </c>
      <c r="Y486" s="10" t="str">
        <f>IFERROR(_xlfn.XLOOKUP($A486,Input_Raw!$E:$E,Input_Raw!DF:DF),"")</f>
        <v/>
      </c>
      <c r="Z486" s="319" t="str">
        <f>IFERROR(_xlfn.XLOOKUP(A486,Input_Raw!E:E,Input_Raw!CT:CT)/_xlfn.XLOOKUP(A486,Input_Raw!E:E,Input_Raw!CS:CS)*Table13[[#This Row],[Mtr_Export (kWh)]],"")</f>
        <v/>
      </c>
      <c r="AA486" s="43" t="str">
        <f t="shared" si="43"/>
        <v/>
      </c>
      <c r="AB486" s="10" t="str">
        <f>IFERROR(_xlfn.XLOOKUP($A486,Input_Raw!$E:$E,Input_Raw!$CZ:$CZ),"")</f>
        <v/>
      </c>
      <c r="AC486" s="313" t="str">
        <f>IFERROR(_xlfn.XLOOKUP($D486,'Modelling New'!$D:$D,'Modelling New'!$J:$J),"")</f>
        <v/>
      </c>
      <c r="AD486" s="43" t="str">
        <f>IFERROR(_xlfn.XLOOKUP($D486,'Modelling New'!$D:$D,'Modelling New'!$T:$T)*1000,"")</f>
        <v/>
      </c>
      <c r="AE486" s="312"/>
      <c r="AF486" s="312" t="str">
        <f>IFERROR(_xlfn.XLOOKUP($D486,'Modelling New'!$D:$D,'Modelling New'!$W:$W),"")</f>
        <v/>
      </c>
      <c r="AG486" s="312" t="str">
        <f>IFERROR(_xlfn.XLOOKUP($D486,'Modelling New'!$D:$D,'Modelling New'!$AE:$AE),"")</f>
        <v/>
      </c>
      <c r="AH486" s="312" t="str">
        <f>IFERROR(_xlfn.XLOOKUP($D486,'Modelling New'!$D:$D,'Modelling New'!$AF:$AF),"")</f>
        <v/>
      </c>
      <c r="AI486" s="10" t="str">
        <f>IFERROR(_xlfn.XLOOKUP($A486,Input_Raw!$E:$E,Input_Raw!$DG:$DG),"")</f>
        <v/>
      </c>
      <c r="AJ486" s="10"/>
      <c r="AK486" s="10"/>
      <c r="AL486" s="10"/>
      <c r="AM486" s="10"/>
      <c r="AN486" s="314" t="str">
        <f>IFERROR(_xlfn.XLOOKUP($A486,Input_Raw!$E:$E,Input_Raw!$CY:$CY),"")</f>
        <v/>
      </c>
      <c r="AO486" s="312" t="str">
        <f>IFERROR((_xlfn.XLOOKUP($A486,'WTG Reactive Power'!$A:$A,'WTG Reactive Power'!AB:AB))/X486,"")</f>
        <v/>
      </c>
      <c r="AP486" s="312" t="str">
        <f>IFERROR(_xlfn.XLOOKUP($D486,'Modelling New'!$D:$D,'Modelling New'!AK:AK),"")</f>
        <v/>
      </c>
      <c r="AQ486" s="312" t="str">
        <f>IFERROR(_xlfn.XLOOKUP($D486,'Modelling New'!$D:$D,'Modelling New'!AL:AL),"")</f>
        <v/>
      </c>
      <c r="AR486" s="325" t="str">
        <f>IFERROR(_xlfn.XLOOKUP($D486,'Modelling New'!$D:$D,'Modelling New'!$N:$N),"")</f>
        <v/>
      </c>
      <c r="AS486" s="325"/>
    </row>
    <row r="487" spans="1:45">
      <c r="A487" s="32">
        <f t="shared" si="44"/>
        <v>46230</v>
      </c>
      <c r="B487" s="43">
        <f>YEAR(Table13[[#This Row],[Date]])+IF(MONTH(Table13[[#This Row],[Date]])&gt;=4,1,0)</f>
        <v>2027</v>
      </c>
      <c r="C487" s="10">
        <f>YEAR(Table13[[#This Row],[Date]])</f>
        <v>2026</v>
      </c>
      <c r="D487" s="309">
        <f>Table13[[#This Row],[Date]]-DAY(Table13[[#This Row],[Date]])+1</f>
        <v>46204</v>
      </c>
      <c r="E487" s="10">
        <f t="shared" si="40"/>
        <v>31</v>
      </c>
      <c r="F487" s="241" t="str">
        <f>IFERROR(_xlfn.XLOOKUP($A487,Input_Raw!$E:$E,Input_Raw!DC:DC),"")</f>
        <v/>
      </c>
      <c r="G487" s="242"/>
      <c r="H487" s="242"/>
      <c r="I487" s="242"/>
      <c r="J487" s="242"/>
      <c r="K487" s="243"/>
      <c r="L487" s="242"/>
      <c r="M487" s="242" t="str">
        <f>IFERROR(_xlfn.XLOOKUP($A487,Input_Raw!$E:$E,Input_Raw!$BM:$BM),"")</f>
        <v/>
      </c>
      <c r="N487" s="242" t="str">
        <f>IFERROR(_xlfn.XLOOKUP($A487,Input_Raw!$E:$E,Input_Raw!$BN:$BN),"")</f>
        <v/>
      </c>
      <c r="O487" s="311" t="str">
        <f t="shared" si="41"/>
        <v/>
      </c>
      <c r="P487" s="311" t="str">
        <f>IFERROR(1-SUMIF(WTG_BD!$F:$F,$A487,WTG_BD!$AA:$AA)/($AA487+SUMIF(WTG_BD!$F:$F,$A487,WTG_BD!$AA:$AA)),"")</f>
        <v/>
      </c>
      <c r="Q487" s="328" t="str">
        <f>IFERROR(1-SUMIF(IGA_BD!$F:$F,$A487,IGA_BD!$W:$W)/($AA487+SUMIF(IGA_BD!$F:$F,$A487,IGA_BD!$W:$W)),"")</f>
        <v/>
      </c>
      <c r="R487" s="311" t="str">
        <f>IFERROR(1-SUMIF(Grid_BD!$F:$F,$A487,Grid_BD!$Y:$Y)/($AA487+SUMIF(Grid_BD!$F:$F,$A487,Grid_BD!$Y:$Y)),"")</f>
        <v/>
      </c>
      <c r="S487" s="10"/>
      <c r="T487" s="310"/>
      <c r="U487" s="311"/>
      <c r="V487" s="10"/>
      <c r="W487" s="312" t="str">
        <f t="shared" si="42"/>
        <v/>
      </c>
      <c r="X487" s="10" t="str">
        <f>IFERROR(_xlfn.XLOOKUP($A487,Input_Raw!$E:$E,Input_Raw!BG:BG),"")</f>
        <v/>
      </c>
      <c r="Y487" s="10" t="str">
        <f>IFERROR(_xlfn.XLOOKUP($A487,Input_Raw!$E:$E,Input_Raw!DF:DF),"")</f>
        <v/>
      </c>
      <c r="Z487" s="319" t="str">
        <f>IFERROR(_xlfn.XLOOKUP(A487,Input_Raw!E:E,Input_Raw!CT:CT)/_xlfn.XLOOKUP(A487,Input_Raw!E:E,Input_Raw!CS:CS)*Table13[[#This Row],[Mtr_Export (kWh)]],"")</f>
        <v/>
      </c>
      <c r="AA487" s="43" t="str">
        <f t="shared" si="43"/>
        <v/>
      </c>
      <c r="AB487" s="10" t="str">
        <f>IFERROR(_xlfn.XLOOKUP($A487,Input_Raw!$E:$E,Input_Raw!$CZ:$CZ),"")</f>
        <v/>
      </c>
      <c r="AC487" s="313" t="str">
        <f>IFERROR(_xlfn.XLOOKUP($D487,'Modelling New'!$D:$D,'Modelling New'!$J:$J),"")</f>
        <v/>
      </c>
      <c r="AD487" s="43" t="str">
        <f>IFERROR(_xlfn.XLOOKUP($D487,'Modelling New'!$D:$D,'Modelling New'!$T:$T)*1000,"")</f>
        <v/>
      </c>
      <c r="AE487" s="312"/>
      <c r="AF487" s="312" t="str">
        <f>IFERROR(_xlfn.XLOOKUP($D487,'Modelling New'!$D:$D,'Modelling New'!$W:$W),"")</f>
        <v/>
      </c>
      <c r="AG487" s="312" t="str">
        <f>IFERROR(_xlfn.XLOOKUP($D487,'Modelling New'!$D:$D,'Modelling New'!$AE:$AE),"")</f>
        <v/>
      </c>
      <c r="AH487" s="312" t="str">
        <f>IFERROR(_xlfn.XLOOKUP($D487,'Modelling New'!$D:$D,'Modelling New'!$AF:$AF),"")</f>
        <v/>
      </c>
      <c r="AI487" s="10" t="str">
        <f>IFERROR(_xlfn.XLOOKUP($A487,Input_Raw!$E:$E,Input_Raw!$DG:$DG),"")</f>
        <v/>
      </c>
      <c r="AJ487" s="10"/>
      <c r="AK487" s="10"/>
      <c r="AL487" s="10"/>
      <c r="AM487" s="10"/>
      <c r="AN487" s="314" t="str">
        <f>IFERROR(_xlfn.XLOOKUP($A487,Input_Raw!$E:$E,Input_Raw!$CY:$CY),"")</f>
        <v/>
      </c>
      <c r="AO487" s="312" t="str">
        <f>IFERROR((_xlfn.XLOOKUP($A487,'WTG Reactive Power'!$A:$A,'WTG Reactive Power'!AB:AB))/X487,"")</f>
        <v/>
      </c>
      <c r="AP487" s="312" t="str">
        <f>IFERROR(_xlfn.XLOOKUP($D487,'Modelling New'!$D:$D,'Modelling New'!AK:AK),"")</f>
        <v/>
      </c>
      <c r="AQ487" s="312" t="str">
        <f>IFERROR(_xlfn.XLOOKUP($D487,'Modelling New'!$D:$D,'Modelling New'!AL:AL),"")</f>
        <v/>
      </c>
      <c r="AR487" s="325" t="str">
        <f>IFERROR(_xlfn.XLOOKUP($D487,'Modelling New'!$D:$D,'Modelling New'!$N:$N),"")</f>
        <v/>
      </c>
      <c r="AS487" s="325"/>
    </row>
    <row r="488" spans="1:45">
      <c r="A488" s="32">
        <f t="shared" si="44"/>
        <v>46231</v>
      </c>
      <c r="B488" s="43">
        <f>YEAR(Table13[[#This Row],[Date]])+IF(MONTH(Table13[[#This Row],[Date]])&gt;=4,1,0)</f>
        <v>2027</v>
      </c>
      <c r="C488" s="10">
        <f>YEAR(Table13[[#This Row],[Date]])</f>
        <v>2026</v>
      </c>
      <c r="D488" s="309">
        <f>Table13[[#This Row],[Date]]-DAY(Table13[[#This Row],[Date]])+1</f>
        <v>46204</v>
      </c>
      <c r="E488" s="10">
        <f t="shared" si="40"/>
        <v>31</v>
      </c>
      <c r="F488" s="241" t="str">
        <f>IFERROR(_xlfn.XLOOKUP($A488,Input_Raw!$E:$E,Input_Raw!DC:DC),"")</f>
        <v/>
      </c>
      <c r="G488" s="313"/>
      <c r="H488" s="313"/>
      <c r="I488" s="313"/>
      <c r="J488" s="313"/>
      <c r="K488" s="243"/>
      <c r="L488" s="242"/>
      <c r="M488" s="242" t="str">
        <f>IFERROR(_xlfn.XLOOKUP($A488,Input_Raw!$E:$E,Input_Raw!$BM:$BM),"")</f>
        <v/>
      </c>
      <c r="N488" s="242" t="str">
        <f>IFERROR(_xlfn.XLOOKUP($A488,Input_Raw!$E:$E,Input_Raw!$BN:$BN),"")</f>
        <v/>
      </c>
      <c r="O488" s="311" t="str">
        <f t="shared" si="41"/>
        <v/>
      </c>
      <c r="P488" s="311" t="str">
        <f>IFERROR(1-SUMIF(WTG_BD!$F:$F,$A488,WTG_BD!$AA:$AA)/($AA488+SUMIF(WTG_BD!$F:$F,$A488,WTG_BD!$AA:$AA)),"")</f>
        <v/>
      </c>
      <c r="Q488" s="328" t="str">
        <f>IFERROR(1-SUMIF(IGA_BD!$F:$F,$A488,IGA_BD!$W:$W)/($AA488+SUMIF(IGA_BD!$F:$F,$A488,IGA_BD!$W:$W)),"")</f>
        <v/>
      </c>
      <c r="R488" s="47" t="str">
        <f>IFERROR(1-SUMIF(Grid_BD!$F:$F,$A488,Grid_BD!$Y:$Y)/($AA488+SUMIF(Grid_BD!$F:$F,$A488,Grid_BD!$Y:$Y)),"")</f>
        <v/>
      </c>
      <c r="S488" s="10"/>
      <c r="T488" s="310"/>
      <c r="U488" s="311"/>
      <c r="V488" s="10"/>
      <c r="W488" s="312" t="str">
        <f t="shared" si="42"/>
        <v/>
      </c>
      <c r="X488" s="10" t="str">
        <f>IFERROR(_xlfn.XLOOKUP($A488,Input_Raw!$E:$E,Input_Raw!BG:BG),"")</f>
        <v/>
      </c>
      <c r="Y488" s="10" t="str">
        <f>IFERROR(_xlfn.XLOOKUP($A488,Input_Raw!$E:$E,Input_Raw!DF:DF),"")</f>
        <v/>
      </c>
      <c r="Z488" s="319" t="str">
        <f>IFERROR(_xlfn.XLOOKUP(A488,Input_Raw!E:E,Input_Raw!CT:CT)/_xlfn.XLOOKUP(A488,Input_Raw!E:E,Input_Raw!CS:CS)*Table13[[#This Row],[Mtr_Export (kWh)]],"")</f>
        <v/>
      </c>
      <c r="AA488" s="43" t="str">
        <f t="shared" si="43"/>
        <v/>
      </c>
      <c r="AB488" s="10" t="str">
        <f>IFERROR(_xlfn.XLOOKUP($A488,Input_Raw!$E:$E,Input_Raw!$CZ:$CZ),"")</f>
        <v/>
      </c>
      <c r="AC488" s="313" t="str">
        <f>IFERROR(_xlfn.XLOOKUP($D488,'Modelling New'!$D:$D,'Modelling New'!$J:$J),"")</f>
        <v/>
      </c>
      <c r="AD488" s="43" t="str">
        <f>IFERROR(_xlfn.XLOOKUP($D488,'Modelling New'!$D:$D,'Modelling New'!$T:$T)*1000,"")</f>
        <v/>
      </c>
      <c r="AE488" s="312"/>
      <c r="AF488" s="312" t="str">
        <f>IFERROR(_xlfn.XLOOKUP($D488,'Modelling New'!$D:$D,'Modelling New'!$W:$W),"")</f>
        <v/>
      </c>
      <c r="AG488" s="312" t="str">
        <f>IFERROR(_xlfn.XLOOKUP($D488,'Modelling New'!$D:$D,'Modelling New'!$AE:$AE),"")</f>
        <v/>
      </c>
      <c r="AH488" s="312" t="str">
        <f>IFERROR(_xlfn.XLOOKUP($D488,'Modelling New'!$D:$D,'Modelling New'!$AF:$AF),"")</f>
        <v/>
      </c>
      <c r="AI488" s="10" t="str">
        <f>IFERROR(_xlfn.XLOOKUP($A488,Input_Raw!$E:$E,Input_Raw!$DG:$DG),"")</f>
        <v/>
      </c>
      <c r="AJ488" s="10"/>
      <c r="AK488" s="10"/>
      <c r="AL488" s="10"/>
      <c r="AM488" s="10"/>
      <c r="AN488" s="314" t="str">
        <f>IFERROR(_xlfn.XLOOKUP($A488,Input_Raw!$E:$E,Input_Raw!$CY:$CY),"")</f>
        <v/>
      </c>
      <c r="AO488" s="312" t="str">
        <f>IFERROR((_xlfn.XLOOKUP($A488,'WTG Reactive Power'!$A:$A,'WTG Reactive Power'!AB:AB))/X488,"")</f>
        <v/>
      </c>
      <c r="AP488" s="312" t="str">
        <f>IFERROR(_xlfn.XLOOKUP($D488,'Modelling New'!$D:$D,'Modelling New'!AK:AK),"")</f>
        <v/>
      </c>
      <c r="AQ488" s="312" t="str">
        <f>IFERROR(_xlfn.XLOOKUP($D488,'Modelling New'!$D:$D,'Modelling New'!AL:AL),"")</f>
        <v/>
      </c>
      <c r="AR488" s="325" t="str">
        <f>IFERROR(_xlfn.XLOOKUP($D488,'Modelling New'!$D:$D,'Modelling New'!$N:$N),"")</f>
        <v/>
      </c>
      <c r="AS488" s="325"/>
    </row>
    <row r="489" spans="1:45">
      <c r="A489" s="32">
        <f t="shared" si="44"/>
        <v>46232</v>
      </c>
      <c r="B489" s="43">
        <f>YEAR(Table13[[#This Row],[Date]])+IF(MONTH(Table13[[#This Row],[Date]])&gt;=4,1,0)</f>
        <v>2027</v>
      </c>
      <c r="C489" s="10">
        <f>YEAR(Table13[[#This Row],[Date]])</f>
        <v>2026</v>
      </c>
      <c r="D489" s="309">
        <f>Table13[[#This Row],[Date]]-DAY(Table13[[#This Row],[Date]])+1</f>
        <v>46204</v>
      </c>
      <c r="E489" s="10">
        <f t="shared" si="40"/>
        <v>31</v>
      </c>
      <c r="F489" s="241" t="str">
        <f>IFERROR(_xlfn.XLOOKUP($A489,Input_Raw!$E:$E,Input_Raw!DC:DC),"")</f>
        <v/>
      </c>
      <c r="G489" s="242"/>
      <c r="H489" s="242"/>
      <c r="I489" s="242"/>
      <c r="J489" s="242"/>
      <c r="K489" s="243"/>
      <c r="L489" s="242"/>
      <c r="M489" s="242" t="str">
        <f>IFERROR(_xlfn.XLOOKUP($A489,Input_Raw!$E:$E,Input_Raw!$BM:$BM),"")</f>
        <v/>
      </c>
      <c r="N489" s="242" t="str">
        <f>IFERROR(_xlfn.XLOOKUP($A489,Input_Raw!$E:$E,Input_Raw!$BN:$BN),"")</f>
        <v/>
      </c>
      <c r="O489" s="311" t="str">
        <f t="shared" si="41"/>
        <v/>
      </c>
      <c r="P489" s="311" t="str">
        <f>IFERROR(1-SUMIF(WTG_BD!$F:$F,$A489,WTG_BD!$AA:$AA)/($AA489+SUMIF(WTG_BD!$F:$F,$A489,WTG_BD!$AA:$AA)),"")</f>
        <v/>
      </c>
      <c r="Q489" s="328" t="str">
        <f>IFERROR(1-SUMIF(IGA_BD!$F:$F,$A489,IGA_BD!$W:$W)/($AA489+SUMIF(IGA_BD!$F:$F,$A489,IGA_BD!$W:$W)),"")</f>
        <v/>
      </c>
      <c r="R489" s="311" t="str">
        <f>IFERROR(1-SUMIF(Grid_BD!$F:$F,$A489,Grid_BD!$Y:$Y)/($AA489+SUMIF(Grid_BD!$F:$F,$A489,Grid_BD!$Y:$Y)),"")</f>
        <v/>
      </c>
      <c r="S489" s="10"/>
      <c r="T489" s="310"/>
      <c r="U489" s="311"/>
      <c r="V489" s="10"/>
      <c r="W489" s="312" t="str">
        <f t="shared" si="42"/>
        <v/>
      </c>
      <c r="X489" s="10" t="str">
        <f>IFERROR(_xlfn.XLOOKUP($A489,Input_Raw!$E:$E,Input_Raw!BG:BG),"")</f>
        <v/>
      </c>
      <c r="Y489" s="10" t="str">
        <f>IFERROR(_xlfn.XLOOKUP($A489,Input_Raw!$E:$E,Input_Raw!DF:DF),"")</f>
        <v/>
      </c>
      <c r="Z489" s="319" t="str">
        <f>IFERROR(_xlfn.XLOOKUP(A489,Input_Raw!E:E,Input_Raw!CT:CT)/_xlfn.XLOOKUP(A489,Input_Raw!E:E,Input_Raw!CS:CS)*Table13[[#This Row],[Mtr_Export (kWh)]],"")</f>
        <v/>
      </c>
      <c r="AA489" s="43" t="str">
        <f t="shared" si="43"/>
        <v/>
      </c>
      <c r="AB489" s="10" t="str">
        <f>IFERROR(_xlfn.XLOOKUP($A489,Input_Raw!$E:$E,Input_Raw!$CZ:$CZ),"")</f>
        <v/>
      </c>
      <c r="AC489" s="313" t="str">
        <f>IFERROR(_xlfn.XLOOKUP($D489,'Modelling New'!$D:$D,'Modelling New'!$J:$J),"")</f>
        <v/>
      </c>
      <c r="AD489" s="43" t="str">
        <f>IFERROR(_xlfn.XLOOKUP($D489,'Modelling New'!$D:$D,'Modelling New'!$T:$T)*1000,"")</f>
        <v/>
      </c>
      <c r="AE489" s="312"/>
      <c r="AF489" s="312" t="str">
        <f>IFERROR(_xlfn.XLOOKUP($D489,'Modelling New'!$D:$D,'Modelling New'!$W:$W),"")</f>
        <v/>
      </c>
      <c r="AG489" s="312" t="str">
        <f>IFERROR(_xlfn.XLOOKUP($D489,'Modelling New'!$D:$D,'Modelling New'!$AE:$AE),"")</f>
        <v/>
      </c>
      <c r="AH489" s="312" t="str">
        <f>IFERROR(_xlfn.XLOOKUP($D489,'Modelling New'!$D:$D,'Modelling New'!$AF:$AF),"")</f>
        <v/>
      </c>
      <c r="AI489" s="10" t="str">
        <f>IFERROR(_xlfn.XLOOKUP($A489,Input_Raw!$E:$E,Input_Raw!$DG:$DG),"")</f>
        <v/>
      </c>
      <c r="AJ489" s="10"/>
      <c r="AK489" s="10"/>
      <c r="AL489" s="10"/>
      <c r="AM489" s="10"/>
      <c r="AN489" s="314" t="str">
        <f>IFERROR(_xlfn.XLOOKUP($A489,Input_Raw!$E:$E,Input_Raw!$CY:$CY),"")</f>
        <v/>
      </c>
      <c r="AO489" s="312" t="str">
        <f>IFERROR((_xlfn.XLOOKUP($A489,'WTG Reactive Power'!$A:$A,'WTG Reactive Power'!AB:AB))/X489,"")</f>
        <v/>
      </c>
      <c r="AP489" s="312" t="str">
        <f>IFERROR(_xlfn.XLOOKUP($D489,'Modelling New'!$D:$D,'Modelling New'!AK:AK),"")</f>
        <v/>
      </c>
      <c r="AQ489" s="312" t="str">
        <f>IFERROR(_xlfn.XLOOKUP($D489,'Modelling New'!$D:$D,'Modelling New'!AL:AL),"")</f>
        <v/>
      </c>
      <c r="AR489" s="325" t="str">
        <f>IFERROR(_xlfn.XLOOKUP($D489,'Modelling New'!$D:$D,'Modelling New'!$N:$N),"")</f>
        <v/>
      </c>
      <c r="AS489" s="325"/>
    </row>
    <row r="490" spans="1:45">
      <c r="A490" s="32">
        <f t="shared" si="44"/>
        <v>46233</v>
      </c>
      <c r="B490" s="43">
        <f>YEAR(Table13[[#This Row],[Date]])+IF(MONTH(Table13[[#This Row],[Date]])&gt;=4,1,0)</f>
        <v>2027</v>
      </c>
      <c r="C490" s="10">
        <f>YEAR(Table13[[#This Row],[Date]])</f>
        <v>2026</v>
      </c>
      <c r="D490" s="309">
        <f>Table13[[#This Row],[Date]]-DAY(Table13[[#This Row],[Date]])+1</f>
        <v>46204</v>
      </c>
      <c r="E490" s="10">
        <f t="shared" si="40"/>
        <v>31</v>
      </c>
      <c r="F490" s="241" t="str">
        <f>IFERROR(_xlfn.XLOOKUP($A490,Input_Raw!$E:$E,Input_Raw!DC:DC),"")</f>
        <v/>
      </c>
      <c r="G490" s="313"/>
      <c r="H490" s="313"/>
      <c r="I490" s="313"/>
      <c r="J490" s="313"/>
      <c r="K490" s="243"/>
      <c r="L490" s="242"/>
      <c r="M490" s="242" t="str">
        <f>IFERROR(_xlfn.XLOOKUP($A490,Input_Raw!$E:$E,Input_Raw!$BM:$BM),"")</f>
        <v/>
      </c>
      <c r="N490" s="242" t="str">
        <f>IFERROR(_xlfn.XLOOKUP($A490,Input_Raw!$E:$E,Input_Raw!$BN:$BN),"")</f>
        <v/>
      </c>
      <c r="O490" s="311" t="str">
        <f t="shared" si="41"/>
        <v/>
      </c>
      <c r="P490" s="311" t="str">
        <f>IFERROR(1-SUMIF(WTG_BD!$F:$F,$A490,WTG_BD!$AA:$AA)/($AA490+SUMIF(WTG_BD!$F:$F,$A490,WTG_BD!$AA:$AA)),"")</f>
        <v/>
      </c>
      <c r="Q490" s="328" t="str">
        <f>IFERROR(1-SUMIF(IGA_BD!$F:$F,$A490,IGA_BD!$W:$W)/($AA490+SUMIF(IGA_BD!$F:$F,$A490,IGA_BD!$W:$W)),"")</f>
        <v/>
      </c>
      <c r="R490" s="47" t="str">
        <f>IFERROR(1-SUMIF(Grid_BD!$F:$F,$A490,Grid_BD!$Y:$Y)/($AA490+SUMIF(Grid_BD!$F:$F,$A490,Grid_BD!$Y:$Y)),"")</f>
        <v/>
      </c>
      <c r="S490" s="10"/>
      <c r="T490" s="310"/>
      <c r="U490" s="311"/>
      <c r="V490" s="10"/>
      <c r="W490" s="312" t="str">
        <f t="shared" si="42"/>
        <v/>
      </c>
      <c r="X490" s="10" t="str">
        <f>IFERROR(_xlfn.XLOOKUP($A490,Input_Raw!$E:$E,Input_Raw!BG:BG),"")</f>
        <v/>
      </c>
      <c r="Y490" s="10" t="str">
        <f>IFERROR(_xlfn.XLOOKUP($A490,Input_Raw!$E:$E,Input_Raw!DF:DF),"")</f>
        <v/>
      </c>
      <c r="Z490" s="319" t="str">
        <f>IFERROR(_xlfn.XLOOKUP(A490,Input_Raw!E:E,Input_Raw!CT:CT)/_xlfn.XLOOKUP(A490,Input_Raw!E:E,Input_Raw!CS:CS)*Table13[[#This Row],[Mtr_Export (kWh)]],"")</f>
        <v/>
      </c>
      <c r="AA490" s="43" t="str">
        <f t="shared" si="43"/>
        <v/>
      </c>
      <c r="AB490" s="10" t="str">
        <f>IFERROR(_xlfn.XLOOKUP($A490,Input_Raw!$E:$E,Input_Raw!$CZ:$CZ),"")</f>
        <v/>
      </c>
      <c r="AC490" s="313" t="str">
        <f>IFERROR(_xlfn.XLOOKUP($D490,'Modelling New'!$D:$D,'Modelling New'!$J:$J),"")</f>
        <v/>
      </c>
      <c r="AD490" s="43" t="str">
        <f>IFERROR(_xlfn.XLOOKUP($D490,'Modelling New'!$D:$D,'Modelling New'!$T:$T)*1000,"")</f>
        <v/>
      </c>
      <c r="AE490" s="312"/>
      <c r="AF490" s="312" t="str">
        <f>IFERROR(_xlfn.XLOOKUP($D490,'Modelling New'!$D:$D,'Modelling New'!$W:$W),"")</f>
        <v/>
      </c>
      <c r="AG490" s="312" t="str">
        <f>IFERROR(_xlfn.XLOOKUP($D490,'Modelling New'!$D:$D,'Modelling New'!$AE:$AE),"")</f>
        <v/>
      </c>
      <c r="AH490" s="312" t="str">
        <f>IFERROR(_xlfn.XLOOKUP($D490,'Modelling New'!$D:$D,'Modelling New'!$AF:$AF),"")</f>
        <v/>
      </c>
      <c r="AI490" s="10" t="str">
        <f>IFERROR(_xlfn.XLOOKUP($A490,Input_Raw!$E:$E,Input_Raw!$DG:$DG),"")</f>
        <v/>
      </c>
      <c r="AJ490" s="10"/>
      <c r="AK490" s="10"/>
      <c r="AL490" s="10"/>
      <c r="AM490" s="10"/>
      <c r="AN490" s="314" t="str">
        <f>IFERROR(_xlfn.XLOOKUP($A490,Input_Raw!$E:$E,Input_Raw!$CY:$CY),"")</f>
        <v/>
      </c>
      <c r="AO490" s="312" t="str">
        <f>IFERROR((_xlfn.XLOOKUP($A490,'WTG Reactive Power'!$A:$A,'WTG Reactive Power'!AB:AB))/X490,"")</f>
        <v/>
      </c>
      <c r="AP490" s="312" t="str">
        <f>IFERROR(_xlfn.XLOOKUP($D490,'Modelling New'!$D:$D,'Modelling New'!AK:AK),"")</f>
        <v/>
      </c>
      <c r="AQ490" s="312" t="str">
        <f>IFERROR(_xlfn.XLOOKUP($D490,'Modelling New'!$D:$D,'Modelling New'!AL:AL),"")</f>
        <v/>
      </c>
      <c r="AR490" s="325" t="str">
        <f>IFERROR(_xlfn.XLOOKUP($D490,'Modelling New'!$D:$D,'Modelling New'!$N:$N),"")</f>
        <v/>
      </c>
      <c r="AS490" s="325"/>
    </row>
    <row r="491" spans="1:45">
      <c r="A491" s="32">
        <f t="shared" si="44"/>
        <v>46234</v>
      </c>
      <c r="B491" s="43">
        <f>YEAR(Table13[[#This Row],[Date]])+IF(MONTH(Table13[[#This Row],[Date]])&gt;=4,1,0)</f>
        <v>2027</v>
      </c>
      <c r="C491" s="10">
        <f>YEAR(Table13[[#This Row],[Date]])</f>
        <v>2026</v>
      </c>
      <c r="D491" s="309">
        <f>Table13[[#This Row],[Date]]-DAY(Table13[[#This Row],[Date]])+1</f>
        <v>46204</v>
      </c>
      <c r="E491" s="10">
        <f t="shared" si="40"/>
        <v>31</v>
      </c>
      <c r="F491" s="241" t="str">
        <f>IFERROR(_xlfn.XLOOKUP($A491,Input_Raw!$E:$E,Input_Raw!DC:DC),"")</f>
        <v/>
      </c>
      <c r="G491" s="242"/>
      <c r="H491" s="242"/>
      <c r="I491" s="242"/>
      <c r="J491" s="242"/>
      <c r="K491" s="243"/>
      <c r="L491" s="242"/>
      <c r="M491" s="242" t="str">
        <f>IFERROR(_xlfn.XLOOKUP($A491,Input_Raw!$E:$E,Input_Raw!$BM:$BM),"")</f>
        <v/>
      </c>
      <c r="N491" s="242" t="str">
        <f>IFERROR(_xlfn.XLOOKUP($A491,Input_Raw!$E:$E,Input_Raw!$BN:$BN),"")</f>
        <v/>
      </c>
      <c r="O491" s="311" t="str">
        <f t="shared" si="41"/>
        <v/>
      </c>
      <c r="P491" s="311" t="str">
        <f>IFERROR(1-SUMIF(WTG_BD!$F:$F,$A491,WTG_BD!$AA:$AA)/($AA491+SUMIF(WTG_BD!$F:$F,$A491,WTG_BD!$AA:$AA)),"")</f>
        <v/>
      </c>
      <c r="Q491" s="328" t="str">
        <f>IFERROR(1-SUMIF(IGA_BD!$F:$F,$A491,IGA_BD!$W:$W)/($AA491+SUMIF(IGA_BD!$F:$F,$A491,IGA_BD!$W:$W)),"")</f>
        <v/>
      </c>
      <c r="R491" s="311" t="str">
        <f>IFERROR(1-SUMIF(Grid_BD!$F:$F,$A491,Grid_BD!$Y:$Y)/($AA491+SUMIF(Grid_BD!$F:$F,$A491,Grid_BD!$Y:$Y)),"")</f>
        <v/>
      </c>
      <c r="S491" s="10"/>
      <c r="T491" s="310"/>
      <c r="U491" s="311"/>
      <c r="V491" s="10"/>
      <c r="W491" s="312" t="str">
        <f t="shared" si="42"/>
        <v/>
      </c>
      <c r="X491" s="10" t="str">
        <f>IFERROR(_xlfn.XLOOKUP($A491,Input_Raw!$E:$E,Input_Raw!BG:BG),"")</f>
        <v/>
      </c>
      <c r="Y491" s="10" t="str">
        <f>IFERROR(_xlfn.XLOOKUP($A491,Input_Raw!$E:$E,Input_Raw!DF:DF),"")</f>
        <v/>
      </c>
      <c r="Z491" s="319" t="str">
        <f>IFERROR(_xlfn.XLOOKUP(A491,Input_Raw!E:E,Input_Raw!CT:CT)/_xlfn.XLOOKUP(A491,Input_Raw!E:E,Input_Raw!CS:CS)*Table13[[#This Row],[Mtr_Export (kWh)]],"")</f>
        <v/>
      </c>
      <c r="AA491" s="43" t="str">
        <f t="shared" si="43"/>
        <v/>
      </c>
      <c r="AB491" s="10" t="str">
        <f>IFERROR(_xlfn.XLOOKUP($A491,Input_Raw!$E:$E,Input_Raw!$CZ:$CZ),"")</f>
        <v/>
      </c>
      <c r="AC491" s="313" t="str">
        <f>IFERROR(_xlfn.XLOOKUP($D491,'Modelling New'!$D:$D,'Modelling New'!$J:$J),"")</f>
        <v/>
      </c>
      <c r="AD491" s="43" t="str">
        <f>IFERROR(_xlfn.XLOOKUP($D491,'Modelling New'!$D:$D,'Modelling New'!$T:$T)*1000,"")</f>
        <v/>
      </c>
      <c r="AE491" s="312"/>
      <c r="AF491" s="312" t="str">
        <f>IFERROR(_xlfn.XLOOKUP($D491,'Modelling New'!$D:$D,'Modelling New'!$W:$W),"")</f>
        <v/>
      </c>
      <c r="AG491" s="312" t="str">
        <f>IFERROR(_xlfn.XLOOKUP($D491,'Modelling New'!$D:$D,'Modelling New'!$AE:$AE),"")</f>
        <v/>
      </c>
      <c r="AH491" s="312" t="str">
        <f>IFERROR(_xlfn.XLOOKUP($D491,'Modelling New'!$D:$D,'Modelling New'!$AF:$AF),"")</f>
        <v/>
      </c>
      <c r="AI491" s="10" t="str">
        <f>IFERROR(_xlfn.XLOOKUP($A491,Input_Raw!$E:$E,Input_Raw!$DG:$DG),"")</f>
        <v/>
      </c>
      <c r="AJ491" s="10"/>
      <c r="AK491" s="10"/>
      <c r="AL491" s="10"/>
      <c r="AM491" s="10"/>
      <c r="AN491" s="314" t="str">
        <f>IFERROR(_xlfn.XLOOKUP($A491,Input_Raw!$E:$E,Input_Raw!$CY:$CY),"")</f>
        <v/>
      </c>
      <c r="AO491" s="312" t="str">
        <f>IFERROR((_xlfn.XLOOKUP($A491,'WTG Reactive Power'!$A:$A,'WTG Reactive Power'!AB:AB))/X491,"")</f>
        <v/>
      </c>
      <c r="AP491" s="312" t="str">
        <f>IFERROR(_xlfn.XLOOKUP($D491,'Modelling New'!$D:$D,'Modelling New'!AK:AK),"")</f>
        <v/>
      </c>
      <c r="AQ491" s="312" t="str">
        <f>IFERROR(_xlfn.XLOOKUP($D491,'Modelling New'!$D:$D,'Modelling New'!AL:AL),"")</f>
        <v/>
      </c>
      <c r="AR491" s="325" t="str">
        <f>IFERROR(_xlfn.XLOOKUP($D491,'Modelling New'!$D:$D,'Modelling New'!$N:$N),"")</f>
        <v/>
      </c>
      <c r="AS491" s="325"/>
    </row>
    <row r="492" spans="1:45">
      <c r="A492" s="32">
        <f t="shared" si="44"/>
        <v>46235</v>
      </c>
      <c r="B492" s="43">
        <f>YEAR(Table13[[#This Row],[Date]])+IF(MONTH(Table13[[#This Row],[Date]])&gt;=4,1,0)</f>
        <v>2027</v>
      </c>
      <c r="C492" s="10">
        <f>YEAR(Table13[[#This Row],[Date]])</f>
        <v>2026</v>
      </c>
      <c r="D492" s="309">
        <f>Table13[[#This Row],[Date]]-DAY(Table13[[#This Row],[Date]])+1</f>
        <v>46235</v>
      </c>
      <c r="E492" s="10">
        <f t="shared" si="40"/>
        <v>31</v>
      </c>
      <c r="F492" s="241" t="str">
        <f>IFERROR(_xlfn.XLOOKUP($A492,Input_Raw!$E:$E,Input_Raw!DC:DC),"")</f>
        <v/>
      </c>
      <c r="G492" s="313"/>
      <c r="H492" s="313"/>
      <c r="I492" s="313"/>
      <c r="J492" s="313"/>
      <c r="K492" s="243"/>
      <c r="L492" s="242"/>
      <c r="M492" s="242" t="str">
        <f>IFERROR(_xlfn.XLOOKUP($A492,Input_Raw!$E:$E,Input_Raw!$BM:$BM),"")</f>
        <v/>
      </c>
      <c r="N492" s="242" t="str">
        <f>IFERROR(_xlfn.XLOOKUP($A492,Input_Raw!$E:$E,Input_Raw!$BN:$BN),"")</f>
        <v/>
      </c>
      <c r="O492" s="311" t="str">
        <f t="shared" si="41"/>
        <v/>
      </c>
      <c r="P492" s="311" t="str">
        <f>IFERROR(1-SUMIF(WTG_BD!$F:$F,$A492,WTG_BD!$AA:$AA)/($AA492+SUMIF(WTG_BD!$F:$F,$A492,WTG_BD!$AA:$AA)),"")</f>
        <v/>
      </c>
      <c r="Q492" s="328" t="str">
        <f>IFERROR(1-SUMIF(IGA_BD!$F:$F,$A492,IGA_BD!$W:$W)/($AA492+SUMIF(IGA_BD!$F:$F,$A492,IGA_BD!$W:$W)),"")</f>
        <v/>
      </c>
      <c r="R492" s="47" t="str">
        <f>IFERROR(1-SUMIF(Grid_BD!$F:$F,$A492,Grid_BD!$Y:$Y)/($AA492+SUMIF(Grid_BD!$F:$F,$A492,Grid_BD!$Y:$Y)),"")</f>
        <v/>
      </c>
      <c r="S492" s="10"/>
      <c r="T492" s="310"/>
      <c r="U492" s="311"/>
      <c r="V492" s="10"/>
      <c r="W492" s="312" t="str">
        <f t="shared" si="42"/>
        <v/>
      </c>
      <c r="X492" s="10" t="str">
        <f>IFERROR(_xlfn.XLOOKUP($A492,Input_Raw!$E:$E,Input_Raw!BG:BG),"")</f>
        <v/>
      </c>
      <c r="Y492" s="10" t="str">
        <f>IFERROR(_xlfn.XLOOKUP($A492,Input_Raw!$E:$E,Input_Raw!DF:DF),"")</f>
        <v/>
      </c>
      <c r="Z492" s="319" t="str">
        <f>IFERROR(_xlfn.XLOOKUP(A492,Input_Raw!E:E,Input_Raw!CT:CT)/_xlfn.XLOOKUP(A492,Input_Raw!E:E,Input_Raw!CS:CS)*Table13[[#This Row],[Mtr_Export (kWh)]],"")</f>
        <v/>
      </c>
      <c r="AA492" s="43" t="str">
        <f t="shared" si="43"/>
        <v/>
      </c>
      <c r="AB492" s="10" t="str">
        <f>IFERROR(_xlfn.XLOOKUP($A492,Input_Raw!$E:$E,Input_Raw!$CZ:$CZ),"")</f>
        <v/>
      </c>
      <c r="AC492" s="313" t="str">
        <f>IFERROR(_xlfn.XLOOKUP($D492,'Modelling New'!$D:$D,'Modelling New'!$J:$J),"")</f>
        <v/>
      </c>
      <c r="AD492" s="43" t="str">
        <f>IFERROR(_xlfn.XLOOKUP($D492,'Modelling New'!$D:$D,'Modelling New'!$T:$T)*1000,"")</f>
        <v/>
      </c>
      <c r="AE492" s="312"/>
      <c r="AF492" s="312" t="str">
        <f>IFERROR(_xlfn.XLOOKUP($D492,'Modelling New'!$D:$D,'Modelling New'!$W:$W),"")</f>
        <v/>
      </c>
      <c r="AG492" s="312" t="str">
        <f>IFERROR(_xlfn.XLOOKUP($D492,'Modelling New'!$D:$D,'Modelling New'!$AE:$AE),"")</f>
        <v/>
      </c>
      <c r="AH492" s="312" t="str">
        <f>IFERROR(_xlfn.XLOOKUP($D492,'Modelling New'!$D:$D,'Modelling New'!$AF:$AF),"")</f>
        <v/>
      </c>
      <c r="AI492" s="10" t="str">
        <f>IFERROR(_xlfn.XLOOKUP($A492,Input_Raw!$E:$E,Input_Raw!$DG:$DG),"")</f>
        <v/>
      </c>
      <c r="AJ492" s="10"/>
      <c r="AK492" s="10"/>
      <c r="AL492" s="10"/>
      <c r="AM492" s="10"/>
      <c r="AN492" s="314" t="str">
        <f>IFERROR(_xlfn.XLOOKUP($A492,Input_Raw!$E:$E,Input_Raw!$CY:$CY),"")</f>
        <v/>
      </c>
      <c r="AO492" s="312" t="str">
        <f>IFERROR((_xlfn.XLOOKUP($A492,'WTG Reactive Power'!$A:$A,'WTG Reactive Power'!AB:AB))/X492,"")</f>
        <v/>
      </c>
      <c r="AP492" s="312" t="str">
        <f>IFERROR(_xlfn.XLOOKUP($D492,'Modelling New'!$D:$D,'Modelling New'!AK:AK),"")</f>
        <v/>
      </c>
      <c r="AQ492" s="312" t="str">
        <f>IFERROR(_xlfn.XLOOKUP($D492,'Modelling New'!$D:$D,'Modelling New'!AL:AL),"")</f>
        <v/>
      </c>
      <c r="AR492" s="325" t="str">
        <f>IFERROR(_xlfn.XLOOKUP($D492,'Modelling New'!$D:$D,'Modelling New'!$N:$N),"")</f>
        <v/>
      </c>
      <c r="AS492" s="325"/>
    </row>
    <row r="493" spans="1:45">
      <c r="A493" s="32">
        <f t="shared" si="44"/>
        <v>46236</v>
      </c>
      <c r="B493" s="43">
        <f>YEAR(Table13[[#This Row],[Date]])+IF(MONTH(Table13[[#This Row],[Date]])&gt;=4,1,0)</f>
        <v>2027</v>
      </c>
      <c r="C493" s="10">
        <f>YEAR(Table13[[#This Row],[Date]])</f>
        <v>2026</v>
      </c>
      <c r="D493" s="309">
        <f>Table13[[#This Row],[Date]]-DAY(Table13[[#This Row],[Date]])+1</f>
        <v>46235</v>
      </c>
      <c r="E493" s="10">
        <f t="shared" si="40"/>
        <v>31</v>
      </c>
      <c r="F493" s="241" t="str">
        <f>IFERROR(_xlfn.XLOOKUP($A493,Input_Raw!$E:$E,Input_Raw!DC:DC),"")</f>
        <v/>
      </c>
      <c r="G493" s="242"/>
      <c r="H493" s="242"/>
      <c r="I493" s="242"/>
      <c r="J493" s="242"/>
      <c r="K493" s="243"/>
      <c r="L493" s="242"/>
      <c r="M493" s="242" t="str">
        <f>IFERROR(_xlfn.XLOOKUP($A493,Input_Raw!$E:$E,Input_Raw!$BM:$BM),"")</f>
        <v/>
      </c>
      <c r="N493" s="242" t="str">
        <f>IFERROR(_xlfn.XLOOKUP($A493,Input_Raw!$E:$E,Input_Raw!$BN:$BN),"")</f>
        <v/>
      </c>
      <c r="O493" s="311" t="str">
        <f t="shared" si="41"/>
        <v/>
      </c>
      <c r="P493" s="311" t="str">
        <f>IFERROR(1-SUMIF(WTG_BD!$F:$F,$A493,WTG_BD!$AA:$AA)/($AA493+SUMIF(WTG_BD!$F:$F,$A493,WTG_BD!$AA:$AA)),"")</f>
        <v/>
      </c>
      <c r="Q493" s="328" t="str">
        <f>IFERROR(1-SUMIF(IGA_BD!$F:$F,$A493,IGA_BD!$W:$W)/($AA493+SUMIF(IGA_BD!$F:$F,$A493,IGA_BD!$W:$W)),"")</f>
        <v/>
      </c>
      <c r="R493" s="311" t="str">
        <f>IFERROR(1-SUMIF(Grid_BD!$F:$F,$A493,Grid_BD!$Y:$Y)/($AA493+SUMIF(Grid_BD!$F:$F,$A493,Grid_BD!$Y:$Y)),"")</f>
        <v/>
      </c>
      <c r="S493" s="10"/>
      <c r="T493" s="310"/>
      <c r="U493" s="311"/>
      <c r="V493" s="10"/>
      <c r="W493" s="312" t="str">
        <f t="shared" si="42"/>
        <v/>
      </c>
      <c r="X493" s="10" t="str">
        <f>IFERROR(_xlfn.XLOOKUP($A493,Input_Raw!$E:$E,Input_Raw!BG:BG),"")</f>
        <v/>
      </c>
      <c r="Y493" s="10" t="str">
        <f>IFERROR(_xlfn.XLOOKUP($A493,Input_Raw!$E:$E,Input_Raw!DF:DF),"")</f>
        <v/>
      </c>
      <c r="Z493" s="319" t="str">
        <f>IFERROR(_xlfn.XLOOKUP(A493,Input_Raw!E:E,Input_Raw!CT:CT)/_xlfn.XLOOKUP(A493,Input_Raw!E:E,Input_Raw!CS:CS)*Table13[[#This Row],[Mtr_Export (kWh)]],"")</f>
        <v/>
      </c>
      <c r="AA493" s="43" t="str">
        <f t="shared" si="43"/>
        <v/>
      </c>
      <c r="AB493" s="10" t="str">
        <f>IFERROR(_xlfn.XLOOKUP($A493,Input_Raw!$E:$E,Input_Raw!$CZ:$CZ),"")</f>
        <v/>
      </c>
      <c r="AC493" s="313" t="str">
        <f>IFERROR(_xlfn.XLOOKUP($D493,'Modelling New'!$D:$D,'Modelling New'!$J:$J),"")</f>
        <v/>
      </c>
      <c r="AD493" s="43" t="str">
        <f>IFERROR(_xlfn.XLOOKUP($D493,'Modelling New'!$D:$D,'Modelling New'!$T:$T)*1000,"")</f>
        <v/>
      </c>
      <c r="AE493" s="312"/>
      <c r="AF493" s="312" t="str">
        <f>IFERROR(_xlfn.XLOOKUP($D493,'Modelling New'!$D:$D,'Modelling New'!$W:$W),"")</f>
        <v/>
      </c>
      <c r="AG493" s="312" t="str">
        <f>IFERROR(_xlfn.XLOOKUP($D493,'Modelling New'!$D:$D,'Modelling New'!$AE:$AE),"")</f>
        <v/>
      </c>
      <c r="AH493" s="312" t="str">
        <f>IFERROR(_xlfn.XLOOKUP($D493,'Modelling New'!$D:$D,'Modelling New'!$AF:$AF),"")</f>
        <v/>
      </c>
      <c r="AI493" s="10" t="str">
        <f>IFERROR(_xlfn.XLOOKUP($A493,Input_Raw!$E:$E,Input_Raw!$DG:$DG),"")</f>
        <v/>
      </c>
      <c r="AJ493" s="10"/>
      <c r="AK493" s="10"/>
      <c r="AL493" s="10"/>
      <c r="AM493" s="10"/>
      <c r="AN493" s="314" t="str">
        <f>IFERROR(_xlfn.XLOOKUP($A493,Input_Raw!$E:$E,Input_Raw!$CY:$CY),"")</f>
        <v/>
      </c>
      <c r="AO493" s="312" t="str">
        <f>IFERROR((_xlfn.XLOOKUP($A493,'WTG Reactive Power'!$A:$A,'WTG Reactive Power'!AB:AB))/X493,"")</f>
        <v/>
      </c>
      <c r="AP493" s="312" t="str">
        <f>IFERROR(_xlfn.XLOOKUP($D493,'Modelling New'!$D:$D,'Modelling New'!AK:AK),"")</f>
        <v/>
      </c>
      <c r="AQ493" s="312" t="str">
        <f>IFERROR(_xlfn.XLOOKUP($D493,'Modelling New'!$D:$D,'Modelling New'!AL:AL),"")</f>
        <v/>
      </c>
      <c r="AR493" s="325" t="str">
        <f>IFERROR(_xlfn.XLOOKUP($D493,'Modelling New'!$D:$D,'Modelling New'!$N:$N),"")</f>
        <v/>
      </c>
      <c r="AS493" s="325"/>
    </row>
    <row r="494" spans="1:45">
      <c r="A494" s="32">
        <f t="shared" si="44"/>
        <v>46237</v>
      </c>
      <c r="B494" s="43">
        <f>YEAR(Table13[[#This Row],[Date]])+IF(MONTH(Table13[[#This Row],[Date]])&gt;=4,1,0)</f>
        <v>2027</v>
      </c>
      <c r="C494" s="10">
        <f>YEAR(Table13[[#This Row],[Date]])</f>
        <v>2026</v>
      </c>
      <c r="D494" s="309">
        <f>Table13[[#This Row],[Date]]-DAY(Table13[[#This Row],[Date]])+1</f>
        <v>46235</v>
      </c>
      <c r="E494" s="10">
        <f t="shared" si="40"/>
        <v>31</v>
      </c>
      <c r="F494" s="241" t="str">
        <f>IFERROR(_xlfn.XLOOKUP($A494,Input_Raw!$E:$E,Input_Raw!DC:DC),"")</f>
        <v/>
      </c>
      <c r="G494" s="313"/>
      <c r="H494" s="313"/>
      <c r="I494" s="313"/>
      <c r="J494" s="313"/>
      <c r="K494" s="243"/>
      <c r="L494" s="242"/>
      <c r="M494" s="242" t="str">
        <f>IFERROR(_xlfn.XLOOKUP($A494,Input_Raw!$E:$E,Input_Raw!$BM:$BM),"")</f>
        <v/>
      </c>
      <c r="N494" s="242" t="str">
        <f>IFERROR(_xlfn.XLOOKUP($A494,Input_Raw!$E:$E,Input_Raw!$BN:$BN),"")</f>
        <v/>
      </c>
      <c r="O494" s="311" t="str">
        <f t="shared" si="41"/>
        <v/>
      </c>
      <c r="P494" s="311" t="str">
        <f>IFERROR(1-SUMIF(WTG_BD!$F:$F,$A494,WTG_BD!$AA:$AA)/($AA494+SUMIF(WTG_BD!$F:$F,$A494,WTG_BD!$AA:$AA)),"")</f>
        <v/>
      </c>
      <c r="Q494" s="328" t="str">
        <f>IFERROR(1-SUMIF(IGA_BD!$F:$F,$A494,IGA_BD!$W:$W)/($AA494+SUMIF(IGA_BD!$F:$F,$A494,IGA_BD!$W:$W)),"")</f>
        <v/>
      </c>
      <c r="R494" s="47" t="str">
        <f>IFERROR(1-SUMIF(Grid_BD!$F:$F,$A494,Grid_BD!$Y:$Y)/($AA494+SUMIF(Grid_BD!$F:$F,$A494,Grid_BD!$Y:$Y)),"")</f>
        <v/>
      </c>
      <c r="S494" s="10"/>
      <c r="T494" s="310"/>
      <c r="U494" s="311"/>
      <c r="V494" s="10"/>
      <c r="W494" s="312" t="str">
        <f t="shared" si="42"/>
        <v/>
      </c>
      <c r="X494" s="10" t="str">
        <f>IFERROR(_xlfn.XLOOKUP($A494,Input_Raw!$E:$E,Input_Raw!BG:BG),"")</f>
        <v/>
      </c>
      <c r="Y494" s="10" t="str">
        <f>IFERROR(_xlfn.XLOOKUP($A494,Input_Raw!$E:$E,Input_Raw!DF:DF),"")</f>
        <v/>
      </c>
      <c r="Z494" s="319" t="str">
        <f>IFERROR(_xlfn.XLOOKUP(A494,Input_Raw!E:E,Input_Raw!CT:CT)/_xlfn.XLOOKUP(A494,Input_Raw!E:E,Input_Raw!CS:CS)*Table13[[#This Row],[Mtr_Export (kWh)]],"")</f>
        <v/>
      </c>
      <c r="AA494" s="43" t="str">
        <f t="shared" si="43"/>
        <v/>
      </c>
      <c r="AB494" s="10" t="str">
        <f>IFERROR(_xlfn.XLOOKUP($A494,Input_Raw!$E:$E,Input_Raw!$CZ:$CZ),"")</f>
        <v/>
      </c>
      <c r="AC494" s="313" t="str">
        <f>IFERROR(_xlfn.XLOOKUP($D494,'Modelling New'!$D:$D,'Modelling New'!$J:$J),"")</f>
        <v/>
      </c>
      <c r="AD494" s="43" t="str">
        <f>IFERROR(_xlfn.XLOOKUP($D494,'Modelling New'!$D:$D,'Modelling New'!$T:$T)*1000,"")</f>
        <v/>
      </c>
      <c r="AE494" s="312"/>
      <c r="AF494" s="312" t="str">
        <f>IFERROR(_xlfn.XLOOKUP($D494,'Modelling New'!$D:$D,'Modelling New'!$W:$W),"")</f>
        <v/>
      </c>
      <c r="AG494" s="312" t="str">
        <f>IFERROR(_xlfn.XLOOKUP($D494,'Modelling New'!$D:$D,'Modelling New'!$AE:$AE),"")</f>
        <v/>
      </c>
      <c r="AH494" s="312" t="str">
        <f>IFERROR(_xlfn.XLOOKUP($D494,'Modelling New'!$D:$D,'Modelling New'!$AF:$AF),"")</f>
        <v/>
      </c>
      <c r="AI494" s="10" t="str">
        <f>IFERROR(_xlfn.XLOOKUP($A494,Input_Raw!$E:$E,Input_Raw!$DG:$DG),"")</f>
        <v/>
      </c>
      <c r="AJ494" s="10"/>
      <c r="AK494" s="10"/>
      <c r="AL494" s="10"/>
      <c r="AM494" s="10"/>
      <c r="AN494" s="314" t="str">
        <f>IFERROR(_xlfn.XLOOKUP($A494,Input_Raw!$E:$E,Input_Raw!$CY:$CY),"")</f>
        <v/>
      </c>
      <c r="AO494" s="312" t="str">
        <f>IFERROR((_xlfn.XLOOKUP($A494,'WTG Reactive Power'!$A:$A,'WTG Reactive Power'!AB:AB))/X494,"")</f>
        <v/>
      </c>
      <c r="AP494" s="312" t="str">
        <f>IFERROR(_xlfn.XLOOKUP($D494,'Modelling New'!$D:$D,'Modelling New'!AK:AK),"")</f>
        <v/>
      </c>
      <c r="AQ494" s="312" t="str">
        <f>IFERROR(_xlfn.XLOOKUP($D494,'Modelling New'!$D:$D,'Modelling New'!AL:AL),"")</f>
        <v/>
      </c>
      <c r="AR494" s="325" t="str">
        <f>IFERROR(_xlfn.XLOOKUP($D494,'Modelling New'!$D:$D,'Modelling New'!$N:$N),"")</f>
        <v/>
      </c>
      <c r="AS494" s="325"/>
    </row>
    <row r="495" spans="1:45">
      <c r="A495" s="32">
        <f t="shared" si="44"/>
        <v>46238</v>
      </c>
      <c r="B495" s="43">
        <f>YEAR(Table13[[#This Row],[Date]])+IF(MONTH(Table13[[#This Row],[Date]])&gt;=4,1,0)</f>
        <v>2027</v>
      </c>
      <c r="C495" s="10">
        <f>YEAR(Table13[[#This Row],[Date]])</f>
        <v>2026</v>
      </c>
      <c r="D495" s="309">
        <f>Table13[[#This Row],[Date]]-DAY(Table13[[#This Row],[Date]])+1</f>
        <v>46235</v>
      </c>
      <c r="E495" s="10">
        <f t="shared" si="40"/>
        <v>31</v>
      </c>
      <c r="F495" s="241" t="str">
        <f>IFERROR(_xlfn.XLOOKUP($A495,Input_Raw!$E:$E,Input_Raw!DC:DC),"")</f>
        <v/>
      </c>
      <c r="G495" s="242"/>
      <c r="H495" s="242"/>
      <c r="I495" s="242"/>
      <c r="J495" s="242"/>
      <c r="K495" s="243"/>
      <c r="L495" s="242"/>
      <c r="M495" s="242" t="str">
        <f>IFERROR(_xlfn.XLOOKUP($A495,Input_Raw!$E:$E,Input_Raw!$BM:$BM),"")</f>
        <v/>
      </c>
      <c r="N495" s="242" t="str">
        <f>IFERROR(_xlfn.XLOOKUP($A495,Input_Raw!$E:$E,Input_Raw!$BN:$BN),"")</f>
        <v/>
      </c>
      <c r="O495" s="311" t="str">
        <f t="shared" si="41"/>
        <v/>
      </c>
      <c r="P495" s="311" t="str">
        <f>IFERROR(1-SUMIF(WTG_BD!$F:$F,$A495,WTG_BD!$AA:$AA)/($AA495+SUMIF(WTG_BD!$F:$F,$A495,WTG_BD!$AA:$AA)),"")</f>
        <v/>
      </c>
      <c r="Q495" s="328" t="str">
        <f>IFERROR(1-SUMIF(IGA_BD!$F:$F,$A495,IGA_BD!$W:$W)/($AA495+SUMIF(IGA_BD!$F:$F,$A495,IGA_BD!$W:$W)),"")</f>
        <v/>
      </c>
      <c r="R495" s="311" t="str">
        <f>IFERROR(1-SUMIF(Grid_BD!$F:$F,$A495,Grid_BD!$Y:$Y)/($AA495+SUMIF(Grid_BD!$F:$F,$A495,Grid_BD!$Y:$Y)),"")</f>
        <v/>
      </c>
      <c r="S495" s="10"/>
      <c r="T495" s="310"/>
      <c r="U495" s="311"/>
      <c r="V495" s="10"/>
      <c r="W495" s="312" t="str">
        <f t="shared" si="42"/>
        <v/>
      </c>
      <c r="X495" s="10" t="str">
        <f>IFERROR(_xlfn.XLOOKUP($A495,Input_Raw!$E:$E,Input_Raw!BG:BG),"")</f>
        <v/>
      </c>
      <c r="Y495" s="10" t="str">
        <f>IFERROR(_xlfn.XLOOKUP($A495,Input_Raw!$E:$E,Input_Raw!DF:DF),"")</f>
        <v/>
      </c>
      <c r="Z495" s="319" t="str">
        <f>IFERROR(_xlfn.XLOOKUP(A495,Input_Raw!E:E,Input_Raw!CT:CT)/_xlfn.XLOOKUP(A495,Input_Raw!E:E,Input_Raw!CS:CS)*Table13[[#This Row],[Mtr_Export (kWh)]],"")</f>
        <v/>
      </c>
      <c r="AA495" s="43" t="str">
        <f t="shared" si="43"/>
        <v/>
      </c>
      <c r="AB495" s="10" t="str">
        <f>IFERROR(_xlfn.XLOOKUP($A495,Input_Raw!$E:$E,Input_Raw!$CZ:$CZ),"")</f>
        <v/>
      </c>
      <c r="AC495" s="313" t="str">
        <f>IFERROR(_xlfn.XLOOKUP($D495,'Modelling New'!$D:$D,'Modelling New'!$J:$J),"")</f>
        <v/>
      </c>
      <c r="AD495" s="43" t="str">
        <f>IFERROR(_xlfn.XLOOKUP($D495,'Modelling New'!$D:$D,'Modelling New'!$T:$T)*1000,"")</f>
        <v/>
      </c>
      <c r="AE495" s="312"/>
      <c r="AF495" s="312" t="str">
        <f>IFERROR(_xlfn.XLOOKUP($D495,'Modelling New'!$D:$D,'Modelling New'!$W:$W),"")</f>
        <v/>
      </c>
      <c r="AG495" s="312" t="str">
        <f>IFERROR(_xlfn.XLOOKUP($D495,'Modelling New'!$D:$D,'Modelling New'!$AE:$AE),"")</f>
        <v/>
      </c>
      <c r="AH495" s="312" t="str">
        <f>IFERROR(_xlfn.XLOOKUP($D495,'Modelling New'!$D:$D,'Modelling New'!$AF:$AF),"")</f>
        <v/>
      </c>
      <c r="AI495" s="10" t="str">
        <f>IFERROR(_xlfn.XLOOKUP($A495,Input_Raw!$E:$E,Input_Raw!$DG:$DG),"")</f>
        <v/>
      </c>
      <c r="AJ495" s="10"/>
      <c r="AK495" s="10"/>
      <c r="AL495" s="10"/>
      <c r="AM495" s="10"/>
      <c r="AN495" s="314" t="str">
        <f>IFERROR(_xlfn.XLOOKUP($A495,Input_Raw!$E:$E,Input_Raw!$CY:$CY),"")</f>
        <v/>
      </c>
      <c r="AO495" s="312" t="str">
        <f>IFERROR((_xlfn.XLOOKUP($A495,'WTG Reactive Power'!$A:$A,'WTG Reactive Power'!AB:AB))/X495,"")</f>
        <v/>
      </c>
      <c r="AP495" s="312" t="str">
        <f>IFERROR(_xlfn.XLOOKUP($D495,'Modelling New'!$D:$D,'Modelling New'!AK:AK),"")</f>
        <v/>
      </c>
      <c r="AQ495" s="312" t="str">
        <f>IFERROR(_xlfn.XLOOKUP($D495,'Modelling New'!$D:$D,'Modelling New'!AL:AL),"")</f>
        <v/>
      </c>
      <c r="AR495" s="325" t="str">
        <f>IFERROR(_xlfn.XLOOKUP($D495,'Modelling New'!$D:$D,'Modelling New'!$N:$N),"")</f>
        <v/>
      </c>
      <c r="AS495" s="325"/>
    </row>
    <row r="496" spans="1:45">
      <c r="A496" s="32">
        <f t="shared" si="44"/>
        <v>46239</v>
      </c>
      <c r="B496" s="43">
        <f>YEAR(Table13[[#This Row],[Date]])+IF(MONTH(Table13[[#This Row],[Date]])&gt;=4,1,0)</f>
        <v>2027</v>
      </c>
      <c r="C496" s="10">
        <f>YEAR(Table13[[#This Row],[Date]])</f>
        <v>2026</v>
      </c>
      <c r="D496" s="309">
        <f>Table13[[#This Row],[Date]]-DAY(Table13[[#This Row],[Date]])+1</f>
        <v>46235</v>
      </c>
      <c r="E496" s="10">
        <f t="shared" si="40"/>
        <v>31</v>
      </c>
      <c r="F496" s="241" t="str">
        <f>IFERROR(_xlfn.XLOOKUP($A496,Input_Raw!$E:$E,Input_Raw!DC:DC),"")</f>
        <v/>
      </c>
      <c r="G496" s="313"/>
      <c r="H496" s="313"/>
      <c r="I496" s="313"/>
      <c r="J496" s="313"/>
      <c r="K496" s="243"/>
      <c r="L496" s="242"/>
      <c r="M496" s="242" t="str">
        <f>IFERROR(_xlfn.XLOOKUP($A496,Input_Raw!$E:$E,Input_Raw!$BM:$BM),"")</f>
        <v/>
      </c>
      <c r="N496" s="242" t="str">
        <f>IFERROR(_xlfn.XLOOKUP($A496,Input_Raw!$E:$E,Input_Raw!$BN:$BN),"")</f>
        <v/>
      </c>
      <c r="O496" s="311" t="str">
        <f t="shared" si="41"/>
        <v/>
      </c>
      <c r="P496" s="311" t="str">
        <f>IFERROR(1-SUMIF(WTG_BD!$F:$F,$A496,WTG_BD!$AA:$AA)/($AA496+SUMIF(WTG_BD!$F:$F,$A496,WTG_BD!$AA:$AA)),"")</f>
        <v/>
      </c>
      <c r="Q496" s="328" t="str">
        <f>IFERROR(1-SUMIF(IGA_BD!$F:$F,$A496,IGA_BD!$W:$W)/($AA496+SUMIF(IGA_BD!$F:$F,$A496,IGA_BD!$W:$W)),"")</f>
        <v/>
      </c>
      <c r="R496" s="47" t="str">
        <f>IFERROR(1-SUMIF(Grid_BD!$F:$F,$A496,Grid_BD!$Y:$Y)/($AA496+SUMIF(Grid_BD!$F:$F,$A496,Grid_BD!$Y:$Y)),"")</f>
        <v/>
      </c>
      <c r="S496" s="10"/>
      <c r="T496" s="310"/>
      <c r="U496" s="311"/>
      <c r="V496" s="10"/>
      <c r="W496" s="312" t="str">
        <f t="shared" si="42"/>
        <v/>
      </c>
      <c r="X496" s="10" t="str">
        <f>IFERROR(_xlfn.XLOOKUP($A496,Input_Raw!$E:$E,Input_Raw!BG:BG),"")</f>
        <v/>
      </c>
      <c r="Y496" s="10" t="str">
        <f>IFERROR(_xlfn.XLOOKUP($A496,Input_Raw!$E:$E,Input_Raw!DF:DF),"")</f>
        <v/>
      </c>
      <c r="Z496" s="319" t="str">
        <f>IFERROR(_xlfn.XLOOKUP(A496,Input_Raw!E:E,Input_Raw!CT:CT)/_xlfn.XLOOKUP(A496,Input_Raw!E:E,Input_Raw!CS:CS)*Table13[[#This Row],[Mtr_Export (kWh)]],"")</f>
        <v/>
      </c>
      <c r="AA496" s="43" t="str">
        <f t="shared" si="43"/>
        <v/>
      </c>
      <c r="AB496" s="10" t="str">
        <f>IFERROR(_xlfn.XLOOKUP($A496,Input_Raw!$E:$E,Input_Raw!$CZ:$CZ),"")</f>
        <v/>
      </c>
      <c r="AC496" s="313" t="str">
        <f>IFERROR(_xlfn.XLOOKUP($D496,'Modelling New'!$D:$D,'Modelling New'!$J:$J),"")</f>
        <v/>
      </c>
      <c r="AD496" s="43" t="str">
        <f>IFERROR(_xlfn.XLOOKUP($D496,'Modelling New'!$D:$D,'Modelling New'!$T:$T)*1000,"")</f>
        <v/>
      </c>
      <c r="AE496" s="312"/>
      <c r="AF496" s="312" t="str">
        <f>IFERROR(_xlfn.XLOOKUP($D496,'Modelling New'!$D:$D,'Modelling New'!$W:$W),"")</f>
        <v/>
      </c>
      <c r="AG496" s="312" t="str">
        <f>IFERROR(_xlfn.XLOOKUP($D496,'Modelling New'!$D:$D,'Modelling New'!$AE:$AE),"")</f>
        <v/>
      </c>
      <c r="AH496" s="312" t="str">
        <f>IFERROR(_xlfn.XLOOKUP($D496,'Modelling New'!$D:$D,'Modelling New'!$AF:$AF),"")</f>
        <v/>
      </c>
      <c r="AI496" s="10" t="str">
        <f>IFERROR(_xlfn.XLOOKUP($A496,Input_Raw!$E:$E,Input_Raw!$DG:$DG),"")</f>
        <v/>
      </c>
      <c r="AJ496" s="10"/>
      <c r="AK496" s="10"/>
      <c r="AL496" s="10"/>
      <c r="AM496" s="10"/>
      <c r="AN496" s="314" t="str">
        <f>IFERROR(_xlfn.XLOOKUP($A496,Input_Raw!$E:$E,Input_Raw!$CY:$CY),"")</f>
        <v/>
      </c>
      <c r="AO496" s="312" t="str">
        <f>IFERROR((_xlfn.XLOOKUP($A496,'WTG Reactive Power'!$A:$A,'WTG Reactive Power'!AB:AB))/X496,"")</f>
        <v/>
      </c>
      <c r="AP496" s="312" t="str">
        <f>IFERROR(_xlfn.XLOOKUP($D496,'Modelling New'!$D:$D,'Modelling New'!AK:AK),"")</f>
        <v/>
      </c>
      <c r="AQ496" s="312" t="str">
        <f>IFERROR(_xlfn.XLOOKUP($D496,'Modelling New'!$D:$D,'Modelling New'!AL:AL),"")</f>
        <v/>
      </c>
      <c r="AR496" s="325" t="str">
        <f>IFERROR(_xlfn.XLOOKUP($D496,'Modelling New'!$D:$D,'Modelling New'!$N:$N),"")</f>
        <v/>
      </c>
      <c r="AS496" s="325"/>
    </row>
    <row r="497" spans="1:45">
      <c r="A497" s="32">
        <f t="shared" si="44"/>
        <v>46240</v>
      </c>
      <c r="B497" s="43">
        <f>YEAR(Table13[[#This Row],[Date]])+IF(MONTH(Table13[[#This Row],[Date]])&gt;=4,1,0)</f>
        <v>2027</v>
      </c>
      <c r="C497" s="10">
        <f>YEAR(Table13[[#This Row],[Date]])</f>
        <v>2026</v>
      </c>
      <c r="D497" s="309">
        <f>Table13[[#This Row],[Date]]-DAY(Table13[[#This Row],[Date]])+1</f>
        <v>46235</v>
      </c>
      <c r="E497" s="10">
        <f t="shared" si="40"/>
        <v>31</v>
      </c>
      <c r="F497" s="241" t="str">
        <f>IFERROR(_xlfn.XLOOKUP($A497,Input_Raw!$E:$E,Input_Raw!DC:DC),"")</f>
        <v/>
      </c>
      <c r="G497" s="242"/>
      <c r="H497" s="242"/>
      <c r="I497" s="242"/>
      <c r="J497" s="242"/>
      <c r="K497" s="243"/>
      <c r="L497" s="242"/>
      <c r="M497" s="242" t="str">
        <f>IFERROR(_xlfn.XLOOKUP($A497,Input_Raw!$E:$E,Input_Raw!$BM:$BM),"")</f>
        <v/>
      </c>
      <c r="N497" s="242" t="str">
        <f>IFERROR(_xlfn.XLOOKUP($A497,Input_Raw!$E:$E,Input_Raw!$BN:$BN),"")</f>
        <v/>
      </c>
      <c r="O497" s="311" t="str">
        <f t="shared" si="41"/>
        <v/>
      </c>
      <c r="P497" s="311" t="str">
        <f>IFERROR(1-SUMIF(WTG_BD!$F:$F,$A497,WTG_BD!$AA:$AA)/($AA497+SUMIF(WTG_BD!$F:$F,$A497,WTG_BD!$AA:$AA)),"")</f>
        <v/>
      </c>
      <c r="Q497" s="328" t="str">
        <f>IFERROR(1-SUMIF(IGA_BD!$F:$F,$A497,IGA_BD!$W:$W)/($AA497+SUMIF(IGA_BD!$F:$F,$A497,IGA_BD!$W:$W)),"")</f>
        <v/>
      </c>
      <c r="R497" s="311" t="str">
        <f>IFERROR(1-SUMIF(Grid_BD!$F:$F,$A497,Grid_BD!$Y:$Y)/($AA497+SUMIF(Grid_BD!$F:$F,$A497,Grid_BD!$Y:$Y)),"")</f>
        <v/>
      </c>
      <c r="S497" s="10"/>
      <c r="T497" s="310"/>
      <c r="U497" s="311"/>
      <c r="V497" s="10"/>
      <c r="W497" s="312" t="str">
        <f t="shared" si="42"/>
        <v/>
      </c>
      <c r="X497" s="10" t="str">
        <f>IFERROR(_xlfn.XLOOKUP($A497,Input_Raw!$E:$E,Input_Raw!BG:BG),"")</f>
        <v/>
      </c>
      <c r="Y497" s="10" t="str">
        <f>IFERROR(_xlfn.XLOOKUP($A497,Input_Raw!$E:$E,Input_Raw!DF:DF),"")</f>
        <v/>
      </c>
      <c r="Z497" s="319" t="str">
        <f>IFERROR(_xlfn.XLOOKUP(A497,Input_Raw!E:E,Input_Raw!CT:CT)/_xlfn.XLOOKUP(A497,Input_Raw!E:E,Input_Raw!CS:CS)*Table13[[#This Row],[Mtr_Export (kWh)]],"")</f>
        <v/>
      </c>
      <c r="AA497" s="43" t="str">
        <f t="shared" si="43"/>
        <v/>
      </c>
      <c r="AB497" s="10" t="str">
        <f>IFERROR(_xlfn.XLOOKUP($A497,Input_Raw!$E:$E,Input_Raw!$CZ:$CZ),"")</f>
        <v/>
      </c>
      <c r="AC497" s="313" t="str">
        <f>IFERROR(_xlfn.XLOOKUP($D497,'Modelling New'!$D:$D,'Modelling New'!$J:$J),"")</f>
        <v/>
      </c>
      <c r="AD497" s="43" t="str">
        <f>IFERROR(_xlfn.XLOOKUP($D497,'Modelling New'!$D:$D,'Modelling New'!$T:$T)*1000,"")</f>
        <v/>
      </c>
      <c r="AE497" s="312"/>
      <c r="AF497" s="312" t="str">
        <f>IFERROR(_xlfn.XLOOKUP($D497,'Modelling New'!$D:$D,'Modelling New'!$W:$W),"")</f>
        <v/>
      </c>
      <c r="AG497" s="312" t="str">
        <f>IFERROR(_xlfn.XLOOKUP($D497,'Modelling New'!$D:$D,'Modelling New'!$AE:$AE),"")</f>
        <v/>
      </c>
      <c r="AH497" s="312" t="str">
        <f>IFERROR(_xlfn.XLOOKUP($D497,'Modelling New'!$D:$D,'Modelling New'!$AF:$AF),"")</f>
        <v/>
      </c>
      <c r="AI497" s="10" t="str">
        <f>IFERROR(_xlfn.XLOOKUP($A497,Input_Raw!$E:$E,Input_Raw!$DG:$DG),"")</f>
        <v/>
      </c>
      <c r="AJ497" s="10"/>
      <c r="AK497" s="10"/>
      <c r="AL497" s="10"/>
      <c r="AM497" s="10"/>
      <c r="AN497" s="314" t="str">
        <f>IFERROR(_xlfn.XLOOKUP($A497,Input_Raw!$E:$E,Input_Raw!$CY:$CY),"")</f>
        <v/>
      </c>
      <c r="AO497" s="312" t="str">
        <f>IFERROR((_xlfn.XLOOKUP($A497,'WTG Reactive Power'!$A:$A,'WTG Reactive Power'!AB:AB))/X497,"")</f>
        <v/>
      </c>
      <c r="AP497" s="312" t="str">
        <f>IFERROR(_xlfn.XLOOKUP($D497,'Modelling New'!$D:$D,'Modelling New'!AK:AK),"")</f>
        <v/>
      </c>
      <c r="AQ497" s="312" t="str">
        <f>IFERROR(_xlfn.XLOOKUP($D497,'Modelling New'!$D:$D,'Modelling New'!AL:AL),"")</f>
        <v/>
      </c>
      <c r="AR497" s="325" t="str">
        <f>IFERROR(_xlfn.XLOOKUP($D497,'Modelling New'!$D:$D,'Modelling New'!$N:$N),"")</f>
        <v/>
      </c>
      <c r="AS497" s="325"/>
    </row>
    <row r="498" spans="1:45">
      <c r="A498" s="32">
        <f t="shared" si="44"/>
        <v>46241</v>
      </c>
      <c r="B498" s="43">
        <f>YEAR(Table13[[#This Row],[Date]])+IF(MONTH(Table13[[#This Row],[Date]])&gt;=4,1,0)</f>
        <v>2027</v>
      </c>
      <c r="C498" s="10">
        <f>YEAR(Table13[[#This Row],[Date]])</f>
        <v>2026</v>
      </c>
      <c r="D498" s="309">
        <f>Table13[[#This Row],[Date]]-DAY(Table13[[#This Row],[Date]])+1</f>
        <v>46235</v>
      </c>
      <c r="E498" s="10">
        <f t="shared" si="40"/>
        <v>31</v>
      </c>
      <c r="F498" s="241" t="str">
        <f>IFERROR(_xlfn.XLOOKUP($A498,Input_Raw!$E:$E,Input_Raw!DC:DC),"")</f>
        <v/>
      </c>
      <c r="G498" s="313"/>
      <c r="H498" s="313"/>
      <c r="I498" s="313"/>
      <c r="J498" s="313"/>
      <c r="K498" s="243"/>
      <c r="L498" s="242"/>
      <c r="M498" s="242" t="str">
        <f>IFERROR(_xlfn.XLOOKUP($A498,Input_Raw!$E:$E,Input_Raw!$BM:$BM),"")</f>
        <v/>
      </c>
      <c r="N498" s="242" t="str">
        <f>IFERROR(_xlfn.XLOOKUP($A498,Input_Raw!$E:$E,Input_Raw!$BN:$BN),"")</f>
        <v/>
      </c>
      <c r="O498" s="311" t="str">
        <f t="shared" si="41"/>
        <v/>
      </c>
      <c r="P498" s="311" t="str">
        <f>IFERROR(1-SUMIF(WTG_BD!$F:$F,$A498,WTG_BD!$AA:$AA)/($AA498+SUMIF(WTG_BD!$F:$F,$A498,WTG_BD!$AA:$AA)),"")</f>
        <v/>
      </c>
      <c r="Q498" s="328" t="str">
        <f>IFERROR(1-SUMIF(IGA_BD!$F:$F,$A498,IGA_BD!$W:$W)/($AA498+SUMIF(IGA_BD!$F:$F,$A498,IGA_BD!$W:$W)),"")</f>
        <v/>
      </c>
      <c r="R498" s="47" t="str">
        <f>IFERROR(1-SUMIF(Grid_BD!$F:$F,$A498,Grid_BD!$Y:$Y)/($AA498+SUMIF(Grid_BD!$F:$F,$A498,Grid_BD!$Y:$Y)),"")</f>
        <v/>
      </c>
      <c r="S498" s="10"/>
      <c r="T498" s="310"/>
      <c r="U498" s="311"/>
      <c r="V498" s="10"/>
      <c r="W498" s="312" t="str">
        <f t="shared" si="42"/>
        <v/>
      </c>
      <c r="X498" s="10" t="str">
        <f>IFERROR(_xlfn.XLOOKUP($A498,Input_Raw!$E:$E,Input_Raw!BG:BG),"")</f>
        <v/>
      </c>
      <c r="Y498" s="10" t="str">
        <f>IFERROR(_xlfn.XLOOKUP($A498,Input_Raw!$E:$E,Input_Raw!DF:DF),"")</f>
        <v/>
      </c>
      <c r="Z498" s="319" t="str">
        <f>IFERROR(_xlfn.XLOOKUP(A498,Input_Raw!E:E,Input_Raw!CT:CT)/_xlfn.XLOOKUP(A498,Input_Raw!E:E,Input_Raw!CS:CS)*Table13[[#This Row],[Mtr_Export (kWh)]],"")</f>
        <v/>
      </c>
      <c r="AA498" s="43" t="str">
        <f t="shared" si="43"/>
        <v/>
      </c>
      <c r="AB498" s="10" t="str">
        <f>IFERROR(_xlfn.XLOOKUP($A498,Input_Raw!$E:$E,Input_Raw!$CZ:$CZ),"")</f>
        <v/>
      </c>
      <c r="AC498" s="313" t="str">
        <f>IFERROR(_xlfn.XLOOKUP($D498,'Modelling New'!$D:$D,'Modelling New'!$J:$J),"")</f>
        <v/>
      </c>
      <c r="AD498" s="43" t="str">
        <f>IFERROR(_xlfn.XLOOKUP($D498,'Modelling New'!$D:$D,'Modelling New'!$T:$T)*1000,"")</f>
        <v/>
      </c>
      <c r="AE498" s="312"/>
      <c r="AF498" s="312" t="str">
        <f>IFERROR(_xlfn.XLOOKUP($D498,'Modelling New'!$D:$D,'Modelling New'!$W:$W),"")</f>
        <v/>
      </c>
      <c r="AG498" s="312" t="str">
        <f>IFERROR(_xlfn.XLOOKUP($D498,'Modelling New'!$D:$D,'Modelling New'!$AE:$AE),"")</f>
        <v/>
      </c>
      <c r="AH498" s="312" t="str">
        <f>IFERROR(_xlfn.XLOOKUP($D498,'Modelling New'!$D:$D,'Modelling New'!$AF:$AF),"")</f>
        <v/>
      </c>
      <c r="AI498" s="10" t="str">
        <f>IFERROR(_xlfn.XLOOKUP($A498,Input_Raw!$E:$E,Input_Raw!$DG:$DG),"")</f>
        <v/>
      </c>
      <c r="AJ498" s="10"/>
      <c r="AK498" s="10"/>
      <c r="AL498" s="10"/>
      <c r="AM498" s="10"/>
      <c r="AN498" s="314" t="str">
        <f>IFERROR(_xlfn.XLOOKUP($A498,Input_Raw!$E:$E,Input_Raw!$CY:$CY),"")</f>
        <v/>
      </c>
      <c r="AO498" s="312" t="str">
        <f>IFERROR((_xlfn.XLOOKUP($A498,'WTG Reactive Power'!$A:$A,'WTG Reactive Power'!AB:AB))/X498,"")</f>
        <v/>
      </c>
      <c r="AP498" s="312" t="str">
        <f>IFERROR(_xlfn.XLOOKUP($D498,'Modelling New'!$D:$D,'Modelling New'!AK:AK),"")</f>
        <v/>
      </c>
      <c r="AQ498" s="312" t="str">
        <f>IFERROR(_xlfn.XLOOKUP($D498,'Modelling New'!$D:$D,'Modelling New'!AL:AL),"")</f>
        <v/>
      </c>
      <c r="AR498" s="325" t="str">
        <f>IFERROR(_xlfn.XLOOKUP($D498,'Modelling New'!$D:$D,'Modelling New'!$N:$N),"")</f>
        <v/>
      </c>
      <c r="AS498" s="325"/>
    </row>
    <row r="499" spans="1:45">
      <c r="A499" s="32">
        <f t="shared" si="44"/>
        <v>46242</v>
      </c>
      <c r="B499" s="43">
        <f>YEAR(Table13[[#This Row],[Date]])+IF(MONTH(Table13[[#This Row],[Date]])&gt;=4,1,0)</f>
        <v>2027</v>
      </c>
      <c r="C499" s="10">
        <f>YEAR(Table13[[#This Row],[Date]])</f>
        <v>2026</v>
      </c>
      <c r="D499" s="309">
        <f>Table13[[#This Row],[Date]]-DAY(Table13[[#This Row],[Date]])+1</f>
        <v>46235</v>
      </c>
      <c r="E499" s="10">
        <f t="shared" si="40"/>
        <v>31</v>
      </c>
      <c r="F499" s="241" t="str">
        <f>IFERROR(_xlfn.XLOOKUP($A499,Input_Raw!$E:$E,Input_Raw!DC:DC),"")</f>
        <v/>
      </c>
      <c r="G499" s="242"/>
      <c r="H499" s="242"/>
      <c r="I499" s="242"/>
      <c r="J499" s="242"/>
      <c r="K499" s="243"/>
      <c r="L499" s="242"/>
      <c r="M499" s="242" t="str">
        <f>IFERROR(_xlfn.XLOOKUP($A499,Input_Raw!$E:$E,Input_Raw!$BM:$BM),"")</f>
        <v/>
      </c>
      <c r="N499" s="242" t="str">
        <f>IFERROR(_xlfn.XLOOKUP($A499,Input_Raw!$E:$E,Input_Raw!$BN:$BN),"")</f>
        <v/>
      </c>
      <c r="O499" s="311" t="str">
        <f t="shared" si="41"/>
        <v/>
      </c>
      <c r="P499" s="311" t="str">
        <f>IFERROR(1-SUMIF(WTG_BD!$F:$F,$A499,WTG_BD!$AA:$AA)/($AA499+SUMIF(WTG_BD!$F:$F,$A499,WTG_BD!$AA:$AA)),"")</f>
        <v/>
      </c>
      <c r="Q499" s="328" t="str">
        <f>IFERROR(1-SUMIF(IGA_BD!$F:$F,$A499,IGA_BD!$W:$W)/($AA499+SUMIF(IGA_BD!$F:$F,$A499,IGA_BD!$W:$W)),"")</f>
        <v/>
      </c>
      <c r="R499" s="311" t="str">
        <f>IFERROR(1-SUMIF(Grid_BD!$F:$F,$A499,Grid_BD!$Y:$Y)/($AA499+SUMIF(Grid_BD!$F:$F,$A499,Grid_BD!$Y:$Y)),"")</f>
        <v/>
      </c>
      <c r="S499" s="10"/>
      <c r="T499" s="310"/>
      <c r="U499" s="311"/>
      <c r="V499" s="10"/>
      <c r="W499" s="312" t="str">
        <f t="shared" si="42"/>
        <v/>
      </c>
      <c r="X499" s="10" t="str">
        <f>IFERROR(_xlfn.XLOOKUP($A499,Input_Raw!$E:$E,Input_Raw!BG:BG),"")</f>
        <v/>
      </c>
      <c r="Y499" s="10" t="str">
        <f>IFERROR(_xlfn.XLOOKUP($A499,Input_Raw!$E:$E,Input_Raw!DF:DF),"")</f>
        <v/>
      </c>
      <c r="Z499" s="319" t="str">
        <f>IFERROR(_xlfn.XLOOKUP(A499,Input_Raw!E:E,Input_Raw!CT:CT)/_xlfn.XLOOKUP(A499,Input_Raw!E:E,Input_Raw!CS:CS)*Table13[[#This Row],[Mtr_Export (kWh)]],"")</f>
        <v/>
      </c>
      <c r="AA499" s="43" t="str">
        <f t="shared" si="43"/>
        <v/>
      </c>
      <c r="AB499" s="10" t="str">
        <f>IFERROR(_xlfn.XLOOKUP($A499,Input_Raw!$E:$E,Input_Raw!$CZ:$CZ),"")</f>
        <v/>
      </c>
      <c r="AC499" s="313" t="str">
        <f>IFERROR(_xlfn.XLOOKUP($D499,'Modelling New'!$D:$D,'Modelling New'!$J:$J),"")</f>
        <v/>
      </c>
      <c r="AD499" s="43" t="str">
        <f>IFERROR(_xlfn.XLOOKUP($D499,'Modelling New'!$D:$D,'Modelling New'!$T:$T)*1000,"")</f>
        <v/>
      </c>
      <c r="AE499" s="312"/>
      <c r="AF499" s="312" t="str">
        <f>IFERROR(_xlfn.XLOOKUP($D499,'Modelling New'!$D:$D,'Modelling New'!$W:$W),"")</f>
        <v/>
      </c>
      <c r="AG499" s="312" t="str">
        <f>IFERROR(_xlfn.XLOOKUP($D499,'Modelling New'!$D:$D,'Modelling New'!$AE:$AE),"")</f>
        <v/>
      </c>
      <c r="AH499" s="312" t="str">
        <f>IFERROR(_xlfn.XLOOKUP($D499,'Modelling New'!$D:$D,'Modelling New'!$AF:$AF),"")</f>
        <v/>
      </c>
      <c r="AI499" s="10" t="str">
        <f>IFERROR(_xlfn.XLOOKUP($A499,Input_Raw!$E:$E,Input_Raw!$DG:$DG),"")</f>
        <v/>
      </c>
      <c r="AJ499" s="10"/>
      <c r="AK499" s="10"/>
      <c r="AL499" s="10"/>
      <c r="AM499" s="10"/>
      <c r="AN499" s="314" t="str">
        <f>IFERROR(_xlfn.XLOOKUP($A499,Input_Raw!$E:$E,Input_Raw!$CY:$CY),"")</f>
        <v/>
      </c>
      <c r="AO499" s="312" t="str">
        <f>IFERROR((_xlfn.XLOOKUP($A499,'WTG Reactive Power'!$A:$A,'WTG Reactive Power'!AB:AB))/X499,"")</f>
        <v/>
      </c>
      <c r="AP499" s="312" t="str">
        <f>IFERROR(_xlfn.XLOOKUP($D499,'Modelling New'!$D:$D,'Modelling New'!AK:AK),"")</f>
        <v/>
      </c>
      <c r="AQ499" s="312" t="str">
        <f>IFERROR(_xlfn.XLOOKUP($D499,'Modelling New'!$D:$D,'Modelling New'!AL:AL),"")</f>
        <v/>
      </c>
      <c r="AR499" s="325" t="str">
        <f>IFERROR(_xlfn.XLOOKUP($D499,'Modelling New'!$D:$D,'Modelling New'!$N:$N),"")</f>
        <v/>
      </c>
      <c r="AS499" s="325"/>
    </row>
    <row r="500" spans="1:45">
      <c r="A500" s="32">
        <f t="shared" si="44"/>
        <v>46243</v>
      </c>
      <c r="B500" s="43">
        <f>YEAR(Table13[[#This Row],[Date]])+IF(MONTH(Table13[[#This Row],[Date]])&gt;=4,1,0)</f>
        <v>2027</v>
      </c>
      <c r="C500" s="10">
        <f>YEAR(Table13[[#This Row],[Date]])</f>
        <v>2026</v>
      </c>
      <c r="D500" s="309">
        <f>Table13[[#This Row],[Date]]-DAY(Table13[[#This Row],[Date]])+1</f>
        <v>46235</v>
      </c>
      <c r="E500" s="10">
        <f t="shared" si="40"/>
        <v>31</v>
      </c>
      <c r="F500" s="241" t="str">
        <f>IFERROR(_xlfn.XLOOKUP($A500,Input_Raw!$E:$E,Input_Raw!DC:DC),"")</f>
        <v/>
      </c>
      <c r="G500" s="313"/>
      <c r="H500" s="313"/>
      <c r="I500" s="313"/>
      <c r="J500" s="313"/>
      <c r="K500" s="243"/>
      <c r="L500" s="242"/>
      <c r="M500" s="242" t="str">
        <f>IFERROR(_xlfn.XLOOKUP($A500,Input_Raw!$E:$E,Input_Raw!$BM:$BM),"")</f>
        <v/>
      </c>
      <c r="N500" s="242" t="str">
        <f>IFERROR(_xlfn.XLOOKUP($A500,Input_Raw!$E:$E,Input_Raw!$BN:$BN),"")</f>
        <v/>
      </c>
      <c r="O500" s="311" t="str">
        <f t="shared" si="41"/>
        <v/>
      </c>
      <c r="P500" s="311" t="str">
        <f>IFERROR(1-SUMIF(WTG_BD!$F:$F,$A500,WTG_BD!$AA:$AA)/($AA500+SUMIF(WTG_BD!$F:$F,$A500,WTG_BD!$AA:$AA)),"")</f>
        <v/>
      </c>
      <c r="Q500" s="328" t="str">
        <f>IFERROR(1-SUMIF(IGA_BD!$F:$F,$A500,IGA_BD!$W:$W)/($AA500+SUMIF(IGA_BD!$F:$F,$A500,IGA_BD!$W:$W)),"")</f>
        <v/>
      </c>
      <c r="R500" s="47" t="str">
        <f>IFERROR(1-SUMIF(Grid_BD!$F:$F,$A500,Grid_BD!$Y:$Y)/($AA500+SUMIF(Grid_BD!$F:$F,$A500,Grid_BD!$Y:$Y)),"")</f>
        <v/>
      </c>
      <c r="S500" s="10"/>
      <c r="T500" s="310"/>
      <c r="U500" s="311"/>
      <c r="V500" s="10"/>
      <c r="W500" s="312" t="str">
        <f t="shared" si="42"/>
        <v/>
      </c>
      <c r="X500" s="10" t="str">
        <f>IFERROR(_xlfn.XLOOKUP($A500,Input_Raw!$E:$E,Input_Raw!BG:BG),"")</f>
        <v/>
      </c>
      <c r="Y500" s="10" t="str">
        <f>IFERROR(_xlfn.XLOOKUP($A500,Input_Raw!$E:$E,Input_Raw!DF:DF),"")</f>
        <v/>
      </c>
      <c r="Z500" s="319" t="str">
        <f>IFERROR(_xlfn.XLOOKUP(A500,Input_Raw!E:E,Input_Raw!CT:CT)/_xlfn.XLOOKUP(A500,Input_Raw!E:E,Input_Raw!CS:CS)*Table13[[#This Row],[Mtr_Export (kWh)]],"")</f>
        <v/>
      </c>
      <c r="AA500" s="43" t="str">
        <f t="shared" si="43"/>
        <v/>
      </c>
      <c r="AB500" s="10" t="str">
        <f>IFERROR(_xlfn.XLOOKUP($A500,Input_Raw!$E:$E,Input_Raw!$CZ:$CZ),"")</f>
        <v/>
      </c>
      <c r="AC500" s="313" t="str">
        <f>IFERROR(_xlfn.XLOOKUP($D500,'Modelling New'!$D:$D,'Modelling New'!$J:$J),"")</f>
        <v/>
      </c>
      <c r="AD500" s="43" t="str">
        <f>IFERROR(_xlfn.XLOOKUP($D500,'Modelling New'!$D:$D,'Modelling New'!$T:$T)*1000,"")</f>
        <v/>
      </c>
      <c r="AE500" s="312"/>
      <c r="AF500" s="312" t="str">
        <f>IFERROR(_xlfn.XLOOKUP($D500,'Modelling New'!$D:$D,'Modelling New'!$W:$W),"")</f>
        <v/>
      </c>
      <c r="AG500" s="312" t="str">
        <f>IFERROR(_xlfn.XLOOKUP($D500,'Modelling New'!$D:$D,'Modelling New'!$AE:$AE),"")</f>
        <v/>
      </c>
      <c r="AH500" s="312" t="str">
        <f>IFERROR(_xlfn.XLOOKUP($D500,'Modelling New'!$D:$D,'Modelling New'!$AF:$AF),"")</f>
        <v/>
      </c>
      <c r="AI500" s="10" t="str">
        <f>IFERROR(_xlfn.XLOOKUP($A500,Input_Raw!$E:$E,Input_Raw!$DG:$DG),"")</f>
        <v/>
      </c>
      <c r="AJ500" s="10"/>
      <c r="AK500" s="10"/>
      <c r="AL500" s="10"/>
      <c r="AM500" s="10"/>
      <c r="AN500" s="314" t="str">
        <f>IFERROR(_xlfn.XLOOKUP($A500,Input_Raw!$E:$E,Input_Raw!$CY:$CY),"")</f>
        <v/>
      </c>
      <c r="AO500" s="312" t="str">
        <f>IFERROR((_xlfn.XLOOKUP($A500,'WTG Reactive Power'!$A:$A,'WTG Reactive Power'!AB:AB))/X500,"")</f>
        <v/>
      </c>
      <c r="AP500" s="312" t="str">
        <f>IFERROR(_xlfn.XLOOKUP($D500,'Modelling New'!$D:$D,'Modelling New'!AK:AK),"")</f>
        <v/>
      </c>
      <c r="AQ500" s="312" t="str">
        <f>IFERROR(_xlfn.XLOOKUP($D500,'Modelling New'!$D:$D,'Modelling New'!AL:AL),"")</f>
        <v/>
      </c>
      <c r="AR500" s="325" t="str">
        <f>IFERROR(_xlfn.XLOOKUP($D500,'Modelling New'!$D:$D,'Modelling New'!$N:$N),"")</f>
        <v/>
      </c>
      <c r="AS500" s="325"/>
    </row>
    <row r="501" spans="1:45">
      <c r="A501" s="32">
        <f t="shared" si="44"/>
        <v>46244</v>
      </c>
      <c r="B501" s="43">
        <f>YEAR(Table13[[#This Row],[Date]])+IF(MONTH(Table13[[#This Row],[Date]])&gt;=4,1,0)</f>
        <v>2027</v>
      </c>
      <c r="C501" s="10">
        <f>YEAR(Table13[[#This Row],[Date]])</f>
        <v>2026</v>
      </c>
      <c r="D501" s="309">
        <f>Table13[[#This Row],[Date]]-DAY(Table13[[#This Row],[Date]])+1</f>
        <v>46235</v>
      </c>
      <c r="E501" s="10">
        <f t="shared" si="40"/>
        <v>31</v>
      </c>
      <c r="F501" s="241" t="str">
        <f>IFERROR(_xlfn.XLOOKUP($A501,Input_Raw!$E:$E,Input_Raw!DC:DC),"")</f>
        <v/>
      </c>
      <c r="G501" s="242"/>
      <c r="H501" s="242"/>
      <c r="I501" s="242"/>
      <c r="J501" s="242"/>
      <c r="K501" s="243"/>
      <c r="L501" s="242"/>
      <c r="M501" s="242" t="str">
        <f>IFERROR(_xlfn.XLOOKUP($A501,Input_Raw!$E:$E,Input_Raw!$BM:$BM),"")</f>
        <v/>
      </c>
      <c r="N501" s="242" t="str">
        <f>IFERROR(_xlfn.XLOOKUP($A501,Input_Raw!$E:$E,Input_Raw!$BN:$BN),"")</f>
        <v/>
      </c>
      <c r="O501" s="311" t="str">
        <f t="shared" si="41"/>
        <v/>
      </c>
      <c r="P501" s="311" t="str">
        <f>IFERROR(1-SUMIF(WTG_BD!$F:$F,$A501,WTG_BD!$AA:$AA)/($AA501+SUMIF(WTG_BD!$F:$F,$A501,WTG_BD!$AA:$AA)),"")</f>
        <v/>
      </c>
      <c r="Q501" s="328" t="str">
        <f>IFERROR(1-SUMIF(IGA_BD!$F:$F,$A501,IGA_BD!$W:$W)/($AA501+SUMIF(IGA_BD!$F:$F,$A501,IGA_BD!$W:$W)),"")</f>
        <v/>
      </c>
      <c r="R501" s="311" t="str">
        <f>IFERROR(1-SUMIF(Grid_BD!$F:$F,$A501,Grid_BD!$Y:$Y)/($AA501+SUMIF(Grid_BD!$F:$F,$A501,Grid_BD!$Y:$Y)),"")</f>
        <v/>
      </c>
      <c r="S501" s="10"/>
      <c r="T501" s="310"/>
      <c r="U501" s="311"/>
      <c r="V501" s="10"/>
      <c r="W501" s="312" t="str">
        <f t="shared" si="42"/>
        <v/>
      </c>
      <c r="X501" s="10" t="str">
        <f>IFERROR(_xlfn.XLOOKUP($A501,Input_Raw!$E:$E,Input_Raw!BG:BG),"")</f>
        <v/>
      </c>
      <c r="Y501" s="10" t="str">
        <f>IFERROR(_xlfn.XLOOKUP($A501,Input_Raw!$E:$E,Input_Raw!DF:DF),"")</f>
        <v/>
      </c>
      <c r="Z501" s="319" t="str">
        <f>IFERROR(_xlfn.XLOOKUP(A501,Input_Raw!E:E,Input_Raw!CT:CT)/_xlfn.XLOOKUP(A501,Input_Raw!E:E,Input_Raw!CS:CS)*Table13[[#This Row],[Mtr_Export (kWh)]],"")</f>
        <v/>
      </c>
      <c r="AA501" s="43" t="str">
        <f t="shared" si="43"/>
        <v/>
      </c>
      <c r="AB501" s="10" t="str">
        <f>IFERROR(_xlfn.XLOOKUP($A501,Input_Raw!$E:$E,Input_Raw!$CZ:$CZ),"")</f>
        <v/>
      </c>
      <c r="AC501" s="313" t="str">
        <f>IFERROR(_xlfn.XLOOKUP($D501,'Modelling New'!$D:$D,'Modelling New'!$J:$J),"")</f>
        <v/>
      </c>
      <c r="AD501" s="43" t="str">
        <f>IFERROR(_xlfn.XLOOKUP($D501,'Modelling New'!$D:$D,'Modelling New'!$T:$T)*1000,"")</f>
        <v/>
      </c>
      <c r="AE501" s="312"/>
      <c r="AF501" s="312" t="str">
        <f>IFERROR(_xlfn.XLOOKUP($D501,'Modelling New'!$D:$D,'Modelling New'!$W:$W),"")</f>
        <v/>
      </c>
      <c r="AG501" s="312" t="str">
        <f>IFERROR(_xlfn.XLOOKUP($D501,'Modelling New'!$D:$D,'Modelling New'!$AE:$AE),"")</f>
        <v/>
      </c>
      <c r="AH501" s="312" t="str">
        <f>IFERROR(_xlfn.XLOOKUP($D501,'Modelling New'!$D:$D,'Modelling New'!$AF:$AF),"")</f>
        <v/>
      </c>
      <c r="AI501" s="10" t="str">
        <f>IFERROR(_xlfn.XLOOKUP($A501,Input_Raw!$E:$E,Input_Raw!$DG:$DG),"")</f>
        <v/>
      </c>
      <c r="AJ501" s="10"/>
      <c r="AK501" s="10"/>
      <c r="AL501" s="10"/>
      <c r="AM501" s="10"/>
      <c r="AN501" s="314" t="str">
        <f>IFERROR(_xlfn.XLOOKUP($A501,Input_Raw!$E:$E,Input_Raw!$CY:$CY),"")</f>
        <v/>
      </c>
      <c r="AO501" s="312" t="str">
        <f>IFERROR((_xlfn.XLOOKUP($A501,'WTG Reactive Power'!$A:$A,'WTG Reactive Power'!AB:AB))/X501,"")</f>
        <v/>
      </c>
      <c r="AP501" s="312" t="str">
        <f>IFERROR(_xlfn.XLOOKUP($D501,'Modelling New'!$D:$D,'Modelling New'!AK:AK),"")</f>
        <v/>
      </c>
      <c r="AQ501" s="312" t="str">
        <f>IFERROR(_xlfn.XLOOKUP($D501,'Modelling New'!$D:$D,'Modelling New'!AL:AL),"")</f>
        <v/>
      </c>
      <c r="AR501" s="325" t="str">
        <f>IFERROR(_xlfn.XLOOKUP($D501,'Modelling New'!$D:$D,'Modelling New'!$N:$N),"")</f>
        <v/>
      </c>
      <c r="AS501" s="325"/>
    </row>
    <row r="502" spans="1:45">
      <c r="A502" s="32">
        <f t="shared" si="44"/>
        <v>46245</v>
      </c>
      <c r="B502" s="43">
        <f>YEAR(Table13[[#This Row],[Date]])+IF(MONTH(Table13[[#This Row],[Date]])&gt;=4,1,0)</f>
        <v>2027</v>
      </c>
      <c r="C502" s="10">
        <f>YEAR(Table13[[#This Row],[Date]])</f>
        <v>2026</v>
      </c>
      <c r="D502" s="309">
        <f>Table13[[#This Row],[Date]]-DAY(Table13[[#This Row],[Date]])+1</f>
        <v>46235</v>
      </c>
      <c r="E502" s="10">
        <f t="shared" si="40"/>
        <v>31</v>
      </c>
      <c r="F502" s="241" t="str">
        <f>IFERROR(_xlfn.XLOOKUP($A502,Input_Raw!$E:$E,Input_Raw!DC:DC),"")</f>
        <v/>
      </c>
      <c r="G502" s="313"/>
      <c r="H502" s="313"/>
      <c r="I502" s="313"/>
      <c r="J502" s="313"/>
      <c r="K502" s="243"/>
      <c r="L502" s="242"/>
      <c r="M502" s="242" t="str">
        <f>IFERROR(_xlfn.XLOOKUP($A502,Input_Raw!$E:$E,Input_Raw!$BM:$BM),"")</f>
        <v/>
      </c>
      <c r="N502" s="242" t="str">
        <f>IFERROR(_xlfn.XLOOKUP($A502,Input_Raw!$E:$E,Input_Raw!$BN:$BN),"")</f>
        <v/>
      </c>
      <c r="O502" s="311" t="str">
        <f t="shared" si="41"/>
        <v/>
      </c>
      <c r="P502" s="311" t="str">
        <f>IFERROR(1-SUMIF(WTG_BD!$F:$F,$A502,WTG_BD!$AA:$AA)/($AA502+SUMIF(WTG_BD!$F:$F,$A502,WTG_BD!$AA:$AA)),"")</f>
        <v/>
      </c>
      <c r="Q502" s="328" t="str">
        <f>IFERROR(1-SUMIF(IGA_BD!$F:$F,$A502,IGA_BD!$W:$W)/($AA502+SUMIF(IGA_BD!$F:$F,$A502,IGA_BD!$W:$W)),"")</f>
        <v/>
      </c>
      <c r="R502" s="47" t="str">
        <f>IFERROR(1-SUMIF(Grid_BD!$F:$F,$A502,Grid_BD!$Y:$Y)/($AA502+SUMIF(Grid_BD!$F:$F,$A502,Grid_BD!$Y:$Y)),"")</f>
        <v/>
      </c>
      <c r="S502" s="10"/>
      <c r="T502" s="310"/>
      <c r="U502" s="311"/>
      <c r="V502" s="10"/>
      <c r="W502" s="312" t="str">
        <f t="shared" si="42"/>
        <v/>
      </c>
      <c r="X502" s="10" t="str">
        <f>IFERROR(_xlfn.XLOOKUP($A502,Input_Raw!$E:$E,Input_Raw!BG:BG),"")</f>
        <v/>
      </c>
      <c r="Y502" s="10" t="str">
        <f>IFERROR(_xlfn.XLOOKUP($A502,Input_Raw!$E:$E,Input_Raw!DF:DF),"")</f>
        <v/>
      </c>
      <c r="Z502" s="319" t="str">
        <f>IFERROR(_xlfn.XLOOKUP(A502,Input_Raw!E:E,Input_Raw!CT:CT)/_xlfn.XLOOKUP(A502,Input_Raw!E:E,Input_Raw!CS:CS)*Table13[[#This Row],[Mtr_Export (kWh)]],"")</f>
        <v/>
      </c>
      <c r="AA502" s="43" t="str">
        <f t="shared" si="43"/>
        <v/>
      </c>
      <c r="AB502" s="10" t="str">
        <f>IFERROR(_xlfn.XLOOKUP($A502,Input_Raw!$E:$E,Input_Raw!$CZ:$CZ),"")</f>
        <v/>
      </c>
      <c r="AC502" s="313" t="str">
        <f>IFERROR(_xlfn.XLOOKUP($D502,'Modelling New'!$D:$D,'Modelling New'!$J:$J),"")</f>
        <v/>
      </c>
      <c r="AD502" s="43" t="str">
        <f>IFERROR(_xlfn.XLOOKUP($D502,'Modelling New'!$D:$D,'Modelling New'!$T:$T)*1000,"")</f>
        <v/>
      </c>
      <c r="AE502" s="312"/>
      <c r="AF502" s="312" t="str">
        <f>IFERROR(_xlfn.XLOOKUP($D502,'Modelling New'!$D:$D,'Modelling New'!$W:$W),"")</f>
        <v/>
      </c>
      <c r="AG502" s="312" t="str">
        <f>IFERROR(_xlfn.XLOOKUP($D502,'Modelling New'!$D:$D,'Modelling New'!$AE:$AE),"")</f>
        <v/>
      </c>
      <c r="AH502" s="312" t="str">
        <f>IFERROR(_xlfn.XLOOKUP($D502,'Modelling New'!$D:$D,'Modelling New'!$AF:$AF),"")</f>
        <v/>
      </c>
      <c r="AI502" s="10" t="str">
        <f>IFERROR(_xlfn.XLOOKUP($A502,Input_Raw!$E:$E,Input_Raw!$DG:$DG),"")</f>
        <v/>
      </c>
      <c r="AJ502" s="10"/>
      <c r="AK502" s="10"/>
      <c r="AL502" s="10"/>
      <c r="AM502" s="10"/>
      <c r="AN502" s="314" t="str">
        <f>IFERROR(_xlfn.XLOOKUP($A502,Input_Raw!$E:$E,Input_Raw!$CY:$CY),"")</f>
        <v/>
      </c>
      <c r="AO502" s="312" t="str">
        <f>IFERROR((_xlfn.XLOOKUP($A502,'WTG Reactive Power'!$A:$A,'WTG Reactive Power'!AB:AB))/X502,"")</f>
        <v/>
      </c>
      <c r="AP502" s="312" t="str">
        <f>IFERROR(_xlfn.XLOOKUP($D502,'Modelling New'!$D:$D,'Modelling New'!AK:AK),"")</f>
        <v/>
      </c>
      <c r="AQ502" s="312" t="str">
        <f>IFERROR(_xlfn.XLOOKUP($D502,'Modelling New'!$D:$D,'Modelling New'!AL:AL),"")</f>
        <v/>
      </c>
      <c r="AR502" s="325" t="str">
        <f>IFERROR(_xlfn.XLOOKUP($D502,'Modelling New'!$D:$D,'Modelling New'!$N:$N),"")</f>
        <v/>
      </c>
      <c r="AS502" s="325"/>
    </row>
    <row r="503" spans="1:45">
      <c r="A503" s="32">
        <f t="shared" si="44"/>
        <v>46246</v>
      </c>
      <c r="B503" s="43">
        <f>YEAR(Table13[[#This Row],[Date]])+IF(MONTH(Table13[[#This Row],[Date]])&gt;=4,1,0)</f>
        <v>2027</v>
      </c>
      <c r="C503" s="10">
        <f>YEAR(Table13[[#This Row],[Date]])</f>
        <v>2026</v>
      </c>
      <c r="D503" s="309">
        <f>Table13[[#This Row],[Date]]-DAY(Table13[[#This Row],[Date]])+1</f>
        <v>46235</v>
      </c>
      <c r="E503" s="10">
        <f t="shared" si="40"/>
        <v>31</v>
      </c>
      <c r="F503" s="241" t="str">
        <f>IFERROR(_xlfn.XLOOKUP($A503,Input_Raw!$E:$E,Input_Raw!DC:DC),"")</f>
        <v/>
      </c>
      <c r="G503" s="242"/>
      <c r="H503" s="242"/>
      <c r="I503" s="242"/>
      <c r="J503" s="242"/>
      <c r="K503" s="243"/>
      <c r="L503" s="242"/>
      <c r="M503" s="242" t="str">
        <f>IFERROR(_xlfn.XLOOKUP($A503,Input_Raw!$E:$E,Input_Raw!$BM:$BM),"")</f>
        <v/>
      </c>
      <c r="N503" s="242" t="str">
        <f>IFERROR(_xlfn.XLOOKUP($A503,Input_Raw!$E:$E,Input_Raw!$BN:$BN),"")</f>
        <v/>
      </c>
      <c r="O503" s="311" t="str">
        <f t="shared" si="41"/>
        <v/>
      </c>
      <c r="P503" s="311" t="str">
        <f>IFERROR(1-SUMIF(WTG_BD!$F:$F,$A503,WTG_BD!$AA:$AA)/($AA503+SUMIF(WTG_BD!$F:$F,$A503,WTG_BD!$AA:$AA)),"")</f>
        <v/>
      </c>
      <c r="Q503" s="328" t="str">
        <f>IFERROR(1-SUMIF(IGA_BD!$F:$F,$A503,IGA_BD!$W:$W)/($AA503+SUMIF(IGA_BD!$F:$F,$A503,IGA_BD!$W:$W)),"")</f>
        <v/>
      </c>
      <c r="R503" s="311" t="str">
        <f>IFERROR(1-SUMIF(Grid_BD!$F:$F,$A503,Grid_BD!$Y:$Y)/($AA503+SUMIF(Grid_BD!$F:$F,$A503,Grid_BD!$Y:$Y)),"")</f>
        <v/>
      </c>
      <c r="S503" s="10"/>
      <c r="T503" s="310"/>
      <c r="U503" s="311"/>
      <c r="V503" s="10"/>
      <c r="W503" s="312" t="str">
        <f t="shared" si="42"/>
        <v/>
      </c>
      <c r="X503" s="10" t="str">
        <f>IFERROR(_xlfn.XLOOKUP($A503,Input_Raw!$E:$E,Input_Raw!BG:BG),"")</f>
        <v/>
      </c>
      <c r="Y503" s="10" t="str">
        <f>IFERROR(_xlfn.XLOOKUP($A503,Input_Raw!$E:$E,Input_Raw!DF:DF),"")</f>
        <v/>
      </c>
      <c r="Z503" s="319" t="str">
        <f>IFERROR(_xlfn.XLOOKUP(A503,Input_Raw!E:E,Input_Raw!CT:CT)/_xlfn.XLOOKUP(A503,Input_Raw!E:E,Input_Raw!CS:CS)*Table13[[#This Row],[Mtr_Export (kWh)]],"")</f>
        <v/>
      </c>
      <c r="AA503" s="43" t="str">
        <f t="shared" si="43"/>
        <v/>
      </c>
      <c r="AB503" s="10" t="str">
        <f>IFERROR(_xlfn.XLOOKUP($A503,Input_Raw!$E:$E,Input_Raw!$CZ:$CZ),"")</f>
        <v/>
      </c>
      <c r="AC503" s="313" t="str">
        <f>IFERROR(_xlfn.XLOOKUP($D503,'Modelling New'!$D:$D,'Modelling New'!$J:$J),"")</f>
        <v/>
      </c>
      <c r="AD503" s="43" t="str">
        <f>IFERROR(_xlfn.XLOOKUP($D503,'Modelling New'!$D:$D,'Modelling New'!$T:$T)*1000,"")</f>
        <v/>
      </c>
      <c r="AE503" s="312"/>
      <c r="AF503" s="312" t="str">
        <f>IFERROR(_xlfn.XLOOKUP($D503,'Modelling New'!$D:$D,'Modelling New'!$W:$W),"")</f>
        <v/>
      </c>
      <c r="AG503" s="312" t="str">
        <f>IFERROR(_xlfn.XLOOKUP($D503,'Modelling New'!$D:$D,'Modelling New'!$AE:$AE),"")</f>
        <v/>
      </c>
      <c r="AH503" s="312" t="str">
        <f>IFERROR(_xlfn.XLOOKUP($D503,'Modelling New'!$D:$D,'Modelling New'!$AF:$AF),"")</f>
        <v/>
      </c>
      <c r="AI503" s="10" t="str">
        <f>IFERROR(_xlfn.XLOOKUP($A503,Input_Raw!$E:$E,Input_Raw!$DG:$DG),"")</f>
        <v/>
      </c>
      <c r="AJ503" s="10"/>
      <c r="AK503" s="10"/>
      <c r="AL503" s="10"/>
      <c r="AM503" s="10"/>
      <c r="AN503" s="314" t="str">
        <f>IFERROR(_xlfn.XLOOKUP($A503,Input_Raw!$E:$E,Input_Raw!$CY:$CY),"")</f>
        <v/>
      </c>
      <c r="AO503" s="312" t="str">
        <f>IFERROR((_xlfn.XLOOKUP($A503,'WTG Reactive Power'!$A:$A,'WTG Reactive Power'!AB:AB))/X503,"")</f>
        <v/>
      </c>
      <c r="AP503" s="312" t="str">
        <f>IFERROR(_xlfn.XLOOKUP($D503,'Modelling New'!$D:$D,'Modelling New'!AK:AK),"")</f>
        <v/>
      </c>
      <c r="AQ503" s="312" t="str">
        <f>IFERROR(_xlfn.XLOOKUP($D503,'Modelling New'!$D:$D,'Modelling New'!AL:AL),"")</f>
        <v/>
      </c>
      <c r="AR503" s="325" t="str">
        <f>IFERROR(_xlfn.XLOOKUP($D503,'Modelling New'!$D:$D,'Modelling New'!$N:$N),"")</f>
        <v/>
      </c>
      <c r="AS503" s="325"/>
    </row>
    <row r="504" spans="1:45">
      <c r="A504" s="32">
        <f t="shared" si="44"/>
        <v>46247</v>
      </c>
      <c r="B504" s="43">
        <f>YEAR(Table13[[#This Row],[Date]])+IF(MONTH(Table13[[#This Row],[Date]])&gt;=4,1,0)</f>
        <v>2027</v>
      </c>
      <c r="C504" s="10">
        <f>YEAR(Table13[[#This Row],[Date]])</f>
        <v>2026</v>
      </c>
      <c r="D504" s="309">
        <f>Table13[[#This Row],[Date]]-DAY(Table13[[#This Row],[Date]])+1</f>
        <v>46235</v>
      </c>
      <c r="E504" s="10">
        <f t="shared" si="40"/>
        <v>31</v>
      </c>
      <c r="F504" s="241" t="str">
        <f>IFERROR(_xlfn.XLOOKUP($A504,Input_Raw!$E:$E,Input_Raw!DC:DC),"")</f>
        <v/>
      </c>
      <c r="G504" s="313"/>
      <c r="H504" s="313"/>
      <c r="I504" s="313"/>
      <c r="J504" s="313"/>
      <c r="K504" s="243"/>
      <c r="L504" s="242"/>
      <c r="M504" s="242" t="str">
        <f>IFERROR(_xlfn.XLOOKUP($A504,Input_Raw!$E:$E,Input_Raw!$BM:$BM),"")</f>
        <v/>
      </c>
      <c r="N504" s="242" t="str">
        <f>IFERROR(_xlfn.XLOOKUP($A504,Input_Raw!$E:$E,Input_Raw!$BN:$BN),"")</f>
        <v/>
      </c>
      <c r="O504" s="311" t="str">
        <f t="shared" si="41"/>
        <v/>
      </c>
      <c r="P504" s="311" t="str">
        <f>IFERROR(1-SUMIF(WTG_BD!$F:$F,$A504,WTG_BD!$AA:$AA)/($AA504+SUMIF(WTG_BD!$F:$F,$A504,WTG_BD!$AA:$AA)),"")</f>
        <v/>
      </c>
      <c r="Q504" s="328" t="str">
        <f>IFERROR(1-SUMIF(IGA_BD!$F:$F,$A504,IGA_BD!$W:$W)/($AA504+SUMIF(IGA_BD!$F:$F,$A504,IGA_BD!$W:$W)),"")</f>
        <v/>
      </c>
      <c r="R504" s="47" t="str">
        <f>IFERROR(1-SUMIF(Grid_BD!$F:$F,$A504,Grid_BD!$Y:$Y)/($AA504+SUMIF(Grid_BD!$F:$F,$A504,Grid_BD!$Y:$Y)),"")</f>
        <v/>
      </c>
      <c r="S504" s="10"/>
      <c r="T504" s="310"/>
      <c r="U504" s="311"/>
      <c r="V504" s="10"/>
      <c r="W504" s="312" t="str">
        <f t="shared" si="42"/>
        <v/>
      </c>
      <c r="X504" s="10" t="str">
        <f>IFERROR(_xlfn.XLOOKUP($A504,Input_Raw!$E:$E,Input_Raw!BG:BG),"")</f>
        <v/>
      </c>
      <c r="Y504" s="10" t="str">
        <f>IFERROR(_xlfn.XLOOKUP($A504,Input_Raw!$E:$E,Input_Raw!DF:DF),"")</f>
        <v/>
      </c>
      <c r="Z504" s="319" t="str">
        <f>IFERROR(_xlfn.XLOOKUP(A504,Input_Raw!E:E,Input_Raw!CT:CT)/_xlfn.XLOOKUP(A504,Input_Raw!E:E,Input_Raw!CS:CS)*Table13[[#This Row],[Mtr_Export (kWh)]],"")</f>
        <v/>
      </c>
      <c r="AA504" s="43" t="str">
        <f t="shared" si="43"/>
        <v/>
      </c>
      <c r="AB504" s="10" t="str">
        <f>IFERROR(_xlfn.XLOOKUP($A504,Input_Raw!$E:$E,Input_Raw!$CZ:$CZ),"")</f>
        <v/>
      </c>
      <c r="AC504" s="313" t="str">
        <f>IFERROR(_xlfn.XLOOKUP($D504,'Modelling New'!$D:$D,'Modelling New'!$J:$J),"")</f>
        <v/>
      </c>
      <c r="AD504" s="43" t="str">
        <f>IFERROR(_xlfn.XLOOKUP($D504,'Modelling New'!$D:$D,'Modelling New'!$T:$T)*1000,"")</f>
        <v/>
      </c>
      <c r="AE504" s="312"/>
      <c r="AF504" s="312" t="str">
        <f>IFERROR(_xlfn.XLOOKUP($D504,'Modelling New'!$D:$D,'Modelling New'!$W:$W),"")</f>
        <v/>
      </c>
      <c r="AG504" s="312" t="str">
        <f>IFERROR(_xlfn.XLOOKUP($D504,'Modelling New'!$D:$D,'Modelling New'!$AE:$AE),"")</f>
        <v/>
      </c>
      <c r="AH504" s="312" t="str">
        <f>IFERROR(_xlfn.XLOOKUP($D504,'Modelling New'!$D:$D,'Modelling New'!$AF:$AF),"")</f>
        <v/>
      </c>
      <c r="AI504" s="10" t="str">
        <f>IFERROR(_xlfn.XLOOKUP($A504,Input_Raw!$E:$E,Input_Raw!$DG:$DG),"")</f>
        <v/>
      </c>
      <c r="AJ504" s="10"/>
      <c r="AK504" s="10"/>
      <c r="AL504" s="10"/>
      <c r="AM504" s="10"/>
      <c r="AN504" s="314" t="str">
        <f>IFERROR(_xlfn.XLOOKUP($A504,Input_Raw!$E:$E,Input_Raw!$CY:$CY),"")</f>
        <v/>
      </c>
      <c r="AO504" s="312" t="str">
        <f>IFERROR((_xlfn.XLOOKUP($A504,'WTG Reactive Power'!$A:$A,'WTG Reactive Power'!AB:AB))/X504,"")</f>
        <v/>
      </c>
      <c r="AP504" s="312" t="str">
        <f>IFERROR(_xlfn.XLOOKUP($D504,'Modelling New'!$D:$D,'Modelling New'!AK:AK),"")</f>
        <v/>
      </c>
      <c r="AQ504" s="312" t="str">
        <f>IFERROR(_xlfn.XLOOKUP($D504,'Modelling New'!$D:$D,'Modelling New'!AL:AL),"")</f>
        <v/>
      </c>
      <c r="AR504" s="325" t="str">
        <f>IFERROR(_xlfn.XLOOKUP($D504,'Modelling New'!$D:$D,'Modelling New'!$N:$N),"")</f>
        <v/>
      </c>
      <c r="AS504" s="325"/>
    </row>
    <row r="505" spans="1:45">
      <c r="A505" s="32">
        <f t="shared" si="44"/>
        <v>46248</v>
      </c>
      <c r="B505" s="43">
        <f>YEAR(Table13[[#This Row],[Date]])+IF(MONTH(Table13[[#This Row],[Date]])&gt;=4,1,0)</f>
        <v>2027</v>
      </c>
      <c r="C505" s="10">
        <f>YEAR(Table13[[#This Row],[Date]])</f>
        <v>2026</v>
      </c>
      <c r="D505" s="309">
        <f>Table13[[#This Row],[Date]]-DAY(Table13[[#This Row],[Date]])+1</f>
        <v>46235</v>
      </c>
      <c r="E505" s="10">
        <f t="shared" si="40"/>
        <v>31</v>
      </c>
      <c r="F505" s="241" t="str">
        <f>IFERROR(_xlfn.XLOOKUP($A505,Input_Raw!$E:$E,Input_Raw!DC:DC),"")</f>
        <v/>
      </c>
      <c r="G505" s="242"/>
      <c r="H505" s="242"/>
      <c r="I505" s="242"/>
      <c r="J505" s="242"/>
      <c r="K505" s="243"/>
      <c r="L505" s="242"/>
      <c r="M505" s="242" t="str">
        <f>IFERROR(_xlfn.XLOOKUP($A505,Input_Raw!$E:$E,Input_Raw!$BM:$BM),"")</f>
        <v/>
      </c>
      <c r="N505" s="242" t="str">
        <f>IFERROR(_xlfn.XLOOKUP($A505,Input_Raw!$E:$E,Input_Raw!$BN:$BN),"")</f>
        <v/>
      </c>
      <c r="O505" s="311" t="str">
        <f t="shared" si="41"/>
        <v/>
      </c>
      <c r="P505" s="311" t="str">
        <f>IFERROR(1-SUMIF(WTG_BD!$F:$F,$A505,WTG_BD!$AA:$AA)/($AA505+SUMIF(WTG_BD!$F:$F,$A505,WTG_BD!$AA:$AA)),"")</f>
        <v/>
      </c>
      <c r="Q505" s="328" t="str">
        <f>IFERROR(1-SUMIF(IGA_BD!$F:$F,$A505,IGA_BD!$W:$W)/($AA505+SUMIF(IGA_BD!$F:$F,$A505,IGA_BD!$W:$W)),"")</f>
        <v/>
      </c>
      <c r="R505" s="311" t="str">
        <f>IFERROR(1-SUMIF(Grid_BD!$F:$F,$A505,Grid_BD!$Y:$Y)/($AA505+SUMIF(Grid_BD!$F:$F,$A505,Grid_BD!$Y:$Y)),"")</f>
        <v/>
      </c>
      <c r="S505" s="10"/>
      <c r="T505" s="310"/>
      <c r="U505" s="311"/>
      <c r="V505" s="10"/>
      <c r="W505" s="312" t="str">
        <f t="shared" si="42"/>
        <v/>
      </c>
      <c r="X505" s="10" t="str">
        <f>IFERROR(_xlfn.XLOOKUP($A505,Input_Raw!$E:$E,Input_Raw!BG:BG),"")</f>
        <v/>
      </c>
      <c r="Y505" s="10" t="str">
        <f>IFERROR(_xlfn.XLOOKUP($A505,Input_Raw!$E:$E,Input_Raw!DF:DF),"")</f>
        <v/>
      </c>
      <c r="Z505" s="319" t="str">
        <f>IFERROR(_xlfn.XLOOKUP(A505,Input_Raw!E:E,Input_Raw!CT:CT)/_xlfn.XLOOKUP(A505,Input_Raw!E:E,Input_Raw!CS:CS)*Table13[[#This Row],[Mtr_Export (kWh)]],"")</f>
        <v/>
      </c>
      <c r="AA505" s="43" t="str">
        <f t="shared" si="43"/>
        <v/>
      </c>
      <c r="AB505" s="10" t="str">
        <f>IFERROR(_xlfn.XLOOKUP($A505,Input_Raw!$E:$E,Input_Raw!$CZ:$CZ),"")</f>
        <v/>
      </c>
      <c r="AC505" s="313" t="str">
        <f>IFERROR(_xlfn.XLOOKUP($D505,'Modelling New'!$D:$D,'Modelling New'!$J:$J),"")</f>
        <v/>
      </c>
      <c r="AD505" s="43" t="str">
        <f>IFERROR(_xlfn.XLOOKUP($D505,'Modelling New'!$D:$D,'Modelling New'!$T:$T)*1000,"")</f>
        <v/>
      </c>
      <c r="AE505" s="312"/>
      <c r="AF505" s="312" t="str">
        <f>IFERROR(_xlfn.XLOOKUP($D505,'Modelling New'!$D:$D,'Modelling New'!$W:$W),"")</f>
        <v/>
      </c>
      <c r="AG505" s="312" t="str">
        <f>IFERROR(_xlfn.XLOOKUP($D505,'Modelling New'!$D:$D,'Modelling New'!$AE:$AE),"")</f>
        <v/>
      </c>
      <c r="AH505" s="312" t="str">
        <f>IFERROR(_xlfn.XLOOKUP($D505,'Modelling New'!$D:$D,'Modelling New'!$AF:$AF),"")</f>
        <v/>
      </c>
      <c r="AI505" s="10" t="str">
        <f>IFERROR(_xlfn.XLOOKUP($A505,Input_Raw!$E:$E,Input_Raw!$DG:$DG),"")</f>
        <v/>
      </c>
      <c r="AJ505" s="10"/>
      <c r="AK505" s="10"/>
      <c r="AL505" s="10"/>
      <c r="AM505" s="10"/>
      <c r="AN505" s="314" t="str">
        <f>IFERROR(_xlfn.XLOOKUP($A505,Input_Raw!$E:$E,Input_Raw!$CY:$CY),"")</f>
        <v/>
      </c>
      <c r="AO505" s="312" t="str">
        <f>IFERROR((_xlfn.XLOOKUP($A505,'WTG Reactive Power'!$A:$A,'WTG Reactive Power'!AB:AB))/X505,"")</f>
        <v/>
      </c>
      <c r="AP505" s="312" t="str">
        <f>IFERROR(_xlfn.XLOOKUP($D505,'Modelling New'!$D:$D,'Modelling New'!AK:AK),"")</f>
        <v/>
      </c>
      <c r="AQ505" s="312" t="str">
        <f>IFERROR(_xlfn.XLOOKUP($D505,'Modelling New'!$D:$D,'Modelling New'!AL:AL),"")</f>
        <v/>
      </c>
      <c r="AR505" s="325" t="str">
        <f>IFERROR(_xlfn.XLOOKUP($D505,'Modelling New'!$D:$D,'Modelling New'!$N:$N),"")</f>
        <v/>
      </c>
      <c r="AS505" s="325"/>
    </row>
    <row r="506" spans="1:45">
      <c r="A506" s="32">
        <f t="shared" si="44"/>
        <v>46249</v>
      </c>
      <c r="B506" s="43">
        <f>YEAR(Table13[[#This Row],[Date]])+IF(MONTH(Table13[[#This Row],[Date]])&gt;=4,1,0)</f>
        <v>2027</v>
      </c>
      <c r="C506" s="10">
        <f>YEAR(Table13[[#This Row],[Date]])</f>
        <v>2026</v>
      </c>
      <c r="D506" s="309">
        <f>Table13[[#This Row],[Date]]-DAY(Table13[[#This Row],[Date]])+1</f>
        <v>46235</v>
      </c>
      <c r="E506" s="10">
        <f t="shared" si="40"/>
        <v>31</v>
      </c>
      <c r="F506" s="241" t="str">
        <f>IFERROR(_xlfn.XLOOKUP($A506,Input_Raw!$E:$E,Input_Raw!DC:DC),"")</f>
        <v/>
      </c>
      <c r="G506" s="313"/>
      <c r="H506" s="313"/>
      <c r="I506" s="313"/>
      <c r="J506" s="313"/>
      <c r="K506" s="243"/>
      <c r="L506" s="242"/>
      <c r="M506" s="242" t="str">
        <f>IFERROR(_xlfn.XLOOKUP($A506,Input_Raw!$E:$E,Input_Raw!$BM:$BM),"")</f>
        <v/>
      </c>
      <c r="N506" s="242" t="str">
        <f>IFERROR(_xlfn.XLOOKUP($A506,Input_Raw!$E:$E,Input_Raw!$BN:$BN),"")</f>
        <v/>
      </c>
      <c r="O506" s="311" t="str">
        <f t="shared" si="41"/>
        <v/>
      </c>
      <c r="P506" s="311" t="str">
        <f>IFERROR(1-SUMIF(WTG_BD!$F:$F,$A506,WTG_BD!$AA:$AA)/($AA506+SUMIF(WTG_BD!$F:$F,$A506,WTG_BD!$AA:$AA)),"")</f>
        <v/>
      </c>
      <c r="Q506" s="328" t="str">
        <f>IFERROR(1-SUMIF(IGA_BD!$F:$F,$A506,IGA_BD!$W:$W)/($AA506+SUMIF(IGA_BD!$F:$F,$A506,IGA_BD!$W:$W)),"")</f>
        <v/>
      </c>
      <c r="R506" s="47" t="str">
        <f>IFERROR(1-SUMIF(Grid_BD!$F:$F,$A506,Grid_BD!$Y:$Y)/($AA506+SUMIF(Grid_BD!$F:$F,$A506,Grid_BD!$Y:$Y)),"")</f>
        <v/>
      </c>
      <c r="S506" s="10"/>
      <c r="T506" s="310"/>
      <c r="U506" s="311"/>
      <c r="V506" s="10"/>
      <c r="W506" s="312" t="str">
        <f t="shared" si="42"/>
        <v/>
      </c>
      <c r="X506" s="10" t="str">
        <f>IFERROR(_xlfn.XLOOKUP($A506,Input_Raw!$E:$E,Input_Raw!BG:BG),"")</f>
        <v/>
      </c>
      <c r="Y506" s="10" t="str">
        <f>IFERROR(_xlfn.XLOOKUP($A506,Input_Raw!$E:$E,Input_Raw!DF:DF),"")</f>
        <v/>
      </c>
      <c r="Z506" s="319" t="str">
        <f>IFERROR(_xlfn.XLOOKUP(A506,Input_Raw!E:E,Input_Raw!CT:CT)/_xlfn.XLOOKUP(A506,Input_Raw!E:E,Input_Raw!CS:CS)*Table13[[#This Row],[Mtr_Export (kWh)]],"")</f>
        <v/>
      </c>
      <c r="AA506" s="43" t="str">
        <f t="shared" si="43"/>
        <v/>
      </c>
      <c r="AB506" s="10" t="str">
        <f>IFERROR(_xlfn.XLOOKUP($A506,Input_Raw!$E:$E,Input_Raw!$CZ:$CZ),"")</f>
        <v/>
      </c>
      <c r="AC506" s="313" t="str">
        <f>IFERROR(_xlfn.XLOOKUP($D506,'Modelling New'!$D:$D,'Modelling New'!$J:$J),"")</f>
        <v/>
      </c>
      <c r="AD506" s="43" t="str">
        <f>IFERROR(_xlfn.XLOOKUP($D506,'Modelling New'!$D:$D,'Modelling New'!$T:$T)*1000,"")</f>
        <v/>
      </c>
      <c r="AE506" s="312"/>
      <c r="AF506" s="312" t="str">
        <f>IFERROR(_xlfn.XLOOKUP($D506,'Modelling New'!$D:$D,'Modelling New'!$W:$W),"")</f>
        <v/>
      </c>
      <c r="AG506" s="312" t="str">
        <f>IFERROR(_xlfn.XLOOKUP($D506,'Modelling New'!$D:$D,'Modelling New'!$AE:$AE),"")</f>
        <v/>
      </c>
      <c r="AH506" s="312" t="str">
        <f>IFERROR(_xlfn.XLOOKUP($D506,'Modelling New'!$D:$D,'Modelling New'!$AF:$AF),"")</f>
        <v/>
      </c>
      <c r="AI506" s="10" t="str">
        <f>IFERROR(_xlfn.XLOOKUP($A506,Input_Raw!$E:$E,Input_Raw!$DG:$DG),"")</f>
        <v/>
      </c>
      <c r="AJ506" s="10"/>
      <c r="AK506" s="10"/>
      <c r="AL506" s="10"/>
      <c r="AM506" s="10"/>
      <c r="AN506" s="314" t="str">
        <f>IFERROR(_xlfn.XLOOKUP($A506,Input_Raw!$E:$E,Input_Raw!$CY:$CY),"")</f>
        <v/>
      </c>
      <c r="AO506" s="312" t="str">
        <f>IFERROR((_xlfn.XLOOKUP($A506,'WTG Reactive Power'!$A:$A,'WTG Reactive Power'!AB:AB))/X506,"")</f>
        <v/>
      </c>
      <c r="AP506" s="312" t="str">
        <f>IFERROR(_xlfn.XLOOKUP($D506,'Modelling New'!$D:$D,'Modelling New'!AK:AK),"")</f>
        <v/>
      </c>
      <c r="AQ506" s="312" t="str">
        <f>IFERROR(_xlfn.XLOOKUP($D506,'Modelling New'!$D:$D,'Modelling New'!AL:AL),"")</f>
        <v/>
      </c>
      <c r="AR506" s="325" t="str">
        <f>IFERROR(_xlfn.XLOOKUP($D506,'Modelling New'!$D:$D,'Modelling New'!$N:$N),"")</f>
        <v/>
      </c>
      <c r="AS506" s="325"/>
    </row>
    <row r="507" spans="1:45">
      <c r="A507" s="32">
        <f t="shared" si="44"/>
        <v>46250</v>
      </c>
      <c r="B507" s="43">
        <f>YEAR(Table13[[#This Row],[Date]])+IF(MONTH(Table13[[#This Row],[Date]])&gt;=4,1,0)</f>
        <v>2027</v>
      </c>
      <c r="C507" s="10">
        <f>YEAR(Table13[[#This Row],[Date]])</f>
        <v>2026</v>
      </c>
      <c r="D507" s="309">
        <f>Table13[[#This Row],[Date]]-DAY(Table13[[#This Row],[Date]])+1</f>
        <v>46235</v>
      </c>
      <c r="E507" s="10">
        <f t="shared" si="40"/>
        <v>31</v>
      </c>
      <c r="F507" s="241" t="str">
        <f>IFERROR(_xlfn.XLOOKUP($A507,Input_Raw!$E:$E,Input_Raw!DC:DC),"")</f>
        <v/>
      </c>
      <c r="G507" s="242"/>
      <c r="H507" s="242"/>
      <c r="I507" s="242"/>
      <c r="J507" s="242"/>
      <c r="K507" s="243"/>
      <c r="L507" s="242"/>
      <c r="M507" s="242" t="str">
        <f>IFERROR(_xlfn.XLOOKUP($A507,Input_Raw!$E:$E,Input_Raw!$BM:$BM),"")</f>
        <v/>
      </c>
      <c r="N507" s="242" t="str">
        <f>IFERROR(_xlfn.XLOOKUP($A507,Input_Raw!$E:$E,Input_Raw!$BN:$BN),"")</f>
        <v/>
      </c>
      <c r="O507" s="311" t="str">
        <f t="shared" si="41"/>
        <v/>
      </c>
      <c r="P507" s="311" t="str">
        <f>IFERROR(1-SUMIF(WTG_BD!$F:$F,$A507,WTG_BD!$AA:$AA)/($AA507+SUMIF(WTG_BD!$F:$F,$A507,WTG_BD!$AA:$AA)),"")</f>
        <v/>
      </c>
      <c r="Q507" s="328" t="str">
        <f>IFERROR(1-SUMIF(IGA_BD!$F:$F,$A507,IGA_BD!$W:$W)/($AA507+SUMIF(IGA_BD!$F:$F,$A507,IGA_BD!$W:$W)),"")</f>
        <v/>
      </c>
      <c r="R507" s="311" t="str">
        <f>IFERROR(1-SUMIF(Grid_BD!$F:$F,$A507,Grid_BD!$Y:$Y)/($AA507+SUMIF(Grid_BD!$F:$F,$A507,Grid_BD!$Y:$Y)),"")</f>
        <v/>
      </c>
      <c r="S507" s="10"/>
      <c r="T507" s="310"/>
      <c r="U507" s="311"/>
      <c r="V507" s="10"/>
      <c r="W507" s="312" t="str">
        <f t="shared" si="42"/>
        <v/>
      </c>
      <c r="X507" s="10" t="str">
        <f>IFERROR(_xlfn.XLOOKUP($A507,Input_Raw!$E:$E,Input_Raw!BG:BG),"")</f>
        <v/>
      </c>
      <c r="Y507" s="10" t="str">
        <f>IFERROR(_xlfn.XLOOKUP($A507,Input_Raw!$E:$E,Input_Raw!DF:DF),"")</f>
        <v/>
      </c>
      <c r="Z507" s="319" t="str">
        <f>IFERROR(_xlfn.XLOOKUP(A507,Input_Raw!E:E,Input_Raw!CT:CT)/_xlfn.XLOOKUP(A507,Input_Raw!E:E,Input_Raw!CS:CS)*Table13[[#This Row],[Mtr_Export (kWh)]],"")</f>
        <v/>
      </c>
      <c r="AA507" s="43" t="str">
        <f t="shared" si="43"/>
        <v/>
      </c>
      <c r="AB507" s="10" t="str">
        <f>IFERROR(_xlfn.XLOOKUP($A507,Input_Raw!$E:$E,Input_Raw!$CZ:$CZ),"")</f>
        <v/>
      </c>
      <c r="AC507" s="313" t="str">
        <f>IFERROR(_xlfn.XLOOKUP($D507,'Modelling New'!$D:$D,'Modelling New'!$J:$J),"")</f>
        <v/>
      </c>
      <c r="AD507" s="43" t="str">
        <f>IFERROR(_xlfn.XLOOKUP($D507,'Modelling New'!$D:$D,'Modelling New'!$T:$T)*1000,"")</f>
        <v/>
      </c>
      <c r="AE507" s="312"/>
      <c r="AF507" s="312" t="str">
        <f>IFERROR(_xlfn.XLOOKUP($D507,'Modelling New'!$D:$D,'Modelling New'!$W:$W),"")</f>
        <v/>
      </c>
      <c r="AG507" s="312" t="str">
        <f>IFERROR(_xlfn.XLOOKUP($D507,'Modelling New'!$D:$D,'Modelling New'!$AE:$AE),"")</f>
        <v/>
      </c>
      <c r="AH507" s="312" t="str">
        <f>IFERROR(_xlfn.XLOOKUP($D507,'Modelling New'!$D:$D,'Modelling New'!$AF:$AF),"")</f>
        <v/>
      </c>
      <c r="AI507" s="10" t="str">
        <f>IFERROR(_xlfn.XLOOKUP($A507,Input_Raw!$E:$E,Input_Raw!$DG:$DG),"")</f>
        <v/>
      </c>
      <c r="AJ507" s="10"/>
      <c r="AK507" s="10"/>
      <c r="AL507" s="10"/>
      <c r="AM507" s="10"/>
      <c r="AN507" s="314" t="str">
        <f>IFERROR(_xlfn.XLOOKUP($A507,Input_Raw!$E:$E,Input_Raw!$CY:$CY),"")</f>
        <v/>
      </c>
      <c r="AO507" s="312" t="str">
        <f>IFERROR((_xlfn.XLOOKUP($A507,'WTG Reactive Power'!$A:$A,'WTG Reactive Power'!AB:AB))/X507,"")</f>
        <v/>
      </c>
      <c r="AP507" s="312" t="str">
        <f>IFERROR(_xlfn.XLOOKUP($D507,'Modelling New'!$D:$D,'Modelling New'!AK:AK),"")</f>
        <v/>
      </c>
      <c r="AQ507" s="312" t="str">
        <f>IFERROR(_xlfn.XLOOKUP($D507,'Modelling New'!$D:$D,'Modelling New'!AL:AL),"")</f>
        <v/>
      </c>
      <c r="AR507" s="325" t="str">
        <f>IFERROR(_xlfn.XLOOKUP($D507,'Modelling New'!$D:$D,'Modelling New'!$N:$N),"")</f>
        <v/>
      </c>
      <c r="AS507" s="325"/>
    </row>
    <row r="508" spans="1:45">
      <c r="A508" s="32">
        <f t="shared" si="44"/>
        <v>46251</v>
      </c>
      <c r="B508" s="43">
        <f>YEAR(Table13[[#This Row],[Date]])+IF(MONTH(Table13[[#This Row],[Date]])&gt;=4,1,0)</f>
        <v>2027</v>
      </c>
      <c r="C508" s="10">
        <f>YEAR(Table13[[#This Row],[Date]])</f>
        <v>2026</v>
      </c>
      <c r="D508" s="309">
        <f>Table13[[#This Row],[Date]]-DAY(Table13[[#This Row],[Date]])+1</f>
        <v>46235</v>
      </c>
      <c r="E508" s="10">
        <f t="shared" si="40"/>
        <v>31</v>
      </c>
      <c r="F508" s="241" t="str">
        <f>IFERROR(_xlfn.XLOOKUP($A508,Input_Raw!$E:$E,Input_Raw!DC:DC),"")</f>
        <v/>
      </c>
      <c r="G508" s="313"/>
      <c r="H508" s="313"/>
      <c r="I508" s="313"/>
      <c r="J508" s="313"/>
      <c r="K508" s="243"/>
      <c r="L508" s="242"/>
      <c r="M508" s="242" t="str">
        <f>IFERROR(_xlfn.XLOOKUP($A508,Input_Raw!$E:$E,Input_Raw!$BM:$BM),"")</f>
        <v/>
      </c>
      <c r="N508" s="242" t="str">
        <f>IFERROR(_xlfn.XLOOKUP($A508,Input_Raw!$E:$E,Input_Raw!$BN:$BN),"")</f>
        <v/>
      </c>
      <c r="O508" s="311" t="str">
        <f t="shared" si="41"/>
        <v/>
      </c>
      <c r="P508" s="311" t="str">
        <f>IFERROR(1-SUMIF(WTG_BD!$F:$F,$A508,WTG_BD!$AA:$AA)/($AA508+SUMIF(WTG_BD!$F:$F,$A508,WTG_BD!$AA:$AA)),"")</f>
        <v/>
      </c>
      <c r="Q508" s="328" t="str">
        <f>IFERROR(1-SUMIF(IGA_BD!$F:$F,$A508,IGA_BD!$W:$W)/($AA508+SUMIF(IGA_BD!$F:$F,$A508,IGA_BD!$W:$W)),"")</f>
        <v/>
      </c>
      <c r="R508" s="47" t="str">
        <f>IFERROR(1-SUMIF(Grid_BD!$F:$F,$A508,Grid_BD!$Y:$Y)/($AA508+SUMIF(Grid_BD!$F:$F,$A508,Grid_BD!$Y:$Y)),"")</f>
        <v/>
      </c>
      <c r="S508" s="10"/>
      <c r="T508" s="310"/>
      <c r="U508" s="311"/>
      <c r="V508" s="10"/>
      <c r="W508" s="312" t="str">
        <f t="shared" si="42"/>
        <v/>
      </c>
      <c r="X508" s="10" t="str">
        <f>IFERROR(_xlfn.XLOOKUP($A508,Input_Raw!$E:$E,Input_Raw!BG:BG),"")</f>
        <v/>
      </c>
      <c r="Y508" s="10" t="str">
        <f>IFERROR(_xlfn.XLOOKUP($A508,Input_Raw!$E:$E,Input_Raw!DF:DF),"")</f>
        <v/>
      </c>
      <c r="Z508" s="319" t="str">
        <f>IFERROR(_xlfn.XLOOKUP(A508,Input_Raw!E:E,Input_Raw!CT:CT)/_xlfn.XLOOKUP(A508,Input_Raw!E:E,Input_Raw!CS:CS)*Table13[[#This Row],[Mtr_Export (kWh)]],"")</f>
        <v/>
      </c>
      <c r="AA508" s="43" t="str">
        <f t="shared" si="43"/>
        <v/>
      </c>
      <c r="AB508" s="10" t="str">
        <f>IFERROR(_xlfn.XLOOKUP($A508,Input_Raw!$E:$E,Input_Raw!$CZ:$CZ),"")</f>
        <v/>
      </c>
      <c r="AC508" s="313" t="str">
        <f>IFERROR(_xlfn.XLOOKUP($D508,'Modelling New'!$D:$D,'Modelling New'!$J:$J),"")</f>
        <v/>
      </c>
      <c r="AD508" s="43" t="str">
        <f>IFERROR(_xlfn.XLOOKUP($D508,'Modelling New'!$D:$D,'Modelling New'!$T:$T)*1000,"")</f>
        <v/>
      </c>
      <c r="AE508" s="312"/>
      <c r="AF508" s="312" t="str">
        <f>IFERROR(_xlfn.XLOOKUP($D508,'Modelling New'!$D:$D,'Modelling New'!$W:$W),"")</f>
        <v/>
      </c>
      <c r="AG508" s="312" t="str">
        <f>IFERROR(_xlfn.XLOOKUP($D508,'Modelling New'!$D:$D,'Modelling New'!$AE:$AE),"")</f>
        <v/>
      </c>
      <c r="AH508" s="312" t="str">
        <f>IFERROR(_xlfn.XLOOKUP($D508,'Modelling New'!$D:$D,'Modelling New'!$AF:$AF),"")</f>
        <v/>
      </c>
      <c r="AI508" s="10" t="str">
        <f>IFERROR(_xlfn.XLOOKUP($A508,Input_Raw!$E:$E,Input_Raw!$DG:$DG),"")</f>
        <v/>
      </c>
      <c r="AJ508" s="10"/>
      <c r="AK508" s="10"/>
      <c r="AL508" s="10"/>
      <c r="AM508" s="10"/>
      <c r="AN508" s="314" t="str">
        <f>IFERROR(_xlfn.XLOOKUP($A508,Input_Raw!$E:$E,Input_Raw!$CY:$CY),"")</f>
        <v/>
      </c>
      <c r="AO508" s="312" t="str">
        <f>IFERROR((_xlfn.XLOOKUP($A508,'WTG Reactive Power'!$A:$A,'WTG Reactive Power'!AB:AB))/X508,"")</f>
        <v/>
      </c>
      <c r="AP508" s="312" t="str">
        <f>IFERROR(_xlfn.XLOOKUP($D508,'Modelling New'!$D:$D,'Modelling New'!AK:AK),"")</f>
        <v/>
      </c>
      <c r="AQ508" s="312" t="str">
        <f>IFERROR(_xlfn.XLOOKUP($D508,'Modelling New'!$D:$D,'Modelling New'!AL:AL),"")</f>
        <v/>
      </c>
      <c r="AR508" s="325" t="str">
        <f>IFERROR(_xlfn.XLOOKUP($D508,'Modelling New'!$D:$D,'Modelling New'!$N:$N),"")</f>
        <v/>
      </c>
      <c r="AS508" s="325"/>
    </row>
    <row r="509" spans="1:45">
      <c r="A509" s="32">
        <f t="shared" si="44"/>
        <v>46252</v>
      </c>
      <c r="B509" s="43">
        <f>YEAR(Table13[[#This Row],[Date]])+IF(MONTH(Table13[[#This Row],[Date]])&gt;=4,1,0)</f>
        <v>2027</v>
      </c>
      <c r="C509" s="10">
        <f>YEAR(Table13[[#This Row],[Date]])</f>
        <v>2026</v>
      </c>
      <c r="D509" s="309">
        <f>Table13[[#This Row],[Date]]-DAY(Table13[[#This Row],[Date]])+1</f>
        <v>46235</v>
      </c>
      <c r="E509" s="10">
        <f t="shared" si="40"/>
        <v>31</v>
      </c>
      <c r="F509" s="241" t="str">
        <f>IFERROR(_xlfn.XLOOKUP($A509,Input_Raw!$E:$E,Input_Raw!DC:DC),"")</f>
        <v/>
      </c>
      <c r="G509" s="242"/>
      <c r="H509" s="242"/>
      <c r="I509" s="242"/>
      <c r="J509" s="242"/>
      <c r="K509" s="243"/>
      <c r="L509" s="242"/>
      <c r="M509" s="242" t="str">
        <f>IFERROR(_xlfn.XLOOKUP($A509,Input_Raw!$E:$E,Input_Raw!$BM:$BM),"")</f>
        <v/>
      </c>
      <c r="N509" s="242" t="str">
        <f>IFERROR(_xlfn.XLOOKUP($A509,Input_Raw!$E:$E,Input_Raw!$BN:$BN),"")</f>
        <v/>
      </c>
      <c r="O509" s="311" t="str">
        <f t="shared" si="41"/>
        <v/>
      </c>
      <c r="P509" s="311" t="str">
        <f>IFERROR(1-SUMIF(WTG_BD!$F:$F,$A509,WTG_BD!$AA:$AA)/($AA509+SUMIF(WTG_BD!$F:$F,$A509,WTG_BD!$AA:$AA)),"")</f>
        <v/>
      </c>
      <c r="Q509" s="328" t="str">
        <f>IFERROR(1-SUMIF(IGA_BD!$F:$F,$A509,IGA_BD!$W:$W)/($AA509+SUMIF(IGA_BD!$F:$F,$A509,IGA_BD!$W:$W)),"")</f>
        <v/>
      </c>
      <c r="R509" s="311" t="str">
        <f>IFERROR(1-SUMIF(Grid_BD!$F:$F,$A509,Grid_BD!$Y:$Y)/($AA509+SUMIF(Grid_BD!$F:$F,$A509,Grid_BD!$Y:$Y)),"")</f>
        <v/>
      </c>
      <c r="S509" s="10"/>
      <c r="T509" s="310"/>
      <c r="U509" s="311"/>
      <c r="V509" s="10"/>
      <c r="W509" s="312" t="str">
        <f t="shared" si="42"/>
        <v/>
      </c>
      <c r="X509" s="10" t="str">
        <f>IFERROR(_xlfn.XLOOKUP($A509,Input_Raw!$E:$E,Input_Raw!BG:BG),"")</f>
        <v/>
      </c>
      <c r="Y509" s="10" t="str">
        <f>IFERROR(_xlfn.XLOOKUP($A509,Input_Raw!$E:$E,Input_Raw!DF:DF),"")</f>
        <v/>
      </c>
      <c r="Z509" s="319" t="str">
        <f>IFERROR(_xlfn.XLOOKUP(A509,Input_Raw!E:E,Input_Raw!CT:CT)/_xlfn.XLOOKUP(A509,Input_Raw!E:E,Input_Raw!CS:CS)*Table13[[#This Row],[Mtr_Export (kWh)]],"")</f>
        <v/>
      </c>
      <c r="AA509" s="43" t="str">
        <f t="shared" si="43"/>
        <v/>
      </c>
      <c r="AB509" s="10" t="str">
        <f>IFERROR(_xlfn.XLOOKUP($A509,Input_Raw!$E:$E,Input_Raw!$CZ:$CZ),"")</f>
        <v/>
      </c>
      <c r="AC509" s="313" t="str">
        <f>IFERROR(_xlfn.XLOOKUP($D509,'Modelling New'!$D:$D,'Modelling New'!$J:$J),"")</f>
        <v/>
      </c>
      <c r="AD509" s="43" t="str">
        <f>IFERROR(_xlfn.XLOOKUP($D509,'Modelling New'!$D:$D,'Modelling New'!$T:$T)*1000,"")</f>
        <v/>
      </c>
      <c r="AE509" s="312"/>
      <c r="AF509" s="312" t="str">
        <f>IFERROR(_xlfn.XLOOKUP($D509,'Modelling New'!$D:$D,'Modelling New'!$W:$W),"")</f>
        <v/>
      </c>
      <c r="AG509" s="312" t="str">
        <f>IFERROR(_xlfn.XLOOKUP($D509,'Modelling New'!$D:$D,'Modelling New'!$AE:$AE),"")</f>
        <v/>
      </c>
      <c r="AH509" s="312" t="str">
        <f>IFERROR(_xlfn.XLOOKUP($D509,'Modelling New'!$D:$D,'Modelling New'!$AF:$AF),"")</f>
        <v/>
      </c>
      <c r="AI509" s="10" t="str">
        <f>IFERROR(_xlfn.XLOOKUP($A509,Input_Raw!$E:$E,Input_Raw!$DG:$DG),"")</f>
        <v/>
      </c>
      <c r="AJ509" s="10"/>
      <c r="AK509" s="10"/>
      <c r="AL509" s="10"/>
      <c r="AM509" s="10"/>
      <c r="AN509" s="314" t="str">
        <f>IFERROR(_xlfn.XLOOKUP($A509,Input_Raw!$E:$E,Input_Raw!$CY:$CY),"")</f>
        <v/>
      </c>
      <c r="AO509" s="312" t="str">
        <f>IFERROR((_xlfn.XLOOKUP($A509,'WTG Reactive Power'!$A:$A,'WTG Reactive Power'!AB:AB))/X509,"")</f>
        <v/>
      </c>
      <c r="AP509" s="312" t="str">
        <f>IFERROR(_xlfn.XLOOKUP($D509,'Modelling New'!$D:$D,'Modelling New'!AK:AK),"")</f>
        <v/>
      </c>
      <c r="AQ509" s="312" t="str">
        <f>IFERROR(_xlfn.XLOOKUP($D509,'Modelling New'!$D:$D,'Modelling New'!AL:AL),"")</f>
        <v/>
      </c>
      <c r="AR509" s="325" t="str">
        <f>IFERROR(_xlfn.XLOOKUP($D509,'Modelling New'!$D:$D,'Modelling New'!$N:$N),"")</f>
        <v/>
      </c>
      <c r="AS509" s="325"/>
    </row>
    <row r="510" spans="1:45">
      <c r="A510" s="32">
        <f t="shared" si="44"/>
        <v>46253</v>
      </c>
      <c r="B510" s="43">
        <f>YEAR(Table13[[#This Row],[Date]])+IF(MONTH(Table13[[#This Row],[Date]])&gt;=4,1,0)</f>
        <v>2027</v>
      </c>
      <c r="C510" s="10">
        <f>YEAR(Table13[[#This Row],[Date]])</f>
        <v>2026</v>
      </c>
      <c r="D510" s="309">
        <f>Table13[[#This Row],[Date]]-DAY(Table13[[#This Row],[Date]])+1</f>
        <v>46235</v>
      </c>
      <c r="E510" s="10">
        <f t="shared" si="40"/>
        <v>31</v>
      </c>
      <c r="F510" s="241" t="str">
        <f>IFERROR(_xlfn.XLOOKUP($A510,Input_Raw!$E:$E,Input_Raw!DC:DC),"")</f>
        <v/>
      </c>
      <c r="G510" s="313"/>
      <c r="H510" s="313"/>
      <c r="I510" s="313"/>
      <c r="J510" s="313"/>
      <c r="K510" s="243"/>
      <c r="L510" s="242"/>
      <c r="M510" s="242" t="str">
        <f>IFERROR(_xlfn.XLOOKUP($A510,Input_Raw!$E:$E,Input_Raw!$BM:$BM),"")</f>
        <v/>
      </c>
      <c r="N510" s="242" t="str">
        <f>IFERROR(_xlfn.XLOOKUP($A510,Input_Raw!$E:$E,Input_Raw!$BN:$BN),"")</f>
        <v/>
      </c>
      <c r="O510" s="311" t="str">
        <f t="shared" si="41"/>
        <v/>
      </c>
      <c r="P510" s="311" t="str">
        <f>IFERROR(1-SUMIF(WTG_BD!$F:$F,$A510,WTG_BD!$AA:$AA)/($AA510+SUMIF(WTG_BD!$F:$F,$A510,WTG_BD!$AA:$AA)),"")</f>
        <v/>
      </c>
      <c r="Q510" s="328" t="str">
        <f>IFERROR(1-SUMIF(IGA_BD!$F:$F,$A510,IGA_BD!$W:$W)/($AA510+SUMIF(IGA_BD!$F:$F,$A510,IGA_BD!$W:$W)),"")</f>
        <v/>
      </c>
      <c r="R510" s="47" t="str">
        <f>IFERROR(1-SUMIF(Grid_BD!$F:$F,$A510,Grid_BD!$Y:$Y)/($AA510+SUMIF(Grid_BD!$F:$F,$A510,Grid_BD!$Y:$Y)),"")</f>
        <v/>
      </c>
      <c r="S510" s="10"/>
      <c r="T510" s="310"/>
      <c r="U510" s="311"/>
      <c r="V510" s="10"/>
      <c r="W510" s="312" t="str">
        <f t="shared" si="42"/>
        <v/>
      </c>
      <c r="X510" s="10" t="str">
        <f>IFERROR(_xlfn.XLOOKUP($A510,Input_Raw!$E:$E,Input_Raw!BG:BG),"")</f>
        <v/>
      </c>
      <c r="Y510" s="10" t="str">
        <f>IFERROR(_xlfn.XLOOKUP($A510,Input_Raw!$E:$E,Input_Raw!DF:DF),"")</f>
        <v/>
      </c>
      <c r="Z510" s="319" t="str">
        <f>IFERROR(_xlfn.XLOOKUP(A510,Input_Raw!E:E,Input_Raw!CT:CT)/_xlfn.XLOOKUP(A510,Input_Raw!E:E,Input_Raw!CS:CS)*Table13[[#This Row],[Mtr_Export (kWh)]],"")</f>
        <v/>
      </c>
      <c r="AA510" s="43" t="str">
        <f t="shared" si="43"/>
        <v/>
      </c>
      <c r="AB510" s="10" t="str">
        <f>IFERROR(_xlfn.XLOOKUP($A510,Input_Raw!$E:$E,Input_Raw!$CZ:$CZ),"")</f>
        <v/>
      </c>
      <c r="AC510" s="313" t="str">
        <f>IFERROR(_xlfn.XLOOKUP($D510,'Modelling New'!$D:$D,'Modelling New'!$J:$J),"")</f>
        <v/>
      </c>
      <c r="AD510" s="43" t="str">
        <f>IFERROR(_xlfn.XLOOKUP($D510,'Modelling New'!$D:$D,'Modelling New'!$T:$T)*1000,"")</f>
        <v/>
      </c>
      <c r="AE510" s="312"/>
      <c r="AF510" s="312" t="str">
        <f>IFERROR(_xlfn.XLOOKUP($D510,'Modelling New'!$D:$D,'Modelling New'!$W:$W),"")</f>
        <v/>
      </c>
      <c r="AG510" s="312" t="str">
        <f>IFERROR(_xlfn.XLOOKUP($D510,'Modelling New'!$D:$D,'Modelling New'!$AE:$AE),"")</f>
        <v/>
      </c>
      <c r="AH510" s="312" t="str">
        <f>IFERROR(_xlfn.XLOOKUP($D510,'Modelling New'!$D:$D,'Modelling New'!$AF:$AF),"")</f>
        <v/>
      </c>
      <c r="AI510" s="10" t="str">
        <f>IFERROR(_xlfn.XLOOKUP($A510,Input_Raw!$E:$E,Input_Raw!$DG:$DG),"")</f>
        <v/>
      </c>
      <c r="AJ510" s="10"/>
      <c r="AK510" s="10"/>
      <c r="AL510" s="10"/>
      <c r="AM510" s="10"/>
      <c r="AN510" s="314" t="str">
        <f>IFERROR(_xlfn.XLOOKUP($A510,Input_Raw!$E:$E,Input_Raw!$CY:$CY),"")</f>
        <v/>
      </c>
      <c r="AO510" s="312" t="str">
        <f>IFERROR((_xlfn.XLOOKUP($A510,'WTG Reactive Power'!$A:$A,'WTG Reactive Power'!AB:AB))/X510,"")</f>
        <v/>
      </c>
      <c r="AP510" s="312" t="str">
        <f>IFERROR(_xlfn.XLOOKUP($D510,'Modelling New'!$D:$D,'Modelling New'!AK:AK),"")</f>
        <v/>
      </c>
      <c r="AQ510" s="312" t="str">
        <f>IFERROR(_xlfn.XLOOKUP($D510,'Modelling New'!$D:$D,'Modelling New'!AL:AL),"")</f>
        <v/>
      </c>
      <c r="AR510" s="325" t="str">
        <f>IFERROR(_xlfn.XLOOKUP($D510,'Modelling New'!$D:$D,'Modelling New'!$N:$N),"")</f>
        <v/>
      </c>
      <c r="AS510" s="325"/>
    </row>
    <row r="511" spans="1:45">
      <c r="A511" s="32">
        <f t="shared" si="44"/>
        <v>46254</v>
      </c>
      <c r="B511" s="43">
        <f>YEAR(Table13[[#This Row],[Date]])+IF(MONTH(Table13[[#This Row],[Date]])&gt;=4,1,0)</f>
        <v>2027</v>
      </c>
      <c r="C511" s="10">
        <f>YEAR(Table13[[#This Row],[Date]])</f>
        <v>2026</v>
      </c>
      <c r="D511" s="309">
        <f>Table13[[#This Row],[Date]]-DAY(Table13[[#This Row],[Date]])+1</f>
        <v>46235</v>
      </c>
      <c r="E511" s="10">
        <f t="shared" si="40"/>
        <v>31</v>
      </c>
      <c r="F511" s="241" t="str">
        <f>IFERROR(_xlfn.XLOOKUP($A511,Input_Raw!$E:$E,Input_Raw!DC:DC),"")</f>
        <v/>
      </c>
      <c r="G511" s="242"/>
      <c r="H511" s="242"/>
      <c r="I511" s="242"/>
      <c r="J511" s="242"/>
      <c r="K511" s="243"/>
      <c r="L511" s="242"/>
      <c r="M511" s="242" t="str">
        <f>IFERROR(_xlfn.XLOOKUP($A511,Input_Raw!$E:$E,Input_Raw!$BM:$BM),"")</f>
        <v/>
      </c>
      <c r="N511" s="242" t="str">
        <f>IFERROR(_xlfn.XLOOKUP($A511,Input_Raw!$E:$E,Input_Raw!$BN:$BN),"")</f>
        <v/>
      </c>
      <c r="O511" s="311" t="str">
        <f t="shared" si="41"/>
        <v/>
      </c>
      <c r="P511" s="311" t="str">
        <f>IFERROR(1-SUMIF(WTG_BD!$F:$F,$A511,WTG_BD!$AA:$AA)/($AA511+SUMIF(WTG_BD!$F:$F,$A511,WTG_BD!$AA:$AA)),"")</f>
        <v/>
      </c>
      <c r="Q511" s="328" t="str">
        <f>IFERROR(1-SUMIF(IGA_BD!$F:$F,$A511,IGA_BD!$W:$W)/($AA511+SUMIF(IGA_BD!$F:$F,$A511,IGA_BD!$W:$W)),"")</f>
        <v/>
      </c>
      <c r="R511" s="311" t="str">
        <f>IFERROR(1-SUMIF(Grid_BD!$F:$F,$A511,Grid_BD!$Y:$Y)/($AA511+SUMIF(Grid_BD!$F:$F,$A511,Grid_BD!$Y:$Y)),"")</f>
        <v/>
      </c>
      <c r="S511" s="10"/>
      <c r="T511" s="310"/>
      <c r="U511" s="311"/>
      <c r="V511" s="10"/>
      <c r="W511" s="312" t="str">
        <f t="shared" si="42"/>
        <v/>
      </c>
      <c r="X511" s="10" t="str">
        <f>IFERROR(_xlfn.XLOOKUP($A511,Input_Raw!$E:$E,Input_Raw!BG:BG),"")</f>
        <v/>
      </c>
      <c r="Y511" s="10" t="str">
        <f>IFERROR(_xlfn.XLOOKUP($A511,Input_Raw!$E:$E,Input_Raw!DF:DF),"")</f>
        <v/>
      </c>
      <c r="Z511" s="319" t="str">
        <f>IFERROR(_xlfn.XLOOKUP(A511,Input_Raw!E:E,Input_Raw!CT:CT)/_xlfn.XLOOKUP(A511,Input_Raw!E:E,Input_Raw!CS:CS)*Table13[[#This Row],[Mtr_Export (kWh)]],"")</f>
        <v/>
      </c>
      <c r="AA511" s="43" t="str">
        <f t="shared" si="43"/>
        <v/>
      </c>
      <c r="AB511" s="10" t="str">
        <f>IFERROR(_xlfn.XLOOKUP($A511,Input_Raw!$E:$E,Input_Raw!$CZ:$CZ),"")</f>
        <v/>
      </c>
      <c r="AC511" s="313" t="str">
        <f>IFERROR(_xlfn.XLOOKUP($D511,'Modelling New'!$D:$D,'Modelling New'!$J:$J),"")</f>
        <v/>
      </c>
      <c r="AD511" s="43" t="str">
        <f>IFERROR(_xlfn.XLOOKUP($D511,'Modelling New'!$D:$D,'Modelling New'!$T:$T)*1000,"")</f>
        <v/>
      </c>
      <c r="AE511" s="312"/>
      <c r="AF511" s="312" t="str">
        <f>IFERROR(_xlfn.XLOOKUP($D511,'Modelling New'!$D:$D,'Modelling New'!$W:$W),"")</f>
        <v/>
      </c>
      <c r="AG511" s="312" t="str">
        <f>IFERROR(_xlfn.XLOOKUP($D511,'Modelling New'!$D:$D,'Modelling New'!$AE:$AE),"")</f>
        <v/>
      </c>
      <c r="AH511" s="312" t="str">
        <f>IFERROR(_xlfn.XLOOKUP($D511,'Modelling New'!$D:$D,'Modelling New'!$AF:$AF),"")</f>
        <v/>
      </c>
      <c r="AI511" s="10" t="str">
        <f>IFERROR(_xlfn.XLOOKUP($A511,Input_Raw!$E:$E,Input_Raw!$DG:$DG),"")</f>
        <v/>
      </c>
      <c r="AJ511" s="10"/>
      <c r="AK511" s="10"/>
      <c r="AL511" s="10"/>
      <c r="AM511" s="10"/>
      <c r="AN511" s="314" t="str">
        <f>IFERROR(_xlfn.XLOOKUP($A511,Input_Raw!$E:$E,Input_Raw!$CY:$CY),"")</f>
        <v/>
      </c>
      <c r="AO511" s="312" t="str">
        <f>IFERROR((_xlfn.XLOOKUP($A511,'WTG Reactive Power'!$A:$A,'WTG Reactive Power'!AB:AB))/X511,"")</f>
        <v/>
      </c>
      <c r="AP511" s="312" t="str">
        <f>IFERROR(_xlfn.XLOOKUP($D511,'Modelling New'!$D:$D,'Modelling New'!AK:AK),"")</f>
        <v/>
      </c>
      <c r="AQ511" s="312" t="str">
        <f>IFERROR(_xlfn.XLOOKUP($D511,'Modelling New'!$D:$D,'Modelling New'!AL:AL),"")</f>
        <v/>
      </c>
      <c r="AR511" s="325" t="str">
        <f>IFERROR(_xlfn.XLOOKUP($D511,'Modelling New'!$D:$D,'Modelling New'!$N:$N),"")</f>
        <v/>
      </c>
      <c r="AS511" s="325"/>
    </row>
    <row r="512" spans="1:45">
      <c r="A512" s="32">
        <f t="shared" si="44"/>
        <v>46255</v>
      </c>
      <c r="B512" s="43">
        <f>YEAR(Table13[[#This Row],[Date]])+IF(MONTH(Table13[[#This Row],[Date]])&gt;=4,1,0)</f>
        <v>2027</v>
      </c>
      <c r="C512" s="10">
        <f>YEAR(Table13[[#This Row],[Date]])</f>
        <v>2026</v>
      </c>
      <c r="D512" s="309">
        <f>Table13[[#This Row],[Date]]-DAY(Table13[[#This Row],[Date]])+1</f>
        <v>46235</v>
      </c>
      <c r="E512" s="10">
        <f t="shared" si="40"/>
        <v>31</v>
      </c>
      <c r="F512" s="241" t="str">
        <f>IFERROR(_xlfn.XLOOKUP($A512,Input_Raw!$E:$E,Input_Raw!DC:DC),"")</f>
        <v/>
      </c>
      <c r="G512" s="313"/>
      <c r="H512" s="313"/>
      <c r="I512" s="313"/>
      <c r="J512" s="313"/>
      <c r="K512" s="243"/>
      <c r="L512" s="242"/>
      <c r="M512" s="242" t="str">
        <f>IFERROR(_xlfn.XLOOKUP($A512,Input_Raw!$E:$E,Input_Raw!$BM:$BM),"")</f>
        <v/>
      </c>
      <c r="N512" s="242" t="str">
        <f>IFERROR(_xlfn.XLOOKUP($A512,Input_Raw!$E:$E,Input_Raw!$BN:$BN),"")</f>
        <v/>
      </c>
      <c r="O512" s="311" t="str">
        <f t="shared" si="41"/>
        <v/>
      </c>
      <c r="P512" s="311" t="str">
        <f>IFERROR(1-SUMIF(WTG_BD!$F:$F,$A512,WTG_BD!$AA:$AA)/($AA512+SUMIF(WTG_BD!$F:$F,$A512,WTG_BD!$AA:$AA)),"")</f>
        <v/>
      </c>
      <c r="Q512" s="328" t="str">
        <f>IFERROR(1-SUMIF(IGA_BD!$F:$F,$A512,IGA_BD!$W:$W)/($AA512+SUMIF(IGA_BD!$F:$F,$A512,IGA_BD!$W:$W)),"")</f>
        <v/>
      </c>
      <c r="R512" s="47" t="str">
        <f>IFERROR(1-SUMIF(Grid_BD!$F:$F,$A512,Grid_BD!$Y:$Y)/($AA512+SUMIF(Grid_BD!$F:$F,$A512,Grid_BD!$Y:$Y)),"")</f>
        <v/>
      </c>
      <c r="S512" s="10"/>
      <c r="T512" s="310"/>
      <c r="U512" s="311"/>
      <c r="V512" s="10"/>
      <c r="W512" s="312" t="str">
        <f t="shared" si="42"/>
        <v/>
      </c>
      <c r="X512" s="10" t="str">
        <f>IFERROR(_xlfn.XLOOKUP($A512,Input_Raw!$E:$E,Input_Raw!BG:BG),"")</f>
        <v/>
      </c>
      <c r="Y512" s="10" t="str">
        <f>IFERROR(_xlfn.XLOOKUP($A512,Input_Raw!$E:$E,Input_Raw!DF:DF),"")</f>
        <v/>
      </c>
      <c r="Z512" s="319" t="str">
        <f>IFERROR(_xlfn.XLOOKUP(A512,Input_Raw!E:E,Input_Raw!CT:CT)/_xlfn.XLOOKUP(A512,Input_Raw!E:E,Input_Raw!CS:CS)*Table13[[#This Row],[Mtr_Export (kWh)]],"")</f>
        <v/>
      </c>
      <c r="AA512" s="43" t="str">
        <f t="shared" si="43"/>
        <v/>
      </c>
      <c r="AB512" s="10" t="str">
        <f>IFERROR(_xlfn.XLOOKUP($A512,Input_Raw!$E:$E,Input_Raw!$CZ:$CZ),"")</f>
        <v/>
      </c>
      <c r="AC512" s="313" t="str">
        <f>IFERROR(_xlfn.XLOOKUP($D512,'Modelling New'!$D:$D,'Modelling New'!$J:$J),"")</f>
        <v/>
      </c>
      <c r="AD512" s="43" t="str">
        <f>IFERROR(_xlfn.XLOOKUP($D512,'Modelling New'!$D:$D,'Modelling New'!$T:$T)*1000,"")</f>
        <v/>
      </c>
      <c r="AE512" s="312"/>
      <c r="AF512" s="312" t="str">
        <f>IFERROR(_xlfn.XLOOKUP($D512,'Modelling New'!$D:$D,'Modelling New'!$W:$W),"")</f>
        <v/>
      </c>
      <c r="AG512" s="312" t="str">
        <f>IFERROR(_xlfn.XLOOKUP($D512,'Modelling New'!$D:$D,'Modelling New'!$AE:$AE),"")</f>
        <v/>
      </c>
      <c r="AH512" s="312" t="str">
        <f>IFERROR(_xlfn.XLOOKUP($D512,'Modelling New'!$D:$D,'Modelling New'!$AF:$AF),"")</f>
        <v/>
      </c>
      <c r="AI512" s="10" t="str">
        <f>IFERROR(_xlfn.XLOOKUP($A512,Input_Raw!$E:$E,Input_Raw!$DG:$DG),"")</f>
        <v/>
      </c>
      <c r="AJ512" s="10"/>
      <c r="AK512" s="10"/>
      <c r="AL512" s="10"/>
      <c r="AM512" s="10"/>
      <c r="AN512" s="314" t="str">
        <f>IFERROR(_xlfn.XLOOKUP($A512,Input_Raw!$E:$E,Input_Raw!$CY:$CY),"")</f>
        <v/>
      </c>
      <c r="AO512" s="312" t="str">
        <f>IFERROR((_xlfn.XLOOKUP($A512,'WTG Reactive Power'!$A:$A,'WTG Reactive Power'!AB:AB))/X512,"")</f>
        <v/>
      </c>
      <c r="AP512" s="312" t="str">
        <f>IFERROR(_xlfn.XLOOKUP($D512,'Modelling New'!$D:$D,'Modelling New'!AK:AK),"")</f>
        <v/>
      </c>
      <c r="AQ512" s="312" t="str">
        <f>IFERROR(_xlfn.XLOOKUP($D512,'Modelling New'!$D:$D,'Modelling New'!AL:AL),"")</f>
        <v/>
      </c>
      <c r="AR512" s="325" t="str">
        <f>IFERROR(_xlfn.XLOOKUP($D512,'Modelling New'!$D:$D,'Modelling New'!$N:$N),"")</f>
        <v/>
      </c>
      <c r="AS512" s="325"/>
    </row>
    <row r="513" spans="1:45">
      <c r="A513" s="32">
        <f t="shared" si="44"/>
        <v>46256</v>
      </c>
      <c r="B513" s="43">
        <f>YEAR(Table13[[#This Row],[Date]])+IF(MONTH(Table13[[#This Row],[Date]])&gt;=4,1,0)</f>
        <v>2027</v>
      </c>
      <c r="C513" s="10">
        <f>YEAR(Table13[[#This Row],[Date]])</f>
        <v>2026</v>
      </c>
      <c r="D513" s="309">
        <f>Table13[[#This Row],[Date]]-DAY(Table13[[#This Row],[Date]])+1</f>
        <v>46235</v>
      </c>
      <c r="E513" s="10">
        <f t="shared" si="40"/>
        <v>31</v>
      </c>
      <c r="F513" s="241" t="str">
        <f>IFERROR(_xlfn.XLOOKUP($A513,Input_Raw!$E:$E,Input_Raw!DC:DC),"")</f>
        <v/>
      </c>
      <c r="G513" s="242"/>
      <c r="H513" s="242"/>
      <c r="I513" s="242"/>
      <c r="J513" s="242"/>
      <c r="K513" s="243"/>
      <c r="L513" s="242"/>
      <c r="M513" s="242" t="str">
        <f>IFERROR(_xlfn.XLOOKUP($A513,Input_Raw!$E:$E,Input_Raw!$BM:$BM),"")</f>
        <v/>
      </c>
      <c r="N513" s="242" t="str">
        <f>IFERROR(_xlfn.XLOOKUP($A513,Input_Raw!$E:$E,Input_Raw!$BN:$BN),"")</f>
        <v/>
      </c>
      <c r="O513" s="311" t="str">
        <f t="shared" si="41"/>
        <v/>
      </c>
      <c r="P513" s="311" t="str">
        <f>IFERROR(1-SUMIF(WTG_BD!$F:$F,$A513,WTG_BD!$AA:$AA)/($AA513+SUMIF(WTG_BD!$F:$F,$A513,WTG_BD!$AA:$AA)),"")</f>
        <v/>
      </c>
      <c r="Q513" s="328" t="str">
        <f>IFERROR(1-SUMIF(IGA_BD!$F:$F,$A513,IGA_BD!$W:$W)/($AA513+SUMIF(IGA_BD!$F:$F,$A513,IGA_BD!$W:$W)),"")</f>
        <v/>
      </c>
      <c r="R513" s="311" t="str">
        <f>IFERROR(1-SUMIF(Grid_BD!$F:$F,$A513,Grid_BD!$Y:$Y)/($AA513+SUMIF(Grid_BD!$F:$F,$A513,Grid_BD!$Y:$Y)),"")</f>
        <v/>
      </c>
      <c r="S513" s="10"/>
      <c r="T513" s="310"/>
      <c r="U513" s="311"/>
      <c r="V513" s="10"/>
      <c r="W513" s="312" t="str">
        <f t="shared" si="42"/>
        <v/>
      </c>
      <c r="X513" s="10" t="str">
        <f>IFERROR(_xlfn.XLOOKUP($A513,Input_Raw!$E:$E,Input_Raw!BG:BG),"")</f>
        <v/>
      </c>
      <c r="Y513" s="10" t="str">
        <f>IFERROR(_xlfn.XLOOKUP($A513,Input_Raw!$E:$E,Input_Raw!DF:DF),"")</f>
        <v/>
      </c>
      <c r="Z513" s="319" t="str">
        <f>IFERROR(_xlfn.XLOOKUP(A513,Input_Raw!E:E,Input_Raw!CT:CT)/_xlfn.XLOOKUP(A513,Input_Raw!E:E,Input_Raw!CS:CS)*Table13[[#This Row],[Mtr_Export (kWh)]],"")</f>
        <v/>
      </c>
      <c r="AA513" s="43" t="str">
        <f t="shared" si="43"/>
        <v/>
      </c>
      <c r="AB513" s="10" t="str">
        <f>IFERROR(_xlfn.XLOOKUP($A513,Input_Raw!$E:$E,Input_Raw!$CZ:$CZ),"")</f>
        <v/>
      </c>
      <c r="AC513" s="313" t="str">
        <f>IFERROR(_xlfn.XLOOKUP($D513,'Modelling New'!$D:$D,'Modelling New'!$J:$J),"")</f>
        <v/>
      </c>
      <c r="AD513" s="43" t="str">
        <f>IFERROR(_xlfn.XLOOKUP($D513,'Modelling New'!$D:$D,'Modelling New'!$T:$T)*1000,"")</f>
        <v/>
      </c>
      <c r="AE513" s="312"/>
      <c r="AF513" s="312" t="str">
        <f>IFERROR(_xlfn.XLOOKUP($D513,'Modelling New'!$D:$D,'Modelling New'!$W:$W),"")</f>
        <v/>
      </c>
      <c r="AG513" s="312" t="str">
        <f>IFERROR(_xlfn.XLOOKUP($D513,'Modelling New'!$D:$D,'Modelling New'!$AE:$AE),"")</f>
        <v/>
      </c>
      <c r="AH513" s="312" t="str">
        <f>IFERROR(_xlfn.XLOOKUP($D513,'Modelling New'!$D:$D,'Modelling New'!$AF:$AF),"")</f>
        <v/>
      </c>
      <c r="AI513" s="10" t="str">
        <f>IFERROR(_xlfn.XLOOKUP($A513,Input_Raw!$E:$E,Input_Raw!$DG:$DG),"")</f>
        <v/>
      </c>
      <c r="AJ513" s="10"/>
      <c r="AK513" s="10"/>
      <c r="AL513" s="10"/>
      <c r="AM513" s="10"/>
      <c r="AN513" s="314" t="str">
        <f>IFERROR(_xlfn.XLOOKUP($A513,Input_Raw!$E:$E,Input_Raw!$CY:$CY),"")</f>
        <v/>
      </c>
      <c r="AO513" s="312" t="str">
        <f>IFERROR((_xlfn.XLOOKUP($A513,'WTG Reactive Power'!$A:$A,'WTG Reactive Power'!AB:AB))/X513,"")</f>
        <v/>
      </c>
      <c r="AP513" s="312" t="str">
        <f>IFERROR(_xlfn.XLOOKUP($D513,'Modelling New'!$D:$D,'Modelling New'!AK:AK),"")</f>
        <v/>
      </c>
      <c r="AQ513" s="312" t="str">
        <f>IFERROR(_xlfn.XLOOKUP($D513,'Modelling New'!$D:$D,'Modelling New'!AL:AL),"")</f>
        <v/>
      </c>
      <c r="AR513" s="325" t="str">
        <f>IFERROR(_xlfn.XLOOKUP($D513,'Modelling New'!$D:$D,'Modelling New'!$N:$N),"")</f>
        <v/>
      </c>
      <c r="AS513" s="325"/>
    </row>
    <row r="514" spans="1:45">
      <c r="A514" s="32">
        <f t="shared" si="44"/>
        <v>46257</v>
      </c>
      <c r="B514" s="43">
        <f>YEAR(Table13[[#This Row],[Date]])+IF(MONTH(Table13[[#This Row],[Date]])&gt;=4,1,0)</f>
        <v>2027</v>
      </c>
      <c r="C514" s="10">
        <f>YEAR(Table13[[#This Row],[Date]])</f>
        <v>2026</v>
      </c>
      <c r="D514" s="309">
        <f>Table13[[#This Row],[Date]]-DAY(Table13[[#This Row],[Date]])+1</f>
        <v>46235</v>
      </c>
      <c r="E514" s="10">
        <f t="shared" si="40"/>
        <v>31</v>
      </c>
      <c r="F514" s="241" t="str">
        <f>IFERROR(_xlfn.XLOOKUP($A514,Input_Raw!$E:$E,Input_Raw!DC:DC),"")</f>
        <v/>
      </c>
      <c r="G514" s="313"/>
      <c r="H514" s="313"/>
      <c r="I514" s="313"/>
      <c r="J514" s="313"/>
      <c r="K514" s="243"/>
      <c r="L514" s="242"/>
      <c r="M514" s="242" t="str">
        <f>IFERROR(_xlfn.XLOOKUP($A514,Input_Raw!$E:$E,Input_Raw!$BM:$BM),"")</f>
        <v/>
      </c>
      <c r="N514" s="242" t="str">
        <f>IFERROR(_xlfn.XLOOKUP($A514,Input_Raw!$E:$E,Input_Raw!$BN:$BN),"")</f>
        <v/>
      </c>
      <c r="O514" s="311" t="str">
        <f t="shared" si="41"/>
        <v/>
      </c>
      <c r="P514" s="311" t="str">
        <f>IFERROR(1-SUMIF(WTG_BD!$F:$F,$A514,WTG_BD!$AA:$AA)/($AA514+SUMIF(WTG_BD!$F:$F,$A514,WTG_BD!$AA:$AA)),"")</f>
        <v/>
      </c>
      <c r="Q514" s="328" t="str">
        <f>IFERROR(1-SUMIF(IGA_BD!$F:$F,$A514,IGA_BD!$W:$W)/($AA514+SUMIF(IGA_BD!$F:$F,$A514,IGA_BD!$W:$W)),"")</f>
        <v/>
      </c>
      <c r="R514" s="47" t="str">
        <f>IFERROR(1-SUMIF(Grid_BD!$F:$F,$A514,Grid_BD!$Y:$Y)/($AA514+SUMIF(Grid_BD!$F:$F,$A514,Grid_BD!$Y:$Y)),"")</f>
        <v/>
      </c>
      <c r="S514" s="10"/>
      <c r="T514" s="310"/>
      <c r="U514" s="311"/>
      <c r="V514" s="10"/>
      <c r="W514" s="312" t="str">
        <f t="shared" si="42"/>
        <v/>
      </c>
      <c r="X514" s="10" t="str">
        <f>IFERROR(_xlfn.XLOOKUP($A514,Input_Raw!$E:$E,Input_Raw!BG:BG),"")</f>
        <v/>
      </c>
      <c r="Y514" s="10" t="str">
        <f>IFERROR(_xlfn.XLOOKUP($A514,Input_Raw!$E:$E,Input_Raw!DF:DF),"")</f>
        <v/>
      </c>
      <c r="Z514" s="319" t="str">
        <f>IFERROR(_xlfn.XLOOKUP(A514,Input_Raw!E:E,Input_Raw!CT:CT)/_xlfn.XLOOKUP(A514,Input_Raw!E:E,Input_Raw!CS:CS)*Table13[[#This Row],[Mtr_Export (kWh)]],"")</f>
        <v/>
      </c>
      <c r="AA514" s="43" t="str">
        <f t="shared" si="43"/>
        <v/>
      </c>
      <c r="AB514" s="10" t="str">
        <f>IFERROR(_xlfn.XLOOKUP($A514,Input_Raw!$E:$E,Input_Raw!$CZ:$CZ),"")</f>
        <v/>
      </c>
      <c r="AC514" s="313" t="str">
        <f>IFERROR(_xlfn.XLOOKUP($D514,'Modelling New'!$D:$D,'Modelling New'!$J:$J),"")</f>
        <v/>
      </c>
      <c r="AD514" s="43" t="str">
        <f>IFERROR(_xlfn.XLOOKUP($D514,'Modelling New'!$D:$D,'Modelling New'!$T:$T)*1000,"")</f>
        <v/>
      </c>
      <c r="AE514" s="312"/>
      <c r="AF514" s="312" t="str">
        <f>IFERROR(_xlfn.XLOOKUP($D514,'Modelling New'!$D:$D,'Modelling New'!$W:$W),"")</f>
        <v/>
      </c>
      <c r="AG514" s="312" t="str">
        <f>IFERROR(_xlfn.XLOOKUP($D514,'Modelling New'!$D:$D,'Modelling New'!$AE:$AE),"")</f>
        <v/>
      </c>
      <c r="AH514" s="312" t="str">
        <f>IFERROR(_xlfn.XLOOKUP($D514,'Modelling New'!$D:$D,'Modelling New'!$AF:$AF),"")</f>
        <v/>
      </c>
      <c r="AI514" s="10" t="str">
        <f>IFERROR(_xlfn.XLOOKUP($A514,Input_Raw!$E:$E,Input_Raw!$DG:$DG),"")</f>
        <v/>
      </c>
      <c r="AJ514" s="10"/>
      <c r="AK514" s="10"/>
      <c r="AL514" s="10"/>
      <c r="AM514" s="10"/>
      <c r="AN514" s="314" t="str">
        <f>IFERROR(_xlfn.XLOOKUP($A514,Input_Raw!$E:$E,Input_Raw!$CY:$CY),"")</f>
        <v/>
      </c>
      <c r="AO514" s="312" t="str">
        <f>IFERROR((_xlfn.XLOOKUP($A514,'WTG Reactive Power'!$A:$A,'WTG Reactive Power'!AB:AB))/X514,"")</f>
        <v/>
      </c>
      <c r="AP514" s="312" t="str">
        <f>IFERROR(_xlfn.XLOOKUP($D514,'Modelling New'!$D:$D,'Modelling New'!AK:AK),"")</f>
        <v/>
      </c>
      <c r="AQ514" s="312" t="str">
        <f>IFERROR(_xlfn.XLOOKUP($D514,'Modelling New'!$D:$D,'Modelling New'!AL:AL),"")</f>
        <v/>
      </c>
      <c r="AR514" s="325" t="str">
        <f>IFERROR(_xlfn.XLOOKUP($D514,'Modelling New'!$D:$D,'Modelling New'!$N:$N),"")</f>
        <v/>
      </c>
      <c r="AS514" s="325"/>
    </row>
    <row r="515" spans="1:45">
      <c r="A515" s="32">
        <f t="shared" si="44"/>
        <v>46258</v>
      </c>
      <c r="B515" s="43">
        <f>YEAR(Table13[[#This Row],[Date]])+IF(MONTH(Table13[[#This Row],[Date]])&gt;=4,1,0)</f>
        <v>2027</v>
      </c>
      <c r="C515" s="10">
        <f>YEAR(Table13[[#This Row],[Date]])</f>
        <v>2026</v>
      </c>
      <c r="D515" s="309">
        <f>Table13[[#This Row],[Date]]-DAY(Table13[[#This Row],[Date]])+1</f>
        <v>46235</v>
      </c>
      <c r="E515" s="10">
        <f t="shared" si="40"/>
        <v>31</v>
      </c>
      <c r="F515" s="241" t="str">
        <f>IFERROR(_xlfn.XLOOKUP($A515,Input_Raw!$E:$E,Input_Raw!DC:DC),"")</f>
        <v/>
      </c>
      <c r="G515" s="242"/>
      <c r="H515" s="242"/>
      <c r="I515" s="242"/>
      <c r="J515" s="242"/>
      <c r="K515" s="243"/>
      <c r="L515" s="242"/>
      <c r="M515" s="242" t="str">
        <f>IFERROR(_xlfn.XLOOKUP($A515,Input_Raw!$E:$E,Input_Raw!$BM:$BM),"")</f>
        <v/>
      </c>
      <c r="N515" s="242" t="str">
        <f>IFERROR(_xlfn.XLOOKUP($A515,Input_Raw!$E:$E,Input_Raw!$BN:$BN),"")</f>
        <v/>
      </c>
      <c r="O515" s="311" t="str">
        <f t="shared" si="41"/>
        <v/>
      </c>
      <c r="P515" s="311" t="str">
        <f>IFERROR(1-SUMIF(WTG_BD!$F:$F,$A515,WTG_BD!$AA:$AA)/($AA515+SUMIF(WTG_BD!$F:$F,$A515,WTG_BD!$AA:$AA)),"")</f>
        <v/>
      </c>
      <c r="Q515" s="328" t="str">
        <f>IFERROR(1-SUMIF(IGA_BD!$F:$F,$A515,IGA_BD!$W:$W)/($AA515+SUMIF(IGA_BD!$F:$F,$A515,IGA_BD!$W:$W)),"")</f>
        <v/>
      </c>
      <c r="R515" s="311" t="str">
        <f>IFERROR(1-SUMIF(Grid_BD!$F:$F,$A515,Grid_BD!$Y:$Y)/($AA515+SUMIF(Grid_BD!$F:$F,$A515,Grid_BD!$Y:$Y)),"")</f>
        <v/>
      </c>
      <c r="S515" s="10"/>
      <c r="T515" s="310"/>
      <c r="U515" s="311"/>
      <c r="V515" s="10"/>
      <c r="W515" s="312" t="str">
        <f t="shared" si="42"/>
        <v/>
      </c>
      <c r="X515" s="10" t="str">
        <f>IFERROR(_xlfn.XLOOKUP($A515,Input_Raw!$E:$E,Input_Raw!BG:BG),"")</f>
        <v/>
      </c>
      <c r="Y515" s="10" t="str">
        <f>IFERROR(_xlfn.XLOOKUP($A515,Input_Raw!$E:$E,Input_Raw!DF:DF),"")</f>
        <v/>
      </c>
      <c r="Z515" s="319" t="str">
        <f>IFERROR(_xlfn.XLOOKUP(A515,Input_Raw!E:E,Input_Raw!CT:CT)/_xlfn.XLOOKUP(A515,Input_Raw!E:E,Input_Raw!CS:CS)*Table13[[#This Row],[Mtr_Export (kWh)]],"")</f>
        <v/>
      </c>
      <c r="AA515" s="43" t="str">
        <f t="shared" si="43"/>
        <v/>
      </c>
      <c r="AB515" s="10" t="str">
        <f>IFERROR(_xlfn.XLOOKUP($A515,Input_Raw!$E:$E,Input_Raw!$CZ:$CZ),"")</f>
        <v/>
      </c>
      <c r="AC515" s="313" t="str">
        <f>IFERROR(_xlfn.XLOOKUP($D515,'Modelling New'!$D:$D,'Modelling New'!$J:$J),"")</f>
        <v/>
      </c>
      <c r="AD515" s="43" t="str">
        <f>IFERROR(_xlfn.XLOOKUP($D515,'Modelling New'!$D:$D,'Modelling New'!$T:$T)*1000,"")</f>
        <v/>
      </c>
      <c r="AE515" s="312"/>
      <c r="AF515" s="312" t="str">
        <f>IFERROR(_xlfn.XLOOKUP($D515,'Modelling New'!$D:$D,'Modelling New'!$W:$W),"")</f>
        <v/>
      </c>
      <c r="AG515" s="312" t="str">
        <f>IFERROR(_xlfn.XLOOKUP($D515,'Modelling New'!$D:$D,'Modelling New'!$AE:$AE),"")</f>
        <v/>
      </c>
      <c r="AH515" s="312" t="str">
        <f>IFERROR(_xlfn.XLOOKUP($D515,'Modelling New'!$D:$D,'Modelling New'!$AF:$AF),"")</f>
        <v/>
      </c>
      <c r="AI515" s="10" t="str">
        <f>IFERROR(_xlfn.XLOOKUP($A515,Input_Raw!$E:$E,Input_Raw!$DG:$DG),"")</f>
        <v/>
      </c>
      <c r="AJ515" s="10"/>
      <c r="AK515" s="10"/>
      <c r="AL515" s="10"/>
      <c r="AM515" s="10"/>
      <c r="AN515" s="314" t="str">
        <f>IFERROR(_xlfn.XLOOKUP($A515,Input_Raw!$E:$E,Input_Raw!$CY:$CY),"")</f>
        <v/>
      </c>
      <c r="AO515" s="312" t="str">
        <f>IFERROR((_xlfn.XLOOKUP($A515,'WTG Reactive Power'!$A:$A,'WTG Reactive Power'!AB:AB))/X515,"")</f>
        <v/>
      </c>
      <c r="AP515" s="312" t="str">
        <f>IFERROR(_xlfn.XLOOKUP($D515,'Modelling New'!$D:$D,'Modelling New'!AK:AK),"")</f>
        <v/>
      </c>
      <c r="AQ515" s="312" t="str">
        <f>IFERROR(_xlfn.XLOOKUP($D515,'Modelling New'!$D:$D,'Modelling New'!AL:AL),"")</f>
        <v/>
      </c>
      <c r="AR515" s="325" t="str">
        <f>IFERROR(_xlfn.XLOOKUP($D515,'Modelling New'!$D:$D,'Modelling New'!$N:$N),"")</f>
        <v/>
      </c>
      <c r="AS515" s="325"/>
    </row>
    <row r="516" spans="1:45">
      <c r="A516" s="32">
        <f t="shared" si="44"/>
        <v>46259</v>
      </c>
      <c r="B516" s="43">
        <f>YEAR(Table13[[#This Row],[Date]])+IF(MONTH(Table13[[#This Row],[Date]])&gt;=4,1,0)</f>
        <v>2027</v>
      </c>
      <c r="C516" s="10">
        <f>YEAR(Table13[[#This Row],[Date]])</f>
        <v>2026</v>
      </c>
      <c r="D516" s="309">
        <f>Table13[[#This Row],[Date]]-DAY(Table13[[#This Row],[Date]])+1</f>
        <v>46235</v>
      </c>
      <c r="E516" s="10">
        <f t="shared" si="40"/>
        <v>31</v>
      </c>
      <c r="F516" s="241" t="str">
        <f>IFERROR(_xlfn.XLOOKUP($A516,Input_Raw!$E:$E,Input_Raw!DC:DC),"")</f>
        <v/>
      </c>
      <c r="G516" s="313"/>
      <c r="H516" s="313"/>
      <c r="I516" s="313"/>
      <c r="J516" s="313"/>
      <c r="K516" s="243"/>
      <c r="L516" s="242"/>
      <c r="M516" s="242" t="str">
        <f>IFERROR(_xlfn.XLOOKUP($A516,Input_Raw!$E:$E,Input_Raw!$BM:$BM),"")</f>
        <v/>
      </c>
      <c r="N516" s="242" t="str">
        <f>IFERROR(_xlfn.XLOOKUP($A516,Input_Raw!$E:$E,Input_Raw!$BN:$BN),"")</f>
        <v/>
      </c>
      <c r="O516" s="311" t="str">
        <f t="shared" si="41"/>
        <v/>
      </c>
      <c r="P516" s="311" t="str">
        <f>IFERROR(1-SUMIF(WTG_BD!$F:$F,$A516,WTG_BD!$AA:$AA)/($AA516+SUMIF(WTG_BD!$F:$F,$A516,WTG_BD!$AA:$AA)),"")</f>
        <v/>
      </c>
      <c r="Q516" s="328" t="str">
        <f>IFERROR(1-SUMIF(IGA_BD!$F:$F,$A516,IGA_BD!$W:$W)/($AA516+SUMIF(IGA_BD!$F:$F,$A516,IGA_BD!$W:$W)),"")</f>
        <v/>
      </c>
      <c r="R516" s="47" t="str">
        <f>IFERROR(1-SUMIF(Grid_BD!$F:$F,$A516,Grid_BD!$Y:$Y)/($AA516+SUMIF(Grid_BD!$F:$F,$A516,Grid_BD!$Y:$Y)),"")</f>
        <v/>
      </c>
      <c r="S516" s="10"/>
      <c r="T516" s="310"/>
      <c r="U516" s="311"/>
      <c r="V516" s="10"/>
      <c r="W516" s="312" t="str">
        <f t="shared" si="42"/>
        <v/>
      </c>
      <c r="X516" s="10" t="str">
        <f>IFERROR(_xlfn.XLOOKUP($A516,Input_Raw!$E:$E,Input_Raw!BG:BG),"")</f>
        <v/>
      </c>
      <c r="Y516" s="10" t="str">
        <f>IFERROR(_xlfn.XLOOKUP($A516,Input_Raw!$E:$E,Input_Raw!DF:DF),"")</f>
        <v/>
      </c>
      <c r="Z516" s="319" t="str">
        <f>IFERROR(_xlfn.XLOOKUP(A516,Input_Raw!E:E,Input_Raw!CT:CT)/_xlfn.XLOOKUP(A516,Input_Raw!E:E,Input_Raw!CS:CS)*Table13[[#This Row],[Mtr_Export (kWh)]],"")</f>
        <v/>
      </c>
      <c r="AA516" s="43" t="str">
        <f t="shared" si="43"/>
        <v/>
      </c>
      <c r="AB516" s="10" t="str">
        <f>IFERROR(_xlfn.XLOOKUP($A516,Input_Raw!$E:$E,Input_Raw!$CZ:$CZ),"")</f>
        <v/>
      </c>
      <c r="AC516" s="313" t="str">
        <f>IFERROR(_xlfn.XLOOKUP($D516,'Modelling New'!$D:$D,'Modelling New'!$J:$J),"")</f>
        <v/>
      </c>
      <c r="AD516" s="43" t="str">
        <f>IFERROR(_xlfn.XLOOKUP($D516,'Modelling New'!$D:$D,'Modelling New'!$T:$T)*1000,"")</f>
        <v/>
      </c>
      <c r="AE516" s="312"/>
      <c r="AF516" s="312" t="str">
        <f>IFERROR(_xlfn.XLOOKUP($D516,'Modelling New'!$D:$D,'Modelling New'!$W:$W),"")</f>
        <v/>
      </c>
      <c r="AG516" s="312" t="str">
        <f>IFERROR(_xlfn.XLOOKUP($D516,'Modelling New'!$D:$D,'Modelling New'!$AE:$AE),"")</f>
        <v/>
      </c>
      <c r="AH516" s="312" t="str">
        <f>IFERROR(_xlfn.XLOOKUP($D516,'Modelling New'!$D:$D,'Modelling New'!$AF:$AF),"")</f>
        <v/>
      </c>
      <c r="AI516" s="10" t="str">
        <f>IFERROR(_xlfn.XLOOKUP($A516,Input_Raw!$E:$E,Input_Raw!$DG:$DG),"")</f>
        <v/>
      </c>
      <c r="AJ516" s="10"/>
      <c r="AK516" s="10"/>
      <c r="AL516" s="10"/>
      <c r="AM516" s="10"/>
      <c r="AN516" s="314" t="str">
        <f>IFERROR(_xlfn.XLOOKUP($A516,Input_Raw!$E:$E,Input_Raw!$CY:$CY),"")</f>
        <v/>
      </c>
      <c r="AO516" s="312" t="str">
        <f>IFERROR((_xlfn.XLOOKUP($A516,'WTG Reactive Power'!$A:$A,'WTG Reactive Power'!AB:AB))/X516,"")</f>
        <v/>
      </c>
      <c r="AP516" s="312" t="str">
        <f>IFERROR(_xlfn.XLOOKUP($D516,'Modelling New'!$D:$D,'Modelling New'!AK:AK),"")</f>
        <v/>
      </c>
      <c r="AQ516" s="312" t="str">
        <f>IFERROR(_xlfn.XLOOKUP($D516,'Modelling New'!$D:$D,'Modelling New'!AL:AL),"")</f>
        <v/>
      </c>
      <c r="AR516" s="325" t="str">
        <f>IFERROR(_xlfn.XLOOKUP($D516,'Modelling New'!$D:$D,'Modelling New'!$N:$N),"")</f>
        <v/>
      </c>
      <c r="AS516" s="325"/>
    </row>
    <row r="517" spans="1:45">
      <c r="A517" s="32">
        <f t="shared" si="44"/>
        <v>46260</v>
      </c>
      <c r="B517" s="43">
        <f>YEAR(Table13[[#This Row],[Date]])+IF(MONTH(Table13[[#This Row],[Date]])&gt;=4,1,0)</f>
        <v>2027</v>
      </c>
      <c r="C517" s="10">
        <f>YEAR(Table13[[#This Row],[Date]])</f>
        <v>2026</v>
      </c>
      <c r="D517" s="309">
        <f>Table13[[#This Row],[Date]]-DAY(Table13[[#This Row],[Date]])+1</f>
        <v>46235</v>
      </c>
      <c r="E517" s="10">
        <f t="shared" si="40"/>
        <v>31</v>
      </c>
      <c r="F517" s="241" t="str">
        <f>IFERROR(_xlfn.XLOOKUP($A517,Input_Raw!$E:$E,Input_Raw!DC:DC),"")</f>
        <v/>
      </c>
      <c r="G517" s="242"/>
      <c r="H517" s="242"/>
      <c r="I517" s="242"/>
      <c r="J517" s="242"/>
      <c r="K517" s="243"/>
      <c r="L517" s="242"/>
      <c r="M517" s="242" t="str">
        <f>IFERROR(_xlfn.XLOOKUP($A517,Input_Raw!$E:$E,Input_Raw!$BM:$BM),"")</f>
        <v/>
      </c>
      <c r="N517" s="242" t="str">
        <f>IFERROR(_xlfn.XLOOKUP($A517,Input_Raw!$E:$E,Input_Raw!$BN:$BN),"")</f>
        <v/>
      </c>
      <c r="O517" s="311" t="str">
        <f t="shared" si="41"/>
        <v/>
      </c>
      <c r="P517" s="311" t="str">
        <f>IFERROR(1-SUMIF(WTG_BD!$F:$F,$A517,WTG_BD!$AA:$AA)/($AA517+SUMIF(WTG_BD!$F:$F,$A517,WTG_BD!$AA:$AA)),"")</f>
        <v/>
      </c>
      <c r="Q517" s="328" t="str">
        <f>IFERROR(1-SUMIF(IGA_BD!$F:$F,$A517,IGA_BD!$W:$W)/($AA517+SUMIF(IGA_BD!$F:$F,$A517,IGA_BD!$W:$W)),"")</f>
        <v/>
      </c>
      <c r="R517" s="311" t="str">
        <f>IFERROR(1-SUMIF(Grid_BD!$F:$F,$A517,Grid_BD!$Y:$Y)/($AA517+SUMIF(Grid_BD!$F:$F,$A517,Grid_BD!$Y:$Y)),"")</f>
        <v/>
      </c>
      <c r="S517" s="10"/>
      <c r="T517" s="310"/>
      <c r="U517" s="311"/>
      <c r="V517" s="10"/>
      <c r="W517" s="312" t="str">
        <f t="shared" si="42"/>
        <v/>
      </c>
      <c r="X517" s="10" t="str">
        <f>IFERROR(_xlfn.XLOOKUP($A517,Input_Raw!$E:$E,Input_Raw!BG:BG),"")</f>
        <v/>
      </c>
      <c r="Y517" s="10" t="str">
        <f>IFERROR(_xlfn.XLOOKUP($A517,Input_Raw!$E:$E,Input_Raw!DF:DF),"")</f>
        <v/>
      </c>
      <c r="Z517" s="319" t="str">
        <f>IFERROR(_xlfn.XLOOKUP(A517,Input_Raw!E:E,Input_Raw!CT:CT)/_xlfn.XLOOKUP(A517,Input_Raw!E:E,Input_Raw!CS:CS)*Table13[[#This Row],[Mtr_Export (kWh)]],"")</f>
        <v/>
      </c>
      <c r="AA517" s="43" t="str">
        <f t="shared" si="43"/>
        <v/>
      </c>
      <c r="AB517" s="10" t="str">
        <f>IFERROR(_xlfn.XLOOKUP($A517,Input_Raw!$E:$E,Input_Raw!$CZ:$CZ),"")</f>
        <v/>
      </c>
      <c r="AC517" s="313" t="str">
        <f>IFERROR(_xlfn.XLOOKUP($D517,'Modelling New'!$D:$D,'Modelling New'!$J:$J),"")</f>
        <v/>
      </c>
      <c r="AD517" s="43" t="str">
        <f>IFERROR(_xlfn.XLOOKUP($D517,'Modelling New'!$D:$D,'Modelling New'!$T:$T)*1000,"")</f>
        <v/>
      </c>
      <c r="AE517" s="312"/>
      <c r="AF517" s="312" t="str">
        <f>IFERROR(_xlfn.XLOOKUP($D517,'Modelling New'!$D:$D,'Modelling New'!$W:$W),"")</f>
        <v/>
      </c>
      <c r="AG517" s="312" t="str">
        <f>IFERROR(_xlfn.XLOOKUP($D517,'Modelling New'!$D:$D,'Modelling New'!$AE:$AE),"")</f>
        <v/>
      </c>
      <c r="AH517" s="312" t="str">
        <f>IFERROR(_xlfn.XLOOKUP($D517,'Modelling New'!$D:$D,'Modelling New'!$AF:$AF),"")</f>
        <v/>
      </c>
      <c r="AI517" s="10" t="str">
        <f>IFERROR(_xlfn.XLOOKUP($A517,Input_Raw!$E:$E,Input_Raw!$DG:$DG),"")</f>
        <v/>
      </c>
      <c r="AJ517" s="10"/>
      <c r="AK517" s="10"/>
      <c r="AL517" s="10"/>
      <c r="AM517" s="10"/>
      <c r="AN517" s="314" t="str">
        <f>IFERROR(_xlfn.XLOOKUP($A517,Input_Raw!$E:$E,Input_Raw!$CY:$CY),"")</f>
        <v/>
      </c>
      <c r="AO517" s="312" t="str">
        <f>IFERROR((_xlfn.XLOOKUP($A517,'WTG Reactive Power'!$A:$A,'WTG Reactive Power'!AB:AB))/X517,"")</f>
        <v/>
      </c>
      <c r="AP517" s="312" t="str">
        <f>IFERROR(_xlfn.XLOOKUP($D517,'Modelling New'!$D:$D,'Modelling New'!AK:AK),"")</f>
        <v/>
      </c>
      <c r="AQ517" s="312" t="str">
        <f>IFERROR(_xlfn.XLOOKUP($D517,'Modelling New'!$D:$D,'Modelling New'!AL:AL),"")</f>
        <v/>
      </c>
      <c r="AR517" s="325" t="str">
        <f>IFERROR(_xlfn.XLOOKUP($D517,'Modelling New'!$D:$D,'Modelling New'!$N:$N),"")</f>
        <v/>
      </c>
      <c r="AS517" s="325"/>
    </row>
    <row r="518" spans="1:45">
      <c r="A518" s="32">
        <f t="shared" si="44"/>
        <v>46261</v>
      </c>
      <c r="B518" s="43">
        <f>YEAR(Table13[[#This Row],[Date]])+IF(MONTH(Table13[[#This Row],[Date]])&gt;=4,1,0)</f>
        <v>2027</v>
      </c>
      <c r="C518" s="10">
        <f>YEAR(Table13[[#This Row],[Date]])</f>
        <v>2026</v>
      </c>
      <c r="D518" s="309">
        <f>Table13[[#This Row],[Date]]-DAY(Table13[[#This Row],[Date]])+1</f>
        <v>46235</v>
      </c>
      <c r="E518" s="10">
        <f t="shared" si="40"/>
        <v>31</v>
      </c>
      <c r="F518" s="241" t="str">
        <f>IFERROR(_xlfn.XLOOKUP($A518,Input_Raw!$E:$E,Input_Raw!DC:DC),"")</f>
        <v/>
      </c>
      <c r="G518" s="313"/>
      <c r="H518" s="313"/>
      <c r="I518" s="313"/>
      <c r="J518" s="313"/>
      <c r="K518" s="243"/>
      <c r="L518" s="242"/>
      <c r="M518" s="242" t="str">
        <f>IFERROR(_xlfn.XLOOKUP($A518,Input_Raw!$E:$E,Input_Raw!$BM:$BM),"")</f>
        <v/>
      </c>
      <c r="N518" s="242" t="str">
        <f>IFERROR(_xlfn.XLOOKUP($A518,Input_Raw!$E:$E,Input_Raw!$BN:$BN),"")</f>
        <v/>
      </c>
      <c r="O518" s="311" t="str">
        <f t="shared" si="41"/>
        <v/>
      </c>
      <c r="P518" s="311" t="str">
        <f>IFERROR(1-SUMIF(WTG_BD!$F:$F,$A518,WTG_BD!$AA:$AA)/($AA518+SUMIF(WTG_BD!$F:$F,$A518,WTG_BD!$AA:$AA)),"")</f>
        <v/>
      </c>
      <c r="Q518" s="328" t="str">
        <f>IFERROR(1-SUMIF(IGA_BD!$F:$F,$A518,IGA_BD!$W:$W)/($AA518+SUMIF(IGA_BD!$F:$F,$A518,IGA_BD!$W:$W)),"")</f>
        <v/>
      </c>
      <c r="R518" s="47" t="str">
        <f>IFERROR(1-SUMIF(Grid_BD!$F:$F,$A518,Grid_BD!$Y:$Y)/($AA518+SUMIF(Grid_BD!$F:$F,$A518,Grid_BD!$Y:$Y)),"")</f>
        <v/>
      </c>
      <c r="S518" s="10"/>
      <c r="T518" s="310"/>
      <c r="U518" s="311"/>
      <c r="V518" s="10"/>
      <c r="W518" s="312" t="str">
        <f t="shared" si="42"/>
        <v/>
      </c>
      <c r="X518" s="10" t="str">
        <f>IFERROR(_xlfn.XLOOKUP($A518,Input_Raw!$E:$E,Input_Raw!BG:BG),"")</f>
        <v/>
      </c>
      <c r="Y518" s="10" t="str">
        <f>IFERROR(_xlfn.XLOOKUP($A518,Input_Raw!$E:$E,Input_Raw!DF:DF),"")</f>
        <v/>
      </c>
      <c r="Z518" s="319" t="str">
        <f>IFERROR(_xlfn.XLOOKUP(A518,Input_Raw!E:E,Input_Raw!CT:CT)/_xlfn.XLOOKUP(A518,Input_Raw!E:E,Input_Raw!CS:CS)*Table13[[#This Row],[Mtr_Export (kWh)]],"")</f>
        <v/>
      </c>
      <c r="AA518" s="43" t="str">
        <f t="shared" si="43"/>
        <v/>
      </c>
      <c r="AB518" s="10" t="str">
        <f>IFERROR(_xlfn.XLOOKUP($A518,Input_Raw!$E:$E,Input_Raw!$CZ:$CZ),"")</f>
        <v/>
      </c>
      <c r="AC518" s="313" t="str">
        <f>IFERROR(_xlfn.XLOOKUP($D518,'Modelling New'!$D:$D,'Modelling New'!$J:$J),"")</f>
        <v/>
      </c>
      <c r="AD518" s="43" t="str">
        <f>IFERROR(_xlfn.XLOOKUP($D518,'Modelling New'!$D:$D,'Modelling New'!$T:$T)*1000,"")</f>
        <v/>
      </c>
      <c r="AE518" s="312"/>
      <c r="AF518" s="312" t="str">
        <f>IFERROR(_xlfn.XLOOKUP($D518,'Modelling New'!$D:$D,'Modelling New'!$W:$W),"")</f>
        <v/>
      </c>
      <c r="AG518" s="312" t="str">
        <f>IFERROR(_xlfn.XLOOKUP($D518,'Modelling New'!$D:$D,'Modelling New'!$AE:$AE),"")</f>
        <v/>
      </c>
      <c r="AH518" s="312" t="str">
        <f>IFERROR(_xlfn.XLOOKUP($D518,'Modelling New'!$D:$D,'Modelling New'!$AF:$AF),"")</f>
        <v/>
      </c>
      <c r="AI518" s="10" t="str">
        <f>IFERROR(_xlfn.XLOOKUP($A518,Input_Raw!$E:$E,Input_Raw!$DG:$DG),"")</f>
        <v/>
      </c>
      <c r="AJ518" s="10"/>
      <c r="AK518" s="10"/>
      <c r="AL518" s="10"/>
      <c r="AM518" s="10"/>
      <c r="AN518" s="314" t="str">
        <f>IFERROR(_xlfn.XLOOKUP($A518,Input_Raw!$E:$E,Input_Raw!$CY:$CY),"")</f>
        <v/>
      </c>
      <c r="AO518" s="312" t="str">
        <f>IFERROR((_xlfn.XLOOKUP($A518,'WTG Reactive Power'!$A:$A,'WTG Reactive Power'!AB:AB))/X518,"")</f>
        <v/>
      </c>
      <c r="AP518" s="312" t="str">
        <f>IFERROR(_xlfn.XLOOKUP($D518,'Modelling New'!$D:$D,'Modelling New'!AK:AK),"")</f>
        <v/>
      </c>
      <c r="AQ518" s="312" t="str">
        <f>IFERROR(_xlfn.XLOOKUP($D518,'Modelling New'!$D:$D,'Modelling New'!AL:AL),"")</f>
        <v/>
      </c>
      <c r="AR518" s="325" t="str">
        <f>IFERROR(_xlfn.XLOOKUP($D518,'Modelling New'!$D:$D,'Modelling New'!$N:$N),"")</f>
        <v/>
      </c>
      <c r="AS518" s="325"/>
    </row>
    <row r="519" spans="1:45">
      <c r="A519" s="32">
        <f t="shared" si="44"/>
        <v>46262</v>
      </c>
      <c r="B519" s="43">
        <f>YEAR(Table13[[#This Row],[Date]])+IF(MONTH(Table13[[#This Row],[Date]])&gt;=4,1,0)</f>
        <v>2027</v>
      </c>
      <c r="C519" s="10">
        <f>YEAR(Table13[[#This Row],[Date]])</f>
        <v>2026</v>
      </c>
      <c r="D519" s="309">
        <f>Table13[[#This Row],[Date]]-DAY(Table13[[#This Row],[Date]])+1</f>
        <v>46235</v>
      </c>
      <c r="E519" s="10">
        <f t="shared" ref="E519:E582" si="45">DAY(EOMONTH(A519,0))</f>
        <v>31</v>
      </c>
      <c r="F519" s="241" t="str">
        <f>IFERROR(_xlfn.XLOOKUP($A519,Input_Raw!$E:$E,Input_Raw!DC:DC),"")</f>
        <v/>
      </c>
      <c r="G519" s="242"/>
      <c r="H519" s="242"/>
      <c r="I519" s="242"/>
      <c r="J519" s="242"/>
      <c r="K519" s="243"/>
      <c r="L519" s="242"/>
      <c r="M519" s="242" t="str">
        <f>IFERROR(_xlfn.XLOOKUP($A519,Input_Raw!$E:$E,Input_Raw!$BM:$BM),"")</f>
        <v/>
      </c>
      <c r="N519" s="242" t="str">
        <f>IFERROR(_xlfn.XLOOKUP($A519,Input_Raw!$E:$E,Input_Raw!$BN:$BN),"")</f>
        <v/>
      </c>
      <c r="O519" s="311" t="str">
        <f t="shared" ref="O519:O582" si="46">IFERROR(P519*Q519,"")</f>
        <v/>
      </c>
      <c r="P519" s="311" t="str">
        <f>IFERROR(1-SUMIF(WTG_BD!$F:$F,$A519,WTG_BD!$AA:$AA)/($AA519+SUMIF(WTG_BD!$F:$F,$A519,WTG_BD!$AA:$AA)),"")</f>
        <v/>
      </c>
      <c r="Q519" s="328" t="str">
        <f>IFERROR(1-SUMIF(IGA_BD!$F:$F,$A519,IGA_BD!$W:$W)/($AA519+SUMIF(IGA_BD!$F:$F,$A519,IGA_BD!$W:$W)),"")</f>
        <v/>
      </c>
      <c r="R519" s="311" t="str">
        <f>IFERROR(1-SUMIF(Grid_BD!$F:$F,$A519,Grid_BD!$Y:$Y)/($AA519+SUMIF(Grid_BD!$F:$F,$A519,Grid_BD!$Y:$Y)),"")</f>
        <v/>
      </c>
      <c r="S519" s="10"/>
      <c r="T519" s="310"/>
      <c r="U519" s="311"/>
      <c r="V519" s="10"/>
      <c r="W519" s="312" t="str">
        <f t="shared" ref="W519:W582" si="47">IFERROR(X519/(24*AR519*1000),"")</f>
        <v/>
      </c>
      <c r="X519" s="10" t="str">
        <f>IFERROR(_xlfn.XLOOKUP($A519,Input_Raw!$E:$E,Input_Raw!BG:BG),"")</f>
        <v/>
      </c>
      <c r="Y519" s="10" t="str">
        <f>IFERROR(_xlfn.XLOOKUP($A519,Input_Raw!$E:$E,Input_Raw!DF:DF),"")</f>
        <v/>
      </c>
      <c r="Z519" s="319" t="str">
        <f>IFERROR(_xlfn.XLOOKUP(A519,Input_Raw!E:E,Input_Raw!CT:CT)/_xlfn.XLOOKUP(A519,Input_Raw!E:E,Input_Raw!CS:CS)*Table13[[#This Row],[Mtr_Export (kWh)]],"")</f>
        <v/>
      </c>
      <c r="AA519" s="43" t="str">
        <f t="shared" ref="AA519:AA582" si="48">IFERROR(Y519-Z519,"")</f>
        <v/>
      </c>
      <c r="AB519" s="10" t="str">
        <f>IFERROR(_xlfn.XLOOKUP($A519,Input_Raw!$E:$E,Input_Raw!$CZ:$CZ),"")</f>
        <v/>
      </c>
      <c r="AC519" s="313" t="str">
        <f>IFERROR(_xlfn.XLOOKUP($D519,'Modelling New'!$D:$D,'Modelling New'!$J:$J),"")</f>
        <v/>
      </c>
      <c r="AD519" s="43" t="str">
        <f>IFERROR(_xlfn.XLOOKUP($D519,'Modelling New'!$D:$D,'Modelling New'!$T:$T)*1000,"")</f>
        <v/>
      </c>
      <c r="AE519" s="312"/>
      <c r="AF519" s="312" t="str">
        <f>IFERROR(_xlfn.XLOOKUP($D519,'Modelling New'!$D:$D,'Modelling New'!$W:$W),"")</f>
        <v/>
      </c>
      <c r="AG519" s="312" t="str">
        <f>IFERROR(_xlfn.XLOOKUP($D519,'Modelling New'!$D:$D,'Modelling New'!$AE:$AE),"")</f>
        <v/>
      </c>
      <c r="AH519" s="312" t="str">
        <f>IFERROR(_xlfn.XLOOKUP($D519,'Modelling New'!$D:$D,'Modelling New'!$AF:$AF),"")</f>
        <v/>
      </c>
      <c r="AI519" s="10" t="str">
        <f>IFERROR(_xlfn.XLOOKUP($A519,Input_Raw!$E:$E,Input_Raw!$DG:$DG),"")</f>
        <v/>
      </c>
      <c r="AJ519" s="10"/>
      <c r="AK519" s="10"/>
      <c r="AL519" s="10"/>
      <c r="AM519" s="10"/>
      <c r="AN519" s="314" t="str">
        <f>IFERROR(_xlfn.XLOOKUP($A519,Input_Raw!$E:$E,Input_Raw!$CY:$CY),"")</f>
        <v/>
      </c>
      <c r="AO519" s="312" t="str">
        <f>IFERROR((_xlfn.XLOOKUP($A519,'WTG Reactive Power'!$A:$A,'WTG Reactive Power'!AB:AB))/X519,"")</f>
        <v/>
      </c>
      <c r="AP519" s="312" t="str">
        <f>IFERROR(_xlfn.XLOOKUP($D519,'Modelling New'!$D:$D,'Modelling New'!AK:AK),"")</f>
        <v/>
      </c>
      <c r="AQ519" s="312" t="str">
        <f>IFERROR(_xlfn.XLOOKUP($D519,'Modelling New'!$D:$D,'Modelling New'!AL:AL),"")</f>
        <v/>
      </c>
      <c r="AR519" s="325" t="str">
        <f>IFERROR(_xlfn.XLOOKUP($D519,'Modelling New'!$D:$D,'Modelling New'!$N:$N),"")</f>
        <v/>
      </c>
      <c r="AS519" s="325"/>
    </row>
    <row r="520" spans="1:45">
      <c r="A520" s="32">
        <f t="shared" si="44"/>
        <v>46263</v>
      </c>
      <c r="B520" s="43">
        <f>YEAR(Table13[[#This Row],[Date]])+IF(MONTH(Table13[[#This Row],[Date]])&gt;=4,1,0)</f>
        <v>2027</v>
      </c>
      <c r="C520" s="10">
        <f>YEAR(Table13[[#This Row],[Date]])</f>
        <v>2026</v>
      </c>
      <c r="D520" s="309">
        <f>Table13[[#This Row],[Date]]-DAY(Table13[[#This Row],[Date]])+1</f>
        <v>46235</v>
      </c>
      <c r="E520" s="10">
        <f t="shared" si="45"/>
        <v>31</v>
      </c>
      <c r="F520" s="241" t="str">
        <f>IFERROR(_xlfn.XLOOKUP($A520,Input_Raw!$E:$E,Input_Raw!DC:DC),"")</f>
        <v/>
      </c>
      <c r="G520" s="313"/>
      <c r="H520" s="313"/>
      <c r="I520" s="313"/>
      <c r="J520" s="313"/>
      <c r="K520" s="243"/>
      <c r="L520" s="242"/>
      <c r="M520" s="242" t="str">
        <f>IFERROR(_xlfn.XLOOKUP($A520,Input_Raw!$E:$E,Input_Raw!$BM:$BM),"")</f>
        <v/>
      </c>
      <c r="N520" s="242" t="str">
        <f>IFERROR(_xlfn.XLOOKUP($A520,Input_Raw!$E:$E,Input_Raw!$BN:$BN),"")</f>
        <v/>
      </c>
      <c r="O520" s="311" t="str">
        <f t="shared" si="46"/>
        <v/>
      </c>
      <c r="P520" s="311" t="str">
        <f>IFERROR(1-SUMIF(WTG_BD!$F:$F,$A520,WTG_BD!$AA:$AA)/($AA520+SUMIF(WTG_BD!$F:$F,$A520,WTG_BD!$AA:$AA)),"")</f>
        <v/>
      </c>
      <c r="Q520" s="328" t="str">
        <f>IFERROR(1-SUMIF(IGA_BD!$F:$F,$A520,IGA_BD!$W:$W)/($AA520+SUMIF(IGA_BD!$F:$F,$A520,IGA_BD!$W:$W)),"")</f>
        <v/>
      </c>
      <c r="R520" s="47" t="str">
        <f>IFERROR(1-SUMIF(Grid_BD!$F:$F,$A520,Grid_BD!$Y:$Y)/($AA520+SUMIF(Grid_BD!$F:$F,$A520,Grid_BD!$Y:$Y)),"")</f>
        <v/>
      </c>
      <c r="S520" s="10"/>
      <c r="T520" s="310"/>
      <c r="U520" s="311"/>
      <c r="V520" s="10"/>
      <c r="W520" s="312" t="str">
        <f t="shared" si="47"/>
        <v/>
      </c>
      <c r="X520" s="10" t="str">
        <f>IFERROR(_xlfn.XLOOKUP($A520,Input_Raw!$E:$E,Input_Raw!BG:BG),"")</f>
        <v/>
      </c>
      <c r="Y520" s="10" t="str">
        <f>IFERROR(_xlfn.XLOOKUP($A520,Input_Raw!$E:$E,Input_Raw!DF:DF),"")</f>
        <v/>
      </c>
      <c r="Z520" s="319" t="str">
        <f>IFERROR(_xlfn.XLOOKUP(A520,Input_Raw!E:E,Input_Raw!CT:CT)/_xlfn.XLOOKUP(A520,Input_Raw!E:E,Input_Raw!CS:CS)*Table13[[#This Row],[Mtr_Export (kWh)]],"")</f>
        <v/>
      </c>
      <c r="AA520" s="43" t="str">
        <f t="shared" si="48"/>
        <v/>
      </c>
      <c r="AB520" s="10" t="str">
        <f>IFERROR(_xlfn.XLOOKUP($A520,Input_Raw!$E:$E,Input_Raw!$CZ:$CZ),"")</f>
        <v/>
      </c>
      <c r="AC520" s="313" t="str">
        <f>IFERROR(_xlfn.XLOOKUP($D520,'Modelling New'!$D:$D,'Modelling New'!$J:$J),"")</f>
        <v/>
      </c>
      <c r="AD520" s="43" t="str">
        <f>IFERROR(_xlfn.XLOOKUP($D520,'Modelling New'!$D:$D,'Modelling New'!$T:$T)*1000,"")</f>
        <v/>
      </c>
      <c r="AE520" s="312"/>
      <c r="AF520" s="312" t="str">
        <f>IFERROR(_xlfn.XLOOKUP($D520,'Modelling New'!$D:$D,'Modelling New'!$W:$W),"")</f>
        <v/>
      </c>
      <c r="AG520" s="312" t="str">
        <f>IFERROR(_xlfn.XLOOKUP($D520,'Modelling New'!$D:$D,'Modelling New'!$AE:$AE),"")</f>
        <v/>
      </c>
      <c r="AH520" s="312" t="str">
        <f>IFERROR(_xlfn.XLOOKUP($D520,'Modelling New'!$D:$D,'Modelling New'!$AF:$AF),"")</f>
        <v/>
      </c>
      <c r="AI520" s="10" t="str">
        <f>IFERROR(_xlfn.XLOOKUP($A520,Input_Raw!$E:$E,Input_Raw!$DG:$DG),"")</f>
        <v/>
      </c>
      <c r="AJ520" s="10"/>
      <c r="AK520" s="10"/>
      <c r="AL520" s="10"/>
      <c r="AM520" s="10"/>
      <c r="AN520" s="314" t="str">
        <f>IFERROR(_xlfn.XLOOKUP($A520,Input_Raw!$E:$E,Input_Raw!$CY:$CY),"")</f>
        <v/>
      </c>
      <c r="AO520" s="312" t="str">
        <f>IFERROR((_xlfn.XLOOKUP($A520,'WTG Reactive Power'!$A:$A,'WTG Reactive Power'!AB:AB))/X520,"")</f>
        <v/>
      </c>
      <c r="AP520" s="312" t="str">
        <f>IFERROR(_xlfn.XLOOKUP($D520,'Modelling New'!$D:$D,'Modelling New'!AK:AK),"")</f>
        <v/>
      </c>
      <c r="AQ520" s="312" t="str">
        <f>IFERROR(_xlfn.XLOOKUP($D520,'Modelling New'!$D:$D,'Modelling New'!AL:AL),"")</f>
        <v/>
      </c>
      <c r="AR520" s="325" t="str">
        <f>IFERROR(_xlfn.XLOOKUP($D520,'Modelling New'!$D:$D,'Modelling New'!$N:$N),"")</f>
        <v/>
      </c>
      <c r="AS520" s="325"/>
    </row>
    <row r="521" spans="1:45">
      <c r="A521" s="32">
        <f t="shared" ref="A521:A584" si="49">A520+1</f>
        <v>46264</v>
      </c>
      <c r="B521" s="43">
        <f>YEAR(Table13[[#This Row],[Date]])+IF(MONTH(Table13[[#This Row],[Date]])&gt;=4,1,0)</f>
        <v>2027</v>
      </c>
      <c r="C521" s="10">
        <f>YEAR(Table13[[#This Row],[Date]])</f>
        <v>2026</v>
      </c>
      <c r="D521" s="309">
        <f>Table13[[#This Row],[Date]]-DAY(Table13[[#This Row],[Date]])+1</f>
        <v>46235</v>
      </c>
      <c r="E521" s="10">
        <f t="shared" si="45"/>
        <v>31</v>
      </c>
      <c r="F521" s="241" t="str">
        <f>IFERROR(_xlfn.XLOOKUP($A521,Input_Raw!$E:$E,Input_Raw!DC:DC),"")</f>
        <v/>
      </c>
      <c r="G521" s="242"/>
      <c r="H521" s="242"/>
      <c r="I521" s="242"/>
      <c r="J521" s="242"/>
      <c r="K521" s="243"/>
      <c r="L521" s="242"/>
      <c r="M521" s="242" t="str">
        <f>IFERROR(_xlfn.XLOOKUP($A521,Input_Raw!$E:$E,Input_Raw!$BM:$BM),"")</f>
        <v/>
      </c>
      <c r="N521" s="242" t="str">
        <f>IFERROR(_xlfn.XLOOKUP($A521,Input_Raw!$E:$E,Input_Raw!$BN:$BN),"")</f>
        <v/>
      </c>
      <c r="O521" s="311" t="str">
        <f t="shared" si="46"/>
        <v/>
      </c>
      <c r="P521" s="311" t="str">
        <f>IFERROR(1-SUMIF(WTG_BD!$F:$F,$A521,WTG_BD!$AA:$AA)/($AA521+SUMIF(WTG_BD!$F:$F,$A521,WTG_BD!$AA:$AA)),"")</f>
        <v/>
      </c>
      <c r="Q521" s="328" t="str">
        <f>IFERROR(1-SUMIF(IGA_BD!$F:$F,$A521,IGA_BD!$W:$W)/($AA521+SUMIF(IGA_BD!$F:$F,$A521,IGA_BD!$W:$W)),"")</f>
        <v/>
      </c>
      <c r="R521" s="311" t="str">
        <f>IFERROR(1-SUMIF(Grid_BD!$F:$F,$A521,Grid_BD!$Y:$Y)/($AA521+SUMIF(Grid_BD!$F:$F,$A521,Grid_BD!$Y:$Y)),"")</f>
        <v/>
      </c>
      <c r="S521" s="10"/>
      <c r="T521" s="310"/>
      <c r="U521" s="311"/>
      <c r="V521" s="10"/>
      <c r="W521" s="312" t="str">
        <f t="shared" si="47"/>
        <v/>
      </c>
      <c r="X521" s="10" t="str">
        <f>IFERROR(_xlfn.XLOOKUP($A521,Input_Raw!$E:$E,Input_Raw!BG:BG),"")</f>
        <v/>
      </c>
      <c r="Y521" s="10" t="str">
        <f>IFERROR(_xlfn.XLOOKUP($A521,Input_Raw!$E:$E,Input_Raw!DF:DF),"")</f>
        <v/>
      </c>
      <c r="Z521" s="319" t="str">
        <f>IFERROR(_xlfn.XLOOKUP(A521,Input_Raw!E:E,Input_Raw!CT:CT)/_xlfn.XLOOKUP(A521,Input_Raw!E:E,Input_Raw!CS:CS)*Table13[[#This Row],[Mtr_Export (kWh)]],"")</f>
        <v/>
      </c>
      <c r="AA521" s="43" t="str">
        <f t="shared" si="48"/>
        <v/>
      </c>
      <c r="AB521" s="10" t="str">
        <f>IFERROR(_xlfn.XLOOKUP($A521,Input_Raw!$E:$E,Input_Raw!$CZ:$CZ),"")</f>
        <v/>
      </c>
      <c r="AC521" s="313" t="str">
        <f>IFERROR(_xlfn.XLOOKUP($D521,'Modelling New'!$D:$D,'Modelling New'!$J:$J),"")</f>
        <v/>
      </c>
      <c r="AD521" s="43" t="str">
        <f>IFERROR(_xlfn.XLOOKUP($D521,'Modelling New'!$D:$D,'Modelling New'!$T:$T)*1000,"")</f>
        <v/>
      </c>
      <c r="AE521" s="312"/>
      <c r="AF521" s="312" t="str">
        <f>IFERROR(_xlfn.XLOOKUP($D521,'Modelling New'!$D:$D,'Modelling New'!$W:$W),"")</f>
        <v/>
      </c>
      <c r="AG521" s="312" t="str">
        <f>IFERROR(_xlfn.XLOOKUP($D521,'Modelling New'!$D:$D,'Modelling New'!$AE:$AE),"")</f>
        <v/>
      </c>
      <c r="AH521" s="312" t="str">
        <f>IFERROR(_xlfn.XLOOKUP($D521,'Modelling New'!$D:$D,'Modelling New'!$AF:$AF),"")</f>
        <v/>
      </c>
      <c r="AI521" s="10" t="str">
        <f>IFERROR(_xlfn.XLOOKUP($A521,Input_Raw!$E:$E,Input_Raw!$DG:$DG),"")</f>
        <v/>
      </c>
      <c r="AJ521" s="10"/>
      <c r="AK521" s="10"/>
      <c r="AL521" s="10"/>
      <c r="AM521" s="10"/>
      <c r="AN521" s="314" t="str">
        <f>IFERROR(_xlfn.XLOOKUP($A521,Input_Raw!$E:$E,Input_Raw!$CY:$CY),"")</f>
        <v/>
      </c>
      <c r="AO521" s="312" t="str">
        <f>IFERROR((_xlfn.XLOOKUP($A521,'WTG Reactive Power'!$A:$A,'WTG Reactive Power'!AB:AB))/X521,"")</f>
        <v/>
      </c>
      <c r="AP521" s="312" t="str">
        <f>IFERROR(_xlfn.XLOOKUP($D521,'Modelling New'!$D:$D,'Modelling New'!AK:AK),"")</f>
        <v/>
      </c>
      <c r="AQ521" s="312" t="str">
        <f>IFERROR(_xlfn.XLOOKUP($D521,'Modelling New'!$D:$D,'Modelling New'!AL:AL),"")</f>
        <v/>
      </c>
      <c r="AR521" s="325" t="str">
        <f>IFERROR(_xlfn.XLOOKUP($D521,'Modelling New'!$D:$D,'Modelling New'!$N:$N),"")</f>
        <v/>
      </c>
      <c r="AS521" s="325"/>
    </row>
    <row r="522" spans="1:45">
      <c r="A522" s="32">
        <f t="shared" si="49"/>
        <v>46265</v>
      </c>
      <c r="B522" s="43">
        <f>YEAR(Table13[[#This Row],[Date]])+IF(MONTH(Table13[[#This Row],[Date]])&gt;=4,1,0)</f>
        <v>2027</v>
      </c>
      <c r="C522" s="10">
        <f>YEAR(Table13[[#This Row],[Date]])</f>
        <v>2026</v>
      </c>
      <c r="D522" s="309">
        <f>Table13[[#This Row],[Date]]-DAY(Table13[[#This Row],[Date]])+1</f>
        <v>46235</v>
      </c>
      <c r="E522" s="10">
        <f t="shared" si="45"/>
        <v>31</v>
      </c>
      <c r="F522" s="241" t="str">
        <f>IFERROR(_xlfn.XLOOKUP($A522,Input_Raw!$E:$E,Input_Raw!DC:DC),"")</f>
        <v/>
      </c>
      <c r="G522" s="313"/>
      <c r="H522" s="313"/>
      <c r="I522" s="313"/>
      <c r="J522" s="313"/>
      <c r="K522" s="243"/>
      <c r="L522" s="242"/>
      <c r="M522" s="242" t="str">
        <f>IFERROR(_xlfn.XLOOKUP($A522,Input_Raw!$E:$E,Input_Raw!$BM:$BM),"")</f>
        <v/>
      </c>
      <c r="N522" s="242" t="str">
        <f>IFERROR(_xlfn.XLOOKUP($A522,Input_Raw!$E:$E,Input_Raw!$BN:$BN),"")</f>
        <v/>
      </c>
      <c r="O522" s="311" t="str">
        <f t="shared" si="46"/>
        <v/>
      </c>
      <c r="P522" s="311" t="str">
        <f>IFERROR(1-SUMIF(WTG_BD!$F:$F,$A522,WTG_BD!$AA:$AA)/($AA522+SUMIF(WTG_BD!$F:$F,$A522,WTG_BD!$AA:$AA)),"")</f>
        <v/>
      </c>
      <c r="Q522" s="328" t="str">
        <f>IFERROR(1-SUMIF(IGA_BD!$F:$F,$A522,IGA_BD!$W:$W)/($AA522+SUMIF(IGA_BD!$F:$F,$A522,IGA_BD!$W:$W)),"")</f>
        <v/>
      </c>
      <c r="R522" s="47" t="str">
        <f>IFERROR(1-SUMIF(Grid_BD!$F:$F,$A522,Grid_BD!$Y:$Y)/($AA522+SUMIF(Grid_BD!$F:$F,$A522,Grid_BD!$Y:$Y)),"")</f>
        <v/>
      </c>
      <c r="S522" s="10"/>
      <c r="T522" s="310"/>
      <c r="U522" s="311"/>
      <c r="V522" s="10"/>
      <c r="W522" s="312" t="str">
        <f t="shared" si="47"/>
        <v/>
      </c>
      <c r="X522" s="10" t="str">
        <f>IFERROR(_xlfn.XLOOKUP($A522,Input_Raw!$E:$E,Input_Raw!BG:BG),"")</f>
        <v/>
      </c>
      <c r="Y522" s="10" t="str">
        <f>IFERROR(_xlfn.XLOOKUP($A522,Input_Raw!$E:$E,Input_Raw!DF:DF),"")</f>
        <v/>
      </c>
      <c r="Z522" s="319" t="str">
        <f>IFERROR(_xlfn.XLOOKUP(A522,Input_Raw!E:E,Input_Raw!CT:CT)/_xlfn.XLOOKUP(A522,Input_Raw!E:E,Input_Raw!CS:CS)*Table13[[#This Row],[Mtr_Export (kWh)]],"")</f>
        <v/>
      </c>
      <c r="AA522" s="43" t="str">
        <f t="shared" si="48"/>
        <v/>
      </c>
      <c r="AB522" s="10" t="str">
        <f>IFERROR(_xlfn.XLOOKUP($A522,Input_Raw!$E:$E,Input_Raw!$CZ:$CZ),"")</f>
        <v/>
      </c>
      <c r="AC522" s="313" t="str">
        <f>IFERROR(_xlfn.XLOOKUP($D522,'Modelling New'!$D:$D,'Modelling New'!$J:$J),"")</f>
        <v/>
      </c>
      <c r="AD522" s="43" t="str">
        <f>IFERROR(_xlfn.XLOOKUP($D522,'Modelling New'!$D:$D,'Modelling New'!$T:$T)*1000,"")</f>
        <v/>
      </c>
      <c r="AE522" s="312"/>
      <c r="AF522" s="312" t="str">
        <f>IFERROR(_xlfn.XLOOKUP($D522,'Modelling New'!$D:$D,'Modelling New'!$W:$W),"")</f>
        <v/>
      </c>
      <c r="AG522" s="312" t="str">
        <f>IFERROR(_xlfn.XLOOKUP($D522,'Modelling New'!$D:$D,'Modelling New'!$AE:$AE),"")</f>
        <v/>
      </c>
      <c r="AH522" s="312" t="str">
        <f>IFERROR(_xlfn.XLOOKUP($D522,'Modelling New'!$D:$D,'Modelling New'!$AF:$AF),"")</f>
        <v/>
      </c>
      <c r="AI522" s="10" t="str">
        <f>IFERROR(_xlfn.XLOOKUP($A522,Input_Raw!$E:$E,Input_Raw!$DG:$DG),"")</f>
        <v/>
      </c>
      <c r="AJ522" s="10"/>
      <c r="AK522" s="10"/>
      <c r="AL522" s="10"/>
      <c r="AM522" s="10"/>
      <c r="AN522" s="314" t="str">
        <f>IFERROR(_xlfn.XLOOKUP($A522,Input_Raw!$E:$E,Input_Raw!$CY:$CY),"")</f>
        <v/>
      </c>
      <c r="AO522" s="312" t="str">
        <f>IFERROR((_xlfn.XLOOKUP($A522,'WTG Reactive Power'!$A:$A,'WTG Reactive Power'!AB:AB))/X522,"")</f>
        <v/>
      </c>
      <c r="AP522" s="312" t="str">
        <f>IFERROR(_xlfn.XLOOKUP($D522,'Modelling New'!$D:$D,'Modelling New'!AK:AK),"")</f>
        <v/>
      </c>
      <c r="AQ522" s="312" t="str">
        <f>IFERROR(_xlfn.XLOOKUP($D522,'Modelling New'!$D:$D,'Modelling New'!AL:AL),"")</f>
        <v/>
      </c>
      <c r="AR522" s="325" t="str">
        <f>IFERROR(_xlfn.XLOOKUP($D522,'Modelling New'!$D:$D,'Modelling New'!$N:$N),"")</f>
        <v/>
      </c>
      <c r="AS522" s="325"/>
    </row>
    <row r="523" spans="1:45">
      <c r="A523" s="32">
        <f t="shared" si="49"/>
        <v>46266</v>
      </c>
      <c r="B523" s="43">
        <f>YEAR(Table13[[#This Row],[Date]])+IF(MONTH(Table13[[#This Row],[Date]])&gt;=4,1,0)</f>
        <v>2027</v>
      </c>
      <c r="C523" s="10">
        <f>YEAR(Table13[[#This Row],[Date]])</f>
        <v>2026</v>
      </c>
      <c r="D523" s="309">
        <f>Table13[[#This Row],[Date]]-DAY(Table13[[#This Row],[Date]])+1</f>
        <v>46266</v>
      </c>
      <c r="E523" s="10">
        <f t="shared" si="45"/>
        <v>30</v>
      </c>
      <c r="F523" s="241" t="str">
        <f>IFERROR(_xlfn.XLOOKUP($A523,Input_Raw!$E:$E,Input_Raw!DC:DC),"")</f>
        <v/>
      </c>
      <c r="G523" s="242"/>
      <c r="H523" s="242"/>
      <c r="I523" s="242"/>
      <c r="J523" s="242"/>
      <c r="K523" s="243"/>
      <c r="L523" s="242"/>
      <c r="M523" s="242" t="str">
        <f>IFERROR(_xlfn.XLOOKUP($A523,Input_Raw!$E:$E,Input_Raw!$BM:$BM),"")</f>
        <v/>
      </c>
      <c r="N523" s="242" t="str">
        <f>IFERROR(_xlfn.XLOOKUP($A523,Input_Raw!$E:$E,Input_Raw!$BN:$BN),"")</f>
        <v/>
      </c>
      <c r="O523" s="311" t="str">
        <f t="shared" si="46"/>
        <v/>
      </c>
      <c r="P523" s="311" t="str">
        <f>IFERROR(1-SUMIF(WTG_BD!$F:$F,$A523,WTG_BD!$AA:$AA)/($AA523+SUMIF(WTG_BD!$F:$F,$A523,WTG_BD!$AA:$AA)),"")</f>
        <v/>
      </c>
      <c r="Q523" s="328" t="str">
        <f>IFERROR(1-SUMIF(IGA_BD!$F:$F,$A523,IGA_BD!$W:$W)/($AA523+SUMIF(IGA_BD!$F:$F,$A523,IGA_BD!$W:$W)),"")</f>
        <v/>
      </c>
      <c r="R523" s="311" t="str">
        <f>IFERROR(1-SUMIF(Grid_BD!$F:$F,$A523,Grid_BD!$Y:$Y)/($AA523+SUMIF(Grid_BD!$F:$F,$A523,Grid_BD!$Y:$Y)),"")</f>
        <v/>
      </c>
      <c r="S523" s="10"/>
      <c r="T523" s="310"/>
      <c r="U523" s="311"/>
      <c r="V523" s="10"/>
      <c r="W523" s="312" t="str">
        <f t="shared" si="47"/>
        <v/>
      </c>
      <c r="X523" s="10" t="str">
        <f>IFERROR(_xlfn.XLOOKUP($A523,Input_Raw!$E:$E,Input_Raw!BG:BG),"")</f>
        <v/>
      </c>
      <c r="Y523" s="10" t="str">
        <f>IFERROR(_xlfn.XLOOKUP($A523,Input_Raw!$E:$E,Input_Raw!DF:DF),"")</f>
        <v/>
      </c>
      <c r="Z523" s="319" t="str">
        <f>IFERROR(_xlfn.XLOOKUP(A523,Input_Raw!E:E,Input_Raw!CT:CT)/_xlfn.XLOOKUP(A523,Input_Raw!E:E,Input_Raw!CS:CS)*Table13[[#This Row],[Mtr_Export (kWh)]],"")</f>
        <v/>
      </c>
      <c r="AA523" s="43" t="str">
        <f t="shared" si="48"/>
        <v/>
      </c>
      <c r="AB523" s="10" t="str">
        <f>IFERROR(_xlfn.XLOOKUP($A523,Input_Raw!$E:$E,Input_Raw!$CZ:$CZ),"")</f>
        <v/>
      </c>
      <c r="AC523" s="313" t="str">
        <f>IFERROR(_xlfn.XLOOKUP($D523,'Modelling New'!$D:$D,'Modelling New'!$J:$J),"")</f>
        <v/>
      </c>
      <c r="AD523" s="43" t="str">
        <f>IFERROR(_xlfn.XLOOKUP($D523,'Modelling New'!$D:$D,'Modelling New'!$T:$T)*1000,"")</f>
        <v/>
      </c>
      <c r="AE523" s="312"/>
      <c r="AF523" s="312" t="str">
        <f>IFERROR(_xlfn.XLOOKUP($D523,'Modelling New'!$D:$D,'Modelling New'!$W:$W),"")</f>
        <v/>
      </c>
      <c r="AG523" s="312" t="str">
        <f>IFERROR(_xlfn.XLOOKUP($D523,'Modelling New'!$D:$D,'Modelling New'!$AE:$AE),"")</f>
        <v/>
      </c>
      <c r="AH523" s="312" t="str">
        <f>IFERROR(_xlfn.XLOOKUP($D523,'Modelling New'!$D:$D,'Modelling New'!$AF:$AF),"")</f>
        <v/>
      </c>
      <c r="AI523" s="10" t="str">
        <f>IFERROR(_xlfn.XLOOKUP($A523,Input_Raw!$E:$E,Input_Raw!$DG:$DG),"")</f>
        <v/>
      </c>
      <c r="AJ523" s="10"/>
      <c r="AK523" s="10"/>
      <c r="AL523" s="10"/>
      <c r="AM523" s="10"/>
      <c r="AN523" s="314" t="str">
        <f>IFERROR(_xlfn.XLOOKUP($A523,Input_Raw!$E:$E,Input_Raw!$CY:$CY),"")</f>
        <v/>
      </c>
      <c r="AO523" s="312" t="str">
        <f>IFERROR((_xlfn.XLOOKUP($A523,'WTG Reactive Power'!$A:$A,'WTG Reactive Power'!AB:AB))/X523,"")</f>
        <v/>
      </c>
      <c r="AP523" s="312" t="str">
        <f>IFERROR(_xlfn.XLOOKUP($D523,'Modelling New'!$D:$D,'Modelling New'!AK:AK),"")</f>
        <v/>
      </c>
      <c r="AQ523" s="312" t="str">
        <f>IFERROR(_xlfn.XLOOKUP($D523,'Modelling New'!$D:$D,'Modelling New'!AL:AL),"")</f>
        <v/>
      </c>
      <c r="AR523" s="325" t="str">
        <f>IFERROR(_xlfn.XLOOKUP($D523,'Modelling New'!$D:$D,'Modelling New'!$N:$N),"")</f>
        <v/>
      </c>
      <c r="AS523" s="325"/>
    </row>
    <row r="524" spans="1:45">
      <c r="A524" s="32">
        <f t="shared" si="49"/>
        <v>46267</v>
      </c>
      <c r="B524" s="43">
        <f>YEAR(Table13[[#This Row],[Date]])+IF(MONTH(Table13[[#This Row],[Date]])&gt;=4,1,0)</f>
        <v>2027</v>
      </c>
      <c r="C524" s="10">
        <f>YEAR(Table13[[#This Row],[Date]])</f>
        <v>2026</v>
      </c>
      <c r="D524" s="309">
        <f>Table13[[#This Row],[Date]]-DAY(Table13[[#This Row],[Date]])+1</f>
        <v>46266</v>
      </c>
      <c r="E524" s="10">
        <f t="shared" si="45"/>
        <v>30</v>
      </c>
      <c r="F524" s="241" t="str">
        <f>IFERROR(_xlfn.XLOOKUP($A524,Input_Raw!$E:$E,Input_Raw!DC:DC),"")</f>
        <v/>
      </c>
      <c r="G524" s="313"/>
      <c r="H524" s="313"/>
      <c r="I524" s="313"/>
      <c r="J524" s="313"/>
      <c r="K524" s="243"/>
      <c r="L524" s="242"/>
      <c r="M524" s="242" t="str">
        <f>IFERROR(_xlfn.XLOOKUP($A524,Input_Raw!$E:$E,Input_Raw!$BM:$BM),"")</f>
        <v/>
      </c>
      <c r="N524" s="242" t="str">
        <f>IFERROR(_xlfn.XLOOKUP($A524,Input_Raw!$E:$E,Input_Raw!$BN:$BN),"")</f>
        <v/>
      </c>
      <c r="O524" s="311" t="str">
        <f t="shared" si="46"/>
        <v/>
      </c>
      <c r="P524" s="311" t="str">
        <f>IFERROR(1-SUMIF(WTG_BD!$F:$F,$A524,WTG_BD!$AA:$AA)/($AA524+SUMIF(WTG_BD!$F:$F,$A524,WTG_BD!$AA:$AA)),"")</f>
        <v/>
      </c>
      <c r="Q524" s="328" t="str">
        <f>IFERROR(1-SUMIF(IGA_BD!$F:$F,$A524,IGA_BD!$W:$W)/($AA524+SUMIF(IGA_BD!$F:$F,$A524,IGA_BD!$W:$W)),"")</f>
        <v/>
      </c>
      <c r="R524" s="47" t="str">
        <f>IFERROR(1-SUMIF(Grid_BD!$F:$F,$A524,Grid_BD!$Y:$Y)/($AA524+SUMIF(Grid_BD!$F:$F,$A524,Grid_BD!$Y:$Y)),"")</f>
        <v/>
      </c>
      <c r="S524" s="10"/>
      <c r="T524" s="310"/>
      <c r="U524" s="311"/>
      <c r="V524" s="10"/>
      <c r="W524" s="312" t="str">
        <f t="shared" si="47"/>
        <v/>
      </c>
      <c r="X524" s="10" t="str">
        <f>IFERROR(_xlfn.XLOOKUP($A524,Input_Raw!$E:$E,Input_Raw!BG:BG),"")</f>
        <v/>
      </c>
      <c r="Y524" s="10" t="str">
        <f>IFERROR(_xlfn.XLOOKUP($A524,Input_Raw!$E:$E,Input_Raw!DF:DF),"")</f>
        <v/>
      </c>
      <c r="Z524" s="319" t="str">
        <f>IFERROR(_xlfn.XLOOKUP(A524,Input_Raw!E:E,Input_Raw!CT:CT)/_xlfn.XLOOKUP(A524,Input_Raw!E:E,Input_Raw!CS:CS)*Table13[[#This Row],[Mtr_Export (kWh)]],"")</f>
        <v/>
      </c>
      <c r="AA524" s="43" t="str">
        <f t="shared" si="48"/>
        <v/>
      </c>
      <c r="AB524" s="10" t="str">
        <f>IFERROR(_xlfn.XLOOKUP($A524,Input_Raw!$E:$E,Input_Raw!$CZ:$CZ),"")</f>
        <v/>
      </c>
      <c r="AC524" s="313" t="str">
        <f>IFERROR(_xlfn.XLOOKUP($D524,'Modelling New'!$D:$D,'Modelling New'!$J:$J),"")</f>
        <v/>
      </c>
      <c r="AD524" s="43" t="str">
        <f>IFERROR(_xlfn.XLOOKUP($D524,'Modelling New'!$D:$D,'Modelling New'!$T:$T)*1000,"")</f>
        <v/>
      </c>
      <c r="AE524" s="312"/>
      <c r="AF524" s="312" t="str">
        <f>IFERROR(_xlfn.XLOOKUP($D524,'Modelling New'!$D:$D,'Modelling New'!$W:$W),"")</f>
        <v/>
      </c>
      <c r="AG524" s="312" t="str">
        <f>IFERROR(_xlfn.XLOOKUP($D524,'Modelling New'!$D:$D,'Modelling New'!$AE:$AE),"")</f>
        <v/>
      </c>
      <c r="AH524" s="312" t="str">
        <f>IFERROR(_xlfn.XLOOKUP($D524,'Modelling New'!$D:$D,'Modelling New'!$AF:$AF),"")</f>
        <v/>
      </c>
      <c r="AI524" s="10" t="str">
        <f>IFERROR(_xlfn.XLOOKUP($A524,Input_Raw!$E:$E,Input_Raw!$DG:$DG),"")</f>
        <v/>
      </c>
      <c r="AJ524" s="10"/>
      <c r="AK524" s="10"/>
      <c r="AL524" s="10"/>
      <c r="AM524" s="10"/>
      <c r="AN524" s="314" t="str">
        <f>IFERROR(_xlfn.XLOOKUP($A524,Input_Raw!$E:$E,Input_Raw!$CY:$CY),"")</f>
        <v/>
      </c>
      <c r="AO524" s="312" t="str">
        <f>IFERROR((_xlfn.XLOOKUP($A524,'WTG Reactive Power'!$A:$A,'WTG Reactive Power'!AB:AB))/X524,"")</f>
        <v/>
      </c>
      <c r="AP524" s="312" t="str">
        <f>IFERROR(_xlfn.XLOOKUP($D524,'Modelling New'!$D:$D,'Modelling New'!AK:AK),"")</f>
        <v/>
      </c>
      <c r="AQ524" s="312" t="str">
        <f>IFERROR(_xlfn.XLOOKUP($D524,'Modelling New'!$D:$D,'Modelling New'!AL:AL),"")</f>
        <v/>
      </c>
      <c r="AR524" s="325" t="str">
        <f>IFERROR(_xlfn.XLOOKUP($D524,'Modelling New'!$D:$D,'Modelling New'!$N:$N),"")</f>
        <v/>
      </c>
      <c r="AS524" s="325"/>
    </row>
    <row r="525" spans="1:45">
      <c r="A525" s="32">
        <f t="shared" si="49"/>
        <v>46268</v>
      </c>
      <c r="B525" s="43">
        <f>YEAR(Table13[[#This Row],[Date]])+IF(MONTH(Table13[[#This Row],[Date]])&gt;=4,1,0)</f>
        <v>2027</v>
      </c>
      <c r="C525" s="10">
        <f>YEAR(Table13[[#This Row],[Date]])</f>
        <v>2026</v>
      </c>
      <c r="D525" s="309">
        <f>Table13[[#This Row],[Date]]-DAY(Table13[[#This Row],[Date]])+1</f>
        <v>46266</v>
      </c>
      <c r="E525" s="10">
        <f t="shared" si="45"/>
        <v>30</v>
      </c>
      <c r="F525" s="241" t="str">
        <f>IFERROR(_xlfn.XLOOKUP($A525,Input_Raw!$E:$E,Input_Raw!DC:DC),"")</f>
        <v/>
      </c>
      <c r="G525" s="242"/>
      <c r="H525" s="242"/>
      <c r="I525" s="242"/>
      <c r="J525" s="242"/>
      <c r="K525" s="243"/>
      <c r="L525" s="242"/>
      <c r="M525" s="242" t="str">
        <f>IFERROR(_xlfn.XLOOKUP($A525,Input_Raw!$E:$E,Input_Raw!$BM:$BM),"")</f>
        <v/>
      </c>
      <c r="N525" s="242" t="str">
        <f>IFERROR(_xlfn.XLOOKUP($A525,Input_Raw!$E:$E,Input_Raw!$BN:$BN),"")</f>
        <v/>
      </c>
      <c r="O525" s="311" t="str">
        <f t="shared" si="46"/>
        <v/>
      </c>
      <c r="P525" s="311" t="str">
        <f>IFERROR(1-SUMIF(WTG_BD!$F:$F,$A525,WTG_BD!$AA:$AA)/($AA525+SUMIF(WTG_BD!$F:$F,$A525,WTG_BD!$AA:$AA)),"")</f>
        <v/>
      </c>
      <c r="Q525" s="328" t="str">
        <f>IFERROR(1-SUMIF(IGA_BD!$F:$F,$A525,IGA_BD!$W:$W)/($AA525+SUMIF(IGA_BD!$F:$F,$A525,IGA_BD!$W:$W)),"")</f>
        <v/>
      </c>
      <c r="R525" s="311" t="str">
        <f>IFERROR(1-SUMIF(Grid_BD!$F:$F,$A525,Grid_BD!$Y:$Y)/($AA525+SUMIF(Grid_BD!$F:$F,$A525,Grid_BD!$Y:$Y)),"")</f>
        <v/>
      </c>
      <c r="S525" s="10"/>
      <c r="T525" s="310"/>
      <c r="U525" s="311"/>
      <c r="V525" s="10"/>
      <c r="W525" s="312" t="str">
        <f t="shared" si="47"/>
        <v/>
      </c>
      <c r="X525" s="10" t="str">
        <f>IFERROR(_xlfn.XLOOKUP($A525,Input_Raw!$E:$E,Input_Raw!BG:BG),"")</f>
        <v/>
      </c>
      <c r="Y525" s="10" t="str">
        <f>IFERROR(_xlfn.XLOOKUP($A525,Input_Raw!$E:$E,Input_Raw!DF:DF),"")</f>
        <v/>
      </c>
      <c r="Z525" s="319" t="str">
        <f>IFERROR(_xlfn.XLOOKUP(A525,Input_Raw!E:E,Input_Raw!CT:CT)/_xlfn.XLOOKUP(A525,Input_Raw!E:E,Input_Raw!CS:CS)*Table13[[#This Row],[Mtr_Export (kWh)]],"")</f>
        <v/>
      </c>
      <c r="AA525" s="43" t="str">
        <f t="shared" si="48"/>
        <v/>
      </c>
      <c r="AB525" s="10" t="str">
        <f>IFERROR(_xlfn.XLOOKUP($A525,Input_Raw!$E:$E,Input_Raw!$CZ:$CZ),"")</f>
        <v/>
      </c>
      <c r="AC525" s="313" t="str">
        <f>IFERROR(_xlfn.XLOOKUP($D525,'Modelling New'!$D:$D,'Modelling New'!$J:$J),"")</f>
        <v/>
      </c>
      <c r="AD525" s="43" t="str">
        <f>IFERROR(_xlfn.XLOOKUP($D525,'Modelling New'!$D:$D,'Modelling New'!$T:$T)*1000,"")</f>
        <v/>
      </c>
      <c r="AE525" s="312"/>
      <c r="AF525" s="312" t="str">
        <f>IFERROR(_xlfn.XLOOKUP($D525,'Modelling New'!$D:$D,'Modelling New'!$W:$W),"")</f>
        <v/>
      </c>
      <c r="AG525" s="312" t="str">
        <f>IFERROR(_xlfn.XLOOKUP($D525,'Modelling New'!$D:$D,'Modelling New'!$AE:$AE),"")</f>
        <v/>
      </c>
      <c r="AH525" s="312" t="str">
        <f>IFERROR(_xlfn.XLOOKUP($D525,'Modelling New'!$D:$D,'Modelling New'!$AF:$AF),"")</f>
        <v/>
      </c>
      <c r="AI525" s="10" t="str">
        <f>IFERROR(_xlfn.XLOOKUP($A525,Input_Raw!$E:$E,Input_Raw!$DG:$DG),"")</f>
        <v/>
      </c>
      <c r="AJ525" s="10"/>
      <c r="AK525" s="10"/>
      <c r="AL525" s="10"/>
      <c r="AM525" s="10"/>
      <c r="AN525" s="314" t="str">
        <f>IFERROR(_xlfn.XLOOKUP($A525,Input_Raw!$E:$E,Input_Raw!$CY:$CY),"")</f>
        <v/>
      </c>
      <c r="AO525" s="312" t="str">
        <f>IFERROR((_xlfn.XLOOKUP($A525,'WTG Reactive Power'!$A:$A,'WTG Reactive Power'!AB:AB))/X525,"")</f>
        <v/>
      </c>
      <c r="AP525" s="312" t="str">
        <f>IFERROR(_xlfn.XLOOKUP($D525,'Modelling New'!$D:$D,'Modelling New'!AK:AK),"")</f>
        <v/>
      </c>
      <c r="AQ525" s="312" t="str">
        <f>IFERROR(_xlfn.XLOOKUP($D525,'Modelling New'!$D:$D,'Modelling New'!AL:AL),"")</f>
        <v/>
      </c>
      <c r="AR525" s="325" t="str">
        <f>IFERROR(_xlfn.XLOOKUP($D525,'Modelling New'!$D:$D,'Modelling New'!$N:$N),"")</f>
        <v/>
      </c>
      <c r="AS525" s="325"/>
    </row>
    <row r="526" spans="1:45">
      <c r="A526" s="32">
        <f t="shared" si="49"/>
        <v>46269</v>
      </c>
      <c r="B526" s="43">
        <f>YEAR(Table13[[#This Row],[Date]])+IF(MONTH(Table13[[#This Row],[Date]])&gt;=4,1,0)</f>
        <v>2027</v>
      </c>
      <c r="C526" s="10">
        <f>YEAR(Table13[[#This Row],[Date]])</f>
        <v>2026</v>
      </c>
      <c r="D526" s="309">
        <f>Table13[[#This Row],[Date]]-DAY(Table13[[#This Row],[Date]])+1</f>
        <v>46266</v>
      </c>
      <c r="E526" s="10">
        <f t="shared" si="45"/>
        <v>30</v>
      </c>
      <c r="F526" s="241" t="str">
        <f>IFERROR(_xlfn.XLOOKUP($A526,Input_Raw!$E:$E,Input_Raw!DC:DC),"")</f>
        <v/>
      </c>
      <c r="G526" s="313"/>
      <c r="H526" s="313"/>
      <c r="I526" s="313"/>
      <c r="J526" s="313"/>
      <c r="K526" s="243"/>
      <c r="L526" s="242"/>
      <c r="M526" s="242" t="str">
        <f>IFERROR(_xlfn.XLOOKUP($A526,Input_Raw!$E:$E,Input_Raw!$BM:$BM),"")</f>
        <v/>
      </c>
      <c r="N526" s="242" t="str">
        <f>IFERROR(_xlfn.XLOOKUP($A526,Input_Raw!$E:$E,Input_Raw!$BN:$BN),"")</f>
        <v/>
      </c>
      <c r="O526" s="311" t="str">
        <f t="shared" si="46"/>
        <v/>
      </c>
      <c r="P526" s="311" t="str">
        <f>IFERROR(1-SUMIF(WTG_BD!$F:$F,$A526,WTG_BD!$AA:$AA)/($AA526+SUMIF(WTG_BD!$F:$F,$A526,WTG_BD!$AA:$AA)),"")</f>
        <v/>
      </c>
      <c r="Q526" s="328" t="str">
        <f>IFERROR(1-SUMIF(IGA_BD!$F:$F,$A526,IGA_BD!$W:$W)/($AA526+SUMIF(IGA_BD!$F:$F,$A526,IGA_BD!$W:$W)),"")</f>
        <v/>
      </c>
      <c r="R526" s="47" t="str">
        <f>IFERROR(1-SUMIF(Grid_BD!$F:$F,$A526,Grid_BD!$Y:$Y)/($AA526+SUMIF(Grid_BD!$F:$F,$A526,Grid_BD!$Y:$Y)),"")</f>
        <v/>
      </c>
      <c r="S526" s="10"/>
      <c r="T526" s="310"/>
      <c r="U526" s="311"/>
      <c r="V526" s="10"/>
      <c r="W526" s="312" t="str">
        <f t="shared" si="47"/>
        <v/>
      </c>
      <c r="X526" s="10" t="str">
        <f>IFERROR(_xlfn.XLOOKUP($A526,Input_Raw!$E:$E,Input_Raw!BG:BG),"")</f>
        <v/>
      </c>
      <c r="Y526" s="10" t="str">
        <f>IFERROR(_xlfn.XLOOKUP($A526,Input_Raw!$E:$E,Input_Raw!DF:DF),"")</f>
        <v/>
      </c>
      <c r="Z526" s="319" t="str">
        <f>IFERROR(_xlfn.XLOOKUP(A526,Input_Raw!E:E,Input_Raw!CT:CT)/_xlfn.XLOOKUP(A526,Input_Raw!E:E,Input_Raw!CS:CS)*Table13[[#This Row],[Mtr_Export (kWh)]],"")</f>
        <v/>
      </c>
      <c r="AA526" s="43" t="str">
        <f t="shared" si="48"/>
        <v/>
      </c>
      <c r="AB526" s="10" t="str">
        <f>IFERROR(_xlfn.XLOOKUP($A526,Input_Raw!$E:$E,Input_Raw!$CZ:$CZ),"")</f>
        <v/>
      </c>
      <c r="AC526" s="313" t="str">
        <f>IFERROR(_xlfn.XLOOKUP($D526,'Modelling New'!$D:$D,'Modelling New'!$J:$J),"")</f>
        <v/>
      </c>
      <c r="AD526" s="43" t="str">
        <f>IFERROR(_xlfn.XLOOKUP($D526,'Modelling New'!$D:$D,'Modelling New'!$T:$T)*1000,"")</f>
        <v/>
      </c>
      <c r="AE526" s="312"/>
      <c r="AF526" s="312" t="str">
        <f>IFERROR(_xlfn.XLOOKUP($D526,'Modelling New'!$D:$D,'Modelling New'!$W:$W),"")</f>
        <v/>
      </c>
      <c r="AG526" s="312" t="str">
        <f>IFERROR(_xlfn.XLOOKUP($D526,'Modelling New'!$D:$D,'Modelling New'!$AE:$AE),"")</f>
        <v/>
      </c>
      <c r="AH526" s="312" t="str">
        <f>IFERROR(_xlfn.XLOOKUP($D526,'Modelling New'!$D:$D,'Modelling New'!$AF:$AF),"")</f>
        <v/>
      </c>
      <c r="AI526" s="10" t="str">
        <f>IFERROR(_xlfn.XLOOKUP($A526,Input_Raw!$E:$E,Input_Raw!$DG:$DG),"")</f>
        <v/>
      </c>
      <c r="AJ526" s="10"/>
      <c r="AK526" s="10"/>
      <c r="AL526" s="10"/>
      <c r="AM526" s="10"/>
      <c r="AN526" s="314" t="str">
        <f>IFERROR(_xlfn.XLOOKUP($A526,Input_Raw!$E:$E,Input_Raw!$CY:$CY),"")</f>
        <v/>
      </c>
      <c r="AO526" s="312" t="str">
        <f>IFERROR((_xlfn.XLOOKUP($A526,'WTG Reactive Power'!$A:$A,'WTG Reactive Power'!AB:AB))/X526,"")</f>
        <v/>
      </c>
      <c r="AP526" s="312" t="str">
        <f>IFERROR(_xlfn.XLOOKUP($D526,'Modelling New'!$D:$D,'Modelling New'!AK:AK),"")</f>
        <v/>
      </c>
      <c r="AQ526" s="312" t="str">
        <f>IFERROR(_xlfn.XLOOKUP($D526,'Modelling New'!$D:$D,'Modelling New'!AL:AL),"")</f>
        <v/>
      </c>
      <c r="AR526" s="325" t="str">
        <f>IFERROR(_xlfn.XLOOKUP($D526,'Modelling New'!$D:$D,'Modelling New'!$N:$N),"")</f>
        <v/>
      </c>
      <c r="AS526" s="325"/>
    </row>
    <row r="527" spans="1:45">
      <c r="A527" s="32">
        <f t="shared" si="49"/>
        <v>46270</v>
      </c>
      <c r="B527" s="43">
        <f>YEAR(Table13[[#This Row],[Date]])+IF(MONTH(Table13[[#This Row],[Date]])&gt;=4,1,0)</f>
        <v>2027</v>
      </c>
      <c r="C527" s="10">
        <f>YEAR(Table13[[#This Row],[Date]])</f>
        <v>2026</v>
      </c>
      <c r="D527" s="309">
        <f>Table13[[#This Row],[Date]]-DAY(Table13[[#This Row],[Date]])+1</f>
        <v>46266</v>
      </c>
      <c r="E527" s="10">
        <f t="shared" si="45"/>
        <v>30</v>
      </c>
      <c r="F527" s="241" t="str">
        <f>IFERROR(_xlfn.XLOOKUP($A527,Input_Raw!$E:$E,Input_Raw!DC:DC),"")</f>
        <v/>
      </c>
      <c r="G527" s="242"/>
      <c r="H527" s="242"/>
      <c r="I527" s="242"/>
      <c r="J527" s="242"/>
      <c r="K527" s="243"/>
      <c r="L527" s="242"/>
      <c r="M527" s="242" t="str">
        <f>IFERROR(_xlfn.XLOOKUP($A527,Input_Raw!$E:$E,Input_Raw!$BM:$BM),"")</f>
        <v/>
      </c>
      <c r="N527" s="242" t="str">
        <f>IFERROR(_xlfn.XLOOKUP($A527,Input_Raw!$E:$E,Input_Raw!$BN:$BN),"")</f>
        <v/>
      </c>
      <c r="O527" s="311" t="str">
        <f t="shared" si="46"/>
        <v/>
      </c>
      <c r="P527" s="311" t="str">
        <f>IFERROR(1-SUMIF(WTG_BD!$F:$F,$A527,WTG_BD!$AA:$AA)/($AA527+SUMIF(WTG_BD!$F:$F,$A527,WTG_BD!$AA:$AA)),"")</f>
        <v/>
      </c>
      <c r="Q527" s="328" t="str">
        <f>IFERROR(1-SUMIF(IGA_BD!$F:$F,$A527,IGA_BD!$W:$W)/($AA527+SUMIF(IGA_BD!$F:$F,$A527,IGA_BD!$W:$W)),"")</f>
        <v/>
      </c>
      <c r="R527" s="311" t="str">
        <f>IFERROR(1-SUMIF(Grid_BD!$F:$F,$A527,Grid_BD!$Y:$Y)/($AA527+SUMIF(Grid_BD!$F:$F,$A527,Grid_BD!$Y:$Y)),"")</f>
        <v/>
      </c>
      <c r="S527" s="10"/>
      <c r="T527" s="310"/>
      <c r="U527" s="311"/>
      <c r="V527" s="10"/>
      <c r="W527" s="312" t="str">
        <f t="shared" si="47"/>
        <v/>
      </c>
      <c r="X527" s="10" t="str">
        <f>IFERROR(_xlfn.XLOOKUP($A527,Input_Raw!$E:$E,Input_Raw!BG:BG),"")</f>
        <v/>
      </c>
      <c r="Y527" s="10" t="str">
        <f>IFERROR(_xlfn.XLOOKUP($A527,Input_Raw!$E:$E,Input_Raw!DF:DF),"")</f>
        <v/>
      </c>
      <c r="Z527" s="319" t="str">
        <f>IFERROR(_xlfn.XLOOKUP(A527,Input_Raw!E:E,Input_Raw!CT:CT)/_xlfn.XLOOKUP(A527,Input_Raw!E:E,Input_Raw!CS:CS)*Table13[[#This Row],[Mtr_Export (kWh)]],"")</f>
        <v/>
      </c>
      <c r="AA527" s="43" t="str">
        <f t="shared" si="48"/>
        <v/>
      </c>
      <c r="AB527" s="10" t="str">
        <f>IFERROR(_xlfn.XLOOKUP($A527,Input_Raw!$E:$E,Input_Raw!$CZ:$CZ),"")</f>
        <v/>
      </c>
      <c r="AC527" s="313" t="str">
        <f>IFERROR(_xlfn.XLOOKUP($D527,'Modelling New'!$D:$D,'Modelling New'!$J:$J),"")</f>
        <v/>
      </c>
      <c r="AD527" s="43" t="str">
        <f>IFERROR(_xlfn.XLOOKUP($D527,'Modelling New'!$D:$D,'Modelling New'!$T:$T)*1000,"")</f>
        <v/>
      </c>
      <c r="AE527" s="312"/>
      <c r="AF527" s="312" t="str">
        <f>IFERROR(_xlfn.XLOOKUP($D527,'Modelling New'!$D:$D,'Modelling New'!$W:$W),"")</f>
        <v/>
      </c>
      <c r="AG527" s="312" t="str">
        <f>IFERROR(_xlfn.XLOOKUP($D527,'Modelling New'!$D:$D,'Modelling New'!$AE:$AE),"")</f>
        <v/>
      </c>
      <c r="AH527" s="312" t="str">
        <f>IFERROR(_xlfn.XLOOKUP($D527,'Modelling New'!$D:$D,'Modelling New'!$AF:$AF),"")</f>
        <v/>
      </c>
      <c r="AI527" s="10" t="str">
        <f>IFERROR(_xlfn.XLOOKUP($A527,Input_Raw!$E:$E,Input_Raw!$DG:$DG),"")</f>
        <v/>
      </c>
      <c r="AJ527" s="10"/>
      <c r="AK527" s="10"/>
      <c r="AL527" s="10"/>
      <c r="AM527" s="10"/>
      <c r="AN527" s="314" t="str">
        <f>IFERROR(_xlfn.XLOOKUP($A527,Input_Raw!$E:$E,Input_Raw!$CY:$CY),"")</f>
        <v/>
      </c>
      <c r="AO527" s="312" t="str">
        <f>IFERROR((_xlfn.XLOOKUP($A527,'WTG Reactive Power'!$A:$A,'WTG Reactive Power'!AB:AB))/X527,"")</f>
        <v/>
      </c>
      <c r="AP527" s="312" t="str">
        <f>IFERROR(_xlfn.XLOOKUP($D527,'Modelling New'!$D:$D,'Modelling New'!AK:AK),"")</f>
        <v/>
      </c>
      <c r="AQ527" s="312" t="str">
        <f>IFERROR(_xlfn.XLOOKUP($D527,'Modelling New'!$D:$D,'Modelling New'!AL:AL),"")</f>
        <v/>
      </c>
      <c r="AR527" s="325" t="str">
        <f>IFERROR(_xlfn.XLOOKUP($D527,'Modelling New'!$D:$D,'Modelling New'!$N:$N),"")</f>
        <v/>
      </c>
      <c r="AS527" s="325"/>
    </row>
    <row r="528" spans="1:45">
      <c r="A528" s="32">
        <f t="shared" si="49"/>
        <v>46271</v>
      </c>
      <c r="B528" s="43">
        <f>YEAR(Table13[[#This Row],[Date]])+IF(MONTH(Table13[[#This Row],[Date]])&gt;=4,1,0)</f>
        <v>2027</v>
      </c>
      <c r="C528" s="10">
        <f>YEAR(Table13[[#This Row],[Date]])</f>
        <v>2026</v>
      </c>
      <c r="D528" s="309">
        <f>Table13[[#This Row],[Date]]-DAY(Table13[[#This Row],[Date]])+1</f>
        <v>46266</v>
      </c>
      <c r="E528" s="10">
        <f t="shared" si="45"/>
        <v>30</v>
      </c>
      <c r="F528" s="241" t="str">
        <f>IFERROR(_xlfn.XLOOKUP($A528,Input_Raw!$E:$E,Input_Raw!DC:DC),"")</f>
        <v/>
      </c>
      <c r="G528" s="313"/>
      <c r="H528" s="313"/>
      <c r="I528" s="313"/>
      <c r="J528" s="313"/>
      <c r="K528" s="243"/>
      <c r="L528" s="242"/>
      <c r="M528" s="242" t="str">
        <f>IFERROR(_xlfn.XLOOKUP($A528,Input_Raw!$E:$E,Input_Raw!$BM:$BM),"")</f>
        <v/>
      </c>
      <c r="N528" s="242" t="str">
        <f>IFERROR(_xlfn.XLOOKUP($A528,Input_Raw!$E:$E,Input_Raw!$BN:$BN),"")</f>
        <v/>
      </c>
      <c r="O528" s="311" t="str">
        <f t="shared" si="46"/>
        <v/>
      </c>
      <c r="P528" s="311" t="str">
        <f>IFERROR(1-SUMIF(WTG_BD!$F:$F,$A528,WTG_BD!$AA:$AA)/($AA528+SUMIF(WTG_BD!$F:$F,$A528,WTG_BD!$AA:$AA)),"")</f>
        <v/>
      </c>
      <c r="Q528" s="328" t="str">
        <f>IFERROR(1-SUMIF(IGA_BD!$F:$F,$A528,IGA_BD!$W:$W)/($AA528+SUMIF(IGA_BD!$F:$F,$A528,IGA_BD!$W:$W)),"")</f>
        <v/>
      </c>
      <c r="R528" s="47" t="str">
        <f>IFERROR(1-SUMIF(Grid_BD!$F:$F,$A528,Grid_BD!$Y:$Y)/($AA528+SUMIF(Grid_BD!$F:$F,$A528,Grid_BD!$Y:$Y)),"")</f>
        <v/>
      </c>
      <c r="S528" s="10"/>
      <c r="T528" s="310"/>
      <c r="U528" s="311"/>
      <c r="V528" s="10"/>
      <c r="W528" s="312" t="str">
        <f t="shared" si="47"/>
        <v/>
      </c>
      <c r="X528" s="10" t="str">
        <f>IFERROR(_xlfn.XLOOKUP($A528,Input_Raw!$E:$E,Input_Raw!BG:BG),"")</f>
        <v/>
      </c>
      <c r="Y528" s="10" t="str">
        <f>IFERROR(_xlfn.XLOOKUP($A528,Input_Raw!$E:$E,Input_Raw!DF:DF),"")</f>
        <v/>
      </c>
      <c r="Z528" s="319" t="str">
        <f>IFERROR(_xlfn.XLOOKUP(A528,Input_Raw!E:E,Input_Raw!CT:CT)/_xlfn.XLOOKUP(A528,Input_Raw!E:E,Input_Raw!CS:CS)*Table13[[#This Row],[Mtr_Export (kWh)]],"")</f>
        <v/>
      </c>
      <c r="AA528" s="43" t="str">
        <f t="shared" si="48"/>
        <v/>
      </c>
      <c r="AB528" s="10" t="str">
        <f>IFERROR(_xlfn.XLOOKUP($A528,Input_Raw!$E:$E,Input_Raw!$CZ:$CZ),"")</f>
        <v/>
      </c>
      <c r="AC528" s="313" t="str">
        <f>IFERROR(_xlfn.XLOOKUP($D528,'Modelling New'!$D:$D,'Modelling New'!$J:$J),"")</f>
        <v/>
      </c>
      <c r="AD528" s="43" t="str">
        <f>IFERROR(_xlfn.XLOOKUP($D528,'Modelling New'!$D:$D,'Modelling New'!$T:$T)*1000,"")</f>
        <v/>
      </c>
      <c r="AE528" s="312"/>
      <c r="AF528" s="312" t="str">
        <f>IFERROR(_xlfn.XLOOKUP($D528,'Modelling New'!$D:$D,'Modelling New'!$W:$W),"")</f>
        <v/>
      </c>
      <c r="AG528" s="312" t="str">
        <f>IFERROR(_xlfn.XLOOKUP($D528,'Modelling New'!$D:$D,'Modelling New'!$AE:$AE),"")</f>
        <v/>
      </c>
      <c r="AH528" s="312" t="str">
        <f>IFERROR(_xlfn.XLOOKUP($D528,'Modelling New'!$D:$D,'Modelling New'!$AF:$AF),"")</f>
        <v/>
      </c>
      <c r="AI528" s="10" t="str">
        <f>IFERROR(_xlfn.XLOOKUP($A528,Input_Raw!$E:$E,Input_Raw!$DG:$DG),"")</f>
        <v/>
      </c>
      <c r="AJ528" s="10"/>
      <c r="AK528" s="10"/>
      <c r="AL528" s="10"/>
      <c r="AM528" s="10"/>
      <c r="AN528" s="314" t="str">
        <f>IFERROR(_xlfn.XLOOKUP($A528,Input_Raw!$E:$E,Input_Raw!$CY:$CY),"")</f>
        <v/>
      </c>
      <c r="AO528" s="312" t="str">
        <f>IFERROR((_xlfn.XLOOKUP($A528,'WTG Reactive Power'!$A:$A,'WTG Reactive Power'!AB:AB))/X528,"")</f>
        <v/>
      </c>
      <c r="AP528" s="312" t="str">
        <f>IFERROR(_xlfn.XLOOKUP($D528,'Modelling New'!$D:$D,'Modelling New'!AK:AK),"")</f>
        <v/>
      </c>
      <c r="AQ528" s="312" t="str">
        <f>IFERROR(_xlfn.XLOOKUP($D528,'Modelling New'!$D:$D,'Modelling New'!AL:AL),"")</f>
        <v/>
      </c>
      <c r="AR528" s="325" t="str">
        <f>IFERROR(_xlfn.XLOOKUP($D528,'Modelling New'!$D:$D,'Modelling New'!$N:$N),"")</f>
        <v/>
      </c>
      <c r="AS528" s="325"/>
    </row>
    <row r="529" spans="1:45">
      <c r="A529" s="32">
        <f t="shared" si="49"/>
        <v>46272</v>
      </c>
      <c r="B529" s="43">
        <f>YEAR(Table13[[#This Row],[Date]])+IF(MONTH(Table13[[#This Row],[Date]])&gt;=4,1,0)</f>
        <v>2027</v>
      </c>
      <c r="C529" s="10">
        <f>YEAR(Table13[[#This Row],[Date]])</f>
        <v>2026</v>
      </c>
      <c r="D529" s="309">
        <f>Table13[[#This Row],[Date]]-DAY(Table13[[#This Row],[Date]])+1</f>
        <v>46266</v>
      </c>
      <c r="E529" s="10">
        <f t="shared" si="45"/>
        <v>30</v>
      </c>
      <c r="F529" s="241" t="str">
        <f>IFERROR(_xlfn.XLOOKUP($A529,Input_Raw!$E:$E,Input_Raw!DC:DC),"")</f>
        <v/>
      </c>
      <c r="G529" s="242"/>
      <c r="H529" s="242"/>
      <c r="I529" s="242"/>
      <c r="J529" s="242"/>
      <c r="K529" s="243"/>
      <c r="L529" s="242"/>
      <c r="M529" s="242" t="str">
        <f>IFERROR(_xlfn.XLOOKUP($A529,Input_Raw!$E:$E,Input_Raw!$BM:$BM),"")</f>
        <v/>
      </c>
      <c r="N529" s="242" t="str">
        <f>IFERROR(_xlfn.XLOOKUP($A529,Input_Raw!$E:$E,Input_Raw!$BN:$BN),"")</f>
        <v/>
      </c>
      <c r="O529" s="311" t="str">
        <f t="shared" si="46"/>
        <v/>
      </c>
      <c r="P529" s="311" t="str">
        <f>IFERROR(1-SUMIF(WTG_BD!$F:$F,$A529,WTG_BD!$AA:$AA)/($AA529+SUMIF(WTG_BD!$F:$F,$A529,WTG_BD!$AA:$AA)),"")</f>
        <v/>
      </c>
      <c r="Q529" s="328" t="str">
        <f>IFERROR(1-SUMIF(IGA_BD!$F:$F,$A529,IGA_BD!$W:$W)/($AA529+SUMIF(IGA_BD!$F:$F,$A529,IGA_BD!$W:$W)),"")</f>
        <v/>
      </c>
      <c r="R529" s="311" t="str">
        <f>IFERROR(1-SUMIF(Grid_BD!$F:$F,$A529,Grid_BD!$Y:$Y)/($AA529+SUMIF(Grid_BD!$F:$F,$A529,Grid_BD!$Y:$Y)),"")</f>
        <v/>
      </c>
      <c r="S529" s="10"/>
      <c r="T529" s="310"/>
      <c r="U529" s="311"/>
      <c r="V529" s="10"/>
      <c r="W529" s="312" t="str">
        <f t="shared" si="47"/>
        <v/>
      </c>
      <c r="X529" s="10" t="str">
        <f>IFERROR(_xlfn.XLOOKUP($A529,Input_Raw!$E:$E,Input_Raw!BG:BG),"")</f>
        <v/>
      </c>
      <c r="Y529" s="10" t="str">
        <f>IFERROR(_xlfn.XLOOKUP($A529,Input_Raw!$E:$E,Input_Raw!DF:DF),"")</f>
        <v/>
      </c>
      <c r="Z529" s="319" t="str">
        <f>IFERROR(_xlfn.XLOOKUP(A529,Input_Raw!E:E,Input_Raw!CT:CT)/_xlfn.XLOOKUP(A529,Input_Raw!E:E,Input_Raw!CS:CS)*Table13[[#This Row],[Mtr_Export (kWh)]],"")</f>
        <v/>
      </c>
      <c r="AA529" s="43" t="str">
        <f t="shared" si="48"/>
        <v/>
      </c>
      <c r="AB529" s="10" t="str">
        <f>IFERROR(_xlfn.XLOOKUP($A529,Input_Raw!$E:$E,Input_Raw!$CZ:$CZ),"")</f>
        <v/>
      </c>
      <c r="AC529" s="313" t="str">
        <f>IFERROR(_xlfn.XLOOKUP($D529,'Modelling New'!$D:$D,'Modelling New'!$J:$J),"")</f>
        <v/>
      </c>
      <c r="AD529" s="43" t="str">
        <f>IFERROR(_xlfn.XLOOKUP($D529,'Modelling New'!$D:$D,'Modelling New'!$T:$T)*1000,"")</f>
        <v/>
      </c>
      <c r="AE529" s="312"/>
      <c r="AF529" s="312" t="str">
        <f>IFERROR(_xlfn.XLOOKUP($D529,'Modelling New'!$D:$D,'Modelling New'!$W:$W),"")</f>
        <v/>
      </c>
      <c r="AG529" s="312" t="str">
        <f>IFERROR(_xlfn.XLOOKUP($D529,'Modelling New'!$D:$D,'Modelling New'!$AE:$AE),"")</f>
        <v/>
      </c>
      <c r="AH529" s="312" t="str">
        <f>IFERROR(_xlfn.XLOOKUP($D529,'Modelling New'!$D:$D,'Modelling New'!$AF:$AF),"")</f>
        <v/>
      </c>
      <c r="AI529" s="10" t="str">
        <f>IFERROR(_xlfn.XLOOKUP($A529,Input_Raw!$E:$E,Input_Raw!$DG:$DG),"")</f>
        <v/>
      </c>
      <c r="AJ529" s="10"/>
      <c r="AK529" s="10"/>
      <c r="AL529" s="10"/>
      <c r="AM529" s="10"/>
      <c r="AN529" s="314" t="str">
        <f>IFERROR(_xlfn.XLOOKUP($A529,Input_Raw!$E:$E,Input_Raw!$CY:$CY),"")</f>
        <v/>
      </c>
      <c r="AO529" s="312" t="str">
        <f>IFERROR((_xlfn.XLOOKUP($A529,'WTG Reactive Power'!$A:$A,'WTG Reactive Power'!AB:AB))/X529,"")</f>
        <v/>
      </c>
      <c r="AP529" s="312" t="str">
        <f>IFERROR(_xlfn.XLOOKUP($D529,'Modelling New'!$D:$D,'Modelling New'!AK:AK),"")</f>
        <v/>
      </c>
      <c r="AQ529" s="312" t="str">
        <f>IFERROR(_xlfn.XLOOKUP($D529,'Modelling New'!$D:$D,'Modelling New'!AL:AL),"")</f>
        <v/>
      </c>
      <c r="AR529" s="325" t="str">
        <f>IFERROR(_xlfn.XLOOKUP($D529,'Modelling New'!$D:$D,'Modelling New'!$N:$N),"")</f>
        <v/>
      </c>
      <c r="AS529" s="325"/>
    </row>
    <row r="530" spans="1:45">
      <c r="A530" s="32">
        <f t="shared" si="49"/>
        <v>46273</v>
      </c>
      <c r="B530" s="43">
        <f>YEAR(Table13[[#This Row],[Date]])+IF(MONTH(Table13[[#This Row],[Date]])&gt;=4,1,0)</f>
        <v>2027</v>
      </c>
      <c r="C530" s="10">
        <f>YEAR(Table13[[#This Row],[Date]])</f>
        <v>2026</v>
      </c>
      <c r="D530" s="309">
        <f>Table13[[#This Row],[Date]]-DAY(Table13[[#This Row],[Date]])+1</f>
        <v>46266</v>
      </c>
      <c r="E530" s="10">
        <f t="shared" si="45"/>
        <v>30</v>
      </c>
      <c r="F530" s="241" t="str">
        <f>IFERROR(_xlfn.XLOOKUP($A530,Input_Raw!$E:$E,Input_Raw!DC:DC),"")</f>
        <v/>
      </c>
      <c r="G530" s="313"/>
      <c r="H530" s="313"/>
      <c r="I530" s="313"/>
      <c r="J530" s="313"/>
      <c r="K530" s="243"/>
      <c r="L530" s="242"/>
      <c r="M530" s="242" t="str">
        <f>IFERROR(_xlfn.XLOOKUP($A530,Input_Raw!$E:$E,Input_Raw!$BM:$BM),"")</f>
        <v/>
      </c>
      <c r="N530" s="242" t="str">
        <f>IFERROR(_xlfn.XLOOKUP($A530,Input_Raw!$E:$E,Input_Raw!$BN:$BN),"")</f>
        <v/>
      </c>
      <c r="O530" s="311" t="str">
        <f t="shared" si="46"/>
        <v/>
      </c>
      <c r="P530" s="311" t="str">
        <f>IFERROR(1-SUMIF(WTG_BD!$F:$F,$A530,WTG_BD!$AA:$AA)/($AA530+SUMIF(WTG_BD!$F:$F,$A530,WTG_BD!$AA:$AA)),"")</f>
        <v/>
      </c>
      <c r="Q530" s="328" t="str">
        <f>IFERROR(1-SUMIF(IGA_BD!$F:$F,$A530,IGA_BD!$W:$W)/($AA530+SUMIF(IGA_BD!$F:$F,$A530,IGA_BD!$W:$W)),"")</f>
        <v/>
      </c>
      <c r="R530" s="47" t="str">
        <f>IFERROR(1-SUMIF(Grid_BD!$F:$F,$A530,Grid_BD!$Y:$Y)/($AA530+SUMIF(Grid_BD!$F:$F,$A530,Grid_BD!$Y:$Y)),"")</f>
        <v/>
      </c>
      <c r="S530" s="10"/>
      <c r="T530" s="310"/>
      <c r="U530" s="311"/>
      <c r="V530" s="10"/>
      <c r="W530" s="312" t="str">
        <f t="shared" si="47"/>
        <v/>
      </c>
      <c r="X530" s="10" t="str">
        <f>IFERROR(_xlfn.XLOOKUP($A530,Input_Raw!$E:$E,Input_Raw!BG:BG),"")</f>
        <v/>
      </c>
      <c r="Y530" s="10" t="str">
        <f>IFERROR(_xlfn.XLOOKUP($A530,Input_Raw!$E:$E,Input_Raw!DF:DF),"")</f>
        <v/>
      </c>
      <c r="Z530" s="319" t="str">
        <f>IFERROR(_xlfn.XLOOKUP(A530,Input_Raw!E:E,Input_Raw!CT:CT)/_xlfn.XLOOKUP(A530,Input_Raw!E:E,Input_Raw!CS:CS)*Table13[[#This Row],[Mtr_Export (kWh)]],"")</f>
        <v/>
      </c>
      <c r="AA530" s="43" t="str">
        <f t="shared" si="48"/>
        <v/>
      </c>
      <c r="AB530" s="10" t="str">
        <f>IFERROR(_xlfn.XLOOKUP($A530,Input_Raw!$E:$E,Input_Raw!$CZ:$CZ),"")</f>
        <v/>
      </c>
      <c r="AC530" s="313" t="str">
        <f>IFERROR(_xlfn.XLOOKUP($D530,'Modelling New'!$D:$D,'Modelling New'!$J:$J),"")</f>
        <v/>
      </c>
      <c r="AD530" s="43" t="str">
        <f>IFERROR(_xlfn.XLOOKUP($D530,'Modelling New'!$D:$D,'Modelling New'!$T:$T)*1000,"")</f>
        <v/>
      </c>
      <c r="AE530" s="312"/>
      <c r="AF530" s="312" t="str">
        <f>IFERROR(_xlfn.XLOOKUP($D530,'Modelling New'!$D:$D,'Modelling New'!$W:$W),"")</f>
        <v/>
      </c>
      <c r="AG530" s="312" t="str">
        <f>IFERROR(_xlfn.XLOOKUP($D530,'Modelling New'!$D:$D,'Modelling New'!$AE:$AE),"")</f>
        <v/>
      </c>
      <c r="AH530" s="312" t="str">
        <f>IFERROR(_xlfn.XLOOKUP($D530,'Modelling New'!$D:$D,'Modelling New'!$AF:$AF),"")</f>
        <v/>
      </c>
      <c r="AI530" s="10" t="str">
        <f>IFERROR(_xlfn.XLOOKUP($A530,Input_Raw!$E:$E,Input_Raw!$DG:$DG),"")</f>
        <v/>
      </c>
      <c r="AJ530" s="10"/>
      <c r="AK530" s="10"/>
      <c r="AL530" s="10"/>
      <c r="AM530" s="10"/>
      <c r="AN530" s="314" t="str">
        <f>IFERROR(_xlfn.XLOOKUP($A530,Input_Raw!$E:$E,Input_Raw!$CY:$CY),"")</f>
        <v/>
      </c>
      <c r="AO530" s="312" t="str">
        <f>IFERROR((_xlfn.XLOOKUP($A530,'WTG Reactive Power'!$A:$A,'WTG Reactive Power'!AB:AB))/X530,"")</f>
        <v/>
      </c>
      <c r="AP530" s="312" t="str">
        <f>IFERROR(_xlfn.XLOOKUP($D530,'Modelling New'!$D:$D,'Modelling New'!AK:AK),"")</f>
        <v/>
      </c>
      <c r="AQ530" s="312" t="str">
        <f>IFERROR(_xlfn.XLOOKUP($D530,'Modelling New'!$D:$D,'Modelling New'!AL:AL),"")</f>
        <v/>
      </c>
      <c r="AR530" s="325" t="str">
        <f>IFERROR(_xlfn.XLOOKUP($D530,'Modelling New'!$D:$D,'Modelling New'!$N:$N),"")</f>
        <v/>
      </c>
      <c r="AS530" s="325"/>
    </row>
    <row r="531" spans="1:45">
      <c r="A531" s="32">
        <f t="shared" si="49"/>
        <v>46274</v>
      </c>
      <c r="B531" s="43">
        <f>YEAR(Table13[[#This Row],[Date]])+IF(MONTH(Table13[[#This Row],[Date]])&gt;=4,1,0)</f>
        <v>2027</v>
      </c>
      <c r="C531" s="10">
        <f>YEAR(Table13[[#This Row],[Date]])</f>
        <v>2026</v>
      </c>
      <c r="D531" s="309">
        <f>Table13[[#This Row],[Date]]-DAY(Table13[[#This Row],[Date]])+1</f>
        <v>46266</v>
      </c>
      <c r="E531" s="10">
        <f t="shared" si="45"/>
        <v>30</v>
      </c>
      <c r="F531" s="241" t="str">
        <f>IFERROR(_xlfn.XLOOKUP($A531,Input_Raw!$E:$E,Input_Raw!DC:DC),"")</f>
        <v/>
      </c>
      <c r="G531" s="242"/>
      <c r="H531" s="242"/>
      <c r="I531" s="242"/>
      <c r="J531" s="242"/>
      <c r="K531" s="243"/>
      <c r="L531" s="242"/>
      <c r="M531" s="242" t="str">
        <f>IFERROR(_xlfn.XLOOKUP($A531,Input_Raw!$E:$E,Input_Raw!$BM:$BM),"")</f>
        <v/>
      </c>
      <c r="N531" s="242" t="str">
        <f>IFERROR(_xlfn.XLOOKUP($A531,Input_Raw!$E:$E,Input_Raw!$BN:$BN),"")</f>
        <v/>
      </c>
      <c r="O531" s="311" t="str">
        <f t="shared" si="46"/>
        <v/>
      </c>
      <c r="P531" s="311" t="str">
        <f>IFERROR(1-SUMIF(WTG_BD!$F:$F,$A531,WTG_BD!$AA:$AA)/($AA531+SUMIF(WTG_BD!$F:$F,$A531,WTG_BD!$AA:$AA)),"")</f>
        <v/>
      </c>
      <c r="Q531" s="328" t="str">
        <f>IFERROR(1-SUMIF(IGA_BD!$F:$F,$A531,IGA_BD!$W:$W)/($AA531+SUMIF(IGA_BD!$F:$F,$A531,IGA_BD!$W:$W)),"")</f>
        <v/>
      </c>
      <c r="R531" s="311" t="str">
        <f>IFERROR(1-SUMIF(Grid_BD!$F:$F,$A531,Grid_BD!$Y:$Y)/($AA531+SUMIF(Grid_BD!$F:$F,$A531,Grid_BD!$Y:$Y)),"")</f>
        <v/>
      </c>
      <c r="S531" s="10"/>
      <c r="T531" s="310"/>
      <c r="U531" s="311"/>
      <c r="V531" s="10"/>
      <c r="W531" s="312" t="str">
        <f t="shared" si="47"/>
        <v/>
      </c>
      <c r="X531" s="10" t="str">
        <f>IFERROR(_xlfn.XLOOKUP($A531,Input_Raw!$E:$E,Input_Raw!BG:BG),"")</f>
        <v/>
      </c>
      <c r="Y531" s="10" t="str">
        <f>IFERROR(_xlfn.XLOOKUP($A531,Input_Raw!$E:$E,Input_Raw!DF:DF),"")</f>
        <v/>
      </c>
      <c r="Z531" s="319" t="str">
        <f>IFERROR(_xlfn.XLOOKUP(A531,Input_Raw!E:E,Input_Raw!CT:CT)/_xlfn.XLOOKUP(A531,Input_Raw!E:E,Input_Raw!CS:CS)*Table13[[#This Row],[Mtr_Export (kWh)]],"")</f>
        <v/>
      </c>
      <c r="AA531" s="43" t="str">
        <f t="shared" si="48"/>
        <v/>
      </c>
      <c r="AB531" s="10" t="str">
        <f>IFERROR(_xlfn.XLOOKUP($A531,Input_Raw!$E:$E,Input_Raw!$CZ:$CZ),"")</f>
        <v/>
      </c>
      <c r="AC531" s="313" t="str">
        <f>IFERROR(_xlfn.XLOOKUP($D531,'Modelling New'!$D:$D,'Modelling New'!$J:$J),"")</f>
        <v/>
      </c>
      <c r="AD531" s="43" t="str">
        <f>IFERROR(_xlfn.XLOOKUP($D531,'Modelling New'!$D:$D,'Modelling New'!$T:$T)*1000,"")</f>
        <v/>
      </c>
      <c r="AE531" s="312"/>
      <c r="AF531" s="312" t="str">
        <f>IFERROR(_xlfn.XLOOKUP($D531,'Modelling New'!$D:$D,'Modelling New'!$W:$W),"")</f>
        <v/>
      </c>
      <c r="AG531" s="312" t="str">
        <f>IFERROR(_xlfn.XLOOKUP($D531,'Modelling New'!$D:$D,'Modelling New'!$AE:$AE),"")</f>
        <v/>
      </c>
      <c r="AH531" s="312" t="str">
        <f>IFERROR(_xlfn.XLOOKUP($D531,'Modelling New'!$D:$D,'Modelling New'!$AF:$AF),"")</f>
        <v/>
      </c>
      <c r="AI531" s="10" t="str">
        <f>IFERROR(_xlfn.XLOOKUP($A531,Input_Raw!$E:$E,Input_Raw!$DG:$DG),"")</f>
        <v/>
      </c>
      <c r="AJ531" s="10"/>
      <c r="AK531" s="10"/>
      <c r="AL531" s="10"/>
      <c r="AM531" s="10"/>
      <c r="AN531" s="314" t="str">
        <f>IFERROR(_xlfn.XLOOKUP($A531,Input_Raw!$E:$E,Input_Raw!$CY:$CY),"")</f>
        <v/>
      </c>
      <c r="AO531" s="312" t="str">
        <f>IFERROR((_xlfn.XLOOKUP($A531,'WTG Reactive Power'!$A:$A,'WTG Reactive Power'!AB:AB))/X531,"")</f>
        <v/>
      </c>
      <c r="AP531" s="312" t="str">
        <f>IFERROR(_xlfn.XLOOKUP($D531,'Modelling New'!$D:$D,'Modelling New'!AK:AK),"")</f>
        <v/>
      </c>
      <c r="AQ531" s="312" t="str">
        <f>IFERROR(_xlfn.XLOOKUP($D531,'Modelling New'!$D:$D,'Modelling New'!AL:AL),"")</f>
        <v/>
      </c>
      <c r="AR531" s="325" t="str">
        <f>IFERROR(_xlfn.XLOOKUP($D531,'Modelling New'!$D:$D,'Modelling New'!$N:$N),"")</f>
        <v/>
      </c>
      <c r="AS531" s="325"/>
    </row>
    <row r="532" spans="1:45">
      <c r="A532" s="32">
        <f t="shared" si="49"/>
        <v>46275</v>
      </c>
      <c r="B532" s="43">
        <f>YEAR(Table13[[#This Row],[Date]])+IF(MONTH(Table13[[#This Row],[Date]])&gt;=4,1,0)</f>
        <v>2027</v>
      </c>
      <c r="C532" s="10">
        <f>YEAR(Table13[[#This Row],[Date]])</f>
        <v>2026</v>
      </c>
      <c r="D532" s="309">
        <f>Table13[[#This Row],[Date]]-DAY(Table13[[#This Row],[Date]])+1</f>
        <v>46266</v>
      </c>
      <c r="E532" s="10">
        <f t="shared" si="45"/>
        <v>30</v>
      </c>
      <c r="F532" s="241" t="str">
        <f>IFERROR(_xlfn.XLOOKUP($A532,Input_Raw!$E:$E,Input_Raw!DC:DC),"")</f>
        <v/>
      </c>
      <c r="G532" s="313"/>
      <c r="H532" s="313"/>
      <c r="I532" s="313"/>
      <c r="J532" s="313"/>
      <c r="K532" s="243"/>
      <c r="L532" s="242"/>
      <c r="M532" s="242" t="str">
        <f>IFERROR(_xlfn.XLOOKUP($A532,Input_Raw!$E:$E,Input_Raw!$BM:$BM),"")</f>
        <v/>
      </c>
      <c r="N532" s="242" t="str">
        <f>IFERROR(_xlfn.XLOOKUP($A532,Input_Raw!$E:$E,Input_Raw!$BN:$BN),"")</f>
        <v/>
      </c>
      <c r="O532" s="311" t="str">
        <f t="shared" si="46"/>
        <v/>
      </c>
      <c r="P532" s="311" t="str">
        <f>IFERROR(1-SUMIF(WTG_BD!$F:$F,$A532,WTG_BD!$AA:$AA)/($AA532+SUMIF(WTG_BD!$F:$F,$A532,WTG_BD!$AA:$AA)),"")</f>
        <v/>
      </c>
      <c r="Q532" s="328" t="str">
        <f>IFERROR(1-SUMIF(IGA_BD!$F:$F,$A532,IGA_BD!$W:$W)/($AA532+SUMIF(IGA_BD!$F:$F,$A532,IGA_BD!$W:$W)),"")</f>
        <v/>
      </c>
      <c r="R532" s="47" t="str">
        <f>IFERROR(1-SUMIF(Grid_BD!$F:$F,$A532,Grid_BD!$Y:$Y)/($AA532+SUMIF(Grid_BD!$F:$F,$A532,Grid_BD!$Y:$Y)),"")</f>
        <v/>
      </c>
      <c r="S532" s="10"/>
      <c r="T532" s="310"/>
      <c r="U532" s="311"/>
      <c r="V532" s="10"/>
      <c r="W532" s="312" t="str">
        <f t="shared" si="47"/>
        <v/>
      </c>
      <c r="X532" s="10" t="str">
        <f>IFERROR(_xlfn.XLOOKUP($A532,Input_Raw!$E:$E,Input_Raw!BG:BG),"")</f>
        <v/>
      </c>
      <c r="Y532" s="10" t="str">
        <f>IFERROR(_xlfn.XLOOKUP($A532,Input_Raw!$E:$E,Input_Raw!DF:DF),"")</f>
        <v/>
      </c>
      <c r="Z532" s="319" t="str">
        <f>IFERROR(_xlfn.XLOOKUP(A532,Input_Raw!E:E,Input_Raw!CT:CT)/_xlfn.XLOOKUP(A532,Input_Raw!E:E,Input_Raw!CS:CS)*Table13[[#This Row],[Mtr_Export (kWh)]],"")</f>
        <v/>
      </c>
      <c r="AA532" s="43" t="str">
        <f t="shared" si="48"/>
        <v/>
      </c>
      <c r="AB532" s="10" t="str">
        <f>IFERROR(_xlfn.XLOOKUP($A532,Input_Raw!$E:$E,Input_Raw!$CZ:$CZ),"")</f>
        <v/>
      </c>
      <c r="AC532" s="313" t="str">
        <f>IFERROR(_xlfn.XLOOKUP($D532,'Modelling New'!$D:$D,'Modelling New'!$J:$J),"")</f>
        <v/>
      </c>
      <c r="AD532" s="43" t="str">
        <f>IFERROR(_xlfn.XLOOKUP($D532,'Modelling New'!$D:$D,'Modelling New'!$T:$T)*1000,"")</f>
        <v/>
      </c>
      <c r="AE532" s="312"/>
      <c r="AF532" s="312" t="str">
        <f>IFERROR(_xlfn.XLOOKUP($D532,'Modelling New'!$D:$D,'Modelling New'!$W:$W),"")</f>
        <v/>
      </c>
      <c r="AG532" s="312" t="str">
        <f>IFERROR(_xlfn.XLOOKUP($D532,'Modelling New'!$D:$D,'Modelling New'!$AE:$AE),"")</f>
        <v/>
      </c>
      <c r="AH532" s="312" t="str">
        <f>IFERROR(_xlfn.XLOOKUP($D532,'Modelling New'!$D:$D,'Modelling New'!$AF:$AF),"")</f>
        <v/>
      </c>
      <c r="AI532" s="10" t="str">
        <f>IFERROR(_xlfn.XLOOKUP($A532,Input_Raw!$E:$E,Input_Raw!$DG:$DG),"")</f>
        <v/>
      </c>
      <c r="AJ532" s="10"/>
      <c r="AK532" s="10"/>
      <c r="AL532" s="10"/>
      <c r="AM532" s="10"/>
      <c r="AN532" s="314" t="str">
        <f>IFERROR(_xlfn.XLOOKUP($A532,Input_Raw!$E:$E,Input_Raw!$CY:$CY),"")</f>
        <v/>
      </c>
      <c r="AO532" s="312" t="str">
        <f>IFERROR((_xlfn.XLOOKUP($A532,'WTG Reactive Power'!$A:$A,'WTG Reactive Power'!AB:AB))/X532,"")</f>
        <v/>
      </c>
      <c r="AP532" s="312" t="str">
        <f>IFERROR(_xlfn.XLOOKUP($D532,'Modelling New'!$D:$D,'Modelling New'!AK:AK),"")</f>
        <v/>
      </c>
      <c r="AQ532" s="312" t="str">
        <f>IFERROR(_xlfn.XLOOKUP($D532,'Modelling New'!$D:$D,'Modelling New'!AL:AL),"")</f>
        <v/>
      </c>
      <c r="AR532" s="325" t="str">
        <f>IFERROR(_xlfn.XLOOKUP($D532,'Modelling New'!$D:$D,'Modelling New'!$N:$N),"")</f>
        <v/>
      </c>
      <c r="AS532" s="325"/>
    </row>
    <row r="533" spans="1:45">
      <c r="A533" s="32">
        <f t="shared" si="49"/>
        <v>46276</v>
      </c>
      <c r="B533" s="43">
        <f>YEAR(Table13[[#This Row],[Date]])+IF(MONTH(Table13[[#This Row],[Date]])&gt;=4,1,0)</f>
        <v>2027</v>
      </c>
      <c r="C533" s="10">
        <f>YEAR(Table13[[#This Row],[Date]])</f>
        <v>2026</v>
      </c>
      <c r="D533" s="309">
        <f>Table13[[#This Row],[Date]]-DAY(Table13[[#This Row],[Date]])+1</f>
        <v>46266</v>
      </c>
      <c r="E533" s="10">
        <f t="shared" si="45"/>
        <v>30</v>
      </c>
      <c r="F533" s="241" t="str">
        <f>IFERROR(_xlfn.XLOOKUP($A533,Input_Raw!$E:$E,Input_Raw!DC:DC),"")</f>
        <v/>
      </c>
      <c r="G533" s="242"/>
      <c r="H533" s="242"/>
      <c r="I533" s="242"/>
      <c r="J533" s="242"/>
      <c r="K533" s="243"/>
      <c r="L533" s="242"/>
      <c r="M533" s="242" t="str">
        <f>IFERROR(_xlfn.XLOOKUP($A533,Input_Raw!$E:$E,Input_Raw!$BM:$BM),"")</f>
        <v/>
      </c>
      <c r="N533" s="242" t="str">
        <f>IFERROR(_xlfn.XLOOKUP($A533,Input_Raw!$E:$E,Input_Raw!$BN:$BN),"")</f>
        <v/>
      </c>
      <c r="O533" s="311" t="str">
        <f t="shared" si="46"/>
        <v/>
      </c>
      <c r="P533" s="311" t="str">
        <f>IFERROR(1-SUMIF(WTG_BD!$F:$F,$A533,WTG_BD!$AA:$AA)/($AA533+SUMIF(WTG_BD!$F:$F,$A533,WTG_BD!$AA:$AA)),"")</f>
        <v/>
      </c>
      <c r="Q533" s="328" t="str">
        <f>IFERROR(1-SUMIF(IGA_BD!$F:$F,$A533,IGA_BD!$W:$W)/($AA533+SUMIF(IGA_BD!$F:$F,$A533,IGA_BD!$W:$W)),"")</f>
        <v/>
      </c>
      <c r="R533" s="311" t="str">
        <f>IFERROR(1-SUMIF(Grid_BD!$F:$F,$A533,Grid_BD!$Y:$Y)/($AA533+SUMIF(Grid_BD!$F:$F,$A533,Grid_BD!$Y:$Y)),"")</f>
        <v/>
      </c>
      <c r="S533" s="10"/>
      <c r="T533" s="310"/>
      <c r="U533" s="311"/>
      <c r="V533" s="10"/>
      <c r="W533" s="312" t="str">
        <f t="shared" si="47"/>
        <v/>
      </c>
      <c r="X533" s="10" t="str">
        <f>IFERROR(_xlfn.XLOOKUP($A533,Input_Raw!$E:$E,Input_Raw!BG:BG),"")</f>
        <v/>
      </c>
      <c r="Y533" s="10" t="str">
        <f>IFERROR(_xlfn.XLOOKUP($A533,Input_Raw!$E:$E,Input_Raw!DF:DF),"")</f>
        <v/>
      </c>
      <c r="Z533" s="319" t="str">
        <f>IFERROR(_xlfn.XLOOKUP(A533,Input_Raw!E:E,Input_Raw!CT:CT)/_xlfn.XLOOKUP(A533,Input_Raw!E:E,Input_Raw!CS:CS)*Table13[[#This Row],[Mtr_Export (kWh)]],"")</f>
        <v/>
      </c>
      <c r="AA533" s="43" t="str">
        <f t="shared" si="48"/>
        <v/>
      </c>
      <c r="AB533" s="10" t="str">
        <f>IFERROR(_xlfn.XLOOKUP($A533,Input_Raw!$E:$E,Input_Raw!$CZ:$CZ),"")</f>
        <v/>
      </c>
      <c r="AC533" s="313" t="str">
        <f>IFERROR(_xlfn.XLOOKUP($D533,'Modelling New'!$D:$D,'Modelling New'!$J:$J),"")</f>
        <v/>
      </c>
      <c r="AD533" s="43" t="str">
        <f>IFERROR(_xlfn.XLOOKUP($D533,'Modelling New'!$D:$D,'Modelling New'!$T:$T)*1000,"")</f>
        <v/>
      </c>
      <c r="AE533" s="312"/>
      <c r="AF533" s="312" t="str">
        <f>IFERROR(_xlfn.XLOOKUP($D533,'Modelling New'!$D:$D,'Modelling New'!$W:$W),"")</f>
        <v/>
      </c>
      <c r="AG533" s="312" t="str">
        <f>IFERROR(_xlfn.XLOOKUP($D533,'Modelling New'!$D:$D,'Modelling New'!$AE:$AE),"")</f>
        <v/>
      </c>
      <c r="AH533" s="312" t="str">
        <f>IFERROR(_xlfn.XLOOKUP($D533,'Modelling New'!$D:$D,'Modelling New'!$AF:$AF),"")</f>
        <v/>
      </c>
      <c r="AI533" s="10" t="str">
        <f>IFERROR(_xlfn.XLOOKUP($A533,Input_Raw!$E:$E,Input_Raw!$DG:$DG),"")</f>
        <v/>
      </c>
      <c r="AJ533" s="10"/>
      <c r="AK533" s="10"/>
      <c r="AL533" s="10"/>
      <c r="AM533" s="10"/>
      <c r="AN533" s="314" t="str">
        <f>IFERROR(_xlfn.XLOOKUP($A533,Input_Raw!$E:$E,Input_Raw!$CY:$CY),"")</f>
        <v/>
      </c>
      <c r="AO533" s="312" t="str">
        <f>IFERROR((_xlfn.XLOOKUP($A533,'WTG Reactive Power'!$A:$A,'WTG Reactive Power'!AB:AB))/X533,"")</f>
        <v/>
      </c>
      <c r="AP533" s="312" t="str">
        <f>IFERROR(_xlfn.XLOOKUP($D533,'Modelling New'!$D:$D,'Modelling New'!AK:AK),"")</f>
        <v/>
      </c>
      <c r="AQ533" s="312" t="str">
        <f>IFERROR(_xlfn.XLOOKUP($D533,'Modelling New'!$D:$D,'Modelling New'!AL:AL),"")</f>
        <v/>
      </c>
      <c r="AR533" s="325" t="str">
        <f>IFERROR(_xlfn.XLOOKUP($D533,'Modelling New'!$D:$D,'Modelling New'!$N:$N),"")</f>
        <v/>
      </c>
      <c r="AS533" s="325"/>
    </row>
    <row r="534" spans="1:45">
      <c r="A534" s="32">
        <f t="shared" si="49"/>
        <v>46277</v>
      </c>
      <c r="B534" s="43">
        <f>YEAR(Table13[[#This Row],[Date]])+IF(MONTH(Table13[[#This Row],[Date]])&gt;=4,1,0)</f>
        <v>2027</v>
      </c>
      <c r="C534" s="10">
        <f>YEAR(Table13[[#This Row],[Date]])</f>
        <v>2026</v>
      </c>
      <c r="D534" s="309">
        <f>Table13[[#This Row],[Date]]-DAY(Table13[[#This Row],[Date]])+1</f>
        <v>46266</v>
      </c>
      <c r="E534" s="10">
        <f t="shared" si="45"/>
        <v>30</v>
      </c>
      <c r="F534" s="241" t="str">
        <f>IFERROR(_xlfn.XLOOKUP($A534,Input_Raw!$E:$E,Input_Raw!DC:DC),"")</f>
        <v/>
      </c>
      <c r="G534" s="313"/>
      <c r="H534" s="313"/>
      <c r="I534" s="313"/>
      <c r="J534" s="313"/>
      <c r="K534" s="243"/>
      <c r="L534" s="242"/>
      <c r="M534" s="242" t="str">
        <f>IFERROR(_xlfn.XLOOKUP($A534,Input_Raw!$E:$E,Input_Raw!$BM:$BM),"")</f>
        <v/>
      </c>
      <c r="N534" s="242" t="str">
        <f>IFERROR(_xlfn.XLOOKUP($A534,Input_Raw!$E:$E,Input_Raw!$BN:$BN),"")</f>
        <v/>
      </c>
      <c r="O534" s="311" t="str">
        <f t="shared" si="46"/>
        <v/>
      </c>
      <c r="P534" s="311" t="str">
        <f>IFERROR(1-SUMIF(WTG_BD!$F:$F,$A534,WTG_BD!$AA:$AA)/($AA534+SUMIF(WTG_BD!$F:$F,$A534,WTG_BD!$AA:$AA)),"")</f>
        <v/>
      </c>
      <c r="Q534" s="328" t="str">
        <f>IFERROR(1-SUMIF(IGA_BD!$F:$F,$A534,IGA_BD!$W:$W)/($AA534+SUMIF(IGA_BD!$F:$F,$A534,IGA_BD!$W:$W)),"")</f>
        <v/>
      </c>
      <c r="R534" s="47" t="str">
        <f>IFERROR(1-SUMIF(Grid_BD!$F:$F,$A534,Grid_BD!$Y:$Y)/($AA534+SUMIF(Grid_BD!$F:$F,$A534,Grid_BD!$Y:$Y)),"")</f>
        <v/>
      </c>
      <c r="S534" s="10"/>
      <c r="T534" s="310"/>
      <c r="U534" s="311"/>
      <c r="V534" s="10"/>
      <c r="W534" s="312" t="str">
        <f t="shared" si="47"/>
        <v/>
      </c>
      <c r="X534" s="10" t="str">
        <f>IFERROR(_xlfn.XLOOKUP($A534,Input_Raw!$E:$E,Input_Raw!BG:BG),"")</f>
        <v/>
      </c>
      <c r="Y534" s="10" t="str">
        <f>IFERROR(_xlfn.XLOOKUP($A534,Input_Raw!$E:$E,Input_Raw!DF:DF),"")</f>
        <v/>
      </c>
      <c r="Z534" s="319" t="str">
        <f>IFERROR(_xlfn.XLOOKUP(A534,Input_Raw!E:E,Input_Raw!CT:CT)/_xlfn.XLOOKUP(A534,Input_Raw!E:E,Input_Raw!CS:CS)*Table13[[#This Row],[Mtr_Export (kWh)]],"")</f>
        <v/>
      </c>
      <c r="AA534" s="43" t="str">
        <f t="shared" si="48"/>
        <v/>
      </c>
      <c r="AB534" s="10" t="str">
        <f>IFERROR(_xlfn.XLOOKUP($A534,Input_Raw!$E:$E,Input_Raw!$CZ:$CZ),"")</f>
        <v/>
      </c>
      <c r="AC534" s="313" t="str">
        <f>IFERROR(_xlfn.XLOOKUP($D534,'Modelling New'!$D:$D,'Modelling New'!$J:$J),"")</f>
        <v/>
      </c>
      <c r="AD534" s="43" t="str">
        <f>IFERROR(_xlfn.XLOOKUP($D534,'Modelling New'!$D:$D,'Modelling New'!$T:$T)*1000,"")</f>
        <v/>
      </c>
      <c r="AE534" s="312"/>
      <c r="AF534" s="312" t="str">
        <f>IFERROR(_xlfn.XLOOKUP($D534,'Modelling New'!$D:$D,'Modelling New'!$W:$W),"")</f>
        <v/>
      </c>
      <c r="AG534" s="312" t="str">
        <f>IFERROR(_xlfn.XLOOKUP($D534,'Modelling New'!$D:$D,'Modelling New'!$AE:$AE),"")</f>
        <v/>
      </c>
      <c r="AH534" s="312" t="str">
        <f>IFERROR(_xlfn.XLOOKUP($D534,'Modelling New'!$D:$D,'Modelling New'!$AF:$AF),"")</f>
        <v/>
      </c>
      <c r="AI534" s="10" t="str">
        <f>IFERROR(_xlfn.XLOOKUP($A534,Input_Raw!$E:$E,Input_Raw!$DG:$DG),"")</f>
        <v/>
      </c>
      <c r="AJ534" s="10"/>
      <c r="AK534" s="10"/>
      <c r="AL534" s="10"/>
      <c r="AM534" s="10"/>
      <c r="AN534" s="314" t="str">
        <f>IFERROR(_xlfn.XLOOKUP($A534,Input_Raw!$E:$E,Input_Raw!$CY:$CY),"")</f>
        <v/>
      </c>
      <c r="AO534" s="312" t="str">
        <f>IFERROR((_xlfn.XLOOKUP($A534,'WTG Reactive Power'!$A:$A,'WTG Reactive Power'!AB:AB))/X534,"")</f>
        <v/>
      </c>
      <c r="AP534" s="312" t="str">
        <f>IFERROR(_xlfn.XLOOKUP($D534,'Modelling New'!$D:$D,'Modelling New'!AK:AK),"")</f>
        <v/>
      </c>
      <c r="AQ534" s="312" t="str">
        <f>IFERROR(_xlfn.XLOOKUP($D534,'Modelling New'!$D:$D,'Modelling New'!AL:AL),"")</f>
        <v/>
      </c>
      <c r="AR534" s="325" t="str">
        <f>IFERROR(_xlfn.XLOOKUP($D534,'Modelling New'!$D:$D,'Modelling New'!$N:$N),"")</f>
        <v/>
      </c>
      <c r="AS534" s="325"/>
    </row>
    <row r="535" spans="1:45">
      <c r="A535" s="32">
        <f t="shared" si="49"/>
        <v>46278</v>
      </c>
      <c r="B535" s="43">
        <f>YEAR(Table13[[#This Row],[Date]])+IF(MONTH(Table13[[#This Row],[Date]])&gt;=4,1,0)</f>
        <v>2027</v>
      </c>
      <c r="C535" s="10">
        <f>YEAR(Table13[[#This Row],[Date]])</f>
        <v>2026</v>
      </c>
      <c r="D535" s="309">
        <f>Table13[[#This Row],[Date]]-DAY(Table13[[#This Row],[Date]])+1</f>
        <v>46266</v>
      </c>
      <c r="E535" s="10">
        <f t="shared" si="45"/>
        <v>30</v>
      </c>
      <c r="F535" s="241" t="str">
        <f>IFERROR(_xlfn.XLOOKUP($A535,Input_Raw!$E:$E,Input_Raw!DC:DC),"")</f>
        <v/>
      </c>
      <c r="G535" s="242"/>
      <c r="H535" s="242"/>
      <c r="I535" s="242"/>
      <c r="J535" s="242"/>
      <c r="K535" s="243"/>
      <c r="L535" s="242"/>
      <c r="M535" s="242" t="str">
        <f>IFERROR(_xlfn.XLOOKUP($A535,Input_Raw!$E:$E,Input_Raw!$BM:$BM),"")</f>
        <v/>
      </c>
      <c r="N535" s="242" t="str">
        <f>IFERROR(_xlfn.XLOOKUP($A535,Input_Raw!$E:$E,Input_Raw!$BN:$BN),"")</f>
        <v/>
      </c>
      <c r="O535" s="311" t="str">
        <f t="shared" si="46"/>
        <v/>
      </c>
      <c r="P535" s="311" t="str">
        <f>IFERROR(1-SUMIF(WTG_BD!$F:$F,$A535,WTG_BD!$AA:$AA)/($AA535+SUMIF(WTG_BD!$F:$F,$A535,WTG_BD!$AA:$AA)),"")</f>
        <v/>
      </c>
      <c r="Q535" s="328" t="str">
        <f>IFERROR(1-SUMIF(IGA_BD!$F:$F,$A535,IGA_BD!$W:$W)/($AA535+SUMIF(IGA_BD!$F:$F,$A535,IGA_BD!$W:$W)),"")</f>
        <v/>
      </c>
      <c r="R535" s="311" t="str">
        <f>IFERROR(1-SUMIF(Grid_BD!$F:$F,$A535,Grid_BD!$Y:$Y)/($AA535+SUMIF(Grid_BD!$F:$F,$A535,Grid_BD!$Y:$Y)),"")</f>
        <v/>
      </c>
      <c r="S535" s="10"/>
      <c r="T535" s="310"/>
      <c r="U535" s="311"/>
      <c r="V535" s="10"/>
      <c r="W535" s="312" t="str">
        <f t="shared" si="47"/>
        <v/>
      </c>
      <c r="X535" s="10" t="str">
        <f>IFERROR(_xlfn.XLOOKUP($A535,Input_Raw!$E:$E,Input_Raw!BG:BG),"")</f>
        <v/>
      </c>
      <c r="Y535" s="10" t="str">
        <f>IFERROR(_xlfn.XLOOKUP($A535,Input_Raw!$E:$E,Input_Raw!DF:DF),"")</f>
        <v/>
      </c>
      <c r="Z535" s="319" t="str">
        <f>IFERROR(_xlfn.XLOOKUP(A535,Input_Raw!E:E,Input_Raw!CT:CT)/_xlfn.XLOOKUP(A535,Input_Raw!E:E,Input_Raw!CS:CS)*Table13[[#This Row],[Mtr_Export (kWh)]],"")</f>
        <v/>
      </c>
      <c r="AA535" s="43" t="str">
        <f t="shared" si="48"/>
        <v/>
      </c>
      <c r="AB535" s="10" t="str">
        <f>IFERROR(_xlfn.XLOOKUP($A535,Input_Raw!$E:$E,Input_Raw!$CZ:$CZ),"")</f>
        <v/>
      </c>
      <c r="AC535" s="313" t="str">
        <f>IFERROR(_xlfn.XLOOKUP($D535,'Modelling New'!$D:$D,'Modelling New'!$J:$J),"")</f>
        <v/>
      </c>
      <c r="AD535" s="43" t="str">
        <f>IFERROR(_xlfn.XLOOKUP($D535,'Modelling New'!$D:$D,'Modelling New'!$T:$T)*1000,"")</f>
        <v/>
      </c>
      <c r="AE535" s="312"/>
      <c r="AF535" s="312" t="str">
        <f>IFERROR(_xlfn.XLOOKUP($D535,'Modelling New'!$D:$D,'Modelling New'!$W:$W),"")</f>
        <v/>
      </c>
      <c r="AG535" s="312" t="str">
        <f>IFERROR(_xlfn.XLOOKUP($D535,'Modelling New'!$D:$D,'Modelling New'!$AE:$AE),"")</f>
        <v/>
      </c>
      <c r="AH535" s="312" t="str">
        <f>IFERROR(_xlfn.XLOOKUP($D535,'Modelling New'!$D:$D,'Modelling New'!$AF:$AF),"")</f>
        <v/>
      </c>
      <c r="AI535" s="10" t="str">
        <f>IFERROR(_xlfn.XLOOKUP($A535,Input_Raw!$E:$E,Input_Raw!$DG:$DG),"")</f>
        <v/>
      </c>
      <c r="AJ535" s="10"/>
      <c r="AK535" s="10"/>
      <c r="AL535" s="10"/>
      <c r="AM535" s="10"/>
      <c r="AN535" s="314" t="str">
        <f>IFERROR(_xlfn.XLOOKUP($A535,Input_Raw!$E:$E,Input_Raw!$CY:$CY),"")</f>
        <v/>
      </c>
      <c r="AO535" s="312" t="str">
        <f>IFERROR((_xlfn.XLOOKUP($A535,'WTG Reactive Power'!$A:$A,'WTG Reactive Power'!AB:AB))/X535,"")</f>
        <v/>
      </c>
      <c r="AP535" s="312" t="str">
        <f>IFERROR(_xlfn.XLOOKUP($D535,'Modelling New'!$D:$D,'Modelling New'!AK:AK),"")</f>
        <v/>
      </c>
      <c r="AQ535" s="312" t="str">
        <f>IFERROR(_xlfn.XLOOKUP($D535,'Modelling New'!$D:$D,'Modelling New'!AL:AL),"")</f>
        <v/>
      </c>
      <c r="AR535" s="325" t="str">
        <f>IFERROR(_xlfn.XLOOKUP($D535,'Modelling New'!$D:$D,'Modelling New'!$N:$N),"")</f>
        <v/>
      </c>
      <c r="AS535" s="325"/>
    </row>
    <row r="536" spans="1:45">
      <c r="A536" s="32">
        <f t="shared" si="49"/>
        <v>46279</v>
      </c>
      <c r="B536" s="43">
        <f>YEAR(Table13[[#This Row],[Date]])+IF(MONTH(Table13[[#This Row],[Date]])&gt;=4,1,0)</f>
        <v>2027</v>
      </c>
      <c r="C536" s="10">
        <f>YEAR(Table13[[#This Row],[Date]])</f>
        <v>2026</v>
      </c>
      <c r="D536" s="309">
        <f>Table13[[#This Row],[Date]]-DAY(Table13[[#This Row],[Date]])+1</f>
        <v>46266</v>
      </c>
      <c r="E536" s="10">
        <f t="shared" si="45"/>
        <v>30</v>
      </c>
      <c r="F536" s="241" t="str">
        <f>IFERROR(_xlfn.XLOOKUP($A536,Input_Raw!$E:$E,Input_Raw!DC:DC),"")</f>
        <v/>
      </c>
      <c r="G536" s="313"/>
      <c r="H536" s="313"/>
      <c r="I536" s="313"/>
      <c r="J536" s="313"/>
      <c r="K536" s="243"/>
      <c r="L536" s="242"/>
      <c r="M536" s="242" t="str">
        <f>IFERROR(_xlfn.XLOOKUP($A536,Input_Raw!$E:$E,Input_Raw!$BM:$BM),"")</f>
        <v/>
      </c>
      <c r="N536" s="242" t="str">
        <f>IFERROR(_xlfn.XLOOKUP($A536,Input_Raw!$E:$E,Input_Raw!$BN:$BN),"")</f>
        <v/>
      </c>
      <c r="O536" s="311" t="str">
        <f t="shared" si="46"/>
        <v/>
      </c>
      <c r="P536" s="311" t="str">
        <f>IFERROR(1-SUMIF(WTG_BD!$F:$F,$A536,WTG_BD!$AA:$AA)/($AA536+SUMIF(WTG_BD!$F:$F,$A536,WTG_BD!$AA:$AA)),"")</f>
        <v/>
      </c>
      <c r="Q536" s="328" t="str">
        <f>IFERROR(1-SUMIF(IGA_BD!$F:$F,$A536,IGA_BD!$W:$W)/($AA536+SUMIF(IGA_BD!$F:$F,$A536,IGA_BD!$W:$W)),"")</f>
        <v/>
      </c>
      <c r="R536" s="47" t="str">
        <f>IFERROR(1-SUMIF(Grid_BD!$F:$F,$A536,Grid_BD!$Y:$Y)/($AA536+SUMIF(Grid_BD!$F:$F,$A536,Grid_BD!$Y:$Y)),"")</f>
        <v/>
      </c>
      <c r="S536" s="10"/>
      <c r="T536" s="310"/>
      <c r="U536" s="311"/>
      <c r="V536" s="10"/>
      <c r="W536" s="312" t="str">
        <f t="shared" si="47"/>
        <v/>
      </c>
      <c r="X536" s="10" t="str">
        <f>IFERROR(_xlfn.XLOOKUP($A536,Input_Raw!$E:$E,Input_Raw!BG:BG),"")</f>
        <v/>
      </c>
      <c r="Y536" s="10" t="str">
        <f>IFERROR(_xlfn.XLOOKUP($A536,Input_Raw!$E:$E,Input_Raw!DF:DF),"")</f>
        <v/>
      </c>
      <c r="Z536" s="319" t="str">
        <f>IFERROR(_xlfn.XLOOKUP(A536,Input_Raw!E:E,Input_Raw!CT:CT)/_xlfn.XLOOKUP(A536,Input_Raw!E:E,Input_Raw!CS:CS)*Table13[[#This Row],[Mtr_Export (kWh)]],"")</f>
        <v/>
      </c>
      <c r="AA536" s="43" t="str">
        <f t="shared" si="48"/>
        <v/>
      </c>
      <c r="AB536" s="10" t="str">
        <f>IFERROR(_xlfn.XLOOKUP($A536,Input_Raw!$E:$E,Input_Raw!$CZ:$CZ),"")</f>
        <v/>
      </c>
      <c r="AC536" s="313" t="str">
        <f>IFERROR(_xlfn.XLOOKUP($D536,'Modelling New'!$D:$D,'Modelling New'!$J:$J),"")</f>
        <v/>
      </c>
      <c r="AD536" s="43" t="str">
        <f>IFERROR(_xlfn.XLOOKUP($D536,'Modelling New'!$D:$D,'Modelling New'!$T:$T)*1000,"")</f>
        <v/>
      </c>
      <c r="AE536" s="312"/>
      <c r="AF536" s="312" t="str">
        <f>IFERROR(_xlfn.XLOOKUP($D536,'Modelling New'!$D:$D,'Modelling New'!$W:$W),"")</f>
        <v/>
      </c>
      <c r="AG536" s="312" t="str">
        <f>IFERROR(_xlfn.XLOOKUP($D536,'Modelling New'!$D:$D,'Modelling New'!$AE:$AE),"")</f>
        <v/>
      </c>
      <c r="AH536" s="312" t="str">
        <f>IFERROR(_xlfn.XLOOKUP($D536,'Modelling New'!$D:$D,'Modelling New'!$AF:$AF),"")</f>
        <v/>
      </c>
      <c r="AI536" s="10" t="str">
        <f>IFERROR(_xlfn.XLOOKUP($A536,Input_Raw!$E:$E,Input_Raw!$DG:$DG),"")</f>
        <v/>
      </c>
      <c r="AJ536" s="10"/>
      <c r="AK536" s="10"/>
      <c r="AL536" s="10"/>
      <c r="AM536" s="10"/>
      <c r="AN536" s="314" t="str">
        <f>IFERROR(_xlfn.XLOOKUP($A536,Input_Raw!$E:$E,Input_Raw!$CY:$CY),"")</f>
        <v/>
      </c>
      <c r="AO536" s="312" t="str">
        <f>IFERROR((_xlfn.XLOOKUP($A536,'WTG Reactive Power'!$A:$A,'WTG Reactive Power'!AB:AB))/X536,"")</f>
        <v/>
      </c>
      <c r="AP536" s="312" t="str">
        <f>IFERROR(_xlfn.XLOOKUP($D536,'Modelling New'!$D:$D,'Modelling New'!AK:AK),"")</f>
        <v/>
      </c>
      <c r="AQ536" s="312" t="str">
        <f>IFERROR(_xlfn.XLOOKUP($D536,'Modelling New'!$D:$D,'Modelling New'!AL:AL),"")</f>
        <v/>
      </c>
      <c r="AR536" s="325" t="str">
        <f>IFERROR(_xlfn.XLOOKUP($D536,'Modelling New'!$D:$D,'Modelling New'!$N:$N),"")</f>
        <v/>
      </c>
      <c r="AS536" s="325"/>
    </row>
    <row r="537" spans="1:45">
      <c r="A537" s="32">
        <f t="shared" si="49"/>
        <v>46280</v>
      </c>
      <c r="B537" s="43">
        <f>YEAR(Table13[[#This Row],[Date]])+IF(MONTH(Table13[[#This Row],[Date]])&gt;=4,1,0)</f>
        <v>2027</v>
      </c>
      <c r="C537" s="10">
        <f>YEAR(Table13[[#This Row],[Date]])</f>
        <v>2026</v>
      </c>
      <c r="D537" s="309">
        <f>Table13[[#This Row],[Date]]-DAY(Table13[[#This Row],[Date]])+1</f>
        <v>46266</v>
      </c>
      <c r="E537" s="10">
        <f t="shared" si="45"/>
        <v>30</v>
      </c>
      <c r="F537" s="241" t="str">
        <f>IFERROR(_xlfn.XLOOKUP($A537,Input_Raw!$E:$E,Input_Raw!DC:DC),"")</f>
        <v/>
      </c>
      <c r="G537" s="242"/>
      <c r="H537" s="242"/>
      <c r="I537" s="242"/>
      <c r="J537" s="242"/>
      <c r="K537" s="243"/>
      <c r="L537" s="242"/>
      <c r="M537" s="242" t="str">
        <f>IFERROR(_xlfn.XLOOKUP($A537,Input_Raw!$E:$E,Input_Raw!$BM:$BM),"")</f>
        <v/>
      </c>
      <c r="N537" s="242" t="str">
        <f>IFERROR(_xlfn.XLOOKUP($A537,Input_Raw!$E:$E,Input_Raw!$BN:$BN),"")</f>
        <v/>
      </c>
      <c r="O537" s="311" t="str">
        <f t="shared" si="46"/>
        <v/>
      </c>
      <c r="P537" s="311" t="str">
        <f>IFERROR(1-SUMIF(WTG_BD!$F:$F,$A537,WTG_BD!$AA:$AA)/($AA537+SUMIF(WTG_BD!$F:$F,$A537,WTG_BD!$AA:$AA)),"")</f>
        <v/>
      </c>
      <c r="Q537" s="328" t="str">
        <f>IFERROR(1-SUMIF(IGA_BD!$F:$F,$A537,IGA_BD!$W:$W)/($AA537+SUMIF(IGA_BD!$F:$F,$A537,IGA_BD!$W:$W)),"")</f>
        <v/>
      </c>
      <c r="R537" s="311" t="str">
        <f>IFERROR(1-SUMIF(Grid_BD!$F:$F,$A537,Grid_BD!$Y:$Y)/($AA537+SUMIF(Grid_BD!$F:$F,$A537,Grid_BD!$Y:$Y)),"")</f>
        <v/>
      </c>
      <c r="S537" s="10"/>
      <c r="T537" s="310"/>
      <c r="U537" s="311"/>
      <c r="V537" s="10"/>
      <c r="W537" s="312" t="str">
        <f t="shared" si="47"/>
        <v/>
      </c>
      <c r="X537" s="10" t="str">
        <f>IFERROR(_xlfn.XLOOKUP($A537,Input_Raw!$E:$E,Input_Raw!BG:BG),"")</f>
        <v/>
      </c>
      <c r="Y537" s="10" t="str">
        <f>IFERROR(_xlfn.XLOOKUP($A537,Input_Raw!$E:$E,Input_Raw!DF:DF),"")</f>
        <v/>
      </c>
      <c r="Z537" s="319" t="str">
        <f>IFERROR(_xlfn.XLOOKUP(A537,Input_Raw!E:E,Input_Raw!CT:CT)/_xlfn.XLOOKUP(A537,Input_Raw!E:E,Input_Raw!CS:CS)*Table13[[#This Row],[Mtr_Export (kWh)]],"")</f>
        <v/>
      </c>
      <c r="AA537" s="43" t="str">
        <f t="shared" si="48"/>
        <v/>
      </c>
      <c r="AB537" s="10" t="str">
        <f>IFERROR(_xlfn.XLOOKUP($A537,Input_Raw!$E:$E,Input_Raw!$CZ:$CZ),"")</f>
        <v/>
      </c>
      <c r="AC537" s="313" t="str">
        <f>IFERROR(_xlfn.XLOOKUP($D537,'Modelling New'!$D:$D,'Modelling New'!$J:$J),"")</f>
        <v/>
      </c>
      <c r="AD537" s="43" t="str">
        <f>IFERROR(_xlfn.XLOOKUP($D537,'Modelling New'!$D:$D,'Modelling New'!$T:$T)*1000,"")</f>
        <v/>
      </c>
      <c r="AE537" s="312"/>
      <c r="AF537" s="312" t="str">
        <f>IFERROR(_xlfn.XLOOKUP($D537,'Modelling New'!$D:$D,'Modelling New'!$W:$W),"")</f>
        <v/>
      </c>
      <c r="AG537" s="312" t="str">
        <f>IFERROR(_xlfn.XLOOKUP($D537,'Modelling New'!$D:$D,'Modelling New'!$AE:$AE),"")</f>
        <v/>
      </c>
      <c r="AH537" s="312" t="str">
        <f>IFERROR(_xlfn.XLOOKUP($D537,'Modelling New'!$D:$D,'Modelling New'!$AF:$AF),"")</f>
        <v/>
      </c>
      <c r="AI537" s="10" t="str">
        <f>IFERROR(_xlfn.XLOOKUP($A537,Input_Raw!$E:$E,Input_Raw!$DG:$DG),"")</f>
        <v/>
      </c>
      <c r="AJ537" s="10"/>
      <c r="AK537" s="10"/>
      <c r="AL537" s="10"/>
      <c r="AM537" s="10"/>
      <c r="AN537" s="314" t="str">
        <f>IFERROR(_xlfn.XLOOKUP($A537,Input_Raw!$E:$E,Input_Raw!$CY:$CY),"")</f>
        <v/>
      </c>
      <c r="AO537" s="312" t="str">
        <f>IFERROR((_xlfn.XLOOKUP($A537,'WTG Reactive Power'!$A:$A,'WTG Reactive Power'!AB:AB))/X537,"")</f>
        <v/>
      </c>
      <c r="AP537" s="312" t="str">
        <f>IFERROR(_xlfn.XLOOKUP($D537,'Modelling New'!$D:$D,'Modelling New'!AK:AK),"")</f>
        <v/>
      </c>
      <c r="AQ537" s="312" t="str">
        <f>IFERROR(_xlfn.XLOOKUP($D537,'Modelling New'!$D:$D,'Modelling New'!AL:AL),"")</f>
        <v/>
      </c>
      <c r="AR537" s="325" t="str">
        <f>IFERROR(_xlfn.XLOOKUP($D537,'Modelling New'!$D:$D,'Modelling New'!$N:$N),"")</f>
        <v/>
      </c>
      <c r="AS537" s="325"/>
    </row>
    <row r="538" spans="1:45">
      <c r="A538" s="32">
        <f t="shared" si="49"/>
        <v>46281</v>
      </c>
      <c r="B538" s="43">
        <f>YEAR(Table13[[#This Row],[Date]])+IF(MONTH(Table13[[#This Row],[Date]])&gt;=4,1,0)</f>
        <v>2027</v>
      </c>
      <c r="C538" s="10">
        <f>YEAR(Table13[[#This Row],[Date]])</f>
        <v>2026</v>
      </c>
      <c r="D538" s="309">
        <f>Table13[[#This Row],[Date]]-DAY(Table13[[#This Row],[Date]])+1</f>
        <v>46266</v>
      </c>
      <c r="E538" s="10">
        <f t="shared" si="45"/>
        <v>30</v>
      </c>
      <c r="F538" s="241" t="str">
        <f>IFERROR(_xlfn.XLOOKUP($A538,Input_Raw!$E:$E,Input_Raw!DC:DC),"")</f>
        <v/>
      </c>
      <c r="G538" s="313"/>
      <c r="H538" s="313"/>
      <c r="I538" s="313"/>
      <c r="J538" s="313"/>
      <c r="K538" s="243"/>
      <c r="L538" s="242"/>
      <c r="M538" s="242" t="str">
        <f>IFERROR(_xlfn.XLOOKUP($A538,Input_Raw!$E:$E,Input_Raw!$BM:$BM),"")</f>
        <v/>
      </c>
      <c r="N538" s="242" t="str">
        <f>IFERROR(_xlfn.XLOOKUP($A538,Input_Raw!$E:$E,Input_Raw!$BN:$BN),"")</f>
        <v/>
      </c>
      <c r="O538" s="311" t="str">
        <f t="shared" si="46"/>
        <v/>
      </c>
      <c r="P538" s="311" t="str">
        <f>IFERROR(1-SUMIF(WTG_BD!$F:$F,$A538,WTG_BD!$AA:$AA)/($AA538+SUMIF(WTG_BD!$F:$F,$A538,WTG_BD!$AA:$AA)),"")</f>
        <v/>
      </c>
      <c r="Q538" s="328" t="str">
        <f>IFERROR(1-SUMIF(IGA_BD!$F:$F,$A538,IGA_BD!$W:$W)/($AA538+SUMIF(IGA_BD!$F:$F,$A538,IGA_BD!$W:$W)),"")</f>
        <v/>
      </c>
      <c r="R538" s="47" t="str">
        <f>IFERROR(1-SUMIF(Grid_BD!$F:$F,$A538,Grid_BD!$Y:$Y)/($AA538+SUMIF(Grid_BD!$F:$F,$A538,Grid_BD!$Y:$Y)),"")</f>
        <v/>
      </c>
      <c r="S538" s="10"/>
      <c r="T538" s="310"/>
      <c r="U538" s="311"/>
      <c r="V538" s="10"/>
      <c r="W538" s="312" t="str">
        <f t="shared" si="47"/>
        <v/>
      </c>
      <c r="X538" s="10" t="str">
        <f>IFERROR(_xlfn.XLOOKUP($A538,Input_Raw!$E:$E,Input_Raw!BG:BG),"")</f>
        <v/>
      </c>
      <c r="Y538" s="10" t="str">
        <f>IFERROR(_xlfn.XLOOKUP($A538,Input_Raw!$E:$E,Input_Raw!DF:DF),"")</f>
        <v/>
      </c>
      <c r="Z538" s="319" t="str">
        <f>IFERROR(_xlfn.XLOOKUP(A538,Input_Raw!E:E,Input_Raw!CT:CT)/_xlfn.XLOOKUP(A538,Input_Raw!E:E,Input_Raw!CS:CS)*Table13[[#This Row],[Mtr_Export (kWh)]],"")</f>
        <v/>
      </c>
      <c r="AA538" s="43" t="str">
        <f t="shared" si="48"/>
        <v/>
      </c>
      <c r="AB538" s="10" t="str">
        <f>IFERROR(_xlfn.XLOOKUP($A538,Input_Raw!$E:$E,Input_Raw!$CZ:$CZ),"")</f>
        <v/>
      </c>
      <c r="AC538" s="313" t="str">
        <f>IFERROR(_xlfn.XLOOKUP($D538,'Modelling New'!$D:$D,'Modelling New'!$J:$J),"")</f>
        <v/>
      </c>
      <c r="AD538" s="43" t="str">
        <f>IFERROR(_xlfn.XLOOKUP($D538,'Modelling New'!$D:$D,'Modelling New'!$T:$T)*1000,"")</f>
        <v/>
      </c>
      <c r="AE538" s="312"/>
      <c r="AF538" s="312" t="str">
        <f>IFERROR(_xlfn.XLOOKUP($D538,'Modelling New'!$D:$D,'Modelling New'!$W:$W),"")</f>
        <v/>
      </c>
      <c r="AG538" s="312" t="str">
        <f>IFERROR(_xlfn.XLOOKUP($D538,'Modelling New'!$D:$D,'Modelling New'!$AE:$AE),"")</f>
        <v/>
      </c>
      <c r="AH538" s="312" t="str">
        <f>IFERROR(_xlfn.XLOOKUP($D538,'Modelling New'!$D:$D,'Modelling New'!$AF:$AF),"")</f>
        <v/>
      </c>
      <c r="AI538" s="10" t="str">
        <f>IFERROR(_xlfn.XLOOKUP($A538,Input_Raw!$E:$E,Input_Raw!$DG:$DG),"")</f>
        <v/>
      </c>
      <c r="AJ538" s="10"/>
      <c r="AK538" s="10"/>
      <c r="AL538" s="10"/>
      <c r="AM538" s="10"/>
      <c r="AN538" s="314" t="str">
        <f>IFERROR(_xlfn.XLOOKUP($A538,Input_Raw!$E:$E,Input_Raw!$CY:$CY),"")</f>
        <v/>
      </c>
      <c r="AO538" s="312" t="str">
        <f>IFERROR((_xlfn.XLOOKUP($A538,'WTG Reactive Power'!$A:$A,'WTG Reactive Power'!AB:AB))/X538,"")</f>
        <v/>
      </c>
      <c r="AP538" s="312" t="str">
        <f>IFERROR(_xlfn.XLOOKUP($D538,'Modelling New'!$D:$D,'Modelling New'!AK:AK),"")</f>
        <v/>
      </c>
      <c r="AQ538" s="312" t="str">
        <f>IFERROR(_xlfn.XLOOKUP($D538,'Modelling New'!$D:$D,'Modelling New'!AL:AL),"")</f>
        <v/>
      </c>
      <c r="AR538" s="325" t="str">
        <f>IFERROR(_xlfn.XLOOKUP($D538,'Modelling New'!$D:$D,'Modelling New'!$N:$N),"")</f>
        <v/>
      </c>
      <c r="AS538" s="325"/>
    </row>
    <row r="539" spans="1:45">
      <c r="A539" s="32">
        <f t="shared" si="49"/>
        <v>46282</v>
      </c>
      <c r="B539" s="43">
        <f>YEAR(Table13[[#This Row],[Date]])+IF(MONTH(Table13[[#This Row],[Date]])&gt;=4,1,0)</f>
        <v>2027</v>
      </c>
      <c r="C539" s="10">
        <f>YEAR(Table13[[#This Row],[Date]])</f>
        <v>2026</v>
      </c>
      <c r="D539" s="309">
        <f>Table13[[#This Row],[Date]]-DAY(Table13[[#This Row],[Date]])+1</f>
        <v>46266</v>
      </c>
      <c r="E539" s="10">
        <f t="shared" si="45"/>
        <v>30</v>
      </c>
      <c r="F539" s="241" t="str">
        <f>IFERROR(_xlfn.XLOOKUP($A539,Input_Raw!$E:$E,Input_Raw!DC:DC),"")</f>
        <v/>
      </c>
      <c r="G539" s="242"/>
      <c r="H539" s="242"/>
      <c r="I539" s="242"/>
      <c r="J539" s="242"/>
      <c r="K539" s="243"/>
      <c r="L539" s="242"/>
      <c r="M539" s="242" t="str">
        <f>IFERROR(_xlfn.XLOOKUP($A539,Input_Raw!$E:$E,Input_Raw!$BM:$BM),"")</f>
        <v/>
      </c>
      <c r="N539" s="242" t="str">
        <f>IFERROR(_xlfn.XLOOKUP($A539,Input_Raw!$E:$E,Input_Raw!$BN:$BN),"")</f>
        <v/>
      </c>
      <c r="O539" s="311" t="str">
        <f t="shared" si="46"/>
        <v/>
      </c>
      <c r="P539" s="311" t="str">
        <f>IFERROR(1-SUMIF(WTG_BD!$F:$F,$A539,WTG_BD!$AA:$AA)/($AA539+SUMIF(WTG_BD!$F:$F,$A539,WTG_BD!$AA:$AA)),"")</f>
        <v/>
      </c>
      <c r="Q539" s="328" t="str">
        <f>IFERROR(1-SUMIF(IGA_BD!$F:$F,$A539,IGA_BD!$W:$W)/($AA539+SUMIF(IGA_BD!$F:$F,$A539,IGA_BD!$W:$W)),"")</f>
        <v/>
      </c>
      <c r="R539" s="311" t="str">
        <f>IFERROR(1-SUMIF(Grid_BD!$F:$F,$A539,Grid_BD!$Y:$Y)/($AA539+SUMIF(Grid_BD!$F:$F,$A539,Grid_BD!$Y:$Y)),"")</f>
        <v/>
      </c>
      <c r="S539" s="10"/>
      <c r="T539" s="310"/>
      <c r="U539" s="311"/>
      <c r="V539" s="10"/>
      <c r="W539" s="312" t="str">
        <f t="shared" si="47"/>
        <v/>
      </c>
      <c r="X539" s="10" t="str">
        <f>IFERROR(_xlfn.XLOOKUP($A539,Input_Raw!$E:$E,Input_Raw!BG:BG),"")</f>
        <v/>
      </c>
      <c r="Y539" s="10" t="str">
        <f>IFERROR(_xlfn.XLOOKUP($A539,Input_Raw!$E:$E,Input_Raw!DF:DF),"")</f>
        <v/>
      </c>
      <c r="Z539" s="319" t="str">
        <f>IFERROR(_xlfn.XLOOKUP(A539,Input_Raw!E:E,Input_Raw!CT:CT)/_xlfn.XLOOKUP(A539,Input_Raw!E:E,Input_Raw!CS:CS)*Table13[[#This Row],[Mtr_Export (kWh)]],"")</f>
        <v/>
      </c>
      <c r="AA539" s="43" t="str">
        <f t="shared" si="48"/>
        <v/>
      </c>
      <c r="AB539" s="10" t="str">
        <f>IFERROR(_xlfn.XLOOKUP($A539,Input_Raw!$E:$E,Input_Raw!$CZ:$CZ),"")</f>
        <v/>
      </c>
      <c r="AC539" s="313" t="str">
        <f>IFERROR(_xlfn.XLOOKUP($D539,'Modelling New'!$D:$D,'Modelling New'!$J:$J),"")</f>
        <v/>
      </c>
      <c r="AD539" s="43" t="str">
        <f>IFERROR(_xlfn.XLOOKUP($D539,'Modelling New'!$D:$D,'Modelling New'!$T:$T)*1000,"")</f>
        <v/>
      </c>
      <c r="AE539" s="312"/>
      <c r="AF539" s="312" t="str">
        <f>IFERROR(_xlfn.XLOOKUP($D539,'Modelling New'!$D:$D,'Modelling New'!$W:$W),"")</f>
        <v/>
      </c>
      <c r="AG539" s="312" t="str">
        <f>IFERROR(_xlfn.XLOOKUP($D539,'Modelling New'!$D:$D,'Modelling New'!$AE:$AE),"")</f>
        <v/>
      </c>
      <c r="AH539" s="312" t="str">
        <f>IFERROR(_xlfn.XLOOKUP($D539,'Modelling New'!$D:$D,'Modelling New'!$AF:$AF),"")</f>
        <v/>
      </c>
      <c r="AI539" s="10" t="str">
        <f>IFERROR(_xlfn.XLOOKUP($A539,Input_Raw!$E:$E,Input_Raw!$DG:$DG),"")</f>
        <v/>
      </c>
      <c r="AJ539" s="10"/>
      <c r="AK539" s="10"/>
      <c r="AL539" s="10"/>
      <c r="AM539" s="10"/>
      <c r="AN539" s="314" t="str">
        <f>IFERROR(_xlfn.XLOOKUP($A539,Input_Raw!$E:$E,Input_Raw!$CY:$CY),"")</f>
        <v/>
      </c>
      <c r="AO539" s="312" t="str">
        <f>IFERROR((_xlfn.XLOOKUP($A539,'WTG Reactive Power'!$A:$A,'WTG Reactive Power'!AB:AB))/X539,"")</f>
        <v/>
      </c>
      <c r="AP539" s="312" t="str">
        <f>IFERROR(_xlfn.XLOOKUP($D539,'Modelling New'!$D:$D,'Modelling New'!AK:AK),"")</f>
        <v/>
      </c>
      <c r="AQ539" s="312" t="str">
        <f>IFERROR(_xlfn.XLOOKUP($D539,'Modelling New'!$D:$D,'Modelling New'!AL:AL),"")</f>
        <v/>
      </c>
      <c r="AR539" s="325" t="str">
        <f>IFERROR(_xlfn.XLOOKUP($D539,'Modelling New'!$D:$D,'Modelling New'!$N:$N),"")</f>
        <v/>
      </c>
      <c r="AS539" s="325"/>
    </row>
    <row r="540" spans="1:45">
      <c r="A540" s="32">
        <f t="shared" si="49"/>
        <v>46283</v>
      </c>
      <c r="B540" s="43">
        <f>YEAR(Table13[[#This Row],[Date]])+IF(MONTH(Table13[[#This Row],[Date]])&gt;=4,1,0)</f>
        <v>2027</v>
      </c>
      <c r="C540" s="10">
        <f>YEAR(Table13[[#This Row],[Date]])</f>
        <v>2026</v>
      </c>
      <c r="D540" s="309">
        <f>Table13[[#This Row],[Date]]-DAY(Table13[[#This Row],[Date]])+1</f>
        <v>46266</v>
      </c>
      <c r="E540" s="10">
        <f t="shared" si="45"/>
        <v>30</v>
      </c>
      <c r="F540" s="241" t="str">
        <f>IFERROR(_xlfn.XLOOKUP($A540,Input_Raw!$E:$E,Input_Raw!DC:DC),"")</f>
        <v/>
      </c>
      <c r="G540" s="313"/>
      <c r="H540" s="313"/>
      <c r="I540" s="313"/>
      <c r="J540" s="313"/>
      <c r="K540" s="243"/>
      <c r="L540" s="242"/>
      <c r="M540" s="242" t="str">
        <f>IFERROR(_xlfn.XLOOKUP($A540,Input_Raw!$E:$E,Input_Raw!$BM:$BM),"")</f>
        <v/>
      </c>
      <c r="N540" s="242" t="str">
        <f>IFERROR(_xlfn.XLOOKUP($A540,Input_Raw!$E:$E,Input_Raw!$BN:$BN),"")</f>
        <v/>
      </c>
      <c r="O540" s="311" t="str">
        <f t="shared" si="46"/>
        <v/>
      </c>
      <c r="P540" s="311" t="str">
        <f>IFERROR(1-SUMIF(WTG_BD!$F:$F,$A540,WTG_BD!$AA:$AA)/($AA540+SUMIF(WTG_BD!$F:$F,$A540,WTG_BD!$AA:$AA)),"")</f>
        <v/>
      </c>
      <c r="Q540" s="328" t="str">
        <f>IFERROR(1-SUMIF(IGA_BD!$F:$F,$A540,IGA_BD!$W:$W)/($AA540+SUMIF(IGA_BD!$F:$F,$A540,IGA_BD!$W:$W)),"")</f>
        <v/>
      </c>
      <c r="R540" s="47" t="str">
        <f>IFERROR(1-SUMIF(Grid_BD!$F:$F,$A540,Grid_BD!$Y:$Y)/($AA540+SUMIF(Grid_BD!$F:$F,$A540,Grid_BD!$Y:$Y)),"")</f>
        <v/>
      </c>
      <c r="S540" s="10"/>
      <c r="T540" s="310"/>
      <c r="U540" s="311"/>
      <c r="V540" s="10"/>
      <c r="W540" s="312" t="str">
        <f t="shared" si="47"/>
        <v/>
      </c>
      <c r="X540" s="10" t="str">
        <f>IFERROR(_xlfn.XLOOKUP($A540,Input_Raw!$E:$E,Input_Raw!BG:BG),"")</f>
        <v/>
      </c>
      <c r="Y540" s="10" t="str">
        <f>IFERROR(_xlfn.XLOOKUP($A540,Input_Raw!$E:$E,Input_Raw!DF:DF),"")</f>
        <v/>
      </c>
      <c r="Z540" s="319" t="str">
        <f>IFERROR(_xlfn.XLOOKUP(A540,Input_Raw!E:E,Input_Raw!CT:CT)/_xlfn.XLOOKUP(A540,Input_Raw!E:E,Input_Raw!CS:CS)*Table13[[#This Row],[Mtr_Export (kWh)]],"")</f>
        <v/>
      </c>
      <c r="AA540" s="43" t="str">
        <f t="shared" si="48"/>
        <v/>
      </c>
      <c r="AB540" s="10" t="str">
        <f>IFERROR(_xlfn.XLOOKUP($A540,Input_Raw!$E:$E,Input_Raw!$CZ:$CZ),"")</f>
        <v/>
      </c>
      <c r="AC540" s="313" t="str">
        <f>IFERROR(_xlfn.XLOOKUP($D540,'Modelling New'!$D:$D,'Modelling New'!$J:$J),"")</f>
        <v/>
      </c>
      <c r="AD540" s="43" t="str">
        <f>IFERROR(_xlfn.XLOOKUP($D540,'Modelling New'!$D:$D,'Modelling New'!$T:$T)*1000,"")</f>
        <v/>
      </c>
      <c r="AE540" s="312"/>
      <c r="AF540" s="312" t="str">
        <f>IFERROR(_xlfn.XLOOKUP($D540,'Modelling New'!$D:$D,'Modelling New'!$W:$W),"")</f>
        <v/>
      </c>
      <c r="AG540" s="312" t="str">
        <f>IFERROR(_xlfn.XLOOKUP($D540,'Modelling New'!$D:$D,'Modelling New'!$AE:$AE),"")</f>
        <v/>
      </c>
      <c r="AH540" s="312" t="str">
        <f>IFERROR(_xlfn.XLOOKUP($D540,'Modelling New'!$D:$D,'Modelling New'!$AF:$AF),"")</f>
        <v/>
      </c>
      <c r="AI540" s="10" t="str">
        <f>IFERROR(_xlfn.XLOOKUP($A540,Input_Raw!$E:$E,Input_Raw!$DG:$DG),"")</f>
        <v/>
      </c>
      <c r="AJ540" s="10"/>
      <c r="AK540" s="10"/>
      <c r="AL540" s="10"/>
      <c r="AM540" s="10"/>
      <c r="AN540" s="314" t="str">
        <f>IFERROR(_xlfn.XLOOKUP($A540,Input_Raw!$E:$E,Input_Raw!$CY:$CY),"")</f>
        <v/>
      </c>
      <c r="AO540" s="312" t="str">
        <f>IFERROR((_xlfn.XLOOKUP($A540,'WTG Reactive Power'!$A:$A,'WTG Reactive Power'!AB:AB))/X540,"")</f>
        <v/>
      </c>
      <c r="AP540" s="312" t="str">
        <f>IFERROR(_xlfn.XLOOKUP($D540,'Modelling New'!$D:$D,'Modelling New'!AK:AK),"")</f>
        <v/>
      </c>
      <c r="AQ540" s="312" t="str">
        <f>IFERROR(_xlfn.XLOOKUP($D540,'Modelling New'!$D:$D,'Modelling New'!AL:AL),"")</f>
        <v/>
      </c>
      <c r="AR540" s="325" t="str">
        <f>IFERROR(_xlfn.XLOOKUP($D540,'Modelling New'!$D:$D,'Modelling New'!$N:$N),"")</f>
        <v/>
      </c>
      <c r="AS540" s="325"/>
    </row>
    <row r="541" spans="1:45">
      <c r="A541" s="32">
        <f t="shared" si="49"/>
        <v>46284</v>
      </c>
      <c r="B541" s="43">
        <f>YEAR(Table13[[#This Row],[Date]])+IF(MONTH(Table13[[#This Row],[Date]])&gt;=4,1,0)</f>
        <v>2027</v>
      </c>
      <c r="C541" s="10">
        <f>YEAR(Table13[[#This Row],[Date]])</f>
        <v>2026</v>
      </c>
      <c r="D541" s="309">
        <f>Table13[[#This Row],[Date]]-DAY(Table13[[#This Row],[Date]])+1</f>
        <v>46266</v>
      </c>
      <c r="E541" s="10">
        <f t="shared" si="45"/>
        <v>30</v>
      </c>
      <c r="F541" s="241" t="str">
        <f>IFERROR(_xlfn.XLOOKUP($A541,Input_Raw!$E:$E,Input_Raw!DC:DC),"")</f>
        <v/>
      </c>
      <c r="G541" s="242"/>
      <c r="H541" s="242"/>
      <c r="I541" s="242"/>
      <c r="J541" s="242"/>
      <c r="K541" s="243"/>
      <c r="L541" s="242"/>
      <c r="M541" s="242" t="str">
        <f>IFERROR(_xlfn.XLOOKUP($A541,Input_Raw!$E:$E,Input_Raw!$BM:$BM),"")</f>
        <v/>
      </c>
      <c r="N541" s="242" t="str">
        <f>IFERROR(_xlfn.XLOOKUP($A541,Input_Raw!$E:$E,Input_Raw!$BN:$BN),"")</f>
        <v/>
      </c>
      <c r="O541" s="311" t="str">
        <f t="shared" si="46"/>
        <v/>
      </c>
      <c r="P541" s="311" t="str">
        <f>IFERROR(1-SUMIF(WTG_BD!$F:$F,$A541,WTG_BD!$AA:$AA)/($AA541+SUMIF(WTG_BD!$F:$F,$A541,WTG_BD!$AA:$AA)),"")</f>
        <v/>
      </c>
      <c r="Q541" s="328" t="str">
        <f>IFERROR(1-SUMIF(IGA_BD!$F:$F,$A541,IGA_BD!$W:$W)/($AA541+SUMIF(IGA_BD!$F:$F,$A541,IGA_BD!$W:$W)),"")</f>
        <v/>
      </c>
      <c r="R541" s="311" t="str">
        <f>IFERROR(1-SUMIF(Grid_BD!$F:$F,$A541,Grid_BD!$Y:$Y)/($AA541+SUMIF(Grid_BD!$F:$F,$A541,Grid_BD!$Y:$Y)),"")</f>
        <v/>
      </c>
      <c r="S541" s="10"/>
      <c r="T541" s="310"/>
      <c r="U541" s="311"/>
      <c r="V541" s="10"/>
      <c r="W541" s="312" t="str">
        <f t="shared" si="47"/>
        <v/>
      </c>
      <c r="X541" s="10" t="str">
        <f>IFERROR(_xlfn.XLOOKUP($A541,Input_Raw!$E:$E,Input_Raw!BG:BG),"")</f>
        <v/>
      </c>
      <c r="Y541" s="10" t="str">
        <f>IFERROR(_xlfn.XLOOKUP($A541,Input_Raw!$E:$E,Input_Raw!DF:DF),"")</f>
        <v/>
      </c>
      <c r="Z541" s="319" t="str">
        <f>IFERROR(_xlfn.XLOOKUP(A541,Input_Raw!E:E,Input_Raw!CT:CT)/_xlfn.XLOOKUP(A541,Input_Raw!E:E,Input_Raw!CS:CS)*Table13[[#This Row],[Mtr_Export (kWh)]],"")</f>
        <v/>
      </c>
      <c r="AA541" s="43" t="str">
        <f t="shared" si="48"/>
        <v/>
      </c>
      <c r="AB541" s="10" t="str">
        <f>IFERROR(_xlfn.XLOOKUP($A541,Input_Raw!$E:$E,Input_Raw!$CZ:$CZ),"")</f>
        <v/>
      </c>
      <c r="AC541" s="313" t="str">
        <f>IFERROR(_xlfn.XLOOKUP($D541,'Modelling New'!$D:$D,'Modelling New'!$J:$J),"")</f>
        <v/>
      </c>
      <c r="AD541" s="43" t="str">
        <f>IFERROR(_xlfn.XLOOKUP($D541,'Modelling New'!$D:$D,'Modelling New'!$T:$T)*1000,"")</f>
        <v/>
      </c>
      <c r="AE541" s="312"/>
      <c r="AF541" s="312" t="str">
        <f>IFERROR(_xlfn.XLOOKUP($D541,'Modelling New'!$D:$D,'Modelling New'!$W:$W),"")</f>
        <v/>
      </c>
      <c r="AG541" s="312" t="str">
        <f>IFERROR(_xlfn.XLOOKUP($D541,'Modelling New'!$D:$D,'Modelling New'!$AE:$AE),"")</f>
        <v/>
      </c>
      <c r="AH541" s="312" t="str">
        <f>IFERROR(_xlfn.XLOOKUP($D541,'Modelling New'!$D:$D,'Modelling New'!$AF:$AF),"")</f>
        <v/>
      </c>
      <c r="AI541" s="10" t="str">
        <f>IFERROR(_xlfn.XLOOKUP($A541,Input_Raw!$E:$E,Input_Raw!$DG:$DG),"")</f>
        <v/>
      </c>
      <c r="AJ541" s="10"/>
      <c r="AK541" s="10"/>
      <c r="AL541" s="10"/>
      <c r="AM541" s="10"/>
      <c r="AN541" s="314" t="str">
        <f>IFERROR(_xlfn.XLOOKUP($A541,Input_Raw!$E:$E,Input_Raw!$CY:$CY),"")</f>
        <v/>
      </c>
      <c r="AO541" s="312" t="str">
        <f>IFERROR((_xlfn.XLOOKUP($A541,'WTG Reactive Power'!$A:$A,'WTG Reactive Power'!AB:AB))/X541,"")</f>
        <v/>
      </c>
      <c r="AP541" s="312" t="str">
        <f>IFERROR(_xlfn.XLOOKUP($D541,'Modelling New'!$D:$D,'Modelling New'!AK:AK),"")</f>
        <v/>
      </c>
      <c r="AQ541" s="312" t="str">
        <f>IFERROR(_xlfn.XLOOKUP($D541,'Modelling New'!$D:$D,'Modelling New'!AL:AL),"")</f>
        <v/>
      </c>
      <c r="AR541" s="325" t="str">
        <f>IFERROR(_xlfn.XLOOKUP($D541,'Modelling New'!$D:$D,'Modelling New'!$N:$N),"")</f>
        <v/>
      </c>
      <c r="AS541" s="325"/>
    </row>
    <row r="542" spans="1:45">
      <c r="A542" s="32">
        <f t="shared" si="49"/>
        <v>46285</v>
      </c>
      <c r="B542" s="43">
        <f>YEAR(Table13[[#This Row],[Date]])+IF(MONTH(Table13[[#This Row],[Date]])&gt;=4,1,0)</f>
        <v>2027</v>
      </c>
      <c r="C542" s="10">
        <f>YEAR(Table13[[#This Row],[Date]])</f>
        <v>2026</v>
      </c>
      <c r="D542" s="309">
        <f>Table13[[#This Row],[Date]]-DAY(Table13[[#This Row],[Date]])+1</f>
        <v>46266</v>
      </c>
      <c r="E542" s="10">
        <f t="shared" si="45"/>
        <v>30</v>
      </c>
      <c r="F542" s="241" t="str">
        <f>IFERROR(_xlfn.XLOOKUP($A542,Input_Raw!$E:$E,Input_Raw!DC:DC),"")</f>
        <v/>
      </c>
      <c r="G542" s="313"/>
      <c r="H542" s="313"/>
      <c r="I542" s="313"/>
      <c r="J542" s="313"/>
      <c r="K542" s="243"/>
      <c r="L542" s="242"/>
      <c r="M542" s="242" t="str">
        <f>IFERROR(_xlfn.XLOOKUP($A542,Input_Raw!$E:$E,Input_Raw!$BM:$BM),"")</f>
        <v/>
      </c>
      <c r="N542" s="242" t="str">
        <f>IFERROR(_xlfn.XLOOKUP($A542,Input_Raw!$E:$E,Input_Raw!$BN:$BN),"")</f>
        <v/>
      </c>
      <c r="O542" s="311" t="str">
        <f t="shared" si="46"/>
        <v/>
      </c>
      <c r="P542" s="311" t="str">
        <f>IFERROR(1-SUMIF(WTG_BD!$F:$F,$A542,WTG_BD!$AA:$AA)/($AA542+SUMIF(WTG_BD!$F:$F,$A542,WTG_BD!$AA:$AA)),"")</f>
        <v/>
      </c>
      <c r="Q542" s="328" t="str">
        <f>IFERROR(1-SUMIF(IGA_BD!$F:$F,$A542,IGA_BD!$W:$W)/($AA542+SUMIF(IGA_BD!$F:$F,$A542,IGA_BD!$W:$W)),"")</f>
        <v/>
      </c>
      <c r="R542" s="47" t="str">
        <f>IFERROR(1-SUMIF(Grid_BD!$F:$F,$A542,Grid_BD!$Y:$Y)/($AA542+SUMIF(Grid_BD!$F:$F,$A542,Grid_BD!$Y:$Y)),"")</f>
        <v/>
      </c>
      <c r="S542" s="10"/>
      <c r="T542" s="310"/>
      <c r="U542" s="311"/>
      <c r="V542" s="10"/>
      <c r="W542" s="312" t="str">
        <f t="shared" si="47"/>
        <v/>
      </c>
      <c r="X542" s="10" t="str">
        <f>IFERROR(_xlfn.XLOOKUP($A542,Input_Raw!$E:$E,Input_Raw!BG:BG),"")</f>
        <v/>
      </c>
      <c r="Y542" s="10" t="str">
        <f>IFERROR(_xlfn.XLOOKUP($A542,Input_Raw!$E:$E,Input_Raw!DF:DF),"")</f>
        <v/>
      </c>
      <c r="Z542" s="319" t="str">
        <f>IFERROR(_xlfn.XLOOKUP(A542,Input_Raw!E:E,Input_Raw!CT:CT)/_xlfn.XLOOKUP(A542,Input_Raw!E:E,Input_Raw!CS:CS)*Table13[[#This Row],[Mtr_Export (kWh)]],"")</f>
        <v/>
      </c>
      <c r="AA542" s="43" t="str">
        <f t="shared" si="48"/>
        <v/>
      </c>
      <c r="AB542" s="10" t="str">
        <f>IFERROR(_xlfn.XLOOKUP($A542,Input_Raw!$E:$E,Input_Raw!$CZ:$CZ),"")</f>
        <v/>
      </c>
      <c r="AC542" s="313" t="str">
        <f>IFERROR(_xlfn.XLOOKUP($D542,'Modelling New'!$D:$D,'Modelling New'!$J:$J),"")</f>
        <v/>
      </c>
      <c r="AD542" s="43" t="str">
        <f>IFERROR(_xlfn.XLOOKUP($D542,'Modelling New'!$D:$D,'Modelling New'!$T:$T)*1000,"")</f>
        <v/>
      </c>
      <c r="AE542" s="312"/>
      <c r="AF542" s="312" t="str">
        <f>IFERROR(_xlfn.XLOOKUP($D542,'Modelling New'!$D:$D,'Modelling New'!$W:$W),"")</f>
        <v/>
      </c>
      <c r="AG542" s="312" t="str">
        <f>IFERROR(_xlfn.XLOOKUP($D542,'Modelling New'!$D:$D,'Modelling New'!$AE:$AE),"")</f>
        <v/>
      </c>
      <c r="AH542" s="312" t="str">
        <f>IFERROR(_xlfn.XLOOKUP($D542,'Modelling New'!$D:$D,'Modelling New'!$AF:$AF),"")</f>
        <v/>
      </c>
      <c r="AI542" s="10" t="str">
        <f>IFERROR(_xlfn.XLOOKUP($A542,Input_Raw!$E:$E,Input_Raw!$DG:$DG),"")</f>
        <v/>
      </c>
      <c r="AJ542" s="10"/>
      <c r="AK542" s="10"/>
      <c r="AL542" s="10"/>
      <c r="AM542" s="10"/>
      <c r="AN542" s="314" t="str">
        <f>IFERROR(_xlfn.XLOOKUP($A542,Input_Raw!$E:$E,Input_Raw!$CY:$CY),"")</f>
        <v/>
      </c>
      <c r="AO542" s="312" t="str">
        <f>IFERROR((_xlfn.XLOOKUP($A542,'WTG Reactive Power'!$A:$A,'WTG Reactive Power'!AB:AB))/X542,"")</f>
        <v/>
      </c>
      <c r="AP542" s="312" t="str">
        <f>IFERROR(_xlfn.XLOOKUP($D542,'Modelling New'!$D:$D,'Modelling New'!AK:AK),"")</f>
        <v/>
      </c>
      <c r="AQ542" s="312" t="str">
        <f>IFERROR(_xlfn.XLOOKUP($D542,'Modelling New'!$D:$D,'Modelling New'!AL:AL),"")</f>
        <v/>
      </c>
      <c r="AR542" s="325" t="str">
        <f>IFERROR(_xlfn.XLOOKUP($D542,'Modelling New'!$D:$D,'Modelling New'!$N:$N),"")</f>
        <v/>
      </c>
      <c r="AS542" s="325"/>
    </row>
    <row r="543" spans="1:45">
      <c r="A543" s="32">
        <f t="shared" si="49"/>
        <v>46286</v>
      </c>
      <c r="B543" s="43">
        <f>YEAR(Table13[[#This Row],[Date]])+IF(MONTH(Table13[[#This Row],[Date]])&gt;=4,1,0)</f>
        <v>2027</v>
      </c>
      <c r="C543" s="10">
        <f>YEAR(Table13[[#This Row],[Date]])</f>
        <v>2026</v>
      </c>
      <c r="D543" s="309">
        <f>Table13[[#This Row],[Date]]-DAY(Table13[[#This Row],[Date]])+1</f>
        <v>46266</v>
      </c>
      <c r="E543" s="10">
        <f t="shared" si="45"/>
        <v>30</v>
      </c>
      <c r="F543" s="241" t="str">
        <f>IFERROR(_xlfn.XLOOKUP($A543,Input_Raw!$E:$E,Input_Raw!DC:DC),"")</f>
        <v/>
      </c>
      <c r="G543" s="242"/>
      <c r="H543" s="242"/>
      <c r="I543" s="242"/>
      <c r="J543" s="242"/>
      <c r="K543" s="243"/>
      <c r="L543" s="242"/>
      <c r="M543" s="242" t="str">
        <f>IFERROR(_xlfn.XLOOKUP($A543,Input_Raw!$E:$E,Input_Raw!$BM:$BM),"")</f>
        <v/>
      </c>
      <c r="N543" s="242" t="str">
        <f>IFERROR(_xlfn.XLOOKUP($A543,Input_Raw!$E:$E,Input_Raw!$BN:$BN),"")</f>
        <v/>
      </c>
      <c r="O543" s="311" t="str">
        <f t="shared" si="46"/>
        <v/>
      </c>
      <c r="P543" s="311" t="str">
        <f>IFERROR(1-SUMIF(WTG_BD!$F:$F,$A543,WTG_BD!$AA:$AA)/($AA543+SUMIF(WTG_BD!$F:$F,$A543,WTG_BD!$AA:$AA)),"")</f>
        <v/>
      </c>
      <c r="Q543" s="328" t="str">
        <f>IFERROR(1-SUMIF(IGA_BD!$F:$F,$A543,IGA_BD!$W:$W)/($AA543+SUMIF(IGA_BD!$F:$F,$A543,IGA_BD!$W:$W)),"")</f>
        <v/>
      </c>
      <c r="R543" s="311" t="str">
        <f>IFERROR(1-SUMIF(Grid_BD!$F:$F,$A543,Grid_BD!$Y:$Y)/($AA543+SUMIF(Grid_BD!$F:$F,$A543,Grid_BD!$Y:$Y)),"")</f>
        <v/>
      </c>
      <c r="S543" s="10"/>
      <c r="T543" s="310"/>
      <c r="U543" s="311"/>
      <c r="V543" s="10"/>
      <c r="W543" s="312" t="str">
        <f t="shared" si="47"/>
        <v/>
      </c>
      <c r="X543" s="10" t="str">
        <f>IFERROR(_xlfn.XLOOKUP($A543,Input_Raw!$E:$E,Input_Raw!BG:BG),"")</f>
        <v/>
      </c>
      <c r="Y543" s="10" t="str">
        <f>IFERROR(_xlfn.XLOOKUP($A543,Input_Raw!$E:$E,Input_Raw!DF:DF),"")</f>
        <v/>
      </c>
      <c r="Z543" s="319" t="str">
        <f>IFERROR(_xlfn.XLOOKUP(A543,Input_Raw!E:E,Input_Raw!CT:CT)/_xlfn.XLOOKUP(A543,Input_Raw!E:E,Input_Raw!CS:CS)*Table13[[#This Row],[Mtr_Export (kWh)]],"")</f>
        <v/>
      </c>
      <c r="AA543" s="43" t="str">
        <f t="shared" si="48"/>
        <v/>
      </c>
      <c r="AB543" s="10" t="str">
        <f>IFERROR(_xlfn.XLOOKUP($A543,Input_Raw!$E:$E,Input_Raw!$CZ:$CZ),"")</f>
        <v/>
      </c>
      <c r="AC543" s="313" t="str">
        <f>IFERROR(_xlfn.XLOOKUP($D543,'Modelling New'!$D:$D,'Modelling New'!$J:$J),"")</f>
        <v/>
      </c>
      <c r="AD543" s="43" t="str">
        <f>IFERROR(_xlfn.XLOOKUP($D543,'Modelling New'!$D:$D,'Modelling New'!$T:$T)*1000,"")</f>
        <v/>
      </c>
      <c r="AE543" s="312"/>
      <c r="AF543" s="312" t="str">
        <f>IFERROR(_xlfn.XLOOKUP($D543,'Modelling New'!$D:$D,'Modelling New'!$W:$W),"")</f>
        <v/>
      </c>
      <c r="AG543" s="312" t="str">
        <f>IFERROR(_xlfn.XLOOKUP($D543,'Modelling New'!$D:$D,'Modelling New'!$AE:$AE),"")</f>
        <v/>
      </c>
      <c r="AH543" s="312" t="str">
        <f>IFERROR(_xlfn.XLOOKUP($D543,'Modelling New'!$D:$D,'Modelling New'!$AF:$AF),"")</f>
        <v/>
      </c>
      <c r="AI543" s="10" t="str">
        <f>IFERROR(_xlfn.XLOOKUP($A543,Input_Raw!$E:$E,Input_Raw!$DG:$DG),"")</f>
        <v/>
      </c>
      <c r="AJ543" s="10"/>
      <c r="AK543" s="10"/>
      <c r="AL543" s="10"/>
      <c r="AM543" s="10"/>
      <c r="AN543" s="314" t="str">
        <f>IFERROR(_xlfn.XLOOKUP($A543,Input_Raw!$E:$E,Input_Raw!$CY:$CY),"")</f>
        <v/>
      </c>
      <c r="AO543" s="312" t="str">
        <f>IFERROR((_xlfn.XLOOKUP($A543,'WTG Reactive Power'!$A:$A,'WTG Reactive Power'!AB:AB))/X543,"")</f>
        <v/>
      </c>
      <c r="AP543" s="312" t="str">
        <f>IFERROR(_xlfn.XLOOKUP($D543,'Modelling New'!$D:$D,'Modelling New'!AK:AK),"")</f>
        <v/>
      </c>
      <c r="AQ543" s="312" t="str">
        <f>IFERROR(_xlfn.XLOOKUP($D543,'Modelling New'!$D:$D,'Modelling New'!AL:AL),"")</f>
        <v/>
      </c>
      <c r="AR543" s="325" t="str">
        <f>IFERROR(_xlfn.XLOOKUP($D543,'Modelling New'!$D:$D,'Modelling New'!$N:$N),"")</f>
        <v/>
      </c>
      <c r="AS543" s="325"/>
    </row>
    <row r="544" spans="1:45">
      <c r="A544" s="32">
        <f t="shared" si="49"/>
        <v>46287</v>
      </c>
      <c r="B544" s="43">
        <f>YEAR(Table13[[#This Row],[Date]])+IF(MONTH(Table13[[#This Row],[Date]])&gt;=4,1,0)</f>
        <v>2027</v>
      </c>
      <c r="C544" s="10">
        <f>YEAR(Table13[[#This Row],[Date]])</f>
        <v>2026</v>
      </c>
      <c r="D544" s="309">
        <f>Table13[[#This Row],[Date]]-DAY(Table13[[#This Row],[Date]])+1</f>
        <v>46266</v>
      </c>
      <c r="E544" s="10">
        <f t="shared" si="45"/>
        <v>30</v>
      </c>
      <c r="F544" s="241" t="str">
        <f>IFERROR(_xlfn.XLOOKUP($A544,Input_Raw!$E:$E,Input_Raw!DC:DC),"")</f>
        <v/>
      </c>
      <c r="G544" s="313"/>
      <c r="H544" s="313"/>
      <c r="I544" s="313"/>
      <c r="J544" s="313"/>
      <c r="K544" s="243"/>
      <c r="L544" s="242"/>
      <c r="M544" s="242" t="str">
        <f>IFERROR(_xlfn.XLOOKUP($A544,Input_Raw!$E:$E,Input_Raw!$BM:$BM),"")</f>
        <v/>
      </c>
      <c r="N544" s="242" t="str">
        <f>IFERROR(_xlfn.XLOOKUP($A544,Input_Raw!$E:$E,Input_Raw!$BN:$BN),"")</f>
        <v/>
      </c>
      <c r="O544" s="311" t="str">
        <f t="shared" si="46"/>
        <v/>
      </c>
      <c r="P544" s="311" t="str">
        <f>IFERROR(1-SUMIF(WTG_BD!$F:$F,$A544,WTG_BD!$AA:$AA)/($AA544+SUMIF(WTG_BD!$F:$F,$A544,WTG_BD!$AA:$AA)),"")</f>
        <v/>
      </c>
      <c r="Q544" s="328" t="str">
        <f>IFERROR(1-SUMIF(IGA_BD!$F:$F,$A544,IGA_BD!$W:$W)/($AA544+SUMIF(IGA_BD!$F:$F,$A544,IGA_BD!$W:$W)),"")</f>
        <v/>
      </c>
      <c r="R544" s="47" t="str">
        <f>IFERROR(1-SUMIF(Grid_BD!$F:$F,$A544,Grid_BD!$Y:$Y)/($AA544+SUMIF(Grid_BD!$F:$F,$A544,Grid_BD!$Y:$Y)),"")</f>
        <v/>
      </c>
      <c r="S544" s="10"/>
      <c r="T544" s="310"/>
      <c r="U544" s="311"/>
      <c r="V544" s="10"/>
      <c r="W544" s="312" t="str">
        <f t="shared" si="47"/>
        <v/>
      </c>
      <c r="X544" s="10" t="str">
        <f>IFERROR(_xlfn.XLOOKUP($A544,Input_Raw!$E:$E,Input_Raw!BG:BG),"")</f>
        <v/>
      </c>
      <c r="Y544" s="10" t="str">
        <f>IFERROR(_xlfn.XLOOKUP($A544,Input_Raw!$E:$E,Input_Raw!DF:DF),"")</f>
        <v/>
      </c>
      <c r="Z544" s="319" t="str">
        <f>IFERROR(_xlfn.XLOOKUP(A544,Input_Raw!E:E,Input_Raw!CT:CT)/_xlfn.XLOOKUP(A544,Input_Raw!E:E,Input_Raw!CS:CS)*Table13[[#This Row],[Mtr_Export (kWh)]],"")</f>
        <v/>
      </c>
      <c r="AA544" s="43" t="str">
        <f t="shared" si="48"/>
        <v/>
      </c>
      <c r="AB544" s="10" t="str">
        <f>IFERROR(_xlfn.XLOOKUP($A544,Input_Raw!$E:$E,Input_Raw!$CZ:$CZ),"")</f>
        <v/>
      </c>
      <c r="AC544" s="313" t="str">
        <f>IFERROR(_xlfn.XLOOKUP($D544,'Modelling New'!$D:$D,'Modelling New'!$J:$J),"")</f>
        <v/>
      </c>
      <c r="AD544" s="43" t="str">
        <f>IFERROR(_xlfn.XLOOKUP($D544,'Modelling New'!$D:$D,'Modelling New'!$T:$T)*1000,"")</f>
        <v/>
      </c>
      <c r="AE544" s="312"/>
      <c r="AF544" s="312" t="str">
        <f>IFERROR(_xlfn.XLOOKUP($D544,'Modelling New'!$D:$D,'Modelling New'!$W:$W),"")</f>
        <v/>
      </c>
      <c r="AG544" s="312" t="str">
        <f>IFERROR(_xlfn.XLOOKUP($D544,'Modelling New'!$D:$D,'Modelling New'!$AE:$AE),"")</f>
        <v/>
      </c>
      <c r="AH544" s="312" t="str">
        <f>IFERROR(_xlfn.XLOOKUP($D544,'Modelling New'!$D:$D,'Modelling New'!$AF:$AF),"")</f>
        <v/>
      </c>
      <c r="AI544" s="10" t="str">
        <f>IFERROR(_xlfn.XLOOKUP($A544,Input_Raw!$E:$E,Input_Raw!$DG:$DG),"")</f>
        <v/>
      </c>
      <c r="AJ544" s="10"/>
      <c r="AK544" s="10"/>
      <c r="AL544" s="10"/>
      <c r="AM544" s="10"/>
      <c r="AN544" s="314" t="str">
        <f>IFERROR(_xlfn.XLOOKUP($A544,Input_Raw!$E:$E,Input_Raw!$CY:$CY),"")</f>
        <v/>
      </c>
      <c r="AO544" s="312" t="str">
        <f>IFERROR((_xlfn.XLOOKUP($A544,'WTG Reactive Power'!$A:$A,'WTG Reactive Power'!AB:AB))/X544,"")</f>
        <v/>
      </c>
      <c r="AP544" s="312" t="str">
        <f>IFERROR(_xlfn.XLOOKUP($D544,'Modelling New'!$D:$D,'Modelling New'!AK:AK),"")</f>
        <v/>
      </c>
      <c r="AQ544" s="312" t="str">
        <f>IFERROR(_xlfn.XLOOKUP($D544,'Modelling New'!$D:$D,'Modelling New'!AL:AL),"")</f>
        <v/>
      </c>
      <c r="AR544" s="325" t="str">
        <f>IFERROR(_xlfn.XLOOKUP($D544,'Modelling New'!$D:$D,'Modelling New'!$N:$N),"")</f>
        <v/>
      </c>
      <c r="AS544" s="325"/>
    </row>
    <row r="545" spans="1:45">
      <c r="A545" s="32">
        <f t="shared" si="49"/>
        <v>46288</v>
      </c>
      <c r="B545" s="43">
        <f>YEAR(Table13[[#This Row],[Date]])+IF(MONTH(Table13[[#This Row],[Date]])&gt;=4,1,0)</f>
        <v>2027</v>
      </c>
      <c r="C545" s="10">
        <f>YEAR(Table13[[#This Row],[Date]])</f>
        <v>2026</v>
      </c>
      <c r="D545" s="309">
        <f>Table13[[#This Row],[Date]]-DAY(Table13[[#This Row],[Date]])+1</f>
        <v>46266</v>
      </c>
      <c r="E545" s="10">
        <f t="shared" si="45"/>
        <v>30</v>
      </c>
      <c r="F545" s="241" t="str">
        <f>IFERROR(_xlfn.XLOOKUP($A545,Input_Raw!$E:$E,Input_Raw!DC:DC),"")</f>
        <v/>
      </c>
      <c r="G545" s="242"/>
      <c r="H545" s="242"/>
      <c r="I545" s="242"/>
      <c r="J545" s="242"/>
      <c r="K545" s="243"/>
      <c r="L545" s="242"/>
      <c r="M545" s="242" t="str">
        <f>IFERROR(_xlfn.XLOOKUP($A545,Input_Raw!$E:$E,Input_Raw!$BM:$BM),"")</f>
        <v/>
      </c>
      <c r="N545" s="242" t="str">
        <f>IFERROR(_xlfn.XLOOKUP($A545,Input_Raw!$E:$E,Input_Raw!$BN:$BN),"")</f>
        <v/>
      </c>
      <c r="O545" s="311" t="str">
        <f t="shared" si="46"/>
        <v/>
      </c>
      <c r="P545" s="311" t="str">
        <f>IFERROR(1-SUMIF(WTG_BD!$F:$F,$A545,WTG_BD!$AA:$AA)/($AA545+SUMIF(WTG_BD!$F:$F,$A545,WTG_BD!$AA:$AA)),"")</f>
        <v/>
      </c>
      <c r="Q545" s="328" t="str">
        <f>IFERROR(1-SUMIF(IGA_BD!$F:$F,$A545,IGA_BD!$W:$W)/($AA545+SUMIF(IGA_BD!$F:$F,$A545,IGA_BD!$W:$W)),"")</f>
        <v/>
      </c>
      <c r="R545" s="311" t="str">
        <f>IFERROR(1-SUMIF(Grid_BD!$F:$F,$A545,Grid_BD!$Y:$Y)/($AA545+SUMIF(Grid_BD!$F:$F,$A545,Grid_BD!$Y:$Y)),"")</f>
        <v/>
      </c>
      <c r="S545" s="10"/>
      <c r="T545" s="310"/>
      <c r="U545" s="311"/>
      <c r="V545" s="10"/>
      <c r="W545" s="312" t="str">
        <f t="shared" si="47"/>
        <v/>
      </c>
      <c r="X545" s="10" t="str">
        <f>IFERROR(_xlfn.XLOOKUP($A545,Input_Raw!$E:$E,Input_Raw!BG:BG),"")</f>
        <v/>
      </c>
      <c r="Y545" s="10" t="str">
        <f>IFERROR(_xlfn.XLOOKUP($A545,Input_Raw!$E:$E,Input_Raw!DF:DF),"")</f>
        <v/>
      </c>
      <c r="Z545" s="319" t="str">
        <f>IFERROR(_xlfn.XLOOKUP(A545,Input_Raw!E:E,Input_Raw!CT:CT)/_xlfn.XLOOKUP(A545,Input_Raw!E:E,Input_Raw!CS:CS)*Table13[[#This Row],[Mtr_Export (kWh)]],"")</f>
        <v/>
      </c>
      <c r="AA545" s="43" t="str">
        <f t="shared" si="48"/>
        <v/>
      </c>
      <c r="AB545" s="10" t="str">
        <f>IFERROR(_xlfn.XLOOKUP($A545,Input_Raw!$E:$E,Input_Raw!$CZ:$CZ),"")</f>
        <v/>
      </c>
      <c r="AC545" s="313" t="str">
        <f>IFERROR(_xlfn.XLOOKUP($D545,'Modelling New'!$D:$D,'Modelling New'!$J:$J),"")</f>
        <v/>
      </c>
      <c r="AD545" s="43" t="str">
        <f>IFERROR(_xlfn.XLOOKUP($D545,'Modelling New'!$D:$D,'Modelling New'!$T:$T)*1000,"")</f>
        <v/>
      </c>
      <c r="AE545" s="312"/>
      <c r="AF545" s="312" t="str">
        <f>IFERROR(_xlfn.XLOOKUP($D545,'Modelling New'!$D:$D,'Modelling New'!$W:$W),"")</f>
        <v/>
      </c>
      <c r="AG545" s="312" t="str">
        <f>IFERROR(_xlfn.XLOOKUP($D545,'Modelling New'!$D:$D,'Modelling New'!$AE:$AE),"")</f>
        <v/>
      </c>
      <c r="AH545" s="312" t="str">
        <f>IFERROR(_xlfn.XLOOKUP($D545,'Modelling New'!$D:$D,'Modelling New'!$AF:$AF),"")</f>
        <v/>
      </c>
      <c r="AI545" s="10" t="str">
        <f>IFERROR(_xlfn.XLOOKUP($A545,Input_Raw!$E:$E,Input_Raw!$DG:$DG),"")</f>
        <v/>
      </c>
      <c r="AJ545" s="10"/>
      <c r="AK545" s="10"/>
      <c r="AL545" s="10"/>
      <c r="AM545" s="10"/>
      <c r="AN545" s="314" t="str">
        <f>IFERROR(_xlfn.XLOOKUP($A545,Input_Raw!$E:$E,Input_Raw!$CY:$CY),"")</f>
        <v/>
      </c>
      <c r="AO545" s="312" t="str">
        <f>IFERROR((_xlfn.XLOOKUP($A545,'WTG Reactive Power'!$A:$A,'WTG Reactive Power'!AB:AB))/X545,"")</f>
        <v/>
      </c>
      <c r="AP545" s="312" t="str">
        <f>IFERROR(_xlfn.XLOOKUP($D545,'Modelling New'!$D:$D,'Modelling New'!AK:AK),"")</f>
        <v/>
      </c>
      <c r="AQ545" s="312" t="str">
        <f>IFERROR(_xlfn.XLOOKUP($D545,'Modelling New'!$D:$D,'Modelling New'!AL:AL),"")</f>
        <v/>
      </c>
      <c r="AR545" s="325" t="str">
        <f>IFERROR(_xlfn.XLOOKUP($D545,'Modelling New'!$D:$D,'Modelling New'!$N:$N),"")</f>
        <v/>
      </c>
      <c r="AS545" s="325"/>
    </row>
    <row r="546" spans="1:45">
      <c r="A546" s="32">
        <f t="shared" si="49"/>
        <v>46289</v>
      </c>
      <c r="B546" s="43">
        <f>YEAR(Table13[[#This Row],[Date]])+IF(MONTH(Table13[[#This Row],[Date]])&gt;=4,1,0)</f>
        <v>2027</v>
      </c>
      <c r="C546" s="10">
        <f>YEAR(Table13[[#This Row],[Date]])</f>
        <v>2026</v>
      </c>
      <c r="D546" s="309">
        <f>Table13[[#This Row],[Date]]-DAY(Table13[[#This Row],[Date]])+1</f>
        <v>46266</v>
      </c>
      <c r="E546" s="10">
        <f t="shared" si="45"/>
        <v>30</v>
      </c>
      <c r="F546" s="241" t="str">
        <f>IFERROR(_xlfn.XLOOKUP($A546,Input_Raw!$E:$E,Input_Raw!DC:DC),"")</f>
        <v/>
      </c>
      <c r="G546" s="313"/>
      <c r="H546" s="313"/>
      <c r="I546" s="313"/>
      <c r="J546" s="313"/>
      <c r="K546" s="243"/>
      <c r="L546" s="242"/>
      <c r="M546" s="242" t="str">
        <f>IFERROR(_xlfn.XLOOKUP($A546,Input_Raw!$E:$E,Input_Raw!$BM:$BM),"")</f>
        <v/>
      </c>
      <c r="N546" s="242" t="str">
        <f>IFERROR(_xlfn.XLOOKUP($A546,Input_Raw!$E:$E,Input_Raw!$BN:$BN),"")</f>
        <v/>
      </c>
      <c r="O546" s="311" t="str">
        <f t="shared" si="46"/>
        <v/>
      </c>
      <c r="P546" s="311" t="str">
        <f>IFERROR(1-SUMIF(WTG_BD!$F:$F,$A546,WTG_BD!$AA:$AA)/($AA546+SUMIF(WTG_BD!$F:$F,$A546,WTG_BD!$AA:$AA)),"")</f>
        <v/>
      </c>
      <c r="Q546" s="328" t="str">
        <f>IFERROR(1-SUMIF(IGA_BD!$F:$F,$A546,IGA_BD!$W:$W)/($AA546+SUMIF(IGA_BD!$F:$F,$A546,IGA_BD!$W:$W)),"")</f>
        <v/>
      </c>
      <c r="R546" s="47" t="str">
        <f>IFERROR(1-SUMIF(Grid_BD!$F:$F,$A546,Grid_BD!$Y:$Y)/($AA546+SUMIF(Grid_BD!$F:$F,$A546,Grid_BD!$Y:$Y)),"")</f>
        <v/>
      </c>
      <c r="S546" s="10"/>
      <c r="T546" s="310"/>
      <c r="U546" s="311"/>
      <c r="V546" s="10"/>
      <c r="W546" s="312" t="str">
        <f t="shared" si="47"/>
        <v/>
      </c>
      <c r="X546" s="10" t="str">
        <f>IFERROR(_xlfn.XLOOKUP($A546,Input_Raw!$E:$E,Input_Raw!BG:BG),"")</f>
        <v/>
      </c>
      <c r="Y546" s="10" t="str">
        <f>IFERROR(_xlfn.XLOOKUP($A546,Input_Raw!$E:$E,Input_Raw!DF:DF),"")</f>
        <v/>
      </c>
      <c r="Z546" s="319" t="str">
        <f>IFERROR(_xlfn.XLOOKUP(A546,Input_Raw!E:E,Input_Raw!CT:CT)/_xlfn.XLOOKUP(A546,Input_Raw!E:E,Input_Raw!CS:CS)*Table13[[#This Row],[Mtr_Export (kWh)]],"")</f>
        <v/>
      </c>
      <c r="AA546" s="43" t="str">
        <f t="shared" si="48"/>
        <v/>
      </c>
      <c r="AB546" s="10" t="str">
        <f>IFERROR(_xlfn.XLOOKUP($A546,Input_Raw!$E:$E,Input_Raw!$CZ:$CZ),"")</f>
        <v/>
      </c>
      <c r="AC546" s="313" t="str">
        <f>IFERROR(_xlfn.XLOOKUP($D546,'Modelling New'!$D:$D,'Modelling New'!$J:$J),"")</f>
        <v/>
      </c>
      <c r="AD546" s="43" t="str">
        <f>IFERROR(_xlfn.XLOOKUP($D546,'Modelling New'!$D:$D,'Modelling New'!$T:$T)*1000,"")</f>
        <v/>
      </c>
      <c r="AE546" s="312"/>
      <c r="AF546" s="312" t="str">
        <f>IFERROR(_xlfn.XLOOKUP($D546,'Modelling New'!$D:$D,'Modelling New'!$W:$W),"")</f>
        <v/>
      </c>
      <c r="AG546" s="312" t="str">
        <f>IFERROR(_xlfn.XLOOKUP($D546,'Modelling New'!$D:$D,'Modelling New'!$AE:$AE),"")</f>
        <v/>
      </c>
      <c r="AH546" s="312" t="str">
        <f>IFERROR(_xlfn.XLOOKUP($D546,'Modelling New'!$D:$D,'Modelling New'!$AF:$AF),"")</f>
        <v/>
      </c>
      <c r="AI546" s="10" t="str">
        <f>IFERROR(_xlfn.XLOOKUP($A546,Input_Raw!$E:$E,Input_Raw!$DG:$DG),"")</f>
        <v/>
      </c>
      <c r="AJ546" s="10"/>
      <c r="AK546" s="10"/>
      <c r="AL546" s="10"/>
      <c r="AM546" s="10"/>
      <c r="AN546" s="314" t="str">
        <f>IFERROR(_xlfn.XLOOKUP($A546,Input_Raw!$E:$E,Input_Raw!$CY:$CY),"")</f>
        <v/>
      </c>
      <c r="AO546" s="312" t="str">
        <f>IFERROR((_xlfn.XLOOKUP($A546,'WTG Reactive Power'!$A:$A,'WTG Reactive Power'!AB:AB))/X546,"")</f>
        <v/>
      </c>
      <c r="AP546" s="312" t="str">
        <f>IFERROR(_xlfn.XLOOKUP($D546,'Modelling New'!$D:$D,'Modelling New'!AK:AK),"")</f>
        <v/>
      </c>
      <c r="AQ546" s="312" t="str">
        <f>IFERROR(_xlfn.XLOOKUP($D546,'Modelling New'!$D:$D,'Modelling New'!AL:AL),"")</f>
        <v/>
      </c>
      <c r="AR546" s="325" t="str">
        <f>IFERROR(_xlfn.XLOOKUP($D546,'Modelling New'!$D:$D,'Modelling New'!$N:$N),"")</f>
        <v/>
      </c>
      <c r="AS546" s="325"/>
    </row>
    <row r="547" spans="1:45">
      <c r="A547" s="32">
        <f t="shared" si="49"/>
        <v>46290</v>
      </c>
      <c r="B547" s="43">
        <f>YEAR(Table13[[#This Row],[Date]])+IF(MONTH(Table13[[#This Row],[Date]])&gt;=4,1,0)</f>
        <v>2027</v>
      </c>
      <c r="C547" s="10">
        <f>YEAR(Table13[[#This Row],[Date]])</f>
        <v>2026</v>
      </c>
      <c r="D547" s="309">
        <f>Table13[[#This Row],[Date]]-DAY(Table13[[#This Row],[Date]])+1</f>
        <v>46266</v>
      </c>
      <c r="E547" s="10">
        <f t="shared" si="45"/>
        <v>30</v>
      </c>
      <c r="F547" s="241" t="str">
        <f>IFERROR(_xlfn.XLOOKUP($A547,Input_Raw!$E:$E,Input_Raw!DC:DC),"")</f>
        <v/>
      </c>
      <c r="G547" s="242"/>
      <c r="H547" s="242"/>
      <c r="I547" s="242"/>
      <c r="J547" s="242"/>
      <c r="K547" s="243"/>
      <c r="L547" s="242"/>
      <c r="M547" s="242" t="str">
        <f>IFERROR(_xlfn.XLOOKUP($A547,Input_Raw!$E:$E,Input_Raw!$BM:$BM),"")</f>
        <v/>
      </c>
      <c r="N547" s="242" t="str">
        <f>IFERROR(_xlfn.XLOOKUP($A547,Input_Raw!$E:$E,Input_Raw!$BN:$BN),"")</f>
        <v/>
      </c>
      <c r="O547" s="311" t="str">
        <f t="shared" si="46"/>
        <v/>
      </c>
      <c r="P547" s="311" t="str">
        <f>IFERROR(1-SUMIF(WTG_BD!$F:$F,$A547,WTG_BD!$AA:$AA)/($AA547+SUMIF(WTG_BD!$F:$F,$A547,WTG_BD!$AA:$AA)),"")</f>
        <v/>
      </c>
      <c r="Q547" s="328" t="str">
        <f>IFERROR(1-SUMIF(IGA_BD!$F:$F,$A547,IGA_BD!$W:$W)/($AA547+SUMIF(IGA_BD!$F:$F,$A547,IGA_BD!$W:$W)),"")</f>
        <v/>
      </c>
      <c r="R547" s="311" t="str">
        <f>IFERROR(1-SUMIF(Grid_BD!$F:$F,$A547,Grid_BD!$Y:$Y)/($AA547+SUMIF(Grid_BD!$F:$F,$A547,Grid_BD!$Y:$Y)),"")</f>
        <v/>
      </c>
      <c r="S547" s="10"/>
      <c r="T547" s="310"/>
      <c r="U547" s="311"/>
      <c r="V547" s="10"/>
      <c r="W547" s="312" t="str">
        <f t="shared" si="47"/>
        <v/>
      </c>
      <c r="X547" s="10" t="str">
        <f>IFERROR(_xlfn.XLOOKUP($A547,Input_Raw!$E:$E,Input_Raw!BG:BG),"")</f>
        <v/>
      </c>
      <c r="Y547" s="10" t="str">
        <f>IFERROR(_xlfn.XLOOKUP($A547,Input_Raw!$E:$E,Input_Raw!DF:DF),"")</f>
        <v/>
      </c>
      <c r="Z547" s="319" t="str">
        <f>IFERROR(_xlfn.XLOOKUP(A547,Input_Raw!E:E,Input_Raw!CT:CT)/_xlfn.XLOOKUP(A547,Input_Raw!E:E,Input_Raw!CS:CS)*Table13[[#This Row],[Mtr_Export (kWh)]],"")</f>
        <v/>
      </c>
      <c r="AA547" s="43" t="str">
        <f t="shared" si="48"/>
        <v/>
      </c>
      <c r="AB547" s="10" t="str">
        <f>IFERROR(_xlfn.XLOOKUP($A547,Input_Raw!$E:$E,Input_Raw!$CZ:$CZ),"")</f>
        <v/>
      </c>
      <c r="AC547" s="313" t="str">
        <f>IFERROR(_xlfn.XLOOKUP($D547,'Modelling New'!$D:$D,'Modelling New'!$J:$J),"")</f>
        <v/>
      </c>
      <c r="AD547" s="43" t="str">
        <f>IFERROR(_xlfn.XLOOKUP($D547,'Modelling New'!$D:$D,'Modelling New'!$T:$T)*1000,"")</f>
        <v/>
      </c>
      <c r="AE547" s="312"/>
      <c r="AF547" s="312" t="str">
        <f>IFERROR(_xlfn.XLOOKUP($D547,'Modelling New'!$D:$D,'Modelling New'!$W:$W),"")</f>
        <v/>
      </c>
      <c r="AG547" s="312" t="str">
        <f>IFERROR(_xlfn.XLOOKUP($D547,'Modelling New'!$D:$D,'Modelling New'!$AE:$AE),"")</f>
        <v/>
      </c>
      <c r="AH547" s="312" t="str">
        <f>IFERROR(_xlfn.XLOOKUP($D547,'Modelling New'!$D:$D,'Modelling New'!$AF:$AF),"")</f>
        <v/>
      </c>
      <c r="AI547" s="10" t="str">
        <f>IFERROR(_xlfn.XLOOKUP($A547,Input_Raw!$E:$E,Input_Raw!$DG:$DG),"")</f>
        <v/>
      </c>
      <c r="AJ547" s="10"/>
      <c r="AK547" s="10"/>
      <c r="AL547" s="10"/>
      <c r="AM547" s="10"/>
      <c r="AN547" s="314" t="str">
        <f>IFERROR(_xlfn.XLOOKUP($A547,Input_Raw!$E:$E,Input_Raw!$CY:$CY),"")</f>
        <v/>
      </c>
      <c r="AO547" s="312" t="str">
        <f>IFERROR((_xlfn.XLOOKUP($A547,'WTG Reactive Power'!$A:$A,'WTG Reactive Power'!AB:AB))/X547,"")</f>
        <v/>
      </c>
      <c r="AP547" s="312" t="str">
        <f>IFERROR(_xlfn.XLOOKUP($D547,'Modelling New'!$D:$D,'Modelling New'!AK:AK),"")</f>
        <v/>
      </c>
      <c r="AQ547" s="312" t="str">
        <f>IFERROR(_xlfn.XLOOKUP($D547,'Modelling New'!$D:$D,'Modelling New'!AL:AL),"")</f>
        <v/>
      </c>
      <c r="AR547" s="325" t="str">
        <f>IFERROR(_xlfn.XLOOKUP($D547,'Modelling New'!$D:$D,'Modelling New'!$N:$N),"")</f>
        <v/>
      </c>
      <c r="AS547" s="325"/>
    </row>
    <row r="548" spans="1:45">
      <c r="A548" s="32">
        <f t="shared" si="49"/>
        <v>46291</v>
      </c>
      <c r="B548" s="43">
        <f>YEAR(Table13[[#This Row],[Date]])+IF(MONTH(Table13[[#This Row],[Date]])&gt;=4,1,0)</f>
        <v>2027</v>
      </c>
      <c r="C548" s="10">
        <f>YEAR(Table13[[#This Row],[Date]])</f>
        <v>2026</v>
      </c>
      <c r="D548" s="309">
        <f>Table13[[#This Row],[Date]]-DAY(Table13[[#This Row],[Date]])+1</f>
        <v>46266</v>
      </c>
      <c r="E548" s="10">
        <f t="shared" si="45"/>
        <v>30</v>
      </c>
      <c r="F548" s="241" t="str">
        <f>IFERROR(_xlfn.XLOOKUP($A548,Input_Raw!$E:$E,Input_Raw!DC:DC),"")</f>
        <v/>
      </c>
      <c r="G548" s="313"/>
      <c r="H548" s="313"/>
      <c r="I548" s="313"/>
      <c r="J548" s="313"/>
      <c r="K548" s="243"/>
      <c r="L548" s="242"/>
      <c r="M548" s="242" t="str">
        <f>IFERROR(_xlfn.XLOOKUP($A548,Input_Raw!$E:$E,Input_Raw!$BM:$BM),"")</f>
        <v/>
      </c>
      <c r="N548" s="242" t="str">
        <f>IFERROR(_xlfn.XLOOKUP($A548,Input_Raw!$E:$E,Input_Raw!$BN:$BN),"")</f>
        <v/>
      </c>
      <c r="O548" s="311" t="str">
        <f t="shared" si="46"/>
        <v/>
      </c>
      <c r="P548" s="311" t="str">
        <f>IFERROR(1-SUMIF(WTG_BD!$F:$F,$A548,WTG_BD!$AA:$AA)/($AA548+SUMIF(WTG_BD!$F:$F,$A548,WTG_BD!$AA:$AA)),"")</f>
        <v/>
      </c>
      <c r="Q548" s="328" t="str">
        <f>IFERROR(1-SUMIF(IGA_BD!$F:$F,$A548,IGA_BD!$W:$W)/($AA548+SUMIF(IGA_BD!$F:$F,$A548,IGA_BD!$W:$W)),"")</f>
        <v/>
      </c>
      <c r="R548" s="47" t="str">
        <f>IFERROR(1-SUMIF(Grid_BD!$F:$F,$A548,Grid_BD!$Y:$Y)/($AA548+SUMIF(Grid_BD!$F:$F,$A548,Grid_BD!$Y:$Y)),"")</f>
        <v/>
      </c>
      <c r="S548" s="10"/>
      <c r="T548" s="310"/>
      <c r="U548" s="311"/>
      <c r="V548" s="10"/>
      <c r="W548" s="312" t="str">
        <f t="shared" si="47"/>
        <v/>
      </c>
      <c r="X548" s="10" t="str">
        <f>IFERROR(_xlfn.XLOOKUP($A548,Input_Raw!$E:$E,Input_Raw!BG:BG),"")</f>
        <v/>
      </c>
      <c r="Y548" s="10" t="str">
        <f>IFERROR(_xlfn.XLOOKUP($A548,Input_Raw!$E:$E,Input_Raw!DF:DF),"")</f>
        <v/>
      </c>
      <c r="Z548" s="319" t="str">
        <f>IFERROR(_xlfn.XLOOKUP(A548,Input_Raw!E:E,Input_Raw!CT:CT)/_xlfn.XLOOKUP(A548,Input_Raw!E:E,Input_Raw!CS:CS)*Table13[[#This Row],[Mtr_Export (kWh)]],"")</f>
        <v/>
      </c>
      <c r="AA548" s="43" t="str">
        <f t="shared" si="48"/>
        <v/>
      </c>
      <c r="AB548" s="10" t="str">
        <f>IFERROR(_xlfn.XLOOKUP($A548,Input_Raw!$E:$E,Input_Raw!$CZ:$CZ),"")</f>
        <v/>
      </c>
      <c r="AC548" s="313" t="str">
        <f>IFERROR(_xlfn.XLOOKUP($D548,'Modelling New'!$D:$D,'Modelling New'!$J:$J),"")</f>
        <v/>
      </c>
      <c r="AD548" s="43" t="str">
        <f>IFERROR(_xlfn.XLOOKUP($D548,'Modelling New'!$D:$D,'Modelling New'!$T:$T)*1000,"")</f>
        <v/>
      </c>
      <c r="AE548" s="312"/>
      <c r="AF548" s="312" t="str">
        <f>IFERROR(_xlfn.XLOOKUP($D548,'Modelling New'!$D:$D,'Modelling New'!$W:$W),"")</f>
        <v/>
      </c>
      <c r="AG548" s="312" t="str">
        <f>IFERROR(_xlfn.XLOOKUP($D548,'Modelling New'!$D:$D,'Modelling New'!$AE:$AE),"")</f>
        <v/>
      </c>
      <c r="AH548" s="312" t="str">
        <f>IFERROR(_xlfn.XLOOKUP($D548,'Modelling New'!$D:$D,'Modelling New'!$AF:$AF),"")</f>
        <v/>
      </c>
      <c r="AI548" s="10" t="str">
        <f>IFERROR(_xlfn.XLOOKUP($A548,Input_Raw!$E:$E,Input_Raw!$DG:$DG),"")</f>
        <v/>
      </c>
      <c r="AJ548" s="10"/>
      <c r="AK548" s="10"/>
      <c r="AL548" s="10"/>
      <c r="AM548" s="10"/>
      <c r="AN548" s="314" t="str">
        <f>IFERROR(_xlfn.XLOOKUP($A548,Input_Raw!$E:$E,Input_Raw!$CY:$CY),"")</f>
        <v/>
      </c>
      <c r="AO548" s="312" t="str">
        <f>IFERROR((_xlfn.XLOOKUP($A548,'WTG Reactive Power'!$A:$A,'WTG Reactive Power'!AB:AB))/X548,"")</f>
        <v/>
      </c>
      <c r="AP548" s="312" t="str">
        <f>IFERROR(_xlfn.XLOOKUP($D548,'Modelling New'!$D:$D,'Modelling New'!AK:AK),"")</f>
        <v/>
      </c>
      <c r="AQ548" s="312" t="str">
        <f>IFERROR(_xlfn.XLOOKUP($D548,'Modelling New'!$D:$D,'Modelling New'!AL:AL),"")</f>
        <v/>
      </c>
      <c r="AR548" s="325" t="str">
        <f>IFERROR(_xlfn.XLOOKUP($D548,'Modelling New'!$D:$D,'Modelling New'!$N:$N),"")</f>
        <v/>
      </c>
      <c r="AS548" s="325"/>
    </row>
    <row r="549" spans="1:45">
      <c r="A549" s="32">
        <f t="shared" si="49"/>
        <v>46292</v>
      </c>
      <c r="B549" s="43">
        <f>YEAR(Table13[[#This Row],[Date]])+IF(MONTH(Table13[[#This Row],[Date]])&gt;=4,1,0)</f>
        <v>2027</v>
      </c>
      <c r="C549" s="10">
        <f>YEAR(Table13[[#This Row],[Date]])</f>
        <v>2026</v>
      </c>
      <c r="D549" s="309">
        <f>Table13[[#This Row],[Date]]-DAY(Table13[[#This Row],[Date]])+1</f>
        <v>46266</v>
      </c>
      <c r="E549" s="10">
        <f t="shared" si="45"/>
        <v>30</v>
      </c>
      <c r="F549" s="241" t="str">
        <f>IFERROR(_xlfn.XLOOKUP($A549,Input_Raw!$E:$E,Input_Raw!DC:DC),"")</f>
        <v/>
      </c>
      <c r="G549" s="242"/>
      <c r="H549" s="242"/>
      <c r="I549" s="242"/>
      <c r="J549" s="242"/>
      <c r="K549" s="243"/>
      <c r="L549" s="242"/>
      <c r="M549" s="242" t="str">
        <f>IFERROR(_xlfn.XLOOKUP($A549,Input_Raw!$E:$E,Input_Raw!$BM:$BM),"")</f>
        <v/>
      </c>
      <c r="N549" s="242" t="str">
        <f>IFERROR(_xlfn.XLOOKUP($A549,Input_Raw!$E:$E,Input_Raw!$BN:$BN),"")</f>
        <v/>
      </c>
      <c r="O549" s="311" t="str">
        <f t="shared" si="46"/>
        <v/>
      </c>
      <c r="P549" s="311" t="str">
        <f>IFERROR(1-SUMIF(WTG_BD!$F:$F,$A549,WTG_BD!$AA:$AA)/($AA549+SUMIF(WTG_BD!$F:$F,$A549,WTG_BD!$AA:$AA)),"")</f>
        <v/>
      </c>
      <c r="Q549" s="328" t="str">
        <f>IFERROR(1-SUMIF(IGA_BD!$F:$F,$A549,IGA_BD!$W:$W)/($AA549+SUMIF(IGA_BD!$F:$F,$A549,IGA_BD!$W:$W)),"")</f>
        <v/>
      </c>
      <c r="R549" s="311" t="str">
        <f>IFERROR(1-SUMIF(Grid_BD!$F:$F,$A549,Grid_BD!$Y:$Y)/($AA549+SUMIF(Grid_BD!$F:$F,$A549,Grid_BD!$Y:$Y)),"")</f>
        <v/>
      </c>
      <c r="S549" s="10"/>
      <c r="T549" s="310"/>
      <c r="U549" s="311"/>
      <c r="V549" s="10"/>
      <c r="W549" s="312" t="str">
        <f t="shared" si="47"/>
        <v/>
      </c>
      <c r="X549" s="10" t="str">
        <f>IFERROR(_xlfn.XLOOKUP($A549,Input_Raw!$E:$E,Input_Raw!BG:BG),"")</f>
        <v/>
      </c>
      <c r="Y549" s="10" t="str">
        <f>IFERROR(_xlfn.XLOOKUP($A549,Input_Raw!$E:$E,Input_Raw!DF:DF),"")</f>
        <v/>
      </c>
      <c r="Z549" s="319" t="str">
        <f>IFERROR(_xlfn.XLOOKUP(A549,Input_Raw!E:E,Input_Raw!CT:CT)/_xlfn.XLOOKUP(A549,Input_Raw!E:E,Input_Raw!CS:CS)*Table13[[#This Row],[Mtr_Export (kWh)]],"")</f>
        <v/>
      </c>
      <c r="AA549" s="43" t="str">
        <f t="shared" si="48"/>
        <v/>
      </c>
      <c r="AB549" s="10" t="str">
        <f>IFERROR(_xlfn.XLOOKUP($A549,Input_Raw!$E:$E,Input_Raw!$CZ:$CZ),"")</f>
        <v/>
      </c>
      <c r="AC549" s="313" t="str">
        <f>IFERROR(_xlfn.XLOOKUP($D549,'Modelling New'!$D:$D,'Modelling New'!$J:$J),"")</f>
        <v/>
      </c>
      <c r="AD549" s="43" t="str">
        <f>IFERROR(_xlfn.XLOOKUP($D549,'Modelling New'!$D:$D,'Modelling New'!$T:$T)*1000,"")</f>
        <v/>
      </c>
      <c r="AE549" s="312"/>
      <c r="AF549" s="312" t="str">
        <f>IFERROR(_xlfn.XLOOKUP($D549,'Modelling New'!$D:$D,'Modelling New'!$W:$W),"")</f>
        <v/>
      </c>
      <c r="AG549" s="312" t="str">
        <f>IFERROR(_xlfn.XLOOKUP($D549,'Modelling New'!$D:$D,'Modelling New'!$AE:$AE),"")</f>
        <v/>
      </c>
      <c r="AH549" s="312" t="str">
        <f>IFERROR(_xlfn.XLOOKUP($D549,'Modelling New'!$D:$D,'Modelling New'!$AF:$AF),"")</f>
        <v/>
      </c>
      <c r="AI549" s="10" t="str">
        <f>IFERROR(_xlfn.XLOOKUP($A549,Input_Raw!$E:$E,Input_Raw!$DG:$DG),"")</f>
        <v/>
      </c>
      <c r="AJ549" s="10"/>
      <c r="AK549" s="10"/>
      <c r="AL549" s="10"/>
      <c r="AM549" s="10"/>
      <c r="AN549" s="314" t="str">
        <f>IFERROR(_xlfn.XLOOKUP($A549,Input_Raw!$E:$E,Input_Raw!$CY:$CY),"")</f>
        <v/>
      </c>
      <c r="AO549" s="312" t="str">
        <f>IFERROR((_xlfn.XLOOKUP($A549,'WTG Reactive Power'!$A:$A,'WTG Reactive Power'!AB:AB))/X549,"")</f>
        <v/>
      </c>
      <c r="AP549" s="312" t="str">
        <f>IFERROR(_xlfn.XLOOKUP($D549,'Modelling New'!$D:$D,'Modelling New'!AK:AK),"")</f>
        <v/>
      </c>
      <c r="AQ549" s="312" t="str">
        <f>IFERROR(_xlfn.XLOOKUP($D549,'Modelling New'!$D:$D,'Modelling New'!AL:AL),"")</f>
        <v/>
      </c>
      <c r="AR549" s="325" t="str">
        <f>IFERROR(_xlfn.XLOOKUP($D549,'Modelling New'!$D:$D,'Modelling New'!$N:$N),"")</f>
        <v/>
      </c>
      <c r="AS549" s="325"/>
    </row>
    <row r="550" spans="1:45">
      <c r="A550" s="32">
        <f t="shared" si="49"/>
        <v>46293</v>
      </c>
      <c r="B550" s="43">
        <f>YEAR(Table13[[#This Row],[Date]])+IF(MONTH(Table13[[#This Row],[Date]])&gt;=4,1,0)</f>
        <v>2027</v>
      </c>
      <c r="C550" s="10">
        <f>YEAR(Table13[[#This Row],[Date]])</f>
        <v>2026</v>
      </c>
      <c r="D550" s="309">
        <f>Table13[[#This Row],[Date]]-DAY(Table13[[#This Row],[Date]])+1</f>
        <v>46266</v>
      </c>
      <c r="E550" s="10">
        <f t="shared" si="45"/>
        <v>30</v>
      </c>
      <c r="F550" s="241" t="str">
        <f>IFERROR(_xlfn.XLOOKUP($A550,Input_Raw!$E:$E,Input_Raw!DC:DC),"")</f>
        <v/>
      </c>
      <c r="G550" s="313"/>
      <c r="H550" s="313"/>
      <c r="I550" s="313"/>
      <c r="J550" s="313"/>
      <c r="K550" s="243"/>
      <c r="L550" s="242"/>
      <c r="M550" s="242" t="str">
        <f>IFERROR(_xlfn.XLOOKUP($A550,Input_Raw!$E:$E,Input_Raw!$BM:$BM),"")</f>
        <v/>
      </c>
      <c r="N550" s="242" t="str">
        <f>IFERROR(_xlfn.XLOOKUP($A550,Input_Raw!$E:$E,Input_Raw!$BN:$BN),"")</f>
        <v/>
      </c>
      <c r="O550" s="311" t="str">
        <f t="shared" si="46"/>
        <v/>
      </c>
      <c r="P550" s="311" t="str">
        <f>IFERROR(1-SUMIF(WTG_BD!$F:$F,$A550,WTG_BD!$AA:$AA)/($AA550+SUMIF(WTG_BD!$F:$F,$A550,WTG_BD!$AA:$AA)),"")</f>
        <v/>
      </c>
      <c r="Q550" s="328" t="str">
        <f>IFERROR(1-SUMIF(IGA_BD!$F:$F,$A550,IGA_BD!$W:$W)/($AA550+SUMIF(IGA_BD!$F:$F,$A550,IGA_BD!$W:$W)),"")</f>
        <v/>
      </c>
      <c r="R550" s="47" t="str">
        <f>IFERROR(1-SUMIF(Grid_BD!$F:$F,$A550,Grid_BD!$Y:$Y)/($AA550+SUMIF(Grid_BD!$F:$F,$A550,Grid_BD!$Y:$Y)),"")</f>
        <v/>
      </c>
      <c r="S550" s="10"/>
      <c r="T550" s="310"/>
      <c r="U550" s="311"/>
      <c r="V550" s="10"/>
      <c r="W550" s="312" t="str">
        <f t="shared" si="47"/>
        <v/>
      </c>
      <c r="X550" s="10" t="str">
        <f>IFERROR(_xlfn.XLOOKUP($A550,Input_Raw!$E:$E,Input_Raw!BG:BG),"")</f>
        <v/>
      </c>
      <c r="Y550" s="10" t="str">
        <f>IFERROR(_xlfn.XLOOKUP($A550,Input_Raw!$E:$E,Input_Raw!DF:DF),"")</f>
        <v/>
      </c>
      <c r="Z550" s="319" t="str">
        <f>IFERROR(_xlfn.XLOOKUP(A550,Input_Raw!E:E,Input_Raw!CT:CT)/_xlfn.XLOOKUP(A550,Input_Raw!E:E,Input_Raw!CS:CS)*Table13[[#This Row],[Mtr_Export (kWh)]],"")</f>
        <v/>
      </c>
      <c r="AA550" s="43" t="str">
        <f t="shared" si="48"/>
        <v/>
      </c>
      <c r="AB550" s="10" t="str">
        <f>IFERROR(_xlfn.XLOOKUP($A550,Input_Raw!$E:$E,Input_Raw!$CZ:$CZ),"")</f>
        <v/>
      </c>
      <c r="AC550" s="313" t="str">
        <f>IFERROR(_xlfn.XLOOKUP($D550,'Modelling New'!$D:$D,'Modelling New'!$J:$J),"")</f>
        <v/>
      </c>
      <c r="AD550" s="43" t="str">
        <f>IFERROR(_xlfn.XLOOKUP($D550,'Modelling New'!$D:$D,'Modelling New'!$T:$T)*1000,"")</f>
        <v/>
      </c>
      <c r="AE550" s="312"/>
      <c r="AF550" s="312" t="str">
        <f>IFERROR(_xlfn.XLOOKUP($D550,'Modelling New'!$D:$D,'Modelling New'!$W:$W),"")</f>
        <v/>
      </c>
      <c r="AG550" s="312" t="str">
        <f>IFERROR(_xlfn.XLOOKUP($D550,'Modelling New'!$D:$D,'Modelling New'!$AE:$AE),"")</f>
        <v/>
      </c>
      <c r="AH550" s="312" t="str">
        <f>IFERROR(_xlfn.XLOOKUP($D550,'Modelling New'!$D:$D,'Modelling New'!$AF:$AF),"")</f>
        <v/>
      </c>
      <c r="AI550" s="10" t="str">
        <f>IFERROR(_xlfn.XLOOKUP($A550,Input_Raw!$E:$E,Input_Raw!$DG:$DG),"")</f>
        <v/>
      </c>
      <c r="AJ550" s="10"/>
      <c r="AK550" s="10"/>
      <c r="AL550" s="10"/>
      <c r="AM550" s="10"/>
      <c r="AN550" s="314" t="str">
        <f>IFERROR(_xlfn.XLOOKUP($A550,Input_Raw!$E:$E,Input_Raw!$CY:$CY),"")</f>
        <v/>
      </c>
      <c r="AO550" s="312" t="str">
        <f>IFERROR((_xlfn.XLOOKUP($A550,'WTG Reactive Power'!$A:$A,'WTG Reactive Power'!AB:AB))/X550,"")</f>
        <v/>
      </c>
      <c r="AP550" s="312" t="str">
        <f>IFERROR(_xlfn.XLOOKUP($D550,'Modelling New'!$D:$D,'Modelling New'!AK:AK),"")</f>
        <v/>
      </c>
      <c r="AQ550" s="312" t="str">
        <f>IFERROR(_xlfn.XLOOKUP($D550,'Modelling New'!$D:$D,'Modelling New'!AL:AL),"")</f>
        <v/>
      </c>
      <c r="AR550" s="325" t="str">
        <f>IFERROR(_xlfn.XLOOKUP($D550,'Modelling New'!$D:$D,'Modelling New'!$N:$N),"")</f>
        <v/>
      </c>
      <c r="AS550" s="325"/>
    </row>
    <row r="551" spans="1:45">
      <c r="A551" s="32">
        <f t="shared" si="49"/>
        <v>46294</v>
      </c>
      <c r="B551" s="43">
        <f>YEAR(Table13[[#This Row],[Date]])+IF(MONTH(Table13[[#This Row],[Date]])&gt;=4,1,0)</f>
        <v>2027</v>
      </c>
      <c r="C551" s="10">
        <f>YEAR(Table13[[#This Row],[Date]])</f>
        <v>2026</v>
      </c>
      <c r="D551" s="309">
        <f>Table13[[#This Row],[Date]]-DAY(Table13[[#This Row],[Date]])+1</f>
        <v>46266</v>
      </c>
      <c r="E551" s="10">
        <f t="shared" si="45"/>
        <v>30</v>
      </c>
      <c r="F551" s="241" t="str">
        <f>IFERROR(_xlfn.XLOOKUP($A551,Input_Raw!$E:$E,Input_Raw!DC:DC),"")</f>
        <v/>
      </c>
      <c r="G551" s="242"/>
      <c r="H551" s="242"/>
      <c r="I551" s="242"/>
      <c r="J551" s="242"/>
      <c r="K551" s="243"/>
      <c r="L551" s="242"/>
      <c r="M551" s="242" t="str">
        <f>IFERROR(_xlfn.XLOOKUP($A551,Input_Raw!$E:$E,Input_Raw!$BM:$BM),"")</f>
        <v/>
      </c>
      <c r="N551" s="242" t="str">
        <f>IFERROR(_xlfn.XLOOKUP($A551,Input_Raw!$E:$E,Input_Raw!$BN:$BN),"")</f>
        <v/>
      </c>
      <c r="O551" s="311" t="str">
        <f t="shared" si="46"/>
        <v/>
      </c>
      <c r="P551" s="311" t="str">
        <f>IFERROR(1-SUMIF(WTG_BD!$F:$F,$A551,WTG_BD!$AA:$AA)/($AA551+SUMIF(WTG_BD!$F:$F,$A551,WTG_BD!$AA:$AA)),"")</f>
        <v/>
      </c>
      <c r="Q551" s="328" t="str">
        <f>IFERROR(1-SUMIF(IGA_BD!$F:$F,$A551,IGA_BD!$W:$W)/($AA551+SUMIF(IGA_BD!$F:$F,$A551,IGA_BD!$W:$W)),"")</f>
        <v/>
      </c>
      <c r="R551" s="311" t="str">
        <f>IFERROR(1-SUMIF(Grid_BD!$F:$F,$A551,Grid_BD!$Y:$Y)/($AA551+SUMIF(Grid_BD!$F:$F,$A551,Grid_BD!$Y:$Y)),"")</f>
        <v/>
      </c>
      <c r="S551" s="10"/>
      <c r="T551" s="310"/>
      <c r="U551" s="311"/>
      <c r="V551" s="10"/>
      <c r="W551" s="312" t="str">
        <f t="shared" si="47"/>
        <v/>
      </c>
      <c r="X551" s="10" t="str">
        <f>IFERROR(_xlfn.XLOOKUP($A551,Input_Raw!$E:$E,Input_Raw!BG:BG),"")</f>
        <v/>
      </c>
      <c r="Y551" s="10" t="str">
        <f>IFERROR(_xlfn.XLOOKUP($A551,Input_Raw!$E:$E,Input_Raw!DF:DF),"")</f>
        <v/>
      </c>
      <c r="Z551" s="319" t="str">
        <f>IFERROR(_xlfn.XLOOKUP(A551,Input_Raw!E:E,Input_Raw!CT:CT)/_xlfn.XLOOKUP(A551,Input_Raw!E:E,Input_Raw!CS:CS)*Table13[[#This Row],[Mtr_Export (kWh)]],"")</f>
        <v/>
      </c>
      <c r="AA551" s="43" t="str">
        <f t="shared" si="48"/>
        <v/>
      </c>
      <c r="AB551" s="10" t="str">
        <f>IFERROR(_xlfn.XLOOKUP($A551,Input_Raw!$E:$E,Input_Raw!$CZ:$CZ),"")</f>
        <v/>
      </c>
      <c r="AC551" s="313" t="str">
        <f>IFERROR(_xlfn.XLOOKUP($D551,'Modelling New'!$D:$D,'Modelling New'!$J:$J),"")</f>
        <v/>
      </c>
      <c r="AD551" s="43" t="str">
        <f>IFERROR(_xlfn.XLOOKUP($D551,'Modelling New'!$D:$D,'Modelling New'!$T:$T)*1000,"")</f>
        <v/>
      </c>
      <c r="AE551" s="312"/>
      <c r="AF551" s="312" t="str">
        <f>IFERROR(_xlfn.XLOOKUP($D551,'Modelling New'!$D:$D,'Modelling New'!$W:$W),"")</f>
        <v/>
      </c>
      <c r="AG551" s="312" t="str">
        <f>IFERROR(_xlfn.XLOOKUP($D551,'Modelling New'!$D:$D,'Modelling New'!$AE:$AE),"")</f>
        <v/>
      </c>
      <c r="AH551" s="312" t="str">
        <f>IFERROR(_xlfn.XLOOKUP($D551,'Modelling New'!$D:$D,'Modelling New'!$AF:$AF),"")</f>
        <v/>
      </c>
      <c r="AI551" s="10" t="str">
        <f>IFERROR(_xlfn.XLOOKUP($A551,Input_Raw!$E:$E,Input_Raw!$DG:$DG),"")</f>
        <v/>
      </c>
      <c r="AJ551" s="10"/>
      <c r="AK551" s="10"/>
      <c r="AL551" s="10"/>
      <c r="AM551" s="10"/>
      <c r="AN551" s="314" t="str">
        <f>IFERROR(_xlfn.XLOOKUP($A551,Input_Raw!$E:$E,Input_Raw!$CY:$CY),"")</f>
        <v/>
      </c>
      <c r="AO551" s="312" t="str">
        <f>IFERROR((_xlfn.XLOOKUP($A551,'WTG Reactive Power'!$A:$A,'WTG Reactive Power'!AB:AB))/X551,"")</f>
        <v/>
      </c>
      <c r="AP551" s="312" t="str">
        <f>IFERROR(_xlfn.XLOOKUP($D551,'Modelling New'!$D:$D,'Modelling New'!AK:AK),"")</f>
        <v/>
      </c>
      <c r="AQ551" s="312" t="str">
        <f>IFERROR(_xlfn.XLOOKUP($D551,'Modelling New'!$D:$D,'Modelling New'!AL:AL),"")</f>
        <v/>
      </c>
      <c r="AR551" s="325" t="str">
        <f>IFERROR(_xlfn.XLOOKUP($D551,'Modelling New'!$D:$D,'Modelling New'!$N:$N),"")</f>
        <v/>
      </c>
      <c r="AS551" s="325"/>
    </row>
    <row r="552" spans="1:45">
      <c r="A552" s="32">
        <f t="shared" si="49"/>
        <v>46295</v>
      </c>
      <c r="B552" s="43">
        <f>YEAR(Table13[[#This Row],[Date]])+IF(MONTH(Table13[[#This Row],[Date]])&gt;=4,1,0)</f>
        <v>2027</v>
      </c>
      <c r="C552" s="10">
        <f>YEAR(Table13[[#This Row],[Date]])</f>
        <v>2026</v>
      </c>
      <c r="D552" s="309">
        <f>Table13[[#This Row],[Date]]-DAY(Table13[[#This Row],[Date]])+1</f>
        <v>46266</v>
      </c>
      <c r="E552" s="10">
        <f t="shared" si="45"/>
        <v>30</v>
      </c>
      <c r="F552" s="241" t="str">
        <f>IFERROR(_xlfn.XLOOKUP($A552,Input_Raw!$E:$E,Input_Raw!DC:DC),"")</f>
        <v/>
      </c>
      <c r="G552" s="313"/>
      <c r="H552" s="313"/>
      <c r="I552" s="313"/>
      <c r="J552" s="313"/>
      <c r="K552" s="243"/>
      <c r="L552" s="242"/>
      <c r="M552" s="242" t="str">
        <f>IFERROR(_xlfn.XLOOKUP($A552,Input_Raw!$E:$E,Input_Raw!$BM:$BM),"")</f>
        <v/>
      </c>
      <c r="N552" s="242" t="str">
        <f>IFERROR(_xlfn.XLOOKUP($A552,Input_Raw!$E:$E,Input_Raw!$BN:$BN),"")</f>
        <v/>
      </c>
      <c r="O552" s="311" t="str">
        <f t="shared" si="46"/>
        <v/>
      </c>
      <c r="P552" s="311" t="str">
        <f>IFERROR(1-SUMIF(WTG_BD!$F:$F,$A552,WTG_BD!$AA:$AA)/($AA552+SUMIF(WTG_BD!$F:$F,$A552,WTG_BD!$AA:$AA)),"")</f>
        <v/>
      </c>
      <c r="Q552" s="328" t="str">
        <f>IFERROR(1-SUMIF(IGA_BD!$F:$F,$A552,IGA_BD!$W:$W)/($AA552+SUMIF(IGA_BD!$F:$F,$A552,IGA_BD!$W:$W)),"")</f>
        <v/>
      </c>
      <c r="R552" s="47" t="str">
        <f>IFERROR(1-SUMIF(Grid_BD!$F:$F,$A552,Grid_BD!$Y:$Y)/($AA552+SUMIF(Grid_BD!$F:$F,$A552,Grid_BD!$Y:$Y)),"")</f>
        <v/>
      </c>
      <c r="S552" s="10"/>
      <c r="T552" s="310"/>
      <c r="U552" s="311"/>
      <c r="V552" s="10"/>
      <c r="W552" s="312" t="str">
        <f t="shared" si="47"/>
        <v/>
      </c>
      <c r="X552" s="10" t="str">
        <f>IFERROR(_xlfn.XLOOKUP($A552,Input_Raw!$E:$E,Input_Raw!BG:BG),"")</f>
        <v/>
      </c>
      <c r="Y552" s="10" t="str">
        <f>IFERROR(_xlfn.XLOOKUP($A552,Input_Raw!$E:$E,Input_Raw!DF:DF),"")</f>
        <v/>
      </c>
      <c r="Z552" s="319" t="str">
        <f>IFERROR(_xlfn.XLOOKUP(A552,Input_Raw!E:E,Input_Raw!CT:CT)/_xlfn.XLOOKUP(A552,Input_Raw!E:E,Input_Raw!CS:CS)*Table13[[#This Row],[Mtr_Export (kWh)]],"")</f>
        <v/>
      </c>
      <c r="AA552" s="43" t="str">
        <f t="shared" si="48"/>
        <v/>
      </c>
      <c r="AB552" s="10" t="str">
        <f>IFERROR(_xlfn.XLOOKUP($A552,Input_Raw!$E:$E,Input_Raw!$CZ:$CZ),"")</f>
        <v/>
      </c>
      <c r="AC552" s="313" t="str">
        <f>IFERROR(_xlfn.XLOOKUP($D552,'Modelling New'!$D:$D,'Modelling New'!$J:$J),"")</f>
        <v/>
      </c>
      <c r="AD552" s="43" t="str">
        <f>IFERROR(_xlfn.XLOOKUP($D552,'Modelling New'!$D:$D,'Modelling New'!$T:$T)*1000,"")</f>
        <v/>
      </c>
      <c r="AE552" s="312"/>
      <c r="AF552" s="312" t="str">
        <f>IFERROR(_xlfn.XLOOKUP($D552,'Modelling New'!$D:$D,'Modelling New'!$W:$W),"")</f>
        <v/>
      </c>
      <c r="AG552" s="312" t="str">
        <f>IFERROR(_xlfn.XLOOKUP($D552,'Modelling New'!$D:$D,'Modelling New'!$AE:$AE),"")</f>
        <v/>
      </c>
      <c r="AH552" s="312" t="str">
        <f>IFERROR(_xlfn.XLOOKUP($D552,'Modelling New'!$D:$D,'Modelling New'!$AF:$AF),"")</f>
        <v/>
      </c>
      <c r="AI552" s="10" t="str">
        <f>IFERROR(_xlfn.XLOOKUP($A552,Input_Raw!$E:$E,Input_Raw!$DG:$DG),"")</f>
        <v/>
      </c>
      <c r="AJ552" s="10"/>
      <c r="AK552" s="10"/>
      <c r="AL552" s="10"/>
      <c r="AM552" s="10"/>
      <c r="AN552" s="314" t="str">
        <f>IFERROR(_xlfn.XLOOKUP($A552,Input_Raw!$E:$E,Input_Raw!$CY:$CY),"")</f>
        <v/>
      </c>
      <c r="AO552" s="312" t="str">
        <f>IFERROR((_xlfn.XLOOKUP($A552,'WTG Reactive Power'!$A:$A,'WTG Reactive Power'!AB:AB))/X552,"")</f>
        <v/>
      </c>
      <c r="AP552" s="312" t="str">
        <f>IFERROR(_xlfn.XLOOKUP($D552,'Modelling New'!$D:$D,'Modelling New'!AK:AK),"")</f>
        <v/>
      </c>
      <c r="AQ552" s="312" t="str">
        <f>IFERROR(_xlfn.XLOOKUP($D552,'Modelling New'!$D:$D,'Modelling New'!AL:AL),"")</f>
        <v/>
      </c>
      <c r="AR552" s="325" t="str">
        <f>IFERROR(_xlfn.XLOOKUP($D552,'Modelling New'!$D:$D,'Modelling New'!$N:$N),"")</f>
        <v/>
      </c>
      <c r="AS552" s="325"/>
    </row>
    <row r="553" spans="1:45">
      <c r="A553" s="32">
        <f t="shared" si="49"/>
        <v>46296</v>
      </c>
      <c r="B553" s="43">
        <f>YEAR(Table13[[#This Row],[Date]])+IF(MONTH(Table13[[#This Row],[Date]])&gt;=4,1,0)</f>
        <v>2027</v>
      </c>
      <c r="C553" s="10">
        <f>YEAR(Table13[[#This Row],[Date]])</f>
        <v>2026</v>
      </c>
      <c r="D553" s="309">
        <f>Table13[[#This Row],[Date]]-DAY(Table13[[#This Row],[Date]])+1</f>
        <v>46296</v>
      </c>
      <c r="E553" s="10">
        <f t="shared" si="45"/>
        <v>31</v>
      </c>
      <c r="F553" s="241" t="str">
        <f>IFERROR(_xlfn.XLOOKUP($A553,Input_Raw!$E:$E,Input_Raw!DC:DC),"")</f>
        <v/>
      </c>
      <c r="G553" s="242"/>
      <c r="H553" s="242"/>
      <c r="I553" s="242"/>
      <c r="J553" s="242"/>
      <c r="K553" s="243"/>
      <c r="L553" s="242"/>
      <c r="M553" s="242" t="str">
        <f>IFERROR(_xlfn.XLOOKUP($A553,Input_Raw!$E:$E,Input_Raw!$BM:$BM),"")</f>
        <v/>
      </c>
      <c r="N553" s="242" t="str">
        <f>IFERROR(_xlfn.XLOOKUP($A553,Input_Raw!$E:$E,Input_Raw!$BN:$BN),"")</f>
        <v/>
      </c>
      <c r="O553" s="311" t="str">
        <f t="shared" si="46"/>
        <v/>
      </c>
      <c r="P553" s="311" t="str">
        <f>IFERROR(1-SUMIF(WTG_BD!$F:$F,$A553,WTG_BD!$AA:$AA)/($AA553+SUMIF(WTG_BD!$F:$F,$A553,WTG_BD!$AA:$AA)),"")</f>
        <v/>
      </c>
      <c r="Q553" s="328" t="str">
        <f>IFERROR(1-SUMIF(IGA_BD!$F:$F,$A553,IGA_BD!$W:$W)/($AA553+SUMIF(IGA_BD!$F:$F,$A553,IGA_BD!$W:$W)),"")</f>
        <v/>
      </c>
      <c r="R553" s="311" t="str">
        <f>IFERROR(1-SUMIF(Grid_BD!$F:$F,$A553,Grid_BD!$Y:$Y)/($AA553+SUMIF(Grid_BD!$F:$F,$A553,Grid_BD!$Y:$Y)),"")</f>
        <v/>
      </c>
      <c r="S553" s="10"/>
      <c r="T553" s="310"/>
      <c r="U553" s="311"/>
      <c r="V553" s="10"/>
      <c r="W553" s="312" t="str">
        <f t="shared" si="47"/>
        <v/>
      </c>
      <c r="X553" s="10" t="str">
        <f>IFERROR(_xlfn.XLOOKUP($A553,Input_Raw!$E:$E,Input_Raw!BG:BG),"")</f>
        <v/>
      </c>
      <c r="Y553" s="10" t="str">
        <f>IFERROR(_xlfn.XLOOKUP($A553,Input_Raw!$E:$E,Input_Raw!DF:DF),"")</f>
        <v/>
      </c>
      <c r="Z553" s="319" t="str">
        <f>IFERROR(_xlfn.XLOOKUP(A553,Input_Raw!E:E,Input_Raw!CT:CT)/_xlfn.XLOOKUP(A553,Input_Raw!E:E,Input_Raw!CS:CS)*Table13[[#This Row],[Mtr_Export (kWh)]],"")</f>
        <v/>
      </c>
      <c r="AA553" s="43" t="str">
        <f t="shared" si="48"/>
        <v/>
      </c>
      <c r="AB553" s="10" t="str">
        <f>IFERROR(_xlfn.XLOOKUP($A553,Input_Raw!$E:$E,Input_Raw!$CZ:$CZ),"")</f>
        <v/>
      </c>
      <c r="AC553" s="313" t="str">
        <f>IFERROR(_xlfn.XLOOKUP($D553,'Modelling New'!$D:$D,'Modelling New'!$J:$J),"")</f>
        <v/>
      </c>
      <c r="AD553" s="43" t="str">
        <f>IFERROR(_xlfn.XLOOKUP($D553,'Modelling New'!$D:$D,'Modelling New'!$T:$T)*1000,"")</f>
        <v/>
      </c>
      <c r="AE553" s="312"/>
      <c r="AF553" s="312" t="str">
        <f>IFERROR(_xlfn.XLOOKUP($D553,'Modelling New'!$D:$D,'Modelling New'!$W:$W),"")</f>
        <v/>
      </c>
      <c r="AG553" s="312" t="str">
        <f>IFERROR(_xlfn.XLOOKUP($D553,'Modelling New'!$D:$D,'Modelling New'!$AE:$AE),"")</f>
        <v/>
      </c>
      <c r="AH553" s="312" t="str">
        <f>IFERROR(_xlfn.XLOOKUP($D553,'Modelling New'!$D:$D,'Modelling New'!$AF:$AF),"")</f>
        <v/>
      </c>
      <c r="AI553" s="10" t="str">
        <f>IFERROR(_xlfn.XLOOKUP($A553,Input_Raw!$E:$E,Input_Raw!$DG:$DG),"")</f>
        <v/>
      </c>
      <c r="AJ553" s="10"/>
      <c r="AK553" s="10"/>
      <c r="AL553" s="10"/>
      <c r="AM553" s="10"/>
      <c r="AN553" s="314" t="str">
        <f>IFERROR(_xlfn.XLOOKUP($A553,Input_Raw!$E:$E,Input_Raw!$CY:$CY),"")</f>
        <v/>
      </c>
      <c r="AO553" s="312" t="str">
        <f>IFERROR((_xlfn.XLOOKUP($A553,'WTG Reactive Power'!$A:$A,'WTG Reactive Power'!AB:AB))/X553,"")</f>
        <v/>
      </c>
      <c r="AP553" s="312" t="str">
        <f>IFERROR(_xlfn.XLOOKUP($D553,'Modelling New'!$D:$D,'Modelling New'!AK:AK),"")</f>
        <v/>
      </c>
      <c r="AQ553" s="312" t="str">
        <f>IFERROR(_xlfn.XLOOKUP($D553,'Modelling New'!$D:$D,'Modelling New'!AL:AL),"")</f>
        <v/>
      </c>
      <c r="AR553" s="325" t="str">
        <f>IFERROR(_xlfn.XLOOKUP($D553,'Modelling New'!$D:$D,'Modelling New'!$N:$N),"")</f>
        <v/>
      </c>
      <c r="AS553" s="325"/>
    </row>
    <row r="554" spans="1:45">
      <c r="A554" s="32">
        <f t="shared" si="49"/>
        <v>46297</v>
      </c>
      <c r="B554" s="43">
        <f>YEAR(Table13[[#This Row],[Date]])+IF(MONTH(Table13[[#This Row],[Date]])&gt;=4,1,0)</f>
        <v>2027</v>
      </c>
      <c r="C554" s="10">
        <f>YEAR(Table13[[#This Row],[Date]])</f>
        <v>2026</v>
      </c>
      <c r="D554" s="309">
        <f>Table13[[#This Row],[Date]]-DAY(Table13[[#This Row],[Date]])+1</f>
        <v>46296</v>
      </c>
      <c r="E554" s="10">
        <f t="shared" si="45"/>
        <v>31</v>
      </c>
      <c r="F554" s="241" t="str">
        <f>IFERROR(_xlfn.XLOOKUP($A554,Input_Raw!$E:$E,Input_Raw!DC:DC),"")</f>
        <v/>
      </c>
      <c r="G554" s="313"/>
      <c r="H554" s="313"/>
      <c r="I554" s="313"/>
      <c r="J554" s="313"/>
      <c r="K554" s="243"/>
      <c r="L554" s="242"/>
      <c r="M554" s="242" t="str">
        <f>IFERROR(_xlfn.XLOOKUP($A554,Input_Raw!$E:$E,Input_Raw!$BM:$BM),"")</f>
        <v/>
      </c>
      <c r="N554" s="242" t="str">
        <f>IFERROR(_xlfn.XLOOKUP($A554,Input_Raw!$E:$E,Input_Raw!$BN:$BN),"")</f>
        <v/>
      </c>
      <c r="O554" s="311" t="str">
        <f t="shared" si="46"/>
        <v/>
      </c>
      <c r="P554" s="311" t="str">
        <f>IFERROR(1-SUMIF(WTG_BD!$F:$F,$A554,WTG_BD!$AA:$AA)/($AA554+SUMIF(WTG_BD!$F:$F,$A554,WTG_BD!$AA:$AA)),"")</f>
        <v/>
      </c>
      <c r="Q554" s="328" t="str">
        <f>IFERROR(1-SUMIF(IGA_BD!$F:$F,$A554,IGA_BD!$W:$W)/($AA554+SUMIF(IGA_BD!$F:$F,$A554,IGA_BD!$W:$W)),"")</f>
        <v/>
      </c>
      <c r="R554" s="47" t="str">
        <f>IFERROR(1-SUMIF(Grid_BD!$F:$F,$A554,Grid_BD!$Y:$Y)/($AA554+SUMIF(Grid_BD!$F:$F,$A554,Grid_BD!$Y:$Y)),"")</f>
        <v/>
      </c>
      <c r="S554" s="10"/>
      <c r="T554" s="310"/>
      <c r="U554" s="311"/>
      <c r="V554" s="10"/>
      <c r="W554" s="312" t="str">
        <f t="shared" si="47"/>
        <v/>
      </c>
      <c r="X554" s="10" t="str">
        <f>IFERROR(_xlfn.XLOOKUP($A554,Input_Raw!$E:$E,Input_Raw!BG:BG),"")</f>
        <v/>
      </c>
      <c r="Y554" s="10" t="str">
        <f>IFERROR(_xlfn.XLOOKUP($A554,Input_Raw!$E:$E,Input_Raw!DF:DF),"")</f>
        <v/>
      </c>
      <c r="Z554" s="319" t="str">
        <f>IFERROR(_xlfn.XLOOKUP(A554,Input_Raw!E:E,Input_Raw!CT:CT)/_xlfn.XLOOKUP(A554,Input_Raw!E:E,Input_Raw!CS:CS)*Table13[[#This Row],[Mtr_Export (kWh)]],"")</f>
        <v/>
      </c>
      <c r="AA554" s="43" t="str">
        <f t="shared" si="48"/>
        <v/>
      </c>
      <c r="AB554" s="10" t="str">
        <f>IFERROR(_xlfn.XLOOKUP($A554,Input_Raw!$E:$E,Input_Raw!$CZ:$CZ),"")</f>
        <v/>
      </c>
      <c r="AC554" s="313" t="str">
        <f>IFERROR(_xlfn.XLOOKUP($D554,'Modelling New'!$D:$D,'Modelling New'!$J:$J),"")</f>
        <v/>
      </c>
      <c r="AD554" s="43" t="str">
        <f>IFERROR(_xlfn.XLOOKUP($D554,'Modelling New'!$D:$D,'Modelling New'!$T:$T)*1000,"")</f>
        <v/>
      </c>
      <c r="AE554" s="312"/>
      <c r="AF554" s="312" t="str">
        <f>IFERROR(_xlfn.XLOOKUP($D554,'Modelling New'!$D:$D,'Modelling New'!$W:$W),"")</f>
        <v/>
      </c>
      <c r="AG554" s="312" t="str">
        <f>IFERROR(_xlfn.XLOOKUP($D554,'Modelling New'!$D:$D,'Modelling New'!$AE:$AE),"")</f>
        <v/>
      </c>
      <c r="AH554" s="312" t="str">
        <f>IFERROR(_xlfn.XLOOKUP($D554,'Modelling New'!$D:$D,'Modelling New'!$AF:$AF),"")</f>
        <v/>
      </c>
      <c r="AI554" s="10" t="str">
        <f>IFERROR(_xlfn.XLOOKUP($A554,Input_Raw!$E:$E,Input_Raw!$DG:$DG),"")</f>
        <v/>
      </c>
      <c r="AJ554" s="10"/>
      <c r="AK554" s="10"/>
      <c r="AL554" s="10"/>
      <c r="AM554" s="10"/>
      <c r="AN554" s="314" t="str">
        <f>IFERROR(_xlfn.XLOOKUP($A554,Input_Raw!$E:$E,Input_Raw!$CY:$CY),"")</f>
        <v/>
      </c>
      <c r="AO554" s="312" t="str">
        <f>IFERROR((_xlfn.XLOOKUP($A554,'WTG Reactive Power'!$A:$A,'WTG Reactive Power'!AB:AB))/X554,"")</f>
        <v/>
      </c>
      <c r="AP554" s="312" t="str">
        <f>IFERROR(_xlfn.XLOOKUP($D554,'Modelling New'!$D:$D,'Modelling New'!AK:AK),"")</f>
        <v/>
      </c>
      <c r="AQ554" s="312" t="str">
        <f>IFERROR(_xlfn.XLOOKUP($D554,'Modelling New'!$D:$D,'Modelling New'!AL:AL),"")</f>
        <v/>
      </c>
      <c r="AR554" s="325" t="str">
        <f>IFERROR(_xlfn.XLOOKUP($D554,'Modelling New'!$D:$D,'Modelling New'!$N:$N),"")</f>
        <v/>
      </c>
      <c r="AS554" s="325"/>
    </row>
    <row r="555" spans="1:45">
      <c r="A555" s="32">
        <f t="shared" si="49"/>
        <v>46298</v>
      </c>
      <c r="B555" s="43">
        <f>YEAR(Table13[[#This Row],[Date]])+IF(MONTH(Table13[[#This Row],[Date]])&gt;=4,1,0)</f>
        <v>2027</v>
      </c>
      <c r="C555" s="10">
        <f>YEAR(Table13[[#This Row],[Date]])</f>
        <v>2026</v>
      </c>
      <c r="D555" s="309">
        <f>Table13[[#This Row],[Date]]-DAY(Table13[[#This Row],[Date]])+1</f>
        <v>46296</v>
      </c>
      <c r="E555" s="10">
        <f t="shared" si="45"/>
        <v>31</v>
      </c>
      <c r="F555" s="241" t="str">
        <f>IFERROR(_xlfn.XLOOKUP($A555,Input_Raw!$E:$E,Input_Raw!DC:DC),"")</f>
        <v/>
      </c>
      <c r="G555" s="242"/>
      <c r="H555" s="242"/>
      <c r="I555" s="242"/>
      <c r="J555" s="242"/>
      <c r="K555" s="243"/>
      <c r="L555" s="242"/>
      <c r="M555" s="242" t="str">
        <f>IFERROR(_xlfn.XLOOKUP($A555,Input_Raw!$E:$E,Input_Raw!$BM:$BM),"")</f>
        <v/>
      </c>
      <c r="N555" s="242" t="str">
        <f>IFERROR(_xlfn.XLOOKUP($A555,Input_Raw!$E:$E,Input_Raw!$BN:$BN),"")</f>
        <v/>
      </c>
      <c r="O555" s="311" t="str">
        <f t="shared" si="46"/>
        <v/>
      </c>
      <c r="P555" s="311" t="str">
        <f>IFERROR(1-SUMIF(WTG_BD!$F:$F,$A555,WTG_BD!$AA:$AA)/($AA555+SUMIF(WTG_BD!$F:$F,$A555,WTG_BD!$AA:$AA)),"")</f>
        <v/>
      </c>
      <c r="Q555" s="328" t="str">
        <f>IFERROR(1-SUMIF(IGA_BD!$F:$F,$A555,IGA_BD!$W:$W)/($AA555+SUMIF(IGA_BD!$F:$F,$A555,IGA_BD!$W:$W)),"")</f>
        <v/>
      </c>
      <c r="R555" s="311" t="str">
        <f>IFERROR(1-SUMIF(Grid_BD!$F:$F,$A555,Grid_BD!$Y:$Y)/($AA555+SUMIF(Grid_BD!$F:$F,$A555,Grid_BD!$Y:$Y)),"")</f>
        <v/>
      </c>
      <c r="S555" s="10"/>
      <c r="T555" s="310"/>
      <c r="U555" s="311"/>
      <c r="V555" s="10"/>
      <c r="W555" s="312" t="str">
        <f t="shared" si="47"/>
        <v/>
      </c>
      <c r="X555" s="10" t="str">
        <f>IFERROR(_xlfn.XLOOKUP($A555,Input_Raw!$E:$E,Input_Raw!BG:BG),"")</f>
        <v/>
      </c>
      <c r="Y555" s="10" t="str">
        <f>IFERROR(_xlfn.XLOOKUP($A555,Input_Raw!$E:$E,Input_Raw!DF:DF),"")</f>
        <v/>
      </c>
      <c r="Z555" s="319" t="str">
        <f>IFERROR(_xlfn.XLOOKUP(A555,Input_Raw!E:E,Input_Raw!CT:CT)/_xlfn.XLOOKUP(A555,Input_Raw!E:E,Input_Raw!CS:CS)*Table13[[#This Row],[Mtr_Export (kWh)]],"")</f>
        <v/>
      </c>
      <c r="AA555" s="43" t="str">
        <f t="shared" si="48"/>
        <v/>
      </c>
      <c r="AB555" s="10" t="str">
        <f>IFERROR(_xlfn.XLOOKUP($A555,Input_Raw!$E:$E,Input_Raw!$CZ:$CZ),"")</f>
        <v/>
      </c>
      <c r="AC555" s="313" t="str">
        <f>IFERROR(_xlfn.XLOOKUP($D555,'Modelling New'!$D:$D,'Modelling New'!$J:$J),"")</f>
        <v/>
      </c>
      <c r="AD555" s="43" t="str">
        <f>IFERROR(_xlfn.XLOOKUP($D555,'Modelling New'!$D:$D,'Modelling New'!$T:$T)*1000,"")</f>
        <v/>
      </c>
      <c r="AE555" s="312"/>
      <c r="AF555" s="312" t="str">
        <f>IFERROR(_xlfn.XLOOKUP($D555,'Modelling New'!$D:$D,'Modelling New'!$W:$W),"")</f>
        <v/>
      </c>
      <c r="AG555" s="312" t="str">
        <f>IFERROR(_xlfn.XLOOKUP($D555,'Modelling New'!$D:$D,'Modelling New'!$AE:$AE),"")</f>
        <v/>
      </c>
      <c r="AH555" s="312" t="str">
        <f>IFERROR(_xlfn.XLOOKUP($D555,'Modelling New'!$D:$D,'Modelling New'!$AF:$AF),"")</f>
        <v/>
      </c>
      <c r="AI555" s="10" t="str">
        <f>IFERROR(_xlfn.XLOOKUP($A555,Input_Raw!$E:$E,Input_Raw!$DG:$DG),"")</f>
        <v/>
      </c>
      <c r="AJ555" s="10"/>
      <c r="AK555" s="10"/>
      <c r="AL555" s="10"/>
      <c r="AM555" s="10"/>
      <c r="AN555" s="314" t="str">
        <f>IFERROR(_xlfn.XLOOKUP($A555,Input_Raw!$E:$E,Input_Raw!$CY:$CY),"")</f>
        <v/>
      </c>
      <c r="AO555" s="312" t="str">
        <f>IFERROR((_xlfn.XLOOKUP($A555,'WTG Reactive Power'!$A:$A,'WTG Reactive Power'!AB:AB))/X555,"")</f>
        <v/>
      </c>
      <c r="AP555" s="312" t="str">
        <f>IFERROR(_xlfn.XLOOKUP($D555,'Modelling New'!$D:$D,'Modelling New'!AK:AK),"")</f>
        <v/>
      </c>
      <c r="AQ555" s="312" t="str">
        <f>IFERROR(_xlfn.XLOOKUP($D555,'Modelling New'!$D:$D,'Modelling New'!AL:AL),"")</f>
        <v/>
      </c>
      <c r="AR555" s="325" t="str">
        <f>IFERROR(_xlfn.XLOOKUP($D555,'Modelling New'!$D:$D,'Modelling New'!$N:$N),"")</f>
        <v/>
      </c>
      <c r="AS555" s="325"/>
    </row>
    <row r="556" spans="1:45">
      <c r="A556" s="32">
        <f t="shared" si="49"/>
        <v>46299</v>
      </c>
      <c r="B556" s="43">
        <f>YEAR(Table13[[#This Row],[Date]])+IF(MONTH(Table13[[#This Row],[Date]])&gt;=4,1,0)</f>
        <v>2027</v>
      </c>
      <c r="C556" s="10">
        <f>YEAR(Table13[[#This Row],[Date]])</f>
        <v>2026</v>
      </c>
      <c r="D556" s="309">
        <f>Table13[[#This Row],[Date]]-DAY(Table13[[#This Row],[Date]])+1</f>
        <v>46296</v>
      </c>
      <c r="E556" s="10">
        <f t="shared" si="45"/>
        <v>31</v>
      </c>
      <c r="F556" s="241" t="str">
        <f>IFERROR(_xlfn.XLOOKUP($A556,Input_Raw!$E:$E,Input_Raw!DC:DC),"")</f>
        <v/>
      </c>
      <c r="G556" s="313"/>
      <c r="H556" s="313"/>
      <c r="I556" s="313"/>
      <c r="J556" s="313"/>
      <c r="K556" s="243"/>
      <c r="L556" s="242"/>
      <c r="M556" s="242" t="str">
        <f>IFERROR(_xlfn.XLOOKUP($A556,Input_Raw!$E:$E,Input_Raw!$BM:$BM),"")</f>
        <v/>
      </c>
      <c r="N556" s="242" t="str">
        <f>IFERROR(_xlfn.XLOOKUP($A556,Input_Raw!$E:$E,Input_Raw!$BN:$BN),"")</f>
        <v/>
      </c>
      <c r="O556" s="311" t="str">
        <f t="shared" si="46"/>
        <v/>
      </c>
      <c r="P556" s="311" t="str">
        <f>IFERROR(1-SUMIF(WTG_BD!$F:$F,$A556,WTG_BD!$AA:$AA)/($AA556+SUMIF(WTG_BD!$F:$F,$A556,WTG_BD!$AA:$AA)),"")</f>
        <v/>
      </c>
      <c r="Q556" s="328" t="str">
        <f>IFERROR(1-SUMIF(IGA_BD!$F:$F,$A556,IGA_BD!$W:$W)/($AA556+SUMIF(IGA_BD!$F:$F,$A556,IGA_BD!$W:$W)),"")</f>
        <v/>
      </c>
      <c r="R556" s="47" t="str">
        <f>IFERROR(1-SUMIF(Grid_BD!$F:$F,$A556,Grid_BD!$Y:$Y)/($AA556+SUMIF(Grid_BD!$F:$F,$A556,Grid_BD!$Y:$Y)),"")</f>
        <v/>
      </c>
      <c r="S556" s="10"/>
      <c r="T556" s="310"/>
      <c r="U556" s="311"/>
      <c r="V556" s="10"/>
      <c r="W556" s="312" t="str">
        <f t="shared" si="47"/>
        <v/>
      </c>
      <c r="X556" s="10" t="str">
        <f>IFERROR(_xlfn.XLOOKUP($A556,Input_Raw!$E:$E,Input_Raw!BG:BG),"")</f>
        <v/>
      </c>
      <c r="Y556" s="10" t="str">
        <f>IFERROR(_xlfn.XLOOKUP($A556,Input_Raw!$E:$E,Input_Raw!DF:DF),"")</f>
        <v/>
      </c>
      <c r="Z556" s="319" t="str">
        <f>IFERROR(_xlfn.XLOOKUP(A556,Input_Raw!E:E,Input_Raw!CT:CT)/_xlfn.XLOOKUP(A556,Input_Raw!E:E,Input_Raw!CS:CS)*Table13[[#This Row],[Mtr_Export (kWh)]],"")</f>
        <v/>
      </c>
      <c r="AA556" s="43" t="str">
        <f t="shared" si="48"/>
        <v/>
      </c>
      <c r="AB556" s="10" t="str">
        <f>IFERROR(_xlfn.XLOOKUP($A556,Input_Raw!$E:$E,Input_Raw!$CZ:$CZ),"")</f>
        <v/>
      </c>
      <c r="AC556" s="313" t="str">
        <f>IFERROR(_xlfn.XLOOKUP($D556,'Modelling New'!$D:$D,'Modelling New'!$J:$J),"")</f>
        <v/>
      </c>
      <c r="AD556" s="43" t="str">
        <f>IFERROR(_xlfn.XLOOKUP($D556,'Modelling New'!$D:$D,'Modelling New'!$T:$T)*1000,"")</f>
        <v/>
      </c>
      <c r="AE556" s="312"/>
      <c r="AF556" s="312" t="str">
        <f>IFERROR(_xlfn.XLOOKUP($D556,'Modelling New'!$D:$D,'Modelling New'!$W:$W),"")</f>
        <v/>
      </c>
      <c r="AG556" s="312" t="str">
        <f>IFERROR(_xlfn.XLOOKUP($D556,'Modelling New'!$D:$D,'Modelling New'!$AE:$AE),"")</f>
        <v/>
      </c>
      <c r="AH556" s="312" t="str">
        <f>IFERROR(_xlfn.XLOOKUP($D556,'Modelling New'!$D:$D,'Modelling New'!$AF:$AF),"")</f>
        <v/>
      </c>
      <c r="AI556" s="10" t="str">
        <f>IFERROR(_xlfn.XLOOKUP($A556,Input_Raw!$E:$E,Input_Raw!$DG:$DG),"")</f>
        <v/>
      </c>
      <c r="AJ556" s="10"/>
      <c r="AK556" s="10"/>
      <c r="AL556" s="10"/>
      <c r="AM556" s="10"/>
      <c r="AN556" s="314" t="str">
        <f>IFERROR(_xlfn.XLOOKUP($A556,Input_Raw!$E:$E,Input_Raw!$CY:$CY),"")</f>
        <v/>
      </c>
      <c r="AO556" s="312" t="str">
        <f>IFERROR((_xlfn.XLOOKUP($A556,'WTG Reactive Power'!$A:$A,'WTG Reactive Power'!AB:AB))/X556,"")</f>
        <v/>
      </c>
      <c r="AP556" s="312" t="str">
        <f>IFERROR(_xlfn.XLOOKUP($D556,'Modelling New'!$D:$D,'Modelling New'!AK:AK),"")</f>
        <v/>
      </c>
      <c r="AQ556" s="312" t="str">
        <f>IFERROR(_xlfn.XLOOKUP($D556,'Modelling New'!$D:$D,'Modelling New'!AL:AL),"")</f>
        <v/>
      </c>
      <c r="AR556" s="325" t="str">
        <f>IFERROR(_xlfn.XLOOKUP($D556,'Modelling New'!$D:$D,'Modelling New'!$N:$N),"")</f>
        <v/>
      </c>
      <c r="AS556" s="325"/>
    </row>
    <row r="557" spans="1:45">
      <c r="A557" s="32">
        <f t="shared" si="49"/>
        <v>46300</v>
      </c>
      <c r="B557" s="43">
        <f>YEAR(Table13[[#This Row],[Date]])+IF(MONTH(Table13[[#This Row],[Date]])&gt;=4,1,0)</f>
        <v>2027</v>
      </c>
      <c r="C557" s="10">
        <f>YEAR(Table13[[#This Row],[Date]])</f>
        <v>2026</v>
      </c>
      <c r="D557" s="309">
        <f>Table13[[#This Row],[Date]]-DAY(Table13[[#This Row],[Date]])+1</f>
        <v>46296</v>
      </c>
      <c r="E557" s="10">
        <f t="shared" si="45"/>
        <v>31</v>
      </c>
      <c r="F557" s="241" t="str">
        <f>IFERROR(_xlfn.XLOOKUP($A557,Input_Raw!$E:$E,Input_Raw!DC:DC),"")</f>
        <v/>
      </c>
      <c r="G557" s="242"/>
      <c r="H557" s="242"/>
      <c r="I557" s="242"/>
      <c r="J557" s="242"/>
      <c r="K557" s="243"/>
      <c r="L557" s="242"/>
      <c r="M557" s="242" t="str">
        <f>IFERROR(_xlfn.XLOOKUP($A557,Input_Raw!$E:$E,Input_Raw!$BM:$BM),"")</f>
        <v/>
      </c>
      <c r="N557" s="242" t="str">
        <f>IFERROR(_xlfn.XLOOKUP($A557,Input_Raw!$E:$E,Input_Raw!$BN:$BN),"")</f>
        <v/>
      </c>
      <c r="O557" s="311" t="str">
        <f t="shared" si="46"/>
        <v/>
      </c>
      <c r="P557" s="311" t="str">
        <f>IFERROR(1-SUMIF(WTG_BD!$F:$F,$A557,WTG_BD!$AA:$AA)/($AA557+SUMIF(WTG_BD!$F:$F,$A557,WTG_BD!$AA:$AA)),"")</f>
        <v/>
      </c>
      <c r="Q557" s="328" t="str">
        <f>IFERROR(1-SUMIF(IGA_BD!$F:$F,$A557,IGA_BD!$W:$W)/($AA557+SUMIF(IGA_BD!$F:$F,$A557,IGA_BD!$W:$W)),"")</f>
        <v/>
      </c>
      <c r="R557" s="311" t="str">
        <f>IFERROR(1-SUMIF(Grid_BD!$F:$F,$A557,Grid_BD!$Y:$Y)/($AA557+SUMIF(Grid_BD!$F:$F,$A557,Grid_BD!$Y:$Y)),"")</f>
        <v/>
      </c>
      <c r="S557" s="10"/>
      <c r="T557" s="310"/>
      <c r="U557" s="311"/>
      <c r="V557" s="10"/>
      <c r="W557" s="312" t="str">
        <f t="shared" si="47"/>
        <v/>
      </c>
      <c r="X557" s="10" t="str">
        <f>IFERROR(_xlfn.XLOOKUP($A557,Input_Raw!$E:$E,Input_Raw!BG:BG),"")</f>
        <v/>
      </c>
      <c r="Y557" s="10" t="str">
        <f>IFERROR(_xlfn.XLOOKUP($A557,Input_Raw!$E:$E,Input_Raw!DF:DF),"")</f>
        <v/>
      </c>
      <c r="Z557" s="319" t="str">
        <f>IFERROR(_xlfn.XLOOKUP(A557,Input_Raw!E:E,Input_Raw!CT:CT)/_xlfn.XLOOKUP(A557,Input_Raw!E:E,Input_Raw!CS:CS)*Table13[[#This Row],[Mtr_Export (kWh)]],"")</f>
        <v/>
      </c>
      <c r="AA557" s="43" t="str">
        <f t="shared" si="48"/>
        <v/>
      </c>
      <c r="AB557" s="10" t="str">
        <f>IFERROR(_xlfn.XLOOKUP($A557,Input_Raw!$E:$E,Input_Raw!$CZ:$CZ),"")</f>
        <v/>
      </c>
      <c r="AC557" s="313" t="str">
        <f>IFERROR(_xlfn.XLOOKUP($D557,'Modelling New'!$D:$D,'Modelling New'!$J:$J),"")</f>
        <v/>
      </c>
      <c r="AD557" s="43" t="str">
        <f>IFERROR(_xlfn.XLOOKUP($D557,'Modelling New'!$D:$D,'Modelling New'!$T:$T)*1000,"")</f>
        <v/>
      </c>
      <c r="AE557" s="312"/>
      <c r="AF557" s="312" t="str">
        <f>IFERROR(_xlfn.XLOOKUP($D557,'Modelling New'!$D:$D,'Modelling New'!$W:$W),"")</f>
        <v/>
      </c>
      <c r="AG557" s="312" t="str">
        <f>IFERROR(_xlfn.XLOOKUP($D557,'Modelling New'!$D:$D,'Modelling New'!$AE:$AE),"")</f>
        <v/>
      </c>
      <c r="AH557" s="312" t="str">
        <f>IFERROR(_xlfn.XLOOKUP($D557,'Modelling New'!$D:$D,'Modelling New'!$AF:$AF),"")</f>
        <v/>
      </c>
      <c r="AI557" s="10" t="str">
        <f>IFERROR(_xlfn.XLOOKUP($A557,Input_Raw!$E:$E,Input_Raw!$DG:$DG),"")</f>
        <v/>
      </c>
      <c r="AJ557" s="10"/>
      <c r="AK557" s="10"/>
      <c r="AL557" s="10"/>
      <c r="AM557" s="10"/>
      <c r="AN557" s="314" t="str">
        <f>IFERROR(_xlfn.XLOOKUP($A557,Input_Raw!$E:$E,Input_Raw!$CY:$CY),"")</f>
        <v/>
      </c>
      <c r="AO557" s="312" t="str">
        <f>IFERROR((_xlfn.XLOOKUP($A557,'WTG Reactive Power'!$A:$A,'WTG Reactive Power'!AB:AB))/X557,"")</f>
        <v/>
      </c>
      <c r="AP557" s="312" t="str">
        <f>IFERROR(_xlfn.XLOOKUP($D557,'Modelling New'!$D:$D,'Modelling New'!AK:AK),"")</f>
        <v/>
      </c>
      <c r="AQ557" s="312" t="str">
        <f>IFERROR(_xlfn.XLOOKUP($D557,'Modelling New'!$D:$D,'Modelling New'!AL:AL),"")</f>
        <v/>
      </c>
      <c r="AR557" s="325" t="str">
        <f>IFERROR(_xlfn.XLOOKUP($D557,'Modelling New'!$D:$D,'Modelling New'!$N:$N),"")</f>
        <v/>
      </c>
      <c r="AS557" s="325"/>
    </row>
    <row r="558" spans="1:45">
      <c r="A558" s="32">
        <f t="shared" si="49"/>
        <v>46301</v>
      </c>
      <c r="B558" s="43">
        <f>YEAR(Table13[[#This Row],[Date]])+IF(MONTH(Table13[[#This Row],[Date]])&gt;=4,1,0)</f>
        <v>2027</v>
      </c>
      <c r="C558" s="10">
        <f>YEAR(Table13[[#This Row],[Date]])</f>
        <v>2026</v>
      </c>
      <c r="D558" s="309">
        <f>Table13[[#This Row],[Date]]-DAY(Table13[[#This Row],[Date]])+1</f>
        <v>46296</v>
      </c>
      <c r="E558" s="10">
        <f t="shared" si="45"/>
        <v>31</v>
      </c>
      <c r="F558" s="241" t="str">
        <f>IFERROR(_xlfn.XLOOKUP($A558,Input_Raw!$E:$E,Input_Raw!DC:DC),"")</f>
        <v/>
      </c>
      <c r="G558" s="313"/>
      <c r="H558" s="313"/>
      <c r="I558" s="313"/>
      <c r="J558" s="313"/>
      <c r="K558" s="243"/>
      <c r="L558" s="242"/>
      <c r="M558" s="242" t="str">
        <f>IFERROR(_xlfn.XLOOKUP($A558,Input_Raw!$E:$E,Input_Raw!$BM:$BM),"")</f>
        <v/>
      </c>
      <c r="N558" s="242" t="str">
        <f>IFERROR(_xlfn.XLOOKUP($A558,Input_Raw!$E:$E,Input_Raw!$BN:$BN),"")</f>
        <v/>
      </c>
      <c r="O558" s="311" t="str">
        <f t="shared" si="46"/>
        <v/>
      </c>
      <c r="P558" s="311" t="str">
        <f>IFERROR(1-SUMIF(WTG_BD!$F:$F,$A558,WTG_BD!$AA:$AA)/($AA558+SUMIF(WTG_BD!$F:$F,$A558,WTG_BD!$AA:$AA)),"")</f>
        <v/>
      </c>
      <c r="Q558" s="328" t="str">
        <f>IFERROR(1-SUMIF(IGA_BD!$F:$F,$A558,IGA_BD!$W:$W)/($AA558+SUMIF(IGA_BD!$F:$F,$A558,IGA_BD!$W:$W)),"")</f>
        <v/>
      </c>
      <c r="R558" s="47" t="str">
        <f>IFERROR(1-SUMIF(Grid_BD!$F:$F,$A558,Grid_BD!$Y:$Y)/($AA558+SUMIF(Grid_BD!$F:$F,$A558,Grid_BD!$Y:$Y)),"")</f>
        <v/>
      </c>
      <c r="S558" s="10"/>
      <c r="T558" s="310"/>
      <c r="U558" s="311"/>
      <c r="V558" s="10"/>
      <c r="W558" s="312" t="str">
        <f t="shared" si="47"/>
        <v/>
      </c>
      <c r="X558" s="10" t="str">
        <f>IFERROR(_xlfn.XLOOKUP($A558,Input_Raw!$E:$E,Input_Raw!BG:BG),"")</f>
        <v/>
      </c>
      <c r="Y558" s="10" t="str">
        <f>IFERROR(_xlfn.XLOOKUP($A558,Input_Raw!$E:$E,Input_Raw!DF:DF),"")</f>
        <v/>
      </c>
      <c r="Z558" s="319" t="str">
        <f>IFERROR(_xlfn.XLOOKUP(A558,Input_Raw!E:E,Input_Raw!CT:CT)/_xlfn.XLOOKUP(A558,Input_Raw!E:E,Input_Raw!CS:CS)*Table13[[#This Row],[Mtr_Export (kWh)]],"")</f>
        <v/>
      </c>
      <c r="AA558" s="43" t="str">
        <f t="shared" si="48"/>
        <v/>
      </c>
      <c r="AB558" s="10" t="str">
        <f>IFERROR(_xlfn.XLOOKUP($A558,Input_Raw!$E:$E,Input_Raw!$CZ:$CZ),"")</f>
        <v/>
      </c>
      <c r="AC558" s="313" t="str">
        <f>IFERROR(_xlfn.XLOOKUP($D558,'Modelling New'!$D:$D,'Modelling New'!$J:$J),"")</f>
        <v/>
      </c>
      <c r="AD558" s="43" t="str">
        <f>IFERROR(_xlfn.XLOOKUP($D558,'Modelling New'!$D:$D,'Modelling New'!$T:$T)*1000,"")</f>
        <v/>
      </c>
      <c r="AE558" s="312"/>
      <c r="AF558" s="312" t="str">
        <f>IFERROR(_xlfn.XLOOKUP($D558,'Modelling New'!$D:$D,'Modelling New'!$W:$W),"")</f>
        <v/>
      </c>
      <c r="AG558" s="312" t="str">
        <f>IFERROR(_xlfn.XLOOKUP($D558,'Modelling New'!$D:$D,'Modelling New'!$AE:$AE),"")</f>
        <v/>
      </c>
      <c r="AH558" s="312" t="str">
        <f>IFERROR(_xlfn.XLOOKUP($D558,'Modelling New'!$D:$D,'Modelling New'!$AF:$AF),"")</f>
        <v/>
      </c>
      <c r="AI558" s="10" t="str">
        <f>IFERROR(_xlfn.XLOOKUP($A558,Input_Raw!$E:$E,Input_Raw!$DG:$DG),"")</f>
        <v/>
      </c>
      <c r="AJ558" s="10"/>
      <c r="AK558" s="10"/>
      <c r="AL558" s="10"/>
      <c r="AM558" s="10"/>
      <c r="AN558" s="314" t="str">
        <f>IFERROR(_xlfn.XLOOKUP($A558,Input_Raw!$E:$E,Input_Raw!$CY:$CY),"")</f>
        <v/>
      </c>
      <c r="AO558" s="312" t="str">
        <f>IFERROR((_xlfn.XLOOKUP($A558,'WTG Reactive Power'!$A:$A,'WTG Reactive Power'!AB:AB))/X558,"")</f>
        <v/>
      </c>
      <c r="AP558" s="312" t="str">
        <f>IFERROR(_xlfn.XLOOKUP($D558,'Modelling New'!$D:$D,'Modelling New'!AK:AK),"")</f>
        <v/>
      </c>
      <c r="AQ558" s="312" t="str">
        <f>IFERROR(_xlfn.XLOOKUP($D558,'Modelling New'!$D:$D,'Modelling New'!AL:AL),"")</f>
        <v/>
      </c>
      <c r="AR558" s="325" t="str">
        <f>IFERROR(_xlfn.XLOOKUP($D558,'Modelling New'!$D:$D,'Modelling New'!$N:$N),"")</f>
        <v/>
      </c>
      <c r="AS558" s="325"/>
    </row>
    <row r="559" spans="1:45">
      <c r="A559" s="32">
        <f t="shared" si="49"/>
        <v>46302</v>
      </c>
      <c r="B559" s="43">
        <f>YEAR(Table13[[#This Row],[Date]])+IF(MONTH(Table13[[#This Row],[Date]])&gt;=4,1,0)</f>
        <v>2027</v>
      </c>
      <c r="C559" s="10">
        <f>YEAR(Table13[[#This Row],[Date]])</f>
        <v>2026</v>
      </c>
      <c r="D559" s="309">
        <f>Table13[[#This Row],[Date]]-DAY(Table13[[#This Row],[Date]])+1</f>
        <v>46296</v>
      </c>
      <c r="E559" s="10">
        <f t="shared" si="45"/>
        <v>31</v>
      </c>
      <c r="F559" s="241" t="str">
        <f>IFERROR(_xlfn.XLOOKUP($A559,Input_Raw!$E:$E,Input_Raw!DC:DC),"")</f>
        <v/>
      </c>
      <c r="G559" s="242"/>
      <c r="H559" s="242"/>
      <c r="I559" s="242"/>
      <c r="J559" s="242"/>
      <c r="K559" s="243"/>
      <c r="L559" s="242"/>
      <c r="M559" s="242" t="str">
        <f>IFERROR(_xlfn.XLOOKUP($A559,Input_Raw!$E:$E,Input_Raw!$BM:$BM),"")</f>
        <v/>
      </c>
      <c r="N559" s="242" t="str">
        <f>IFERROR(_xlfn.XLOOKUP($A559,Input_Raw!$E:$E,Input_Raw!$BN:$BN),"")</f>
        <v/>
      </c>
      <c r="O559" s="311" t="str">
        <f t="shared" si="46"/>
        <v/>
      </c>
      <c r="P559" s="311" t="str">
        <f>IFERROR(1-SUMIF(WTG_BD!$F:$F,$A559,WTG_BD!$AA:$AA)/($AA559+SUMIF(WTG_BD!$F:$F,$A559,WTG_BD!$AA:$AA)),"")</f>
        <v/>
      </c>
      <c r="Q559" s="328" t="str">
        <f>IFERROR(1-SUMIF(IGA_BD!$F:$F,$A559,IGA_BD!$W:$W)/($AA559+SUMIF(IGA_BD!$F:$F,$A559,IGA_BD!$W:$W)),"")</f>
        <v/>
      </c>
      <c r="R559" s="311" t="str">
        <f>IFERROR(1-SUMIF(Grid_BD!$F:$F,$A559,Grid_BD!$Y:$Y)/($AA559+SUMIF(Grid_BD!$F:$F,$A559,Grid_BD!$Y:$Y)),"")</f>
        <v/>
      </c>
      <c r="S559" s="10"/>
      <c r="T559" s="310"/>
      <c r="U559" s="311"/>
      <c r="V559" s="10"/>
      <c r="W559" s="312" t="str">
        <f t="shared" si="47"/>
        <v/>
      </c>
      <c r="X559" s="10" t="str">
        <f>IFERROR(_xlfn.XLOOKUP($A559,Input_Raw!$E:$E,Input_Raw!BG:BG),"")</f>
        <v/>
      </c>
      <c r="Y559" s="10" t="str">
        <f>IFERROR(_xlfn.XLOOKUP($A559,Input_Raw!$E:$E,Input_Raw!DF:DF),"")</f>
        <v/>
      </c>
      <c r="Z559" s="319" t="str">
        <f>IFERROR(_xlfn.XLOOKUP(A559,Input_Raw!E:E,Input_Raw!CT:CT)/_xlfn.XLOOKUP(A559,Input_Raw!E:E,Input_Raw!CS:CS)*Table13[[#This Row],[Mtr_Export (kWh)]],"")</f>
        <v/>
      </c>
      <c r="AA559" s="43" t="str">
        <f t="shared" si="48"/>
        <v/>
      </c>
      <c r="AB559" s="10" t="str">
        <f>IFERROR(_xlfn.XLOOKUP($A559,Input_Raw!$E:$E,Input_Raw!$CZ:$CZ),"")</f>
        <v/>
      </c>
      <c r="AC559" s="313" t="str">
        <f>IFERROR(_xlfn.XLOOKUP($D559,'Modelling New'!$D:$D,'Modelling New'!$J:$J),"")</f>
        <v/>
      </c>
      <c r="AD559" s="43" t="str">
        <f>IFERROR(_xlfn.XLOOKUP($D559,'Modelling New'!$D:$D,'Modelling New'!$T:$T)*1000,"")</f>
        <v/>
      </c>
      <c r="AE559" s="312"/>
      <c r="AF559" s="312" t="str">
        <f>IFERROR(_xlfn.XLOOKUP($D559,'Modelling New'!$D:$D,'Modelling New'!$W:$W),"")</f>
        <v/>
      </c>
      <c r="AG559" s="312" t="str">
        <f>IFERROR(_xlfn.XLOOKUP($D559,'Modelling New'!$D:$D,'Modelling New'!$AE:$AE),"")</f>
        <v/>
      </c>
      <c r="AH559" s="312" t="str">
        <f>IFERROR(_xlfn.XLOOKUP($D559,'Modelling New'!$D:$D,'Modelling New'!$AF:$AF),"")</f>
        <v/>
      </c>
      <c r="AI559" s="10" t="str">
        <f>IFERROR(_xlfn.XLOOKUP($A559,Input_Raw!$E:$E,Input_Raw!$DG:$DG),"")</f>
        <v/>
      </c>
      <c r="AJ559" s="10"/>
      <c r="AK559" s="10"/>
      <c r="AL559" s="10"/>
      <c r="AM559" s="10"/>
      <c r="AN559" s="314" t="str">
        <f>IFERROR(_xlfn.XLOOKUP($A559,Input_Raw!$E:$E,Input_Raw!$CY:$CY),"")</f>
        <v/>
      </c>
      <c r="AO559" s="312" t="str">
        <f>IFERROR((_xlfn.XLOOKUP($A559,'WTG Reactive Power'!$A:$A,'WTG Reactive Power'!AB:AB))/X559,"")</f>
        <v/>
      </c>
      <c r="AP559" s="312" t="str">
        <f>IFERROR(_xlfn.XLOOKUP($D559,'Modelling New'!$D:$D,'Modelling New'!AK:AK),"")</f>
        <v/>
      </c>
      <c r="AQ559" s="312" t="str">
        <f>IFERROR(_xlfn.XLOOKUP($D559,'Modelling New'!$D:$D,'Modelling New'!AL:AL),"")</f>
        <v/>
      </c>
      <c r="AR559" s="325" t="str">
        <f>IFERROR(_xlfn.XLOOKUP($D559,'Modelling New'!$D:$D,'Modelling New'!$N:$N),"")</f>
        <v/>
      </c>
      <c r="AS559" s="325"/>
    </row>
    <row r="560" spans="1:45">
      <c r="A560" s="32">
        <f t="shared" si="49"/>
        <v>46303</v>
      </c>
      <c r="B560" s="43">
        <f>YEAR(Table13[[#This Row],[Date]])+IF(MONTH(Table13[[#This Row],[Date]])&gt;=4,1,0)</f>
        <v>2027</v>
      </c>
      <c r="C560" s="10">
        <f>YEAR(Table13[[#This Row],[Date]])</f>
        <v>2026</v>
      </c>
      <c r="D560" s="309">
        <f>Table13[[#This Row],[Date]]-DAY(Table13[[#This Row],[Date]])+1</f>
        <v>46296</v>
      </c>
      <c r="E560" s="10">
        <f t="shared" si="45"/>
        <v>31</v>
      </c>
      <c r="F560" s="241" t="str">
        <f>IFERROR(_xlfn.XLOOKUP($A560,Input_Raw!$E:$E,Input_Raw!DC:DC),"")</f>
        <v/>
      </c>
      <c r="G560" s="313"/>
      <c r="H560" s="313"/>
      <c r="I560" s="313"/>
      <c r="J560" s="313"/>
      <c r="K560" s="243"/>
      <c r="L560" s="242"/>
      <c r="M560" s="242" t="str">
        <f>IFERROR(_xlfn.XLOOKUP($A560,Input_Raw!$E:$E,Input_Raw!$BM:$BM),"")</f>
        <v/>
      </c>
      <c r="N560" s="242" t="str">
        <f>IFERROR(_xlfn.XLOOKUP($A560,Input_Raw!$E:$E,Input_Raw!$BN:$BN),"")</f>
        <v/>
      </c>
      <c r="O560" s="311" t="str">
        <f t="shared" si="46"/>
        <v/>
      </c>
      <c r="P560" s="311" t="str">
        <f>IFERROR(1-SUMIF(WTG_BD!$F:$F,$A560,WTG_BD!$AA:$AA)/($AA560+SUMIF(WTG_BD!$F:$F,$A560,WTG_BD!$AA:$AA)),"")</f>
        <v/>
      </c>
      <c r="Q560" s="328" t="str">
        <f>IFERROR(1-SUMIF(IGA_BD!$F:$F,$A560,IGA_BD!$W:$W)/($AA560+SUMIF(IGA_BD!$F:$F,$A560,IGA_BD!$W:$W)),"")</f>
        <v/>
      </c>
      <c r="R560" s="47" t="str">
        <f>IFERROR(1-SUMIF(Grid_BD!$F:$F,$A560,Grid_BD!$Y:$Y)/($AA560+SUMIF(Grid_BD!$F:$F,$A560,Grid_BD!$Y:$Y)),"")</f>
        <v/>
      </c>
      <c r="S560" s="10"/>
      <c r="T560" s="310"/>
      <c r="U560" s="311"/>
      <c r="V560" s="10"/>
      <c r="W560" s="312" t="str">
        <f t="shared" si="47"/>
        <v/>
      </c>
      <c r="X560" s="10" t="str">
        <f>IFERROR(_xlfn.XLOOKUP($A560,Input_Raw!$E:$E,Input_Raw!BG:BG),"")</f>
        <v/>
      </c>
      <c r="Y560" s="10" t="str">
        <f>IFERROR(_xlfn.XLOOKUP($A560,Input_Raw!$E:$E,Input_Raw!DF:DF),"")</f>
        <v/>
      </c>
      <c r="Z560" s="319" t="str">
        <f>IFERROR(_xlfn.XLOOKUP(A560,Input_Raw!E:E,Input_Raw!CT:CT)/_xlfn.XLOOKUP(A560,Input_Raw!E:E,Input_Raw!CS:CS)*Table13[[#This Row],[Mtr_Export (kWh)]],"")</f>
        <v/>
      </c>
      <c r="AA560" s="43" t="str">
        <f t="shared" si="48"/>
        <v/>
      </c>
      <c r="AB560" s="10" t="str">
        <f>IFERROR(_xlfn.XLOOKUP($A560,Input_Raw!$E:$E,Input_Raw!$CZ:$CZ),"")</f>
        <v/>
      </c>
      <c r="AC560" s="313" t="str">
        <f>IFERROR(_xlfn.XLOOKUP($D560,'Modelling New'!$D:$D,'Modelling New'!$J:$J),"")</f>
        <v/>
      </c>
      <c r="AD560" s="43" t="str">
        <f>IFERROR(_xlfn.XLOOKUP($D560,'Modelling New'!$D:$D,'Modelling New'!$T:$T)*1000,"")</f>
        <v/>
      </c>
      <c r="AE560" s="312"/>
      <c r="AF560" s="312" t="str">
        <f>IFERROR(_xlfn.XLOOKUP($D560,'Modelling New'!$D:$D,'Modelling New'!$W:$W),"")</f>
        <v/>
      </c>
      <c r="AG560" s="312" t="str">
        <f>IFERROR(_xlfn.XLOOKUP($D560,'Modelling New'!$D:$D,'Modelling New'!$AE:$AE),"")</f>
        <v/>
      </c>
      <c r="AH560" s="312" t="str">
        <f>IFERROR(_xlfn.XLOOKUP($D560,'Modelling New'!$D:$D,'Modelling New'!$AF:$AF),"")</f>
        <v/>
      </c>
      <c r="AI560" s="10" t="str">
        <f>IFERROR(_xlfn.XLOOKUP($A560,Input_Raw!$E:$E,Input_Raw!$DG:$DG),"")</f>
        <v/>
      </c>
      <c r="AJ560" s="10"/>
      <c r="AK560" s="10"/>
      <c r="AL560" s="10"/>
      <c r="AM560" s="10"/>
      <c r="AN560" s="314" t="str">
        <f>IFERROR(_xlfn.XLOOKUP($A560,Input_Raw!$E:$E,Input_Raw!$CY:$CY),"")</f>
        <v/>
      </c>
      <c r="AO560" s="312" t="str">
        <f>IFERROR((_xlfn.XLOOKUP($A560,'WTG Reactive Power'!$A:$A,'WTG Reactive Power'!AB:AB))/X560,"")</f>
        <v/>
      </c>
      <c r="AP560" s="312" t="str">
        <f>IFERROR(_xlfn.XLOOKUP($D560,'Modelling New'!$D:$D,'Modelling New'!AK:AK),"")</f>
        <v/>
      </c>
      <c r="AQ560" s="312" t="str">
        <f>IFERROR(_xlfn.XLOOKUP($D560,'Modelling New'!$D:$D,'Modelling New'!AL:AL),"")</f>
        <v/>
      </c>
      <c r="AR560" s="325" t="str">
        <f>IFERROR(_xlfn.XLOOKUP($D560,'Modelling New'!$D:$D,'Modelling New'!$N:$N),"")</f>
        <v/>
      </c>
      <c r="AS560" s="325"/>
    </row>
    <row r="561" spans="1:45">
      <c r="A561" s="32">
        <f t="shared" si="49"/>
        <v>46304</v>
      </c>
      <c r="B561" s="43">
        <f>YEAR(Table13[[#This Row],[Date]])+IF(MONTH(Table13[[#This Row],[Date]])&gt;=4,1,0)</f>
        <v>2027</v>
      </c>
      <c r="C561" s="10">
        <f>YEAR(Table13[[#This Row],[Date]])</f>
        <v>2026</v>
      </c>
      <c r="D561" s="309">
        <f>Table13[[#This Row],[Date]]-DAY(Table13[[#This Row],[Date]])+1</f>
        <v>46296</v>
      </c>
      <c r="E561" s="10">
        <f t="shared" si="45"/>
        <v>31</v>
      </c>
      <c r="F561" s="241" t="str">
        <f>IFERROR(_xlfn.XLOOKUP($A561,Input_Raw!$E:$E,Input_Raw!DC:DC),"")</f>
        <v/>
      </c>
      <c r="G561" s="242"/>
      <c r="H561" s="242"/>
      <c r="I561" s="242"/>
      <c r="J561" s="242"/>
      <c r="K561" s="243"/>
      <c r="L561" s="242"/>
      <c r="M561" s="242" t="str">
        <f>IFERROR(_xlfn.XLOOKUP($A561,Input_Raw!$E:$E,Input_Raw!$BM:$BM),"")</f>
        <v/>
      </c>
      <c r="N561" s="242" t="str">
        <f>IFERROR(_xlfn.XLOOKUP($A561,Input_Raw!$E:$E,Input_Raw!$BN:$BN),"")</f>
        <v/>
      </c>
      <c r="O561" s="311" t="str">
        <f t="shared" si="46"/>
        <v/>
      </c>
      <c r="P561" s="311" t="str">
        <f>IFERROR(1-SUMIF(WTG_BD!$F:$F,$A561,WTG_BD!$AA:$AA)/($AA561+SUMIF(WTG_BD!$F:$F,$A561,WTG_BD!$AA:$AA)),"")</f>
        <v/>
      </c>
      <c r="Q561" s="328" t="str">
        <f>IFERROR(1-SUMIF(IGA_BD!$F:$F,$A561,IGA_BD!$W:$W)/($AA561+SUMIF(IGA_BD!$F:$F,$A561,IGA_BD!$W:$W)),"")</f>
        <v/>
      </c>
      <c r="R561" s="311" t="str">
        <f>IFERROR(1-SUMIF(Grid_BD!$F:$F,$A561,Grid_BD!$Y:$Y)/($AA561+SUMIF(Grid_BD!$F:$F,$A561,Grid_BD!$Y:$Y)),"")</f>
        <v/>
      </c>
      <c r="S561" s="10"/>
      <c r="T561" s="310"/>
      <c r="U561" s="311"/>
      <c r="V561" s="10"/>
      <c r="W561" s="312" t="str">
        <f t="shared" si="47"/>
        <v/>
      </c>
      <c r="X561" s="10" t="str">
        <f>IFERROR(_xlfn.XLOOKUP($A561,Input_Raw!$E:$E,Input_Raw!BG:BG),"")</f>
        <v/>
      </c>
      <c r="Y561" s="10" t="str">
        <f>IFERROR(_xlfn.XLOOKUP($A561,Input_Raw!$E:$E,Input_Raw!DF:DF),"")</f>
        <v/>
      </c>
      <c r="Z561" s="319" t="str">
        <f>IFERROR(_xlfn.XLOOKUP(A561,Input_Raw!E:E,Input_Raw!CT:CT)/_xlfn.XLOOKUP(A561,Input_Raw!E:E,Input_Raw!CS:CS)*Table13[[#This Row],[Mtr_Export (kWh)]],"")</f>
        <v/>
      </c>
      <c r="AA561" s="43" t="str">
        <f t="shared" si="48"/>
        <v/>
      </c>
      <c r="AB561" s="10" t="str">
        <f>IFERROR(_xlfn.XLOOKUP($A561,Input_Raw!$E:$E,Input_Raw!$CZ:$CZ),"")</f>
        <v/>
      </c>
      <c r="AC561" s="313" t="str">
        <f>IFERROR(_xlfn.XLOOKUP($D561,'Modelling New'!$D:$D,'Modelling New'!$J:$J),"")</f>
        <v/>
      </c>
      <c r="AD561" s="43" t="str">
        <f>IFERROR(_xlfn.XLOOKUP($D561,'Modelling New'!$D:$D,'Modelling New'!$T:$T)*1000,"")</f>
        <v/>
      </c>
      <c r="AE561" s="312"/>
      <c r="AF561" s="312" t="str">
        <f>IFERROR(_xlfn.XLOOKUP($D561,'Modelling New'!$D:$D,'Modelling New'!$W:$W),"")</f>
        <v/>
      </c>
      <c r="AG561" s="312" t="str">
        <f>IFERROR(_xlfn.XLOOKUP($D561,'Modelling New'!$D:$D,'Modelling New'!$AE:$AE),"")</f>
        <v/>
      </c>
      <c r="AH561" s="312" t="str">
        <f>IFERROR(_xlfn.XLOOKUP($D561,'Modelling New'!$D:$D,'Modelling New'!$AF:$AF),"")</f>
        <v/>
      </c>
      <c r="AI561" s="10" t="str">
        <f>IFERROR(_xlfn.XLOOKUP($A561,Input_Raw!$E:$E,Input_Raw!$DG:$DG),"")</f>
        <v/>
      </c>
      <c r="AJ561" s="10"/>
      <c r="AK561" s="10"/>
      <c r="AL561" s="10"/>
      <c r="AM561" s="10"/>
      <c r="AN561" s="314" t="str">
        <f>IFERROR(_xlfn.XLOOKUP($A561,Input_Raw!$E:$E,Input_Raw!$CY:$CY),"")</f>
        <v/>
      </c>
      <c r="AO561" s="312" t="str">
        <f>IFERROR((_xlfn.XLOOKUP($A561,'WTG Reactive Power'!$A:$A,'WTG Reactive Power'!AB:AB))/X561,"")</f>
        <v/>
      </c>
      <c r="AP561" s="312" t="str">
        <f>IFERROR(_xlfn.XLOOKUP($D561,'Modelling New'!$D:$D,'Modelling New'!AK:AK),"")</f>
        <v/>
      </c>
      <c r="AQ561" s="312" t="str">
        <f>IFERROR(_xlfn.XLOOKUP($D561,'Modelling New'!$D:$D,'Modelling New'!AL:AL),"")</f>
        <v/>
      </c>
      <c r="AR561" s="325" t="str">
        <f>IFERROR(_xlfn.XLOOKUP($D561,'Modelling New'!$D:$D,'Modelling New'!$N:$N),"")</f>
        <v/>
      </c>
      <c r="AS561" s="325"/>
    </row>
    <row r="562" spans="1:45">
      <c r="A562" s="32">
        <f t="shared" si="49"/>
        <v>46305</v>
      </c>
      <c r="B562" s="43">
        <f>YEAR(Table13[[#This Row],[Date]])+IF(MONTH(Table13[[#This Row],[Date]])&gt;=4,1,0)</f>
        <v>2027</v>
      </c>
      <c r="C562" s="10">
        <f>YEAR(Table13[[#This Row],[Date]])</f>
        <v>2026</v>
      </c>
      <c r="D562" s="309">
        <f>Table13[[#This Row],[Date]]-DAY(Table13[[#This Row],[Date]])+1</f>
        <v>46296</v>
      </c>
      <c r="E562" s="10">
        <f t="shared" si="45"/>
        <v>31</v>
      </c>
      <c r="F562" s="241" t="str">
        <f>IFERROR(_xlfn.XLOOKUP($A562,Input_Raw!$E:$E,Input_Raw!DC:DC),"")</f>
        <v/>
      </c>
      <c r="G562" s="313"/>
      <c r="H562" s="313"/>
      <c r="I562" s="313"/>
      <c r="J562" s="313"/>
      <c r="K562" s="243"/>
      <c r="L562" s="242"/>
      <c r="M562" s="242" t="str">
        <f>IFERROR(_xlfn.XLOOKUP($A562,Input_Raw!$E:$E,Input_Raw!$BM:$BM),"")</f>
        <v/>
      </c>
      <c r="N562" s="242" t="str">
        <f>IFERROR(_xlfn.XLOOKUP($A562,Input_Raw!$E:$E,Input_Raw!$BN:$BN),"")</f>
        <v/>
      </c>
      <c r="O562" s="311" t="str">
        <f t="shared" si="46"/>
        <v/>
      </c>
      <c r="P562" s="311" t="str">
        <f>IFERROR(1-SUMIF(WTG_BD!$F:$F,$A562,WTG_BD!$AA:$AA)/($AA562+SUMIF(WTG_BD!$F:$F,$A562,WTG_BD!$AA:$AA)),"")</f>
        <v/>
      </c>
      <c r="Q562" s="328" t="str">
        <f>IFERROR(1-SUMIF(IGA_BD!$F:$F,$A562,IGA_BD!$W:$W)/($AA562+SUMIF(IGA_BD!$F:$F,$A562,IGA_BD!$W:$W)),"")</f>
        <v/>
      </c>
      <c r="R562" s="47" t="str">
        <f>IFERROR(1-SUMIF(Grid_BD!$F:$F,$A562,Grid_BD!$Y:$Y)/($AA562+SUMIF(Grid_BD!$F:$F,$A562,Grid_BD!$Y:$Y)),"")</f>
        <v/>
      </c>
      <c r="S562" s="10"/>
      <c r="T562" s="310"/>
      <c r="U562" s="311"/>
      <c r="V562" s="10"/>
      <c r="W562" s="312" t="str">
        <f t="shared" si="47"/>
        <v/>
      </c>
      <c r="X562" s="10" t="str">
        <f>IFERROR(_xlfn.XLOOKUP($A562,Input_Raw!$E:$E,Input_Raw!BG:BG),"")</f>
        <v/>
      </c>
      <c r="Y562" s="10" t="str">
        <f>IFERROR(_xlfn.XLOOKUP($A562,Input_Raw!$E:$E,Input_Raw!DF:DF),"")</f>
        <v/>
      </c>
      <c r="Z562" s="319" t="str">
        <f>IFERROR(_xlfn.XLOOKUP(A562,Input_Raw!E:E,Input_Raw!CT:CT)/_xlfn.XLOOKUP(A562,Input_Raw!E:E,Input_Raw!CS:CS)*Table13[[#This Row],[Mtr_Export (kWh)]],"")</f>
        <v/>
      </c>
      <c r="AA562" s="43" t="str">
        <f t="shared" si="48"/>
        <v/>
      </c>
      <c r="AB562" s="10" t="str">
        <f>IFERROR(_xlfn.XLOOKUP($A562,Input_Raw!$E:$E,Input_Raw!$CZ:$CZ),"")</f>
        <v/>
      </c>
      <c r="AC562" s="313" t="str">
        <f>IFERROR(_xlfn.XLOOKUP($D562,'Modelling New'!$D:$D,'Modelling New'!$J:$J),"")</f>
        <v/>
      </c>
      <c r="AD562" s="43" t="str">
        <f>IFERROR(_xlfn.XLOOKUP($D562,'Modelling New'!$D:$D,'Modelling New'!$T:$T)*1000,"")</f>
        <v/>
      </c>
      <c r="AE562" s="312"/>
      <c r="AF562" s="312" t="str">
        <f>IFERROR(_xlfn.XLOOKUP($D562,'Modelling New'!$D:$D,'Modelling New'!$W:$W),"")</f>
        <v/>
      </c>
      <c r="AG562" s="312" t="str">
        <f>IFERROR(_xlfn.XLOOKUP($D562,'Modelling New'!$D:$D,'Modelling New'!$AE:$AE),"")</f>
        <v/>
      </c>
      <c r="AH562" s="312" t="str">
        <f>IFERROR(_xlfn.XLOOKUP($D562,'Modelling New'!$D:$D,'Modelling New'!$AF:$AF),"")</f>
        <v/>
      </c>
      <c r="AI562" s="10" t="str">
        <f>IFERROR(_xlfn.XLOOKUP($A562,Input_Raw!$E:$E,Input_Raw!$DG:$DG),"")</f>
        <v/>
      </c>
      <c r="AJ562" s="10"/>
      <c r="AK562" s="10"/>
      <c r="AL562" s="10"/>
      <c r="AM562" s="10"/>
      <c r="AN562" s="314" t="str">
        <f>IFERROR(_xlfn.XLOOKUP($A562,Input_Raw!$E:$E,Input_Raw!$CY:$CY),"")</f>
        <v/>
      </c>
      <c r="AO562" s="312" t="str">
        <f>IFERROR((_xlfn.XLOOKUP($A562,'WTG Reactive Power'!$A:$A,'WTG Reactive Power'!AB:AB))/X562,"")</f>
        <v/>
      </c>
      <c r="AP562" s="312" t="str">
        <f>IFERROR(_xlfn.XLOOKUP($D562,'Modelling New'!$D:$D,'Modelling New'!AK:AK),"")</f>
        <v/>
      </c>
      <c r="AQ562" s="312" t="str">
        <f>IFERROR(_xlfn.XLOOKUP($D562,'Modelling New'!$D:$D,'Modelling New'!AL:AL),"")</f>
        <v/>
      </c>
      <c r="AR562" s="325" t="str">
        <f>IFERROR(_xlfn.XLOOKUP($D562,'Modelling New'!$D:$D,'Modelling New'!$N:$N),"")</f>
        <v/>
      </c>
      <c r="AS562" s="325"/>
    </row>
    <row r="563" spans="1:45">
      <c r="A563" s="32">
        <f t="shared" si="49"/>
        <v>46306</v>
      </c>
      <c r="B563" s="43">
        <f>YEAR(Table13[[#This Row],[Date]])+IF(MONTH(Table13[[#This Row],[Date]])&gt;=4,1,0)</f>
        <v>2027</v>
      </c>
      <c r="C563" s="10">
        <f>YEAR(Table13[[#This Row],[Date]])</f>
        <v>2026</v>
      </c>
      <c r="D563" s="309">
        <f>Table13[[#This Row],[Date]]-DAY(Table13[[#This Row],[Date]])+1</f>
        <v>46296</v>
      </c>
      <c r="E563" s="10">
        <f t="shared" si="45"/>
        <v>31</v>
      </c>
      <c r="F563" s="241" t="str">
        <f>IFERROR(_xlfn.XLOOKUP($A563,Input_Raw!$E:$E,Input_Raw!DC:DC),"")</f>
        <v/>
      </c>
      <c r="G563" s="242"/>
      <c r="H563" s="242"/>
      <c r="I563" s="242"/>
      <c r="J563" s="242"/>
      <c r="K563" s="243"/>
      <c r="L563" s="242"/>
      <c r="M563" s="242" t="str">
        <f>IFERROR(_xlfn.XLOOKUP($A563,Input_Raw!$E:$E,Input_Raw!$BM:$BM),"")</f>
        <v/>
      </c>
      <c r="N563" s="242" t="str">
        <f>IFERROR(_xlfn.XLOOKUP($A563,Input_Raw!$E:$E,Input_Raw!$BN:$BN),"")</f>
        <v/>
      </c>
      <c r="O563" s="311" t="str">
        <f t="shared" si="46"/>
        <v/>
      </c>
      <c r="P563" s="311" t="str">
        <f>IFERROR(1-SUMIF(WTG_BD!$F:$F,$A563,WTG_BD!$AA:$AA)/($AA563+SUMIF(WTG_BD!$F:$F,$A563,WTG_BD!$AA:$AA)),"")</f>
        <v/>
      </c>
      <c r="Q563" s="328" t="str">
        <f>IFERROR(1-SUMIF(IGA_BD!$F:$F,$A563,IGA_BD!$W:$W)/($AA563+SUMIF(IGA_BD!$F:$F,$A563,IGA_BD!$W:$W)),"")</f>
        <v/>
      </c>
      <c r="R563" s="311" t="str">
        <f>IFERROR(1-SUMIF(Grid_BD!$F:$F,$A563,Grid_BD!$Y:$Y)/($AA563+SUMIF(Grid_BD!$F:$F,$A563,Grid_BD!$Y:$Y)),"")</f>
        <v/>
      </c>
      <c r="S563" s="10"/>
      <c r="T563" s="310"/>
      <c r="U563" s="311"/>
      <c r="V563" s="10"/>
      <c r="W563" s="312" t="str">
        <f t="shared" si="47"/>
        <v/>
      </c>
      <c r="X563" s="10" t="str">
        <f>IFERROR(_xlfn.XLOOKUP($A563,Input_Raw!$E:$E,Input_Raw!BG:BG),"")</f>
        <v/>
      </c>
      <c r="Y563" s="10" t="str">
        <f>IFERROR(_xlfn.XLOOKUP($A563,Input_Raw!$E:$E,Input_Raw!DF:DF),"")</f>
        <v/>
      </c>
      <c r="Z563" s="319" t="str">
        <f>IFERROR(_xlfn.XLOOKUP(A563,Input_Raw!E:E,Input_Raw!CT:CT)/_xlfn.XLOOKUP(A563,Input_Raw!E:E,Input_Raw!CS:CS)*Table13[[#This Row],[Mtr_Export (kWh)]],"")</f>
        <v/>
      </c>
      <c r="AA563" s="43" t="str">
        <f t="shared" si="48"/>
        <v/>
      </c>
      <c r="AB563" s="10" t="str">
        <f>IFERROR(_xlfn.XLOOKUP($A563,Input_Raw!$E:$E,Input_Raw!$CZ:$CZ),"")</f>
        <v/>
      </c>
      <c r="AC563" s="313" t="str">
        <f>IFERROR(_xlfn.XLOOKUP($D563,'Modelling New'!$D:$D,'Modelling New'!$J:$J),"")</f>
        <v/>
      </c>
      <c r="AD563" s="43" t="str">
        <f>IFERROR(_xlfn.XLOOKUP($D563,'Modelling New'!$D:$D,'Modelling New'!$T:$T)*1000,"")</f>
        <v/>
      </c>
      <c r="AE563" s="312"/>
      <c r="AF563" s="312" t="str">
        <f>IFERROR(_xlfn.XLOOKUP($D563,'Modelling New'!$D:$D,'Modelling New'!$W:$W),"")</f>
        <v/>
      </c>
      <c r="AG563" s="312" t="str">
        <f>IFERROR(_xlfn.XLOOKUP($D563,'Modelling New'!$D:$D,'Modelling New'!$AE:$AE),"")</f>
        <v/>
      </c>
      <c r="AH563" s="312" t="str">
        <f>IFERROR(_xlfn.XLOOKUP($D563,'Modelling New'!$D:$D,'Modelling New'!$AF:$AF),"")</f>
        <v/>
      </c>
      <c r="AI563" s="10" t="str">
        <f>IFERROR(_xlfn.XLOOKUP($A563,Input_Raw!$E:$E,Input_Raw!$DG:$DG),"")</f>
        <v/>
      </c>
      <c r="AJ563" s="10"/>
      <c r="AK563" s="10"/>
      <c r="AL563" s="10"/>
      <c r="AM563" s="10"/>
      <c r="AN563" s="314" t="str">
        <f>IFERROR(_xlfn.XLOOKUP($A563,Input_Raw!$E:$E,Input_Raw!$CY:$CY),"")</f>
        <v/>
      </c>
      <c r="AO563" s="312" t="str">
        <f>IFERROR((_xlfn.XLOOKUP($A563,'WTG Reactive Power'!$A:$A,'WTG Reactive Power'!AB:AB))/X563,"")</f>
        <v/>
      </c>
      <c r="AP563" s="312" t="str">
        <f>IFERROR(_xlfn.XLOOKUP($D563,'Modelling New'!$D:$D,'Modelling New'!AK:AK),"")</f>
        <v/>
      </c>
      <c r="AQ563" s="312" t="str">
        <f>IFERROR(_xlfn.XLOOKUP($D563,'Modelling New'!$D:$D,'Modelling New'!AL:AL),"")</f>
        <v/>
      </c>
      <c r="AR563" s="325" t="str">
        <f>IFERROR(_xlfn.XLOOKUP($D563,'Modelling New'!$D:$D,'Modelling New'!$N:$N),"")</f>
        <v/>
      </c>
      <c r="AS563" s="325"/>
    </row>
    <row r="564" spans="1:45">
      <c r="A564" s="32">
        <f t="shared" si="49"/>
        <v>46307</v>
      </c>
      <c r="B564" s="43">
        <f>YEAR(Table13[[#This Row],[Date]])+IF(MONTH(Table13[[#This Row],[Date]])&gt;=4,1,0)</f>
        <v>2027</v>
      </c>
      <c r="C564" s="10">
        <f>YEAR(Table13[[#This Row],[Date]])</f>
        <v>2026</v>
      </c>
      <c r="D564" s="309">
        <f>Table13[[#This Row],[Date]]-DAY(Table13[[#This Row],[Date]])+1</f>
        <v>46296</v>
      </c>
      <c r="E564" s="10">
        <f t="shared" si="45"/>
        <v>31</v>
      </c>
      <c r="F564" s="241" t="str">
        <f>IFERROR(_xlfn.XLOOKUP($A564,Input_Raw!$E:$E,Input_Raw!DC:DC),"")</f>
        <v/>
      </c>
      <c r="G564" s="313"/>
      <c r="H564" s="313"/>
      <c r="I564" s="313"/>
      <c r="J564" s="313"/>
      <c r="K564" s="243"/>
      <c r="L564" s="242"/>
      <c r="M564" s="242" t="str">
        <f>IFERROR(_xlfn.XLOOKUP($A564,Input_Raw!$E:$E,Input_Raw!$BM:$BM),"")</f>
        <v/>
      </c>
      <c r="N564" s="242" t="str">
        <f>IFERROR(_xlfn.XLOOKUP($A564,Input_Raw!$E:$E,Input_Raw!$BN:$BN),"")</f>
        <v/>
      </c>
      <c r="O564" s="311" t="str">
        <f t="shared" si="46"/>
        <v/>
      </c>
      <c r="P564" s="311" t="str">
        <f>IFERROR(1-SUMIF(WTG_BD!$F:$F,$A564,WTG_BD!$AA:$AA)/($AA564+SUMIF(WTG_BD!$F:$F,$A564,WTG_BD!$AA:$AA)),"")</f>
        <v/>
      </c>
      <c r="Q564" s="328" t="str">
        <f>IFERROR(1-SUMIF(IGA_BD!$F:$F,$A564,IGA_BD!$W:$W)/($AA564+SUMIF(IGA_BD!$F:$F,$A564,IGA_BD!$W:$W)),"")</f>
        <v/>
      </c>
      <c r="R564" s="47" t="str">
        <f>IFERROR(1-SUMIF(Grid_BD!$F:$F,$A564,Grid_BD!$Y:$Y)/($AA564+SUMIF(Grid_BD!$F:$F,$A564,Grid_BD!$Y:$Y)),"")</f>
        <v/>
      </c>
      <c r="S564" s="10"/>
      <c r="T564" s="310"/>
      <c r="U564" s="311"/>
      <c r="V564" s="10"/>
      <c r="W564" s="312" t="str">
        <f t="shared" si="47"/>
        <v/>
      </c>
      <c r="X564" s="10" t="str">
        <f>IFERROR(_xlfn.XLOOKUP($A564,Input_Raw!$E:$E,Input_Raw!BG:BG),"")</f>
        <v/>
      </c>
      <c r="Y564" s="10" t="str">
        <f>IFERROR(_xlfn.XLOOKUP($A564,Input_Raw!$E:$E,Input_Raw!DF:DF),"")</f>
        <v/>
      </c>
      <c r="Z564" s="319" t="str">
        <f>IFERROR(_xlfn.XLOOKUP(A564,Input_Raw!E:E,Input_Raw!CT:CT)/_xlfn.XLOOKUP(A564,Input_Raw!E:E,Input_Raw!CS:CS)*Table13[[#This Row],[Mtr_Export (kWh)]],"")</f>
        <v/>
      </c>
      <c r="AA564" s="43" t="str">
        <f t="shared" si="48"/>
        <v/>
      </c>
      <c r="AB564" s="10" t="str">
        <f>IFERROR(_xlfn.XLOOKUP($A564,Input_Raw!$E:$E,Input_Raw!$CZ:$CZ),"")</f>
        <v/>
      </c>
      <c r="AC564" s="313" t="str">
        <f>IFERROR(_xlfn.XLOOKUP($D564,'Modelling New'!$D:$D,'Modelling New'!$J:$J),"")</f>
        <v/>
      </c>
      <c r="AD564" s="43" t="str">
        <f>IFERROR(_xlfn.XLOOKUP($D564,'Modelling New'!$D:$D,'Modelling New'!$T:$T)*1000,"")</f>
        <v/>
      </c>
      <c r="AE564" s="312"/>
      <c r="AF564" s="312" t="str">
        <f>IFERROR(_xlfn.XLOOKUP($D564,'Modelling New'!$D:$D,'Modelling New'!$W:$W),"")</f>
        <v/>
      </c>
      <c r="AG564" s="312" t="str">
        <f>IFERROR(_xlfn.XLOOKUP($D564,'Modelling New'!$D:$D,'Modelling New'!$AE:$AE),"")</f>
        <v/>
      </c>
      <c r="AH564" s="312" t="str">
        <f>IFERROR(_xlfn.XLOOKUP($D564,'Modelling New'!$D:$D,'Modelling New'!$AF:$AF),"")</f>
        <v/>
      </c>
      <c r="AI564" s="10" t="str">
        <f>IFERROR(_xlfn.XLOOKUP($A564,Input_Raw!$E:$E,Input_Raw!$DG:$DG),"")</f>
        <v/>
      </c>
      <c r="AJ564" s="10"/>
      <c r="AK564" s="10"/>
      <c r="AL564" s="10"/>
      <c r="AM564" s="10"/>
      <c r="AN564" s="314" t="str">
        <f>IFERROR(_xlfn.XLOOKUP($A564,Input_Raw!$E:$E,Input_Raw!$CY:$CY),"")</f>
        <v/>
      </c>
      <c r="AO564" s="312" t="str">
        <f>IFERROR((_xlfn.XLOOKUP($A564,'WTG Reactive Power'!$A:$A,'WTG Reactive Power'!AB:AB))/X564,"")</f>
        <v/>
      </c>
      <c r="AP564" s="312" t="str">
        <f>IFERROR(_xlfn.XLOOKUP($D564,'Modelling New'!$D:$D,'Modelling New'!AK:AK),"")</f>
        <v/>
      </c>
      <c r="AQ564" s="312" t="str">
        <f>IFERROR(_xlfn.XLOOKUP($D564,'Modelling New'!$D:$D,'Modelling New'!AL:AL),"")</f>
        <v/>
      </c>
      <c r="AR564" s="325" t="str">
        <f>IFERROR(_xlfn.XLOOKUP($D564,'Modelling New'!$D:$D,'Modelling New'!$N:$N),"")</f>
        <v/>
      </c>
      <c r="AS564" s="325"/>
    </row>
    <row r="565" spans="1:45">
      <c r="A565" s="32">
        <f t="shared" si="49"/>
        <v>46308</v>
      </c>
      <c r="B565" s="43">
        <f>YEAR(Table13[[#This Row],[Date]])+IF(MONTH(Table13[[#This Row],[Date]])&gt;=4,1,0)</f>
        <v>2027</v>
      </c>
      <c r="C565" s="10">
        <f>YEAR(Table13[[#This Row],[Date]])</f>
        <v>2026</v>
      </c>
      <c r="D565" s="309">
        <f>Table13[[#This Row],[Date]]-DAY(Table13[[#This Row],[Date]])+1</f>
        <v>46296</v>
      </c>
      <c r="E565" s="10">
        <f t="shared" si="45"/>
        <v>31</v>
      </c>
      <c r="F565" s="241" t="str">
        <f>IFERROR(_xlfn.XLOOKUP($A565,Input_Raw!$E:$E,Input_Raw!DC:DC),"")</f>
        <v/>
      </c>
      <c r="G565" s="242"/>
      <c r="H565" s="242"/>
      <c r="I565" s="242"/>
      <c r="J565" s="242"/>
      <c r="K565" s="243"/>
      <c r="L565" s="242"/>
      <c r="M565" s="242" t="str">
        <f>IFERROR(_xlfn.XLOOKUP($A565,Input_Raw!$E:$E,Input_Raw!$BM:$BM),"")</f>
        <v/>
      </c>
      <c r="N565" s="242" t="str">
        <f>IFERROR(_xlfn.XLOOKUP($A565,Input_Raw!$E:$E,Input_Raw!$BN:$BN),"")</f>
        <v/>
      </c>
      <c r="O565" s="311" t="str">
        <f t="shared" si="46"/>
        <v/>
      </c>
      <c r="P565" s="311" t="str">
        <f>IFERROR(1-SUMIF(WTG_BD!$F:$F,$A565,WTG_BD!$AA:$AA)/($AA565+SUMIF(WTG_BD!$F:$F,$A565,WTG_BD!$AA:$AA)),"")</f>
        <v/>
      </c>
      <c r="Q565" s="328" t="str">
        <f>IFERROR(1-SUMIF(IGA_BD!$F:$F,$A565,IGA_BD!$W:$W)/($AA565+SUMIF(IGA_BD!$F:$F,$A565,IGA_BD!$W:$W)),"")</f>
        <v/>
      </c>
      <c r="R565" s="311" t="str">
        <f>IFERROR(1-SUMIF(Grid_BD!$F:$F,$A565,Grid_BD!$Y:$Y)/($AA565+SUMIF(Grid_BD!$F:$F,$A565,Grid_BD!$Y:$Y)),"")</f>
        <v/>
      </c>
      <c r="S565" s="10"/>
      <c r="T565" s="310"/>
      <c r="U565" s="311"/>
      <c r="V565" s="10"/>
      <c r="W565" s="312" t="str">
        <f t="shared" si="47"/>
        <v/>
      </c>
      <c r="X565" s="10" t="str">
        <f>IFERROR(_xlfn.XLOOKUP($A565,Input_Raw!$E:$E,Input_Raw!BG:BG),"")</f>
        <v/>
      </c>
      <c r="Y565" s="10" t="str">
        <f>IFERROR(_xlfn.XLOOKUP($A565,Input_Raw!$E:$E,Input_Raw!DF:DF),"")</f>
        <v/>
      </c>
      <c r="Z565" s="319" t="str">
        <f>IFERROR(_xlfn.XLOOKUP(A565,Input_Raw!E:E,Input_Raw!CT:CT)/_xlfn.XLOOKUP(A565,Input_Raw!E:E,Input_Raw!CS:CS)*Table13[[#This Row],[Mtr_Export (kWh)]],"")</f>
        <v/>
      </c>
      <c r="AA565" s="43" t="str">
        <f t="shared" si="48"/>
        <v/>
      </c>
      <c r="AB565" s="10" t="str">
        <f>IFERROR(_xlfn.XLOOKUP($A565,Input_Raw!$E:$E,Input_Raw!$CZ:$CZ),"")</f>
        <v/>
      </c>
      <c r="AC565" s="313" t="str">
        <f>IFERROR(_xlfn.XLOOKUP($D565,'Modelling New'!$D:$D,'Modelling New'!$J:$J),"")</f>
        <v/>
      </c>
      <c r="AD565" s="43" t="str">
        <f>IFERROR(_xlfn.XLOOKUP($D565,'Modelling New'!$D:$D,'Modelling New'!$T:$T)*1000,"")</f>
        <v/>
      </c>
      <c r="AE565" s="312"/>
      <c r="AF565" s="312" t="str">
        <f>IFERROR(_xlfn.XLOOKUP($D565,'Modelling New'!$D:$D,'Modelling New'!$W:$W),"")</f>
        <v/>
      </c>
      <c r="AG565" s="312" t="str">
        <f>IFERROR(_xlfn.XLOOKUP($D565,'Modelling New'!$D:$D,'Modelling New'!$AE:$AE),"")</f>
        <v/>
      </c>
      <c r="AH565" s="312" t="str">
        <f>IFERROR(_xlfn.XLOOKUP($D565,'Modelling New'!$D:$D,'Modelling New'!$AF:$AF),"")</f>
        <v/>
      </c>
      <c r="AI565" s="10" t="str">
        <f>IFERROR(_xlfn.XLOOKUP($A565,Input_Raw!$E:$E,Input_Raw!$DG:$DG),"")</f>
        <v/>
      </c>
      <c r="AJ565" s="10"/>
      <c r="AK565" s="10"/>
      <c r="AL565" s="10"/>
      <c r="AM565" s="10"/>
      <c r="AN565" s="314" t="str">
        <f>IFERROR(_xlfn.XLOOKUP($A565,Input_Raw!$E:$E,Input_Raw!$CY:$CY),"")</f>
        <v/>
      </c>
      <c r="AO565" s="312" t="str">
        <f>IFERROR((_xlfn.XLOOKUP($A565,'WTG Reactive Power'!$A:$A,'WTG Reactive Power'!AB:AB))/X565,"")</f>
        <v/>
      </c>
      <c r="AP565" s="312" t="str">
        <f>IFERROR(_xlfn.XLOOKUP($D565,'Modelling New'!$D:$D,'Modelling New'!AK:AK),"")</f>
        <v/>
      </c>
      <c r="AQ565" s="312" t="str">
        <f>IFERROR(_xlfn.XLOOKUP($D565,'Modelling New'!$D:$D,'Modelling New'!AL:AL),"")</f>
        <v/>
      </c>
      <c r="AR565" s="325" t="str">
        <f>IFERROR(_xlfn.XLOOKUP($D565,'Modelling New'!$D:$D,'Modelling New'!$N:$N),"")</f>
        <v/>
      </c>
      <c r="AS565" s="325"/>
    </row>
    <row r="566" spans="1:45">
      <c r="A566" s="32">
        <f t="shared" si="49"/>
        <v>46309</v>
      </c>
      <c r="B566" s="43">
        <f>YEAR(Table13[[#This Row],[Date]])+IF(MONTH(Table13[[#This Row],[Date]])&gt;=4,1,0)</f>
        <v>2027</v>
      </c>
      <c r="C566" s="10">
        <f>YEAR(Table13[[#This Row],[Date]])</f>
        <v>2026</v>
      </c>
      <c r="D566" s="309">
        <f>Table13[[#This Row],[Date]]-DAY(Table13[[#This Row],[Date]])+1</f>
        <v>46296</v>
      </c>
      <c r="E566" s="10">
        <f t="shared" si="45"/>
        <v>31</v>
      </c>
      <c r="F566" s="241" t="str">
        <f>IFERROR(_xlfn.XLOOKUP($A566,Input_Raw!$E:$E,Input_Raw!DC:DC),"")</f>
        <v/>
      </c>
      <c r="G566" s="313"/>
      <c r="H566" s="313"/>
      <c r="I566" s="313"/>
      <c r="J566" s="313"/>
      <c r="K566" s="243"/>
      <c r="L566" s="242"/>
      <c r="M566" s="242" t="str">
        <f>IFERROR(_xlfn.XLOOKUP($A566,Input_Raw!$E:$E,Input_Raw!$BM:$BM),"")</f>
        <v/>
      </c>
      <c r="N566" s="242" t="str">
        <f>IFERROR(_xlfn.XLOOKUP($A566,Input_Raw!$E:$E,Input_Raw!$BN:$BN),"")</f>
        <v/>
      </c>
      <c r="O566" s="311" t="str">
        <f t="shared" si="46"/>
        <v/>
      </c>
      <c r="P566" s="311" t="str">
        <f>IFERROR(1-SUMIF(WTG_BD!$F:$F,$A566,WTG_BD!$AA:$AA)/($AA566+SUMIF(WTG_BD!$F:$F,$A566,WTG_BD!$AA:$AA)),"")</f>
        <v/>
      </c>
      <c r="Q566" s="328" t="str">
        <f>IFERROR(1-SUMIF(IGA_BD!$F:$F,$A566,IGA_BD!$W:$W)/($AA566+SUMIF(IGA_BD!$F:$F,$A566,IGA_BD!$W:$W)),"")</f>
        <v/>
      </c>
      <c r="R566" s="47" t="str">
        <f>IFERROR(1-SUMIF(Grid_BD!$F:$F,$A566,Grid_BD!$Y:$Y)/($AA566+SUMIF(Grid_BD!$F:$F,$A566,Grid_BD!$Y:$Y)),"")</f>
        <v/>
      </c>
      <c r="S566" s="10"/>
      <c r="T566" s="310"/>
      <c r="U566" s="311"/>
      <c r="V566" s="10"/>
      <c r="W566" s="312" t="str">
        <f t="shared" si="47"/>
        <v/>
      </c>
      <c r="X566" s="10" t="str">
        <f>IFERROR(_xlfn.XLOOKUP($A566,Input_Raw!$E:$E,Input_Raw!BG:BG),"")</f>
        <v/>
      </c>
      <c r="Y566" s="10" t="str">
        <f>IFERROR(_xlfn.XLOOKUP($A566,Input_Raw!$E:$E,Input_Raw!DF:DF),"")</f>
        <v/>
      </c>
      <c r="Z566" s="319" t="str">
        <f>IFERROR(_xlfn.XLOOKUP(A566,Input_Raw!E:E,Input_Raw!CT:CT)/_xlfn.XLOOKUP(A566,Input_Raw!E:E,Input_Raw!CS:CS)*Table13[[#This Row],[Mtr_Export (kWh)]],"")</f>
        <v/>
      </c>
      <c r="AA566" s="43" t="str">
        <f t="shared" si="48"/>
        <v/>
      </c>
      <c r="AB566" s="10" t="str">
        <f>IFERROR(_xlfn.XLOOKUP($A566,Input_Raw!$E:$E,Input_Raw!$CZ:$CZ),"")</f>
        <v/>
      </c>
      <c r="AC566" s="313" t="str">
        <f>IFERROR(_xlfn.XLOOKUP($D566,'Modelling New'!$D:$D,'Modelling New'!$J:$J),"")</f>
        <v/>
      </c>
      <c r="AD566" s="43" t="str">
        <f>IFERROR(_xlfn.XLOOKUP($D566,'Modelling New'!$D:$D,'Modelling New'!$T:$T)*1000,"")</f>
        <v/>
      </c>
      <c r="AE566" s="312"/>
      <c r="AF566" s="312" t="str">
        <f>IFERROR(_xlfn.XLOOKUP($D566,'Modelling New'!$D:$D,'Modelling New'!$W:$W),"")</f>
        <v/>
      </c>
      <c r="AG566" s="312" t="str">
        <f>IFERROR(_xlfn.XLOOKUP($D566,'Modelling New'!$D:$D,'Modelling New'!$AE:$AE),"")</f>
        <v/>
      </c>
      <c r="AH566" s="312" t="str">
        <f>IFERROR(_xlfn.XLOOKUP($D566,'Modelling New'!$D:$D,'Modelling New'!$AF:$AF),"")</f>
        <v/>
      </c>
      <c r="AI566" s="10" t="str">
        <f>IFERROR(_xlfn.XLOOKUP($A566,Input_Raw!$E:$E,Input_Raw!$DG:$DG),"")</f>
        <v/>
      </c>
      <c r="AJ566" s="10"/>
      <c r="AK566" s="10"/>
      <c r="AL566" s="10"/>
      <c r="AM566" s="10"/>
      <c r="AN566" s="314" t="str">
        <f>IFERROR(_xlfn.XLOOKUP($A566,Input_Raw!$E:$E,Input_Raw!$CY:$CY),"")</f>
        <v/>
      </c>
      <c r="AO566" s="312" t="str">
        <f>IFERROR((_xlfn.XLOOKUP($A566,'WTG Reactive Power'!$A:$A,'WTG Reactive Power'!AB:AB))/X566,"")</f>
        <v/>
      </c>
      <c r="AP566" s="312" t="str">
        <f>IFERROR(_xlfn.XLOOKUP($D566,'Modelling New'!$D:$D,'Modelling New'!AK:AK),"")</f>
        <v/>
      </c>
      <c r="AQ566" s="312" t="str">
        <f>IFERROR(_xlfn.XLOOKUP($D566,'Modelling New'!$D:$D,'Modelling New'!AL:AL),"")</f>
        <v/>
      </c>
      <c r="AR566" s="325" t="str">
        <f>IFERROR(_xlfn.XLOOKUP($D566,'Modelling New'!$D:$D,'Modelling New'!$N:$N),"")</f>
        <v/>
      </c>
      <c r="AS566" s="325"/>
    </row>
    <row r="567" spans="1:45">
      <c r="A567" s="32">
        <f t="shared" si="49"/>
        <v>46310</v>
      </c>
      <c r="B567" s="43">
        <f>YEAR(Table13[[#This Row],[Date]])+IF(MONTH(Table13[[#This Row],[Date]])&gt;=4,1,0)</f>
        <v>2027</v>
      </c>
      <c r="C567" s="10">
        <f>YEAR(Table13[[#This Row],[Date]])</f>
        <v>2026</v>
      </c>
      <c r="D567" s="309">
        <f>Table13[[#This Row],[Date]]-DAY(Table13[[#This Row],[Date]])+1</f>
        <v>46296</v>
      </c>
      <c r="E567" s="10">
        <f t="shared" si="45"/>
        <v>31</v>
      </c>
      <c r="F567" s="241" t="str">
        <f>IFERROR(_xlfn.XLOOKUP($A567,Input_Raw!$E:$E,Input_Raw!DC:DC),"")</f>
        <v/>
      </c>
      <c r="G567" s="242"/>
      <c r="H567" s="242"/>
      <c r="I567" s="242"/>
      <c r="J567" s="242"/>
      <c r="K567" s="243"/>
      <c r="L567" s="242"/>
      <c r="M567" s="242" t="str">
        <f>IFERROR(_xlfn.XLOOKUP($A567,Input_Raw!$E:$E,Input_Raw!$BM:$BM),"")</f>
        <v/>
      </c>
      <c r="N567" s="242" t="str">
        <f>IFERROR(_xlfn.XLOOKUP($A567,Input_Raw!$E:$E,Input_Raw!$BN:$BN),"")</f>
        <v/>
      </c>
      <c r="O567" s="311" t="str">
        <f t="shared" si="46"/>
        <v/>
      </c>
      <c r="P567" s="311" t="str">
        <f>IFERROR(1-SUMIF(WTG_BD!$F:$F,$A567,WTG_BD!$AA:$AA)/($AA567+SUMIF(WTG_BD!$F:$F,$A567,WTG_BD!$AA:$AA)),"")</f>
        <v/>
      </c>
      <c r="Q567" s="328" t="str">
        <f>IFERROR(1-SUMIF(IGA_BD!$F:$F,$A567,IGA_BD!$W:$W)/($AA567+SUMIF(IGA_BD!$F:$F,$A567,IGA_BD!$W:$W)),"")</f>
        <v/>
      </c>
      <c r="R567" s="311" t="str">
        <f>IFERROR(1-SUMIF(Grid_BD!$F:$F,$A567,Grid_BD!$Y:$Y)/($AA567+SUMIF(Grid_BD!$F:$F,$A567,Grid_BD!$Y:$Y)),"")</f>
        <v/>
      </c>
      <c r="S567" s="10"/>
      <c r="T567" s="310"/>
      <c r="U567" s="311"/>
      <c r="V567" s="10"/>
      <c r="W567" s="312" t="str">
        <f t="shared" si="47"/>
        <v/>
      </c>
      <c r="X567" s="10" t="str">
        <f>IFERROR(_xlfn.XLOOKUP($A567,Input_Raw!$E:$E,Input_Raw!BG:BG),"")</f>
        <v/>
      </c>
      <c r="Y567" s="10" t="str">
        <f>IFERROR(_xlfn.XLOOKUP($A567,Input_Raw!$E:$E,Input_Raw!DF:DF),"")</f>
        <v/>
      </c>
      <c r="Z567" s="319" t="str">
        <f>IFERROR(_xlfn.XLOOKUP(A567,Input_Raw!E:E,Input_Raw!CT:CT)/_xlfn.XLOOKUP(A567,Input_Raw!E:E,Input_Raw!CS:CS)*Table13[[#This Row],[Mtr_Export (kWh)]],"")</f>
        <v/>
      </c>
      <c r="AA567" s="43" t="str">
        <f t="shared" si="48"/>
        <v/>
      </c>
      <c r="AB567" s="10" t="str">
        <f>IFERROR(_xlfn.XLOOKUP($A567,Input_Raw!$E:$E,Input_Raw!$CZ:$CZ),"")</f>
        <v/>
      </c>
      <c r="AC567" s="313" t="str">
        <f>IFERROR(_xlfn.XLOOKUP($D567,'Modelling New'!$D:$D,'Modelling New'!$J:$J),"")</f>
        <v/>
      </c>
      <c r="AD567" s="43" t="str">
        <f>IFERROR(_xlfn.XLOOKUP($D567,'Modelling New'!$D:$D,'Modelling New'!$T:$T)*1000,"")</f>
        <v/>
      </c>
      <c r="AE567" s="312"/>
      <c r="AF567" s="312" t="str">
        <f>IFERROR(_xlfn.XLOOKUP($D567,'Modelling New'!$D:$D,'Modelling New'!$W:$W),"")</f>
        <v/>
      </c>
      <c r="AG567" s="312" t="str">
        <f>IFERROR(_xlfn.XLOOKUP($D567,'Modelling New'!$D:$D,'Modelling New'!$AE:$AE),"")</f>
        <v/>
      </c>
      <c r="AH567" s="312" t="str">
        <f>IFERROR(_xlfn.XLOOKUP($D567,'Modelling New'!$D:$D,'Modelling New'!$AF:$AF),"")</f>
        <v/>
      </c>
      <c r="AI567" s="10" t="str">
        <f>IFERROR(_xlfn.XLOOKUP($A567,Input_Raw!$E:$E,Input_Raw!$DG:$DG),"")</f>
        <v/>
      </c>
      <c r="AJ567" s="10"/>
      <c r="AK567" s="10"/>
      <c r="AL567" s="10"/>
      <c r="AM567" s="10"/>
      <c r="AN567" s="314" t="str">
        <f>IFERROR(_xlfn.XLOOKUP($A567,Input_Raw!$E:$E,Input_Raw!$CY:$CY),"")</f>
        <v/>
      </c>
      <c r="AO567" s="312" t="str">
        <f>IFERROR((_xlfn.XLOOKUP($A567,'WTG Reactive Power'!$A:$A,'WTG Reactive Power'!AB:AB))/X567,"")</f>
        <v/>
      </c>
      <c r="AP567" s="312" t="str">
        <f>IFERROR(_xlfn.XLOOKUP($D567,'Modelling New'!$D:$D,'Modelling New'!AK:AK),"")</f>
        <v/>
      </c>
      <c r="AQ567" s="312" t="str">
        <f>IFERROR(_xlfn.XLOOKUP($D567,'Modelling New'!$D:$D,'Modelling New'!AL:AL),"")</f>
        <v/>
      </c>
      <c r="AR567" s="325" t="str">
        <f>IFERROR(_xlfn.XLOOKUP($D567,'Modelling New'!$D:$D,'Modelling New'!$N:$N),"")</f>
        <v/>
      </c>
      <c r="AS567" s="325"/>
    </row>
    <row r="568" spans="1:45">
      <c r="A568" s="32">
        <f t="shared" si="49"/>
        <v>46311</v>
      </c>
      <c r="B568" s="43">
        <f>YEAR(Table13[[#This Row],[Date]])+IF(MONTH(Table13[[#This Row],[Date]])&gt;=4,1,0)</f>
        <v>2027</v>
      </c>
      <c r="C568" s="10">
        <f>YEAR(Table13[[#This Row],[Date]])</f>
        <v>2026</v>
      </c>
      <c r="D568" s="309">
        <f>Table13[[#This Row],[Date]]-DAY(Table13[[#This Row],[Date]])+1</f>
        <v>46296</v>
      </c>
      <c r="E568" s="10">
        <f t="shared" si="45"/>
        <v>31</v>
      </c>
      <c r="F568" s="241" t="str">
        <f>IFERROR(_xlfn.XLOOKUP($A568,Input_Raw!$E:$E,Input_Raw!DC:DC),"")</f>
        <v/>
      </c>
      <c r="G568" s="313"/>
      <c r="H568" s="313"/>
      <c r="I568" s="313"/>
      <c r="J568" s="313"/>
      <c r="K568" s="243"/>
      <c r="L568" s="242"/>
      <c r="M568" s="242" t="str">
        <f>IFERROR(_xlfn.XLOOKUP($A568,Input_Raw!$E:$E,Input_Raw!$BM:$BM),"")</f>
        <v/>
      </c>
      <c r="N568" s="242" t="str">
        <f>IFERROR(_xlfn.XLOOKUP($A568,Input_Raw!$E:$E,Input_Raw!$BN:$BN),"")</f>
        <v/>
      </c>
      <c r="O568" s="311" t="str">
        <f t="shared" si="46"/>
        <v/>
      </c>
      <c r="P568" s="311" t="str">
        <f>IFERROR(1-SUMIF(WTG_BD!$F:$F,$A568,WTG_BD!$AA:$AA)/($AA568+SUMIF(WTG_BD!$F:$F,$A568,WTG_BD!$AA:$AA)),"")</f>
        <v/>
      </c>
      <c r="Q568" s="328" t="str">
        <f>IFERROR(1-SUMIF(IGA_BD!$F:$F,$A568,IGA_BD!$W:$W)/($AA568+SUMIF(IGA_BD!$F:$F,$A568,IGA_BD!$W:$W)),"")</f>
        <v/>
      </c>
      <c r="R568" s="47" t="str">
        <f>IFERROR(1-SUMIF(Grid_BD!$F:$F,$A568,Grid_BD!$Y:$Y)/($AA568+SUMIF(Grid_BD!$F:$F,$A568,Grid_BD!$Y:$Y)),"")</f>
        <v/>
      </c>
      <c r="S568" s="10"/>
      <c r="T568" s="310"/>
      <c r="U568" s="311"/>
      <c r="V568" s="10"/>
      <c r="W568" s="312" t="str">
        <f t="shared" si="47"/>
        <v/>
      </c>
      <c r="X568" s="10" t="str">
        <f>IFERROR(_xlfn.XLOOKUP($A568,Input_Raw!$E:$E,Input_Raw!BG:BG),"")</f>
        <v/>
      </c>
      <c r="Y568" s="10" t="str">
        <f>IFERROR(_xlfn.XLOOKUP($A568,Input_Raw!$E:$E,Input_Raw!DF:DF),"")</f>
        <v/>
      </c>
      <c r="Z568" s="319" t="str">
        <f>IFERROR(_xlfn.XLOOKUP(A568,Input_Raw!E:E,Input_Raw!CT:CT)/_xlfn.XLOOKUP(A568,Input_Raw!E:E,Input_Raw!CS:CS)*Table13[[#This Row],[Mtr_Export (kWh)]],"")</f>
        <v/>
      </c>
      <c r="AA568" s="43" t="str">
        <f t="shared" si="48"/>
        <v/>
      </c>
      <c r="AB568" s="10" t="str">
        <f>IFERROR(_xlfn.XLOOKUP($A568,Input_Raw!$E:$E,Input_Raw!$CZ:$CZ),"")</f>
        <v/>
      </c>
      <c r="AC568" s="313" t="str">
        <f>IFERROR(_xlfn.XLOOKUP($D568,'Modelling New'!$D:$D,'Modelling New'!$J:$J),"")</f>
        <v/>
      </c>
      <c r="AD568" s="43" t="str">
        <f>IFERROR(_xlfn.XLOOKUP($D568,'Modelling New'!$D:$D,'Modelling New'!$T:$T)*1000,"")</f>
        <v/>
      </c>
      <c r="AE568" s="312"/>
      <c r="AF568" s="312" t="str">
        <f>IFERROR(_xlfn.XLOOKUP($D568,'Modelling New'!$D:$D,'Modelling New'!$W:$W),"")</f>
        <v/>
      </c>
      <c r="AG568" s="312" t="str">
        <f>IFERROR(_xlfn.XLOOKUP($D568,'Modelling New'!$D:$D,'Modelling New'!$AE:$AE),"")</f>
        <v/>
      </c>
      <c r="AH568" s="312" t="str">
        <f>IFERROR(_xlfn.XLOOKUP($D568,'Modelling New'!$D:$D,'Modelling New'!$AF:$AF),"")</f>
        <v/>
      </c>
      <c r="AI568" s="10" t="str">
        <f>IFERROR(_xlfn.XLOOKUP($A568,Input_Raw!$E:$E,Input_Raw!$DG:$DG),"")</f>
        <v/>
      </c>
      <c r="AJ568" s="10"/>
      <c r="AK568" s="10"/>
      <c r="AL568" s="10"/>
      <c r="AM568" s="10"/>
      <c r="AN568" s="314" t="str">
        <f>IFERROR(_xlfn.XLOOKUP($A568,Input_Raw!$E:$E,Input_Raw!$CY:$CY),"")</f>
        <v/>
      </c>
      <c r="AO568" s="312" t="str">
        <f>IFERROR((_xlfn.XLOOKUP($A568,'WTG Reactive Power'!$A:$A,'WTG Reactive Power'!AB:AB))/X568,"")</f>
        <v/>
      </c>
      <c r="AP568" s="312" t="str">
        <f>IFERROR(_xlfn.XLOOKUP($D568,'Modelling New'!$D:$D,'Modelling New'!AK:AK),"")</f>
        <v/>
      </c>
      <c r="AQ568" s="312" t="str">
        <f>IFERROR(_xlfn.XLOOKUP($D568,'Modelling New'!$D:$D,'Modelling New'!AL:AL),"")</f>
        <v/>
      </c>
      <c r="AR568" s="325" t="str">
        <f>IFERROR(_xlfn.XLOOKUP($D568,'Modelling New'!$D:$D,'Modelling New'!$N:$N),"")</f>
        <v/>
      </c>
      <c r="AS568" s="325"/>
    </row>
    <row r="569" spans="1:45">
      <c r="A569" s="32">
        <f t="shared" si="49"/>
        <v>46312</v>
      </c>
      <c r="B569" s="43">
        <f>YEAR(Table13[[#This Row],[Date]])+IF(MONTH(Table13[[#This Row],[Date]])&gt;=4,1,0)</f>
        <v>2027</v>
      </c>
      <c r="C569" s="10">
        <f>YEAR(Table13[[#This Row],[Date]])</f>
        <v>2026</v>
      </c>
      <c r="D569" s="309">
        <f>Table13[[#This Row],[Date]]-DAY(Table13[[#This Row],[Date]])+1</f>
        <v>46296</v>
      </c>
      <c r="E569" s="10">
        <f t="shared" si="45"/>
        <v>31</v>
      </c>
      <c r="F569" s="241" t="str">
        <f>IFERROR(_xlfn.XLOOKUP($A569,Input_Raw!$E:$E,Input_Raw!DC:DC),"")</f>
        <v/>
      </c>
      <c r="G569" s="242"/>
      <c r="H569" s="242"/>
      <c r="I569" s="242"/>
      <c r="J569" s="242"/>
      <c r="K569" s="243"/>
      <c r="L569" s="242"/>
      <c r="M569" s="242" t="str">
        <f>IFERROR(_xlfn.XLOOKUP($A569,Input_Raw!$E:$E,Input_Raw!$BM:$BM),"")</f>
        <v/>
      </c>
      <c r="N569" s="242" t="str">
        <f>IFERROR(_xlfn.XLOOKUP($A569,Input_Raw!$E:$E,Input_Raw!$BN:$BN),"")</f>
        <v/>
      </c>
      <c r="O569" s="311" t="str">
        <f t="shared" si="46"/>
        <v/>
      </c>
      <c r="P569" s="311" t="str">
        <f>IFERROR(1-SUMIF(WTG_BD!$F:$F,$A569,WTG_BD!$AA:$AA)/($AA569+SUMIF(WTG_BD!$F:$F,$A569,WTG_BD!$AA:$AA)),"")</f>
        <v/>
      </c>
      <c r="Q569" s="328" t="str">
        <f>IFERROR(1-SUMIF(IGA_BD!$F:$F,$A569,IGA_BD!$W:$W)/($AA569+SUMIF(IGA_BD!$F:$F,$A569,IGA_BD!$W:$W)),"")</f>
        <v/>
      </c>
      <c r="R569" s="311" t="str">
        <f>IFERROR(1-SUMIF(Grid_BD!$F:$F,$A569,Grid_BD!$Y:$Y)/($AA569+SUMIF(Grid_BD!$F:$F,$A569,Grid_BD!$Y:$Y)),"")</f>
        <v/>
      </c>
      <c r="S569" s="10"/>
      <c r="T569" s="310"/>
      <c r="U569" s="311"/>
      <c r="V569" s="10"/>
      <c r="W569" s="312" t="str">
        <f t="shared" si="47"/>
        <v/>
      </c>
      <c r="X569" s="10" t="str">
        <f>IFERROR(_xlfn.XLOOKUP($A569,Input_Raw!$E:$E,Input_Raw!BG:BG),"")</f>
        <v/>
      </c>
      <c r="Y569" s="10" t="str">
        <f>IFERROR(_xlfn.XLOOKUP($A569,Input_Raw!$E:$E,Input_Raw!DF:DF),"")</f>
        <v/>
      </c>
      <c r="Z569" s="319" t="str">
        <f>IFERROR(_xlfn.XLOOKUP(A569,Input_Raw!E:E,Input_Raw!CT:CT)/_xlfn.XLOOKUP(A569,Input_Raw!E:E,Input_Raw!CS:CS)*Table13[[#This Row],[Mtr_Export (kWh)]],"")</f>
        <v/>
      </c>
      <c r="AA569" s="43" t="str">
        <f t="shared" si="48"/>
        <v/>
      </c>
      <c r="AB569" s="10" t="str">
        <f>IFERROR(_xlfn.XLOOKUP($A569,Input_Raw!$E:$E,Input_Raw!$CZ:$CZ),"")</f>
        <v/>
      </c>
      <c r="AC569" s="313" t="str">
        <f>IFERROR(_xlfn.XLOOKUP($D569,'Modelling New'!$D:$D,'Modelling New'!$J:$J),"")</f>
        <v/>
      </c>
      <c r="AD569" s="43" t="str">
        <f>IFERROR(_xlfn.XLOOKUP($D569,'Modelling New'!$D:$D,'Modelling New'!$T:$T)*1000,"")</f>
        <v/>
      </c>
      <c r="AE569" s="312"/>
      <c r="AF569" s="312" t="str">
        <f>IFERROR(_xlfn.XLOOKUP($D569,'Modelling New'!$D:$D,'Modelling New'!$W:$W),"")</f>
        <v/>
      </c>
      <c r="AG569" s="312" t="str">
        <f>IFERROR(_xlfn.XLOOKUP($D569,'Modelling New'!$D:$D,'Modelling New'!$AE:$AE),"")</f>
        <v/>
      </c>
      <c r="AH569" s="312" t="str">
        <f>IFERROR(_xlfn.XLOOKUP($D569,'Modelling New'!$D:$D,'Modelling New'!$AF:$AF),"")</f>
        <v/>
      </c>
      <c r="AI569" s="10" t="str">
        <f>IFERROR(_xlfn.XLOOKUP($A569,Input_Raw!$E:$E,Input_Raw!$DG:$DG),"")</f>
        <v/>
      </c>
      <c r="AJ569" s="10"/>
      <c r="AK569" s="10"/>
      <c r="AL569" s="10"/>
      <c r="AM569" s="10"/>
      <c r="AN569" s="314" t="str">
        <f>IFERROR(_xlfn.XLOOKUP($A569,Input_Raw!$E:$E,Input_Raw!$CY:$CY),"")</f>
        <v/>
      </c>
      <c r="AO569" s="312" t="str">
        <f>IFERROR((_xlfn.XLOOKUP($A569,'WTG Reactive Power'!$A:$A,'WTG Reactive Power'!AB:AB))/X569,"")</f>
        <v/>
      </c>
      <c r="AP569" s="312" t="str">
        <f>IFERROR(_xlfn.XLOOKUP($D569,'Modelling New'!$D:$D,'Modelling New'!AK:AK),"")</f>
        <v/>
      </c>
      <c r="AQ569" s="312" t="str">
        <f>IFERROR(_xlfn.XLOOKUP($D569,'Modelling New'!$D:$D,'Modelling New'!AL:AL),"")</f>
        <v/>
      </c>
      <c r="AR569" s="325" t="str">
        <f>IFERROR(_xlfn.XLOOKUP($D569,'Modelling New'!$D:$D,'Modelling New'!$N:$N),"")</f>
        <v/>
      </c>
      <c r="AS569" s="325"/>
    </row>
    <row r="570" spans="1:45">
      <c r="A570" s="32">
        <f t="shared" si="49"/>
        <v>46313</v>
      </c>
      <c r="B570" s="43">
        <f>YEAR(Table13[[#This Row],[Date]])+IF(MONTH(Table13[[#This Row],[Date]])&gt;=4,1,0)</f>
        <v>2027</v>
      </c>
      <c r="C570" s="10">
        <f>YEAR(Table13[[#This Row],[Date]])</f>
        <v>2026</v>
      </c>
      <c r="D570" s="309">
        <f>Table13[[#This Row],[Date]]-DAY(Table13[[#This Row],[Date]])+1</f>
        <v>46296</v>
      </c>
      <c r="E570" s="10">
        <f t="shared" si="45"/>
        <v>31</v>
      </c>
      <c r="F570" s="241" t="str">
        <f>IFERROR(_xlfn.XLOOKUP($A570,Input_Raw!$E:$E,Input_Raw!DC:DC),"")</f>
        <v/>
      </c>
      <c r="G570" s="313"/>
      <c r="H570" s="313"/>
      <c r="I570" s="313"/>
      <c r="J570" s="313"/>
      <c r="K570" s="243"/>
      <c r="L570" s="242"/>
      <c r="M570" s="242" t="str">
        <f>IFERROR(_xlfn.XLOOKUP($A570,Input_Raw!$E:$E,Input_Raw!$BM:$BM),"")</f>
        <v/>
      </c>
      <c r="N570" s="242" t="str">
        <f>IFERROR(_xlfn.XLOOKUP($A570,Input_Raw!$E:$E,Input_Raw!$BN:$BN),"")</f>
        <v/>
      </c>
      <c r="O570" s="311" t="str">
        <f t="shared" si="46"/>
        <v/>
      </c>
      <c r="P570" s="311" t="str">
        <f>IFERROR(1-SUMIF(WTG_BD!$F:$F,$A570,WTG_BD!$AA:$AA)/($AA570+SUMIF(WTG_BD!$F:$F,$A570,WTG_BD!$AA:$AA)),"")</f>
        <v/>
      </c>
      <c r="Q570" s="328" t="str">
        <f>IFERROR(1-SUMIF(IGA_BD!$F:$F,$A570,IGA_BD!$W:$W)/($AA570+SUMIF(IGA_BD!$F:$F,$A570,IGA_BD!$W:$W)),"")</f>
        <v/>
      </c>
      <c r="R570" s="47" t="str">
        <f>IFERROR(1-SUMIF(Grid_BD!$F:$F,$A570,Grid_BD!$Y:$Y)/($AA570+SUMIF(Grid_BD!$F:$F,$A570,Grid_BD!$Y:$Y)),"")</f>
        <v/>
      </c>
      <c r="S570" s="10"/>
      <c r="T570" s="310"/>
      <c r="U570" s="311"/>
      <c r="V570" s="10"/>
      <c r="W570" s="312" t="str">
        <f t="shared" si="47"/>
        <v/>
      </c>
      <c r="X570" s="10" t="str">
        <f>IFERROR(_xlfn.XLOOKUP($A570,Input_Raw!$E:$E,Input_Raw!BG:BG),"")</f>
        <v/>
      </c>
      <c r="Y570" s="10" t="str">
        <f>IFERROR(_xlfn.XLOOKUP($A570,Input_Raw!$E:$E,Input_Raw!DF:DF),"")</f>
        <v/>
      </c>
      <c r="Z570" s="319" t="str">
        <f>IFERROR(_xlfn.XLOOKUP(A570,Input_Raw!E:E,Input_Raw!CT:CT)/_xlfn.XLOOKUP(A570,Input_Raw!E:E,Input_Raw!CS:CS)*Table13[[#This Row],[Mtr_Export (kWh)]],"")</f>
        <v/>
      </c>
      <c r="AA570" s="43" t="str">
        <f t="shared" si="48"/>
        <v/>
      </c>
      <c r="AB570" s="10" t="str">
        <f>IFERROR(_xlfn.XLOOKUP($A570,Input_Raw!$E:$E,Input_Raw!$CZ:$CZ),"")</f>
        <v/>
      </c>
      <c r="AC570" s="313" t="str">
        <f>IFERROR(_xlfn.XLOOKUP($D570,'Modelling New'!$D:$D,'Modelling New'!$J:$J),"")</f>
        <v/>
      </c>
      <c r="AD570" s="43" t="str">
        <f>IFERROR(_xlfn.XLOOKUP($D570,'Modelling New'!$D:$D,'Modelling New'!$T:$T)*1000,"")</f>
        <v/>
      </c>
      <c r="AE570" s="312"/>
      <c r="AF570" s="312" t="str">
        <f>IFERROR(_xlfn.XLOOKUP($D570,'Modelling New'!$D:$D,'Modelling New'!$W:$W),"")</f>
        <v/>
      </c>
      <c r="AG570" s="312" t="str">
        <f>IFERROR(_xlfn.XLOOKUP($D570,'Modelling New'!$D:$D,'Modelling New'!$AE:$AE),"")</f>
        <v/>
      </c>
      <c r="AH570" s="312" t="str">
        <f>IFERROR(_xlfn.XLOOKUP($D570,'Modelling New'!$D:$D,'Modelling New'!$AF:$AF),"")</f>
        <v/>
      </c>
      <c r="AI570" s="10" t="str">
        <f>IFERROR(_xlfn.XLOOKUP($A570,Input_Raw!$E:$E,Input_Raw!$DG:$DG),"")</f>
        <v/>
      </c>
      <c r="AJ570" s="10"/>
      <c r="AK570" s="10"/>
      <c r="AL570" s="10"/>
      <c r="AM570" s="10"/>
      <c r="AN570" s="314" t="str">
        <f>IFERROR(_xlfn.XLOOKUP($A570,Input_Raw!$E:$E,Input_Raw!$CY:$CY),"")</f>
        <v/>
      </c>
      <c r="AO570" s="312" t="str">
        <f>IFERROR((_xlfn.XLOOKUP($A570,'WTG Reactive Power'!$A:$A,'WTG Reactive Power'!AB:AB))/X570,"")</f>
        <v/>
      </c>
      <c r="AP570" s="312" t="str">
        <f>IFERROR(_xlfn.XLOOKUP($D570,'Modelling New'!$D:$D,'Modelling New'!AK:AK),"")</f>
        <v/>
      </c>
      <c r="AQ570" s="312" t="str">
        <f>IFERROR(_xlfn.XLOOKUP($D570,'Modelling New'!$D:$D,'Modelling New'!AL:AL),"")</f>
        <v/>
      </c>
      <c r="AR570" s="325" t="str">
        <f>IFERROR(_xlfn.XLOOKUP($D570,'Modelling New'!$D:$D,'Modelling New'!$N:$N),"")</f>
        <v/>
      </c>
      <c r="AS570" s="325"/>
    </row>
    <row r="571" spans="1:45">
      <c r="A571" s="32">
        <f t="shared" si="49"/>
        <v>46314</v>
      </c>
      <c r="B571" s="43">
        <f>YEAR(Table13[[#This Row],[Date]])+IF(MONTH(Table13[[#This Row],[Date]])&gt;=4,1,0)</f>
        <v>2027</v>
      </c>
      <c r="C571" s="10">
        <f>YEAR(Table13[[#This Row],[Date]])</f>
        <v>2026</v>
      </c>
      <c r="D571" s="309">
        <f>Table13[[#This Row],[Date]]-DAY(Table13[[#This Row],[Date]])+1</f>
        <v>46296</v>
      </c>
      <c r="E571" s="10">
        <f t="shared" si="45"/>
        <v>31</v>
      </c>
      <c r="F571" s="241" t="str">
        <f>IFERROR(_xlfn.XLOOKUP($A571,Input_Raw!$E:$E,Input_Raw!DC:DC),"")</f>
        <v/>
      </c>
      <c r="G571" s="242"/>
      <c r="H571" s="242"/>
      <c r="I571" s="242"/>
      <c r="J571" s="242"/>
      <c r="K571" s="243"/>
      <c r="L571" s="242"/>
      <c r="M571" s="242" t="str">
        <f>IFERROR(_xlfn.XLOOKUP($A571,Input_Raw!$E:$E,Input_Raw!$BM:$BM),"")</f>
        <v/>
      </c>
      <c r="N571" s="242" t="str">
        <f>IFERROR(_xlfn.XLOOKUP($A571,Input_Raw!$E:$E,Input_Raw!$BN:$BN),"")</f>
        <v/>
      </c>
      <c r="O571" s="311" t="str">
        <f t="shared" si="46"/>
        <v/>
      </c>
      <c r="P571" s="311" t="str">
        <f>IFERROR(1-SUMIF(WTG_BD!$F:$F,$A571,WTG_BD!$AA:$AA)/($AA571+SUMIF(WTG_BD!$F:$F,$A571,WTG_BD!$AA:$AA)),"")</f>
        <v/>
      </c>
      <c r="Q571" s="328" t="str">
        <f>IFERROR(1-SUMIF(IGA_BD!$F:$F,$A571,IGA_BD!$W:$W)/($AA571+SUMIF(IGA_BD!$F:$F,$A571,IGA_BD!$W:$W)),"")</f>
        <v/>
      </c>
      <c r="R571" s="311" t="str">
        <f>IFERROR(1-SUMIF(Grid_BD!$F:$F,$A571,Grid_BD!$Y:$Y)/($AA571+SUMIF(Grid_BD!$F:$F,$A571,Grid_BD!$Y:$Y)),"")</f>
        <v/>
      </c>
      <c r="S571" s="10"/>
      <c r="T571" s="310"/>
      <c r="U571" s="311"/>
      <c r="V571" s="10"/>
      <c r="W571" s="312" t="str">
        <f t="shared" si="47"/>
        <v/>
      </c>
      <c r="X571" s="10" t="str">
        <f>IFERROR(_xlfn.XLOOKUP($A571,Input_Raw!$E:$E,Input_Raw!BG:BG),"")</f>
        <v/>
      </c>
      <c r="Y571" s="10" t="str">
        <f>IFERROR(_xlfn.XLOOKUP($A571,Input_Raw!$E:$E,Input_Raw!DF:DF),"")</f>
        <v/>
      </c>
      <c r="Z571" s="319" t="str">
        <f>IFERROR(_xlfn.XLOOKUP(A571,Input_Raw!E:E,Input_Raw!CT:CT)/_xlfn.XLOOKUP(A571,Input_Raw!E:E,Input_Raw!CS:CS)*Table13[[#This Row],[Mtr_Export (kWh)]],"")</f>
        <v/>
      </c>
      <c r="AA571" s="43" t="str">
        <f t="shared" si="48"/>
        <v/>
      </c>
      <c r="AB571" s="10" t="str">
        <f>IFERROR(_xlfn.XLOOKUP($A571,Input_Raw!$E:$E,Input_Raw!$CZ:$CZ),"")</f>
        <v/>
      </c>
      <c r="AC571" s="313" t="str">
        <f>IFERROR(_xlfn.XLOOKUP($D571,'Modelling New'!$D:$D,'Modelling New'!$J:$J),"")</f>
        <v/>
      </c>
      <c r="AD571" s="43" t="str">
        <f>IFERROR(_xlfn.XLOOKUP($D571,'Modelling New'!$D:$D,'Modelling New'!$T:$T)*1000,"")</f>
        <v/>
      </c>
      <c r="AE571" s="312"/>
      <c r="AF571" s="312" t="str">
        <f>IFERROR(_xlfn.XLOOKUP($D571,'Modelling New'!$D:$D,'Modelling New'!$W:$W),"")</f>
        <v/>
      </c>
      <c r="AG571" s="312" t="str">
        <f>IFERROR(_xlfn.XLOOKUP($D571,'Modelling New'!$D:$D,'Modelling New'!$AE:$AE),"")</f>
        <v/>
      </c>
      <c r="AH571" s="312" t="str">
        <f>IFERROR(_xlfn.XLOOKUP($D571,'Modelling New'!$D:$D,'Modelling New'!$AF:$AF),"")</f>
        <v/>
      </c>
      <c r="AI571" s="10" t="str">
        <f>IFERROR(_xlfn.XLOOKUP($A571,Input_Raw!$E:$E,Input_Raw!$DG:$DG),"")</f>
        <v/>
      </c>
      <c r="AJ571" s="10"/>
      <c r="AK571" s="10"/>
      <c r="AL571" s="10"/>
      <c r="AM571" s="10"/>
      <c r="AN571" s="314" t="str">
        <f>IFERROR(_xlfn.XLOOKUP($A571,Input_Raw!$E:$E,Input_Raw!$CY:$CY),"")</f>
        <v/>
      </c>
      <c r="AO571" s="312" t="str">
        <f>IFERROR((_xlfn.XLOOKUP($A571,'WTG Reactive Power'!$A:$A,'WTG Reactive Power'!AB:AB))/X571,"")</f>
        <v/>
      </c>
      <c r="AP571" s="312" t="str">
        <f>IFERROR(_xlfn.XLOOKUP($D571,'Modelling New'!$D:$D,'Modelling New'!AK:AK),"")</f>
        <v/>
      </c>
      <c r="AQ571" s="312" t="str">
        <f>IFERROR(_xlfn.XLOOKUP($D571,'Modelling New'!$D:$D,'Modelling New'!AL:AL),"")</f>
        <v/>
      </c>
      <c r="AR571" s="325" t="str">
        <f>IFERROR(_xlfn.XLOOKUP($D571,'Modelling New'!$D:$D,'Modelling New'!$N:$N),"")</f>
        <v/>
      </c>
      <c r="AS571" s="325"/>
    </row>
    <row r="572" spans="1:45">
      <c r="A572" s="32">
        <f t="shared" si="49"/>
        <v>46315</v>
      </c>
      <c r="B572" s="43">
        <f>YEAR(Table13[[#This Row],[Date]])+IF(MONTH(Table13[[#This Row],[Date]])&gt;=4,1,0)</f>
        <v>2027</v>
      </c>
      <c r="C572" s="10">
        <f>YEAR(Table13[[#This Row],[Date]])</f>
        <v>2026</v>
      </c>
      <c r="D572" s="309">
        <f>Table13[[#This Row],[Date]]-DAY(Table13[[#This Row],[Date]])+1</f>
        <v>46296</v>
      </c>
      <c r="E572" s="10">
        <f t="shared" si="45"/>
        <v>31</v>
      </c>
      <c r="F572" s="241" t="str">
        <f>IFERROR(_xlfn.XLOOKUP($A572,Input_Raw!$E:$E,Input_Raw!DC:DC),"")</f>
        <v/>
      </c>
      <c r="G572" s="313"/>
      <c r="H572" s="313"/>
      <c r="I572" s="313"/>
      <c r="J572" s="313"/>
      <c r="K572" s="243"/>
      <c r="L572" s="242"/>
      <c r="M572" s="242" t="str">
        <f>IFERROR(_xlfn.XLOOKUP($A572,Input_Raw!$E:$E,Input_Raw!$BM:$BM),"")</f>
        <v/>
      </c>
      <c r="N572" s="242" t="str">
        <f>IFERROR(_xlfn.XLOOKUP($A572,Input_Raw!$E:$E,Input_Raw!$BN:$BN),"")</f>
        <v/>
      </c>
      <c r="O572" s="311" t="str">
        <f t="shared" si="46"/>
        <v/>
      </c>
      <c r="P572" s="311" t="str">
        <f>IFERROR(1-SUMIF(WTG_BD!$F:$F,$A572,WTG_BD!$AA:$AA)/($AA572+SUMIF(WTG_BD!$F:$F,$A572,WTG_BD!$AA:$AA)),"")</f>
        <v/>
      </c>
      <c r="Q572" s="328" t="str">
        <f>IFERROR(1-SUMIF(IGA_BD!$F:$F,$A572,IGA_BD!$W:$W)/($AA572+SUMIF(IGA_BD!$F:$F,$A572,IGA_BD!$W:$W)),"")</f>
        <v/>
      </c>
      <c r="R572" s="47" t="str">
        <f>IFERROR(1-SUMIF(Grid_BD!$F:$F,$A572,Grid_BD!$Y:$Y)/($AA572+SUMIF(Grid_BD!$F:$F,$A572,Grid_BD!$Y:$Y)),"")</f>
        <v/>
      </c>
      <c r="S572" s="10"/>
      <c r="T572" s="310"/>
      <c r="U572" s="311"/>
      <c r="V572" s="10"/>
      <c r="W572" s="312" t="str">
        <f t="shared" si="47"/>
        <v/>
      </c>
      <c r="X572" s="10" t="str">
        <f>IFERROR(_xlfn.XLOOKUP($A572,Input_Raw!$E:$E,Input_Raw!BG:BG),"")</f>
        <v/>
      </c>
      <c r="Y572" s="10" t="str">
        <f>IFERROR(_xlfn.XLOOKUP($A572,Input_Raw!$E:$E,Input_Raw!DF:DF),"")</f>
        <v/>
      </c>
      <c r="Z572" s="319" t="str">
        <f>IFERROR(_xlfn.XLOOKUP(A572,Input_Raw!E:E,Input_Raw!CT:CT)/_xlfn.XLOOKUP(A572,Input_Raw!E:E,Input_Raw!CS:CS)*Table13[[#This Row],[Mtr_Export (kWh)]],"")</f>
        <v/>
      </c>
      <c r="AA572" s="43" t="str">
        <f t="shared" si="48"/>
        <v/>
      </c>
      <c r="AB572" s="10" t="str">
        <f>IFERROR(_xlfn.XLOOKUP($A572,Input_Raw!$E:$E,Input_Raw!$CZ:$CZ),"")</f>
        <v/>
      </c>
      <c r="AC572" s="313" t="str">
        <f>IFERROR(_xlfn.XLOOKUP($D572,'Modelling New'!$D:$D,'Modelling New'!$J:$J),"")</f>
        <v/>
      </c>
      <c r="AD572" s="43" t="str">
        <f>IFERROR(_xlfn.XLOOKUP($D572,'Modelling New'!$D:$D,'Modelling New'!$T:$T)*1000,"")</f>
        <v/>
      </c>
      <c r="AE572" s="312"/>
      <c r="AF572" s="312" t="str">
        <f>IFERROR(_xlfn.XLOOKUP($D572,'Modelling New'!$D:$D,'Modelling New'!$W:$W),"")</f>
        <v/>
      </c>
      <c r="AG572" s="312" t="str">
        <f>IFERROR(_xlfn.XLOOKUP($D572,'Modelling New'!$D:$D,'Modelling New'!$AE:$AE),"")</f>
        <v/>
      </c>
      <c r="AH572" s="312" t="str">
        <f>IFERROR(_xlfn.XLOOKUP($D572,'Modelling New'!$D:$D,'Modelling New'!$AF:$AF),"")</f>
        <v/>
      </c>
      <c r="AI572" s="10" t="str">
        <f>IFERROR(_xlfn.XLOOKUP($A572,Input_Raw!$E:$E,Input_Raw!$DG:$DG),"")</f>
        <v/>
      </c>
      <c r="AJ572" s="10"/>
      <c r="AK572" s="10"/>
      <c r="AL572" s="10"/>
      <c r="AM572" s="10"/>
      <c r="AN572" s="314" t="str">
        <f>IFERROR(_xlfn.XLOOKUP($A572,Input_Raw!$E:$E,Input_Raw!$CY:$CY),"")</f>
        <v/>
      </c>
      <c r="AO572" s="312" t="str">
        <f>IFERROR((_xlfn.XLOOKUP($A572,'WTG Reactive Power'!$A:$A,'WTG Reactive Power'!AB:AB))/X572,"")</f>
        <v/>
      </c>
      <c r="AP572" s="312" t="str">
        <f>IFERROR(_xlfn.XLOOKUP($D572,'Modelling New'!$D:$D,'Modelling New'!AK:AK),"")</f>
        <v/>
      </c>
      <c r="AQ572" s="312" t="str">
        <f>IFERROR(_xlfn.XLOOKUP($D572,'Modelling New'!$D:$D,'Modelling New'!AL:AL),"")</f>
        <v/>
      </c>
      <c r="AR572" s="325" t="str">
        <f>IFERROR(_xlfn.XLOOKUP($D572,'Modelling New'!$D:$D,'Modelling New'!$N:$N),"")</f>
        <v/>
      </c>
      <c r="AS572" s="325"/>
    </row>
    <row r="573" spans="1:45">
      <c r="A573" s="32">
        <f t="shared" si="49"/>
        <v>46316</v>
      </c>
      <c r="B573" s="43">
        <f>YEAR(Table13[[#This Row],[Date]])+IF(MONTH(Table13[[#This Row],[Date]])&gt;=4,1,0)</f>
        <v>2027</v>
      </c>
      <c r="C573" s="10">
        <f>YEAR(Table13[[#This Row],[Date]])</f>
        <v>2026</v>
      </c>
      <c r="D573" s="309">
        <f>Table13[[#This Row],[Date]]-DAY(Table13[[#This Row],[Date]])+1</f>
        <v>46296</v>
      </c>
      <c r="E573" s="10">
        <f t="shared" si="45"/>
        <v>31</v>
      </c>
      <c r="F573" s="241" t="str">
        <f>IFERROR(_xlfn.XLOOKUP($A573,Input_Raw!$E:$E,Input_Raw!DC:DC),"")</f>
        <v/>
      </c>
      <c r="G573" s="242"/>
      <c r="H573" s="242"/>
      <c r="I573" s="242"/>
      <c r="J573" s="242"/>
      <c r="K573" s="243"/>
      <c r="L573" s="242"/>
      <c r="M573" s="242" t="str">
        <f>IFERROR(_xlfn.XLOOKUP($A573,Input_Raw!$E:$E,Input_Raw!$BM:$BM),"")</f>
        <v/>
      </c>
      <c r="N573" s="242" t="str">
        <f>IFERROR(_xlfn.XLOOKUP($A573,Input_Raw!$E:$E,Input_Raw!$BN:$BN),"")</f>
        <v/>
      </c>
      <c r="O573" s="311" t="str">
        <f t="shared" si="46"/>
        <v/>
      </c>
      <c r="P573" s="311" t="str">
        <f>IFERROR(1-SUMIF(WTG_BD!$F:$F,$A573,WTG_BD!$AA:$AA)/($AA573+SUMIF(WTG_BD!$F:$F,$A573,WTG_BD!$AA:$AA)),"")</f>
        <v/>
      </c>
      <c r="Q573" s="328" t="str">
        <f>IFERROR(1-SUMIF(IGA_BD!$F:$F,$A573,IGA_BD!$W:$W)/($AA573+SUMIF(IGA_BD!$F:$F,$A573,IGA_BD!$W:$W)),"")</f>
        <v/>
      </c>
      <c r="R573" s="311" t="str">
        <f>IFERROR(1-SUMIF(Grid_BD!$F:$F,$A573,Grid_BD!$Y:$Y)/($AA573+SUMIF(Grid_BD!$F:$F,$A573,Grid_BD!$Y:$Y)),"")</f>
        <v/>
      </c>
      <c r="S573" s="10"/>
      <c r="T573" s="310"/>
      <c r="U573" s="311"/>
      <c r="V573" s="10"/>
      <c r="W573" s="312" t="str">
        <f t="shared" si="47"/>
        <v/>
      </c>
      <c r="X573" s="10" t="str">
        <f>IFERROR(_xlfn.XLOOKUP($A573,Input_Raw!$E:$E,Input_Raw!BG:BG),"")</f>
        <v/>
      </c>
      <c r="Y573" s="10" t="str">
        <f>IFERROR(_xlfn.XLOOKUP($A573,Input_Raw!$E:$E,Input_Raw!DF:DF),"")</f>
        <v/>
      </c>
      <c r="Z573" s="319" t="str">
        <f>IFERROR(_xlfn.XLOOKUP(A573,Input_Raw!E:E,Input_Raw!CT:CT)/_xlfn.XLOOKUP(A573,Input_Raw!E:E,Input_Raw!CS:CS)*Table13[[#This Row],[Mtr_Export (kWh)]],"")</f>
        <v/>
      </c>
      <c r="AA573" s="43" t="str">
        <f t="shared" si="48"/>
        <v/>
      </c>
      <c r="AB573" s="10" t="str">
        <f>IFERROR(_xlfn.XLOOKUP($A573,Input_Raw!$E:$E,Input_Raw!$CZ:$CZ),"")</f>
        <v/>
      </c>
      <c r="AC573" s="313" t="str">
        <f>IFERROR(_xlfn.XLOOKUP($D573,'Modelling New'!$D:$D,'Modelling New'!$J:$J),"")</f>
        <v/>
      </c>
      <c r="AD573" s="43" t="str">
        <f>IFERROR(_xlfn.XLOOKUP($D573,'Modelling New'!$D:$D,'Modelling New'!$T:$T)*1000,"")</f>
        <v/>
      </c>
      <c r="AE573" s="312"/>
      <c r="AF573" s="312" t="str">
        <f>IFERROR(_xlfn.XLOOKUP($D573,'Modelling New'!$D:$D,'Modelling New'!$W:$W),"")</f>
        <v/>
      </c>
      <c r="AG573" s="312" t="str">
        <f>IFERROR(_xlfn.XLOOKUP($D573,'Modelling New'!$D:$D,'Modelling New'!$AE:$AE),"")</f>
        <v/>
      </c>
      <c r="AH573" s="312" t="str">
        <f>IFERROR(_xlfn.XLOOKUP($D573,'Modelling New'!$D:$D,'Modelling New'!$AF:$AF),"")</f>
        <v/>
      </c>
      <c r="AI573" s="10" t="str">
        <f>IFERROR(_xlfn.XLOOKUP($A573,Input_Raw!$E:$E,Input_Raw!$DG:$DG),"")</f>
        <v/>
      </c>
      <c r="AJ573" s="10"/>
      <c r="AK573" s="10"/>
      <c r="AL573" s="10"/>
      <c r="AM573" s="10"/>
      <c r="AN573" s="314" t="str">
        <f>IFERROR(_xlfn.XLOOKUP($A573,Input_Raw!$E:$E,Input_Raw!$CY:$CY),"")</f>
        <v/>
      </c>
      <c r="AO573" s="312" t="str">
        <f>IFERROR((_xlfn.XLOOKUP($A573,'WTG Reactive Power'!$A:$A,'WTG Reactive Power'!AB:AB))/X573,"")</f>
        <v/>
      </c>
      <c r="AP573" s="312" t="str">
        <f>IFERROR(_xlfn.XLOOKUP($D573,'Modelling New'!$D:$D,'Modelling New'!AK:AK),"")</f>
        <v/>
      </c>
      <c r="AQ573" s="312" t="str">
        <f>IFERROR(_xlfn.XLOOKUP($D573,'Modelling New'!$D:$D,'Modelling New'!AL:AL),"")</f>
        <v/>
      </c>
      <c r="AR573" s="325" t="str">
        <f>IFERROR(_xlfn.XLOOKUP($D573,'Modelling New'!$D:$D,'Modelling New'!$N:$N),"")</f>
        <v/>
      </c>
      <c r="AS573" s="325"/>
    </row>
    <row r="574" spans="1:45">
      <c r="A574" s="32">
        <f t="shared" si="49"/>
        <v>46317</v>
      </c>
      <c r="B574" s="43">
        <f>YEAR(Table13[[#This Row],[Date]])+IF(MONTH(Table13[[#This Row],[Date]])&gt;=4,1,0)</f>
        <v>2027</v>
      </c>
      <c r="C574" s="10">
        <f>YEAR(Table13[[#This Row],[Date]])</f>
        <v>2026</v>
      </c>
      <c r="D574" s="309">
        <f>Table13[[#This Row],[Date]]-DAY(Table13[[#This Row],[Date]])+1</f>
        <v>46296</v>
      </c>
      <c r="E574" s="10">
        <f t="shared" si="45"/>
        <v>31</v>
      </c>
      <c r="F574" s="241" t="str">
        <f>IFERROR(_xlfn.XLOOKUP($A574,Input_Raw!$E:$E,Input_Raw!DC:DC),"")</f>
        <v/>
      </c>
      <c r="G574" s="313"/>
      <c r="H574" s="313"/>
      <c r="I574" s="313"/>
      <c r="J574" s="313"/>
      <c r="K574" s="243"/>
      <c r="L574" s="242"/>
      <c r="M574" s="242" t="str">
        <f>IFERROR(_xlfn.XLOOKUP($A574,Input_Raw!$E:$E,Input_Raw!$BM:$BM),"")</f>
        <v/>
      </c>
      <c r="N574" s="242" t="str">
        <f>IFERROR(_xlfn.XLOOKUP($A574,Input_Raw!$E:$E,Input_Raw!$BN:$BN),"")</f>
        <v/>
      </c>
      <c r="O574" s="311" t="str">
        <f t="shared" si="46"/>
        <v/>
      </c>
      <c r="P574" s="311" t="str">
        <f>IFERROR(1-SUMIF(WTG_BD!$F:$F,$A574,WTG_BD!$AA:$AA)/($AA574+SUMIF(WTG_BD!$F:$F,$A574,WTG_BD!$AA:$AA)),"")</f>
        <v/>
      </c>
      <c r="Q574" s="328" t="str">
        <f>IFERROR(1-SUMIF(IGA_BD!$F:$F,$A574,IGA_BD!$W:$W)/($AA574+SUMIF(IGA_BD!$F:$F,$A574,IGA_BD!$W:$W)),"")</f>
        <v/>
      </c>
      <c r="R574" s="47" t="str">
        <f>IFERROR(1-SUMIF(Grid_BD!$F:$F,$A574,Grid_BD!$Y:$Y)/($AA574+SUMIF(Grid_BD!$F:$F,$A574,Grid_BD!$Y:$Y)),"")</f>
        <v/>
      </c>
      <c r="S574" s="10"/>
      <c r="T574" s="310"/>
      <c r="U574" s="311"/>
      <c r="V574" s="10"/>
      <c r="W574" s="312" t="str">
        <f t="shared" si="47"/>
        <v/>
      </c>
      <c r="X574" s="10" t="str">
        <f>IFERROR(_xlfn.XLOOKUP($A574,Input_Raw!$E:$E,Input_Raw!BG:BG),"")</f>
        <v/>
      </c>
      <c r="Y574" s="10" t="str">
        <f>IFERROR(_xlfn.XLOOKUP($A574,Input_Raw!$E:$E,Input_Raw!DF:DF),"")</f>
        <v/>
      </c>
      <c r="Z574" s="319" t="str">
        <f>IFERROR(_xlfn.XLOOKUP(A574,Input_Raw!E:E,Input_Raw!CT:CT)/_xlfn.XLOOKUP(A574,Input_Raw!E:E,Input_Raw!CS:CS)*Table13[[#This Row],[Mtr_Export (kWh)]],"")</f>
        <v/>
      </c>
      <c r="AA574" s="43" t="str">
        <f t="shared" si="48"/>
        <v/>
      </c>
      <c r="AB574" s="10" t="str">
        <f>IFERROR(_xlfn.XLOOKUP($A574,Input_Raw!$E:$E,Input_Raw!$CZ:$CZ),"")</f>
        <v/>
      </c>
      <c r="AC574" s="313" t="str">
        <f>IFERROR(_xlfn.XLOOKUP($D574,'Modelling New'!$D:$D,'Modelling New'!$J:$J),"")</f>
        <v/>
      </c>
      <c r="AD574" s="43" t="str">
        <f>IFERROR(_xlfn.XLOOKUP($D574,'Modelling New'!$D:$D,'Modelling New'!$T:$T)*1000,"")</f>
        <v/>
      </c>
      <c r="AE574" s="312"/>
      <c r="AF574" s="312" t="str">
        <f>IFERROR(_xlfn.XLOOKUP($D574,'Modelling New'!$D:$D,'Modelling New'!$W:$W),"")</f>
        <v/>
      </c>
      <c r="AG574" s="312" t="str">
        <f>IFERROR(_xlfn.XLOOKUP($D574,'Modelling New'!$D:$D,'Modelling New'!$AE:$AE),"")</f>
        <v/>
      </c>
      <c r="AH574" s="312" t="str">
        <f>IFERROR(_xlfn.XLOOKUP($D574,'Modelling New'!$D:$D,'Modelling New'!$AF:$AF),"")</f>
        <v/>
      </c>
      <c r="AI574" s="10" t="str">
        <f>IFERROR(_xlfn.XLOOKUP($A574,Input_Raw!$E:$E,Input_Raw!$DG:$DG),"")</f>
        <v/>
      </c>
      <c r="AJ574" s="10"/>
      <c r="AK574" s="10"/>
      <c r="AL574" s="10"/>
      <c r="AM574" s="10"/>
      <c r="AN574" s="314" t="str">
        <f>IFERROR(_xlfn.XLOOKUP($A574,Input_Raw!$E:$E,Input_Raw!$CY:$CY),"")</f>
        <v/>
      </c>
      <c r="AO574" s="312" t="str">
        <f>IFERROR((_xlfn.XLOOKUP($A574,'WTG Reactive Power'!$A:$A,'WTG Reactive Power'!AB:AB))/X574,"")</f>
        <v/>
      </c>
      <c r="AP574" s="312" t="str">
        <f>IFERROR(_xlfn.XLOOKUP($D574,'Modelling New'!$D:$D,'Modelling New'!AK:AK),"")</f>
        <v/>
      </c>
      <c r="AQ574" s="312" t="str">
        <f>IFERROR(_xlfn.XLOOKUP($D574,'Modelling New'!$D:$D,'Modelling New'!AL:AL),"")</f>
        <v/>
      </c>
      <c r="AR574" s="325" t="str">
        <f>IFERROR(_xlfn.XLOOKUP($D574,'Modelling New'!$D:$D,'Modelling New'!$N:$N),"")</f>
        <v/>
      </c>
      <c r="AS574" s="325"/>
    </row>
    <row r="575" spans="1:45">
      <c r="A575" s="32">
        <f t="shared" si="49"/>
        <v>46318</v>
      </c>
      <c r="B575" s="43">
        <f>YEAR(Table13[[#This Row],[Date]])+IF(MONTH(Table13[[#This Row],[Date]])&gt;=4,1,0)</f>
        <v>2027</v>
      </c>
      <c r="C575" s="10">
        <f>YEAR(Table13[[#This Row],[Date]])</f>
        <v>2026</v>
      </c>
      <c r="D575" s="309">
        <f>Table13[[#This Row],[Date]]-DAY(Table13[[#This Row],[Date]])+1</f>
        <v>46296</v>
      </c>
      <c r="E575" s="10">
        <f t="shared" si="45"/>
        <v>31</v>
      </c>
      <c r="F575" s="241" t="str">
        <f>IFERROR(_xlfn.XLOOKUP($A575,Input_Raw!$E:$E,Input_Raw!DC:DC),"")</f>
        <v/>
      </c>
      <c r="G575" s="242"/>
      <c r="H575" s="242"/>
      <c r="I575" s="242"/>
      <c r="J575" s="242"/>
      <c r="K575" s="243"/>
      <c r="L575" s="242"/>
      <c r="M575" s="242" t="str">
        <f>IFERROR(_xlfn.XLOOKUP($A575,Input_Raw!$E:$E,Input_Raw!$BM:$BM),"")</f>
        <v/>
      </c>
      <c r="N575" s="242" t="str">
        <f>IFERROR(_xlfn.XLOOKUP($A575,Input_Raw!$E:$E,Input_Raw!$BN:$BN),"")</f>
        <v/>
      </c>
      <c r="O575" s="311" t="str">
        <f t="shared" si="46"/>
        <v/>
      </c>
      <c r="P575" s="311" t="str">
        <f>IFERROR(1-SUMIF(WTG_BD!$F:$F,$A575,WTG_BD!$AA:$AA)/($AA575+SUMIF(WTG_BD!$F:$F,$A575,WTG_BD!$AA:$AA)),"")</f>
        <v/>
      </c>
      <c r="Q575" s="328" t="str">
        <f>IFERROR(1-SUMIF(IGA_BD!$F:$F,$A575,IGA_BD!$W:$W)/($AA575+SUMIF(IGA_BD!$F:$F,$A575,IGA_BD!$W:$W)),"")</f>
        <v/>
      </c>
      <c r="R575" s="311" t="str">
        <f>IFERROR(1-SUMIF(Grid_BD!$F:$F,$A575,Grid_BD!$Y:$Y)/($AA575+SUMIF(Grid_BD!$F:$F,$A575,Grid_BD!$Y:$Y)),"")</f>
        <v/>
      </c>
      <c r="S575" s="10"/>
      <c r="T575" s="310"/>
      <c r="U575" s="311"/>
      <c r="V575" s="10"/>
      <c r="W575" s="312" t="str">
        <f t="shared" si="47"/>
        <v/>
      </c>
      <c r="X575" s="10" t="str">
        <f>IFERROR(_xlfn.XLOOKUP($A575,Input_Raw!$E:$E,Input_Raw!BG:BG),"")</f>
        <v/>
      </c>
      <c r="Y575" s="10" t="str">
        <f>IFERROR(_xlfn.XLOOKUP($A575,Input_Raw!$E:$E,Input_Raw!DF:DF),"")</f>
        <v/>
      </c>
      <c r="Z575" s="319" t="str">
        <f>IFERROR(_xlfn.XLOOKUP(A575,Input_Raw!E:E,Input_Raw!CT:CT)/_xlfn.XLOOKUP(A575,Input_Raw!E:E,Input_Raw!CS:CS)*Table13[[#This Row],[Mtr_Export (kWh)]],"")</f>
        <v/>
      </c>
      <c r="AA575" s="43" t="str">
        <f t="shared" si="48"/>
        <v/>
      </c>
      <c r="AB575" s="10" t="str">
        <f>IFERROR(_xlfn.XLOOKUP($A575,Input_Raw!$E:$E,Input_Raw!$CZ:$CZ),"")</f>
        <v/>
      </c>
      <c r="AC575" s="313" t="str">
        <f>IFERROR(_xlfn.XLOOKUP($D575,'Modelling New'!$D:$D,'Modelling New'!$J:$J),"")</f>
        <v/>
      </c>
      <c r="AD575" s="43" t="str">
        <f>IFERROR(_xlfn.XLOOKUP($D575,'Modelling New'!$D:$D,'Modelling New'!$T:$T)*1000,"")</f>
        <v/>
      </c>
      <c r="AE575" s="312"/>
      <c r="AF575" s="312" t="str">
        <f>IFERROR(_xlfn.XLOOKUP($D575,'Modelling New'!$D:$D,'Modelling New'!$W:$W),"")</f>
        <v/>
      </c>
      <c r="AG575" s="312" t="str">
        <f>IFERROR(_xlfn.XLOOKUP($D575,'Modelling New'!$D:$D,'Modelling New'!$AE:$AE),"")</f>
        <v/>
      </c>
      <c r="AH575" s="312" t="str">
        <f>IFERROR(_xlfn.XLOOKUP($D575,'Modelling New'!$D:$D,'Modelling New'!$AF:$AF),"")</f>
        <v/>
      </c>
      <c r="AI575" s="10" t="str">
        <f>IFERROR(_xlfn.XLOOKUP($A575,Input_Raw!$E:$E,Input_Raw!$DG:$DG),"")</f>
        <v/>
      </c>
      <c r="AJ575" s="10"/>
      <c r="AK575" s="10"/>
      <c r="AL575" s="10"/>
      <c r="AM575" s="10"/>
      <c r="AN575" s="314" t="str">
        <f>IFERROR(_xlfn.XLOOKUP($A575,Input_Raw!$E:$E,Input_Raw!$CY:$CY),"")</f>
        <v/>
      </c>
      <c r="AO575" s="312" t="str">
        <f>IFERROR((_xlfn.XLOOKUP($A575,'WTG Reactive Power'!$A:$A,'WTG Reactive Power'!AB:AB))/X575,"")</f>
        <v/>
      </c>
      <c r="AP575" s="312" t="str">
        <f>IFERROR(_xlfn.XLOOKUP($D575,'Modelling New'!$D:$D,'Modelling New'!AK:AK),"")</f>
        <v/>
      </c>
      <c r="AQ575" s="312" t="str">
        <f>IFERROR(_xlfn.XLOOKUP($D575,'Modelling New'!$D:$D,'Modelling New'!AL:AL),"")</f>
        <v/>
      </c>
      <c r="AR575" s="325" t="str">
        <f>IFERROR(_xlfn.XLOOKUP($D575,'Modelling New'!$D:$D,'Modelling New'!$N:$N),"")</f>
        <v/>
      </c>
      <c r="AS575" s="325"/>
    </row>
    <row r="576" spans="1:45">
      <c r="A576" s="32">
        <f t="shared" si="49"/>
        <v>46319</v>
      </c>
      <c r="B576" s="43">
        <f>YEAR(Table13[[#This Row],[Date]])+IF(MONTH(Table13[[#This Row],[Date]])&gt;=4,1,0)</f>
        <v>2027</v>
      </c>
      <c r="C576" s="10">
        <f>YEAR(Table13[[#This Row],[Date]])</f>
        <v>2026</v>
      </c>
      <c r="D576" s="309">
        <f>Table13[[#This Row],[Date]]-DAY(Table13[[#This Row],[Date]])+1</f>
        <v>46296</v>
      </c>
      <c r="E576" s="10">
        <f t="shared" si="45"/>
        <v>31</v>
      </c>
      <c r="F576" s="241" t="str">
        <f>IFERROR(_xlfn.XLOOKUP($A576,Input_Raw!$E:$E,Input_Raw!DC:DC),"")</f>
        <v/>
      </c>
      <c r="G576" s="313"/>
      <c r="H576" s="313"/>
      <c r="I576" s="313"/>
      <c r="J576" s="313"/>
      <c r="K576" s="243"/>
      <c r="L576" s="242"/>
      <c r="M576" s="242" t="str">
        <f>IFERROR(_xlfn.XLOOKUP($A576,Input_Raw!$E:$E,Input_Raw!$BM:$BM),"")</f>
        <v/>
      </c>
      <c r="N576" s="242" t="str">
        <f>IFERROR(_xlfn.XLOOKUP($A576,Input_Raw!$E:$E,Input_Raw!$BN:$BN),"")</f>
        <v/>
      </c>
      <c r="O576" s="311" t="str">
        <f t="shared" si="46"/>
        <v/>
      </c>
      <c r="P576" s="311" t="str">
        <f>IFERROR(1-SUMIF(WTG_BD!$F:$F,$A576,WTG_BD!$AA:$AA)/($AA576+SUMIF(WTG_BD!$F:$F,$A576,WTG_BD!$AA:$AA)),"")</f>
        <v/>
      </c>
      <c r="Q576" s="328" t="str">
        <f>IFERROR(1-SUMIF(IGA_BD!$F:$F,$A576,IGA_BD!$W:$W)/($AA576+SUMIF(IGA_BD!$F:$F,$A576,IGA_BD!$W:$W)),"")</f>
        <v/>
      </c>
      <c r="R576" s="47" t="str">
        <f>IFERROR(1-SUMIF(Grid_BD!$F:$F,$A576,Grid_BD!$Y:$Y)/($AA576+SUMIF(Grid_BD!$F:$F,$A576,Grid_BD!$Y:$Y)),"")</f>
        <v/>
      </c>
      <c r="S576" s="10"/>
      <c r="T576" s="310"/>
      <c r="U576" s="311"/>
      <c r="V576" s="10"/>
      <c r="W576" s="312" t="str">
        <f t="shared" si="47"/>
        <v/>
      </c>
      <c r="X576" s="10" t="str">
        <f>IFERROR(_xlfn.XLOOKUP($A576,Input_Raw!$E:$E,Input_Raw!BG:BG),"")</f>
        <v/>
      </c>
      <c r="Y576" s="10" t="str">
        <f>IFERROR(_xlfn.XLOOKUP($A576,Input_Raw!$E:$E,Input_Raw!DF:DF),"")</f>
        <v/>
      </c>
      <c r="Z576" s="319" t="str">
        <f>IFERROR(_xlfn.XLOOKUP(A576,Input_Raw!E:E,Input_Raw!CT:CT)/_xlfn.XLOOKUP(A576,Input_Raw!E:E,Input_Raw!CS:CS)*Table13[[#This Row],[Mtr_Export (kWh)]],"")</f>
        <v/>
      </c>
      <c r="AA576" s="43" t="str">
        <f t="shared" si="48"/>
        <v/>
      </c>
      <c r="AB576" s="10" t="str">
        <f>IFERROR(_xlfn.XLOOKUP($A576,Input_Raw!$E:$E,Input_Raw!$CZ:$CZ),"")</f>
        <v/>
      </c>
      <c r="AC576" s="313" t="str">
        <f>IFERROR(_xlfn.XLOOKUP($D576,'Modelling New'!$D:$D,'Modelling New'!$J:$J),"")</f>
        <v/>
      </c>
      <c r="AD576" s="43" t="str">
        <f>IFERROR(_xlfn.XLOOKUP($D576,'Modelling New'!$D:$D,'Modelling New'!$T:$T)*1000,"")</f>
        <v/>
      </c>
      <c r="AE576" s="312"/>
      <c r="AF576" s="312" t="str">
        <f>IFERROR(_xlfn.XLOOKUP($D576,'Modelling New'!$D:$D,'Modelling New'!$W:$W),"")</f>
        <v/>
      </c>
      <c r="AG576" s="312" t="str">
        <f>IFERROR(_xlfn.XLOOKUP($D576,'Modelling New'!$D:$D,'Modelling New'!$AE:$AE),"")</f>
        <v/>
      </c>
      <c r="AH576" s="312" t="str">
        <f>IFERROR(_xlfn.XLOOKUP($D576,'Modelling New'!$D:$D,'Modelling New'!$AF:$AF),"")</f>
        <v/>
      </c>
      <c r="AI576" s="10" t="str">
        <f>IFERROR(_xlfn.XLOOKUP($A576,Input_Raw!$E:$E,Input_Raw!$DG:$DG),"")</f>
        <v/>
      </c>
      <c r="AJ576" s="10"/>
      <c r="AK576" s="10"/>
      <c r="AL576" s="10"/>
      <c r="AM576" s="10"/>
      <c r="AN576" s="314" t="str">
        <f>IFERROR(_xlfn.XLOOKUP($A576,Input_Raw!$E:$E,Input_Raw!$CY:$CY),"")</f>
        <v/>
      </c>
      <c r="AO576" s="312" t="str">
        <f>IFERROR((_xlfn.XLOOKUP($A576,'WTG Reactive Power'!$A:$A,'WTG Reactive Power'!AB:AB))/X576,"")</f>
        <v/>
      </c>
      <c r="AP576" s="312" t="str">
        <f>IFERROR(_xlfn.XLOOKUP($D576,'Modelling New'!$D:$D,'Modelling New'!AK:AK),"")</f>
        <v/>
      </c>
      <c r="AQ576" s="312" t="str">
        <f>IFERROR(_xlfn.XLOOKUP($D576,'Modelling New'!$D:$D,'Modelling New'!AL:AL),"")</f>
        <v/>
      </c>
      <c r="AR576" s="325" t="str">
        <f>IFERROR(_xlfn.XLOOKUP($D576,'Modelling New'!$D:$D,'Modelling New'!$N:$N),"")</f>
        <v/>
      </c>
      <c r="AS576" s="325"/>
    </row>
    <row r="577" spans="1:45">
      <c r="A577" s="32">
        <f t="shared" si="49"/>
        <v>46320</v>
      </c>
      <c r="B577" s="43">
        <f>YEAR(Table13[[#This Row],[Date]])+IF(MONTH(Table13[[#This Row],[Date]])&gt;=4,1,0)</f>
        <v>2027</v>
      </c>
      <c r="C577" s="10">
        <f>YEAR(Table13[[#This Row],[Date]])</f>
        <v>2026</v>
      </c>
      <c r="D577" s="309">
        <f>Table13[[#This Row],[Date]]-DAY(Table13[[#This Row],[Date]])+1</f>
        <v>46296</v>
      </c>
      <c r="E577" s="10">
        <f t="shared" si="45"/>
        <v>31</v>
      </c>
      <c r="F577" s="241" t="str">
        <f>IFERROR(_xlfn.XLOOKUP($A577,Input_Raw!$E:$E,Input_Raw!DC:DC),"")</f>
        <v/>
      </c>
      <c r="G577" s="242"/>
      <c r="H577" s="242"/>
      <c r="I577" s="242"/>
      <c r="J577" s="242"/>
      <c r="K577" s="243"/>
      <c r="L577" s="242"/>
      <c r="M577" s="242" t="str">
        <f>IFERROR(_xlfn.XLOOKUP($A577,Input_Raw!$E:$E,Input_Raw!$BM:$BM),"")</f>
        <v/>
      </c>
      <c r="N577" s="242" t="str">
        <f>IFERROR(_xlfn.XLOOKUP($A577,Input_Raw!$E:$E,Input_Raw!$BN:$BN),"")</f>
        <v/>
      </c>
      <c r="O577" s="311" t="str">
        <f t="shared" si="46"/>
        <v/>
      </c>
      <c r="P577" s="311" t="str">
        <f>IFERROR(1-SUMIF(WTG_BD!$F:$F,$A577,WTG_BD!$AA:$AA)/($AA577+SUMIF(WTG_BD!$F:$F,$A577,WTG_BD!$AA:$AA)),"")</f>
        <v/>
      </c>
      <c r="Q577" s="328" t="str">
        <f>IFERROR(1-SUMIF(IGA_BD!$F:$F,$A577,IGA_BD!$W:$W)/($AA577+SUMIF(IGA_BD!$F:$F,$A577,IGA_BD!$W:$W)),"")</f>
        <v/>
      </c>
      <c r="R577" s="311" t="str">
        <f>IFERROR(1-SUMIF(Grid_BD!$F:$F,$A577,Grid_BD!$Y:$Y)/($AA577+SUMIF(Grid_BD!$F:$F,$A577,Grid_BD!$Y:$Y)),"")</f>
        <v/>
      </c>
      <c r="S577" s="10"/>
      <c r="T577" s="310"/>
      <c r="U577" s="311"/>
      <c r="V577" s="10"/>
      <c r="W577" s="312" t="str">
        <f t="shared" si="47"/>
        <v/>
      </c>
      <c r="X577" s="10" t="str">
        <f>IFERROR(_xlfn.XLOOKUP($A577,Input_Raw!$E:$E,Input_Raw!BG:BG),"")</f>
        <v/>
      </c>
      <c r="Y577" s="10" t="str">
        <f>IFERROR(_xlfn.XLOOKUP($A577,Input_Raw!$E:$E,Input_Raw!DF:DF),"")</f>
        <v/>
      </c>
      <c r="Z577" s="319" t="str">
        <f>IFERROR(_xlfn.XLOOKUP(A577,Input_Raw!E:E,Input_Raw!CT:CT)/_xlfn.XLOOKUP(A577,Input_Raw!E:E,Input_Raw!CS:CS)*Table13[[#This Row],[Mtr_Export (kWh)]],"")</f>
        <v/>
      </c>
      <c r="AA577" s="43" t="str">
        <f t="shared" si="48"/>
        <v/>
      </c>
      <c r="AB577" s="10" t="str">
        <f>IFERROR(_xlfn.XLOOKUP($A577,Input_Raw!$E:$E,Input_Raw!$CZ:$CZ),"")</f>
        <v/>
      </c>
      <c r="AC577" s="313" t="str">
        <f>IFERROR(_xlfn.XLOOKUP($D577,'Modelling New'!$D:$D,'Modelling New'!$J:$J),"")</f>
        <v/>
      </c>
      <c r="AD577" s="43" t="str">
        <f>IFERROR(_xlfn.XLOOKUP($D577,'Modelling New'!$D:$D,'Modelling New'!$T:$T)*1000,"")</f>
        <v/>
      </c>
      <c r="AE577" s="312"/>
      <c r="AF577" s="312" t="str">
        <f>IFERROR(_xlfn.XLOOKUP($D577,'Modelling New'!$D:$D,'Modelling New'!$W:$W),"")</f>
        <v/>
      </c>
      <c r="AG577" s="312" t="str">
        <f>IFERROR(_xlfn.XLOOKUP($D577,'Modelling New'!$D:$D,'Modelling New'!$AE:$AE),"")</f>
        <v/>
      </c>
      <c r="AH577" s="312" t="str">
        <f>IFERROR(_xlfn.XLOOKUP($D577,'Modelling New'!$D:$D,'Modelling New'!$AF:$AF),"")</f>
        <v/>
      </c>
      <c r="AI577" s="10" t="str">
        <f>IFERROR(_xlfn.XLOOKUP($A577,Input_Raw!$E:$E,Input_Raw!$DG:$DG),"")</f>
        <v/>
      </c>
      <c r="AJ577" s="10"/>
      <c r="AK577" s="10"/>
      <c r="AL577" s="10"/>
      <c r="AM577" s="10"/>
      <c r="AN577" s="314" t="str">
        <f>IFERROR(_xlfn.XLOOKUP($A577,Input_Raw!$E:$E,Input_Raw!$CY:$CY),"")</f>
        <v/>
      </c>
      <c r="AO577" s="312" t="str">
        <f>IFERROR((_xlfn.XLOOKUP($A577,'WTG Reactive Power'!$A:$A,'WTG Reactive Power'!AB:AB))/X577,"")</f>
        <v/>
      </c>
      <c r="AP577" s="312" t="str">
        <f>IFERROR(_xlfn.XLOOKUP($D577,'Modelling New'!$D:$D,'Modelling New'!AK:AK),"")</f>
        <v/>
      </c>
      <c r="AQ577" s="312" t="str">
        <f>IFERROR(_xlfn.XLOOKUP($D577,'Modelling New'!$D:$D,'Modelling New'!AL:AL),"")</f>
        <v/>
      </c>
      <c r="AR577" s="325" t="str">
        <f>IFERROR(_xlfn.XLOOKUP($D577,'Modelling New'!$D:$D,'Modelling New'!$N:$N),"")</f>
        <v/>
      </c>
      <c r="AS577" s="325"/>
    </row>
    <row r="578" spans="1:45">
      <c r="A578" s="32">
        <f t="shared" si="49"/>
        <v>46321</v>
      </c>
      <c r="B578" s="43">
        <f>YEAR(Table13[[#This Row],[Date]])+IF(MONTH(Table13[[#This Row],[Date]])&gt;=4,1,0)</f>
        <v>2027</v>
      </c>
      <c r="C578" s="10">
        <f>YEAR(Table13[[#This Row],[Date]])</f>
        <v>2026</v>
      </c>
      <c r="D578" s="309">
        <f>Table13[[#This Row],[Date]]-DAY(Table13[[#This Row],[Date]])+1</f>
        <v>46296</v>
      </c>
      <c r="E578" s="10">
        <f t="shared" si="45"/>
        <v>31</v>
      </c>
      <c r="F578" s="241" t="str">
        <f>IFERROR(_xlfn.XLOOKUP($A578,Input_Raw!$E:$E,Input_Raw!DC:DC),"")</f>
        <v/>
      </c>
      <c r="G578" s="313"/>
      <c r="H578" s="313"/>
      <c r="I578" s="313"/>
      <c r="J578" s="313"/>
      <c r="K578" s="243"/>
      <c r="L578" s="242"/>
      <c r="M578" s="242" t="str">
        <f>IFERROR(_xlfn.XLOOKUP($A578,Input_Raw!$E:$E,Input_Raw!$BM:$BM),"")</f>
        <v/>
      </c>
      <c r="N578" s="242" t="str">
        <f>IFERROR(_xlfn.XLOOKUP($A578,Input_Raw!$E:$E,Input_Raw!$BN:$BN),"")</f>
        <v/>
      </c>
      <c r="O578" s="311" t="str">
        <f t="shared" si="46"/>
        <v/>
      </c>
      <c r="P578" s="311" t="str">
        <f>IFERROR(1-SUMIF(WTG_BD!$F:$F,$A578,WTG_BD!$AA:$AA)/($AA578+SUMIF(WTG_BD!$F:$F,$A578,WTG_BD!$AA:$AA)),"")</f>
        <v/>
      </c>
      <c r="Q578" s="328" t="str">
        <f>IFERROR(1-SUMIF(IGA_BD!$F:$F,$A578,IGA_BD!$W:$W)/($AA578+SUMIF(IGA_BD!$F:$F,$A578,IGA_BD!$W:$W)),"")</f>
        <v/>
      </c>
      <c r="R578" s="47" t="str">
        <f>IFERROR(1-SUMIF(Grid_BD!$F:$F,$A578,Grid_BD!$Y:$Y)/($AA578+SUMIF(Grid_BD!$F:$F,$A578,Grid_BD!$Y:$Y)),"")</f>
        <v/>
      </c>
      <c r="S578" s="10"/>
      <c r="T578" s="310"/>
      <c r="U578" s="311"/>
      <c r="V578" s="10"/>
      <c r="W578" s="312" t="str">
        <f t="shared" si="47"/>
        <v/>
      </c>
      <c r="X578" s="10" t="str">
        <f>IFERROR(_xlfn.XLOOKUP($A578,Input_Raw!$E:$E,Input_Raw!BG:BG),"")</f>
        <v/>
      </c>
      <c r="Y578" s="10" t="str">
        <f>IFERROR(_xlfn.XLOOKUP($A578,Input_Raw!$E:$E,Input_Raw!DF:DF),"")</f>
        <v/>
      </c>
      <c r="Z578" s="319" t="str">
        <f>IFERROR(_xlfn.XLOOKUP(A578,Input_Raw!E:E,Input_Raw!CT:CT)/_xlfn.XLOOKUP(A578,Input_Raw!E:E,Input_Raw!CS:CS)*Table13[[#This Row],[Mtr_Export (kWh)]],"")</f>
        <v/>
      </c>
      <c r="AA578" s="43" t="str">
        <f t="shared" si="48"/>
        <v/>
      </c>
      <c r="AB578" s="10" t="str">
        <f>IFERROR(_xlfn.XLOOKUP($A578,Input_Raw!$E:$E,Input_Raw!$CZ:$CZ),"")</f>
        <v/>
      </c>
      <c r="AC578" s="313" t="str">
        <f>IFERROR(_xlfn.XLOOKUP($D578,'Modelling New'!$D:$D,'Modelling New'!$J:$J),"")</f>
        <v/>
      </c>
      <c r="AD578" s="43" t="str">
        <f>IFERROR(_xlfn.XLOOKUP($D578,'Modelling New'!$D:$D,'Modelling New'!$T:$T)*1000,"")</f>
        <v/>
      </c>
      <c r="AE578" s="312"/>
      <c r="AF578" s="312" t="str">
        <f>IFERROR(_xlfn.XLOOKUP($D578,'Modelling New'!$D:$D,'Modelling New'!$W:$W),"")</f>
        <v/>
      </c>
      <c r="AG578" s="312" t="str">
        <f>IFERROR(_xlfn.XLOOKUP($D578,'Modelling New'!$D:$D,'Modelling New'!$AE:$AE),"")</f>
        <v/>
      </c>
      <c r="AH578" s="312" t="str">
        <f>IFERROR(_xlfn.XLOOKUP($D578,'Modelling New'!$D:$D,'Modelling New'!$AF:$AF),"")</f>
        <v/>
      </c>
      <c r="AI578" s="10" t="str">
        <f>IFERROR(_xlfn.XLOOKUP($A578,Input_Raw!$E:$E,Input_Raw!$DG:$DG),"")</f>
        <v/>
      </c>
      <c r="AJ578" s="10"/>
      <c r="AK578" s="10"/>
      <c r="AL578" s="10"/>
      <c r="AM578" s="10"/>
      <c r="AN578" s="314" t="str">
        <f>IFERROR(_xlfn.XLOOKUP($A578,Input_Raw!$E:$E,Input_Raw!$CY:$CY),"")</f>
        <v/>
      </c>
      <c r="AO578" s="312" t="str">
        <f>IFERROR((_xlfn.XLOOKUP($A578,'WTG Reactive Power'!$A:$A,'WTG Reactive Power'!AB:AB))/X578,"")</f>
        <v/>
      </c>
      <c r="AP578" s="312" t="str">
        <f>IFERROR(_xlfn.XLOOKUP($D578,'Modelling New'!$D:$D,'Modelling New'!AK:AK),"")</f>
        <v/>
      </c>
      <c r="AQ578" s="312" t="str">
        <f>IFERROR(_xlfn.XLOOKUP($D578,'Modelling New'!$D:$D,'Modelling New'!AL:AL),"")</f>
        <v/>
      </c>
      <c r="AR578" s="325" t="str">
        <f>IFERROR(_xlfn.XLOOKUP($D578,'Modelling New'!$D:$D,'Modelling New'!$N:$N),"")</f>
        <v/>
      </c>
      <c r="AS578" s="325"/>
    </row>
    <row r="579" spans="1:45">
      <c r="A579" s="32">
        <f t="shared" si="49"/>
        <v>46322</v>
      </c>
      <c r="B579" s="43">
        <f>YEAR(Table13[[#This Row],[Date]])+IF(MONTH(Table13[[#This Row],[Date]])&gt;=4,1,0)</f>
        <v>2027</v>
      </c>
      <c r="C579" s="10">
        <f>YEAR(Table13[[#This Row],[Date]])</f>
        <v>2026</v>
      </c>
      <c r="D579" s="309">
        <f>Table13[[#This Row],[Date]]-DAY(Table13[[#This Row],[Date]])+1</f>
        <v>46296</v>
      </c>
      <c r="E579" s="10">
        <f t="shared" si="45"/>
        <v>31</v>
      </c>
      <c r="F579" s="241" t="str">
        <f>IFERROR(_xlfn.XLOOKUP($A579,Input_Raw!$E:$E,Input_Raw!DC:DC),"")</f>
        <v/>
      </c>
      <c r="G579" s="242"/>
      <c r="H579" s="242"/>
      <c r="I579" s="242"/>
      <c r="J579" s="242"/>
      <c r="K579" s="243"/>
      <c r="L579" s="242"/>
      <c r="M579" s="242" t="str">
        <f>IFERROR(_xlfn.XLOOKUP($A579,Input_Raw!$E:$E,Input_Raw!$BM:$BM),"")</f>
        <v/>
      </c>
      <c r="N579" s="242" t="str">
        <f>IFERROR(_xlfn.XLOOKUP($A579,Input_Raw!$E:$E,Input_Raw!$BN:$BN),"")</f>
        <v/>
      </c>
      <c r="O579" s="311" t="str">
        <f t="shared" si="46"/>
        <v/>
      </c>
      <c r="P579" s="311" t="str">
        <f>IFERROR(1-SUMIF(WTG_BD!$F:$F,$A579,WTG_BD!$AA:$AA)/($AA579+SUMIF(WTG_BD!$F:$F,$A579,WTG_BD!$AA:$AA)),"")</f>
        <v/>
      </c>
      <c r="Q579" s="328" t="str">
        <f>IFERROR(1-SUMIF(IGA_BD!$F:$F,$A579,IGA_BD!$W:$W)/($AA579+SUMIF(IGA_BD!$F:$F,$A579,IGA_BD!$W:$W)),"")</f>
        <v/>
      </c>
      <c r="R579" s="311" t="str">
        <f>IFERROR(1-SUMIF(Grid_BD!$F:$F,$A579,Grid_BD!$Y:$Y)/($AA579+SUMIF(Grid_BD!$F:$F,$A579,Grid_BD!$Y:$Y)),"")</f>
        <v/>
      </c>
      <c r="S579" s="10"/>
      <c r="T579" s="310"/>
      <c r="U579" s="311"/>
      <c r="V579" s="10"/>
      <c r="W579" s="312" t="str">
        <f t="shared" si="47"/>
        <v/>
      </c>
      <c r="X579" s="10" t="str">
        <f>IFERROR(_xlfn.XLOOKUP($A579,Input_Raw!$E:$E,Input_Raw!BG:BG),"")</f>
        <v/>
      </c>
      <c r="Y579" s="10" t="str">
        <f>IFERROR(_xlfn.XLOOKUP($A579,Input_Raw!$E:$E,Input_Raw!DF:DF),"")</f>
        <v/>
      </c>
      <c r="Z579" s="319" t="str">
        <f>IFERROR(_xlfn.XLOOKUP(A579,Input_Raw!E:E,Input_Raw!CT:CT)/_xlfn.XLOOKUP(A579,Input_Raw!E:E,Input_Raw!CS:CS)*Table13[[#This Row],[Mtr_Export (kWh)]],"")</f>
        <v/>
      </c>
      <c r="AA579" s="43" t="str">
        <f t="shared" si="48"/>
        <v/>
      </c>
      <c r="AB579" s="10" t="str">
        <f>IFERROR(_xlfn.XLOOKUP($A579,Input_Raw!$E:$E,Input_Raw!$CZ:$CZ),"")</f>
        <v/>
      </c>
      <c r="AC579" s="313" t="str">
        <f>IFERROR(_xlfn.XLOOKUP($D579,'Modelling New'!$D:$D,'Modelling New'!$J:$J),"")</f>
        <v/>
      </c>
      <c r="AD579" s="43" t="str">
        <f>IFERROR(_xlfn.XLOOKUP($D579,'Modelling New'!$D:$D,'Modelling New'!$T:$T)*1000,"")</f>
        <v/>
      </c>
      <c r="AE579" s="312"/>
      <c r="AF579" s="312" t="str">
        <f>IFERROR(_xlfn.XLOOKUP($D579,'Modelling New'!$D:$D,'Modelling New'!$W:$W),"")</f>
        <v/>
      </c>
      <c r="AG579" s="312" t="str">
        <f>IFERROR(_xlfn.XLOOKUP($D579,'Modelling New'!$D:$D,'Modelling New'!$AE:$AE),"")</f>
        <v/>
      </c>
      <c r="AH579" s="312" t="str">
        <f>IFERROR(_xlfn.XLOOKUP($D579,'Modelling New'!$D:$D,'Modelling New'!$AF:$AF),"")</f>
        <v/>
      </c>
      <c r="AI579" s="10" t="str">
        <f>IFERROR(_xlfn.XLOOKUP($A579,Input_Raw!$E:$E,Input_Raw!$DG:$DG),"")</f>
        <v/>
      </c>
      <c r="AJ579" s="10"/>
      <c r="AK579" s="10"/>
      <c r="AL579" s="10"/>
      <c r="AM579" s="10"/>
      <c r="AN579" s="314" t="str">
        <f>IFERROR(_xlfn.XLOOKUP($A579,Input_Raw!$E:$E,Input_Raw!$CY:$CY),"")</f>
        <v/>
      </c>
      <c r="AO579" s="312" t="str">
        <f>IFERROR((_xlfn.XLOOKUP($A579,'WTG Reactive Power'!$A:$A,'WTG Reactive Power'!AB:AB))/X579,"")</f>
        <v/>
      </c>
      <c r="AP579" s="312" t="str">
        <f>IFERROR(_xlfn.XLOOKUP($D579,'Modelling New'!$D:$D,'Modelling New'!AK:AK),"")</f>
        <v/>
      </c>
      <c r="AQ579" s="312" t="str">
        <f>IFERROR(_xlfn.XLOOKUP($D579,'Modelling New'!$D:$D,'Modelling New'!AL:AL),"")</f>
        <v/>
      </c>
      <c r="AR579" s="325" t="str">
        <f>IFERROR(_xlfn.XLOOKUP($D579,'Modelling New'!$D:$D,'Modelling New'!$N:$N),"")</f>
        <v/>
      </c>
      <c r="AS579" s="325"/>
    </row>
    <row r="580" spans="1:45">
      <c r="A580" s="32">
        <f t="shared" si="49"/>
        <v>46323</v>
      </c>
      <c r="B580" s="43">
        <f>YEAR(Table13[[#This Row],[Date]])+IF(MONTH(Table13[[#This Row],[Date]])&gt;=4,1,0)</f>
        <v>2027</v>
      </c>
      <c r="C580" s="10">
        <f>YEAR(Table13[[#This Row],[Date]])</f>
        <v>2026</v>
      </c>
      <c r="D580" s="309">
        <f>Table13[[#This Row],[Date]]-DAY(Table13[[#This Row],[Date]])+1</f>
        <v>46296</v>
      </c>
      <c r="E580" s="10">
        <f t="shared" si="45"/>
        <v>31</v>
      </c>
      <c r="F580" s="241" t="str">
        <f>IFERROR(_xlfn.XLOOKUP($A580,Input_Raw!$E:$E,Input_Raw!DC:DC),"")</f>
        <v/>
      </c>
      <c r="G580" s="313"/>
      <c r="H580" s="313"/>
      <c r="I580" s="313"/>
      <c r="J580" s="313"/>
      <c r="K580" s="243"/>
      <c r="L580" s="242"/>
      <c r="M580" s="242" t="str">
        <f>IFERROR(_xlfn.XLOOKUP($A580,Input_Raw!$E:$E,Input_Raw!$BM:$BM),"")</f>
        <v/>
      </c>
      <c r="N580" s="242" t="str">
        <f>IFERROR(_xlfn.XLOOKUP($A580,Input_Raw!$E:$E,Input_Raw!$BN:$BN),"")</f>
        <v/>
      </c>
      <c r="O580" s="311" t="str">
        <f t="shared" si="46"/>
        <v/>
      </c>
      <c r="P580" s="311" t="str">
        <f>IFERROR(1-SUMIF(WTG_BD!$F:$F,$A580,WTG_BD!$AA:$AA)/($AA580+SUMIF(WTG_BD!$F:$F,$A580,WTG_BD!$AA:$AA)),"")</f>
        <v/>
      </c>
      <c r="Q580" s="328" t="str">
        <f>IFERROR(1-SUMIF(IGA_BD!$F:$F,$A580,IGA_BD!$W:$W)/($AA580+SUMIF(IGA_BD!$F:$F,$A580,IGA_BD!$W:$W)),"")</f>
        <v/>
      </c>
      <c r="R580" s="47" t="str">
        <f>IFERROR(1-SUMIF(Grid_BD!$F:$F,$A580,Grid_BD!$Y:$Y)/($AA580+SUMIF(Grid_BD!$F:$F,$A580,Grid_BD!$Y:$Y)),"")</f>
        <v/>
      </c>
      <c r="S580" s="10"/>
      <c r="T580" s="310"/>
      <c r="U580" s="311"/>
      <c r="V580" s="10"/>
      <c r="W580" s="312" t="str">
        <f t="shared" si="47"/>
        <v/>
      </c>
      <c r="X580" s="10" t="str">
        <f>IFERROR(_xlfn.XLOOKUP($A580,Input_Raw!$E:$E,Input_Raw!BG:BG),"")</f>
        <v/>
      </c>
      <c r="Y580" s="10" t="str">
        <f>IFERROR(_xlfn.XLOOKUP($A580,Input_Raw!$E:$E,Input_Raw!DF:DF),"")</f>
        <v/>
      </c>
      <c r="Z580" s="319" t="str">
        <f>IFERROR(_xlfn.XLOOKUP(A580,Input_Raw!E:E,Input_Raw!CT:CT)/_xlfn.XLOOKUP(A580,Input_Raw!E:E,Input_Raw!CS:CS)*Table13[[#This Row],[Mtr_Export (kWh)]],"")</f>
        <v/>
      </c>
      <c r="AA580" s="43" t="str">
        <f t="shared" si="48"/>
        <v/>
      </c>
      <c r="AB580" s="10" t="str">
        <f>IFERROR(_xlfn.XLOOKUP($A580,Input_Raw!$E:$E,Input_Raw!$CZ:$CZ),"")</f>
        <v/>
      </c>
      <c r="AC580" s="313" t="str">
        <f>IFERROR(_xlfn.XLOOKUP($D580,'Modelling New'!$D:$D,'Modelling New'!$J:$J),"")</f>
        <v/>
      </c>
      <c r="AD580" s="43" t="str">
        <f>IFERROR(_xlfn.XLOOKUP($D580,'Modelling New'!$D:$D,'Modelling New'!$T:$T)*1000,"")</f>
        <v/>
      </c>
      <c r="AE580" s="312"/>
      <c r="AF580" s="312" t="str">
        <f>IFERROR(_xlfn.XLOOKUP($D580,'Modelling New'!$D:$D,'Modelling New'!$W:$W),"")</f>
        <v/>
      </c>
      <c r="AG580" s="312" t="str">
        <f>IFERROR(_xlfn.XLOOKUP($D580,'Modelling New'!$D:$D,'Modelling New'!$AE:$AE),"")</f>
        <v/>
      </c>
      <c r="AH580" s="312" t="str">
        <f>IFERROR(_xlfn.XLOOKUP($D580,'Modelling New'!$D:$D,'Modelling New'!$AF:$AF),"")</f>
        <v/>
      </c>
      <c r="AI580" s="10" t="str">
        <f>IFERROR(_xlfn.XLOOKUP($A580,Input_Raw!$E:$E,Input_Raw!$DG:$DG),"")</f>
        <v/>
      </c>
      <c r="AJ580" s="10"/>
      <c r="AK580" s="10"/>
      <c r="AL580" s="10"/>
      <c r="AM580" s="10"/>
      <c r="AN580" s="314" t="str">
        <f>IFERROR(_xlfn.XLOOKUP($A580,Input_Raw!$E:$E,Input_Raw!$CY:$CY),"")</f>
        <v/>
      </c>
      <c r="AO580" s="312" t="str">
        <f>IFERROR((_xlfn.XLOOKUP($A580,'WTG Reactive Power'!$A:$A,'WTG Reactive Power'!AB:AB))/X580,"")</f>
        <v/>
      </c>
      <c r="AP580" s="312" t="str">
        <f>IFERROR(_xlfn.XLOOKUP($D580,'Modelling New'!$D:$D,'Modelling New'!AK:AK),"")</f>
        <v/>
      </c>
      <c r="AQ580" s="312" t="str">
        <f>IFERROR(_xlfn.XLOOKUP($D580,'Modelling New'!$D:$D,'Modelling New'!AL:AL),"")</f>
        <v/>
      </c>
      <c r="AR580" s="325" t="str">
        <f>IFERROR(_xlfn.XLOOKUP($D580,'Modelling New'!$D:$D,'Modelling New'!$N:$N),"")</f>
        <v/>
      </c>
      <c r="AS580" s="325"/>
    </row>
    <row r="581" spans="1:45">
      <c r="A581" s="32">
        <f t="shared" si="49"/>
        <v>46324</v>
      </c>
      <c r="B581" s="43">
        <f>YEAR(Table13[[#This Row],[Date]])+IF(MONTH(Table13[[#This Row],[Date]])&gt;=4,1,0)</f>
        <v>2027</v>
      </c>
      <c r="C581" s="10">
        <f>YEAR(Table13[[#This Row],[Date]])</f>
        <v>2026</v>
      </c>
      <c r="D581" s="309">
        <f>Table13[[#This Row],[Date]]-DAY(Table13[[#This Row],[Date]])+1</f>
        <v>46296</v>
      </c>
      <c r="E581" s="10">
        <f t="shared" si="45"/>
        <v>31</v>
      </c>
      <c r="F581" s="241" t="str">
        <f>IFERROR(_xlfn.XLOOKUP($A581,Input_Raw!$E:$E,Input_Raw!DC:DC),"")</f>
        <v/>
      </c>
      <c r="G581" s="242"/>
      <c r="H581" s="242"/>
      <c r="I581" s="242"/>
      <c r="J581" s="242"/>
      <c r="K581" s="243"/>
      <c r="L581" s="242"/>
      <c r="M581" s="242" t="str">
        <f>IFERROR(_xlfn.XLOOKUP($A581,Input_Raw!$E:$E,Input_Raw!$BM:$BM),"")</f>
        <v/>
      </c>
      <c r="N581" s="242" t="str">
        <f>IFERROR(_xlfn.XLOOKUP($A581,Input_Raw!$E:$E,Input_Raw!$BN:$BN),"")</f>
        <v/>
      </c>
      <c r="O581" s="311" t="str">
        <f t="shared" si="46"/>
        <v/>
      </c>
      <c r="P581" s="311" t="str">
        <f>IFERROR(1-SUMIF(WTG_BD!$F:$F,$A581,WTG_BD!$AA:$AA)/($AA581+SUMIF(WTG_BD!$F:$F,$A581,WTG_BD!$AA:$AA)),"")</f>
        <v/>
      </c>
      <c r="Q581" s="328" t="str">
        <f>IFERROR(1-SUMIF(IGA_BD!$F:$F,$A581,IGA_BD!$W:$W)/($AA581+SUMIF(IGA_BD!$F:$F,$A581,IGA_BD!$W:$W)),"")</f>
        <v/>
      </c>
      <c r="R581" s="311" t="str">
        <f>IFERROR(1-SUMIF(Grid_BD!$F:$F,$A581,Grid_BD!$Y:$Y)/($AA581+SUMIF(Grid_BD!$F:$F,$A581,Grid_BD!$Y:$Y)),"")</f>
        <v/>
      </c>
      <c r="S581" s="10"/>
      <c r="T581" s="310"/>
      <c r="U581" s="311"/>
      <c r="V581" s="10"/>
      <c r="W581" s="312" t="str">
        <f t="shared" si="47"/>
        <v/>
      </c>
      <c r="X581" s="10" t="str">
        <f>IFERROR(_xlfn.XLOOKUP($A581,Input_Raw!$E:$E,Input_Raw!BG:BG),"")</f>
        <v/>
      </c>
      <c r="Y581" s="10" t="str">
        <f>IFERROR(_xlfn.XLOOKUP($A581,Input_Raw!$E:$E,Input_Raw!DF:DF),"")</f>
        <v/>
      </c>
      <c r="Z581" s="319" t="str">
        <f>IFERROR(_xlfn.XLOOKUP(A581,Input_Raw!E:E,Input_Raw!CT:CT)/_xlfn.XLOOKUP(A581,Input_Raw!E:E,Input_Raw!CS:CS)*Table13[[#This Row],[Mtr_Export (kWh)]],"")</f>
        <v/>
      </c>
      <c r="AA581" s="43" t="str">
        <f t="shared" si="48"/>
        <v/>
      </c>
      <c r="AB581" s="10" t="str">
        <f>IFERROR(_xlfn.XLOOKUP($A581,Input_Raw!$E:$E,Input_Raw!$CZ:$CZ),"")</f>
        <v/>
      </c>
      <c r="AC581" s="313" t="str">
        <f>IFERROR(_xlfn.XLOOKUP($D581,'Modelling New'!$D:$D,'Modelling New'!$J:$J),"")</f>
        <v/>
      </c>
      <c r="AD581" s="43" t="str">
        <f>IFERROR(_xlfn.XLOOKUP($D581,'Modelling New'!$D:$D,'Modelling New'!$T:$T)*1000,"")</f>
        <v/>
      </c>
      <c r="AE581" s="312"/>
      <c r="AF581" s="312" t="str">
        <f>IFERROR(_xlfn.XLOOKUP($D581,'Modelling New'!$D:$D,'Modelling New'!$W:$W),"")</f>
        <v/>
      </c>
      <c r="AG581" s="312" t="str">
        <f>IFERROR(_xlfn.XLOOKUP($D581,'Modelling New'!$D:$D,'Modelling New'!$AE:$AE),"")</f>
        <v/>
      </c>
      <c r="AH581" s="312" t="str">
        <f>IFERROR(_xlfn.XLOOKUP($D581,'Modelling New'!$D:$D,'Modelling New'!$AF:$AF),"")</f>
        <v/>
      </c>
      <c r="AI581" s="10" t="str">
        <f>IFERROR(_xlfn.XLOOKUP($A581,Input_Raw!$E:$E,Input_Raw!$DG:$DG),"")</f>
        <v/>
      </c>
      <c r="AJ581" s="10"/>
      <c r="AK581" s="10"/>
      <c r="AL581" s="10"/>
      <c r="AM581" s="10"/>
      <c r="AN581" s="314" t="str">
        <f>IFERROR(_xlfn.XLOOKUP($A581,Input_Raw!$E:$E,Input_Raw!$CY:$CY),"")</f>
        <v/>
      </c>
      <c r="AO581" s="312" t="str">
        <f>IFERROR((_xlfn.XLOOKUP($A581,'WTG Reactive Power'!$A:$A,'WTG Reactive Power'!AB:AB))/X581,"")</f>
        <v/>
      </c>
      <c r="AP581" s="312" t="str">
        <f>IFERROR(_xlfn.XLOOKUP($D581,'Modelling New'!$D:$D,'Modelling New'!AK:AK),"")</f>
        <v/>
      </c>
      <c r="AQ581" s="312" t="str">
        <f>IFERROR(_xlfn.XLOOKUP($D581,'Modelling New'!$D:$D,'Modelling New'!AL:AL),"")</f>
        <v/>
      </c>
      <c r="AR581" s="325" t="str">
        <f>IFERROR(_xlfn.XLOOKUP($D581,'Modelling New'!$D:$D,'Modelling New'!$N:$N),"")</f>
        <v/>
      </c>
      <c r="AS581" s="325"/>
    </row>
    <row r="582" spans="1:45">
      <c r="A582" s="32">
        <f t="shared" si="49"/>
        <v>46325</v>
      </c>
      <c r="B582" s="43">
        <f>YEAR(Table13[[#This Row],[Date]])+IF(MONTH(Table13[[#This Row],[Date]])&gt;=4,1,0)</f>
        <v>2027</v>
      </c>
      <c r="C582" s="10">
        <f>YEAR(Table13[[#This Row],[Date]])</f>
        <v>2026</v>
      </c>
      <c r="D582" s="309">
        <f>Table13[[#This Row],[Date]]-DAY(Table13[[#This Row],[Date]])+1</f>
        <v>46296</v>
      </c>
      <c r="E582" s="10">
        <f t="shared" si="45"/>
        <v>31</v>
      </c>
      <c r="F582" s="241" t="str">
        <f>IFERROR(_xlfn.XLOOKUP($A582,Input_Raw!$E:$E,Input_Raw!DC:DC),"")</f>
        <v/>
      </c>
      <c r="G582" s="313"/>
      <c r="H582" s="313"/>
      <c r="I582" s="313"/>
      <c r="J582" s="313"/>
      <c r="K582" s="243"/>
      <c r="L582" s="242"/>
      <c r="M582" s="242" t="str">
        <f>IFERROR(_xlfn.XLOOKUP($A582,Input_Raw!$E:$E,Input_Raw!$BM:$BM),"")</f>
        <v/>
      </c>
      <c r="N582" s="242" t="str">
        <f>IFERROR(_xlfn.XLOOKUP($A582,Input_Raw!$E:$E,Input_Raw!$BN:$BN),"")</f>
        <v/>
      </c>
      <c r="O582" s="311" t="str">
        <f t="shared" si="46"/>
        <v/>
      </c>
      <c r="P582" s="311" t="str">
        <f>IFERROR(1-SUMIF(WTG_BD!$F:$F,$A582,WTG_BD!$AA:$AA)/($AA582+SUMIF(WTG_BD!$F:$F,$A582,WTG_BD!$AA:$AA)),"")</f>
        <v/>
      </c>
      <c r="Q582" s="328" t="str">
        <f>IFERROR(1-SUMIF(IGA_BD!$F:$F,$A582,IGA_BD!$W:$W)/($AA582+SUMIF(IGA_BD!$F:$F,$A582,IGA_BD!$W:$W)),"")</f>
        <v/>
      </c>
      <c r="R582" s="47" t="str">
        <f>IFERROR(1-SUMIF(Grid_BD!$F:$F,$A582,Grid_BD!$Y:$Y)/($AA582+SUMIF(Grid_BD!$F:$F,$A582,Grid_BD!$Y:$Y)),"")</f>
        <v/>
      </c>
      <c r="S582" s="10"/>
      <c r="T582" s="310"/>
      <c r="U582" s="311"/>
      <c r="V582" s="10"/>
      <c r="W582" s="312" t="str">
        <f t="shared" si="47"/>
        <v/>
      </c>
      <c r="X582" s="10" t="str">
        <f>IFERROR(_xlfn.XLOOKUP($A582,Input_Raw!$E:$E,Input_Raw!BG:BG),"")</f>
        <v/>
      </c>
      <c r="Y582" s="10" t="str">
        <f>IFERROR(_xlfn.XLOOKUP($A582,Input_Raw!$E:$E,Input_Raw!DF:DF),"")</f>
        <v/>
      </c>
      <c r="Z582" s="319" t="str">
        <f>IFERROR(_xlfn.XLOOKUP(A582,Input_Raw!E:E,Input_Raw!CT:CT)/_xlfn.XLOOKUP(A582,Input_Raw!E:E,Input_Raw!CS:CS)*Table13[[#This Row],[Mtr_Export (kWh)]],"")</f>
        <v/>
      </c>
      <c r="AA582" s="43" t="str">
        <f t="shared" si="48"/>
        <v/>
      </c>
      <c r="AB582" s="10" t="str">
        <f>IFERROR(_xlfn.XLOOKUP($A582,Input_Raw!$E:$E,Input_Raw!$CZ:$CZ),"")</f>
        <v/>
      </c>
      <c r="AC582" s="313" t="str">
        <f>IFERROR(_xlfn.XLOOKUP($D582,'Modelling New'!$D:$D,'Modelling New'!$J:$J),"")</f>
        <v/>
      </c>
      <c r="AD582" s="43" t="str">
        <f>IFERROR(_xlfn.XLOOKUP($D582,'Modelling New'!$D:$D,'Modelling New'!$T:$T)*1000,"")</f>
        <v/>
      </c>
      <c r="AE582" s="312"/>
      <c r="AF582" s="312" t="str">
        <f>IFERROR(_xlfn.XLOOKUP($D582,'Modelling New'!$D:$D,'Modelling New'!$W:$W),"")</f>
        <v/>
      </c>
      <c r="AG582" s="312" t="str">
        <f>IFERROR(_xlfn.XLOOKUP($D582,'Modelling New'!$D:$D,'Modelling New'!$AE:$AE),"")</f>
        <v/>
      </c>
      <c r="AH582" s="312" t="str">
        <f>IFERROR(_xlfn.XLOOKUP($D582,'Modelling New'!$D:$D,'Modelling New'!$AF:$AF),"")</f>
        <v/>
      </c>
      <c r="AI582" s="10" t="str">
        <f>IFERROR(_xlfn.XLOOKUP($A582,Input_Raw!$E:$E,Input_Raw!$DG:$DG),"")</f>
        <v/>
      </c>
      <c r="AJ582" s="10"/>
      <c r="AK582" s="10"/>
      <c r="AL582" s="10"/>
      <c r="AM582" s="10"/>
      <c r="AN582" s="314" t="str">
        <f>IFERROR(_xlfn.XLOOKUP($A582,Input_Raw!$E:$E,Input_Raw!$CY:$CY),"")</f>
        <v/>
      </c>
      <c r="AO582" s="312" t="str">
        <f>IFERROR((_xlfn.XLOOKUP($A582,'WTG Reactive Power'!$A:$A,'WTG Reactive Power'!AB:AB))/X582,"")</f>
        <v/>
      </c>
      <c r="AP582" s="312" t="str">
        <f>IFERROR(_xlfn.XLOOKUP($D582,'Modelling New'!$D:$D,'Modelling New'!AK:AK),"")</f>
        <v/>
      </c>
      <c r="AQ582" s="312" t="str">
        <f>IFERROR(_xlfn.XLOOKUP($D582,'Modelling New'!$D:$D,'Modelling New'!AL:AL),"")</f>
        <v/>
      </c>
      <c r="AR582" s="325" t="str">
        <f>IFERROR(_xlfn.XLOOKUP($D582,'Modelling New'!$D:$D,'Modelling New'!$N:$N),"")</f>
        <v/>
      </c>
      <c r="AS582" s="325"/>
    </row>
    <row r="583" spans="1:45">
      <c r="A583" s="32">
        <f t="shared" si="49"/>
        <v>46326</v>
      </c>
      <c r="B583" s="43">
        <f>YEAR(Table13[[#This Row],[Date]])+IF(MONTH(Table13[[#This Row],[Date]])&gt;=4,1,0)</f>
        <v>2027</v>
      </c>
      <c r="C583" s="10">
        <f>YEAR(Table13[[#This Row],[Date]])</f>
        <v>2026</v>
      </c>
      <c r="D583" s="309">
        <f>Table13[[#This Row],[Date]]-DAY(Table13[[#This Row],[Date]])+1</f>
        <v>46296</v>
      </c>
      <c r="E583" s="10">
        <f t="shared" ref="E583:E609" si="50">DAY(EOMONTH(A583,0))</f>
        <v>31</v>
      </c>
      <c r="F583" s="241" t="str">
        <f>IFERROR(_xlfn.XLOOKUP($A583,Input_Raw!$E:$E,Input_Raw!DC:DC),"")</f>
        <v/>
      </c>
      <c r="G583" s="242"/>
      <c r="H583" s="242"/>
      <c r="I583" s="242"/>
      <c r="J583" s="242"/>
      <c r="K583" s="243"/>
      <c r="L583" s="242"/>
      <c r="M583" s="242" t="str">
        <f>IFERROR(_xlfn.XLOOKUP($A583,Input_Raw!$E:$E,Input_Raw!$BM:$BM),"")</f>
        <v/>
      </c>
      <c r="N583" s="242" t="str">
        <f>IFERROR(_xlfn.XLOOKUP($A583,Input_Raw!$E:$E,Input_Raw!$BN:$BN),"")</f>
        <v/>
      </c>
      <c r="O583" s="311" t="str">
        <f t="shared" ref="O583:O609" si="51">IFERROR(P583*Q583,"")</f>
        <v/>
      </c>
      <c r="P583" s="311" t="str">
        <f>IFERROR(1-SUMIF(WTG_BD!$F:$F,$A583,WTG_BD!$AA:$AA)/($AA583+SUMIF(WTG_BD!$F:$F,$A583,WTG_BD!$AA:$AA)),"")</f>
        <v/>
      </c>
      <c r="Q583" s="328" t="str">
        <f>IFERROR(1-SUMIF(IGA_BD!$F:$F,$A583,IGA_BD!$W:$W)/($AA583+SUMIF(IGA_BD!$F:$F,$A583,IGA_BD!$W:$W)),"")</f>
        <v/>
      </c>
      <c r="R583" s="311" t="str">
        <f>IFERROR(1-SUMIF(Grid_BD!$F:$F,$A583,Grid_BD!$Y:$Y)/($AA583+SUMIF(Grid_BD!$F:$F,$A583,Grid_BD!$Y:$Y)),"")</f>
        <v/>
      </c>
      <c r="S583" s="10"/>
      <c r="T583" s="310"/>
      <c r="U583" s="311"/>
      <c r="V583" s="10"/>
      <c r="W583" s="312" t="str">
        <f t="shared" ref="W583:W609" si="52">IFERROR(X583/(24*AR583*1000),"")</f>
        <v/>
      </c>
      <c r="X583" s="10" t="str">
        <f>IFERROR(_xlfn.XLOOKUP($A583,Input_Raw!$E:$E,Input_Raw!BG:BG),"")</f>
        <v/>
      </c>
      <c r="Y583" s="10" t="str">
        <f>IFERROR(_xlfn.XLOOKUP($A583,Input_Raw!$E:$E,Input_Raw!DF:DF),"")</f>
        <v/>
      </c>
      <c r="Z583" s="319" t="str">
        <f>IFERROR(_xlfn.XLOOKUP(A583,Input_Raw!E:E,Input_Raw!CT:CT)/_xlfn.XLOOKUP(A583,Input_Raw!E:E,Input_Raw!CS:CS)*Table13[[#This Row],[Mtr_Export (kWh)]],"")</f>
        <v/>
      </c>
      <c r="AA583" s="43" t="str">
        <f t="shared" ref="AA583:AA609" si="53">IFERROR(Y583-Z583,"")</f>
        <v/>
      </c>
      <c r="AB583" s="10" t="str">
        <f>IFERROR(_xlfn.XLOOKUP($A583,Input_Raw!$E:$E,Input_Raw!$CZ:$CZ),"")</f>
        <v/>
      </c>
      <c r="AC583" s="313" t="str">
        <f>IFERROR(_xlfn.XLOOKUP($D583,'Modelling New'!$D:$D,'Modelling New'!$J:$J),"")</f>
        <v/>
      </c>
      <c r="AD583" s="43" t="str">
        <f>IFERROR(_xlfn.XLOOKUP($D583,'Modelling New'!$D:$D,'Modelling New'!$T:$T)*1000,"")</f>
        <v/>
      </c>
      <c r="AE583" s="312"/>
      <c r="AF583" s="312" t="str">
        <f>IFERROR(_xlfn.XLOOKUP($D583,'Modelling New'!$D:$D,'Modelling New'!$W:$W),"")</f>
        <v/>
      </c>
      <c r="AG583" s="312" t="str">
        <f>IFERROR(_xlfn.XLOOKUP($D583,'Modelling New'!$D:$D,'Modelling New'!$AE:$AE),"")</f>
        <v/>
      </c>
      <c r="AH583" s="312" t="str">
        <f>IFERROR(_xlfn.XLOOKUP($D583,'Modelling New'!$D:$D,'Modelling New'!$AF:$AF),"")</f>
        <v/>
      </c>
      <c r="AI583" s="10" t="str">
        <f>IFERROR(_xlfn.XLOOKUP($A583,Input_Raw!$E:$E,Input_Raw!$DG:$DG),"")</f>
        <v/>
      </c>
      <c r="AJ583" s="10"/>
      <c r="AK583" s="10"/>
      <c r="AL583" s="10"/>
      <c r="AM583" s="10"/>
      <c r="AN583" s="314" t="str">
        <f>IFERROR(_xlfn.XLOOKUP($A583,Input_Raw!$E:$E,Input_Raw!$CY:$CY),"")</f>
        <v/>
      </c>
      <c r="AO583" s="312" t="str">
        <f>IFERROR((_xlfn.XLOOKUP($A583,'WTG Reactive Power'!$A:$A,'WTG Reactive Power'!AB:AB))/X583,"")</f>
        <v/>
      </c>
      <c r="AP583" s="312" t="str">
        <f>IFERROR(_xlfn.XLOOKUP($D583,'Modelling New'!$D:$D,'Modelling New'!AK:AK),"")</f>
        <v/>
      </c>
      <c r="AQ583" s="312" t="str">
        <f>IFERROR(_xlfn.XLOOKUP($D583,'Modelling New'!$D:$D,'Modelling New'!AL:AL),"")</f>
        <v/>
      </c>
      <c r="AR583" s="325" t="str">
        <f>IFERROR(_xlfn.XLOOKUP($D583,'Modelling New'!$D:$D,'Modelling New'!$N:$N),"")</f>
        <v/>
      </c>
      <c r="AS583" s="325"/>
    </row>
    <row r="584" spans="1:45">
      <c r="A584" s="32">
        <f t="shared" si="49"/>
        <v>46327</v>
      </c>
      <c r="B584" s="43">
        <f>YEAR(Table13[[#This Row],[Date]])+IF(MONTH(Table13[[#This Row],[Date]])&gt;=4,1,0)</f>
        <v>2027</v>
      </c>
      <c r="C584" s="10">
        <f>YEAR(Table13[[#This Row],[Date]])</f>
        <v>2026</v>
      </c>
      <c r="D584" s="309">
        <f>Table13[[#This Row],[Date]]-DAY(Table13[[#This Row],[Date]])+1</f>
        <v>46327</v>
      </c>
      <c r="E584" s="10">
        <f t="shared" si="50"/>
        <v>30</v>
      </c>
      <c r="F584" s="241" t="str">
        <f>IFERROR(_xlfn.XLOOKUP($A584,Input_Raw!$E:$E,Input_Raw!DC:DC),"")</f>
        <v/>
      </c>
      <c r="G584" s="313"/>
      <c r="H584" s="313"/>
      <c r="I584" s="313"/>
      <c r="J584" s="313"/>
      <c r="K584" s="243"/>
      <c r="L584" s="242"/>
      <c r="M584" s="242" t="str">
        <f>IFERROR(_xlfn.XLOOKUP($A584,Input_Raw!$E:$E,Input_Raw!$BM:$BM),"")</f>
        <v/>
      </c>
      <c r="N584" s="242" t="str">
        <f>IFERROR(_xlfn.XLOOKUP($A584,Input_Raw!$E:$E,Input_Raw!$BN:$BN),"")</f>
        <v/>
      </c>
      <c r="O584" s="311" t="str">
        <f t="shared" si="51"/>
        <v/>
      </c>
      <c r="P584" s="311" t="str">
        <f>IFERROR(1-SUMIF(WTG_BD!$F:$F,$A584,WTG_BD!$AA:$AA)/($AA584+SUMIF(WTG_BD!$F:$F,$A584,WTG_BD!$AA:$AA)),"")</f>
        <v/>
      </c>
      <c r="Q584" s="328" t="str">
        <f>IFERROR(1-SUMIF(IGA_BD!$F:$F,$A584,IGA_BD!$W:$W)/($AA584+SUMIF(IGA_BD!$F:$F,$A584,IGA_BD!$W:$W)),"")</f>
        <v/>
      </c>
      <c r="R584" s="47" t="str">
        <f>IFERROR(1-SUMIF(Grid_BD!$F:$F,$A584,Grid_BD!$Y:$Y)/($AA584+SUMIF(Grid_BD!$F:$F,$A584,Grid_BD!$Y:$Y)),"")</f>
        <v/>
      </c>
      <c r="S584" s="10"/>
      <c r="T584" s="310"/>
      <c r="U584" s="311"/>
      <c r="V584" s="10"/>
      <c r="W584" s="312" t="str">
        <f t="shared" si="52"/>
        <v/>
      </c>
      <c r="X584" s="10" t="str">
        <f>IFERROR(_xlfn.XLOOKUP($A584,Input_Raw!$E:$E,Input_Raw!BG:BG),"")</f>
        <v/>
      </c>
      <c r="Y584" s="10" t="str">
        <f>IFERROR(_xlfn.XLOOKUP($A584,Input_Raw!$E:$E,Input_Raw!DF:DF),"")</f>
        <v/>
      </c>
      <c r="Z584" s="319" t="str">
        <f>IFERROR(_xlfn.XLOOKUP(A584,Input_Raw!E:E,Input_Raw!CT:CT)/_xlfn.XLOOKUP(A584,Input_Raw!E:E,Input_Raw!CS:CS)*Table13[[#This Row],[Mtr_Export (kWh)]],"")</f>
        <v/>
      </c>
      <c r="AA584" s="43" t="str">
        <f t="shared" si="53"/>
        <v/>
      </c>
      <c r="AB584" s="10" t="str">
        <f>IFERROR(_xlfn.XLOOKUP($A584,Input_Raw!$E:$E,Input_Raw!$CZ:$CZ),"")</f>
        <v/>
      </c>
      <c r="AC584" s="313" t="str">
        <f>IFERROR(_xlfn.XLOOKUP($D584,'Modelling New'!$D:$D,'Modelling New'!$J:$J),"")</f>
        <v/>
      </c>
      <c r="AD584" s="43" t="str">
        <f>IFERROR(_xlfn.XLOOKUP($D584,'Modelling New'!$D:$D,'Modelling New'!$T:$T)*1000,"")</f>
        <v/>
      </c>
      <c r="AE584" s="312"/>
      <c r="AF584" s="312" t="str">
        <f>IFERROR(_xlfn.XLOOKUP($D584,'Modelling New'!$D:$D,'Modelling New'!$W:$W),"")</f>
        <v/>
      </c>
      <c r="AG584" s="312" t="str">
        <f>IFERROR(_xlfn.XLOOKUP($D584,'Modelling New'!$D:$D,'Modelling New'!$AE:$AE),"")</f>
        <v/>
      </c>
      <c r="AH584" s="312" t="str">
        <f>IFERROR(_xlfn.XLOOKUP($D584,'Modelling New'!$D:$D,'Modelling New'!$AF:$AF),"")</f>
        <v/>
      </c>
      <c r="AI584" s="10" t="str">
        <f>IFERROR(_xlfn.XLOOKUP($A584,Input_Raw!$E:$E,Input_Raw!$DG:$DG),"")</f>
        <v/>
      </c>
      <c r="AJ584" s="10"/>
      <c r="AK584" s="10"/>
      <c r="AL584" s="10"/>
      <c r="AM584" s="10"/>
      <c r="AN584" s="314" t="str">
        <f>IFERROR(_xlfn.XLOOKUP($A584,Input_Raw!$E:$E,Input_Raw!$CY:$CY),"")</f>
        <v/>
      </c>
      <c r="AO584" s="312" t="str">
        <f>IFERROR((_xlfn.XLOOKUP($A584,'WTG Reactive Power'!$A:$A,'WTG Reactive Power'!AB:AB))/X584,"")</f>
        <v/>
      </c>
      <c r="AP584" s="312" t="str">
        <f>IFERROR(_xlfn.XLOOKUP($D584,'Modelling New'!$D:$D,'Modelling New'!AK:AK),"")</f>
        <v/>
      </c>
      <c r="AQ584" s="312" t="str">
        <f>IFERROR(_xlfn.XLOOKUP($D584,'Modelling New'!$D:$D,'Modelling New'!AL:AL),"")</f>
        <v/>
      </c>
      <c r="AR584" s="325" t="str">
        <f>IFERROR(_xlfn.XLOOKUP($D584,'Modelling New'!$D:$D,'Modelling New'!$N:$N),"")</f>
        <v/>
      </c>
      <c r="AS584" s="325"/>
    </row>
    <row r="585" spans="1:45">
      <c r="A585" s="32">
        <f t="shared" ref="A585:A609" si="54">A584+1</f>
        <v>46328</v>
      </c>
      <c r="B585" s="43">
        <f>YEAR(Table13[[#This Row],[Date]])+IF(MONTH(Table13[[#This Row],[Date]])&gt;=4,1,0)</f>
        <v>2027</v>
      </c>
      <c r="C585" s="10">
        <f>YEAR(Table13[[#This Row],[Date]])</f>
        <v>2026</v>
      </c>
      <c r="D585" s="309">
        <f>Table13[[#This Row],[Date]]-DAY(Table13[[#This Row],[Date]])+1</f>
        <v>46327</v>
      </c>
      <c r="E585" s="10">
        <f t="shared" si="50"/>
        <v>30</v>
      </c>
      <c r="F585" s="241" t="str">
        <f>IFERROR(_xlfn.XLOOKUP($A585,Input_Raw!$E:$E,Input_Raw!DC:DC),"")</f>
        <v/>
      </c>
      <c r="G585" s="242"/>
      <c r="H585" s="242"/>
      <c r="I585" s="242"/>
      <c r="J585" s="242"/>
      <c r="K585" s="243"/>
      <c r="L585" s="242"/>
      <c r="M585" s="242" t="str">
        <f>IFERROR(_xlfn.XLOOKUP($A585,Input_Raw!$E:$E,Input_Raw!$BM:$BM),"")</f>
        <v/>
      </c>
      <c r="N585" s="242" t="str">
        <f>IFERROR(_xlfn.XLOOKUP($A585,Input_Raw!$E:$E,Input_Raw!$BN:$BN),"")</f>
        <v/>
      </c>
      <c r="O585" s="311" t="str">
        <f t="shared" si="51"/>
        <v/>
      </c>
      <c r="P585" s="311" t="str">
        <f>IFERROR(1-SUMIF(WTG_BD!$F:$F,$A585,WTG_BD!$AA:$AA)/($AA585+SUMIF(WTG_BD!$F:$F,$A585,WTG_BD!$AA:$AA)),"")</f>
        <v/>
      </c>
      <c r="Q585" s="328" t="str">
        <f>IFERROR(1-SUMIF(IGA_BD!$F:$F,$A585,IGA_BD!$W:$W)/($AA585+SUMIF(IGA_BD!$F:$F,$A585,IGA_BD!$W:$W)),"")</f>
        <v/>
      </c>
      <c r="R585" s="311" t="str">
        <f>IFERROR(1-SUMIF(Grid_BD!$F:$F,$A585,Grid_BD!$Y:$Y)/($AA585+SUMIF(Grid_BD!$F:$F,$A585,Grid_BD!$Y:$Y)),"")</f>
        <v/>
      </c>
      <c r="S585" s="10"/>
      <c r="T585" s="310"/>
      <c r="U585" s="311"/>
      <c r="V585" s="10"/>
      <c r="W585" s="312" t="str">
        <f t="shared" si="52"/>
        <v/>
      </c>
      <c r="X585" s="10" t="str">
        <f>IFERROR(_xlfn.XLOOKUP($A585,Input_Raw!$E:$E,Input_Raw!BG:BG),"")</f>
        <v/>
      </c>
      <c r="Y585" s="10" t="str">
        <f>IFERROR(_xlfn.XLOOKUP($A585,Input_Raw!$E:$E,Input_Raw!DF:DF),"")</f>
        <v/>
      </c>
      <c r="Z585" s="319" t="str">
        <f>IFERROR(_xlfn.XLOOKUP(A585,Input_Raw!E:E,Input_Raw!CT:CT)/_xlfn.XLOOKUP(A585,Input_Raw!E:E,Input_Raw!CS:CS)*Table13[[#This Row],[Mtr_Export (kWh)]],"")</f>
        <v/>
      </c>
      <c r="AA585" s="43" t="str">
        <f t="shared" si="53"/>
        <v/>
      </c>
      <c r="AB585" s="10" t="str">
        <f>IFERROR(_xlfn.XLOOKUP($A585,Input_Raw!$E:$E,Input_Raw!$CZ:$CZ),"")</f>
        <v/>
      </c>
      <c r="AC585" s="313" t="str">
        <f>IFERROR(_xlfn.XLOOKUP($D585,'Modelling New'!$D:$D,'Modelling New'!$J:$J),"")</f>
        <v/>
      </c>
      <c r="AD585" s="43" t="str">
        <f>IFERROR(_xlfn.XLOOKUP($D585,'Modelling New'!$D:$D,'Modelling New'!$T:$T)*1000,"")</f>
        <v/>
      </c>
      <c r="AE585" s="312"/>
      <c r="AF585" s="312" t="str">
        <f>IFERROR(_xlfn.XLOOKUP($D585,'Modelling New'!$D:$D,'Modelling New'!$W:$W),"")</f>
        <v/>
      </c>
      <c r="AG585" s="312" t="str">
        <f>IFERROR(_xlfn.XLOOKUP($D585,'Modelling New'!$D:$D,'Modelling New'!$AE:$AE),"")</f>
        <v/>
      </c>
      <c r="AH585" s="312" t="str">
        <f>IFERROR(_xlfn.XLOOKUP($D585,'Modelling New'!$D:$D,'Modelling New'!$AF:$AF),"")</f>
        <v/>
      </c>
      <c r="AI585" s="10" t="str">
        <f>IFERROR(_xlfn.XLOOKUP($A585,Input_Raw!$E:$E,Input_Raw!$DG:$DG),"")</f>
        <v/>
      </c>
      <c r="AJ585" s="10"/>
      <c r="AK585" s="10"/>
      <c r="AL585" s="10"/>
      <c r="AM585" s="10"/>
      <c r="AN585" s="314" t="str">
        <f>IFERROR(_xlfn.XLOOKUP($A585,Input_Raw!$E:$E,Input_Raw!$CY:$CY),"")</f>
        <v/>
      </c>
      <c r="AO585" s="312" t="str">
        <f>IFERROR((_xlfn.XLOOKUP($A585,'WTG Reactive Power'!$A:$A,'WTG Reactive Power'!AB:AB))/X585,"")</f>
        <v/>
      </c>
      <c r="AP585" s="312" t="str">
        <f>IFERROR(_xlfn.XLOOKUP($D585,'Modelling New'!$D:$D,'Modelling New'!AK:AK),"")</f>
        <v/>
      </c>
      <c r="AQ585" s="312" t="str">
        <f>IFERROR(_xlfn.XLOOKUP($D585,'Modelling New'!$D:$D,'Modelling New'!AL:AL),"")</f>
        <v/>
      </c>
      <c r="AR585" s="325" t="str">
        <f>IFERROR(_xlfn.XLOOKUP($D585,'Modelling New'!$D:$D,'Modelling New'!$N:$N),"")</f>
        <v/>
      </c>
      <c r="AS585" s="325"/>
    </row>
    <row r="586" spans="1:45">
      <c r="A586" s="32">
        <f t="shared" si="54"/>
        <v>46329</v>
      </c>
      <c r="B586" s="43">
        <f>YEAR(Table13[[#This Row],[Date]])+IF(MONTH(Table13[[#This Row],[Date]])&gt;=4,1,0)</f>
        <v>2027</v>
      </c>
      <c r="C586" s="10">
        <f>YEAR(Table13[[#This Row],[Date]])</f>
        <v>2026</v>
      </c>
      <c r="D586" s="309">
        <f>Table13[[#This Row],[Date]]-DAY(Table13[[#This Row],[Date]])+1</f>
        <v>46327</v>
      </c>
      <c r="E586" s="10">
        <f t="shared" si="50"/>
        <v>30</v>
      </c>
      <c r="F586" s="241" t="str">
        <f>IFERROR(_xlfn.XLOOKUP($A586,Input_Raw!$E:$E,Input_Raw!DC:DC),"")</f>
        <v/>
      </c>
      <c r="G586" s="313"/>
      <c r="H586" s="313"/>
      <c r="I586" s="313"/>
      <c r="J586" s="313"/>
      <c r="K586" s="243"/>
      <c r="L586" s="242"/>
      <c r="M586" s="242" t="str">
        <f>IFERROR(_xlfn.XLOOKUP($A586,Input_Raw!$E:$E,Input_Raw!$BM:$BM),"")</f>
        <v/>
      </c>
      <c r="N586" s="242" t="str">
        <f>IFERROR(_xlfn.XLOOKUP($A586,Input_Raw!$E:$E,Input_Raw!$BN:$BN),"")</f>
        <v/>
      </c>
      <c r="O586" s="311" t="str">
        <f t="shared" si="51"/>
        <v/>
      </c>
      <c r="P586" s="311" t="str">
        <f>IFERROR(1-SUMIF(WTG_BD!$F:$F,$A586,WTG_BD!$AA:$AA)/($AA586+SUMIF(WTG_BD!$F:$F,$A586,WTG_BD!$AA:$AA)),"")</f>
        <v/>
      </c>
      <c r="Q586" s="328" t="str">
        <f>IFERROR(1-SUMIF(IGA_BD!$F:$F,$A586,IGA_BD!$W:$W)/($AA586+SUMIF(IGA_BD!$F:$F,$A586,IGA_BD!$W:$W)),"")</f>
        <v/>
      </c>
      <c r="R586" s="47" t="str">
        <f>IFERROR(1-SUMIF(Grid_BD!$F:$F,$A586,Grid_BD!$Y:$Y)/($AA586+SUMIF(Grid_BD!$F:$F,$A586,Grid_BD!$Y:$Y)),"")</f>
        <v/>
      </c>
      <c r="S586" s="10"/>
      <c r="T586" s="310"/>
      <c r="U586" s="311"/>
      <c r="V586" s="10"/>
      <c r="W586" s="312" t="str">
        <f t="shared" si="52"/>
        <v/>
      </c>
      <c r="X586" s="10" t="str">
        <f>IFERROR(_xlfn.XLOOKUP($A586,Input_Raw!$E:$E,Input_Raw!BG:BG),"")</f>
        <v/>
      </c>
      <c r="Y586" s="10" t="str">
        <f>IFERROR(_xlfn.XLOOKUP($A586,Input_Raw!$E:$E,Input_Raw!DF:DF),"")</f>
        <v/>
      </c>
      <c r="Z586" s="319" t="str">
        <f>IFERROR(_xlfn.XLOOKUP(A586,Input_Raw!E:E,Input_Raw!CT:CT)/_xlfn.XLOOKUP(A586,Input_Raw!E:E,Input_Raw!CS:CS)*Table13[[#This Row],[Mtr_Export (kWh)]],"")</f>
        <v/>
      </c>
      <c r="AA586" s="43" t="str">
        <f t="shared" si="53"/>
        <v/>
      </c>
      <c r="AB586" s="10" t="str">
        <f>IFERROR(_xlfn.XLOOKUP($A586,Input_Raw!$E:$E,Input_Raw!$CZ:$CZ),"")</f>
        <v/>
      </c>
      <c r="AC586" s="313" t="str">
        <f>IFERROR(_xlfn.XLOOKUP($D586,'Modelling New'!$D:$D,'Modelling New'!$J:$J),"")</f>
        <v/>
      </c>
      <c r="AD586" s="43" t="str">
        <f>IFERROR(_xlfn.XLOOKUP($D586,'Modelling New'!$D:$D,'Modelling New'!$T:$T)*1000,"")</f>
        <v/>
      </c>
      <c r="AE586" s="312"/>
      <c r="AF586" s="312" t="str">
        <f>IFERROR(_xlfn.XLOOKUP($D586,'Modelling New'!$D:$D,'Modelling New'!$W:$W),"")</f>
        <v/>
      </c>
      <c r="AG586" s="312" t="str">
        <f>IFERROR(_xlfn.XLOOKUP($D586,'Modelling New'!$D:$D,'Modelling New'!$AE:$AE),"")</f>
        <v/>
      </c>
      <c r="AH586" s="312" t="str">
        <f>IFERROR(_xlfn.XLOOKUP($D586,'Modelling New'!$D:$D,'Modelling New'!$AF:$AF),"")</f>
        <v/>
      </c>
      <c r="AI586" s="10" t="str">
        <f>IFERROR(_xlfn.XLOOKUP($A586,Input_Raw!$E:$E,Input_Raw!$DG:$DG),"")</f>
        <v/>
      </c>
      <c r="AJ586" s="10"/>
      <c r="AK586" s="10"/>
      <c r="AL586" s="10"/>
      <c r="AM586" s="10"/>
      <c r="AN586" s="314" t="str">
        <f>IFERROR(_xlfn.XLOOKUP($A586,Input_Raw!$E:$E,Input_Raw!$CY:$CY),"")</f>
        <v/>
      </c>
      <c r="AO586" s="312" t="str">
        <f>IFERROR((_xlfn.XLOOKUP($A586,'WTG Reactive Power'!$A:$A,'WTG Reactive Power'!AB:AB))/X586,"")</f>
        <v/>
      </c>
      <c r="AP586" s="312" t="str">
        <f>IFERROR(_xlfn.XLOOKUP($D586,'Modelling New'!$D:$D,'Modelling New'!AK:AK),"")</f>
        <v/>
      </c>
      <c r="AQ586" s="312" t="str">
        <f>IFERROR(_xlfn.XLOOKUP($D586,'Modelling New'!$D:$D,'Modelling New'!AL:AL),"")</f>
        <v/>
      </c>
      <c r="AR586" s="325" t="str">
        <f>IFERROR(_xlfn.XLOOKUP($D586,'Modelling New'!$D:$D,'Modelling New'!$N:$N),"")</f>
        <v/>
      </c>
      <c r="AS586" s="325"/>
    </row>
    <row r="587" spans="1:45">
      <c r="A587" s="32">
        <f t="shared" si="54"/>
        <v>46330</v>
      </c>
      <c r="B587" s="43">
        <f>YEAR(Table13[[#This Row],[Date]])+IF(MONTH(Table13[[#This Row],[Date]])&gt;=4,1,0)</f>
        <v>2027</v>
      </c>
      <c r="C587" s="10">
        <f>YEAR(Table13[[#This Row],[Date]])</f>
        <v>2026</v>
      </c>
      <c r="D587" s="309">
        <f>Table13[[#This Row],[Date]]-DAY(Table13[[#This Row],[Date]])+1</f>
        <v>46327</v>
      </c>
      <c r="E587" s="10">
        <f t="shared" si="50"/>
        <v>30</v>
      </c>
      <c r="F587" s="241" t="str">
        <f>IFERROR(_xlfn.XLOOKUP($A587,Input_Raw!$E:$E,Input_Raw!DC:DC),"")</f>
        <v/>
      </c>
      <c r="G587" s="242"/>
      <c r="H587" s="242"/>
      <c r="I587" s="242"/>
      <c r="J587" s="242"/>
      <c r="K587" s="243"/>
      <c r="L587" s="242"/>
      <c r="M587" s="242" t="str">
        <f>IFERROR(_xlfn.XLOOKUP($A587,Input_Raw!$E:$E,Input_Raw!$BM:$BM),"")</f>
        <v/>
      </c>
      <c r="N587" s="242" t="str">
        <f>IFERROR(_xlfn.XLOOKUP($A587,Input_Raw!$E:$E,Input_Raw!$BN:$BN),"")</f>
        <v/>
      </c>
      <c r="O587" s="311" t="str">
        <f t="shared" si="51"/>
        <v/>
      </c>
      <c r="P587" s="311" t="str">
        <f>IFERROR(1-SUMIF(WTG_BD!$F:$F,$A587,WTG_BD!$AA:$AA)/($AA587+SUMIF(WTG_BD!$F:$F,$A587,WTG_BD!$AA:$AA)),"")</f>
        <v/>
      </c>
      <c r="Q587" s="328" t="str">
        <f>IFERROR(1-SUMIF(IGA_BD!$F:$F,$A587,IGA_BD!$W:$W)/($AA587+SUMIF(IGA_BD!$F:$F,$A587,IGA_BD!$W:$W)),"")</f>
        <v/>
      </c>
      <c r="R587" s="311" t="str">
        <f>IFERROR(1-SUMIF(Grid_BD!$F:$F,$A587,Grid_BD!$Y:$Y)/($AA587+SUMIF(Grid_BD!$F:$F,$A587,Grid_BD!$Y:$Y)),"")</f>
        <v/>
      </c>
      <c r="S587" s="10"/>
      <c r="T587" s="310"/>
      <c r="U587" s="311"/>
      <c r="V587" s="10"/>
      <c r="W587" s="312" t="str">
        <f t="shared" si="52"/>
        <v/>
      </c>
      <c r="X587" s="10" t="str">
        <f>IFERROR(_xlfn.XLOOKUP($A587,Input_Raw!$E:$E,Input_Raw!BG:BG),"")</f>
        <v/>
      </c>
      <c r="Y587" s="10" t="str">
        <f>IFERROR(_xlfn.XLOOKUP($A587,Input_Raw!$E:$E,Input_Raw!DF:DF),"")</f>
        <v/>
      </c>
      <c r="Z587" s="319" t="str">
        <f>IFERROR(_xlfn.XLOOKUP(A587,Input_Raw!E:E,Input_Raw!CT:CT)/_xlfn.XLOOKUP(A587,Input_Raw!E:E,Input_Raw!CS:CS)*Table13[[#This Row],[Mtr_Export (kWh)]],"")</f>
        <v/>
      </c>
      <c r="AA587" s="43" t="str">
        <f t="shared" si="53"/>
        <v/>
      </c>
      <c r="AB587" s="10" t="str">
        <f>IFERROR(_xlfn.XLOOKUP($A587,Input_Raw!$E:$E,Input_Raw!$CZ:$CZ),"")</f>
        <v/>
      </c>
      <c r="AC587" s="313" t="str">
        <f>IFERROR(_xlfn.XLOOKUP($D587,'Modelling New'!$D:$D,'Modelling New'!$J:$J),"")</f>
        <v/>
      </c>
      <c r="AD587" s="43" t="str">
        <f>IFERROR(_xlfn.XLOOKUP($D587,'Modelling New'!$D:$D,'Modelling New'!$T:$T)*1000,"")</f>
        <v/>
      </c>
      <c r="AE587" s="312"/>
      <c r="AF587" s="312" t="str">
        <f>IFERROR(_xlfn.XLOOKUP($D587,'Modelling New'!$D:$D,'Modelling New'!$W:$W),"")</f>
        <v/>
      </c>
      <c r="AG587" s="312" t="str">
        <f>IFERROR(_xlfn.XLOOKUP($D587,'Modelling New'!$D:$D,'Modelling New'!$AE:$AE),"")</f>
        <v/>
      </c>
      <c r="AH587" s="312" t="str">
        <f>IFERROR(_xlfn.XLOOKUP($D587,'Modelling New'!$D:$D,'Modelling New'!$AF:$AF),"")</f>
        <v/>
      </c>
      <c r="AI587" s="10" t="str">
        <f>IFERROR(_xlfn.XLOOKUP($A587,Input_Raw!$E:$E,Input_Raw!$DG:$DG),"")</f>
        <v/>
      </c>
      <c r="AJ587" s="10"/>
      <c r="AK587" s="10"/>
      <c r="AL587" s="10"/>
      <c r="AM587" s="10"/>
      <c r="AN587" s="314" t="str">
        <f>IFERROR(_xlfn.XLOOKUP($A587,Input_Raw!$E:$E,Input_Raw!$CY:$CY),"")</f>
        <v/>
      </c>
      <c r="AO587" s="312" t="str">
        <f>IFERROR((_xlfn.XLOOKUP($A587,'WTG Reactive Power'!$A:$A,'WTG Reactive Power'!AB:AB))/X587,"")</f>
        <v/>
      </c>
      <c r="AP587" s="312" t="str">
        <f>IFERROR(_xlfn.XLOOKUP($D587,'Modelling New'!$D:$D,'Modelling New'!AK:AK),"")</f>
        <v/>
      </c>
      <c r="AQ587" s="312" t="str">
        <f>IFERROR(_xlfn.XLOOKUP($D587,'Modelling New'!$D:$D,'Modelling New'!AL:AL),"")</f>
        <v/>
      </c>
      <c r="AR587" s="325" t="str">
        <f>IFERROR(_xlfn.XLOOKUP($D587,'Modelling New'!$D:$D,'Modelling New'!$N:$N),"")</f>
        <v/>
      </c>
      <c r="AS587" s="325"/>
    </row>
    <row r="588" spans="1:45">
      <c r="A588" s="32">
        <f t="shared" si="54"/>
        <v>46331</v>
      </c>
      <c r="B588" s="43">
        <f>YEAR(Table13[[#This Row],[Date]])+IF(MONTH(Table13[[#This Row],[Date]])&gt;=4,1,0)</f>
        <v>2027</v>
      </c>
      <c r="C588" s="10">
        <f>YEAR(Table13[[#This Row],[Date]])</f>
        <v>2026</v>
      </c>
      <c r="D588" s="309">
        <f>Table13[[#This Row],[Date]]-DAY(Table13[[#This Row],[Date]])+1</f>
        <v>46327</v>
      </c>
      <c r="E588" s="10">
        <f t="shared" si="50"/>
        <v>30</v>
      </c>
      <c r="F588" s="241" t="str">
        <f>IFERROR(_xlfn.XLOOKUP($A588,Input_Raw!$E:$E,Input_Raw!DC:DC),"")</f>
        <v/>
      </c>
      <c r="G588" s="313"/>
      <c r="H588" s="313"/>
      <c r="I588" s="313"/>
      <c r="J588" s="313"/>
      <c r="K588" s="243"/>
      <c r="L588" s="242"/>
      <c r="M588" s="242" t="str">
        <f>IFERROR(_xlfn.XLOOKUP($A588,Input_Raw!$E:$E,Input_Raw!$BM:$BM),"")</f>
        <v/>
      </c>
      <c r="N588" s="242" t="str">
        <f>IFERROR(_xlfn.XLOOKUP($A588,Input_Raw!$E:$E,Input_Raw!$BN:$BN),"")</f>
        <v/>
      </c>
      <c r="O588" s="311" t="str">
        <f t="shared" si="51"/>
        <v/>
      </c>
      <c r="P588" s="311" t="str">
        <f>IFERROR(1-SUMIF(WTG_BD!$F:$F,$A588,WTG_BD!$AA:$AA)/($AA588+SUMIF(WTG_BD!$F:$F,$A588,WTG_BD!$AA:$AA)),"")</f>
        <v/>
      </c>
      <c r="Q588" s="328" t="str">
        <f>IFERROR(1-SUMIF(IGA_BD!$F:$F,$A588,IGA_BD!$W:$W)/($AA588+SUMIF(IGA_BD!$F:$F,$A588,IGA_BD!$W:$W)),"")</f>
        <v/>
      </c>
      <c r="R588" s="47" t="str">
        <f>IFERROR(1-SUMIF(Grid_BD!$F:$F,$A588,Grid_BD!$Y:$Y)/($AA588+SUMIF(Grid_BD!$F:$F,$A588,Grid_BD!$Y:$Y)),"")</f>
        <v/>
      </c>
      <c r="S588" s="10"/>
      <c r="T588" s="310"/>
      <c r="U588" s="311"/>
      <c r="V588" s="10"/>
      <c r="W588" s="312" t="str">
        <f t="shared" si="52"/>
        <v/>
      </c>
      <c r="X588" s="10" t="str">
        <f>IFERROR(_xlfn.XLOOKUP($A588,Input_Raw!$E:$E,Input_Raw!BG:BG),"")</f>
        <v/>
      </c>
      <c r="Y588" s="10" t="str">
        <f>IFERROR(_xlfn.XLOOKUP($A588,Input_Raw!$E:$E,Input_Raw!DF:DF),"")</f>
        <v/>
      </c>
      <c r="Z588" s="319" t="str">
        <f>IFERROR(_xlfn.XLOOKUP(A588,Input_Raw!E:E,Input_Raw!CT:CT)/_xlfn.XLOOKUP(A588,Input_Raw!E:E,Input_Raw!CS:CS)*Table13[[#This Row],[Mtr_Export (kWh)]],"")</f>
        <v/>
      </c>
      <c r="AA588" s="43" t="str">
        <f t="shared" si="53"/>
        <v/>
      </c>
      <c r="AB588" s="10" t="str">
        <f>IFERROR(_xlfn.XLOOKUP($A588,Input_Raw!$E:$E,Input_Raw!$CZ:$CZ),"")</f>
        <v/>
      </c>
      <c r="AC588" s="313" t="str">
        <f>IFERROR(_xlfn.XLOOKUP($D588,'Modelling New'!$D:$D,'Modelling New'!$J:$J),"")</f>
        <v/>
      </c>
      <c r="AD588" s="43" t="str">
        <f>IFERROR(_xlfn.XLOOKUP($D588,'Modelling New'!$D:$D,'Modelling New'!$T:$T)*1000,"")</f>
        <v/>
      </c>
      <c r="AE588" s="312"/>
      <c r="AF588" s="312" t="str">
        <f>IFERROR(_xlfn.XLOOKUP($D588,'Modelling New'!$D:$D,'Modelling New'!$W:$W),"")</f>
        <v/>
      </c>
      <c r="AG588" s="312" t="str">
        <f>IFERROR(_xlfn.XLOOKUP($D588,'Modelling New'!$D:$D,'Modelling New'!$AE:$AE),"")</f>
        <v/>
      </c>
      <c r="AH588" s="312" t="str">
        <f>IFERROR(_xlfn.XLOOKUP($D588,'Modelling New'!$D:$D,'Modelling New'!$AF:$AF),"")</f>
        <v/>
      </c>
      <c r="AI588" s="10" t="str">
        <f>IFERROR(_xlfn.XLOOKUP($A588,Input_Raw!$E:$E,Input_Raw!$DG:$DG),"")</f>
        <v/>
      </c>
      <c r="AJ588" s="10"/>
      <c r="AK588" s="10"/>
      <c r="AL588" s="10"/>
      <c r="AM588" s="10"/>
      <c r="AN588" s="314" t="str">
        <f>IFERROR(_xlfn.XLOOKUP($A588,Input_Raw!$E:$E,Input_Raw!$CY:$CY),"")</f>
        <v/>
      </c>
      <c r="AO588" s="312" t="str">
        <f>IFERROR((_xlfn.XLOOKUP($A588,'WTG Reactive Power'!$A:$A,'WTG Reactive Power'!AB:AB))/X588,"")</f>
        <v/>
      </c>
      <c r="AP588" s="312" t="str">
        <f>IFERROR(_xlfn.XLOOKUP($D588,'Modelling New'!$D:$D,'Modelling New'!AK:AK),"")</f>
        <v/>
      </c>
      <c r="AQ588" s="312" t="str">
        <f>IFERROR(_xlfn.XLOOKUP($D588,'Modelling New'!$D:$D,'Modelling New'!AL:AL),"")</f>
        <v/>
      </c>
      <c r="AR588" s="325" t="str">
        <f>IFERROR(_xlfn.XLOOKUP($D588,'Modelling New'!$D:$D,'Modelling New'!$N:$N),"")</f>
        <v/>
      </c>
      <c r="AS588" s="325"/>
    </row>
    <row r="589" spans="1:45">
      <c r="A589" s="32">
        <f t="shared" si="54"/>
        <v>46332</v>
      </c>
      <c r="B589" s="43">
        <f>YEAR(Table13[[#This Row],[Date]])+IF(MONTH(Table13[[#This Row],[Date]])&gt;=4,1,0)</f>
        <v>2027</v>
      </c>
      <c r="C589" s="10">
        <f>YEAR(Table13[[#This Row],[Date]])</f>
        <v>2026</v>
      </c>
      <c r="D589" s="309">
        <f>Table13[[#This Row],[Date]]-DAY(Table13[[#This Row],[Date]])+1</f>
        <v>46327</v>
      </c>
      <c r="E589" s="10">
        <f t="shared" si="50"/>
        <v>30</v>
      </c>
      <c r="F589" s="241" t="str">
        <f>IFERROR(_xlfn.XLOOKUP($A589,Input_Raw!$E:$E,Input_Raw!DC:DC),"")</f>
        <v/>
      </c>
      <c r="G589" s="242"/>
      <c r="H589" s="242"/>
      <c r="I589" s="242"/>
      <c r="J589" s="242"/>
      <c r="K589" s="243"/>
      <c r="L589" s="242"/>
      <c r="M589" s="242" t="str">
        <f>IFERROR(_xlfn.XLOOKUP($A589,Input_Raw!$E:$E,Input_Raw!$BM:$BM),"")</f>
        <v/>
      </c>
      <c r="N589" s="242" t="str">
        <f>IFERROR(_xlfn.XLOOKUP($A589,Input_Raw!$E:$E,Input_Raw!$BN:$BN),"")</f>
        <v/>
      </c>
      <c r="O589" s="311" t="str">
        <f t="shared" si="51"/>
        <v/>
      </c>
      <c r="P589" s="311" t="str">
        <f>IFERROR(1-SUMIF(WTG_BD!$F:$F,$A589,WTG_BD!$AA:$AA)/($AA589+SUMIF(WTG_BD!$F:$F,$A589,WTG_BD!$AA:$AA)),"")</f>
        <v/>
      </c>
      <c r="Q589" s="328" t="str">
        <f>IFERROR(1-SUMIF(IGA_BD!$F:$F,$A589,IGA_BD!$W:$W)/($AA589+SUMIF(IGA_BD!$F:$F,$A589,IGA_BD!$W:$W)),"")</f>
        <v/>
      </c>
      <c r="R589" s="311" t="str">
        <f>IFERROR(1-SUMIF(Grid_BD!$F:$F,$A589,Grid_BD!$Y:$Y)/($AA589+SUMIF(Grid_BD!$F:$F,$A589,Grid_BD!$Y:$Y)),"")</f>
        <v/>
      </c>
      <c r="S589" s="10"/>
      <c r="T589" s="310"/>
      <c r="U589" s="311"/>
      <c r="V589" s="10"/>
      <c r="W589" s="312" t="str">
        <f t="shared" si="52"/>
        <v/>
      </c>
      <c r="X589" s="10" t="str">
        <f>IFERROR(_xlfn.XLOOKUP($A589,Input_Raw!$E:$E,Input_Raw!BG:BG),"")</f>
        <v/>
      </c>
      <c r="Y589" s="10" t="str">
        <f>IFERROR(_xlfn.XLOOKUP($A589,Input_Raw!$E:$E,Input_Raw!DF:DF),"")</f>
        <v/>
      </c>
      <c r="Z589" s="319" t="str">
        <f>IFERROR(_xlfn.XLOOKUP(A589,Input_Raw!E:E,Input_Raw!CT:CT)/_xlfn.XLOOKUP(A589,Input_Raw!E:E,Input_Raw!CS:CS)*Table13[[#This Row],[Mtr_Export (kWh)]],"")</f>
        <v/>
      </c>
      <c r="AA589" s="43" t="str">
        <f t="shared" si="53"/>
        <v/>
      </c>
      <c r="AB589" s="10" t="str">
        <f>IFERROR(_xlfn.XLOOKUP($A589,Input_Raw!$E:$E,Input_Raw!$CZ:$CZ),"")</f>
        <v/>
      </c>
      <c r="AC589" s="313" t="str">
        <f>IFERROR(_xlfn.XLOOKUP($D589,'Modelling New'!$D:$D,'Modelling New'!$J:$J),"")</f>
        <v/>
      </c>
      <c r="AD589" s="43" t="str">
        <f>IFERROR(_xlfn.XLOOKUP($D589,'Modelling New'!$D:$D,'Modelling New'!$T:$T)*1000,"")</f>
        <v/>
      </c>
      <c r="AE589" s="312"/>
      <c r="AF589" s="312" t="str">
        <f>IFERROR(_xlfn.XLOOKUP($D589,'Modelling New'!$D:$D,'Modelling New'!$W:$W),"")</f>
        <v/>
      </c>
      <c r="AG589" s="312" t="str">
        <f>IFERROR(_xlfn.XLOOKUP($D589,'Modelling New'!$D:$D,'Modelling New'!$AE:$AE),"")</f>
        <v/>
      </c>
      <c r="AH589" s="312" t="str">
        <f>IFERROR(_xlfn.XLOOKUP($D589,'Modelling New'!$D:$D,'Modelling New'!$AF:$AF),"")</f>
        <v/>
      </c>
      <c r="AI589" s="10" t="str">
        <f>IFERROR(_xlfn.XLOOKUP($A589,Input_Raw!$E:$E,Input_Raw!$DG:$DG),"")</f>
        <v/>
      </c>
      <c r="AJ589" s="10"/>
      <c r="AK589" s="10"/>
      <c r="AL589" s="10"/>
      <c r="AM589" s="10"/>
      <c r="AN589" s="314" t="str">
        <f>IFERROR(_xlfn.XLOOKUP($A589,Input_Raw!$E:$E,Input_Raw!$CY:$CY),"")</f>
        <v/>
      </c>
      <c r="AO589" s="312" t="str">
        <f>IFERROR((_xlfn.XLOOKUP($A589,'WTG Reactive Power'!$A:$A,'WTG Reactive Power'!AB:AB))/X589,"")</f>
        <v/>
      </c>
      <c r="AP589" s="312" t="str">
        <f>IFERROR(_xlfn.XLOOKUP($D589,'Modelling New'!$D:$D,'Modelling New'!AK:AK),"")</f>
        <v/>
      </c>
      <c r="AQ589" s="312" t="str">
        <f>IFERROR(_xlfn.XLOOKUP($D589,'Modelling New'!$D:$D,'Modelling New'!AL:AL),"")</f>
        <v/>
      </c>
      <c r="AR589" s="325" t="str">
        <f>IFERROR(_xlfn.XLOOKUP($D589,'Modelling New'!$D:$D,'Modelling New'!$N:$N),"")</f>
        <v/>
      </c>
      <c r="AS589" s="325"/>
    </row>
    <row r="590" spans="1:45">
      <c r="A590" s="32">
        <f t="shared" si="54"/>
        <v>46333</v>
      </c>
      <c r="B590" s="43">
        <f>YEAR(Table13[[#This Row],[Date]])+IF(MONTH(Table13[[#This Row],[Date]])&gt;=4,1,0)</f>
        <v>2027</v>
      </c>
      <c r="C590" s="10">
        <f>YEAR(Table13[[#This Row],[Date]])</f>
        <v>2026</v>
      </c>
      <c r="D590" s="309">
        <f>Table13[[#This Row],[Date]]-DAY(Table13[[#This Row],[Date]])+1</f>
        <v>46327</v>
      </c>
      <c r="E590" s="10">
        <f t="shared" si="50"/>
        <v>30</v>
      </c>
      <c r="F590" s="241" t="str">
        <f>IFERROR(_xlfn.XLOOKUP($A590,Input_Raw!$E:$E,Input_Raw!DC:DC),"")</f>
        <v/>
      </c>
      <c r="G590" s="313"/>
      <c r="H590" s="313"/>
      <c r="I590" s="313"/>
      <c r="J590" s="313"/>
      <c r="K590" s="243"/>
      <c r="L590" s="242"/>
      <c r="M590" s="242" t="str">
        <f>IFERROR(_xlfn.XLOOKUP($A590,Input_Raw!$E:$E,Input_Raw!$BM:$BM),"")</f>
        <v/>
      </c>
      <c r="N590" s="242" t="str">
        <f>IFERROR(_xlfn.XLOOKUP($A590,Input_Raw!$E:$E,Input_Raw!$BN:$BN),"")</f>
        <v/>
      </c>
      <c r="O590" s="311" t="str">
        <f t="shared" si="51"/>
        <v/>
      </c>
      <c r="P590" s="311" t="str">
        <f>IFERROR(1-SUMIF(WTG_BD!$F:$F,$A590,WTG_BD!$AA:$AA)/($AA590+SUMIF(WTG_BD!$F:$F,$A590,WTG_BD!$AA:$AA)),"")</f>
        <v/>
      </c>
      <c r="Q590" s="328" t="str">
        <f>IFERROR(1-SUMIF(IGA_BD!$F:$F,$A590,IGA_BD!$W:$W)/($AA590+SUMIF(IGA_BD!$F:$F,$A590,IGA_BD!$W:$W)),"")</f>
        <v/>
      </c>
      <c r="R590" s="47" t="str">
        <f>IFERROR(1-SUMIF(Grid_BD!$F:$F,$A590,Grid_BD!$Y:$Y)/($AA590+SUMIF(Grid_BD!$F:$F,$A590,Grid_BD!$Y:$Y)),"")</f>
        <v/>
      </c>
      <c r="S590" s="10"/>
      <c r="T590" s="310"/>
      <c r="U590" s="311"/>
      <c r="V590" s="10"/>
      <c r="W590" s="312" t="str">
        <f t="shared" si="52"/>
        <v/>
      </c>
      <c r="X590" s="10" t="str">
        <f>IFERROR(_xlfn.XLOOKUP($A590,Input_Raw!$E:$E,Input_Raw!BG:BG),"")</f>
        <v/>
      </c>
      <c r="Y590" s="10" t="str">
        <f>IFERROR(_xlfn.XLOOKUP($A590,Input_Raw!$E:$E,Input_Raw!DF:DF),"")</f>
        <v/>
      </c>
      <c r="Z590" s="319" t="str">
        <f>IFERROR(_xlfn.XLOOKUP(A590,Input_Raw!E:E,Input_Raw!CT:CT)/_xlfn.XLOOKUP(A590,Input_Raw!E:E,Input_Raw!CS:CS)*Table13[[#This Row],[Mtr_Export (kWh)]],"")</f>
        <v/>
      </c>
      <c r="AA590" s="43" t="str">
        <f t="shared" si="53"/>
        <v/>
      </c>
      <c r="AB590" s="10" t="str">
        <f>IFERROR(_xlfn.XLOOKUP($A590,Input_Raw!$E:$E,Input_Raw!$CZ:$CZ),"")</f>
        <v/>
      </c>
      <c r="AC590" s="313" t="str">
        <f>IFERROR(_xlfn.XLOOKUP($D590,'Modelling New'!$D:$D,'Modelling New'!$J:$J),"")</f>
        <v/>
      </c>
      <c r="AD590" s="43" t="str">
        <f>IFERROR(_xlfn.XLOOKUP($D590,'Modelling New'!$D:$D,'Modelling New'!$T:$T)*1000,"")</f>
        <v/>
      </c>
      <c r="AE590" s="312"/>
      <c r="AF590" s="312" t="str">
        <f>IFERROR(_xlfn.XLOOKUP($D590,'Modelling New'!$D:$D,'Modelling New'!$W:$W),"")</f>
        <v/>
      </c>
      <c r="AG590" s="312" t="str">
        <f>IFERROR(_xlfn.XLOOKUP($D590,'Modelling New'!$D:$D,'Modelling New'!$AE:$AE),"")</f>
        <v/>
      </c>
      <c r="AH590" s="312" t="str">
        <f>IFERROR(_xlfn.XLOOKUP($D590,'Modelling New'!$D:$D,'Modelling New'!$AF:$AF),"")</f>
        <v/>
      </c>
      <c r="AI590" s="10" t="str">
        <f>IFERROR(_xlfn.XLOOKUP($A590,Input_Raw!$E:$E,Input_Raw!$DG:$DG),"")</f>
        <v/>
      </c>
      <c r="AJ590" s="10"/>
      <c r="AK590" s="10"/>
      <c r="AL590" s="10"/>
      <c r="AM590" s="10"/>
      <c r="AN590" s="314" t="str">
        <f>IFERROR(_xlfn.XLOOKUP($A590,Input_Raw!$E:$E,Input_Raw!$CY:$CY),"")</f>
        <v/>
      </c>
      <c r="AO590" s="312" t="str">
        <f>IFERROR((_xlfn.XLOOKUP($A590,'WTG Reactive Power'!$A:$A,'WTG Reactive Power'!AB:AB))/X590,"")</f>
        <v/>
      </c>
      <c r="AP590" s="312" t="str">
        <f>IFERROR(_xlfn.XLOOKUP($D590,'Modelling New'!$D:$D,'Modelling New'!AK:AK),"")</f>
        <v/>
      </c>
      <c r="AQ590" s="312" t="str">
        <f>IFERROR(_xlfn.XLOOKUP($D590,'Modelling New'!$D:$D,'Modelling New'!AL:AL),"")</f>
        <v/>
      </c>
      <c r="AR590" s="325" t="str">
        <f>IFERROR(_xlfn.XLOOKUP($D590,'Modelling New'!$D:$D,'Modelling New'!$N:$N),"")</f>
        <v/>
      </c>
      <c r="AS590" s="325"/>
    </row>
    <row r="591" spans="1:45">
      <c r="A591" s="32">
        <f t="shared" si="54"/>
        <v>46334</v>
      </c>
      <c r="B591" s="43">
        <f>YEAR(Table13[[#This Row],[Date]])+IF(MONTH(Table13[[#This Row],[Date]])&gt;=4,1,0)</f>
        <v>2027</v>
      </c>
      <c r="C591" s="10">
        <f>YEAR(Table13[[#This Row],[Date]])</f>
        <v>2026</v>
      </c>
      <c r="D591" s="309">
        <f>Table13[[#This Row],[Date]]-DAY(Table13[[#This Row],[Date]])+1</f>
        <v>46327</v>
      </c>
      <c r="E591" s="10">
        <f t="shared" si="50"/>
        <v>30</v>
      </c>
      <c r="F591" s="241" t="str">
        <f>IFERROR(_xlfn.XLOOKUP($A591,Input_Raw!$E:$E,Input_Raw!DC:DC),"")</f>
        <v/>
      </c>
      <c r="G591" s="242"/>
      <c r="H591" s="242"/>
      <c r="I591" s="242"/>
      <c r="J591" s="242"/>
      <c r="K591" s="243"/>
      <c r="L591" s="242"/>
      <c r="M591" s="242" t="str">
        <f>IFERROR(_xlfn.XLOOKUP($A591,Input_Raw!$E:$E,Input_Raw!$BM:$BM),"")</f>
        <v/>
      </c>
      <c r="N591" s="242" t="str">
        <f>IFERROR(_xlfn.XLOOKUP($A591,Input_Raw!$E:$E,Input_Raw!$BN:$BN),"")</f>
        <v/>
      </c>
      <c r="O591" s="311" t="str">
        <f t="shared" si="51"/>
        <v/>
      </c>
      <c r="P591" s="311" t="str">
        <f>IFERROR(1-SUMIF(WTG_BD!$F:$F,$A591,WTG_BD!$AA:$AA)/($AA591+SUMIF(WTG_BD!$F:$F,$A591,WTG_BD!$AA:$AA)),"")</f>
        <v/>
      </c>
      <c r="Q591" s="328" t="str">
        <f>IFERROR(1-SUMIF(IGA_BD!$F:$F,$A591,IGA_BD!$W:$W)/($AA591+SUMIF(IGA_BD!$F:$F,$A591,IGA_BD!$W:$W)),"")</f>
        <v/>
      </c>
      <c r="R591" s="311" t="str">
        <f>IFERROR(1-SUMIF(Grid_BD!$F:$F,$A591,Grid_BD!$Y:$Y)/($AA591+SUMIF(Grid_BD!$F:$F,$A591,Grid_BD!$Y:$Y)),"")</f>
        <v/>
      </c>
      <c r="S591" s="10"/>
      <c r="T591" s="310"/>
      <c r="U591" s="311"/>
      <c r="V591" s="10"/>
      <c r="W591" s="312" t="str">
        <f t="shared" si="52"/>
        <v/>
      </c>
      <c r="X591" s="10" t="str">
        <f>IFERROR(_xlfn.XLOOKUP($A591,Input_Raw!$E:$E,Input_Raw!BG:BG),"")</f>
        <v/>
      </c>
      <c r="Y591" s="10" t="str">
        <f>IFERROR(_xlfn.XLOOKUP($A591,Input_Raw!$E:$E,Input_Raw!DF:DF),"")</f>
        <v/>
      </c>
      <c r="Z591" s="319" t="str">
        <f>IFERROR(_xlfn.XLOOKUP(A591,Input_Raw!E:E,Input_Raw!CT:CT)/_xlfn.XLOOKUP(A591,Input_Raw!E:E,Input_Raw!CS:CS)*Table13[[#This Row],[Mtr_Export (kWh)]],"")</f>
        <v/>
      </c>
      <c r="AA591" s="43" t="str">
        <f t="shared" si="53"/>
        <v/>
      </c>
      <c r="AB591" s="10" t="str">
        <f>IFERROR(_xlfn.XLOOKUP($A591,Input_Raw!$E:$E,Input_Raw!$CZ:$CZ),"")</f>
        <v/>
      </c>
      <c r="AC591" s="313" t="str">
        <f>IFERROR(_xlfn.XLOOKUP($D591,'Modelling New'!$D:$D,'Modelling New'!$J:$J),"")</f>
        <v/>
      </c>
      <c r="AD591" s="43" t="str">
        <f>IFERROR(_xlfn.XLOOKUP($D591,'Modelling New'!$D:$D,'Modelling New'!$T:$T)*1000,"")</f>
        <v/>
      </c>
      <c r="AE591" s="312"/>
      <c r="AF591" s="312" t="str">
        <f>IFERROR(_xlfn.XLOOKUP($D591,'Modelling New'!$D:$D,'Modelling New'!$W:$W),"")</f>
        <v/>
      </c>
      <c r="AG591" s="312" t="str">
        <f>IFERROR(_xlfn.XLOOKUP($D591,'Modelling New'!$D:$D,'Modelling New'!$AE:$AE),"")</f>
        <v/>
      </c>
      <c r="AH591" s="312" t="str">
        <f>IFERROR(_xlfn.XLOOKUP($D591,'Modelling New'!$D:$D,'Modelling New'!$AF:$AF),"")</f>
        <v/>
      </c>
      <c r="AI591" s="10" t="str">
        <f>IFERROR(_xlfn.XLOOKUP($A591,Input_Raw!$E:$E,Input_Raw!$DG:$DG),"")</f>
        <v/>
      </c>
      <c r="AJ591" s="10"/>
      <c r="AK591" s="10"/>
      <c r="AL591" s="10"/>
      <c r="AM591" s="10"/>
      <c r="AN591" s="314" t="str">
        <f>IFERROR(_xlfn.XLOOKUP($A591,Input_Raw!$E:$E,Input_Raw!$CY:$CY),"")</f>
        <v/>
      </c>
      <c r="AO591" s="312" t="str">
        <f>IFERROR((_xlfn.XLOOKUP($A591,'WTG Reactive Power'!$A:$A,'WTG Reactive Power'!AB:AB))/X591,"")</f>
        <v/>
      </c>
      <c r="AP591" s="312" t="str">
        <f>IFERROR(_xlfn.XLOOKUP($D591,'Modelling New'!$D:$D,'Modelling New'!AK:AK),"")</f>
        <v/>
      </c>
      <c r="AQ591" s="312" t="str">
        <f>IFERROR(_xlfn.XLOOKUP($D591,'Modelling New'!$D:$D,'Modelling New'!AL:AL),"")</f>
        <v/>
      </c>
      <c r="AR591" s="325" t="str">
        <f>IFERROR(_xlfn.XLOOKUP($D591,'Modelling New'!$D:$D,'Modelling New'!$N:$N),"")</f>
        <v/>
      </c>
      <c r="AS591" s="325"/>
    </row>
    <row r="592" spans="1:45">
      <c r="A592" s="32">
        <f t="shared" si="54"/>
        <v>46335</v>
      </c>
      <c r="B592" s="43">
        <f>YEAR(Table13[[#This Row],[Date]])+IF(MONTH(Table13[[#This Row],[Date]])&gt;=4,1,0)</f>
        <v>2027</v>
      </c>
      <c r="C592" s="10">
        <f>YEAR(Table13[[#This Row],[Date]])</f>
        <v>2026</v>
      </c>
      <c r="D592" s="309">
        <f>Table13[[#This Row],[Date]]-DAY(Table13[[#This Row],[Date]])+1</f>
        <v>46327</v>
      </c>
      <c r="E592" s="10">
        <f t="shared" si="50"/>
        <v>30</v>
      </c>
      <c r="F592" s="241" t="str">
        <f>IFERROR(_xlfn.XLOOKUP($A592,Input_Raw!$E:$E,Input_Raw!DC:DC),"")</f>
        <v/>
      </c>
      <c r="G592" s="313"/>
      <c r="H592" s="313"/>
      <c r="I592" s="313"/>
      <c r="J592" s="313"/>
      <c r="K592" s="243"/>
      <c r="L592" s="242"/>
      <c r="M592" s="242" t="str">
        <f>IFERROR(_xlfn.XLOOKUP($A592,Input_Raw!$E:$E,Input_Raw!$BM:$BM),"")</f>
        <v/>
      </c>
      <c r="N592" s="242" t="str">
        <f>IFERROR(_xlfn.XLOOKUP($A592,Input_Raw!$E:$E,Input_Raw!$BN:$BN),"")</f>
        <v/>
      </c>
      <c r="O592" s="311" t="str">
        <f t="shared" si="51"/>
        <v/>
      </c>
      <c r="P592" s="311" t="str">
        <f>IFERROR(1-SUMIF(WTG_BD!$F:$F,$A592,WTG_BD!$AA:$AA)/($AA592+SUMIF(WTG_BD!$F:$F,$A592,WTG_BD!$AA:$AA)),"")</f>
        <v/>
      </c>
      <c r="Q592" s="328" t="str">
        <f>IFERROR(1-SUMIF(IGA_BD!$F:$F,$A592,IGA_BD!$W:$W)/($AA592+SUMIF(IGA_BD!$F:$F,$A592,IGA_BD!$W:$W)),"")</f>
        <v/>
      </c>
      <c r="R592" s="47" t="str">
        <f>IFERROR(1-SUMIF(Grid_BD!$F:$F,$A592,Grid_BD!$Y:$Y)/($AA592+SUMIF(Grid_BD!$F:$F,$A592,Grid_BD!$Y:$Y)),"")</f>
        <v/>
      </c>
      <c r="S592" s="10"/>
      <c r="T592" s="310"/>
      <c r="U592" s="311"/>
      <c r="V592" s="10"/>
      <c r="W592" s="312" t="str">
        <f t="shared" si="52"/>
        <v/>
      </c>
      <c r="X592" s="10" t="str">
        <f>IFERROR(_xlfn.XLOOKUP($A592,Input_Raw!$E:$E,Input_Raw!BG:BG),"")</f>
        <v/>
      </c>
      <c r="Y592" s="10" t="str">
        <f>IFERROR(_xlfn.XLOOKUP($A592,Input_Raw!$E:$E,Input_Raw!DF:DF),"")</f>
        <v/>
      </c>
      <c r="Z592" s="319" t="str">
        <f>IFERROR(_xlfn.XLOOKUP(A592,Input_Raw!E:E,Input_Raw!CT:CT)/_xlfn.XLOOKUP(A592,Input_Raw!E:E,Input_Raw!CS:CS)*Table13[[#This Row],[Mtr_Export (kWh)]],"")</f>
        <v/>
      </c>
      <c r="AA592" s="43" t="str">
        <f t="shared" si="53"/>
        <v/>
      </c>
      <c r="AB592" s="10" t="str">
        <f>IFERROR(_xlfn.XLOOKUP($A592,Input_Raw!$E:$E,Input_Raw!$CZ:$CZ),"")</f>
        <v/>
      </c>
      <c r="AC592" s="313" t="str">
        <f>IFERROR(_xlfn.XLOOKUP($D592,'Modelling New'!$D:$D,'Modelling New'!$J:$J),"")</f>
        <v/>
      </c>
      <c r="AD592" s="43" t="str">
        <f>IFERROR(_xlfn.XLOOKUP($D592,'Modelling New'!$D:$D,'Modelling New'!$T:$T)*1000,"")</f>
        <v/>
      </c>
      <c r="AE592" s="312"/>
      <c r="AF592" s="312" t="str">
        <f>IFERROR(_xlfn.XLOOKUP($D592,'Modelling New'!$D:$D,'Modelling New'!$W:$W),"")</f>
        <v/>
      </c>
      <c r="AG592" s="312" t="str">
        <f>IFERROR(_xlfn.XLOOKUP($D592,'Modelling New'!$D:$D,'Modelling New'!$AE:$AE),"")</f>
        <v/>
      </c>
      <c r="AH592" s="312" t="str">
        <f>IFERROR(_xlfn.XLOOKUP($D592,'Modelling New'!$D:$D,'Modelling New'!$AF:$AF),"")</f>
        <v/>
      </c>
      <c r="AI592" s="10" t="str">
        <f>IFERROR(_xlfn.XLOOKUP($A592,Input_Raw!$E:$E,Input_Raw!$DG:$DG),"")</f>
        <v/>
      </c>
      <c r="AJ592" s="10"/>
      <c r="AK592" s="10"/>
      <c r="AL592" s="10"/>
      <c r="AM592" s="10"/>
      <c r="AN592" s="314" t="str">
        <f>IFERROR(_xlfn.XLOOKUP($A592,Input_Raw!$E:$E,Input_Raw!$CY:$CY),"")</f>
        <v/>
      </c>
      <c r="AO592" s="312" t="str">
        <f>IFERROR((_xlfn.XLOOKUP($A592,'WTG Reactive Power'!$A:$A,'WTG Reactive Power'!AB:AB))/X592,"")</f>
        <v/>
      </c>
      <c r="AP592" s="312" t="str">
        <f>IFERROR(_xlfn.XLOOKUP($D592,'Modelling New'!$D:$D,'Modelling New'!AK:AK),"")</f>
        <v/>
      </c>
      <c r="AQ592" s="312" t="str">
        <f>IFERROR(_xlfn.XLOOKUP($D592,'Modelling New'!$D:$D,'Modelling New'!AL:AL),"")</f>
        <v/>
      </c>
      <c r="AR592" s="325" t="str">
        <f>IFERROR(_xlfn.XLOOKUP($D592,'Modelling New'!$D:$D,'Modelling New'!$N:$N),"")</f>
        <v/>
      </c>
      <c r="AS592" s="325"/>
    </row>
    <row r="593" spans="1:45">
      <c r="A593" s="32">
        <f t="shared" si="54"/>
        <v>46336</v>
      </c>
      <c r="B593" s="43">
        <f>YEAR(Table13[[#This Row],[Date]])+IF(MONTH(Table13[[#This Row],[Date]])&gt;=4,1,0)</f>
        <v>2027</v>
      </c>
      <c r="C593" s="10">
        <f>YEAR(Table13[[#This Row],[Date]])</f>
        <v>2026</v>
      </c>
      <c r="D593" s="309">
        <f>Table13[[#This Row],[Date]]-DAY(Table13[[#This Row],[Date]])+1</f>
        <v>46327</v>
      </c>
      <c r="E593" s="10">
        <f t="shared" si="50"/>
        <v>30</v>
      </c>
      <c r="F593" s="241" t="str">
        <f>IFERROR(_xlfn.XLOOKUP($A593,Input_Raw!$E:$E,Input_Raw!DC:DC),"")</f>
        <v/>
      </c>
      <c r="G593" s="242"/>
      <c r="H593" s="242"/>
      <c r="I593" s="242"/>
      <c r="J593" s="242"/>
      <c r="K593" s="243"/>
      <c r="L593" s="242"/>
      <c r="M593" s="242" t="str">
        <f>IFERROR(_xlfn.XLOOKUP($A593,Input_Raw!$E:$E,Input_Raw!$BM:$BM),"")</f>
        <v/>
      </c>
      <c r="N593" s="242" t="str">
        <f>IFERROR(_xlfn.XLOOKUP($A593,Input_Raw!$E:$E,Input_Raw!$BN:$BN),"")</f>
        <v/>
      </c>
      <c r="O593" s="311" t="str">
        <f t="shared" si="51"/>
        <v/>
      </c>
      <c r="P593" s="311" t="str">
        <f>IFERROR(1-SUMIF(WTG_BD!$F:$F,$A593,WTG_BD!$AA:$AA)/($AA593+SUMIF(WTG_BD!$F:$F,$A593,WTG_BD!$AA:$AA)),"")</f>
        <v/>
      </c>
      <c r="Q593" s="328" t="str">
        <f>IFERROR(1-SUMIF(IGA_BD!$F:$F,$A593,IGA_BD!$W:$W)/($AA593+SUMIF(IGA_BD!$F:$F,$A593,IGA_BD!$W:$W)),"")</f>
        <v/>
      </c>
      <c r="R593" s="311" t="str">
        <f>IFERROR(1-SUMIF(Grid_BD!$F:$F,$A593,Grid_BD!$Y:$Y)/($AA593+SUMIF(Grid_BD!$F:$F,$A593,Grid_BD!$Y:$Y)),"")</f>
        <v/>
      </c>
      <c r="S593" s="10"/>
      <c r="T593" s="310"/>
      <c r="U593" s="311"/>
      <c r="V593" s="10"/>
      <c r="W593" s="312" t="str">
        <f t="shared" si="52"/>
        <v/>
      </c>
      <c r="X593" s="10" t="str">
        <f>IFERROR(_xlfn.XLOOKUP($A593,Input_Raw!$E:$E,Input_Raw!BG:BG),"")</f>
        <v/>
      </c>
      <c r="Y593" s="10" t="str">
        <f>IFERROR(_xlfn.XLOOKUP($A593,Input_Raw!$E:$E,Input_Raw!DF:DF),"")</f>
        <v/>
      </c>
      <c r="Z593" s="319" t="str">
        <f>IFERROR(_xlfn.XLOOKUP(A593,Input_Raw!E:E,Input_Raw!CT:CT)/_xlfn.XLOOKUP(A593,Input_Raw!E:E,Input_Raw!CS:CS)*Table13[[#This Row],[Mtr_Export (kWh)]],"")</f>
        <v/>
      </c>
      <c r="AA593" s="43" t="str">
        <f t="shared" si="53"/>
        <v/>
      </c>
      <c r="AB593" s="10" t="str">
        <f>IFERROR(_xlfn.XLOOKUP($A593,Input_Raw!$E:$E,Input_Raw!$CZ:$CZ),"")</f>
        <v/>
      </c>
      <c r="AC593" s="313" t="str">
        <f>IFERROR(_xlfn.XLOOKUP($D593,'Modelling New'!$D:$D,'Modelling New'!$J:$J),"")</f>
        <v/>
      </c>
      <c r="AD593" s="43" t="str">
        <f>IFERROR(_xlfn.XLOOKUP($D593,'Modelling New'!$D:$D,'Modelling New'!$T:$T)*1000,"")</f>
        <v/>
      </c>
      <c r="AE593" s="312"/>
      <c r="AF593" s="312" t="str">
        <f>IFERROR(_xlfn.XLOOKUP($D593,'Modelling New'!$D:$D,'Modelling New'!$W:$W),"")</f>
        <v/>
      </c>
      <c r="AG593" s="312" t="str">
        <f>IFERROR(_xlfn.XLOOKUP($D593,'Modelling New'!$D:$D,'Modelling New'!$AE:$AE),"")</f>
        <v/>
      </c>
      <c r="AH593" s="312" t="str">
        <f>IFERROR(_xlfn.XLOOKUP($D593,'Modelling New'!$D:$D,'Modelling New'!$AF:$AF),"")</f>
        <v/>
      </c>
      <c r="AI593" s="10" t="str">
        <f>IFERROR(_xlfn.XLOOKUP($A593,Input_Raw!$E:$E,Input_Raw!$DG:$DG),"")</f>
        <v/>
      </c>
      <c r="AJ593" s="10"/>
      <c r="AK593" s="10"/>
      <c r="AL593" s="10"/>
      <c r="AM593" s="10"/>
      <c r="AN593" s="314" t="str">
        <f>IFERROR(_xlfn.XLOOKUP($A593,Input_Raw!$E:$E,Input_Raw!$CY:$CY),"")</f>
        <v/>
      </c>
      <c r="AO593" s="312" t="str">
        <f>IFERROR((_xlfn.XLOOKUP($A593,'WTG Reactive Power'!$A:$A,'WTG Reactive Power'!AB:AB))/X593,"")</f>
        <v/>
      </c>
      <c r="AP593" s="312" t="str">
        <f>IFERROR(_xlfn.XLOOKUP($D593,'Modelling New'!$D:$D,'Modelling New'!AK:AK),"")</f>
        <v/>
      </c>
      <c r="AQ593" s="312" t="str">
        <f>IFERROR(_xlfn.XLOOKUP($D593,'Modelling New'!$D:$D,'Modelling New'!AL:AL),"")</f>
        <v/>
      </c>
      <c r="AR593" s="325" t="str">
        <f>IFERROR(_xlfn.XLOOKUP($D593,'Modelling New'!$D:$D,'Modelling New'!$N:$N),"")</f>
        <v/>
      </c>
      <c r="AS593" s="325"/>
    </row>
    <row r="594" spans="1:45">
      <c r="A594" s="32">
        <f t="shared" si="54"/>
        <v>46337</v>
      </c>
      <c r="B594" s="43">
        <f>YEAR(Table13[[#This Row],[Date]])+IF(MONTH(Table13[[#This Row],[Date]])&gt;=4,1,0)</f>
        <v>2027</v>
      </c>
      <c r="C594" s="10">
        <f>YEAR(Table13[[#This Row],[Date]])</f>
        <v>2026</v>
      </c>
      <c r="D594" s="309">
        <f>Table13[[#This Row],[Date]]-DAY(Table13[[#This Row],[Date]])+1</f>
        <v>46327</v>
      </c>
      <c r="E594" s="10">
        <f t="shared" si="50"/>
        <v>30</v>
      </c>
      <c r="F594" s="241" t="str">
        <f>IFERROR(_xlfn.XLOOKUP($A594,Input_Raw!$E:$E,Input_Raw!DC:DC),"")</f>
        <v/>
      </c>
      <c r="G594" s="313"/>
      <c r="H594" s="313"/>
      <c r="I594" s="313"/>
      <c r="J594" s="313"/>
      <c r="K594" s="243"/>
      <c r="L594" s="242"/>
      <c r="M594" s="242" t="str">
        <f>IFERROR(_xlfn.XLOOKUP($A594,Input_Raw!$E:$E,Input_Raw!$BM:$BM),"")</f>
        <v/>
      </c>
      <c r="N594" s="242" t="str">
        <f>IFERROR(_xlfn.XLOOKUP($A594,Input_Raw!$E:$E,Input_Raw!$BN:$BN),"")</f>
        <v/>
      </c>
      <c r="O594" s="311" t="str">
        <f t="shared" si="51"/>
        <v/>
      </c>
      <c r="P594" s="311" t="str">
        <f>IFERROR(1-SUMIF(WTG_BD!$F:$F,$A594,WTG_BD!$AA:$AA)/($AA594+SUMIF(WTG_BD!$F:$F,$A594,WTG_BD!$AA:$AA)),"")</f>
        <v/>
      </c>
      <c r="Q594" s="328" t="str">
        <f>IFERROR(1-SUMIF(IGA_BD!$F:$F,$A594,IGA_BD!$W:$W)/($AA594+SUMIF(IGA_BD!$F:$F,$A594,IGA_BD!$W:$W)),"")</f>
        <v/>
      </c>
      <c r="R594" s="47" t="str">
        <f>IFERROR(1-SUMIF(Grid_BD!$F:$F,$A594,Grid_BD!$Y:$Y)/($AA594+SUMIF(Grid_BD!$F:$F,$A594,Grid_BD!$Y:$Y)),"")</f>
        <v/>
      </c>
      <c r="S594" s="10"/>
      <c r="T594" s="310"/>
      <c r="U594" s="311"/>
      <c r="V594" s="10"/>
      <c r="W594" s="312" t="str">
        <f t="shared" si="52"/>
        <v/>
      </c>
      <c r="X594" s="10" t="str">
        <f>IFERROR(_xlfn.XLOOKUP($A594,Input_Raw!$E:$E,Input_Raw!BG:BG),"")</f>
        <v/>
      </c>
      <c r="Y594" s="10" t="str">
        <f>IFERROR(_xlfn.XLOOKUP($A594,Input_Raw!$E:$E,Input_Raw!DF:DF),"")</f>
        <v/>
      </c>
      <c r="Z594" s="319" t="str">
        <f>IFERROR(_xlfn.XLOOKUP(A594,Input_Raw!E:E,Input_Raw!CT:CT)/_xlfn.XLOOKUP(A594,Input_Raw!E:E,Input_Raw!CS:CS)*Table13[[#This Row],[Mtr_Export (kWh)]],"")</f>
        <v/>
      </c>
      <c r="AA594" s="43" t="str">
        <f t="shared" si="53"/>
        <v/>
      </c>
      <c r="AB594" s="10" t="str">
        <f>IFERROR(_xlfn.XLOOKUP($A594,Input_Raw!$E:$E,Input_Raw!$CZ:$CZ),"")</f>
        <v/>
      </c>
      <c r="AC594" s="313" t="str">
        <f>IFERROR(_xlfn.XLOOKUP($D594,'Modelling New'!$D:$D,'Modelling New'!$J:$J),"")</f>
        <v/>
      </c>
      <c r="AD594" s="43" t="str">
        <f>IFERROR(_xlfn.XLOOKUP($D594,'Modelling New'!$D:$D,'Modelling New'!$T:$T)*1000,"")</f>
        <v/>
      </c>
      <c r="AE594" s="312"/>
      <c r="AF594" s="312" t="str">
        <f>IFERROR(_xlfn.XLOOKUP($D594,'Modelling New'!$D:$D,'Modelling New'!$W:$W),"")</f>
        <v/>
      </c>
      <c r="AG594" s="312" t="str">
        <f>IFERROR(_xlfn.XLOOKUP($D594,'Modelling New'!$D:$D,'Modelling New'!$AE:$AE),"")</f>
        <v/>
      </c>
      <c r="AH594" s="312" t="str">
        <f>IFERROR(_xlfn.XLOOKUP($D594,'Modelling New'!$D:$D,'Modelling New'!$AF:$AF),"")</f>
        <v/>
      </c>
      <c r="AI594" s="10" t="str">
        <f>IFERROR(_xlfn.XLOOKUP($A594,Input_Raw!$E:$E,Input_Raw!$DG:$DG),"")</f>
        <v/>
      </c>
      <c r="AJ594" s="10"/>
      <c r="AK594" s="10"/>
      <c r="AL594" s="10"/>
      <c r="AM594" s="10"/>
      <c r="AN594" s="314" t="str">
        <f>IFERROR(_xlfn.XLOOKUP($A594,Input_Raw!$E:$E,Input_Raw!$CY:$CY),"")</f>
        <v/>
      </c>
      <c r="AO594" s="312" t="str">
        <f>IFERROR((_xlfn.XLOOKUP($A594,'WTG Reactive Power'!$A:$A,'WTG Reactive Power'!AB:AB))/X594,"")</f>
        <v/>
      </c>
      <c r="AP594" s="312" t="str">
        <f>IFERROR(_xlfn.XLOOKUP($D594,'Modelling New'!$D:$D,'Modelling New'!AK:AK),"")</f>
        <v/>
      </c>
      <c r="AQ594" s="312" t="str">
        <f>IFERROR(_xlfn.XLOOKUP($D594,'Modelling New'!$D:$D,'Modelling New'!AL:AL),"")</f>
        <v/>
      </c>
      <c r="AR594" s="325" t="str">
        <f>IFERROR(_xlfn.XLOOKUP($D594,'Modelling New'!$D:$D,'Modelling New'!$N:$N),"")</f>
        <v/>
      </c>
      <c r="AS594" s="325"/>
    </row>
    <row r="595" spans="1:45">
      <c r="A595" s="32">
        <f t="shared" si="54"/>
        <v>46338</v>
      </c>
      <c r="B595" s="43">
        <f>YEAR(Table13[[#This Row],[Date]])+IF(MONTH(Table13[[#This Row],[Date]])&gt;=4,1,0)</f>
        <v>2027</v>
      </c>
      <c r="C595" s="10">
        <f>YEAR(Table13[[#This Row],[Date]])</f>
        <v>2026</v>
      </c>
      <c r="D595" s="309">
        <f>Table13[[#This Row],[Date]]-DAY(Table13[[#This Row],[Date]])+1</f>
        <v>46327</v>
      </c>
      <c r="E595" s="10">
        <f t="shared" si="50"/>
        <v>30</v>
      </c>
      <c r="F595" s="241" t="str">
        <f>IFERROR(_xlfn.XLOOKUP($A595,Input_Raw!$E:$E,Input_Raw!DC:DC),"")</f>
        <v/>
      </c>
      <c r="G595" s="242"/>
      <c r="H595" s="242"/>
      <c r="I595" s="242"/>
      <c r="J595" s="242"/>
      <c r="K595" s="243"/>
      <c r="L595" s="242"/>
      <c r="M595" s="242" t="str">
        <f>IFERROR(_xlfn.XLOOKUP($A595,Input_Raw!$E:$E,Input_Raw!$BM:$BM),"")</f>
        <v/>
      </c>
      <c r="N595" s="242" t="str">
        <f>IFERROR(_xlfn.XLOOKUP($A595,Input_Raw!$E:$E,Input_Raw!$BN:$BN),"")</f>
        <v/>
      </c>
      <c r="O595" s="311" t="str">
        <f t="shared" si="51"/>
        <v/>
      </c>
      <c r="P595" s="311" t="str">
        <f>IFERROR(1-SUMIF(WTG_BD!$F:$F,$A595,WTG_BD!$AA:$AA)/($AA595+SUMIF(WTG_BD!$F:$F,$A595,WTG_BD!$AA:$AA)),"")</f>
        <v/>
      </c>
      <c r="Q595" s="328" t="str">
        <f>IFERROR(1-SUMIF(IGA_BD!$F:$F,$A595,IGA_BD!$W:$W)/($AA595+SUMIF(IGA_BD!$F:$F,$A595,IGA_BD!$W:$W)),"")</f>
        <v/>
      </c>
      <c r="R595" s="311" t="str">
        <f>IFERROR(1-SUMIF(Grid_BD!$F:$F,$A595,Grid_BD!$Y:$Y)/($AA595+SUMIF(Grid_BD!$F:$F,$A595,Grid_BD!$Y:$Y)),"")</f>
        <v/>
      </c>
      <c r="S595" s="10"/>
      <c r="T595" s="310"/>
      <c r="U595" s="311"/>
      <c r="V595" s="10"/>
      <c r="W595" s="312" t="str">
        <f t="shared" si="52"/>
        <v/>
      </c>
      <c r="X595" s="10" t="str">
        <f>IFERROR(_xlfn.XLOOKUP($A595,Input_Raw!$E:$E,Input_Raw!BG:BG),"")</f>
        <v/>
      </c>
      <c r="Y595" s="10" t="str">
        <f>IFERROR(_xlfn.XLOOKUP($A595,Input_Raw!$E:$E,Input_Raw!DF:DF),"")</f>
        <v/>
      </c>
      <c r="Z595" s="319" t="str">
        <f>IFERROR(_xlfn.XLOOKUP(A595,Input_Raw!E:E,Input_Raw!CT:CT)/_xlfn.XLOOKUP(A595,Input_Raw!E:E,Input_Raw!CS:CS)*Table13[[#This Row],[Mtr_Export (kWh)]],"")</f>
        <v/>
      </c>
      <c r="AA595" s="43" t="str">
        <f t="shared" si="53"/>
        <v/>
      </c>
      <c r="AB595" s="10" t="str">
        <f>IFERROR(_xlfn.XLOOKUP($A595,Input_Raw!$E:$E,Input_Raw!$CZ:$CZ),"")</f>
        <v/>
      </c>
      <c r="AC595" s="313" t="str">
        <f>IFERROR(_xlfn.XLOOKUP($D595,'Modelling New'!$D:$D,'Modelling New'!$J:$J),"")</f>
        <v/>
      </c>
      <c r="AD595" s="43" t="str">
        <f>IFERROR(_xlfn.XLOOKUP($D595,'Modelling New'!$D:$D,'Modelling New'!$T:$T)*1000,"")</f>
        <v/>
      </c>
      <c r="AE595" s="312"/>
      <c r="AF595" s="312" t="str">
        <f>IFERROR(_xlfn.XLOOKUP($D595,'Modelling New'!$D:$D,'Modelling New'!$W:$W),"")</f>
        <v/>
      </c>
      <c r="AG595" s="312" t="str">
        <f>IFERROR(_xlfn.XLOOKUP($D595,'Modelling New'!$D:$D,'Modelling New'!$AE:$AE),"")</f>
        <v/>
      </c>
      <c r="AH595" s="312" t="str">
        <f>IFERROR(_xlfn.XLOOKUP($D595,'Modelling New'!$D:$D,'Modelling New'!$AF:$AF),"")</f>
        <v/>
      </c>
      <c r="AI595" s="10" t="str">
        <f>IFERROR(_xlfn.XLOOKUP($A595,Input_Raw!$E:$E,Input_Raw!$DG:$DG),"")</f>
        <v/>
      </c>
      <c r="AJ595" s="10"/>
      <c r="AK595" s="10"/>
      <c r="AL595" s="10"/>
      <c r="AM595" s="10"/>
      <c r="AN595" s="314" t="str">
        <f>IFERROR(_xlfn.XLOOKUP($A595,Input_Raw!$E:$E,Input_Raw!$CY:$CY),"")</f>
        <v/>
      </c>
      <c r="AO595" s="312" t="str">
        <f>IFERROR((_xlfn.XLOOKUP($A595,'WTG Reactive Power'!$A:$A,'WTG Reactive Power'!AB:AB))/X595,"")</f>
        <v/>
      </c>
      <c r="AP595" s="312" t="str">
        <f>IFERROR(_xlfn.XLOOKUP($D595,'Modelling New'!$D:$D,'Modelling New'!AK:AK),"")</f>
        <v/>
      </c>
      <c r="AQ595" s="312" t="str">
        <f>IFERROR(_xlfn.XLOOKUP($D595,'Modelling New'!$D:$D,'Modelling New'!AL:AL),"")</f>
        <v/>
      </c>
      <c r="AR595" s="325" t="str">
        <f>IFERROR(_xlfn.XLOOKUP($D595,'Modelling New'!$D:$D,'Modelling New'!$N:$N),"")</f>
        <v/>
      </c>
      <c r="AS595" s="325"/>
    </row>
    <row r="596" spans="1:45">
      <c r="A596" s="32">
        <f t="shared" si="54"/>
        <v>46339</v>
      </c>
      <c r="B596" s="43">
        <f>YEAR(Table13[[#This Row],[Date]])+IF(MONTH(Table13[[#This Row],[Date]])&gt;=4,1,0)</f>
        <v>2027</v>
      </c>
      <c r="C596" s="10">
        <f>YEAR(Table13[[#This Row],[Date]])</f>
        <v>2026</v>
      </c>
      <c r="D596" s="309">
        <f>Table13[[#This Row],[Date]]-DAY(Table13[[#This Row],[Date]])+1</f>
        <v>46327</v>
      </c>
      <c r="E596" s="10">
        <f t="shared" si="50"/>
        <v>30</v>
      </c>
      <c r="F596" s="241" t="str">
        <f>IFERROR(_xlfn.XLOOKUP($A596,Input_Raw!$E:$E,Input_Raw!DC:DC),"")</f>
        <v/>
      </c>
      <c r="G596" s="313"/>
      <c r="H596" s="313"/>
      <c r="I596" s="313"/>
      <c r="J596" s="313"/>
      <c r="K596" s="243"/>
      <c r="L596" s="242"/>
      <c r="M596" s="242" t="str">
        <f>IFERROR(_xlfn.XLOOKUP($A596,Input_Raw!$E:$E,Input_Raw!$BM:$BM),"")</f>
        <v/>
      </c>
      <c r="N596" s="242" t="str">
        <f>IFERROR(_xlfn.XLOOKUP($A596,Input_Raw!$E:$E,Input_Raw!$BN:$BN),"")</f>
        <v/>
      </c>
      <c r="O596" s="311" t="str">
        <f t="shared" si="51"/>
        <v/>
      </c>
      <c r="P596" s="311" t="str">
        <f>IFERROR(1-SUMIF(WTG_BD!$F:$F,$A596,WTG_BD!$AA:$AA)/($AA596+SUMIF(WTG_BD!$F:$F,$A596,WTG_BD!$AA:$AA)),"")</f>
        <v/>
      </c>
      <c r="Q596" s="328" t="str">
        <f>IFERROR(1-SUMIF(IGA_BD!$F:$F,$A596,IGA_BD!$W:$W)/($AA596+SUMIF(IGA_BD!$F:$F,$A596,IGA_BD!$W:$W)),"")</f>
        <v/>
      </c>
      <c r="R596" s="47" t="str">
        <f>IFERROR(1-SUMIF(Grid_BD!$F:$F,$A596,Grid_BD!$Y:$Y)/($AA596+SUMIF(Grid_BD!$F:$F,$A596,Grid_BD!$Y:$Y)),"")</f>
        <v/>
      </c>
      <c r="S596" s="10"/>
      <c r="T596" s="310"/>
      <c r="U596" s="311"/>
      <c r="V596" s="10"/>
      <c r="W596" s="312" t="str">
        <f t="shared" si="52"/>
        <v/>
      </c>
      <c r="X596" s="10" t="str">
        <f>IFERROR(_xlfn.XLOOKUP($A596,Input_Raw!$E:$E,Input_Raw!BG:BG),"")</f>
        <v/>
      </c>
      <c r="Y596" s="10" t="str">
        <f>IFERROR(_xlfn.XLOOKUP($A596,Input_Raw!$E:$E,Input_Raw!DF:DF),"")</f>
        <v/>
      </c>
      <c r="Z596" s="319" t="str">
        <f>IFERROR(_xlfn.XLOOKUP(A596,Input_Raw!E:E,Input_Raw!CT:CT)/_xlfn.XLOOKUP(A596,Input_Raw!E:E,Input_Raw!CS:CS)*Table13[[#This Row],[Mtr_Export (kWh)]],"")</f>
        <v/>
      </c>
      <c r="AA596" s="43" t="str">
        <f t="shared" si="53"/>
        <v/>
      </c>
      <c r="AB596" s="10" t="str">
        <f>IFERROR(_xlfn.XLOOKUP($A596,Input_Raw!$E:$E,Input_Raw!$CZ:$CZ),"")</f>
        <v/>
      </c>
      <c r="AC596" s="313" t="str">
        <f>IFERROR(_xlfn.XLOOKUP($D596,'Modelling New'!$D:$D,'Modelling New'!$J:$J),"")</f>
        <v/>
      </c>
      <c r="AD596" s="43" t="str">
        <f>IFERROR(_xlfn.XLOOKUP($D596,'Modelling New'!$D:$D,'Modelling New'!$T:$T)*1000,"")</f>
        <v/>
      </c>
      <c r="AE596" s="312"/>
      <c r="AF596" s="312" t="str">
        <f>IFERROR(_xlfn.XLOOKUP($D596,'Modelling New'!$D:$D,'Modelling New'!$W:$W),"")</f>
        <v/>
      </c>
      <c r="AG596" s="312" t="str">
        <f>IFERROR(_xlfn.XLOOKUP($D596,'Modelling New'!$D:$D,'Modelling New'!$AE:$AE),"")</f>
        <v/>
      </c>
      <c r="AH596" s="312" t="str">
        <f>IFERROR(_xlfn.XLOOKUP($D596,'Modelling New'!$D:$D,'Modelling New'!$AF:$AF),"")</f>
        <v/>
      </c>
      <c r="AI596" s="10" t="str">
        <f>IFERROR(_xlfn.XLOOKUP($A596,Input_Raw!$E:$E,Input_Raw!$DG:$DG),"")</f>
        <v/>
      </c>
      <c r="AJ596" s="10"/>
      <c r="AK596" s="10"/>
      <c r="AL596" s="10"/>
      <c r="AM596" s="10"/>
      <c r="AN596" s="314" t="str">
        <f>IFERROR(_xlfn.XLOOKUP($A596,Input_Raw!$E:$E,Input_Raw!$CY:$CY),"")</f>
        <v/>
      </c>
      <c r="AO596" s="312" t="str">
        <f>IFERROR((_xlfn.XLOOKUP($A596,'WTG Reactive Power'!$A:$A,'WTG Reactive Power'!AB:AB))/X596,"")</f>
        <v/>
      </c>
      <c r="AP596" s="312" t="str">
        <f>IFERROR(_xlfn.XLOOKUP($D596,'Modelling New'!$D:$D,'Modelling New'!AK:AK),"")</f>
        <v/>
      </c>
      <c r="AQ596" s="312" t="str">
        <f>IFERROR(_xlfn.XLOOKUP($D596,'Modelling New'!$D:$D,'Modelling New'!AL:AL),"")</f>
        <v/>
      </c>
      <c r="AR596" s="325" t="str">
        <f>IFERROR(_xlfn.XLOOKUP($D596,'Modelling New'!$D:$D,'Modelling New'!$N:$N),"")</f>
        <v/>
      </c>
      <c r="AS596" s="325"/>
    </row>
    <row r="597" spans="1:45">
      <c r="A597" s="32">
        <f t="shared" si="54"/>
        <v>46340</v>
      </c>
      <c r="B597" s="43">
        <f>YEAR(Table13[[#This Row],[Date]])+IF(MONTH(Table13[[#This Row],[Date]])&gt;=4,1,0)</f>
        <v>2027</v>
      </c>
      <c r="C597" s="10">
        <f>YEAR(Table13[[#This Row],[Date]])</f>
        <v>2026</v>
      </c>
      <c r="D597" s="309">
        <f>Table13[[#This Row],[Date]]-DAY(Table13[[#This Row],[Date]])+1</f>
        <v>46327</v>
      </c>
      <c r="E597" s="10">
        <f t="shared" si="50"/>
        <v>30</v>
      </c>
      <c r="F597" s="241" t="str">
        <f>IFERROR(_xlfn.XLOOKUP($A597,Input_Raw!$E:$E,Input_Raw!DC:DC),"")</f>
        <v/>
      </c>
      <c r="G597" s="242"/>
      <c r="H597" s="242"/>
      <c r="I597" s="242"/>
      <c r="J597" s="242"/>
      <c r="K597" s="243"/>
      <c r="L597" s="242"/>
      <c r="M597" s="242" t="str">
        <f>IFERROR(_xlfn.XLOOKUP($A597,Input_Raw!$E:$E,Input_Raw!$BM:$BM),"")</f>
        <v/>
      </c>
      <c r="N597" s="242" t="str">
        <f>IFERROR(_xlfn.XLOOKUP($A597,Input_Raw!$E:$E,Input_Raw!$BN:$BN),"")</f>
        <v/>
      </c>
      <c r="O597" s="311" t="str">
        <f t="shared" si="51"/>
        <v/>
      </c>
      <c r="P597" s="311" t="str">
        <f>IFERROR(1-SUMIF(WTG_BD!$F:$F,$A597,WTG_BD!$AA:$AA)/($AA597+SUMIF(WTG_BD!$F:$F,$A597,WTG_BD!$AA:$AA)),"")</f>
        <v/>
      </c>
      <c r="Q597" s="328" t="str">
        <f>IFERROR(1-SUMIF(IGA_BD!$F:$F,$A597,IGA_BD!$W:$W)/($AA597+SUMIF(IGA_BD!$F:$F,$A597,IGA_BD!$W:$W)),"")</f>
        <v/>
      </c>
      <c r="R597" s="311" t="str">
        <f>IFERROR(1-SUMIF(Grid_BD!$F:$F,$A597,Grid_BD!$Y:$Y)/($AA597+SUMIF(Grid_BD!$F:$F,$A597,Grid_BD!$Y:$Y)),"")</f>
        <v/>
      </c>
      <c r="S597" s="10"/>
      <c r="T597" s="310"/>
      <c r="U597" s="311"/>
      <c r="V597" s="10"/>
      <c r="W597" s="312" t="str">
        <f t="shared" si="52"/>
        <v/>
      </c>
      <c r="X597" s="10" t="str">
        <f>IFERROR(_xlfn.XLOOKUP($A597,Input_Raw!$E:$E,Input_Raw!BG:BG),"")</f>
        <v/>
      </c>
      <c r="Y597" s="10" t="str">
        <f>IFERROR(_xlfn.XLOOKUP($A597,Input_Raw!$E:$E,Input_Raw!DF:DF),"")</f>
        <v/>
      </c>
      <c r="Z597" s="319" t="str">
        <f>IFERROR(_xlfn.XLOOKUP(A597,Input_Raw!E:E,Input_Raw!CT:CT)/_xlfn.XLOOKUP(A597,Input_Raw!E:E,Input_Raw!CS:CS)*Table13[[#This Row],[Mtr_Export (kWh)]],"")</f>
        <v/>
      </c>
      <c r="AA597" s="43" t="str">
        <f t="shared" si="53"/>
        <v/>
      </c>
      <c r="AB597" s="10" t="str">
        <f>IFERROR(_xlfn.XLOOKUP($A597,Input_Raw!$E:$E,Input_Raw!$CZ:$CZ),"")</f>
        <v/>
      </c>
      <c r="AC597" s="313" t="str">
        <f>IFERROR(_xlfn.XLOOKUP($D597,'Modelling New'!$D:$D,'Modelling New'!$J:$J),"")</f>
        <v/>
      </c>
      <c r="AD597" s="43" t="str">
        <f>IFERROR(_xlfn.XLOOKUP($D597,'Modelling New'!$D:$D,'Modelling New'!$T:$T)*1000,"")</f>
        <v/>
      </c>
      <c r="AE597" s="312"/>
      <c r="AF597" s="312" t="str">
        <f>IFERROR(_xlfn.XLOOKUP($D597,'Modelling New'!$D:$D,'Modelling New'!$W:$W),"")</f>
        <v/>
      </c>
      <c r="AG597" s="312" t="str">
        <f>IFERROR(_xlfn.XLOOKUP($D597,'Modelling New'!$D:$D,'Modelling New'!$AE:$AE),"")</f>
        <v/>
      </c>
      <c r="AH597" s="312" t="str">
        <f>IFERROR(_xlfn.XLOOKUP($D597,'Modelling New'!$D:$D,'Modelling New'!$AF:$AF),"")</f>
        <v/>
      </c>
      <c r="AI597" s="10" t="str">
        <f>IFERROR(_xlfn.XLOOKUP($A597,Input_Raw!$E:$E,Input_Raw!$DG:$DG),"")</f>
        <v/>
      </c>
      <c r="AJ597" s="10"/>
      <c r="AK597" s="10"/>
      <c r="AL597" s="10"/>
      <c r="AM597" s="10"/>
      <c r="AN597" s="314" t="str">
        <f>IFERROR(_xlfn.XLOOKUP($A597,Input_Raw!$E:$E,Input_Raw!$CY:$CY),"")</f>
        <v/>
      </c>
      <c r="AO597" s="312" t="str">
        <f>IFERROR((_xlfn.XLOOKUP($A597,'WTG Reactive Power'!$A:$A,'WTG Reactive Power'!AB:AB))/X597,"")</f>
        <v/>
      </c>
      <c r="AP597" s="312" t="str">
        <f>IFERROR(_xlfn.XLOOKUP($D597,'Modelling New'!$D:$D,'Modelling New'!AK:AK),"")</f>
        <v/>
      </c>
      <c r="AQ597" s="312" t="str">
        <f>IFERROR(_xlfn.XLOOKUP($D597,'Modelling New'!$D:$D,'Modelling New'!AL:AL),"")</f>
        <v/>
      </c>
      <c r="AR597" s="325" t="str">
        <f>IFERROR(_xlfn.XLOOKUP($D597,'Modelling New'!$D:$D,'Modelling New'!$N:$N),"")</f>
        <v/>
      </c>
      <c r="AS597" s="325"/>
    </row>
    <row r="598" spans="1:45">
      <c r="A598" s="32">
        <f t="shared" si="54"/>
        <v>46341</v>
      </c>
      <c r="B598" s="43">
        <f>YEAR(Table13[[#This Row],[Date]])+IF(MONTH(Table13[[#This Row],[Date]])&gt;=4,1,0)</f>
        <v>2027</v>
      </c>
      <c r="C598" s="10">
        <f>YEAR(Table13[[#This Row],[Date]])</f>
        <v>2026</v>
      </c>
      <c r="D598" s="309">
        <f>Table13[[#This Row],[Date]]-DAY(Table13[[#This Row],[Date]])+1</f>
        <v>46327</v>
      </c>
      <c r="E598" s="10">
        <f t="shared" si="50"/>
        <v>30</v>
      </c>
      <c r="F598" s="241" t="str">
        <f>IFERROR(_xlfn.XLOOKUP($A598,Input_Raw!$E:$E,Input_Raw!DC:DC),"")</f>
        <v/>
      </c>
      <c r="G598" s="313"/>
      <c r="H598" s="313"/>
      <c r="I598" s="313"/>
      <c r="J598" s="313"/>
      <c r="K598" s="243"/>
      <c r="L598" s="242"/>
      <c r="M598" s="242" t="str">
        <f>IFERROR(_xlfn.XLOOKUP($A598,Input_Raw!$E:$E,Input_Raw!$BM:$BM),"")</f>
        <v/>
      </c>
      <c r="N598" s="242" t="str">
        <f>IFERROR(_xlfn.XLOOKUP($A598,Input_Raw!$E:$E,Input_Raw!$BN:$BN),"")</f>
        <v/>
      </c>
      <c r="O598" s="311" t="str">
        <f t="shared" si="51"/>
        <v/>
      </c>
      <c r="P598" s="311" t="str">
        <f>IFERROR(1-SUMIF(WTG_BD!$F:$F,$A598,WTG_BD!$AA:$AA)/($AA598+SUMIF(WTG_BD!$F:$F,$A598,WTG_BD!$AA:$AA)),"")</f>
        <v/>
      </c>
      <c r="Q598" s="328" t="str">
        <f>IFERROR(1-SUMIF(IGA_BD!$F:$F,$A598,IGA_BD!$W:$W)/($AA598+SUMIF(IGA_BD!$F:$F,$A598,IGA_BD!$W:$W)),"")</f>
        <v/>
      </c>
      <c r="R598" s="47" t="str">
        <f>IFERROR(1-SUMIF(Grid_BD!$F:$F,$A598,Grid_BD!$Y:$Y)/($AA598+SUMIF(Grid_BD!$F:$F,$A598,Grid_BD!$Y:$Y)),"")</f>
        <v/>
      </c>
      <c r="S598" s="10"/>
      <c r="T598" s="310"/>
      <c r="U598" s="311"/>
      <c r="V598" s="10"/>
      <c r="W598" s="312" t="str">
        <f t="shared" si="52"/>
        <v/>
      </c>
      <c r="X598" s="10" t="str">
        <f>IFERROR(_xlfn.XLOOKUP($A598,Input_Raw!$E:$E,Input_Raw!BG:BG),"")</f>
        <v/>
      </c>
      <c r="Y598" s="10" t="str">
        <f>IFERROR(_xlfn.XLOOKUP($A598,Input_Raw!$E:$E,Input_Raw!DF:DF),"")</f>
        <v/>
      </c>
      <c r="Z598" s="319" t="str">
        <f>IFERROR(_xlfn.XLOOKUP(A598,Input_Raw!E:E,Input_Raw!CT:CT)/_xlfn.XLOOKUP(A598,Input_Raw!E:E,Input_Raw!CS:CS)*Table13[[#This Row],[Mtr_Export (kWh)]],"")</f>
        <v/>
      </c>
      <c r="AA598" s="43" t="str">
        <f t="shared" si="53"/>
        <v/>
      </c>
      <c r="AB598" s="10" t="str">
        <f>IFERROR(_xlfn.XLOOKUP($A598,Input_Raw!$E:$E,Input_Raw!$CZ:$CZ),"")</f>
        <v/>
      </c>
      <c r="AC598" s="313" t="str">
        <f>IFERROR(_xlfn.XLOOKUP($D598,'Modelling New'!$D:$D,'Modelling New'!$J:$J),"")</f>
        <v/>
      </c>
      <c r="AD598" s="43" t="str">
        <f>IFERROR(_xlfn.XLOOKUP($D598,'Modelling New'!$D:$D,'Modelling New'!$T:$T)*1000,"")</f>
        <v/>
      </c>
      <c r="AE598" s="312"/>
      <c r="AF598" s="312" t="str">
        <f>IFERROR(_xlfn.XLOOKUP($D598,'Modelling New'!$D:$D,'Modelling New'!$W:$W),"")</f>
        <v/>
      </c>
      <c r="AG598" s="312" t="str">
        <f>IFERROR(_xlfn.XLOOKUP($D598,'Modelling New'!$D:$D,'Modelling New'!$AE:$AE),"")</f>
        <v/>
      </c>
      <c r="AH598" s="312" t="str">
        <f>IFERROR(_xlfn.XLOOKUP($D598,'Modelling New'!$D:$D,'Modelling New'!$AF:$AF),"")</f>
        <v/>
      </c>
      <c r="AI598" s="10" t="str">
        <f>IFERROR(_xlfn.XLOOKUP($A598,Input_Raw!$E:$E,Input_Raw!$DG:$DG),"")</f>
        <v/>
      </c>
      <c r="AJ598" s="10"/>
      <c r="AK598" s="10"/>
      <c r="AL598" s="10"/>
      <c r="AM598" s="10"/>
      <c r="AN598" s="314" t="str">
        <f>IFERROR(_xlfn.XLOOKUP($A598,Input_Raw!$E:$E,Input_Raw!$CY:$CY),"")</f>
        <v/>
      </c>
      <c r="AO598" s="312" t="str">
        <f>IFERROR((_xlfn.XLOOKUP($A598,'WTG Reactive Power'!$A:$A,'WTG Reactive Power'!AB:AB))/X598,"")</f>
        <v/>
      </c>
      <c r="AP598" s="312" t="str">
        <f>IFERROR(_xlfn.XLOOKUP($D598,'Modelling New'!$D:$D,'Modelling New'!AK:AK),"")</f>
        <v/>
      </c>
      <c r="AQ598" s="312" t="str">
        <f>IFERROR(_xlfn.XLOOKUP($D598,'Modelling New'!$D:$D,'Modelling New'!AL:AL),"")</f>
        <v/>
      </c>
      <c r="AR598" s="325" t="str">
        <f>IFERROR(_xlfn.XLOOKUP($D598,'Modelling New'!$D:$D,'Modelling New'!$N:$N),"")</f>
        <v/>
      </c>
      <c r="AS598" s="325"/>
    </row>
    <row r="599" spans="1:45">
      <c r="A599" s="32">
        <f t="shared" si="54"/>
        <v>46342</v>
      </c>
      <c r="B599" s="43">
        <f>YEAR(Table13[[#This Row],[Date]])+IF(MONTH(Table13[[#This Row],[Date]])&gt;=4,1,0)</f>
        <v>2027</v>
      </c>
      <c r="C599" s="10">
        <f>YEAR(Table13[[#This Row],[Date]])</f>
        <v>2026</v>
      </c>
      <c r="D599" s="309">
        <f>Table13[[#This Row],[Date]]-DAY(Table13[[#This Row],[Date]])+1</f>
        <v>46327</v>
      </c>
      <c r="E599" s="10">
        <f t="shared" si="50"/>
        <v>30</v>
      </c>
      <c r="F599" s="241" t="str">
        <f>IFERROR(_xlfn.XLOOKUP($A599,Input_Raw!$E:$E,Input_Raw!DC:DC),"")</f>
        <v/>
      </c>
      <c r="G599" s="242"/>
      <c r="H599" s="242"/>
      <c r="I599" s="242"/>
      <c r="J599" s="242"/>
      <c r="K599" s="243"/>
      <c r="L599" s="242"/>
      <c r="M599" s="242" t="str">
        <f>IFERROR(_xlfn.XLOOKUP($A599,Input_Raw!$E:$E,Input_Raw!$BM:$BM),"")</f>
        <v/>
      </c>
      <c r="N599" s="242" t="str">
        <f>IFERROR(_xlfn.XLOOKUP($A599,Input_Raw!$E:$E,Input_Raw!$BN:$BN),"")</f>
        <v/>
      </c>
      <c r="O599" s="311" t="str">
        <f t="shared" si="51"/>
        <v/>
      </c>
      <c r="P599" s="311" t="str">
        <f>IFERROR(1-SUMIF(WTG_BD!$F:$F,$A599,WTG_BD!$AA:$AA)/($AA599+SUMIF(WTG_BD!$F:$F,$A599,WTG_BD!$AA:$AA)),"")</f>
        <v/>
      </c>
      <c r="Q599" s="328" t="str">
        <f>IFERROR(1-SUMIF(IGA_BD!$F:$F,$A599,IGA_BD!$W:$W)/($AA599+SUMIF(IGA_BD!$F:$F,$A599,IGA_BD!$W:$W)),"")</f>
        <v/>
      </c>
      <c r="R599" s="311" t="str">
        <f>IFERROR(1-SUMIF(Grid_BD!$F:$F,$A599,Grid_BD!$Y:$Y)/($AA599+SUMIF(Grid_BD!$F:$F,$A599,Grid_BD!$Y:$Y)),"")</f>
        <v/>
      </c>
      <c r="S599" s="10"/>
      <c r="T599" s="310"/>
      <c r="U599" s="311"/>
      <c r="V599" s="10"/>
      <c r="W599" s="312" t="str">
        <f t="shared" si="52"/>
        <v/>
      </c>
      <c r="X599" s="10" t="str">
        <f>IFERROR(_xlfn.XLOOKUP($A599,Input_Raw!$E:$E,Input_Raw!BG:BG),"")</f>
        <v/>
      </c>
      <c r="Y599" s="10" t="str">
        <f>IFERROR(_xlfn.XLOOKUP($A599,Input_Raw!$E:$E,Input_Raw!DF:DF),"")</f>
        <v/>
      </c>
      <c r="Z599" s="319" t="str">
        <f>IFERROR(_xlfn.XLOOKUP(A599,Input_Raw!E:E,Input_Raw!CT:CT)/_xlfn.XLOOKUP(A599,Input_Raw!E:E,Input_Raw!CS:CS)*Table13[[#This Row],[Mtr_Export (kWh)]],"")</f>
        <v/>
      </c>
      <c r="AA599" s="43" t="str">
        <f t="shared" si="53"/>
        <v/>
      </c>
      <c r="AB599" s="10" t="str">
        <f>IFERROR(_xlfn.XLOOKUP($A599,Input_Raw!$E:$E,Input_Raw!$CZ:$CZ),"")</f>
        <v/>
      </c>
      <c r="AC599" s="313" t="str">
        <f>IFERROR(_xlfn.XLOOKUP($D599,'Modelling New'!$D:$D,'Modelling New'!$J:$J),"")</f>
        <v/>
      </c>
      <c r="AD599" s="43" t="str">
        <f>IFERROR(_xlfn.XLOOKUP($D599,'Modelling New'!$D:$D,'Modelling New'!$T:$T)*1000,"")</f>
        <v/>
      </c>
      <c r="AE599" s="312"/>
      <c r="AF599" s="312" t="str">
        <f>IFERROR(_xlfn.XLOOKUP($D599,'Modelling New'!$D:$D,'Modelling New'!$W:$W),"")</f>
        <v/>
      </c>
      <c r="AG599" s="312" t="str">
        <f>IFERROR(_xlfn.XLOOKUP($D599,'Modelling New'!$D:$D,'Modelling New'!$AE:$AE),"")</f>
        <v/>
      </c>
      <c r="AH599" s="312" t="str">
        <f>IFERROR(_xlfn.XLOOKUP($D599,'Modelling New'!$D:$D,'Modelling New'!$AF:$AF),"")</f>
        <v/>
      </c>
      <c r="AI599" s="10" t="str">
        <f>IFERROR(_xlfn.XLOOKUP($A599,Input_Raw!$E:$E,Input_Raw!$DG:$DG),"")</f>
        <v/>
      </c>
      <c r="AJ599" s="10"/>
      <c r="AK599" s="10"/>
      <c r="AL599" s="10"/>
      <c r="AM599" s="10"/>
      <c r="AN599" s="314" t="str">
        <f>IFERROR(_xlfn.XLOOKUP($A599,Input_Raw!$E:$E,Input_Raw!$CY:$CY),"")</f>
        <v/>
      </c>
      <c r="AO599" s="312" t="str">
        <f>IFERROR((_xlfn.XLOOKUP($A599,'WTG Reactive Power'!$A:$A,'WTG Reactive Power'!AB:AB))/X599,"")</f>
        <v/>
      </c>
      <c r="AP599" s="312" t="str">
        <f>IFERROR(_xlfn.XLOOKUP($D599,'Modelling New'!$D:$D,'Modelling New'!AK:AK),"")</f>
        <v/>
      </c>
      <c r="AQ599" s="312" t="str">
        <f>IFERROR(_xlfn.XLOOKUP($D599,'Modelling New'!$D:$D,'Modelling New'!AL:AL),"")</f>
        <v/>
      </c>
      <c r="AR599" s="325" t="str">
        <f>IFERROR(_xlfn.XLOOKUP($D599,'Modelling New'!$D:$D,'Modelling New'!$N:$N),"")</f>
        <v/>
      </c>
      <c r="AS599" s="325"/>
    </row>
    <row r="600" spans="1:45">
      <c r="A600" s="32">
        <f t="shared" si="54"/>
        <v>46343</v>
      </c>
      <c r="B600" s="43">
        <f>YEAR(Table13[[#This Row],[Date]])+IF(MONTH(Table13[[#This Row],[Date]])&gt;=4,1,0)</f>
        <v>2027</v>
      </c>
      <c r="C600" s="10">
        <f>YEAR(Table13[[#This Row],[Date]])</f>
        <v>2026</v>
      </c>
      <c r="D600" s="309">
        <f>Table13[[#This Row],[Date]]-DAY(Table13[[#This Row],[Date]])+1</f>
        <v>46327</v>
      </c>
      <c r="E600" s="10">
        <f t="shared" si="50"/>
        <v>30</v>
      </c>
      <c r="F600" s="241" t="str">
        <f>IFERROR(_xlfn.XLOOKUP($A600,Input_Raw!$E:$E,Input_Raw!DC:DC),"")</f>
        <v/>
      </c>
      <c r="G600" s="313"/>
      <c r="H600" s="313"/>
      <c r="I600" s="313"/>
      <c r="J600" s="313"/>
      <c r="K600" s="243"/>
      <c r="L600" s="242"/>
      <c r="M600" s="242" t="str">
        <f>IFERROR(_xlfn.XLOOKUP($A600,Input_Raw!$E:$E,Input_Raw!$BM:$BM),"")</f>
        <v/>
      </c>
      <c r="N600" s="242" t="str">
        <f>IFERROR(_xlfn.XLOOKUP($A600,Input_Raw!$E:$E,Input_Raw!$BN:$BN),"")</f>
        <v/>
      </c>
      <c r="O600" s="311" t="str">
        <f t="shared" si="51"/>
        <v/>
      </c>
      <c r="P600" s="311" t="str">
        <f>IFERROR(1-SUMIF(WTG_BD!$F:$F,$A600,WTG_BD!$AA:$AA)/($AA600+SUMIF(WTG_BD!$F:$F,$A600,WTG_BD!$AA:$AA)),"")</f>
        <v/>
      </c>
      <c r="Q600" s="328" t="str">
        <f>IFERROR(1-SUMIF(IGA_BD!$F:$F,$A600,IGA_BD!$W:$W)/($AA600+SUMIF(IGA_BD!$F:$F,$A600,IGA_BD!$W:$W)),"")</f>
        <v/>
      </c>
      <c r="R600" s="47" t="str">
        <f>IFERROR(1-SUMIF(Grid_BD!$F:$F,$A600,Grid_BD!$Y:$Y)/($AA600+SUMIF(Grid_BD!$F:$F,$A600,Grid_BD!$Y:$Y)),"")</f>
        <v/>
      </c>
      <c r="S600" s="10"/>
      <c r="T600" s="310"/>
      <c r="U600" s="311"/>
      <c r="V600" s="10"/>
      <c r="W600" s="312" t="str">
        <f t="shared" si="52"/>
        <v/>
      </c>
      <c r="X600" s="10" t="str">
        <f>IFERROR(_xlfn.XLOOKUP($A600,Input_Raw!$E:$E,Input_Raw!BG:BG),"")</f>
        <v/>
      </c>
      <c r="Y600" s="10" t="str">
        <f>IFERROR(_xlfn.XLOOKUP($A600,Input_Raw!$E:$E,Input_Raw!DF:DF),"")</f>
        <v/>
      </c>
      <c r="Z600" s="319" t="str">
        <f>IFERROR(_xlfn.XLOOKUP(A600,Input_Raw!E:E,Input_Raw!CT:CT)/_xlfn.XLOOKUP(A600,Input_Raw!E:E,Input_Raw!CS:CS)*Table13[[#This Row],[Mtr_Export (kWh)]],"")</f>
        <v/>
      </c>
      <c r="AA600" s="43" t="str">
        <f t="shared" si="53"/>
        <v/>
      </c>
      <c r="AB600" s="10" t="str">
        <f>IFERROR(_xlfn.XLOOKUP($A600,Input_Raw!$E:$E,Input_Raw!$CZ:$CZ),"")</f>
        <v/>
      </c>
      <c r="AC600" s="313" t="str">
        <f>IFERROR(_xlfn.XLOOKUP($D600,'Modelling New'!$D:$D,'Modelling New'!$J:$J),"")</f>
        <v/>
      </c>
      <c r="AD600" s="43" t="str">
        <f>IFERROR(_xlfn.XLOOKUP($D600,'Modelling New'!$D:$D,'Modelling New'!$T:$T)*1000,"")</f>
        <v/>
      </c>
      <c r="AE600" s="312"/>
      <c r="AF600" s="312" t="str">
        <f>IFERROR(_xlfn.XLOOKUP($D600,'Modelling New'!$D:$D,'Modelling New'!$W:$W),"")</f>
        <v/>
      </c>
      <c r="AG600" s="312" t="str">
        <f>IFERROR(_xlfn.XLOOKUP($D600,'Modelling New'!$D:$D,'Modelling New'!$AE:$AE),"")</f>
        <v/>
      </c>
      <c r="AH600" s="312" t="str">
        <f>IFERROR(_xlfn.XLOOKUP($D600,'Modelling New'!$D:$D,'Modelling New'!$AF:$AF),"")</f>
        <v/>
      </c>
      <c r="AI600" s="10" t="str">
        <f>IFERROR(_xlfn.XLOOKUP($A600,Input_Raw!$E:$E,Input_Raw!$DG:$DG),"")</f>
        <v/>
      </c>
      <c r="AJ600" s="10"/>
      <c r="AK600" s="10"/>
      <c r="AL600" s="10"/>
      <c r="AM600" s="10"/>
      <c r="AN600" s="314" t="str">
        <f>IFERROR(_xlfn.XLOOKUP($A600,Input_Raw!$E:$E,Input_Raw!$CY:$CY),"")</f>
        <v/>
      </c>
      <c r="AO600" s="312" t="str">
        <f>IFERROR((_xlfn.XLOOKUP($A600,'WTG Reactive Power'!$A:$A,'WTG Reactive Power'!AB:AB))/X600,"")</f>
        <v/>
      </c>
      <c r="AP600" s="312" t="str">
        <f>IFERROR(_xlfn.XLOOKUP($D600,'Modelling New'!$D:$D,'Modelling New'!AK:AK),"")</f>
        <v/>
      </c>
      <c r="AQ600" s="312" t="str">
        <f>IFERROR(_xlfn.XLOOKUP($D600,'Modelling New'!$D:$D,'Modelling New'!AL:AL),"")</f>
        <v/>
      </c>
      <c r="AR600" s="325" t="str">
        <f>IFERROR(_xlfn.XLOOKUP($D600,'Modelling New'!$D:$D,'Modelling New'!$N:$N),"")</f>
        <v/>
      </c>
      <c r="AS600" s="325"/>
    </row>
    <row r="601" spans="1:45">
      <c r="A601" s="32">
        <f t="shared" si="54"/>
        <v>46344</v>
      </c>
      <c r="B601" s="43">
        <f>YEAR(Table13[[#This Row],[Date]])+IF(MONTH(Table13[[#This Row],[Date]])&gt;=4,1,0)</f>
        <v>2027</v>
      </c>
      <c r="C601" s="10">
        <f>YEAR(Table13[[#This Row],[Date]])</f>
        <v>2026</v>
      </c>
      <c r="D601" s="309">
        <f>Table13[[#This Row],[Date]]-DAY(Table13[[#This Row],[Date]])+1</f>
        <v>46327</v>
      </c>
      <c r="E601" s="10">
        <f t="shared" si="50"/>
        <v>30</v>
      </c>
      <c r="F601" s="241" t="str">
        <f>IFERROR(_xlfn.XLOOKUP($A601,Input_Raw!$E:$E,Input_Raw!DC:DC),"")</f>
        <v/>
      </c>
      <c r="G601" s="242"/>
      <c r="H601" s="242"/>
      <c r="I601" s="242"/>
      <c r="J601" s="242"/>
      <c r="K601" s="243"/>
      <c r="L601" s="242"/>
      <c r="M601" s="242" t="str">
        <f>IFERROR(_xlfn.XLOOKUP($A601,Input_Raw!$E:$E,Input_Raw!$BM:$BM),"")</f>
        <v/>
      </c>
      <c r="N601" s="242" t="str">
        <f>IFERROR(_xlfn.XLOOKUP($A601,Input_Raw!$E:$E,Input_Raw!$BN:$BN),"")</f>
        <v/>
      </c>
      <c r="O601" s="311" t="str">
        <f t="shared" si="51"/>
        <v/>
      </c>
      <c r="P601" s="311" t="str">
        <f>IFERROR(1-SUMIF(WTG_BD!$F:$F,$A601,WTG_BD!$AA:$AA)/($AA601+SUMIF(WTG_BD!$F:$F,$A601,WTG_BD!$AA:$AA)),"")</f>
        <v/>
      </c>
      <c r="Q601" s="328" t="str">
        <f>IFERROR(1-SUMIF(IGA_BD!$F:$F,$A601,IGA_BD!$W:$W)/($AA601+SUMIF(IGA_BD!$F:$F,$A601,IGA_BD!$W:$W)),"")</f>
        <v/>
      </c>
      <c r="R601" s="311" t="str">
        <f>IFERROR(1-SUMIF(Grid_BD!$F:$F,$A601,Grid_BD!$Y:$Y)/($AA601+SUMIF(Grid_BD!$F:$F,$A601,Grid_BD!$Y:$Y)),"")</f>
        <v/>
      </c>
      <c r="S601" s="10"/>
      <c r="T601" s="310"/>
      <c r="U601" s="311"/>
      <c r="V601" s="10"/>
      <c r="W601" s="312" t="str">
        <f t="shared" si="52"/>
        <v/>
      </c>
      <c r="X601" s="10" t="str">
        <f>IFERROR(_xlfn.XLOOKUP($A601,Input_Raw!$E:$E,Input_Raw!BG:BG),"")</f>
        <v/>
      </c>
      <c r="Y601" s="10" t="str">
        <f>IFERROR(_xlfn.XLOOKUP($A601,Input_Raw!$E:$E,Input_Raw!DF:DF),"")</f>
        <v/>
      </c>
      <c r="Z601" s="319" t="str">
        <f>IFERROR(_xlfn.XLOOKUP(A601,Input_Raw!E:E,Input_Raw!CT:CT)/_xlfn.XLOOKUP(A601,Input_Raw!E:E,Input_Raw!CS:CS)*Table13[[#This Row],[Mtr_Export (kWh)]],"")</f>
        <v/>
      </c>
      <c r="AA601" s="43" t="str">
        <f t="shared" si="53"/>
        <v/>
      </c>
      <c r="AB601" s="10" t="str">
        <f>IFERROR(_xlfn.XLOOKUP($A601,Input_Raw!$E:$E,Input_Raw!$CZ:$CZ),"")</f>
        <v/>
      </c>
      <c r="AC601" s="313" t="str">
        <f>IFERROR(_xlfn.XLOOKUP($D601,'Modelling New'!$D:$D,'Modelling New'!$J:$J),"")</f>
        <v/>
      </c>
      <c r="AD601" s="43" t="str">
        <f>IFERROR(_xlfn.XLOOKUP($D601,'Modelling New'!$D:$D,'Modelling New'!$T:$T)*1000,"")</f>
        <v/>
      </c>
      <c r="AE601" s="312"/>
      <c r="AF601" s="312" t="str">
        <f>IFERROR(_xlfn.XLOOKUP($D601,'Modelling New'!$D:$D,'Modelling New'!$W:$W),"")</f>
        <v/>
      </c>
      <c r="AG601" s="312" t="str">
        <f>IFERROR(_xlfn.XLOOKUP($D601,'Modelling New'!$D:$D,'Modelling New'!$AE:$AE),"")</f>
        <v/>
      </c>
      <c r="AH601" s="312" t="str">
        <f>IFERROR(_xlfn.XLOOKUP($D601,'Modelling New'!$D:$D,'Modelling New'!$AF:$AF),"")</f>
        <v/>
      </c>
      <c r="AI601" s="10" t="str">
        <f>IFERROR(_xlfn.XLOOKUP($A601,Input_Raw!$E:$E,Input_Raw!$DG:$DG),"")</f>
        <v/>
      </c>
      <c r="AJ601" s="10"/>
      <c r="AK601" s="10"/>
      <c r="AL601" s="10"/>
      <c r="AM601" s="10"/>
      <c r="AN601" s="314" t="str">
        <f>IFERROR(_xlfn.XLOOKUP($A601,Input_Raw!$E:$E,Input_Raw!$CY:$CY),"")</f>
        <v/>
      </c>
      <c r="AO601" s="312" t="str">
        <f>IFERROR((_xlfn.XLOOKUP($A601,'WTG Reactive Power'!$A:$A,'WTG Reactive Power'!AB:AB))/X601,"")</f>
        <v/>
      </c>
      <c r="AP601" s="312" t="str">
        <f>IFERROR(_xlfn.XLOOKUP($D601,'Modelling New'!$D:$D,'Modelling New'!AK:AK),"")</f>
        <v/>
      </c>
      <c r="AQ601" s="312" t="str">
        <f>IFERROR(_xlfn.XLOOKUP($D601,'Modelling New'!$D:$D,'Modelling New'!AL:AL),"")</f>
        <v/>
      </c>
      <c r="AR601" s="325" t="str">
        <f>IFERROR(_xlfn.XLOOKUP($D601,'Modelling New'!$D:$D,'Modelling New'!$N:$N),"")</f>
        <v/>
      </c>
      <c r="AS601" s="325"/>
    </row>
    <row r="602" spans="1:45">
      <c r="A602" s="32">
        <f t="shared" si="54"/>
        <v>46345</v>
      </c>
      <c r="B602" s="43">
        <f>YEAR(Table13[[#This Row],[Date]])+IF(MONTH(Table13[[#This Row],[Date]])&gt;=4,1,0)</f>
        <v>2027</v>
      </c>
      <c r="C602" s="10">
        <f>YEAR(Table13[[#This Row],[Date]])</f>
        <v>2026</v>
      </c>
      <c r="D602" s="309">
        <f>Table13[[#This Row],[Date]]-DAY(Table13[[#This Row],[Date]])+1</f>
        <v>46327</v>
      </c>
      <c r="E602" s="10">
        <f t="shared" si="50"/>
        <v>30</v>
      </c>
      <c r="F602" s="241" t="str">
        <f>IFERROR(_xlfn.XLOOKUP($A602,Input_Raw!$E:$E,Input_Raw!DC:DC),"")</f>
        <v/>
      </c>
      <c r="G602" s="313"/>
      <c r="H602" s="313"/>
      <c r="I602" s="313"/>
      <c r="J602" s="313"/>
      <c r="K602" s="243"/>
      <c r="L602" s="242"/>
      <c r="M602" s="242" t="str">
        <f>IFERROR(_xlfn.XLOOKUP($A602,Input_Raw!$E:$E,Input_Raw!$BM:$BM),"")</f>
        <v/>
      </c>
      <c r="N602" s="242" t="str">
        <f>IFERROR(_xlfn.XLOOKUP($A602,Input_Raw!$E:$E,Input_Raw!$BN:$BN),"")</f>
        <v/>
      </c>
      <c r="O602" s="311" t="str">
        <f t="shared" si="51"/>
        <v/>
      </c>
      <c r="P602" s="311" t="str">
        <f>IFERROR(1-SUMIF(WTG_BD!$F:$F,$A602,WTG_BD!$AA:$AA)/($AA602+SUMIF(WTG_BD!$F:$F,$A602,WTG_BD!$AA:$AA)),"")</f>
        <v/>
      </c>
      <c r="Q602" s="328" t="str">
        <f>IFERROR(1-SUMIF(IGA_BD!$F:$F,$A602,IGA_BD!$W:$W)/($AA602+SUMIF(IGA_BD!$F:$F,$A602,IGA_BD!$W:$W)),"")</f>
        <v/>
      </c>
      <c r="R602" s="47" t="str">
        <f>IFERROR(1-SUMIF(Grid_BD!$F:$F,$A602,Grid_BD!$Y:$Y)/($AA602+SUMIF(Grid_BD!$F:$F,$A602,Grid_BD!$Y:$Y)),"")</f>
        <v/>
      </c>
      <c r="S602" s="10"/>
      <c r="T602" s="310"/>
      <c r="U602" s="311"/>
      <c r="V602" s="10"/>
      <c r="W602" s="312" t="str">
        <f t="shared" si="52"/>
        <v/>
      </c>
      <c r="X602" s="10" t="str">
        <f>IFERROR(_xlfn.XLOOKUP($A602,Input_Raw!$E:$E,Input_Raw!BG:BG),"")</f>
        <v/>
      </c>
      <c r="Y602" s="10" t="str">
        <f>IFERROR(_xlfn.XLOOKUP($A602,Input_Raw!$E:$E,Input_Raw!DF:DF),"")</f>
        <v/>
      </c>
      <c r="Z602" s="319" t="str">
        <f>IFERROR(_xlfn.XLOOKUP(A602,Input_Raw!E:E,Input_Raw!CT:CT)/_xlfn.XLOOKUP(A602,Input_Raw!E:E,Input_Raw!CS:CS)*Table13[[#This Row],[Mtr_Export (kWh)]],"")</f>
        <v/>
      </c>
      <c r="AA602" s="43" t="str">
        <f t="shared" si="53"/>
        <v/>
      </c>
      <c r="AB602" s="10" t="str">
        <f>IFERROR(_xlfn.XLOOKUP($A602,Input_Raw!$E:$E,Input_Raw!$CZ:$CZ),"")</f>
        <v/>
      </c>
      <c r="AC602" s="313" t="str">
        <f>IFERROR(_xlfn.XLOOKUP($D602,'Modelling New'!$D:$D,'Modelling New'!$J:$J),"")</f>
        <v/>
      </c>
      <c r="AD602" s="43" t="str">
        <f>IFERROR(_xlfn.XLOOKUP($D602,'Modelling New'!$D:$D,'Modelling New'!$T:$T)*1000,"")</f>
        <v/>
      </c>
      <c r="AE602" s="312"/>
      <c r="AF602" s="312" t="str">
        <f>IFERROR(_xlfn.XLOOKUP($D602,'Modelling New'!$D:$D,'Modelling New'!$W:$W),"")</f>
        <v/>
      </c>
      <c r="AG602" s="312" t="str">
        <f>IFERROR(_xlfn.XLOOKUP($D602,'Modelling New'!$D:$D,'Modelling New'!$AE:$AE),"")</f>
        <v/>
      </c>
      <c r="AH602" s="312" t="str">
        <f>IFERROR(_xlfn.XLOOKUP($D602,'Modelling New'!$D:$D,'Modelling New'!$AF:$AF),"")</f>
        <v/>
      </c>
      <c r="AI602" s="10" t="str">
        <f>IFERROR(_xlfn.XLOOKUP($A602,Input_Raw!$E:$E,Input_Raw!$DG:$DG),"")</f>
        <v/>
      </c>
      <c r="AJ602" s="10"/>
      <c r="AK602" s="10"/>
      <c r="AL602" s="10"/>
      <c r="AM602" s="10"/>
      <c r="AN602" s="314" t="str">
        <f>IFERROR(_xlfn.XLOOKUP($A602,Input_Raw!$E:$E,Input_Raw!$CY:$CY),"")</f>
        <v/>
      </c>
      <c r="AO602" s="312" t="str">
        <f>IFERROR((_xlfn.XLOOKUP($A602,'WTG Reactive Power'!$A:$A,'WTG Reactive Power'!AB:AB))/X602,"")</f>
        <v/>
      </c>
      <c r="AP602" s="312" t="str">
        <f>IFERROR(_xlfn.XLOOKUP($D602,'Modelling New'!$D:$D,'Modelling New'!AK:AK),"")</f>
        <v/>
      </c>
      <c r="AQ602" s="312" t="str">
        <f>IFERROR(_xlfn.XLOOKUP($D602,'Modelling New'!$D:$D,'Modelling New'!AL:AL),"")</f>
        <v/>
      </c>
      <c r="AR602" s="325" t="str">
        <f>IFERROR(_xlfn.XLOOKUP($D602,'Modelling New'!$D:$D,'Modelling New'!$N:$N),"")</f>
        <v/>
      </c>
      <c r="AS602" s="325"/>
    </row>
    <row r="603" spans="1:45">
      <c r="A603" s="32">
        <f t="shared" si="54"/>
        <v>46346</v>
      </c>
      <c r="B603" s="43">
        <f>YEAR(Table13[[#This Row],[Date]])+IF(MONTH(Table13[[#This Row],[Date]])&gt;=4,1,0)</f>
        <v>2027</v>
      </c>
      <c r="C603" s="10">
        <f>YEAR(Table13[[#This Row],[Date]])</f>
        <v>2026</v>
      </c>
      <c r="D603" s="309">
        <f>Table13[[#This Row],[Date]]-DAY(Table13[[#This Row],[Date]])+1</f>
        <v>46327</v>
      </c>
      <c r="E603" s="10">
        <f t="shared" si="50"/>
        <v>30</v>
      </c>
      <c r="F603" s="241" t="str">
        <f>IFERROR(_xlfn.XLOOKUP($A603,Input_Raw!$E:$E,Input_Raw!DC:DC),"")</f>
        <v/>
      </c>
      <c r="G603" s="242"/>
      <c r="H603" s="242"/>
      <c r="I603" s="242"/>
      <c r="J603" s="242"/>
      <c r="K603" s="243"/>
      <c r="L603" s="242"/>
      <c r="M603" s="242" t="str">
        <f>IFERROR(_xlfn.XLOOKUP($A603,Input_Raw!$E:$E,Input_Raw!$BM:$BM),"")</f>
        <v/>
      </c>
      <c r="N603" s="242" t="str">
        <f>IFERROR(_xlfn.XLOOKUP($A603,Input_Raw!$E:$E,Input_Raw!$BN:$BN),"")</f>
        <v/>
      </c>
      <c r="O603" s="311" t="str">
        <f t="shared" si="51"/>
        <v/>
      </c>
      <c r="P603" s="311" t="str">
        <f>IFERROR(1-SUMIF(WTG_BD!$F:$F,$A603,WTG_BD!$AA:$AA)/($AA603+SUMIF(WTG_BD!$F:$F,$A603,WTG_BD!$AA:$AA)),"")</f>
        <v/>
      </c>
      <c r="Q603" s="328" t="str">
        <f>IFERROR(1-SUMIF(IGA_BD!$F:$F,$A603,IGA_BD!$W:$W)/($AA603+SUMIF(IGA_BD!$F:$F,$A603,IGA_BD!$W:$W)),"")</f>
        <v/>
      </c>
      <c r="R603" s="311" t="str">
        <f>IFERROR(1-SUMIF(Grid_BD!$F:$F,$A603,Grid_BD!$Y:$Y)/($AA603+SUMIF(Grid_BD!$F:$F,$A603,Grid_BD!$Y:$Y)),"")</f>
        <v/>
      </c>
      <c r="S603" s="10"/>
      <c r="T603" s="310"/>
      <c r="U603" s="311"/>
      <c r="V603" s="10"/>
      <c r="W603" s="312" t="str">
        <f t="shared" si="52"/>
        <v/>
      </c>
      <c r="X603" s="10" t="str">
        <f>IFERROR(_xlfn.XLOOKUP($A603,Input_Raw!$E:$E,Input_Raw!BG:BG),"")</f>
        <v/>
      </c>
      <c r="Y603" s="10" t="str">
        <f>IFERROR(_xlfn.XLOOKUP($A603,Input_Raw!$E:$E,Input_Raw!DF:DF),"")</f>
        <v/>
      </c>
      <c r="Z603" s="319" t="str">
        <f>IFERROR(_xlfn.XLOOKUP(A603,Input_Raw!E:E,Input_Raw!CT:CT)/_xlfn.XLOOKUP(A603,Input_Raw!E:E,Input_Raw!CS:CS)*Table13[[#This Row],[Mtr_Export (kWh)]],"")</f>
        <v/>
      </c>
      <c r="AA603" s="43" t="str">
        <f t="shared" si="53"/>
        <v/>
      </c>
      <c r="AB603" s="10" t="str">
        <f>IFERROR(_xlfn.XLOOKUP($A603,Input_Raw!$E:$E,Input_Raw!$CZ:$CZ),"")</f>
        <v/>
      </c>
      <c r="AC603" s="313" t="str">
        <f>IFERROR(_xlfn.XLOOKUP($D603,'Modelling New'!$D:$D,'Modelling New'!$J:$J),"")</f>
        <v/>
      </c>
      <c r="AD603" s="43" t="str">
        <f>IFERROR(_xlfn.XLOOKUP($D603,'Modelling New'!$D:$D,'Modelling New'!$T:$T)*1000,"")</f>
        <v/>
      </c>
      <c r="AE603" s="312"/>
      <c r="AF603" s="312" t="str">
        <f>IFERROR(_xlfn.XLOOKUP($D603,'Modelling New'!$D:$D,'Modelling New'!$W:$W),"")</f>
        <v/>
      </c>
      <c r="AG603" s="312" t="str">
        <f>IFERROR(_xlfn.XLOOKUP($D603,'Modelling New'!$D:$D,'Modelling New'!$AE:$AE),"")</f>
        <v/>
      </c>
      <c r="AH603" s="312" t="str">
        <f>IFERROR(_xlfn.XLOOKUP($D603,'Modelling New'!$D:$D,'Modelling New'!$AF:$AF),"")</f>
        <v/>
      </c>
      <c r="AI603" s="10" t="str">
        <f>IFERROR(_xlfn.XLOOKUP($A603,Input_Raw!$E:$E,Input_Raw!$DG:$DG),"")</f>
        <v/>
      </c>
      <c r="AJ603" s="10"/>
      <c r="AK603" s="10"/>
      <c r="AL603" s="10"/>
      <c r="AM603" s="10"/>
      <c r="AN603" s="314" t="str">
        <f>IFERROR(_xlfn.XLOOKUP($A603,Input_Raw!$E:$E,Input_Raw!$CY:$CY),"")</f>
        <v/>
      </c>
      <c r="AO603" s="312" t="str">
        <f>IFERROR((_xlfn.XLOOKUP($A603,'WTG Reactive Power'!$A:$A,'WTG Reactive Power'!AB:AB))/X603,"")</f>
        <v/>
      </c>
      <c r="AP603" s="312" t="str">
        <f>IFERROR(_xlfn.XLOOKUP($D603,'Modelling New'!$D:$D,'Modelling New'!AK:AK),"")</f>
        <v/>
      </c>
      <c r="AQ603" s="312" t="str">
        <f>IFERROR(_xlfn.XLOOKUP($D603,'Modelling New'!$D:$D,'Modelling New'!AL:AL),"")</f>
        <v/>
      </c>
      <c r="AR603" s="325" t="str">
        <f>IFERROR(_xlfn.XLOOKUP($D603,'Modelling New'!$D:$D,'Modelling New'!$N:$N),"")</f>
        <v/>
      </c>
      <c r="AS603" s="325"/>
    </row>
    <row r="604" spans="1:45">
      <c r="A604" s="32">
        <f t="shared" si="54"/>
        <v>46347</v>
      </c>
      <c r="B604" s="43">
        <f>YEAR(Table13[[#This Row],[Date]])+IF(MONTH(Table13[[#This Row],[Date]])&gt;=4,1,0)</f>
        <v>2027</v>
      </c>
      <c r="C604" s="10">
        <f>YEAR(Table13[[#This Row],[Date]])</f>
        <v>2026</v>
      </c>
      <c r="D604" s="309">
        <f>Table13[[#This Row],[Date]]-DAY(Table13[[#This Row],[Date]])+1</f>
        <v>46327</v>
      </c>
      <c r="E604" s="10">
        <f t="shared" si="50"/>
        <v>30</v>
      </c>
      <c r="F604" s="241" t="str">
        <f>IFERROR(_xlfn.XLOOKUP($A604,Input_Raw!$E:$E,Input_Raw!DC:DC),"")</f>
        <v/>
      </c>
      <c r="G604" s="313"/>
      <c r="H604" s="313"/>
      <c r="I604" s="313"/>
      <c r="J604" s="313"/>
      <c r="K604" s="243"/>
      <c r="L604" s="242"/>
      <c r="M604" s="242" t="str">
        <f>IFERROR(_xlfn.XLOOKUP($A604,Input_Raw!$E:$E,Input_Raw!$BM:$BM),"")</f>
        <v/>
      </c>
      <c r="N604" s="242" t="str">
        <f>IFERROR(_xlfn.XLOOKUP($A604,Input_Raw!$E:$E,Input_Raw!$BN:$BN),"")</f>
        <v/>
      </c>
      <c r="O604" s="311" t="str">
        <f t="shared" si="51"/>
        <v/>
      </c>
      <c r="P604" s="311" t="str">
        <f>IFERROR(1-SUMIF(WTG_BD!$F:$F,$A604,WTG_BD!$AA:$AA)/($AA604+SUMIF(WTG_BD!$F:$F,$A604,WTG_BD!$AA:$AA)),"")</f>
        <v/>
      </c>
      <c r="Q604" s="328" t="str">
        <f>IFERROR(1-SUMIF(IGA_BD!$F:$F,$A604,IGA_BD!$W:$W)/($AA604+SUMIF(IGA_BD!$F:$F,$A604,IGA_BD!$W:$W)),"")</f>
        <v/>
      </c>
      <c r="R604" s="47" t="str">
        <f>IFERROR(1-SUMIF(Grid_BD!$F:$F,$A604,Grid_BD!$Y:$Y)/($AA604+SUMIF(Grid_BD!$F:$F,$A604,Grid_BD!$Y:$Y)),"")</f>
        <v/>
      </c>
      <c r="S604" s="10"/>
      <c r="T604" s="310"/>
      <c r="U604" s="311"/>
      <c r="V604" s="10"/>
      <c r="W604" s="312" t="str">
        <f t="shared" si="52"/>
        <v/>
      </c>
      <c r="X604" s="10" t="str">
        <f>IFERROR(_xlfn.XLOOKUP($A604,Input_Raw!$E:$E,Input_Raw!BG:BG),"")</f>
        <v/>
      </c>
      <c r="Y604" s="10" t="str">
        <f>IFERROR(_xlfn.XLOOKUP($A604,Input_Raw!$E:$E,Input_Raw!DF:DF),"")</f>
        <v/>
      </c>
      <c r="Z604" s="319" t="str">
        <f>IFERROR(_xlfn.XLOOKUP(A604,Input_Raw!E:E,Input_Raw!CT:CT)/_xlfn.XLOOKUP(A604,Input_Raw!E:E,Input_Raw!CS:CS)*Table13[[#This Row],[Mtr_Export (kWh)]],"")</f>
        <v/>
      </c>
      <c r="AA604" s="43" t="str">
        <f t="shared" si="53"/>
        <v/>
      </c>
      <c r="AB604" s="10" t="str">
        <f>IFERROR(_xlfn.XLOOKUP($A604,Input_Raw!$E:$E,Input_Raw!$CZ:$CZ),"")</f>
        <v/>
      </c>
      <c r="AC604" s="313" t="str">
        <f>IFERROR(_xlfn.XLOOKUP($D604,'Modelling New'!$D:$D,'Modelling New'!$J:$J),"")</f>
        <v/>
      </c>
      <c r="AD604" s="43" t="str">
        <f>IFERROR(_xlfn.XLOOKUP($D604,'Modelling New'!$D:$D,'Modelling New'!$T:$T)*1000,"")</f>
        <v/>
      </c>
      <c r="AE604" s="312"/>
      <c r="AF604" s="312" t="str">
        <f>IFERROR(_xlfn.XLOOKUP($D604,'Modelling New'!$D:$D,'Modelling New'!$W:$W),"")</f>
        <v/>
      </c>
      <c r="AG604" s="312" t="str">
        <f>IFERROR(_xlfn.XLOOKUP($D604,'Modelling New'!$D:$D,'Modelling New'!$AE:$AE),"")</f>
        <v/>
      </c>
      <c r="AH604" s="312" t="str">
        <f>IFERROR(_xlfn.XLOOKUP($D604,'Modelling New'!$D:$D,'Modelling New'!$AF:$AF),"")</f>
        <v/>
      </c>
      <c r="AI604" s="10" t="str">
        <f>IFERROR(_xlfn.XLOOKUP($A604,Input_Raw!$E:$E,Input_Raw!$DG:$DG),"")</f>
        <v/>
      </c>
      <c r="AJ604" s="10"/>
      <c r="AK604" s="10"/>
      <c r="AL604" s="10"/>
      <c r="AM604" s="10"/>
      <c r="AN604" s="314" t="str">
        <f>IFERROR(_xlfn.XLOOKUP($A604,Input_Raw!$E:$E,Input_Raw!$CY:$CY),"")</f>
        <v/>
      </c>
      <c r="AO604" s="312" t="str">
        <f>IFERROR((_xlfn.XLOOKUP($A604,'WTG Reactive Power'!$A:$A,'WTG Reactive Power'!AB:AB))/X604,"")</f>
        <v/>
      </c>
      <c r="AP604" s="312" t="str">
        <f>IFERROR(_xlfn.XLOOKUP($D604,'Modelling New'!$D:$D,'Modelling New'!AK:AK),"")</f>
        <v/>
      </c>
      <c r="AQ604" s="312" t="str">
        <f>IFERROR(_xlfn.XLOOKUP($D604,'Modelling New'!$D:$D,'Modelling New'!AL:AL),"")</f>
        <v/>
      </c>
      <c r="AR604" s="325" t="str">
        <f>IFERROR(_xlfn.XLOOKUP($D604,'Modelling New'!$D:$D,'Modelling New'!$N:$N),"")</f>
        <v/>
      </c>
      <c r="AS604" s="325"/>
    </row>
    <row r="605" spans="1:45">
      <c r="A605" s="32">
        <f t="shared" si="54"/>
        <v>46348</v>
      </c>
      <c r="B605" s="43">
        <f>YEAR(Table13[[#This Row],[Date]])+IF(MONTH(Table13[[#This Row],[Date]])&gt;=4,1,0)</f>
        <v>2027</v>
      </c>
      <c r="C605" s="10">
        <f>YEAR(Table13[[#This Row],[Date]])</f>
        <v>2026</v>
      </c>
      <c r="D605" s="309">
        <f>Table13[[#This Row],[Date]]-DAY(Table13[[#This Row],[Date]])+1</f>
        <v>46327</v>
      </c>
      <c r="E605" s="10">
        <f t="shared" si="50"/>
        <v>30</v>
      </c>
      <c r="F605" s="241" t="str">
        <f>IFERROR(_xlfn.XLOOKUP($A605,Input_Raw!$E:$E,Input_Raw!DC:DC),"")</f>
        <v/>
      </c>
      <c r="G605" s="242"/>
      <c r="H605" s="242"/>
      <c r="I605" s="242"/>
      <c r="J605" s="242"/>
      <c r="K605" s="243"/>
      <c r="L605" s="242"/>
      <c r="M605" s="242" t="str">
        <f>IFERROR(_xlfn.XLOOKUP($A605,Input_Raw!$E:$E,Input_Raw!$BM:$BM),"")</f>
        <v/>
      </c>
      <c r="N605" s="242" t="str">
        <f>IFERROR(_xlfn.XLOOKUP($A605,Input_Raw!$E:$E,Input_Raw!$BN:$BN),"")</f>
        <v/>
      </c>
      <c r="O605" s="311" t="str">
        <f t="shared" si="51"/>
        <v/>
      </c>
      <c r="P605" s="311" t="str">
        <f>IFERROR(1-SUMIF(WTG_BD!$F:$F,$A605,WTG_BD!$AA:$AA)/($AA605+SUMIF(WTG_BD!$F:$F,$A605,WTG_BD!$AA:$AA)),"")</f>
        <v/>
      </c>
      <c r="Q605" s="328" t="str">
        <f>IFERROR(1-SUMIF(IGA_BD!$F:$F,$A605,IGA_BD!$W:$W)/($AA605+SUMIF(IGA_BD!$F:$F,$A605,IGA_BD!$W:$W)),"")</f>
        <v/>
      </c>
      <c r="R605" s="311" t="str">
        <f>IFERROR(1-SUMIF(Grid_BD!$F:$F,$A605,Grid_BD!$Y:$Y)/($AA605+SUMIF(Grid_BD!$F:$F,$A605,Grid_BD!$Y:$Y)),"")</f>
        <v/>
      </c>
      <c r="S605" s="10"/>
      <c r="T605" s="310"/>
      <c r="U605" s="311"/>
      <c r="V605" s="10"/>
      <c r="W605" s="312" t="str">
        <f t="shared" si="52"/>
        <v/>
      </c>
      <c r="X605" s="10" t="str">
        <f>IFERROR(_xlfn.XLOOKUP($A605,Input_Raw!$E:$E,Input_Raw!BG:BG),"")</f>
        <v/>
      </c>
      <c r="Y605" s="10" t="str">
        <f>IFERROR(_xlfn.XLOOKUP($A605,Input_Raw!$E:$E,Input_Raw!DF:DF),"")</f>
        <v/>
      </c>
      <c r="Z605" s="319" t="str">
        <f>IFERROR(_xlfn.XLOOKUP(A605,Input_Raw!E:E,Input_Raw!CT:CT)/_xlfn.XLOOKUP(A605,Input_Raw!E:E,Input_Raw!CS:CS)*Table13[[#This Row],[Mtr_Export (kWh)]],"")</f>
        <v/>
      </c>
      <c r="AA605" s="43" t="str">
        <f t="shared" si="53"/>
        <v/>
      </c>
      <c r="AB605" s="10" t="str">
        <f>IFERROR(_xlfn.XLOOKUP($A605,Input_Raw!$E:$E,Input_Raw!$CZ:$CZ),"")</f>
        <v/>
      </c>
      <c r="AC605" s="313" t="str">
        <f>IFERROR(_xlfn.XLOOKUP($D605,'Modelling New'!$D:$D,'Modelling New'!$J:$J),"")</f>
        <v/>
      </c>
      <c r="AD605" s="43" t="str">
        <f>IFERROR(_xlfn.XLOOKUP($D605,'Modelling New'!$D:$D,'Modelling New'!$T:$T)*1000,"")</f>
        <v/>
      </c>
      <c r="AE605" s="312"/>
      <c r="AF605" s="312" t="str">
        <f>IFERROR(_xlfn.XLOOKUP($D605,'Modelling New'!$D:$D,'Modelling New'!$W:$W),"")</f>
        <v/>
      </c>
      <c r="AG605" s="312" t="str">
        <f>IFERROR(_xlfn.XLOOKUP($D605,'Modelling New'!$D:$D,'Modelling New'!$AE:$AE),"")</f>
        <v/>
      </c>
      <c r="AH605" s="312" t="str">
        <f>IFERROR(_xlfn.XLOOKUP($D605,'Modelling New'!$D:$D,'Modelling New'!$AF:$AF),"")</f>
        <v/>
      </c>
      <c r="AI605" s="10" t="str">
        <f>IFERROR(_xlfn.XLOOKUP($A605,Input_Raw!$E:$E,Input_Raw!$DG:$DG),"")</f>
        <v/>
      </c>
      <c r="AJ605" s="10"/>
      <c r="AK605" s="10"/>
      <c r="AL605" s="10"/>
      <c r="AM605" s="10"/>
      <c r="AN605" s="314" t="str">
        <f>IFERROR(_xlfn.XLOOKUP($A605,Input_Raw!$E:$E,Input_Raw!$CY:$CY),"")</f>
        <v/>
      </c>
      <c r="AO605" s="312" t="str">
        <f>IFERROR((_xlfn.XLOOKUP($A605,'WTG Reactive Power'!$A:$A,'WTG Reactive Power'!AB:AB))/X605,"")</f>
        <v/>
      </c>
      <c r="AP605" s="312" t="str">
        <f>IFERROR(_xlfn.XLOOKUP($D605,'Modelling New'!$D:$D,'Modelling New'!AK:AK),"")</f>
        <v/>
      </c>
      <c r="AQ605" s="312" t="str">
        <f>IFERROR(_xlfn.XLOOKUP($D605,'Modelling New'!$D:$D,'Modelling New'!AL:AL),"")</f>
        <v/>
      </c>
      <c r="AR605" s="325" t="str">
        <f>IFERROR(_xlfn.XLOOKUP($D605,'Modelling New'!$D:$D,'Modelling New'!$N:$N),"")</f>
        <v/>
      </c>
      <c r="AS605" s="325"/>
    </row>
    <row r="606" spans="1:45">
      <c r="A606" s="32">
        <f t="shared" si="54"/>
        <v>46349</v>
      </c>
      <c r="B606" s="43">
        <f>YEAR(Table13[[#This Row],[Date]])+IF(MONTH(Table13[[#This Row],[Date]])&gt;=4,1,0)</f>
        <v>2027</v>
      </c>
      <c r="C606" s="10">
        <f>YEAR(Table13[[#This Row],[Date]])</f>
        <v>2026</v>
      </c>
      <c r="D606" s="309">
        <f>Table13[[#This Row],[Date]]-DAY(Table13[[#This Row],[Date]])+1</f>
        <v>46327</v>
      </c>
      <c r="E606" s="10">
        <f t="shared" si="50"/>
        <v>30</v>
      </c>
      <c r="F606" s="241" t="str">
        <f>IFERROR(_xlfn.XLOOKUP($A606,Input_Raw!$E:$E,Input_Raw!DC:DC),"")</f>
        <v/>
      </c>
      <c r="G606" s="313"/>
      <c r="H606" s="313"/>
      <c r="I606" s="313"/>
      <c r="J606" s="313"/>
      <c r="K606" s="243"/>
      <c r="L606" s="242"/>
      <c r="M606" s="242" t="str">
        <f>IFERROR(_xlfn.XLOOKUP($A606,Input_Raw!$E:$E,Input_Raw!$BM:$BM),"")</f>
        <v/>
      </c>
      <c r="N606" s="242" t="str">
        <f>IFERROR(_xlfn.XLOOKUP($A606,Input_Raw!$E:$E,Input_Raw!$BN:$BN),"")</f>
        <v/>
      </c>
      <c r="O606" s="311" t="str">
        <f t="shared" si="51"/>
        <v/>
      </c>
      <c r="P606" s="311" t="str">
        <f>IFERROR(1-SUMIF(WTG_BD!$F:$F,$A606,WTG_BD!$AA:$AA)/($AA606+SUMIF(WTG_BD!$F:$F,$A606,WTG_BD!$AA:$AA)),"")</f>
        <v/>
      </c>
      <c r="Q606" s="328" t="str">
        <f>IFERROR(1-SUMIF(IGA_BD!$F:$F,$A606,IGA_BD!$W:$W)/($AA606+SUMIF(IGA_BD!$F:$F,$A606,IGA_BD!$W:$W)),"")</f>
        <v/>
      </c>
      <c r="R606" s="47" t="str">
        <f>IFERROR(1-SUMIF(Grid_BD!$F:$F,$A606,Grid_BD!$Y:$Y)/($AA606+SUMIF(Grid_BD!$F:$F,$A606,Grid_BD!$Y:$Y)),"")</f>
        <v/>
      </c>
      <c r="S606" s="10"/>
      <c r="T606" s="310"/>
      <c r="U606" s="311"/>
      <c r="V606" s="10"/>
      <c r="W606" s="312" t="str">
        <f t="shared" si="52"/>
        <v/>
      </c>
      <c r="X606" s="10" t="str">
        <f>IFERROR(_xlfn.XLOOKUP($A606,Input_Raw!$E:$E,Input_Raw!BG:BG),"")</f>
        <v/>
      </c>
      <c r="Y606" s="10" t="str">
        <f>IFERROR(_xlfn.XLOOKUP($A606,Input_Raw!$E:$E,Input_Raw!DF:DF),"")</f>
        <v/>
      </c>
      <c r="Z606" s="319" t="str">
        <f>IFERROR(_xlfn.XLOOKUP(A606,Input_Raw!E:E,Input_Raw!CT:CT)/_xlfn.XLOOKUP(A606,Input_Raw!E:E,Input_Raw!CS:CS)*Table13[[#This Row],[Mtr_Export (kWh)]],"")</f>
        <v/>
      </c>
      <c r="AA606" s="43" t="str">
        <f t="shared" si="53"/>
        <v/>
      </c>
      <c r="AB606" s="10" t="str">
        <f>IFERROR(_xlfn.XLOOKUP($A606,Input_Raw!$E:$E,Input_Raw!$CZ:$CZ),"")</f>
        <v/>
      </c>
      <c r="AC606" s="313" t="str">
        <f>IFERROR(_xlfn.XLOOKUP($D606,'Modelling New'!$D:$D,'Modelling New'!$J:$J),"")</f>
        <v/>
      </c>
      <c r="AD606" s="43" t="str">
        <f>IFERROR(_xlfn.XLOOKUP($D606,'Modelling New'!$D:$D,'Modelling New'!$T:$T)*1000,"")</f>
        <v/>
      </c>
      <c r="AE606" s="312"/>
      <c r="AF606" s="312" t="str">
        <f>IFERROR(_xlfn.XLOOKUP($D606,'Modelling New'!$D:$D,'Modelling New'!$W:$W),"")</f>
        <v/>
      </c>
      <c r="AG606" s="312" t="str">
        <f>IFERROR(_xlfn.XLOOKUP($D606,'Modelling New'!$D:$D,'Modelling New'!$AE:$AE),"")</f>
        <v/>
      </c>
      <c r="AH606" s="312" t="str">
        <f>IFERROR(_xlfn.XLOOKUP($D606,'Modelling New'!$D:$D,'Modelling New'!$AF:$AF),"")</f>
        <v/>
      </c>
      <c r="AI606" s="10" t="str">
        <f>IFERROR(_xlfn.XLOOKUP($A606,Input_Raw!$E:$E,Input_Raw!$DG:$DG),"")</f>
        <v/>
      </c>
      <c r="AJ606" s="10"/>
      <c r="AK606" s="10"/>
      <c r="AL606" s="10"/>
      <c r="AM606" s="10"/>
      <c r="AN606" s="314" t="str">
        <f>IFERROR(_xlfn.XLOOKUP($A606,Input_Raw!$E:$E,Input_Raw!$CY:$CY),"")</f>
        <v/>
      </c>
      <c r="AO606" s="312" t="str">
        <f>IFERROR((_xlfn.XLOOKUP($A606,'WTG Reactive Power'!$A:$A,'WTG Reactive Power'!AB:AB))/X606,"")</f>
        <v/>
      </c>
      <c r="AP606" s="312" t="str">
        <f>IFERROR(_xlfn.XLOOKUP($D606,'Modelling New'!$D:$D,'Modelling New'!AK:AK),"")</f>
        <v/>
      </c>
      <c r="AQ606" s="312" t="str">
        <f>IFERROR(_xlfn.XLOOKUP($D606,'Modelling New'!$D:$D,'Modelling New'!AL:AL),"")</f>
        <v/>
      </c>
      <c r="AR606" s="325" t="str">
        <f>IFERROR(_xlfn.XLOOKUP($D606,'Modelling New'!$D:$D,'Modelling New'!$N:$N),"")</f>
        <v/>
      </c>
      <c r="AS606" s="325"/>
    </row>
    <row r="607" spans="1:45">
      <c r="A607" s="32">
        <f t="shared" si="54"/>
        <v>46350</v>
      </c>
      <c r="B607" s="43">
        <f>YEAR(Table13[[#This Row],[Date]])+IF(MONTH(Table13[[#This Row],[Date]])&gt;=4,1,0)</f>
        <v>2027</v>
      </c>
      <c r="C607" s="10">
        <f>YEAR(Table13[[#This Row],[Date]])</f>
        <v>2026</v>
      </c>
      <c r="D607" s="309">
        <f>Table13[[#This Row],[Date]]-DAY(Table13[[#This Row],[Date]])+1</f>
        <v>46327</v>
      </c>
      <c r="E607" s="10">
        <f t="shared" si="50"/>
        <v>30</v>
      </c>
      <c r="F607" s="241" t="str">
        <f>IFERROR(_xlfn.XLOOKUP($A607,Input_Raw!$E:$E,Input_Raw!DC:DC),"")</f>
        <v/>
      </c>
      <c r="G607" s="242"/>
      <c r="H607" s="242"/>
      <c r="I607" s="242"/>
      <c r="J607" s="242"/>
      <c r="K607" s="243"/>
      <c r="L607" s="242"/>
      <c r="M607" s="242" t="str">
        <f>IFERROR(_xlfn.XLOOKUP($A607,Input_Raw!$E:$E,Input_Raw!$BM:$BM),"")</f>
        <v/>
      </c>
      <c r="N607" s="242" t="str">
        <f>IFERROR(_xlfn.XLOOKUP($A607,Input_Raw!$E:$E,Input_Raw!$BN:$BN),"")</f>
        <v/>
      </c>
      <c r="O607" s="311" t="str">
        <f t="shared" si="51"/>
        <v/>
      </c>
      <c r="P607" s="311" t="str">
        <f>IFERROR(1-SUMIF(WTG_BD!$F:$F,$A607,WTG_BD!$AA:$AA)/($AA607+SUMIF(WTG_BD!$F:$F,$A607,WTG_BD!$AA:$AA)),"")</f>
        <v/>
      </c>
      <c r="Q607" s="328" t="str">
        <f>IFERROR(1-SUMIF(IGA_BD!$F:$F,$A607,IGA_BD!$W:$W)/($AA607+SUMIF(IGA_BD!$F:$F,$A607,IGA_BD!$W:$W)),"")</f>
        <v/>
      </c>
      <c r="R607" s="311" t="str">
        <f>IFERROR(1-SUMIF(Grid_BD!$F:$F,$A607,Grid_BD!$Y:$Y)/($AA607+SUMIF(Grid_BD!$F:$F,$A607,Grid_BD!$Y:$Y)),"")</f>
        <v/>
      </c>
      <c r="S607" s="10"/>
      <c r="T607" s="310"/>
      <c r="U607" s="311"/>
      <c r="V607" s="10"/>
      <c r="W607" s="312" t="str">
        <f t="shared" si="52"/>
        <v/>
      </c>
      <c r="X607" s="10" t="str">
        <f>IFERROR(_xlfn.XLOOKUP($A607,Input_Raw!$E:$E,Input_Raw!BG:BG),"")</f>
        <v/>
      </c>
      <c r="Y607" s="10" t="str">
        <f>IFERROR(_xlfn.XLOOKUP($A607,Input_Raw!$E:$E,Input_Raw!DF:DF),"")</f>
        <v/>
      </c>
      <c r="Z607" s="319" t="str">
        <f>IFERROR(_xlfn.XLOOKUP(A607,Input_Raw!E:E,Input_Raw!CT:CT)/_xlfn.XLOOKUP(A607,Input_Raw!E:E,Input_Raw!CS:CS)*Table13[[#This Row],[Mtr_Export (kWh)]],"")</f>
        <v/>
      </c>
      <c r="AA607" s="43" t="str">
        <f t="shared" si="53"/>
        <v/>
      </c>
      <c r="AB607" s="10" t="str">
        <f>IFERROR(_xlfn.XLOOKUP($A607,Input_Raw!$E:$E,Input_Raw!$CZ:$CZ),"")</f>
        <v/>
      </c>
      <c r="AC607" s="313" t="str">
        <f>IFERROR(_xlfn.XLOOKUP($D607,'Modelling New'!$D:$D,'Modelling New'!$J:$J),"")</f>
        <v/>
      </c>
      <c r="AD607" s="43" t="str">
        <f>IFERROR(_xlfn.XLOOKUP($D607,'Modelling New'!$D:$D,'Modelling New'!$T:$T)*1000,"")</f>
        <v/>
      </c>
      <c r="AE607" s="312"/>
      <c r="AF607" s="312" t="str">
        <f>IFERROR(_xlfn.XLOOKUP($D607,'Modelling New'!$D:$D,'Modelling New'!$W:$W),"")</f>
        <v/>
      </c>
      <c r="AG607" s="312" t="str">
        <f>IFERROR(_xlfn.XLOOKUP($D607,'Modelling New'!$D:$D,'Modelling New'!$AE:$AE),"")</f>
        <v/>
      </c>
      <c r="AH607" s="312" t="str">
        <f>IFERROR(_xlfn.XLOOKUP($D607,'Modelling New'!$D:$D,'Modelling New'!$AF:$AF),"")</f>
        <v/>
      </c>
      <c r="AI607" s="10" t="str">
        <f>IFERROR(_xlfn.XLOOKUP($A607,Input_Raw!$E:$E,Input_Raw!$DG:$DG),"")</f>
        <v/>
      </c>
      <c r="AJ607" s="10"/>
      <c r="AK607" s="10"/>
      <c r="AL607" s="10"/>
      <c r="AM607" s="10"/>
      <c r="AN607" s="314" t="str">
        <f>IFERROR(_xlfn.XLOOKUP($A607,Input_Raw!$E:$E,Input_Raw!$CY:$CY),"")</f>
        <v/>
      </c>
      <c r="AO607" s="312" t="str">
        <f>IFERROR((_xlfn.XLOOKUP($A607,'WTG Reactive Power'!$A:$A,'WTG Reactive Power'!AB:AB))/X607,"")</f>
        <v/>
      </c>
      <c r="AP607" s="312" t="str">
        <f>IFERROR(_xlfn.XLOOKUP($D607,'Modelling New'!$D:$D,'Modelling New'!AK:AK),"")</f>
        <v/>
      </c>
      <c r="AQ607" s="312" t="str">
        <f>IFERROR(_xlfn.XLOOKUP($D607,'Modelling New'!$D:$D,'Modelling New'!AL:AL),"")</f>
        <v/>
      </c>
      <c r="AR607" s="325" t="str">
        <f>IFERROR(_xlfn.XLOOKUP($D607,'Modelling New'!$D:$D,'Modelling New'!$N:$N),"")</f>
        <v/>
      </c>
      <c r="AS607" s="325"/>
    </row>
    <row r="608" spans="1:45">
      <c r="A608" s="32">
        <f t="shared" si="54"/>
        <v>46351</v>
      </c>
      <c r="B608" s="43">
        <f>YEAR(Table13[[#This Row],[Date]])+IF(MONTH(Table13[[#This Row],[Date]])&gt;=4,1,0)</f>
        <v>2027</v>
      </c>
      <c r="C608" s="10">
        <f>YEAR(Table13[[#This Row],[Date]])</f>
        <v>2026</v>
      </c>
      <c r="D608" s="309">
        <f>Table13[[#This Row],[Date]]-DAY(Table13[[#This Row],[Date]])+1</f>
        <v>46327</v>
      </c>
      <c r="E608" s="10">
        <f t="shared" si="50"/>
        <v>30</v>
      </c>
      <c r="F608" s="241" t="str">
        <f>IFERROR(_xlfn.XLOOKUP($A608,Input_Raw!$E:$E,Input_Raw!DC:DC),"")</f>
        <v/>
      </c>
      <c r="G608" s="313"/>
      <c r="H608" s="313"/>
      <c r="I608" s="313"/>
      <c r="J608" s="313"/>
      <c r="K608" s="243"/>
      <c r="L608" s="242"/>
      <c r="M608" s="242" t="str">
        <f>IFERROR(_xlfn.XLOOKUP($A608,Input_Raw!$E:$E,Input_Raw!$BM:$BM),"")</f>
        <v/>
      </c>
      <c r="N608" s="242" t="str">
        <f>IFERROR(_xlfn.XLOOKUP($A608,Input_Raw!$E:$E,Input_Raw!$BN:$BN),"")</f>
        <v/>
      </c>
      <c r="O608" s="311" t="str">
        <f t="shared" si="51"/>
        <v/>
      </c>
      <c r="P608" s="311" t="str">
        <f>IFERROR(1-SUMIF(WTG_BD!$F:$F,$A608,WTG_BD!$AA:$AA)/($AA608+SUMIF(WTG_BD!$F:$F,$A608,WTG_BD!$AA:$AA)),"")</f>
        <v/>
      </c>
      <c r="Q608" s="328" t="str">
        <f>IFERROR(1-SUMIF(IGA_BD!$F:$F,$A608,IGA_BD!$W:$W)/($AA608+SUMIF(IGA_BD!$F:$F,$A608,IGA_BD!$W:$W)),"")</f>
        <v/>
      </c>
      <c r="R608" s="47" t="str">
        <f>IFERROR(1-SUMIF(Grid_BD!$F:$F,$A608,Grid_BD!$Y:$Y)/($AA608+SUMIF(Grid_BD!$F:$F,$A608,Grid_BD!$Y:$Y)),"")</f>
        <v/>
      </c>
      <c r="S608" s="10"/>
      <c r="T608" s="310"/>
      <c r="U608" s="311"/>
      <c r="V608" s="10"/>
      <c r="W608" s="312" t="str">
        <f t="shared" si="52"/>
        <v/>
      </c>
      <c r="X608" s="10" t="str">
        <f>IFERROR(_xlfn.XLOOKUP($A608,Input_Raw!$E:$E,Input_Raw!BG:BG),"")</f>
        <v/>
      </c>
      <c r="Y608" s="10" t="str">
        <f>IFERROR(_xlfn.XLOOKUP($A608,Input_Raw!$E:$E,Input_Raw!DF:DF),"")</f>
        <v/>
      </c>
      <c r="Z608" s="319" t="str">
        <f>IFERROR(_xlfn.XLOOKUP(A608,Input_Raw!E:E,Input_Raw!CT:CT)/_xlfn.XLOOKUP(A608,Input_Raw!E:E,Input_Raw!CS:CS)*Table13[[#This Row],[Mtr_Export (kWh)]],"")</f>
        <v/>
      </c>
      <c r="AA608" s="43" t="str">
        <f t="shared" si="53"/>
        <v/>
      </c>
      <c r="AB608" s="10" t="str">
        <f>IFERROR(_xlfn.XLOOKUP($A608,Input_Raw!$E:$E,Input_Raw!$CZ:$CZ),"")</f>
        <v/>
      </c>
      <c r="AC608" s="313" t="str">
        <f>IFERROR(_xlfn.XLOOKUP($D608,'Modelling New'!$D:$D,'Modelling New'!$J:$J),"")</f>
        <v/>
      </c>
      <c r="AD608" s="43" t="str">
        <f>IFERROR(_xlfn.XLOOKUP($D608,'Modelling New'!$D:$D,'Modelling New'!$T:$T)*1000,"")</f>
        <v/>
      </c>
      <c r="AE608" s="312"/>
      <c r="AF608" s="312" t="str">
        <f>IFERROR(_xlfn.XLOOKUP($D608,'Modelling New'!$D:$D,'Modelling New'!$W:$W),"")</f>
        <v/>
      </c>
      <c r="AG608" s="312" t="str">
        <f>IFERROR(_xlfn.XLOOKUP($D608,'Modelling New'!$D:$D,'Modelling New'!$AE:$AE),"")</f>
        <v/>
      </c>
      <c r="AH608" s="312" t="str">
        <f>IFERROR(_xlfn.XLOOKUP($D608,'Modelling New'!$D:$D,'Modelling New'!$AF:$AF),"")</f>
        <v/>
      </c>
      <c r="AI608" s="10" t="str">
        <f>IFERROR(_xlfn.XLOOKUP($A608,Input_Raw!$E:$E,Input_Raw!$DG:$DG),"")</f>
        <v/>
      </c>
      <c r="AJ608" s="10"/>
      <c r="AK608" s="10"/>
      <c r="AL608" s="10"/>
      <c r="AM608" s="10"/>
      <c r="AN608" s="314" t="str">
        <f>IFERROR(_xlfn.XLOOKUP($A608,Input_Raw!$E:$E,Input_Raw!$CY:$CY),"")</f>
        <v/>
      </c>
      <c r="AO608" s="312" t="str">
        <f>IFERROR((_xlfn.XLOOKUP($A608,'WTG Reactive Power'!$A:$A,'WTG Reactive Power'!AB:AB))/X608,"")</f>
        <v/>
      </c>
      <c r="AP608" s="312" t="str">
        <f>IFERROR(_xlfn.XLOOKUP($D608,'Modelling New'!$D:$D,'Modelling New'!AK:AK),"")</f>
        <v/>
      </c>
      <c r="AQ608" s="312" t="str">
        <f>IFERROR(_xlfn.XLOOKUP($D608,'Modelling New'!$D:$D,'Modelling New'!AL:AL),"")</f>
        <v/>
      </c>
      <c r="AR608" s="325" t="str">
        <f>IFERROR(_xlfn.XLOOKUP($D608,'Modelling New'!$D:$D,'Modelling New'!$N:$N),"")</f>
        <v/>
      </c>
      <c r="AS608" s="325"/>
    </row>
    <row r="609" spans="1:45">
      <c r="A609" s="32">
        <f t="shared" si="54"/>
        <v>46352</v>
      </c>
      <c r="B609" s="43">
        <f>YEAR(Table13[[#This Row],[Date]])+IF(MONTH(Table13[[#This Row],[Date]])&gt;=4,1,0)</f>
        <v>2027</v>
      </c>
      <c r="C609" s="10">
        <f>YEAR(Table13[[#This Row],[Date]])</f>
        <v>2026</v>
      </c>
      <c r="D609" s="309">
        <f>Table13[[#This Row],[Date]]-DAY(Table13[[#This Row],[Date]])+1</f>
        <v>46327</v>
      </c>
      <c r="E609" s="10">
        <f t="shared" si="50"/>
        <v>30</v>
      </c>
      <c r="F609" s="241" t="str">
        <f>IFERROR(_xlfn.XLOOKUP($A609,Input_Raw!$E:$E,Input_Raw!DC:DC),"")</f>
        <v/>
      </c>
      <c r="G609" s="242"/>
      <c r="H609" s="242"/>
      <c r="I609" s="242"/>
      <c r="J609" s="242"/>
      <c r="K609" s="243"/>
      <c r="L609" s="242"/>
      <c r="M609" s="242" t="str">
        <f>IFERROR(_xlfn.XLOOKUP($A609,Input_Raw!$E:$E,Input_Raw!$BM:$BM),"")</f>
        <v/>
      </c>
      <c r="N609" s="242" t="str">
        <f>IFERROR(_xlfn.XLOOKUP($A609,Input_Raw!$E:$E,Input_Raw!$BN:$BN),"")</f>
        <v/>
      </c>
      <c r="O609" s="311" t="str">
        <f t="shared" si="51"/>
        <v/>
      </c>
      <c r="P609" s="311" t="str">
        <f>IFERROR(1-SUMIF(WTG_BD!$F:$F,$A609,WTG_BD!$AA:$AA)/($AA609+SUMIF(WTG_BD!$F:$F,$A609,WTG_BD!$AA:$AA)),"")</f>
        <v/>
      </c>
      <c r="Q609" s="328" t="str">
        <f>IFERROR(1-SUMIF(IGA_BD!$F:$F,$A609,IGA_BD!$W:$W)/($AA609+SUMIF(IGA_BD!$F:$F,$A609,IGA_BD!$W:$W)),"")</f>
        <v/>
      </c>
      <c r="R609" s="311" t="str">
        <f>IFERROR(1-SUMIF(Grid_BD!$F:$F,$A609,Grid_BD!$Y:$Y)/($AA609+SUMIF(Grid_BD!$F:$F,$A609,Grid_BD!$Y:$Y)),"")</f>
        <v/>
      </c>
      <c r="S609" s="10"/>
      <c r="T609" s="310"/>
      <c r="U609" s="311"/>
      <c r="V609" s="10"/>
      <c r="W609" s="312" t="str">
        <f t="shared" si="52"/>
        <v/>
      </c>
      <c r="X609" s="10" t="str">
        <f>IFERROR(_xlfn.XLOOKUP($A609,Input_Raw!$E:$E,Input_Raw!BG:BG),"")</f>
        <v/>
      </c>
      <c r="Y609" s="10" t="str">
        <f>IFERROR(_xlfn.XLOOKUP($A609,Input_Raw!$E:$E,Input_Raw!DF:DF),"")</f>
        <v/>
      </c>
      <c r="Z609" s="319" t="str">
        <f>IFERROR(_xlfn.XLOOKUP(A609,Input_Raw!E:E,Input_Raw!CT:CT)/_xlfn.XLOOKUP(A609,Input_Raw!E:E,Input_Raw!CS:CS)*Table13[[#This Row],[Mtr_Export (kWh)]],"")</f>
        <v/>
      </c>
      <c r="AA609" s="43" t="str">
        <f t="shared" si="53"/>
        <v/>
      </c>
      <c r="AB609" s="10" t="str">
        <f>IFERROR(_xlfn.XLOOKUP($A609,Input_Raw!$E:$E,Input_Raw!$CZ:$CZ),"")</f>
        <v/>
      </c>
      <c r="AC609" s="313" t="str">
        <f>IFERROR(_xlfn.XLOOKUP($D609,'Modelling New'!$D:$D,'Modelling New'!$J:$J),"")</f>
        <v/>
      </c>
      <c r="AD609" s="43" t="str">
        <f>IFERROR(_xlfn.XLOOKUP($D609,'Modelling New'!$D:$D,'Modelling New'!$T:$T)*1000,"")</f>
        <v/>
      </c>
      <c r="AE609" s="312"/>
      <c r="AF609" s="312" t="str">
        <f>IFERROR(_xlfn.XLOOKUP($D609,'Modelling New'!$D:$D,'Modelling New'!$W:$W),"")</f>
        <v/>
      </c>
      <c r="AG609" s="312" t="str">
        <f>IFERROR(_xlfn.XLOOKUP($D609,'Modelling New'!$D:$D,'Modelling New'!$AE:$AE),"")</f>
        <v/>
      </c>
      <c r="AH609" s="312" t="str">
        <f>IFERROR(_xlfn.XLOOKUP($D609,'Modelling New'!$D:$D,'Modelling New'!$AF:$AF),"")</f>
        <v/>
      </c>
      <c r="AI609" s="10" t="str">
        <f>IFERROR(_xlfn.XLOOKUP($A609,Input_Raw!$E:$E,Input_Raw!$DG:$DG),"")</f>
        <v/>
      </c>
      <c r="AJ609" s="10"/>
      <c r="AK609" s="10"/>
      <c r="AL609" s="10"/>
      <c r="AM609" s="10"/>
      <c r="AN609" s="314" t="str">
        <f>IFERROR(_xlfn.XLOOKUP($A609,Input_Raw!$E:$E,Input_Raw!$CY:$CY),"")</f>
        <v/>
      </c>
      <c r="AO609" s="312" t="str">
        <f>IFERROR((_xlfn.XLOOKUP($A609,'WTG Reactive Power'!$A:$A,'WTG Reactive Power'!AB:AB))/X609,"")</f>
        <v/>
      </c>
      <c r="AP609" s="312" t="str">
        <f>IFERROR(_xlfn.XLOOKUP($D609,'Modelling New'!$D:$D,'Modelling New'!AK:AK),"")</f>
        <v/>
      </c>
      <c r="AQ609" s="312" t="str">
        <f>IFERROR(_xlfn.XLOOKUP($D609,'Modelling New'!$D:$D,'Modelling New'!AL:AL),"")</f>
        <v/>
      </c>
      <c r="AR609" s="325" t="str">
        <f>IFERROR(_xlfn.XLOOKUP($D609,'Modelling New'!$D:$D,'Modelling New'!$N:$N),"")</f>
        <v/>
      </c>
      <c r="AS609" s="325"/>
    </row>
  </sheetData>
  <sheetProtection algorithmName="SHA-512" hashValue="QdyM3ekTnn6tYWtN9jp6cxmwLC1Wu6Vl5w/95WcCSm63IctQN+Ai6yIaB8zy+LqNDOgT8Z5/dlzAAjtp1pAnew==" saltValue="cGXSpGtFAJxX8qhzvDUPGQ==" spinCount="100000" sheet="1" autoFilter="0"/>
  <hyperlinks>
    <hyperlink ref="AR2" r:id="rId1" xr:uid="{39EE951E-F74C-4F09-B864-16D540D2B4F7}"/>
  </hyperlink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I157"/>
  <sheetViews>
    <sheetView zoomScale="90" zoomScaleNormal="90" workbookViewId="0">
      <pane xSplit="7" ySplit="4" topLeftCell="V108" activePane="bottomRight" state="frozen"/>
      <selection activeCell="B3463" sqref="B3463"/>
      <selection pane="topRight" activeCell="B3463" sqref="B3463"/>
      <selection pane="bottomLeft" activeCell="B3463" sqref="B3463"/>
      <selection pane="bottomRight" activeCell="Y117" sqref="Y117"/>
    </sheetView>
  </sheetViews>
  <sheetFormatPr defaultColWidth="8.7265625" defaultRowHeight="14.5"/>
  <cols>
    <col min="1" max="1" width="11.26953125" customWidth="1"/>
    <col min="2" max="2" width="12.453125" customWidth="1"/>
    <col min="3" max="3" width="15.7265625" customWidth="1"/>
    <col min="5" max="6" width="11.453125" style="4" customWidth="1"/>
    <col min="7" max="7" width="11.453125" style="4" bestFit="1" customWidth="1"/>
    <col min="8" max="8" width="10.453125" customWidth="1"/>
    <col min="15" max="15" width="8.7265625" customWidth="1"/>
    <col min="17" max="17" width="9.453125" customWidth="1"/>
    <col min="54" max="54" width="11.453125" customWidth="1"/>
    <col min="55" max="55" width="11.26953125" customWidth="1"/>
    <col min="56" max="56" width="11.7265625" customWidth="1"/>
    <col min="57" max="58" width="11.26953125" customWidth="1"/>
    <col min="59" max="64" width="11.453125" customWidth="1"/>
    <col min="65" max="66" width="10.26953125" customWidth="1"/>
    <col min="67" max="67" width="15.453125" style="4" customWidth="1"/>
    <col min="68" max="68" width="12" style="4" customWidth="1"/>
    <col min="69" max="69" width="12.26953125" style="4" customWidth="1"/>
    <col min="70" max="70" width="12" style="4" customWidth="1"/>
    <col min="71" max="71" width="12.26953125" style="4" customWidth="1"/>
    <col min="72" max="72" width="11.453125" style="4" customWidth="1"/>
    <col min="73" max="73" width="12.453125" style="4" customWidth="1"/>
    <col min="74" max="74" width="12.26953125" style="4" customWidth="1"/>
    <col min="75" max="75" width="11.26953125" style="4" customWidth="1"/>
    <col min="76" max="76" width="13.453125" style="4" customWidth="1"/>
    <col min="77" max="78" width="10" style="4" customWidth="1"/>
    <col min="79" max="79" width="9" style="4" customWidth="1"/>
    <col min="80" max="80" width="10" style="4" customWidth="1"/>
    <col min="81" max="81" width="10.26953125" style="4" customWidth="1"/>
    <col min="82" max="82" width="9.26953125" style="4" customWidth="1"/>
    <col min="83" max="83" width="8.7265625" style="4" customWidth="1"/>
    <col min="84" max="84" width="15.26953125" customWidth="1"/>
    <col min="85" max="85" width="10.26953125" customWidth="1"/>
    <col min="94" max="94" width="12" customWidth="1"/>
    <col min="95" max="95" width="11.7265625" customWidth="1"/>
    <col min="101" max="101" width="9.453125" bestFit="1" customWidth="1"/>
    <col min="102" max="102" width="12.453125" bestFit="1" customWidth="1"/>
    <col min="103" max="103" width="9.453125" customWidth="1"/>
    <col min="104" max="104" width="10.7265625" style="53" customWidth="1"/>
    <col min="105" max="105" width="16.453125" style="29" customWidth="1"/>
    <col min="106" max="106" width="13.453125" customWidth="1"/>
    <col min="108" max="108" width="13.26953125" bestFit="1" customWidth="1"/>
    <col min="110" max="110" width="13.26953125" customWidth="1"/>
    <col min="111" max="111" width="16.7265625" customWidth="1"/>
  </cols>
  <sheetData>
    <row r="1" spans="1:113">
      <c r="E1" s="4">
        <v>1</v>
      </c>
      <c r="F1">
        <f>E1+1</f>
        <v>2</v>
      </c>
      <c r="G1">
        <f t="shared" ref="G1:BA1" si="0">F1+1</f>
        <v>3</v>
      </c>
      <c r="H1">
        <f t="shared" si="0"/>
        <v>4</v>
      </c>
      <c r="I1">
        <f t="shared" si="0"/>
        <v>5</v>
      </c>
      <c r="J1">
        <f t="shared" si="0"/>
        <v>6</v>
      </c>
      <c r="K1">
        <f t="shared" si="0"/>
        <v>7</v>
      </c>
      <c r="L1">
        <f t="shared" si="0"/>
        <v>8</v>
      </c>
      <c r="M1">
        <f t="shared" si="0"/>
        <v>9</v>
      </c>
      <c r="N1">
        <f t="shared" si="0"/>
        <v>10</v>
      </c>
      <c r="O1">
        <f t="shared" si="0"/>
        <v>11</v>
      </c>
      <c r="P1">
        <f t="shared" si="0"/>
        <v>12</v>
      </c>
      <c r="Q1">
        <f t="shared" si="0"/>
        <v>13</v>
      </c>
      <c r="R1">
        <f t="shared" si="0"/>
        <v>14</v>
      </c>
      <c r="S1">
        <f t="shared" si="0"/>
        <v>15</v>
      </c>
      <c r="T1">
        <f t="shared" si="0"/>
        <v>16</v>
      </c>
      <c r="U1">
        <f t="shared" si="0"/>
        <v>17</v>
      </c>
      <c r="V1">
        <f t="shared" si="0"/>
        <v>18</v>
      </c>
      <c r="W1">
        <f t="shared" si="0"/>
        <v>19</v>
      </c>
      <c r="X1">
        <f t="shared" si="0"/>
        <v>20</v>
      </c>
      <c r="Y1">
        <f t="shared" si="0"/>
        <v>21</v>
      </c>
      <c r="Z1">
        <f t="shared" si="0"/>
        <v>22</v>
      </c>
      <c r="AA1">
        <f t="shared" si="0"/>
        <v>23</v>
      </c>
      <c r="AB1">
        <f t="shared" si="0"/>
        <v>24</v>
      </c>
      <c r="AC1">
        <f t="shared" si="0"/>
        <v>25</v>
      </c>
      <c r="AD1">
        <f t="shared" si="0"/>
        <v>26</v>
      </c>
      <c r="AE1">
        <f t="shared" si="0"/>
        <v>27</v>
      </c>
      <c r="AF1">
        <f t="shared" si="0"/>
        <v>28</v>
      </c>
      <c r="AG1">
        <f t="shared" si="0"/>
        <v>29</v>
      </c>
      <c r="AH1">
        <f t="shared" si="0"/>
        <v>30</v>
      </c>
      <c r="AI1">
        <f t="shared" si="0"/>
        <v>31</v>
      </c>
      <c r="AJ1">
        <f t="shared" si="0"/>
        <v>32</v>
      </c>
      <c r="AK1">
        <f t="shared" si="0"/>
        <v>33</v>
      </c>
      <c r="AL1">
        <f t="shared" si="0"/>
        <v>34</v>
      </c>
      <c r="AM1">
        <f t="shared" si="0"/>
        <v>35</v>
      </c>
      <c r="AN1">
        <f t="shared" si="0"/>
        <v>36</v>
      </c>
      <c r="AO1">
        <f t="shared" si="0"/>
        <v>37</v>
      </c>
      <c r="AP1">
        <f t="shared" si="0"/>
        <v>38</v>
      </c>
      <c r="AQ1">
        <f t="shared" si="0"/>
        <v>39</v>
      </c>
      <c r="AR1">
        <f t="shared" si="0"/>
        <v>40</v>
      </c>
      <c r="AS1">
        <f t="shared" si="0"/>
        <v>41</v>
      </c>
      <c r="AT1">
        <f t="shared" si="0"/>
        <v>42</v>
      </c>
      <c r="AU1">
        <f t="shared" si="0"/>
        <v>43</v>
      </c>
      <c r="AV1">
        <f t="shared" si="0"/>
        <v>44</v>
      </c>
      <c r="AW1">
        <f t="shared" si="0"/>
        <v>45</v>
      </c>
      <c r="AX1">
        <f t="shared" si="0"/>
        <v>46</v>
      </c>
      <c r="AY1">
        <f t="shared" si="0"/>
        <v>47</v>
      </c>
      <c r="AZ1">
        <f t="shared" si="0"/>
        <v>48</v>
      </c>
      <c r="BA1">
        <f t="shared" si="0"/>
        <v>49</v>
      </c>
      <c r="BB1">
        <f t="shared" ref="BB1" si="1">BA1+1</f>
        <v>50</v>
      </c>
      <c r="BC1">
        <f t="shared" ref="BC1" si="2">BB1+1</f>
        <v>51</v>
      </c>
      <c r="BD1">
        <f t="shared" ref="BD1" si="3">BC1+1</f>
        <v>52</v>
      </c>
      <c r="BE1">
        <f t="shared" ref="BE1" si="4">BD1+1</f>
        <v>53</v>
      </c>
      <c r="BG1">
        <f t="shared" ref="BG1" si="5">BE1+1</f>
        <v>54</v>
      </c>
      <c r="BH1">
        <f t="shared" ref="BH1" si="6">BG1+1</f>
        <v>55</v>
      </c>
      <c r="BI1">
        <f t="shared" ref="BI1" si="7">BH1+1</f>
        <v>56</v>
      </c>
      <c r="BJ1">
        <f t="shared" ref="BJ1" si="8">BI1+1</f>
        <v>57</v>
      </c>
      <c r="BK1">
        <f>BJ1+1</f>
        <v>58</v>
      </c>
      <c r="BM1">
        <f t="shared" ref="BM1" si="9">BK1+1</f>
        <v>59</v>
      </c>
      <c r="BN1">
        <f t="shared" ref="BN1" si="10">BM1+1</f>
        <v>60</v>
      </c>
      <c r="BO1">
        <f t="shared" ref="BO1" si="11">BN1+1</f>
        <v>61</v>
      </c>
      <c r="BP1">
        <f t="shared" ref="BP1" si="12">BO1+1</f>
        <v>62</v>
      </c>
      <c r="BQ1">
        <f t="shared" ref="BQ1" si="13">BP1+1</f>
        <v>63</v>
      </c>
      <c r="BR1">
        <f t="shared" ref="BR1" si="14">BQ1+1</f>
        <v>64</v>
      </c>
      <c r="BS1">
        <f t="shared" ref="BS1" si="15">BR1+1</f>
        <v>65</v>
      </c>
      <c r="BT1">
        <f t="shared" ref="BT1" si="16">BS1+1</f>
        <v>66</v>
      </c>
      <c r="BU1">
        <f t="shared" ref="BU1" si="17">BT1+1</f>
        <v>67</v>
      </c>
      <c r="BV1">
        <f t="shared" ref="BV1" si="18">BU1+1</f>
        <v>68</v>
      </c>
      <c r="BW1">
        <f t="shared" ref="BW1" si="19">BV1+1</f>
        <v>69</v>
      </c>
      <c r="BX1">
        <f t="shared" ref="BX1" si="20">BW1+1</f>
        <v>70</v>
      </c>
      <c r="BY1">
        <f t="shared" ref="BY1" si="21">BX1+1</f>
        <v>71</v>
      </c>
      <c r="BZ1">
        <f t="shared" ref="BZ1" si="22">BY1+1</f>
        <v>72</v>
      </c>
      <c r="CA1">
        <f t="shared" ref="CA1" si="23">BZ1+1</f>
        <v>73</v>
      </c>
      <c r="CB1">
        <f t="shared" ref="CB1" si="24">CA1+1</f>
        <v>74</v>
      </c>
      <c r="CC1">
        <f t="shared" ref="CC1" si="25">CB1+1</f>
        <v>75</v>
      </c>
      <c r="CD1">
        <f t="shared" ref="CD1" si="26">CC1+1</f>
        <v>76</v>
      </c>
      <c r="CE1">
        <f t="shared" ref="CE1" si="27">CD1+1</f>
        <v>77</v>
      </c>
      <c r="CF1">
        <f t="shared" ref="CF1" si="28">CE1+1</f>
        <v>78</v>
      </c>
      <c r="CG1">
        <f t="shared" ref="CG1" si="29">CF1+1</f>
        <v>79</v>
      </c>
      <c r="CH1">
        <f t="shared" ref="CH1" si="30">CG1+1</f>
        <v>80</v>
      </c>
      <c r="CI1">
        <f t="shared" ref="CI1" si="31">CH1+1</f>
        <v>81</v>
      </c>
      <c r="CJ1">
        <f t="shared" ref="CJ1" si="32">CI1+1</f>
        <v>82</v>
      </c>
      <c r="CK1">
        <f t="shared" ref="CK1" si="33">CJ1+1</f>
        <v>83</v>
      </c>
      <c r="CL1">
        <f t="shared" ref="CL1" si="34">CK1+1</f>
        <v>84</v>
      </c>
      <c r="CM1">
        <f t="shared" ref="CM1" si="35">CL1+1</f>
        <v>85</v>
      </c>
      <c r="CN1">
        <f t="shared" ref="CN1" si="36">CM1+1</f>
        <v>86</v>
      </c>
      <c r="CO1">
        <f t="shared" ref="CO1" si="37">CN1+1</f>
        <v>87</v>
      </c>
      <c r="CP1">
        <f t="shared" ref="CP1" si="38">CO1+1</f>
        <v>88</v>
      </c>
      <c r="CQ1">
        <f t="shared" ref="CQ1" si="39">CP1+1</f>
        <v>89</v>
      </c>
      <c r="CR1">
        <f t="shared" ref="CR1" si="40">CQ1+1</f>
        <v>90</v>
      </c>
      <c r="CS1">
        <f t="shared" ref="CS1" si="41">CR1+1</f>
        <v>91</v>
      </c>
      <c r="CT1">
        <f t="shared" ref="CT1" si="42">CS1+1</f>
        <v>92</v>
      </c>
      <c r="CU1">
        <f t="shared" ref="CU1" si="43">CT1+1</f>
        <v>93</v>
      </c>
      <c r="CV1">
        <f t="shared" ref="CV1" si="44">CU1+1</f>
        <v>94</v>
      </c>
      <c r="CW1">
        <f t="shared" ref="CW1" si="45">CV1+1</f>
        <v>95</v>
      </c>
      <c r="CX1">
        <f t="shared" ref="CX1" si="46">CW1+1</f>
        <v>96</v>
      </c>
      <c r="CY1">
        <f t="shared" ref="CY1" si="47">CX1+1</f>
        <v>97</v>
      </c>
      <c r="CZ1">
        <f t="shared" ref="CZ1" si="48">CY1+1</f>
        <v>98</v>
      </c>
      <c r="DA1">
        <f t="shared" ref="DA1" si="49">CZ1+1</f>
        <v>99</v>
      </c>
      <c r="DB1">
        <f t="shared" ref="DB1" si="50">DA1+1</f>
        <v>100</v>
      </c>
      <c r="DC1">
        <f t="shared" ref="DC1" si="51">DB1+1</f>
        <v>101</v>
      </c>
      <c r="DD1">
        <f t="shared" ref="DD1" si="52">DC1+1</f>
        <v>102</v>
      </c>
      <c r="DE1">
        <f t="shared" ref="DE1" si="53">DD1+1</f>
        <v>103</v>
      </c>
      <c r="DF1">
        <f t="shared" ref="DF1" si="54">DE1+1</f>
        <v>104</v>
      </c>
      <c r="DG1">
        <f t="shared" ref="DG1" si="55">DF1+1</f>
        <v>105</v>
      </c>
      <c r="DH1">
        <f t="shared" ref="DH1:DI1" si="56">DG1+1</f>
        <v>106</v>
      </c>
      <c r="DI1">
        <f t="shared" si="56"/>
        <v>107</v>
      </c>
    </row>
    <row r="2" spans="1:113">
      <c r="H2" t="s">
        <v>152</v>
      </c>
      <c r="I2" t="s">
        <v>153</v>
      </c>
      <c r="J2" t="s">
        <v>152</v>
      </c>
      <c r="K2" t="s">
        <v>153</v>
      </c>
      <c r="L2" t="s">
        <v>153</v>
      </c>
      <c r="M2" t="s">
        <v>153</v>
      </c>
      <c r="N2" t="s">
        <v>153</v>
      </c>
      <c r="O2" t="s">
        <v>153</v>
      </c>
      <c r="P2" t="s">
        <v>153</v>
      </c>
      <c r="Q2" t="s">
        <v>152</v>
      </c>
      <c r="R2" t="s">
        <v>152</v>
      </c>
      <c r="S2" t="s">
        <v>152</v>
      </c>
      <c r="T2" t="s">
        <v>152</v>
      </c>
      <c r="U2" t="s">
        <v>152</v>
      </c>
      <c r="V2" t="s">
        <v>152</v>
      </c>
      <c r="W2" t="s">
        <v>154</v>
      </c>
      <c r="X2" t="s">
        <v>154</v>
      </c>
      <c r="Y2" t="s">
        <v>155</v>
      </c>
      <c r="Z2" t="s">
        <v>152</v>
      </c>
      <c r="AA2" t="s">
        <v>152</v>
      </c>
      <c r="AB2" t="s">
        <v>153</v>
      </c>
      <c r="AC2" t="s">
        <v>153</v>
      </c>
      <c r="AD2" t="s">
        <v>153</v>
      </c>
      <c r="AE2" t="s">
        <v>152</v>
      </c>
      <c r="AF2" t="s">
        <v>153</v>
      </c>
      <c r="AG2" t="s">
        <v>152</v>
      </c>
      <c r="AH2" t="s">
        <v>153</v>
      </c>
      <c r="AI2" t="s">
        <v>153</v>
      </c>
      <c r="AJ2" t="s">
        <v>153</v>
      </c>
      <c r="AK2" t="s">
        <v>153</v>
      </c>
      <c r="AL2" t="s">
        <v>153</v>
      </c>
      <c r="AM2" t="s">
        <v>153</v>
      </c>
      <c r="AN2" t="s">
        <v>152</v>
      </c>
      <c r="AO2" t="s">
        <v>152</v>
      </c>
      <c r="AP2" t="s">
        <v>152</v>
      </c>
      <c r="AQ2" t="s">
        <v>152</v>
      </c>
      <c r="AR2" t="s">
        <v>152</v>
      </c>
      <c r="AS2" t="s">
        <v>152</v>
      </c>
      <c r="AT2" t="s">
        <v>154</v>
      </c>
      <c r="AU2" t="s">
        <v>154</v>
      </c>
      <c r="AV2" t="s">
        <v>155</v>
      </c>
      <c r="AW2" t="s">
        <v>152</v>
      </c>
      <c r="AX2" t="s">
        <v>152</v>
      </c>
      <c r="AY2" t="s">
        <v>153</v>
      </c>
      <c r="AZ2" t="s">
        <v>153</v>
      </c>
      <c r="BA2" t="s">
        <v>153</v>
      </c>
      <c r="BO2" s="7">
        <v>0.24299999999999999</v>
      </c>
      <c r="BW2" s="4">
        <v>0</v>
      </c>
      <c r="BX2" s="4">
        <v>92.546999999999997</v>
      </c>
      <c r="BY2" s="4">
        <v>6.2E-2</v>
      </c>
      <c r="BZ2" s="4">
        <v>8.7999999999999995E-2</v>
      </c>
      <c r="CA2" s="4">
        <v>0.17799999999999999</v>
      </c>
      <c r="CB2" s="4">
        <v>0.35</v>
      </c>
      <c r="CD2" s="6">
        <v>0</v>
      </c>
      <c r="CE2" s="6">
        <v>0.1</v>
      </c>
    </row>
    <row r="3" spans="1:113">
      <c r="H3" s="54" t="s">
        <v>157</v>
      </c>
      <c r="I3" s="54"/>
      <c r="J3" s="54"/>
      <c r="K3" s="54"/>
      <c r="L3" s="54"/>
      <c r="M3" s="54"/>
      <c r="N3" s="54"/>
      <c r="O3" s="54"/>
      <c r="P3" s="54"/>
      <c r="Q3" s="54"/>
      <c r="R3" s="54"/>
      <c r="S3" s="54"/>
      <c r="T3" s="54"/>
      <c r="U3" s="54"/>
      <c r="V3" s="54"/>
      <c r="W3" s="54"/>
      <c r="X3" s="54"/>
      <c r="Y3" s="54"/>
      <c r="Z3" s="54"/>
      <c r="AA3" s="54"/>
      <c r="AB3" s="54"/>
      <c r="AC3" s="54"/>
      <c r="AD3" s="54"/>
      <c r="BO3" s="60" t="s">
        <v>158</v>
      </c>
      <c r="BP3" s="62"/>
      <c r="BQ3" s="62"/>
      <c r="BR3" s="62"/>
      <c r="BS3" s="62"/>
      <c r="BT3" s="62"/>
      <c r="BU3" s="62"/>
      <c r="BV3" s="62"/>
      <c r="BW3" s="62"/>
      <c r="BX3" s="62"/>
      <c r="BY3" s="62"/>
      <c r="BZ3" s="62"/>
      <c r="CA3" s="62"/>
      <c r="CB3" s="62"/>
      <c r="CC3" s="62"/>
      <c r="CD3" s="62"/>
      <c r="CE3" s="62"/>
      <c r="CF3" s="386" t="s">
        <v>159</v>
      </c>
      <c r="CG3" s="386"/>
      <c r="CH3" s="386"/>
      <c r="CI3" s="386"/>
      <c r="CJ3" s="386"/>
      <c r="CK3" s="386"/>
      <c r="CL3" s="386"/>
      <c r="CM3" s="386"/>
      <c r="CN3" s="386"/>
      <c r="CO3" s="386"/>
      <c r="CP3" s="386"/>
      <c r="CQ3" s="386"/>
      <c r="CR3" s="386"/>
      <c r="CS3" s="386"/>
      <c r="CT3" s="386"/>
      <c r="CU3" s="386"/>
      <c r="CV3" s="386"/>
      <c r="CW3" s="386"/>
      <c r="CX3" s="386"/>
      <c r="CY3" s="386"/>
    </row>
    <row r="4" spans="1:113" ht="61.5" customHeight="1">
      <c r="A4" s="55" t="s">
        <v>149</v>
      </c>
      <c r="B4" s="56" t="s">
        <v>4310</v>
      </c>
      <c r="C4" s="56" t="s">
        <v>151</v>
      </c>
      <c r="D4" s="56" t="s">
        <v>49</v>
      </c>
      <c r="E4" s="57" t="s">
        <v>148</v>
      </c>
      <c r="F4" s="44" t="s">
        <v>160</v>
      </c>
      <c r="G4" s="44" t="s">
        <v>161</v>
      </c>
      <c r="H4" s="58" t="s">
        <v>76</v>
      </c>
      <c r="I4" s="58" t="s">
        <v>77</v>
      </c>
      <c r="J4" s="58" t="s">
        <v>78</v>
      </c>
      <c r="K4" s="58" t="s">
        <v>79</v>
      </c>
      <c r="L4" s="58" t="s">
        <v>80</v>
      </c>
      <c r="M4" s="58" t="s">
        <v>81</v>
      </c>
      <c r="N4" s="58" t="s">
        <v>82</v>
      </c>
      <c r="O4" s="58" t="s">
        <v>83</v>
      </c>
      <c r="P4" s="58" t="s">
        <v>84</v>
      </c>
      <c r="Q4" s="58" t="s">
        <v>85</v>
      </c>
      <c r="R4" s="58" t="s">
        <v>86</v>
      </c>
      <c r="S4" s="58" t="s">
        <v>87</v>
      </c>
      <c r="T4" s="58" t="s">
        <v>88</v>
      </c>
      <c r="U4" s="58" t="s">
        <v>89</v>
      </c>
      <c r="V4" s="58" t="s">
        <v>90</v>
      </c>
      <c r="W4" s="58" t="s">
        <v>91</v>
      </c>
      <c r="X4" s="58" t="s">
        <v>92</v>
      </c>
      <c r="Y4" s="58" t="s">
        <v>93</v>
      </c>
      <c r="Z4" s="58" t="s">
        <v>94</v>
      </c>
      <c r="AA4" s="58" t="s">
        <v>95</v>
      </c>
      <c r="AB4" s="58" t="s">
        <v>96</v>
      </c>
      <c r="AC4" s="58" t="s">
        <v>97</v>
      </c>
      <c r="AD4" s="58" t="s">
        <v>98</v>
      </c>
      <c r="AE4" s="58" t="s">
        <v>162</v>
      </c>
      <c r="AF4" s="58" t="s">
        <v>163</v>
      </c>
      <c r="AG4" s="58" t="s">
        <v>164</v>
      </c>
      <c r="AH4" s="58" t="s">
        <v>165</v>
      </c>
      <c r="AI4" s="58" t="s">
        <v>166</v>
      </c>
      <c r="AJ4" s="58" t="s">
        <v>167</v>
      </c>
      <c r="AK4" s="58" t="s">
        <v>168</v>
      </c>
      <c r="AL4" s="58" t="s">
        <v>169</v>
      </c>
      <c r="AM4" s="58" t="s">
        <v>170</v>
      </c>
      <c r="AN4" s="58" t="s">
        <v>171</v>
      </c>
      <c r="AO4" s="58" t="s">
        <v>172</v>
      </c>
      <c r="AP4" s="58" t="s">
        <v>173</v>
      </c>
      <c r="AQ4" s="58" t="s">
        <v>174</v>
      </c>
      <c r="AR4" s="58" t="s">
        <v>175</v>
      </c>
      <c r="AS4" s="58" t="s">
        <v>176</v>
      </c>
      <c r="AT4" s="58" t="s">
        <v>177</v>
      </c>
      <c r="AU4" s="58" t="s">
        <v>178</v>
      </c>
      <c r="AV4" s="58" t="s">
        <v>179</v>
      </c>
      <c r="AW4" s="58" t="s">
        <v>180</v>
      </c>
      <c r="AX4" s="58" t="s">
        <v>181</v>
      </c>
      <c r="AY4" s="58" t="s">
        <v>182</v>
      </c>
      <c r="AZ4" s="58" t="s">
        <v>183</v>
      </c>
      <c r="BA4" s="59" t="s">
        <v>184</v>
      </c>
      <c r="BB4" s="59" t="s">
        <v>185</v>
      </c>
      <c r="BC4" s="59" t="s">
        <v>186</v>
      </c>
      <c r="BD4" s="59" t="s">
        <v>187</v>
      </c>
      <c r="BE4" s="59" t="s">
        <v>188</v>
      </c>
      <c r="BF4" s="59" t="s">
        <v>4489</v>
      </c>
      <c r="BG4" s="59" t="s">
        <v>189</v>
      </c>
      <c r="BH4" s="59" t="s">
        <v>190</v>
      </c>
      <c r="BI4" s="59" t="s">
        <v>191</v>
      </c>
      <c r="BJ4" s="59" t="s">
        <v>4488</v>
      </c>
      <c r="BK4" s="59" t="s">
        <v>192</v>
      </c>
      <c r="BL4" s="59" t="s">
        <v>4564</v>
      </c>
      <c r="BM4" s="59" t="s">
        <v>193</v>
      </c>
      <c r="BN4" s="59" t="s">
        <v>194</v>
      </c>
      <c r="BO4" s="58" t="s">
        <v>195</v>
      </c>
      <c r="BP4" s="58" t="s">
        <v>196</v>
      </c>
      <c r="BQ4" s="58" t="s">
        <v>4337</v>
      </c>
      <c r="BR4" s="58" t="s">
        <v>197</v>
      </c>
      <c r="BS4" s="58" t="s">
        <v>198</v>
      </c>
      <c r="BT4" s="58" t="s">
        <v>4327</v>
      </c>
      <c r="BU4" s="58" t="s">
        <v>199</v>
      </c>
      <c r="BV4" s="58" t="s">
        <v>200</v>
      </c>
      <c r="BW4" s="58" t="s">
        <v>201</v>
      </c>
      <c r="BX4" s="58" t="s">
        <v>202</v>
      </c>
      <c r="BY4" s="58" t="s">
        <v>203</v>
      </c>
      <c r="BZ4" s="58" t="s">
        <v>204</v>
      </c>
      <c r="CA4" s="58" t="s">
        <v>205</v>
      </c>
      <c r="CB4" s="58" t="s">
        <v>206</v>
      </c>
      <c r="CC4" s="58" t="s">
        <v>207</v>
      </c>
      <c r="CD4" s="58" t="s">
        <v>208</v>
      </c>
      <c r="CE4" s="58" t="s">
        <v>209</v>
      </c>
      <c r="CF4" s="58" t="s">
        <v>210</v>
      </c>
      <c r="CG4" s="58" t="s">
        <v>211</v>
      </c>
      <c r="CH4" s="58" t="s">
        <v>4338</v>
      </c>
      <c r="CI4" s="58" t="s">
        <v>212</v>
      </c>
      <c r="CJ4" s="58" t="s">
        <v>213</v>
      </c>
      <c r="CK4" s="58" t="s">
        <v>214</v>
      </c>
      <c r="CL4" s="58" t="s">
        <v>215</v>
      </c>
      <c r="CM4" s="58" t="s">
        <v>216</v>
      </c>
      <c r="CN4" s="58" t="s">
        <v>217</v>
      </c>
      <c r="CO4" s="58" t="s">
        <v>218</v>
      </c>
      <c r="CP4" s="58" t="s">
        <v>219</v>
      </c>
      <c r="CQ4" s="58" t="s">
        <v>220</v>
      </c>
      <c r="CR4" s="58" t="s">
        <v>221</v>
      </c>
      <c r="CS4" s="58" t="s">
        <v>222</v>
      </c>
      <c r="CT4" s="58" t="s">
        <v>223</v>
      </c>
      <c r="CU4" s="58" t="s">
        <v>224</v>
      </c>
      <c r="CV4" s="58" t="s">
        <v>225</v>
      </c>
      <c r="CW4" s="58" t="s">
        <v>226</v>
      </c>
      <c r="CX4" s="58" t="s">
        <v>227</v>
      </c>
      <c r="CY4" s="58" t="s">
        <v>228</v>
      </c>
      <c r="CZ4" s="65" t="s">
        <v>229</v>
      </c>
      <c r="DA4" s="66" t="s">
        <v>230</v>
      </c>
      <c r="DB4" s="67" t="s">
        <v>231</v>
      </c>
      <c r="DC4" s="67" t="s">
        <v>232</v>
      </c>
      <c r="DD4" s="67" t="s">
        <v>233</v>
      </c>
      <c r="DE4" s="69" t="s">
        <v>234</v>
      </c>
      <c r="DF4" s="67" t="s">
        <v>235</v>
      </c>
      <c r="DG4" s="67" t="s">
        <v>4426</v>
      </c>
      <c r="DH4" s="244" t="s">
        <v>4427</v>
      </c>
      <c r="DI4" s="238" t="s">
        <v>11</v>
      </c>
    </row>
    <row r="5" spans="1:113">
      <c r="A5" s="173">
        <f>YEAR(RD[[#This Row],[Date]])+IF(MONTH(RD[[#This Row],[Date]])&gt;=4,1,0)</f>
        <v>2025</v>
      </c>
      <c r="B5" s="173">
        <f>YEAR(RD[[#This Row],[Date]])</f>
        <v>2025</v>
      </c>
      <c r="C5" s="174">
        <f t="shared" ref="C5:C28" si="57">E5-DAY(E5)+1</f>
        <v>45717</v>
      </c>
      <c r="D5" s="173">
        <f>DAY(EOMONTH(RD[[#This Row],[Date]],0))</f>
        <v>31</v>
      </c>
      <c r="E5" s="175">
        <v>45745</v>
      </c>
      <c r="F5" s="203">
        <v>0.27777777777777779</v>
      </c>
      <c r="G5" s="203">
        <v>0.75624999999999998</v>
      </c>
      <c r="H5" s="177">
        <v>8163</v>
      </c>
      <c r="I5" s="177">
        <v>7999</v>
      </c>
      <c r="J5" s="177">
        <v>6816</v>
      </c>
      <c r="K5" s="177">
        <v>6903</v>
      </c>
      <c r="L5" s="177">
        <v>6419</v>
      </c>
      <c r="M5" s="177">
        <v>6338</v>
      </c>
      <c r="N5" s="177">
        <v>6456</v>
      </c>
      <c r="O5" s="177">
        <v>7033</v>
      </c>
      <c r="P5" s="177">
        <v>6573</v>
      </c>
      <c r="Q5" s="177">
        <v>6531</v>
      </c>
      <c r="R5" s="177">
        <v>6647</v>
      </c>
      <c r="S5" s="177">
        <v>7902</v>
      </c>
      <c r="T5" s="177">
        <v>6466</v>
      </c>
      <c r="U5" s="177">
        <v>5847</v>
      </c>
      <c r="V5" s="177">
        <v>8221</v>
      </c>
      <c r="W5" s="177">
        <v>8004</v>
      </c>
      <c r="X5" s="177">
        <v>8148</v>
      </c>
      <c r="Y5" s="177">
        <v>6966</v>
      </c>
      <c r="Z5" s="177">
        <v>6111</v>
      </c>
      <c r="AA5" s="177">
        <v>6391</v>
      </c>
      <c r="AB5" s="177">
        <v>7471</v>
      </c>
      <c r="AC5" s="177">
        <v>7082</v>
      </c>
      <c r="AD5" s="177">
        <v>6865</v>
      </c>
      <c r="AE5" s="169">
        <v>4.7096551724137923</v>
      </c>
      <c r="AF5" s="169">
        <v>4.728165517241381</v>
      </c>
      <c r="AG5" s="169">
        <v>4.7628344827586222</v>
      </c>
      <c r="AH5" s="169">
        <v>4.4263586206896575</v>
      </c>
      <c r="AI5" s="169">
        <v>4.4909793103448274</v>
      </c>
      <c r="AJ5" s="169">
        <v>4.5441793103448287</v>
      </c>
      <c r="AK5" s="169">
        <v>4.5990275862068959</v>
      </c>
      <c r="AL5" s="169">
        <v>4.6445655172413813</v>
      </c>
      <c r="AM5" s="169">
        <v>4.6691724137931025</v>
      </c>
      <c r="AN5" s="169">
        <v>4.5270137931034489</v>
      </c>
      <c r="AO5" s="169">
        <v>4.7395379310344827</v>
      </c>
      <c r="AP5" s="169">
        <v>4.7118137931034489</v>
      </c>
      <c r="AQ5" s="169">
        <v>4.4853379310344819</v>
      </c>
      <c r="AR5" s="169">
        <v>4.370924137931036</v>
      </c>
      <c r="AS5" s="169">
        <v>4.8999172413793106</v>
      </c>
      <c r="AT5" s="169">
        <v>4.725144827586206</v>
      </c>
      <c r="AU5" s="169">
        <v>4.8149034482758637</v>
      </c>
      <c r="AV5" s="169">
        <v>4.5356689655172415</v>
      </c>
      <c r="AW5" s="169">
        <v>4.3866896551724155</v>
      </c>
      <c r="AX5" s="169">
        <v>4.5678137931034497</v>
      </c>
      <c r="AY5" s="169">
        <v>4.801317241379313</v>
      </c>
      <c r="AZ5" s="169">
        <v>4.6910482758620669</v>
      </c>
      <c r="BA5" s="169">
        <v>4.6154551724137924</v>
      </c>
      <c r="BB5" s="178">
        <f t="shared" ref="BB5:BB28" si="58">SUM($H5,$J5,$Q5:$V5,$Z5:$AA5)</f>
        <v>69095</v>
      </c>
      <c r="BC5" s="179">
        <f t="shared" ref="BC5:BC28" si="59">SUM($W5:$X5)</f>
        <v>16152</v>
      </c>
      <c r="BD5" s="180">
        <f t="shared" ref="BD5:BD19" si="60">SUM(I5,K5,L5,M5,P5,AB5,AC5,AD5)</f>
        <v>55650</v>
      </c>
      <c r="BE5" s="179">
        <f t="shared" ref="BE5:BE28" si="61">Y5</f>
        <v>6966</v>
      </c>
      <c r="BF5" s="179">
        <f t="shared" ref="BF5:BF19" si="62">SUM($N5:$O5)</f>
        <v>13489</v>
      </c>
      <c r="BG5" s="179">
        <f>SUM(RD[[#This Row],[KUD01]:[KUD23]])</f>
        <v>161352</v>
      </c>
      <c r="BH5" s="181">
        <f t="shared" ref="BH5:BH28" si="63">IFERROR(AVERAGE(AE5,AG5,AN5:AS5,AW5:AX5),"")</f>
        <v>4.6161537931034493</v>
      </c>
      <c r="BI5" s="182">
        <f t="shared" ref="BI5:BI28" si="64">IFERROR(AVERAGE(AT5,AU5),"")</f>
        <v>4.7700241379310349</v>
      </c>
      <c r="BJ5" s="182">
        <f t="shared" ref="BJ5:BJ28" si="65">IFERROR(AVERAGE(AF5,AH5:AM5,AY5:BA5),"")</f>
        <v>4.6210268965517241</v>
      </c>
      <c r="BK5" s="183">
        <f t="shared" ref="BK5:BK34" si="66">AV5</f>
        <v>4.5356689655172415</v>
      </c>
      <c r="BL5" s="61">
        <f>IFERROR(AVERAGEIF(RD[[#This Row],[WS_KUD07]:[WS_KUD08]],"&lt;&gt;0",RD[[#This Row],[WS_KUD07]:[WS_KUD08]]),"")</f>
        <v>4.6217965517241382</v>
      </c>
      <c r="BM5" s="184">
        <f>IFERROR(AVERAGE(RD[[#This Row],[WS_KUD01]:[WS_KUD23]]),"")</f>
        <v>4.6281532233883071</v>
      </c>
      <c r="BN5" s="185">
        <f>IFERROR(MAX(RD[[#This Row],[WS_KUD01]:[WS_KUD23]]),"")</f>
        <v>4.8999172413793106</v>
      </c>
      <c r="BO5" s="172">
        <v>640.30499999999995</v>
      </c>
      <c r="BP5" s="172">
        <v>871.58799999999997</v>
      </c>
      <c r="BQ5" s="172">
        <v>30.190999999999999</v>
      </c>
      <c r="BR5" s="172">
        <v>204.91200000000001</v>
      </c>
      <c r="BS5" s="172">
        <v>151.25700000000001</v>
      </c>
      <c r="BT5" s="172">
        <v>261.38499999999999</v>
      </c>
      <c r="BU5" s="73"/>
      <c r="BV5" s="172">
        <v>52.308999999999997</v>
      </c>
      <c r="BW5" s="172">
        <v>172960</v>
      </c>
      <c r="BX5" s="172">
        <v>237651</v>
      </c>
      <c r="BY5" s="172">
        <v>101.821</v>
      </c>
      <c r="BZ5" s="172">
        <v>56.494</v>
      </c>
      <c r="CA5" s="172">
        <v>254.61799999999999</v>
      </c>
      <c r="CB5" s="172">
        <v>79.673000000000002</v>
      </c>
      <c r="CC5" s="172">
        <v>0.10199999999999999</v>
      </c>
      <c r="CD5" s="172">
        <v>280.22899999999998</v>
      </c>
      <c r="CE5" s="172">
        <v>0</v>
      </c>
      <c r="CF5" s="64" t="e">
        <f>IF((RD[[#This Row],[33 kV_Wind_F1_Export reading]]-#REF!)*165000&lt;=0,"",(RD[[#This Row],[33 kV_Wind_F1_Export reading]]-#REF!)*165000)</f>
        <v>#REF!</v>
      </c>
      <c r="CG5" s="64" t="e">
        <f>IF((RD[[#This Row],[33 kV_Wind_F2_Export_reading]]-#REF!)*165000&lt;=0,"",(RD[[#This Row],[33 kV_Wind_F2_Export_reading]]-#REF!)*165000)</f>
        <v>#REF!</v>
      </c>
      <c r="CH5" s="64" t="e">
        <f>IF((RD[[#This Row],[33 kV_Wind_F3_Export_Reading]]-#REF!)*225000&lt;=0,"",(RD[[#This Row],[33 kV_Wind_F3_Export_Reading]]-#REF!)*225000)</f>
        <v>#REF!</v>
      </c>
      <c r="CI5" s="64" t="e">
        <f>IF((RD[[#This Row],[33 kV_Wind_F4_Export Reading]]-#REF!)*165000&lt;=0,"",(RD[[#This Row],[33 kV_Wind_F4_Export Reading]]-#REF!)*165000)</f>
        <v>#REF!</v>
      </c>
      <c r="CJ5" s="74" t="e">
        <f>IF((RD[[#This Row],[33 kV_Solar_F1_Export Reading]]-#REF!)*225000&lt;=0,"",(RD[[#This Row],[33 kV_Solar_F1_Export Reading]]-#REF!)*225000)</f>
        <v>#REF!</v>
      </c>
      <c r="CK5" s="74" t="e">
        <f>IF((RD[[#This Row],[33kV_Solar_F2_Export Reading]]-#REF!)*225000&lt;=0,"",(RD[[#This Row],[33kV_Solar_F2_Export Reading]]-#REF!)*225000)</f>
        <v>#REF!</v>
      </c>
      <c r="CL5" s="186" t="e">
        <f>IF((RD[[#This Row],[33 kV_Solar_F3_Export reading]]-#REF!)*225000&lt;=0,"",(RD[[#This Row],[33 kV_Solar_F3_Export reading]]-#REF!)*225000)</f>
        <v>#REF!</v>
      </c>
      <c r="CM5" s="63" t="e">
        <f>IF((RD[[#This Row],[32kV_Solar_F4_Export reading]]-#REF!)*225000&lt;=0,"",(RD[[#This Row],[32kV_Solar_F4_Export reading]]-#REF!)*225000)</f>
        <v>#REF!</v>
      </c>
      <c r="CN5" s="64" t="e">
        <f>IF((RD[[#This Row],[33kV_OG1_Export reading]]-#REF!)*1000&lt;=0,0,(RD[[#This Row],[33kV_OG1_Export reading]]-#REF!)*1000)</f>
        <v>#REF!</v>
      </c>
      <c r="CO5" s="64">
        <f>IFERROR(IF((RD[[#This Row],[33kV_OG2_Export reading]]-#REF!)*1000&lt;=0,0,(RD[[#This Row],[33kV_OG2_Export reading]]-#REF!)*1000),0)</f>
        <v>0</v>
      </c>
      <c r="CP5" s="74" t="e">
        <f>IF((RD[[#This Row],[220kV_TX1_Export reading]]-#REF!)*800000&lt;=0,0,(RD[[#This Row],[220kV_TX1_Export reading]]-#REF!)*800000)</f>
        <v>#REF!</v>
      </c>
      <c r="CQ5" s="186" t="e">
        <f>IF((RD[[#This Row],[220kV_Tx2_Export reading]]-#REF!)*800000&lt;=0,0,(RD[[#This Row],[220kV_Tx2_Export reading]]-#REF!)*800000)</f>
        <v>#REF!</v>
      </c>
      <c r="CR5" s="64" t="e">
        <f>IF((RD[[#This Row],[220kV_TL_TVM Export Reading]]-#REF!)*1600000&lt;=0,0,(RD[[#This Row],[220kV_TL_TVM Export Reading]]-#REF!)*1600000)</f>
        <v>#REF!</v>
      </c>
      <c r="CS5" s="64" t="e">
        <f>IF((RD[[#This Row],[220kV_C&amp;R_PQM reading]]-#REF!)*1600000&lt;=0,"",(RD[[#This Row],[220kV_C&amp;R_PQM reading]]-#REF!)*1600000)</f>
        <v>#REF!</v>
      </c>
      <c r="CT5" s="186" t="str">
        <f>IFERROR(IF((RD[[#This Row],[220KV_C&amp;R_PQM Import Reading]]-#REF!)*1600000&lt;=0,0,(RD[[#This Row],[220KV_C&amp;R_PQM Import Reading]]-#REF!)*1600000),"")</f>
        <v/>
      </c>
      <c r="CU5" s="64" t="e">
        <f>IF((RD[[#This Row],[33kV_Aux1 Import Reading]]-#REF!)*1000&lt;=0,"",(RD[[#This Row],[33kV_Aux1 Import Reading]]-#REF!)*1000)</f>
        <v>#REF!</v>
      </c>
      <c r="CV5" s="64" t="e">
        <f>IF((RD[[#This Row],[33kV_Aux2_Import reading]]-#REF!)*1000&lt;=0,"",(RD[[#This Row],[33kV_Aux2_Import reading]]-#REF!)*1000)</f>
        <v>#REF!</v>
      </c>
      <c r="CW5" s="64" t="str">
        <f>IFERROR(RD[[#This Row],[33kV_OG1_Energy (MWh)]]+RD[[#This Row],[33kV_OG2_Energy (MWh)]],"")</f>
        <v/>
      </c>
      <c r="CX5" s="72" t="str">
        <f>IFERROR(RD[[#This Row],[220kV_TL_TVM Energy (MWh)]]-RD[[#This Row],[220KV_C&amp;R_PQM Import (MWh)]],"")</f>
        <v/>
      </c>
      <c r="CY5" s="187" t="str">
        <f>IFERROR(RD[[#This Row],[33 kV Total Export (MWH)]]/RD[[#This Row],[220 KV Net Export (MWh)]]-1,"")</f>
        <v/>
      </c>
      <c r="CZ5" s="188">
        <f t="shared" ref="CZ5:CZ28" si="67">23*2.2</f>
        <v>50.6</v>
      </c>
      <c r="DA5" s="189">
        <v>97</v>
      </c>
      <c r="DB5" s="190"/>
      <c r="DC5" s="68">
        <f>IFERROR((RD[[#This Row],[Sunset Time (POA&lt;20 W/m2)]]-RD[[#This Row],[Sunrise Time (POA&gt;20 W/m2)]])*24,0)</f>
        <v>11.483333333333333</v>
      </c>
      <c r="DD5" s="70" t="e">
        <f>SUM(RD[[#This Row],[33 kV_Wind_F3_Export_Reading3]],CJ5,CK5,CL5,CM5)</f>
        <v>#REF!</v>
      </c>
      <c r="DE5" s="68">
        <v>140</v>
      </c>
      <c r="DF5" s="70" t="e">
        <f t="shared" ref="DF5:DF39" si="68">SUM(CG5,CI5)</f>
        <v>#REF!</v>
      </c>
      <c r="DG5" s="70"/>
      <c r="DH5">
        <f>'WTG Reactive Power'!AB3</f>
        <v>501.80000000000007</v>
      </c>
    </row>
    <row r="6" spans="1:113">
      <c r="A6" s="173">
        <f>YEAR(RD[[#This Row],[Date]])+IF(MONTH(RD[[#This Row],[Date]])&gt;=4,1,0)</f>
        <v>2025</v>
      </c>
      <c r="B6" s="173">
        <f>YEAR(RD[[#This Row],[Date]])</f>
        <v>2025</v>
      </c>
      <c r="C6" s="174">
        <f t="shared" si="57"/>
        <v>45717</v>
      </c>
      <c r="D6" s="173">
        <f>DAY(EOMONTH(RD[[#This Row],[Date]],0))</f>
        <v>31</v>
      </c>
      <c r="E6" s="175">
        <f t="shared" ref="E6:E28" si="69">E5+1</f>
        <v>45746</v>
      </c>
      <c r="F6" s="203">
        <v>0.27847222222222223</v>
      </c>
      <c r="G6" s="203">
        <v>0.75555555555555554</v>
      </c>
      <c r="H6" s="177">
        <v>7709</v>
      </c>
      <c r="I6" s="177">
        <v>7920</v>
      </c>
      <c r="J6" s="177">
        <v>6107</v>
      </c>
      <c r="K6" s="177">
        <v>7493</v>
      </c>
      <c r="L6" s="177">
        <v>6504</v>
      </c>
      <c r="M6" s="177">
        <v>6204</v>
      </c>
      <c r="N6" s="177">
        <v>5644</v>
      </c>
      <c r="O6" s="177">
        <v>7074</v>
      </c>
      <c r="P6" s="177">
        <v>6508</v>
      </c>
      <c r="Q6" s="177">
        <v>6334</v>
      </c>
      <c r="R6" s="177">
        <v>6041</v>
      </c>
      <c r="S6" s="177">
        <v>7562</v>
      </c>
      <c r="T6" s="177">
        <v>5895</v>
      </c>
      <c r="U6" s="177">
        <v>5797</v>
      </c>
      <c r="V6" s="177">
        <v>7468</v>
      </c>
      <c r="W6" s="177">
        <v>7746</v>
      </c>
      <c r="X6" s="177">
        <v>8179</v>
      </c>
      <c r="Y6" s="177">
        <v>6312</v>
      </c>
      <c r="Z6" s="177">
        <v>7375</v>
      </c>
      <c r="AA6" s="177">
        <v>6964</v>
      </c>
      <c r="AB6" s="177">
        <v>7910</v>
      </c>
      <c r="AC6" s="177">
        <v>4719</v>
      </c>
      <c r="AD6" s="177">
        <v>7288</v>
      </c>
      <c r="AE6" s="169">
        <v>4.504482758620691</v>
      </c>
      <c r="AF6" s="169">
        <v>4.5393241379310325</v>
      </c>
      <c r="AG6" s="169">
        <v>4.4246689655172418</v>
      </c>
      <c r="AH6" s="169">
        <v>4.3053517241379327</v>
      </c>
      <c r="AI6" s="169">
        <v>4.2959655172413767</v>
      </c>
      <c r="AJ6" s="169">
        <v>4.3105241379310328</v>
      </c>
      <c r="AK6" s="169">
        <v>4.2500413793103426</v>
      </c>
      <c r="AL6" s="169">
        <v>4.4346896551724111</v>
      </c>
      <c r="AM6" s="169">
        <v>4.4602344827586222</v>
      </c>
      <c r="AN6" s="169">
        <v>4.241889655172411</v>
      </c>
      <c r="AO6" s="169">
        <v>4.3499103448275847</v>
      </c>
      <c r="AP6" s="169">
        <v>4.3278758620689661</v>
      </c>
      <c r="AQ6" s="169">
        <v>4.1786827586206892</v>
      </c>
      <c r="AR6" s="169">
        <v>4.1567241379310342</v>
      </c>
      <c r="AS6" s="169">
        <v>4.6498206896551713</v>
      </c>
      <c r="AT6" s="169">
        <v>4.5690827586206906</v>
      </c>
      <c r="AU6" s="169">
        <v>4.6202206896551701</v>
      </c>
      <c r="AV6" s="169">
        <v>4.2921862068965542</v>
      </c>
      <c r="AW6" s="169">
        <v>4.4718</v>
      </c>
      <c r="AX6" s="169">
        <v>4.3342137931034488</v>
      </c>
      <c r="AY6" s="169">
        <v>4.6070068965517237</v>
      </c>
      <c r="AZ6" s="169">
        <v>4.3097279411764724</v>
      </c>
      <c r="BA6" s="169">
        <v>4.4266068965517231</v>
      </c>
      <c r="BB6" s="178">
        <f t="shared" si="58"/>
        <v>67252</v>
      </c>
      <c r="BC6" s="179">
        <f t="shared" si="59"/>
        <v>15925</v>
      </c>
      <c r="BD6" s="180">
        <f t="shared" si="60"/>
        <v>54546</v>
      </c>
      <c r="BE6" s="179">
        <f t="shared" si="61"/>
        <v>6312</v>
      </c>
      <c r="BF6" s="179">
        <f t="shared" si="62"/>
        <v>12718</v>
      </c>
      <c r="BG6" s="179">
        <f>SUM(RD[[#This Row],[KUD01]:[KUD23]])</f>
        <v>156753</v>
      </c>
      <c r="BH6" s="181">
        <f t="shared" si="63"/>
        <v>4.3640068965517242</v>
      </c>
      <c r="BI6" s="182">
        <f t="shared" si="64"/>
        <v>4.5946517241379308</v>
      </c>
      <c r="BJ6" s="182">
        <f t="shared" si="65"/>
        <v>4.3939472768762675</v>
      </c>
      <c r="BK6" s="183">
        <f t="shared" si="66"/>
        <v>4.2921862068965542</v>
      </c>
      <c r="BL6" s="61">
        <f>IFERROR(AVERAGEIF(RD[[#This Row],[WS_KUD07]:[WS_KUD08]],"&lt;&gt;0",RD[[#This Row],[WS_KUD07]:[WS_KUD08]]),"")</f>
        <v>4.3423655172413769</v>
      </c>
      <c r="BM6" s="184">
        <f>IFERROR(AVERAGE(RD[[#This Row],[WS_KUD01]:[WS_KUD23]]),"")</f>
        <v>4.393957886497927</v>
      </c>
      <c r="BN6" s="185">
        <f>IFERROR(MAX(RD[[#This Row],[WS_KUD01]:[WS_KUD23]]),"")</f>
        <v>4.6498206896551713</v>
      </c>
      <c r="BO6" s="172">
        <v>640.30499999999995</v>
      </c>
      <c r="BP6" s="172">
        <v>872.07899999999995</v>
      </c>
      <c r="BQ6" s="172">
        <v>31.146999999999998</v>
      </c>
      <c r="BR6" s="172">
        <v>205.358</v>
      </c>
      <c r="BS6" s="172">
        <v>151.99100000000001</v>
      </c>
      <c r="BT6" s="172">
        <v>262.14400000000001</v>
      </c>
      <c r="BU6" s="73"/>
      <c r="BV6" s="172">
        <v>53.017000000000003</v>
      </c>
      <c r="BW6" s="172">
        <v>173456</v>
      </c>
      <c r="BX6" s="172">
        <v>238019</v>
      </c>
      <c r="BY6" s="172">
        <v>102.43</v>
      </c>
      <c r="BZ6" s="172">
        <v>56.95</v>
      </c>
      <c r="CA6" s="172">
        <v>255.154</v>
      </c>
      <c r="CB6" s="172">
        <v>80.209000000000003</v>
      </c>
      <c r="CC6" s="172">
        <v>0.10199999999999999</v>
      </c>
      <c r="CD6" s="172">
        <v>280.63900000000001</v>
      </c>
      <c r="CE6" s="172">
        <v>0</v>
      </c>
      <c r="CF6" s="64" t="str">
        <f>IF((RD[[#This Row],[33 kV_Wind_F1_Export reading]]-BO5)*165000&lt;=0,"",(RD[[#This Row],[33 kV_Wind_F1_Export reading]]-BO5)*165000)</f>
        <v/>
      </c>
      <c r="CG6" s="64">
        <f>IF((RD[[#This Row],[33 kV_Wind_F2_Export_reading]]-BP5)*165000&lt;=0,"",(RD[[#This Row],[33 kV_Wind_F2_Export_reading]]-BP5)*165000)</f>
        <v>81014.999999997599</v>
      </c>
      <c r="CH6" s="64">
        <f>IF((RD[[#This Row],[33 kV_Wind_F3_Export_Reading]]-BQ5)*225000&lt;=0,"",(RD[[#This Row],[33 kV_Wind_F3_Export_Reading]]-BQ5)*225000)</f>
        <v>215099.99999999988</v>
      </c>
      <c r="CI6" s="64">
        <f>IF((RD[[#This Row],[33 kV_Wind_F4_Export Reading]]-BR5)*165000&lt;=0,"",(RD[[#This Row],[33 kV_Wind_F4_Export Reading]]-BR5)*165000)</f>
        <v>73589.999999999665</v>
      </c>
      <c r="CJ6" s="74">
        <f>IF((RD[[#This Row],[33 kV_Solar_F1_Export Reading]]-BS5)*225000&lt;=0,"",(RD[[#This Row],[33 kV_Solar_F1_Export Reading]]-BS5)*225000)</f>
        <v>165150.00000000201</v>
      </c>
      <c r="CK6" s="74">
        <f>IF((RD[[#This Row],[33kV_Solar_F2_Export Reading]]-BT5)*225000&lt;=0,"",(RD[[#This Row],[33kV_Solar_F2_Export Reading]]-BT5)*225000)</f>
        <v>170775.00000000326</v>
      </c>
      <c r="CL6" s="186" t="str">
        <f>IF((RD[[#This Row],[33 kV_Solar_F3_Export reading]]-BU5)*225000&lt;=0,"",(RD[[#This Row],[33 kV_Solar_F3_Export reading]]-BU5)*225000)</f>
        <v/>
      </c>
      <c r="CM6" s="63">
        <f>IF((RD[[#This Row],[32kV_Solar_F4_Export reading]]-BV5)*225000&lt;=0,"",(RD[[#This Row],[32kV_Solar_F4_Export reading]]-BV5)*225000)</f>
        <v>159300.00000000125</v>
      </c>
      <c r="CN6" s="64">
        <f>IF((RD[[#This Row],[33kV_OG1_Export reading]]-BW5)*1000&lt;=0,0,(RD[[#This Row],[33kV_OG1_Export reading]]-BW5)*1000)</f>
        <v>496000</v>
      </c>
      <c r="CO6" s="64">
        <f>IFERROR(IF((RD[[#This Row],[33kV_OG2_Export reading]]-BX5)*1000&lt;=0,0,(RD[[#This Row],[33kV_OG2_Export reading]]-BX5)*1000),0)</f>
        <v>368000</v>
      </c>
      <c r="CP6" s="74">
        <f>IF((RD[[#This Row],[220kV_TX1_Export reading]]-BY5)*800000&lt;=0,0,(RD[[#This Row],[220kV_TX1_Export reading]]-BY5)*800000)</f>
        <v>487200.0000000071</v>
      </c>
      <c r="CQ6" s="186">
        <f>IF((RD[[#This Row],[220kV_Tx2_Export reading]]-BZ5)*800000&lt;=0,0,(RD[[#This Row],[220kV_Tx2_Export reading]]-BZ5)*800000)</f>
        <v>364800.00000000244</v>
      </c>
      <c r="CR6" s="64">
        <f>IF((RD[[#This Row],[220kV_TL_TVM Export Reading]]-CA5)*1600000&lt;=0,0,(RD[[#This Row],[220kV_TL_TVM Export Reading]]-CA5)*1600000)</f>
        <v>857600.00000000221</v>
      </c>
      <c r="CS6" s="64">
        <f>IF((RD[[#This Row],[220kV_C&amp;R_PQM reading]]-CB5)*1600000&lt;=0,"",(RD[[#This Row],[220kV_C&amp;R_PQM reading]]-CB5)*1600000)</f>
        <v>857600.00000000221</v>
      </c>
      <c r="CT6" s="186">
        <f>IFERROR(IF((RD[[#This Row],[220KV_C&amp;R_PQM Import Reading]]-CC5)*1600000&lt;=0,0,(RD[[#This Row],[220KV_C&amp;R_PQM Import Reading]]-CC5)*1600000),"")</f>
        <v>0</v>
      </c>
      <c r="CU6" s="64">
        <f>IF((RD[[#This Row],[33kV_Aux1 Import Reading]]-CD5)*1000&lt;=0,"",(RD[[#This Row],[33kV_Aux1 Import Reading]]-CD5)*1000)</f>
        <v>410.00000000002501</v>
      </c>
      <c r="CV6" s="64" t="str">
        <f>IF((RD[[#This Row],[33kV_Aux2_Import reading]]-CE5)*1000&lt;=0,"",(RD[[#This Row],[33kV_Aux2_Import reading]]-CE5)*1000)</f>
        <v/>
      </c>
      <c r="CW6" s="64">
        <f>IFERROR(RD[[#This Row],[33kV_OG1_Energy (MWh)]]+RD[[#This Row],[33kV_OG2_Energy (MWh)]],"")</f>
        <v>864000</v>
      </c>
      <c r="CX6" s="72">
        <f>IFERROR(RD[[#This Row],[220kV_TL_TVM Energy (MWh)]]-RD[[#This Row],[220KV_C&amp;R_PQM Import (MWh)]],"")</f>
        <v>857600.00000000221</v>
      </c>
      <c r="CY6" s="187">
        <f>IFERROR(RD[[#This Row],[33 kV Total Export (MWH)]]/RD[[#This Row],[220 KV Net Export (MWh)]]-1,"")</f>
        <v>7.4626865671616471E-3</v>
      </c>
      <c r="CZ6" s="188">
        <f t="shared" si="67"/>
        <v>50.6</v>
      </c>
      <c r="DA6" s="189">
        <v>97</v>
      </c>
      <c r="DB6" s="190"/>
      <c r="DC6" s="68">
        <f>IFERROR((RD[[#This Row],[Sunset Time (POA&lt;20 W/m2)]]-RD[[#This Row],[Sunrise Time (POA&gt;20 W/m2)]])*24,0)</f>
        <v>11.45</v>
      </c>
      <c r="DD6" s="70">
        <f>SUM(RD[[#This Row],[33 kV_Wind_F3_Export_Reading3]],CJ6,CK6,CL6,CM6)</f>
        <v>710325.0000000064</v>
      </c>
      <c r="DE6" s="68">
        <v>140</v>
      </c>
      <c r="DF6" s="70">
        <f t="shared" si="68"/>
        <v>154604.99999999726</v>
      </c>
      <c r="DG6" s="70"/>
      <c r="DH6">
        <f>'WTG Reactive Power'!AB4</f>
        <v>1145.6000000000001</v>
      </c>
    </row>
    <row r="7" spans="1:113">
      <c r="A7" s="173">
        <f>YEAR(RD[[#This Row],[Date]])+IF(MONTH(RD[[#This Row],[Date]])&gt;=4,1,0)</f>
        <v>2025</v>
      </c>
      <c r="B7" s="173">
        <f>YEAR(RD[[#This Row],[Date]])</f>
        <v>2025</v>
      </c>
      <c r="C7" s="174">
        <f t="shared" si="57"/>
        <v>45717</v>
      </c>
      <c r="D7" s="173">
        <f>DAY(EOMONTH(RD[[#This Row],[Date]],0))</f>
        <v>31</v>
      </c>
      <c r="E7" s="175">
        <f t="shared" si="69"/>
        <v>45747</v>
      </c>
      <c r="F7" s="203">
        <v>0.27986111111111112</v>
      </c>
      <c r="G7" s="203">
        <v>0.76041666666666663</v>
      </c>
      <c r="H7" s="177">
        <v>9913</v>
      </c>
      <c r="I7" s="177">
        <v>9093</v>
      </c>
      <c r="J7" s="177">
        <v>7804</v>
      </c>
      <c r="K7" s="177">
        <v>7443</v>
      </c>
      <c r="L7" s="177">
        <v>7551</v>
      </c>
      <c r="M7" s="177">
        <v>8626</v>
      </c>
      <c r="N7" s="177">
        <v>8300</v>
      </c>
      <c r="O7" s="177">
        <v>7392</v>
      </c>
      <c r="P7" s="177">
        <v>7198</v>
      </c>
      <c r="Q7" s="177">
        <v>7370</v>
      </c>
      <c r="R7" s="177">
        <v>8169</v>
      </c>
      <c r="S7" s="177">
        <v>9213</v>
      </c>
      <c r="T7" s="177">
        <v>8120</v>
      </c>
      <c r="U7" s="177">
        <v>7654</v>
      </c>
      <c r="V7" s="177">
        <v>8675</v>
      </c>
      <c r="W7" s="177">
        <v>8963</v>
      </c>
      <c r="X7" s="177">
        <v>9543</v>
      </c>
      <c r="Y7" s="177">
        <v>7119</v>
      </c>
      <c r="Z7" s="177">
        <v>7318</v>
      </c>
      <c r="AA7" s="177">
        <v>8571</v>
      </c>
      <c r="AB7" s="177">
        <v>8942</v>
      </c>
      <c r="AC7" s="177">
        <v>7472</v>
      </c>
      <c r="AD7" s="177">
        <v>9821</v>
      </c>
      <c r="AE7" s="71">
        <v>4.9128000000000007</v>
      </c>
      <c r="AF7" s="71">
        <v>4.8252482758620676</v>
      </c>
      <c r="AG7" s="71">
        <v>4.6849310344827586</v>
      </c>
      <c r="AH7" s="71">
        <v>4.395551724137932</v>
      </c>
      <c r="AI7" s="71">
        <v>4.4859448275862066</v>
      </c>
      <c r="AJ7" s="71">
        <v>4.6024344827586212</v>
      </c>
      <c r="AK7" s="71">
        <v>4.5917793103448288</v>
      </c>
      <c r="AL7" s="71">
        <v>4.563510344827586</v>
      </c>
      <c r="AM7" s="71">
        <v>4.6000689655172389</v>
      </c>
      <c r="AN7" s="71">
        <v>4.4341862068965483</v>
      </c>
      <c r="AO7" s="71">
        <v>4.6571793103448282</v>
      </c>
      <c r="AP7" s="71">
        <v>4.743972413793105</v>
      </c>
      <c r="AQ7" s="71">
        <v>4.5720206896551723</v>
      </c>
      <c r="AR7" s="71">
        <v>4.4583724137931044</v>
      </c>
      <c r="AS7" s="71">
        <v>4.9120137931034469</v>
      </c>
      <c r="AT7" s="71">
        <v>4.8489034482758617</v>
      </c>
      <c r="AU7" s="71">
        <v>4.9286413793103439</v>
      </c>
      <c r="AV7" s="71">
        <v>4.5778068965517216</v>
      </c>
      <c r="AW7" s="71">
        <v>4.5200758620689667</v>
      </c>
      <c r="AX7" s="71">
        <v>4.6815103448275863</v>
      </c>
      <c r="AY7" s="71">
        <v>4.9601793103448255</v>
      </c>
      <c r="AZ7" s="71">
        <v>4.7637379310344823</v>
      </c>
      <c r="BA7" s="71">
        <v>5.0213586206896554</v>
      </c>
      <c r="BB7" s="178">
        <f t="shared" si="58"/>
        <v>82807</v>
      </c>
      <c r="BC7" s="179">
        <f t="shared" si="59"/>
        <v>18506</v>
      </c>
      <c r="BD7" s="180">
        <f t="shared" si="60"/>
        <v>66146</v>
      </c>
      <c r="BE7" s="179">
        <f t="shared" si="61"/>
        <v>7119</v>
      </c>
      <c r="BF7" s="179">
        <f t="shared" si="62"/>
        <v>15692</v>
      </c>
      <c r="BG7" s="179">
        <f>SUM(RD[[#This Row],[KUD01]:[KUD23]])</f>
        <v>190270</v>
      </c>
      <c r="BH7" s="181">
        <f t="shared" si="63"/>
        <v>4.6577062068965516</v>
      </c>
      <c r="BI7" s="182">
        <f t="shared" si="64"/>
        <v>4.8887724137931023</v>
      </c>
      <c r="BJ7" s="182">
        <f t="shared" si="65"/>
        <v>4.6809813793103441</v>
      </c>
      <c r="BK7" s="183">
        <f t="shared" si="66"/>
        <v>4.5778068965517216</v>
      </c>
      <c r="BL7" s="61">
        <f>IFERROR(AVERAGEIF(RD[[#This Row],[WS_KUD07]:[WS_KUD08]],"&lt;&gt;0",RD[[#This Row],[WS_KUD07]:[WS_KUD08]]),"")</f>
        <v>4.5776448275862069</v>
      </c>
      <c r="BM7" s="184">
        <f>IFERROR(AVERAGE(RD[[#This Row],[WS_KUD01]:[WS_KUD23]]),"")</f>
        <v>4.684444677661169</v>
      </c>
      <c r="BN7" s="185">
        <f>IFERROR(MAX(RD[[#This Row],[WS_KUD01]:[WS_KUD23]]),"")</f>
        <v>5.0213586206896554</v>
      </c>
      <c r="BO7" s="73">
        <v>640.30499999999995</v>
      </c>
      <c r="BP7" s="73">
        <v>872.673</v>
      </c>
      <c r="BQ7" s="73">
        <v>32.100999999999999</v>
      </c>
      <c r="BR7" s="73">
        <v>205.89599999999999</v>
      </c>
      <c r="BS7" s="73">
        <v>152.726</v>
      </c>
      <c r="BT7" s="73">
        <v>262.90499999999997</v>
      </c>
      <c r="BU7" s="73"/>
      <c r="BV7" s="73">
        <v>53.720999999999997</v>
      </c>
      <c r="BW7" s="73">
        <v>173951</v>
      </c>
      <c r="BX7" s="73">
        <v>238421</v>
      </c>
      <c r="BY7" s="73">
        <v>103.051</v>
      </c>
      <c r="BZ7" s="73">
        <v>57.445</v>
      </c>
      <c r="CA7" s="73">
        <v>255.709</v>
      </c>
      <c r="CB7" s="73">
        <v>80.765000000000001</v>
      </c>
      <c r="CC7" s="73">
        <v>0.10199999999999999</v>
      </c>
      <c r="CD7" s="73">
        <v>281.05900000000003</v>
      </c>
      <c r="CE7" s="73">
        <v>0</v>
      </c>
      <c r="CF7" s="64" t="str">
        <f>IF((RD[[#This Row],[33 kV_Wind_F1_Export reading]]-BO6)*165000&lt;=0,"",(RD[[#This Row],[33 kV_Wind_F1_Export reading]]-BO6)*165000)</f>
        <v/>
      </c>
      <c r="CG7" s="64">
        <f>IF((RD[[#This Row],[33 kV_Wind_F2_Export_reading]]-BP6)*165000&lt;=0,"",(RD[[#This Row],[33 kV_Wind_F2_Export_reading]]-BP6)*165000)</f>
        <v>98010.000000008411</v>
      </c>
      <c r="CH7" s="64">
        <f>IF((RD[[#This Row],[33 kV_Wind_F3_Export_Reading]]-BQ6)*225000&lt;=0,"",(RD[[#This Row],[33 kV_Wind_F3_Export_Reading]]-BQ6)*225000)</f>
        <v>214650.00000000015</v>
      </c>
      <c r="CI7" s="64">
        <f>IF((RD[[#This Row],[33 kV_Wind_F4_Export Reading]]-BR6)*165000&lt;=0,"",(RD[[#This Row],[33 kV_Wind_F4_Export Reading]]-BR6)*165000)</f>
        <v>88769.999999997104</v>
      </c>
      <c r="CJ7" s="74">
        <f>IF((RD[[#This Row],[33 kV_Solar_F1_Export Reading]]-BS6)*225000&lt;=0,"",(RD[[#This Row],[33 kV_Solar_F1_Export Reading]]-BS6)*225000)</f>
        <v>165374.99999999668</v>
      </c>
      <c r="CK7" s="74">
        <f>IF((RD[[#This Row],[33kV_Solar_F2_Export Reading]]-BT6)*225000&lt;=0,"",(RD[[#This Row],[33kV_Solar_F2_Export Reading]]-BT6)*225000)</f>
        <v>171224.99999999264</v>
      </c>
      <c r="CL7" s="186" t="str">
        <f>IF((RD[[#This Row],[33 kV_Solar_F3_Export reading]]-BU6)*225000&lt;=0,"",(RD[[#This Row],[33 kV_Solar_F3_Export reading]]-BU6)*225000)</f>
        <v/>
      </c>
      <c r="CM7" s="63">
        <f>IF((RD[[#This Row],[32kV_Solar_F4_Export reading]]-BV6)*225000&lt;=0,"",(RD[[#This Row],[32kV_Solar_F4_Export reading]]-BV6)*225000)</f>
        <v>158399.99999999854</v>
      </c>
      <c r="CN7" s="64">
        <f>IF((RD[[#This Row],[33kV_OG1_Export reading]]-BW6)*1000&lt;=0,0,(RD[[#This Row],[33kV_OG1_Export reading]]-BW6)*1000)</f>
        <v>495000</v>
      </c>
      <c r="CO7" s="64">
        <f>IFERROR(IF((RD[[#This Row],[33kV_OG2_Export reading]]-BX6)*1000&lt;=0,0,(RD[[#This Row],[33kV_OG2_Export reading]]-BX6)*1000),0)</f>
        <v>402000</v>
      </c>
      <c r="CP7" s="74">
        <f>IF((RD[[#This Row],[220kV_TX1_Export reading]]-BY6)*800000&lt;=0,0,(RD[[#This Row],[220kV_TX1_Export reading]]-BY6)*800000)</f>
        <v>496799.9999999961</v>
      </c>
      <c r="CQ7" s="186">
        <f>IF((RD[[#This Row],[220kV_Tx2_Export reading]]-BZ6)*800000&lt;=0,0,(RD[[#This Row],[220kV_Tx2_Export reading]]-BZ6)*800000)</f>
        <v>395999.99999999796</v>
      </c>
      <c r="CR7" s="64">
        <f>IF((RD[[#This Row],[220kV_TL_TVM Export Reading]]-CA6)*1600000&lt;=0,0,(RD[[#This Row],[220kV_TL_TVM Export Reading]]-CA6)*1600000)</f>
        <v>888000.00000001094</v>
      </c>
      <c r="CS7" s="64">
        <f>IF((RD[[#This Row],[220kV_C&amp;R_PQM reading]]-CB6)*1600000&lt;=0,"",(RD[[#This Row],[220kV_C&amp;R_PQM reading]]-CB6)*1600000)</f>
        <v>889599.99999999581</v>
      </c>
      <c r="CT7" s="186">
        <f>IFERROR(IF((RD[[#This Row],[220KV_C&amp;R_PQM Import Reading]]-CC6)*1600000&lt;=0,0,(RD[[#This Row],[220KV_C&amp;R_PQM Import Reading]]-CC6)*1600000),"")</f>
        <v>0</v>
      </c>
      <c r="CU7" s="64">
        <f>IF((RD[[#This Row],[33kV_Aux1 Import Reading]]-CD6)*1000&lt;=0,"",(RD[[#This Row],[33kV_Aux1 Import Reading]]-CD6)*1000)</f>
        <v>420.00000000001592</v>
      </c>
      <c r="CV7" s="64" t="str">
        <f>IF((RD[[#This Row],[33kV_Aux2_Import reading]]-CE6)*1000&lt;=0,"",(RD[[#This Row],[33kV_Aux2_Import reading]]-CE6)*1000)</f>
        <v/>
      </c>
      <c r="CW7" s="64">
        <f>IFERROR(RD[[#This Row],[33kV_OG1_Energy (MWh)]]+RD[[#This Row],[33kV_OG2_Energy (MWh)]],"")</f>
        <v>897000</v>
      </c>
      <c r="CX7" s="72">
        <f>IFERROR(RD[[#This Row],[220kV_TL_TVM Energy (MWh)]]-RD[[#This Row],[220KV_C&amp;R_PQM Import (MWh)]],"")</f>
        <v>888000.00000001094</v>
      </c>
      <c r="CY7" s="187">
        <f>IFERROR(RD[[#This Row],[33 kV Total Export (MWH)]]/RD[[#This Row],[220 KV Net Export (MWh)]]-1,"")</f>
        <v>1.0135135135122653E-2</v>
      </c>
      <c r="CZ7" s="188">
        <f t="shared" si="67"/>
        <v>50.6</v>
      </c>
      <c r="DA7" s="189">
        <v>97</v>
      </c>
      <c r="DB7" s="190"/>
      <c r="DC7" s="68">
        <f>IFERROR((RD[[#This Row],[Sunset Time (POA&lt;20 W/m2)]]-RD[[#This Row],[Sunrise Time (POA&gt;20 W/m2)]])*24,0)</f>
        <v>11.533333333333331</v>
      </c>
      <c r="DD7" s="70">
        <f>SUM(RD[[#This Row],[33 kV_Wind_F3_Export_Reading3]],CJ7,CK7,CL7,CM7)</f>
        <v>709649.99999998813</v>
      </c>
      <c r="DE7" s="68">
        <v>140</v>
      </c>
      <c r="DF7" s="70">
        <f t="shared" si="68"/>
        <v>186780.00000000553</v>
      </c>
      <c r="DG7" s="70"/>
      <c r="DH7">
        <f>'WTG Reactive Power'!AB5</f>
        <v>895.80000000000007</v>
      </c>
    </row>
    <row r="8" spans="1:113">
      <c r="A8" s="173">
        <f>YEAR(RD[[#This Row],[Date]])+IF(MONTH(RD[[#This Row],[Date]])&gt;=4,1,0)</f>
        <v>2026</v>
      </c>
      <c r="B8" s="173">
        <f>YEAR(RD[[#This Row],[Date]])</f>
        <v>2025</v>
      </c>
      <c r="C8" s="174">
        <f t="shared" si="57"/>
        <v>45748</v>
      </c>
      <c r="D8" s="173">
        <f>DAY(EOMONTH(RD[[#This Row],[Date]],0))</f>
        <v>30</v>
      </c>
      <c r="E8" s="175">
        <f t="shared" si="69"/>
        <v>45748</v>
      </c>
      <c r="F8" s="271">
        <v>0.27638888888888891</v>
      </c>
      <c r="G8" s="271">
        <v>0.75972222222222219</v>
      </c>
      <c r="H8" s="177">
        <v>14549</v>
      </c>
      <c r="I8" s="177">
        <v>13503</v>
      </c>
      <c r="J8" s="177">
        <v>12079</v>
      </c>
      <c r="K8" s="177">
        <v>13030</v>
      </c>
      <c r="L8" s="177">
        <v>11535</v>
      </c>
      <c r="M8" s="177">
        <v>13133</v>
      </c>
      <c r="N8" s="177">
        <v>12647</v>
      </c>
      <c r="O8" s="177">
        <v>14115</v>
      </c>
      <c r="P8" s="177">
        <v>10479</v>
      </c>
      <c r="Q8" s="177">
        <v>12412</v>
      </c>
      <c r="R8" s="177">
        <v>12150</v>
      </c>
      <c r="S8" s="177">
        <v>14076</v>
      </c>
      <c r="T8" s="177">
        <v>12019</v>
      </c>
      <c r="U8" s="177">
        <v>11832</v>
      </c>
      <c r="V8" s="177">
        <v>13331</v>
      </c>
      <c r="W8" s="177">
        <v>12767</v>
      </c>
      <c r="X8" s="177">
        <v>13339</v>
      </c>
      <c r="Y8" s="177">
        <v>12206</v>
      </c>
      <c r="Z8" s="177">
        <v>11181</v>
      </c>
      <c r="AA8" s="177">
        <v>12012</v>
      </c>
      <c r="AB8" s="177">
        <v>13254</v>
      </c>
      <c r="AC8" s="177">
        <v>12545</v>
      </c>
      <c r="AD8" s="177">
        <v>13419</v>
      </c>
      <c r="AE8" s="169">
        <v>5.2326413793103423</v>
      </c>
      <c r="AF8" s="169">
        <v>5.0782551724137912</v>
      </c>
      <c r="AG8" s="169">
        <v>4.9551448275862064</v>
      </c>
      <c r="AH8" s="169">
        <v>4.8301517241379335</v>
      </c>
      <c r="AI8" s="169">
        <v>4.7406275862068954</v>
      </c>
      <c r="AJ8" s="169">
        <v>4.8841103448275858</v>
      </c>
      <c r="AK8" s="169">
        <v>4.8779310344827582</v>
      </c>
      <c r="AL8" s="169">
        <v>5.2245862068965483</v>
      </c>
      <c r="AM8" s="169">
        <v>4.8300965517241385</v>
      </c>
      <c r="AN8" s="169">
        <v>4.8519862068965489</v>
      </c>
      <c r="AO8" s="169">
        <v>4.9433310344827577</v>
      </c>
      <c r="AP8" s="169">
        <v>4.976799999999999</v>
      </c>
      <c r="AQ8" s="169">
        <v>4.811799999999999</v>
      </c>
      <c r="AR8" s="169">
        <v>4.6980413793103439</v>
      </c>
      <c r="AS8" s="169">
        <v>5.2482827586206886</v>
      </c>
      <c r="AT8" s="169">
        <v>5.0486827586206884</v>
      </c>
      <c r="AU8" s="169">
        <v>5.1337586206896546</v>
      </c>
      <c r="AV8" s="169">
        <v>4.8600896551724118</v>
      </c>
      <c r="AW8" s="169">
        <v>4.7953034482758632</v>
      </c>
      <c r="AX8" s="169">
        <v>4.7980482758620671</v>
      </c>
      <c r="AY8" s="169">
        <v>5.190675862068967</v>
      </c>
      <c r="AZ8" s="169">
        <v>5.0868827586206899</v>
      </c>
      <c r="BA8" s="169">
        <v>5.1152896551724139</v>
      </c>
      <c r="BB8" s="178">
        <f t="shared" si="58"/>
        <v>125641</v>
      </c>
      <c r="BC8" s="179">
        <f t="shared" si="59"/>
        <v>26106</v>
      </c>
      <c r="BD8" s="180">
        <f t="shared" si="60"/>
        <v>100898</v>
      </c>
      <c r="BE8" s="179">
        <f t="shared" si="61"/>
        <v>12206</v>
      </c>
      <c r="BF8" s="179">
        <f t="shared" si="62"/>
        <v>26762</v>
      </c>
      <c r="BG8" s="179">
        <f>SUM(RD[[#This Row],[KUD01]:[KUD23]])</f>
        <v>291613</v>
      </c>
      <c r="BH8" s="181">
        <f t="shared" si="63"/>
        <v>4.9311379310344812</v>
      </c>
      <c r="BI8" s="182">
        <f t="shared" si="64"/>
        <v>5.0912206896551719</v>
      </c>
      <c r="BJ8" s="182">
        <f t="shared" si="65"/>
        <v>4.9858606896551709</v>
      </c>
      <c r="BK8" s="183">
        <f t="shared" si="66"/>
        <v>4.8600896551724118</v>
      </c>
      <c r="BL8" s="61">
        <f>IFERROR(AVERAGEIF(RD[[#This Row],[WS_KUD07]:[WS_KUD08]],"&lt;&gt;0",RD[[#This Row],[WS_KUD07]:[WS_KUD08]]),"")</f>
        <v>5.0512586206896533</v>
      </c>
      <c r="BM8" s="184">
        <f>IFERROR(AVERAGE(RD[[#This Row],[WS_KUD01]:[WS_KUD23]]),"")</f>
        <v>4.9657616191904053</v>
      </c>
      <c r="BN8" s="185">
        <f>IFERROR(MAX(RD[[#This Row],[WS_KUD01]:[WS_KUD23]]),"")</f>
        <v>5.2482827586206886</v>
      </c>
      <c r="BO8" s="172">
        <v>640.30499999999995</v>
      </c>
      <c r="BP8" s="272">
        <v>873.57799999999997</v>
      </c>
      <c r="BQ8" s="272">
        <v>33.113</v>
      </c>
      <c r="BR8" s="272">
        <v>206.73500000000001</v>
      </c>
      <c r="BS8" s="272">
        <v>153.501</v>
      </c>
      <c r="BT8" s="272">
        <v>263.71899999999999</v>
      </c>
      <c r="BU8" s="272"/>
      <c r="BV8" s="272">
        <v>54.466999999999999</v>
      </c>
      <c r="BW8" s="272">
        <v>174476</v>
      </c>
      <c r="BX8" s="272">
        <v>238936</v>
      </c>
      <c r="BY8" s="272">
        <v>103.70099999999999</v>
      </c>
      <c r="BZ8" s="272">
        <v>58.079000000000001</v>
      </c>
      <c r="CA8" s="272">
        <v>256.35399999999998</v>
      </c>
      <c r="CB8" s="272">
        <v>81.409000000000006</v>
      </c>
      <c r="CC8" s="272">
        <v>0.10299999999999999</v>
      </c>
      <c r="CD8" s="272">
        <v>281.50900000000001</v>
      </c>
      <c r="CE8" s="172">
        <v>0</v>
      </c>
      <c r="CF8" s="64" t="str">
        <f>IF((RD[[#This Row],[33 kV_Wind_F1_Export reading]]-BO7)*165000&lt;=0,"",(RD[[#This Row],[33 kV_Wind_F1_Export reading]]-BO7)*165000)</f>
        <v/>
      </c>
      <c r="CG8" s="64">
        <f>IF((RD[[#This Row],[33 kV_Wind_F2_Export_reading]]-BP7)*165000&lt;=0,"",(RD[[#This Row],[33 kV_Wind_F2_Export_reading]]-BP7)*165000)</f>
        <v>149324.99999999549</v>
      </c>
      <c r="CH8" s="64">
        <f>IF((RD[[#This Row],[33 kV_Wind_F3_Export_Reading]]-BQ7)*225000&lt;=0,"",(RD[[#This Row],[33 kV_Wind_F3_Export_Reading]]-BQ7)*225000)</f>
        <v>227700.00000000012</v>
      </c>
      <c r="CI8" s="64">
        <f>IF((RD[[#This Row],[33 kV_Wind_F4_Export Reading]]-BR7)*165000&lt;=0,"",(RD[[#This Row],[33 kV_Wind_F4_Export Reading]]-BR7)*165000)</f>
        <v>138435.00000000445</v>
      </c>
      <c r="CJ8" s="74">
        <f>IF((RD[[#This Row],[33 kV_Solar_F1_Export Reading]]-BS7)*225000&lt;=0,"",(RD[[#This Row],[33 kV_Solar_F1_Export Reading]]-BS7)*225000)</f>
        <v>174375.00000000128</v>
      </c>
      <c r="CK8" s="74">
        <f>IF((RD[[#This Row],[33kV_Solar_F2_Export Reading]]-BT7)*225000&lt;=0,"",(RD[[#This Row],[33kV_Solar_F2_Export Reading]]-BT7)*225000)</f>
        <v>183150.0000000048</v>
      </c>
      <c r="CL8" s="186" t="str">
        <f>IF((RD[[#This Row],[33 kV_Solar_F3_Export reading]]-BU7)*225000&lt;=0,"",(RD[[#This Row],[33 kV_Solar_F3_Export reading]]-BU7)*225000)</f>
        <v/>
      </c>
      <c r="CM8" s="63">
        <f>IF((RD[[#This Row],[32kV_Solar_F4_Export reading]]-BV7)*225000&lt;=0,"",(RD[[#This Row],[32kV_Solar_F4_Export reading]]-BV7)*225000)</f>
        <v>167850.00000000049</v>
      </c>
      <c r="CN8" s="64">
        <f>IF((RD[[#This Row],[33kV_OG1_Export reading]]-BW7)*1000&lt;=0,0,(RD[[#This Row],[33kV_OG1_Export reading]]-BW7)*1000)</f>
        <v>525000</v>
      </c>
      <c r="CO8" s="64">
        <f>IFERROR(IF((RD[[#This Row],[33kV_OG2_Export reading]]-BX7)*1000&lt;=0,0,(RD[[#This Row],[33kV_OG2_Export reading]]-BX7)*1000),0)</f>
        <v>515000</v>
      </c>
      <c r="CP8" s="74">
        <f>IF((RD[[#This Row],[220kV_TX1_Export reading]]-BY7)*800000&lt;=0,0,(RD[[#This Row],[220kV_TX1_Export reading]]-BY7)*800000)</f>
        <v>519999.99999999319</v>
      </c>
      <c r="CQ8" s="186">
        <f>IF((RD[[#This Row],[220kV_Tx2_Export reading]]-BZ7)*800000&lt;=0,0,(RD[[#This Row],[220kV_Tx2_Export reading]]-BZ7)*800000)</f>
        <v>507200.00000000029</v>
      </c>
      <c r="CR8" s="64">
        <f>IF((RD[[#This Row],[220kV_TL_TVM Export Reading]]-CA7)*1600000&lt;=0,0,(RD[[#This Row],[220kV_TL_TVM Export Reading]]-CA7)*1600000)</f>
        <v>1031999.9999999709</v>
      </c>
      <c r="CS8" s="64">
        <f>IF((RD[[#This Row],[220kV_C&amp;R_PQM reading]]-CB7)*1600000&lt;=0,"",(RD[[#This Row],[220kV_C&amp;R_PQM reading]]-CB7)*1600000)</f>
        <v>1030400.0000000087</v>
      </c>
      <c r="CT8" s="186">
        <f>IFERROR(IF((RD[[#This Row],[220KV_C&amp;R_PQM Import Reading]]-CC7)*1600000&lt;=0,0,(RD[[#This Row],[220KV_C&amp;R_PQM Import Reading]]-CC7)*1600000),"")</f>
        <v>1600.0000000000014</v>
      </c>
      <c r="CU8" s="64">
        <f>IF((RD[[#This Row],[33kV_Aux1 Import Reading]]-CD7)*1000&lt;=0,"",(RD[[#This Row],[33kV_Aux1 Import Reading]]-CD7)*1000)</f>
        <v>449.99999999998863</v>
      </c>
      <c r="CV8" s="64" t="str">
        <f>IF((RD[[#This Row],[33kV_Aux2_Import reading]]-CE7)*1000&lt;=0,"",(RD[[#This Row],[33kV_Aux2_Import reading]]-CE7)*1000)</f>
        <v/>
      </c>
      <c r="CW8" s="64">
        <f>IFERROR(RD[[#This Row],[33kV_OG1_Energy (MWh)]]+RD[[#This Row],[33kV_OG2_Energy (MWh)]],"")</f>
        <v>1040000</v>
      </c>
      <c r="CX8" s="72">
        <f>IFERROR(RD[[#This Row],[220kV_TL_TVM Energy (MWh)]]-RD[[#This Row],[220KV_C&amp;R_PQM Import (MWh)]],"")</f>
        <v>1030399.9999999709</v>
      </c>
      <c r="CY8" s="187">
        <f>IFERROR(RD[[#This Row],[33 kV Total Export (MWH)]]/RD[[#This Row],[220 KV Net Export (MWh)]]-1,"")</f>
        <v>9.3167701863638985E-3</v>
      </c>
      <c r="CZ8" s="188">
        <f t="shared" si="67"/>
        <v>50.6</v>
      </c>
      <c r="DA8" s="189">
        <v>97</v>
      </c>
      <c r="DB8" s="190"/>
      <c r="DC8" s="68">
        <f>IFERROR((RD[[#This Row],[Sunset Time (POA&lt;20 W/m2)]]-RD[[#This Row],[Sunrise Time (POA&gt;20 W/m2)]])*24,0)</f>
        <v>11.599999999999998</v>
      </c>
      <c r="DD8" s="70">
        <f>SUM(RD[[#This Row],[33 kV_Wind_F3_Export_Reading3]],CJ8,CK8,CL8,CM8)</f>
        <v>753075.00000000664</v>
      </c>
      <c r="DE8" s="68">
        <v>140</v>
      </c>
      <c r="DF8" s="70">
        <f t="shared" si="68"/>
        <v>287759.99999999994</v>
      </c>
      <c r="DG8" s="70">
        <v>292.87</v>
      </c>
      <c r="DH8">
        <f>'WTG Reactive Power'!AB6</f>
        <v>1533.3999999999999</v>
      </c>
    </row>
    <row r="9" spans="1:113">
      <c r="A9" s="173">
        <f>YEAR(RD[[#This Row],[Date]])+IF(MONTH(RD[[#This Row],[Date]])&gt;=4,1,0)</f>
        <v>2026</v>
      </c>
      <c r="B9" s="173">
        <f>YEAR(RD[[#This Row],[Date]])</f>
        <v>2025</v>
      </c>
      <c r="C9" s="174">
        <f t="shared" si="57"/>
        <v>45748</v>
      </c>
      <c r="D9" s="173">
        <f>DAY(EOMONTH(RD[[#This Row],[Date]],0))</f>
        <v>30</v>
      </c>
      <c r="E9" s="175">
        <f t="shared" si="69"/>
        <v>45749</v>
      </c>
      <c r="F9" s="271">
        <v>0.28541666666666665</v>
      </c>
      <c r="G9" s="271">
        <v>0.74305555555555558</v>
      </c>
      <c r="H9" s="177">
        <v>10125</v>
      </c>
      <c r="I9" s="177">
        <v>8778</v>
      </c>
      <c r="J9" s="177">
        <v>7653</v>
      </c>
      <c r="K9" s="177">
        <v>9597</v>
      </c>
      <c r="L9" s="177">
        <v>8538</v>
      </c>
      <c r="M9" s="177">
        <v>9097</v>
      </c>
      <c r="N9" s="177">
        <v>7322</v>
      </c>
      <c r="O9" s="177">
        <v>11409</v>
      </c>
      <c r="P9" s="177">
        <v>8056</v>
      </c>
      <c r="Q9" s="177">
        <v>8250</v>
      </c>
      <c r="R9" s="177">
        <v>8145</v>
      </c>
      <c r="S9" s="177">
        <v>10146</v>
      </c>
      <c r="T9" s="177">
        <v>8814</v>
      </c>
      <c r="U9" s="177">
        <v>8041</v>
      </c>
      <c r="V9" s="177">
        <v>9575</v>
      </c>
      <c r="W9" s="177">
        <v>9553</v>
      </c>
      <c r="X9" s="177">
        <v>9367</v>
      </c>
      <c r="Y9" s="177">
        <v>7010</v>
      </c>
      <c r="Z9" s="177">
        <v>9702</v>
      </c>
      <c r="AA9" s="177">
        <v>11340</v>
      </c>
      <c r="AB9" s="177">
        <v>10084</v>
      </c>
      <c r="AC9" s="177">
        <v>8456</v>
      </c>
      <c r="AD9" s="177">
        <v>11048</v>
      </c>
      <c r="AE9" s="169">
        <v>4.8711931034482783</v>
      </c>
      <c r="AF9" s="169">
        <v>4.6716896551724139</v>
      </c>
      <c r="AG9" s="169">
        <v>4.6543586206896572</v>
      </c>
      <c r="AH9" s="169">
        <v>4.7965138888888887</v>
      </c>
      <c r="AI9" s="169">
        <v>4.6707310344827571</v>
      </c>
      <c r="AJ9" s="169">
        <v>4.741020689655171</v>
      </c>
      <c r="AK9" s="169">
        <v>4.6323862068965509</v>
      </c>
      <c r="AL9" s="169">
        <v>5.0728620689655139</v>
      </c>
      <c r="AM9" s="169">
        <v>4.6748965517241396</v>
      </c>
      <c r="AN9" s="169">
        <v>4.6319034482758648</v>
      </c>
      <c r="AO9" s="169">
        <v>4.7537931034482774</v>
      </c>
      <c r="AP9" s="169">
        <v>4.730896551724137</v>
      </c>
      <c r="AQ9" s="169">
        <v>4.6183103448275826</v>
      </c>
      <c r="AR9" s="169">
        <v>4.5076827586206853</v>
      </c>
      <c r="AS9" s="169">
        <v>4.9560275862068979</v>
      </c>
      <c r="AT9" s="169">
        <v>4.7868068965517239</v>
      </c>
      <c r="AU9" s="169">
        <v>4.8632746478873248</v>
      </c>
      <c r="AV9" s="169">
        <v>4.5062758620689651</v>
      </c>
      <c r="AW9" s="169">
        <v>4.8805999999999994</v>
      </c>
      <c r="AX9" s="169">
        <v>5.023972413793107</v>
      </c>
      <c r="AY9" s="169">
        <v>5.0293034482758605</v>
      </c>
      <c r="AZ9" s="169">
        <v>4.8389862068965499</v>
      </c>
      <c r="BA9" s="169">
        <v>5.1333448275862077</v>
      </c>
      <c r="BB9" s="178">
        <f t="shared" si="58"/>
        <v>91791</v>
      </c>
      <c r="BC9" s="179">
        <f t="shared" si="59"/>
        <v>18920</v>
      </c>
      <c r="BD9" s="180">
        <f t="shared" si="60"/>
        <v>73654</v>
      </c>
      <c r="BE9" s="179">
        <f t="shared" si="61"/>
        <v>7010</v>
      </c>
      <c r="BF9" s="179">
        <f t="shared" si="62"/>
        <v>18731</v>
      </c>
      <c r="BG9" s="179">
        <f>SUM(RD[[#This Row],[KUD01]:[KUD23]])</f>
        <v>210106</v>
      </c>
      <c r="BH9" s="181">
        <f t="shared" si="63"/>
        <v>4.7628737931034495</v>
      </c>
      <c r="BI9" s="182">
        <f t="shared" si="64"/>
        <v>4.8250407722195243</v>
      </c>
      <c r="BJ9" s="182">
        <f t="shared" si="65"/>
        <v>4.8261734578544058</v>
      </c>
      <c r="BK9" s="183">
        <f t="shared" si="66"/>
        <v>4.5062758620689651</v>
      </c>
      <c r="BL9" s="61">
        <f>IFERROR(AVERAGEIF(RD[[#This Row],[WS_KUD07]:[WS_KUD08]],"&lt;&gt;0",RD[[#This Row],[WS_KUD07]:[WS_KUD08]]),"")</f>
        <v>4.8526241379310324</v>
      </c>
      <c r="BM9" s="184">
        <f>IFERROR(AVERAGE(RD[[#This Row],[WS_KUD01]:[WS_KUD23]]),"")</f>
        <v>4.7846447789602848</v>
      </c>
      <c r="BN9" s="185">
        <f>IFERROR(MAX(RD[[#This Row],[WS_KUD01]:[WS_KUD23]]),"")</f>
        <v>5.1333448275862077</v>
      </c>
      <c r="BO9" s="172">
        <v>640.30499999999995</v>
      </c>
      <c r="BP9" s="272">
        <v>874.20899999999995</v>
      </c>
      <c r="BQ9" s="272">
        <v>34.07</v>
      </c>
      <c r="BR9" s="272">
        <v>207.345</v>
      </c>
      <c r="BS9" s="272">
        <v>154.238</v>
      </c>
      <c r="BT9" s="272">
        <v>264.45100000000002</v>
      </c>
      <c r="BU9" s="272"/>
      <c r="BV9" s="272">
        <v>55.17</v>
      </c>
      <c r="BW9" s="272">
        <v>174965</v>
      </c>
      <c r="BX9" s="272">
        <v>239353</v>
      </c>
      <c r="BY9" s="272">
        <v>104.30500000000001</v>
      </c>
      <c r="BZ9" s="272">
        <v>58.598999999999997</v>
      </c>
      <c r="CA9" s="272">
        <v>256.916</v>
      </c>
      <c r="CB9" s="272">
        <v>81.974000000000004</v>
      </c>
      <c r="CC9" s="272">
        <v>0.10299999999999999</v>
      </c>
      <c r="CD9" s="272">
        <v>281.92899999999997</v>
      </c>
      <c r="CE9" s="172">
        <v>0</v>
      </c>
      <c r="CF9" s="64" t="str">
        <f>IF((RD[[#This Row],[33 kV_Wind_F1_Export reading]]-BO8)*165000&lt;=0,"",(RD[[#This Row],[33 kV_Wind_F1_Export reading]]-BO8)*165000)</f>
        <v/>
      </c>
      <c r="CG9" s="64">
        <f>IF((RD[[#This Row],[33 kV_Wind_F2_Export_reading]]-BP8)*165000&lt;=0,"",(RD[[#This Row],[33 kV_Wind_F2_Export_reading]]-BP8)*165000)</f>
        <v>104114.99999999534</v>
      </c>
      <c r="CH9" s="64">
        <f>IF((RD[[#This Row],[33 kV_Wind_F3_Export_Reading]]-BQ8)*225000&lt;=0,"",(RD[[#This Row],[33 kV_Wind_F3_Export_Reading]]-BQ8)*225000)</f>
        <v>215325.00000000017</v>
      </c>
      <c r="CI9" s="64">
        <f>IF((RD[[#This Row],[33 kV_Wind_F4_Export Reading]]-BR8)*165000&lt;=0,"",(RD[[#This Row],[33 kV_Wind_F4_Export Reading]]-BR8)*165000)</f>
        <v>100649.99999999756</v>
      </c>
      <c r="CJ9" s="74">
        <f>IF((RD[[#This Row],[33 kV_Solar_F1_Export Reading]]-BS8)*225000&lt;=0,"",(RD[[#This Row],[33 kV_Solar_F1_Export Reading]]-BS8)*225000)</f>
        <v>165824.99999999884</v>
      </c>
      <c r="CK9" s="74">
        <f>IF((RD[[#This Row],[33kV_Solar_F2_Export Reading]]-BT8)*225000&lt;=0,"",(RD[[#This Row],[33kV_Solar_F2_Export Reading]]-BT8)*225000)</f>
        <v>164700.00000000623</v>
      </c>
      <c r="CL9" s="186" t="str">
        <f>IF((RD[[#This Row],[33 kV_Solar_F3_Export reading]]-BU8)*225000&lt;=0,"",(RD[[#This Row],[33 kV_Solar_F3_Export reading]]-BU8)*225000)</f>
        <v/>
      </c>
      <c r="CM9" s="63">
        <f>IF((RD[[#This Row],[32kV_Solar_F4_Export reading]]-BV8)*225000&lt;=0,"",(RD[[#This Row],[32kV_Solar_F4_Export reading]]-BV8)*225000)</f>
        <v>158175.00000000067</v>
      </c>
      <c r="CN9" s="64">
        <f>IF((RD[[#This Row],[33kV_OG1_Export reading]]-BW8)*1000&lt;=0,0,(RD[[#This Row],[33kV_OG1_Export reading]]-BW8)*1000)</f>
        <v>489000</v>
      </c>
      <c r="CO9" s="64">
        <f>IFERROR(IF((RD[[#This Row],[33kV_OG2_Export reading]]-BX8)*1000&lt;=0,0,(RD[[#This Row],[33kV_OG2_Export reading]]-BX8)*1000),0)</f>
        <v>417000</v>
      </c>
      <c r="CP9" s="74">
        <f>IF((RD[[#This Row],[220kV_TX1_Export reading]]-BY8)*800000&lt;=0,0,(RD[[#This Row],[220kV_TX1_Export reading]]-BY8)*800000)</f>
        <v>483200.00000001071</v>
      </c>
      <c r="CQ9" s="186">
        <f>IF((RD[[#This Row],[220kV_Tx2_Export reading]]-BZ8)*800000&lt;=0,0,(RD[[#This Row],[220kV_Tx2_Export reading]]-BZ8)*800000)</f>
        <v>415999.9999999968</v>
      </c>
      <c r="CR9" s="64">
        <f>IF((RD[[#This Row],[220kV_TL_TVM Export Reading]]-CA8)*1600000&lt;=0,0,(RD[[#This Row],[220kV_TL_TVM Export Reading]]-CA8)*1600000)</f>
        <v>899200.00000001886</v>
      </c>
      <c r="CS9" s="64">
        <f>IF((RD[[#This Row],[220kV_C&amp;R_PQM reading]]-CB8)*1600000&lt;=0,"",(RD[[#This Row],[220kV_C&amp;R_PQM reading]]-CB8)*1600000)</f>
        <v>903999.99999999639</v>
      </c>
      <c r="CT9" s="186">
        <f>IFERROR(IF((RD[[#This Row],[220KV_C&amp;R_PQM Import Reading]]-CC8)*1600000&lt;=0,0,(RD[[#This Row],[220KV_C&amp;R_PQM Import Reading]]-CC8)*1600000),"")</f>
        <v>0</v>
      </c>
      <c r="CU9" s="64">
        <f>IF((RD[[#This Row],[33kV_Aux1 Import Reading]]-CD8)*1000&lt;=0,"",(RD[[#This Row],[33kV_Aux1 Import Reading]]-CD8)*1000)</f>
        <v>419.99999999995907</v>
      </c>
      <c r="CV9" s="64" t="str">
        <f>IF((RD[[#This Row],[33kV_Aux2_Import reading]]-CE8)*1000&lt;=0,"",(RD[[#This Row],[33kV_Aux2_Import reading]]-CE8)*1000)</f>
        <v/>
      </c>
      <c r="CW9" s="64">
        <f>IFERROR(RD[[#This Row],[33kV_OG1_Energy (MWh)]]+RD[[#This Row],[33kV_OG2_Energy (MWh)]],"")</f>
        <v>906000</v>
      </c>
      <c r="CX9" s="72">
        <f>IFERROR(RD[[#This Row],[220kV_TL_TVM Energy (MWh)]]-RD[[#This Row],[220KV_C&amp;R_PQM Import (MWh)]],"")</f>
        <v>899200.00000001886</v>
      </c>
      <c r="CY9" s="187">
        <f>IFERROR(RD[[#This Row],[33 kV Total Export (MWH)]]/RD[[#This Row],[220 KV Net Export (MWh)]]-1,"")</f>
        <v>7.5622775800501252E-3</v>
      </c>
      <c r="CZ9" s="188">
        <f t="shared" si="67"/>
        <v>50.6</v>
      </c>
      <c r="DA9" s="189">
        <v>97</v>
      </c>
      <c r="DB9" s="190"/>
      <c r="DC9" s="68">
        <f>IFERROR((RD[[#This Row],[Sunset Time (POA&lt;20 W/m2)]]-RD[[#This Row],[Sunrise Time (POA&gt;20 W/m2)]])*24,0)</f>
        <v>10.983333333333334</v>
      </c>
      <c r="DD9" s="70">
        <f>SUM(RD[[#This Row],[33 kV_Wind_F3_Export_Reading3]],CJ9,CK9,CL9,CM9)</f>
        <v>704025.00000000594</v>
      </c>
      <c r="DE9" s="68">
        <v>140</v>
      </c>
      <c r="DF9" s="70">
        <f t="shared" si="68"/>
        <v>204764.9999999929</v>
      </c>
      <c r="DG9" s="70">
        <v>210.58</v>
      </c>
      <c r="DH9">
        <f>'WTG Reactive Power'!AB7</f>
        <v>917.19999999999993</v>
      </c>
    </row>
    <row r="10" spans="1:113">
      <c r="A10" s="173">
        <f>YEAR(RD[[#This Row],[Date]])+IF(MONTH(RD[[#This Row],[Date]])&gt;=4,1,0)</f>
        <v>2026</v>
      </c>
      <c r="B10" s="173">
        <f>YEAR(RD[[#This Row],[Date]])</f>
        <v>2025</v>
      </c>
      <c r="C10" s="174">
        <f t="shared" si="57"/>
        <v>45748</v>
      </c>
      <c r="D10" s="173">
        <f>DAY(EOMONTH(RD[[#This Row],[Date]],0))</f>
        <v>30</v>
      </c>
      <c r="E10" s="175">
        <f t="shared" si="69"/>
        <v>45750</v>
      </c>
      <c r="F10" s="203">
        <v>0.28611111111111109</v>
      </c>
      <c r="G10" s="203">
        <v>0.76944444444444449</v>
      </c>
      <c r="H10" s="177">
        <v>5301</v>
      </c>
      <c r="I10" s="177">
        <v>5530</v>
      </c>
      <c r="J10" s="177">
        <v>6629</v>
      </c>
      <c r="K10" s="177">
        <v>5753</v>
      </c>
      <c r="L10" s="177">
        <v>5349</v>
      </c>
      <c r="M10" s="177">
        <v>6619</v>
      </c>
      <c r="N10" s="177">
        <v>5174</v>
      </c>
      <c r="O10" s="177">
        <v>6537</v>
      </c>
      <c r="P10" s="177">
        <v>5719</v>
      </c>
      <c r="Q10" s="177">
        <v>5543</v>
      </c>
      <c r="R10" s="177">
        <v>5937</v>
      </c>
      <c r="S10" s="177">
        <v>5780</v>
      </c>
      <c r="T10" s="177">
        <v>5056</v>
      </c>
      <c r="U10" s="177">
        <v>5014</v>
      </c>
      <c r="V10" s="177">
        <v>4958</v>
      </c>
      <c r="W10" s="177">
        <v>5633</v>
      </c>
      <c r="X10" s="177">
        <v>5729</v>
      </c>
      <c r="Y10" s="177">
        <v>5658</v>
      </c>
      <c r="Z10" s="177">
        <v>4437</v>
      </c>
      <c r="AA10" s="177">
        <v>5649</v>
      </c>
      <c r="AB10" s="177">
        <v>5189</v>
      </c>
      <c r="AC10" s="177">
        <v>5942</v>
      </c>
      <c r="AD10" s="177">
        <v>5759</v>
      </c>
      <c r="AE10" s="169">
        <v>4.1416260869565207</v>
      </c>
      <c r="AF10" s="169">
        <v>3.9879034482758611</v>
      </c>
      <c r="AG10" s="169">
        <v>4.4785391304347817</v>
      </c>
      <c r="AH10" s="169">
        <v>4.0059310344827583</v>
      </c>
      <c r="AI10" s="169">
        <v>3.9573379310344827</v>
      </c>
      <c r="AJ10" s="169">
        <v>4.0586275862068941</v>
      </c>
      <c r="AK10" s="169">
        <v>4.0096417910447784</v>
      </c>
      <c r="AL10" s="169">
        <v>4.3733478260869578</v>
      </c>
      <c r="AM10" s="169">
        <v>4.1059448275862049</v>
      </c>
      <c r="AN10" s="169">
        <v>4.0983333333333336</v>
      </c>
      <c r="AO10" s="169">
        <v>4.4262173913043474</v>
      </c>
      <c r="AP10" s="169">
        <v>4.3141130434782617</v>
      </c>
      <c r="AQ10" s="169">
        <v>4.2999909090909085</v>
      </c>
      <c r="AR10" s="169">
        <v>4.1285652173913041</v>
      </c>
      <c r="AS10" s="169">
        <v>4.1698869565217365</v>
      </c>
      <c r="AT10" s="169">
        <v>3.940310344827588</v>
      </c>
      <c r="AU10" s="169">
        <v>4.003993103448277</v>
      </c>
      <c r="AV10" s="169">
        <v>4.0061999999999989</v>
      </c>
      <c r="AW10" s="169">
        <v>4.2421071428571411</v>
      </c>
      <c r="AX10" s="169">
        <v>4.4014608695652182</v>
      </c>
      <c r="AY10" s="169">
        <v>3.9575310344827583</v>
      </c>
      <c r="AZ10" s="169">
        <v>4.1110068965517241</v>
      </c>
      <c r="BA10" s="169">
        <v>3.9934206896551703</v>
      </c>
      <c r="BB10" s="178">
        <f t="shared" si="58"/>
        <v>54304</v>
      </c>
      <c r="BC10" s="179">
        <f t="shared" si="59"/>
        <v>11362</v>
      </c>
      <c r="BD10" s="180">
        <f t="shared" si="60"/>
        <v>45860</v>
      </c>
      <c r="BE10" s="179">
        <f t="shared" si="61"/>
        <v>5658</v>
      </c>
      <c r="BF10" s="179">
        <f t="shared" si="62"/>
        <v>11711</v>
      </c>
      <c r="BG10" s="179">
        <f>SUM(RD[[#This Row],[KUD01]:[KUD23]])</f>
        <v>128895</v>
      </c>
      <c r="BH10" s="181">
        <f t="shared" si="63"/>
        <v>4.270084008093356</v>
      </c>
      <c r="BI10" s="182">
        <f t="shared" si="64"/>
        <v>3.9721517241379325</v>
      </c>
      <c r="BJ10" s="182">
        <f t="shared" si="65"/>
        <v>4.056069306540758</v>
      </c>
      <c r="BK10" s="183">
        <f t="shared" si="66"/>
        <v>4.0061999999999989</v>
      </c>
      <c r="BL10" s="61">
        <f>IFERROR(AVERAGEIF(RD[[#This Row],[WS_KUD07]:[WS_KUD08]],"&lt;&gt;0",RD[[#This Row],[WS_KUD07]:[WS_KUD08]]),"")</f>
        <v>4.1914948085658681</v>
      </c>
      <c r="BM10" s="184">
        <f>IFERROR(AVERAGE(RD[[#This Row],[WS_KUD01]:[WS_KUD23]]),"")</f>
        <v>4.1396537649833478</v>
      </c>
      <c r="BN10" s="185">
        <f>IFERROR(MAX(RD[[#This Row],[WS_KUD01]:[WS_KUD23]]),"")</f>
        <v>4.4785391304347817</v>
      </c>
      <c r="BO10" s="73">
        <v>640.30499999999995</v>
      </c>
      <c r="BP10" s="73">
        <v>874.61900000000003</v>
      </c>
      <c r="BQ10" s="73">
        <v>35.039000000000001</v>
      </c>
      <c r="BR10" s="73">
        <v>207.714</v>
      </c>
      <c r="BS10" s="73">
        <v>154.95599999999999</v>
      </c>
      <c r="BT10" s="73">
        <v>265.214</v>
      </c>
      <c r="BU10" s="73"/>
      <c r="BV10" s="73">
        <v>55.86</v>
      </c>
      <c r="BW10" s="73">
        <v>175454</v>
      </c>
      <c r="BX10" s="73">
        <v>239698</v>
      </c>
      <c r="BY10" s="73">
        <v>104.91</v>
      </c>
      <c r="BZ10" s="73">
        <v>59.024000000000001</v>
      </c>
      <c r="CA10" s="73">
        <v>257.43400000000003</v>
      </c>
      <c r="CB10" s="73">
        <v>82.491</v>
      </c>
      <c r="CC10" s="73">
        <v>0.104</v>
      </c>
      <c r="CD10" s="73">
        <v>282.32900000000001</v>
      </c>
      <c r="CE10" s="73">
        <v>0</v>
      </c>
      <c r="CF10" s="64" t="str">
        <f>IF((RD[[#This Row],[33 kV_Wind_F1_Export reading]]-BO9)*165000&lt;=0,"",(RD[[#This Row],[33 kV_Wind_F1_Export reading]]-BO9)*165000)</f>
        <v/>
      </c>
      <c r="CG10" s="64">
        <f>IF((RD[[#This Row],[33 kV_Wind_F2_Export_reading]]-BP9)*165000&lt;=0,"",(RD[[#This Row],[33 kV_Wind_F2_Export_reading]]-BP9)*165000)</f>
        <v>67650.000000013504</v>
      </c>
      <c r="CH10" s="64">
        <f>IF((RD[[#This Row],[33 kV_Wind_F3_Export_Reading]]-BQ9)*225000&lt;=0,"",(RD[[#This Row],[33 kV_Wind_F3_Export_Reading]]-BQ9)*225000)</f>
        <v>218025.00000000026</v>
      </c>
      <c r="CI10" s="64">
        <f>IF((RD[[#This Row],[33 kV_Wind_F4_Export Reading]]-BR9)*165000&lt;=0,"",(RD[[#This Row],[33 kV_Wind_F4_Export Reading]]-BR9)*165000)</f>
        <v>60884.999999999964</v>
      </c>
      <c r="CJ10" s="74">
        <f>IF((RD[[#This Row],[33 kV_Solar_F1_Export Reading]]-BS9)*225000&lt;=0,"",(RD[[#This Row],[33 kV_Solar_F1_Export Reading]]-BS9)*225000)</f>
        <v>161549.99999999758</v>
      </c>
      <c r="CK10" s="74">
        <f>IF((RD[[#This Row],[33kV_Solar_F2_Export Reading]]-BT9)*225000&lt;=0,"",(RD[[#This Row],[33kV_Solar_F2_Export Reading]]-BT9)*225000)</f>
        <v>171674.99999999479</v>
      </c>
      <c r="CL10" s="186" t="str">
        <f>IF((RD[[#This Row],[33 kV_Solar_F3_Export reading]]-BU9)*225000&lt;=0,"",(RD[[#This Row],[33 kV_Solar_F3_Export reading]]-BU9)*225000)</f>
        <v/>
      </c>
      <c r="CM10" s="63">
        <f>IF((RD[[#This Row],[32kV_Solar_F4_Export reading]]-BV9)*225000&lt;=0,"",(RD[[#This Row],[32kV_Solar_F4_Export reading]]-BV9)*225000)</f>
        <v>155249.99999999948</v>
      </c>
      <c r="CN10" s="64">
        <f>IF((RD[[#This Row],[33kV_OG1_Export reading]]-BW9)*1000&lt;=0,0,(RD[[#This Row],[33kV_OG1_Export reading]]-BW9)*1000)</f>
        <v>489000</v>
      </c>
      <c r="CO10" s="64">
        <f>IFERROR(IF((RD[[#This Row],[33kV_OG2_Export reading]]-BX9)*1000&lt;=0,0,(RD[[#This Row],[33kV_OG2_Export reading]]-BX9)*1000),0)</f>
        <v>345000</v>
      </c>
      <c r="CP10" s="74">
        <f>IF((RD[[#This Row],[220kV_TX1_Export reading]]-BY9)*800000&lt;=0,0,(RD[[#This Row],[220kV_TX1_Export reading]]-BY9)*800000)</f>
        <v>483999.99999999179</v>
      </c>
      <c r="CQ10" s="186">
        <f>IF((RD[[#This Row],[220kV_Tx2_Export reading]]-BZ9)*800000&lt;=0,0,(RD[[#This Row],[220kV_Tx2_Export reading]]-BZ9)*800000)</f>
        <v>340000.00000000343</v>
      </c>
      <c r="CR10" s="64">
        <f>IF((RD[[#This Row],[220kV_TL_TVM Export Reading]]-CA9)*1600000&lt;=0,0,(RD[[#This Row],[220kV_TL_TVM Export Reading]]-CA9)*1600000)</f>
        <v>828800.00000004657</v>
      </c>
      <c r="CS10" s="64">
        <f>IF((RD[[#This Row],[220kV_C&amp;R_PQM reading]]-CB9)*1600000&lt;=0,"",(RD[[#This Row],[220kV_C&amp;R_PQM reading]]-CB9)*1600000)</f>
        <v>827199.99999999348</v>
      </c>
      <c r="CT10" s="186">
        <f>IFERROR(IF((RD[[#This Row],[220KV_C&amp;R_PQM Import Reading]]-CC9)*1600000&lt;=0,0,(RD[[#This Row],[220KV_C&amp;R_PQM Import Reading]]-CC9)*1600000),"")</f>
        <v>1600.0000000000014</v>
      </c>
      <c r="CU10" s="64">
        <f>IF((RD[[#This Row],[33kV_Aux1 Import Reading]]-CD9)*1000&lt;=0,"",(RD[[#This Row],[33kV_Aux1 Import Reading]]-CD9)*1000)</f>
        <v>400.00000000003411</v>
      </c>
      <c r="CV10" s="64" t="str">
        <f>IF((RD[[#This Row],[33kV_Aux2_Import reading]]-CE9)*1000&lt;=0,"",(RD[[#This Row],[33kV_Aux2_Import reading]]-CE9)*1000)</f>
        <v/>
      </c>
      <c r="CW10" s="64">
        <f>IFERROR(RD[[#This Row],[33kV_OG1_Energy (MWh)]]+RD[[#This Row],[33kV_OG2_Energy (MWh)]],"")</f>
        <v>834000</v>
      </c>
      <c r="CX10" s="72">
        <f>IFERROR(RD[[#This Row],[220kV_TL_TVM Energy (MWh)]]-RD[[#This Row],[220KV_C&amp;R_PQM Import (MWh)]],"")</f>
        <v>827200.00000004657</v>
      </c>
      <c r="CY10" s="187">
        <f>IFERROR(RD[[#This Row],[33 kV Total Export (MWH)]]/RD[[#This Row],[220 KV Net Export (MWh)]]-1,"")</f>
        <v>8.2205029012971664E-3</v>
      </c>
      <c r="CZ10" s="188">
        <f t="shared" si="67"/>
        <v>50.6</v>
      </c>
      <c r="DA10" s="189">
        <v>97</v>
      </c>
      <c r="DB10" s="190"/>
      <c r="DC10" s="68">
        <f>IFERROR((RD[[#This Row],[Sunset Time (POA&lt;20 W/m2)]]-RD[[#This Row],[Sunrise Time (POA&gt;20 W/m2)]])*24,0)</f>
        <v>11.600000000000001</v>
      </c>
      <c r="DD10" s="70">
        <f>SUM(RD[[#This Row],[33 kV_Wind_F3_Export_Reading3]],CJ10,CK10,CL10,CM10)</f>
        <v>706499.99999999208</v>
      </c>
      <c r="DE10" s="68">
        <v>140</v>
      </c>
      <c r="DF10" s="70">
        <f t="shared" si="68"/>
        <v>128535.00000001348</v>
      </c>
      <c r="DG10" s="70">
        <v>133.1</v>
      </c>
      <c r="DH10">
        <f>'WTG Reactive Power'!AB8</f>
        <v>1390.1999999999998</v>
      </c>
    </row>
    <row r="11" spans="1:113">
      <c r="A11" s="173">
        <f>YEAR(RD[[#This Row],[Date]])+IF(MONTH(RD[[#This Row],[Date]])&gt;=4,1,0)</f>
        <v>2026</v>
      </c>
      <c r="B11" s="173">
        <f>YEAR(RD[[#This Row],[Date]])</f>
        <v>2025</v>
      </c>
      <c r="C11" s="174">
        <f t="shared" si="57"/>
        <v>45748</v>
      </c>
      <c r="D11" s="173">
        <f>DAY(EOMONTH(RD[[#This Row],[Date]],0))</f>
        <v>30</v>
      </c>
      <c r="E11" s="175">
        <f t="shared" si="69"/>
        <v>45751</v>
      </c>
      <c r="F11" s="203">
        <v>0.27847222222222223</v>
      </c>
      <c r="G11" s="203">
        <v>0.75624999999999998</v>
      </c>
      <c r="H11" s="177">
        <v>7310</v>
      </c>
      <c r="I11" s="177">
        <v>7976</v>
      </c>
      <c r="J11" s="177">
        <v>7021</v>
      </c>
      <c r="K11" s="177">
        <v>8436</v>
      </c>
      <c r="L11" s="177">
        <v>6977</v>
      </c>
      <c r="M11" s="177">
        <v>6854</v>
      </c>
      <c r="N11" s="177">
        <v>7467</v>
      </c>
      <c r="O11" s="177">
        <v>9348</v>
      </c>
      <c r="P11" s="177">
        <v>6718</v>
      </c>
      <c r="Q11" s="177">
        <v>7320</v>
      </c>
      <c r="R11" s="177">
        <v>6489</v>
      </c>
      <c r="S11" s="177">
        <v>6969</v>
      </c>
      <c r="T11" s="177">
        <v>4631</v>
      </c>
      <c r="U11" s="177">
        <v>6580</v>
      </c>
      <c r="V11" s="177">
        <v>8061</v>
      </c>
      <c r="W11" s="177">
        <v>8884</v>
      </c>
      <c r="X11" s="177">
        <v>6855</v>
      </c>
      <c r="Y11" s="177">
        <v>5890</v>
      </c>
      <c r="Z11" s="177">
        <v>6726</v>
      </c>
      <c r="AA11" s="177">
        <v>7939</v>
      </c>
      <c r="AB11" s="177">
        <v>7445</v>
      </c>
      <c r="AC11" s="177">
        <v>6305</v>
      </c>
      <c r="AD11" s="177">
        <v>8342</v>
      </c>
      <c r="AE11" s="169">
        <v>4.1967985611510761</v>
      </c>
      <c r="AF11" s="169">
        <v>4.6114921875000014</v>
      </c>
      <c r="AG11" s="169">
        <v>4.0648129496402881</v>
      </c>
      <c r="AH11" s="169">
        <v>4.5203671874999971</v>
      </c>
      <c r="AI11" s="169">
        <v>4.3289374999999994</v>
      </c>
      <c r="AJ11" s="169">
        <v>4.2198828124999981</v>
      </c>
      <c r="AK11" s="169">
        <v>4.4263464566929125</v>
      </c>
      <c r="AL11" s="169">
        <v>4.4158417266187069</v>
      </c>
      <c r="AM11" s="169">
        <v>4.3345781250000019</v>
      </c>
      <c r="AN11" s="169">
        <v>4.168235294117645</v>
      </c>
      <c r="AO11" s="169">
        <v>4.1355755395683449</v>
      </c>
      <c r="AP11" s="169">
        <v>4.2189208633093518</v>
      </c>
      <c r="AQ11" s="169">
        <v>4.0887313432835812</v>
      </c>
      <c r="AR11" s="169">
        <v>4.0068129496402864</v>
      </c>
      <c r="AS11" s="169">
        <v>4.4758992805755398</v>
      </c>
      <c r="AT11" s="169">
        <v>4.7460703124999979</v>
      </c>
      <c r="AU11" s="169">
        <v>4.5338188976377936</v>
      </c>
      <c r="AV11" s="169">
        <v>4.1918828124999994</v>
      </c>
      <c r="AW11" s="169">
        <v>4.1876985294117635</v>
      </c>
      <c r="AX11" s="169">
        <v>4.3049280575539557</v>
      </c>
      <c r="AY11" s="169">
        <v>4.7304098360655713</v>
      </c>
      <c r="AZ11" s="169">
        <v>4.458898437500002</v>
      </c>
      <c r="BA11" s="169">
        <v>4.7728661417322842</v>
      </c>
      <c r="BB11" s="178">
        <f t="shared" si="58"/>
        <v>69046</v>
      </c>
      <c r="BC11" s="179">
        <f t="shared" si="59"/>
        <v>15739</v>
      </c>
      <c r="BD11" s="180">
        <f t="shared" si="60"/>
        <v>59053</v>
      </c>
      <c r="BE11" s="179">
        <f t="shared" si="61"/>
        <v>5890</v>
      </c>
      <c r="BF11" s="179">
        <f t="shared" si="62"/>
        <v>16815</v>
      </c>
      <c r="BG11" s="179">
        <f>SUM(RD[[#This Row],[KUD01]:[KUD23]])</f>
        <v>166543</v>
      </c>
      <c r="BH11" s="181">
        <f t="shared" si="63"/>
        <v>4.1848413368251833</v>
      </c>
      <c r="BI11" s="182">
        <f t="shared" si="64"/>
        <v>4.6399446050688962</v>
      </c>
      <c r="BJ11" s="182">
        <f t="shared" si="65"/>
        <v>4.4819620411109478</v>
      </c>
      <c r="BK11" s="183">
        <f t="shared" si="66"/>
        <v>4.1918828124999994</v>
      </c>
      <c r="BL11" s="61">
        <f>IFERROR(AVERAGEIF(RD[[#This Row],[WS_KUD07]:[WS_KUD08]],"&lt;&gt;0",RD[[#This Row],[WS_KUD07]:[WS_KUD08]]),"")</f>
        <v>4.4210940916558101</v>
      </c>
      <c r="BM11" s="184">
        <f>IFERROR(AVERAGE(RD[[#This Row],[WS_KUD01]:[WS_KUD23]]),"")</f>
        <v>4.3539046000869153</v>
      </c>
      <c r="BN11" s="185">
        <f>IFERROR(MAX(RD[[#This Row],[WS_KUD01]:[WS_KUD23]]),"")</f>
        <v>4.7728661417322842</v>
      </c>
      <c r="BO11" s="73">
        <v>640.30499999999995</v>
      </c>
      <c r="BP11" s="73">
        <v>875.14499999999998</v>
      </c>
      <c r="BQ11" s="73">
        <v>36.152999999999999</v>
      </c>
      <c r="BR11" s="73">
        <v>208.184</v>
      </c>
      <c r="BS11" s="73">
        <v>155.85300000000001</v>
      </c>
      <c r="BT11" s="73">
        <v>266.10899999999998</v>
      </c>
      <c r="BU11" s="73"/>
      <c r="BV11" s="73">
        <v>56.697000000000003</v>
      </c>
      <c r="BW11" s="73">
        <v>176045</v>
      </c>
      <c r="BX11" s="73">
        <v>240113</v>
      </c>
      <c r="BY11" s="73">
        <v>105.642</v>
      </c>
      <c r="BZ11" s="73">
        <v>59.533999999999999</v>
      </c>
      <c r="CA11" s="73">
        <v>258.05799999999999</v>
      </c>
      <c r="CB11" s="73">
        <v>83.114999999999995</v>
      </c>
      <c r="CC11" s="73">
        <v>0.104</v>
      </c>
      <c r="CD11" s="73">
        <v>282.71899999999999</v>
      </c>
      <c r="CE11" s="73">
        <v>0</v>
      </c>
      <c r="CF11" s="64" t="str">
        <f>IF((RD[[#This Row],[33 kV_Wind_F1_Export reading]]-BO10)*165000&lt;=0,"",(RD[[#This Row],[33 kV_Wind_F1_Export reading]]-BO10)*165000)</f>
        <v/>
      </c>
      <c r="CG11" s="64">
        <f>IF((RD[[#This Row],[33 kV_Wind_F2_Export_reading]]-BP10)*165000&lt;=0,"",(RD[[#This Row],[33 kV_Wind_F2_Export_reading]]-BP10)*165000)</f>
        <v>86789.999999992346</v>
      </c>
      <c r="CH11" s="64">
        <f>IF((RD[[#This Row],[33 kV_Wind_F3_Export_Reading]]-BQ10)*225000&lt;=0,"",(RD[[#This Row],[33 kV_Wind_F3_Export_Reading]]-BQ10)*225000)</f>
        <v>250649.99999999936</v>
      </c>
      <c r="CI11" s="64">
        <f>IF((RD[[#This Row],[33 kV_Wind_F4_Export Reading]]-BR10)*165000&lt;=0,"",(RD[[#This Row],[33 kV_Wind_F4_Export Reading]]-BR10)*165000)</f>
        <v>77549.999999999811</v>
      </c>
      <c r="CJ11" s="74">
        <f>IF((RD[[#This Row],[33 kV_Solar_F1_Export Reading]]-BS10)*225000&lt;=0,"",(RD[[#This Row],[33 kV_Solar_F1_Export Reading]]-BS10)*225000)</f>
        <v>201825.00000000445</v>
      </c>
      <c r="CK11" s="74">
        <f>IF((RD[[#This Row],[33kV_Solar_F2_Export Reading]]-BT10)*225000&lt;=0,"",(RD[[#This Row],[33kV_Solar_F2_Export Reading]]-BT10)*225000)</f>
        <v>201374.9999999959</v>
      </c>
      <c r="CL11" s="186" t="str">
        <f>IF((RD[[#This Row],[33 kV_Solar_F3_Export reading]]-BU10)*225000&lt;=0,"",(RD[[#This Row],[33 kV_Solar_F3_Export reading]]-BU10)*225000)</f>
        <v/>
      </c>
      <c r="CM11" s="63">
        <f>IF((RD[[#This Row],[32kV_Solar_F4_Export reading]]-BV10)*225000&lt;=0,"",(RD[[#This Row],[32kV_Solar_F4_Export reading]]-BV10)*225000)</f>
        <v>188325.00000000073</v>
      </c>
      <c r="CN11" s="64">
        <f>IF((RD[[#This Row],[33kV_OG1_Export reading]]-BW10)*1000&lt;=0,0,(RD[[#This Row],[33kV_OG1_Export reading]]-BW10)*1000)</f>
        <v>591000</v>
      </c>
      <c r="CO11" s="64">
        <f>IFERROR(IF((RD[[#This Row],[33kV_OG2_Export reading]]-BX10)*1000&lt;=0,0,(RD[[#This Row],[33kV_OG2_Export reading]]-BX10)*1000),0)</f>
        <v>415000</v>
      </c>
      <c r="CP11" s="74">
        <f>IF((RD[[#This Row],[220kV_TX1_Export reading]]-BY10)*800000&lt;=0,0,(RD[[#This Row],[220kV_TX1_Export reading]]-BY10)*800000)</f>
        <v>585599.99999999942</v>
      </c>
      <c r="CQ11" s="186">
        <f>IF((RD[[#This Row],[220kV_Tx2_Export reading]]-BZ10)*800000&lt;=0,0,(RD[[#This Row],[220kV_Tx2_Export reading]]-BZ10)*800000)</f>
        <v>407999.99999999843</v>
      </c>
      <c r="CR11" s="64">
        <f>IF((RD[[#This Row],[220kV_TL_TVM Export Reading]]-CA10)*1600000&lt;=0,0,(RD[[#This Row],[220kV_TL_TVM Export Reading]]-CA10)*1600000)</f>
        <v>998399.99999994691</v>
      </c>
      <c r="CS11" s="64">
        <f>IF((RD[[#This Row],[220kV_C&amp;R_PQM reading]]-CB10)*1600000&lt;=0,"",(RD[[#This Row],[220kV_C&amp;R_PQM reading]]-CB10)*1600000)</f>
        <v>998399.99999999232</v>
      </c>
      <c r="CT11" s="186">
        <f>IFERROR(IF((RD[[#This Row],[220KV_C&amp;R_PQM Import Reading]]-CC10)*1600000&lt;=0,0,(RD[[#This Row],[220KV_C&amp;R_PQM Import Reading]]-CC10)*1600000),"")</f>
        <v>0</v>
      </c>
      <c r="CU11" s="64">
        <f>IF((RD[[#This Row],[33kV_Aux1 Import Reading]]-CD10)*1000&lt;=0,"",(RD[[#This Row],[33kV_Aux1 Import Reading]]-CD10)*1000)</f>
        <v>389.99999999998636</v>
      </c>
      <c r="CV11" s="64" t="str">
        <f>IF((RD[[#This Row],[33kV_Aux2_Import reading]]-CE10)*1000&lt;=0,"",(RD[[#This Row],[33kV_Aux2_Import reading]]-CE10)*1000)</f>
        <v/>
      </c>
      <c r="CW11" s="64">
        <f>IFERROR(RD[[#This Row],[33kV_OG1_Energy (MWh)]]+RD[[#This Row],[33kV_OG2_Energy (MWh)]],"")</f>
        <v>1006000</v>
      </c>
      <c r="CX11" s="72">
        <f>IFERROR(RD[[#This Row],[220kV_TL_TVM Energy (MWh)]]-RD[[#This Row],[220KV_C&amp;R_PQM Import (MWh)]],"")</f>
        <v>998399.99999994691</v>
      </c>
      <c r="CY11" s="187">
        <f>IFERROR(RD[[#This Row],[33 kV Total Export (MWH)]]/RD[[#This Row],[220 KV Net Export (MWh)]]-1,"")</f>
        <v>7.6121794872330284E-3</v>
      </c>
      <c r="CZ11" s="188">
        <f t="shared" si="67"/>
        <v>50.6</v>
      </c>
      <c r="DA11" s="189">
        <v>97</v>
      </c>
      <c r="DB11" s="190"/>
      <c r="DC11" s="68">
        <f>IFERROR((RD[[#This Row],[Sunset Time (POA&lt;20 W/m2)]]-RD[[#This Row],[Sunrise Time (POA&gt;20 W/m2)]])*24,0)</f>
        <v>11.466666666666665</v>
      </c>
      <c r="DD11" s="70">
        <f>SUM(RD[[#This Row],[33 kV_Wind_F3_Export_Reading3]],CJ11,CK11,CL11,CM11)</f>
        <v>842175.00000000047</v>
      </c>
      <c r="DE11" s="68">
        <v>140</v>
      </c>
      <c r="DF11" s="70">
        <f t="shared" si="68"/>
        <v>164339.99999999214</v>
      </c>
      <c r="DG11" s="70">
        <v>168.01</v>
      </c>
      <c r="DH11">
        <f>'WTG Reactive Power'!AB9</f>
        <v>1754.9</v>
      </c>
    </row>
    <row r="12" spans="1:113">
      <c r="A12" s="173">
        <f>YEAR(RD[[#This Row],[Date]])+IF(MONTH(RD[[#This Row],[Date]])&gt;=4,1,0)</f>
        <v>2026</v>
      </c>
      <c r="B12" s="173">
        <f>YEAR(RD[[#This Row],[Date]])</f>
        <v>2025</v>
      </c>
      <c r="C12" s="174">
        <f t="shared" si="57"/>
        <v>45748</v>
      </c>
      <c r="D12" s="173">
        <f>DAY(EOMONTH(RD[[#This Row],[Date]],0))</f>
        <v>30</v>
      </c>
      <c r="E12" s="175">
        <f t="shared" si="69"/>
        <v>45752</v>
      </c>
      <c r="F12" s="271">
        <v>0.27083333333333331</v>
      </c>
      <c r="G12" s="203">
        <v>0.75763888888888886</v>
      </c>
      <c r="H12" s="177">
        <v>8229</v>
      </c>
      <c r="I12" s="177">
        <v>7721</v>
      </c>
      <c r="J12" s="177">
        <v>7773</v>
      </c>
      <c r="K12" s="177">
        <v>7234</v>
      </c>
      <c r="L12" s="177">
        <v>7801</v>
      </c>
      <c r="M12" s="177">
        <v>7678</v>
      </c>
      <c r="N12" s="177">
        <v>7472</v>
      </c>
      <c r="O12" s="177">
        <v>8755</v>
      </c>
      <c r="P12" s="177">
        <v>8556</v>
      </c>
      <c r="Q12" s="177">
        <v>7947</v>
      </c>
      <c r="R12" s="177">
        <v>7535</v>
      </c>
      <c r="S12" s="177">
        <v>7731</v>
      </c>
      <c r="T12" s="177">
        <v>5913</v>
      </c>
      <c r="U12" s="177">
        <v>7268</v>
      </c>
      <c r="V12" s="177">
        <v>7655</v>
      </c>
      <c r="W12" s="177">
        <v>7586</v>
      </c>
      <c r="X12" s="177">
        <v>8798</v>
      </c>
      <c r="Y12" s="177">
        <v>7531</v>
      </c>
      <c r="Z12" s="177">
        <v>8206</v>
      </c>
      <c r="AA12" s="177">
        <v>8412</v>
      </c>
      <c r="AB12" s="177">
        <v>9174</v>
      </c>
      <c r="AC12" s="177">
        <v>7589</v>
      </c>
      <c r="AD12" s="177">
        <v>9435</v>
      </c>
      <c r="AE12" s="169">
        <v>4.7235034482758618</v>
      </c>
      <c r="AF12" s="169">
        <v>4.5983379310344814</v>
      </c>
      <c r="AG12" s="169">
        <v>4.7209931034482722</v>
      </c>
      <c r="AH12" s="169">
        <v>4.5653172413793106</v>
      </c>
      <c r="AI12" s="169">
        <v>4.6547172413793101</v>
      </c>
      <c r="AJ12" s="169">
        <v>4.589999999999999</v>
      </c>
      <c r="AK12" s="169">
        <v>4.5000137931034487</v>
      </c>
      <c r="AL12" s="169">
        <v>4.7825862068965543</v>
      </c>
      <c r="AM12" s="169">
        <v>4.9533517241379306</v>
      </c>
      <c r="AN12" s="169">
        <v>4.581558620689651</v>
      </c>
      <c r="AO12" s="169">
        <v>4.7044137931034458</v>
      </c>
      <c r="AP12" s="169">
        <v>4.6126620689655171</v>
      </c>
      <c r="AQ12" s="169">
        <v>4.7153455882352935</v>
      </c>
      <c r="AR12" s="169">
        <v>4.5259310344827597</v>
      </c>
      <c r="AS12" s="169">
        <v>4.6589931034482754</v>
      </c>
      <c r="AT12" s="169">
        <v>4.6425763888888882</v>
      </c>
      <c r="AU12" s="169">
        <v>4.8123241379310366</v>
      </c>
      <c r="AV12" s="169">
        <v>4.5877655172413769</v>
      </c>
      <c r="AW12" s="169">
        <v>4.766413793103446</v>
      </c>
      <c r="AX12" s="169">
        <v>4.8587931034482716</v>
      </c>
      <c r="AY12" s="169">
        <v>4.9453448275862062</v>
      </c>
      <c r="AZ12" s="169">
        <v>4.8835724137931029</v>
      </c>
      <c r="BA12" s="169">
        <v>4.9108551724137905</v>
      </c>
      <c r="BB12" s="178">
        <f t="shared" si="58"/>
        <v>76669</v>
      </c>
      <c r="BC12" s="179">
        <f t="shared" si="59"/>
        <v>16384</v>
      </c>
      <c r="BD12" s="180">
        <f t="shared" si="60"/>
        <v>65188</v>
      </c>
      <c r="BE12" s="179">
        <f t="shared" si="61"/>
        <v>7531</v>
      </c>
      <c r="BF12" s="179">
        <f t="shared" si="62"/>
        <v>16227</v>
      </c>
      <c r="BG12" s="179">
        <f>SUM(RD[[#This Row],[KUD01]:[KUD23]])</f>
        <v>181999</v>
      </c>
      <c r="BH12" s="181">
        <f t="shared" si="63"/>
        <v>4.6868607657200787</v>
      </c>
      <c r="BI12" s="182">
        <f t="shared" si="64"/>
        <v>4.7274502634099624</v>
      </c>
      <c r="BJ12" s="182">
        <f t="shared" si="65"/>
        <v>4.7384096551724131</v>
      </c>
      <c r="BK12" s="183">
        <f t="shared" si="66"/>
        <v>4.5877655172413769</v>
      </c>
      <c r="BL12" s="61">
        <f>IFERROR(AVERAGEIF(RD[[#This Row],[WS_KUD07]:[WS_KUD08]],"&lt;&gt;0",RD[[#This Row],[WS_KUD07]:[WS_KUD08]]),"")</f>
        <v>4.6413000000000011</v>
      </c>
      <c r="BM12" s="184">
        <f>IFERROR(AVERAGE(RD[[#This Row],[WS_KUD01]:[WS_KUD23]]),"")</f>
        <v>4.7084943588254893</v>
      </c>
      <c r="BN12" s="185">
        <f>IFERROR(MAX(RD[[#This Row],[WS_KUD01]:[WS_KUD23]]),"")</f>
        <v>4.9533517241379306</v>
      </c>
      <c r="BO12" s="172">
        <v>640.30499999999995</v>
      </c>
      <c r="BP12" s="272">
        <v>875.71199999999999</v>
      </c>
      <c r="BQ12" s="272">
        <v>37.164000000000001</v>
      </c>
      <c r="BR12" s="272">
        <v>208.68899999999999</v>
      </c>
      <c r="BS12" s="272">
        <v>156.661</v>
      </c>
      <c r="BT12" s="272">
        <v>266.91199999999998</v>
      </c>
      <c r="BU12" s="275"/>
      <c r="BV12" s="272">
        <v>57.462000000000003</v>
      </c>
      <c r="BW12" s="272">
        <v>176580</v>
      </c>
      <c r="BX12" s="272">
        <v>240516</v>
      </c>
      <c r="BY12" s="272">
        <v>106.304</v>
      </c>
      <c r="BZ12" s="272">
        <v>60.03</v>
      </c>
      <c r="CA12" s="272">
        <v>258.63900000000001</v>
      </c>
      <c r="CB12" s="272">
        <v>83.698999999999998</v>
      </c>
      <c r="CC12" s="272">
        <v>0.104</v>
      </c>
      <c r="CD12" s="272">
        <v>283.10899999999998</v>
      </c>
      <c r="CE12" s="172">
        <v>0</v>
      </c>
      <c r="CF12" s="64" t="str">
        <f>IF((RD[[#This Row],[33 kV_Wind_F1_Export reading]]-BO11)*165000&lt;=0,"",(RD[[#This Row],[33 kV_Wind_F1_Export reading]]-BO11)*165000)</f>
        <v/>
      </c>
      <c r="CG12" s="64">
        <f>IF((RD[[#This Row],[33 kV_Wind_F2_Export_reading]]-BP11)*165000&lt;=0,"",(RD[[#This Row],[33 kV_Wind_F2_Export_reading]]-BP11)*165000)</f>
        <v>93555.000000001193</v>
      </c>
      <c r="CH12" s="64">
        <f>IF((RD[[#This Row],[33 kV_Wind_F3_Export_Reading]]-BQ11)*225000&lt;=0,"",(RD[[#This Row],[33 kV_Wind_F3_Export_Reading]]-BQ11)*225000)</f>
        <v>227475.00000000064</v>
      </c>
      <c r="CI12" s="64">
        <f>IF((RD[[#This Row],[33 kV_Wind_F4_Export Reading]]-BR11)*165000&lt;=0,"",(RD[[#This Row],[33 kV_Wind_F4_Export Reading]]-BR11)*165000)</f>
        <v>83324.999999999243</v>
      </c>
      <c r="CJ12" s="74">
        <f>IF((RD[[#This Row],[33 kV_Solar_F1_Export Reading]]-BS11)*225000&lt;=0,"",(RD[[#This Row],[33 kV_Solar_F1_Export Reading]]-BS11)*225000)</f>
        <v>181799.99999999837</v>
      </c>
      <c r="CK12" s="74">
        <f>IF((RD[[#This Row],[33kV_Solar_F2_Export Reading]]-BT11)*225000&lt;=0,"",(RD[[#This Row],[33kV_Solar_F2_Export Reading]]-BT11)*225000)</f>
        <v>180674.99999999939</v>
      </c>
      <c r="CL12" s="186" t="str">
        <f>IF((RD[[#This Row],[33 kV_Solar_F3_Export reading]]-BU11)*225000&lt;=0,"",(RD[[#This Row],[33 kV_Solar_F3_Export reading]]-BU11)*225000)</f>
        <v/>
      </c>
      <c r="CM12" s="63">
        <f>IF((RD[[#This Row],[32kV_Solar_F4_Export reading]]-BV11)*225000&lt;=0,"",(RD[[#This Row],[32kV_Solar_F4_Export reading]]-BV11)*225000)</f>
        <v>172125.00000000012</v>
      </c>
      <c r="CN12" s="64">
        <f>IF((RD[[#This Row],[33kV_OG1_Export reading]]-BW11)*1000&lt;=0,0,(RD[[#This Row],[33kV_OG1_Export reading]]-BW11)*1000)</f>
        <v>535000</v>
      </c>
      <c r="CO12" s="64">
        <f>IFERROR(IF((RD[[#This Row],[33kV_OG2_Export reading]]-BX11)*1000&lt;=0,0,(RD[[#This Row],[33kV_OG2_Export reading]]-BX11)*1000),0)</f>
        <v>403000</v>
      </c>
      <c r="CP12" s="74">
        <f>IF((RD[[#This Row],[220kV_TX1_Export reading]]-BY11)*800000&lt;=0,0,(RD[[#This Row],[220kV_TX1_Export reading]]-BY11)*800000)</f>
        <v>529600.00000000489</v>
      </c>
      <c r="CQ12" s="186">
        <f>IF((RD[[#This Row],[220kV_Tx2_Export reading]]-BZ11)*800000&lt;=0,0,(RD[[#This Row],[220kV_Tx2_Export reading]]-BZ11)*800000)</f>
        <v>396800.00000000175</v>
      </c>
      <c r="CR12" s="64">
        <f>IF((RD[[#This Row],[220kV_TL_TVM Export Reading]]-CA11)*1600000&lt;=0,0,(RD[[#This Row],[220kV_TL_TVM Export Reading]]-CA11)*1600000)</f>
        <v>929600.00000002771</v>
      </c>
      <c r="CS12" s="64">
        <f>IF((RD[[#This Row],[220kV_C&amp;R_PQM reading]]-CB11)*1600000&lt;=0,"",(RD[[#This Row],[220kV_C&amp;R_PQM reading]]-CB11)*1600000)</f>
        <v>934400.00000000512</v>
      </c>
      <c r="CT12" s="186">
        <f>IFERROR(IF((RD[[#This Row],[220KV_C&amp;R_PQM Import Reading]]-CC11)*1600000&lt;=0,0,(RD[[#This Row],[220KV_C&amp;R_PQM Import Reading]]-CC11)*1600000),"")</f>
        <v>0</v>
      </c>
      <c r="CU12" s="64">
        <f>IF((RD[[#This Row],[33kV_Aux1 Import Reading]]-CD11)*1000&lt;=0,"",(RD[[#This Row],[33kV_Aux1 Import Reading]]-CD11)*1000)</f>
        <v>389.99999999998636</v>
      </c>
      <c r="CV12" s="64" t="str">
        <f>IF((RD[[#This Row],[33kV_Aux2_Import reading]]-CE11)*1000&lt;=0,"",(RD[[#This Row],[33kV_Aux2_Import reading]]-CE11)*1000)</f>
        <v/>
      </c>
      <c r="CW12" s="64">
        <f>IFERROR(RD[[#This Row],[33kV_OG1_Energy (MWh)]]+RD[[#This Row],[33kV_OG2_Energy (MWh)]],"")</f>
        <v>938000</v>
      </c>
      <c r="CX12" s="72">
        <f>IFERROR(RD[[#This Row],[220kV_TL_TVM Energy (MWh)]]-RD[[#This Row],[220KV_C&amp;R_PQM Import (MWh)]],"")</f>
        <v>929600.00000002771</v>
      </c>
      <c r="CY12" s="187">
        <f>IFERROR(RD[[#This Row],[33 kV Total Export (MWH)]]/RD[[#This Row],[220 KV Net Export (MWh)]]-1,"")</f>
        <v>9.0361445782831673E-3</v>
      </c>
      <c r="CZ12" s="188">
        <f t="shared" si="67"/>
        <v>50.6</v>
      </c>
      <c r="DA12" s="189">
        <v>97</v>
      </c>
      <c r="DB12" s="190"/>
      <c r="DC12" s="68">
        <f>IFERROR((RD[[#This Row],[Sunset Time (POA&lt;20 W/m2)]]-RD[[#This Row],[Sunrise Time (POA&gt;20 W/m2)]])*24,0)</f>
        <v>11.683333333333334</v>
      </c>
      <c r="DD12" s="70">
        <f>SUM(RD[[#This Row],[33 kV_Wind_F3_Export_Reading3]],CJ12,CK12,CL12,CM12)</f>
        <v>762074.99999999849</v>
      </c>
      <c r="DE12" s="68">
        <v>140</v>
      </c>
      <c r="DF12" s="70">
        <f t="shared" si="68"/>
        <v>176880.00000000044</v>
      </c>
      <c r="DG12" s="70">
        <v>182.18</v>
      </c>
      <c r="DH12">
        <f>'WTG Reactive Power'!AB10</f>
        <v>769.09999999999991</v>
      </c>
    </row>
    <row r="13" spans="1:113">
      <c r="A13" s="173">
        <f>YEAR(RD[[#This Row],[Date]])+IF(MONTH(RD[[#This Row],[Date]])&gt;=4,1,0)</f>
        <v>2026</v>
      </c>
      <c r="B13" s="173">
        <f>YEAR(RD[[#This Row],[Date]])</f>
        <v>2025</v>
      </c>
      <c r="C13" s="174">
        <f t="shared" si="57"/>
        <v>45748</v>
      </c>
      <c r="D13" s="173">
        <f>DAY(EOMONTH(RD[[#This Row],[Date]],0))</f>
        <v>30</v>
      </c>
      <c r="E13" s="175">
        <f t="shared" si="69"/>
        <v>45753</v>
      </c>
      <c r="F13" s="204">
        <v>0.27361111111111114</v>
      </c>
      <c r="G13" s="204">
        <v>0.75347222222222221</v>
      </c>
      <c r="H13" s="177">
        <v>7137</v>
      </c>
      <c r="I13" s="177">
        <v>6339</v>
      </c>
      <c r="J13" s="177">
        <v>7704</v>
      </c>
      <c r="K13" s="177">
        <v>6263</v>
      </c>
      <c r="L13" s="177">
        <v>6183</v>
      </c>
      <c r="M13" s="177">
        <v>8074</v>
      </c>
      <c r="N13" s="177">
        <v>7553</v>
      </c>
      <c r="O13" s="177">
        <v>8193</v>
      </c>
      <c r="P13" s="177">
        <v>7074</v>
      </c>
      <c r="Q13" s="177">
        <v>6034</v>
      </c>
      <c r="R13" s="177">
        <v>6955</v>
      </c>
      <c r="S13" s="177">
        <v>7384</v>
      </c>
      <c r="T13" s="177">
        <v>7143</v>
      </c>
      <c r="U13" s="177">
        <v>6403</v>
      </c>
      <c r="V13" s="177">
        <v>7757</v>
      </c>
      <c r="W13" s="177">
        <v>6640</v>
      </c>
      <c r="X13" s="177">
        <v>7292</v>
      </c>
      <c r="Y13" s="177">
        <v>5855</v>
      </c>
      <c r="Z13" s="177">
        <v>6050</v>
      </c>
      <c r="AA13" s="177">
        <v>7001</v>
      </c>
      <c r="AB13" s="177">
        <v>6346</v>
      </c>
      <c r="AC13" s="177">
        <v>6247</v>
      </c>
      <c r="AD13" s="177">
        <v>6675</v>
      </c>
      <c r="AE13" s="169">
        <v>4.4692896551724113</v>
      </c>
      <c r="AF13" s="169">
        <v>4.3561586206896568</v>
      </c>
      <c r="AG13" s="169">
        <v>4.5748344827586207</v>
      </c>
      <c r="AH13" s="169">
        <v>4.3978344827586193</v>
      </c>
      <c r="AI13" s="169">
        <v>4.263579310344829</v>
      </c>
      <c r="AJ13" s="169">
        <v>4.5835655172413805</v>
      </c>
      <c r="AK13" s="169">
        <v>4.5217310344827579</v>
      </c>
      <c r="AL13" s="169">
        <v>4.6128413793103435</v>
      </c>
      <c r="AM13" s="169">
        <v>4.5669862068965532</v>
      </c>
      <c r="AN13" s="169">
        <v>4.1850965517241399</v>
      </c>
      <c r="AO13" s="169">
        <v>4.5401310344827559</v>
      </c>
      <c r="AP13" s="169">
        <v>4.5883034482758607</v>
      </c>
      <c r="AQ13" s="169">
        <v>4.4748137931034488</v>
      </c>
      <c r="AR13" s="169">
        <v>4.3056482758620689</v>
      </c>
      <c r="AS13" s="169">
        <v>4.7008965517241377</v>
      </c>
      <c r="AT13" s="169">
        <v>4.4056551724137911</v>
      </c>
      <c r="AU13" s="169">
        <v>4.5830758620689691</v>
      </c>
      <c r="AV13" s="169">
        <v>4.2106896551724118</v>
      </c>
      <c r="AW13" s="169">
        <v>4.3156620689655165</v>
      </c>
      <c r="AX13" s="169">
        <v>4.5698551724137912</v>
      </c>
      <c r="AY13" s="169">
        <v>4.5383862068965515</v>
      </c>
      <c r="AZ13" s="169">
        <v>4.4427379310344808</v>
      </c>
      <c r="BA13" s="169">
        <v>4.4429448275862091</v>
      </c>
      <c r="BB13" s="178">
        <f t="shared" si="58"/>
        <v>69568</v>
      </c>
      <c r="BC13" s="179">
        <f t="shared" si="59"/>
        <v>13932</v>
      </c>
      <c r="BD13" s="180">
        <f t="shared" si="60"/>
        <v>53201</v>
      </c>
      <c r="BE13" s="179">
        <f t="shared" si="61"/>
        <v>5855</v>
      </c>
      <c r="BF13" s="179">
        <f t="shared" si="62"/>
        <v>15746</v>
      </c>
      <c r="BG13" s="179">
        <f>SUM(RD[[#This Row],[KUD01]:[KUD23]])</f>
        <v>158302</v>
      </c>
      <c r="BH13" s="181">
        <f t="shared" si="63"/>
        <v>4.4724531034482746</v>
      </c>
      <c r="BI13" s="182">
        <f t="shared" si="64"/>
        <v>4.4943655172413806</v>
      </c>
      <c r="BJ13" s="182">
        <f t="shared" si="65"/>
        <v>4.4726765517241382</v>
      </c>
      <c r="BK13" s="183">
        <f t="shared" si="66"/>
        <v>4.2106896551724118</v>
      </c>
      <c r="BL13" s="61">
        <f>IFERROR(AVERAGEIF(RD[[#This Row],[WS_KUD07]:[WS_KUD08]],"&lt;&gt;0",RD[[#This Row],[WS_KUD07]:[WS_KUD08]]),"")</f>
        <v>4.5672862068965507</v>
      </c>
      <c r="BM13" s="184">
        <f>IFERROR(AVERAGE(RD[[#This Row],[WS_KUD01]:[WS_KUD23]]),"")</f>
        <v>4.4630746626686655</v>
      </c>
      <c r="BN13" s="185">
        <f>IFERROR(MAX(RD[[#This Row],[WS_KUD01]:[WS_KUD23]]),"")</f>
        <v>4.7008965517241377</v>
      </c>
      <c r="BO13" s="172">
        <v>640.30499999999995</v>
      </c>
      <c r="BP13" s="172">
        <v>876.197</v>
      </c>
      <c r="BQ13" s="172">
        <v>38.198999999999998</v>
      </c>
      <c r="BR13" s="172">
        <v>209.15700000000001</v>
      </c>
      <c r="BS13" s="172">
        <v>157.49799999999999</v>
      </c>
      <c r="BT13" s="172">
        <v>267.75799999999998</v>
      </c>
      <c r="BU13" s="172"/>
      <c r="BV13" s="172">
        <v>58.25</v>
      </c>
      <c r="BW13" s="172">
        <v>177136</v>
      </c>
      <c r="BX13" s="172">
        <v>240907</v>
      </c>
      <c r="BY13" s="172">
        <v>106.992</v>
      </c>
      <c r="BZ13" s="172">
        <v>60.509</v>
      </c>
      <c r="CA13" s="172">
        <v>259.22500000000002</v>
      </c>
      <c r="CB13" s="172">
        <v>84.284999999999997</v>
      </c>
      <c r="CC13" s="172">
        <v>0.104</v>
      </c>
      <c r="CD13" s="172">
        <v>283.50900000000001</v>
      </c>
      <c r="CE13" s="172">
        <v>0</v>
      </c>
      <c r="CF13" s="64" t="str">
        <f>IF((RD[[#This Row],[33 kV_Wind_F1_Export reading]]-BO12)*165000&lt;=0,"",(RD[[#This Row],[33 kV_Wind_F1_Export reading]]-BO12)*165000)</f>
        <v/>
      </c>
      <c r="CG13" s="64">
        <f>IF((RD[[#This Row],[33 kV_Wind_F2_Export_reading]]-BP12)*165000&lt;=0,"",(RD[[#This Row],[33 kV_Wind_F2_Export_reading]]-BP12)*165000)</f>
        <v>80025.000000002256</v>
      </c>
      <c r="CH13" s="64">
        <f>IF((RD[[#This Row],[33 kV_Wind_F3_Export_Reading]]-BQ12)*225000&lt;=0,"",(RD[[#This Row],[33 kV_Wind_F3_Export_Reading]]-BQ12)*225000)</f>
        <v>232874.99999999924</v>
      </c>
      <c r="CI13" s="64">
        <f>IF((RD[[#This Row],[33 kV_Wind_F4_Export Reading]]-BR12)*165000&lt;=0,"",(RD[[#This Row],[33 kV_Wind_F4_Export Reading]]-BR12)*165000)</f>
        <v>77220.000000002925</v>
      </c>
      <c r="CJ13" s="74">
        <f>IF((RD[[#This Row],[33 kV_Solar_F1_Export Reading]]-BS12)*225000&lt;=0,"",(RD[[#This Row],[33 kV_Solar_F1_Export Reading]]-BS12)*225000)</f>
        <v>188324.99999999756</v>
      </c>
      <c r="CK13" s="74">
        <f>IF((RD[[#This Row],[33kV_Solar_F2_Export Reading]]-BT12)*225000&lt;=0,"",(RD[[#This Row],[33kV_Solar_F2_Export Reading]]-BT12)*225000)</f>
        <v>190350.00000000081</v>
      </c>
      <c r="CL13" s="186" t="str">
        <f>IF((RD[[#This Row],[33 kV_Solar_F3_Export reading]]-BU12)*225000&lt;=0,"",(RD[[#This Row],[33 kV_Solar_F3_Export reading]]-BU12)*225000)</f>
        <v/>
      </c>
      <c r="CM13" s="63">
        <f>IF((RD[[#This Row],[32kV_Solar_F4_Export reading]]-BV12)*225000&lt;=0,"",(RD[[#This Row],[32kV_Solar_F4_Export reading]]-BV12)*225000)</f>
        <v>177299.99999999927</v>
      </c>
      <c r="CN13" s="64">
        <f>IF((RD[[#This Row],[33kV_OG1_Export reading]]-BW12)*1000&lt;=0,0,(RD[[#This Row],[33kV_OG1_Export reading]]-BW12)*1000)</f>
        <v>556000</v>
      </c>
      <c r="CO13" s="64">
        <f>IFERROR(IF((RD[[#This Row],[33kV_OG2_Export reading]]-BX12)*1000&lt;=0,0,(RD[[#This Row],[33kV_OG2_Export reading]]-BX12)*1000),0)</f>
        <v>391000</v>
      </c>
      <c r="CP13" s="74">
        <f>IF((RD[[#This Row],[220kV_TX1_Export reading]]-BY12)*800000&lt;=0,0,(RD[[#This Row],[220kV_TX1_Export reading]]-BY12)*800000)</f>
        <v>550400.00000000186</v>
      </c>
      <c r="CQ13" s="186">
        <f>IF((RD[[#This Row],[220kV_Tx2_Export reading]]-BZ12)*800000&lt;=0,0,(RD[[#This Row],[220kV_Tx2_Export reading]]-BZ12)*800000)</f>
        <v>383199.99999999936</v>
      </c>
      <c r="CR13" s="64">
        <f>IF((RD[[#This Row],[220kV_TL_TVM Export Reading]]-CA12)*1600000&lt;=0,0,(RD[[#This Row],[220kV_TL_TVM Export Reading]]-CA12)*1600000)</f>
        <v>937600.00000002037</v>
      </c>
      <c r="CS13" s="64">
        <f>IF((RD[[#This Row],[220kV_C&amp;R_PQM reading]]-CB12)*1600000&lt;=0,"",(RD[[#This Row],[220kV_C&amp;R_PQM reading]]-CB12)*1600000)</f>
        <v>937599.99999999767</v>
      </c>
      <c r="CT13" s="186">
        <f>IFERROR(IF((RD[[#This Row],[220KV_C&amp;R_PQM Import Reading]]-CC12)*1600000&lt;=0,0,(RD[[#This Row],[220KV_C&amp;R_PQM Import Reading]]-CC12)*1600000),"")</f>
        <v>0</v>
      </c>
      <c r="CU13" s="64">
        <f>IF((RD[[#This Row],[33kV_Aux1 Import Reading]]-CD12)*1000&lt;=0,"",(RD[[#This Row],[33kV_Aux1 Import Reading]]-CD12)*1000)</f>
        <v>400.00000000003411</v>
      </c>
      <c r="CV13" s="64" t="str">
        <f>IF((RD[[#This Row],[33kV_Aux2_Import reading]]-CE12)*1000&lt;=0,"",(RD[[#This Row],[33kV_Aux2_Import reading]]-CE12)*1000)</f>
        <v/>
      </c>
      <c r="CW13" s="64">
        <f>IFERROR(RD[[#This Row],[33kV_OG1_Energy (MWh)]]+RD[[#This Row],[33kV_OG2_Energy (MWh)]],"")</f>
        <v>947000</v>
      </c>
      <c r="CX13" s="72">
        <f>IFERROR(RD[[#This Row],[220kV_TL_TVM Energy (MWh)]]-RD[[#This Row],[220KV_C&amp;R_PQM Import (MWh)]],"")</f>
        <v>937600.00000002037</v>
      </c>
      <c r="CY13" s="187">
        <f>IFERROR(RD[[#This Row],[33 kV Total Export (MWH)]]/RD[[#This Row],[220 KV Net Export (MWh)]]-1,"")</f>
        <v>1.0025597269602615E-2</v>
      </c>
      <c r="CZ13" s="188">
        <f t="shared" si="67"/>
        <v>50.6</v>
      </c>
      <c r="DA13" s="189">
        <v>97</v>
      </c>
      <c r="DB13" s="190"/>
      <c r="DC13" s="68">
        <f>IFERROR((RD[[#This Row],[Sunset Time (POA&lt;20 W/m2)]]-RD[[#This Row],[Sunrise Time (POA&gt;20 W/m2)]])*24,0)</f>
        <v>11.516666666666666</v>
      </c>
      <c r="DD13" s="70">
        <f>SUM(RD[[#This Row],[33 kV_Wind_F3_Export_Reading3]],CJ13,CK13,CL13,CM13)</f>
        <v>788849.99999999697</v>
      </c>
      <c r="DE13" s="68">
        <v>140</v>
      </c>
      <c r="DF13" s="70">
        <f t="shared" si="68"/>
        <v>157245.00000000518</v>
      </c>
      <c r="DG13" s="70">
        <v>159.01</v>
      </c>
      <c r="DH13">
        <f>'WTG Reactive Power'!AB11</f>
        <v>1078</v>
      </c>
    </row>
    <row r="14" spans="1:113">
      <c r="A14" s="173">
        <f>YEAR(RD[[#This Row],[Date]])+IF(MONTH(RD[[#This Row],[Date]])&gt;=4,1,0)</f>
        <v>2026</v>
      </c>
      <c r="B14" s="173">
        <f>YEAR(RD[[#This Row],[Date]])</f>
        <v>2025</v>
      </c>
      <c r="C14" s="174">
        <f t="shared" si="57"/>
        <v>45748</v>
      </c>
      <c r="D14" s="173">
        <f>DAY(EOMONTH(RD[[#This Row],[Date]],0))</f>
        <v>30</v>
      </c>
      <c r="E14" s="175">
        <f t="shared" si="69"/>
        <v>45754</v>
      </c>
      <c r="F14" s="271">
        <v>0.27291666666666664</v>
      </c>
      <c r="G14" s="203">
        <v>0.74097222222222225</v>
      </c>
      <c r="H14" s="177">
        <v>6994</v>
      </c>
      <c r="I14" s="177">
        <v>6994</v>
      </c>
      <c r="J14" s="177">
        <v>4730</v>
      </c>
      <c r="K14" s="177">
        <v>3557</v>
      </c>
      <c r="L14" s="177">
        <v>4459</v>
      </c>
      <c r="M14" s="177">
        <v>4904</v>
      </c>
      <c r="N14" s="177">
        <v>5075</v>
      </c>
      <c r="O14" s="177">
        <v>5763</v>
      </c>
      <c r="P14" s="177">
        <v>4743</v>
      </c>
      <c r="Q14" s="177">
        <v>5616</v>
      </c>
      <c r="R14" s="177">
        <v>4858</v>
      </c>
      <c r="S14" s="177">
        <v>4855</v>
      </c>
      <c r="T14" s="177">
        <v>5622</v>
      </c>
      <c r="U14" s="177">
        <v>3967</v>
      </c>
      <c r="V14" s="177">
        <v>6654</v>
      </c>
      <c r="W14" s="177">
        <v>6909</v>
      </c>
      <c r="X14" s="177">
        <v>7527</v>
      </c>
      <c r="Y14" s="177">
        <v>5801</v>
      </c>
      <c r="Z14" s="177">
        <v>6680</v>
      </c>
      <c r="AA14" s="177">
        <v>5231</v>
      </c>
      <c r="AB14" s="177">
        <v>7588</v>
      </c>
      <c r="AC14" s="177">
        <v>5983</v>
      </c>
      <c r="AD14" s="177">
        <v>7679</v>
      </c>
      <c r="AE14" s="71">
        <v>4.1289999999999996</v>
      </c>
      <c r="AF14" s="71">
        <v>4.1870000000000003</v>
      </c>
      <c r="AG14" s="71">
        <v>3.4980000000000002</v>
      </c>
      <c r="AH14" s="71">
        <v>3.411</v>
      </c>
      <c r="AI14" s="71">
        <v>3.6930000000000001</v>
      </c>
      <c r="AJ14" s="71">
        <v>3.5510000000000002</v>
      </c>
      <c r="AK14" s="71">
        <v>3.6</v>
      </c>
      <c r="AL14" s="71">
        <v>3.835</v>
      </c>
      <c r="AM14" s="71">
        <v>3.8780000000000001</v>
      </c>
      <c r="AN14" s="71">
        <v>3.78</v>
      </c>
      <c r="AO14" s="71">
        <v>3.7130000000000001</v>
      </c>
      <c r="AP14" s="71">
        <v>3.7050000000000001</v>
      </c>
      <c r="AQ14" s="71">
        <v>3.8239999999999998</v>
      </c>
      <c r="AR14" s="71">
        <v>3.456</v>
      </c>
      <c r="AS14" s="71">
        <v>4.2290000000000001</v>
      </c>
      <c r="AT14" s="71">
        <v>4.2519999999999998</v>
      </c>
      <c r="AU14" s="71">
        <v>4.3319999999999999</v>
      </c>
      <c r="AV14" s="71">
        <v>3.91</v>
      </c>
      <c r="AW14" s="71">
        <v>4.181</v>
      </c>
      <c r="AX14" s="71">
        <v>3.8149999999999999</v>
      </c>
      <c r="AY14" s="71">
        <v>4.5119999999999996</v>
      </c>
      <c r="AZ14" s="71">
        <v>4.2220000000000004</v>
      </c>
      <c r="BA14" s="71">
        <v>4.4470000000000001</v>
      </c>
      <c r="BB14" s="178">
        <f t="shared" si="58"/>
        <v>55207</v>
      </c>
      <c r="BC14" s="179">
        <f t="shared" si="59"/>
        <v>14436</v>
      </c>
      <c r="BD14" s="180">
        <f t="shared" si="60"/>
        <v>45907</v>
      </c>
      <c r="BE14" s="179">
        <f t="shared" si="61"/>
        <v>5801</v>
      </c>
      <c r="BF14" s="179">
        <f t="shared" si="62"/>
        <v>10838</v>
      </c>
      <c r="BG14" s="179">
        <f>SUM(RD[[#This Row],[KUD01]:[KUD23]])</f>
        <v>132189</v>
      </c>
      <c r="BH14" s="181">
        <f t="shared" si="63"/>
        <v>3.8329999999999997</v>
      </c>
      <c r="BI14" s="182">
        <f t="shared" si="64"/>
        <v>4.2919999999999998</v>
      </c>
      <c r="BJ14" s="182">
        <f t="shared" si="65"/>
        <v>3.9336000000000007</v>
      </c>
      <c r="BK14" s="183">
        <f t="shared" si="66"/>
        <v>3.91</v>
      </c>
      <c r="BL14" s="61">
        <f>IFERROR(AVERAGEIF(RD[[#This Row],[WS_KUD07]:[WS_KUD08]],"&lt;&gt;0",RD[[#This Row],[WS_KUD07]:[WS_KUD08]]),"")</f>
        <v>3.7175000000000002</v>
      </c>
      <c r="BM14" s="184">
        <f>IFERROR(AVERAGE(RD[[#This Row],[WS_KUD01]:[WS_KUD23]]),"")</f>
        <v>3.92</v>
      </c>
      <c r="BN14" s="185">
        <f>IFERROR(MAX(RD[[#This Row],[WS_KUD01]:[WS_KUD23]]),"")</f>
        <v>4.5119999999999996</v>
      </c>
      <c r="BO14" s="172">
        <v>640.30499999999995</v>
      </c>
      <c r="BP14" s="73">
        <v>876.63199999999995</v>
      </c>
      <c r="BQ14" s="73">
        <v>39.210999999999999</v>
      </c>
      <c r="BR14" s="73">
        <v>209.53299999999999</v>
      </c>
      <c r="BS14" s="73">
        <v>158.29900000000001</v>
      </c>
      <c r="BT14" s="73">
        <v>268.54599999999999</v>
      </c>
      <c r="BU14" s="73"/>
      <c r="BV14" s="73">
        <v>59.026000000000003</v>
      </c>
      <c r="BW14" s="73">
        <v>177669</v>
      </c>
      <c r="BX14" s="73">
        <v>241263</v>
      </c>
      <c r="BY14" s="73">
        <v>107.65</v>
      </c>
      <c r="BZ14" s="73">
        <v>60.95</v>
      </c>
      <c r="CA14" s="73">
        <v>259.77800000000002</v>
      </c>
      <c r="CB14" s="73">
        <v>84.837000000000003</v>
      </c>
      <c r="CC14" s="73">
        <v>0.105</v>
      </c>
      <c r="CD14" s="73">
        <v>283.92899999999997</v>
      </c>
      <c r="CE14" s="73">
        <v>0</v>
      </c>
      <c r="CF14" s="64" t="str">
        <f>IF((RD[[#This Row],[33 kV_Wind_F1_Export reading]]-BO13)*165000&lt;=0,"",(RD[[#This Row],[33 kV_Wind_F1_Export reading]]-BO13)*165000)</f>
        <v/>
      </c>
      <c r="CG14" s="64">
        <f>IF((RD[[#This Row],[33 kV_Wind_F2_Export_reading]]-BP13)*165000&lt;=0,"",(RD[[#This Row],[33 kV_Wind_F2_Export_reading]]-BP13)*165000)</f>
        <v>71774.999999990992</v>
      </c>
      <c r="CH14" s="64">
        <f>IF((RD[[#This Row],[33 kV_Wind_F3_Export_Reading]]-BQ13)*225000&lt;=0,"",(RD[[#This Row],[33 kV_Wind_F3_Export_Reading]]-BQ13)*225000)</f>
        <v>227700.00000000012</v>
      </c>
      <c r="CI14" s="64">
        <f>IF((RD[[#This Row],[33 kV_Wind_F4_Export Reading]]-BR13)*165000&lt;=0,"",(RD[[#This Row],[33 kV_Wind_F4_Export Reading]]-BR13)*165000)</f>
        <v>62039.9999999961</v>
      </c>
      <c r="CJ14" s="74">
        <f>IF((RD[[#This Row],[33 kV_Solar_F1_Export Reading]]-BS13)*225000&lt;=0,"",(RD[[#This Row],[33 kV_Solar_F1_Export Reading]]-BS13)*225000)</f>
        <v>180225.00000000364</v>
      </c>
      <c r="CK14" s="74">
        <f>IF((RD[[#This Row],[33kV_Solar_F2_Export Reading]]-BT13)*225000&lt;=0,"",(RD[[#This Row],[33kV_Solar_F2_Export Reading]]-BT13)*225000)</f>
        <v>177300.00000000244</v>
      </c>
      <c r="CL14" s="186" t="str">
        <f>IF((RD[[#This Row],[33 kV_Solar_F3_Export reading]]-BU13)*225000&lt;=0,"",(RD[[#This Row],[33 kV_Solar_F3_Export reading]]-BU13)*225000)</f>
        <v/>
      </c>
      <c r="CM14" s="63">
        <f>IF((RD[[#This Row],[32kV_Solar_F4_Export reading]]-BV13)*225000&lt;=0,"",(RD[[#This Row],[32kV_Solar_F4_Export reading]]-BV13)*225000)</f>
        <v>174600.00000000076</v>
      </c>
      <c r="CN14" s="64">
        <f>IF((RD[[#This Row],[33kV_OG1_Export reading]]-BW13)*1000&lt;=0,0,(RD[[#This Row],[33kV_OG1_Export reading]]-BW13)*1000)</f>
        <v>533000</v>
      </c>
      <c r="CO14" s="64">
        <f>IFERROR(IF((RD[[#This Row],[33kV_OG2_Export reading]]-BX13)*1000&lt;=0,0,(RD[[#This Row],[33kV_OG2_Export reading]]-BX13)*1000),0)</f>
        <v>356000</v>
      </c>
      <c r="CP14" s="74">
        <f>IF((RD[[#This Row],[220kV_TX1_Export reading]]-BY13)*800000&lt;=0,0,(RD[[#This Row],[220kV_TX1_Export reading]]-BY13)*800000)</f>
        <v>526400.00000000105</v>
      </c>
      <c r="CQ14" s="186">
        <f>IF((RD[[#This Row],[220kV_Tx2_Export reading]]-BZ13)*800000&lt;=0,0,(RD[[#This Row],[220kV_Tx2_Export reading]]-BZ13)*800000)</f>
        <v>352800.00000000198</v>
      </c>
      <c r="CR14" s="64">
        <f>IF((RD[[#This Row],[220kV_TL_TVM Export Reading]]-CA13)*1600000&lt;=0,0,(RD[[#This Row],[220kV_TL_TVM Export Reading]]-CA13)*1600000)</f>
        <v>884799.99999999558</v>
      </c>
      <c r="CS14" s="64">
        <f>IF((RD[[#This Row],[220kV_C&amp;R_PQM reading]]-CB13)*1600000&lt;=0,"",(RD[[#This Row],[220kV_C&amp;R_PQM reading]]-CB13)*1600000)</f>
        <v>883200.00000001071</v>
      </c>
      <c r="CT14" s="186">
        <f>IFERROR(IF((RD[[#This Row],[220KV_C&amp;R_PQM Import Reading]]-CC13)*1600000&lt;=0,0,(RD[[#This Row],[220KV_C&amp;R_PQM Import Reading]]-CC13)*1600000),"")</f>
        <v>1600.0000000000014</v>
      </c>
      <c r="CU14" s="64">
        <f>IF((RD[[#This Row],[33kV_Aux1 Import Reading]]-CD13)*1000&lt;=0,"",(RD[[#This Row],[33kV_Aux1 Import Reading]]-CD13)*1000)</f>
        <v>419.99999999995907</v>
      </c>
      <c r="CV14" s="64" t="str">
        <f>IF((RD[[#This Row],[33kV_Aux2_Import reading]]-CE13)*1000&lt;=0,"",(RD[[#This Row],[33kV_Aux2_Import reading]]-CE13)*1000)</f>
        <v/>
      </c>
      <c r="CW14" s="64">
        <f>IFERROR(RD[[#This Row],[33kV_OG1_Energy (MWh)]]+RD[[#This Row],[33kV_OG2_Energy (MWh)]],"")</f>
        <v>889000</v>
      </c>
      <c r="CX14" s="72">
        <f>IFERROR(RD[[#This Row],[220kV_TL_TVM Energy (MWh)]]-RD[[#This Row],[220KV_C&amp;R_PQM Import (MWh)]],"")</f>
        <v>883199.99999999558</v>
      </c>
      <c r="CY14" s="187">
        <f>IFERROR(RD[[#This Row],[33 kV Total Export (MWH)]]/RD[[#This Row],[220 KV Net Export (MWh)]]-1,"")</f>
        <v>6.5670289855122022E-3</v>
      </c>
      <c r="CZ14" s="188">
        <f t="shared" si="67"/>
        <v>50.6</v>
      </c>
      <c r="DA14" s="189">
        <v>97</v>
      </c>
      <c r="DB14" s="190"/>
      <c r="DC14" s="68">
        <f>IFERROR((RD[[#This Row],[Sunset Time (POA&lt;20 W/m2)]]-RD[[#This Row],[Sunrise Time (POA&gt;20 W/m2)]])*24,0)</f>
        <v>11.233333333333334</v>
      </c>
      <c r="DD14" s="70">
        <f>SUM(RD[[#This Row],[33 kV_Wind_F3_Export_Reading3]],CJ14,CK14,CL14,CM14)</f>
        <v>759825.00000000698</v>
      </c>
      <c r="DE14" s="68">
        <v>140</v>
      </c>
      <c r="DF14" s="70">
        <f t="shared" si="68"/>
        <v>133814.99999998708</v>
      </c>
      <c r="DG14" s="70">
        <v>133.9</v>
      </c>
      <c r="DH14">
        <f>'WTG Reactive Power'!AB12</f>
        <v>1533.3999999999999</v>
      </c>
    </row>
    <row r="15" spans="1:113">
      <c r="A15" s="173">
        <f>YEAR(RD[[#This Row],[Date]])+IF(MONTH(RD[[#This Row],[Date]])&gt;=4,1,0)</f>
        <v>2026</v>
      </c>
      <c r="B15" s="173">
        <f>YEAR(RD[[#This Row],[Date]])</f>
        <v>2025</v>
      </c>
      <c r="C15" s="174">
        <f t="shared" si="57"/>
        <v>45748</v>
      </c>
      <c r="D15" s="173">
        <f>DAY(EOMONTH(RD[[#This Row],[Date]],0))</f>
        <v>30</v>
      </c>
      <c r="E15" s="175">
        <f t="shared" si="69"/>
        <v>45755</v>
      </c>
      <c r="F15" s="271">
        <v>0.27152777777777776</v>
      </c>
      <c r="G15" s="203">
        <v>0.75486111111111109</v>
      </c>
      <c r="H15" s="177">
        <v>10399</v>
      </c>
      <c r="I15" s="177">
        <v>10405</v>
      </c>
      <c r="J15" s="177">
        <v>9707</v>
      </c>
      <c r="K15" s="177">
        <v>9033</v>
      </c>
      <c r="L15" s="177">
        <v>11145</v>
      </c>
      <c r="M15" s="177">
        <v>9282</v>
      </c>
      <c r="N15" s="177">
        <v>9636</v>
      </c>
      <c r="O15" s="177">
        <v>10607</v>
      </c>
      <c r="P15" s="177">
        <v>8866</v>
      </c>
      <c r="Q15" s="177">
        <v>8819</v>
      </c>
      <c r="R15" s="177">
        <v>9059</v>
      </c>
      <c r="S15" s="177">
        <v>11610</v>
      </c>
      <c r="T15" s="177">
        <v>8957</v>
      </c>
      <c r="U15" s="177">
        <v>8357</v>
      </c>
      <c r="V15" s="177">
        <v>8364</v>
      </c>
      <c r="W15" s="177">
        <v>8951</v>
      </c>
      <c r="X15" s="177">
        <v>9958</v>
      </c>
      <c r="Y15" s="177">
        <v>8543</v>
      </c>
      <c r="Z15" s="177">
        <v>8907</v>
      </c>
      <c r="AA15" s="177">
        <v>10225</v>
      </c>
      <c r="AB15" s="177">
        <v>10273</v>
      </c>
      <c r="AC15" s="177">
        <v>8376</v>
      </c>
      <c r="AD15" s="177">
        <v>10876</v>
      </c>
      <c r="AE15" s="169">
        <v>4.5999999999999996</v>
      </c>
      <c r="AF15" s="169">
        <v>4.5</v>
      </c>
      <c r="AG15" s="169">
        <v>4.3</v>
      </c>
      <c r="AH15" s="169">
        <v>4.5</v>
      </c>
      <c r="AI15" s="169">
        <v>4.4000000000000004</v>
      </c>
      <c r="AJ15" s="169">
        <v>4.2</v>
      </c>
      <c r="AK15" s="169">
        <v>4.3</v>
      </c>
      <c r="AL15" s="169">
        <v>4.5999999999999996</v>
      </c>
      <c r="AM15" s="169">
        <v>4.5</v>
      </c>
      <c r="AN15" s="169">
        <v>4.2</v>
      </c>
      <c r="AO15" s="169">
        <v>4.4000000000000004</v>
      </c>
      <c r="AP15" s="169">
        <v>4.5999999999999996</v>
      </c>
      <c r="AQ15" s="169">
        <v>4.4000000000000004</v>
      </c>
      <c r="AR15" s="169">
        <v>4.2</v>
      </c>
      <c r="AS15" s="169">
        <v>4.5</v>
      </c>
      <c r="AT15" s="169">
        <v>4.5999999999999996</v>
      </c>
      <c r="AU15" s="169">
        <v>4.7</v>
      </c>
      <c r="AV15" s="169">
        <v>4.3</v>
      </c>
      <c r="AW15" s="169">
        <v>4.7</v>
      </c>
      <c r="AX15" s="169">
        <v>4.5999999999999996</v>
      </c>
      <c r="AY15" s="169">
        <v>4.9000000000000004</v>
      </c>
      <c r="AZ15" s="169">
        <v>4.5999999999999996</v>
      </c>
      <c r="BA15" s="169">
        <v>4.9000000000000004</v>
      </c>
      <c r="BB15" s="178">
        <f t="shared" si="58"/>
        <v>94404</v>
      </c>
      <c r="BC15" s="179">
        <f t="shared" si="59"/>
        <v>18909</v>
      </c>
      <c r="BD15" s="180">
        <f t="shared" si="60"/>
        <v>78256</v>
      </c>
      <c r="BE15" s="179">
        <f t="shared" si="61"/>
        <v>8543</v>
      </c>
      <c r="BF15" s="179">
        <f t="shared" si="62"/>
        <v>20243</v>
      </c>
      <c r="BG15" s="179">
        <f>SUM(RD[[#This Row],[KUD01]:[KUD23]])</f>
        <v>220355</v>
      </c>
      <c r="BH15" s="181">
        <f t="shared" si="63"/>
        <v>4.4500000000000011</v>
      </c>
      <c r="BI15" s="182">
        <f t="shared" si="64"/>
        <v>4.6500000000000004</v>
      </c>
      <c r="BJ15" s="182">
        <f t="shared" si="65"/>
        <v>4.54</v>
      </c>
      <c r="BK15" s="183">
        <f t="shared" si="66"/>
        <v>4.3</v>
      </c>
      <c r="BL15" s="61">
        <f>IFERROR(AVERAGEIF(RD[[#This Row],[WS_KUD07]:[WS_KUD08]],"&lt;&gt;0",RD[[#This Row],[WS_KUD07]:[WS_KUD08]]),"")</f>
        <v>4.4499999999999993</v>
      </c>
      <c r="BM15" s="184">
        <f>IFERROR(AVERAGE(RD[[#This Row],[WS_KUD01]:[WS_KUD23]]),"")</f>
        <v>4.5</v>
      </c>
      <c r="BN15" s="185">
        <f>IFERROR(MAX(RD[[#This Row],[WS_KUD01]:[WS_KUD23]]),"")</f>
        <v>4.9000000000000004</v>
      </c>
      <c r="BO15" s="172">
        <v>640.30499999999995</v>
      </c>
      <c r="BP15" s="73">
        <v>877.30700000000002</v>
      </c>
      <c r="BQ15" s="73">
        <v>40.198999999999998</v>
      </c>
      <c r="BR15" s="73">
        <v>210.16499999999999</v>
      </c>
      <c r="BS15" s="73">
        <v>159.11099999999999</v>
      </c>
      <c r="BT15" s="73">
        <v>269.334</v>
      </c>
      <c r="BU15" s="73"/>
      <c r="BV15" s="73">
        <v>59.804000000000002</v>
      </c>
      <c r="BW15" s="73">
        <v>178204</v>
      </c>
      <c r="BX15" s="73">
        <v>241701</v>
      </c>
      <c r="BY15" s="73">
        <v>108.312</v>
      </c>
      <c r="BZ15" s="73">
        <v>61.494</v>
      </c>
      <c r="CA15" s="73">
        <v>260.38</v>
      </c>
      <c r="CB15" s="73">
        <v>85.441999999999993</v>
      </c>
      <c r="CC15" s="73">
        <v>0.105</v>
      </c>
      <c r="CD15" s="73">
        <v>284.34899999999999</v>
      </c>
      <c r="CE15" s="73">
        <v>0</v>
      </c>
      <c r="CF15" s="64" t="str">
        <f>IF((RD[[#This Row],[33 kV_Wind_F1_Export reading]]-BO14)*165000&lt;=0,"",(RD[[#This Row],[33 kV_Wind_F1_Export reading]]-BO14)*165000)</f>
        <v/>
      </c>
      <c r="CG15" s="64">
        <f>IF((RD[[#This Row],[33 kV_Wind_F2_Export_reading]]-BP14)*165000&lt;=0,"",(RD[[#This Row],[33 kV_Wind_F2_Export_reading]]-BP14)*165000)</f>
        <v>111375.00000001125</v>
      </c>
      <c r="CH15" s="64">
        <f>IF((RD[[#This Row],[33 kV_Wind_F3_Export_Reading]]-BQ14)*225000&lt;=0,"",(RD[[#This Row],[33 kV_Wind_F3_Export_Reading]]-BQ14)*225000)</f>
        <v>222299.99999999988</v>
      </c>
      <c r="CI15" s="64">
        <f>IF((RD[[#This Row],[33 kV_Wind_F4_Export Reading]]-BR14)*165000&lt;=0,"",(RD[[#This Row],[33 kV_Wind_F4_Export Reading]]-BR14)*165000)</f>
        <v>104280.00000000083</v>
      </c>
      <c r="CJ15" s="74">
        <f>IF((RD[[#This Row],[33 kV_Solar_F1_Export Reading]]-BS14)*225000&lt;=0,"",(RD[[#This Row],[33 kV_Solar_F1_Export Reading]]-BS14)*225000)</f>
        <v>182699.99999999627</v>
      </c>
      <c r="CK15" s="74">
        <f>IF((RD[[#This Row],[33kV_Solar_F2_Export Reading]]-BT14)*225000&lt;=0,"",(RD[[#This Row],[33kV_Solar_F2_Export Reading]]-BT14)*225000)</f>
        <v>177300.00000000244</v>
      </c>
      <c r="CL15" s="186" t="str">
        <f>IF((RD[[#This Row],[33 kV_Solar_F3_Export reading]]-BU14)*225000&lt;=0,"",(RD[[#This Row],[33 kV_Solar_F3_Export reading]]-BU14)*225000)</f>
        <v/>
      </c>
      <c r="CM15" s="63">
        <f>IF((RD[[#This Row],[32kV_Solar_F4_Export reading]]-BV14)*225000&lt;=0,"",(RD[[#This Row],[32kV_Solar_F4_Export reading]]-BV14)*225000)</f>
        <v>175049.99999999971</v>
      </c>
      <c r="CN15" s="64">
        <f>IF((RD[[#This Row],[33kV_OG1_Export reading]]-BW14)*1000&lt;=0,0,(RD[[#This Row],[33kV_OG1_Export reading]]-BW14)*1000)</f>
        <v>535000</v>
      </c>
      <c r="CO15" s="64">
        <f>IFERROR(IF((RD[[#This Row],[33kV_OG2_Export reading]]-BX14)*1000&lt;=0,0,(RD[[#This Row],[33kV_OG2_Export reading]]-BX14)*1000),0)</f>
        <v>438000</v>
      </c>
      <c r="CP15" s="74">
        <f>IF((RD[[#This Row],[220kV_TX1_Export reading]]-BY14)*800000&lt;=0,0,(RD[[#This Row],[220kV_TX1_Export reading]]-BY14)*800000)</f>
        <v>529599.9999999936</v>
      </c>
      <c r="CQ15" s="186">
        <f>IF((RD[[#This Row],[220kV_Tx2_Export reading]]-BZ14)*800000&lt;=0,0,(RD[[#This Row],[220kV_Tx2_Export reading]]-BZ14)*800000)</f>
        <v>435199.99999999756</v>
      </c>
      <c r="CR15" s="64">
        <f>IF((RD[[#This Row],[220kV_TL_TVM Export Reading]]-CA14)*1600000&lt;=0,0,(RD[[#This Row],[220kV_TL_TVM Export Reading]]-CA14)*1600000)</f>
        <v>963199.99999996065</v>
      </c>
      <c r="CS15" s="64">
        <f>IF((RD[[#This Row],[220kV_C&amp;R_PQM reading]]-CB14)*1600000&lt;=0,"",(RD[[#This Row],[220kV_C&amp;R_PQM reading]]-CB14)*1600000)</f>
        <v>967999.99999998359</v>
      </c>
      <c r="CT15" s="186">
        <f>IFERROR(IF((RD[[#This Row],[220KV_C&amp;R_PQM Import Reading]]-CC14)*1600000&lt;=0,0,(RD[[#This Row],[220KV_C&amp;R_PQM Import Reading]]-CC14)*1600000),"")</f>
        <v>0</v>
      </c>
      <c r="CU15" s="64">
        <f>IF((RD[[#This Row],[33kV_Aux1 Import Reading]]-CD14)*1000&lt;=0,"",(RD[[#This Row],[33kV_Aux1 Import Reading]]-CD14)*1000)</f>
        <v>420.00000000001592</v>
      </c>
      <c r="CV15" s="64" t="str">
        <f>IF((RD[[#This Row],[33kV_Aux2_Import reading]]-CE14)*1000&lt;=0,"",(RD[[#This Row],[33kV_Aux2_Import reading]]-CE14)*1000)</f>
        <v/>
      </c>
      <c r="CW15" s="64">
        <f>IFERROR(RD[[#This Row],[33kV_OG1_Energy (MWh)]]+RD[[#This Row],[33kV_OG2_Energy (MWh)]],"")</f>
        <v>973000</v>
      </c>
      <c r="CX15" s="72">
        <f>IFERROR(RD[[#This Row],[220kV_TL_TVM Energy (MWh)]]-RD[[#This Row],[220KV_C&amp;R_PQM Import (MWh)]],"")</f>
        <v>963199.99999996065</v>
      </c>
      <c r="CY15" s="187">
        <f>IFERROR(RD[[#This Row],[33 kV Total Export (MWH)]]/RD[[#This Row],[220 KV Net Export (MWh)]]-1,"")</f>
        <v>1.017441860469237E-2</v>
      </c>
      <c r="CZ15" s="188">
        <f t="shared" si="67"/>
        <v>50.6</v>
      </c>
      <c r="DA15" s="189">
        <v>97</v>
      </c>
      <c r="DB15" s="190"/>
      <c r="DC15" s="68">
        <f>IFERROR((RD[[#This Row],[Sunset Time (POA&lt;20 W/m2)]]-RD[[#This Row],[Sunrise Time (POA&gt;20 W/m2)]])*24,0)</f>
        <v>11.6</v>
      </c>
      <c r="DD15" s="70">
        <f>SUM(RD[[#This Row],[33 kV_Wind_F3_Export_Reading3]],CJ15,CK15,CL15,CM15)</f>
        <v>757349.99999999837</v>
      </c>
      <c r="DE15" s="68">
        <v>140</v>
      </c>
      <c r="DF15" s="70">
        <f t="shared" si="68"/>
        <v>215655.00000001208</v>
      </c>
      <c r="DG15" s="70">
        <v>228.59</v>
      </c>
      <c r="DH15">
        <f>'WTG Reactive Power'!AB13</f>
        <v>2026.3000000000002</v>
      </c>
    </row>
    <row r="16" spans="1:113">
      <c r="A16" s="173">
        <f>YEAR(RD[[#This Row],[Date]])+IF(MONTH(RD[[#This Row],[Date]])&gt;=4,1,0)</f>
        <v>2026</v>
      </c>
      <c r="B16" s="173">
        <f>YEAR(RD[[#This Row],[Date]])</f>
        <v>2025</v>
      </c>
      <c r="C16" s="174">
        <f t="shared" si="57"/>
        <v>45748</v>
      </c>
      <c r="D16" s="173">
        <f>DAY(EOMONTH(RD[[#This Row],[Date]],0))</f>
        <v>30</v>
      </c>
      <c r="E16" s="175">
        <f t="shared" si="69"/>
        <v>45756</v>
      </c>
      <c r="F16" s="271">
        <v>0.27152777777777776</v>
      </c>
      <c r="G16" s="203">
        <v>0.75416666666666665</v>
      </c>
      <c r="H16" s="177">
        <v>6406</v>
      </c>
      <c r="I16" s="177">
        <v>5773</v>
      </c>
      <c r="J16" s="177">
        <v>7212</v>
      </c>
      <c r="K16" s="177">
        <v>5946</v>
      </c>
      <c r="L16" s="177">
        <v>5880</v>
      </c>
      <c r="M16" s="177">
        <v>6510</v>
      </c>
      <c r="N16" s="177">
        <v>6521</v>
      </c>
      <c r="O16" s="177">
        <v>7421</v>
      </c>
      <c r="P16" s="177">
        <v>6284</v>
      </c>
      <c r="Q16" s="177">
        <v>6493</v>
      </c>
      <c r="R16" s="177">
        <v>5815</v>
      </c>
      <c r="S16" s="177">
        <v>5288</v>
      </c>
      <c r="T16" s="177">
        <v>5527</v>
      </c>
      <c r="U16" s="177">
        <v>5696</v>
      </c>
      <c r="V16" s="177">
        <v>5613</v>
      </c>
      <c r="W16" s="177">
        <v>6555</v>
      </c>
      <c r="X16" s="177">
        <v>6169</v>
      </c>
      <c r="Y16" s="177">
        <v>5911</v>
      </c>
      <c r="Z16" s="177">
        <v>6274</v>
      </c>
      <c r="AA16" s="177">
        <v>5667</v>
      </c>
      <c r="AB16" s="177">
        <v>7155</v>
      </c>
      <c r="AC16" s="177">
        <v>4808</v>
      </c>
      <c r="AD16" s="177">
        <v>7095</v>
      </c>
      <c r="AE16" s="71">
        <v>3.62</v>
      </c>
      <c r="AF16" s="71">
        <v>3.55</v>
      </c>
      <c r="AG16" s="71">
        <v>3.7669999999999999</v>
      </c>
      <c r="AH16" s="71">
        <v>3.5950000000000002</v>
      </c>
      <c r="AI16" s="71">
        <v>3.6120000000000001</v>
      </c>
      <c r="AJ16" s="71">
        <v>3.5310000000000001</v>
      </c>
      <c r="AK16" s="71">
        <v>3.4769999999999999</v>
      </c>
      <c r="AL16" s="71">
        <v>3.774</v>
      </c>
      <c r="AM16" s="71">
        <v>3.879</v>
      </c>
      <c r="AN16" s="71">
        <v>3.552</v>
      </c>
      <c r="AO16" s="71">
        <v>3.5579999999999998</v>
      </c>
      <c r="AP16" s="71">
        <v>3.694</v>
      </c>
      <c r="AQ16" s="71">
        <v>3.5209999999999999</v>
      </c>
      <c r="AR16" s="71">
        <v>3.4790000000000001</v>
      </c>
      <c r="AS16" s="71">
        <v>3.5920000000000001</v>
      </c>
      <c r="AT16" s="71">
        <v>3.7360000000000002</v>
      </c>
      <c r="AU16" s="71">
        <v>3.698</v>
      </c>
      <c r="AV16" s="71">
        <v>3.452</v>
      </c>
      <c r="AW16" s="71">
        <v>3.7650000000000001</v>
      </c>
      <c r="AX16" s="71">
        <v>3.63</v>
      </c>
      <c r="AY16" s="71">
        <v>3.9220000000000002</v>
      </c>
      <c r="AZ16" s="71">
        <v>3.7130000000000001</v>
      </c>
      <c r="BA16" s="71">
        <v>3.8780000000000001</v>
      </c>
      <c r="BB16" s="178">
        <f t="shared" si="58"/>
        <v>59991</v>
      </c>
      <c r="BC16" s="179">
        <f t="shared" si="59"/>
        <v>12724</v>
      </c>
      <c r="BD16" s="180">
        <f t="shared" si="60"/>
        <v>49451</v>
      </c>
      <c r="BE16" s="179">
        <f t="shared" si="61"/>
        <v>5911</v>
      </c>
      <c r="BF16" s="179">
        <f t="shared" si="62"/>
        <v>13942</v>
      </c>
      <c r="BG16" s="179">
        <f>SUM(RD[[#This Row],[KUD01]:[KUD23]])</f>
        <v>142019</v>
      </c>
      <c r="BH16" s="181">
        <f t="shared" si="63"/>
        <v>3.6177999999999999</v>
      </c>
      <c r="BI16" s="182">
        <f t="shared" si="64"/>
        <v>3.7170000000000001</v>
      </c>
      <c r="BJ16" s="182">
        <f t="shared" si="65"/>
        <v>3.6931000000000003</v>
      </c>
      <c r="BK16" s="183">
        <f t="shared" si="66"/>
        <v>3.452</v>
      </c>
      <c r="BL16" s="61">
        <f>IFERROR(AVERAGEIF(RD[[#This Row],[WS_KUD07]:[WS_KUD08]],"&lt;&gt;0",RD[[#This Row],[WS_KUD07]:[WS_KUD08]]),"")</f>
        <v>3.6254999999999997</v>
      </c>
      <c r="BM16" s="184">
        <f>IFERROR(AVERAGE(RD[[#This Row],[WS_KUD01]:[WS_KUD23]]),"")</f>
        <v>3.6519565217391299</v>
      </c>
      <c r="BN16" s="185">
        <f>IFERROR(MAX(RD[[#This Row],[WS_KUD01]:[WS_KUD23]]),"")</f>
        <v>3.9220000000000002</v>
      </c>
      <c r="BO16" s="172">
        <v>640.30499999999995</v>
      </c>
      <c r="BP16" s="272">
        <v>877.75400000000002</v>
      </c>
      <c r="BQ16" s="272">
        <v>41.25</v>
      </c>
      <c r="BR16" s="272">
        <v>210.57400000000001</v>
      </c>
      <c r="BS16" s="272">
        <v>159.999</v>
      </c>
      <c r="BT16" s="272">
        <v>270.17399999999998</v>
      </c>
      <c r="BU16" s="275"/>
      <c r="BV16" s="272">
        <v>60.61</v>
      </c>
      <c r="BW16" s="272">
        <v>178774</v>
      </c>
      <c r="BX16" s="272">
        <v>242078</v>
      </c>
      <c r="BY16" s="272">
        <v>109.18</v>
      </c>
      <c r="BZ16" s="272">
        <v>61.951000000000001</v>
      </c>
      <c r="CA16" s="272">
        <v>260.96699999999998</v>
      </c>
      <c r="CB16" s="272">
        <v>86.028999999999996</v>
      </c>
      <c r="CC16" s="272">
        <v>0.106</v>
      </c>
      <c r="CD16" s="272">
        <v>284.76900000000001</v>
      </c>
      <c r="CE16" s="172">
        <v>0</v>
      </c>
      <c r="CF16" s="64" t="str">
        <f>IF((RD[[#This Row],[33 kV_Wind_F1_Export reading]]-BO15)*165000&lt;=0,"",(RD[[#This Row],[33 kV_Wind_F1_Export reading]]-BO15)*165000)</f>
        <v/>
      </c>
      <c r="CG16" s="64">
        <f>IF((RD[[#This Row],[33 kV_Wind_F2_Export_reading]]-BP15)*165000&lt;=0,"",(RD[[#This Row],[33 kV_Wind_F2_Export_reading]]-BP15)*165000)</f>
        <v>73755.000000000451</v>
      </c>
      <c r="CH16" s="64">
        <f>IF((RD[[#This Row],[33 kV_Wind_F3_Export_Reading]]-BQ15)*225000&lt;=0,"",(RD[[#This Row],[33 kV_Wind_F3_Export_Reading]]-BQ15)*225000)</f>
        <v>236475.00000000044</v>
      </c>
      <c r="CI16" s="64">
        <f>IF((RD[[#This Row],[33 kV_Wind_F4_Export Reading]]-BR15)*165000&lt;=0,"",(RD[[#This Row],[33 kV_Wind_F4_Export Reading]]-BR15)*165000)</f>
        <v>67485.000000003332</v>
      </c>
      <c r="CJ16" s="74">
        <f>IF((RD[[#This Row],[33 kV_Solar_F1_Export Reading]]-BS15)*225000&lt;=0,"",(RD[[#This Row],[33 kV_Solar_F1_Export Reading]]-BS15)*225000)</f>
        <v>199800.00000000116</v>
      </c>
      <c r="CK16" s="74">
        <f>IF((RD[[#This Row],[33kV_Solar_F2_Export Reading]]-BT15)*225000&lt;=0,"",(RD[[#This Row],[33kV_Solar_F2_Export Reading]]-BT15)*225000)</f>
        <v>188999.99999999438</v>
      </c>
      <c r="CL16" s="186" t="str">
        <f>IF((RD[[#This Row],[33 kV_Solar_F3_Export reading]]-BU15)*225000&lt;=0,"",(RD[[#This Row],[33 kV_Solar_F3_Export reading]]-BU15)*225000)</f>
        <v/>
      </c>
      <c r="CM16" s="63">
        <f>IF((RD[[#This Row],[32kV_Solar_F4_Export reading]]-BV15)*225000&lt;=0,"",(RD[[#This Row],[32kV_Solar_F4_Export reading]]-BV15)*225000)</f>
        <v>181349.99999999942</v>
      </c>
      <c r="CN16" s="64">
        <f>IF((RD[[#This Row],[33kV_OG1_Export reading]]-BW15)*1000&lt;=0,0,(RD[[#This Row],[33kV_OG1_Export reading]]-BW15)*1000)</f>
        <v>570000</v>
      </c>
      <c r="CO16" s="64">
        <f>IFERROR(IF((RD[[#This Row],[33kV_OG2_Export reading]]-BX15)*1000&lt;=0,0,(RD[[#This Row],[33kV_OG2_Export reading]]-BX15)*1000),0)</f>
        <v>377000</v>
      </c>
      <c r="CP16" s="74">
        <f>IF((RD[[#This Row],[220kV_TX1_Export reading]]-BY15)*800000&lt;=0,0,(RD[[#This Row],[220kV_TX1_Export reading]]-BY15)*800000)</f>
        <v>694400.00000000733</v>
      </c>
      <c r="CQ16" s="186">
        <f>IF((RD[[#This Row],[220kV_Tx2_Export reading]]-BZ15)*800000&lt;=0,0,(RD[[#This Row],[220kV_Tx2_Export reading]]-BZ15)*800000)</f>
        <v>365600.00000000058</v>
      </c>
      <c r="CR16" s="64">
        <f>IF((RD[[#This Row],[220kV_TL_TVM Export Reading]]-CA15)*1600000&lt;=0,0,(RD[[#This Row],[220kV_TL_TVM Export Reading]]-CA15)*1600000)</f>
        <v>939199.99999998254</v>
      </c>
      <c r="CS16" s="64">
        <f>IF((RD[[#This Row],[220kV_C&amp;R_PQM reading]]-CB15)*1600000&lt;=0,"",(RD[[#This Row],[220kV_C&amp;R_PQM reading]]-CB15)*1600000)</f>
        <v>939200.00000000524</v>
      </c>
      <c r="CT16" s="186">
        <f>IFERROR(IF((RD[[#This Row],[220KV_C&amp;R_PQM Import Reading]]-CC15)*1600000&lt;=0,0,(RD[[#This Row],[220KV_C&amp;R_PQM Import Reading]]-CC15)*1600000),"")</f>
        <v>1600.0000000000014</v>
      </c>
      <c r="CU16" s="64">
        <f>IF((RD[[#This Row],[33kV_Aux1 Import Reading]]-CD15)*1000&lt;=0,"",(RD[[#This Row],[33kV_Aux1 Import Reading]]-CD15)*1000)</f>
        <v>420.00000000001592</v>
      </c>
      <c r="CV16" s="64" t="str">
        <f>IF((RD[[#This Row],[33kV_Aux2_Import reading]]-CE15)*1000&lt;=0,"",(RD[[#This Row],[33kV_Aux2_Import reading]]-CE15)*1000)</f>
        <v/>
      </c>
      <c r="CW16" s="64">
        <f>IFERROR(RD[[#This Row],[33kV_OG1_Energy (MWh)]]+RD[[#This Row],[33kV_OG2_Energy (MWh)]],"")</f>
        <v>947000</v>
      </c>
      <c r="CX16" s="72">
        <f>IFERROR(RD[[#This Row],[220kV_TL_TVM Energy (MWh)]]-RD[[#This Row],[220KV_C&amp;R_PQM Import (MWh)]],"")</f>
        <v>937599.99999998254</v>
      </c>
      <c r="CY16" s="187">
        <f>IFERROR(RD[[#This Row],[33 kV Total Export (MWH)]]/RD[[#This Row],[220 KV Net Export (MWh)]]-1,"")</f>
        <v>1.0025597269643471E-2</v>
      </c>
      <c r="CZ16" s="188">
        <f t="shared" si="67"/>
        <v>50.6</v>
      </c>
      <c r="DA16" s="189">
        <v>97</v>
      </c>
      <c r="DB16" s="190"/>
      <c r="DC16" s="68">
        <f>IFERROR((RD[[#This Row],[Sunset Time (POA&lt;20 W/m2)]]-RD[[#This Row],[Sunrise Time (POA&gt;20 W/m2)]])*24,0)</f>
        <v>11.583333333333334</v>
      </c>
      <c r="DD16" s="70">
        <f>SUM(RD[[#This Row],[33 kV_Wind_F3_Export_Reading3]],CJ16,CK16,CL16,CM16)</f>
        <v>806624.99999999546</v>
      </c>
      <c r="DE16" s="68">
        <v>140</v>
      </c>
      <c r="DF16" s="70">
        <f t="shared" si="68"/>
        <v>141240.00000000378</v>
      </c>
      <c r="DG16" s="70">
        <v>144.28</v>
      </c>
      <c r="DH16">
        <f>'WTG Reactive Power'!AB14</f>
        <v>5795.7000000000007</v>
      </c>
    </row>
    <row r="17" spans="1:112">
      <c r="A17" s="173">
        <f>YEAR(RD[[#This Row],[Date]])+IF(MONTH(RD[[#This Row],[Date]])&gt;=4,1,0)</f>
        <v>2026</v>
      </c>
      <c r="B17" s="173">
        <f>YEAR(RD[[#This Row],[Date]])</f>
        <v>2025</v>
      </c>
      <c r="C17" s="174">
        <f t="shared" si="57"/>
        <v>45748</v>
      </c>
      <c r="D17" s="173">
        <f>DAY(EOMONTH(RD[[#This Row],[Date]],0))</f>
        <v>30</v>
      </c>
      <c r="E17" s="175">
        <f t="shared" si="69"/>
        <v>45757</v>
      </c>
      <c r="F17" s="271">
        <v>0.27083333333333331</v>
      </c>
      <c r="G17" s="271">
        <v>0.7631944444444444</v>
      </c>
      <c r="H17" s="177">
        <v>18091</v>
      </c>
      <c r="I17" s="177">
        <v>18160</v>
      </c>
      <c r="J17" s="177">
        <v>15791</v>
      </c>
      <c r="K17" s="177">
        <v>14647</v>
      </c>
      <c r="L17" s="177">
        <v>13620</v>
      </c>
      <c r="M17" s="177">
        <v>16990</v>
      </c>
      <c r="N17" s="177">
        <v>14732</v>
      </c>
      <c r="O17" s="177">
        <v>16317</v>
      </c>
      <c r="P17" s="177">
        <v>15895</v>
      </c>
      <c r="Q17" s="177">
        <v>14962</v>
      </c>
      <c r="R17" s="177">
        <v>15270</v>
      </c>
      <c r="S17" s="177">
        <v>14392</v>
      </c>
      <c r="T17" s="177">
        <v>14848</v>
      </c>
      <c r="U17" s="177">
        <v>14362</v>
      </c>
      <c r="V17" s="177">
        <v>18953</v>
      </c>
      <c r="W17" s="177">
        <v>19383</v>
      </c>
      <c r="X17" s="177">
        <v>16956</v>
      </c>
      <c r="Y17" s="177">
        <v>15958</v>
      </c>
      <c r="Z17" s="177">
        <v>13455</v>
      </c>
      <c r="AA17" s="177">
        <v>12892</v>
      </c>
      <c r="AB17" s="177">
        <v>13976</v>
      </c>
      <c r="AC17" s="177">
        <v>10355</v>
      </c>
      <c r="AD17" s="177">
        <v>15608</v>
      </c>
      <c r="AE17" s="71">
        <v>6.5</v>
      </c>
      <c r="AF17" s="71">
        <v>6.5</v>
      </c>
      <c r="AG17" s="71">
        <v>6.4</v>
      </c>
      <c r="AH17" s="71">
        <v>6.1</v>
      </c>
      <c r="AI17" s="71">
        <v>6.3</v>
      </c>
      <c r="AJ17" s="71">
        <v>6.4</v>
      </c>
      <c r="AK17" s="71">
        <v>6.1</v>
      </c>
      <c r="AL17" s="71">
        <v>6.3</v>
      </c>
      <c r="AM17" s="71">
        <v>6.2</v>
      </c>
      <c r="AN17" s="71">
        <v>6</v>
      </c>
      <c r="AO17" s="71">
        <v>6.5</v>
      </c>
      <c r="AP17" s="71">
        <v>6</v>
      </c>
      <c r="AQ17" s="71">
        <v>6.2</v>
      </c>
      <c r="AR17" s="71">
        <v>6</v>
      </c>
      <c r="AS17" s="71">
        <v>7</v>
      </c>
      <c r="AT17" s="71">
        <v>6.7</v>
      </c>
      <c r="AU17" s="71">
        <v>6.5</v>
      </c>
      <c r="AV17" s="71">
        <v>6.3</v>
      </c>
      <c r="AW17" s="71">
        <v>5.9</v>
      </c>
      <c r="AX17" s="71">
        <v>6</v>
      </c>
      <c r="AY17" s="71">
        <v>6.2</v>
      </c>
      <c r="AZ17" s="71">
        <v>6.2</v>
      </c>
      <c r="BA17" s="71">
        <v>6.2</v>
      </c>
      <c r="BB17" s="178">
        <f t="shared" si="58"/>
        <v>153016</v>
      </c>
      <c r="BC17" s="179">
        <f t="shared" si="59"/>
        <v>36339</v>
      </c>
      <c r="BD17" s="180">
        <f t="shared" si="60"/>
        <v>119251</v>
      </c>
      <c r="BE17" s="179">
        <f t="shared" si="61"/>
        <v>15958</v>
      </c>
      <c r="BF17" s="179">
        <f t="shared" si="62"/>
        <v>31049</v>
      </c>
      <c r="BG17" s="179">
        <f>SUM(RD[[#This Row],[KUD01]:[KUD23]])</f>
        <v>355613</v>
      </c>
      <c r="BH17" s="181">
        <f t="shared" si="63"/>
        <v>6.25</v>
      </c>
      <c r="BI17" s="182">
        <f t="shared" si="64"/>
        <v>6.6</v>
      </c>
      <c r="BJ17" s="182">
        <f t="shared" si="65"/>
        <v>6.2500000000000009</v>
      </c>
      <c r="BK17" s="183">
        <f t="shared" si="66"/>
        <v>6.3</v>
      </c>
      <c r="BL17" s="61">
        <f>IFERROR(AVERAGEIF(RD[[#This Row],[WS_KUD07]:[WS_KUD08]],"&lt;&gt;0",RD[[#This Row],[WS_KUD07]:[WS_KUD08]]),"")</f>
        <v>6.1999999999999993</v>
      </c>
      <c r="BM17" s="184">
        <f>IFERROR(AVERAGE(RD[[#This Row],[WS_KUD01]:[WS_KUD23]]),"")</f>
        <v>6.2826086956521738</v>
      </c>
      <c r="BN17" s="185">
        <f>IFERROR(MAX(RD[[#This Row],[WS_KUD01]:[WS_KUD23]]),"")</f>
        <v>7</v>
      </c>
      <c r="BO17" s="172">
        <v>640.30499999999995</v>
      </c>
      <c r="BP17" s="272">
        <v>878.85599999999999</v>
      </c>
      <c r="BQ17" s="272">
        <v>42.24</v>
      </c>
      <c r="BR17" s="272">
        <v>211.58199999999999</v>
      </c>
      <c r="BS17" s="272">
        <v>160.82599999999999</v>
      </c>
      <c r="BT17" s="272">
        <v>270.94299999999998</v>
      </c>
      <c r="BU17" s="275"/>
      <c r="BV17" s="272">
        <v>61.368000000000002</v>
      </c>
      <c r="BW17" s="272">
        <v>179304</v>
      </c>
      <c r="BX17" s="272">
        <v>242647</v>
      </c>
      <c r="BY17" s="272">
        <v>109.672</v>
      </c>
      <c r="BZ17" s="272">
        <v>62.648000000000003</v>
      </c>
      <c r="CA17" s="272">
        <v>261.649</v>
      </c>
      <c r="CB17" s="272">
        <v>86.710999999999999</v>
      </c>
      <c r="CC17" s="272">
        <v>0.106</v>
      </c>
      <c r="CD17" s="272">
        <v>285.16899999999998</v>
      </c>
      <c r="CE17" s="172">
        <v>0</v>
      </c>
      <c r="CF17" s="64" t="str">
        <f>IF((RD[[#This Row],[33 kV_Wind_F1_Export reading]]-BO16)*165000&lt;=0,"",(RD[[#This Row],[33 kV_Wind_F1_Export reading]]-BO16)*165000)</f>
        <v/>
      </c>
      <c r="CG17" s="64">
        <f>IF((RD[[#This Row],[33 kV_Wind_F2_Export_reading]]-BP16)*165000&lt;=0,"",(RD[[#This Row],[33 kV_Wind_F2_Export_reading]]-BP16)*165000)</f>
        <v>181829.99999999595</v>
      </c>
      <c r="CH17" s="64">
        <f>IF((RD[[#This Row],[33 kV_Wind_F3_Export_Reading]]-BQ16)*225000&lt;=0,"",(RD[[#This Row],[33 kV_Wind_F3_Export_Reading]]-BQ16)*225000)</f>
        <v>222750.00000000044</v>
      </c>
      <c r="CI17" s="64">
        <f>IF((RD[[#This Row],[33 kV_Wind_F4_Export Reading]]-BR16)*165000&lt;=0,"",(RD[[#This Row],[33 kV_Wind_F4_Export Reading]]-BR16)*165000)</f>
        <v>166319.99999999691</v>
      </c>
      <c r="CJ17" s="74">
        <f>IF((RD[[#This Row],[33 kV_Solar_F1_Export Reading]]-BS16)*225000&lt;=0,"",(RD[[#This Row],[33 kV_Solar_F1_Export Reading]]-BS16)*225000)</f>
        <v>186074.99999999959</v>
      </c>
      <c r="CK17" s="74">
        <f>IF((RD[[#This Row],[33kV_Solar_F2_Export Reading]]-BT16)*225000&lt;=0,"",(RD[[#This Row],[33kV_Solar_F2_Export Reading]]-BT16)*225000)</f>
        <v>173025.00000000122</v>
      </c>
      <c r="CL17" s="186" t="str">
        <f>IF((RD[[#This Row],[33 kV_Solar_F3_Export reading]]-BU16)*225000&lt;=0,"",(RD[[#This Row],[33 kV_Solar_F3_Export reading]]-BU16)*225000)</f>
        <v/>
      </c>
      <c r="CM17" s="63">
        <f>IF((RD[[#This Row],[32kV_Solar_F4_Export reading]]-BV16)*225000&lt;=0,"",(RD[[#This Row],[32kV_Solar_F4_Export reading]]-BV16)*225000)</f>
        <v>170550.00000000061</v>
      </c>
      <c r="CN17" s="64">
        <f>IF((RD[[#This Row],[33kV_OG1_Export reading]]-BW16)*1000&lt;=0,0,(RD[[#This Row],[33kV_OG1_Export reading]]-BW16)*1000)</f>
        <v>530000</v>
      </c>
      <c r="CO17" s="64">
        <f>IFERROR(IF((RD[[#This Row],[33kV_OG2_Export reading]]-BX16)*1000&lt;=0,0,(RD[[#This Row],[33kV_OG2_Export reading]]-BX16)*1000),0)</f>
        <v>569000</v>
      </c>
      <c r="CP17" s="74">
        <f>IF((RD[[#This Row],[220kV_TX1_Export reading]]-BY16)*800000&lt;=0,0,(RD[[#This Row],[220kV_TX1_Export reading]]-BY16)*800000)</f>
        <v>393599.9999999922</v>
      </c>
      <c r="CQ17" s="186">
        <f>IF((RD[[#This Row],[220kV_Tx2_Export reading]]-BZ16)*800000&lt;=0,0,(RD[[#This Row],[220kV_Tx2_Export reading]]-BZ16)*800000)</f>
        <v>557600.00000000221</v>
      </c>
      <c r="CR17" s="64">
        <f>IF((RD[[#This Row],[220kV_TL_TVM Export Reading]]-CA16)*1600000&lt;=0,0,(RD[[#This Row],[220kV_TL_TVM Export Reading]]-CA16)*1600000)</f>
        <v>1091200.0000000261</v>
      </c>
      <c r="CS17" s="64">
        <f>IF((RD[[#This Row],[220kV_C&amp;R_PQM reading]]-CB16)*1600000&lt;=0,"",(RD[[#This Row],[220kV_C&amp;R_PQM reading]]-CB16)*1600000)</f>
        <v>1091200.0000000035</v>
      </c>
      <c r="CT17" s="186">
        <f>IFERROR(IF((RD[[#This Row],[220KV_C&amp;R_PQM Import Reading]]-CC16)*1600000&lt;=0,0,(RD[[#This Row],[220KV_C&amp;R_PQM Import Reading]]-CC16)*1600000),"")</f>
        <v>0</v>
      </c>
      <c r="CU17" s="64">
        <f>IF((RD[[#This Row],[33kV_Aux1 Import Reading]]-CD16)*1000&lt;=0,"",(RD[[#This Row],[33kV_Aux1 Import Reading]]-CD16)*1000)</f>
        <v>399.99999999997726</v>
      </c>
      <c r="CV17" s="64" t="str">
        <f>IF((RD[[#This Row],[33kV_Aux2_Import reading]]-CE16)*1000&lt;=0,"",(RD[[#This Row],[33kV_Aux2_Import reading]]-CE16)*1000)</f>
        <v/>
      </c>
      <c r="CW17" s="64">
        <f>IFERROR(RD[[#This Row],[33kV_OG1_Energy (MWh)]]+RD[[#This Row],[33kV_OG2_Energy (MWh)]],"")</f>
        <v>1099000</v>
      </c>
      <c r="CX17" s="72">
        <f>IFERROR(RD[[#This Row],[220kV_TL_TVM Energy (MWh)]]-RD[[#This Row],[220KV_C&amp;R_PQM Import (MWh)]],"")</f>
        <v>1091200.0000000261</v>
      </c>
      <c r="CY17" s="187">
        <f>IFERROR(RD[[#This Row],[33 kV Total Export (MWH)]]/RD[[#This Row],[220 KV Net Export (MWh)]]-1,"")</f>
        <v>7.1480938416181861E-3</v>
      </c>
      <c r="CZ17" s="188">
        <f t="shared" si="67"/>
        <v>50.6</v>
      </c>
      <c r="DA17" s="189">
        <v>97</v>
      </c>
      <c r="DB17" s="190"/>
      <c r="DC17" s="68">
        <f>IFERROR((RD[[#This Row],[Sunset Time (POA&lt;20 W/m2)]]-RD[[#This Row],[Sunrise Time (POA&gt;20 W/m2)]])*24,0)</f>
        <v>11.816666666666666</v>
      </c>
      <c r="DD17" s="70">
        <f>SUM(RD[[#This Row],[33 kV_Wind_F3_Export_Reading3]],CJ17,CK17,CL17,CM17)</f>
        <v>752400.00000000175</v>
      </c>
      <c r="DE17" s="68">
        <v>140</v>
      </c>
      <c r="DF17" s="70">
        <f t="shared" si="68"/>
        <v>348149.9999999929</v>
      </c>
      <c r="DG17" s="70">
        <v>380.75</v>
      </c>
      <c r="DH17">
        <f>'WTG Reactive Power'!AB15</f>
        <v>4769.8999999999987</v>
      </c>
    </row>
    <row r="18" spans="1:112">
      <c r="A18" s="173">
        <f>YEAR(RD[[#This Row],[Date]])+IF(MONTH(RD[[#This Row],[Date]])&gt;=4,1,0)</f>
        <v>2026</v>
      </c>
      <c r="B18" s="173">
        <f>YEAR(RD[[#This Row],[Date]])</f>
        <v>2025</v>
      </c>
      <c r="C18" s="174">
        <f t="shared" si="57"/>
        <v>45748</v>
      </c>
      <c r="D18" s="173">
        <f>DAY(EOMONTH(RD[[#This Row],[Date]],0))</f>
        <v>30</v>
      </c>
      <c r="E18" s="175">
        <f t="shared" si="69"/>
        <v>45758</v>
      </c>
      <c r="F18" s="271">
        <v>0.26944444444444443</v>
      </c>
      <c r="G18" s="271">
        <v>0.73958333333333337</v>
      </c>
      <c r="H18" s="177">
        <v>20240</v>
      </c>
      <c r="I18" s="177">
        <v>19245</v>
      </c>
      <c r="J18" s="177">
        <v>20726</v>
      </c>
      <c r="K18" s="177">
        <v>17597</v>
      </c>
      <c r="L18" s="177">
        <v>16956</v>
      </c>
      <c r="M18" s="177">
        <v>20457</v>
      </c>
      <c r="N18" s="177">
        <v>19892</v>
      </c>
      <c r="O18" s="177">
        <v>20233</v>
      </c>
      <c r="P18" s="177">
        <v>19395</v>
      </c>
      <c r="Q18" s="177">
        <v>18548</v>
      </c>
      <c r="R18" s="177">
        <v>20225</v>
      </c>
      <c r="S18" s="177">
        <v>19407</v>
      </c>
      <c r="T18" s="177">
        <v>19084</v>
      </c>
      <c r="U18" s="177">
        <v>17670</v>
      </c>
      <c r="V18" s="177">
        <v>19650</v>
      </c>
      <c r="W18" s="177">
        <v>19541</v>
      </c>
      <c r="X18" s="177">
        <v>15845</v>
      </c>
      <c r="Y18" s="177">
        <v>18466</v>
      </c>
      <c r="Z18" s="177">
        <v>17589</v>
      </c>
      <c r="AA18" s="177">
        <v>17471</v>
      </c>
      <c r="AB18" s="177">
        <v>18968</v>
      </c>
      <c r="AC18" s="177">
        <v>15788</v>
      </c>
      <c r="AD18" s="177">
        <v>19432</v>
      </c>
      <c r="AE18" s="169">
        <v>6.358668965517241</v>
      </c>
      <c r="AF18" s="169">
        <v>6.2773862068965531</v>
      </c>
      <c r="AG18" s="169">
        <v>6.7292896551724137</v>
      </c>
      <c r="AH18" s="169">
        <v>6.0367793103448282</v>
      </c>
      <c r="AI18" s="169">
        <v>5.9260413793103455</v>
      </c>
      <c r="AJ18" s="169">
        <v>6.5354689655172411</v>
      </c>
      <c r="AK18" s="169">
        <v>6.4978896551724139</v>
      </c>
      <c r="AL18" s="169">
        <v>6.4987517241379296</v>
      </c>
      <c r="AM18" s="169">
        <v>6.4669310344827577</v>
      </c>
      <c r="AN18" s="169">
        <v>6.1410965517241385</v>
      </c>
      <c r="AO18" s="169">
        <v>6.6354896551724138</v>
      </c>
      <c r="AP18" s="169">
        <v>6.229717241379312</v>
      </c>
      <c r="AQ18" s="169">
        <v>6.1815999999999978</v>
      </c>
      <c r="AR18" s="169">
        <v>5.9574482758620677</v>
      </c>
      <c r="AS18" s="169">
        <v>6.4081103448275858</v>
      </c>
      <c r="AT18" s="169">
        <v>6.1937517241379325</v>
      </c>
      <c r="AU18" s="169">
        <v>6.1754405594405597</v>
      </c>
      <c r="AV18" s="169">
        <v>6.1779999999999973</v>
      </c>
      <c r="AW18" s="169">
        <v>6.0685310344827563</v>
      </c>
      <c r="AX18" s="169">
        <v>6.0100689655172426</v>
      </c>
      <c r="AY18" s="169">
        <v>6.3495999999999979</v>
      </c>
      <c r="AZ18" s="169">
        <v>6.7128571428571435</v>
      </c>
      <c r="BA18" s="169">
        <v>6.3565724137931037</v>
      </c>
      <c r="BB18" s="178">
        <f t="shared" si="58"/>
        <v>190610</v>
      </c>
      <c r="BC18" s="179">
        <f t="shared" si="59"/>
        <v>35386</v>
      </c>
      <c r="BD18" s="180">
        <f t="shared" si="60"/>
        <v>147838</v>
      </c>
      <c r="BE18" s="179">
        <f t="shared" si="61"/>
        <v>18466</v>
      </c>
      <c r="BF18" s="179">
        <f t="shared" si="62"/>
        <v>40125</v>
      </c>
      <c r="BG18" s="179">
        <f>SUM(RD[[#This Row],[KUD01]:[KUD23]])</f>
        <v>432425</v>
      </c>
      <c r="BH18" s="181">
        <f t="shared" si="63"/>
        <v>6.2720020689655165</v>
      </c>
      <c r="BI18" s="182">
        <f t="shared" si="64"/>
        <v>6.1845961417892461</v>
      </c>
      <c r="BJ18" s="182">
        <f t="shared" si="65"/>
        <v>6.3658277832512313</v>
      </c>
      <c r="BK18" s="183">
        <f t="shared" si="66"/>
        <v>6.1779999999999973</v>
      </c>
      <c r="BL18" s="61">
        <f>IFERROR(AVERAGEIF(RD[[#This Row],[WS_KUD07]:[WS_KUD08]],"&lt;&gt;0",RD[[#This Row],[WS_KUD07]:[WS_KUD08]]),"")</f>
        <v>6.4983206896551717</v>
      </c>
      <c r="BM18" s="184">
        <f>IFERROR(AVERAGE(RD[[#This Row],[WS_KUD01]:[WS_KUD23]]),"")</f>
        <v>6.3011082959020008</v>
      </c>
      <c r="BN18" s="185">
        <f>IFERROR(MAX(RD[[#This Row],[WS_KUD01]:[WS_KUD23]]),"")</f>
        <v>6.7292896551724137</v>
      </c>
      <c r="BO18" s="172">
        <v>640.30499999999995</v>
      </c>
      <c r="BP18" s="172">
        <v>880.15200000000004</v>
      </c>
      <c r="BQ18" s="172">
        <v>43.243000000000002</v>
      </c>
      <c r="BR18" s="172">
        <v>212.82599999999999</v>
      </c>
      <c r="BS18" s="172">
        <v>161.66999999999999</v>
      </c>
      <c r="BT18" s="172">
        <v>271.72500000000002</v>
      </c>
      <c r="BU18" s="172"/>
      <c r="BV18" s="172">
        <v>62.134999999999998</v>
      </c>
      <c r="BW18" s="172">
        <v>179842</v>
      </c>
      <c r="BX18" s="172">
        <v>243291</v>
      </c>
      <c r="BY18" s="172">
        <v>110.33799999999999</v>
      </c>
      <c r="BZ18" s="172">
        <v>63.44</v>
      </c>
      <c r="CA18" s="172">
        <v>262.38400000000001</v>
      </c>
      <c r="CB18" s="172">
        <v>87.444999999999993</v>
      </c>
      <c r="CC18" s="172">
        <v>0.107</v>
      </c>
      <c r="CD18" s="172">
        <v>285.57900000000001</v>
      </c>
      <c r="CE18" s="172">
        <v>0</v>
      </c>
      <c r="CF18" s="64" t="str">
        <f>IF((RD[[#This Row],[33 kV_Wind_F1_Export reading]]-BO17)*165000&lt;=0,"",(RD[[#This Row],[33 kV_Wind_F1_Export reading]]-BO17)*165000)</f>
        <v/>
      </c>
      <c r="CG18" s="64">
        <f>IF((RD[[#This Row],[33 kV_Wind_F2_Export_reading]]-BP17)*165000&lt;=0,"",(RD[[#This Row],[33 kV_Wind_F2_Export_reading]]-BP17)*165000)</f>
        <v>213840.00000000809</v>
      </c>
      <c r="CH18" s="64">
        <f>IF((RD[[#This Row],[33 kV_Wind_F3_Export_Reading]]-BQ17)*225000&lt;=0,"",(RD[[#This Row],[33 kV_Wind_F3_Export_Reading]]-BQ17)*225000)</f>
        <v>225675.00000000003</v>
      </c>
      <c r="CI18" s="64">
        <f>IF((RD[[#This Row],[33 kV_Wind_F4_Export Reading]]-BR17)*165000&lt;=0,"",(RD[[#This Row],[33 kV_Wind_F4_Export Reading]]-BR17)*165000)</f>
        <v>205259.99999999997</v>
      </c>
      <c r="CJ18" s="74">
        <f>IF((RD[[#This Row],[33 kV_Solar_F1_Export Reading]]-BS17)*225000&lt;=0,"",(RD[[#This Row],[33 kV_Solar_F1_Export Reading]]-BS17)*225000)</f>
        <v>189899.99999999866</v>
      </c>
      <c r="CK18" s="74">
        <f>IF((RD[[#This Row],[33kV_Solar_F2_Export Reading]]-BT17)*225000&lt;=0,"",(RD[[#This Row],[33kV_Solar_F2_Export Reading]]-BT17)*225000)</f>
        <v>175950.00000000879</v>
      </c>
      <c r="CL18" s="186" t="str">
        <f>IF((RD[[#This Row],[33 kV_Solar_F3_Export reading]]-BU17)*225000&lt;=0,"",(RD[[#This Row],[33 kV_Solar_F3_Export reading]]-BU17)*225000)</f>
        <v/>
      </c>
      <c r="CM18" s="63">
        <f>IF((RD[[#This Row],[32kV_Solar_F4_Export reading]]-BV17)*225000&lt;=0,"",(RD[[#This Row],[32kV_Solar_F4_Export reading]]-BV17)*225000)</f>
        <v>172574.99999999907</v>
      </c>
      <c r="CN18" s="64">
        <f>IF((RD[[#This Row],[33kV_OG1_Export reading]]-BW17)*1000&lt;=0,0,(RD[[#This Row],[33kV_OG1_Export reading]]-BW17)*1000)</f>
        <v>538000</v>
      </c>
      <c r="CO18" s="64">
        <f>IFERROR(IF((RD[[#This Row],[33kV_OG2_Export reading]]-BX17)*1000&lt;=0,0,(RD[[#This Row],[33kV_OG2_Export reading]]-BX17)*1000),0)</f>
        <v>644000</v>
      </c>
      <c r="CP18" s="74">
        <f>IF((RD[[#This Row],[220kV_TX1_Export reading]]-BY17)*800000&lt;=0,0,(RD[[#This Row],[220kV_TX1_Export reading]]-BY17)*800000)</f>
        <v>532799.99999999744</v>
      </c>
      <c r="CQ18" s="186">
        <f>IF((RD[[#This Row],[220kV_Tx2_Export reading]]-BZ17)*800000&lt;=0,0,(RD[[#This Row],[220kV_Tx2_Export reading]]-BZ17)*800000)</f>
        <v>633599.99999999558</v>
      </c>
      <c r="CR18" s="64">
        <f>IF((RD[[#This Row],[220kV_TL_TVM Export Reading]]-CA17)*1600000&lt;=0,0,(RD[[#This Row],[220kV_TL_TVM Export Reading]]-CA17)*1600000)</f>
        <v>1176000.0000000219</v>
      </c>
      <c r="CS18" s="64">
        <f>IF((RD[[#This Row],[220kV_C&amp;R_PQM reading]]-CB17)*1600000&lt;=0,"",(RD[[#This Row],[220kV_C&amp;R_PQM reading]]-CB17)*1600000)</f>
        <v>1174399.9999999914</v>
      </c>
      <c r="CT18" s="186">
        <f>IFERROR(IF((RD[[#This Row],[220KV_C&amp;R_PQM Import Reading]]-CC17)*1600000&lt;=0,0,(RD[[#This Row],[220KV_C&amp;R_PQM Import Reading]]-CC17)*1600000),"")</f>
        <v>1600.0000000000014</v>
      </c>
      <c r="CU18" s="64">
        <f>IF((RD[[#This Row],[33kV_Aux1 Import Reading]]-CD17)*1000&lt;=0,"",(RD[[#This Row],[33kV_Aux1 Import Reading]]-CD17)*1000)</f>
        <v>410.00000000002501</v>
      </c>
      <c r="CV18" s="64" t="str">
        <f>IF((RD[[#This Row],[33kV_Aux2_Import reading]]-CE17)*1000&lt;=0,"",(RD[[#This Row],[33kV_Aux2_Import reading]]-CE17)*1000)</f>
        <v/>
      </c>
      <c r="CW18" s="64">
        <f>IFERROR(RD[[#This Row],[33kV_OG1_Energy (MWh)]]+RD[[#This Row],[33kV_OG2_Energy (MWh)]],"")</f>
        <v>1182000</v>
      </c>
      <c r="CX18" s="72">
        <f>IFERROR(RD[[#This Row],[220kV_TL_TVM Energy (MWh)]]-RD[[#This Row],[220KV_C&amp;R_PQM Import (MWh)]],"")</f>
        <v>1174400.0000000219</v>
      </c>
      <c r="CY18" s="187">
        <f>IFERROR(RD[[#This Row],[33 kV Total Export (MWH)]]/RD[[#This Row],[220 KV Net Export (MWh)]]-1,"")</f>
        <v>6.4713896457577746E-3</v>
      </c>
      <c r="CZ18" s="188">
        <f t="shared" si="67"/>
        <v>50.6</v>
      </c>
      <c r="DA18" s="189">
        <v>97</v>
      </c>
      <c r="DB18" s="190"/>
      <c r="DC18" s="68">
        <f>IFERROR((RD[[#This Row],[Sunset Time (POA&lt;20 W/m2)]]-RD[[#This Row],[Sunrise Time (POA&gt;20 W/m2)]])*24,0)</f>
        <v>11.283333333333335</v>
      </c>
      <c r="DD18" s="70">
        <f>SUM(RD[[#This Row],[33 kV_Wind_F3_Export_Reading3]],CJ18,CK18,CL18,CM18)</f>
        <v>764100.00000000652</v>
      </c>
      <c r="DE18" s="68">
        <v>140</v>
      </c>
      <c r="DF18" s="70">
        <f t="shared" si="68"/>
        <v>419100.00000000803</v>
      </c>
      <c r="DG18" s="70">
        <v>432.78</v>
      </c>
      <c r="DH18">
        <f>'WTG Reactive Power'!AB16</f>
        <v>84471.4</v>
      </c>
    </row>
    <row r="19" spans="1:112">
      <c r="A19" s="173">
        <f>YEAR(RD[[#This Row],[Date]])+IF(MONTH(RD[[#This Row],[Date]])&gt;=4,1,0)</f>
        <v>2026</v>
      </c>
      <c r="B19" s="173">
        <f>YEAR(RD[[#This Row],[Date]])</f>
        <v>2025</v>
      </c>
      <c r="C19" s="174">
        <f t="shared" si="57"/>
        <v>45748</v>
      </c>
      <c r="D19" s="173">
        <f>DAY(EOMONTH(RD[[#This Row],[Date]],0))</f>
        <v>30</v>
      </c>
      <c r="E19" s="175">
        <f t="shared" si="69"/>
        <v>45759</v>
      </c>
      <c r="F19" s="296">
        <v>0.27777777777777779</v>
      </c>
      <c r="G19" s="296">
        <v>0.7631944444444444</v>
      </c>
      <c r="H19" s="177">
        <v>20467</v>
      </c>
      <c r="I19" s="177">
        <v>19450</v>
      </c>
      <c r="J19" s="177">
        <v>18406</v>
      </c>
      <c r="K19" s="177">
        <v>15246</v>
      </c>
      <c r="L19" s="177">
        <v>15683</v>
      </c>
      <c r="M19" s="177">
        <v>17665</v>
      </c>
      <c r="N19" s="177">
        <v>17448</v>
      </c>
      <c r="O19" s="177">
        <v>18872</v>
      </c>
      <c r="P19" s="177">
        <v>17354</v>
      </c>
      <c r="Q19" s="177">
        <v>16602</v>
      </c>
      <c r="R19" s="177">
        <v>16569</v>
      </c>
      <c r="S19" s="177">
        <v>17708</v>
      </c>
      <c r="T19" s="177">
        <v>18146</v>
      </c>
      <c r="U19" s="177">
        <v>16309</v>
      </c>
      <c r="V19" s="177">
        <v>16850</v>
      </c>
      <c r="W19" s="177">
        <v>20825</v>
      </c>
      <c r="X19" s="177">
        <v>19950</v>
      </c>
      <c r="Y19" s="177">
        <v>15681</v>
      </c>
      <c r="Z19" s="177">
        <v>15602</v>
      </c>
      <c r="AA19" s="177">
        <v>15725</v>
      </c>
      <c r="AB19" s="177">
        <v>17772</v>
      </c>
      <c r="AC19" s="177">
        <v>17126</v>
      </c>
      <c r="AD19" s="177">
        <v>18023</v>
      </c>
      <c r="AE19" s="169">
        <v>6.7564275862068968</v>
      </c>
      <c r="AF19" s="169">
        <v>6.5984344827586181</v>
      </c>
      <c r="AG19" s="169">
        <v>6.6140137931034513</v>
      </c>
      <c r="AH19" s="169">
        <v>6.0304344827586212</v>
      </c>
      <c r="AI19" s="169">
        <v>6.2253448275862082</v>
      </c>
      <c r="AJ19" s="169">
        <v>6.3497586206896592</v>
      </c>
      <c r="AK19" s="169">
        <v>6.4126689655172404</v>
      </c>
      <c r="AL19" s="169">
        <v>6.6365586206896543</v>
      </c>
      <c r="AM19" s="169">
        <v>6.4263241379310365</v>
      </c>
      <c r="AN19" s="169">
        <v>6.1671999999999976</v>
      </c>
      <c r="AO19" s="169">
        <v>6.4480413793103448</v>
      </c>
      <c r="AP19" s="169">
        <v>6.402427586206894</v>
      </c>
      <c r="AQ19" s="169">
        <v>6.4804413793103439</v>
      </c>
      <c r="AR19" s="169">
        <v>6.1949655172413758</v>
      </c>
      <c r="AS19" s="169">
        <v>6.9490992907801434</v>
      </c>
      <c r="AT19" s="169">
        <v>6.7542896551724141</v>
      </c>
      <c r="AU19" s="169">
        <v>6.6955172413793109</v>
      </c>
      <c r="AV19" s="169">
        <v>6.2024689655172391</v>
      </c>
      <c r="AW19" s="169">
        <v>6.2299310344827559</v>
      </c>
      <c r="AX19" s="169">
        <v>6.2027999999999999</v>
      </c>
      <c r="AY19" s="169">
        <v>6.5524689655172459</v>
      </c>
      <c r="AZ19" s="169">
        <v>6.5233448275862047</v>
      </c>
      <c r="BA19" s="169">
        <v>6.4628344827586197</v>
      </c>
      <c r="BB19" s="178">
        <f t="shared" si="58"/>
        <v>172384</v>
      </c>
      <c r="BC19" s="179">
        <f t="shared" si="59"/>
        <v>40775</v>
      </c>
      <c r="BD19" s="180">
        <f t="shared" si="60"/>
        <v>138319</v>
      </c>
      <c r="BE19" s="179">
        <f t="shared" si="61"/>
        <v>15681</v>
      </c>
      <c r="BF19" s="179">
        <f t="shared" si="62"/>
        <v>36320</v>
      </c>
      <c r="BG19" s="179">
        <f>SUM(RD[[#This Row],[KUD01]:[KUD23]])</f>
        <v>403479</v>
      </c>
      <c r="BH19" s="181">
        <f t="shared" si="63"/>
        <v>6.4445347566642202</v>
      </c>
      <c r="BI19" s="182">
        <f t="shared" si="64"/>
        <v>6.7249034482758621</v>
      </c>
      <c r="BJ19" s="182">
        <f t="shared" si="65"/>
        <v>6.4218172413793111</v>
      </c>
      <c r="BK19" s="183">
        <f t="shared" si="66"/>
        <v>6.2024689655172391</v>
      </c>
      <c r="BL19" s="61">
        <f>IFERROR(AVERAGEIF(RD[[#This Row],[WS_KUD07]:[WS_KUD08]],"&lt;&gt;0",RD[[#This Row],[WS_KUD07]:[WS_KUD08]]),"")</f>
        <v>6.5246137931034474</v>
      </c>
      <c r="BM19" s="184">
        <f>IFERROR(AVERAGE(RD[[#This Row],[WS_KUD01]:[WS_KUD23]]),"")</f>
        <v>6.4485128627175774</v>
      </c>
      <c r="BN19" s="185">
        <f>IFERROR(MAX(RD[[#This Row],[WS_KUD01]:[WS_KUD23]]),"")</f>
        <v>6.9490992907801434</v>
      </c>
      <c r="BO19" s="172">
        <v>640.30499999999995</v>
      </c>
      <c r="BP19" s="172">
        <v>881.37800000000004</v>
      </c>
      <c r="BQ19" s="172">
        <v>44.201999999999998</v>
      </c>
      <c r="BR19" s="172">
        <v>213.94200000000001</v>
      </c>
      <c r="BS19" s="172">
        <v>162.49</v>
      </c>
      <c r="BT19" s="172">
        <v>272.49900000000002</v>
      </c>
      <c r="BU19" s="172"/>
      <c r="BV19" s="172">
        <v>62.872999999999998</v>
      </c>
      <c r="BW19" s="172">
        <v>180367</v>
      </c>
      <c r="BX19" s="172">
        <v>243894</v>
      </c>
      <c r="BY19" s="172">
        <v>110.988</v>
      </c>
      <c r="BZ19" s="172">
        <v>64.188000000000002</v>
      </c>
      <c r="CA19" s="172">
        <v>263.08300000000003</v>
      </c>
      <c r="CB19" s="172">
        <v>88.147000000000006</v>
      </c>
      <c r="CC19" s="172">
        <v>0.107</v>
      </c>
      <c r="CD19" s="172">
        <v>285.98899999999998</v>
      </c>
      <c r="CE19" s="172">
        <v>0</v>
      </c>
      <c r="CF19" s="64" t="str">
        <f>IF((RD[[#This Row],[33 kV_Wind_F1_Export reading]]-BO18)*165000&lt;=0,"",(RD[[#This Row],[33 kV_Wind_F1_Export reading]]-BO18)*165000)</f>
        <v/>
      </c>
      <c r="CG19" s="64">
        <f>IF((RD[[#This Row],[33 kV_Wind_F2_Export_reading]]-BP18)*165000&lt;=0,"",(RD[[#This Row],[33 kV_Wind_F2_Export_reading]]-BP18)*165000)</f>
        <v>202289.99999999985</v>
      </c>
      <c r="CH19" s="64">
        <f>IF((RD[[#This Row],[33 kV_Wind_F3_Export_Reading]]-BQ18)*225000&lt;=0,"",(RD[[#This Row],[33 kV_Wind_F3_Export_Reading]]-BQ18)*225000)</f>
        <v>215774.99999999913</v>
      </c>
      <c r="CI19" s="64">
        <f>IF((RD[[#This Row],[33 kV_Wind_F4_Export Reading]]-BR18)*165000&lt;=0,"",(RD[[#This Row],[33 kV_Wind_F4_Export Reading]]-BR18)*165000)</f>
        <v>184140.0000000023</v>
      </c>
      <c r="CJ19" s="74">
        <f>IF((RD[[#This Row],[33 kV_Solar_F1_Export Reading]]-BS18)*225000&lt;=0,"",(RD[[#This Row],[33 kV_Solar_F1_Export Reading]]-BS18)*225000)</f>
        <v>184500.00000000486</v>
      </c>
      <c r="CK19" s="74">
        <f>IF((RD[[#This Row],[33kV_Solar_F2_Export Reading]]-BT18)*225000&lt;=0,"",(RD[[#This Row],[33kV_Solar_F2_Export Reading]]-BT18)*225000)</f>
        <v>174150.0000000002</v>
      </c>
      <c r="CL19" s="186" t="str">
        <f>IF((RD[[#This Row],[33 kV_Solar_F3_Export reading]]-BU18)*225000&lt;=0,"",(RD[[#This Row],[33 kV_Solar_F3_Export reading]]-BU18)*225000)</f>
        <v/>
      </c>
      <c r="CM19" s="63">
        <f>IF((RD[[#This Row],[32kV_Solar_F4_Export reading]]-BV18)*225000&lt;=0,"",(RD[[#This Row],[32kV_Solar_F4_Export reading]]-BV18)*225000)</f>
        <v>166049.99999999988</v>
      </c>
      <c r="CN19" s="64">
        <f>IF((RD[[#This Row],[33kV_OG1_Export reading]]-BW18)*1000&lt;=0,0,(RD[[#This Row],[33kV_OG1_Export reading]]-BW18)*1000)</f>
        <v>525000</v>
      </c>
      <c r="CO19" s="64">
        <f>IFERROR(IF((RD[[#This Row],[33kV_OG2_Export reading]]-BX18)*1000&lt;=0,0,(RD[[#This Row],[33kV_OG2_Export reading]]-BX18)*1000),0)</f>
        <v>603000</v>
      </c>
      <c r="CP19" s="74">
        <f>IF((RD[[#This Row],[220kV_TX1_Export reading]]-BY18)*800000&lt;=0,0,(RD[[#This Row],[220kV_TX1_Export reading]]-BY18)*800000)</f>
        <v>520000.00000000454</v>
      </c>
      <c r="CQ19" s="186">
        <f>IF((RD[[#This Row],[220kV_Tx2_Export reading]]-BZ18)*800000&lt;=0,0,(RD[[#This Row],[220kV_Tx2_Export reading]]-BZ18)*800000)</f>
        <v>598400.00000000373</v>
      </c>
      <c r="CR19" s="64">
        <f>IF((RD[[#This Row],[220kV_TL_TVM Export Reading]]-CA18)*1600000&lt;=0,0,(RD[[#This Row],[220kV_TL_TVM Export Reading]]-CA18)*1600000)</f>
        <v>1118400.0000000196</v>
      </c>
      <c r="CS19" s="64">
        <f>IF((RD[[#This Row],[220kV_C&amp;R_PQM reading]]-CB18)*1600000&lt;=0,"",(RD[[#This Row],[220kV_C&amp;R_PQM reading]]-CB18)*1600000)</f>
        <v>1123200.0000000198</v>
      </c>
      <c r="CT19" s="186">
        <f>IFERROR(IF((RD[[#This Row],[220KV_C&amp;R_PQM Import Reading]]-CC18)*1600000&lt;=0,0,(RD[[#This Row],[220KV_C&amp;R_PQM Import Reading]]-CC18)*1600000),"")</f>
        <v>0</v>
      </c>
      <c r="CU19" s="64">
        <f>IF((RD[[#This Row],[33kV_Aux1 Import Reading]]-CD18)*1000&lt;=0,"",(RD[[#This Row],[33kV_Aux1 Import Reading]]-CD18)*1000)</f>
        <v>409.99999999996817</v>
      </c>
      <c r="CV19" s="64" t="str">
        <f>IF((RD[[#This Row],[33kV_Aux2_Import reading]]-CE18)*1000&lt;=0,"",(RD[[#This Row],[33kV_Aux2_Import reading]]-CE18)*1000)</f>
        <v/>
      </c>
      <c r="CW19" s="64">
        <f>IFERROR(RD[[#This Row],[33kV_OG1_Energy (MWh)]]+RD[[#This Row],[33kV_OG2_Energy (MWh)]],"")</f>
        <v>1128000</v>
      </c>
      <c r="CX19" s="72">
        <f>IFERROR(RD[[#This Row],[220kV_TL_TVM Energy (MWh)]]-RD[[#This Row],[220KV_C&amp;R_PQM Import (MWh)]],"")</f>
        <v>1118400.0000000196</v>
      </c>
      <c r="CY19" s="187">
        <f>IFERROR(RD[[#This Row],[33 kV Total Export (MWH)]]/RD[[#This Row],[220 KV Net Export (MWh)]]-1,"")</f>
        <v>8.5836909871068734E-3</v>
      </c>
      <c r="CZ19" s="188">
        <f t="shared" si="67"/>
        <v>50.6</v>
      </c>
      <c r="DA19" s="189">
        <v>97</v>
      </c>
      <c r="DB19" s="190"/>
      <c r="DC19" s="68">
        <f>IFERROR((RD[[#This Row],[Sunset Time (POA&lt;20 W/m2)]]-RD[[#This Row],[Sunrise Time (POA&gt;20 W/m2)]])*24,0)</f>
        <v>11.649999999999999</v>
      </c>
      <c r="DD19" s="70">
        <f>SUM(RD[[#This Row],[33 kV_Wind_F3_Export_Reading3]],CJ19,CK19,CL19,CM19)</f>
        <v>740475.00000000407</v>
      </c>
      <c r="DE19" s="68">
        <v>140</v>
      </c>
      <c r="DF19" s="70">
        <f t="shared" si="68"/>
        <v>386430.00000000215</v>
      </c>
      <c r="DG19" s="70">
        <v>407.49</v>
      </c>
      <c r="DH19">
        <f>'WTG Reactive Power'!AB17</f>
        <v>37239.30000000001</v>
      </c>
    </row>
    <row r="20" spans="1:112">
      <c r="A20" s="173">
        <f>YEAR(RD[[#This Row],[Date]])+IF(MONTH(RD[[#This Row],[Date]])&gt;=4,1,0)</f>
        <v>2026</v>
      </c>
      <c r="B20" s="173">
        <f>YEAR(RD[[#This Row],[Date]])</f>
        <v>2025</v>
      </c>
      <c r="C20" s="174">
        <f t="shared" si="57"/>
        <v>45748</v>
      </c>
      <c r="D20" s="173">
        <f>DAY(EOMONTH(RD[[#This Row],[Date]],0))</f>
        <v>30</v>
      </c>
      <c r="E20" s="175">
        <f t="shared" si="69"/>
        <v>45760</v>
      </c>
      <c r="F20" s="296">
        <v>0.27916666666666667</v>
      </c>
      <c r="G20" s="296">
        <v>0.7583333333333333</v>
      </c>
      <c r="H20" s="177">
        <v>5946</v>
      </c>
      <c r="I20" s="177">
        <v>5969</v>
      </c>
      <c r="J20" s="177">
        <v>4631</v>
      </c>
      <c r="K20" s="177">
        <v>3761</v>
      </c>
      <c r="L20" s="177">
        <v>4457</v>
      </c>
      <c r="M20" s="177">
        <v>4112</v>
      </c>
      <c r="N20" s="177">
        <v>4207</v>
      </c>
      <c r="O20" s="177">
        <v>5119</v>
      </c>
      <c r="P20" s="177">
        <v>4790</v>
      </c>
      <c r="Q20" s="177">
        <v>4268</v>
      </c>
      <c r="R20" s="177">
        <v>4441</v>
      </c>
      <c r="S20" s="177">
        <v>4417</v>
      </c>
      <c r="T20" s="177">
        <v>4799</v>
      </c>
      <c r="U20" s="177">
        <v>4059</v>
      </c>
      <c r="V20" s="177">
        <v>6551</v>
      </c>
      <c r="W20" s="177">
        <v>6198</v>
      </c>
      <c r="X20" s="177">
        <v>5838</v>
      </c>
      <c r="Y20" s="177">
        <v>4856</v>
      </c>
      <c r="Z20" s="177">
        <v>4726</v>
      </c>
      <c r="AA20" s="177">
        <v>3992</v>
      </c>
      <c r="AB20" s="177">
        <v>5037</v>
      </c>
      <c r="AC20" s="177">
        <v>4758</v>
      </c>
      <c r="AD20" s="177">
        <v>5435</v>
      </c>
      <c r="AE20" s="169">
        <v>4.2183724137931042</v>
      </c>
      <c r="AF20" s="169">
        <v>4.2369999999999983</v>
      </c>
      <c r="AG20" s="169">
        <v>4.0256827586206896</v>
      </c>
      <c r="AH20" s="169">
        <v>3.9399517241379303</v>
      </c>
      <c r="AI20" s="169">
        <v>4.0729862068965526</v>
      </c>
      <c r="AJ20" s="169">
        <v>3.8898068965517254</v>
      </c>
      <c r="AK20" s="169">
        <v>3.945386206896552</v>
      </c>
      <c r="AL20" s="169">
        <v>4.1341448275862058</v>
      </c>
      <c r="AM20" s="169">
        <v>4.2904620689655149</v>
      </c>
      <c r="AN20" s="169">
        <v>3.8888758620689652</v>
      </c>
      <c r="AO20" s="169">
        <v>4.0787586206896531</v>
      </c>
      <c r="AP20" s="169">
        <v>3.9914068965517235</v>
      </c>
      <c r="AQ20" s="169">
        <v>4.0718482758620693</v>
      </c>
      <c r="AR20" s="169">
        <v>3.9314620689655175</v>
      </c>
      <c r="AS20" s="169">
        <v>4.4312137931034501</v>
      </c>
      <c r="AT20" s="169">
        <v>4.2741448275862028</v>
      </c>
      <c r="AU20" s="169">
        <v>4.2375034482758629</v>
      </c>
      <c r="AV20" s="169">
        <v>4.0954620689655199</v>
      </c>
      <c r="AW20" s="169">
        <v>4.2080413793103437</v>
      </c>
      <c r="AX20" s="169">
        <v>4.0798206896551727</v>
      </c>
      <c r="AY20" s="169">
        <v>4.2412137931034506</v>
      </c>
      <c r="AZ20" s="169">
        <v>4.2054620689655158</v>
      </c>
      <c r="BA20" s="169">
        <v>4.172289655172408</v>
      </c>
      <c r="BB20" s="178">
        <f t="shared" si="58"/>
        <v>47830</v>
      </c>
      <c r="BC20" s="179">
        <f t="shared" si="59"/>
        <v>12036</v>
      </c>
      <c r="BD20" s="180">
        <f t="shared" ref="BD20:BD83" si="70">SUM(I20,K20,L20,M20,P20,AB20,AC20,AD20)</f>
        <v>38319</v>
      </c>
      <c r="BE20" s="179">
        <f t="shared" si="61"/>
        <v>4856</v>
      </c>
      <c r="BF20" s="179">
        <f t="shared" ref="BF20:BF83" si="71">SUM($N20:$O20)</f>
        <v>9326</v>
      </c>
      <c r="BG20" s="179">
        <f>SUM(RD[[#This Row],[KUD01]:[KUD23]])</f>
        <v>112367</v>
      </c>
      <c r="BH20" s="181">
        <f t="shared" si="63"/>
        <v>4.0925482758620699</v>
      </c>
      <c r="BI20" s="182">
        <f t="shared" si="64"/>
        <v>4.2558241379310324</v>
      </c>
      <c r="BJ20" s="182">
        <f t="shared" si="65"/>
        <v>4.1128703448275852</v>
      </c>
      <c r="BK20" s="183">
        <f t="shared" si="66"/>
        <v>4.0954620689655199</v>
      </c>
      <c r="BL20" s="61">
        <f>IFERROR(AVERAGEIF(RD[[#This Row],[WS_KUD07]:[WS_KUD08]],"&lt;&gt;0",RD[[#This Row],[WS_KUD07]:[WS_KUD08]]),"")</f>
        <v>4.0397655172413787</v>
      </c>
      <c r="BM20" s="184">
        <f>IFERROR(AVERAGE(RD[[#This Row],[WS_KUD01]:[WS_KUD23]]),"")</f>
        <v>4.1157085457271361</v>
      </c>
      <c r="BN20" s="185">
        <f>IFERROR(MAX(RD[[#This Row],[WS_KUD01]:[WS_KUD23]]),"")</f>
        <v>4.4312137931034501</v>
      </c>
      <c r="BO20" s="172">
        <v>640.30499999999995</v>
      </c>
      <c r="BP20" s="172">
        <v>881.72500000000002</v>
      </c>
      <c r="BQ20" s="172">
        <v>45.252000000000002</v>
      </c>
      <c r="BR20" s="172">
        <v>214.256</v>
      </c>
      <c r="BS20" s="172">
        <v>163.376</v>
      </c>
      <c r="BT20" s="172">
        <v>273.31900000000002</v>
      </c>
      <c r="BU20" s="172"/>
      <c r="BV20" s="172">
        <v>63.686</v>
      </c>
      <c r="BW20" s="172">
        <v>180934</v>
      </c>
      <c r="BX20" s="172">
        <v>244239</v>
      </c>
      <c r="BY20" s="172">
        <v>111.688</v>
      </c>
      <c r="BZ20" s="172">
        <v>64.611999999999995</v>
      </c>
      <c r="CA20" s="172">
        <v>263.64800000000002</v>
      </c>
      <c r="CB20" s="172">
        <v>88.712999999999994</v>
      </c>
      <c r="CC20" s="172">
        <v>0.108</v>
      </c>
      <c r="CD20" s="172">
        <v>286.40899999999999</v>
      </c>
      <c r="CE20" s="172">
        <v>0</v>
      </c>
      <c r="CF20" s="64" t="str">
        <f>IF((RD[[#This Row],[33 kV_Wind_F1_Export reading]]-BO19)*165000&lt;=0,"",(RD[[#This Row],[33 kV_Wind_F1_Export reading]]-BO19)*165000)</f>
        <v/>
      </c>
      <c r="CG20" s="64">
        <f>IF((RD[[#This Row],[33 kV_Wind_F2_Export_reading]]-BP19)*165000&lt;=0,"",(RD[[#This Row],[33 kV_Wind_F2_Export_reading]]-BP19)*165000)</f>
        <v>57254.999999996697</v>
      </c>
      <c r="CH20" s="64">
        <f>IF((RD[[#This Row],[33 kV_Wind_F3_Export_Reading]]-BQ19)*225000&lt;=0,"",(RD[[#This Row],[33 kV_Wind_F3_Export_Reading]]-BQ19)*225000)</f>
        <v>236250.00000000096</v>
      </c>
      <c r="CI20" s="64">
        <f>IF((RD[[#This Row],[33 kV_Wind_F4_Export Reading]]-BR19)*165000&lt;=0,"",(RD[[#This Row],[33 kV_Wind_F4_Export Reading]]-BR19)*165000)</f>
        <v>51809.999999998836</v>
      </c>
      <c r="CJ20" s="74">
        <f>IF((RD[[#This Row],[33 kV_Solar_F1_Export Reading]]-BS19)*225000&lt;=0,"",(RD[[#This Row],[33 kV_Solar_F1_Export Reading]]-BS19)*225000)</f>
        <v>199349.99999999904</v>
      </c>
      <c r="CK20" s="74">
        <f>IF((RD[[#This Row],[33kV_Solar_F2_Export Reading]]-BT19)*225000&lt;=0,"",(RD[[#This Row],[33kV_Solar_F2_Export Reading]]-BT19)*225000)</f>
        <v>184499.99999999846</v>
      </c>
      <c r="CL20" s="186" t="str">
        <f>IF((RD[[#This Row],[33 kV_Solar_F3_Export reading]]-BU19)*225000&lt;=0,"",(RD[[#This Row],[33 kV_Solar_F3_Export reading]]-BU19)*225000)</f>
        <v/>
      </c>
      <c r="CM20" s="63">
        <f>IF((RD[[#This Row],[32kV_Solar_F4_Export reading]]-BV19)*225000&lt;=0,"",(RD[[#This Row],[32kV_Solar_F4_Export reading]]-BV19)*225000)</f>
        <v>182925.00000000052</v>
      </c>
      <c r="CN20" s="64">
        <f>IF((RD[[#This Row],[33kV_OG1_Export reading]]-BW19)*1000&lt;=0,0,(RD[[#This Row],[33kV_OG1_Export reading]]-BW19)*1000)</f>
        <v>567000</v>
      </c>
      <c r="CO20" s="64">
        <f>IFERROR(IF((RD[[#This Row],[33kV_OG2_Export reading]]-BX19)*1000&lt;=0,0,(RD[[#This Row],[33kV_OG2_Export reading]]-BX19)*1000),0)</f>
        <v>345000</v>
      </c>
      <c r="CP20" s="74">
        <f>IF((RD[[#This Row],[220kV_TX1_Export reading]]-BY19)*800000&lt;=0,0,(RD[[#This Row],[220kV_TX1_Export reading]]-BY19)*800000)</f>
        <v>560000.00000000233</v>
      </c>
      <c r="CQ20" s="186">
        <f>IF((RD[[#This Row],[220kV_Tx2_Export reading]]-BZ19)*800000&lt;=0,0,(RD[[#This Row],[220kV_Tx2_Export reading]]-BZ19)*800000)</f>
        <v>339199.99999999389</v>
      </c>
      <c r="CR20" s="64">
        <f>IF((RD[[#This Row],[220kV_TL_TVM Export Reading]]-CA19)*1600000&lt;=0,0,(RD[[#This Row],[220kV_TL_TVM Export Reading]]-CA19)*1600000)</f>
        <v>903999.99999999639</v>
      </c>
      <c r="CS20" s="64">
        <f>IF((RD[[#This Row],[220kV_C&amp;R_PQM reading]]-CB19)*1600000&lt;=0,"",(RD[[#This Row],[220kV_C&amp;R_PQM reading]]-CB19)*1600000)</f>
        <v>905599.99999998126</v>
      </c>
      <c r="CT20" s="186">
        <f>IFERROR(IF((RD[[#This Row],[220KV_C&amp;R_PQM Import Reading]]-CC19)*1600000&lt;=0,0,(RD[[#This Row],[220KV_C&amp;R_PQM Import Reading]]-CC19)*1600000),"")</f>
        <v>1600.0000000000014</v>
      </c>
      <c r="CU20" s="64">
        <f>IF((RD[[#This Row],[33kV_Aux1 Import Reading]]-CD19)*1000&lt;=0,"",(RD[[#This Row],[33kV_Aux1 Import Reading]]-CD19)*1000)</f>
        <v>420.00000000001592</v>
      </c>
      <c r="CV20" s="64" t="str">
        <f>IF((RD[[#This Row],[33kV_Aux2_Import reading]]-CE19)*1000&lt;=0,"",(RD[[#This Row],[33kV_Aux2_Import reading]]-CE19)*1000)</f>
        <v/>
      </c>
      <c r="CW20" s="64">
        <f>IFERROR(RD[[#This Row],[33kV_OG1_Energy (MWh)]]+RD[[#This Row],[33kV_OG2_Energy (MWh)]],"")</f>
        <v>912000</v>
      </c>
      <c r="CX20" s="72">
        <f>IFERROR(RD[[#This Row],[220kV_TL_TVM Energy (MWh)]]-RD[[#This Row],[220KV_C&amp;R_PQM Import (MWh)]],"")</f>
        <v>902399.99999999639</v>
      </c>
      <c r="CY20" s="187">
        <f>IFERROR(RD[[#This Row],[33 kV Total Export (MWH)]]/RD[[#This Row],[220 KV Net Export (MWh)]]-1,"")</f>
        <v>1.0638297872344493E-2</v>
      </c>
      <c r="CZ20" s="188">
        <f t="shared" si="67"/>
        <v>50.6</v>
      </c>
      <c r="DA20" s="189">
        <v>97</v>
      </c>
      <c r="DB20" s="190"/>
      <c r="DC20" s="68">
        <f>IFERROR((RD[[#This Row],[Sunset Time (POA&lt;20 W/m2)]]-RD[[#This Row],[Sunrise Time (POA&gt;20 W/m2)]])*24,0)</f>
        <v>11.5</v>
      </c>
      <c r="DD20" s="70">
        <f>SUM(RD[[#This Row],[33 kV_Wind_F3_Export_Reading3]],CJ20,CK20,CL20,CM20)</f>
        <v>803024.99999999907</v>
      </c>
      <c r="DE20" s="68">
        <v>140</v>
      </c>
      <c r="DF20" s="70">
        <f t="shared" si="68"/>
        <v>109064.99999999553</v>
      </c>
      <c r="DG20" s="70">
        <v>113.37</v>
      </c>
      <c r="DH20">
        <f>'WTG Reactive Power'!AB18</f>
        <v>12860.300000000001</v>
      </c>
    </row>
    <row r="21" spans="1:112">
      <c r="A21" s="173">
        <f>YEAR(RD[[#This Row],[Date]])+IF(MONTH(RD[[#This Row],[Date]])&gt;=4,1,0)</f>
        <v>2026</v>
      </c>
      <c r="B21" s="173">
        <f>YEAR(RD[[#This Row],[Date]])</f>
        <v>2025</v>
      </c>
      <c r="C21" s="174">
        <f t="shared" si="57"/>
        <v>45748</v>
      </c>
      <c r="D21" s="173">
        <f>DAY(EOMONTH(RD[[#This Row],[Date]],0))</f>
        <v>30</v>
      </c>
      <c r="E21" s="175">
        <f t="shared" si="69"/>
        <v>45761</v>
      </c>
      <c r="F21" s="296">
        <v>0.27013888888888887</v>
      </c>
      <c r="G21" s="296">
        <v>0.75763888888888886</v>
      </c>
      <c r="H21" s="177">
        <v>6512</v>
      </c>
      <c r="I21" s="177">
        <v>7623</v>
      </c>
      <c r="J21" s="177">
        <v>7563</v>
      </c>
      <c r="K21" s="177">
        <v>6712</v>
      </c>
      <c r="L21" s="177">
        <v>5936</v>
      </c>
      <c r="M21" s="177">
        <v>7444</v>
      </c>
      <c r="N21" s="177">
        <v>7557</v>
      </c>
      <c r="O21" s="177">
        <v>5745</v>
      </c>
      <c r="P21" s="177">
        <v>6620</v>
      </c>
      <c r="Q21" s="177">
        <v>5726</v>
      </c>
      <c r="R21" s="177">
        <v>5796</v>
      </c>
      <c r="S21" s="177">
        <v>5187</v>
      </c>
      <c r="T21" s="177">
        <v>5481</v>
      </c>
      <c r="U21" s="177">
        <v>5339</v>
      </c>
      <c r="V21" s="177">
        <v>7184</v>
      </c>
      <c r="W21" s="177">
        <v>8830</v>
      </c>
      <c r="X21" s="177">
        <v>7466</v>
      </c>
      <c r="Y21" s="177">
        <v>6716</v>
      </c>
      <c r="Z21" s="177">
        <v>4435</v>
      </c>
      <c r="AA21" s="177">
        <v>3947</v>
      </c>
      <c r="AB21" s="177">
        <v>7153</v>
      </c>
      <c r="AC21" s="177">
        <v>5602</v>
      </c>
      <c r="AD21" s="177">
        <v>6357</v>
      </c>
      <c r="AE21" s="169">
        <v>4.358037593984962</v>
      </c>
      <c r="AF21" s="169">
        <v>4.4083862068965534</v>
      </c>
      <c r="AG21" s="169">
        <v>4.6893185185185189</v>
      </c>
      <c r="AH21" s="169">
        <v>4.1294137931034474</v>
      </c>
      <c r="AI21" s="169">
        <v>4.116979310344826</v>
      </c>
      <c r="AJ21" s="169">
        <v>4.3302413793103431</v>
      </c>
      <c r="AK21" s="169">
        <v>4.3734965517241342</v>
      </c>
      <c r="AL21" s="169">
        <v>5.1541888888888892</v>
      </c>
      <c r="AM21" s="169">
        <v>4.3555862068965503</v>
      </c>
      <c r="AN21" s="169">
        <v>4.1542692307692306</v>
      </c>
      <c r="AO21" s="169">
        <v>4.4115407407407394</v>
      </c>
      <c r="AP21" s="169">
        <v>4.2345530303030285</v>
      </c>
      <c r="AQ21" s="169">
        <v>4.2381555555555561</v>
      </c>
      <c r="AR21" s="169">
        <v>4.1918518518518511</v>
      </c>
      <c r="AS21" s="169">
        <v>4.6156666666666668</v>
      </c>
      <c r="AT21" s="169">
        <v>4.5113310344827564</v>
      </c>
      <c r="AU21" s="169">
        <v>4.4995517241379304</v>
      </c>
      <c r="AV21" s="169">
        <v>4.2719103448275852</v>
      </c>
      <c r="AW21" s="169">
        <v>4.1092125984251959</v>
      </c>
      <c r="AX21" s="169">
        <v>3.9860447761194031</v>
      </c>
      <c r="AY21" s="169">
        <v>4.397758620689654</v>
      </c>
      <c r="AZ21" s="169">
        <v>4.1825724137931051</v>
      </c>
      <c r="BA21" s="169">
        <v>4.1541172413793106</v>
      </c>
      <c r="BB21" s="178">
        <f t="shared" si="58"/>
        <v>57170</v>
      </c>
      <c r="BC21" s="179">
        <f t="shared" si="59"/>
        <v>16296</v>
      </c>
      <c r="BD21" s="180">
        <f t="shared" si="70"/>
        <v>53447</v>
      </c>
      <c r="BE21" s="179">
        <f t="shared" si="61"/>
        <v>6716</v>
      </c>
      <c r="BF21" s="179">
        <f t="shared" si="71"/>
        <v>13302</v>
      </c>
      <c r="BG21" s="179">
        <f>SUM(RD[[#This Row],[KUD01]:[KUD23]])</f>
        <v>146931</v>
      </c>
      <c r="BH21" s="181">
        <f t="shared" si="63"/>
        <v>4.2988650562935149</v>
      </c>
      <c r="BI21" s="182">
        <f t="shared" si="64"/>
        <v>4.5054413793103434</v>
      </c>
      <c r="BJ21" s="182">
        <f t="shared" si="65"/>
        <v>4.3602740613026807</v>
      </c>
      <c r="BK21" s="183">
        <f t="shared" si="66"/>
        <v>4.2719103448275852</v>
      </c>
      <c r="BL21" s="61">
        <f>IFERROR(AVERAGEIF(RD[[#This Row],[WS_KUD07]:[WS_KUD08]],"&lt;&gt;0",RD[[#This Row],[WS_KUD07]:[WS_KUD08]]),"")</f>
        <v>4.7638427203065117</v>
      </c>
      <c r="BM21" s="184">
        <f>IFERROR(AVERAGE(RD[[#This Row],[WS_KUD01]:[WS_KUD23]]),"")</f>
        <v>4.3423558382352283</v>
      </c>
      <c r="BN21" s="185">
        <f>IFERROR(MAX(RD[[#This Row],[WS_KUD01]:[WS_KUD23]]),"")</f>
        <v>5.1541888888888892</v>
      </c>
      <c r="BO21" s="172">
        <v>640.30499999999995</v>
      </c>
      <c r="BP21" s="172">
        <v>882.22199999999998</v>
      </c>
      <c r="BQ21" s="172">
        <v>46.289000000000001</v>
      </c>
      <c r="BR21" s="172">
        <v>214.63200000000001</v>
      </c>
      <c r="BS21" s="172">
        <v>164.29</v>
      </c>
      <c r="BT21" s="172">
        <v>274.16199999999998</v>
      </c>
      <c r="BU21" s="172"/>
      <c r="BV21" s="172">
        <v>64.501000000000005</v>
      </c>
      <c r="BW21" s="172">
        <v>181513</v>
      </c>
      <c r="BX21" s="172">
        <v>244614</v>
      </c>
      <c r="BY21" s="172">
        <v>112.404</v>
      </c>
      <c r="BZ21" s="172">
        <v>65.072000000000003</v>
      </c>
      <c r="CA21" s="172">
        <v>264.24099999999999</v>
      </c>
      <c r="CB21" s="172">
        <v>89.305000000000007</v>
      </c>
      <c r="CC21" s="172">
        <v>0.108</v>
      </c>
      <c r="CD21" s="172">
        <v>286.839</v>
      </c>
      <c r="CE21" s="172">
        <v>0</v>
      </c>
      <c r="CF21" s="64" t="str">
        <f>IF((RD[[#This Row],[33 kV_Wind_F1_Export reading]]-BO20)*165000&lt;=0,"",(RD[[#This Row],[33 kV_Wind_F1_Export reading]]-BO20)*165000)</f>
        <v/>
      </c>
      <c r="CG21" s="64">
        <f>IF((RD[[#This Row],[33 kV_Wind_F2_Export_reading]]-BP20)*165000&lt;=0,"",(RD[[#This Row],[33 kV_Wind_F2_Export_reading]]-BP20)*165000)</f>
        <v>82004.999999992942</v>
      </c>
      <c r="CH21" s="64">
        <f>IF((RD[[#This Row],[33 kV_Wind_F3_Export_Reading]]-BQ20)*225000&lt;=0,"",(RD[[#This Row],[33 kV_Wind_F3_Export_Reading]]-BQ20)*225000)</f>
        <v>233324.9999999998</v>
      </c>
      <c r="CI21" s="64">
        <f>IF((RD[[#This Row],[33 kV_Wind_F4_Export Reading]]-BR20)*165000&lt;=0,"",(RD[[#This Row],[33 kV_Wind_F4_Export Reading]]-BR20)*165000)</f>
        <v>62040.000000000786</v>
      </c>
      <c r="CJ21" s="74">
        <f>IF((RD[[#This Row],[33 kV_Solar_F1_Export Reading]]-BS20)*225000&lt;=0,"",(RD[[#This Row],[33 kV_Solar_F1_Export Reading]]-BS20)*225000)</f>
        <v>205649.99999999715</v>
      </c>
      <c r="CK21" s="74">
        <f>IF((RD[[#This Row],[33kV_Solar_F2_Export Reading]]-BT20)*225000&lt;=0,"",(RD[[#This Row],[33kV_Solar_F2_Export Reading]]-BT20)*225000)</f>
        <v>189674.99999999121</v>
      </c>
      <c r="CL21" s="186" t="str">
        <f>IF((RD[[#This Row],[33 kV_Solar_F3_Export reading]]-BU20)*225000&lt;=0,"",(RD[[#This Row],[33 kV_Solar_F3_Export reading]]-BU20)*225000)</f>
        <v/>
      </c>
      <c r="CM21" s="63">
        <f>IF((RD[[#This Row],[32kV_Solar_F4_Export reading]]-BV20)*225000&lt;=0,"",(RD[[#This Row],[32kV_Solar_F4_Export reading]]-BV20)*225000)</f>
        <v>183375.00000000108</v>
      </c>
      <c r="CN21" s="64">
        <f>IF((RD[[#This Row],[33kV_OG1_Export reading]]-BW20)*1000&lt;=0,0,(RD[[#This Row],[33kV_OG1_Export reading]]-BW20)*1000)</f>
        <v>579000</v>
      </c>
      <c r="CO21" s="64">
        <f>IFERROR(IF((RD[[#This Row],[33kV_OG2_Export reading]]-BX20)*1000&lt;=0,0,(RD[[#This Row],[33kV_OG2_Export reading]]-BX20)*1000),0)</f>
        <v>375000</v>
      </c>
      <c r="CP21" s="74">
        <f>IF((RD[[#This Row],[220kV_TX1_Export reading]]-BY20)*800000&lt;=0,0,(RD[[#This Row],[220kV_TX1_Export reading]]-BY20)*800000)</f>
        <v>572799.99999999523</v>
      </c>
      <c r="CQ21" s="186">
        <f>IF((RD[[#This Row],[220kV_Tx2_Export reading]]-BZ20)*800000&lt;=0,0,(RD[[#This Row],[220kV_Tx2_Export reading]]-BZ20)*800000)</f>
        <v>368000.00000000634</v>
      </c>
      <c r="CR21" s="64">
        <f>IF((RD[[#This Row],[220kV_TL_TVM Export Reading]]-CA20)*1600000&lt;=0,0,(RD[[#This Row],[220kV_TL_TVM Export Reading]]-CA20)*1600000)</f>
        <v>948799.99999993737</v>
      </c>
      <c r="CS21" s="64">
        <f>IF((RD[[#This Row],[220kV_C&amp;R_PQM reading]]-CB20)*1600000&lt;=0,"",(RD[[#This Row],[220kV_C&amp;R_PQM reading]]-CB20)*1600000)</f>
        <v>947200.00000002072</v>
      </c>
      <c r="CT21" s="186">
        <f>IFERROR(IF((RD[[#This Row],[220KV_C&amp;R_PQM Import Reading]]-CC20)*1600000&lt;=0,0,(RD[[#This Row],[220KV_C&amp;R_PQM Import Reading]]-CC20)*1600000),"")</f>
        <v>0</v>
      </c>
      <c r="CU21" s="64">
        <f>IF((RD[[#This Row],[33kV_Aux1 Import Reading]]-CD20)*1000&lt;=0,"",(RD[[#This Row],[33kV_Aux1 Import Reading]]-CD20)*1000)</f>
        <v>430.00000000000682</v>
      </c>
      <c r="CV21" s="64" t="str">
        <f>IF((RD[[#This Row],[33kV_Aux2_Import reading]]-CE20)*1000&lt;=0,"",(RD[[#This Row],[33kV_Aux2_Import reading]]-CE20)*1000)</f>
        <v/>
      </c>
      <c r="CW21" s="64">
        <f>IFERROR(RD[[#This Row],[33kV_OG1_Energy (MWh)]]+RD[[#This Row],[33kV_OG2_Energy (MWh)]],"")</f>
        <v>954000</v>
      </c>
      <c r="CX21" s="72">
        <f>IFERROR(RD[[#This Row],[220kV_TL_TVM Energy (MWh)]]-RD[[#This Row],[220KV_C&amp;R_PQM Import (MWh)]],"")</f>
        <v>948799.99999993737</v>
      </c>
      <c r="CY21" s="187">
        <f>IFERROR(RD[[#This Row],[33 kV Total Export (MWH)]]/RD[[#This Row],[220 KV Net Export (MWh)]]-1,"")</f>
        <v>5.4806070826971531E-3</v>
      </c>
      <c r="CZ21" s="188">
        <f t="shared" si="67"/>
        <v>50.6</v>
      </c>
      <c r="DA21" s="189">
        <v>97</v>
      </c>
      <c r="DB21" s="190"/>
      <c r="DC21" s="68">
        <f>IFERROR((RD[[#This Row],[Sunset Time (POA&lt;20 W/m2)]]-RD[[#This Row],[Sunrise Time (POA&gt;20 W/m2)]])*24,0)</f>
        <v>11.7</v>
      </c>
      <c r="DD21" s="70">
        <f>SUM(RD[[#This Row],[33 kV_Wind_F3_Export_Reading3]],CJ21,CK21,CL21,CM21)</f>
        <v>812024.99999998917</v>
      </c>
      <c r="DE21" s="68">
        <v>140</v>
      </c>
      <c r="DF21" s="70">
        <f t="shared" si="68"/>
        <v>144044.99999999371</v>
      </c>
      <c r="DG21" s="70">
        <v>151.65</v>
      </c>
      <c r="DH21">
        <f>'WTG Reactive Power'!AB19</f>
        <v>20864.400000000001</v>
      </c>
    </row>
    <row r="22" spans="1:112">
      <c r="A22" s="173">
        <f>YEAR(RD[[#This Row],[Date]])+IF(MONTH(RD[[#This Row],[Date]])&gt;=4,1,0)</f>
        <v>2026</v>
      </c>
      <c r="B22" s="173">
        <f>YEAR(RD[[#This Row],[Date]])</f>
        <v>2025</v>
      </c>
      <c r="C22" s="174">
        <f t="shared" si="57"/>
        <v>45748</v>
      </c>
      <c r="D22" s="173">
        <f>DAY(EOMONTH(RD[[#This Row],[Date]],0))</f>
        <v>30</v>
      </c>
      <c r="E22" s="175">
        <f t="shared" si="69"/>
        <v>45762</v>
      </c>
      <c r="F22" s="176">
        <v>0.26874999999999999</v>
      </c>
      <c r="G22" s="176">
        <v>0.75624999999999998</v>
      </c>
      <c r="H22" s="177">
        <v>13841</v>
      </c>
      <c r="I22" s="177">
        <v>11740</v>
      </c>
      <c r="J22" s="177">
        <v>11509</v>
      </c>
      <c r="K22" s="177">
        <v>8772</v>
      </c>
      <c r="L22" s="177">
        <v>9245</v>
      </c>
      <c r="M22" s="177">
        <v>11248</v>
      </c>
      <c r="N22" s="177">
        <v>11030</v>
      </c>
      <c r="O22" s="177">
        <v>9392</v>
      </c>
      <c r="P22" s="177">
        <v>10556</v>
      </c>
      <c r="Q22" s="177">
        <v>9559</v>
      </c>
      <c r="R22" s="177">
        <v>11255</v>
      </c>
      <c r="S22" s="177">
        <v>10815</v>
      </c>
      <c r="T22" s="177">
        <v>10752</v>
      </c>
      <c r="U22" s="177">
        <v>10492</v>
      </c>
      <c r="V22" s="177">
        <v>12775</v>
      </c>
      <c r="W22" s="177">
        <v>12217</v>
      </c>
      <c r="X22" s="177">
        <v>13161</v>
      </c>
      <c r="Y22" s="177">
        <v>10364</v>
      </c>
      <c r="Z22" s="177">
        <v>9350</v>
      </c>
      <c r="AA22" s="177">
        <v>8955</v>
      </c>
      <c r="AB22" s="177">
        <v>9616</v>
      </c>
      <c r="AC22" s="177">
        <v>9465</v>
      </c>
      <c r="AD22" s="177">
        <v>8777</v>
      </c>
      <c r="AE22" s="169">
        <v>5.5261376811594207</v>
      </c>
      <c r="AF22" s="169">
        <v>5.141958620689655</v>
      </c>
      <c r="AG22" s="169">
        <v>5.3395755395683455</v>
      </c>
      <c r="AH22" s="169">
        <v>4.7128680555555551</v>
      </c>
      <c r="AI22" s="169">
        <v>4.8622758620689677</v>
      </c>
      <c r="AJ22" s="169">
        <v>5.107365517241381</v>
      </c>
      <c r="AK22" s="169">
        <v>5.1699241379310328</v>
      </c>
      <c r="AL22" s="169">
        <v>5.6602699999999997</v>
      </c>
      <c r="AM22" s="169">
        <v>5.114462068965512</v>
      </c>
      <c r="AN22" s="169">
        <v>4.959683823529411</v>
      </c>
      <c r="AO22" s="169">
        <v>5.3035467625899262</v>
      </c>
      <c r="AP22" s="169">
        <v>5.0658540145985409</v>
      </c>
      <c r="AQ22" s="169">
        <v>5.0715467625899295</v>
      </c>
      <c r="AR22" s="169">
        <v>5.0262877697841706</v>
      </c>
      <c r="AS22" s="169">
        <v>5.6830781249999989</v>
      </c>
      <c r="AT22" s="169">
        <v>5.1847655172413765</v>
      </c>
      <c r="AU22" s="169">
        <v>5.4164827586206927</v>
      </c>
      <c r="AV22" s="169">
        <v>4.9940137931034494</v>
      </c>
      <c r="AW22" s="169">
        <v>5.0572205882352961</v>
      </c>
      <c r="AX22" s="169">
        <v>4.8698705035971219</v>
      </c>
      <c r="AY22" s="169">
        <v>4.9824965517241369</v>
      </c>
      <c r="AZ22" s="169">
        <v>4.9722000000000008</v>
      </c>
      <c r="BA22" s="169">
        <v>4.7275931034482745</v>
      </c>
      <c r="BB22" s="178">
        <f t="shared" si="58"/>
        <v>109303</v>
      </c>
      <c r="BC22" s="179">
        <f t="shared" si="59"/>
        <v>25378</v>
      </c>
      <c r="BD22" s="180">
        <f t="shared" si="70"/>
        <v>79419</v>
      </c>
      <c r="BE22" s="179">
        <f t="shared" si="61"/>
        <v>10364</v>
      </c>
      <c r="BF22" s="179">
        <f t="shared" si="71"/>
        <v>20422</v>
      </c>
      <c r="BG22" s="179">
        <f>SUM(RD[[#This Row],[KUD01]:[KUD23]])</f>
        <v>244886</v>
      </c>
      <c r="BH22" s="181">
        <f t="shared" si="63"/>
        <v>5.1902801570652164</v>
      </c>
      <c r="BI22" s="182">
        <f t="shared" si="64"/>
        <v>5.3006241379310346</v>
      </c>
      <c r="BJ22" s="182">
        <f t="shared" si="65"/>
        <v>5.0451413917624519</v>
      </c>
      <c r="BK22" s="183">
        <f t="shared" si="66"/>
        <v>4.9940137931034494</v>
      </c>
      <c r="BL22" s="61">
        <f>IFERROR(AVERAGEIF(RD[[#This Row],[WS_KUD07]:[WS_KUD08]],"&lt;&gt;0",RD[[#This Row],[WS_KUD07]:[WS_KUD08]]),"")</f>
        <v>5.4150970689655162</v>
      </c>
      <c r="BM22" s="184">
        <f>IFERROR(AVERAGE(RD[[#This Row],[WS_KUD01]:[WS_KUD23]]),"")</f>
        <v>5.1282381546627036</v>
      </c>
      <c r="BN22" s="185">
        <f>IFERROR(MAX(RD[[#This Row],[WS_KUD01]:[WS_KUD23]]),"")</f>
        <v>5.6830781249999989</v>
      </c>
      <c r="BO22" s="172">
        <v>640.30499999999995</v>
      </c>
      <c r="BP22" s="73">
        <v>882.95500000000004</v>
      </c>
      <c r="BQ22" s="73">
        <v>47.164999999999999</v>
      </c>
      <c r="BR22" s="73">
        <v>215.33</v>
      </c>
      <c r="BS22" s="73">
        <v>165.10900000000001</v>
      </c>
      <c r="BT22" s="73">
        <v>274.95299999999997</v>
      </c>
      <c r="BU22" s="73"/>
      <c r="BV22" s="73">
        <v>65.197000000000003</v>
      </c>
      <c r="BW22" s="73">
        <v>182032</v>
      </c>
      <c r="BX22" s="73">
        <v>245047</v>
      </c>
      <c r="BY22" s="73">
        <v>113.04600000000001</v>
      </c>
      <c r="BZ22" s="73">
        <v>65.606999999999999</v>
      </c>
      <c r="CA22" s="73">
        <v>264.83</v>
      </c>
      <c r="CB22" s="73">
        <v>89.897000000000006</v>
      </c>
      <c r="CC22" s="73">
        <v>0.108</v>
      </c>
      <c r="CD22" s="73">
        <v>287.26900000000001</v>
      </c>
      <c r="CE22" s="172">
        <v>0</v>
      </c>
      <c r="CF22" s="64" t="str">
        <f>IF((RD[[#This Row],[33 kV_Wind_F1_Export reading]]-BO21)*165000&lt;=0,"",(RD[[#This Row],[33 kV_Wind_F1_Export reading]]-BO21)*165000)</f>
        <v/>
      </c>
      <c r="CG22" s="64">
        <f>IF((RD[[#This Row],[33 kV_Wind_F2_Export_reading]]-BP21)*165000&lt;=0,"",(RD[[#This Row],[33 kV_Wind_F2_Export_reading]]-BP21)*165000)</f>
        <v>120945.00000001006</v>
      </c>
      <c r="CH22" s="64">
        <f>IF((RD[[#This Row],[33 kV_Wind_F3_Export_Reading]]-BQ21)*225000&lt;=0,"",(RD[[#This Row],[33 kV_Wind_F3_Export_Reading]]-BQ21)*225000)</f>
        <v>197099.99999999948</v>
      </c>
      <c r="CI22" s="64">
        <f>IF((RD[[#This Row],[33 kV_Wind_F4_Export Reading]]-BR21)*165000&lt;=0,"",(RD[[#This Row],[33 kV_Wind_F4_Export Reading]]-BR21)*165000)</f>
        <v>115170.00000000124</v>
      </c>
      <c r="CJ22" s="74">
        <f>IF((RD[[#This Row],[33 kV_Solar_F1_Export Reading]]-BS21)*225000&lt;=0,"",(RD[[#This Row],[33 kV_Solar_F1_Export Reading]]-BS21)*225000)</f>
        <v>184275.00000000378</v>
      </c>
      <c r="CK22" s="74">
        <f>IF((RD[[#This Row],[33kV_Solar_F2_Export Reading]]-BT21)*225000&lt;=0,"",(RD[[#This Row],[33kV_Solar_F2_Export Reading]]-BT21)*225000)</f>
        <v>177974.99999999927</v>
      </c>
      <c r="CL22" s="186" t="str">
        <f>IF((RD[[#This Row],[33 kV_Solar_F3_Export reading]]-BU21)*225000&lt;=0,"",(RD[[#This Row],[33 kV_Solar_F3_Export reading]]-BU21)*225000)</f>
        <v/>
      </c>
      <c r="CM22" s="63">
        <f>IF((RD[[#This Row],[32kV_Solar_F4_Export reading]]-BV21)*225000&lt;=0,"",(RD[[#This Row],[32kV_Solar_F4_Export reading]]-BV21)*225000)</f>
        <v>156599.99999999953</v>
      </c>
      <c r="CN22" s="64">
        <f>IF((RD[[#This Row],[33kV_OG1_Export reading]]-BW21)*1000&lt;=0,0,(RD[[#This Row],[33kV_OG1_Export reading]]-BW21)*1000)</f>
        <v>519000</v>
      </c>
      <c r="CO22" s="64">
        <f>IFERROR(IF((RD[[#This Row],[33kV_OG2_Export reading]]-BX21)*1000&lt;=0,0,(RD[[#This Row],[33kV_OG2_Export reading]]-BX21)*1000),0)</f>
        <v>433000</v>
      </c>
      <c r="CP22" s="74">
        <f>IF((RD[[#This Row],[220kV_TX1_Export reading]]-BY21)*800000&lt;=0,0,(RD[[#This Row],[220kV_TX1_Export reading]]-BY21)*800000)</f>
        <v>513600.00000000809</v>
      </c>
      <c r="CQ22" s="186">
        <f>IF((RD[[#This Row],[220kV_Tx2_Export reading]]-BZ21)*800000&lt;=0,0,(RD[[#This Row],[220kV_Tx2_Export reading]]-BZ21)*800000)</f>
        <v>427999.99999999726</v>
      </c>
      <c r="CR22" s="64">
        <f>IF((RD[[#This Row],[220kV_TL_TVM Export Reading]]-CA21)*1600000&lt;=0,0,(RD[[#This Row],[220kV_TL_TVM Export Reading]]-CA21)*1600000)</f>
        <v>942399.99999999779</v>
      </c>
      <c r="CS22" s="64">
        <f>IF((RD[[#This Row],[220kV_C&amp;R_PQM reading]]-CB21)*1600000&lt;=0,"",(RD[[#This Row],[220kV_C&amp;R_PQM reading]]-CB21)*1600000)</f>
        <v>947199.99999999802</v>
      </c>
      <c r="CT22" s="186">
        <f>IFERROR(IF((RD[[#This Row],[220KV_C&amp;R_PQM Import Reading]]-CC21)*1600000&lt;=0,0,(RD[[#This Row],[220KV_C&amp;R_PQM Import Reading]]-CC21)*1600000),"")</f>
        <v>0</v>
      </c>
      <c r="CU22" s="64">
        <f>IF((RD[[#This Row],[33kV_Aux1 Import Reading]]-CD21)*1000&lt;=0,"",(RD[[#This Row],[33kV_Aux1 Import Reading]]-CD21)*1000)</f>
        <v>430.00000000000682</v>
      </c>
      <c r="CV22" s="64" t="str">
        <f>IF((RD[[#This Row],[33kV_Aux2_Import reading]]-CE21)*1000&lt;=0,"",(RD[[#This Row],[33kV_Aux2_Import reading]]-CE21)*1000)</f>
        <v/>
      </c>
      <c r="CW22" s="64">
        <f>IFERROR(RD[[#This Row],[33kV_OG1_Energy (MWh)]]+RD[[#This Row],[33kV_OG2_Energy (MWh)]],"")</f>
        <v>952000</v>
      </c>
      <c r="CX22" s="72">
        <f>IFERROR(RD[[#This Row],[220kV_TL_TVM Energy (MWh)]]-RD[[#This Row],[220KV_C&amp;R_PQM Import (MWh)]],"")</f>
        <v>942399.99999999779</v>
      </c>
      <c r="CY22" s="187">
        <f>IFERROR(RD[[#This Row],[33 kV Total Export (MWH)]]/RD[[#This Row],[220 KV Net Export (MWh)]]-1,"")</f>
        <v>1.0186757215622011E-2</v>
      </c>
      <c r="CZ22" s="188">
        <f t="shared" si="67"/>
        <v>50.6</v>
      </c>
      <c r="DA22" s="189">
        <v>97</v>
      </c>
      <c r="DB22" s="190"/>
      <c r="DC22" s="68">
        <f>IFERROR((RD[[#This Row],[Sunset Time (POA&lt;20 W/m2)]]-RD[[#This Row],[Sunrise Time (POA&gt;20 W/m2)]])*24,0)</f>
        <v>11.7</v>
      </c>
      <c r="DD22" s="70">
        <f>SUM(RD[[#This Row],[33 kV_Wind_F3_Export_Reading3]],CJ22,CK22,CL22,CM22)</f>
        <v>715950.0000000021</v>
      </c>
      <c r="DE22" s="68">
        <v>140</v>
      </c>
      <c r="DF22" s="70">
        <f t="shared" si="68"/>
        <v>236115.00000001129</v>
      </c>
      <c r="DG22" s="70">
        <v>246.29</v>
      </c>
      <c r="DH22">
        <f>'WTG Reactive Power'!AB20</f>
        <v>33862.600000000006</v>
      </c>
    </row>
    <row r="23" spans="1:112">
      <c r="A23" s="173">
        <f>YEAR(RD[[#This Row],[Date]])+IF(MONTH(RD[[#This Row],[Date]])&gt;=4,1,0)</f>
        <v>2026</v>
      </c>
      <c r="B23" s="173">
        <f>YEAR(RD[[#This Row],[Date]])</f>
        <v>2025</v>
      </c>
      <c r="C23" s="174">
        <f t="shared" si="57"/>
        <v>45748</v>
      </c>
      <c r="D23" s="173">
        <f>DAY(EOMONTH(RD[[#This Row],[Date]],0))</f>
        <v>30</v>
      </c>
      <c r="E23" s="175">
        <f t="shared" si="69"/>
        <v>45763</v>
      </c>
      <c r="F23" s="176">
        <v>0.26944444444444443</v>
      </c>
      <c r="G23" s="204">
        <v>0.76180555555555551</v>
      </c>
      <c r="H23" s="177">
        <v>11361</v>
      </c>
      <c r="I23" s="177">
        <v>10272</v>
      </c>
      <c r="J23" s="177">
        <v>10945</v>
      </c>
      <c r="K23" s="177">
        <v>6535</v>
      </c>
      <c r="L23" s="177">
        <v>6766</v>
      </c>
      <c r="M23" s="177">
        <v>10263</v>
      </c>
      <c r="N23" s="177">
        <v>10292</v>
      </c>
      <c r="O23" s="177">
        <v>9359</v>
      </c>
      <c r="P23" s="177">
        <v>7301</v>
      </c>
      <c r="Q23" s="177">
        <v>10669</v>
      </c>
      <c r="R23" s="177">
        <v>7405</v>
      </c>
      <c r="S23" s="177">
        <v>9479</v>
      </c>
      <c r="T23" s="177">
        <v>9385</v>
      </c>
      <c r="U23" s="177">
        <v>9435</v>
      </c>
      <c r="V23" s="177">
        <v>11916</v>
      </c>
      <c r="W23" s="177">
        <v>11564</v>
      </c>
      <c r="X23" s="177">
        <v>8441</v>
      </c>
      <c r="Y23" s="177">
        <v>9584</v>
      </c>
      <c r="Z23" s="177">
        <v>8857</v>
      </c>
      <c r="AA23" s="177">
        <v>7346</v>
      </c>
      <c r="AB23" s="177">
        <v>7652</v>
      </c>
      <c r="AC23" s="177">
        <v>6969</v>
      </c>
      <c r="AD23" s="177">
        <v>7874</v>
      </c>
      <c r="AE23" s="71">
        <v>5.4833185185185158</v>
      </c>
      <c r="AF23" s="71">
        <v>5.3687196969696984</v>
      </c>
      <c r="AG23" s="71">
        <v>5.6930514705882365</v>
      </c>
      <c r="AH23" s="71">
        <v>4.9091984126984105</v>
      </c>
      <c r="AI23" s="71">
        <v>4.9213650793650787</v>
      </c>
      <c r="AJ23" s="71">
        <v>5.4968955223880593</v>
      </c>
      <c r="AK23" s="71">
        <v>5.5145384615384634</v>
      </c>
      <c r="AL23" s="71">
        <v>6.1219080459770128</v>
      </c>
      <c r="AM23" s="71">
        <v>5.0420317460317445</v>
      </c>
      <c r="AN23" s="71">
        <v>5.327396946564888</v>
      </c>
      <c r="AO23" s="71">
        <v>5.4620992366412207</v>
      </c>
      <c r="AP23" s="71">
        <v>5.2451804511278191</v>
      </c>
      <c r="AQ23" s="71">
        <v>5.2119705882352934</v>
      </c>
      <c r="AR23" s="71">
        <v>5.1625955882352947</v>
      </c>
      <c r="AS23" s="71">
        <v>5.7054191176470619</v>
      </c>
      <c r="AT23" s="71">
        <v>5.5232255639097714</v>
      </c>
      <c r="AU23" s="71">
        <v>5.1554032258064488</v>
      </c>
      <c r="AV23" s="71">
        <v>5.1882985074626875</v>
      </c>
      <c r="AW23" s="71">
        <v>5.1401908396946547</v>
      </c>
      <c r="AX23" s="71">
        <v>4.8833602941176482</v>
      </c>
      <c r="AY23" s="71">
        <v>4.9967479674796751</v>
      </c>
      <c r="AZ23" s="71">
        <v>4.9658253968253954</v>
      </c>
      <c r="BA23" s="71">
        <v>4.9221774193548393</v>
      </c>
      <c r="BB23" s="178">
        <f t="shared" si="58"/>
        <v>96798</v>
      </c>
      <c r="BC23" s="179">
        <f t="shared" si="59"/>
        <v>20005</v>
      </c>
      <c r="BD23" s="180">
        <f t="shared" si="70"/>
        <v>63632</v>
      </c>
      <c r="BE23" s="179">
        <f t="shared" si="61"/>
        <v>9584</v>
      </c>
      <c r="BF23" s="179">
        <f t="shared" si="71"/>
        <v>19651</v>
      </c>
      <c r="BG23" s="179">
        <f>SUM(RD[[#This Row],[KUD01]:[KUD23]])</f>
        <v>209670</v>
      </c>
      <c r="BH23" s="181">
        <f t="shared" si="63"/>
        <v>5.3314583051370636</v>
      </c>
      <c r="BI23" s="182">
        <f t="shared" si="64"/>
        <v>5.3393143948581105</v>
      </c>
      <c r="BJ23" s="182">
        <f t="shared" si="65"/>
        <v>5.2259407748628384</v>
      </c>
      <c r="BK23" s="183">
        <f t="shared" si="66"/>
        <v>5.1882985074626875</v>
      </c>
      <c r="BL23" s="61">
        <f>IFERROR(AVERAGEIF(RD[[#This Row],[WS_KUD07]:[WS_KUD08]],"&lt;&gt;0",RD[[#This Row],[WS_KUD07]:[WS_KUD08]]),"")</f>
        <v>5.8182232537577381</v>
      </c>
      <c r="BM23" s="184">
        <f>IFERROR(AVERAGE(RD[[#This Row],[WS_KUD01]:[WS_KUD23]]),"")</f>
        <v>5.2800399172686054</v>
      </c>
      <c r="BN23" s="185">
        <f>IFERROR(MAX(RD[[#This Row],[WS_KUD01]:[WS_KUD23]]),"")</f>
        <v>6.1219080459770128</v>
      </c>
      <c r="BO23" s="73">
        <v>640.30499999999995</v>
      </c>
      <c r="BP23" s="73">
        <v>883.56500000000005</v>
      </c>
      <c r="BQ23" s="73">
        <v>48.262</v>
      </c>
      <c r="BR23" s="73">
        <v>215.958</v>
      </c>
      <c r="BS23" s="73">
        <v>166</v>
      </c>
      <c r="BT23" s="73">
        <v>275.78800000000001</v>
      </c>
      <c r="BU23" s="73"/>
      <c r="BV23" s="73">
        <v>66.027000000000001</v>
      </c>
      <c r="BW23" s="73">
        <v>182608</v>
      </c>
      <c r="BX23" s="73">
        <v>245498</v>
      </c>
      <c r="BY23" s="73">
        <v>113.75700000000001</v>
      </c>
      <c r="BZ23" s="73">
        <v>66.158000000000001</v>
      </c>
      <c r="CA23" s="73">
        <v>265.46600000000001</v>
      </c>
      <c r="CB23" s="73">
        <v>90.534000000000006</v>
      </c>
      <c r="CC23" s="73">
        <v>0.108</v>
      </c>
      <c r="CD23" s="73">
        <v>287.67899999999997</v>
      </c>
      <c r="CE23" s="73">
        <v>0</v>
      </c>
      <c r="CF23" s="64" t="str">
        <f>IF((RD[[#This Row],[33 kV_Wind_F1_Export reading]]-BO22)*165000&lt;=0,"",(RD[[#This Row],[33 kV_Wind_F1_Export reading]]-BO22)*165000)</f>
        <v/>
      </c>
      <c r="CG23" s="64">
        <f>IF((RD[[#This Row],[33 kV_Wind_F2_Export_reading]]-BP22)*165000&lt;=0,"",(RD[[#This Row],[33 kV_Wind_F2_Export_reading]]-BP22)*165000)</f>
        <v>100650.00000000226</v>
      </c>
      <c r="CH23" s="64">
        <f>IF((RD[[#This Row],[33 kV_Wind_F3_Export_Reading]]-BQ22)*225000&lt;=0,"",(RD[[#This Row],[33 kV_Wind_F3_Export_Reading]]-BQ22)*225000)</f>
        <v>246825.00000000029</v>
      </c>
      <c r="CI23" s="64">
        <f>IF((RD[[#This Row],[33 kV_Wind_F4_Export Reading]]-BR22)*165000&lt;=0,"",(RD[[#This Row],[33 kV_Wind_F4_Export Reading]]-BR22)*165000)</f>
        <v>103619.99999999767</v>
      </c>
      <c r="CJ23" s="74">
        <f>IF((RD[[#This Row],[33 kV_Solar_F1_Export Reading]]-BS22)*225000&lt;=0,"",(RD[[#This Row],[33 kV_Solar_F1_Export Reading]]-BS22)*225000)</f>
        <v>200474.99999999799</v>
      </c>
      <c r="CK23" s="74">
        <f>IF((RD[[#This Row],[33kV_Solar_F2_Export Reading]]-BT22)*225000&lt;=0,"",(RD[[#This Row],[33kV_Solar_F2_Export Reading]]-BT22)*225000)</f>
        <v>187875.00000000818</v>
      </c>
      <c r="CL23" s="186" t="str">
        <f>IF((RD[[#This Row],[33 kV_Solar_F3_Export reading]]-BU22)*225000&lt;=0,"",(RD[[#This Row],[33 kV_Solar_F3_Export reading]]-BU22)*225000)</f>
        <v/>
      </c>
      <c r="CM23" s="63">
        <f>IF((RD[[#This Row],[32kV_Solar_F4_Export reading]]-BV22)*225000&lt;=0,"",(RD[[#This Row],[32kV_Solar_F4_Export reading]]-BV22)*225000)</f>
        <v>186749.99999999962</v>
      </c>
      <c r="CN23" s="64">
        <f>IF((RD[[#This Row],[33kV_OG1_Export reading]]-BW22)*1000&lt;=0,0,(RD[[#This Row],[33kV_OG1_Export reading]]-BW22)*1000)</f>
        <v>576000</v>
      </c>
      <c r="CO23" s="64">
        <f>IFERROR(IF((RD[[#This Row],[33kV_OG2_Export reading]]-BX22)*1000&lt;=0,0,(RD[[#This Row],[33kV_OG2_Export reading]]-BX22)*1000),0)</f>
        <v>451000</v>
      </c>
      <c r="CP23" s="74">
        <f>IF((RD[[#This Row],[220kV_TX1_Export reading]]-BY22)*800000&lt;=0,0,(RD[[#This Row],[220kV_TX1_Export reading]]-BY22)*800000)</f>
        <v>568799.99999999884</v>
      </c>
      <c r="CQ23" s="186">
        <f>IF((RD[[#This Row],[220kV_Tx2_Export reading]]-BZ22)*800000&lt;=0,0,(RD[[#This Row],[220kV_Tx2_Export reading]]-BZ22)*800000)</f>
        <v>440800.00000000157</v>
      </c>
      <c r="CR23" s="64">
        <f>IF((RD[[#This Row],[220kV_TL_TVM Export Reading]]-CA22)*1600000&lt;=0,0,(RD[[#This Row],[220kV_TL_TVM Export Reading]]-CA22)*1600000)</f>
        <v>1017600.0000000385</v>
      </c>
      <c r="CS23" s="64">
        <f>IF((RD[[#This Row],[220kV_C&amp;R_PQM reading]]-CB22)*1600000&lt;=0,"",(RD[[#This Row],[220kV_C&amp;R_PQM reading]]-CB22)*1600000)</f>
        <v>1019200.0000000007</v>
      </c>
      <c r="CT23" s="186">
        <f>IFERROR(IF((RD[[#This Row],[220KV_C&amp;R_PQM Import Reading]]-CC22)*1600000&lt;=0,0,(RD[[#This Row],[220KV_C&amp;R_PQM Import Reading]]-CC22)*1600000),"")</f>
        <v>0</v>
      </c>
      <c r="CU23" s="64">
        <f>IF((RD[[#This Row],[33kV_Aux1 Import Reading]]-CD22)*1000&lt;=0,"",(RD[[#This Row],[33kV_Aux1 Import Reading]]-CD22)*1000)</f>
        <v>409.99999999996817</v>
      </c>
      <c r="CV23" s="64" t="str">
        <f>IF((RD[[#This Row],[33kV_Aux2_Import reading]]-CE22)*1000&lt;=0,"",(RD[[#This Row],[33kV_Aux2_Import reading]]-CE22)*1000)</f>
        <v/>
      </c>
      <c r="CW23" s="64">
        <f>IFERROR(RD[[#This Row],[33kV_OG1_Energy (MWh)]]+RD[[#This Row],[33kV_OG2_Energy (MWh)]],"")</f>
        <v>1027000</v>
      </c>
      <c r="CX23" s="72">
        <f>IFERROR(RD[[#This Row],[220kV_TL_TVM Energy (MWh)]]-RD[[#This Row],[220KV_C&amp;R_PQM Import (MWh)]],"")</f>
        <v>1017600.0000000385</v>
      </c>
      <c r="CY23" s="187">
        <f>IFERROR(RD[[#This Row],[33 kV Total Export (MWH)]]/RD[[#This Row],[220 KV Net Export (MWh)]]-1,"")</f>
        <v>9.2374213836095009E-3</v>
      </c>
      <c r="CZ23" s="188">
        <f t="shared" si="67"/>
        <v>50.6</v>
      </c>
      <c r="DA23" s="189">
        <v>97</v>
      </c>
      <c r="DB23" s="190"/>
      <c r="DC23" s="68">
        <f>IFERROR((RD[[#This Row],[Sunset Time (POA&lt;20 W/m2)]]-RD[[#This Row],[Sunrise Time (POA&gt;20 W/m2)]])*24,0)</f>
        <v>11.816666666666666</v>
      </c>
      <c r="DD23" s="70">
        <f>SUM(RD[[#This Row],[33 kV_Wind_F3_Export_Reading3]],CJ23,CK23,CL23,CM23)</f>
        <v>821925.00000000605</v>
      </c>
      <c r="DE23" s="68">
        <v>140</v>
      </c>
      <c r="DF23" s="70">
        <f t="shared" si="68"/>
        <v>204269.99999999994</v>
      </c>
      <c r="DG23" s="70">
        <v>216.2</v>
      </c>
      <c r="DH23">
        <f>'WTG Reactive Power'!AB21</f>
        <v>32720.699999999997</v>
      </c>
    </row>
    <row r="24" spans="1:112">
      <c r="A24" s="173">
        <f>YEAR(RD[[#This Row],[Date]])+IF(MONTH(RD[[#This Row],[Date]])&gt;=4,1,0)</f>
        <v>2026</v>
      </c>
      <c r="B24" s="173">
        <f>YEAR(RD[[#This Row],[Date]])</f>
        <v>2025</v>
      </c>
      <c r="C24" s="174">
        <f t="shared" si="57"/>
        <v>45748</v>
      </c>
      <c r="D24" s="173">
        <f>DAY(EOMONTH(RD[[#This Row],[Date]],0))</f>
        <v>30</v>
      </c>
      <c r="E24" s="175">
        <f t="shared" si="69"/>
        <v>45764</v>
      </c>
      <c r="F24" s="204">
        <v>0.26944444444444443</v>
      </c>
      <c r="G24" s="204">
        <v>0.76388888888888884</v>
      </c>
      <c r="H24" s="177">
        <v>9772</v>
      </c>
      <c r="I24" s="177">
        <v>10342</v>
      </c>
      <c r="J24" s="177">
        <v>10206</v>
      </c>
      <c r="K24" s="177">
        <v>8098</v>
      </c>
      <c r="L24" s="177">
        <v>8625</v>
      </c>
      <c r="M24" s="177">
        <v>9860</v>
      </c>
      <c r="N24" s="177">
        <v>9817</v>
      </c>
      <c r="O24" s="177">
        <v>9374</v>
      </c>
      <c r="P24" s="177">
        <v>9592</v>
      </c>
      <c r="Q24" s="177">
        <v>9290</v>
      </c>
      <c r="R24" s="177">
        <v>9386</v>
      </c>
      <c r="S24" s="177">
        <v>9380</v>
      </c>
      <c r="T24" s="177">
        <v>8996</v>
      </c>
      <c r="U24" s="177">
        <v>8261</v>
      </c>
      <c r="V24" s="177">
        <v>11998</v>
      </c>
      <c r="W24" s="177">
        <v>12620</v>
      </c>
      <c r="X24" s="177">
        <v>11412</v>
      </c>
      <c r="Y24" s="177">
        <v>8939</v>
      </c>
      <c r="Z24" s="177">
        <v>8068</v>
      </c>
      <c r="AA24" s="177">
        <v>8041</v>
      </c>
      <c r="AB24" s="177">
        <v>9088</v>
      </c>
      <c r="AC24" s="177">
        <v>9393</v>
      </c>
      <c r="AD24" s="177">
        <v>9168</v>
      </c>
      <c r="AE24" s="71">
        <v>5.4014318181818162</v>
      </c>
      <c r="AF24" s="71">
        <v>5.1596549295774663</v>
      </c>
      <c r="AG24" s="71">
        <v>5.3432408759124037</v>
      </c>
      <c r="AH24" s="71">
        <v>4.8150482758620692</v>
      </c>
      <c r="AI24" s="71">
        <v>5.0011448275862049</v>
      </c>
      <c r="AJ24" s="71">
        <v>5.1464413793103443</v>
      </c>
      <c r="AK24" s="71">
        <v>5.1490896551724123</v>
      </c>
      <c r="AL24" s="71">
        <v>5.7761010101010104</v>
      </c>
      <c r="AM24" s="71">
        <v>5.1627999999999989</v>
      </c>
      <c r="AN24" s="71">
        <v>5.1372164179104471</v>
      </c>
      <c r="AO24" s="71">
        <v>5.3316569343065678</v>
      </c>
      <c r="AP24" s="71">
        <v>5.14020588235294</v>
      </c>
      <c r="AQ24" s="71">
        <v>5.0587518248175183</v>
      </c>
      <c r="AR24" s="71">
        <v>4.9448529411764719</v>
      </c>
      <c r="AS24" s="71">
        <v>5.6408540145985393</v>
      </c>
      <c r="AT24" s="71">
        <v>5.4101724137931031</v>
      </c>
      <c r="AU24" s="71">
        <v>5.3388551724137958</v>
      </c>
      <c r="AV24" s="71">
        <v>4.969068965517244</v>
      </c>
      <c r="AW24" s="71">
        <v>5.0251268656716404</v>
      </c>
      <c r="AX24" s="71">
        <v>4.9923138686131407</v>
      </c>
      <c r="AY24" s="71">
        <v>5.0920827586206912</v>
      </c>
      <c r="AZ24" s="71">
        <v>5.2181241379310359</v>
      </c>
      <c r="BA24" s="71">
        <v>4.9952758620689686</v>
      </c>
      <c r="BB24" s="178">
        <f t="shared" si="58"/>
        <v>93398</v>
      </c>
      <c r="BC24" s="179">
        <f t="shared" si="59"/>
        <v>24032</v>
      </c>
      <c r="BD24" s="180">
        <f t="shared" si="70"/>
        <v>74166</v>
      </c>
      <c r="BE24" s="179">
        <f t="shared" si="61"/>
        <v>8939</v>
      </c>
      <c r="BF24" s="179">
        <f t="shared" si="71"/>
        <v>19191</v>
      </c>
      <c r="BG24" s="179">
        <f>SUM(RD[[#This Row],[KUD01]:[KUD23]])</f>
        <v>219726</v>
      </c>
      <c r="BH24" s="181">
        <f t="shared" si="63"/>
        <v>5.2015651443541477</v>
      </c>
      <c r="BI24" s="182">
        <f t="shared" si="64"/>
        <v>5.3745137931034499</v>
      </c>
      <c r="BJ24" s="182">
        <f t="shared" si="65"/>
        <v>5.1515762836230197</v>
      </c>
      <c r="BK24" s="183">
        <f t="shared" si="66"/>
        <v>4.969068965517244</v>
      </c>
      <c r="BL24" s="61">
        <f>IFERROR(AVERAGEIF(RD[[#This Row],[WS_KUD07]:[WS_KUD08]],"&lt;&gt;0",RD[[#This Row],[WS_KUD07]:[WS_KUD08]]),"")</f>
        <v>5.4625953326367114</v>
      </c>
      <c r="BM24" s="184">
        <f>IFERROR(AVERAGE(RD[[#This Row],[WS_KUD01]:[WS_KUD23]]),"")</f>
        <v>5.1847613404998185</v>
      </c>
      <c r="BN24" s="185">
        <f>IFERROR(MAX(RD[[#This Row],[WS_KUD01]:[WS_KUD23]]),"")</f>
        <v>5.7761010101010104</v>
      </c>
      <c r="BO24" s="172">
        <v>640.30499999999995</v>
      </c>
      <c r="BP24" s="172">
        <v>884.24699999999996</v>
      </c>
      <c r="BQ24" s="172">
        <v>49.345999999999997</v>
      </c>
      <c r="BR24" s="172">
        <v>216.56399999999999</v>
      </c>
      <c r="BS24" s="172">
        <v>166.89500000000001</v>
      </c>
      <c r="BT24" s="172">
        <v>276.63799999999998</v>
      </c>
      <c r="BU24" s="172"/>
      <c r="BV24" s="172">
        <v>66.838999999999999</v>
      </c>
      <c r="BW24" s="172">
        <v>183183</v>
      </c>
      <c r="BX24" s="172">
        <v>245953</v>
      </c>
      <c r="BY24" s="172">
        <v>114.46899999999999</v>
      </c>
      <c r="BZ24" s="172">
        <v>66.716999999999999</v>
      </c>
      <c r="CA24" s="172">
        <v>266.10599999999999</v>
      </c>
      <c r="CB24" s="172">
        <v>91.174000000000007</v>
      </c>
      <c r="CC24" s="172">
        <v>0.108</v>
      </c>
      <c r="CD24" s="172">
        <v>288.07900000000001</v>
      </c>
      <c r="CE24" s="172">
        <v>0</v>
      </c>
      <c r="CF24" s="64" t="str">
        <f>IF((RD[[#This Row],[33 kV_Wind_F1_Export reading]]-BO23)*165000&lt;=0,"",(RD[[#This Row],[33 kV_Wind_F1_Export reading]]-BO23)*165000)</f>
        <v/>
      </c>
      <c r="CG24" s="64">
        <f>IF((RD[[#This Row],[33 kV_Wind_F2_Export_reading]]-BP23)*165000&lt;=0,"",(RD[[#This Row],[33 kV_Wind_F2_Export_reading]]-BP23)*165000)</f>
        <v>112529.99999998395</v>
      </c>
      <c r="CH24" s="64">
        <f>IF((RD[[#This Row],[33 kV_Wind_F3_Export_Reading]]-BQ23)*225000&lt;=0,"",(RD[[#This Row],[33 kV_Wind_F3_Export_Reading]]-BQ23)*225000)</f>
        <v>243899.99999999913</v>
      </c>
      <c r="CI24" s="64">
        <f>IF((RD[[#This Row],[33 kV_Wind_F4_Export Reading]]-BR23)*165000&lt;=0,"",(RD[[#This Row],[33 kV_Wind_F4_Export Reading]]-BR23)*165000)</f>
        <v>99989.999999999098</v>
      </c>
      <c r="CJ24" s="74">
        <f>IF((RD[[#This Row],[33 kV_Solar_F1_Export Reading]]-BS23)*225000&lt;=0,"",(RD[[#This Row],[33 kV_Solar_F1_Export Reading]]-BS23)*225000)</f>
        <v>201375.0000000023</v>
      </c>
      <c r="CK24" s="74">
        <f>IF((RD[[#This Row],[33kV_Solar_F2_Export Reading]]-BT23)*225000&lt;=0,"",(RD[[#This Row],[33kV_Solar_F2_Export Reading]]-BT23)*225000)</f>
        <v>191249.99999999232</v>
      </c>
      <c r="CL24" s="186" t="str">
        <f>IF((RD[[#This Row],[33 kV_Solar_F3_Export reading]]-BU23)*225000&lt;=0,"",(RD[[#This Row],[33 kV_Solar_F3_Export reading]]-BU23)*225000)</f>
        <v/>
      </c>
      <c r="CM24" s="63">
        <f>IF((RD[[#This Row],[32kV_Solar_F4_Export reading]]-BV23)*225000&lt;=0,"",(RD[[#This Row],[32kV_Solar_F4_Export reading]]-BV23)*225000)</f>
        <v>182699.99999999948</v>
      </c>
      <c r="CN24" s="64">
        <f>IF((RD[[#This Row],[33kV_OG1_Export reading]]-BW23)*1000&lt;=0,0,(RD[[#This Row],[33kV_OG1_Export reading]]-BW23)*1000)</f>
        <v>575000</v>
      </c>
      <c r="CO24" s="64">
        <f>IFERROR(IF((RD[[#This Row],[33kV_OG2_Export reading]]-BX23)*1000&lt;=0,0,(RD[[#This Row],[33kV_OG2_Export reading]]-BX23)*1000),0)</f>
        <v>455000</v>
      </c>
      <c r="CP24" s="74">
        <f>IF((RD[[#This Row],[220kV_TX1_Export reading]]-BY23)*800000&lt;=0,0,(RD[[#This Row],[220kV_TX1_Export reading]]-BY23)*800000)</f>
        <v>569599.99999999127</v>
      </c>
      <c r="CQ24" s="186">
        <f>IF((RD[[#This Row],[220kV_Tx2_Export reading]]-BZ23)*800000&lt;=0,0,(RD[[#This Row],[220kV_Tx2_Export reading]]-BZ23)*800000)</f>
        <v>447199.99999999802</v>
      </c>
      <c r="CR24" s="64">
        <f>IF((RD[[#This Row],[220kV_TL_TVM Export Reading]]-CA23)*1600000&lt;=0,0,(RD[[#This Row],[220kV_TL_TVM Export Reading]]-CA23)*1600000)</f>
        <v>1023999.9999999781</v>
      </c>
      <c r="CS24" s="64">
        <f>IF((RD[[#This Row],[220kV_C&amp;R_PQM reading]]-CB23)*1600000&lt;=0,"",(RD[[#This Row],[220kV_C&amp;R_PQM reading]]-CB23)*1600000)</f>
        <v>1024000.0000000009</v>
      </c>
      <c r="CT24" s="186">
        <f>IFERROR(IF((RD[[#This Row],[220KV_C&amp;R_PQM Import Reading]]-CC23)*1600000&lt;=0,0,(RD[[#This Row],[220KV_C&amp;R_PQM Import Reading]]-CC23)*1600000),"")</f>
        <v>0</v>
      </c>
      <c r="CU24" s="64">
        <f>IF((RD[[#This Row],[33kV_Aux1 Import Reading]]-CD23)*1000&lt;=0,"",(RD[[#This Row],[33kV_Aux1 Import Reading]]-CD23)*1000)</f>
        <v>400.00000000003411</v>
      </c>
      <c r="CV24" s="64" t="str">
        <f>IF((RD[[#This Row],[33kV_Aux2_Import reading]]-CE23)*1000&lt;=0,"",(RD[[#This Row],[33kV_Aux2_Import reading]]-CE23)*1000)</f>
        <v/>
      </c>
      <c r="CW24" s="64">
        <f>IFERROR(RD[[#This Row],[33kV_OG1_Energy (MWh)]]+RD[[#This Row],[33kV_OG2_Energy (MWh)]],"")</f>
        <v>1030000</v>
      </c>
      <c r="CX24" s="72">
        <f>IFERROR(RD[[#This Row],[220kV_TL_TVM Energy (MWh)]]-RD[[#This Row],[220KV_C&amp;R_PQM Import (MWh)]],"")</f>
        <v>1023999.9999999781</v>
      </c>
      <c r="CY24" s="187">
        <f>IFERROR(RD[[#This Row],[33 kV Total Export (MWH)]]/RD[[#This Row],[220 KV Net Export (MWh)]]-1,"")</f>
        <v>5.8593750000215383E-3</v>
      </c>
      <c r="CZ24" s="188">
        <f t="shared" si="67"/>
        <v>50.6</v>
      </c>
      <c r="DA24" s="189">
        <v>97</v>
      </c>
      <c r="DB24" s="190"/>
      <c r="DC24" s="68">
        <f>IFERROR((RD[[#This Row],[Sunset Time (POA&lt;20 W/m2)]]-RD[[#This Row],[Sunrise Time (POA&gt;20 W/m2)]])*24,0)</f>
        <v>11.866666666666665</v>
      </c>
      <c r="DD24" s="70">
        <f>SUM(RD[[#This Row],[33 kV_Wind_F3_Export_Reading3]],CJ24,CK24,CL24,CM24)</f>
        <v>819224.99999999325</v>
      </c>
      <c r="DE24" s="68">
        <v>140</v>
      </c>
      <c r="DF24" s="70">
        <f t="shared" si="68"/>
        <v>212519.99999998306</v>
      </c>
      <c r="DG24" s="70">
        <v>220.44</v>
      </c>
      <c r="DH24">
        <f>'WTG Reactive Power'!AB22</f>
        <v>41594.699999999997</v>
      </c>
    </row>
    <row r="25" spans="1:112">
      <c r="A25" s="173">
        <f>YEAR(RD[[#This Row],[Date]])+IF(MONTH(RD[[#This Row],[Date]])&gt;=4,1,0)</f>
        <v>2026</v>
      </c>
      <c r="B25" s="173">
        <f>YEAR(RD[[#This Row],[Date]])</f>
        <v>2025</v>
      </c>
      <c r="C25" s="174">
        <f t="shared" si="57"/>
        <v>45748</v>
      </c>
      <c r="D25" s="173">
        <f>DAY(EOMONTH(RD[[#This Row],[Date]],0))</f>
        <v>30</v>
      </c>
      <c r="E25" s="175">
        <f t="shared" si="69"/>
        <v>45765</v>
      </c>
      <c r="F25" s="176">
        <v>0.28055555555555556</v>
      </c>
      <c r="G25" s="176">
        <v>0.73124999999999996</v>
      </c>
      <c r="H25" s="177">
        <v>12808</v>
      </c>
      <c r="I25" s="177">
        <v>11807</v>
      </c>
      <c r="J25" s="177">
        <v>11674</v>
      </c>
      <c r="K25" s="177">
        <v>8435</v>
      </c>
      <c r="L25" s="177">
        <v>10493</v>
      </c>
      <c r="M25" s="177">
        <v>11735</v>
      </c>
      <c r="N25" s="177">
        <v>12237</v>
      </c>
      <c r="O25" s="177">
        <v>9902</v>
      </c>
      <c r="P25" s="177">
        <v>10463</v>
      </c>
      <c r="Q25" s="177">
        <v>11385</v>
      </c>
      <c r="R25" s="177">
        <v>11029</v>
      </c>
      <c r="S25" s="177">
        <v>10355</v>
      </c>
      <c r="T25" s="177">
        <v>10391</v>
      </c>
      <c r="U25" s="177">
        <v>9751</v>
      </c>
      <c r="V25" s="177">
        <v>12865</v>
      </c>
      <c r="W25" s="177">
        <v>12766</v>
      </c>
      <c r="X25" s="177">
        <v>12559</v>
      </c>
      <c r="Y25" s="177">
        <v>10533</v>
      </c>
      <c r="Z25" s="177">
        <v>10602</v>
      </c>
      <c r="AA25" s="177">
        <v>8895</v>
      </c>
      <c r="AB25" s="177">
        <v>11405</v>
      </c>
      <c r="AC25" s="177">
        <v>10986</v>
      </c>
      <c r="AD25" s="177">
        <v>12052</v>
      </c>
      <c r="AE25" s="71">
        <v>5.5486142857142857</v>
      </c>
      <c r="AF25" s="71">
        <v>5.4298741258741279</v>
      </c>
      <c r="AG25" s="71">
        <v>5.5862357142857126</v>
      </c>
      <c r="AH25" s="71">
        <v>5.0108551724137929</v>
      </c>
      <c r="AI25" s="71">
        <v>5.2796206896551725</v>
      </c>
      <c r="AJ25" s="71">
        <v>5.3825034482758642</v>
      </c>
      <c r="AK25" s="71">
        <v>5.5176344827586208</v>
      </c>
      <c r="AL25" s="71">
        <v>5.7737809523809531</v>
      </c>
      <c r="AM25" s="71">
        <v>5.2650965517241373</v>
      </c>
      <c r="AN25" s="71">
        <v>5.4274999999999993</v>
      </c>
      <c r="AO25" s="71">
        <v>5.553878571428573</v>
      </c>
      <c r="AP25" s="71">
        <v>5.2747214285714303</v>
      </c>
      <c r="AQ25" s="71">
        <v>5.2350999999999992</v>
      </c>
      <c r="AR25" s="71">
        <v>5.1375999999999991</v>
      </c>
      <c r="AS25" s="71">
        <v>5.7291571428571402</v>
      </c>
      <c r="AT25" s="71">
        <v>5.4975448275862062</v>
      </c>
      <c r="AU25" s="71">
        <v>5.5307241379310366</v>
      </c>
      <c r="AV25" s="71">
        <v>5.2359586206896553</v>
      </c>
      <c r="AW25" s="71">
        <v>5.4043695652173893</v>
      </c>
      <c r="AX25" s="71">
        <v>5.1044571428571404</v>
      </c>
      <c r="AY25" s="71">
        <v>5.4726482758620696</v>
      </c>
      <c r="AZ25" s="71">
        <v>5.3882206896551699</v>
      </c>
      <c r="BA25" s="71">
        <v>5.4206620689655169</v>
      </c>
      <c r="BB25" s="178">
        <f t="shared" si="58"/>
        <v>109755</v>
      </c>
      <c r="BC25" s="179">
        <f t="shared" si="59"/>
        <v>25325</v>
      </c>
      <c r="BD25" s="180">
        <f t="shared" si="70"/>
        <v>87376</v>
      </c>
      <c r="BE25" s="179">
        <f t="shared" si="61"/>
        <v>10533</v>
      </c>
      <c r="BF25" s="179">
        <f t="shared" si="71"/>
        <v>22139</v>
      </c>
      <c r="BG25" s="179">
        <f>SUM(RD[[#This Row],[KUD01]:[KUD23]])</f>
        <v>255128</v>
      </c>
      <c r="BH25" s="181">
        <f t="shared" si="63"/>
        <v>5.4001633850931672</v>
      </c>
      <c r="BI25" s="182">
        <f t="shared" si="64"/>
        <v>5.5141344827586209</v>
      </c>
      <c r="BJ25" s="182">
        <f t="shared" si="65"/>
        <v>5.3940896457565426</v>
      </c>
      <c r="BK25" s="183">
        <f t="shared" si="66"/>
        <v>5.2359586206896553</v>
      </c>
      <c r="BL25" s="61">
        <f>IFERROR(AVERAGEIF(RD[[#This Row],[WS_KUD07]:[WS_KUD08]],"&lt;&gt;0",RD[[#This Row],[WS_KUD07]:[WS_KUD08]]),"")</f>
        <v>5.6457077175697865</v>
      </c>
      <c r="BM25" s="184">
        <f>IFERROR(AVERAGE(RD[[#This Row],[WS_KUD01]:[WS_KUD23]]),"")</f>
        <v>5.4002938215088685</v>
      </c>
      <c r="BN25" s="185">
        <f>IFERROR(MAX(RD[[#This Row],[WS_KUD01]:[WS_KUD23]]),"")</f>
        <v>5.7737809523809531</v>
      </c>
      <c r="BO25" s="73">
        <v>640.30499999999995</v>
      </c>
      <c r="BP25" s="73">
        <v>885.04300000000001</v>
      </c>
      <c r="BQ25" s="73">
        <v>50.381</v>
      </c>
      <c r="BR25" s="73">
        <v>217.27199999999999</v>
      </c>
      <c r="BS25" s="73">
        <v>167.74199999999999</v>
      </c>
      <c r="BT25" s="73">
        <v>277.43900000000002</v>
      </c>
      <c r="BU25" s="73"/>
      <c r="BV25" s="73">
        <v>67.622</v>
      </c>
      <c r="BW25" s="73">
        <v>183730</v>
      </c>
      <c r="BX25" s="73">
        <v>246434</v>
      </c>
      <c r="BY25" s="73">
        <v>115.145</v>
      </c>
      <c r="BZ25" s="73">
        <v>67.31</v>
      </c>
      <c r="CA25" s="73">
        <v>266.74400000000003</v>
      </c>
      <c r="CB25" s="73">
        <v>91.811000000000007</v>
      </c>
      <c r="CC25" s="73">
        <v>0.108</v>
      </c>
      <c r="CD25" s="73">
        <v>288.47899999999998</v>
      </c>
      <c r="CE25" s="73">
        <v>0</v>
      </c>
      <c r="CF25" s="64" t="str">
        <f>IF((RD[[#This Row],[33 kV_Wind_F1_Export reading]]-BO24)*165000&lt;=0,"",(RD[[#This Row],[33 kV_Wind_F1_Export reading]]-BO24)*165000)</f>
        <v/>
      </c>
      <c r="CG25" s="64">
        <f>IF((RD[[#This Row],[33 kV_Wind_F2_Export_reading]]-BP24)*165000&lt;=0,"",(RD[[#This Row],[33 kV_Wind_F2_Export_reading]]-BP24)*165000)</f>
        <v>131340.00000000809</v>
      </c>
      <c r="CH25" s="64">
        <f>IF((RD[[#This Row],[33 kV_Wind_F3_Export_Reading]]-BQ24)*225000&lt;=0,"",(RD[[#This Row],[33 kV_Wind_F3_Export_Reading]]-BQ24)*225000)</f>
        <v>232875.00000000084</v>
      </c>
      <c r="CI25" s="64">
        <f>IF((RD[[#This Row],[33 kV_Wind_F4_Export Reading]]-BR24)*165000&lt;=0,"",(RD[[#This Row],[33 kV_Wind_F4_Export Reading]]-BR24)*165000)</f>
        <v>116819.99999999974</v>
      </c>
      <c r="CJ25" s="74">
        <f>IF((RD[[#This Row],[33 kV_Solar_F1_Export Reading]]-BS24)*225000&lt;=0,"",(RD[[#This Row],[33 kV_Solar_F1_Export Reading]]-BS24)*225000)</f>
        <v>190574.99999999549</v>
      </c>
      <c r="CK25" s="74">
        <f>IF((RD[[#This Row],[33kV_Solar_F2_Export Reading]]-BT24)*225000&lt;=0,"",(RD[[#This Row],[33kV_Solar_F2_Export Reading]]-BT24)*225000)</f>
        <v>180225.00000001004</v>
      </c>
      <c r="CL25" s="186" t="str">
        <f>IF((RD[[#This Row],[33 kV_Solar_F3_Export reading]]-BU24)*225000&lt;=0,"",(RD[[#This Row],[33 kV_Solar_F3_Export reading]]-BU24)*225000)</f>
        <v/>
      </c>
      <c r="CM25" s="63">
        <f>IF((RD[[#This Row],[32kV_Solar_F4_Export reading]]-BV24)*225000&lt;=0,"",(RD[[#This Row],[32kV_Solar_F4_Export reading]]-BV24)*225000)</f>
        <v>176175.00000000029</v>
      </c>
      <c r="CN25" s="64">
        <f>IF((RD[[#This Row],[33kV_OG1_Export reading]]-BW24)*1000&lt;=0,0,(RD[[#This Row],[33kV_OG1_Export reading]]-BW24)*1000)</f>
        <v>547000</v>
      </c>
      <c r="CO25" s="64">
        <f>IFERROR(IF((RD[[#This Row],[33kV_OG2_Export reading]]-BX24)*1000&lt;=0,0,(RD[[#This Row],[33kV_OG2_Export reading]]-BX24)*1000),0)</f>
        <v>481000</v>
      </c>
      <c r="CP25" s="74">
        <f>IF((RD[[#This Row],[220kV_TX1_Export reading]]-BY24)*800000&lt;=0,0,(RD[[#This Row],[220kV_TX1_Export reading]]-BY24)*800000)</f>
        <v>540800.00000000151</v>
      </c>
      <c r="CQ25" s="186">
        <f>IF((RD[[#This Row],[220kV_Tx2_Export reading]]-BZ24)*800000&lt;=0,0,(RD[[#This Row],[220kV_Tx2_Export reading]]-BZ24)*800000)</f>
        <v>474400.00000000279</v>
      </c>
      <c r="CR25" s="64">
        <f>IF((RD[[#This Row],[220kV_TL_TVM Export Reading]]-CA24)*1600000&lt;=0,0,(RD[[#This Row],[220kV_TL_TVM Export Reading]]-CA24)*1600000)</f>
        <v>1020800.0000000538</v>
      </c>
      <c r="CS25" s="64">
        <f>IF((RD[[#This Row],[220kV_C&amp;R_PQM reading]]-CB24)*1600000&lt;=0,"",(RD[[#This Row],[220kV_C&amp;R_PQM reading]]-CB24)*1600000)</f>
        <v>1019200.0000000007</v>
      </c>
      <c r="CT25" s="186">
        <f>IFERROR(IF((RD[[#This Row],[220KV_C&amp;R_PQM Import Reading]]-CC24)*1600000&lt;=0,0,(RD[[#This Row],[220KV_C&amp;R_PQM Import Reading]]-CC24)*1600000),"")</f>
        <v>0</v>
      </c>
      <c r="CU25" s="64">
        <f>IF((RD[[#This Row],[33kV_Aux1 Import Reading]]-CD24)*1000&lt;=0,"",(RD[[#This Row],[33kV_Aux1 Import Reading]]-CD24)*1000)</f>
        <v>399.99999999997726</v>
      </c>
      <c r="CV25" s="64" t="str">
        <f>IF((RD[[#This Row],[33kV_Aux2_Import reading]]-CE24)*1000&lt;=0,"",(RD[[#This Row],[33kV_Aux2_Import reading]]-CE24)*1000)</f>
        <v/>
      </c>
      <c r="CW25" s="64">
        <f>IFERROR(RD[[#This Row],[33kV_OG1_Energy (MWh)]]+RD[[#This Row],[33kV_OG2_Energy (MWh)]],"")</f>
        <v>1028000</v>
      </c>
      <c r="CX25" s="72">
        <f>IFERROR(RD[[#This Row],[220kV_TL_TVM Energy (MWh)]]-RD[[#This Row],[220KV_C&amp;R_PQM Import (MWh)]],"")</f>
        <v>1020800.0000000538</v>
      </c>
      <c r="CY25" s="187">
        <f>IFERROR(RD[[#This Row],[33 kV Total Export (MWH)]]/RD[[#This Row],[220 KV Net Export (MWh)]]-1,"")</f>
        <v>7.0532915359970971E-3</v>
      </c>
      <c r="CZ25" s="188">
        <f t="shared" si="67"/>
        <v>50.6</v>
      </c>
      <c r="DA25" s="189">
        <v>97</v>
      </c>
      <c r="DB25" s="190"/>
      <c r="DC25" s="68">
        <f>IFERROR((RD[[#This Row],[Sunset Time (POA&lt;20 W/m2)]]-RD[[#This Row],[Sunrise Time (POA&gt;20 W/m2)]])*24,0)</f>
        <v>10.816666666666666</v>
      </c>
      <c r="DD25" s="70">
        <f>SUM(RD[[#This Row],[33 kV_Wind_F3_Export_Reading3]],CJ25,CK25,CL25,CM25)</f>
        <v>779850.00000000675</v>
      </c>
      <c r="DE25" s="68">
        <v>140</v>
      </c>
      <c r="DF25" s="70">
        <f t="shared" si="68"/>
        <v>248160.00000000783</v>
      </c>
      <c r="DG25" s="70">
        <v>256.23</v>
      </c>
      <c r="DH25">
        <f>'WTG Reactive Power'!AB23</f>
        <v>56297.499999999978</v>
      </c>
    </row>
    <row r="26" spans="1:112">
      <c r="A26" s="173">
        <f>YEAR(RD[[#This Row],[Date]])+IF(MONTH(RD[[#This Row],[Date]])&gt;=4,1,0)</f>
        <v>2026</v>
      </c>
      <c r="B26" s="173">
        <f>YEAR(RD[[#This Row],[Date]])</f>
        <v>2025</v>
      </c>
      <c r="C26" s="174">
        <f t="shared" si="57"/>
        <v>45748</v>
      </c>
      <c r="D26" s="173">
        <f>DAY(EOMONTH(RD[[#This Row],[Date]],0))</f>
        <v>30</v>
      </c>
      <c r="E26" s="175">
        <f t="shared" si="69"/>
        <v>45766</v>
      </c>
      <c r="F26" s="320">
        <v>0.26944444444444443</v>
      </c>
      <c r="G26" s="320">
        <v>0.76388888888888884</v>
      </c>
      <c r="H26" s="177">
        <v>14235</v>
      </c>
      <c r="I26" s="177">
        <v>14095</v>
      </c>
      <c r="J26" s="177">
        <v>10954</v>
      </c>
      <c r="K26" s="177">
        <v>8632</v>
      </c>
      <c r="L26" s="177">
        <v>9951</v>
      </c>
      <c r="M26" s="177">
        <v>10374</v>
      </c>
      <c r="N26" s="177">
        <v>10202</v>
      </c>
      <c r="O26" s="177">
        <v>11727</v>
      </c>
      <c r="P26" s="177">
        <v>10198</v>
      </c>
      <c r="Q26" s="177">
        <v>10157</v>
      </c>
      <c r="R26" s="177">
        <v>9254</v>
      </c>
      <c r="S26" s="177">
        <v>10416</v>
      </c>
      <c r="T26" s="177">
        <v>11095</v>
      </c>
      <c r="U26" s="177">
        <v>9675</v>
      </c>
      <c r="V26" s="177">
        <v>15781</v>
      </c>
      <c r="W26" s="177">
        <v>15393</v>
      </c>
      <c r="X26" s="177">
        <v>14814</v>
      </c>
      <c r="Y26" s="177">
        <v>10586</v>
      </c>
      <c r="Z26" s="177">
        <v>11387</v>
      </c>
      <c r="AA26" s="177">
        <v>8496</v>
      </c>
      <c r="AB26" s="177">
        <v>12679</v>
      </c>
      <c r="AC26" s="177">
        <v>10946</v>
      </c>
      <c r="AD26" s="177">
        <v>13119</v>
      </c>
      <c r="AE26" s="71">
        <v>5.7085144927536264</v>
      </c>
      <c r="AF26" s="71">
        <v>5.6038758620689668</v>
      </c>
      <c r="AG26" s="71">
        <v>5.4378571428571378</v>
      </c>
      <c r="AH26" s="71">
        <v>4.9169999999999998</v>
      </c>
      <c r="AI26" s="71">
        <v>5.1716068965517232</v>
      </c>
      <c r="AJ26" s="71">
        <v>5.2154896551724113</v>
      </c>
      <c r="AK26" s="71">
        <v>5.239924137931034</v>
      </c>
      <c r="AL26" s="71">
        <v>6.051914285714286</v>
      </c>
      <c r="AM26" s="71">
        <v>5.2417241379310324</v>
      </c>
      <c r="AN26" s="71">
        <v>5.2126131386861347</v>
      </c>
      <c r="AO26" s="71">
        <v>5.4824651162790712</v>
      </c>
      <c r="AP26" s="71">
        <v>5.2331159420289879</v>
      </c>
      <c r="AQ26" s="71">
        <v>5.2883000000000004</v>
      </c>
      <c r="AR26" s="71">
        <v>5.1262999999999979</v>
      </c>
      <c r="AS26" s="71">
        <v>6.0562357142857133</v>
      </c>
      <c r="AT26" s="71">
        <v>5.7379862068965517</v>
      </c>
      <c r="AU26" s="71">
        <v>5.6970068965517271</v>
      </c>
      <c r="AV26" s="71">
        <v>5.2406068965517214</v>
      </c>
      <c r="AW26" s="71">
        <v>5.419999999999999</v>
      </c>
      <c r="AX26" s="71">
        <v>5.0010714285714304</v>
      </c>
      <c r="AY26" s="71">
        <v>5.5772344827586213</v>
      </c>
      <c r="AZ26" s="71">
        <v>5.3619724137931026</v>
      </c>
      <c r="BA26" s="71">
        <v>5.4985103448275838</v>
      </c>
      <c r="BB26" s="178">
        <f t="shared" si="58"/>
        <v>111450</v>
      </c>
      <c r="BC26" s="179">
        <f t="shared" si="59"/>
        <v>30207</v>
      </c>
      <c r="BD26" s="180">
        <f t="shared" si="70"/>
        <v>89994</v>
      </c>
      <c r="BE26" s="179">
        <f t="shared" si="61"/>
        <v>10586</v>
      </c>
      <c r="BF26" s="179">
        <f t="shared" si="71"/>
        <v>21929</v>
      </c>
      <c r="BG26" s="179">
        <f>SUM(RD[[#This Row],[KUD01]:[KUD23]])</f>
        <v>264166</v>
      </c>
      <c r="BH26" s="181">
        <f t="shared" si="63"/>
        <v>5.3966472975462105</v>
      </c>
      <c r="BI26" s="182">
        <f t="shared" si="64"/>
        <v>5.717496551724139</v>
      </c>
      <c r="BJ26" s="182">
        <f t="shared" si="65"/>
        <v>5.3879252216748759</v>
      </c>
      <c r="BK26" s="183">
        <f t="shared" si="66"/>
        <v>5.2406068965517214</v>
      </c>
      <c r="BL26" s="61">
        <f>IFERROR(AVERAGEIF(RD[[#This Row],[WS_KUD07]:[WS_KUD08]],"&lt;&gt;0",RD[[#This Row],[WS_KUD07]:[WS_KUD08]]),"")</f>
        <v>5.64591921182266</v>
      </c>
      <c r="BM26" s="184">
        <f>IFERROR(AVERAGE(RD[[#This Row],[WS_KUD01]:[WS_KUD23]]),"")</f>
        <v>5.4139706605309081</v>
      </c>
      <c r="BN26" s="185">
        <f>IFERROR(MAX(RD[[#This Row],[WS_KUD01]:[WS_KUD23]]),"")</f>
        <v>6.0562357142857133</v>
      </c>
      <c r="BO26" s="73">
        <v>640.30499999999995</v>
      </c>
      <c r="BP26" s="73">
        <v>885.86099999999999</v>
      </c>
      <c r="BQ26" s="73">
        <v>51.067</v>
      </c>
      <c r="BR26" s="73">
        <v>217.995</v>
      </c>
      <c r="BS26" s="73">
        <v>168.60400000000001</v>
      </c>
      <c r="BT26" s="73">
        <v>278.28699999999998</v>
      </c>
      <c r="BU26" s="73"/>
      <c r="BV26" s="73">
        <v>68.45</v>
      </c>
      <c r="BW26" s="73">
        <v>184301</v>
      </c>
      <c r="BX26" s="73">
        <v>246843</v>
      </c>
      <c r="BY26" s="73">
        <v>115.852</v>
      </c>
      <c r="BZ26" s="73">
        <v>67.816000000000003</v>
      </c>
      <c r="CA26" s="73">
        <v>267.35000000000002</v>
      </c>
      <c r="CB26" s="73">
        <v>92.42</v>
      </c>
      <c r="CC26" s="73">
        <v>0.108</v>
      </c>
      <c r="CD26" s="73">
        <v>288.90899999999999</v>
      </c>
      <c r="CE26" s="73">
        <v>0</v>
      </c>
      <c r="CF26" s="64" t="str">
        <f>IF((RD[[#This Row],[33 kV_Wind_F1_Export reading]]-BO25)*165000&lt;=0,"",(RD[[#This Row],[33 kV_Wind_F1_Export reading]]-BO25)*165000)</f>
        <v/>
      </c>
      <c r="CG26" s="64">
        <f>IF((RD[[#This Row],[33 kV_Wind_F2_Export_reading]]-BP25)*165000&lt;=0,"",(RD[[#This Row],[33 kV_Wind_F2_Export_reading]]-BP25)*165000)</f>
        <v>134969.99999999729</v>
      </c>
      <c r="CH26" s="64">
        <f>IF((RD[[#This Row],[33 kV_Wind_F3_Export_Reading]]-BQ25)*225000&lt;=0,"",(RD[[#This Row],[33 kV_Wind_F3_Export_Reading]]-BQ25)*225000)</f>
        <v>154350</v>
      </c>
      <c r="CI26" s="64">
        <f>IF((RD[[#This Row],[33 kV_Wind_F4_Export Reading]]-BR25)*165000&lt;=0,"",(RD[[#This Row],[33 kV_Wind_F4_Export Reading]]-BR25)*165000)</f>
        <v>119295.00000000218</v>
      </c>
      <c r="CJ26" s="74">
        <f>IF((RD[[#This Row],[33 kV_Solar_F1_Export Reading]]-BS25)*225000&lt;=0,"",(RD[[#This Row],[33 kV_Solar_F1_Export Reading]]-BS25)*225000)</f>
        <v>193950.00000000521</v>
      </c>
      <c r="CK26" s="74">
        <f>IF((RD[[#This Row],[33kV_Solar_F2_Export Reading]]-BT25)*225000&lt;=0,"",(RD[[#This Row],[33kV_Solar_F2_Export Reading]]-BT25)*225000)</f>
        <v>190799.99999999016</v>
      </c>
      <c r="CL26" s="186" t="str">
        <f>IF((RD[[#This Row],[33 kV_Solar_F3_Export reading]]-BU25)*225000&lt;=0,"",(RD[[#This Row],[33 kV_Solar_F3_Export reading]]-BU25)*225000)</f>
        <v/>
      </c>
      <c r="CM26" s="63">
        <f>IF((RD[[#This Row],[32kV_Solar_F4_Export reading]]-BV25)*225000&lt;=0,"",(RD[[#This Row],[32kV_Solar_F4_Export reading]]-BV25)*225000)</f>
        <v>186300.00000000067</v>
      </c>
      <c r="CN26" s="64">
        <f>IF((RD[[#This Row],[33kV_OG1_Export reading]]-BW25)*1000&lt;=0,0,(RD[[#This Row],[33kV_OG1_Export reading]]-BW25)*1000)</f>
        <v>571000</v>
      </c>
      <c r="CO26" s="64">
        <f>IFERROR(IF((RD[[#This Row],[33kV_OG2_Export reading]]-BX25)*1000&lt;=0,0,(RD[[#This Row],[33kV_OG2_Export reading]]-BX25)*1000),0)</f>
        <v>409000</v>
      </c>
      <c r="CP26" s="74">
        <f>IF((RD[[#This Row],[220kV_TX1_Export reading]]-BY25)*800000&lt;=0,0,(RD[[#This Row],[220kV_TX1_Export reading]]-BY25)*800000)</f>
        <v>565600.00000000629</v>
      </c>
      <c r="CQ26" s="186">
        <f>IF((RD[[#This Row],[220kV_Tx2_Export reading]]-BZ25)*800000&lt;=0,0,(RD[[#This Row],[220kV_Tx2_Export reading]]-BZ25)*800000)</f>
        <v>404800.00000000017</v>
      </c>
      <c r="CR26" s="64">
        <f>IF((RD[[#This Row],[220kV_TL_TVM Export Reading]]-CA25)*1600000&lt;=0,0,(RD[[#This Row],[220kV_TL_TVM Export Reading]]-CA25)*1600000)</f>
        <v>969599.99999999127</v>
      </c>
      <c r="CS26" s="64">
        <f>IF((RD[[#This Row],[220kV_C&amp;R_PQM reading]]-CB25)*1600000&lt;=0,"",(RD[[#This Row],[220kV_C&amp;R_PQM reading]]-CB25)*1600000)</f>
        <v>974399.9999999915</v>
      </c>
      <c r="CT26" s="186">
        <f>IFERROR(IF((RD[[#This Row],[220KV_C&amp;R_PQM Import Reading]]-CC25)*1600000&lt;=0,0,(RD[[#This Row],[220KV_C&amp;R_PQM Import Reading]]-CC25)*1600000),"")</f>
        <v>0</v>
      </c>
      <c r="CU26" s="64">
        <f>IF((RD[[#This Row],[33kV_Aux1 Import Reading]]-CD25)*1000&lt;=0,"",(RD[[#This Row],[33kV_Aux1 Import Reading]]-CD25)*1000)</f>
        <v>430.00000000000682</v>
      </c>
      <c r="CV26" s="64" t="str">
        <f>IF((RD[[#This Row],[33kV_Aux2_Import reading]]-CE25)*1000&lt;=0,"",(RD[[#This Row],[33kV_Aux2_Import reading]]-CE25)*1000)</f>
        <v/>
      </c>
      <c r="CW26" s="64">
        <f>IFERROR(RD[[#This Row],[33kV_OG1_Energy (MWh)]]+RD[[#This Row],[33kV_OG2_Energy (MWh)]],"")</f>
        <v>980000</v>
      </c>
      <c r="CX26" s="72">
        <f>IFERROR(RD[[#This Row],[220kV_TL_TVM Energy (MWh)]]-RD[[#This Row],[220KV_C&amp;R_PQM Import (MWh)]],"")</f>
        <v>969599.99999999127</v>
      </c>
      <c r="CY26" s="187">
        <f>IFERROR(RD[[#This Row],[33 kV Total Export (MWH)]]/RD[[#This Row],[220 KV Net Export (MWh)]]-1,"")</f>
        <v>1.0726072607269765E-2</v>
      </c>
      <c r="CZ26" s="188">
        <f t="shared" si="67"/>
        <v>50.6</v>
      </c>
      <c r="DA26" s="189">
        <v>97</v>
      </c>
      <c r="DB26" s="190"/>
      <c r="DC26" s="68">
        <f>IFERROR((RD[[#This Row],[Sunset Time (POA&lt;20 W/m2)]]-RD[[#This Row],[Sunrise Time (POA&gt;20 W/m2)]])*24,0)</f>
        <v>11.866666666666665</v>
      </c>
      <c r="DD26" s="70">
        <f>SUM(RD[[#This Row],[33 kV_Wind_F3_Export_Reading3]],CJ26,CK26,CL26,CM26)</f>
        <v>725399.99999999604</v>
      </c>
      <c r="DE26" s="68">
        <v>140</v>
      </c>
      <c r="DF26" s="70">
        <f t="shared" si="68"/>
        <v>254264.99999999948</v>
      </c>
      <c r="DG26" s="70">
        <v>265.02999999999997</v>
      </c>
      <c r="DH26">
        <f>'WTG Reactive Power'!AB24</f>
        <v>25642.699999999997</v>
      </c>
    </row>
    <row r="27" spans="1:112">
      <c r="A27" s="173">
        <f>YEAR(RD[[#This Row],[Date]])+IF(MONTH(RD[[#This Row],[Date]])&gt;=4,1,0)</f>
        <v>2026</v>
      </c>
      <c r="B27" s="173">
        <f>YEAR(RD[[#This Row],[Date]])</f>
        <v>2025</v>
      </c>
      <c r="C27" s="174">
        <f t="shared" si="57"/>
        <v>45748</v>
      </c>
      <c r="D27" s="173">
        <f>DAY(EOMONTH(RD[[#This Row],[Date]],0))</f>
        <v>30</v>
      </c>
      <c r="E27" s="175">
        <f t="shared" si="69"/>
        <v>45767</v>
      </c>
      <c r="F27" s="320">
        <v>0.26874999999999999</v>
      </c>
      <c r="G27" s="320">
        <v>0.74305555555555558</v>
      </c>
      <c r="H27" s="177">
        <v>7376</v>
      </c>
      <c r="I27" s="177">
        <v>12342</v>
      </c>
      <c r="J27" s="177">
        <v>9922</v>
      </c>
      <c r="K27" s="177">
        <v>7354</v>
      </c>
      <c r="L27" s="177">
        <v>8976</v>
      </c>
      <c r="M27" s="177">
        <v>9264</v>
      </c>
      <c r="N27" s="177">
        <v>8841</v>
      </c>
      <c r="O27" s="177">
        <v>9286</v>
      </c>
      <c r="P27" s="177">
        <v>8663</v>
      </c>
      <c r="Q27" s="177">
        <v>8678</v>
      </c>
      <c r="R27" s="177">
        <v>9447</v>
      </c>
      <c r="S27" s="177">
        <v>8585</v>
      </c>
      <c r="T27" s="177">
        <v>9616</v>
      </c>
      <c r="U27" s="177">
        <v>8478</v>
      </c>
      <c r="V27" s="177">
        <v>11655</v>
      </c>
      <c r="W27" s="177">
        <v>14893</v>
      </c>
      <c r="X27" s="177">
        <v>10732</v>
      </c>
      <c r="Y27" s="177">
        <v>8714</v>
      </c>
      <c r="Z27" s="177">
        <v>9334</v>
      </c>
      <c r="AA27" s="177">
        <v>7979</v>
      </c>
      <c r="AB27" s="177">
        <v>10098</v>
      </c>
      <c r="AC27" s="177">
        <v>9165</v>
      </c>
      <c r="AD27" s="177">
        <v>11184</v>
      </c>
      <c r="AE27" s="71">
        <v>5.3279140624999988</v>
      </c>
      <c r="AF27" s="71">
        <v>5.8836810344827555</v>
      </c>
      <c r="AG27" s="71">
        <v>5.5372748091603059</v>
      </c>
      <c r="AH27" s="71">
        <v>4.970674796747967</v>
      </c>
      <c r="AI27" s="71">
        <v>5.3030650406504076</v>
      </c>
      <c r="AJ27" s="71">
        <v>5.2866585365853673</v>
      </c>
      <c r="AK27" s="71">
        <v>5.704059405940594</v>
      </c>
      <c r="AL27" s="71">
        <v>5.2265801526717537</v>
      </c>
      <c r="AM27" s="71">
        <v>5.1817723577235792</v>
      </c>
      <c r="AN27" s="71">
        <v>5.0524769230769255</v>
      </c>
      <c r="AO27" s="71">
        <v>5.3326183206106856</v>
      </c>
      <c r="AP27" s="71">
        <v>5.0567692307692322</v>
      </c>
      <c r="AQ27" s="71">
        <v>5.1719465648854932</v>
      </c>
      <c r="AR27" s="71">
        <v>4.9785801526717544</v>
      </c>
      <c r="AS27" s="71">
        <v>5.6321603053435121</v>
      </c>
      <c r="AT27" s="71">
        <v>6.0957967479674773</v>
      </c>
      <c r="AU27" s="71">
        <v>6.2722588235294134</v>
      </c>
      <c r="AV27" s="71">
        <v>5.378528455284556</v>
      </c>
      <c r="AW27" s="71">
        <v>5.2538769230769242</v>
      </c>
      <c r="AX27" s="71">
        <v>5.0099312977099224</v>
      </c>
      <c r="AY27" s="71">
        <v>5.7484864864864873</v>
      </c>
      <c r="AZ27" s="71">
        <v>5.3867154471544696</v>
      </c>
      <c r="BA27" s="71">
        <v>5.7361842105263134</v>
      </c>
      <c r="BB27" s="178">
        <f t="shared" si="58"/>
        <v>91070</v>
      </c>
      <c r="BC27" s="179">
        <f t="shared" si="59"/>
        <v>25625</v>
      </c>
      <c r="BD27" s="180">
        <f t="shared" si="70"/>
        <v>77046</v>
      </c>
      <c r="BE27" s="179">
        <f t="shared" si="61"/>
        <v>8714</v>
      </c>
      <c r="BF27" s="179">
        <f t="shared" si="71"/>
        <v>18127</v>
      </c>
      <c r="BG27" s="179">
        <f>SUM(RD[[#This Row],[KUD01]:[KUD23]])</f>
        <v>220582</v>
      </c>
      <c r="BH27" s="181">
        <f t="shared" si="63"/>
        <v>5.2353548589804761</v>
      </c>
      <c r="BI27" s="182">
        <f t="shared" si="64"/>
        <v>6.1840277857484454</v>
      </c>
      <c r="BJ27" s="182">
        <f t="shared" si="65"/>
        <v>5.4427877468969692</v>
      </c>
      <c r="BK27" s="183">
        <f t="shared" si="66"/>
        <v>5.378528455284556</v>
      </c>
      <c r="BL27" s="61">
        <f>IFERROR(AVERAGEIF(RD[[#This Row],[WS_KUD07]:[WS_KUD08]],"&lt;&gt;0",RD[[#This Row],[WS_KUD07]:[WS_KUD08]]),"")</f>
        <v>5.4653197793061743</v>
      </c>
      <c r="BM27" s="184">
        <f>IFERROR(AVERAGE(RD[[#This Row],[WS_KUD01]:[WS_KUD23]]),"")</f>
        <v>5.4142613080676485</v>
      </c>
      <c r="BN27" s="185">
        <f>IFERROR(MAX(RD[[#This Row],[WS_KUD01]:[WS_KUD23]]),"")</f>
        <v>6.2722588235294134</v>
      </c>
      <c r="BO27" s="172">
        <v>640.30499999999995</v>
      </c>
      <c r="BP27" s="172">
        <v>886.54600000000005</v>
      </c>
      <c r="BQ27" s="172">
        <v>52.054000000000002</v>
      </c>
      <c r="BR27" s="172">
        <v>218.584</v>
      </c>
      <c r="BS27" s="172">
        <v>169.476</v>
      </c>
      <c r="BT27" s="172">
        <v>279.11500000000001</v>
      </c>
      <c r="BU27" s="172"/>
      <c r="BV27" s="172">
        <v>69.207999999999998</v>
      </c>
      <c r="BW27" s="172">
        <v>184855</v>
      </c>
      <c r="BX27" s="172">
        <v>247276</v>
      </c>
      <c r="BY27" s="172">
        <v>116.536</v>
      </c>
      <c r="BZ27" s="172">
        <v>68.346000000000004</v>
      </c>
      <c r="CA27" s="172">
        <v>267.96100000000001</v>
      </c>
      <c r="CB27" s="172">
        <v>93.031999999999996</v>
      </c>
      <c r="CC27" s="172">
        <v>0.108</v>
      </c>
      <c r="CD27" s="172">
        <v>289.279</v>
      </c>
      <c r="CE27" s="172">
        <v>0</v>
      </c>
      <c r="CF27" s="64" t="str">
        <f>IF((RD[[#This Row],[33 kV_Wind_F1_Export reading]]-BO26)*165000&lt;=0,"",(RD[[#This Row],[33 kV_Wind_F1_Export reading]]-BO26)*165000)</f>
        <v/>
      </c>
      <c r="CG27" s="64">
        <f>IF((RD[[#This Row],[33 kV_Wind_F2_Export_reading]]-BP26)*165000&lt;=0,"",(RD[[#This Row],[33 kV_Wind_F2_Export_reading]]-BP26)*165000)</f>
        <v>113025.00000000975</v>
      </c>
      <c r="CH27" s="64">
        <f>IF((RD[[#This Row],[33 kV_Wind_F3_Export_Reading]]-BQ26)*225000&lt;=0,"",(RD[[#This Row],[33 kV_Wind_F3_Export_Reading]]-BQ26)*225000)</f>
        <v>222075.00000000044</v>
      </c>
      <c r="CI27" s="64">
        <f>IF((RD[[#This Row],[33 kV_Wind_F4_Export Reading]]-BR26)*165000&lt;=0,"",(RD[[#This Row],[33 kV_Wind_F4_Export Reading]]-BR26)*165000)</f>
        <v>97184.999999999782</v>
      </c>
      <c r="CJ27" s="74">
        <f>IF((RD[[#This Row],[33 kV_Solar_F1_Export Reading]]-BS26)*225000&lt;=0,"",(RD[[#This Row],[33 kV_Solar_F1_Export Reading]]-BS26)*225000)</f>
        <v>196199.99999999677</v>
      </c>
      <c r="CK27" s="74">
        <f>IF((RD[[#This Row],[33kV_Solar_F2_Export Reading]]-BT26)*225000&lt;=0,"",(RD[[#This Row],[33kV_Solar_F2_Export Reading]]-BT26)*225000)</f>
        <v>186300.00000000707</v>
      </c>
      <c r="CL27" s="186" t="str">
        <f>IF((RD[[#This Row],[33 kV_Solar_F3_Export reading]]-BU26)*225000&lt;=0,"",(RD[[#This Row],[33 kV_Solar_F3_Export reading]]-BU26)*225000)</f>
        <v/>
      </c>
      <c r="CM27" s="63">
        <f>IF((RD[[#This Row],[32kV_Solar_F4_Export reading]]-BV26)*225000&lt;=0,"",(RD[[#This Row],[32kV_Solar_F4_Export reading]]-BV26)*225000)</f>
        <v>170549.99999999901</v>
      </c>
      <c r="CN27" s="64">
        <f>IF((RD[[#This Row],[33kV_OG1_Export reading]]-BW26)*1000&lt;=0,0,(RD[[#This Row],[33kV_OG1_Export reading]]-BW26)*1000)</f>
        <v>554000</v>
      </c>
      <c r="CO27" s="64">
        <f>IFERROR(IF((RD[[#This Row],[33kV_OG2_Export reading]]-BX26)*1000&lt;=0,0,(RD[[#This Row],[33kV_OG2_Export reading]]-BX26)*1000),0)</f>
        <v>433000</v>
      </c>
      <c r="CP27" s="74">
        <f>IF((RD[[#This Row],[220kV_TX1_Export reading]]-BY26)*800000&lt;=0,0,(RD[[#This Row],[220kV_TX1_Export reading]]-BY26)*800000)</f>
        <v>547199.99999999802</v>
      </c>
      <c r="CQ27" s="186">
        <f>IF((RD[[#This Row],[220kV_Tx2_Export reading]]-BZ26)*800000&lt;=0,0,(RD[[#This Row],[220kV_Tx2_Export reading]]-BZ26)*800000)</f>
        <v>424000.00000000093</v>
      </c>
      <c r="CR27" s="64">
        <f>IF((RD[[#This Row],[220kV_TL_TVM Export Reading]]-CA26)*1600000&lt;=0,0,(RD[[#This Row],[220kV_TL_TVM Export Reading]]-CA26)*1600000)</f>
        <v>977599.99999998393</v>
      </c>
      <c r="CS27" s="64">
        <f>IF((RD[[#This Row],[220kV_C&amp;R_PQM reading]]-CB26)*1600000&lt;=0,"",(RD[[#This Row],[220kV_C&amp;R_PQM reading]]-CB26)*1600000)</f>
        <v>979199.99999999162</v>
      </c>
      <c r="CT27" s="186">
        <f>IFERROR(IF((RD[[#This Row],[220KV_C&amp;R_PQM Import Reading]]-CC26)*1600000&lt;=0,0,(RD[[#This Row],[220KV_C&amp;R_PQM Import Reading]]-CC26)*1600000),"")</f>
        <v>0</v>
      </c>
      <c r="CU27" s="64">
        <f>IF((RD[[#This Row],[33kV_Aux1 Import Reading]]-CD26)*1000&lt;=0,"",(RD[[#This Row],[33kV_Aux1 Import Reading]]-CD26)*1000)</f>
        <v>370.00000000000455</v>
      </c>
      <c r="CV27" s="64" t="str">
        <f>IF((RD[[#This Row],[33kV_Aux2_Import reading]]-CE26)*1000&lt;=0,"",(RD[[#This Row],[33kV_Aux2_Import reading]]-CE26)*1000)</f>
        <v/>
      </c>
      <c r="CW27" s="64">
        <f>IFERROR(RD[[#This Row],[33kV_OG1_Energy (MWh)]]+RD[[#This Row],[33kV_OG2_Energy (MWh)]],"")</f>
        <v>987000</v>
      </c>
      <c r="CX27" s="72">
        <f>IFERROR(RD[[#This Row],[220kV_TL_TVM Energy (MWh)]]-RD[[#This Row],[220KV_C&amp;R_PQM Import (MWh)]],"")</f>
        <v>977599.99999998393</v>
      </c>
      <c r="CY27" s="187">
        <f>IFERROR(RD[[#This Row],[33 kV Total Export (MWH)]]/RD[[#This Row],[220 KV Net Export (MWh)]]-1,"")</f>
        <v>9.6153846154012346E-3</v>
      </c>
      <c r="CZ27" s="188">
        <f t="shared" si="67"/>
        <v>50.6</v>
      </c>
      <c r="DA27" s="189">
        <v>97</v>
      </c>
      <c r="DB27" s="190"/>
      <c r="DC27" s="68">
        <f>IFERROR((RD[[#This Row],[Sunset Time (POA&lt;20 W/m2)]]-RD[[#This Row],[Sunrise Time (POA&gt;20 W/m2)]])*24,0)</f>
        <v>11.383333333333335</v>
      </c>
      <c r="DD27" s="70">
        <f>SUM(RD[[#This Row],[33 kV_Wind_F3_Export_Reading3]],CJ27,CK27,CL27,CM27)</f>
        <v>775125.00000000326</v>
      </c>
      <c r="DE27" s="68">
        <v>140</v>
      </c>
      <c r="DF27" s="70">
        <f t="shared" si="68"/>
        <v>210210.00000000955</v>
      </c>
      <c r="DG27" s="70">
        <v>220.06</v>
      </c>
      <c r="DH27">
        <f>'WTG Reactive Power'!AB25</f>
        <v>27339.5</v>
      </c>
    </row>
    <row r="28" spans="1:112">
      <c r="A28" s="173">
        <f>YEAR(RD[[#This Row],[Date]])+IF(MONTH(RD[[#This Row],[Date]])&gt;=4,1,0)</f>
        <v>2026</v>
      </c>
      <c r="B28" s="173">
        <f>YEAR(RD[[#This Row],[Date]])</f>
        <v>2025</v>
      </c>
      <c r="C28" s="174">
        <f t="shared" si="57"/>
        <v>45748</v>
      </c>
      <c r="D28" s="173">
        <f>DAY(EOMONTH(RD[[#This Row],[Date]],0))</f>
        <v>30</v>
      </c>
      <c r="E28" s="175">
        <f t="shared" si="69"/>
        <v>45768</v>
      </c>
      <c r="F28" s="176">
        <v>0.2722222222222222</v>
      </c>
      <c r="G28" s="176">
        <v>0.7631944444444444</v>
      </c>
      <c r="H28" s="177">
        <v>5783</v>
      </c>
      <c r="I28" s="177">
        <v>4905</v>
      </c>
      <c r="J28" s="177">
        <v>5957</v>
      </c>
      <c r="K28" s="177">
        <v>3381</v>
      </c>
      <c r="L28" s="177">
        <v>4835</v>
      </c>
      <c r="M28" s="177">
        <v>5656</v>
      </c>
      <c r="N28" s="177">
        <v>2096</v>
      </c>
      <c r="O28" s="177">
        <v>5640</v>
      </c>
      <c r="P28" s="177">
        <v>5466</v>
      </c>
      <c r="Q28" s="177">
        <v>5617</v>
      </c>
      <c r="R28" s="177">
        <v>5250</v>
      </c>
      <c r="S28" s="177">
        <v>4105</v>
      </c>
      <c r="T28" s="177">
        <v>3984</v>
      </c>
      <c r="U28" s="177">
        <v>3695</v>
      </c>
      <c r="V28" s="177">
        <v>6573</v>
      </c>
      <c r="W28" s="177">
        <v>6429</v>
      </c>
      <c r="X28" s="177">
        <v>6413</v>
      </c>
      <c r="Y28" s="177">
        <v>4425</v>
      </c>
      <c r="Z28" s="177">
        <v>5329</v>
      </c>
      <c r="AA28" s="177">
        <v>4111</v>
      </c>
      <c r="AB28" s="177">
        <v>5871</v>
      </c>
      <c r="AC28" s="177">
        <v>4985</v>
      </c>
      <c r="AD28" s="177">
        <v>7240</v>
      </c>
      <c r="AE28" s="71">
        <v>4.207237410071941</v>
      </c>
      <c r="AF28" s="71">
        <v>4.149868217054264</v>
      </c>
      <c r="AG28" s="71">
        <v>4.007115107913668</v>
      </c>
      <c r="AH28" s="71">
        <v>3.790278195488721</v>
      </c>
      <c r="AI28" s="71">
        <v>4.0985563909774445</v>
      </c>
      <c r="AJ28" s="71">
        <v>4.6773861386138593</v>
      </c>
      <c r="AK28" s="71">
        <v>4.0369861111111094</v>
      </c>
      <c r="AL28" s="71">
        <v>4.1903381294964008</v>
      </c>
      <c r="AM28" s="71">
        <v>4.4013082706766919</v>
      </c>
      <c r="AN28" s="71">
        <v>4.0242949640287788</v>
      </c>
      <c r="AO28" s="71">
        <v>4.1272230215827328</v>
      </c>
      <c r="AP28" s="71">
        <v>3.8245179856115121</v>
      </c>
      <c r="AQ28" s="71">
        <v>3.9978467153284667</v>
      </c>
      <c r="AR28" s="71">
        <v>3.7505395683453226</v>
      </c>
      <c r="AS28" s="71">
        <v>4.4704820143884891</v>
      </c>
      <c r="AT28" s="71">
        <v>4.3580601503759402</v>
      </c>
      <c r="AU28" s="71">
        <v>4.469165413533835</v>
      </c>
      <c r="AV28" s="71">
        <v>4.1081203007518781</v>
      </c>
      <c r="AW28" s="71">
        <v>4.2639496402877706</v>
      </c>
      <c r="AX28" s="71">
        <v>3.9414244604316533</v>
      </c>
      <c r="AY28" s="71">
        <v>4.4854661654135315</v>
      </c>
      <c r="AZ28" s="71">
        <v>4.3377894736842091</v>
      </c>
      <c r="BA28" s="71">
        <v>4.6273281250000018</v>
      </c>
      <c r="BB28" s="178">
        <f t="shared" si="58"/>
        <v>50404</v>
      </c>
      <c r="BC28" s="179">
        <f t="shared" si="59"/>
        <v>12842</v>
      </c>
      <c r="BD28" s="180">
        <f t="shared" si="70"/>
        <v>42339</v>
      </c>
      <c r="BE28" s="179">
        <f t="shared" si="61"/>
        <v>4425</v>
      </c>
      <c r="BF28" s="179">
        <f t="shared" si="71"/>
        <v>7736</v>
      </c>
      <c r="BG28" s="179">
        <f>SUM(RD[[#This Row],[KUD01]:[KUD23]])</f>
        <v>117746</v>
      </c>
      <c r="BH28" s="181">
        <f t="shared" si="63"/>
        <v>4.0614630887990337</v>
      </c>
      <c r="BI28" s="182">
        <f t="shared" si="64"/>
        <v>4.4136127819548872</v>
      </c>
      <c r="BJ28" s="182">
        <f t="shared" si="65"/>
        <v>4.2795305217516226</v>
      </c>
      <c r="BK28" s="183">
        <f t="shared" si="66"/>
        <v>4.1081203007518781</v>
      </c>
      <c r="BL28" s="61">
        <f>IFERROR(AVERAGEIF(RD[[#This Row],[WS_KUD07]:[WS_KUD08]],"&lt;&gt;0",RD[[#This Row],[WS_KUD07]:[WS_KUD08]]),"")</f>
        <v>4.1136621203037551</v>
      </c>
      <c r="BM28" s="184">
        <f>IFERROR(AVERAGE(RD[[#This Row],[WS_KUD01]:[WS_KUD23]]),"")</f>
        <v>4.1889253030507918</v>
      </c>
      <c r="BN28" s="185">
        <f>IFERROR(MAX(RD[[#This Row],[WS_KUD01]:[WS_KUD23]]),"")</f>
        <v>4.6773861386138593</v>
      </c>
      <c r="BO28" s="73">
        <v>640.30499999999995</v>
      </c>
      <c r="BP28" s="73">
        <v>886.91899999999998</v>
      </c>
      <c r="BQ28" s="73">
        <v>53.128</v>
      </c>
      <c r="BR28" s="73">
        <v>218.91499999999999</v>
      </c>
      <c r="BS28" s="73">
        <v>170.369</v>
      </c>
      <c r="BT28" s="73">
        <v>279.87400000000002</v>
      </c>
      <c r="BU28" s="73"/>
      <c r="BV28" s="73">
        <v>70.024000000000001</v>
      </c>
      <c r="BW28" s="73">
        <v>185410</v>
      </c>
      <c r="BX28" s="73">
        <v>247632</v>
      </c>
      <c r="BY28" s="73">
        <v>117.223</v>
      </c>
      <c r="BZ28" s="73">
        <v>68.784999999999997</v>
      </c>
      <c r="CA28" s="73">
        <v>268.52600000000001</v>
      </c>
      <c r="CB28" s="73">
        <v>93.596999999999994</v>
      </c>
      <c r="CC28" s="73">
        <v>0.108</v>
      </c>
      <c r="CD28" s="73">
        <v>289.66899999999998</v>
      </c>
      <c r="CE28" s="172">
        <v>0</v>
      </c>
      <c r="CF28" s="64" t="str">
        <f>IF((RD[[#This Row],[33 kV_Wind_F1_Export reading]]-BO27)*165000&lt;=0,"",(RD[[#This Row],[33 kV_Wind_F1_Export reading]]-BO27)*165000)</f>
        <v/>
      </c>
      <c r="CG28" s="64">
        <f>IF((RD[[#This Row],[33 kV_Wind_F2_Export_reading]]-BP27)*165000&lt;=0,"",(RD[[#This Row],[33 kV_Wind_F2_Export_reading]]-BP27)*165000)</f>
        <v>61544.999999989042</v>
      </c>
      <c r="CH28" s="64">
        <f>IF((RD[[#This Row],[33 kV_Wind_F3_Export_Reading]]-BQ27)*225000&lt;=0,"",(RD[[#This Row],[33 kV_Wind_F3_Export_Reading]]-BQ27)*225000)</f>
        <v>241649.99999999956</v>
      </c>
      <c r="CI28" s="64">
        <f>IF((RD[[#This Row],[33 kV_Wind_F4_Export Reading]]-BR27)*165000&lt;=0,"",(RD[[#This Row],[33 kV_Wind_F4_Export Reading]]-BR27)*165000)</f>
        <v>54614.999999998159</v>
      </c>
      <c r="CJ28" s="74">
        <f>IF((RD[[#This Row],[33 kV_Solar_F1_Export Reading]]-BS27)*225000&lt;=0,"",(RD[[#This Row],[33 kV_Solar_F1_Export Reading]]-BS27)*225000)</f>
        <v>200925.00000000015</v>
      </c>
      <c r="CK28" s="74">
        <f>IF((RD[[#This Row],[33kV_Solar_F2_Export Reading]]-BT27)*225000&lt;=0,"",(RD[[#This Row],[33kV_Solar_F2_Export Reading]]-BT27)*225000)</f>
        <v>170775.00000000326</v>
      </c>
      <c r="CL28" s="186" t="str">
        <f>IF((RD[[#This Row],[33 kV_Solar_F3_Export reading]]-BU27)*225000&lt;=0,"",(RD[[#This Row],[33 kV_Solar_F3_Export reading]]-BU27)*225000)</f>
        <v/>
      </c>
      <c r="CM28" s="63">
        <f>IF((RD[[#This Row],[32kV_Solar_F4_Export reading]]-BV27)*225000&lt;=0,"",(RD[[#This Row],[32kV_Solar_F4_Export reading]]-BV27)*225000)</f>
        <v>183600.00000000055</v>
      </c>
      <c r="CN28" s="64">
        <f>IF((RD[[#This Row],[33kV_OG1_Export reading]]-BW27)*1000&lt;=0,0,(RD[[#This Row],[33kV_OG1_Export reading]]-BW27)*1000)</f>
        <v>555000</v>
      </c>
      <c r="CO28" s="64">
        <f>IFERROR(IF((RD[[#This Row],[33kV_OG2_Export reading]]-BX27)*1000&lt;=0,0,(RD[[#This Row],[33kV_OG2_Export reading]]-BX27)*1000),0)</f>
        <v>356000</v>
      </c>
      <c r="CP28" s="74">
        <f>IF((RD[[#This Row],[220kV_TX1_Export reading]]-BY27)*800000&lt;=0,0,(RD[[#This Row],[220kV_TX1_Export reading]]-BY27)*800000)</f>
        <v>549599.99999999814</v>
      </c>
      <c r="CQ28" s="186">
        <f>IF((RD[[#This Row],[220kV_Tx2_Export reading]]-BZ27)*800000&lt;=0,0,(RD[[#This Row],[220kV_Tx2_Export reading]]-BZ27)*800000)</f>
        <v>351199.99999999435</v>
      </c>
      <c r="CR28" s="64">
        <f>IF((RD[[#This Row],[220kV_TL_TVM Export Reading]]-CA27)*1600000&lt;=0,0,(RD[[#This Row],[220kV_TL_TVM Export Reading]]-CA27)*1600000)</f>
        <v>903999.99999999639</v>
      </c>
      <c r="CS28" s="64">
        <f>IF((RD[[#This Row],[220kV_C&amp;R_PQM reading]]-CB27)*1600000&lt;=0,"",(RD[[#This Row],[220kV_C&amp;R_PQM reading]]-CB27)*1600000)</f>
        <v>903999.99999999639</v>
      </c>
      <c r="CT28" s="186">
        <f>IFERROR(IF((RD[[#This Row],[220KV_C&amp;R_PQM Import Reading]]-CC27)*1600000&lt;=0,0,(RD[[#This Row],[220KV_C&amp;R_PQM Import Reading]]-CC27)*1600000),"")</f>
        <v>0</v>
      </c>
      <c r="CU28" s="64">
        <f>IF((RD[[#This Row],[33kV_Aux1 Import Reading]]-CD27)*1000&lt;=0,"",(RD[[#This Row],[33kV_Aux1 Import Reading]]-CD27)*1000)</f>
        <v>389.99999999998636</v>
      </c>
      <c r="CV28" s="64" t="str">
        <f>IF((RD[[#This Row],[33kV_Aux2_Import reading]]-CE27)*1000&lt;=0,"",(RD[[#This Row],[33kV_Aux2_Import reading]]-CE27)*1000)</f>
        <v/>
      </c>
      <c r="CW28" s="64">
        <f>IFERROR(RD[[#This Row],[33kV_OG1_Energy (MWh)]]+RD[[#This Row],[33kV_OG2_Energy (MWh)]],"")</f>
        <v>911000</v>
      </c>
      <c r="CX28" s="72">
        <f>IFERROR(RD[[#This Row],[220kV_TL_TVM Energy (MWh)]]-RD[[#This Row],[220KV_C&amp;R_PQM Import (MWh)]],"")</f>
        <v>903999.99999999639</v>
      </c>
      <c r="CY28" s="187">
        <f>IFERROR(RD[[#This Row],[33 kV Total Export (MWH)]]/RD[[#This Row],[220 KV Net Export (MWh)]]-1,"")</f>
        <v>7.7433628318623882E-3</v>
      </c>
      <c r="CZ28" s="188">
        <f t="shared" si="67"/>
        <v>50.6</v>
      </c>
      <c r="DA28" s="189">
        <v>97</v>
      </c>
      <c r="DB28" s="190"/>
      <c r="DC28" s="68">
        <f>IFERROR((RD[[#This Row],[Sunset Time (POA&lt;20 W/m2)]]-RD[[#This Row],[Sunrise Time (POA&gt;20 W/m2)]])*24,0)</f>
        <v>11.783333333333333</v>
      </c>
      <c r="DD28" s="70">
        <f>SUM(RD[[#This Row],[33 kV_Wind_F3_Export_Reading3]],CJ28,CK28,CL28,CM28)</f>
        <v>796950.00000000361</v>
      </c>
      <c r="DE28" s="68">
        <v>140</v>
      </c>
      <c r="DF28" s="70">
        <f t="shared" si="68"/>
        <v>116159.99999998719</v>
      </c>
      <c r="DG28" s="70">
        <v>130.46</v>
      </c>
      <c r="DH28">
        <f>'WTG Reactive Power'!AB26</f>
        <v>100864.79999999999</v>
      </c>
    </row>
    <row r="29" spans="1:112">
      <c r="A29" s="173">
        <f>YEAR(RD[[#This Row],[Date]])+IF(MONTH(RD[[#This Row],[Date]])&gt;=4,1,0)</f>
        <v>2026</v>
      </c>
      <c r="B29" s="173">
        <f>YEAR(RD[[#This Row],[Date]])</f>
        <v>2025</v>
      </c>
      <c r="C29" s="174">
        <f t="shared" ref="C29:C57" si="72">E29-DAY(E29)+1</f>
        <v>45748</v>
      </c>
      <c r="D29" s="173">
        <f>DAY(EOMONTH(RD[[#This Row],[Date]],0))</f>
        <v>30</v>
      </c>
      <c r="E29" s="175">
        <f t="shared" ref="E29:E57" si="73">E28+1</f>
        <v>45769</v>
      </c>
      <c r="F29" s="176">
        <v>0.26597222222222222</v>
      </c>
      <c r="G29" s="176">
        <v>0.75347222222222221</v>
      </c>
      <c r="H29" s="177">
        <v>4192</v>
      </c>
      <c r="I29" s="177">
        <v>5108</v>
      </c>
      <c r="J29" s="177">
        <v>4790</v>
      </c>
      <c r="K29" s="177">
        <v>2836</v>
      </c>
      <c r="L29" s="177">
        <v>3587</v>
      </c>
      <c r="M29" s="177">
        <v>4421</v>
      </c>
      <c r="N29" s="177">
        <v>4694</v>
      </c>
      <c r="O29" s="177">
        <v>4847</v>
      </c>
      <c r="P29" s="177">
        <v>4541</v>
      </c>
      <c r="Q29" s="177">
        <v>4268</v>
      </c>
      <c r="R29" s="177">
        <v>3719</v>
      </c>
      <c r="S29" s="177">
        <v>3889</v>
      </c>
      <c r="T29" s="177">
        <v>3980</v>
      </c>
      <c r="U29" s="177">
        <v>3411</v>
      </c>
      <c r="V29" s="177">
        <v>4924</v>
      </c>
      <c r="W29" s="177">
        <v>7253</v>
      </c>
      <c r="X29" s="177">
        <v>5893</v>
      </c>
      <c r="Y29" s="177">
        <v>4173</v>
      </c>
      <c r="Z29" s="177">
        <v>3629</v>
      </c>
      <c r="AA29" s="177">
        <v>3295</v>
      </c>
      <c r="AB29" s="177">
        <v>5005</v>
      </c>
      <c r="AC29" s="177">
        <v>4361</v>
      </c>
      <c r="AD29" s="177">
        <v>5811</v>
      </c>
      <c r="AE29" s="71">
        <v>4.283974999999999</v>
      </c>
      <c r="AF29" s="71">
        <v>4.4805461538461522</v>
      </c>
      <c r="AG29" s="71">
        <v>4.07563909774436</v>
      </c>
      <c r="AH29" s="71">
        <v>3.6800921985815598</v>
      </c>
      <c r="AI29" s="71">
        <v>3.8616950354609938</v>
      </c>
      <c r="AJ29" s="71">
        <v>3.9125602836879434</v>
      </c>
      <c r="AK29" s="71">
        <v>4.0262695035460965</v>
      </c>
      <c r="AL29" s="71">
        <v>4.1260671641791058</v>
      </c>
      <c r="AM29" s="71">
        <v>4.1903687943262407</v>
      </c>
      <c r="AN29" s="71">
        <v>4.0197401574803138</v>
      </c>
      <c r="AO29" s="71">
        <v>4.0436691729323302</v>
      </c>
      <c r="AP29" s="71">
        <v>3.8765307692307669</v>
      </c>
      <c r="AQ29" s="71">
        <v>3.9528872180451131</v>
      </c>
      <c r="AR29" s="71">
        <v>3.7904427480916021</v>
      </c>
      <c r="AS29" s="71">
        <v>4.6029898989898985</v>
      </c>
      <c r="AT29" s="71">
        <v>4.4978226950354641</v>
      </c>
      <c r="AU29" s="71">
        <v>4.3489787234042518</v>
      </c>
      <c r="AV29" s="71">
        <v>4.0427535211267633</v>
      </c>
      <c r="AW29" s="71">
        <v>3.9966377952755914</v>
      </c>
      <c r="AX29" s="71">
        <v>3.8931893939393936</v>
      </c>
      <c r="AY29" s="71">
        <v>4.2540354609929061</v>
      </c>
      <c r="AZ29" s="71">
        <v>4.1868014184397184</v>
      </c>
      <c r="BA29" s="71">
        <v>4.4719055118110234</v>
      </c>
      <c r="BB29" s="178">
        <f t="shared" ref="BB29:BB57" si="74">SUM($H29,$J29,$Q29:$V29,$Z29:$AA29)</f>
        <v>40097</v>
      </c>
      <c r="BC29" s="179">
        <f t="shared" ref="BC29:BC57" si="75">SUM($W29:$X29)</f>
        <v>13146</v>
      </c>
      <c r="BD29" s="180">
        <f t="shared" si="70"/>
        <v>35670</v>
      </c>
      <c r="BE29" s="179">
        <f t="shared" ref="BE29:BE57" si="76">Y29</f>
        <v>4173</v>
      </c>
      <c r="BF29" s="179">
        <f t="shared" si="71"/>
        <v>9541</v>
      </c>
      <c r="BG29" s="179">
        <f>SUM(RD[[#This Row],[KUD01]:[KUD23]])</f>
        <v>102627</v>
      </c>
      <c r="BH29" s="181">
        <f t="shared" ref="BH29:BH57" si="77">IFERROR(AVERAGE(AE29,AG29,AN29:AS29,AW29:AX29),"")</f>
        <v>4.0535701251729375</v>
      </c>
      <c r="BI29" s="182">
        <f t="shared" ref="BI29:BI57" si="78">IFERROR(AVERAGE(AT29,AU29),"")</f>
        <v>4.423400709219858</v>
      </c>
      <c r="BJ29" s="182">
        <f t="shared" ref="BJ29:BJ57" si="79">IFERROR(AVERAGE(AF29,AH29:AM29,AY29:BA29),"")</f>
        <v>4.1190341524871741</v>
      </c>
      <c r="BK29" s="183">
        <f t="shared" si="66"/>
        <v>4.0427535211267633</v>
      </c>
      <c r="BL29" s="61">
        <f>IFERROR(AVERAGEIF(RD[[#This Row],[WS_KUD07]:[WS_KUD08]],"&lt;&gt;0",RD[[#This Row],[WS_KUD07]:[WS_KUD08]]),"")</f>
        <v>4.0761683338626007</v>
      </c>
      <c r="BM29" s="184">
        <f>IFERROR(AVERAGE(RD[[#This Row],[WS_KUD01]:[WS_KUD23]]),"")</f>
        <v>4.1137216398333738</v>
      </c>
      <c r="BN29" s="185">
        <f>IFERROR(MAX(RD[[#This Row],[WS_KUD01]:[WS_KUD23]]),"")</f>
        <v>4.6029898989898985</v>
      </c>
      <c r="BO29" s="73">
        <v>640.30499999999995</v>
      </c>
      <c r="BP29" s="73">
        <v>887.25699999999995</v>
      </c>
      <c r="BQ29" s="73">
        <v>54.164999999999999</v>
      </c>
      <c r="BR29" s="73">
        <v>219.18199999999999</v>
      </c>
      <c r="BS29" s="73">
        <v>171.24</v>
      </c>
      <c r="BT29" s="73">
        <v>280.69400000000002</v>
      </c>
      <c r="BU29" s="73"/>
      <c r="BV29" s="73">
        <v>70.805999999999997</v>
      </c>
      <c r="BW29" s="73">
        <v>185967</v>
      </c>
      <c r="BX29" s="73">
        <v>247964</v>
      </c>
      <c r="BY29" s="73">
        <v>117.911</v>
      </c>
      <c r="BZ29" s="73">
        <v>69.194999999999993</v>
      </c>
      <c r="CA29" s="73">
        <v>269.07799999999997</v>
      </c>
      <c r="CB29" s="73">
        <v>94.147999999999996</v>
      </c>
      <c r="CC29" s="73">
        <v>0.109</v>
      </c>
      <c r="CD29" s="73">
        <v>290.07900000000001</v>
      </c>
      <c r="CE29" s="73">
        <v>0</v>
      </c>
      <c r="CF29" s="64" t="str">
        <f>IF((RD[[#This Row],[33 kV_Wind_F1_Export reading]]-BO28)*165000&lt;=0,"",(RD[[#This Row],[33 kV_Wind_F1_Export reading]]-BO28)*165000)</f>
        <v/>
      </c>
      <c r="CG29" s="64">
        <f>IF((RD[[#This Row],[33 kV_Wind_F2_Export_reading]]-BP28)*165000&lt;=0,"",(RD[[#This Row],[33 kV_Wind_F2_Export_reading]]-BP28)*165000)</f>
        <v>55769.999999994296</v>
      </c>
      <c r="CH29" s="64">
        <f>IF((RD[[#This Row],[33 kV_Wind_F3_Export_Reading]]-BQ28)*225000&lt;=0,"",(RD[[#This Row],[33 kV_Wind_F3_Export_Reading]]-BQ28)*225000)</f>
        <v>233324.9999999998</v>
      </c>
      <c r="CI29" s="64">
        <f>IF((RD[[#This Row],[33 kV_Wind_F4_Export Reading]]-BR28)*165000&lt;=0,"",(RD[[#This Row],[33 kV_Wind_F4_Export Reading]]-BR28)*165000)</f>
        <v>44054.999999999323</v>
      </c>
      <c r="CJ29" s="74">
        <f>IF((RD[[#This Row],[33 kV_Solar_F1_Export Reading]]-BS28)*225000&lt;=0,"",(RD[[#This Row],[33 kV_Solar_F1_Export Reading]]-BS28)*225000)</f>
        <v>195975.0000000021</v>
      </c>
      <c r="CK29" s="74">
        <f>IF((RD[[#This Row],[33kV_Solar_F2_Export Reading]]-BT28)*225000&lt;=0,"",(RD[[#This Row],[33kV_Solar_F2_Export Reading]]-BT28)*225000)</f>
        <v>184499.99999999846</v>
      </c>
      <c r="CL29" s="186" t="str">
        <f>IF((RD[[#This Row],[33 kV_Solar_F3_Export reading]]-BU28)*225000&lt;=0,"",(RD[[#This Row],[33 kV_Solar_F3_Export reading]]-BU28)*225000)</f>
        <v/>
      </c>
      <c r="CM29" s="63">
        <f>IF((RD[[#This Row],[32kV_Solar_F4_Export reading]]-BV28)*225000&lt;=0,"",(RD[[#This Row],[32kV_Solar_F4_Export reading]]-BV28)*225000)</f>
        <v>175949.99999999921</v>
      </c>
      <c r="CN29" s="64">
        <f>IF((RD[[#This Row],[33kV_OG1_Export reading]]-BW28)*1000&lt;=0,0,(RD[[#This Row],[33kV_OG1_Export reading]]-BW28)*1000)</f>
        <v>557000</v>
      </c>
      <c r="CO29" s="64">
        <f>IFERROR(IF((RD[[#This Row],[33kV_OG2_Export reading]]-BX28)*1000&lt;=0,0,(RD[[#This Row],[33kV_OG2_Export reading]]-BX28)*1000),0)</f>
        <v>332000</v>
      </c>
      <c r="CP29" s="74">
        <f>IF((RD[[#This Row],[220kV_TX1_Export reading]]-BY28)*800000&lt;=0,0,(RD[[#This Row],[220kV_TX1_Export reading]]-BY28)*800000)</f>
        <v>550400.00000000186</v>
      </c>
      <c r="CQ29" s="186">
        <f>IF((RD[[#This Row],[220kV_Tx2_Export reading]]-BZ28)*800000&lt;=0,0,(RD[[#This Row],[220kV_Tx2_Export reading]]-BZ28)*800000)</f>
        <v>327999.99999999726</v>
      </c>
      <c r="CR29" s="64">
        <f>IF((RD[[#This Row],[220kV_TL_TVM Export Reading]]-CA28)*1600000&lt;=0,0,(RD[[#This Row],[220kV_TL_TVM Export Reading]]-CA28)*1600000)</f>
        <v>883199.99999994249</v>
      </c>
      <c r="CS29" s="64">
        <f>IF((RD[[#This Row],[220kV_C&amp;R_PQM reading]]-CB28)*1600000&lt;=0,"",(RD[[#This Row],[220kV_C&amp;R_PQM reading]]-CB28)*1600000)</f>
        <v>881600.00000000314</v>
      </c>
      <c r="CT29" s="186">
        <f>IFERROR(IF((RD[[#This Row],[220KV_C&amp;R_PQM Import Reading]]-CC28)*1600000&lt;=0,0,(RD[[#This Row],[220KV_C&amp;R_PQM Import Reading]]-CC28)*1600000),"")</f>
        <v>1600.0000000000014</v>
      </c>
      <c r="CU29" s="64">
        <f>IF((RD[[#This Row],[33kV_Aux1 Import Reading]]-CD28)*1000&lt;=0,"",(RD[[#This Row],[33kV_Aux1 Import Reading]]-CD28)*1000)</f>
        <v>410.00000000002501</v>
      </c>
      <c r="CV29" s="64" t="str">
        <f>IF((RD[[#This Row],[33kV_Aux2_Import reading]]-CE28)*1000&lt;=0,"",(RD[[#This Row],[33kV_Aux2_Import reading]]-CE28)*1000)</f>
        <v/>
      </c>
      <c r="CW29" s="64">
        <f>IFERROR(RD[[#This Row],[33kV_OG1_Energy (MWh)]]+RD[[#This Row],[33kV_OG2_Energy (MWh)]],"")</f>
        <v>889000</v>
      </c>
      <c r="CX29" s="72">
        <f>IFERROR(RD[[#This Row],[220kV_TL_TVM Energy (MWh)]]-RD[[#This Row],[220KV_C&amp;R_PQM Import (MWh)]],"")</f>
        <v>881599.99999994249</v>
      </c>
      <c r="CY29" s="187">
        <f>IFERROR(RD[[#This Row],[33 kV Total Export (MWH)]]/RD[[#This Row],[220 KV Net Export (MWh)]]-1,"")</f>
        <v>8.3938294011547399E-3</v>
      </c>
      <c r="CZ29" s="188">
        <f t="shared" ref="CZ29:CZ57" si="80">23*2.2</f>
        <v>50.6</v>
      </c>
      <c r="DA29" s="189">
        <v>97</v>
      </c>
      <c r="DB29" s="190"/>
      <c r="DC29" s="68">
        <f>IFERROR((RD[[#This Row],[Sunset Time (POA&lt;20 W/m2)]]-RD[[#This Row],[Sunrise Time (POA&gt;20 W/m2)]])*24,0)</f>
        <v>11.7</v>
      </c>
      <c r="DD29" s="70">
        <f>SUM(RD[[#This Row],[33 kV_Wind_F3_Export_Reading3]],CJ29,CK29,CL29,CM29)</f>
        <v>789749.99999999953</v>
      </c>
      <c r="DE29" s="68">
        <v>140</v>
      </c>
      <c r="DF29" s="70">
        <f t="shared" si="68"/>
        <v>99824.999999993626</v>
      </c>
      <c r="DG29" s="70">
        <v>106.17</v>
      </c>
      <c r="DH29">
        <f>'WTG Reactive Power'!AB27</f>
        <v>16397.599999999999</v>
      </c>
    </row>
    <row r="30" spans="1:112">
      <c r="A30" s="173">
        <f>YEAR(RD[[#This Row],[Date]])+IF(MONTH(RD[[#This Row],[Date]])&gt;=4,1,0)</f>
        <v>2026</v>
      </c>
      <c r="B30" s="173">
        <f>YEAR(RD[[#This Row],[Date]])</f>
        <v>2025</v>
      </c>
      <c r="C30" s="174">
        <f t="shared" si="72"/>
        <v>45748</v>
      </c>
      <c r="D30" s="173">
        <f>DAY(EOMONTH(RD[[#This Row],[Date]],0))</f>
        <v>30</v>
      </c>
      <c r="E30" s="175">
        <f t="shared" si="73"/>
        <v>45770</v>
      </c>
      <c r="F30" s="176">
        <v>0.26874999999999999</v>
      </c>
      <c r="G30" s="320">
        <v>0.75694444444444442</v>
      </c>
      <c r="H30" s="177">
        <v>5919</v>
      </c>
      <c r="I30" s="177">
        <v>6384</v>
      </c>
      <c r="J30" s="177">
        <v>6435</v>
      </c>
      <c r="K30" s="177">
        <v>4489</v>
      </c>
      <c r="L30" s="177">
        <v>4834</v>
      </c>
      <c r="M30" s="177">
        <v>5720</v>
      </c>
      <c r="N30" s="177">
        <v>5741</v>
      </c>
      <c r="O30" s="177">
        <v>6362</v>
      </c>
      <c r="P30" s="177">
        <v>4994</v>
      </c>
      <c r="Q30" s="177">
        <v>5517</v>
      </c>
      <c r="R30" s="177">
        <v>5682</v>
      </c>
      <c r="S30" s="177">
        <v>5475</v>
      </c>
      <c r="T30" s="177">
        <v>5625</v>
      </c>
      <c r="U30" s="177">
        <v>4787</v>
      </c>
      <c r="V30" s="177">
        <v>7214</v>
      </c>
      <c r="W30" s="177">
        <v>7325</v>
      </c>
      <c r="X30" s="177">
        <v>6587</v>
      </c>
      <c r="Y30" s="177">
        <v>5239</v>
      </c>
      <c r="Z30" s="177">
        <v>4942</v>
      </c>
      <c r="AA30" s="177">
        <v>4051</v>
      </c>
      <c r="AB30" s="177">
        <v>5288</v>
      </c>
      <c r="AC30" s="177">
        <v>4837</v>
      </c>
      <c r="AD30" s="177">
        <v>5806</v>
      </c>
      <c r="AE30" s="71">
        <v>4.9029999999999996</v>
      </c>
      <c r="AF30" s="71">
        <v>4.4210000000000003</v>
      </c>
      <c r="AG30" s="71">
        <v>4.3659999999999997</v>
      </c>
      <c r="AH30" s="71">
        <v>3.9129999999999998</v>
      </c>
      <c r="AI30" s="71">
        <v>4.0609999999999999</v>
      </c>
      <c r="AJ30" s="71">
        <v>4.125</v>
      </c>
      <c r="AK30" s="71">
        <v>4.133</v>
      </c>
      <c r="AL30" s="71">
        <v>4.3479999999999999</v>
      </c>
      <c r="AM30" s="71">
        <v>4.1749999999999998</v>
      </c>
      <c r="AN30" s="71">
        <v>4.117</v>
      </c>
      <c r="AO30" s="71">
        <v>4.2679999999999998</v>
      </c>
      <c r="AP30" s="71">
        <v>4.2380000000000004</v>
      </c>
      <c r="AQ30" s="71">
        <v>4.2359999999999998</v>
      </c>
      <c r="AR30" s="71">
        <v>3.9870000000000001</v>
      </c>
      <c r="AS30" s="71">
        <v>5.3869999999999996</v>
      </c>
      <c r="AT30" s="71">
        <v>4.4180000000000001</v>
      </c>
      <c r="AU30" s="71">
        <v>4.4459999999999997</v>
      </c>
      <c r="AV30" s="71">
        <v>4.1760000000000002</v>
      </c>
      <c r="AW30" s="71">
        <v>4.3099999999999996</v>
      </c>
      <c r="AX30" s="71">
        <v>4.0149999999999997</v>
      </c>
      <c r="AY30" s="71">
        <v>4.2229999999999999</v>
      </c>
      <c r="AZ30" s="71">
        <v>4.2720000000000002</v>
      </c>
      <c r="BA30" s="71">
        <v>4.2229999999999999</v>
      </c>
      <c r="BB30" s="178">
        <f t="shared" si="74"/>
        <v>55647</v>
      </c>
      <c r="BC30" s="179">
        <f t="shared" si="75"/>
        <v>13912</v>
      </c>
      <c r="BD30" s="180">
        <f t="shared" si="70"/>
        <v>42352</v>
      </c>
      <c r="BE30" s="179">
        <f t="shared" si="76"/>
        <v>5239</v>
      </c>
      <c r="BF30" s="179">
        <f t="shared" si="71"/>
        <v>12103</v>
      </c>
      <c r="BG30" s="179">
        <f>SUM(RD[[#This Row],[KUD01]:[KUD23]])</f>
        <v>129253</v>
      </c>
      <c r="BH30" s="181">
        <f t="shared" si="77"/>
        <v>4.3827000000000007</v>
      </c>
      <c r="BI30" s="182">
        <f t="shared" si="78"/>
        <v>4.4320000000000004</v>
      </c>
      <c r="BJ30" s="182">
        <f t="shared" si="79"/>
        <v>4.1894</v>
      </c>
      <c r="BK30" s="183">
        <f t="shared" si="66"/>
        <v>4.1760000000000002</v>
      </c>
      <c r="BL30" s="61">
        <f>IFERROR(AVERAGEIF(RD[[#This Row],[WS_KUD07]:[WS_KUD08]],"&lt;&gt;0",RD[[#This Row],[WS_KUD07]:[WS_KUD08]]),"")</f>
        <v>4.2404999999999999</v>
      </c>
      <c r="BM30" s="184">
        <f>IFERROR(AVERAGE(RD[[#This Row],[WS_KUD01]:[WS_KUD23]]),"")</f>
        <v>4.2939565217391307</v>
      </c>
      <c r="BN30" s="185">
        <f>IFERROR(MAX(RD[[#This Row],[WS_KUD01]:[WS_KUD23]]),"")</f>
        <v>5.3869999999999996</v>
      </c>
      <c r="BO30" s="172">
        <v>640.30499999999995</v>
      </c>
      <c r="BP30" s="172">
        <v>887.65</v>
      </c>
      <c r="BQ30" s="172">
        <v>55.256999999999998</v>
      </c>
      <c r="BR30" s="172">
        <v>219.548</v>
      </c>
      <c r="BS30" s="172">
        <v>172.13399999999999</v>
      </c>
      <c r="BT30" s="172">
        <v>281.53100000000001</v>
      </c>
      <c r="BU30" s="172"/>
      <c r="BV30" s="172">
        <v>71.64</v>
      </c>
      <c r="BW30" s="172">
        <v>186544</v>
      </c>
      <c r="BX30" s="172">
        <v>248334</v>
      </c>
      <c r="BY30" s="172">
        <v>118.625</v>
      </c>
      <c r="BZ30" s="172">
        <v>69.650999999999996</v>
      </c>
      <c r="CA30" s="172">
        <v>269.66500000000002</v>
      </c>
      <c r="CB30" s="172">
        <v>94.736000000000004</v>
      </c>
      <c r="CC30" s="172">
        <v>0.109</v>
      </c>
      <c r="CD30" s="172">
        <v>290.47899999999998</v>
      </c>
      <c r="CE30" s="172">
        <v>0</v>
      </c>
      <c r="CF30" s="64" t="str">
        <f>IF((RD[[#This Row],[33 kV_Wind_F1_Export reading]]-BO29)*165000&lt;=0,"",(RD[[#This Row],[33 kV_Wind_F1_Export reading]]-BO29)*165000)</f>
        <v/>
      </c>
      <c r="CG30" s="64">
        <f>IF((RD[[#This Row],[33 kV_Wind_F2_Export_reading]]-BP29)*165000&lt;=0,"",(RD[[#This Row],[33 kV_Wind_F2_Export_reading]]-BP29)*165000)</f>
        <v>64845.000000004802</v>
      </c>
      <c r="CH30" s="64">
        <f>IF((RD[[#This Row],[33 kV_Wind_F3_Export_Reading]]-BQ29)*225000&lt;=0,"",(RD[[#This Row],[33 kV_Wind_F3_Export_Reading]]-BQ29)*225000)</f>
        <v>245699.99999999971</v>
      </c>
      <c r="CI30" s="64">
        <f>IF((RD[[#This Row],[33 kV_Wind_F4_Export Reading]]-BR29)*165000&lt;=0,"",(RD[[#This Row],[33 kV_Wind_F4_Export Reading]]-BR29)*165000)</f>
        <v>60390.000000002292</v>
      </c>
      <c r="CJ30" s="74">
        <f>IF((RD[[#This Row],[33 kV_Solar_F1_Export Reading]]-BS29)*225000&lt;=0,"",(RD[[#This Row],[33 kV_Solar_F1_Export Reading]]-BS29)*225000)</f>
        <v>201149.99999999482</v>
      </c>
      <c r="CK30" s="74">
        <f>IF((RD[[#This Row],[33kV_Solar_F2_Export Reading]]-BT29)*225000&lt;=0,"",(RD[[#This Row],[33kV_Solar_F2_Export Reading]]-BT29)*225000)</f>
        <v>188324.99999999756</v>
      </c>
      <c r="CL30" s="186"/>
      <c r="CM30" s="63">
        <f>IF((RD[[#This Row],[32kV_Solar_F4_Export reading]]-BV29)*225000&lt;=0,"",(RD[[#This Row],[32kV_Solar_F4_Export reading]]-BV29)*225000)</f>
        <v>187650.00000000073</v>
      </c>
      <c r="CN30" s="64">
        <f>IF((RD[[#This Row],[33kV_OG1_Export reading]]-BW29)*1000&lt;=0,0,(RD[[#This Row],[33kV_OG1_Export reading]]-BW29)*1000)</f>
        <v>577000</v>
      </c>
      <c r="CO30" s="64">
        <f>IFERROR(IF((RD[[#This Row],[33kV_OG2_Export reading]]-BX29)*1000&lt;=0,0,(RD[[#This Row],[33kV_OG2_Export reading]]-BX29)*1000),0)</f>
        <v>370000</v>
      </c>
      <c r="CP30" s="74">
        <f>IF((RD[[#This Row],[220kV_TX1_Export reading]]-BY29)*800000&lt;=0,0,(RD[[#This Row],[220kV_TX1_Export reading]]-BY29)*800000)</f>
        <v>571199.99999999895</v>
      </c>
      <c r="CQ30" s="186">
        <f>IF((RD[[#This Row],[220kV_Tx2_Export reading]]-BZ29)*800000&lt;=0,0,(RD[[#This Row],[220kV_Tx2_Export reading]]-BZ29)*800000)</f>
        <v>364800.00000000244</v>
      </c>
      <c r="CR30" s="64">
        <f>IF((RD[[#This Row],[220kV_TL_TVM Export Reading]]-CA29)*1600000&lt;=0,0,(RD[[#This Row],[220kV_TL_TVM Export Reading]]-CA29)*1600000)</f>
        <v>939200.00000007346</v>
      </c>
      <c r="CS30" s="64">
        <f>IF((RD[[#This Row],[220kV_C&amp;R_PQM reading]]-CB29)*1600000&lt;=0,"",(RD[[#This Row],[220kV_C&amp;R_PQM reading]]-CB29)*1600000)</f>
        <v>940800.00000001292</v>
      </c>
      <c r="CT30" s="186">
        <f>IFERROR(IF((RD[[#This Row],[220KV_C&amp;R_PQM Import Reading]]-CC29)*1600000&lt;=0,0,(RD[[#This Row],[220KV_C&amp;R_PQM Import Reading]]-CC29)*1600000),"")</f>
        <v>0</v>
      </c>
      <c r="CU30" s="64">
        <f>IF((RD[[#This Row],[33kV_Aux1 Import Reading]]-CD29)*1000&lt;=0,"",(RD[[#This Row],[33kV_Aux1 Import Reading]]-CD29)*1000)</f>
        <v>399.99999999997726</v>
      </c>
      <c r="CV30" s="64" t="str">
        <f>IF((RD[[#This Row],[33kV_Aux2_Import reading]]-CE29)*1000&lt;=0,"",(RD[[#This Row],[33kV_Aux2_Import reading]]-CE29)*1000)</f>
        <v/>
      </c>
      <c r="CW30" s="64">
        <f>IFERROR(RD[[#This Row],[33kV_OG1_Energy (MWh)]]+RD[[#This Row],[33kV_OG2_Energy (MWh)]],"")</f>
        <v>947000</v>
      </c>
      <c r="CX30" s="72">
        <f>IFERROR(RD[[#This Row],[220kV_TL_TVM Energy (MWh)]]-RD[[#This Row],[220KV_C&amp;R_PQM Import (MWh)]],"")</f>
        <v>939200.00000007346</v>
      </c>
      <c r="CY30" s="187">
        <f>IFERROR(RD[[#This Row],[33 kV Total Export (MWH)]]/RD[[#This Row],[220 KV Net Export (MWh)]]-1,"")</f>
        <v>8.3049403747081918E-3</v>
      </c>
      <c r="CZ30" s="188">
        <f t="shared" si="80"/>
        <v>50.6</v>
      </c>
      <c r="DA30" s="189">
        <v>97</v>
      </c>
      <c r="DB30" s="190"/>
      <c r="DC30" s="68">
        <f>IFERROR((RD[[#This Row],[Sunset Time (POA&lt;20 W/m2)]]-RD[[#This Row],[Sunrise Time (POA&gt;20 W/m2)]])*24,0)</f>
        <v>11.716666666666667</v>
      </c>
      <c r="DD30" s="70">
        <f>SUM(RD[[#This Row],[33 kV_Wind_F3_Export_Reading3]],CJ30,CK30,CL30,CM30)</f>
        <v>822824.99999999278</v>
      </c>
      <c r="DE30" s="68">
        <v>140</v>
      </c>
      <c r="DF30" s="70">
        <f t="shared" si="68"/>
        <v>125235.0000000071</v>
      </c>
      <c r="DG30" s="70">
        <v>130.34</v>
      </c>
      <c r="DH30">
        <f>'WTG Reactive Power'!AB28</f>
        <v>14182.899999999998</v>
      </c>
    </row>
    <row r="31" spans="1:112">
      <c r="A31" s="173">
        <f>YEAR(RD[[#This Row],[Date]])+IF(MONTH(RD[[#This Row],[Date]])&gt;=4,1,0)</f>
        <v>2026</v>
      </c>
      <c r="B31" s="173">
        <f>YEAR(RD[[#This Row],[Date]])</f>
        <v>2025</v>
      </c>
      <c r="C31" s="174">
        <f t="shared" si="72"/>
        <v>45748</v>
      </c>
      <c r="D31" s="173">
        <f>DAY(EOMONTH(RD[[#This Row],[Date]],0))</f>
        <v>30</v>
      </c>
      <c r="E31" s="175">
        <f t="shared" si="73"/>
        <v>45771</v>
      </c>
      <c r="F31" s="176">
        <v>0.26666666666666666</v>
      </c>
      <c r="G31" s="320">
        <v>0.75694444444444442</v>
      </c>
      <c r="H31" s="177">
        <v>7103</v>
      </c>
      <c r="I31" s="177">
        <v>7952</v>
      </c>
      <c r="J31" s="177">
        <v>5849</v>
      </c>
      <c r="K31" s="177">
        <v>5129</v>
      </c>
      <c r="L31" s="177">
        <v>5831</v>
      </c>
      <c r="M31" s="177">
        <v>5879</v>
      </c>
      <c r="N31" s="177">
        <v>5747</v>
      </c>
      <c r="O31" s="177">
        <v>6005</v>
      </c>
      <c r="P31" s="177">
        <v>5974</v>
      </c>
      <c r="Q31" s="177">
        <v>5570</v>
      </c>
      <c r="R31" s="177">
        <v>5857</v>
      </c>
      <c r="S31" s="177">
        <v>5932</v>
      </c>
      <c r="T31" s="177">
        <v>6457</v>
      </c>
      <c r="U31" s="177">
        <v>5704</v>
      </c>
      <c r="V31" s="177">
        <v>7937</v>
      </c>
      <c r="W31" s="177">
        <v>8790</v>
      </c>
      <c r="X31" s="177">
        <v>8226</v>
      </c>
      <c r="Y31" s="177">
        <v>6260</v>
      </c>
      <c r="Z31" s="177">
        <v>5189</v>
      </c>
      <c r="AA31" s="177">
        <v>5173</v>
      </c>
      <c r="AB31" s="177">
        <v>6596</v>
      </c>
      <c r="AC31" s="177">
        <v>6222</v>
      </c>
      <c r="AD31" s="177">
        <v>7236</v>
      </c>
      <c r="AE31" s="71">
        <v>4.9029999999999996</v>
      </c>
      <c r="AF31" s="71">
        <v>4.504303448275861</v>
      </c>
      <c r="AG31" s="71">
        <v>4.279964028776976</v>
      </c>
      <c r="AH31" s="71">
        <v>3.9862413793103464</v>
      </c>
      <c r="AI31" s="71">
        <v>4.2341655172413786</v>
      </c>
      <c r="AJ31" s="71">
        <v>4.1514896551724121</v>
      </c>
      <c r="AK31" s="71">
        <v>4.1286413793103467</v>
      </c>
      <c r="AL31" s="71">
        <v>4.3536884057970981</v>
      </c>
      <c r="AM31" s="71">
        <v>4.3074206896551708</v>
      </c>
      <c r="AN31" s="71">
        <v>4.1911764705882328</v>
      </c>
      <c r="AO31" s="71">
        <v>4.353311594202899</v>
      </c>
      <c r="AP31" s="71">
        <v>4.256985074626864</v>
      </c>
      <c r="AQ31" s="71">
        <v>4.3516474820143856</v>
      </c>
      <c r="AR31" s="71">
        <v>4.1738405797101432</v>
      </c>
      <c r="AS31" s="71">
        <v>5.1146944444444449</v>
      </c>
      <c r="AT31" s="71">
        <v>4.5261655172413793</v>
      </c>
      <c r="AU31" s="71">
        <v>4.5804068965517244</v>
      </c>
      <c r="AV31" s="71">
        <v>4.2708344827586169</v>
      </c>
      <c r="AW31" s="71">
        <v>4.3646923076923079</v>
      </c>
      <c r="AX31" s="71">
        <v>4.1050359712230229</v>
      </c>
      <c r="AY31" s="71">
        <v>4.3635724137931033</v>
      </c>
      <c r="AZ31" s="71">
        <v>4.3592482758620683</v>
      </c>
      <c r="BA31" s="71">
        <v>4.3867103448275868</v>
      </c>
      <c r="BB31" s="178">
        <f t="shared" si="74"/>
        <v>60771</v>
      </c>
      <c r="BC31" s="179">
        <f t="shared" si="75"/>
        <v>17016</v>
      </c>
      <c r="BD31" s="180">
        <f t="shared" si="70"/>
        <v>50819</v>
      </c>
      <c r="BE31" s="179">
        <f t="shared" si="76"/>
        <v>6260</v>
      </c>
      <c r="BF31" s="179">
        <f t="shared" si="71"/>
        <v>11752</v>
      </c>
      <c r="BG31" s="179">
        <f>SUM(RD[[#This Row],[KUD01]:[KUD23]])</f>
        <v>146618</v>
      </c>
      <c r="BH31" s="181">
        <f t="shared" si="77"/>
        <v>4.409434795327928</v>
      </c>
      <c r="BI31" s="182">
        <f t="shared" si="78"/>
        <v>4.5532862068965514</v>
      </c>
      <c r="BJ31" s="182">
        <f t="shared" si="79"/>
        <v>4.2775481509245363</v>
      </c>
      <c r="BK31" s="183">
        <f t="shared" si="66"/>
        <v>4.2708344827586169</v>
      </c>
      <c r="BL31" s="61">
        <f>IFERROR(AVERAGEIF(RD[[#This Row],[WS_KUD07]:[WS_KUD08]],"&lt;&gt;0",RD[[#This Row],[WS_KUD07]:[WS_KUD08]]),"")</f>
        <v>4.2411648925537229</v>
      </c>
      <c r="BM31" s="184">
        <f>IFERROR(AVERAGE(RD[[#This Row],[WS_KUD01]:[WS_KUD23]]),"")</f>
        <v>4.3585754938728858</v>
      </c>
      <c r="BN31" s="185">
        <f>IFERROR(MAX(RD[[#This Row],[WS_KUD01]:[WS_KUD23]]),"")</f>
        <v>5.1146944444444449</v>
      </c>
      <c r="BO31" s="172">
        <v>640.30499999999995</v>
      </c>
      <c r="BP31" s="73">
        <v>888.11800000000005</v>
      </c>
      <c r="BQ31" s="73">
        <v>56.319000000000003</v>
      </c>
      <c r="BR31" s="73">
        <v>219.94200000000001</v>
      </c>
      <c r="BS31" s="73">
        <v>173.029</v>
      </c>
      <c r="BT31" s="73">
        <v>282.38400000000001</v>
      </c>
      <c r="BU31" s="73"/>
      <c r="BV31" s="73">
        <v>72.442999999999998</v>
      </c>
      <c r="BW31" s="73">
        <v>187118</v>
      </c>
      <c r="BX31" s="73">
        <v>248715</v>
      </c>
      <c r="BY31" s="73">
        <v>119.33499999999999</v>
      </c>
      <c r="BZ31" s="73">
        <v>70.120999999999995</v>
      </c>
      <c r="CA31" s="73">
        <v>270.25700000000001</v>
      </c>
      <c r="CB31" s="73">
        <v>95.328999999999994</v>
      </c>
      <c r="CC31" s="73">
        <v>0.11</v>
      </c>
      <c r="CD31" s="73">
        <v>290.88900000000001</v>
      </c>
      <c r="CE31" s="73">
        <v>0</v>
      </c>
      <c r="CF31" s="64" t="str">
        <f>IF((RD[[#This Row],[33 kV_Wind_F1_Export reading]]-BO30)*165000&lt;=0,"",(RD[[#This Row],[33 kV_Wind_F1_Export reading]]-BO30)*165000)</f>
        <v/>
      </c>
      <c r="CG31" s="64">
        <f>IF((RD[[#This Row],[33 kV_Wind_F2_Export_reading]]-BP30)*165000&lt;=0,"",(RD[[#This Row],[33 kV_Wind_F2_Export_reading]]-BP30)*165000)</f>
        <v>77220.000000012311</v>
      </c>
      <c r="CH31" s="64">
        <f>IF((RD[[#This Row],[33 kV_Wind_F3_Export_Reading]]-BQ30)*225000&lt;=0,"",(RD[[#This Row],[33 kV_Wind_F3_Export_Reading]]-BQ30)*225000)</f>
        <v>238950.00000000105</v>
      </c>
      <c r="CI31" s="64">
        <f>IF((RD[[#This Row],[33 kV_Wind_F4_Export Reading]]-BR30)*165000&lt;=0,"",(RD[[#This Row],[33 kV_Wind_F4_Export Reading]]-BR30)*165000)</f>
        <v>65010.000000000902</v>
      </c>
      <c r="CJ31" s="74">
        <f>IF((RD[[#This Row],[33 kV_Solar_F1_Export Reading]]-BS30)*225000&lt;=0,"",(RD[[#This Row],[33 kV_Solar_F1_Export Reading]]-BS30)*225000)</f>
        <v>201375.0000000023</v>
      </c>
      <c r="CK31" s="74">
        <f>IF((RD[[#This Row],[33kV_Solar_F2_Export Reading]]-BT30)*225000&lt;=0,"",(RD[[#This Row],[33kV_Solar_F2_Export Reading]]-BT30)*225000)</f>
        <v>191925.00000000195</v>
      </c>
      <c r="CL31" s="186" t="str">
        <f>IF((RD[[#This Row],[33 kV_Solar_F3_Export reading]]-BU30)*225000&lt;=0,"",(RD[[#This Row],[33 kV_Solar_F3_Export reading]]-BU30)*225000)</f>
        <v/>
      </c>
      <c r="CM31" s="63">
        <f>IF((RD[[#This Row],[32kV_Solar_F4_Export reading]]-BV30)*225000&lt;=0,"",(RD[[#This Row],[32kV_Solar_F4_Export reading]]-BV30)*225000)</f>
        <v>180674.99999999939</v>
      </c>
      <c r="CN31" s="64">
        <f>IF((RD[[#This Row],[33kV_OG1_Export reading]]-BW30)*1000&lt;=0,0,(RD[[#This Row],[33kV_OG1_Export reading]]-BW30)*1000)</f>
        <v>574000</v>
      </c>
      <c r="CO31" s="64">
        <f>IFERROR(IF((RD[[#This Row],[33kV_OG2_Export reading]]-BX30)*1000&lt;=0,0,(RD[[#This Row],[33kV_OG2_Export reading]]-BX30)*1000),0)</f>
        <v>381000</v>
      </c>
      <c r="CP31" s="74">
        <f>IF((RD[[#This Row],[220kV_TX1_Export reading]]-BY30)*800000&lt;=0,0,(RD[[#This Row],[220kV_TX1_Export reading]]-BY30)*800000)</f>
        <v>567999.99999999499</v>
      </c>
      <c r="CQ31" s="186">
        <f>IF((RD[[#This Row],[220kV_Tx2_Export reading]]-BZ30)*800000&lt;=0,0,(RD[[#This Row],[220kV_Tx2_Export reading]]-BZ30)*800000)</f>
        <v>375999.99999999907</v>
      </c>
      <c r="CR31" s="64">
        <f>IF((RD[[#This Row],[220kV_TL_TVM Export Reading]]-CA30)*1600000&lt;=0,0,(RD[[#This Row],[220kV_TL_TVM Export Reading]]-CA30)*1600000)</f>
        <v>947199.99999997532</v>
      </c>
      <c r="CS31" s="64">
        <f>IF((RD[[#This Row],[220kV_C&amp;R_PQM reading]]-CB30)*1600000&lt;=0,"",(RD[[#This Row],[220kV_C&amp;R_PQM reading]]-CB30)*1600000)</f>
        <v>948799.99999998289</v>
      </c>
      <c r="CT31" s="186">
        <f>IFERROR(IF((RD[[#This Row],[220KV_C&amp;R_PQM Import Reading]]-CC30)*1600000&lt;=0,0,(RD[[#This Row],[220KV_C&amp;R_PQM Import Reading]]-CC30)*1600000),"")</f>
        <v>1600.0000000000014</v>
      </c>
      <c r="CU31" s="64">
        <f>IF((RD[[#This Row],[33kV_Aux1 Import Reading]]-CD30)*1000&lt;=0,"",(RD[[#This Row],[33kV_Aux1 Import Reading]]-CD30)*1000)</f>
        <v>410.00000000002501</v>
      </c>
      <c r="CV31" s="64" t="str">
        <f>IF((RD[[#This Row],[33kV_Aux2_Import reading]]-CE30)*1000&lt;=0,"",(RD[[#This Row],[33kV_Aux2_Import reading]]-CE30)*1000)</f>
        <v/>
      </c>
      <c r="CW31" s="64">
        <f>IFERROR(RD[[#This Row],[33kV_OG1_Energy (MWh)]]+RD[[#This Row],[33kV_OG2_Energy (MWh)]],"")</f>
        <v>955000</v>
      </c>
      <c r="CX31" s="72">
        <f>IFERROR(RD[[#This Row],[220kV_TL_TVM Energy (MWh)]]-RD[[#This Row],[220KV_C&amp;R_PQM Import (MWh)]],"")</f>
        <v>945599.99999997532</v>
      </c>
      <c r="CY31" s="187">
        <f>IFERROR(RD[[#This Row],[33 kV Total Export (MWH)]]/RD[[#This Row],[220 KV Net Export (MWh)]]-1,"")</f>
        <v>9.9407783418199447E-3</v>
      </c>
      <c r="CZ31" s="188">
        <f t="shared" si="80"/>
        <v>50.6</v>
      </c>
      <c r="DA31" s="189">
        <v>97</v>
      </c>
      <c r="DB31" s="190"/>
      <c r="DC31" s="68">
        <f>IFERROR((RD[[#This Row],[Sunset Time (POA&lt;20 W/m2)]]-RD[[#This Row],[Sunrise Time (POA&gt;20 W/m2)]])*24,0)</f>
        <v>11.766666666666666</v>
      </c>
      <c r="DD31" s="70">
        <f>SUM(RD[[#This Row],[33 kV_Wind_F3_Export_Reading3]],CJ31,CK31,CL31,CM31)</f>
        <v>812925.00000000477</v>
      </c>
      <c r="DE31" s="68">
        <v>140</v>
      </c>
      <c r="DF31" s="70">
        <f t="shared" si="68"/>
        <v>142230.00000001321</v>
      </c>
      <c r="DG31" s="70">
        <v>148.16</v>
      </c>
      <c r="DH31">
        <f>'WTG Reactive Power'!AB29</f>
        <v>37616.5</v>
      </c>
    </row>
    <row r="32" spans="1:112">
      <c r="A32" s="173">
        <f>YEAR(RD[[#This Row],[Date]])+IF(MONTH(RD[[#This Row],[Date]])&gt;=4,1,0)</f>
        <v>2026</v>
      </c>
      <c r="B32" s="173">
        <f>YEAR(RD[[#This Row],[Date]])</f>
        <v>2025</v>
      </c>
      <c r="C32" s="174">
        <f t="shared" si="72"/>
        <v>45748</v>
      </c>
      <c r="D32" s="173">
        <f>DAY(EOMONTH(RD[[#This Row],[Date]],0))</f>
        <v>30</v>
      </c>
      <c r="E32" s="175">
        <f t="shared" si="73"/>
        <v>45772</v>
      </c>
      <c r="F32" s="176">
        <v>0.26666666666666666</v>
      </c>
      <c r="G32" s="176">
        <v>0.75555555555555554</v>
      </c>
      <c r="H32" s="177">
        <v>8326</v>
      </c>
      <c r="I32" s="177">
        <v>9431</v>
      </c>
      <c r="J32" s="177">
        <v>9036</v>
      </c>
      <c r="K32" s="177">
        <v>6719</v>
      </c>
      <c r="L32" s="177">
        <v>8532</v>
      </c>
      <c r="M32" s="177">
        <v>8704</v>
      </c>
      <c r="N32" s="177">
        <v>8738</v>
      </c>
      <c r="O32" s="177">
        <v>8362</v>
      </c>
      <c r="P32" s="177">
        <v>7584</v>
      </c>
      <c r="Q32" s="177">
        <v>8067</v>
      </c>
      <c r="R32" s="177">
        <v>9062</v>
      </c>
      <c r="S32" s="177">
        <v>8275</v>
      </c>
      <c r="T32" s="177">
        <v>8335</v>
      </c>
      <c r="U32" s="177">
        <v>7868</v>
      </c>
      <c r="V32" s="177">
        <v>9693</v>
      </c>
      <c r="W32" s="177">
        <v>9344</v>
      </c>
      <c r="X32" s="177">
        <v>10225</v>
      </c>
      <c r="Y32" s="177">
        <v>8417</v>
      </c>
      <c r="Z32" s="177">
        <v>7351</v>
      </c>
      <c r="AA32" s="177">
        <v>6822</v>
      </c>
      <c r="AB32" s="177">
        <v>9055</v>
      </c>
      <c r="AC32" s="177">
        <v>8675</v>
      </c>
      <c r="AD32" s="177">
        <v>9628</v>
      </c>
      <c r="AE32" s="169">
        <v>5.1424629629629601</v>
      </c>
      <c r="AF32" s="169">
        <v>4.8499517241379326</v>
      </c>
      <c r="AG32" s="169">
        <v>4.8925864661654108</v>
      </c>
      <c r="AH32" s="169">
        <v>4.3669931034482765</v>
      </c>
      <c r="AI32" s="169">
        <v>4.7628275862068952</v>
      </c>
      <c r="AJ32" s="169">
        <v>4.62858620689655</v>
      </c>
      <c r="AK32" s="169">
        <v>4.6462137931034473</v>
      </c>
      <c r="AL32" s="169">
        <v>4.8132631578947356</v>
      </c>
      <c r="AM32" s="169">
        <v>4.6295724137931034</v>
      </c>
      <c r="AN32" s="169">
        <v>4.8517380952380949</v>
      </c>
      <c r="AO32" s="169">
        <v>4.9774511278195508</v>
      </c>
      <c r="AP32" s="169">
        <v>4.7327878787878745</v>
      </c>
      <c r="AQ32" s="169">
        <v>4.7779849624060144</v>
      </c>
      <c r="AR32" s="169">
        <v>4.7162255639097737</v>
      </c>
      <c r="AS32" s="169">
        <v>5.6159633027522933</v>
      </c>
      <c r="AT32" s="169">
        <v>4.7837379310344845</v>
      </c>
      <c r="AU32" s="169">
        <v>4.9883448275862055</v>
      </c>
      <c r="AV32" s="169">
        <v>4.7504000000000008</v>
      </c>
      <c r="AW32" s="169">
        <v>4.8801832061068717</v>
      </c>
      <c r="AX32" s="169">
        <v>4.5928625954198479</v>
      </c>
      <c r="AY32" s="169">
        <v>4.8545655172413804</v>
      </c>
      <c r="AZ32" s="169">
        <v>4.796531034482757</v>
      </c>
      <c r="BA32" s="169">
        <v>4.8297241379310325</v>
      </c>
      <c r="BB32" s="178">
        <f t="shared" si="74"/>
        <v>82835</v>
      </c>
      <c r="BC32" s="179">
        <f t="shared" si="75"/>
        <v>19569</v>
      </c>
      <c r="BD32" s="180">
        <f t="shared" si="70"/>
        <v>68328</v>
      </c>
      <c r="BE32" s="179">
        <f t="shared" si="76"/>
        <v>8417</v>
      </c>
      <c r="BF32" s="179">
        <f t="shared" si="71"/>
        <v>17100</v>
      </c>
      <c r="BG32" s="179">
        <f>SUM(RD[[#This Row],[KUD01]:[KUD23]])</f>
        <v>196249</v>
      </c>
      <c r="BH32" s="181">
        <f t="shared" si="77"/>
        <v>4.9180246161568686</v>
      </c>
      <c r="BI32" s="182">
        <f t="shared" si="78"/>
        <v>4.8860413793103454</v>
      </c>
      <c r="BJ32" s="182">
        <f t="shared" si="79"/>
        <v>4.7178228675136102</v>
      </c>
      <c r="BK32" s="183">
        <f t="shared" si="66"/>
        <v>4.7504000000000008</v>
      </c>
      <c r="BL32" s="61">
        <f>IFERROR(AVERAGEIF(RD[[#This Row],[WS_KUD07]:[WS_KUD08]],"&lt;&gt;0",RD[[#This Row],[WS_KUD07]:[WS_KUD08]]),"")</f>
        <v>4.7297384754990919</v>
      </c>
      <c r="BM32" s="184">
        <f>IFERROR(AVERAGE(RD[[#This Row],[WS_KUD01]:[WS_KUD23]]),"")</f>
        <v>4.8209111997967611</v>
      </c>
      <c r="BN32" s="185">
        <f>IFERROR(MAX(RD[[#This Row],[WS_KUD01]:[WS_KUD23]]),"")</f>
        <v>5.6159633027522933</v>
      </c>
      <c r="BO32" s="73">
        <v>640.30499999999995</v>
      </c>
      <c r="BP32" s="73">
        <v>888.72900000000004</v>
      </c>
      <c r="BQ32" s="73">
        <v>57.311999999999998</v>
      </c>
      <c r="BR32" s="73">
        <v>220.47900000000001</v>
      </c>
      <c r="BS32" s="73">
        <v>173.874</v>
      </c>
      <c r="BT32" s="73">
        <v>283.18599999999998</v>
      </c>
      <c r="BU32" s="73"/>
      <c r="BV32" s="73">
        <v>73.198999999999998</v>
      </c>
      <c r="BW32" s="73">
        <v>187659</v>
      </c>
      <c r="BX32" s="73">
        <v>249127</v>
      </c>
      <c r="BY32" s="73">
        <v>120.003</v>
      </c>
      <c r="BZ32" s="73">
        <v>70.631</v>
      </c>
      <c r="CA32" s="73">
        <v>270.84699999999998</v>
      </c>
      <c r="CB32" s="73">
        <v>95.92</v>
      </c>
      <c r="CC32" s="73">
        <v>0.11</v>
      </c>
      <c r="CD32" s="73">
        <v>291.29899999999998</v>
      </c>
      <c r="CE32" s="73">
        <v>0</v>
      </c>
      <c r="CF32" s="64" t="str">
        <f>IF((RD[[#This Row],[33 kV_Wind_F1_Export reading]]-BO31)*165000&lt;=0,"",(RD[[#This Row],[33 kV_Wind_F1_Export reading]]-BO31)*165000)</f>
        <v/>
      </c>
      <c r="CG32" s="64">
        <f>IF((RD[[#This Row],[33 kV_Wind_F2_Export_reading]]-BP31)*165000&lt;=0,"",(RD[[#This Row],[33 kV_Wind_F2_Export_reading]]-BP31)*165000)</f>
        <v>100814.99999999836</v>
      </c>
      <c r="CH32" s="64">
        <f>IF((RD[[#This Row],[33 kV_Wind_F3_Export_Reading]]-BQ31)*225000&lt;=0,"",(RD[[#This Row],[33 kV_Wind_F3_Export_Reading]]-BQ31)*225000)</f>
        <v>223424.99999999886</v>
      </c>
      <c r="CI32" s="64">
        <f>IF((RD[[#This Row],[33 kV_Wind_F4_Export Reading]]-BR31)*165000&lt;=0,"",(RD[[#This Row],[33 kV_Wind_F4_Export Reading]]-BR31)*165000)</f>
        <v>88605.000000001019</v>
      </c>
      <c r="CJ32" s="74">
        <f>IF((RD[[#This Row],[33 kV_Solar_F1_Export Reading]]-BS31)*225000&lt;=0,"",(RD[[#This Row],[33 kV_Solar_F1_Export Reading]]-BS31)*225000)</f>
        <v>190124.99999999974</v>
      </c>
      <c r="CK32" s="74">
        <f>IF((RD[[#This Row],[33kV_Solar_F2_Export Reading]]-BT31)*225000&lt;=0,"",(RD[[#This Row],[33kV_Solar_F2_Export Reading]]-BT31)*225000)</f>
        <v>180449.99999999191</v>
      </c>
      <c r="CL32" s="186" t="str">
        <f>IF((RD[[#This Row],[33 kV_Solar_F3_Export reading]]-BU31)*225000&lt;=0,"",(RD[[#This Row],[33 kV_Solar_F3_Export reading]]-BU31)*225000)</f>
        <v/>
      </c>
      <c r="CM32" s="63">
        <f>IF((RD[[#This Row],[32kV_Solar_F4_Export reading]]-BV31)*225000&lt;=0,"",(RD[[#This Row],[32kV_Solar_F4_Export reading]]-BV31)*225000)</f>
        <v>170100.00000000006</v>
      </c>
      <c r="CN32" s="64">
        <f>IF((RD[[#This Row],[33kV_OG1_Export reading]]-BW31)*1000&lt;=0,0,(RD[[#This Row],[33kV_OG1_Export reading]]-BW31)*1000)</f>
        <v>541000</v>
      </c>
      <c r="CO32" s="64">
        <f>IFERROR(IF((RD[[#This Row],[33kV_OG2_Export reading]]-BX31)*1000&lt;=0,0,(RD[[#This Row],[33kV_OG2_Export reading]]-BX31)*1000),0)</f>
        <v>412000</v>
      </c>
      <c r="CP32" s="74">
        <f>IF((RD[[#This Row],[220kV_TX1_Export reading]]-BY31)*800000&lt;=0,0,(RD[[#This Row],[220kV_TX1_Export reading]]-BY31)*800000)</f>
        <v>534400.00000000512</v>
      </c>
      <c r="CQ32" s="186">
        <f>IF((RD[[#This Row],[220kV_Tx2_Export reading]]-BZ31)*800000&lt;=0,0,(RD[[#This Row],[220kV_Tx2_Export reading]]-BZ31)*800000)</f>
        <v>408000.00000000407</v>
      </c>
      <c r="CR32" s="64">
        <f>IF((RD[[#This Row],[220kV_TL_TVM Export Reading]]-CA31)*1600000&lt;=0,0,(RD[[#This Row],[220kV_TL_TVM Export Reading]]-CA31)*1600000)</f>
        <v>943999.99999995995</v>
      </c>
      <c r="CS32" s="64">
        <f>IF((RD[[#This Row],[220kV_C&amp;R_PQM reading]]-CB31)*1600000&lt;=0,"",(RD[[#This Row],[220kV_C&amp;R_PQM reading]]-CB31)*1600000)</f>
        <v>945600.00000001304</v>
      </c>
      <c r="CT32" s="186">
        <f>IFERROR(IF((RD[[#This Row],[220KV_C&amp;R_PQM Import Reading]]-CC31)*1600000&lt;=0,0,(RD[[#This Row],[220KV_C&amp;R_PQM Import Reading]]-CC31)*1600000),"")</f>
        <v>0</v>
      </c>
      <c r="CU32" s="64">
        <f>IF((RD[[#This Row],[33kV_Aux1 Import Reading]]-CD31)*1000&lt;=0,"",(RD[[#This Row],[33kV_Aux1 Import Reading]]-CD31)*1000)</f>
        <v>409.99999999996817</v>
      </c>
      <c r="CV32" s="64" t="str">
        <f>IF((RD[[#This Row],[33kV_Aux2_Import reading]]-CE31)*1000&lt;=0,"",(RD[[#This Row],[33kV_Aux2_Import reading]]-CE31)*1000)</f>
        <v/>
      </c>
      <c r="CW32" s="64">
        <f>IFERROR(RD[[#This Row],[33kV_OG1_Energy (MWh)]]+RD[[#This Row],[33kV_OG2_Energy (MWh)]],"")</f>
        <v>953000</v>
      </c>
      <c r="CX32" s="72">
        <f>IFERROR(RD[[#This Row],[220kV_TL_TVM Energy (MWh)]]-RD[[#This Row],[220KV_C&amp;R_PQM Import (MWh)]],"")</f>
        <v>943999.99999995995</v>
      </c>
      <c r="CY32" s="187">
        <f>IFERROR(RD[[#This Row],[33 kV Total Export (MWH)]]/RD[[#This Row],[220 KV Net Export (MWh)]]-1,"")</f>
        <v>9.5338983051276305E-3</v>
      </c>
      <c r="CZ32" s="188">
        <f t="shared" si="80"/>
        <v>50.6</v>
      </c>
      <c r="DA32" s="189">
        <v>97</v>
      </c>
      <c r="DB32" s="190"/>
      <c r="DC32" s="68">
        <f>IFERROR((RD[[#This Row],[Sunset Time (POA&lt;20 W/m2)]]-RD[[#This Row],[Sunrise Time (POA&gt;20 W/m2)]])*24,0)</f>
        <v>11.733333333333333</v>
      </c>
      <c r="DD32" s="70">
        <f>SUM(RD[[#This Row],[33 kV_Wind_F3_Export_Reading3]],CJ32,CK32,CL32,CM32)</f>
        <v>764099.99999999045</v>
      </c>
      <c r="DE32" s="68">
        <v>140</v>
      </c>
      <c r="DF32" s="70">
        <f t="shared" si="68"/>
        <v>189419.99999999936</v>
      </c>
      <c r="DG32" s="70">
        <v>197.44</v>
      </c>
      <c r="DH32">
        <f>'WTG Reactive Power'!AB30</f>
        <v>59411.999999999993</v>
      </c>
    </row>
    <row r="33" spans="1:112">
      <c r="A33" s="173">
        <f>YEAR(RD[[#This Row],[Date]])+IF(MONTH(RD[[#This Row],[Date]])&gt;=4,1,0)</f>
        <v>2026</v>
      </c>
      <c r="B33" s="173">
        <f>YEAR(RD[[#This Row],[Date]])</f>
        <v>2025</v>
      </c>
      <c r="C33" s="174">
        <f t="shared" si="72"/>
        <v>45748</v>
      </c>
      <c r="D33" s="173">
        <f>DAY(EOMONTH(RD[[#This Row],[Date]],0))</f>
        <v>30</v>
      </c>
      <c r="E33" s="175">
        <f t="shared" si="73"/>
        <v>45773</v>
      </c>
      <c r="F33" s="176">
        <v>0.2638888888888889</v>
      </c>
      <c r="G33" s="176">
        <v>0.75555555555555554</v>
      </c>
      <c r="H33" s="177">
        <v>6642</v>
      </c>
      <c r="I33" s="177">
        <v>1798</v>
      </c>
      <c r="J33" s="177">
        <v>6473</v>
      </c>
      <c r="K33" s="177">
        <v>1383</v>
      </c>
      <c r="L33" s="177">
        <v>1236</v>
      </c>
      <c r="M33" s="177">
        <v>1863</v>
      </c>
      <c r="N33" s="177">
        <v>1888</v>
      </c>
      <c r="O33" s="177">
        <v>6310</v>
      </c>
      <c r="P33" s="177">
        <v>1673</v>
      </c>
      <c r="Q33" s="177">
        <v>4944</v>
      </c>
      <c r="R33" s="177">
        <v>6455</v>
      </c>
      <c r="S33" s="177">
        <v>6960</v>
      </c>
      <c r="T33" s="177">
        <v>6484</v>
      </c>
      <c r="U33" s="177">
        <v>5905</v>
      </c>
      <c r="V33" s="177">
        <v>6535</v>
      </c>
      <c r="W33" s="177">
        <v>1856</v>
      </c>
      <c r="X33" s="177">
        <v>1723</v>
      </c>
      <c r="Y33" s="177">
        <v>1069</v>
      </c>
      <c r="Z33" s="177">
        <v>5119</v>
      </c>
      <c r="AA33" s="177">
        <v>5568</v>
      </c>
      <c r="AB33" s="177">
        <v>1546</v>
      </c>
      <c r="AC33" s="177">
        <v>1375</v>
      </c>
      <c r="AD33" s="177">
        <v>1065</v>
      </c>
      <c r="AE33" s="71">
        <v>4.7704329896907218</v>
      </c>
      <c r="AF33" s="71">
        <v>3.6541643835616426</v>
      </c>
      <c r="AG33" s="71">
        <v>4.3399699248120314</v>
      </c>
      <c r="AH33" s="71">
        <v>3.24013698630137</v>
      </c>
      <c r="AI33" s="71">
        <v>3.2679452054794527</v>
      </c>
      <c r="AJ33" s="71">
        <v>3.4811780821917813</v>
      </c>
      <c r="AK33" s="71">
        <v>3.495465753424658</v>
      </c>
      <c r="AL33" s="71">
        <v>4.2860298507462691</v>
      </c>
      <c r="AM33" s="71">
        <v>3.6237260273972591</v>
      </c>
      <c r="AN33" s="71">
        <v>4.5510476190476181</v>
      </c>
      <c r="AO33" s="71">
        <v>4.3519545454545439</v>
      </c>
      <c r="AP33" s="71">
        <v>4.2793759398496238</v>
      </c>
      <c r="AQ33" s="71">
        <v>4.2707894736842098</v>
      </c>
      <c r="AR33" s="71">
        <v>4.0802180451127814</v>
      </c>
      <c r="AS33" s="71">
        <v>4.9561237113402061</v>
      </c>
      <c r="AT33" s="71">
        <v>3.6361643835616428</v>
      </c>
      <c r="AU33" s="71">
        <v>3.627849315068493</v>
      </c>
      <c r="AV33" s="71">
        <v>3.2408356164383565</v>
      </c>
      <c r="AW33" s="71">
        <v>4.1677307692307695</v>
      </c>
      <c r="AX33" s="71">
        <v>4.1368345864661622</v>
      </c>
      <c r="AY33" s="71">
        <v>3.6599178082191792</v>
      </c>
      <c r="AZ33" s="71">
        <v>3.5112739726027393</v>
      </c>
      <c r="BA33" s="71">
        <v>3.3440277777777778</v>
      </c>
      <c r="BB33" s="178">
        <f t="shared" si="74"/>
        <v>61085</v>
      </c>
      <c r="BC33" s="179">
        <f t="shared" si="75"/>
        <v>3579</v>
      </c>
      <c r="BD33" s="180">
        <f t="shared" si="70"/>
        <v>11939</v>
      </c>
      <c r="BE33" s="179">
        <f t="shared" si="76"/>
        <v>1069</v>
      </c>
      <c r="BF33" s="179">
        <f t="shared" si="71"/>
        <v>8198</v>
      </c>
      <c r="BG33" s="179">
        <f>SUM(RD[[#This Row],[KUD01]:[KUD23]])</f>
        <v>85870</v>
      </c>
      <c r="BH33" s="181">
        <f t="shared" si="77"/>
        <v>4.3904477604688674</v>
      </c>
      <c r="BI33" s="182">
        <f t="shared" si="78"/>
        <v>3.6320068493150677</v>
      </c>
      <c r="BJ33" s="182">
        <f t="shared" si="79"/>
        <v>3.5563865847702134</v>
      </c>
      <c r="BK33" s="183">
        <f t="shared" si="66"/>
        <v>3.2408356164383565</v>
      </c>
      <c r="BL33" s="61">
        <f>IFERROR(AVERAGEIF(RD[[#This Row],[WS_KUD07]:[WS_KUD08]],"&lt;&gt;0",RD[[#This Row],[WS_KUD07]:[WS_KUD08]]),"")</f>
        <v>3.8907478020854636</v>
      </c>
      <c r="BM33" s="184">
        <f>IFERROR(AVERAGE(RD[[#This Row],[WS_KUD01]:[WS_KUD23]]),"")</f>
        <v>3.9118779464112738</v>
      </c>
      <c r="BN33" s="185">
        <f>IFERROR(MAX(RD[[#This Row],[WS_KUD01]:[WS_KUD23]]),"")</f>
        <v>4.9561237113402061</v>
      </c>
      <c r="BO33" s="73">
        <v>640.30499999999995</v>
      </c>
      <c r="BP33" s="73">
        <v>888.83799999999997</v>
      </c>
      <c r="BQ33" s="73">
        <v>58.231000000000002</v>
      </c>
      <c r="BR33" s="73">
        <v>220.87799999999999</v>
      </c>
      <c r="BS33" s="73">
        <v>174.642</v>
      </c>
      <c r="BT33" s="73">
        <v>283.89999999999998</v>
      </c>
      <c r="BU33" s="73"/>
      <c r="BV33" s="73">
        <v>73.897000000000006</v>
      </c>
      <c r="BW33" s="73">
        <v>188149</v>
      </c>
      <c r="BX33" s="73">
        <v>249417</v>
      </c>
      <c r="BY33" s="73">
        <v>120.61</v>
      </c>
      <c r="BZ33" s="73">
        <v>70.989000000000004</v>
      </c>
      <c r="CA33" s="73">
        <v>271.33100000000002</v>
      </c>
      <c r="CB33" s="73">
        <v>96.403999999999996</v>
      </c>
      <c r="CC33" s="73">
        <v>0.111</v>
      </c>
      <c r="CD33" s="73">
        <v>291.71899999999999</v>
      </c>
      <c r="CE33" s="73">
        <v>0</v>
      </c>
      <c r="CF33" s="64" t="str">
        <f>IF((RD[[#This Row],[33 kV_Wind_F1_Export reading]]-BO32)*165000&lt;=0,"",(RD[[#This Row],[33 kV_Wind_F1_Export reading]]-BO32)*165000)</f>
        <v/>
      </c>
      <c r="CG33" s="64">
        <f>IF((RD[[#This Row],[33 kV_Wind_F2_Export_reading]]-BP32)*165000&lt;=0,"",(RD[[#This Row],[33 kV_Wind_F2_Export_reading]]-BP32)*165000)</f>
        <v>17984.999999987394</v>
      </c>
      <c r="CH33" s="64">
        <f>IF((RD[[#This Row],[33 kV_Wind_F3_Export_Reading]]-BQ32)*225000&lt;=0,"",(RD[[#This Row],[33 kV_Wind_F3_Export_Reading]]-BQ32)*225000)</f>
        <v>206775.0000000009</v>
      </c>
      <c r="CI33" s="64">
        <f>IF((RD[[#This Row],[33 kV_Wind_F4_Export Reading]]-BR32)*165000&lt;=0,"",(RD[[#This Row],[33 kV_Wind_F4_Export Reading]]-BR32)*165000)</f>
        <v>65834.99999999546</v>
      </c>
      <c r="CJ33" s="74">
        <f>IF((RD[[#This Row],[33 kV_Solar_F1_Export Reading]]-BS32)*225000&lt;=0,"",(RD[[#This Row],[33 kV_Solar_F1_Export Reading]]-BS32)*225000)</f>
        <v>172800.00000000015</v>
      </c>
      <c r="CK33" s="74">
        <f>IF((RD[[#This Row],[33kV_Solar_F2_Export Reading]]-BT32)*225000&lt;=0,"",(RD[[#This Row],[33kV_Solar_F2_Export Reading]]-BT32)*225000)</f>
        <v>160649.99999999968</v>
      </c>
      <c r="CL33" s="186" t="str">
        <f>IF((RD[[#This Row],[33 kV_Solar_F3_Export reading]]-BU32)*225000&lt;=0,"",(RD[[#This Row],[33 kV_Solar_F3_Export reading]]-BU32)*225000)</f>
        <v/>
      </c>
      <c r="CM33" s="63">
        <f>IF((RD[[#This Row],[32kV_Solar_F4_Export reading]]-BV32)*225000&lt;=0,"",(RD[[#This Row],[32kV_Solar_F4_Export reading]]-BV32)*225000)</f>
        <v>157050.00000000169</v>
      </c>
      <c r="CN33" s="64">
        <f>IF((RD[[#This Row],[33kV_OG1_Export reading]]-BW32)*1000&lt;=0,0,(RD[[#This Row],[33kV_OG1_Export reading]]-BW32)*1000)</f>
        <v>490000</v>
      </c>
      <c r="CO33" s="64">
        <f>IFERROR(IF((RD[[#This Row],[33kV_OG2_Export reading]]-BX32)*1000&lt;=0,0,(RD[[#This Row],[33kV_OG2_Export reading]]-BX32)*1000),0)</f>
        <v>290000</v>
      </c>
      <c r="CP33" s="74">
        <f>IF((RD[[#This Row],[220kV_TX1_Export reading]]-BY32)*800000&lt;=0,0,(RD[[#This Row],[220kV_TX1_Export reading]]-BY32)*800000)</f>
        <v>485599.99999999948</v>
      </c>
      <c r="CQ33" s="186">
        <f>IF((RD[[#This Row],[220kV_Tx2_Export reading]]-BZ32)*800000&lt;=0,0,(RD[[#This Row],[220kV_Tx2_Export reading]]-BZ32)*800000)</f>
        <v>286400.00000000326</v>
      </c>
      <c r="CR33" s="64">
        <f>IF((RD[[#This Row],[220kV_TL_TVM Export Reading]]-CA32)*1600000&lt;=0,0,(RD[[#This Row],[220kV_TL_TVM Export Reading]]-CA32)*1600000)</f>
        <v>774400.0000000596</v>
      </c>
      <c r="CS33" s="64">
        <f>IF((RD[[#This Row],[220kV_C&amp;R_PQM reading]]-CB32)*1600000&lt;=0,"",(RD[[#This Row],[220kV_C&amp;R_PQM reading]]-CB32)*1600000)</f>
        <v>774399.9999999915</v>
      </c>
      <c r="CT33" s="186">
        <f>IFERROR(IF((RD[[#This Row],[220KV_C&amp;R_PQM Import Reading]]-CC32)*1600000&lt;=0,0,(RD[[#This Row],[220KV_C&amp;R_PQM Import Reading]]-CC32)*1600000),"")</f>
        <v>1600.0000000000014</v>
      </c>
      <c r="CU33" s="64">
        <f>IF((RD[[#This Row],[33kV_Aux1 Import Reading]]-CD32)*1000&lt;=0,"",(RD[[#This Row],[33kV_Aux1 Import Reading]]-CD32)*1000)</f>
        <v>420.00000000001592</v>
      </c>
      <c r="CV33" s="64" t="str">
        <f>IF((RD[[#This Row],[33kV_Aux2_Import reading]]-CE32)*1000&lt;=0,"",(RD[[#This Row],[33kV_Aux2_Import reading]]-CE32)*1000)</f>
        <v/>
      </c>
      <c r="CW33" s="64">
        <f>IFERROR(RD[[#This Row],[33kV_OG1_Energy (MWh)]]+RD[[#This Row],[33kV_OG2_Energy (MWh)]],"")</f>
        <v>780000</v>
      </c>
      <c r="CX33" s="72">
        <f>IFERROR(RD[[#This Row],[220kV_TL_TVM Energy (MWh)]]-RD[[#This Row],[220KV_C&amp;R_PQM Import (MWh)]],"")</f>
        <v>772800.0000000596</v>
      </c>
      <c r="CY33" s="187">
        <f>IFERROR(RD[[#This Row],[33 kV Total Export (MWH)]]/RD[[#This Row],[220 KV Net Export (MWh)]]-1,"")</f>
        <v>9.3167701862575392E-3</v>
      </c>
      <c r="CZ33" s="188">
        <f t="shared" si="80"/>
        <v>50.6</v>
      </c>
      <c r="DA33" s="189">
        <v>97</v>
      </c>
      <c r="DB33" s="190"/>
      <c r="DC33" s="68">
        <f>IFERROR((RD[[#This Row],[Sunset Time (POA&lt;20 W/m2)]]-RD[[#This Row],[Sunrise Time (POA&gt;20 W/m2)]])*24,0)</f>
        <v>11.799999999999999</v>
      </c>
      <c r="DD33" s="70">
        <f>SUM(RD[[#This Row],[33 kV_Wind_F3_Export_Reading3]],CJ33,CK33,CL33,CM33)</f>
        <v>697275.00000000233</v>
      </c>
      <c r="DE33" s="68">
        <v>140</v>
      </c>
      <c r="DF33" s="70">
        <f t="shared" si="68"/>
        <v>83819.999999982858</v>
      </c>
      <c r="DG33" s="70">
        <v>82.27</v>
      </c>
      <c r="DH33">
        <f>'WTG Reactive Power'!AB31</f>
        <v>83700.800000000003</v>
      </c>
    </row>
    <row r="34" spans="1:112">
      <c r="A34" s="173">
        <f>YEAR(RD[[#This Row],[Date]])+IF(MONTH(RD[[#This Row],[Date]])&gt;=4,1,0)</f>
        <v>2026</v>
      </c>
      <c r="B34" s="173">
        <f>YEAR(RD[[#This Row],[Date]])</f>
        <v>2025</v>
      </c>
      <c r="C34" s="174">
        <f t="shared" si="72"/>
        <v>45748</v>
      </c>
      <c r="D34" s="173">
        <f>DAY(EOMONTH(RD[[#This Row],[Date]],0))</f>
        <v>30</v>
      </c>
      <c r="E34" s="175">
        <f t="shared" si="73"/>
        <v>45774</v>
      </c>
      <c r="F34" s="176">
        <v>0.26874999999999999</v>
      </c>
      <c r="G34" s="176">
        <v>0.74513888888888891</v>
      </c>
      <c r="H34" s="177">
        <v>6782</v>
      </c>
      <c r="I34" s="177">
        <v>5901</v>
      </c>
      <c r="J34" s="177">
        <v>6955</v>
      </c>
      <c r="K34" s="177">
        <v>5344</v>
      </c>
      <c r="L34" s="177">
        <v>4877</v>
      </c>
      <c r="M34" s="177">
        <v>4895</v>
      </c>
      <c r="N34" s="177">
        <v>4864</v>
      </c>
      <c r="O34" s="177">
        <v>7303</v>
      </c>
      <c r="P34" s="177">
        <v>6208</v>
      </c>
      <c r="Q34" s="177">
        <v>5726</v>
      </c>
      <c r="R34" s="177">
        <v>6252</v>
      </c>
      <c r="S34" s="177">
        <v>6534</v>
      </c>
      <c r="T34" s="177">
        <v>7323</v>
      </c>
      <c r="U34" s="177">
        <v>6736</v>
      </c>
      <c r="V34" s="177">
        <v>8022</v>
      </c>
      <c r="W34" s="177">
        <v>7392</v>
      </c>
      <c r="X34" s="177">
        <v>6007</v>
      </c>
      <c r="Y34" s="177">
        <v>5339</v>
      </c>
      <c r="Z34" s="177">
        <v>7472</v>
      </c>
      <c r="AA34" s="177">
        <v>6618</v>
      </c>
      <c r="AB34" s="177">
        <v>7161</v>
      </c>
      <c r="AC34" s="177">
        <v>6117</v>
      </c>
      <c r="AD34" s="177">
        <v>7149</v>
      </c>
      <c r="AE34" s="169">
        <v>4.76773148148148</v>
      </c>
      <c r="AF34" s="169">
        <v>4.2542635658914723</v>
      </c>
      <c r="AG34" s="169">
        <v>4.4300740740740752</v>
      </c>
      <c r="AH34" s="169">
        <v>3.9238015873015875</v>
      </c>
      <c r="AI34" s="169">
        <v>3.9385891472868217</v>
      </c>
      <c r="AJ34" s="169">
        <v>3.9452325581395353</v>
      </c>
      <c r="AK34" s="169">
        <v>3.9022635658914719</v>
      </c>
      <c r="AL34" s="169">
        <v>4.464777777777778</v>
      </c>
      <c r="AM34" s="169">
        <v>4.4295736434108539</v>
      </c>
      <c r="AN34" s="169">
        <v>4.5573018867924535</v>
      </c>
      <c r="AO34" s="169">
        <v>4.3702647058823523</v>
      </c>
      <c r="AP34" s="169">
        <v>4.2690074074074111</v>
      </c>
      <c r="AQ34" s="169">
        <v>4.4084264705882346</v>
      </c>
      <c r="AR34" s="169">
        <v>4.3093235294117633</v>
      </c>
      <c r="AS34" s="169">
        <v>5.1666788990825721</v>
      </c>
      <c r="AT34" s="169">
        <v>4.482503875968991</v>
      </c>
      <c r="AU34" s="169">
        <v>4.345773437500001</v>
      </c>
      <c r="AV34" s="169">
        <v>4.0162635658914745</v>
      </c>
      <c r="AW34" s="169">
        <v>4.6275939849624059</v>
      </c>
      <c r="AX34" s="169">
        <v>4.3409191176470561</v>
      </c>
      <c r="AY34" s="169">
        <v>4.6108449612403124</v>
      </c>
      <c r="AZ34" s="169">
        <v>4.3241007751937977</v>
      </c>
      <c r="BA34" s="169">
        <v>4.3988372093023269</v>
      </c>
      <c r="BB34" s="178">
        <f t="shared" si="74"/>
        <v>68420</v>
      </c>
      <c r="BC34" s="179">
        <f t="shared" si="75"/>
        <v>13399</v>
      </c>
      <c r="BD34" s="180">
        <f t="shared" si="70"/>
        <v>47652</v>
      </c>
      <c r="BE34" s="179">
        <f t="shared" si="76"/>
        <v>5339</v>
      </c>
      <c r="BF34" s="179">
        <f t="shared" si="71"/>
        <v>12167</v>
      </c>
      <c r="BG34" s="179">
        <f>SUM(RD[[#This Row],[KUD01]:[KUD23]])</f>
        <v>146977</v>
      </c>
      <c r="BH34" s="181">
        <f t="shared" si="77"/>
        <v>4.5247321557329805</v>
      </c>
      <c r="BI34" s="182">
        <f t="shared" si="78"/>
        <v>4.4141386567344956</v>
      </c>
      <c r="BJ34" s="182">
        <f t="shared" si="79"/>
        <v>4.2192284791435961</v>
      </c>
      <c r="BK34" s="183">
        <f t="shared" si="66"/>
        <v>4.0162635658914745</v>
      </c>
      <c r="BL34" s="61">
        <f>IFERROR(AVERAGEIF(RD[[#This Row],[WS_KUD07]:[WS_KUD08]],"&lt;&gt;0",RD[[#This Row],[WS_KUD07]:[WS_KUD08]]),"")</f>
        <v>4.1835206718346249</v>
      </c>
      <c r="BM34" s="184">
        <f>IFERROR(AVERAGE(RD[[#This Row],[WS_KUD01]:[WS_KUD23]]),"")</f>
        <v>4.3601803142663575</v>
      </c>
      <c r="BN34" s="185">
        <f>IFERROR(MAX(RD[[#This Row],[WS_KUD01]:[WS_KUD23]]),"")</f>
        <v>5.1666788990825721</v>
      </c>
      <c r="BO34" s="73">
        <v>640.30499999999995</v>
      </c>
      <c r="BP34" s="73">
        <v>889.25599999999997</v>
      </c>
      <c r="BQ34" s="73">
        <v>58.996000000000002</v>
      </c>
      <c r="BR34" s="73">
        <v>221.321</v>
      </c>
      <c r="BS34" s="73">
        <v>175.36</v>
      </c>
      <c r="BT34" s="73">
        <v>284.58699999999999</v>
      </c>
      <c r="BU34" s="73"/>
      <c r="BV34" s="73">
        <v>74.561999999999998</v>
      </c>
      <c r="BW34" s="73">
        <v>188615</v>
      </c>
      <c r="BX34" s="73">
        <v>249729</v>
      </c>
      <c r="BY34" s="73">
        <v>121.18600000000001</v>
      </c>
      <c r="BZ34" s="73">
        <v>71.375</v>
      </c>
      <c r="CA34" s="73">
        <v>271.81200000000001</v>
      </c>
      <c r="CB34" s="73">
        <v>96.885999999999996</v>
      </c>
      <c r="CC34" s="73">
        <v>0.111</v>
      </c>
      <c r="CD34" s="73">
        <v>292.11900000000003</v>
      </c>
      <c r="CE34" s="73">
        <v>0</v>
      </c>
      <c r="CF34" s="64" t="str">
        <f>IF((RD[[#This Row],[33 kV_Wind_F1_Export reading]]-BO33)*165000&lt;=0,"",(RD[[#This Row],[33 kV_Wind_F1_Export reading]]-BO33)*165000)</f>
        <v/>
      </c>
      <c r="CG34" s="64">
        <f>IF((RD[[#This Row],[33 kV_Wind_F2_Export_reading]]-BP33)*165000&lt;=0,"",(RD[[#This Row],[33 kV_Wind_F2_Export_reading]]-BP33)*165000)</f>
        <v>68970.000000001048</v>
      </c>
      <c r="CH34" s="64">
        <f>IF((RD[[#This Row],[33 kV_Wind_F3_Export_Reading]]-BQ33)*225000&lt;=0,"",(RD[[#This Row],[33 kV_Wind_F3_Export_Reading]]-BQ33)*225000)</f>
        <v>172125.00000000012</v>
      </c>
      <c r="CI34" s="64">
        <f>IF((RD[[#This Row],[33 kV_Wind_F4_Export Reading]]-BR33)*165000&lt;=0,"",(RD[[#This Row],[33 kV_Wind_F4_Export Reading]]-BR33)*165000)</f>
        <v>73095.000000001994</v>
      </c>
      <c r="CJ34" s="74">
        <f>IF((RD[[#This Row],[33 kV_Solar_F1_Export Reading]]-BS33)*225000&lt;=0,"",(RD[[#This Row],[33 kV_Solar_F1_Export Reading]]-BS33)*225000)</f>
        <v>161550.00000000399</v>
      </c>
      <c r="CK34" s="74">
        <f>IF((RD[[#This Row],[33kV_Solar_F2_Export Reading]]-BT33)*225000&lt;=0,"",(RD[[#This Row],[33kV_Solar_F2_Export Reading]]-BT33)*225000)</f>
        <v>154575.00000000265</v>
      </c>
      <c r="CL34" s="186" t="str">
        <f>IF((RD[[#This Row],[33 kV_Solar_F3_Export reading]]-BU33)*225000&lt;=0,"",(RD[[#This Row],[33 kV_Solar_F3_Export reading]]-BU33)*225000)</f>
        <v/>
      </c>
      <c r="CM34" s="63">
        <f>IF((RD[[#This Row],[32kV_Solar_F4_Export reading]]-BV33)*225000&lt;=0,"",(RD[[#This Row],[32kV_Solar_F4_Export reading]]-BV33)*225000)</f>
        <v>149624.9999999982</v>
      </c>
      <c r="CN34" s="64">
        <f>IF((RD[[#This Row],[33kV_OG1_Export reading]]-BW33)*1000&lt;=0,0,(RD[[#This Row],[33kV_OG1_Export reading]]-BW33)*1000)</f>
        <v>466000</v>
      </c>
      <c r="CO34" s="64">
        <f>IFERROR(IF((RD[[#This Row],[33kV_OG2_Export reading]]-BX33)*1000&lt;=0,0,(RD[[#This Row],[33kV_OG2_Export reading]]-BX33)*1000),0)</f>
        <v>312000</v>
      </c>
      <c r="CP34" s="74">
        <f>IF((RD[[#This Row],[220kV_TX1_Export reading]]-BY33)*800000&lt;=0,0,(RD[[#This Row],[220kV_TX1_Export reading]]-BY33)*800000)</f>
        <v>460800.00000000611</v>
      </c>
      <c r="CQ34" s="186">
        <f>IF((RD[[#This Row],[220kV_Tx2_Export reading]]-BZ33)*800000&lt;=0,0,(RD[[#This Row],[220kV_Tx2_Export reading]]-BZ33)*800000)</f>
        <v>308799.99999999657</v>
      </c>
      <c r="CR34" s="64">
        <f>IF((RD[[#This Row],[220kV_TL_TVM Export Reading]]-CA33)*1600000&lt;=0,0,(RD[[#This Row],[220kV_TL_TVM Export Reading]]-CA33)*1600000)</f>
        <v>769599.99999999127</v>
      </c>
      <c r="CS34" s="64">
        <f>IF((RD[[#This Row],[220kV_C&amp;R_PQM reading]]-CB33)*1600000&lt;=0,"",(RD[[#This Row],[220kV_C&amp;R_PQM reading]]-CB33)*1600000)</f>
        <v>771199.99999999895</v>
      </c>
      <c r="CT34" s="186">
        <f>IFERROR(IF((RD[[#This Row],[220KV_C&amp;R_PQM Import Reading]]-CC33)*1600000&lt;=0,0,(RD[[#This Row],[220KV_C&amp;R_PQM Import Reading]]-CC33)*1600000),"")</f>
        <v>0</v>
      </c>
      <c r="CU34" s="64">
        <f>IF((RD[[#This Row],[33kV_Aux1 Import Reading]]-CD33)*1000&lt;=0,"",(RD[[#This Row],[33kV_Aux1 Import Reading]]-CD33)*1000)</f>
        <v>400.00000000003411</v>
      </c>
      <c r="CV34" s="64" t="str">
        <f>IF((RD[[#This Row],[33kV_Aux2_Import reading]]-CE33)*1000&lt;=0,"",(RD[[#This Row],[33kV_Aux2_Import reading]]-CE33)*1000)</f>
        <v/>
      </c>
      <c r="CW34" s="64">
        <f>IFERROR(RD[[#This Row],[33kV_OG1_Energy (MWh)]]+RD[[#This Row],[33kV_OG2_Energy (MWh)]],"")</f>
        <v>778000</v>
      </c>
      <c r="CX34" s="72">
        <f>IFERROR(RD[[#This Row],[220kV_TL_TVM Energy (MWh)]]-RD[[#This Row],[220KV_C&amp;R_PQM Import (MWh)]],"")</f>
        <v>769599.99999999127</v>
      </c>
      <c r="CY34" s="187">
        <f>IFERROR(RD[[#This Row],[33 kV Total Export (MWH)]]/RD[[#This Row],[220 KV Net Export (MWh)]]-1,"")</f>
        <v>1.0914760914772392E-2</v>
      </c>
      <c r="CZ34" s="188">
        <f t="shared" si="80"/>
        <v>50.6</v>
      </c>
      <c r="DA34" s="189">
        <v>97</v>
      </c>
      <c r="DB34" s="190"/>
      <c r="DC34" s="68">
        <f>IFERROR((RD[[#This Row],[Sunset Time (POA&lt;20 W/m2)]]-RD[[#This Row],[Sunrise Time (POA&gt;20 W/m2)]])*24,0)</f>
        <v>11.433333333333334</v>
      </c>
      <c r="DD34" s="70">
        <f>SUM(RD[[#This Row],[33 kV_Wind_F3_Export_Reading3]],CJ34,CK34,CL34,CM34)</f>
        <v>637875.00000000489</v>
      </c>
      <c r="DE34" s="68">
        <v>140</v>
      </c>
      <c r="DF34" s="70">
        <f t="shared" si="68"/>
        <v>142065.00000000303</v>
      </c>
      <c r="DG34" s="70">
        <v>148.97</v>
      </c>
      <c r="DH34">
        <f>'WTG Reactive Power'!AB32</f>
        <v>119321.59999999999</v>
      </c>
    </row>
    <row r="35" spans="1:112">
      <c r="A35" s="173">
        <f>YEAR(RD[[#This Row],[Date]])+IF(MONTH(RD[[#This Row],[Date]])&gt;=4,1,0)</f>
        <v>2026</v>
      </c>
      <c r="B35" s="173">
        <f>YEAR(RD[[#This Row],[Date]])</f>
        <v>2025</v>
      </c>
      <c r="C35" s="174">
        <f t="shared" si="72"/>
        <v>45748</v>
      </c>
      <c r="D35" s="173">
        <f>DAY(EOMONTH(RD[[#This Row],[Date]],0))</f>
        <v>30</v>
      </c>
      <c r="E35" s="175">
        <f t="shared" si="73"/>
        <v>45775</v>
      </c>
      <c r="F35" s="326">
        <v>0.26250000000000001</v>
      </c>
      <c r="G35" s="204">
        <v>0.76041666666666663</v>
      </c>
      <c r="H35" s="177">
        <v>2016</v>
      </c>
      <c r="I35" s="177">
        <v>1856</v>
      </c>
      <c r="J35" s="177">
        <v>2188</v>
      </c>
      <c r="K35" s="177">
        <v>1671</v>
      </c>
      <c r="L35" s="177">
        <v>1586</v>
      </c>
      <c r="M35" s="177">
        <v>2259</v>
      </c>
      <c r="N35" s="177">
        <v>1949</v>
      </c>
      <c r="O35" s="177">
        <v>2492</v>
      </c>
      <c r="P35" s="177">
        <v>1917</v>
      </c>
      <c r="Q35" s="177">
        <v>1817</v>
      </c>
      <c r="R35" s="177">
        <v>2056</v>
      </c>
      <c r="S35" s="177">
        <v>2135</v>
      </c>
      <c r="T35" s="177">
        <v>1913</v>
      </c>
      <c r="U35" s="177">
        <v>1442</v>
      </c>
      <c r="V35" s="177">
        <v>1823</v>
      </c>
      <c r="W35" s="177">
        <v>2163</v>
      </c>
      <c r="X35" s="177">
        <v>2068</v>
      </c>
      <c r="Y35" s="177">
        <v>1656</v>
      </c>
      <c r="Z35" s="177">
        <v>1624</v>
      </c>
      <c r="AA35" s="177">
        <v>1426</v>
      </c>
      <c r="AB35" s="177">
        <v>2048</v>
      </c>
      <c r="AC35" s="177">
        <v>1789</v>
      </c>
      <c r="AD35" s="177">
        <v>1938</v>
      </c>
      <c r="AE35" s="169">
        <v>3.5229811320754716</v>
      </c>
      <c r="AF35" s="169">
        <v>3.2091655172413796</v>
      </c>
      <c r="AG35" s="169">
        <v>3.2193538461538442</v>
      </c>
      <c r="AH35" s="169">
        <v>2.894448275862068</v>
      </c>
      <c r="AI35" s="169">
        <v>3.0124206896551717</v>
      </c>
      <c r="AJ35" s="169">
        <v>3.1148896551724126</v>
      </c>
      <c r="AK35" s="169">
        <v>3.0213793103448277</v>
      </c>
      <c r="AL35" s="169">
        <v>3.3081472868217059</v>
      </c>
      <c r="AM35" s="169">
        <v>3.4388344827586206</v>
      </c>
      <c r="AN35" s="169">
        <v>3.3642941176470567</v>
      </c>
      <c r="AO35" s="169">
        <v>3.1322079999999994</v>
      </c>
      <c r="AP35" s="169">
        <v>3.1899531249999988</v>
      </c>
      <c r="AQ35" s="169">
        <v>3.1879545454545464</v>
      </c>
      <c r="AR35" s="169">
        <v>2.9920681818181829</v>
      </c>
      <c r="AS35" s="169">
        <v>3.4302547169811306</v>
      </c>
      <c r="AT35" s="169">
        <v>3.2979103448275882</v>
      </c>
      <c r="AU35" s="169">
        <v>3.2637862068965506</v>
      </c>
      <c r="AV35" s="169">
        <v>3.0874758620689633</v>
      </c>
      <c r="AW35" s="169">
        <v>3.2928906249999992</v>
      </c>
      <c r="AX35" s="169">
        <v>3.1207923076923096</v>
      </c>
      <c r="AY35" s="169">
        <v>3.4016344827586207</v>
      </c>
      <c r="AZ35" s="169">
        <v>3.2440551724137938</v>
      </c>
      <c r="BA35" s="169">
        <v>3.2958000000000007</v>
      </c>
      <c r="BB35" s="178">
        <f t="shared" si="74"/>
        <v>18440</v>
      </c>
      <c r="BC35" s="179">
        <f t="shared" si="75"/>
        <v>4231</v>
      </c>
      <c r="BD35" s="180">
        <f t="shared" si="70"/>
        <v>15064</v>
      </c>
      <c r="BE35" s="179">
        <f t="shared" si="76"/>
        <v>1656</v>
      </c>
      <c r="BF35" s="179">
        <f t="shared" si="71"/>
        <v>4441</v>
      </c>
      <c r="BG35" s="179">
        <f>SUM(RD[[#This Row],[KUD01]:[KUD23]])</f>
        <v>43832</v>
      </c>
      <c r="BH35" s="181">
        <f t="shared" si="77"/>
        <v>3.2452750597822537</v>
      </c>
      <c r="BI35" s="182">
        <f t="shared" si="78"/>
        <v>3.2808482758620694</v>
      </c>
      <c r="BJ35" s="182">
        <f t="shared" si="79"/>
        <v>3.1940774873028599</v>
      </c>
      <c r="BK35" s="183">
        <f t="shared" ref="BK35:BK98" si="81">AV35</f>
        <v>3.0874758620689633</v>
      </c>
      <c r="BL35" s="61">
        <f>IFERROR(AVERAGEIF(RD[[#This Row],[WS_KUD07]:[WS_KUD08]],"&lt;&gt;0",RD[[#This Row],[WS_KUD07]:[WS_KUD08]]),"")</f>
        <v>3.1647632985832668</v>
      </c>
      <c r="BM35" s="184">
        <f>IFERROR(AVERAGE(RD[[#This Row],[WS_KUD01]:[WS_KUD23]]),"")</f>
        <v>3.2192477341149663</v>
      </c>
      <c r="BN35" s="185">
        <f>IFERROR(MAX(RD[[#This Row],[WS_KUD01]:[WS_KUD23]]),"")</f>
        <v>3.5229811320754716</v>
      </c>
      <c r="BO35" s="172">
        <v>640.30499999999995</v>
      </c>
      <c r="BP35" s="172">
        <v>889.39400000000001</v>
      </c>
      <c r="BQ35" s="172">
        <v>60.052999999999997</v>
      </c>
      <c r="BR35" s="172">
        <v>221.44900000000001</v>
      </c>
      <c r="BS35" s="172">
        <v>176.24199999999999</v>
      </c>
      <c r="BT35" s="172">
        <v>285.40800000000002</v>
      </c>
      <c r="BU35" s="172"/>
      <c r="BV35" s="172">
        <v>75.37</v>
      </c>
      <c r="BW35" s="172">
        <v>189180</v>
      </c>
      <c r="BX35" s="172">
        <v>250008</v>
      </c>
      <c r="BY35" s="172">
        <v>121.88500000000001</v>
      </c>
      <c r="BZ35" s="172">
        <v>71.721000000000004</v>
      </c>
      <c r="CA35" s="172">
        <v>272.33699999999999</v>
      </c>
      <c r="CB35" s="172">
        <v>97.41</v>
      </c>
      <c r="CC35" s="172">
        <v>0.112</v>
      </c>
      <c r="CD35" s="172">
        <v>292.529</v>
      </c>
      <c r="CE35" s="172">
        <v>0</v>
      </c>
      <c r="CF35" s="64" t="str">
        <f>IF((RD[[#This Row],[33 kV_Wind_F1_Export reading]]-BO34)*165000&lt;=0,"",(RD[[#This Row],[33 kV_Wind_F1_Export reading]]-BO34)*165000)</f>
        <v/>
      </c>
      <c r="CG35" s="64">
        <f>IF((RD[[#This Row],[33 kV_Wind_F2_Export_reading]]-BP34)*165000&lt;=0,"",(RD[[#This Row],[33 kV_Wind_F2_Export_reading]]-BP34)*165000)</f>
        <v>22770.000000005552</v>
      </c>
      <c r="CH35" s="64">
        <f>IF((RD[[#This Row],[33 kV_Wind_F3_Export_Reading]]-BQ34)*225000&lt;=0,"",(RD[[#This Row],[33 kV_Wind_F3_Export_Reading]]-BQ34)*225000)</f>
        <v>237824.99999999889</v>
      </c>
      <c r="CI35" s="64">
        <f>IF((RD[[#This Row],[33 kV_Wind_F4_Export Reading]]-BR34)*165000&lt;=0,"",(RD[[#This Row],[33 kV_Wind_F4_Export Reading]]-BR34)*165000)</f>
        <v>21120.000000002365</v>
      </c>
      <c r="CJ35" s="74">
        <f>IF((RD[[#This Row],[33 kV_Solar_F1_Export Reading]]-BS34)*225000&lt;=0,"",(RD[[#This Row],[33 kV_Solar_F1_Export Reading]]-BS34)*225000)</f>
        <v>198449.99999999473</v>
      </c>
      <c r="CK35" s="74">
        <f>IF((RD[[#This Row],[33kV_Solar_F2_Export Reading]]-BT34)*225000&lt;=0,"",(RD[[#This Row],[33kV_Solar_F2_Export Reading]]-BT34)*225000)</f>
        <v>184725.00000000594</v>
      </c>
      <c r="CL35" s="186" t="str">
        <f>IF((RD[[#This Row],[33 kV_Solar_F3_Export reading]]-BU34)*225000&lt;=0,"",(RD[[#This Row],[33 kV_Solar_F3_Export reading]]-BU34)*225000)</f>
        <v/>
      </c>
      <c r="CM35" s="63">
        <f>IF((RD[[#This Row],[32kV_Solar_F4_Export reading]]-BV34)*225000&lt;=0,"",(RD[[#This Row],[32kV_Solar_F4_Export reading]]-BV34)*225000)</f>
        <v>181800.00000000157</v>
      </c>
      <c r="CN35" s="64">
        <f>IF((RD[[#This Row],[33kV_OG1_Export reading]]-BW34)*1000&lt;=0,0,(RD[[#This Row],[33kV_OG1_Export reading]]-BW34)*1000)</f>
        <v>565000</v>
      </c>
      <c r="CO35" s="64">
        <f>IFERROR(IF((RD[[#This Row],[33kV_OG2_Export reading]]-BX34)*1000&lt;=0,0,(RD[[#This Row],[33kV_OG2_Export reading]]-BX34)*1000),0)</f>
        <v>279000</v>
      </c>
      <c r="CP35" s="74">
        <f>IF((RD[[#This Row],[220kV_TX1_Export reading]]-BY34)*800000&lt;=0,0,(RD[[#This Row],[220kV_TX1_Export reading]]-BY34)*800000)</f>
        <v>559199.99999999849</v>
      </c>
      <c r="CQ35" s="186">
        <f>IF((RD[[#This Row],[220kV_Tx2_Export reading]]-BZ34)*800000&lt;=0,0,(RD[[#This Row],[220kV_Tx2_Export reading]]-BZ34)*800000)</f>
        <v>276800.00000000291</v>
      </c>
      <c r="CR35" s="64">
        <f>IF((RD[[#This Row],[220kV_TL_TVM Export Reading]]-CA34)*1600000&lt;=0,0,(RD[[#This Row],[220kV_TL_TVM Export Reading]]-CA34)*1600000)</f>
        <v>839999.99999996368</v>
      </c>
      <c r="CS35" s="64">
        <f>IF((RD[[#This Row],[220kV_C&amp;R_PQM reading]]-CB34)*1600000&lt;=0,"",(RD[[#This Row],[220kV_C&amp;R_PQM reading]]-CB34)*1600000)</f>
        <v>838400.0000000014</v>
      </c>
      <c r="CT35" s="186">
        <f>IFERROR(IF((RD[[#This Row],[220KV_C&amp;R_PQM Import Reading]]-CC34)*1600000&lt;=0,0,(RD[[#This Row],[220KV_C&amp;R_PQM Import Reading]]-CC34)*1600000),"")</f>
        <v>1600.0000000000014</v>
      </c>
      <c r="CU35" s="64">
        <f>IF((RD[[#This Row],[33kV_Aux1 Import Reading]]-CD34)*1000&lt;=0,"",(RD[[#This Row],[33kV_Aux1 Import Reading]]-CD34)*1000)</f>
        <v>409.99999999996817</v>
      </c>
      <c r="CV35" s="64" t="str">
        <f>IF((RD[[#This Row],[33kV_Aux2_Import reading]]-CE34)*1000&lt;=0,"",(RD[[#This Row],[33kV_Aux2_Import reading]]-CE34)*1000)</f>
        <v/>
      </c>
      <c r="CW35" s="64">
        <f>IFERROR(RD[[#This Row],[33kV_OG1_Energy (MWh)]]+RD[[#This Row],[33kV_OG2_Energy (MWh)]],"")</f>
        <v>844000</v>
      </c>
      <c r="CX35" s="72">
        <f>IFERROR(RD[[#This Row],[220kV_TL_TVM Energy (MWh)]]-RD[[#This Row],[220KV_C&amp;R_PQM Import (MWh)]],"")</f>
        <v>838399.99999996368</v>
      </c>
      <c r="CY35" s="187">
        <f>IFERROR(RD[[#This Row],[33 kV Total Export (MWH)]]/RD[[#This Row],[220 KV Net Export (MWh)]]-1,"")</f>
        <v>6.6793893130208115E-3</v>
      </c>
      <c r="CZ35" s="188">
        <f t="shared" si="80"/>
        <v>50.6</v>
      </c>
      <c r="DA35" s="189">
        <v>97</v>
      </c>
      <c r="DB35" s="190"/>
      <c r="DC35" s="68">
        <f>IFERROR((RD[[#This Row],[Sunset Time (POA&lt;20 W/m2)]]-RD[[#This Row],[Sunrise Time (POA&gt;20 W/m2)]])*24,0)</f>
        <v>11.95</v>
      </c>
      <c r="DD35" s="70">
        <f>SUM(RD[[#This Row],[33 kV_Wind_F3_Export_Reading3]],CJ35,CK35,CL35,CM35)</f>
        <v>802800.00000000116</v>
      </c>
      <c r="DE35" s="68">
        <v>140</v>
      </c>
      <c r="DF35" s="70">
        <f t="shared" si="68"/>
        <v>43890.000000007916</v>
      </c>
      <c r="DG35" s="70">
        <v>45.94</v>
      </c>
      <c r="DH35">
        <f>'WTG Reactive Power'!AB33</f>
        <v>83886.799999999988</v>
      </c>
    </row>
    <row r="36" spans="1:112">
      <c r="A36" s="173">
        <f>YEAR(RD[[#This Row],[Date]])+IF(MONTH(RD[[#This Row],[Date]])&gt;=4,1,0)</f>
        <v>2026</v>
      </c>
      <c r="B36" s="173">
        <f>YEAR(RD[[#This Row],[Date]])</f>
        <v>2025</v>
      </c>
      <c r="C36" s="174">
        <f t="shared" si="72"/>
        <v>45748</v>
      </c>
      <c r="D36" s="173">
        <f>DAY(EOMONTH(RD[[#This Row],[Date]],0))</f>
        <v>30</v>
      </c>
      <c r="E36" s="175">
        <f t="shared" si="73"/>
        <v>45776</v>
      </c>
      <c r="F36" s="176">
        <v>0.28055555555555556</v>
      </c>
      <c r="G36" s="176">
        <v>0.77361111111111114</v>
      </c>
      <c r="H36" s="177">
        <v>6461</v>
      </c>
      <c r="I36" s="177">
        <v>7606</v>
      </c>
      <c r="J36" s="177">
        <v>6129</v>
      </c>
      <c r="K36" s="177">
        <v>5774</v>
      </c>
      <c r="L36" s="177">
        <v>6443</v>
      </c>
      <c r="M36" s="177">
        <v>6553</v>
      </c>
      <c r="N36" s="177">
        <v>6753</v>
      </c>
      <c r="O36" s="177">
        <v>5795</v>
      </c>
      <c r="P36" s="177">
        <v>3484</v>
      </c>
      <c r="Q36" s="177">
        <v>5783</v>
      </c>
      <c r="R36" s="177">
        <v>5714</v>
      </c>
      <c r="S36" s="177">
        <v>5863</v>
      </c>
      <c r="T36" s="177">
        <v>5835</v>
      </c>
      <c r="U36" s="177">
        <v>5658</v>
      </c>
      <c r="V36" s="177">
        <v>7105</v>
      </c>
      <c r="W36" s="177">
        <v>8619</v>
      </c>
      <c r="X36" s="177">
        <v>7690</v>
      </c>
      <c r="Y36" s="177">
        <v>6564</v>
      </c>
      <c r="Z36" s="177">
        <v>5499</v>
      </c>
      <c r="AA36" s="177">
        <v>3817</v>
      </c>
      <c r="AB36" s="177">
        <v>6509</v>
      </c>
      <c r="AC36" s="177">
        <v>6069</v>
      </c>
      <c r="AD36" s="177">
        <v>6662</v>
      </c>
      <c r="AE36" s="169">
        <v>4.4687753623188406</v>
      </c>
      <c r="AF36" s="169">
        <v>4.4705448275862052</v>
      </c>
      <c r="AG36" s="169">
        <v>4.5166521739130436</v>
      </c>
      <c r="AH36" s="169">
        <v>4.2465034482758606</v>
      </c>
      <c r="AI36" s="169">
        <v>4.312344827586208</v>
      </c>
      <c r="AJ36" s="169">
        <v>4.3660482758620685</v>
      </c>
      <c r="AK36" s="169">
        <v>4.451103448275866</v>
      </c>
      <c r="AL36" s="169">
        <v>4.3701970802919723</v>
      </c>
      <c r="AM36" s="169">
        <v>5.0232968749999989</v>
      </c>
      <c r="AN36" s="169">
        <v>4.3997462686567159</v>
      </c>
      <c r="AO36" s="169">
        <v>4.4838840579710162</v>
      </c>
      <c r="AP36" s="169">
        <v>4.2718102189781</v>
      </c>
      <c r="AQ36" s="169">
        <v>4.3610362318840572</v>
      </c>
      <c r="AR36" s="169">
        <v>4.2450652173913026</v>
      </c>
      <c r="AS36" s="169">
        <v>4.6964855072463765</v>
      </c>
      <c r="AT36" s="169">
        <v>4.5445034482758588</v>
      </c>
      <c r="AU36" s="169">
        <v>4.5590344827586247</v>
      </c>
      <c r="AV36" s="169">
        <v>4.3603241379310367</v>
      </c>
      <c r="AW36" s="169">
        <v>4.3313455882352967</v>
      </c>
      <c r="AX36" s="169">
        <v>4.0936037735849036</v>
      </c>
      <c r="AY36" s="169">
        <v>4.4713793103448261</v>
      </c>
      <c r="AZ36" s="169">
        <v>4.4002827586206896</v>
      </c>
      <c r="BA36" s="169">
        <v>4.3564413793103443</v>
      </c>
      <c r="BB36" s="178">
        <f t="shared" si="74"/>
        <v>57864</v>
      </c>
      <c r="BC36" s="179">
        <f t="shared" si="75"/>
        <v>16309</v>
      </c>
      <c r="BD36" s="180">
        <f t="shared" si="70"/>
        <v>49100</v>
      </c>
      <c r="BE36" s="179">
        <f t="shared" si="76"/>
        <v>6564</v>
      </c>
      <c r="BF36" s="179">
        <f t="shared" si="71"/>
        <v>12548</v>
      </c>
      <c r="BG36" s="179">
        <f>SUM(RD[[#This Row],[KUD01]:[KUD23]])</f>
        <v>142385</v>
      </c>
      <c r="BH36" s="181">
        <f t="shared" si="77"/>
        <v>4.3868404400179655</v>
      </c>
      <c r="BI36" s="182">
        <f t="shared" si="78"/>
        <v>4.5517689655172422</v>
      </c>
      <c r="BJ36" s="182">
        <f t="shared" si="79"/>
        <v>4.4468142231154042</v>
      </c>
      <c r="BK36" s="183">
        <f t="shared" si="81"/>
        <v>4.3603241379310367</v>
      </c>
      <c r="BL36" s="61">
        <f>IFERROR(AVERAGEIF(RD[[#This Row],[WS_KUD07]:[WS_KUD08]],"&lt;&gt;0",RD[[#This Row],[WS_KUD07]:[WS_KUD08]]),"")</f>
        <v>4.4106502642839196</v>
      </c>
      <c r="BM36" s="184">
        <f>IFERROR(AVERAGE(RD[[#This Row],[WS_KUD01]:[WS_KUD23]]),"")</f>
        <v>4.4261047260999655</v>
      </c>
      <c r="BN36" s="185">
        <f>IFERROR(MAX(RD[[#This Row],[WS_KUD01]:[WS_KUD23]]),"")</f>
        <v>5.0232968749999989</v>
      </c>
      <c r="BO36" s="73">
        <v>640.30499999999995</v>
      </c>
      <c r="BP36" s="73">
        <v>889.86</v>
      </c>
      <c r="BQ36" s="73">
        <v>61.061999999999998</v>
      </c>
      <c r="BR36" s="73">
        <v>221.82499999999999</v>
      </c>
      <c r="BS36" s="73">
        <v>177.07499999999999</v>
      </c>
      <c r="BT36" s="73">
        <v>286.19</v>
      </c>
      <c r="BU36" s="73"/>
      <c r="BV36" s="73">
        <v>76.117000000000004</v>
      </c>
      <c r="BW36" s="73">
        <v>189712</v>
      </c>
      <c r="BX36" s="73">
        <v>250372</v>
      </c>
      <c r="BY36" s="73">
        <v>122.542</v>
      </c>
      <c r="BZ36" s="73">
        <v>72.173000000000002</v>
      </c>
      <c r="CA36" s="73">
        <v>272.892</v>
      </c>
      <c r="CB36" s="73">
        <v>97.966999999999999</v>
      </c>
      <c r="CC36" s="73">
        <v>0.113</v>
      </c>
      <c r="CD36" s="73">
        <v>292.92899999999997</v>
      </c>
      <c r="CE36" s="73">
        <v>0</v>
      </c>
      <c r="CF36" s="64" t="str">
        <f>IF((RD[[#This Row],[33 kV_Wind_F1_Export reading]]-BO35)*165000&lt;=0,"",(RD[[#This Row],[33 kV_Wind_F1_Export reading]]-BO35)*165000)</f>
        <v/>
      </c>
      <c r="CG36" s="64">
        <f>IF((RD[[#This Row],[33 kV_Wind_F2_Export_reading]]-BP35)*165000&lt;=0,"",(RD[[#This Row],[33 kV_Wind_F2_Export_reading]]-BP35)*165000)</f>
        <v>76890.000000001353</v>
      </c>
      <c r="CH36" s="64">
        <f>IF((RD[[#This Row],[33 kV_Wind_F3_Export_Reading]]-BQ35)*225000&lt;=0,"",(RD[[#This Row],[33 kV_Wind_F3_Export_Reading]]-BQ35)*225000)</f>
        <v>227025.00000000009</v>
      </c>
      <c r="CI36" s="64">
        <f>IF((RD[[#This Row],[33 kV_Wind_F4_Export Reading]]-BR35)*165000&lt;=0,"",(RD[[#This Row],[33 kV_Wind_F4_Export Reading]]-BR35)*165000)</f>
        <v>62039.9999999961</v>
      </c>
      <c r="CJ36" s="74">
        <f>IF((RD[[#This Row],[33 kV_Solar_F1_Export Reading]]-BS35)*225000&lt;=0,"",(RD[[#This Row],[33 kV_Solar_F1_Export Reading]]-BS35)*225000)</f>
        <v>187424.99999999965</v>
      </c>
      <c r="CK36" s="74">
        <f>IF((RD[[#This Row],[33kV_Solar_F2_Export Reading]]-BT35)*225000&lt;=0,"",(RD[[#This Row],[33kV_Solar_F2_Export Reading]]-BT35)*225000)</f>
        <v>175949.99999999601</v>
      </c>
      <c r="CL36" s="186" t="str">
        <f>IF((RD[[#This Row],[33 kV_Solar_F3_Export reading]]-BU35)*225000&lt;=0,"",(RD[[#This Row],[33 kV_Solar_F3_Export reading]]-BU35)*225000)</f>
        <v/>
      </c>
      <c r="CM36" s="63">
        <f>IF((RD[[#This Row],[32kV_Solar_F4_Export reading]]-BV35)*225000&lt;=0,"",(RD[[#This Row],[32kV_Solar_F4_Export reading]]-BV35)*225000)</f>
        <v>168074.99999999997</v>
      </c>
      <c r="CN36" s="64">
        <f>IF((RD[[#This Row],[33kV_OG1_Export reading]]-BW35)*1000&lt;=0,0,(RD[[#This Row],[33kV_OG1_Export reading]]-BW35)*1000)</f>
        <v>532000</v>
      </c>
      <c r="CO36" s="64">
        <f>IFERROR(IF((RD[[#This Row],[33kV_OG2_Export reading]]-BX35)*1000&lt;=0,0,(RD[[#This Row],[33kV_OG2_Export reading]]-BX35)*1000),0)</f>
        <v>364000</v>
      </c>
      <c r="CP36" s="74">
        <f>IF((RD[[#This Row],[220kV_TX1_Export reading]]-BY35)*800000&lt;=0,0,(RD[[#This Row],[220kV_TX1_Export reading]]-BY35)*800000)</f>
        <v>525599.99999999721</v>
      </c>
      <c r="CQ36" s="186">
        <f>IF((RD[[#This Row],[220kV_Tx2_Export reading]]-BZ35)*800000&lt;=0,0,(RD[[#This Row],[220kV_Tx2_Export reading]]-BZ35)*800000)</f>
        <v>361599.99999999854</v>
      </c>
      <c r="CR36" s="64">
        <f>IF((RD[[#This Row],[220kV_TL_TVM Export Reading]]-CA35)*1600000&lt;=0,0,(RD[[#This Row],[220kV_TL_TVM Export Reading]]-CA35)*1600000)</f>
        <v>888000.00000001094</v>
      </c>
      <c r="CS36" s="64">
        <f>IF((RD[[#This Row],[220kV_C&amp;R_PQM reading]]-CB35)*1600000&lt;=0,"",(RD[[#This Row],[220kV_C&amp;R_PQM reading]]-CB35)*1600000)</f>
        <v>891200.00000000349</v>
      </c>
      <c r="CT36" s="186">
        <f>IFERROR(IF((RD[[#This Row],[220KV_C&amp;R_PQM Import Reading]]-CC35)*1600000&lt;=0,0,(RD[[#This Row],[220KV_C&amp;R_PQM Import Reading]]-CC35)*1600000),"")</f>
        <v>1600.0000000000014</v>
      </c>
      <c r="CU36" s="64">
        <f>IF((RD[[#This Row],[33kV_Aux1 Import Reading]]-CD35)*1000&lt;=0,"",(RD[[#This Row],[33kV_Aux1 Import Reading]]-CD35)*1000)</f>
        <v>399.99999999997726</v>
      </c>
      <c r="CV36" s="64" t="str">
        <f>IF((RD[[#This Row],[33kV_Aux2_Import reading]]-CE35)*1000&lt;=0,"",(RD[[#This Row],[33kV_Aux2_Import reading]]-CE35)*1000)</f>
        <v/>
      </c>
      <c r="CW36" s="64">
        <f>IFERROR(RD[[#This Row],[33kV_OG1_Energy (MWh)]]+RD[[#This Row],[33kV_OG2_Energy (MWh)]],"")</f>
        <v>896000</v>
      </c>
      <c r="CX36" s="72">
        <f>IFERROR(RD[[#This Row],[220kV_TL_TVM Energy (MWh)]]-RD[[#This Row],[220KV_C&amp;R_PQM Import (MWh)]],"")</f>
        <v>886400.00000001094</v>
      </c>
      <c r="CY36" s="187">
        <f>IFERROR(RD[[#This Row],[33 kV Total Export (MWH)]]/RD[[#This Row],[220 KV Net Export (MWh)]]-1,"")</f>
        <v>1.083032490973479E-2</v>
      </c>
      <c r="CZ36" s="188">
        <f t="shared" si="80"/>
        <v>50.6</v>
      </c>
      <c r="DA36" s="189">
        <v>97</v>
      </c>
      <c r="DB36" s="190"/>
      <c r="DC36" s="68">
        <f>IFERROR((RD[[#This Row],[Sunset Time (POA&lt;20 W/m2)]]-RD[[#This Row],[Sunrise Time (POA&gt;20 W/m2)]])*24,0)</f>
        <v>11.833333333333334</v>
      </c>
      <c r="DD36" s="70">
        <f>SUM(RD[[#This Row],[33 kV_Wind_F3_Export_Reading3]],CJ36,CK36,CL36,CM36)</f>
        <v>758474.99999999581</v>
      </c>
      <c r="DE36" s="68">
        <v>140</v>
      </c>
      <c r="DF36" s="70">
        <f t="shared" si="68"/>
        <v>138929.99999999744</v>
      </c>
      <c r="DG36" s="70">
        <v>147.47999999999999</v>
      </c>
      <c r="DH36">
        <f>'WTG Reactive Power'!AB34</f>
        <v>56151.500000000007</v>
      </c>
    </row>
    <row r="37" spans="1:112">
      <c r="A37" s="173">
        <f>YEAR(RD[[#This Row],[Date]])+IF(MONTH(RD[[#This Row],[Date]])&gt;=4,1,0)</f>
        <v>2026</v>
      </c>
      <c r="B37" s="173">
        <f>YEAR(RD[[#This Row],[Date]])</f>
        <v>2025</v>
      </c>
      <c r="C37" s="174">
        <f t="shared" si="72"/>
        <v>45748</v>
      </c>
      <c r="D37" s="173">
        <f>DAY(EOMONTH(RD[[#This Row],[Date]],0))</f>
        <v>30</v>
      </c>
      <c r="E37" s="175">
        <f t="shared" si="73"/>
        <v>45777</v>
      </c>
      <c r="F37" s="176">
        <v>0.27013888888888887</v>
      </c>
      <c r="G37" s="176">
        <v>0.7729166666666667</v>
      </c>
      <c r="H37" s="177">
        <v>17597</v>
      </c>
      <c r="I37" s="177">
        <v>17634</v>
      </c>
      <c r="J37" s="177">
        <v>14004</v>
      </c>
      <c r="K37" s="177">
        <v>12995</v>
      </c>
      <c r="L37" s="177">
        <v>14220</v>
      </c>
      <c r="M37" s="177">
        <v>13677</v>
      </c>
      <c r="N37" s="177">
        <v>14096</v>
      </c>
      <c r="O37" s="177">
        <v>14725</v>
      </c>
      <c r="P37" s="177">
        <v>14379</v>
      </c>
      <c r="Q37" s="177">
        <v>14115</v>
      </c>
      <c r="R37" s="177">
        <v>13745</v>
      </c>
      <c r="S37" s="177">
        <v>14532</v>
      </c>
      <c r="T37" s="177">
        <v>14942</v>
      </c>
      <c r="U37" s="177">
        <v>11305</v>
      </c>
      <c r="V37" s="177">
        <v>18819</v>
      </c>
      <c r="W37" s="177">
        <v>19672</v>
      </c>
      <c r="X37" s="177">
        <v>17433</v>
      </c>
      <c r="Y37" s="177">
        <v>13584</v>
      </c>
      <c r="Z37" s="177">
        <v>13631</v>
      </c>
      <c r="AA37" s="177">
        <v>13622</v>
      </c>
      <c r="AB37" s="177">
        <v>14655</v>
      </c>
      <c r="AC37" s="177">
        <v>14104</v>
      </c>
      <c r="AD37" s="177">
        <v>16090</v>
      </c>
      <c r="AE37" s="71">
        <v>6.1559999999999997</v>
      </c>
      <c r="AF37" s="71">
        <v>6.1760000000000002</v>
      </c>
      <c r="AG37" s="71">
        <v>5.9509999999999996</v>
      </c>
      <c r="AH37" s="71">
        <v>5.5519999999999996</v>
      </c>
      <c r="AI37" s="71">
        <v>5.86</v>
      </c>
      <c r="AJ37" s="71">
        <v>5.6879999999999997</v>
      </c>
      <c r="AK37" s="71">
        <v>5.8540000000000001</v>
      </c>
      <c r="AL37" s="71">
        <v>5.8730000000000002</v>
      </c>
      <c r="AM37" s="71">
        <v>6.4749999999999996</v>
      </c>
      <c r="AN37" s="71">
        <v>5.7450000000000001</v>
      </c>
      <c r="AO37" s="71">
        <v>5.931</v>
      </c>
      <c r="AP37" s="71">
        <v>5.7679999999999998</v>
      </c>
      <c r="AQ37" s="71">
        <v>5.875</v>
      </c>
      <c r="AR37" s="71">
        <v>5.6210000000000004</v>
      </c>
      <c r="AS37" s="71">
        <v>6.5990000000000002</v>
      </c>
      <c r="AT37" s="71">
        <v>6.4020000000000001</v>
      </c>
      <c r="AU37" s="71">
        <v>6.1790000000000003</v>
      </c>
      <c r="AV37" s="71">
        <v>5.819</v>
      </c>
      <c r="AW37" s="71">
        <v>5.8289999999999997</v>
      </c>
      <c r="AX37" s="71">
        <v>5.77</v>
      </c>
      <c r="AY37" s="71">
        <v>6.0949999999999998</v>
      </c>
      <c r="AZ37" s="71">
        <v>5.9619999999999997</v>
      </c>
      <c r="BA37" s="71">
        <v>5.9740000000000002</v>
      </c>
      <c r="BB37" s="178">
        <f t="shared" si="74"/>
        <v>146312</v>
      </c>
      <c r="BC37" s="179">
        <f t="shared" si="75"/>
        <v>37105</v>
      </c>
      <c r="BD37" s="180">
        <f t="shared" si="70"/>
        <v>117754</v>
      </c>
      <c r="BE37" s="179">
        <f t="shared" si="76"/>
        <v>13584</v>
      </c>
      <c r="BF37" s="179">
        <f t="shared" si="71"/>
        <v>28821</v>
      </c>
      <c r="BG37" s="179">
        <f>SUM(RD[[#This Row],[KUD01]:[KUD23]])</f>
        <v>343576</v>
      </c>
      <c r="BH37" s="181">
        <f t="shared" si="77"/>
        <v>5.9245000000000001</v>
      </c>
      <c r="BI37" s="182">
        <f t="shared" si="78"/>
        <v>6.2904999999999998</v>
      </c>
      <c r="BJ37" s="182">
        <f t="shared" si="79"/>
        <v>5.9508999999999999</v>
      </c>
      <c r="BK37" s="183">
        <f t="shared" si="81"/>
        <v>5.819</v>
      </c>
      <c r="BL37" s="61">
        <f>IFERROR(AVERAGEIF(RD[[#This Row],[WS_KUD07]:[WS_KUD08]],"&lt;&gt;0",RD[[#This Row],[WS_KUD07]:[WS_KUD08]]),"")</f>
        <v>5.8635000000000002</v>
      </c>
      <c r="BM37" s="184">
        <f>IFERROR(AVERAGE(RD[[#This Row],[WS_KUD01]:[WS_KUD23]]),"")</f>
        <v>5.9632173913043465</v>
      </c>
      <c r="BN37" s="185">
        <f>IFERROR(MAX(RD[[#This Row],[WS_KUD01]:[WS_KUD23]]),"")</f>
        <v>6.5990000000000002</v>
      </c>
      <c r="BO37" s="73">
        <v>640.30499999999995</v>
      </c>
      <c r="BP37" s="73">
        <v>890.92600000000004</v>
      </c>
      <c r="BQ37" s="73">
        <v>62.072000000000003</v>
      </c>
      <c r="BR37" s="73">
        <v>222.77799999999999</v>
      </c>
      <c r="BS37" s="73">
        <v>177.935</v>
      </c>
      <c r="BT37" s="73">
        <v>287.01499999999999</v>
      </c>
      <c r="BU37" s="73"/>
      <c r="BV37" s="73">
        <v>76.89</v>
      </c>
      <c r="BW37" s="73">
        <v>190265</v>
      </c>
      <c r="BX37" s="73">
        <v>250932</v>
      </c>
      <c r="BY37" s="73">
        <v>123.226</v>
      </c>
      <c r="BZ37" s="73">
        <v>72.864999999999995</v>
      </c>
      <c r="CA37" s="73">
        <v>273.58300000000003</v>
      </c>
      <c r="CB37" s="73">
        <v>98.658000000000001</v>
      </c>
      <c r="CC37" s="73">
        <v>0.113</v>
      </c>
      <c r="CD37" s="73">
        <v>293.32900000000001</v>
      </c>
      <c r="CE37" s="73">
        <v>0</v>
      </c>
      <c r="CF37" s="64" t="str">
        <f>IF((RD[[#This Row],[33 kV_Wind_F1_Export reading]]-BO36)*165000&lt;=0,"",(RD[[#This Row],[33 kV_Wind_F1_Export reading]]-BO36)*165000)</f>
        <v/>
      </c>
      <c r="CG37" s="64">
        <f>IF((RD[[#This Row],[33 kV_Wind_F2_Export_reading]]-BP36)*165000&lt;=0,"",(RD[[#This Row],[33 kV_Wind_F2_Export_reading]]-BP36)*165000)</f>
        <v>175890.00000000509</v>
      </c>
      <c r="CH37" s="64">
        <f>IF((RD[[#This Row],[33 kV_Wind_F3_Export_Reading]]-BQ36)*225000&lt;=0,"",(RD[[#This Row],[33 kV_Wind_F3_Export_Reading]]-BQ36)*225000)</f>
        <v>227250.00000000116</v>
      </c>
      <c r="CI37" s="64">
        <f>IF((RD[[#This Row],[33 kV_Wind_F4_Export Reading]]-BR36)*165000&lt;=0,"",(RD[[#This Row],[33 kV_Wind_F4_Export Reading]]-BR36)*165000)</f>
        <v>157245.00000000049</v>
      </c>
      <c r="CJ37" s="74">
        <f>IF((RD[[#This Row],[33 kV_Solar_F1_Export Reading]]-BS36)*225000&lt;=0,"",(RD[[#This Row],[33 kV_Solar_F1_Export Reading]]-BS36)*225000)</f>
        <v>193500.00000000306</v>
      </c>
      <c r="CK37" s="74">
        <f>IF((RD[[#This Row],[33kV_Solar_F2_Export Reading]]-BT36)*225000&lt;=0,"",(RD[[#This Row],[33kV_Solar_F2_Export Reading]]-BT36)*225000)</f>
        <v>185624.99999999744</v>
      </c>
      <c r="CL37" s="186" t="str">
        <f>IF((RD[[#This Row],[33 kV_Solar_F3_Export reading]]-BU36)*225000&lt;=0,"",(RD[[#This Row],[33 kV_Solar_F3_Export reading]]-BU36)*225000)</f>
        <v/>
      </c>
      <c r="CM37" s="63">
        <f>IF((RD[[#This Row],[32kV_Solar_F4_Export reading]]-BV36)*225000&lt;=0,"",(RD[[#This Row],[32kV_Solar_F4_Export reading]]-BV36)*225000)</f>
        <v>173924.99999999913</v>
      </c>
      <c r="CN37" s="64">
        <f>IF((RD[[#This Row],[33kV_OG1_Export reading]]-BW36)*1000&lt;=0,0,(RD[[#This Row],[33kV_OG1_Export reading]]-BW36)*1000)</f>
        <v>553000</v>
      </c>
      <c r="CO37" s="64">
        <f>IFERROR(IF((RD[[#This Row],[33kV_OG2_Export reading]]-BX36)*1000&lt;=0,0,(RD[[#This Row],[33kV_OG2_Export reading]]-BX36)*1000),0)</f>
        <v>560000</v>
      </c>
      <c r="CP37" s="74">
        <f>IF((RD[[#This Row],[220kV_TX1_Export reading]]-BY36)*800000&lt;=0,0,(RD[[#This Row],[220kV_TX1_Export reading]]-BY36)*800000)</f>
        <v>547199.99999999802</v>
      </c>
      <c r="CQ37" s="186">
        <f>IF((RD[[#This Row],[220kV_Tx2_Export reading]]-BZ36)*800000&lt;=0,0,(RD[[#This Row],[220kV_Tx2_Export reading]]-BZ36)*800000)</f>
        <v>553599.99999999441</v>
      </c>
      <c r="CR37" s="64">
        <f>IF((RD[[#This Row],[220kV_TL_TVM Export Reading]]-CA36)*1600000&lt;=0,0,(RD[[#This Row],[220kV_TL_TVM Export Reading]]-CA36)*1600000)</f>
        <v>1105600.0000000494</v>
      </c>
      <c r="CS37" s="64">
        <f>IF((RD[[#This Row],[220kV_C&amp;R_PQM reading]]-CB36)*1600000&lt;=0,"",(RD[[#This Row],[220kV_C&amp;R_PQM reading]]-CB36)*1600000)</f>
        <v>1105600.000000004</v>
      </c>
      <c r="CT37" s="186">
        <f>IFERROR(IF((RD[[#This Row],[220KV_C&amp;R_PQM Import Reading]]-CC36)*1600000&lt;=0,0,(RD[[#This Row],[220KV_C&amp;R_PQM Import Reading]]-CC36)*1600000),"")</f>
        <v>0</v>
      </c>
      <c r="CU37" s="64">
        <f>IF((RD[[#This Row],[33kV_Aux1 Import Reading]]-CD36)*1000&lt;=0,"",(RD[[#This Row],[33kV_Aux1 Import Reading]]-CD36)*1000)</f>
        <v>400.00000000003411</v>
      </c>
      <c r="CV37" s="64" t="str">
        <f>IF((RD[[#This Row],[33kV_Aux2_Import reading]]-CE36)*1000&lt;=0,"",(RD[[#This Row],[33kV_Aux2_Import reading]]-CE36)*1000)</f>
        <v/>
      </c>
      <c r="CW37" s="64">
        <f>IFERROR(RD[[#This Row],[33kV_OG1_Energy (MWh)]]+RD[[#This Row],[33kV_OG2_Energy (MWh)]],"")</f>
        <v>1113000</v>
      </c>
      <c r="CX37" s="72">
        <f>IFERROR(RD[[#This Row],[220kV_TL_TVM Energy (MWh)]]-RD[[#This Row],[220KV_C&amp;R_PQM Import (MWh)]],"")</f>
        <v>1105600.0000000494</v>
      </c>
      <c r="CY37" s="187">
        <f>IFERROR(RD[[#This Row],[33 kV Total Export (MWH)]]/RD[[#This Row],[220 KV Net Export (MWh)]]-1,"")</f>
        <v>6.69319826334136E-3</v>
      </c>
      <c r="CZ37" s="188">
        <f t="shared" si="80"/>
        <v>50.6</v>
      </c>
      <c r="DA37" s="189">
        <v>97</v>
      </c>
      <c r="DB37" s="190"/>
      <c r="DC37" s="68">
        <f>IFERROR((RD[[#This Row],[Sunset Time (POA&lt;20 W/m2)]]-RD[[#This Row],[Sunrise Time (POA&gt;20 W/m2)]])*24,0)</f>
        <v>12.066666666666666</v>
      </c>
      <c r="DD37" s="70">
        <f>SUM(RD[[#This Row],[33 kV_Wind_F3_Export_Reading3]],CJ37,CK37,CL37,CM37)</f>
        <v>780300.0000000007</v>
      </c>
      <c r="DE37" s="68">
        <v>140</v>
      </c>
      <c r="DF37" s="70">
        <f t="shared" si="68"/>
        <v>333135.00000000559</v>
      </c>
      <c r="DG37" s="70">
        <v>334.67</v>
      </c>
      <c r="DH37">
        <f>'WTG Reactive Power'!AB35</f>
        <v>13262.300000000001</v>
      </c>
    </row>
    <row r="38" spans="1:112">
      <c r="A38" s="173">
        <f>YEAR(RD[[#This Row],[Date]])+IF(MONTH(RD[[#This Row],[Date]])&gt;=4,1,0)</f>
        <v>2026</v>
      </c>
      <c r="B38" s="173">
        <f>YEAR(RD[[#This Row],[Date]])</f>
        <v>2025</v>
      </c>
      <c r="C38" s="174">
        <f t="shared" si="72"/>
        <v>45778</v>
      </c>
      <c r="D38" s="173">
        <f>DAY(EOMONTH(RD[[#This Row],[Date]],0))</f>
        <v>31</v>
      </c>
      <c r="E38" s="175">
        <f t="shared" si="73"/>
        <v>45778</v>
      </c>
      <c r="F38" s="326">
        <v>0.26527777777777778</v>
      </c>
      <c r="G38" s="326">
        <v>0.76666666666666661</v>
      </c>
      <c r="H38" s="177">
        <v>14828</v>
      </c>
      <c r="I38" s="177">
        <v>14629</v>
      </c>
      <c r="J38" s="177">
        <v>14855</v>
      </c>
      <c r="K38" s="177">
        <v>12349</v>
      </c>
      <c r="L38" s="177">
        <v>13455</v>
      </c>
      <c r="M38" s="177">
        <v>13808</v>
      </c>
      <c r="N38" s="177">
        <v>14080</v>
      </c>
      <c r="O38" s="177">
        <v>14946</v>
      </c>
      <c r="P38" s="177">
        <v>13244</v>
      </c>
      <c r="Q38" s="177">
        <v>13420</v>
      </c>
      <c r="R38" s="177">
        <v>13730</v>
      </c>
      <c r="S38" s="177">
        <v>14586</v>
      </c>
      <c r="T38" s="177">
        <v>13997</v>
      </c>
      <c r="U38" s="177">
        <v>13494</v>
      </c>
      <c r="V38" s="177">
        <v>15792</v>
      </c>
      <c r="W38" s="177">
        <v>14828</v>
      </c>
      <c r="X38" s="177">
        <v>15483</v>
      </c>
      <c r="Y38" s="177">
        <v>12268</v>
      </c>
      <c r="Z38" s="177">
        <v>12950</v>
      </c>
      <c r="AA38" s="177">
        <v>12449</v>
      </c>
      <c r="AB38" s="177">
        <v>12701</v>
      </c>
      <c r="AC38" s="177">
        <v>12424</v>
      </c>
      <c r="AD38" s="177">
        <v>12843</v>
      </c>
      <c r="AE38" s="71">
        <v>5.402158620689657</v>
      </c>
      <c r="AF38" s="71">
        <v>5.4346965517241355</v>
      </c>
      <c r="AG38" s="71">
        <v>5.5437931034482739</v>
      </c>
      <c r="AH38" s="71">
        <v>4.9366206896551716</v>
      </c>
      <c r="AI38" s="71">
        <v>5.2483034482758608</v>
      </c>
      <c r="AJ38" s="71">
        <v>5.2449241379310347</v>
      </c>
      <c r="AK38" s="71">
        <v>5.2937034482758616</v>
      </c>
      <c r="AL38" s="71">
        <v>5.3839241379310332</v>
      </c>
      <c r="AM38" s="71">
        <v>5.3247448275862039</v>
      </c>
      <c r="AN38" s="71">
        <v>5.1283724137930999</v>
      </c>
      <c r="AO38" s="71">
        <v>5.3754275862069045</v>
      </c>
      <c r="AP38" s="71">
        <v>5.2927793103448257</v>
      </c>
      <c r="AQ38" s="71">
        <v>5.2881862068965484</v>
      </c>
      <c r="AR38" s="71">
        <v>5.1955931034482754</v>
      </c>
      <c r="AS38" s="71">
        <v>5.8545862068965508</v>
      </c>
      <c r="AT38" s="71">
        <v>5.4567310344827575</v>
      </c>
      <c r="AU38" s="71">
        <v>5.5794344827586198</v>
      </c>
      <c r="AV38" s="71">
        <v>5.131558620689658</v>
      </c>
      <c r="AW38" s="71">
        <v>5.263910344827587</v>
      </c>
      <c r="AX38" s="71">
        <v>5.1459999999999964</v>
      </c>
      <c r="AY38" s="71">
        <v>5.4618344827586212</v>
      </c>
      <c r="AZ38" s="71">
        <v>5.3012965517241346</v>
      </c>
      <c r="BA38" s="71">
        <v>5.2310206896551712</v>
      </c>
      <c r="BB38" s="178">
        <f t="shared" si="74"/>
        <v>140101</v>
      </c>
      <c r="BC38" s="179">
        <f t="shared" si="75"/>
        <v>30311</v>
      </c>
      <c r="BD38" s="180">
        <f t="shared" si="70"/>
        <v>105453</v>
      </c>
      <c r="BE38" s="179">
        <f t="shared" si="76"/>
        <v>12268</v>
      </c>
      <c r="BF38" s="179">
        <f t="shared" si="71"/>
        <v>29026</v>
      </c>
      <c r="BG38" s="179">
        <f>SUM(RD[[#This Row],[KUD01]:[KUD23]])</f>
        <v>317159</v>
      </c>
      <c r="BH38" s="181">
        <f t="shared" si="77"/>
        <v>5.349080689655171</v>
      </c>
      <c r="BI38" s="182">
        <f t="shared" si="78"/>
        <v>5.5180827586206886</v>
      </c>
      <c r="BJ38" s="182">
        <f t="shared" si="79"/>
        <v>5.2861068965517219</v>
      </c>
      <c r="BK38" s="183">
        <f t="shared" si="81"/>
        <v>5.131558620689658</v>
      </c>
      <c r="BL38" s="61">
        <f>IFERROR(AVERAGEIF(RD[[#This Row],[WS_KUD07]:[WS_KUD08]],"&lt;&gt;0",RD[[#This Row],[WS_KUD07]:[WS_KUD08]]),"")</f>
        <v>5.3388137931034478</v>
      </c>
      <c r="BM38" s="184">
        <f>IFERROR(AVERAGE(RD[[#This Row],[WS_KUD01]:[WS_KUD23]]),"")</f>
        <v>5.3269391304347824</v>
      </c>
      <c r="BN38" s="185">
        <f>IFERROR(MAX(RD[[#This Row],[WS_KUD01]:[WS_KUD23]]),"")</f>
        <v>5.8545862068965508</v>
      </c>
      <c r="BO38" s="73">
        <v>640.30499999999995</v>
      </c>
      <c r="BP38" s="73">
        <v>891.86800000000005</v>
      </c>
      <c r="BQ38" s="73">
        <v>63.186999999999998</v>
      </c>
      <c r="BR38" s="73">
        <v>223.68899999999999</v>
      </c>
      <c r="BS38" s="73">
        <v>178.846</v>
      </c>
      <c r="BT38" s="73">
        <v>287.87400000000002</v>
      </c>
      <c r="BU38" s="73"/>
      <c r="BV38" s="73">
        <v>77.741</v>
      </c>
      <c r="BW38" s="73">
        <v>190855</v>
      </c>
      <c r="BX38" s="73">
        <v>251489</v>
      </c>
      <c r="BY38" s="73">
        <v>123.955</v>
      </c>
      <c r="BZ38" s="73">
        <v>73.545000000000002</v>
      </c>
      <c r="CA38" s="73">
        <v>274.29300000000001</v>
      </c>
      <c r="CB38" s="73">
        <v>99.37</v>
      </c>
      <c r="CC38" s="73">
        <v>0.113</v>
      </c>
      <c r="CD38" s="73">
        <v>293.75900000000001</v>
      </c>
      <c r="CE38" s="73">
        <v>0</v>
      </c>
      <c r="CF38" s="64" t="str">
        <f>IF((RD[[#This Row],[33 kV_Wind_F1_Export reading]]-BO37)*165000&lt;=0,"",(RD[[#This Row],[33 kV_Wind_F1_Export reading]]-BO37)*165000)</f>
        <v/>
      </c>
      <c r="CG38" s="64">
        <f>IF((RD[[#This Row],[33 kV_Wind_F2_Export_reading]]-BP37)*165000&lt;=0,"",(RD[[#This Row],[33 kV_Wind_F2_Export_reading]]-BP37)*165000)</f>
        <v>155430.00000000119</v>
      </c>
      <c r="CH38" s="64">
        <f>IF((RD[[#This Row],[33 kV_Wind_F3_Export_Reading]]-BQ37)*225000&lt;=0,"",(RD[[#This Row],[33 kV_Wind_F3_Export_Reading]]-BQ37)*225000)</f>
        <v>250874.99999999884</v>
      </c>
      <c r="CI38" s="64">
        <f>IF((RD[[#This Row],[33 kV_Wind_F4_Export Reading]]-BR37)*165000&lt;=0,"",(RD[[#This Row],[33 kV_Wind_F4_Export Reading]]-BR37)*165000)</f>
        <v>150315.00000000023</v>
      </c>
      <c r="CJ38" s="74">
        <f>IF((RD[[#This Row],[33 kV_Solar_F1_Export Reading]]-BS37)*225000&lt;=0,"",(RD[[#This Row],[33 kV_Solar_F1_Export Reading]]-BS37)*225000)</f>
        <v>204975.00000000032</v>
      </c>
      <c r="CK38" s="74">
        <f>IF((RD[[#This Row],[33kV_Solar_F2_Export Reading]]-BT37)*225000&lt;=0,"",(RD[[#This Row],[33kV_Solar_F2_Export Reading]]-BT37)*225000)</f>
        <v>193275.00000000838</v>
      </c>
      <c r="CL38" s="186" t="str">
        <f>IF((RD[[#This Row],[33 kV_Solar_F3_Export reading]]-BU37)*225000&lt;=0,"",(RD[[#This Row],[33 kV_Solar_F3_Export reading]]-BU37)*225000)</f>
        <v/>
      </c>
      <c r="CM38" s="63">
        <f>IF((RD[[#This Row],[32kV_Solar_F4_Export reading]]-BV37)*225000&lt;=0,"",(RD[[#This Row],[32kV_Solar_F4_Export reading]]-BV37)*225000)</f>
        <v>191474.9999999998</v>
      </c>
      <c r="CN38" s="64">
        <f>IF((RD[[#This Row],[33kV_OG1_Export reading]]-BW37)*1000&lt;=0,0,(RD[[#This Row],[33kV_OG1_Export reading]]-BW37)*1000)</f>
        <v>590000</v>
      </c>
      <c r="CO38" s="64">
        <f>IFERROR(IF((RD[[#This Row],[33kV_OG2_Export reading]]-BX37)*1000&lt;=0,0,(RD[[#This Row],[33kV_OG2_Export reading]]-BX37)*1000),0)</f>
        <v>557000</v>
      </c>
      <c r="CP38" s="74">
        <f>IF((RD[[#This Row],[220kV_TX1_Export reading]]-BY37)*800000&lt;=0,0,(RD[[#This Row],[220kV_TX1_Export reading]]-BY37)*800000)</f>
        <v>583199.99999999942</v>
      </c>
      <c r="CQ38" s="186">
        <f>IF((RD[[#This Row],[220kV_Tx2_Export reading]]-BZ37)*800000&lt;=0,0,(RD[[#This Row],[220kV_Tx2_Export reading]]-BZ37)*800000)</f>
        <v>544000.00000000547</v>
      </c>
      <c r="CR38" s="64">
        <f>IF((RD[[#This Row],[220kV_TL_TVM Export Reading]]-CA37)*1600000&lt;=0,0,(RD[[#This Row],[220kV_TL_TVM Export Reading]]-CA37)*1600000)</f>
        <v>1135999.9999999672</v>
      </c>
      <c r="CS38" s="64">
        <f>IF((RD[[#This Row],[220kV_C&amp;R_PQM reading]]-CB37)*1600000&lt;=0,"",(RD[[#This Row],[220kV_C&amp;R_PQM reading]]-CB37)*1600000)</f>
        <v>1139200.0000000054</v>
      </c>
      <c r="CT38" s="186">
        <f>IFERROR(IF((RD[[#This Row],[220KV_C&amp;R_PQM Import Reading]]-CC37)*1600000&lt;=0,0,(RD[[#This Row],[220KV_C&amp;R_PQM Import Reading]]-CC37)*1600000),"")</f>
        <v>0</v>
      </c>
      <c r="CU38" s="64">
        <f>IF((RD[[#This Row],[33kV_Aux1 Import Reading]]-CD37)*1000&lt;=0,"",(RD[[#This Row],[33kV_Aux1 Import Reading]]-CD37)*1000)</f>
        <v>430.00000000000682</v>
      </c>
      <c r="CV38" s="64" t="str">
        <f>IF((RD[[#This Row],[33kV_Aux2_Import reading]]-CE37)*1000&lt;=0,"",(RD[[#This Row],[33kV_Aux2_Import reading]]-CE37)*1000)</f>
        <v/>
      </c>
      <c r="CW38" s="64">
        <f>IFERROR(RD[[#This Row],[33kV_OG1_Energy (MWh)]]+RD[[#This Row],[33kV_OG2_Energy (MWh)]],"")</f>
        <v>1147000</v>
      </c>
      <c r="CX38" s="72">
        <f>IFERROR(RD[[#This Row],[220kV_TL_TVM Energy (MWh)]]-RD[[#This Row],[220KV_C&amp;R_PQM Import (MWh)]],"")</f>
        <v>1135999.9999999672</v>
      </c>
      <c r="CY38" s="187">
        <f>IFERROR(RD[[#This Row],[33 kV Total Export (MWH)]]/RD[[#This Row],[220 KV Net Export (MWh)]]-1,"")</f>
        <v>9.683098591578565E-3</v>
      </c>
      <c r="CZ38" s="188">
        <f t="shared" si="80"/>
        <v>50.6</v>
      </c>
      <c r="DA38" s="189">
        <v>97</v>
      </c>
      <c r="DB38" s="190"/>
      <c r="DC38" s="68">
        <f>IFERROR((RD[[#This Row],[Sunset Time (POA&lt;20 W/m2)]]-RD[[#This Row],[Sunrise Time (POA&gt;20 W/m2)]])*24,0)</f>
        <v>12.033333333333333</v>
      </c>
      <c r="DD38" s="70">
        <f>SUM(RD[[#This Row],[33 kV_Wind_F3_Export_Reading3]],CJ38,CK38,CL38,CM38)</f>
        <v>840600.00000000733</v>
      </c>
      <c r="DE38" s="68">
        <v>140</v>
      </c>
      <c r="DF38" s="70">
        <f t="shared" si="68"/>
        <v>305745.0000000014</v>
      </c>
      <c r="DG38" s="70">
        <v>317.83</v>
      </c>
      <c r="DH38">
        <f>'WTG Reactive Power'!AB36</f>
        <v>15156.600000000002</v>
      </c>
    </row>
    <row r="39" spans="1:112">
      <c r="A39" s="173">
        <f>YEAR(RD[[#This Row],[Date]])+IF(MONTH(RD[[#This Row],[Date]])&gt;=4,1,0)</f>
        <v>2026</v>
      </c>
      <c r="B39" s="173">
        <f>YEAR(RD[[#This Row],[Date]])</f>
        <v>2025</v>
      </c>
      <c r="C39" s="174">
        <f t="shared" si="72"/>
        <v>45778</v>
      </c>
      <c r="D39" s="173">
        <f>DAY(EOMONTH(RD[[#This Row],[Date]],0))</f>
        <v>31</v>
      </c>
      <c r="E39" s="175">
        <f t="shared" si="73"/>
        <v>45779</v>
      </c>
      <c r="F39" s="326">
        <v>0.26180555555555557</v>
      </c>
      <c r="G39" s="326">
        <v>0.76736111111111116</v>
      </c>
      <c r="H39" s="177">
        <v>11584</v>
      </c>
      <c r="I39" s="177">
        <v>11581</v>
      </c>
      <c r="J39" s="177">
        <v>9836</v>
      </c>
      <c r="K39" s="177">
        <v>8432</v>
      </c>
      <c r="L39" s="177">
        <v>9539</v>
      </c>
      <c r="M39" s="177">
        <v>9306</v>
      </c>
      <c r="N39" s="177">
        <v>9821</v>
      </c>
      <c r="O39" s="177">
        <v>10481</v>
      </c>
      <c r="P39" s="177">
        <v>8829</v>
      </c>
      <c r="Q39" s="177">
        <v>9511</v>
      </c>
      <c r="R39" s="177">
        <v>9514</v>
      </c>
      <c r="S39" s="177">
        <v>9597</v>
      </c>
      <c r="T39" s="177">
        <v>9405</v>
      </c>
      <c r="U39" s="177">
        <v>8826</v>
      </c>
      <c r="V39" s="177">
        <v>12231</v>
      </c>
      <c r="W39" s="177">
        <v>12209</v>
      </c>
      <c r="X39" s="177">
        <v>12270</v>
      </c>
      <c r="Y39" s="177">
        <v>9915</v>
      </c>
      <c r="Z39" s="177">
        <v>10073</v>
      </c>
      <c r="AA39" s="177">
        <v>8352</v>
      </c>
      <c r="AB39" s="177">
        <v>9822</v>
      </c>
      <c r="AC39" s="177">
        <v>9236</v>
      </c>
      <c r="AD39" s="177">
        <v>10729</v>
      </c>
      <c r="AE39" s="71">
        <v>4.7864000000000004</v>
      </c>
      <c r="AF39" s="71">
        <v>4.9093999999999998</v>
      </c>
      <c r="AG39" s="71">
        <v>4.6815793103448273</v>
      </c>
      <c r="AH39" s="71">
        <v>4.3501241379310347</v>
      </c>
      <c r="AI39" s="71">
        <v>4.5397172413793134</v>
      </c>
      <c r="AJ39" s="71">
        <v>4.3621517241379273</v>
      </c>
      <c r="AK39" s="71">
        <v>4.5663931034482736</v>
      </c>
      <c r="AL39" s="71">
        <v>4.7148482758620673</v>
      </c>
      <c r="AM39" s="71">
        <v>4.5773448275862041</v>
      </c>
      <c r="AN39" s="71">
        <v>4.4480896551724118</v>
      </c>
      <c r="AO39" s="71">
        <v>4.5826137931034481</v>
      </c>
      <c r="AP39" s="71">
        <v>4.5089310344827593</v>
      </c>
      <c r="AQ39" s="71">
        <v>4.5266068965517263</v>
      </c>
      <c r="AR39" s="71">
        <v>4.5473787878787864</v>
      </c>
      <c r="AS39" s="71">
        <v>5.1013724137931025</v>
      </c>
      <c r="AT39" s="71">
        <v>4.9434551724137927</v>
      </c>
      <c r="AU39" s="71">
        <v>4.9807241379310367</v>
      </c>
      <c r="AV39" s="71">
        <v>4.6319310344827578</v>
      </c>
      <c r="AW39" s="71">
        <v>4.7373172413793112</v>
      </c>
      <c r="AX39" s="71">
        <v>4.4385310344827591</v>
      </c>
      <c r="AY39" s="71">
        <v>4.7607034482758639</v>
      </c>
      <c r="AZ39" s="71">
        <v>4.605793103448276</v>
      </c>
      <c r="BA39" s="71">
        <v>4.6575517241379316</v>
      </c>
      <c r="BB39" s="178">
        <f t="shared" si="74"/>
        <v>98929</v>
      </c>
      <c r="BC39" s="179">
        <f t="shared" si="75"/>
        <v>24479</v>
      </c>
      <c r="BD39" s="180">
        <f t="shared" si="70"/>
        <v>77474</v>
      </c>
      <c r="BE39" s="179">
        <f t="shared" si="76"/>
        <v>9915</v>
      </c>
      <c r="BF39" s="179">
        <f t="shared" si="71"/>
        <v>20302</v>
      </c>
      <c r="BG39" s="179">
        <f>SUM(RD[[#This Row],[KUD01]:[KUD23]])</f>
        <v>231099</v>
      </c>
      <c r="BH39" s="181">
        <f t="shared" si="77"/>
        <v>4.635882016718913</v>
      </c>
      <c r="BI39" s="182">
        <f t="shared" si="78"/>
        <v>4.9620896551724147</v>
      </c>
      <c r="BJ39" s="182">
        <f t="shared" si="79"/>
        <v>4.6044027586206893</v>
      </c>
      <c r="BK39" s="183">
        <f t="shared" si="81"/>
        <v>4.6319310344827578</v>
      </c>
      <c r="BL39" s="61">
        <f>IFERROR(AVERAGEIF(RD[[#This Row],[WS_KUD07]:[WS_KUD08]],"&lt;&gt;0",RD[[#This Row],[WS_KUD07]:[WS_KUD08]]),"")</f>
        <v>4.6406206896551705</v>
      </c>
      <c r="BM39" s="184">
        <f>IFERROR(AVERAGE(RD[[#This Row],[WS_KUD01]:[WS_KUD23]]),"")</f>
        <v>4.6503894825314616</v>
      </c>
      <c r="BN39" s="185">
        <f>IFERROR(MAX(RD[[#This Row],[WS_KUD01]:[WS_KUD23]]),"")</f>
        <v>5.1013724137931025</v>
      </c>
      <c r="BO39" s="172">
        <v>640.30499999999995</v>
      </c>
      <c r="BP39" s="172">
        <v>892.58100000000002</v>
      </c>
      <c r="BQ39" s="172">
        <v>64.266999999999996</v>
      </c>
      <c r="BR39" s="172">
        <v>224.34</v>
      </c>
      <c r="BS39" s="172">
        <v>179.74</v>
      </c>
      <c r="BT39" s="172">
        <v>288.709</v>
      </c>
      <c r="BU39" s="172"/>
      <c r="BV39" s="172">
        <v>78.569000000000003</v>
      </c>
      <c r="BW39" s="172">
        <v>191431</v>
      </c>
      <c r="BX39" s="172">
        <v>251954</v>
      </c>
      <c r="BY39" s="172">
        <v>124.667</v>
      </c>
      <c r="BZ39" s="172">
        <v>74.117999999999995</v>
      </c>
      <c r="CA39" s="172">
        <v>274.94099999999997</v>
      </c>
      <c r="CB39" s="172">
        <v>100.017</v>
      </c>
      <c r="CC39" s="172">
        <v>0.114</v>
      </c>
      <c r="CD39" s="172">
        <v>294.18900000000002</v>
      </c>
      <c r="CE39" s="172">
        <v>0</v>
      </c>
      <c r="CF39" s="64" t="str">
        <f>IF((RD[[#This Row],[33 kV_Wind_F1_Export reading]]-BO38)*165000&lt;=0,"",(RD[[#This Row],[33 kV_Wind_F1_Export reading]]-BO38)*165000)</f>
        <v/>
      </c>
      <c r="CG39" s="64">
        <f>IF((RD[[#This Row],[33 kV_Wind_F2_Export_reading]]-BP38)*165000&lt;=0,"",(RD[[#This Row],[33 kV_Wind_F2_Export_reading]]-BP38)*165000)</f>
        <v>117644.9999999943</v>
      </c>
      <c r="CH39" s="64">
        <f>IF((RD[[#This Row],[33 kV_Wind_F3_Export_Reading]]-BQ38)*225000&lt;=0,"",(RD[[#This Row],[33 kV_Wind_F3_Export_Reading]]-BQ38)*225000)</f>
        <v>242999.99999999962</v>
      </c>
      <c r="CI39" s="64">
        <f>IF((RD[[#This Row],[33 kV_Wind_F4_Export Reading]]-BR38)*165000&lt;=0,"",(RD[[#This Row],[33 kV_Wind_F4_Export Reading]]-BR38)*165000)</f>
        <v>107415.00000000173</v>
      </c>
      <c r="CJ39" s="74">
        <f>IF((RD[[#This Row],[33 kV_Solar_F1_Export Reading]]-BS38)*225000&lt;=0,"",(RD[[#This Row],[33 kV_Solar_F1_Export Reading]]-BS38)*225000)</f>
        <v>201150.00000000122</v>
      </c>
      <c r="CK39" s="74">
        <f>IF((RD[[#This Row],[33kV_Solar_F2_Export Reading]]-BT38)*225000&lt;=0,"",(RD[[#This Row],[33kV_Solar_F2_Export Reading]]-BT38)*225000)</f>
        <v>187874.9999999954</v>
      </c>
      <c r="CL39" s="186" t="str">
        <f>IF((RD[[#This Row],[33 kV_Solar_F3_Export reading]]-BU38)*225000&lt;=0,"",(RD[[#This Row],[33 kV_Solar_F3_Export reading]]-BU38)*225000)</f>
        <v/>
      </c>
      <c r="CM39" s="63">
        <f>IF((RD[[#This Row],[32kV_Solar_F4_Export reading]]-BV38)*225000&lt;=0,"",(RD[[#This Row],[32kV_Solar_F4_Export reading]]-BV38)*225000)</f>
        <v>186300.00000000067</v>
      </c>
      <c r="CN39" s="64">
        <f>IF((RD[[#This Row],[33kV_OG1_Export reading]]-BW38)*1000&lt;=0,0,(RD[[#This Row],[33kV_OG1_Export reading]]-BW38)*1000)</f>
        <v>576000</v>
      </c>
      <c r="CO39" s="64">
        <f>IFERROR(IF((RD[[#This Row],[33kV_OG2_Export reading]]-BX38)*1000&lt;=0,0,(RD[[#This Row],[33kV_OG2_Export reading]]-BX38)*1000),0)</f>
        <v>465000</v>
      </c>
      <c r="CP39" s="74">
        <f>IF((RD[[#This Row],[220kV_TX1_Export reading]]-BY38)*800000&lt;=0,0,(RD[[#This Row],[220kV_TX1_Export reading]]-BY38)*800000)</f>
        <v>569600.00000000268</v>
      </c>
      <c r="CQ39" s="186">
        <f>IF((RD[[#This Row],[220kV_Tx2_Export reading]]-BZ38)*800000&lt;=0,0,(RD[[#This Row],[220kV_Tx2_Export reading]]-BZ38)*800000)</f>
        <v>458399.99999999464</v>
      </c>
      <c r="CR39" s="64">
        <f>IF((RD[[#This Row],[220kV_TL_TVM Export Reading]]-CA38)*1600000&lt;=0,0,(RD[[#This Row],[220kV_TL_TVM Export Reading]]-CA38)*1600000)</f>
        <v>1036799.9999999483</v>
      </c>
      <c r="CS39" s="64">
        <f>IF((RD[[#This Row],[220kV_C&amp;R_PQM reading]]-CB38)*1600000&lt;=0,"",(RD[[#This Row],[220kV_C&amp;R_PQM reading]]-CB38)*1600000)</f>
        <v>1035199.9999999861</v>
      </c>
      <c r="CT39" s="186">
        <f>IFERROR(IF((RD[[#This Row],[220KV_C&amp;R_PQM Import Reading]]-CC38)*1600000&lt;=0,0,(RD[[#This Row],[220KV_C&amp;R_PQM Import Reading]]-CC38)*1600000),"")</f>
        <v>1600.0000000000014</v>
      </c>
      <c r="CU39" s="64">
        <f>IF((RD[[#This Row],[33kV_Aux1 Import Reading]]-CD38)*1000&lt;=0,"",(RD[[#This Row],[33kV_Aux1 Import Reading]]-CD38)*1000)</f>
        <v>430.00000000000682</v>
      </c>
      <c r="CV39" s="64" t="str">
        <f>IF((RD[[#This Row],[33kV_Aux2_Import reading]]-CE38)*1000&lt;=0,"",(RD[[#This Row],[33kV_Aux2_Import reading]]-CE38)*1000)</f>
        <v/>
      </c>
      <c r="CW39" s="64">
        <f>IFERROR(RD[[#This Row],[33kV_OG1_Energy (MWh)]]+RD[[#This Row],[33kV_OG2_Energy (MWh)]],"")</f>
        <v>1041000</v>
      </c>
      <c r="CX39" s="72">
        <f>IFERROR(RD[[#This Row],[220kV_TL_TVM Energy (MWh)]]-RD[[#This Row],[220KV_C&amp;R_PQM Import (MWh)]],"")</f>
        <v>1035199.9999999483</v>
      </c>
      <c r="CY39" s="187">
        <f>IFERROR(RD[[#This Row],[33 kV Total Export (MWH)]]/RD[[#This Row],[220 KV Net Export (MWh)]]-1,"")</f>
        <v>5.6027820711475051E-3</v>
      </c>
      <c r="CZ39" s="188">
        <f t="shared" si="80"/>
        <v>50.6</v>
      </c>
      <c r="DA39" s="189">
        <v>97</v>
      </c>
      <c r="DB39" s="190"/>
      <c r="DC39" s="68">
        <f>IFERROR((RD[[#This Row],[Sunset Time (POA&lt;20 W/m2)]]-RD[[#This Row],[Sunrise Time (POA&gt;20 W/m2)]])*24,0)</f>
        <v>12.133333333333333</v>
      </c>
      <c r="DD39" s="70">
        <f>SUM(RD[[#This Row],[33 kV_Wind_F3_Export_Reading3]],CJ39,CK39,CL39,CM39)</f>
        <v>818324.99999999697</v>
      </c>
      <c r="DE39" s="68">
        <v>140</v>
      </c>
      <c r="DF39" s="70">
        <f t="shared" si="68"/>
        <v>225059.99999999604</v>
      </c>
      <c r="DG39" s="70">
        <v>232.32</v>
      </c>
      <c r="DH39">
        <f>'WTG Reactive Power'!AB37</f>
        <v>9561.7000000000007</v>
      </c>
    </row>
    <row r="40" spans="1:112">
      <c r="A40" s="173">
        <f>YEAR(RD[[#This Row],[Date]])+IF(MONTH(RD[[#This Row],[Date]])&gt;=4,1,0)</f>
        <v>2026</v>
      </c>
      <c r="B40" s="173">
        <f>YEAR(RD[[#This Row],[Date]])</f>
        <v>2025</v>
      </c>
      <c r="C40" s="174">
        <f t="shared" si="72"/>
        <v>45778</v>
      </c>
      <c r="D40" s="173">
        <f>DAY(EOMONTH(RD[[#This Row],[Date]],0))</f>
        <v>31</v>
      </c>
      <c r="E40" s="175">
        <f t="shared" si="73"/>
        <v>45780</v>
      </c>
      <c r="F40" s="326">
        <v>0.30416666666666664</v>
      </c>
      <c r="G40" s="326">
        <v>0.76597222222222228</v>
      </c>
      <c r="H40" s="177">
        <v>15451</v>
      </c>
      <c r="I40" s="177">
        <v>15572</v>
      </c>
      <c r="J40" s="177">
        <v>14282</v>
      </c>
      <c r="K40" s="177">
        <v>12428</v>
      </c>
      <c r="L40" s="177">
        <v>12805</v>
      </c>
      <c r="M40" s="177">
        <v>12956</v>
      </c>
      <c r="N40" s="177">
        <v>12933</v>
      </c>
      <c r="O40" s="177">
        <v>13781</v>
      </c>
      <c r="P40" s="177">
        <v>12469</v>
      </c>
      <c r="Q40" s="177">
        <v>12513</v>
      </c>
      <c r="R40" s="177">
        <v>12862</v>
      </c>
      <c r="S40" s="177">
        <v>13719</v>
      </c>
      <c r="T40" s="177">
        <v>12220</v>
      </c>
      <c r="U40" s="177">
        <v>12474</v>
      </c>
      <c r="V40" s="177">
        <v>15492</v>
      </c>
      <c r="W40" s="177">
        <v>17153</v>
      </c>
      <c r="X40" s="177">
        <v>15488</v>
      </c>
      <c r="Y40" s="177">
        <v>13003</v>
      </c>
      <c r="Z40" s="177">
        <v>12292</v>
      </c>
      <c r="AA40" s="177">
        <v>11413</v>
      </c>
      <c r="AB40" s="177">
        <v>13823</v>
      </c>
      <c r="AC40" s="177">
        <v>12029</v>
      </c>
      <c r="AD40" s="177">
        <v>14028</v>
      </c>
      <c r="AE40" s="71">
        <v>5.5536137931034473</v>
      </c>
      <c r="AF40" s="71">
        <v>5.6249034482758606</v>
      </c>
      <c r="AG40" s="71">
        <v>5.5920137931034457</v>
      </c>
      <c r="AH40" s="71">
        <v>5.1437793103448266</v>
      </c>
      <c r="AI40" s="71">
        <v>5.2554137931034477</v>
      </c>
      <c r="AJ40" s="71">
        <v>5.2810000000000006</v>
      </c>
      <c r="AK40" s="71">
        <v>5.3060896551724159</v>
      </c>
      <c r="AL40" s="71">
        <v>5.5103517241379318</v>
      </c>
      <c r="AM40" s="71">
        <v>5.3333103448275869</v>
      </c>
      <c r="AN40" s="71">
        <v>5.1531103448275886</v>
      </c>
      <c r="AO40" s="71">
        <v>5.413606896551725</v>
      </c>
      <c r="AP40" s="71">
        <v>5.3184413793103467</v>
      </c>
      <c r="AQ40" s="71">
        <v>5.1606344827586206</v>
      </c>
      <c r="AR40" s="71">
        <v>5.1637724137931036</v>
      </c>
      <c r="AS40" s="71">
        <v>5.7601655172413828</v>
      </c>
      <c r="AT40" s="71">
        <v>5.7745793103448282</v>
      </c>
      <c r="AU40" s="71">
        <v>5.6330137931034514</v>
      </c>
      <c r="AV40" s="71">
        <v>5.2665172413793098</v>
      </c>
      <c r="AW40" s="71">
        <v>5.2189172413793088</v>
      </c>
      <c r="AX40" s="71">
        <v>5.0993999999999984</v>
      </c>
      <c r="AY40" s="71">
        <v>5.6325347222222213</v>
      </c>
      <c r="AZ40" s="71">
        <v>5.2693931034482766</v>
      </c>
      <c r="BA40" s="71">
        <v>5.4928928571428584</v>
      </c>
      <c r="BB40" s="178">
        <f t="shared" si="74"/>
        <v>132718</v>
      </c>
      <c r="BC40" s="179">
        <f t="shared" si="75"/>
        <v>32641</v>
      </c>
      <c r="BD40" s="180">
        <f t="shared" si="70"/>
        <v>106110</v>
      </c>
      <c r="BE40" s="179">
        <f t="shared" si="76"/>
        <v>13003</v>
      </c>
      <c r="BF40" s="179">
        <f t="shared" si="71"/>
        <v>26714</v>
      </c>
      <c r="BG40" s="179">
        <f>SUM(RD[[#This Row],[KUD01]:[KUD23]])</f>
        <v>311186</v>
      </c>
      <c r="BH40" s="181">
        <f t="shared" si="77"/>
        <v>5.343367586206897</v>
      </c>
      <c r="BI40" s="182">
        <f t="shared" si="78"/>
        <v>5.7037965517241398</v>
      </c>
      <c r="BJ40" s="182">
        <f t="shared" si="79"/>
        <v>5.3849668958675432</v>
      </c>
      <c r="BK40" s="183">
        <f t="shared" si="81"/>
        <v>5.2665172413793098</v>
      </c>
      <c r="BL40" s="61">
        <f>IFERROR(AVERAGEIF(RD[[#This Row],[WS_KUD07]:[WS_KUD08]],"&lt;&gt;0",RD[[#This Row],[WS_KUD07]:[WS_KUD08]]),"")</f>
        <v>5.4082206896551739</v>
      </c>
      <c r="BM40" s="184">
        <f>IFERROR(AVERAGE(RD[[#This Row],[WS_KUD01]:[WS_KUD23]]),"")</f>
        <v>5.3894545724161729</v>
      </c>
      <c r="BN40" s="185">
        <f>IFERROR(MAX(RD[[#This Row],[WS_KUD01]:[WS_KUD23]]),"")</f>
        <v>5.7745793103448282</v>
      </c>
      <c r="BO40" s="172">
        <v>640.30499999999995</v>
      </c>
      <c r="BP40" s="172">
        <v>893.54200000000003</v>
      </c>
      <c r="BQ40" s="172">
        <v>65.11</v>
      </c>
      <c r="BR40" s="172">
        <v>225.2</v>
      </c>
      <c r="BS40" s="172">
        <v>180.49100000000001</v>
      </c>
      <c r="BT40" s="172">
        <v>289.45699999999999</v>
      </c>
      <c r="BU40" s="172"/>
      <c r="BV40" s="172">
        <v>79.197000000000003</v>
      </c>
      <c r="BW40" s="172">
        <v>191909</v>
      </c>
      <c r="BX40" s="172">
        <v>252444</v>
      </c>
      <c r="BY40" s="172">
        <v>125.259</v>
      </c>
      <c r="BZ40" s="172">
        <v>74.715000000000003</v>
      </c>
      <c r="CA40" s="172">
        <v>275.541</v>
      </c>
      <c r="CB40" s="172">
        <v>100.61799999999999</v>
      </c>
      <c r="CC40" s="172">
        <v>0.114</v>
      </c>
      <c r="CD40" s="172">
        <v>294.55900000000003</v>
      </c>
      <c r="CE40" s="172">
        <v>0</v>
      </c>
      <c r="CF40" s="64" t="str">
        <f>IF((RD[[#This Row],[33 kV_Wind_F1_Export reading]]-BO39)*165000&lt;=0,"",(RD[[#This Row],[33 kV_Wind_F1_Export reading]]-BO39)*165000)</f>
        <v/>
      </c>
      <c r="CG40" s="64">
        <f>IF((RD[[#This Row],[33 kV_Wind_F2_Export_reading]]-BP39)*165000&lt;=0,"",(RD[[#This Row],[33 kV_Wind_F2_Export_reading]]-BP39)*165000)</f>
        <v>158565.0000000021</v>
      </c>
      <c r="CH40" s="64">
        <f>IF((RD[[#This Row],[33 kV_Wind_F3_Export_Reading]]-BQ39)*225000&lt;=0,"",(RD[[#This Row],[33 kV_Wind_F3_Export_Reading]]-BQ39)*225000)</f>
        <v>189675.00000000079</v>
      </c>
      <c r="CI40" s="64">
        <f>IF((RD[[#This Row],[33 kV_Wind_F4_Export Reading]]-BR39)*165000&lt;=0,"",(RD[[#This Row],[33 kV_Wind_F4_Export Reading]]-BR39)*165000)</f>
        <v>141899.99999999756</v>
      </c>
      <c r="CJ40" s="74">
        <f>IF((RD[[#This Row],[33 kV_Solar_F1_Export Reading]]-BS39)*225000&lt;=0,"",(RD[[#This Row],[33 kV_Solar_F1_Export Reading]]-BS39)*225000)</f>
        <v>168975.00000000108</v>
      </c>
      <c r="CK40" s="74">
        <f>IF((RD[[#This Row],[33kV_Solar_F2_Export Reading]]-BT39)*225000&lt;=0,"",(RD[[#This Row],[33kV_Solar_F2_Export Reading]]-BT39)*225000)</f>
        <v>168299.99999999785</v>
      </c>
      <c r="CL40" s="186" t="str">
        <f>IF((RD[[#This Row],[33 kV_Solar_F3_Export reading]]-BU39)*225000&lt;=0,"",(RD[[#This Row],[33 kV_Solar_F3_Export reading]]-BU39)*225000)</f>
        <v/>
      </c>
      <c r="CM40" s="63">
        <f>IF((RD[[#This Row],[32kV_Solar_F4_Export reading]]-BV39)*225000&lt;=0,"",(RD[[#This Row],[32kV_Solar_F4_Export reading]]-BV39)*225000)</f>
        <v>141300.00000000003</v>
      </c>
      <c r="CN40" s="64">
        <f>IF((RD[[#This Row],[33kV_OG1_Export reading]]-BW39)*1000&lt;=0,0,(RD[[#This Row],[33kV_OG1_Export reading]]-BW39)*1000)</f>
        <v>478000</v>
      </c>
      <c r="CO40" s="64">
        <f>IFERROR(IF((RD[[#This Row],[33kV_OG2_Export reading]]-BX39)*1000&lt;=0,0,(RD[[#This Row],[33kV_OG2_Export reading]]-BX39)*1000),0)</f>
        <v>490000</v>
      </c>
      <c r="CP40" s="74">
        <f>IF((RD[[#This Row],[220kV_TX1_Export reading]]-BY39)*800000&lt;=0,0,(RD[[#This Row],[220kV_TX1_Export reading]]-BY39)*800000)</f>
        <v>473599.99999999901</v>
      </c>
      <c r="CQ40" s="186">
        <f>IF((RD[[#This Row],[220kV_Tx2_Export reading]]-BZ39)*800000&lt;=0,0,(RD[[#This Row],[220kV_Tx2_Export reading]]-BZ39)*800000)</f>
        <v>477600.00000000675</v>
      </c>
      <c r="CR40" s="64">
        <f>IF((RD[[#This Row],[220kV_TL_TVM Export Reading]]-CA39)*1600000&lt;=0,0,(RD[[#This Row],[220kV_TL_TVM Export Reading]]-CA39)*1600000)</f>
        <v>960000.00000003632</v>
      </c>
      <c r="CS40" s="64">
        <f>IF((RD[[#This Row],[220kV_C&amp;R_PQM reading]]-CB39)*1600000&lt;=0,"",(RD[[#This Row],[220kV_C&amp;R_PQM reading]]-CB39)*1600000)</f>
        <v>961599.9999999986</v>
      </c>
      <c r="CT40" s="186">
        <f>IFERROR(IF((RD[[#This Row],[220KV_C&amp;R_PQM Import Reading]]-CC39)*1600000&lt;=0,0,(RD[[#This Row],[220KV_C&amp;R_PQM Import Reading]]-CC39)*1600000),"")</f>
        <v>0</v>
      </c>
      <c r="CU40" s="64">
        <f>IF((RD[[#This Row],[33kV_Aux1 Import Reading]]-CD39)*1000&lt;=0,"",(RD[[#This Row],[33kV_Aux1 Import Reading]]-CD39)*1000)</f>
        <v>370.00000000000455</v>
      </c>
      <c r="CV40" s="64" t="str">
        <f>IF((RD[[#This Row],[33kV_Aux2_Import reading]]-CE39)*1000&lt;=0,"",(RD[[#This Row],[33kV_Aux2_Import reading]]-CE39)*1000)</f>
        <v/>
      </c>
      <c r="CW40" s="64">
        <f>IFERROR(RD[[#This Row],[33kV_OG1_Energy (MWh)]]+RD[[#This Row],[33kV_OG2_Energy (MWh)]],"")</f>
        <v>968000</v>
      </c>
      <c r="CX40" s="72">
        <f>IFERROR(RD[[#This Row],[220kV_TL_TVM Energy (MWh)]]-RD[[#This Row],[220KV_C&amp;R_PQM Import (MWh)]],"")</f>
        <v>960000.00000003632</v>
      </c>
      <c r="CY40" s="187">
        <f>IFERROR(RD[[#This Row],[33 kV Total Export (MWH)]]/RD[[#This Row],[220 KV Net Export (MWh)]]-1,"")</f>
        <v>8.3333333332951121E-3</v>
      </c>
      <c r="CZ40" s="188">
        <f t="shared" si="80"/>
        <v>50.6</v>
      </c>
      <c r="DA40" s="189">
        <v>96</v>
      </c>
      <c r="DB40" s="190"/>
      <c r="DC40" s="68">
        <f>IFERROR((RD[[#This Row],[Sunset Time (POA&lt;20 W/m2)]]-RD[[#This Row],[Sunrise Time (POA&gt;20 W/m2)]])*24,0)</f>
        <v>11.083333333333336</v>
      </c>
      <c r="DD40" s="70">
        <f>SUM(RD[[#This Row],[33 kV_Wind_F3_Export_Reading3]],CJ40,CK40,CL40,CM40)</f>
        <v>668249.99999999977</v>
      </c>
      <c r="DE40" s="68">
        <v>140</v>
      </c>
      <c r="DF40" s="70">
        <f t="shared" ref="DF40:DF94" si="82">SUM(CG40,CI40)</f>
        <v>300464.99999999965</v>
      </c>
      <c r="DG40" s="70">
        <v>302.2</v>
      </c>
      <c r="DH40">
        <f>'WTG Reactive Power'!AB38</f>
        <v>20011.7</v>
      </c>
    </row>
    <row r="41" spans="1:112">
      <c r="A41" s="173">
        <f>YEAR(RD[[#This Row],[Date]])+IF(MONTH(RD[[#This Row],[Date]])&gt;=4,1,0)</f>
        <v>2026</v>
      </c>
      <c r="B41" s="173">
        <f>YEAR(RD[[#This Row],[Date]])</f>
        <v>2025</v>
      </c>
      <c r="C41" s="174">
        <f t="shared" si="72"/>
        <v>45778</v>
      </c>
      <c r="D41" s="173">
        <f>DAY(EOMONTH(RD[[#This Row],[Date]],0))</f>
        <v>31</v>
      </c>
      <c r="E41" s="175">
        <f t="shared" si="73"/>
        <v>45781</v>
      </c>
      <c r="F41" s="176">
        <v>0.28333333333333333</v>
      </c>
      <c r="G41" s="176">
        <v>0.76458333333333328</v>
      </c>
      <c r="H41" s="177">
        <v>17864</v>
      </c>
      <c r="I41" s="177">
        <v>17151</v>
      </c>
      <c r="J41" s="177">
        <v>11955</v>
      </c>
      <c r="K41" s="177">
        <v>11735</v>
      </c>
      <c r="L41" s="177">
        <v>13455</v>
      </c>
      <c r="M41" s="177">
        <v>11870</v>
      </c>
      <c r="N41" s="177">
        <v>11924</v>
      </c>
      <c r="O41" s="177">
        <v>14110</v>
      </c>
      <c r="P41" s="177">
        <v>13220</v>
      </c>
      <c r="Q41" s="177">
        <v>13607</v>
      </c>
      <c r="R41" s="177">
        <v>13181</v>
      </c>
      <c r="S41" s="177">
        <v>13309</v>
      </c>
      <c r="T41" s="177">
        <v>14420</v>
      </c>
      <c r="U41" s="177">
        <v>13809</v>
      </c>
      <c r="V41" s="177">
        <v>15201</v>
      </c>
      <c r="W41" s="177">
        <v>17996</v>
      </c>
      <c r="X41" s="177">
        <v>18387</v>
      </c>
      <c r="Y41" s="177">
        <v>14694</v>
      </c>
      <c r="Z41" s="177">
        <v>15810</v>
      </c>
      <c r="AA41" s="177">
        <v>12310</v>
      </c>
      <c r="AB41" s="177">
        <v>15484</v>
      </c>
      <c r="AC41" s="177">
        <v>15232</v>
      </c>
      <c r="AD41" s="177">
        <v>17474</v>
      </c>
      <c r="AE41" s="71">
        <v>5.9703006993006982</v>
      </c>
      <c r="AF41" s="71">
        <v>5.9399999999999977</v>
      </c>
      <c r="AG41" s="71">
        <v>5.4355999999999991</v>
      </c>
      <c r="AH41" s="71">
        <v>5.3100349650349656</v>
      </c>
      <c r="AI41" s="71">
        <v>5.6028041958041968</v>
      </c>
      <c r="AJ41" s="71">
        <v>5.4018601398601431</v>
      </c>
      <c r="AK41" s="71">
        <v>5.4626713286713269</v>
      </c>
      <c r="AL41" s="71">
        <v>5.6054615384615367</v>
      </c>
      <c r="AM41" s="71">
        <v>5.5804265734265712</v>
      </c>
      <c r="AN41" s="71">
        <v>5.4496875000000014</v>
      </c>
      <c r="AO41" s="71">
        <v>5.6289172413793098</v>
      </c>
      <c r="AP41" s="71">
        <v>5.5216993006993036</v>
      </c>
      <c r="AQ41" s="71">
        <v>5.5558137931034484</v>
      </c>
      <c r="AR41" s="71">
        <v>5.4035655172413808</v>
      </c>
      <c r="AS41" s="71">
        <v>6.370531034482755</v>
      </c>
      <c r="AT41" s="71">
        <v>5.9948028169014052</v>
      </c>
      <c r="AU41" s="71">
        <v>6.200447552447554</v>
      </c>
      <c r="AV41" s="71">
        <v>5.6996923076923087</v>
      </c>
      <c r="AW41" s="71">
        <v>5.8227272727272732</v>
      </c>
      <c r="AX41" s="71">
        <v>5.4159448275862019</v>
      </c>
      <c r="AY41" s="71">
        <v>6.028153846153848</v>
      </c>
      <c r="AZ41" s="71">
        <v>5.8894615384615374</v>
      </c>
      <c r="BA41" s="71">
        <v>5.9169160839160817</v>
      </c>
      <c r="BB41" s="178">
        <f t="shared" si="74"/>
        <v>141466</v>
      </c>
      <c r="BC41" s="179">
        <f t="shared" si="75"/>
        <v>36383</v>
      </c>
      <c r="BD41" s="180">
        <f t="shared" si="70"/>
        <v>115621</v>
      </c>
      <c r="BE41" s="179">
        <f t="shared" si="76"/>
        <v>14694</v>
      </c>
      <c r="BF41" s="179">
        <f t="shared" si="71"/>
        <v>26034</v>
      </c>
      <c r="BG41" s="179">
        <f>SUM(RD[[#This Row],[KUD01]:[KUD23]])</f>
        <v>334198</v>
      </c>
      <c r="BH41" s="181">
        <f t="shared" si="77"/>
        <v>5.6574787186520368</v>
      </c>
      <c r="BI41" s="182">
        <f t="shared" si="78"/>
        <v>6.0976251846744791</v>
      </c>
      <c r="BJ41" s="182">
        <f t="shared" si="79"/>
        <v>5.6737790209790209</v>
      </c>
      <c r="BK41" s="183">
        <f t="shared" si="81"/>
        <v>5.6996923076923087</v>
      </c>
      <c r="BL41" s="61">
        <f>IFERROR(AVERAGEIF(RD[[#This Row],[WS_KUD07]:[WS_KUD08]],"&lt;&gt;0",RD[[#This Row],[WS_KUD07]:[WS_KUD08]]),"")</f>
        <v>5.5340664335664318</v>
      </c>
      <c r="BM41" s="184">
        <f>IFERROR(AVERAGE(RD[[#This Row],[WS_KUD01]:[WS_KUD23]]),"")</f>
        <v>5.7046747857979065</v>
      </c>
      <c r="BN41" s="185">
        <f>IFERROR(MAX(RD[[#This Row],[WS_KUD01]:[WS_KUD23]]),"")</f>
        <v>6.370531034482755</v>
      </c>
      <c r="BO41" s="73">
        <v>640.30499999999995</v>
      </c>
      <c r="BP41" s="73">
        <v>894.58299999999997</v>
      </c>
      <c r="BQ41" s="73">
        <v>66.209000000000003</v>
      </c>
      <c r="BR41" s="73">
        <v>226.11500000000001</v>
      </c>
      <c r="BS41" s="73">
        <v>181.40199999999999</v>
      </c>
      <c r="BT41" s="73">
        <v>290.30700000000002</v>
      </c>
      <c r="BU41" s="73"/>
      <c r="BV41" s="73">
        <v>80.034000000000006</v>
      </c>
      <c r="BW41" s="73">
        <v>192494</v>
      </c>
      <c r="BX41" s="73">
        <v>253015</v>
      </c>
      <c r="BY41" s="73">
        <v>125.982</v>
      </c>
      <c r="BZ41" s="73">
        <v>75.414000000000001</v>
      </c>
      <c r="CA41" s="73">
        <v>276.25700000000001</v>
      </c>
      <c r="CB41" s="73">
        <v>101.33499999999999</v>
      </c>
      <c r="CC41" s="73">
        <v>0.115</v>
      </c>
      <c r="CD41" s="73">
        <v>294.92899999999997</v>
      </c>
      <c r="CE41" s="73">
        <v>0</v>
      </c>
      <c r="CF41" s="64" t="str">
        <f>IF((RD[[#This Row],[33 kV_Wind_F1_Export reading]]-BO40)*165000&lt;=0,"",(RD[[#This Row],[33 kV_Wind_F1_Export reading]]-BO40)*165000)</f>
        <v/>
      </c>
      <c r="CG41" s="64">
        <f>IF((RD[[#This Row],[33 kV_Wind_F2_Export_reading]]-BP40)*165000&lt;=0,"",(RD[[#This Row],[33 kV_Wind_F2_Export_reading]]-BP40)*165000)</f>
        <v>171764.9999999901</v>
      </c>
      <c r="CH41" s="64">
        <f>IF((RD[[#This Row],[33 kV_Wind_F3_Export_Reading]]-BQ40)*225000&lt;=0,"",(RD[[#This Row],[33 kV_Wind_F3_Export_Reading]]-BQ40)*225000)</f>
        <v>247275.00000000084</v>
      </c>
      <c r="CI41" s="64">
        <f>IF((RD[[#This Row],[33 kV_Wind_F4_Export Reading]]-BR40)*165000&lt;=0,"",(RD[[#This Row],[33 kV_Wind_F4_Export Reading]]-BR40)*165000)</f>
        <v>150975.00000000338</v>
      </c>
      <c r="CJ41" s="74">
        <f>IF((RD[[#This Row],[33 kV_Solar_F1_Export Reading]]-BS40)*225000&lt;=0,"",(RD[[#This Row],[33 kV_Solar_F1_Export Reading]]-BS40)*225000)</f>
        <v>204974.99999999392</v>
      </c>
      <c r="CK41" s="74">
        <f>IF((RD[[#This Row],[33kV_Solar_F2_Export Reading]]-BT40)*225000&lt;=0,"",(RD[[#This Row],[33kV_Solar_F2_Export Reading]]-BT40)*225000)</f>
        <v>191250.00000000512</v>
      </c>
      <c r="CL41" s="186" t="str">
        <f>IF((RD[[#This Row],[33 kV_Solar_F3_Export reading]]-BU40)*225000&lt;=0,"",(RD[[#This Row],[33 kV_Solar_F3_Export reading]]-BU40)*225000)</f>
        <v/>
      </c>
      <c r="CM41" s="63">
        <f>IF((RD[[#This Row],[32kV_Solar_F4_Export reading]]-BV40)*225000&lt;=0,"",(RD[[#This Row],[32kV_Solar_F4_Export reading]]-BV40)*225000)</f>
        <v>188325.00000000073</v>
      </c>
      <c r="CN41" s="64">
        <f>IF((RD[[#This Row],[33kV_OG1_Export reading]]-BW40)*1000&lt;=0,0,(RD[[#This Row],[33kV_OG1_Export reading]]-BW40)*1000)</f>
        <v>585000</v>
      </c>
      <c r="CO41" s="64">
        <f>IFERROR(IF((RD[[#This Row],[33kV_OG2_Export reading]]-BX40)*1000&lt;=0,0,(RD[[#This Row],[33kV_OG2_Export reading]]-BX40)*1000),0)</f>
        <v>571000</v>
      </c>
      <c r="CP41" s="74">
        <f>IF((RD[[#This Row],[220kV_TX1_Export reading]]-BY40)*800000&lt;=0,0,(RD[[#This Row],[220kV_TX1_Export reading]]-BY40)*800000)</f>
        <v>578399.99999999919</v>
      </c>
      <c r="CQ41" s="186">
        <f>IF((RD[[#This Row],[220kV_Tx2_Export reading]]-BZ40)*800000&lt;=0,0,(RD[[#This Row],[220kV_Tx2_Export reading]]-BZ40)*800000)</f>
        <v>559199.99999999849</v>
      </c>
      <c r="CR41" s="64">
        <f>IF((RD[[#This Row],[220kV_TL_TVM Export Reading]]-CA40)*1600000&lt;=0,0,(RD[[#This Row],[220kV_TL_TVM Export Reading]]-CA40)*1600000)</f>
        <v>1145600.000000013</v>
      </c>
      <c r="CS41" s="64">
        <f>IF((RD[[#This Row],[220kV_C&amp;R_PQM reading]]-CB40)*1600000&lt;=0,"",(RD[[#This Row],[220kV_C&amp;R_PQM reading]]-CB40)*1600000)</f>
        <v>1147199.9999999979</v>
      </c>
      <c r="CT41" s="186">
        <f>IFERROR(IF((RD[[#This Row],[220KV_C&amp;R_PQM Import Reading]]-CC40)*1600000&lt;=0,0,(RD[[#This Row],[220KV_C&amp;R_PQM Import Reading]]-CC40)*1600000),"")</f>
        <v>1600.0000000000014</v>
      </c>
      <c r="CU41" s="64">
        <f>IF((RD[[#This Row],[33kV_Aux1 Import Reading]]-CD40)*1000&lt;=0,"",(RD[[#This Row],[33kV_Aux1 Import Reading]]-CD40)*1000)</f>
        <v>369.9999999999477</v>
      </c>
      <c r="CV41" s="64" t="str">
        <f>IF((RD[[#This Row],[33kV_Aux2_Import reading]]-CE40)*1000&lt;=0,"",(RD[[#This Row],[33kV_Aux2_Import reading]]-CE40)*1000)</f>
        <v/>
      </c>
      <c r="CW41" s="64">
        <f>IFERROR(RD[[#This Row],[33kV_OG1_Energy (MWh)]]+RD[[#This Row],[33kV_OG2_Energy (MWh)]],"")</f>
        <v>1156000</v>
      </c>
      <c r="CX41" s="72">
        <f>IFERROR(RD[[#This Row],[220kV_TL_TVM Energy (MWh)]]-RD[[#This Row],[220KV_C&amp;R_PQM Import (MWh)]],"")</f>
        <v>1144000.000000013</v>
      </c>
      <c r="CY41" s="187">
        <f>IFERROR(RD[[#This Row],[33 kV Total Export (MWH)]]/RD[[#This Row],[220 KV Net Export (MWh)]]-1,"")</f>
        <v>1.0489510489498866E-2</v>
      </c>
      <c r="CZ41" s="188">
        <f t="shared" si="80"/>
        <v>50.6</v>
      </c>
      <c r="DA41" s="189">
        <v>96</v>
      </c>
      <c r="DB41" s="190"/>
      <c r="DC41" s="68">
        <f>IFERROR((RD[[#This Row],[Sunset Time (POA&lt;20 W/m2)]]-RD[[#This Row],[Sunrise Time (POA&gt;20 W/m2)]])*24,0)</f>
        <v>11.549999999999999</v>
      </c>
      <c r="DD41" s="70">
        <f>SUM(RD[[#This Row],[33 kV_Wind_F3_Export_Reading3]],CJ41,CK41,CL41,CM41)</f>
        <v>831825.00000000058</v>
      </c>
      <c r="DE41" s="68">
        <v>140</v>
      </c>
      <c r="DF41" s="70">
        <f t="shared" si="82"/>
        <v>322739.99999999348</v>
      </c>
      <c r="DG41" s="70">
        <v>341.49</v>
      </c>
      <c r="DH41">
        <f>'WTG Reactive Power'!AB39</f>
        <v>83886.799999999988</v>
      </c>
    </row>
    <row r="42" spans="1:112">
      <c r="A42" s="173">
        <f>YEAR(RD[[#This Row],[Date]])+IF(MONTH(RD[[#This Row],[Date]])&gt;=4,1,0)</f>
        <v>2026</v>
      </c>
      <c r="B42" s="173">
        <f>YEAR(RD[[#This Row],[Date]])</f>
        <v>2025</v>
      </c>
      <c r="C42" s="174">
        <f t="shared" si="72"/>
        <v>45778</v>
      </c>
      <c r="D42" s="173">
        <f>DAY(EOMONTH(RD[[#This Row],[Date]],0))</f>
        <v>31</v>
      </c>
      <c r="E42" s="175">
        <f t="shared" si="73"/>
        <v>45782</v>
      </c>
      <c r="F42" s="204">
        <v>0.25972222222222224</v>
      </c>
      <c r="G42" s="204">
        <v>0.76597222222222228</v>
      </c>
      <c r="H42" s="177">
        <v>13856</v>
      </c>
      <c r="I42" s="177">
        <v>11897</v>
      </c>
      <c r="J42" s="177">
        <v>12195</v>
      </c>
      <c r="K42" s="177">
        <v>10427</v>
      </c>
      <c r="L42" s="177">
        <v>10758</v>
      </c>
      <c r="M42" s="177">
        <v>11122</v>
      </c>
      <c r="N42" s="177">
        <v>11292</v>
      </c>
      <c r="O42" s="177">
        <v>9120</v>
      </c>
      <c r="P42" s="177">
        <v>11132</v>
      </c>
      <c r="Q42" s="177">
        <v>10081</v>
      </c>
      <c r="R42" s="177">
        <v>11014</v>
      </c>
      <c r="S42" s="177">
        <v>11474</v>
      </c>
      <c r="T42" s="177">
        <v>11375</v>
      </c>
      <c r="U42" s="177">
        <v>11161</v>
      </c>
      <c r="V42" s="177">
        <v>5409</v>
      </c>
      <c r="W42" s="177">
        <v>14202</v>
      </c>
      <c r="X42" s="177">
        <v>13120</v>
      </c>
      <c r="Y42" s="177">
        <v>11439</v>
      </c>
      <c r="Z42" s="177">
        <v>10961</v>
      </c>
      <c r="AA42" s="177">
        <v>9154</v>
      </c>
      <c r="AB42" s="177">
        <v>10379</v>
      </c>
      <c r="AC42" s="177">
        <v>12045</v>
      </c>
      <c r="AD42" s="177">
        <v>11092</v>
      </c>
      <c r="AE42" s="71">
        <v>5.1566689655172393</v>
      </c>
      <c r="AF42" s="71">
        <v>4.8760758620689684</v>
      </c>
      <c r="AG42" s="71">
        <v>4.9431724137931035</v>
      </c>
      <c r="AH42" s="71">
        <v>4.67510344827586</v>
      </c>
      <c r="AI42" s="71">
        <v>4.7746482758620683</v>
      </c>
      <c r="AJ42" s="71">
        <v>4.7745724137931029</v>
      </c>
      <c r="AK42" s="71">
        <v>4.810013793103451</v>
      </c>
      <c r="AL42" s="71">
        <v>4.7983448275862068</v>
      </c>
      <c r="AM42" s="71">
        <v>4.9877034482758624</v>
      </c>
      <c r="AN42" s="71">
        <v>4.5218551724137948</v>
      </c>
      <c r="AO42" s="71">
        <v>4.9681931034482734</v>
      </c>
      <c r="AP42" s="71">
        <v>4.8138482758620693</v>
      </c>
      <c r="AQ42" s="71">
        <v>4.8625517241379308</v>
      </c>
      <c r="AR42" s="71">
        <v>4.7191034482758614</v>
      </c>
      <c r="AS42" s="71">
        <v>5.3054748201438864</v>
      </c>
      <c r="AT42" s="71">
        <v>5.1840758620689629</v>
      </c>
      <c r="AU42" s="71">
        <v>5.128572413793103</v>
      </c>
      <c r="AV42" s="71">
        <v>4.8882137931034491</v>
      </c>
      <c r="AW42" s="71">
        <v>4.9160689655172423</v>
      </c>
      <c r="AX42" s="71">
        <v>4.6928984374999994</v>
      </c>
      <c r="AY42" s="71">
        <v>4.9472689655172397</v>
      </c>
      <c r="AZ42" s="71">
        <v>5.1007586206896596</v>
      </c>
      <c r="BA42" s="71">
        <v>4.8544827586206898</v>
      </c>
      <c r="BB42" s="178">
        <f t="shared" si="74"/>
        <v>106680</v>
      </c>
      <c r="BC42" s="179">
        <f t="shared" si="75"/>
        <v>27322</v>
      </c>
      <c r="BD42" s="180">
        <f t="shared" si="70"/>
        <v>88852</v>
      </c>
      <c r="BE42" s="179">
        <f t="shared" si="76"/>
        <v>11439</v>
      </c>
      <c r="BF42" s="179">
        <f t="shared" si="71"/>
        <v>20412</v>
      </c>
      <c r="BG42" s="179">
        <f>SUM(RD[[#This Row],[KUD01]:[KUD23]])</f>
        <v>254705</v>
      </c>
      <c r="BH42" s="181">
        <f t="shared" si="77"/>
        <v>4.8899835326609402</v>
      </c>
      <c r="BI42" s="182">
        <f t="shared" si="78"/>
        <v>5.1563241379310334</v>
      </c>
      <c r="BJ42" s="182">
        <f t="shared" si="79"/>
        <v>4.8598972413793105</v>
      </c>
      <c r="BK42" s="183">
        <f t="shared" si="81"/>
        <v>4.8882137931034491</v>
      </c>
      <c r="BL42" s="61">
        <f>IFERROR(AVERAGEIF(RD[[#This Row],[WS_KUD07]:[WS_KUD08]],"&lt;&gt;0",RD[[#This Row],[WS_KUD07]:[WS_KUD08]]),"")</f>
        <v>4.8041793103448285</v>
      </c>
      <c r="BM42" s="184">
        <f>IFERROR(AVERAGE(RD[[#This Row],[WS_KUD01]:[WS_KUD23]]),"")</f>
        <v>4.8999856438855662</v>
      </c>
      <c r="BN42" s="185">
        <f>IFERROR(MAX(RD[[#This Row],[WS_KUD01]:[WS_KUD23]]),"")</f>
        <v>5.3054748201438864</v>
      </c>
      <c r="BO42" s="172">
        <v>640.30499999999995</v>
      </c>
      <c r="BP42" s="172">
        <v>895.39499999999998</v>
      </c>
      <c r="BQ42" s="172">
        <v>67.313999999999993</v>
      </c>
      <c r="BR42" s="172">
        <v>226.804</v>
      </c>
      <c r="BS42" s="172">
        <v>182.309</v>
      </c>
      <c r="BT42" s="172">
        <v>291.18599999999998</v>
      </c>
      <c r="BU42" s="172"/>
      <c r="BV42" s="172">
        <v>80.870999999999995</v>
      </c>
      <c r="BW42" s="172">
        <v>193084</v>
      </c>
      <c r="BX42" s="172">
        <v>253508</v>
      </c>
      <c r="BY42" s="172">
        <v>126.712</v>
      </c>
      <c r="BZ42" s="172">
        <v>76.025000000000006</v>
      </c>
      <c r="CA42" s="172">
        <v>276.93099999999998</v>
      </c>
      <c r="CB42" s="172">
        <v>102.008</v>
      </c>
      <c r="CC42" s="172">
        <v>0.115</v>
      </c>
      <c r="CD42" s="172">
        <v>295.339</v>
      </c>
      <c r="CE42" s="172">
        <v>0</v>
      </c>
      <c r="CF42" s="64" t="str">
        <f>IF((RD[[#This Row],[33 kV_Wind_F1_Export reading]]-BO41)*165000&lt;=0,"",(RD[[#This Row],[33 kV_Wind_F1_Export reading]]-BO41)*165000)</f>
        <v/>
      </c>
      <c r="CG42" s="64">
        <f>IF((RD[[#This Row],[33 kV_Wind_F2_Export_reading]]-BP41)*165000&lt;=0,"",(RD[[#This Row],[33 kV_Wind_F2_Export_reading]]-BP41)*165000)</f>
        <v>133980.00000000195</v>
      </c>
      <c r="CH42" s="64">
        <f>IF((RD[[#This Row],[33 kV_Wind_F3_Export_Reading]]-BQ41)*225000&lt;=0,"",(RD[[#This Row],[33 kV_Wind_F3_Export_Reading]]-BQ41)*225000)</f>
        <v>248624.9999999977</v>
      </c>
      <c r="CI42" s="64">
        <f>IF((RD[[#This Row],[33 kV_Wind_F4_Export Reading]]-BR41)*165000&lt;=0,"",(RD[[#This Row],[33 kV_Wind_F4_Export Reading]]-BR41)*165000)</f>
        <v>113684.99999999884</v>
      </c>
      <c r="CJ42" s="74">
        <f>IF((RD[[#This Row],[33 kV_Solar_F1_Export Reading]]-BS41)*225000&lt;=0,"",(RD[[#This Row],[33 kV_Solar_F1_Export Reading]]-BS41)*225000)</f>
        <v>204075.00000000242</v>
      </c>
      <c r="CK42" s="74">
        <f>IF((RD[[#This Row],[33kV_Solar_F2_Export Reading]]-BT41)*225000&lt;=0,"",(RD[[#This Row],[33kV_Solar_F2_Export Reading]]-BT41)*225000)</f>
        <v>197774.9999999915</v>
      </c>
      <c r="CL42" s="186" t="str">
        <f>IF((RD[[#This Row],[33 kV_Solar_F3_Export reading]]-BU41)*225000&lt;=0,"",(RD[[#This Row],[33 kV_Solar_F3_Export reading]]-BU41)*225000)</f>
        <v/>
      </c>
      <c r="CM42" s="63">
        <f>IF((RD[[#This Row],[32kV_Solar_F4_Export reading]]-BV41)*225000&lt;=0,"",(RD[[#This Row],[32kV_Solar_F4_Export reading]]-BV41)*225000)</f>
        <v>188324.99999999756</v>
      </c>
      <c r="CN42" s="64">
        <f>IF((RD[[#This Row],[33kV_OG1_Export reading]]-BW41)*1000&lt;=0,0,(RD[[#This Row],[33kV_OG1_Export reading]]-BW41)*1000)</f>
        <v>590000</v>
      </c>
      <c r="CO42" s="64">
        <f>IFERROR(IF((RD[[#This Row],[33kV_OG2_Export reading]]-BX41)*1000&lt;=0,0,(RD[[#This Row],[33kV_OG2_Export reading]]-BX41)*1000),0)</f>
        <v>493000</v>
      </c>
      <c r="CP42" s="74">
        <f>IF((RD[[#This Row],[220kV_TX1_Export reading]]-BY41)*800000&lt;=0,0,(RD[[#This Row],[220kV_TX1_Export reading]]-BY41)*800000)</f>
        <v>584000.00000000314</v>
      </c>
      <c r="CQ42" s="186">
        <f>IF((RD[[#This Row],[220kV_Tx2_Export reading]]-BZ41)*800000&lt;=0,0,(RD[[#This Row],[220kV_Tx2_Export reading]]-BZ41)*800000)</f>
        <v>488800.00000000338</v>
      </c>
      <c r="CR42" s="64">
        <f>IF((RD[[#This Row],[220kV_TL_TVM Export Reading]]-CA41)*1600000&lt;=0,0,(RD[[#This Row],[220kV_TL_TVM Export Reading]]-CA41)*1600000)</f>
        <v>1078399.9999999651</v>
      </c>
      <c r="CS42" s="64">
        <f>IF((RD[[#This Row],[220kV_C&amp;R_PQM reading]]-CB41)*1600000&lt;=0,"",(RD[[#This Row],[220kV_C&amp;R_PQM reading]]-CB41)*1600000)</f>
        <v>1076800.0000000028</v>
      </c>
      <c r="CT42" s="186">
        <f>IFERROR(IF((RD[[#This Row],[220KV_C&amp;R_PQM Import Reading]]-CC41)*1600000&lt;=0,0,(RD[[#This Row],[220KV_C&amp;R_PQM Import Reading]]-CC41)*1600000),"")</f>
        <v>0</v>
      </c>
      <c r="CU42" s="64">
        <f>IF((RD[[#This Row],[33kV_Aux1 Import Reading]]-CD41)*1000&lt;=0,"",(RD[[#This Row],[33kV_Aux1 Import Reading]]-CD41)*1000)</f>
        <v>410.00000000002501</v>
      </c>
      <c r="CV42" s="64" t="str">
        <f>IF((RD[[#This Row],[33kV_Aux2_Import reading]]-CE41)*1000&lt;=0,"",(RD[[#This Row],[33kV_Aux2_Import reading]]-CE41)*1000)</f>
        <v/>
      </c>
      <c r="CW42" s="64">
        <f>IFERROR(RD[[#This Row],[33kV_OG1_Energy (MWh)]]+RD[[#This Row],[33kV_OG2_Energy (MWh)]],"")</f>
        <v>1083000</v>
      </c>
      <c r="CX42" s="72">
        <f>IFERROR(RD[[#This Row],[220kV_TL_TVM Energy (MWh)]]-RD[[#This Row],[220KV_C&amp;R_PQM Import (MWh)]],"")</f>
        <v>1078399.9999999651</v>
      </c>
      <c r="CY42" s="187">
        <f>IFERROR(RD[[#This Row],[33 kV Total Export (MWH)]]/RD[[#This Row],[220 KV Net Export (MWh)]]-1,"")</f>
        <v>4.2655786350473957E-3</v>
      </c>
      <c r="CZ42" s="188">
        <f t="shared" si="80"/>
        <v>50.6</v>
      </c>
      <c r="DA42" s="189">
        <v>96</v>
      </c>
      <c r="DB42" s="190"/>
      <c r="DC42" s="68">
        <f>IFERROR((RD[[#This Row],[Sunset Time (POA&lt;20 W/m2)]]-RD[[#This Row],[Sunrise Time (POA&gt;20 W/m2)]])*24,0)</f>
        <v>12.150000000000002</v>
      </c>
      <c r="DD42" s="70">
        <f>SUM(RD[[#This Row],[33 kV_Wind_F3_Export_Reading3]],CJ42,CK42,CL42,CM42)</f>
        <v>838799.99999998917</v>
      </c>
      <c r="DE42" s="68">
        <v>140</v>
      </c>
      <c r="DF42" s="70">
        <f t="shared" si="82"/>
        <v>247665.00000000079</v>
      </c>
      <c r="DG42" s="70">
        <v>255.52</v>
      </c>
      <c r="DH42">
        <f>'WTG Reactive Power'!AB40</f>
        <v>10865.899999999996</v>
      </c>
    </row>
    <row r="43" spans="1:112">
      <c r="A43" s="173">
        <f>YEAR(RD[[#This Row],[Date]])+IF(MONTH(RD[[#This Row],[Date]])&gt;=4,1,0)</f>
        <v>2026</v>
      </c>
      <c r="B43" s="173">
        <f>YEAR(RD[[#This Row],[Date]])</f>
        <v>2025</v>
      </c>
      <c r="C43" s="174">
        <f t="shared" si="72"/>
        <v>45778</v>
      </c>
      <c r="D43" s="173">
        <f>DAY(EOMONTH(RD[[#This Row],[Date]],0))</f>
        <v>31</v>
      </c>
      <c r="E43" s="175">
        <f t="shared" si="73"/>
        <v>45783</v>
      </c>
      <c r="F43" s="204">
        <v>0.26250000000000001</v>
      </c>
      <c r="G43" s="204">
        <v>0.74652777777777779</v>
      </c>
      <c r="H43" s="177">
        <v>18672</v>
      </c>
      <c r="I43" s="177">
        <v>18446</v>
      </c>
      <c r="J43" s="177">
        <v>12837</v>
      </c>
      <c r="K43" s="177">
        <v>12887</v>
      </c>
      <c r="L43" s="177">
        <v>14149</v>
      </c>
      <c r="M43" s="177">
        <v>13250</v>
      </c>
      <c r="N43" s="177">
        <v>13491</v>
      </c>
      <c r="O43" s="177">
        <v>13440</v>
      </c>
      <c r="P43" s="177">
        <v>19257</v>
      </c>
      <c r="Q43" s="177">
        <v>15579</v>
      </c>
      <c r="R43" s="177">
        <v>12142</v>
      </c>
      <c r="S43" s="177">
        <v>18446</v>
      </c>
      <c r="T43" s="177">
        <v>12887</v>
      </c>
      <c r="U43" s="177">
        <v>14149</v>
      </c>
      <c r="V43" s="177">
        <v>13250</v>
      </c>
      <c r="W43" s="177">
        <v>13332</v>
      </c>
      <c r="X43" s="177">
        <v>13582</v>
      </c>
      <c r="Y43" s="177">
        <v>18909</v>
      </c>
      <c r="Z43" s="177">
        <v>18828</v>
      </c>
      <c r="AA43" s="177">
        <v>14763</v>
      </c>
      <c r="AB43" s="177">
        <v>16484</v>
      </c>
      <c r="AC43" s="177">
        <v>16123</v>
      </c>
      <c r="AD43" s="177">
        <v>17458</v>
      </c>
      <c r="AE43" s="71">
        <v>5.9210000000000003</v>
      </c>
      <c r="AF43" s="71">
        <v>5.9429999999999996</v>
      </c>
      <c r="AG43" s="71">
        <v>5.3819999999999997</v>
      </c>
      <c r="AH43" s="71">
        <v>5.2060000000000004</v>
      </c>
      <c r="AI43" s="71">
        <v>5.4169999999999998</v>
      </c>
      <c r="AJ43" s="71">
        <v>5.3259999999999996</v>
      </c>
      <c r="AK43" s="71">
        <v>5.36</v>
      </c>
      <c r="AL43" s="71">
        <v>5.4880000000000004</v>
      </c>
      <c r="AM43" s="71">
        <v>5.4930000000000003</v>
      </c>
      <c r="AN43" s="71">
        <v>5.3159999999999998</v>
      </c>
      <c r="AO43" s="71">
        <v>5.5049999999999999</v>
      </c>
      <c r="AP43" s="71">
        <v>5.2229999999999999</v>
      </c>
      <c r="AQ43" s="71">
        <v>5.3609999999999998</v>
      </c>
      <c r="AR43" s="71">
        <v>5.25</v>
      </c>
      <c r="AS43" s="71">
        <v>6.2889999999999997</v>
      </c>
      <c r="AT43" s="71">
        <v>6.01</v>
      </c>
      <c r="AU43" s="71">
        <v>5.9870000000000001</v>
      </c>
      <c r="AV43" s="71">
        <v>5.5810000000000004</v>
      </c>
      <c r="AW43" s="71">
        <v>5.681</v>
      </c>
      <c r="AX43" s="71">
        <v>5.2809999999999997</v>
      </c>
      <c r="AY43" s="71">
        <v>5.8339999999999996</v>
      </c>
      <c r="AZ43" s="71">
        <v>5.734</v>
      </c>
      <c r="BA43" s="71">
        <v>5.71</v>
      </c>
      <c r="BB43" s="178">
        <f t="shared" si="74"/>
        <v>151553</v>
      </c>
      <c r="BC43" s="179">
        <f t="shared" si="75"/>
        <v>26914</v>
      </c>
      <c r="BD43" s="180">
        <f t="shared" si="70"/>
        <v>128054</v>
      </c>
      <c r="BE43" s="179">
        <f t="shared" si="76"/>
        <v>18909</v>
      </c>
      <c r="BF43" s="179">
        <f t="shared" si="71"/>
        <v>26931</v>
      </c>
      <c r="BG43" s="179">
        <f>SUM(RD[[#This Row],[KUD01]:[KUD23]])</f>
        <v>352361</v>
      </c>
      <c r="BH43" s="181">
        <f t="shared" si="77"/>
        <v>5.5208999999999993</v>
      </c>
      <c r="BI43" s="182">
        <f t="shared" si="78"/>
        <v>5.9984999999999999</v>
      </c>
      <c r="BJ43" s="182">
        <f t="shared" si="79"/>
        <v>5.5511000000000008</v>
      </c>
      <c r="BK43" s="183">
        <f t="shared" si="81"/>
        <v>5.5810000000000004</v>
      </c>
      <c r="BL43" s="61">
        <f>IFERROR(AVERAGEIF(RD[[#This Row],[WS_KUD07]:[WS_KUD08]],"&lt;&gt;0",RD[[#This Row],[WS_KUD07]:[WS_KUD08]]),"")</f>
        <v>5.4240000000000004</v>
      </c>
      <c r="BM43" s="184">
        <f>IFERROR(AVERAGE(RD[[#This Row],[WS_KUD01]:[WS_KUD23]]),"")</f>
        <v>5.5781739130434795</v>
      </c>
      <c r="BN43" s="185">
        <f>IFERROR(MAX(RD[[#This Row],[WS_KUD01]:[WS_KUD23]]),"")</f>
        <v>6.2889999999999997</v>
      </c>
      <c r="BO43" s="172">
        <v>640.30499999999995</v>
      </c>
      <c r="BP43" s="172">
        <v>896.48400000000004</v>
      </c>
      <c r="BQ43" s="172">
        <v>68.367000000000004</v>
      </c>
      <c r="BR43" s="172">
        <v>227.721</v>
      </c>
      <c r="BS43" s="172">
        <v>183.191</v>
      </c>
      <c r="BT43" s="172">
        <v>292.00400000000002</v>
      </c>
      <c r="BU43" s="172"/>
      <c r="BV43" s="172">
        <v>81.673000000000002</v>
      </c>
      <c r="BW43" s="172">
        <v>193647</v>
      </c>
      <c r="BX43" s="172">
        <v>254077</v>
      </c>
      <c r="BY43" s="172">
        <v>127.408</v>
      </c>
      <c r="BZ43" s="172">
        <v>76.722999999999999</v>
      </c>
      <c r="CA43" s="172">
        <v>277.63200000000001</v>
      </c>
      <c r="CB43" s="172">
        <v>102.711</v>
      </c>
      <c r="CC43" s="172">
        <v>0.115</v>
      </c>
      <c r="CD43" s="172">
        <v>295.73899999999998</v>
      </c>
      <c r="CE43" s="172">
        <v>0</v>
      </c>
      <c r="CF43" s="64" t="str">
        <f>IF((RD[[#This Row],[33 kV_Wind_F1_Export reading]]-BO42)*165000&lt;=0,"",(RD[[#This Row],[33 kV_Wind_F1_Export reading]]-BO42)*165000)</f>
        <v/>
      </c>
      <c r="CG43" s="64">
        <f>IF((RD[[#This Row],[33 kV_Wind_F2_Export_reading]]-BP42)*165000&lt;=0,"",(RD[[#This Row],[33 kV_Wind_F2_Export_reading]]-BP42)*165000)</f>
        <v>179685.00000000917</v>
      </c>
      <c r="CH43" s="64">
        <f>IF((RD[[#This Row],[33 kV_Wind_F3_Export_Reading]]-BQ42)*225000&lt;=0,"",(RD[[#This Row],[33 kV_Wind_F3_Export_Reading]]-BQ42)*225000)</f>
        <v>236925.00000000259</v>
      </c>
      <c r="CI43" s="64">
        <f>IF((RD[[#This Row],[33 kV_Wind_F4_Export Reading]]-BR42)*165000&lt;=0,"",(RD[[#This Row],[33 kV_Wind_F4_Export Reading]]-BR42)*165000)</f>
        <v>151305.00000000026</v>
      </c>
      <c r="CJ43" s="74">
        <f>IF((RD[[#This Row],[33 kV_Solar_F1_Export Reading]]-BS42)*225000&lt;=0,"",(RD[[#This Row],[33 kV_Solar_F1_Export Reading]]-BS42)*225000)</f>
        <v>198450.00000000114</v>
      </c>
      <c r="CK43" s="74">
        <f>IF((RD[[#This Row],[33kV_Solar_F2_Export Reading]]-BT42)*225000&lt;=0,"",(RD[[#This Row],[33kV_Solar_F2_Export Reading]]-BT42)*225000)</f>
        <v>184050.00000000911</v>
      </c>
      <c r="CL43" s="186" t="str">
        <f>IF((RD[[#This Row],[33 kV_Solar_F3_Export reading]]-BU42)*225000&lt;=0,"",(RD[[#This Row],[33 kV_Solar_F3_Export reading]]-BU42)*225000)</f>
        <v/>
      </c>
      <c r="CM43" s="63">
        <f>IF((RD[[#This Row],[32kV_Solar_F4_Export reading]]-BV42)*225000&lt;=0,"",(RD[[#This Row],[32kV_Solar_F4_Export reading]]-BV42)*225000)</f>
        <v>180450.00000000151</v>
      </c>
      <c r="CN43" s="64">
        <f>IF((RD[[#This Row],[33kV_OG1_Export reading]]-BW42)*1000&lt;=0,0,(RD[[#This Row],[33kV_OG1_Export reading]]-BW42)*1000)</f>
        <v>563000</v>
      </c>
      <c r="CO43" s="64">
        <f>IFERROR(IF((RD[[#This Row],[33kV_OG2_Export reading]]-BX42)*1000&lt;=0,0,(RD[[#This Row],[33kV_OG2_Export reading]]-BX42)*1000),0)</f>
        <v>569000</v>
      </c>
      <c r="CP43" s="74">
        <f>IF((RD[[#This Row],[220kV_TX1_Export reading]]-BY42)*800000&lt;=0,0,(RD[[#This Row],[220kV_TX1_Export reading]]-BY42)*800000)</f>
        <v>556799.99999999837</v>
      </c>
      <c r="CQ43" s="186">
        <f>IF((RD[[#This Row],[220kV_Tx2_Export reading]]-BZ42)*800000&lt;=0,0,(RD[[#This Row],[220kV_Tx2_Export reading]]-BZ42)*800000)</f>
        <v>558399.99999999464</v>
      </c>
      <c r="CR43" s="64">
        <f>IF((RD[[#This Row],[220kV_TL_TVM Export Reading]]-CA42)*1600000&lt;=0,0,(RD[[#This Row],[220kV_TL_TVM Export Reading]]-CA42)*1600000)</f>
        <v>1121600.0000000349</v>
      </c>
      <c r="CS43" s="64">
        <f>IF((RD[[#This Row],[220kV_C&amp;R_PQM reading]]-CB42)*1600000&lt;=0,"",(RD[[#This Row],[220kV_C&amp;R_PQM reading]]-CB42)*1600000)</f>
        <v>1124800.0000000047</v>
      </c>
      <c r="CT43" s="186">
        <f>IFERROR(IF((RD[[#This Row],[220KV_C&amp;R_PQM Import Reading]]-CC42)*1600000&lt;=0,0,(RD[[#This Row],[220KV_C&amp;R_PQM Import Reading]]-CC42)*1600000),"")</f>
        <v>0</v>
      </c>
      <c r="CU43" s="64">
        <f>IF((RD[[#This Row],[33kV_Aux1 Import Reading]]-CD42)*1000&lt;=0,"",(RD[[#This Row],[33kV_Aux1 Import Reading]]-CD42)*1000)</f>
        <v>399.99999999997726</v>
      </c>
      <c r="CV43" s="64" t="str">
        <f>IF((RD[[#This Row],[33kV_Aux2_Import reading]]-CE42)*1000&lt;=0,"",(RD[[#This Row],[33kV_Aux2_Import reading]]-CE42)*1000)</f>
        <v/>
      </c>
      <c r="CW43" s="64">
        <f>IFERROR(RD[[#This Row],[33kV_OG1_Energy (MWh)]]+RD[[#This Row],[33kV_OG2_Energy (MWh)]],"")</f>
        <v>1132000</v>
      </c>
      <c r="CX43" s="72">
        <f>IFERROR(RD[[#This Row],[220kV_TL_TVM Energy (MWh)]]-RD[[#This Row],[220KV_C&amp;R_PQM Import (MWh)]],"")</f>
        <v>1121600.0000000349</v>
      </c>
      <c r="CY43" s="187">
        <f>IFERROR(RD[[#This Row],[33 kV Total Export (MWH)]]/RD[[#This Row],[220 KV Net Export (MWh)]]-1,"")</f>
        <v>9.2724679029643209E-3</v>
      </c>
      <c r="CZ43" s="188">
        <f t="shared" si="80"/>
        <v>50.6</v>
      </c>
      <c r="DA43" s="189">
        <v>96</v>
      </c>
      <c r="DB43" s="190"/>
      <c r="DC43" s="68">
        <f>IFERROR((RD[[#This Row],[Sunset Time (POA&lt;20 W/m2)]]-RD[[#This Row],[Sunrise Time (POA&gt;20 W/m2)]])*24,0)</f>
        <v>11.616666666666667</v>
      </c>
      <c r="DD43" s="70">
        <f>SUM(RD[[#This Row],[33 kV_Wind_F3_Export_Reading3]],CJ43,CK43,CL43,CM43)</f>
        <v>799875.00000001432</v>
      </c>
      <c r="DE43" s="68">
        <v>140</v>
      </c>
      <c r="DF43" s="70">
        <f t="shared" si="82"/>
        <v>330990.00000000943</v>
      </c>
      <c r="DG43" s="70">
        <v>345.81</v>
      </c>
      <c r="DH43">
        <f>'WTG Reactive Power'!AB41</f>
        <v>23746.7</v>
      </c>
    </row>
    <row r="44" spans="1:112">
      <c r="A44" s="173">
        <f>YEAR(RD[[#This Row],[Date]])+IF(MONTH(RD[[#This Row],[Date]])&gt;=4,1,0)</f>
        <v>2026</v>
      </c>
      <c r="B44" s="173">
        <f>YEAR(RD[[#This Row],[Date]])</f>
        <v>2025</v>
      </c>
      <c r="C44" s="174">
        <f t="shared" si="72"/>
        <v>45778</v>
      </c>
      <c r="D44" s="173">
        <f>DAY(EOMONTH(RD[[#This Row],[Date]],0))</f>
        <v>31</v>
      </c>
      <c r="E44" s="175">
        <f t="shared" si="73"/>
        <v>45784</v>
      </c>
      <c r="F44" s="204">
        <v>0.26180555555555557</v>
      </c>
      <c r="G44" s="204">
        <v>0.76527777777777783</v>
      </c>
      <c r="H44" s="177">
        <v>15061.9</v>
      </c>
      <c r="I44" s="177">
        <v>14771.5</v>
      </c>
      <c r="J44" s="177">
        <v>11602.4</v>
      </c>
      <c r="K44" s="177">
        <v>10491.1</v>
      </c>
      <c r="L44" s="177">
        <v>11202.7</v>
      </c>
      <c r="M44" s="177">
        <v>10879.8</v>
      </c>
      <c r="N44" s="177">
        <v>11509.5</v>
      </c>
      <c r="O44" s="177">
        <v>11300.9</v>
      </c>
      <c r="P44" s="177">
        <v>11025.5</v>
      </c>
      <c r="Q44" s="177">
        <v>11303.6</v>
      </c>
      <c r="R44" s="177">
        <v>10290.200000000001</v>
      </c>
      <c r="S44" s="177">
        <v>11536.9</v>
      </c>
      <c r="T44" s="177">
        <v>12171.7</v>
      </c>
      <c r="U44" s="177">
        <v>10826.9</v>
      </c>
      <c r="V44" s="177">
        <v>16555.400000000001</v>
      </c>
      <c r="W44" s="177">
        <v>16580.3</v>
      </c>
      <c r="X44" s="177">
        <v>15773.8</v>
      </c>
      <c r="Y44" s="177">
        <v>13009.2</v>
      </c>
      <c r="Z44" s="177">
        <v>12714.7</v>
      </c>
      <c r="AA44" s="177">
        <v>10172.5</v>
      </c>
      <c r="AB44" s="177">
        <v>12804.2</v>
      </c>
      <c r="AC44" s="177">
        <v>12778.4</v>
      </c>
      <c r="AD44" s="177">
        <v>14209.4</v>
      </c>
      <c r="AE44" s="169">
        <v>5.4</v>
      </c>
      <c r="AF44" s="169">
        <v>5.3</v>
      </c>
      <c r="AG44" s="169">
        <v>5</v>
      </c>
      <c r="AH44" s="169">
        <v>4.9000000000000004</v>
      </c>
      <c r="AI44" s="169">
        <v>5</v>
      </c>
      <c r="AJ44" s="169">
        <v>4.8</v>
      </c>
      <c r="AK44" s="169">
        <v>5</v>
      </c>
      <c r="AL44" s="169">
        <v>5.0999999999999996</v>
      </c>
      <c r="AM44" s="169">
        <v>5.0999999999999996</v>
      </c>
      <c r="AN44" s="169">
        <v>4.9000000000000004</v>
      </c>
      <c r="AO44" s="169">
        <v>5</v>
      </c>
      <c r="AP44" s="169">
        <v>5</v>
      </c>
      <c r="AQ44" s="169">
        <v>5.0999999999999996</v>
      </c>
      <c r="AR44" s="169">
        <v>4.9000000000000004</v>
      </c>
      <c r="AS44" s="169">
        <v>5.8</v>
      </c>
      <c r="AT44" s="169">
        <v>5.5</v>
      </c>
      <c r="AU44" s="169">
        <v>5.5</v>
      </c>
      <c r="AV44" s="169">
        <v>5.2</v>
      </c>
      <c r="AW44" s="169">
        <v>5.2</v>
      </c>
      <c r="AX44" s="169">
        <v>4.9000000000000004</v>
      </c>
      <c r="AY44" s="169">
        <v>5.3</v>
      </c>
      <c r="AZ44" s="169">
        <v>5.3</v>
      </c>
      <c r="BA44" s="169">
        <v>5.2</v>
      </c>
      <c r="BB44" s="178">
        <f t="shared" si="74"/>
        <v>122236.2</v>
      </c>
      <c r="BC44" s="179">
        <f t="shared" si="75"/>
        <v>32354.1</v>
      </c>
      <c r="BD44" s="180">
        <f t="shared" si="70"/>
        <v>98162.599999999991</v>
      </c>
      <c r="BE44" s="179">
        <f t="shared" si="76"/>
        <v>13009.2</v>
      </c>
      <c r="BF44" s="179">
        <f t="shared" si="71"/>
        <v>22810.400000000001</v>
      </c>
      <c r="BG44" s="179">
        <f>SUM(RD[[#This Row],[KUD01]:[KUD23]])</f>
        <v>288572.50000000006</v>
      </c>
      <c r="BH44" s="181">
        <f t="shared" si="77"/>
        <v>5.1199999999999992</v>
      </c>
      <c r="BI44" s="182">
        <f t="shared" si="78"/>
        <v>5.5</v>
      </c>
      <c r="BJ44" s="182">
        <f t="shared" si="79"/>
        <v>5.0999999999999996</v>
      </c>
      <c r="BK44" s="183">
        <f t="shared" si="81"/>
        <v>5.2</v>
      </c>
      <c r="BL44" s="61">
        <f>IFERROR(AVERAGEIF(RD[[#This Row],[WS_KUD07]:[WS_KUD08]],"&lt;&gt;0",RD[[#This Row],[WS_KUD07]:[WS_KUD08]]),"")</f>
        <v>5.05</v>
      </c>
      <c r="BM44" s="184">
        <f>IFERROR(AVERAGE(RD[[#This Row],[WS_KUD01]:[WS_KUD23]]),"")</f>
        <v>5.1478260869565222</v>
      </c>
      <c r="BN44" s="185">
        <f>IFERROR(MAX(RD[[#This Row],[WS_KUD01]:[WS_KUD23]]),"")</f>
        <v>5.8</v>
      </c>
      <c r="BO44" s="172">
        <v>640.30499999999995</v>
      </c>
      <c r="BP44" s="172">
        <v>897.39</v>
      </c>
      <c r="BQ44" s="172">
        <v>69.465000000000003</v>
      </c>
      <c r="BR44" s="172">
        <v>228.511</v>
      </c>
      <c r="BS44" s="172">
        <v>184.113</v>
      </c>
      <c r="BT44" s="172">
        <v>292.85500000000002</v>
      </c>
      <c r="BU44" s="172"/>
      <c r="BV44" s="172">
        <v>82.5</v>
      </c>
      <c r="BW44" s="172">
        <v>194232</v>
      </c>
      <c r="BX44" s="172">
        <v>254603</v>
      </c>
      <c r="BY44" s="172">
        <v>128.131</v>
      </c>
      <c r="BZ44" s="172">
        <v>77.363</v>
      </c>
      <c r="CA44" s="172">
        <v>278.32100000000003</v>
      </c>
      <c r="CB44" s="172">
        <v>103.399</v>
      </c>
      <c r="CC44" s="172">
        <v>0.115</v>
      </c>
      <c r="CD44" s="172">
        <v>296.149</v>
      </c>
      <c r="CE44" s="172">
        <v>223.81899999999999</v>
      </c>
      <c r="CF44" s="64" t="str">
        <f>IF((RD[[#This Row],[33 kV_Wind_F1_Export reading]]-BO43)*165000&lt;=0,"",(RD[[#This Row],[33 kV_Wind_F1_Export reading]]-BO43)*165000)</f>
        <v/>
      </c>
      <c r="CG44" s="64">
        <f>IF((RD[[#This Row],[33 kV_Wind_F2_Export_reading]]-BP43)*165000&lt;=0,"",(RD[[#This Row],[33 kV_Wind_F2_Export_reading]]-BP43)*165000)</f>
        <v>149489.99999999159</v>
      </c>
      <c r="CH44" s="64">
        <f>IF((RD[[#This Row],[33 kV_Wind_F3_Export_Reading]]-BQ43)*225000&lt;=0,"",(RD[[#This Row],[33 kV_Wind_F3_Export_Reading]]-BQ43)*225000)</f>
        <v>247049.99999999977</v>
      </c>
      <c r="CI44" s="64">
        <f>IF((RD[[#This Row],[33 kV_Wind_F4_Export Reading]]-BR43)*165000&lt;=0,"",(RD[[#This Row],[33 kV_Wind_F4_Export Reading]]-BR43)*165000)</f>
        <v>130349.99999999869</v>
      </c>
      <c r="CJ44" s="74">
        <f>IF((RD[[#This Row],[33 kV_Solar_F1_Export Reading]]-BS43)*225000&lt;=0,"",(RD[[#This Row],[33 kV_Solar_F1_Export Reading]]-BS43)*225000)</f>
        <v>207449.99999999933</v>
      </c>
      <c r="CK44" s="74">
        <f>IF((RD[[#This Row],[33kV_Solar_F2_Export Reading]]-BT43)*225000&lt;=0,"",(RD[[#This Row],[33kV_Solar_F2_Export Reading]]-BT43)*225000)</f>
        <v>191474.9999999998</v>
      </c>
      <c r="CL44" s="186" t="str">
        <f>IF((RD[[#This Row],[33 kV_Solar_F3_Export reading]]-BU43)*225000&lt;=0,"",(RD[[#This Row],[33 kV_Solar_F3_Export reading]]-BU43)*225000)</f>
        <v/>
      </c>
      <c r="CM44" s="63">
        <f>IF((RD[[#This Row],[32kV_Solar_F4_Export reading]]-BV43)*225000&lt;=0,"",(RD[[#This Row],[32kV_Solar_F4_Export reading]]-BV43)*225000)</f>
        <v>186074.99999999959</v>
      </c>
      <c r="CN44" s="64">
        <f>IF((RD[[#This Row],[33kV_OG1_Export reading]]-BW43)*1000&lt;=0,0,(RD[[#This Row],[33kV_OG1_Export reading]]-BW43)*1000)</f>
        <v>585000</v>
      </c>
      <c r="CO44" s="64">
        <f>IFERROR(IF((RD[[#This Row],[33kV_OG2_Export reading]]-BX43)*1000&lt;=0,0,(RD[[#This Row],[33kV_OG2_Export reading]]-BX43)*1000),0)</f>
        <v>526000</v>
      </c>
      <c r="CP44" s="74">
        <f>IF((RD[[#This Row],[220kV_TX1_Export reading]]-BY43)*800000&lt;=0,0,(RD[[#This Row],[220kV_TX1_Export reading]]-BY43)*800000)</f>
        <v>578399.99999999919</v>
      </c>
      <c r="CQ44" s="186">
        <f>IF((RD[[#This Row],[220kV_Tx2_Export reading]]-BZ43)*800000&lt;=0,0,(RD[[#This Row],[220kV_Tx2_Export reading]]-BZ43)*800000)</f>
        <v>512000.00000000047</v>
      </c>
      <c r="CR44" s="64">
        <f>IF((RD[[#This Row],[220kV_TL_TVM Export Reading]]-CA43)*1600000&lt;=0,0,(RD[[#This Row],[220kV_TL_TVM Export Reading]]-CA43)*1600000)</f>
        <v>1102400.0000000342</v>
      </c>
      <c r="CS44" s="64">
        <f>IF((RD[[#This Row],[220kV_C&amp;R_PQM reading]]-CB43)*1600000&lt;=0,"",(RD[[#This Row],[220kV_C&amp;R_PQM reading]]-CB43)*1600000)</f>
        <v>1100800.0000000037</v>
      </c>
      <c r="CT44" s="186">
        <f>IFERROR(IF((RD[[#This Row],[220KV_C&amp;R_PQM Import Reading]]-CC43)*1600000&lt;=0,0,(RD[[#This Row],[220KV_C&amp;R_PQM Import Reading]]-CC43)*1600000),"")</f>
        <v>0</v>
      </c>
      <c r="CU44" s="64">
        <f>IF((RD[[#This Row],[33kV_Aux1 Import Reading]]-CD43)*1000&lt;=0,"",(RD[[#This Row],[33kV_Aux1 Import Reading]]-CD43)*1000)</f>
        <v>410.00000000002501</v>
      </c>
      <c r="CV44" s="64">
        <f>IF((RD[[#This Row],[33kV_Aux2_Import reading]]-CE43)*1000&lt;=0,"",(RD[[#This Row],[33kV_Aux2_Import reading]]-CE43)*1000)</f>
        <v>223819</v>
      </c>
      <c r="CW44" s="64">
        <f>IFERROR(RD[[#This Row],[33kV_OG1_Energy (MWh)]]+RD[[#This Row],[33kV_OG2_Energy (MWh)]],"")</f>
        <v>1111000</v>
      </c>
      <c r="CX44" s="72">
        <f>IFERROR(RD[[#This Row],[220kV_TL_TVM Energy (MWh)]]-RD[[#This Row],[220KV_C&amp;R_PQM Import (MWh)]],"")</f>
        <v>1102400.0000000342</v>
      </c>
      <c r="CY44" s="187">
        <f>IFERROR(RD[[#This Row],[33 kV Total Export (MWH)]]/RD[[#This Row],[220 KV Net Export (MWh)]]-1,"")</f>
        <v>7.8011611030166517E-3</v>
      </c>
      <c r="CZ44" s="188">
        <f t="shared" si="80"/>
        <v>50.6</v>
      </c>
      <c r="DA44" s="189">
        <v>96</v>
      </c>
      <c r="DB44" s="190"/>
      <c r="DC44" s="68">
        <f>IFERROR((RD[[#This Row],[Sunset Time (POA&lt;20 W/m2)]]-RD[[#This Row],[Sunrise Time (POA&gt;20 W/m2)]])*24,0)</f>
        <v>12.083333333333336</v>
      </c>
      <c r="DD44" s="70">
        <f>SUM(RD[[#This Row],[33 kV_Wind_F3_Export_Reading3]],CJ44,CK44,CL44,CM44)</f>
        <v>832049.99999999837</v>
      </c>
      <c r="DE44" s="68">
        <v>140</v>
      </c>
      <c r="DF44" s="70">
        <f t="shared" si="82"/>
        <v>279839.99999999028</v>
      </c>
      <c r="DG44" s="70">
        <v>289.12</v>
      </c>
      <c r="DH44">
        <f>'WTG Reactive Power'!AB42</f>
        <v>8666.7000000000025</v>
      </c>
    </row>
    <row r="45" spans="1:112">
      <c r="A45" s="173">
        <f>YEAR(RD[[#This Row],[Date]])+IF(MONTH(RD[[#This Row],[Date]])&gt;=4,1,0)</f>
        <v>2026</v>
      </c>
      <c r="B45" s="173">
        <f>YEAR(RD[[#This Row],[Date]])</f>
        <v>2025</v>
      </c>
      <c r="C45" s="174">
        <f t="shared" si="72"/>
        <v>45778</v>
      </c>
      <c r="D45" s="173">
        <f>DAY(EOMONTH(RD[[#This Row],[Date]],0))</f>
        <v>31</v>
      </c>
      <c r="E45" s="175">
        <f t="shared" si="73"/>
        <v>45785</v>
      </c>
      <c r="F45" s="204">
        <v>0.26250000000000001</v>
      </c>
      <c r="G45" s="204">
        <v>0.76111111111111107</v>
      </c>
      <c r="H45" s="177">
        <v>15071</v>
      </c>
      <c r="I45" s="177">
        <v>14029</v>
      </c>
      <c r="J45" s="177">
        <v>11404</v>
      </c>
      <c r="K45" s="177">
        <v>11691</v>
      </c>
      <c r="L45" s="177">
        <v>11962</v>
      </c>
      <c r="M45" s="177">
        <v>11129</v>
      </c>
      <c r="N45" s="177">
        <v>11155</v>
      </c>
      <c r="O45" s="177">
        <v>10543</v>
      </c>
      <c r="P45" s="177">
        <v>10843</v>
      </c>
      <c r="Q45" s="177">
        <v>9210</v>
      </c>
      <c r="R45" s="177">
        <v>11003</v>
      </c>
      <c r="S45" s="177">
        <v>12716</v>
      </c>
      <c r="T45" s="177">
        <v>12267</v>
      </c>
      <c r="U45" s="177">
        <v>10487</v>
      </c>
      <c r="V45" s="177">
        <v>15924</v>
      </c>
      <c r="W45" s="177">
        <v>14273</v>
      </c>
      <c r="X45" s="177">
        <v>15408</v>
      </c>
      <c r="Y45" s="177">
        <v>12365</v>
      </c>
      <c r="Z45" s="177">
        <v>12187</v>
      </c>
      <c r="AA45" s="177">
        <v>10838</v>
      </c>
      <c r="AB45" s="177">
        <v>13414</v>
      </c>
      <c r="AC45" s="177">
        <v>12814</v>
      </c>
      <c r="AD45" s="177">
        <v>14777</v>
      </c>
      <c r="AE45" s="71">
        <v>5.5750000000000002</v>
      </c>
      <c r="AF45" s="71">
        <v>5.4619999999999997</v>
      </c>
      <c r="AG45" s="71">
        <v>5.23</v>
      </c>
      <c r="AH45" s="71">
        <v>5.1749999999999998</v>
      </c>
      <c r="AI45" s="71">
        <v>5.2539999999999996</v>
      </c>
      <c r="AJ45" s="71">
        <v>5.0819999999999999</v>
      </c>
      <c r="AK45" s="71">
        <v>5.1619999999999999</v>
      </c>
      <c r="AL45" s="71">
        <v>5.1639999999999997</v>
      </c>
      <c r="AM45" s="71">
        <v>5.1470000000000002</v>
      </c>
      <c r="AN45" s="71">
        <v>4.97</v>
      </c>
      <c r="AO45" s="71">
        <v>5.2430000000000003</v>
      </c>
      <c r="AP45" s="71">
        <v>5.2969999999999997</v>
      </c>
      <c r="AQ45" s="71">
        <v>5.22</v>
      </c>
      <c r="AR45" s="71">
        <v>4.9690000000000003</v>
      </c>
      <c r="AS45" s="71">
        <v>6.0250000000000004</v>
      </c>
      <c r="AT45" s="71">
        <v>5.4880000000000004</v>
      </c>
      <c r="AU45" s="71">
        <v>5.6790000000000003</v>
      </c>
      <c r="AV45" s="71">
        <v>5.27</v>
      </c>
      <c r="AW45" s="71">
        <v>5.2889999999999997</v>
      </c>
      <c r="AX45" s="71">
        <v>5.1070000000000002</v>
      </c>
      <c r="AY45" s="71">
        <v>5.6120000000000001</v>
      </c>
      <c r="AZ45" s="71">
        <v>5.476</v>
      </c>
      <c r="BA45" s="71">
        <v>5.49</v>
      </c>
      <c r="BB45" s="178">
        <f t="shared" si="74"/>
        <v>121107</v>
      </c>
      <c r="BC45" s="179">
        <f t="shared" si="75"/>
        <v>29681</v>
      </c>
      <c r="BD45" s="180">
        <f t="shared" si="70"/>
        <v>100659</v>
      </c>
      <c r="BE45" s="179">
        <f t="shared" si="76"/>
        <v>12365</v>
      </c>
      <c r="BF45" s="179">
        <f t="shared" si="71"/>
        <v>21698</v>
      </c>
      <c r="BG45" s="179">
        <f>SUM(RD[[#This Row],[KUD01]:[KUD23]])</f>
        <v>285510</v>
      </c>
      <c r="BH45" s="181">
        <f t="shared" si="77"/>
        <v>5.2924999999999995</v>
      </c>
      <c r="BI45" s="182">
        <f t="shared" si="78"/>
        <v>5.5835000000000008</v>
      </c>
      <c r="BJ45" s="182">
        <f t="shared" si="79"/>
        <v>5.3024000000000004</v>
      </c>
      <c r="BK45" s="183">
        <f t="shared" si="81"/>
        <v>5.27</v>
      </c>
      <c r="BL45" s="61">
        <f>IFERROR(AVERAGEIF(RD[[#This Row],[WS_KUD07]:[WS_KUD08]],"&lt;&gt;0",RD[[#This Row],[WS_KUD07]:[WS_KUD08]]),"")</f>
        <v>5.1630000000000003</v>
      </c>
      <c r="BM45" s="184">
        <f>IFERROR(AVERAGE(RD[[#This Row],[WS_KUD01]:[WS_KUD23]]),"")</f>
        <v>5.3211304347826083</v>
      </c>
      <c r="BN45" s="185">
        <f>IFERROR(MAX(RD[[#This Row],[WS_KUD01]:[WS_KUD23]]),"")</f>
        <v>6.0250000000000004</v>
      </c>
      <c r="BO45" s="73">
        <v>640.30499999999995</v>
      </c>
      <c r="BP45" s="73">
        <v>898.29100000000005</v>
      </c>
      <c r="BQ45" s="73">
        <v>70.507999999999996</v>
      </c>
      <c r="BR45" s="73">
        <v>229.28899999999999</v>
      </c>
      <c r="BS45" s="73">
        <v>185.012</v>
      </c>
      <c r="BT45" s="73">
        <v>293.7</v>
      </c>
      <c r="BU45" s="73"/>
      <c r="BV45" s="73">
        <v>83.281000000000006</v>
      </c>
      <c r="BW45" s="73">
        <v>194801</v>
      </c>
      <c r="BX45" s="73">
        <v>255115</v>
      </c>
      <c r="BY45" s="73">
        <v>128.834</v>
      </c>
      <c r="BZ45" s="73">
        <v>77.988</v>
      </c>
      <c r="CA45" s="73">
        <v>278.99099999999999</v>
      </c>
      <c r="CB45" s="73">
        <v>104.071</v>
      </c>
      <c r="CC45" s="73">
        <v>0.11600000000000001</v>
      </c>
      <c r="CD45" s="73">
        <v>296.41899999999998</v>
      </c>
      <c r="CE45" s="73">
        <v>223.989</v>
      </c>
      <c r="CF45" s="64" t="str">
        <f>IF((RD[[#This Row],[33 kV_Wind_F1_Export reading]]-BO44)*165000&lt;=0,"",(RD[[#This Row],[33 kV_Wind_F1_Export reading]]-BO44)*165000)</f>
        <v/>
      </c>
      <c r="CG45" s="64">
        <f>IF((RD[[#This Row],[33 kV_Wind_F2_Export_reading]]-BP44)*165000&lt;=0,"",(RD[[#This Row],[33 kV_Wind_F2_Export_reading]]-BP44)*165000)</f>
        <v>148665.00000001112</v>
      </c>
      <c r="CH45" s="64">
        <f>IF((RD[[#This Row],[33 kV_Wind_F3_Export_Reading]]-BQ44)*225000&lt;=0,"",(RD[[#This Row],[33 kV_Wind_F3_Export_Reading]]-BQ44)*225000)</f>
        <v>234674.99999999822</v>
      </c>
      <c r="CI45" s="64">
        <f>IF((RD[[#This Row],[33 kV_Wind_F4_Export Reading]]-BR44)*165000&lt;=0,"",(RD[[#This Row],[33 kV_Wind_F4_Export Reading]]-BR44)*165000)</f>
        <v>128369.99999999862</v>
      </c>
      <c r="CJ45" s="74">
        <f>IF((RD[[#This Row],[33 kV_Solar_F1_Export Reading]]-BS44)*225000&lt;=0,"",(RD[[#This Row],[33 kV_Solar_F1_Export Reading]]-BS44)*225000)</f>
        <v>202275.0000000002</v>
      </c>
      <c r="CK45" s="74">
        <f>IF((RD[[#This Row],[33kV_Solar_F2_Export Reading]]-BT44)*225000&lt;=0,"",(RD[[#This Row],[33kV_Solar_F2_Export Reading]]-BT44)*225000)</f>
        <v>190124.99999999334</v>
      </c>
      <c r="CL45" s="186" t="str">
        <f>IF((RD[[#This Row],[33 kV_Solar_F3_Export reading]]-BU44)*225000&lt;=0,"",(RD[[#This Row],[33 kV_Solar_F3_Export reading]]-BU44)*225000)</f>
        <v/>
      </c>
      <c r="CM45" s="63">
        <f>IF((RD[[#This Row],[32kV_Solar_F4_Export reading]]-BV44)*225000&lt;=0,"",(RD[[#This Row],[32kV_Solar_F4_Export reading]]-BV44)*225000)</f>
        <v>175725.00000000134</v>
      </c>
      <c r="CN45" s="64">
        <f>IF((RD[[#This Row],[33kV_OG1_Export reading]]-BW44)*1000&lt;=0,0,(RD[[#This Row],[33kV_OG1_Export reading]]-BW44)*1000)</f>
        <v>569000</v>
      </c>
      <c r="CO45" s="64">
        <f>IFERROR(IF((RD[[#This Row],[33kV_OG2_Export reading]]-BX44)*1000&lt;=0,0,(RD[[#This Row],[33kV_OG2_Export reading]]-BX44)*1000),0)</f>
        <v>512000</v>
      </c>
      <c r="CP45" s="74">
        <f>IF((RD[[#This Row],[220kV_TX1_Export reading]]-BY44)*800000&lt;=0,0,(RD[[#This Row],[220kV_TX1_Export reading]]-BY44)*800000)</f>
        <v>562400.00000000233</v>
      </c>
      <c r="CQ45" s="186">
        <f>IF((RD[[#This Row],[220kV_Tx2_Export reading]]-BZ44)*800000&lt;=0,0,(RD[[#This Row],[220kV_Tx2_Export reading]]-BZ44)*800000)</f>
        <v>500000</v>
      </c>
      <c r="CR45" s="64">
        <f>IF((RD[[#This Row],[220kV_TL_TVM Export Reading]]-CA44)*1600000&lt;=0,0,(RD[[#This Row],[220kV_TL_TVM Export Reading]]-CA44)*1600000)</f>
        <v>1071999.9999999346</v>
      </c>
      <c r="CS45" s="64">
        <f>IF((RD[[#This Row],[220kV_C&amp;R_PQM reading]]-CB44)*1600000&lt;=0,"",(RD[[#This Row],[220kV_C&amp;R_PQM reading]]-CB44)*1600000)</f>
        <v>1075199.9999999953</v>
      </c>
      <c r="CT45" s="186">
        <f>IFERROR(IF((RD[[#This Row],[220KV_C&amp;R_PQM Import Reading]]-CC44)*1600000&lt;=0,0,(RD[[#This Row],[220KV_C&amp;R_PQM Import Reading]]-CC44)*1600000),"")</f>
        <v>1600.0000000000014</v>
      </c>
      <c r="CU45" s="64">
        <f>IF((RD[[#This Row],[33kV_Aux1 Import Reading]]-CD44)*1000&lt;=0,"",(RD[[#This Row],[33kV_Aux1 Import Reading]]-CD44)*1000)</f>
        <v>269.99999999998181</v>
      </c>
      <c r="CV45" s="64">
        <f>IF((RD[[#This Row],[33kV_Aux2_Import reading]]-CE44)*1000&lt;=0,"",(RD[[#This Row],[33kV_Aux2_Import reading]]-CE44)*1000)</f>
        <v>170.00000000001592</v>
      </c>
      <c r="CW45" s="64">
        <f>IFERROR(RD[[#This Row],[33kV_OG1_Energy (MWh)]]+RD[[#This Row],[33kV_OG2_Energy (MWh)]],"")</f>
        <v>1081000</v>
      </c>
      <c r="CX45" s="72">
        <f>IFERROR(RD[[#This Row],[220kV_TL_TVM Energy (MWh)]]-RD[[#This Row],[220KV_C&amp;R_PQM Import (MWh)]],"")</f>
        <v>1070399.9999999346</v>
      </c>
      <c r="CY45" s="187">
        <f>IFERROR(RD[[#This Row],[33 kV Total Export (MWH)]]/RD[[#This Row],[220 KV Net Export (MWh)]]-1,"")</f>
        <v>9.9028400598524247E-3</v>
      </c>
      <c r="CZ45" s="188">
        <f t="shared" si="80"/>
        <v>50.6</v>
      </c>
      <c r="DA45" s="189">
        <v>96</v>
      </c>
      <c r="DB45" s="190"/>
      <c r="DC45" s="68">
        <f>IFERROR((RD[[#This Row],[Sunset Time (POA&lt;20 W/m2)]]-RD[[#This Row],[Sunrise Time (POA&gt;20 W/m2)]])*24,0)</f>
        <v>11.966666666666665</v>
      </c>
      <c r="DD45" s="70">
        <f>SUM(RD[[#This Row],[33 kV_Wind_F3_Export_Reading3]],CJ45,CK45,CL45,CM45)</f>
        <v>802799.99999999302</v>
      </c>
      <c r="DE45" s="68">
        <v>140</v>
      </c>
      <c r="DF45" s="70">
        <f t="shared" si="82"/>
        <v>277035.00000000972</v>
      </c>
      <c r="DG45" s="70">
        <v>287.2</v>
      </c>
      <c r="DH45">
        <f>'WTG Reactive Power'!AB43</f>
        <v>70953.8</v>
      </c>
    </row>
    <row r="46" spans="1:112">
      <c r="A46" s="173">
        <f>YEAR(RD[[#This Row],[Date]])+IF(MONTH(RD[[#This Row],[Date]])&gt;=4,1,0)</f>
        <v>2026</v>
      </c>
      <c r="B46" s="173">
        <f>YEAR(RD[[#This Row],[Date]])</f>
        <v>2025</v>
      </c>
      <c r="C46" s="174">
        <f t="shared" si="72"/>
        <v>45778</v>
      </c>
      <c r="D46" s="173">
        <f>DAY(EOMONTH(RD[[#This Row],[Date]],0))</f>
        <v>31</v>
      </c>
      <c r="E46" s="175">
        <f t="shared" si="73"/>
        <v>45786</v>
      </c>
      <c r="F46" s="204">
        <v>0.26180555555555557</v>
      </c>
      <c r="G46" s="204">
        <v>0.76527777777777783</v>
      </c>
      <c r="H46" s="177">
        <v>5141.3</v>
      </c>
      <c r="I46" s="177">
        <v>6008.8</v>
      </c>
      <c r="J46" s="177">
        <v>3089.2</v>
      </c>
      <c r="K46" s="177">
        <v>4293.5</v>
      </c>
      <c r="L46" s="177">
        <v>3729.6</v>
      </c>
      <c r="M46" s="177">
        <v>3314.7</v>
      </c>
      <c r="N46" s="177">
        <v>3297.2</v>
      </c>
      <c r="O46" s="177">
        <v>3508.5</v>
      </c>
      <c r="P46" s="177">
        <v>4645</v>
      </c>
      <c r="Q46" s="177">
        <v>3675.9</v>
      </c>
      <c r="R46" s="177">
        <v>3178</v>
      </c>
      <c r="S46" s="177">
        <v>4491.8999999999996</v>
      </c>
      <c r="T46" s="177">
        <v>4887.7</v>
      </c>
      <c r="U46" s="177">
        <v>3832.4</v>
      </c>
      <c r="V46" s="177">
        <v>5751.4</v>
      </c>
      <c r="W46" s="177">
        <v>7103.6</v>
      </c>
      <c r="X46" s="177">
        <v>5972.1</v>
      </c>
      <c r="Y46" s="177">
        <v>3607.3</v>
      </c>
      <c r="Z46" s="177">
        <v>4476.3999999999996</v>
      </c>
      <c r="AA46" s="177">
        <v>4427.8</v>
      </c>
      <c r="AB46" s="177">
        <v>4755.5</v>
      </c>
      <c r="AC46" s="177">
        <v>4670.3999999999996</v>
      </c>
      <c r="AD46" s="177">
        <v>5813.9</v>
      </c>
      <c r="AE46" s="71">
        <v>4.2</v>
      </c>
      <c r="AF46" s="71">
        <v>4.4000000000000004</v>
      </c>
      <c r="AG46" s="71">
        <v>3.7</v>
      </c>
      <c r="AH46" s="71">
        <v>4</v>
      </c>
      <c r="AI46" s="71">
        <v>3.9</v>
      </c>
      <c r="AJ46" s="71">
        <v>3.8</v>
      </c>
      <c r="AK46" s="71">
        <v>3.8</v>
      </c>
      <c r="AL46" s="71">
        <v>3.9</v>
      </c>
      <c r="AM46" s="71">
        <v>4.3</v>
      </c>
      <c r="AN46" s="71">
        <v>3.9</v>
      </c>
      <c r="AO46" s="71">
        <v>3.8</v>
      </c>
      <c r="AP46" s="71">
        <v>4</v>
      </c>
      <c r="AQ46" s="71">
        <v>4.0999999999999996</v>
      </c>
      <c r="AR46" s="71">
        <v>3.9</v>
      </c>
      <c r="AS46" s="71">
        <v>4.5</v>
      </c>
      <c r="AT46" s="71">
        <v>4.5999999999999996</v>
      </c>
      <c r="AU46" s="71">
        <v>4.4000000000000004</v>
      </c>
      <c r="AV46" s="71">
        <v>4.0999999999999996</v>
      </c>
      <c r="AW46" s="71">
        <v>4.2</v>
      </c>
      <c r="AX46" s="71">
        <v>4</v>
      </c>
      <c r="AY46" s="71">
        <v>4.3</v>
      </c>
      <c r="AZ46" s="71">
        <v>4.3</v>
      </c>
      <c r="BA46" s="71">
        <v>4.3</v>
      </c>
      <c r="BB46" s="178">
        <f t="shared" si="74"/>
        <v>42952.000000000007</v>
      </c>
      <c r="BC46" s="179">
        <f t="shared" si="75"/>
        <v>13075.7</v>
      </c>
      <c r="BD46" s="180">
        <f t="shared" si="70"/>
        <v>37231.4</v>
      </c>
      <c r="BE46" s="179">
        <f t="shared" si="76"/>
        <v>3607.3</v>
      </c>
      <c r="BF46" s="179">
        <f t="shared" si="71"/>
        <v>6805.7</v>
      </c>
      <c r="BG46" s="179">
        <f>SUM(RD[[#This Row],[KUD01]:[KUD23]])</f>
        <v>103672.1</v>
      </c>
      <c r="BH46" s="181">
        <f t="shared" si="77"/>
        <v>4.03</v>
      </c>
      <c r="BI46" s="182">
        <f t="shared" si="78"/>
        <v>4.5</v>
      </c>
      <c r="BJ46" s="182">
        <f t="shared" si="79"/>
        <v>4.0999999999999996</v>
      </c>
      <c r="BK46" s="183">
        <f t="shared" si="81"/>
        <v>4.0999999999999996</v>
      </c>
      <c r="BL46" s="61">
        <f>IFERROR(AVERAGEIF(RD[[#This Row],[WS_KUD07]:[WS_KUD08]],"&lt;&gt;0",RD[[#This Row],[WS_KUD07]:[WS_KUD08]]),"")</f>
        <v>3.8499999999999996</v>
      </c>
      <c r="BM46" s="184">
        <f>IFERROR(AVERAGE(RD[[#This Row],[WS_KUD01]:[WS_KUD23]]),"")</f>
        <v>4.1043478260869559</v>
      </c>
      <c r="BN46" s="185">
        <f>IFERROR(MAX(RD[[#This Row],[WS_KUD01]:[WS_KUD23]]),"")</f>
        <v>4.5999999999999996</v>
      </c>
      <c r="BO46" s="73">
        <v>640.30499999999995</v>
      </c>
      <c r="BP46" s="73">
        <v>898.62300000000005</v>
      </c>
      <c r="BQ46" s="73">
        <v>71.629000000000005</v>
      </c>
      <c r="BR46" s="73">
        <v>229.56100000000001</v>
      </c>
      <c r="BS46" s="73">
        <v>185.96199999999999</v>
      </c>
      <c r="BT46" s="73">
        <v>294.59899999999999</v>
      </c>
      <c r="BU46" s="73"/>
      <c r="BV46" s="73">
        <v>84.123999999999995</v>
      </c>
      <c r="BW46" s="73">
        <v>195407</v>
      </c>
      <c r="BX46" s="73">
        <v>255467</v>
      </c>
      <c r="BY46" s="73">
        <v>129.58000000000001</v>
      </c>
      <c r="BZ46" s="73">
        <v>78.418000000000006</v>
      </c>
      <c r="CA46" s="73">
        <v>279.58499999999998</v>
      </c>
      <c r="CB46" s="73">
        <v>104.667</v>
      </c>
      <c r="CC46" s="73">
        <v>0.11600000000000001</v>
      </c>
      <c r="CD46" s="73">
        <v>296.54899999999998</v>
      </c>
      <c r="CE46" s="73">
        <v>224.21899999999999</v>
      </c>
      <c r="CF46" s="64" t="str">
        <f>IF((RD[[#This Row],[33 kV_Wind_F1_Export reading]]-BO45)*165000&lt;=0,"",(RD[[#This Row],[33 kV_Wind_F1_Export reading]]-BO45)*165000)</f>
        <v/>
      </c>
      <c r="CG46" s="64">
        <f>IF((RD[[#This Row],[33 kV_Wind_F2_Export_reading]]-BP45)*165000&lt;=0,"",(RD[[#This Row],[33 kV_Wind_F2_Export_reading]]-BP45)*165000)</f>
        <v>54779.999999998952</v>
      </c>
      <c r="CH46" s="64">
        <f>IF((RD[[#This Row],[33 kV_Wind_F3_Export_Reading]]-BQ45)*225000&lt;=0,"",(RD[[#This Row],[33 kV_Wind_F3_Export_Reading]]-BQ45)*225000)</f>
        <v>252225.0000000021</v>
      </c>
      <c r="CI46" s="64">
        <f>IF((RD[[#This Row],[33 kV_Wind_F4_Export Reading]]-BR45)*165000&lt;=0,"",(RD[[#This Row],[33 kV_Wind_F4_Export Reading]]-BR45)*165000)</f>
        <v>44880.000000003267</v>
      </c>
      <c r="CJ46" s="74">
        <f>IF((RD[[#This Row],[33 kV_Solar_F1_Export Reading]]-BS45)*225000&lt;=0,"",(RD[[#This Row],[33 kV_Solar_F1_Export Reading]]-BS45)*225000)</f>
        <v>213749.99999999744</v>
      </c>
      <c r="CK46" s="74">
        <f>IF((RD[[#This Row],[33kV_Solar_F2_Export Reading]]-BT45)*225000&lt;=0,"",(RD[[#This Row],[33kV_Solar_F2_Export Reading]]-BT45)*225000)</f>
        <v>202275.0000000002</v>
      </c>
      <c r="CL46" s="186" t="str">
        <f>IF((RD[[#This Row],[33 kV_Solar_F3_Export reading]]-BU45)*225000&lt;=0,"",(RD[[#This Row],[33 kV_Solar_F3_Export reading]]-BU45)*225000)</f>
        <v/>
      </c>
      <c r="CM46" s="63">
        <f>IF((RD[[#This Row],[32kV_Solar_F4_Export reading]]-BV45)*225000&lt;=0,"",(RD[[#This Row],[32kV_Solar_F4_Export reading]]-BV45)*225000)</f>
        <v>189674.99999999758</v>
      </c>
      <c r="CN46" s="64">
        <f>IF((RD[[#This Row],[33kV_OG1_Export reading]]-BW45)*1000&lt;=0,0,(RD[[#This Row],[33kV_OG1_Export reading]]-BW45)*1000)</f>
        <v>606000</v>
      </c>
      <c r="CO46" s="64">
        <f>IFERROR(IF((RD[[#This Row],[33kV_OG2_Export reading]]-BX45)*1000&lt;=0,0,(RD[[#This Row],[33kV_OG2_Export reading]]-BX45)*1000),0)</f>
        <v>352000</v>
      </c>
      <c r="CP46" s="74">
        <f>IF((RD[[#This Row],[220kV_TX1_Export reading]]-BY45)*800000&lt;=0,0,(RD[[#This Row],[220kV_TX1_Export reading]]-BY45)*800000)</f>
        <v>596800.00000000745</v>
      </c>
      <c r="CQ46" s="186">
        <f>IF((RD[[#This Row],[220kV_Tx2_Export reading]]-BZ45)*800000&lt;=0,0,(RD[[#This Row],[220kV_Tx2_Export reading]]-BZ45)*800000)</f>
        <v>344000.00000000547</v>
      </c>
      <c r="CR46" s="64">
        <f>IF((RD[[#This Row],[220kV_TL_TVM Export Reading]]-CA45)*1600000&lt;=0,0,(RD[[#This Row],[220kV_TL_TVM Export Reading]]-CA45)*1600000)</f>
        <v>950399.99999999057</v>
      </c>
      <c r="CS46" s="64">
        <f>IF((RD[[#This Row],[220kV_C&amp;R_PQM reading]]-CB45)*1600000&lt;=0,"",(RD[[#This Row],[220kV_C&amp;R_PQM reading]]-CB45)*1600000)</f>
        <v>953600.00000000582</v>
      </c>
      <c r="CT46" s="186">
        <f>IFERROR(IF((RD[[#This Row],[220KV_C&amp;R_PQM Import Reading]]-CC45)*1600000&lt;=0,0,(RD[[#This Row],[220KV_C&amp;R_PQM Import Reading]]-CC45)*1600000),"")</f>
        <v>0</v>
      </c>
      <c r="CU46" s="64">
        <f>IF((RD[[#This Row],[33kV_Aux1 Import Reading]]-CD45)*1000&lt;=0,"",(RD[[#This Row],[33kV_Aux1 Import Reading]]-CD45)*1000)</f>
        <v>129.99999999999545</v>
      </c>
      <c r="CV46" s="64">
        <f>IF((RD[[#This Row],[33kV_Aux2_Import reading]]-CE45)*1000&lt;=0,"",(RD[[#This Row],[33kV_Aux2_Import reading]]-CE45)*1000)</f>
        <v>229.99999999998977</v>
      </c>
      <c r="CW46" s="64">
        <f>IFERROR(RD[[#This Row],[33kV_OG1_Energy (MWh)]]+RD[[#This Row],[33kV_OG2_Energy (MWh)]],"")</f>
        <v>958000</v>
      </c>
      <c r="CX46" s="72">
        <f>IFERROR(RD[[#This Row],[220kV_TL_TVM Energy (MWh)]]-RD[[#This Row],[220KV_C&amp;R_PQM Import (MWh)]],"")</f>
        <v>950399.99999999057</v>
      </c>
      <c r="CY46" s="187">
        <f>IFERROR(RD[[#This Row],[33 kV Total Export (MWH)]]/RD[[#This Row],[220 KV Net Export (MWh)]]-1,"")</f>
        <v>7.9966329966429939E-3</v>
      </c>
      <c r="CZ46" s="188">
        <f t="shared" si="80"/>
        <v>50.6</v>
      </c>
      <c r="DA46" s="189">
        <v>77</v>
      </c>
      <c r="DB46" s="190"/>
      <c r="DC46" s="68">
        <f>IFERROR((RD[[#This Row],[Sunset Time (POA&lt;20 W/m2)]]-RD[[#This Row],[Sunrise Time (POA&gt;20 W/m2)]])*24,0)</f>
        <v>12.083333333333336</v>
      </c>
      <c r="DD46" s="70">
        <f>SUM(RD[[#This Row],[33 kV_Wind_F3_Export_Reading3]],CJ46,CK46,CL46,CM46)</f>
        <v>857924.99999999732</v>
      </c>
      <c r="DE46" s="68">
        <v>140</v>
      </c>
      <c r="DF46" s="70">
        <f t="shared" si="82"/>
        <v>99660.000000002212</v>
      </c>
      <c r="DG46" s="70">
        <v>104.05</v>
      </c>
      <c r="DH46">
        <f>'WTG Reactive Power'!AB44</f>
        <v>30100.500000000004</v>
      </c>
    </row>
    <row r="47" spans="1:112">
      <c r="A47" s="173">
        <f>YEAR(RD[[#This Row],[Date]])+IF(MONTH(RD[[#This Row],[Date]])&gt;=4,1,0)</f>
        <v>2026</v>
      </c>
      <c r="B47" s="173">
        <f>YEAR(RD[[#This Row],[Date]])</f>
        <v>2025</v>
      </c>
      <c r="C47" s="174">
        <f t="shared" si="72"/>
        <v>45778</v>
      </c>
      <c r="D47" s="173">
        <f>DAY(EOMONTH(RD[[#This Row],[Date]],0))</f>
        <v>31</v>
      </c>
      <c r="E47" s="175">
        <f t="shared" si="73"/>
        <v>45787</v>
      </c>
      <c r="F47" s="204">
        <v>0.2638888888888889</v>
      </c>
      <c r="G47" s="204">
        <v>0.76527777777777783</v>
      </c>
      <c r="H47" s="177">
        <v>7663</v>
      </c>
      <c r="I47" s="177">
        <v>7999</v>
      </c>
      <c r="J47" s="177">
        <v>6816</v>
      </c>
      <c r="K47" s="177">
        <v>6903</v>
      </c>
      <c r="L47" s="177">
        <v>6419</v>
      </c>
      <c r="M47" s="177">
        <v>6338</v>
      </c>
      <c r="N47" s="177">
        <v>6456</v>
      </c>
      <c r="O47" s="177">
        <v>7033</v>
      </c>
      <c r="P47" s="177">
        <v>6573</v>
      </c>
      <c r="Q47" s="177">
        <v>6531</v>
      </c>
      <c r="R47" s="177">
        <v>6647</v>
      </c>
      <c r="S47" s="177">
        <v>7902</v>
      </c>
      <c r="T47" s="177">
        <v>6466</v>
      </c>
      <c r="U47" s="177">
        <v>5847</v>
      </c>
      <c r="V47" s="177">
        <v>8221</v>
      </c>
      <c r="W47" s="177">
        <v>8004</v>
      </c>
      <c r="X47" s="177">
        <v>8148</v>
      </c>
      <c r="Y47" s="177">
        <v>7666</v>
      </c>
      <c r="Z47" s="177">
        <v>6111</v>
      </c>
      <c r="AA47" s="177">
        <v>6391</v>
      </c>
      <c r="AB47" s="177">
        <v>6671</v>
      </c>
      <c r="AC47" s="177">
        <v>7482</v>
      </c>
      <c r="AD47" s="177">
        <v>7265</v>
      </c>
      <c r="AE47" s="71">
        <v>4.71</v>
      </c>
      <c r="AF47" s="71">
        <v>4.7279999999999998</v>
      </c>
      <c r="AG47" s="71">
        <v>4.7629999999999999</v>
      </c>
      <c r="AH47" s="71">
        <v>4.4260000000000002</v>
      </c>
      <c r="AI47" s="71">
        <v>4.4909999999999997</v>
      </c>
      <c r="AJ47" s="71">
        <v>4.5439999999999996</v>
      </c>
      <c r="AK47" s="71">
        <v>4.5990000000000002</v>
      </c>
      <c r="AL47" s="71">
        <v>4.6449999999999996</v>
      </c>
      <c r="AM47" s="71">
        <v>4.6689999999999996</v>
      </c>
      <c r="AN47" s="71">
        <v>4.5270000000000001</v>
      </c>
      <c r="AO47" s="71">
        <v>4.74</v>
      </c>
      <c r="AP47" s="71">
        <v>4.7119999999999997</v>
      </c>
      <c r="AQ47" s="71">
        <v>4.4850000000000003</v>
      </c>
      <c r="AR47" s="71">
        <v>4.3710000000000004</v>
      </c>
      <c r="AS47" s="71">
        <v>4.9000000000000004</v>
      </c>
      <c r="AT47" s="71">
        <v>4.7249999999999996</v>
      </c>
      <c r="AU47" s="71">
        <v>4.8150000000000004</v>
      </c>
      <c r="AV47" s="71">
        <v>4.5359999999999996</v>
      </c>
      <c r="AW47" s="71">
        <v>4.3869999999999996</v>
      </c>
      <c r="AX47" s="71">
        <v>4.5679999999999996</v>
      </c>
      <c r="AY47" s="71">
        <v>4.8010000000000002</v>
      </c>
      <c r="AZ47" s="71">
        <v>4.6909999999999998</v>
      </c>
      <c r="BA47" s="71">
        <v>4.6150000000000002</v>
      </c>
      <c r="BB47" s="178">
        <f t="shared" si="74"/>
        <v>68595</v>
      </c>
      <c r="BC47" s="179">
        <f t="shared" si="75"/>
        <v>16152</v>
      </c>
      <c r="BD47" s="180">
        <f t="shared" si="70"/>
        <v>55650</v>
      </c>
      <c r="BE47" s="179">
        <f t="shared" si="76"/>
        <v>7666</v>
      </c>
      <c r="BF47" s="179">
        <f t="shared" si="71"/>
        <v>13489</v>
      </c>
      <c r="BG47" s="179">
        <f>SUM(RD[[#This Row],[KUD01]:[KUD23]])</f>
        <v>161552</v>
      </c>
      <c r="BH47" s="181">
        <f t="shared" si="77"/>
        <v>4.6162999999999998</v>
      </c>
      <c r="BI47" s="182">
        <f t="shared" si="78"/>
        <v>4.7699999999999996</v>
      </c>
      <c r="BJ47" s="182">
        <f t="shared" si="79"/>
        <v>4.6209000000000007</v>
      </c>
      <c r="BK47" s="183">
        <f t="shared" si="81"/>
        <v>4.5359999999999996</v>
      </c>
      <c r="BL47" s="61">
        <f>IFERROR(AVERAGEIF(RD[[#This Row],[WS_KUD07]:[WS_KUD08]],"&lt;&gt;0",RD[[#This Row],[WS_KUD07]:[WS_KUD08]]),"")</f>
        <v>4.6219999999999999</v>
      </c>
      <c r="BM47" s="184">
        <f>IFERROR(AVERAGE(RD[[#This Row],[WS_KUD01]:[WS_KUD23]]),"")</f>
        <v>4.6281739130434776</v>
      </c>
      <c r="BN47" s="185">
        <f>IFERROR(MAX(RD[[#This Row],[WS_KUD01]:[WS_KUD23]]),"")</f>
        <v>4.9000000000000004</v>
      </c>
      <c r="BO47" s="73">
        <v>640.30499999999995</v>
      </c>
      <c r="BP47" s="73">
        <v>899.14800000000002</v>
      </c>
      <c r="BQ47" s="73">
        <v>72.613</v>
      </c>
      <c r="BR47" s="73">
        <v>229.97900000000001</v>
      </c>
      <c r="BS47" s="73">
        <v>186.80500000000001</v>
      </c>
      <c r="BT47" s="73">
        <v>295.37799999999999</v>
      </c>
      <c r="BU47" s="73"/>
      <c r="BV47" s="73">
        <v>84.881</v>
      </c>
      <c r="BW47" s="73">
        <v>195943</v>
      </c>
      <c r="BX47" s="73">
        <v>255837</v>
      </c>
      <c r="BY47" s="73">
        <v>130.24600000000001</v>
      </c>
      <c r="BZ47" s="73">
        <v>78.873999999999995</v>
      </c>
      <c r="CA47" s="73">
        <v>280.14800000000002</v>
      </c>
      <c r="CB47" s="73">
        <v>105.229</v>
      </c>
      <c r="CC47" s="73">
        <v>0.11700000000000001</v>
      </c>
      <c r="CD47" s="73">
        <v>296.56900000000002</v>
      </c>
      <c r="CE47" s="73">
        <v>224.589</v>
      </c>
      <c r="CF47" s="64" t="str">
        <f>IF((RD[[#This Row],[33 kV_Wind_F1_Export reading]]-BO46)*165000&lt;=0,"",(RD[[#This Row],[33 kV_Wind_F1_Export reading]]-BO46)*165000)</f>
        <v/>
      </c>
      <c r="CG47" s="64">
        <f>IF((RD[[#This Row],[33 kV_Wind_F2_Export_reading]]-BP46)*165000&lt;=0,"",(RD[[#This Row],[33 kV_Wind_F2_Export_reading]]-BP46)*165000)</f>
        <v>86624.999999996246</v>
      </c>
      <c r="CH47" s="64">
        <f>IF((RD[[#This Row],[33 kV_Wind_F3_Export_Reading]]-BQ46)*225000&lt;=0,"",(RD[[#This Row],[33 kV_Wind_F3_Export_Reading]]-BQ46)*225000)</f>
        <v>221399.99999999881</v>
      </c>
      <c r="CI47" s="64">
        <f>IF((RD[[#This Row],[33 kV_Wind_F4_Export Reading]]-BR46)*165000&lt;=0,"",(RD[[#This Row],[33 kV_Wind_F4_Export Reading]]-BR46)*165000)</f>
        <v>68970.000000001048</v>
      </c>
      <c r="CJ47" s="74">
        <f>IF((RD[[#This Row],[33 kV_Solar_F1_Export Reading]]-BS46)*225000&lt;=0,"",(RD[[#This Row],[33 kV_Solar_F1_Export Reading]]-BS46)*225000)</f>
        <v>189675.00000000399</v>
      </c>
      <c r="CK47" s="74">
        <f>IF((RD[[#This Row],[33kV_Solar_F2_Export Reading]]-BT46)*225000&lt;=0,"",(RD[[#This Row],[33kV_Solar_F2_Export Reading]]-BT46)*225000)</f>
        <v>175274.99999999919</v>
      </c>
      <c r="CL47" s="186" t="str">
        <f>IF((RD[[#This Row],[33 kV_Solar_F3_Export reading]]-BU46)*225000&lt;=0,"",(RD[[#This Row],[33 kV_Solar_F3_Export reading]]-BU46)*225000)</f>
        <v/>
      </c>
      <c r="CM47" s="63">
        <f>IF((RD[[#This Row],[32kV_Solar_F4_Export reading]]-BV46)*225000&lt;=0,"",(RD[[#This Row],[32kV_Solar_F4_Export reading]]-BV46)*225000)</f>
        <v>170325.00000000114</v>
      </c>
      <c r="CN47" s="64">
        <f>IF((RD[[#This Row],[33kV_OG1_Export reading]]-BW46)*1000&lt;=0,0,(RD[[#This Row],[33kV_OG1_Export reading]]-BW46)*1000)</f>
        <v>536000</v>
      </c>
      <c r="CO47" s="64">
        <f>IFERROR(IF((RD[[#This Row],[33kV_OG2_Export reading]]-BX46)*1000&lt;=0,0,(RD[[#This Row],[33kV_OG2_Export reading]]-BX46)*1000),0)</f>
        <v>370000</v>
      </c>
      <c r="CP47" s="74">
        <f>IF((RD[[#This Row],[220kV_TX1_Export reading]]-BY46)*800000&lt;=0,0,(RD[[#This Row],[220kV_TX1_Export reading]]-BY46)*800000)</f>
        <v>532799.99999999744</v>
      </c>
      <c r="CQ47" s="186">
        <f>IF((RD[[#This Row],[220kV_Tx2_Export reading]]-BZ46)*800000&lt;=0,0,(RD[[#This Row],[220kV_Tx2_Export reading]]-BZ46)*800000)</f>
        <v>364799.99999999109</v>
      </c>
      <c r="CR47" s="64">
        <f>IF((RD[[#This Row],[220kV_TL_TVM Export Reading]]-CA46)*1600000&lt;=0,0,(RD[[#This Row],[220kV_TL_TVM Export Reading]]-CA46)*1600000)</f>
        <v>900800.00000007206</v>
      </c>
      <c r="CS47" s="64">
        <f>IF((RD[[#This Row],[220kV_C&amp;R_PQM reading]]-CB46)*1600000&lt;=0,"",(RD[[#This Row],[220kV_C&amp;R_PQM reading]]-CB46)*1600000)</f>
        <v>899199.99999999616</v>
      </c>
      <c r="CT47" s="186">
        <f>IFERROR(IF((RD[[#This Row],[220KV_C&amp;R_PQM Import Reading]]-CC46)*1600000&lt;=0,0,(RD[[#This Row],[220KV_C&amp;R_PQM Import Reading]]-CC46)*1600000),"")</f>
        <v>1600.0000000000014</v>
      </c>
      <c r="CU47" s="64">
        <f>IF((RD[[#This Row],[33kV_Aux1 Import Reading]]-CD46)*1000&lt;=0,"",(RD[[#This Row],[33kV_Aux1 Import Reading]]-CD46)*1000)</f>
        <v>20.000000000038654</v>
      </c>
      <c r="CV47" s="64">
        <f>IF((RD[[#This Row],[33kV_Aux2_Import reading]]-CE46)*1000&lt;=0,"",(RD[[#This Row],[33kV_Aux2_Import reading]]-CE46)*1000)</f>
        <v>370.00000000000455</v>
      </c>
      <c r="CW47" s="64">
        <f>IFERROR(RD[[#This Row],[33kV_OG1_Energy (MWh)]]+RD[[#This Row],[33kV_OG2_Energy (MWh)]],"")</f>
        <v>906000</v>
      </c>
      <c r="CX47" s="72">
        <f>IFERROR(RD[[#This Row],[220kV_TL_TVM Energy (MWh)]]-RD[[#This Row],[220KV_C&amp;R_PQM Import (MWh)]],"")</f>
        <v>899200.00000007206</v>
      </c>
      <c r="CY47" s="187">
        <f>IFERROR(RD[[#This Row],[33 kV Total Export (MWH)]]/RD[[#This Row],[220 KV Net Export (MWh)]]-1,"")</f>
        <v>7.5622775799903952E-3</v>
      </c>
      <c r="CZ47" s="188">
        <f t="shared" si="80"/>
        <v>50.6</v>
      </c>
      <c r="DA47" s="189">
        <v>97</v>
      </c>
      <c r="DB47" s="190"/>
      <c r="DC47" s="68">
        <f>IFERROR((RD[[#This Row],[Sunset Time (POA&lt;20 W/m2)]]-RD[[#This Row],[Sunrise Time (POA&gt;20 W/m2)]])*24,0)</f>
        <v>12.033333333333333</v>
      </c>
      <c r="DD47" s="70">
        <f>SUM(RD[[#This Row],[33 kV_Wind_F3_Export_Reading3]],CJ47,CK47,CL47,CM47)</f>
        <v>756675.00000000314</v>
      </c>
      <c r="DE47" s="68">
        <v>140</v>
      </c>
      <c r="DF47" s="70">
        <f t="shared" si="82"/>
        <v>155594.99999999729</v>
      </c>
      <c r="DG47" s="70">
        <v>157.97999999999999</v>
      </c>
      <c r="DH47">
        <f>'WTG Reactive Power'!AB45</f>
        <v>35494.1</v>
      </c>
    </row>
    <row r="48" spans="1:112">
      <c r="A48" s="173">
        <f>YEAR(RD[[#This Row],[Date]])+IF(MONTH(RD[[#This Row],[Date]])&gt;=4,1,0)</f>
        <v>2026</v>
      </c>
      <c r="B48" s="173">
        <f>YEAR(RD[[#This Row],[Date]])</f>
        <v>2025</v>
      </c>
      <c r="C48" s="174">
        <f t="shared" si="72"/>
        <v>45778</v>
      </c>
      <c r="D48" s="173">
        <f>DAY(EOMONTH(RD[[#This Row],[Date]],0))</f>
        <v>31</v>
      </c>
      <c r="E48" s="175">
        <f t="shared" si="73"/>
        <v>45788</v>
      </c>
      <c r="F48" s="176">
        <v>0.2638888888888889</v>
      </c>
      <c r="G48" s="176">
        <v>0.76041666666666663</v>
      </c>
      <c r="H48" s="177">
        <v>11432</v>
      </c>
      <c r="I48" s="177">
        <v>11518</v>
      </c>
      <c r="J48" s="177">
        <v>10044</v>
      </c>
      <c r="K48" s="177">
        <v>7440</v>
      </c>
      <c r="L48" s="177">
        <v>8012</v>
      </c>
      <c r="M48" s="177">
        <v>8702</v>
      </c>
      <c r="N48" s="177">
        <v>8697</v>
      </c>
      <c r="O48" s="177">
        <v>9907</v>
      </c>
      <c r="P48" s="177">
        <v>7301</v>
      </c>
      <c r="Q48" s="177">
        <v>8614</v>
      </c>
      <c r="R48" s="177">
        <v>7730</v>
      </c>
      <c r="S48" s="177">
        <v>9690</v>
      </c>
      <c r="T48" s="177">
        <v>8949</v>
      </c>
      <c r="U48" s="177">
        <v>7885</v>
      </c>
      <c r="V48" s="177">
        <v>12248</v>
      </c>
      <c r="W48" s="177">
        <v>11660</v>
      </c>
      <c r="X48" s="177">
        <v>12222</v>
      </c>
      <c r="Y48" s="177">
        <v>9689</v>
      </c>
      <c r="Z48" s="177">
        <v>8613</v>
      </c>
      <c r="AA48" s="177">
        <v>7507</v>
      </c>
      <c r="AB48" s="177">
        <v>9828</v>
      </c>
      <c r="AC48" s="177">
        <v>8590</v>
      </c>
      <c r="AD48" s="177">
        <v>10601</v>
      </c>
      <c r="AE48" s="71">
        <v>5.08</v>
      </c>
      <c r="AF48" s="71">
        <v>5.1189999999999998</v>
      </c>
      <c r="AG48" s="71">
        <v>4.9669999999999996</v>
      </c>
      <c r="AH48" s="71">
        <v>4.5620000000000003</v>
      </c>
      <c r="AI48" s="71">
        <v>4.72</v>
      </c>
      <c r="AJ48" s="71">
        <v>4.6900000000000004</v>
      </c>
      <c r="AK48" s="71">
        <v>4.7240000000000002</v>
      </c>
      <c r="AL48" s="71">
        <v>4.9640000000000004</v>
      </c>
      <c r="AM48" s="71">
        <v>4.6840000000000002</v>
      </c>
      <c r="AN48" s="71">
        <v>4.702</v>
      </c>
      <c r="AO48" s="71">
        <v>4.7350000000000003</v>
      </c>
      <c r="AP48" s="71">
        <v>4.8029999999999999</v>
      </c>
      <c r="AQ48" s="71">
        <v>4.702</v>
      </c>
      <c r="AR48" s="71">
        <v>4.601</v>
      </c>
      <c r="AS48" s="71">
        <v>5.4249999999999998</v>
      </c>
      <c r="AT48" s="71">
        <v>5.1589999999999998</v>
      </c>
      <c r="AU48" s="71">
        <v>5.218</v>
      </c>
      <c r="AV48" s="71">
        <v>4.9119999999999999</v>
      </c>
      <c r="AW48" s="71">
        <v>4.84</v>
      </c>
      <c r="AX48" s="71">
        <v>4.5590000000000002</v>
      </c>
      <c r="AY48" s="71">
        <v>5.069</v>
      </c>
      <c r="AZ48" s="71">
        <v>4.8620000000000001</v>
      </c>
      <c r="BA48" s="71">
        <v>5.0110000000000001</v>
      </c>
      <c r="BB48" s="178">
        <f t="shared" si="74"/>
        <v>92712</v>
      </c>
      <c r="BC48" s="179">
        <f t="shared" si="75"/>
        <v>23882</v>
      </c>
      <c r="BD48" s="180">
        <f t="shared" si="70"/>
        <v>71992</v>
      </c>
      <c r="BE48" s="179">
        <f t="shared" si="76"/>
        <v>9689</v>
      </c>
      <c r="BF48" s="179">
        <f t="shared" si="71"/>
        <v>18604</v>
      </c>
      <c r="BG48" s="179">
        <f>SUM(RD[[#This Row],[KUD01]:[KUD23]])</f>
        <v>216879</v>
      </c>
      <c r="BH48" s="181">
        <f t="shared" si="77"/>
        <v>4.8414000000000001</v>
      </c>
      <c r="BI48" s="182">
        <f t="shared" si="78"/>
        <v>5.1884999999999994</v>
      </c>
      <c r="BJ48" s="182">
        <f t="shared" si="79"/>
        <v>4.8405000000000005</v>
      </c>
      <c r="BK48" s="183">
        <f t="shared" si="81"/>
        <v>4.9119999999999999</v>
      </c>
      <c r="BL48" s="61">
        <f>IFERROR(AVERAGEIF(RD[[#This Row],[WS_KUD07]:[WS_KUD08]],"&lt;&gt;0",RD[[#This Row],[WS_KUD07]:[WS_KUD08]]),"")</f>
        <v>4.8440000000000003</v>
      </c>
      <c r="BM48" s="184">
        <f>IFERROR(AVERAGE(RD[[#This Row],[WS_KUD01]:[WS_KUD23]]),"")</f>
        <v>4.8742608695652176</v>
      </c>
      <c r="BN48" s="185">
        <f>IFERROR(MAX(RD[[#This Row],[WS_KUD01]:[WS_KUD23]]),"")</f>
        <v>5.4249999999999998</v>
      </c>
      <c r="BO48" s="73">
        <v>640.30499999999995</v>
      </c>
      <c r="BP48" s="73">
        <v>899.779</v>
      </c>
      <c r="BQ48" s="73">
        <v>73.528000000000006</v>
      </c>
      <c r="BR48" s="73">
        <v>230.583</v>
      </c>
      <c r="BS48" s="73">
        <v>187.60599999999999</v>
      </c>
      <c r="BT48" s="73">
        <v>296.12200000000001</v>
      </c>
      <c r="BU48" s="73"/>
      <c r="BV48" s="73">
        <v>85.570999999999998</v>
      </c>
      <c r="BW48" s="73">
        <v>196446</v>
      </c>
      <c r="BX48" s="73">
        <v>256252</v>
      </c>
      <c r="BY48" s="73">
        <v>130.86799999999999</v>
      </c>
      <c r="BZ48" s="73">
        <v>79.387</v>
      </c>
      <c r="CA48" s="73">
        <v>280.71699999999998</v>
      </c>
      <c r="CB48" s="73">
        <v>105.79900000000001</v>
      </c>
      <c r="CC48" s="73">
        <v>0.11700000000000001</v>
      </c>
      <c r="CD48" s="73">
        <v>0</v>
      </c>
      <c r="CE48" s="73">
        <v>224.96899999999999</v>
      </c>
      <c r="CF48" s="64" t="str">
        <f>IF((RD[[#This Row],[33 kV_Wind_F1_Export reading]]-BO47)*165000&lt;=0,"",(RD[[#This Row],[33 kV_Wind_F1_Export reading]]-BO47)*165000)</f>
        <v/>
      </c>
      <c r="CG48" s="64">
        <f>IF((RD[[#This Row],[33 kV_Wind_F2_Export_reading]]-BP47)*165000&lt;=0,"",(RD[[#This Row],[33 kV_Wind_F2_Export_reading]]-BP47)*165000)</f>
        <v>104114.99999999534</v>
      </c>
      <c r="CH48" s="64">
        <f>IF((RD[[#This Row],[33 kV_Wind_F3_Export_Reading]]-BQ47)*225000&lt;=0,"",(RD[[#This Row],[33 kV_Wind_F3_Export_Reading]]-BQ47)*225000)</f>
        <v>205875.0000000014</v>
      </c>
      <c r="CI48" s="64">
        <f>IF((RD[[#This Row],[33 kV_Wind_F4_Export Reading]]-BR47)*165000&lt;=0,"",(RD[[#This Row],[33 kV_Wind_F4_Export Reading]]-BR47)*165000)</f>
        <v>99659.999999997526</v>
      </c>
      <c r="CJ48" s="74">
        <f>IF((RD[[#This Row],[33 kV_Solar_F1_Export Reading]]-BS47)*225000&lt;=0,"",(RD[[#This Row],[33 kV_Solar_F1_Export Reading]]-BS47)*225000)</f>
        <v>180224.99999999724</v>
      </c>
      <c r="CK48" s="74">
        <f>IF((RD[[#This Row],[33kV_Solar_F2_Export Reading]]-BT47)*225000&lt;=0,"",(RD[[#This Row],[33kV_Solar_F2_Export Reading]]-BT47)*225000)</f>
        <v>167400.00000000634</v>
      </c>
      <c r="CL48" s="186" t="str">
        <f>IF((RD[[#This Row],[33 kV_Solar_F3_Export reading]]-BU47)*225000&lt;=0,"",(RD[[#This Row],[33 kV_Solar_F3_Export reading]]-BU47)*225000)</f>
        <v/>
      </c>
      <c r="CM48" s="63">
        <f>IF((RD[[#This Row],[32kV_Solar_F4_Export reading]]-BV47)*225000&lt;=0,"",(RD[[#This Row],[32kV_Solar_F4_Export reading]]-BV47)*225000)</f>
        <v>155249.99999999948</v>
      </c>
      <c r="CN48" s="64">
        <f>IF((RD[[#This Row],[33kV_OG1_Export reading]]-BW47)*1000&lt;=0,0,(RD[[#This Row],[33kV_OG1_Export reading]]-BW47)*1000)</f>
        <v>503000</v>
      </c>
      <c r="CO48" s="64">
        <f>IFERROR(IF((RD[[#This Row],[33kV_OG2_Export reading]]-BX47)*1000&lt;=0,0,(RD[[#This Row],[33kV_OG2_Export reading]]-BX47)*1000),0)</f>
        <v>415000</v>
      </c>
      <c r="CP48" s="74">
        <f>IF((RD[[#This Row],[220kV_TX1_Export reading]]-BY47)*800000&lt;=0,0,(RD[[#This Row],[220kV_TX1_Export reading]]-BY47)*800000)</f>
        <v>497599.99999998853</v>
      </c>
      <c r="CQ48" s="186">
        <f>IF((RD[[#This Row],[220kV_Tx2_Export reading]]-BZ47)*800000&lt;=0,0,(RD[[#This Row],[220kV_Tx2_Export reading]]-BZ47)*800000)</f>
        <v>410400.00000000419</v>
      </c>
      <c r="CR48" s="64">
        <f>IF((RD[[#This Row],[220kV_TL_TVM Export Reading]]-CA47)*1600000&lt;=0,0,(RD[[#This Row],[220kV_TL_TVM Export Reading]]-CA47)*1600000)</f>
        <v>910399.99999993597</v>
      </c>
      <c r="CS48" s="64">
        <f>IF((RD[[#This Row],[220kV_C&amp;R_PQM reading]]-CB47)*1600000&lt;=0,"",(RD[[#This Row],[220kV_C&amp;R_PQM reading]]-CB47)*1600000)</f>
        <v>912000.00000001187</v>
      </c>
      <c r="CT48" s="186">
        <f>IFERROR(IF((RD[[#This Row],[220KV_C&amp;R_PQM Import Reading]]-CC47)*1600000&lt;=0,0,(RD[[#This Row],[220KV_C&amp;R_PQM Import Reading]]-CC47)*1600000),"")</f>
        <v>0</v>
      </c>
      <c r="CU48" s="64" t="str">
        <f>IF((RD[[#This Row],[33kV_Aux1 Import Reading]]-CD47)*1000&lt;=0,"",(RD[[#This Row],[33kV_Aux1 Import Reading]]-CD47)*1000)</f>
        <v/>
      </c>
      <c r="CV48" s="64">
        <f>IF((RD[[#This Row],[33kV_Aux2_Import reading]]-CE47)*1000&lt;=0,"",(RD[[#This Row],[33kV_Aux2_Import reading]]-CE47)*1000)</f>
        <v>379.99999999999545</v>
      </c>
      <c r="CW48" s="64">
        <f>IFERROR(RD[[#This Row],[33kV_OG1_Energy (MWh)]]+RD[[#This Row],[33kV_OG2_Energy (MWh)]],"")</f>
        <v>918000</v>
      </c>
      <c r="CX48" s="72">
        <f>IFERROR(RD[[#This Row],[220kV_TL_TVM Energy (MWh)]]-RD[[#This Row],[220KV_C&amp;R_PQM Import (MWh)]],"")</f>
        <v>910399.99999993597</v>
      </c>
      <c r="CY48" s="187">
        <f>IFERROR(RD[[#This Row],[33 kV Total Export (MWH)]]/RD[[#This Row],[220 KV Net Export (MWh)]]-1,"")</f>
        <v>8.3479789104399238E-3</v>
      </c>
      <c r="CZ48" s="188">
        <f t="shared" si="80"/>
        <v>50.6</v>
      </c>
      <c r="DA48" s="189">
        <v>96</v>
      </c>
      <c r="DB48" s="190"/>
      <c r="DC48" s="68">
        <f>IFERROR((RD[[#This Row],[Sunset Time (POA&lt;20 W/m2)]]-RD[[#This Row],[Sunrise Time (POA&gt;20 W/m2)]])*24,0)</f>
        <v>11.916666666666666</v>
      </c>
      <c r="DD48" s="70">
        <f>SUM(RD[[#This Row],[33 kV_Wind_F3_Export_Reading3]],CJ48,CK48,CL48,CM48)</f>
        <v>708750.00000000442</v>
      </c>
      <c r="DE48" s="68">
        <v>140</v>
      </c>
      <c r="DF48" s="70">
        <f t="shared" si="82"/>
        <v>203774.99999999287</v>
      </c>
      <c r="DG48" s="70">
        <v>217.24</v>
      </c>
      <c r="DH48">
        <f>'WTG Reactive Power'!AB46</f>
        <v>43764.800000000003</v>
      </c>
    </row>
    <row r="49" spans="1:112">
      <c r="A49" s="173">
        <f>YEAR(RD[[#This Row],[Date]])+IF(MONTH(RD[[#This Row],[Date]])&gt;=4,1,0)</f>
        <v>2026</v>
      </c>
      <c r="B49" s="173">
        <f>YEAR(RD[[#This Row],[Date]])</f>
        <v>2025</v>
      </c>
      <c r="C49" s="174">
        <f t="shared" si="72"/>
        <v>45778</v>
      </c>
      <c r="D49" s="173">
        <f>DAY(EOMONTH(RD[[#This Row],[Date]],0))</f>
        <v>31</v>
      </c>
      <c r="E49" s="175">
        <f t="shared" si="73"/>
        <v>45789</v>
      </c>
      <c r="F49" s="204">
        <v>0.26319444444444445</v>
      </c>
      <c r="G49" s="204">
        <v>0.76250000000000007</v>
      </c>
      <c r="H49" s="177">
        <v>7619</v>
      </c>
      <c r="I49" s="177">
        <v>8497</v>
      </c>
      <c r="J49" s="177">
        <v>4967</v>
      </c>
      <c r="K49" s="177">
        <v>5548</v>
      </c>
      <c r="L49" s="177">
        <v>5829</v>
      </c>
      <c r="M49" s="177">
        <v>5360</v>
      </c>
      <c r="N49" s="177">
        <v>5181</v>
      </c>
      <c r="O49" s="177">
        <v>5847</v>
      </c>
      <c r="P49" s="177">
        <v>6315</v>
      </c>
      <c r="Q49" s="177">
        <v>5625</v>
      </c>
      <c r="R49" s="177">
        <v>5799</v>
      </c>
      <c r="S49" s="177">
        <v>4885</v>
      </c>
      <c r="T49" s="177">
        <v>6153</v>
      </c>
      <c r="U49" s="177">
        <v>5480</v>
      </c>
      <c r="V49" s="177">
        <v>8503</v>
      </c>
      <c r="W49" s="177">
        <v>8733</v>
      </c>
      <c r="X49" s="177">
        <v>8423</v>
      </c>
      <c r="Y49" s="177">
        <v>6126</v>
      </c>
      <c r="Z49" s="177">
        <v>6457</v>
      </c>
      <c r="AA49" s="177">
        <v>5340</v>
      </c>
      <c r="AB49" s="177">
        <v>7496</v>
      </c>
      <c r="AC49" s="177">
        <v>6734</v>
      </c>
      <c r="AD49" s="177">
        <v>8228</v>
      </c>
      <c r="AE49" s="71">
        <v>4.8858620689655163</v>
      </c>
      <c r="AF49" s="71">
        <v>5.0910948275862067</v>
      </c>
      <c r="AG49" s="71">
        <v>4.6444482758620689</v>
      </c>
      <c r="AH49" s="71">
        <v>4.5513017241379323</v>
      </c>
      <c r="AI49" s="71">
        <v>4.649172413793103</v>
      </c>
      <c r="AJ49" s="71">
        <v>4.5548448275862032</v>
      </c>
      <c r="AK49" s="71">
        <v>4.5454224137931023</v>
      </c>
      <c r="AL49" s="71">
        <v>4.7102173913043455</v>
      </c>
      <c r="AM49" s="71">
        <v>4.7870431034482746</v>
      </c>
      <c r="AN49" s="71">
        <v>4.5187844827586217</v>
      </c>
      <c r="AO49" s="71">
        <v>4.8349655172413781</v>
      </c>
      <c r="AP49" s="71">
        <v>4.5389999999999997</v>
      </c>
      <c r="AQ49" s="71">
        <v>4.7466293103448303</v>
      </c>
      <c r="AR49" s="71">
        <v>4.5570172413793104</v>
      </c>
      <c r="AS49" s="71">
        <v>5.2602241379310311</v>
      </c>
      <c r="AT49" s="71">
        <v>5.1763362068965515</v>
      </c>
      <c r="AU49" s="71">
        <v>5.0874051724137939</v>
      </c>
      <c r="AV49" s="71">
        <v>4.7362068965517246</v>
      </c>
      <c r="AW49" s="71">
        <v>4.789008695652174</v>
      </c>
      <c r="AX49" s="71">
        <v>4.6269051724137933</v>
      </c>
      <c r="AY49" s="71">
        <v>5.1619827586206917</v>
      </c>
      <c r="AZ49" s="71">
        <v>4.9291551724137914</v>
      </c>
      <c r="BA49" s="71">
        <v>5.0526293103448285</v>
      </c>
      <c r="BB49" s="178">
        <f t="shared" si="74"/>
        <v>60828</v>
      </c>
      <c r="BC49" s="179">
        <f t="shared" si="75"/>
        <v>17156</v>
      </c>
      <c r="BD49" s="180">
        <f t="shared" si="70"/>
        <v>54007</v>
      </c>
      <c r="BE49" s="179">
        <f t="shared" si="76"/>
        <v>6126</v>
      </c>
      <c r="BF49" s="179">
        <f t="shared" si="71"/>
        <v>11028</v>
      </c>
      <c r="BG49" s="179">
        <f>SUM(RD[[#This Row],[KUD01]:[KUD23]])</f>
        <v>149145</v>
      </c>
      <c r="BH49" s="181">
        <f t="shared" si="77"/>
        <v>4.7402844902548722</v>
      </c>
      <c r="BI49" s="182">
        <f t="shared" si="78"/>
        <v>5.1318706896551731</v>
      </c>
      <c r="BJ49" s="182">
        <f t="shared" si="79"/>
        <v>4.8032863943028481</v>
      </c>
      <c r="BK49" s="183">
        <f t="shared" si="81"/>
        <v>4.7362068965517246</v>
      </c>
      <c r="BL49" s="61">
        <f>IFERROR(AVERAGEIF(RD[[#This Row],[WS_KUD07]:[WS_KUD08]],"&lt;&gt;0",RD[[#This Row],[WS_KUD07]:[WS_KUD08]]),"")</f>
        <v>4.6278199025487243</v>
      </c>
      <c r="BM49" s="184">
        <f>IFERROR(AVERAGE(RD[[#This Row],[WS_KUD01]:[WS_KUD23]]),"")</f>
        <v>4.8015503096277943</v>
      </c>
      <c r="BN49" s="185">
        <f>IFERROR(MAX(RD[[#This Row],[WS_KUD01]:[WS_KUD23]]),"")</f>
        <v>5.2602241379310311</v>
      </c>
      <c r="BO49" s="73">
        <v>640.30499999999995</v>
      </c>
      <c r="BP49" s="73">
        <v>900.25900000000001</v>
      </c>
      <c r="BQ49" s="73">
        <v>74.31</v>
      </c>
      <c r="BR49" s="73">
        <v>230.97399999999999</v>
      </c>
      <c r="BS49" s="73">
        <v>188.429</v>
      </c>
      <c r="BT49" s="73">
        <v>296.93900000000002</v>
      </c>
      <c r="BU49" s="73"/>
      <c r="BV49" s="73">
        <v>86.174000000000007</v>
      </c>
      <c r="BW49" s="73">
        <v>196951</v>
      </c>
      <c r="BX49" s="73">
        <v>256571</v>
      </c>
      <c r="BY49" s="73">
        <v>131.49299999999999</v>
      </c>
      <c r="BZ49" s="73">
        <v>79.781000000000006</v>
      </c>
      <c r="CA49" s="73">
        <v>281.22800000000001</v>
      </c>
      <c r="CB49" s="73">
        <v>106.31100000000001</v>
      </c>
      <c r="CC49" s="73">
        <v>0.11700000000000001</v>
      </c>
      <c r="CD49" s="73">
        <v>0</v>
      </c>
      <c r="CE49" s="73">
        <v>225.32900000000001</v>
      </c>
      <c r="CF49" s="64" t="str">
        <f>IF((RD[[#This Row],[33 kV_Wind_F1_Export reading]]-BO48)*165000&lt;=0,"",(RD[[#This Row],[33 kV_Wind_F1_Export reading]]-BO48)*165000)</f>
        <v/>
      </c>
      <c r="CG49" s="64">
        <f>IF((RD[[#This Row],[33 kV_Wind_F2_Export_reading]]-BP48)*165000&lt;=0,"",(RD[[#This Row],[33 kV_Wind_F2_Export_reading]]-BP48)*165000)</f>
        <v>79200.000000002998</v>
      </c>
      <c r="CH49" s="64">
        <f>IF((RD[[#This Row],[33 kV_Wind_F3_Export_Reading]]-BQ48)*225000&lt;=0,"",(RD[[#This Row],[33 kV_Wind_F3_Export_Reading]]-BQ48)*225000)</f>
        <v>175949.99999999921</v>
      </c>
      <c r="CI49" s="64">
        <f>IF((RD[[#This Row],[33 kV_Wind_F4_Export Reading]]-BR48)*165000&lt;=0,"",(RD[[#This Row],[33 kV_Wind_F4_Export Reading]]-BR48)*165000)</f>
        <v>64514.999999998538</v>
      </c>
      <c r="CJ49" s="74">
        <f>IF((RD[[#This Row],[33 kV_Solar_F1_Export Reading]]-BS48)*225000&lt;=0,"",(RD[[#This Row],[33 kV_Solar_F1_Export Reading]]-BS48)*225000)</f>
        <v>185175.00000000169</v>
      </c>
      <c r="CK49" s="74">
        <f>IF((RD[[#This Row],[33kV_Solar_F2_Export Reading]]-BT48)*225000&lt;=0,"",(RD[[#This Row],[33kV_Solar_F2_Export Reading]]-BT48)*225000)</f>
        <v>183825.00000000163</v>
      </c>
      <c r="CL49" s="186" t="str">
        <f>IF((RD[[#This Row],[33 kV_Solar_F3_Export reading]]-BU48)*225000&lt;=0,"",(RD[[#This Row],[33 kV_Solar_F3_Export reading]]-BU48)*225000)</f>
        <v/>
      </c>
      <c r="CM49" s="63">
        <f>IF((RD[[#This Row],[32kV_Solar_F4_Export reading]]-BV48)*225000&lt;=0,"",(RD[[#This Row],[32kV_Solar_F4_Export reading]]-BV48)*225000)</f>
        <v>135675.00000000195</v>
      </c>
      <c r="CN49" s="64">
        <f>IF((RD[[#This Row],[33kV_OG1_Export reading]]-BW48)*1000&lt;=0,0,(RD[[#This Row],[33kV_OG1_Export reading]]-BW48)*1000)</f>
        <v>505000</v>
      </c>
      <c r="CO49" s="64">
        <f>IFERROR(IF((RD[[#This Row],[33kV_OG2_Export reading]]-BX48)*1000&lt;=0,0,(RD[[#This Row],[33kV_OG2_Export reading]]-BX48)*1000),0)</f>
        <v>319000</v>
      </c>
      <c r="CP49" s="74">
        <f>IF((RD[[#This Row],[220kV_TX1_Export reading]]-BY48)*800000&lt;=0,0,(RD[[#This Row],[220kV_TX1_Export reading]]-BY48)*800000)</f>
        <v>500000</v>
      </c>
      <c r="CQ49" s="186">
        <f>IF((RD[[#This Row],[220kV_Tx2_Export reading]]-BZ48)*800000&lt;=0,0,(RD[[#This Row],[220kV_Tx2_Export reading]]-BZ48)*800000)</f>
        <v>315200.00000000437</v>
      </c>
      <c r="CR49" s="64">
        <f>IF((RD[[#This Row],[220kV_TL_TVM Export Reading]]-CA48)*1600000&lt;=0,0,(RD[[#This Row],[220kV_TL_TVM Export Reading]]-CA48)*1600000)</f>
        <v>817600.00000003853</v>
      </c>
      <c r="CS49" s="64">
        <f>IF((RD[[#This Row],[220kV_C&amp;R_PQM reading]]-CB48)*1600000&lt;=0,"",(RD[[#This Row],[220kV_C&amp;R_PQM reading]]-CB48)*1600000)</f>
        <v>819200.0000000007</v>
      </c>
      <c r="CT49" s="186">
        <f>IFERROR(IF((RD[[#This Row],[220KV_C&amp;R_PQM Import Reading]]-CC48)*1600000&lt;=0,0,(RD[[#This Row],[220KV_C&amp;R_PQM Import Reading]]-CC48)*1600000),"")</f>
        <v>0</v>
      </c>
      <c r="CU49" s="64" t="str">
        <f>IF((RD[[#This Row],[33kV_Aux1 Import Reading]]-CD48)*1000&lt;=0,"",(RD[[#This Row],[33kV_Aux1 Import Reading]]-CD48)*1000)</f>
        <v/>
      </c>
      <c r="CV49" s="64">
        <f>IF((RD[[#This Row],[33kV_Aux2_Import reading]]-CE48)*1000&lt;=0,"",(RD[[#This Row],[33kV_Aux2_Import reading]]-CE48)*1000)</f>
        <v>360.00000000001364</v>
      </c>
      <c r="CW49" s="64">
        <f>IFERROR(RD[[#This Row],[33kV_OG1_Energy (MWh)]]+RD[[#This Row],[33kV_OG2_Energy (MWh)]],"")</f>
        <v>824000</v>
      </c>
      <c r="CX49" s="72">
        <f>IFERROR(RD[[#This Row],[220kV_TL_TVM Energy (MWh)]]-RD[[#This Row],[220KV_C&amp;R_PQM Import (MWh)]],"")</f>
        <v>817600.00000003853</v>
      </c>
      <c r="CY49" s="187">
        <f>IFERROR(RD[[#This Row],[33 kV Total Export (MWH)]]/RD[[#This Row],[220 KV Net Export (MWh)]]-1,"")</f>
        <v>7.8277886496589399E-3</v>
      </c>
      <c r="CZ49" s="188">
        <f t="shared" si="80"/>
        <v>50.6</v>
      </c>
      <c r="DA49" s="189">
        <v>0</v>
      </c>
      <c r="DB49" s="190"/>
      <c r="DC49" s="68">
        <f>IFERROR((RD[[#This Row],[Sunset Time (POA&lt;20 W/m2)]]-RD[[#This Row],[Sunrise Time (POA&gt;20 W/m2)]])*24,0)</f>
        <v>11.983333333333334</v>
      </c>
      <c r="DD49" s="70">
        <f>SUM(RD[[#This Row],[33 kV_Wind_F3_Export_Reading3]],CJ49,CK49,CL49,CM49)</f>
        <v>680625.00000000454</v>
      </c>
      <c r="DE49" s="68">
        <v>140</v>
      </c>
      <c r="DF49" s="70">
        <f t="shared" si="82"/>
        <v>143715.00000000154</v>
      </c>
      <c r="DG49" s="70">
        <v>156.47</v>
      </c>
      <c r="DH49">
        <f>'WTG Reactive Power'!AB47</f>
        <v>67113.5</v>
      </c>
    </row>
    <row r="50" spans="1:112">
      <c r="A50" s="173">
        <f>YEAR(RD[[#This Row],[Date]])+IF(MONTH(RD[[#This Row],[Date]])&gt;=4,1,0)</f>
        <v>2026</v>
      </c>
      <c r="B50" s="173">
        <f>YEAR(RD[[#This Row],[Date]])</f>
        <v>2025</v>
      </c>
      <c r="C50" s="174">
        <f t="shared" si="72"/>
        <v>45778</v>
      </c>
      <c r="D50" s="173">
        <f>DAY(EOMONTH(RD[[#This Row],[Date]],0))</f>
        <v>31</v>
      </c>
      <c r="E50" s="175">
        <f t="shared" si="73"/>
        <v>45790</v>
      </c>
      <c r="F50" s="176">
        <v>0.30486111111111108</v>
      </c>
      <c r="G50" s="176">
        <v>0.75694444444444442</v>
      </c>
      <c r="H50" s="177">
        <v>5141.3</v>
      </c>
      <c r="I50" s="177">
        <v>5708.8</v>
      </c>
      <c r="J50" s="177">
        <v>3089.2</v>
      </c>
      <c r="K50" s="177">
        <v>3793.5</v>
      </c>
      <c r="L50" s="177">
        <v>3729.6</v>
      </c>
      <c r="M50" s="177">
        <v>3314.7</v>
      </c>
      <c r="N50" s="177">
        <v>3297.2</v>
      </c>
      <c r="O50" s="177">
        <v>3508.5</v>
      </c>
      <c r="P50" s="177">
        <v>4645</v>
      </c>
      <c r="Q50" s="177">
        <v>3675.9</v>
      </c>
      <c r="R50" s="177">
        <v>3178</v>
      </c>
      <c r="S50" s="177">
        <v>4491.8999999999996</v>
      </c>
      <c r="T50" s="177">
        <v>4287.7</v>
      </c>
      <c r="U50" s="177">
        <v>3832.4</v>
      </c>
      <c r="V50" s="177">
        <v>4551.3999999999996</v>
      </c>
      <c r="W50" s="177">
        <v>3603.6</v>
      </c>
      <c r="X50" s="177">
        <v>5172.1000000000004</v>
      </c>
      <c r="Y50" s="177">
        <v>3607.3</v>
      </c>
      <c r="Z50" s="177">
        <v>4476.3999999999996</v>
      </c>
      <c r="AA50" s="177">
        <v>4427.8</v>
      </c>
      <c r="AB50" s="177">
        <v>4755.5</v>
      </c>
      <c r="AC50" s="177">
        <v>4670.3999999999996</v>
      </c>
      <c r="AD50" s="177">
        <v>4813.8999999999996</v>
      </c>
      <c r="AE50" s="71">
        <v>4.2</v>
      </c>
      <c r="AF50" s="71">
        <v>4.4000000000000004</v>
      </c>
      <c r="AG50" s="71">
        <v>3.7</v>
      </c>
      <c r="AH50" s="71">
        <v>4</v>
      </c>
      <c r="AI50" s="71">
        <v>3.9</v>
      </c>
      <c r="AJ50" s="71">
        <v>3.8</v>
      </c>
      <c r="AK50" s="71">
        <v>3.8</v>
      </c>
      <c r="AL50" s="71">
        <v>3.9</v>
      </c>
      <c r="AM50" s="71">
        <v>4.3</v>
      </c>
      <c r="AN50" s="71">
        <v>3.9</v>
      </c>
      <c r="AO50" s="71">
        <v>3.8</v>
      </c>
      <c r="AP50" s="71">
        <v>4</v>
      </c>
      <c r="AQ50" s="71">
        <v>4.0999999999999996</v>
      </c>
      <c r="AR50" s="71">
        <v>3.9</v>
      </c>
      <c r="AS50" s="71">
        <v>4.5</v>
      </c>
      <c r="AT50" s="71">
        <v>4.5999999999999996</v>
      </c>
      <c r="AU50" s="71">
        <v>4.4000000000000004</v>
      </c>
      <c r="AV50" s="71">
        <v>4.0999999999999996</v>
      </c>
      <c r="AW50" s="71">
        <v>4.2</v>
      </c>
      <c r="AX50" s="71">
        <v>4</v>
      </c>
      <c r="AY50" s="71">
        <v>4.3</v>
      </c>
      <c r="AZ50" s="71">
        <v>4.3</v>
      </c>
      <c r="BA50" s="71">
        <v>4.3</v>
      </c>
      <c r="BB50" s="178">
        <f t="shared" si="74"/>
        <v>41152.000000000007</v>
      </c>
      <c r="BC50" s="179">
        <f t="shared" si="75"/>
        <v>8775.7000000000007</v>
      </c>
      <c r="BD50" s="180">
        <f t="shared" si="70"/>
        <v>35431.4</v>
      </c>
      <c r="BE50" s="179">
        <f t="shared" si="76"/>
        <v>3607.3</v>
      </c>
      <c r="BF50" s="179">
        <f t="shared" si="71"/>
        <v>6805.7</v>
      </c>
      <c r="BG50" s="179">
        <f>SUM(RD[[#This Row],[KUD01]:[KUD23]])</f>
        <v>95772.099999999991</v>
      </c>
      <c r="BH50" s="181">
        <f t="shared" si="77"/>
        <v>4.03</v>
      </c>
      <c r="BI50" s="182">
        <f t="shared" si="78"/>
        <v>4.5</v>
      </c>
      <c r="BJ50" s="182">
        <f t="shared" si="79"/>
        <v>4.0999999999999996</v>
      </c>
      <c r="BK50" s="183">
        <f t="shared" si="81"/>
        <v>4.0999999999999996</v>
      </c>
      <c r="BL50" s="61">
        <f>IFERROR(AVERAGEIF(RD[[#This Row],[WS_KUD07]:[WS_KUD08]],"&lt;&gt;0",RD[[#This Row],[WS_KUD07]:[WS_KUD08]]),"")</f>
        <v>3.8499999999999996</v>
      </c>
      <c r="BM50" s="184">
        <f>IFERROR(AVERAGE(RD[[#This Row],[WS_KUD01]:[WS_KUD23]]),"")</f>
        <v>4.1043478260869559</v>
      </c>
      <c r="BN50" s="185">
        <f>IFERROR(MAX(RD[[#This Row],[WS_KUD01]:[WS_KUD23]]),"")</f>
        <v>4.5999999999999996</v>
      </c>
      <c r="BO50" s="73">
        <v>640.30499999999995</v>
      </c>
      <c r="BP50" s="73">
        <v>900.54600000000005</v>
      </c>
      <c r="BQ50" s="73">
        <v>75.180000000000007</v>
      </c>
      <c r="BR50" s="73">
        <v>231.245</v>
      </c>
      <c r="BS50" s="73">
        <v>189.14599999999999</v>
      </c>
      <c r="BT50" s="73">
        <v>297.577</v>
      </c>
      <c r="BU50" s="73"/>
      <c r="BV50" s="73">
        <v>86.828000000000003</v>
      </c>
      <c r="BW50" s="73">
        <v>197403</v>
      </c>
      <c r="BX50" s="73">
        <v>256858</v>
      </c>
      <c r="BY50" s="73">
        <v>132.05199999999999</v>
      </c>
      <c r="BZ50" s="73">
        <v>80.135999999999996</v>
      </c>
      <c r="CA50" s="73">
        <v>281.68599999999998</v>
      </c>
      <c r="CB50" s="73">
        <v>106.77</v>
      </c>
      <c r="CC50" s="73">
        <v>0.11799999999999999</v>
      </c>
      <c r="CD50" s="73">
        <v>0</v>
      </c>
      <c r="CE50" s="73">
        <v>225.60900000000001</v>
      </c>
      <c r="CF50" s="64" t="str">
        <f>IF((RD[[#This Row],[33 kV_Wind_F1_Export reading]]-BO49)*165000&lt;=0,"",(RD[[#This Row],[33 kV_Wind_F1_Export reading]]-BO49)*165000)</f>
        <v/>
      </c>
      <c r="CG50" s="64">
        <f>IF((RD[[#This Row],[33 kV_Wind_F2_Export_reading]]-BP49)*165000&lt;=0,"",(RD[[#This Row],[33 kV_Wind_F2_Export_reading]]-BP49)*165000)</f>
        <v>47355.000000005704</v>
      </c>
      <c r="CH50" s="64">
        <f>IF((RD[[#This Row],[33 kV_Wind_F3_Export_Reading]]-BQ49)*225000&lt;=0,"",(RD[[#This Row],[33 kV_Wind_F3_Export_Reading]]-BQ49)*225000)</f>
        <v>195750.00000000102</v>
      </c>
      <c r="CI50" s="64">
        <f>IF((RD[[#This Row],[33 kV_Wind_F4_Export Reading]]-BR49)*165000&lt;=0,"",(RD[[#This Row],[33 kV_Wind_F4_Export Reading]]-BR49)*165000)</f>
        <v>44715.000000002474</v>
      </c>
      <c r="CJ50" s="74">
        <f>IF((RD[[#This Row],[33 kV_Solar_F1_Export Reading]]-BS49)*225000&lt;=0,"",(RD[[#This Row],[33 kV_Solar_F1_Export Reading]]-BS49)*225000)</f>
        <v>161324.99999999651</v>
      </c>
      <c r="CK50" s="74">
        <f>IF((RD[[#This Row],[33kV_Solar_F2_Export Reading]]-BT49)*225000&lt;=0,"",(RD[[#This Row],[33kV_Solar_F2_Export Reading]]-BT49)*225000)</f>
        <v>143549.99999999479</v>
      </c>
      <c r="CL50" s="186" t="str">
        <f>IF((RD[[#This Row],[33 kV_Solar_F3_Export reading]]-BU49)*225000&lt;=0,"",(RD[[#This Row],[33 kV_Solar_F3_Export reading]]-BU49)*225000)</f>
        <v/>
      </c>
      <c r="CM50" s="63">
        <f>IF((RD[[#This Row],[32kV_Solar_F4_Export reading]]-BV49)*225000&lt;=0,"",(RD[[#This Row],[32kV_Solar_F4_Export reading]]-BV49)*225000)</f>
        <v>147149.99999999919</v>
      </c>
      <c r="CN50" s="64">
        <f>IF((RD[[#This Row],[33kV_OG1_Export reading]]-BW49)*1000&lt;=0,0,(RD[[#This Row],[33kV_OG1_Export reading]]-BW49)*1000)</f>
        <v>452000</v>
      </c>
      <c r="CO50" s="64">
        <f>IFERROR(IF((RD[[#This Row],[33kV_OG2_Export reading]]-BX49)*1000&lt;=0,0,(RD[[#This Row],[33kV_OG2_Export reading]]-BX49)*1000),0)</f>
        <v>287000</v>
      </c>
      <c r="CP50" s="74">
        <f>IF((RD[[#This Row],[220kV_TX1_Export reading]]-BY49)*800000&lt;=0,0,(RD[[#This Row],[220kV_TX1_Export reading]]-BY49)*800000)</f>
        <v>447199.99999999802</v>
      </c>
      <c r="CQ50" s="186">
        <f>IF((RD[[#This Row],[220kV_Tx2_Export reading]]-BZ49)*800000&lt;=0,0,(RD[[#This Row],[220kV_Tx2_Export reading]]-BZ49)*800000)</f>
        <v>283999.99999999179</v>
      </c>
      <c r="CR50" s="64">
        <f>IF((RD[[#This Row],[220kV_TL_TVM Export Reading]]-CA49)*1600000&lt;=0,0,(RD[[#This Row],[220kV_TL_TVM Export Reading]]-CA49)*1600000)</f>
        <v>732799.99999995204</v>
      </c>
      <c r="CS50" s="64">
        <f>IF((RD[[#This Row],[220kV_C&amp;R_PQM reading]]-CB49)*1600000&lt;=0,"",(RD[[#This Row],[220kV_C&amp;R_PQM reading]]-CB49)*1600000)</f>
        <v>734399.9999999823</v>
      </c>
      <c r="CT50" s="186">
        <f>IFERROR(IF((RD[[#This Row],[220KV_C&amp;R_PQM Import Reading]]-CC49)*1600000&lt;=0,0,(RD[[#This Row],[220KV_C&amp;R_PQM Import Reading]]-CC49)*1600000),"")</f>
        <v>1599.9999999999793</v>
      </c>
      <c r="CU50" s="64" t="str">
        <f>IF((RD[[#This Row],[33kV_Aux1 Import Reading]]-CD49)*1000&lt;=0,"",(RD[[#This Row],[33kV_Aux1 Import Reading]]-CD49)*1000)</f>
        <v/>
      </c>
      <c r="CV50" s="64">
        <f>IF((RD[[#This Row],[33kV_Aux2_Import reading]]-CE49)*1000&lt;=0,"",(RD[[#This Row],[33kV_Aux2_Import reading]]-CE49)*1000)</f>
        <v>280.00000000000114</v>
      </c>
      <c r="CW50" s="64">
        <f>IFERROR(RD[[#This Row],[33kV_OG1_Energy (MWh)]]+RD[[#This Row],[33kV_OG2_Energy (MWh)]],"")</f>
        <v>739000</v>
      </c>
      <c r="CX50" s="72">
        <f>IFERROR(RD[[#This Row],[220kV_TL_TVM Energy (MWh)]]-RD[[#This Row],[220KV_C&amp;R_PQM Import (MWh)]],"")</f>
        <v>731199.99999995204</v>
      </c>
      <c r="CY50" s="187">
        <f>IFERROR(RD[[#This Row],[33 kV Total Export (MWH)]]/RD[[#This Row],[220 KV Net Export (MWh)]]-1,"")</f>
        <v>1.0667396061335488E-2</v>
      </c>
      <c r="CZ50" s="188">
        <f t="shared" si="80"/>
        <v>50.6</v>
      </c>
      <c r="DA50" s="189">
        <v>0</v>
      </c>
      <c r="DB50" s="190"/>
      <c r="DC50" s="68">
        <f>IFERROR((RD[[#This Row],[Sunset Time (POA&lt;20 W/m2)]]-RD[[#This Row],[Sunrise Time (POA&gt;20 W/m2)]])*24,0)</f>
        <v>10.85</v>
      </c>
      <c r="DD50" s="70">
        <f>SUM(RD[[#This Row],[33 kV_Wind_F3_Export_Reading3]],CJ50,CK50,CL50,CM50)</f>
        <v>647774.9999999915</v>
      </c>
      <c r="DE50" s="68">
        <v>140</v>
      </c>
      <c r="DF50" s="70">
        <f t="shared" si="82"/>
        <v>92070.000000008178</v>
      </c>
      <c r="DG50" s="70">
        <v>100.56</v>
      </c>
      <c r="DH50">
        <f>'WTG Reactive Power'!AB48</f>
        <v>83700.800000000003</v>
      </c>
    </row>
    <row r="51" spans="1:112">
      <c r="A51" s="173">
        <f>YEAR(RD[[#This Row],[Date]])+IF(MONTH(RD[[#This Row],[Date]])&gt;=4,1,0)</f>
        <v>2026</v>
      </c>
      <c r="B51" s="173">
        <f>YEAR(RD[[#This Row],[Date]])</f>
        <v>2025</v>
      </c>
      <c r="C51" s="174">
        <f t="shared" si="72"/>
        <v>45778</v>
      </c>
      <c r="D51" s="173">
        <f>DAY(EOMONTH(RD[[#This Row],[Date]],0))</f>
        <v>31</v>
      </c>
      <c r="E51" s="175">
        <f t="shared" si="73"/>
        <v>45791</v>
      </c>
      <c r="F51" s="176">
        <v>0.2590277777777778</v>
      </c>
      <c r="G51" s="176">
        <v>0.76180555555555551</v>
      </c>
      <c r="H51" s="177">
        <v>3681.7</v>
      </c>
      <c r="I51" s="177">
        <v>3047.5</v>
      </c>
      <c r="J51" s="177">
        <v>3098.3</v>
      </c>
      <c r="K51" s="177">
        <v>2496.8000000000002</v>
      </c>
      <c r="L51" s="177">
        <v>2901.9</v>
      </c>
      <c r="M51" s="177">
        <v>3162.6</v>
      </c>
      <c r="N51" s="177">
        <v>3335.4</v>
      </c>
      <c r="O51" s="177">
        <v>3799.2</v>
      </c>
      <c r="P51" s="177">
        <v>2264.5</v>
      </c>
      <c r="Q51" s="177">
        <v>2990.3</v>
      </c>
      <c r="R51" s="177">
        <v>2881.7</v>
      </c>
      <c r="S51" s="177">
        <v>2815.6</v>
      </c>
      <c r="T51" s="177">
        <v>3010.2</v>
      </c>
      <c r="U51" s="177">
        <v>2828.1</v>
      </c>
      <c r="V51" s="177">
        <v>3582.6</v>
      </c>
      <c r="W51" s="177">
        <v>3489.4</v>
      </c>
      <c r="X51" s="177">
        <v>3382.6</v>
      </c>
      <c r="Y51" s="177">
        <v>2933.7</v>
      </c>
      <c r="Z51" s="177">
        <v>2512.6</v>
      </c>
      <c r="AA51" s="177">
        <v>2487.1999999999998</v>
      </c>
      <c r="AB51" s="177">
        <v>2540.4</v>
      </c>
      <c r="AC51" s="177">
        <v>3138.5</v>
      </c>
      <c r="AD51" s="177">
        <v>2841.6</v>
      </c>
      <c r="AE51" s="169">
        <v>3.5</v>
      </c>
      <c r="AF51" s="169">
        <v>3.5</v>
      </c>
      <c r="AG51" s="169">
        <v>3.5</v>
      </c>
      <c r="AH51" s="169">
        <v>3.3</v>
      </c>
      <c r="AI51" s="169">
        <v>3.3</v>
      </c>
      <c r="AJ51" s="169">
        <v>3.5</v>
      </c>
      <c r="AK51" s="169">
        <v>3.5</v>
      </c>
      <c r="AL51" s="169">
        <v>3.7</v>
      </c>
      <c r="AM51" s="169">
        <v>3.6</v>
      </c>
      <c r="AN51" s="169">
        <v>3.3</v>
      </c>
      <c r="AO51" s="169">
        <v>3.5</v>
      </c>
      <c r="AP51" s="169">
        <v>3.3</v>
      </c>
      <c r="AQ51" s="169">
        <v>3.4</v>
      </c>
      <c r="AR51" s="169">
        <v>3.2</v>
      </c>
      <c r="AS51" s="169">
        <v>3.7</v>
      </c>
      <c r="AT51" s="169">
        <v>3.5</v>
      </c>
      <c r="AU51" s="169">
        <v>3.5</v>
      </c>
      <c r="AV51" s="169">
        <v>3.3</v>
      </c>
      <c r="AW51" s="169">
        <v>4</v>
      </c>
      <c r="AX51" s="169">
        <v>3.3</v>
      </c>
      <c r="AY51" s="169">
        <v>3.5</v>
      </c>
      <c r="AZ51" s="169">
        <v>3.6</v>
      </c>
      <c r="BA51" s="169">
        <v>3.4</v>
      </c>
      <c r="BB51" s="178">
        <f t="shared" si="74"/>
        <v>29888.299999999996</v>
      </c>
      <c r="BC51" s="179">
        <f t="shared" si="75"/>
        <v>6872</v>
      </c>
      <c r="BD51" s="180">
        <f t="shared" si="70"/>
        <v>22393.8</v>
      </c>
      <c r="BE51" s="179">
        <f t="shared" si="76"/>
        <v>2933.7</v>
      </c>
      <c r="BF51" s="179">
        <f t="shared" si="71"/>
        <v>7134.6</v>
      </c>
      <c r="BG51" s="179">
        <f>SUM(RD[[#This Row],[KUD01]:[KUD23]])</f>
        <v>69222.399999999994</v>
      </c>
      <c r="BH51" s="181">
        <f t="shared" si="77"/>
        <v>3.4699999999999998</v>
      </c>
      <c r="BI51" s="182">
        <f t="shared" si="78"/>
        <v>3.5</v>
      </c>
      <c r="BJ51" s="182">
        <f t="shared" si="79"/>
        <v>3.4900000000000007</v>
      </c>
      <c r="BK51" s="183">
        <f t="shared" si="81"/>
        <v>3.3</v>
      </c>
      <c r="BL51" s="61">
        <f>IFERROR(AVERAGEIF(RD[[#This Row],[WS_KUD07]:[WS_KUD08]],"&lt;&gt;0",RD[[#This Row],[WS_KUD07]:[WS_KUD08]]),"")</f>
        <v>3.6</v>
      </c>
      <c r="BM51" s="184">
        <f>IFERROR(AVERAGE(RD[[#This Row],[WS_KUD01]:[WS_KUD23]]),"")</f>
        <v>3.4739130434782606</v>
      </c>
      <c r="BN51" s="185">
        <f>IFERROR(MAX(RD[[#This Row],[WS_KUD01]:[WS_KUD23]]),"")</f>
        <v>4</v>
      </c>
      <c r="BO51" s="73">
        <v>640.30499999999995</v>
      </c>
      <c r="BP51" s="73">
        <v>900.755</v>
      </c>
      <c r="BQ51" s="73">
        <v>76.260999999999996</v>
      </c>
      <c r="BR51" s="73">
        <v>231.44499999999999</v>
      </c>
      <c r="BS51" s="73">
        <v>190.047</v>
      </c>
      <c r="BT51" s="73">
        <v>298.37799999999999</v>
      </c>
      <c r="BU51" s="73"/>
      <c r="BV51" s="73">
        <v>87.671000000000006</v>
      </c>
      <c r="BW51" s="73">
        <v>197976</v>
      </c>
      <c r="BX51" s="73">
        <v>257166</v>
      </c>
      <c r="BY51" s="73">
        <v>132.76</v>
      </c>
      <c r="BZ51" s="73">
        <v>80.516999999999996</v>
      </c>
      <c r="CA51" s="73">
        <v>282.23399999999998</v>
      </c>
      <c r="CB51" s="73">
        <v>107.318</v>
      </c>
      <c r="CC51" s="73">
        <v>0.11799999999999999</v>
      </c>
      <c r="CD51" s="73">
        <v>0</v>
      </c>
      <c r="CE51" s="73">
        <v>225.88900000000001</v>
      </c>
      <c r="CF51" s="64" t="str">
        <f>IF((RD[[#This Row],[33 kV_Wind_F1_Export reading]]-BO50)*165000&lt;=0,"",(RD[[#This Row],[33 kV_Wind_F1_Export reading]]-BO50)*165000)</f>
        <v/>
      </c>
      <c r="CG51" s="64">
        <f>IF((RD[[#This Row],[33 kV_Wind_F2_Export_reading]]-BP50)*165000&lt;=0,"",(RD[[#This Row],[33 kV_Wind_F2_Export_reading]]-BP50)*165000)</f>
        <v>34484.999999991145</v>
      </c>
      <c r="CH51" s="64">
        <f>IF((RD[[#This Row],[33 kV_Wind_F3_Export_Reading]]-BQ50)*225000&lt;=0,"",(RD[[#This Row],[33 kV_Wind_F3_Export_Reading]]-BQ50)*225000)</f>
        <v>243224.9999999975</v>
      </c>
      <c r="CI51" s="64">
        <f>IF((RD[[#This Row],[33 kV_Wind_F4_Export Reading]]-BR50)*165000&lt;=0,"",(RD[[#This Row],[33 kV_Wind_F4_Export Reading]]-BR50)*165000)</f>
        <v>32999.999999998123</v>
      </c>
      <c r="CJ51" s="74">
        <f>IF((RD[[#This Row],[33 kV_Solar_F1_Export Reading]]-BS50)*225000&lt;=0,"",(RD[[#This Row],[33 kV_Solar_F1_Export Reading]]-BS50)*225000)</f>
        <v>202725.00000000236</v>
      </c>
      <c r="CK51" s="74">
        <f>IF((RD[[#This Row],[33kV_Solar_F2_Export Reading]]-BT50)*225000&lt;=0,"",(RD[[#This Row],[33kV_Solar_F2_Export Reading]]-BT50)*225000)</f>
        <v>180224.99999999724</v>
      </c>
      <c r="CL51" s="186" t="str">
        <f>IF((RD[[#This Row],[33 kV_Solar_F3_Export reading]]-BU50)*225000&lt;=0,"",(RD[[#This Row],[33 kV_Solar_F3_Export reading]]-BU50)*225000)</f>
        <v/>
      </c>
      <c r="CM51" s="63">
        <f>IF((RD[[#This Row],[32kV_Solar_F4_Export reading]]-BV50)*225000&lt;=0,"",(RD[[#This Row],[32kV_Solar_F4_Export reading]]-BV50)*225000)</f>
        <v>189675.00000000079</v>
      </c>
      <c r="CN51" s="64">
        <f>IF((RD[[#This Row],[33kV_OG1_Export reading]]-BW50)*1000&lt;=0,0,(RD[[#This Row],[33kV_OG1_Export reading]]-BW50)*1000)</f>
        <v>573000</v>
      </c>
      <c r="CO51" s="64">
        <f>IFERROR(IF((RD[[#This Row],[33kV_OG2_Export reading]]-BX50)*1000&lt;=0,0,(RD[[#This Row],[33kV_OG2_Export reading]]-BX50)*1000),0)</f>
        <v>308000</v>
      </c>
      <c r="CP51" s="74">
        <f>IF((RD[[#This Row],[220kV_TX1_Export reading]]-BY50)*800000&lt;=0,0,(RD[[#This Row],[220kV_TX1_Export reading]]-BY50)*800000)</f>
        <v>566399.99999999872</v>
      </c>
      <c r="CQ51" s="186">
        <f>IF((RD[[#This Row],[220kV_Tx2_Export reading]]-BZ50)*800000&lt;=0,0,(RD[[#This Row],[220kV_Tx2_Export reading]]-BZ50)*800000)</f>
        <v>304800.00000000017</v>
      </c>
      <c r="CR51" s="64">
        <f>IF((RD[[#This Row],[220kV_TL_TVM Export Reading]]-CA50)*1600000&lt;=0,0,(RD[[#This Row],[220kV_TL_TVM Export Reading]]-CA50)*1600000)</f>
        <v>876800.00000000291</v>
      </c>
      <c r="CS51" s="64">
        <f>IF((RD[[#This Row],[220kV_C&amp;R_PQM reading]]-CB50)*1600000&lt;=0,"",(RD[[#This Row],[220kV_C&amp;R_PQM reading]]-CB50)*1600000)</f>
        <v>876800.00000000291</v>
      </c>
      <c r="CT51" s="186">
        <f>IFERROR(IF((RD[[#This Row],[220KV_C&amp;R_PQM Import Reading]]-CC50)*1600000&lt;=0,0,(RD[[#This Row],[220KV_C&amp;R_PQM Import Reading]]-CC50)*1600000),"")</f>
        <v>0</v>
      </c>
      <c r="CU51" s="64" t="str">
        <f>IF((RD[[#This Row],[33kV_Aux1 Import Reading]]-CD50)*1000&lt;=0,"",(RD[[#This Row],[33kV_Aux1 Import Reading]]-CD50)*1000)</f>
        <v/>
      </c>
      <c r="CV51" s="64">
        <f>IF((RD[[#This Row],[33kV_Aux2_Import reading]]-CE50)*1000&lt;=0,"",(RD[[#This Row],[33kV_Aux2_Import reading]]-CE50)*1000)</f>
        <v>280.00000000000114</v>
      </c>
      <c r="CW51" s="64">
        <f>IFERROR(RD[[#This Row],[33kV_OG1_Energy (MWh)]]+RD[[#This Row],[33kV_OG2_Energy (MWh)]],"")</f>
        <v>881000</v>
      </c>
      <c r="CX51" s="72">
        <f>IFERROR(RD[[#This Row],[220kV_TL_TVM Energy (MWh)]]-RD[[#This Row],[220KV_C&amp;R_PQM Import (MWh)]],"")</f>
        <v>876800.00000000291</v>
      </c>
      <c r="CY51" s="187">
        <f>IFERROR(RD[[#This Row],[33 kV Total Export (MWH)]]/RD[[#This Row],[220 KV Net Export (MWh)]]-1,"")</f>
        <v>4.7901459853980644E-3</v>
      </c>
      <c r="CZ51" s="188">
        <f t="shared" si="80"/>
        <v>50.6</v>
      </c>
      <c r="DA51" s="189">
        <v>0</v>
      </c>
      <c r="DB51" s="190"/>
      <c r="DC51" s="68">
        <f>IFERROR((RD[[#This Row],[Sunset Time (POA&lt;20 W/m2)]]-RD[[#This Row],[Sunrise Time (POA&gt;20 W/m2)]])*24,0)</f>
        <v>12.066666666666666</v>
      </c>
      <c r="DD51" s="70">
        <f>SUM(RD[[#This Row],[33 kV_Wind_F3_Export_Reading3]],CJ51,CK51,CL51,CM51)</f>
        <v>815849.9999999979</v>
      </c>
      <c r="DE51" s="68">
        <v>140</v>
      </c>
      <c r="DF51" s="70">
        <f t="shared" si="82"/>
        <v>67484.999999989261</v>
      </c>
      <c r="DG51" s="70">
        <v>70.819999999999993</v>
      </c>
      <c r="DH51">
        <f>'WTG Reactive Power'!AB49</f>
        <v>8437.7999999999993</v>
      </c>
    </row>
    <row r="52" spans="1:112">
      <c r="A52" s="173">
        <f>YEAR(RD[[#This Row],[Date]])+IF(MONTH(RD[[#This Row],[Date]])&gt;=4,1,0)</f>
        <v>2026</v>
      </c>
      <c r="B52" s="173">
        <f>YEAR(RD[[#This Row],[Date]])</f>
        <v>2025</v>
      </c>
      <c r="C52" s="174">
        <f t="shared" si="72"/>
        <v>45778</v>
      </c>
      <c r="D52" s="173">
        <f>DAY(EOMONTH(RD[[#This Row],[Date]],0))</f>
        <v>31</v>
      </c>
      <c r="E52" s="175">
        <f t="shared" si="73"/>
        <v>45792</v>
      </c>
      <c r="F52" s="176">
        <v>0.32847222222222222</v>
      </c>
      <c r="G52" s="176">
        <v>0.78541666666666665</v>
      </c>
      <c r="H52" s="177">
        <v>6321.6</v>
      </c>
      <c r="I52" s="177">
        <v>6178.5</v>
      </c>
      <c r="J52" s="177">
        <v>4742.1000000000004</v>
      </c>
      <c r="K52" s="177">
        <v>4082.3</v>
      </c>
      <c r="L52" s="177">
        <v>5479.2</v>
      </c>
      <c r="M52" s="177">
        <v>4815.8</v>
      </c>
      <c r="N52" s="177">
        <v>4731.5</v>
      </c>
      <c r="O52" s="177">
        <v>5304.6</v>
      </c>
      <c r="P52" s="177">
        <v>4904.8999999999996</v>
      </c>
      <c r="Q52" s="177">
        <v>4699.2</v>
      </c>
      <c r="R52" s="177">
        <v>4875.6000000000004</v>
      </c>
      <c r="S52" s="177">
        <v>4998.2</v>
      </c>
      <c r="T52" s="177">
        <v>5235.1000000000004</v>
      </c>
      <c r="U52" s="177">
        <v>5071.3999999999996</v>
      </c>
      <c r="V52" s="177">
        <v>6502.4</v>
      </c>
      <c r="W52" s="177">
        <v>6401.6</v>
      </c>
      <c r="X52" s="177">
        <v>6446.6</v>
      </c>
      <c r="Y52" s="177">
        <v>5266.9</v>
      </c>
      <c r="Z52" s="177">
        <v>5862</v>
      </c>
      <c r="AA52" s="177">
        <v>4064.2</v>
      </c>
      <c r="AB52" s="177">
        <v>5097.8999999999996</v>
      </c>
      <c r="AC52" s="177">
        <v>5627.1</v>
      </c>
      <c r="AD52" s="177">
        <v>5960.3</v>
      </c>
      <c r="AE52" s="71">
        <v>4.2</v>
      </c>
      <c r="AF52" s="71">
        <v>4.2</v>
      </c>
      <c r="AG52" s="71">
        <v>3.9</v>
      </c>
      <c r="AH52" s="71">
        <v>3.8</v>
      </c>
      <c r="AI52" s="71">
        <v>4.0999999999999996</v>
      </c>
      <c r="AJ52" s="71">
        <v>3.9</v>
      </c>
      <c r="AK52" s="71">
        <v>4</v>
      </c>
      <c r="AL52" s="71">
        <v>4</v>
      </c>
      <c r="AM52" s="71">
        <v>4.0999999999999996</v>
      </c>
      <c r="AN52" s="71">
        <v>3.9</v>
      </c>
      <c r="AO52" s="71">
        <v>4.0999999999999996</v>
      </c>
      <c r="AP52" s="71">
        <v>3.9</v>
      </c>
      <c r="AQ52" s="71">
        <v>4</v>
      </c>
      <c r="AR52" s="71">
        <v>4</v>
      </c>
      <c r="AS52" s="71">
        <v>4.4000000000000004</v>
      </c>
      <c r="AT52" s="71">
        <v>4.2</v>
      </c>
      <c r="AU52" s="71">
        <v>4.3</v>
      </c>
      <c r="AV52" s="71">
        <v>4.0999999999999996</v>
      </c>
      <c r="AW52" s="71">
        <v>4.3</v>
      </c>
      <c r="AX52" s="71">
        <v>3.9</v>
      </c>
      <c r="AY52" s="71">
        <v>4.2</v>
      </c>
      <c r="AZ52" s="71">
        <v>4.3</v>
      </c>
      <c r="BA52" s="71">
        <v>4.3</v>
      </c>
      <c r="BB52" s="178">
        <f t="shared" si="74"/>
        <v>52371.8</v>
      </c>
      <c r="BC52" s="179">
        <f t="shared" si="75"/>
        <v>12848.2</v>
      </c>
      <c r="BD52" s="180">
        <f t="shared" si="70"/>
        <v>42146</v>
      </c>
      <c r="BE52" s="179">
        <f t="shared" si="76"/>
        <v>5266.9</v>
      </c>
      <c r="BF52" s="179">
        <f t="shared" si="71"/>
        <v>10036.1</v>
      </c>
      <c r="BG52" s="179">
        <f>SUM(RD[[#This Row],[KUD01]:[KUD23]])</f>
        <v>122668.99999999999</v>
      </c>
      <c r="BH52" s="181">
        <f t="shared" si="77"/>
        <v>4.0599999999999996</v>
      </c>
      <c r="BI52" s="182">
        <f t="shared" si="78"/>
        <v>4.25</v>
      </c>
      <c r="BJ52" s="182">
        <f t="shared" si="79"/>
        <v>4.09</v>
      </c>
      <c r="BK52" s="183">
        <f t="shared" si="81"/>
        <v>4.0999999999999996</v>
      </c>
      <c r="BL52" s="61">
        <f>IFERROR(AVERAGEIF(RD[[#This Row],[WS_KUD07]:[WS_KUD08]],"&lt;&gt;0",RD[[#This Row],[WS_KUD07]:[WS_KUD08]]),"")</f>
        <v>4</v>
      </c>
      <c r="BM52" s="184">
        <f>IFERROR(AVERAGE(RD[[#This Row],[WS_KUD01]:[WS_KUD23]]),"")</f>
        <v>4.0913043478260871</v>
      </c>
      <c r="BN52" s="185">
        <f>IFERROR(MAX(RD[[#This Row],[WS_KUD01]:[WS_KUD23]]),"")</f>
        <v>4.4000000000000004</v>
      </c>
      <c r="BO52" s="73">
        <v>640.30499999999995</v>
      </c>
      <c r="BP52" s="73">
        <v>901.13499999999999</v>
      </c>
      <c r="BQ52" s="73">
        <v>76.748999999999995</v>
      </c>
      <c r="BR52" s="73">
        <v>231.786</v>
      </c>
      <c r="BS52" s="73">
        <v>190.49</v>
      </c>
      <c r="BT52" s="73">
        <v>298.78199999999998</v>
      </c>
      <c r="BU52" s="73"/>
      <c r="BV52" s="73">
        <v>88.034000000000006</v>
      </c>
      <c r="BW52" s="73">
        <v>198248</v>
      </c>
      <c r="BX52" s="73">
        <v>257393</v>
      </c>
      <c r="BY52" s="73">
        <v>133.09700000000001</v>
      </c>
      <c r="BZ52" s="73">
        <v>80.798000000000002</v>
      </c>
      <c r="CA52" s="73">
        <v>282.54300000000001</v>
      </c>
      <c r="CB52" s="73">
        <v>107.627</v>
      </c>
      <c r="CC52" s="73">
        <v>0.11799999999999999</v>
      </c>
      <c r="CD52" s="73">
        <v>0</v>
      </c>
      <c r="CE52" s="73">
        <v>226.16900000000001</v>
      </c>
      <c r="CF52" s="64" t="str">
        <f>IF((RD[[#This Row],[33 kV_Wind_F1_Export reading]]-BO51)*165000&lt;=0,"",(RD[[#This Row],[33 kV_Wind_F1_Export reading]]-BO51)*165000)</f>
        <v/>
      </c>
      <c r="CG52" s="64">
        <f>IF((RD[[#This Row],[33 kV_Wind_F2_Export_reading]]-BP51)*165000&lt;=0,"",(RD[[#This Row],[33 kV_Wind_F2_Export_reading]]-BP51)*165000)</f>
        <v>62699.999999999251</v>
      </c>
      <c r="CH52" s="64">
        <f>IF((RD[[#This Row],[33 kV_Wind_F3_Export_Reading]]-BQ51)*225000&lt;=0,"",(RD[[#This Row],[33 kV_Wind_F3_Export_Reading]]-BQ51)*225000)</f>
        <v>109799.9999999999</v>
      </c>
      <c r="CI52" s="64">
        <f>IF((RD[[#This Row],[33 kV_Wind_F4_Export Reading]]-BR51)*165000&lt;=0,"",(RD[[#This Row],[33 kV_Wind_F4_Export Reading]]-BR51)*165000)</f>
        <v>56265.000000001353</v>
      </c>
      <c r="CJ52" s="74">
        <f>IF((RD[[#This Row],[33 kV_Solar_F1_Export Reading]]-BS51)*225000&lt;=0,"",(RD[[#This Row],[33 kV_Solar_F1_Export Reading]]-BS51)*225000)</f>
        <v>99675.000000002707</v>
      </c>
      <c r="CK52" s="74">
        <f>IF((RD[[#This Row],[33kV_Solar_F2_Export Reading]]-BT51)*225000&lt;=0,"",(RD[[#This Row],[33kV_Solar_F2_Export Reading]]-BT51)*225000)</f>
        <v>90899.999999999185</v>
      </c>
      <c r="CL52" s="186" t="str">
        <f>IF((RD[[#This Row],[33 kV_Solar_F3_Export reading]]-BU51)*225000&lt;=0,"",(RD[[#This Row],[33 kV_Solar_F3_Export reading]]-BU51)*225000)</f>
        <v/>
      </c>
      <c r="CM52" s="63">
        <f>IF((RD[[#This Row],[32kV_Solar_F4_Export reading]]-BV51)*225000&lt;=0,"",(RD[[#This Row],[32kV_Solar_F4_Export reading]]-BV51)*225000)</f>
        <v>81674.999999999898</v>
      </c>
      <c r="CN52" s="64">
        <f>IF((RD[[#This Row],[33kV_OG1_Export reading]]-BW51)*1000&lt;=0,0,(RD[[#This Row],[33kV_OG1_Export reading]]-BW51)*1000)</f>
        <v>272000</v>
      </c>
      <c r="CO52" s="64">
        <f>IFERROR(IF((RD[[#This Row],[33kV_OG2_Export reading]]-BX51)*1000&lt;=0,0,(RD[[#This Row],[33kV_OG2_Export reading]]-BX51)*1000),0)</f>
        <v>227000</v>
      </c>
      <c r="CP52" s="74">
        <f>IF((RD[[#This Row],[220kV_TX1_Export reading]]-BY51)*800000&lt;=0,0,(RD[[#This Row],[220kV_TX1_Export reading]]-BY51)*800000)</f>
        <v>269600.00000001403</v>
      </c>
      <c r="CQ52" s="186">
        <f>IF((RD[[#This Row],[220kV_Tx2_Export reading]]-BZ51)*800000&lt;=0,0,(RD[[#This Row],[220kV_Tx2_Export reading]]-BZ51)*800000)</f>
        <v>224800.00000000471</v>
      </c>
      <c r="CR52" s="64">
        <f>IF((RD[[#This Row],[220kV_TL_TVM Export Reading]]-CA51)*1600000&lt;=0,0,(RD[[#This Row],[220kV_TL_TVM Export Reading]]-CA51)*1600000)</f>
        <v>494400.00000004144</v>
      </c>
      <c r="CS52" s="64">
        <f>IF((RD[[#This Row],[220kV_C&amp;R_PQM reading]]-CB51)*1600000&lt;=0,"",(RD[[#This Row],[220kV_C&amp;R_PQM reading]]-CB51)*1600000)</f>
        <v>494399.99999999598</v>
      </c>
      <c r="CT52" s="186">
        <f>IFERROR(IF((RD[[#This Row],[220KV_C&amp;R_PQM Import Reading]]-CC51)*1600000&lt;=0,0,(RD[[#This Row],[220KV_C&amp;R_PQM Import Reading]]-CC51)*1600000),"")</f>
        <v>0</v>
      </c>
      <c r="CU52" s="64" t="str">
        <f>IF((RD[[#This Row],[33kV_Aux1 Import Reading]]-CD51)*1000&lt;=0,"",(RD[[#This Row],[33kV_Aux1 Import Reading]]-CD51)*1000)</f>
        <v/>
      </c>
      <c r="CV52" s="64">
        <f>IF((RD[[#This Row],[33kV_Aux2_Import reading]]-CE51)*1000&lt;=0,"",(RD[[#This Row],[33kV_Aux2_Import reading]]-CE51)*1000)</f>
        <v>280.00000000000114</v>
      </c>
      <c r="CW52" s="64">
        <f>IFERROR(RD[[#This Row],[33kV_OG1_Energy (MWh)]]+RD[[#This Row],[33kV_OG2_Energy (MWh)]],"")</f>
        <v>499000</v>
      </c>
      <c r="CX52" s="72">
        <f>IFERROR(RD[[#This Row],[220kV_TL_TVM Energy (MWh)]]-RD[[#This Row],[220KV_C&amp;R_PQM Import (MWh)]],"")</f>
        <v>494400.00000004144</v>
      </c>
      <c r="CY52" s="187">
        <f>IFERROR(RD[[#This Row],[33 kV Total Export (MWH)]]/RD[[#This Row],[220 KV Net Export (MWh)]]-1,"")</f>
        <v>9.3042071196565157E-3</v>
      </c>
      <c r="CZ52" s="188">
        <f t="shared" si="80"/>
        <v>50.6</v>
      </c>
      <c r="DA52" s="189">
        <v>94</v>
      </c>
      <c r="DB52" s="190"/>
      <c r="DC52" s="68">
        <f>IFERROR((RD[[#This Row],[Sunset Time (POA&lt;20 W/m2)]]-RD[[#This Row],[Sunrise Time (POA&gt;20 W/m2)]])*24,0)</f>
        <v>10.966666666666667</v>
      </c>
      <c r="DD52" s="70">
        <f>SUM(RD[[#This Row],[33 kV_Wind_F3_Export_Reading3]],CJ52,CK52,CL52,CM52)</f>
        <v>382050.00000000169</v>
      </c>
      <c r="DE52" s="68">
        <v>140</v>
      </c>
      <c r="DF52" s="70">
        <f t="shared" si="82"/>
        <v>118965.00000000061</v>
      </c>
      <c r="DG52" s="70">
        <v>123.77</v>
      </c>
      <c r="DH52">
        <f>'WTG Reactive Power'!AB50</f>
        <v>96386.2</v>
      </c>
    </row>
    <row r="53" spans="1:112">
      <c r="A53" s="173">
        <f>YEAR(RD[[#This Row],[Date]])+IF(MONTH(RD[[#This Row],[Date]])&gt;=4,1,0)</f>
        <v>2026</v>
      </c>
      <c r="B53" s="173">
        <f>YEAR(RD[[#This Row],[Date]])</f>
        <v>2025</v>
      </c>
      <c r="C53" s="174">
        <f t="shared" si="72"/>
        <v>45778</v>
      </c>
      <c r="D53" s="173">
        <f>DAY(EOMONTH(RD[[#This Row],[Date]],0))</f>
        <v>31</v>
      </c>
      <c r="E53" s="175">
        <f t="shared" si="73"/>
        <v>45793</v>
      </c>
      <c r="F53" s="176">
        <v>0.26041666666666669</v>
      </c>
      <c r="G53" s="176">
        <v>0.76944444444444449</v>
      </c>
      <c r="H53" s="177">
        <v>8055.6</v>
      </c>
      <c r="I53" s="177">
        <v>7697.7</v>
      </c>
      <c r="J53" s="177">
        <v>7679.7</v>
      </c>
      <c r="K53" s="177">
        <v>6191.3</v>
      </c>
      <c r="L53" s="177">
        <v>5981.2</v>
      </c>
      <c r="M53" s="177">
        <v>6654.5</v>
      </c>
      <c r="N53" s="177">
        <v>7018.9</v>
      </c>
      <c r="O53" s="177">
        <v>6924.6</v>
      </c>
      <c r="P53" s="177">
        <v>6456.4</v>
      </c>
      <c r="Q53" s="177">
        <v>6170.5</v>
      </c>
      <c r="R53" s="177">
        <v>6045.9</v>
      </c>
      <c r="S53" s="177">
        <v>7229.6</v>
      </c>
      <c r="T53" s="177">
        <v>6989.5</v>
      </c>
      <c r="U53" s="177">
        <v>6390.9</v>
      </c>
      <c r="V53" s="177">
        <v>8540.7000000000007</v>
      </c>
      <c r="W53" s="177">
        <v>8076.7</v>
      </c>
      <c r="X53" s="177">
        <v>8505.7000000000007</v>
      </c>
      <c r="Y53" s="177">
        <v>6494.8</v>
      </c>
      <c r="Z53" s="177">
        <v>6168.8</v>
      </c>
      <c r="AA53" s="177">
        <v>6203.7</v>
      </c>
      <c r="AB53" s="177">
        <v>6268.5</v>
      </c>
      <c r="AC53" s="177">
        <v>6762.7</v>
      </c>
      <c r="AD53" s="177">
        <v>7523.6</v>
      </c>
      <c r="AE53" s="71">
        <v>4.8</v>
      </c>
      <c r="AF53" s="71">
        <v>4.8</v>
      </c>
      <c r="AG53" s="71">
        <v>4.9000000000000004</v>
      </c>
      <c r="AH53" s="71">
        <v>4.5</v>
      </c>
      <c r="AI53" s="71">
        <v>4.5</v>
      </c>
      <c r="AJ53" s="71">
        <v>4.8</v>
      </c>
      <c r="AK53" s="71">
        <v>4.5999999999999996</v>
      </c>
      <c r="AL53" s="71">
        <v>4.7</v>
      </c>
      <c r="AM53" s="71">
        <v>4.7</v>
      </c>
      <c r="AN53" s="71">
        <v>4.4000000000000004</v>
      </c>
      <c r="AO53" s="71">
        <v>4.5999999999999996</v>
      </c>
      <c r="AP53" s="71">
        <v>4.5999999999999996</v>
      </c>
      <c r="AQ53" s="71">
        <v>4.5999999999999996</v>
      </c>
      <c r="AR53" s="71">
        <v>4.4000000000000004</v>
      </c>
      <c r="AS53" s="71">
        <v>5</v>
      </c>
      <c r="AT53" s="71">
        <v>4.8</v>
      </c>
      <c r="AU53" s="71">
        <v>4.9000000000000004</v>
      </c>
      <c r="AV53" s="71">
        <v>4.5999999999999996</v>
      </c>
      <c r="AW53" s="71">
        <v>4.5999999999999996</v>
      </c>
      <c r="AX53" s="71">
        <v>4.5</v>
      </c>
      <c r="AY53" s="71">
        <v>4.9000000000000004</v>
      </c>
      <c r="AZ53" s="71">
        <v>4.7</v>
      </c>
      <c r="BA53" s="71">
        <v>4.7</v>
      </c>
      <c r="BB53" s="178">
        <f t="shared" si="74"/>
        <v>69474.899999999994</v>
      </c>
      <c r="BC53" s="179">
        <f t="shared" si="75"/>
        <v>16582.400000000001</v>
      </c>
      <c r="BD53" s="180">
        <f t="shared" si="70"/>
        <v>53535.899999999994</v>
      </c>
      <c r="BE53" s="179">
        <f t="shared" si="76"/>
        <v>6494.8</v>
      </c>
      <c r="BF53" s="179">
        <f t="shared" si="71"/>
        <v>13943.5</v>
      </c>
      <c r="BG53" s="179">
        <f>SUM(RD[[#This Row],[KUD01]:[KUD23]])</f>
        <v>160031.5</v>
      </c>
      <c r="BH53" s="181">
        <f t="shared" si="77"/>
        <v>4.6399999999999997</v>
      </c>
      <c r="BI53" s="182">
        <f t="shared" si="78"/>
        <v>4.8499999999999996</v>
      </c>
      <c r="BJ53" s="182">
        <f t="shared" si="79"/>
        <v>4.6900000000000004</v>
      </c>
      <c r="BK53" s="183">
        <f t="shared" si="81"/>
        <v>4.5999999999999996</v>
      </c>
      <c r="BL53" s="61">
        <f>IFERROR(AVERAGEIF(RD[[#This Row],[WS_KUD07]:[WS_KUD08]],"&lt;&gt;0",RD[[#This Row],[WS_KUD07]:[WS_KUD08]]),"")</f>
        <v>4.6500000000000004</v>
      </c>
      <c r="BM53" s="184">
        <f>IFERROR(AVERAGE(RD[[#This Row],[WS_KUD01]:[WS_KUD23]]),"")</f>
        <v>4.6782608695652179</v>
      </c>
      <c r="BN53" s="185">
        <f>IFERROR(MAX(RD[[#This Row],[WS_KUD01]:[WS_KUD23]]),"")</f>
        <v>5</v>
      </c>
      <c r="BO53" s="73">
        <v>640.30499999999995</v>
      </c>
      <c r="BP53" s="73">
        <v>901.62</v>
      </c>
      <c r="BQ53" s="73">
        <v>77.313000000000002</v>
      </c>
      <c r="BR53" s="73">
        <v>232.23400000000001</v>
      </c>
      <c r="BS53" s="73">
        <v>191.18600000000001</v>
      </c>
      <c r="BT53" s="73">
        <v>299.34300000000002</v>
      </c>
      <c r="BU53" s="73"/>
      <c r="BV53" s="73">
        <v>88.614000000000004</v>
      </c>
      <c r="BW53" s="73">
        <v>198662</v>
      </c>
      <c r="BX53" s="73">
        <v>257673</v>
      </c>
      <c r="BY53" s="73">
        <v>133.60599999999999</v>
      </c>
      <c r="BZ53" s="73">
        <v>81.144000000000005</v>
      </c>
      <c r="CA53" s="73">
        <v>282.971</v>
      </c>
      <c r="CB53" s="73">
        <v>108.057</v>
      </c>
      <c r="CC53" s="73">
        <v>0.11799999999999999</v>
      </c>
      <c r="CD53" s="73">
        <v>0</v>
      </c>
      <c r="CE53" s="73">
        <v>226.44900000000001</v>
      </c>
      <c r="CF53" s="64" t="str">
        <f>IF((RD[[#This Row],[33 kV_Wind_F1_Export reading]]-BO52)*165000&lt;=0,"",(RD[[#This Row],[33 kV_Wind_F1_Export reading]]-BO52)*165000)</f>
        <v/>
      </c>
      <c r="CG53" s="64">
        <f>IF((RD[[#This Row],[33 kV_Wind_F2_Export_reading]]-BP52)*165000&lt;=0,"",(RD[[#This Row],[33 kV_Wind_F2_Export_reading]]-BP52)*165000)</f>
        <v>80025.000000002256</v>
      </c>
      <c r="CH53" s="64">
        <f>IF((RD[[#This Row],[33 kV_Wind_F3_Export_Reading]]-BQ52)*225000&lt;=0,"",(RD[[#This Row],[33 kV_Wind_F3_Export_Reading]]-BQ52)*225000)</f>
        <v>126900.00000000162</v>
      </c>
      <c r="CI53" s="64">
        <f>IF((RD[[#This Row],[33 kV_Wind_F4_Export Reading]]-BR52)*165000&lt;=0,"",(RD[[#This Row],[33 kV_Wind_F4_Export Reading]]-BR52)*165000)</f>
        <v>73920.000000001237</v>
      </c>
      <c r="CJ53" s="74">
        <f>IF((RD[[#This Row],[33 kV_Solar_F1_Export Reading]]-BS52)*225000&lt;=0,"",(RD[[#This Row],[33 kV_Solar_F1_Export Reading]]-BS52)*225000)</f>
        <v>156599.99999999953</v>
      </c>
      <c r="CK53" s="74">
        <f>IF((RD[[#This Row],[33kV_Solar_F2_Export Reading]]-BT52)*225000&lt;=0,"",(RD[[#This Row],[33kV_Solar_F2_Export Reading]]-BT52)*225000)</f>
        <v>126225.00000000797</v>
      </c>
      <c r="CL53" s="186" t="str">
        <f>IF((RD[[#This Row],[33 kV_Solar_F3_Export reading]]-BU52)*225000&lt;=0,"",(RD[[#This Row],[33 kV_Solar_F3_Export reading]]-BU52)*225000)</f>
        <v/>
      </c>
      <c r="CM53" s="63">
        <f>IF((RD[[#This Row],[32kV_Solar_F4_Export reading]]-BV52)*225000&lt;=0,"",(RD[[#This Row],[32kV_Solar_F4_Export reading]]-BV52)*225000)</f>
        <v>130499.99999999962</v>
      </c>
      <c r="CN53" s="64">
        <f>IF((RD[[#This Row],[33kV_OG1_Export reading]]-BW52)*1000&lt;=0,0,(RD[[#This Row],[33kV_OG1_Export reading]]-BW52)*1000)</f>
        <v>414000</v>
      </c>
      <c r="CO53" s="64">
        <f>IFERROR(IF((RD[[#This Row],[33kV_OG2_Export reading]]-BX52)*1000&lt;=0,0,(RD[[#This Row],[33kV_OG2_Export reading]]-BX52)*1000),0)</f>
        <v>280000</v>
      </c>
      <c r="CP53" s="74">
        <f>IF((RD[[#This Row],[220kV_TX1_Export reading]]-BY52)*800000&lt;=0,0,(RD[[#This Row],[220kV_TX1_Export reading]]-BY52)*800000)</f>
        <v>407199.99999998888</v>
      </c>
      <c r="CQ53" s="186">
        <f>IF((RD[[#This Row],[220kV_Tx2_Export reading]]-BZ52)*800000&lt;=0,0,(RD[[#This Row],[220kV_Tx2_Export reading]]-BZ52)*800000)</f>
        <v>276800.00000000291</v>
      </c>
      <c r="CR53" s="64">
        <f>IF((RD[[#This Row],[220kV_TL_TVM Export Reading]]-CA52)*1600000&lt;=0,0,(RD[[#This Row],[220kV_TL_TVM Export Reading]]-CA52)*1600000)</f>
        <v>684799.99999999558</v>
      </c>
      <c r="CS53" s="64">
        <f>IF((RD[[#This Row],[220kV_C&amp;R_PQM reading]]-CB52)*1600000&lt;=0,"",(RD[[#This Row],[220kV_C&amp;R_PQM reading]]-CB52)*1600000)</f>
        <v>688000.00000001094</v>
      </c>
      <c r="CT53" s="186">
        <f>IFERROR(IF((RD[[#This Row],[220KV_C&amp;R_PQM Import Reading]]-CC52)*1600000&lt;=0,0,(RD[[#This Row],[220KV_C&amp;R_PQM Import Reading]]-CC52)*1600000),"")</f>
        <v>0</v>
      </c>
      <c r="CU53" s="64" t="str">
        <f>IF((RD[[#This Row],[33kV_Aux1 Import Reading]]-CD52)*1000&lt;=0,"",(RD[[#This Row],[33kV_Aux1 Import Reading]]-CD52)*1000)</f>
        <v/>
      </c>
      <c r="CV53" s="64">
        <f>IF((RD[[#This Row],[33kV_Aux2_Import reading]]-CE52)*1000&lt;=0,"",(RD[[#This Row],[33kV_Aux2_Import reading]]-CE52)*1000)</f>
        <v>280.00000000000114</v>
      </c>
      <c r="CW53" s="64">
        <f>IFERROR(RD[[#This Row],[33kV_OG1_Energy (MWh)]]+RD[[#This Row],[33kV_OG2_Energy (MWh)]],"")</f>
        <v>694000</v>
      </c>
      <c r="CX53" s="72">
        <f>IFERROR(RD[[#This Row],[220kV_TL_TVM Energy (MWh)]]-RD[[#This Row],[220KV_C&amp;R_PQM Import (MWh)]],"")</f>
        <v>684799.99999999558</v>
      </c>
      <c r="CY53" s="187">
        <f>IFERROR(RD[[#This Row],[33 kV Total Export (MWH)]]/RD[[#This Row],[220 KV Net Export (MWh)]]-1,"")</f>
        <v>1.3434579439258965E-2</v>
      </c>
      <c r="CZ53" s="188">
        <f t="shared" si="80"/>
        <v>50.6</v>
      </c>
      <c r="DA53" s="189">
        <v>96</v>
      </c>
      <c r="DB53" s="190"/>
      <c r="DC53" s="68">
        <f>IFERROR((RD[[#This Row],[Sunset Time (POA&lt;20 W/m2)]]-RD[[#This Row],[Sunrise Time (POA&gt;20 W/m2)]])*24,0)</f>
        <v>12.216666666666669</v>
      </c>
      <c r="DD53" s="70">
        <f>SUM(RD[[#This Row],[33 kV_Wind_F3_Export_Reading3]],CJ53,CK53,CL53,CM53)</f>
        <v>540225.00000000873</v>
      </c>
      <c r="DE53" s="68">
        <v>140</v>
      </c>
      <c r="DF53" s="70">
        <f t="shared" si="82"/>
        <v>153945.00000000349</v>
      </c>
      <c r="DG53" s="70">
        <v>160.18</v>
      </c>
      <c r="DH53">
        <f>'WTG Reactive Power'!AB51</f>
        <v>140421.60000000003</v>
      </c>
    </row>
    <row r="54" spans="1:112">
      <c r="A54" s="173">
        <f>YEAR(RD[[#This Row],[Date]])+IF(MONTH(RD[[#This Row],[Date]])&gt;=4,1,0)</f>
        <v>2026</v>
      </c>
      <c r="B54" s="173">
        <f>YEAR(RD[[#This Row],[Date]])</f>
        <v>2025</v>
      </c>
      <c r="C54" s="174">
        <f t="shared" si="72"/>
        <v>45778</v>
      </c>
      <c r="D54" s="173">
        <f>DAY(EOMONTH(RD[[#This Row],[Date]],0))</f>
        <v>31</v>
      </c>
      <c r="E54" s="175">
        <f t="shared" si="73"/>
        <v>45794</v>
      </c>
      <c r="F54" s="176">
        <v>0.26250000000000001</v>
      </c>
      <c r="G54" s="176">
        <v>0.76875000000000004</v>
      </c>
      <c r="H54" s="177">
        <v>11587.6</v>
      </c>
      <c r="I54" s="177">
        <v>11496.8</v>
      </c>
      <c r="J54" s="177">
        <v>10201.9</v>
      </c>
      <c r="K54" s="177">
        <v>9808.7000000000007</v>
      </c>
      <c r="L54" s="177">
        <v>9698.1</v>
      </c>
      <c r="M54" s="177">
        <v>10015.9</v>
      </c>
      <c r="N54" s="177">
        <v>10215</v>
      </c>
      <c r="O54" s="177">
        <v>10614.2</v>
      </c>
      <c r="P54" s="177">
        <v>10514.2</v>
      </c>
      <c r="Q54" s="177">
        <v>9954.7000000000007</v>
      </c>
      <c r="R54" s="177">
        <v>9471.4</v>
      </c>
      <c r="S54" s="177">
        <v>10630.8</v>
      </c>
      <c r="T54" s="177">
        <v>10741.1</v>
      </c>
      <c r="U54" s="177">
        <v>10295.299999999999</v>
      </c>
      <c r="V54" s="177">
        <v>11711.4</v>
      </c>
      <c r="W54" s="177">
        <v>12320.9</v>
      </c>
      <c r="X54" s="177">
        <v>11395.9</v>
      </c>
      <c r="Y54" s="177">
        <v>9831</v>
      </c>
      <c r="Z54" s="177">
        <v>9261.6</v>
      </c>
      <c r="AA54" s="177">
        <v>9821.2000000000007</v>
      </c>
      <c r="AB54" s="177">
        <v>9849.4</v>
      </c>
      <c r="AC54" s="177">
        <v>9138.5</v>
      </c>
      <c r="AD54" s="177">
        <v>9866.4</v>
      </c>
      <c r="AE54" s="169">
        <v>5.2</v>
      </c>
      <c r="AF54" s="169">
        <v>5.3</v>
      </c>
      <c r="AG54" s="169">
        <v>5.0999999999999996</v>
      </c>
      <c r="AH54" s="169">
        <v>5</v>
      </c>
      <c r="AI54" s="169">
        <v>5</v>
      </c>
      <c r="AJ54" s="169">
        <v>5</v>
      </c>
      <c r="AK54" s="169">
        <v>5</v>
      </c>
      <c r="AL54" s="169">
        <v>5.0999999999999996</v>
      </c>
      <c r="AM54" s="169">
        <v>5.0999999999999996</v>
      </c>
      <c r="AN54" s="169">
        <v>4.9000000000000004</v>
      </c>
      <c r="AO54" s="169">
        <v>5</v>
      </c>
      <c r="AP54" s="169">
        <v>5</v>
      </c>
      <c r="AQ54" s="169">
        <v>5</v>
      </c>
      <c r="AR54" s="169">
        <v>4.9000000000000004</v>
      </c>
      <c r="AS54" s="169">
        <v>5.4</v>
      </c>
      <c r="AT54" s="169">
        <v>5.3</v>
      </c>
      <c r="AU54" s="169">
        <v>5.2</v>
      </c>
      <c r="AV54" s="169">
        <v>5</v>
      </c>
      <c r="AW54" s="169">
        <v>4.9000000000000004</v>
      </c>
      <c r="AX54" s="169">
        <v>5</v>
      </c>
      <c r="AY54" s="169">
        <v>5.0999999999999996</v>
      </c>
      <c r="AZ54" s="169">
        <v>5.0999999999999996</v>
      </c>
      <c r="BA54" s="169">
        <v>5.0999999999999996</v>
      </c>
      <c r="BB54" s="178">
        <f t="shared" si="74"/>
        <v>103676.99999999999</v>
      </c>
      <c r="BC54" s="179">
        <f t="shared" si="75"/>
        <v>23716.799999999999</v>
      </c>
      <c r="BD54" s="180">
        <f t="shared" si="70"/>
        <v>80388</v>
      </c>
      <c r="BE54" s="179">
        <f t="shared" si="76"/>
        <v>9831</v>
      </c>
      <c r="BF54" s="179">
        <f t="shared" si="71"/>
        <v>20829.2</v>
      </c>
      <c r="BG54" s="179">
        <f>SUM(RD[[#This Row],[KUD01]:[KUD23]])</f>
        <v>238441.99999999997</v>
      </c>
      <c r="BH54" s="181">
        <f t="shared" si="77"/>
        <v>5.04</v>
      </c>
      <c r="BI54" s="182">
        <f t="shared" si="78"/>
        <v>5.25</v>
      </c>
      <c r="BJ54" s="182">
        <f t="shared" si="79"/>
        <v>5.08</v>
      </c>
      <c r="BK54" s="183">
        <f t="shared" si="81"/>
        <v>5</v>
      </c>
      <c r="BL54" s="61">
        <f>IFERROR(AVERAGEIF(RD[[#This Row],[WS_KUD07]:[WS_KUD08]],"&lt;&gt;0",RD[[#This Row],[WS_KUD07]:[WS_KUD08]]),"")</f>
        <v>5.05</v>
      </c>
      <c r="BM54" s="184">
        <f>IFERROR(AVERAGE(RD[[#This Row],[WS_KUD01]:[WS_KUD23]]),"")</f>
        <v>5.0739130434782611</v>
      </c>
      <c r="BN54" s="185">
        <f>IFERROR(MAX(RD[[#This Row],[WS_KUD01]:[WS_KUD23]]),"")</f>
        <v>5.4</v>
      </c>
      <c r="BO54" s="73">
        <v>640.30499999999995</v>
      </c>
      <c r="BP54" s="73">
        <v>902.34199999999998</v>
      </c>
      <c r="BQ54" s="73">
        <v>78.234999999999999</v>
      </c>
      <c r="BR54" s="73">
        <v>232.91</v>
      </c>
      <c r="BS54" s="73">
        <v>192.01400000000001</v>
      </c>
      <c r="BT54" s="73">
        <v>300.053</v>
      </c>
      <c r="BU54" s="73"/>
      <c r="BV54" s="73">
        <v>89.233999999999995</v>
      </c>
      <c r="BW54" s="73">
        <v>199148</v>
      </c>
      <c r="BX54" s="73">
        <v>258088</v>
      </c>
      <c r="BY54" s="73">
        <v>134.20699999999999</v>
      </c>
      <c r="BZ54" s="73">
        <v>81.653000000000006</v>
      </c>
      <c r="CA54" s="73">
        <v>283.52999999999997</v>
      </c>
      <c r="CB54" s="73">
        <v>108.61499999999999</v>
      </c>
      <c r="CC54" s="73">
        <v>0.11899999999999999</v>
      </c>
      <c r="CD54" s="73">
        <v>0</v>
      </c>
      <c r="CE54" s="73">
        <v>226.779</v>
      </c>
      <c r="CF54" s="64" t="str">
        <f>IF((RD[[#This Row],[33 kV_Wind_F1_Export reading]]-BO53)*165000&lt;=0,"",(RD[[#This Row],[33 kV_Wind_F1_Export reading]]-BO53)*165000)</f>
        <v/>
      </c>
      <c r="CG54" s="64">
        <f>IF((RD[[#This Row],[33 kV_Wind_F2_Export_reading]]-BP53)*165000&lt;=0,"",(RD[[#This Row],[33 kV_Wind_F2_Export_reading]]-BP53)*165000)</f>
        <v>119129.9999999967</v>
      </c>
      <c r="CH54" s="64">
        <f>IF((RD[[#This Row],[33 kV_Wind_F3_Export_Reading]]-BQ53)*225000&lt;=0,"",(RD[[#This Row],[33 kV_Wind_F3_Export_Reading]]-BQ53)*225000)</f>
        <v>207449.99999999933</v>
      </c>
      <c r="CI54" s="64">
        <f>IF((RD[[#This Row],[33 kV_Wind_F4_Export Reading]]-BR53)*165000&lt;=0,"",(RD[[#This Row],[33 kV_Wind_F4_Export Reading]]-BR53)*165000)</f>
        <v>111539.99999999798</v>
      </c>
      <c r="CJ54" s="74">
        <f>IF((RD[[#This Row],[33 kV_Solar_F1_Export Reading]]-BS53)*225000&lt;=0,"",(RD[[#This Row],[33 kV_Solar_F1_Export Reading]]-BS53)*225000)</f>
        <v>186300.00000000067</v>
      </c>
      <c r="CK54" s="74">
        <f>IF((RD[[#This Row],[33kV_Solar_F2_Export Reading]]-BT53)*225000&lt;=0,"",(RD[[#This Row],[33kV_Solar_F2_Export Reading]]-BT53)*225000)</f>
        <v>159749.9999999954</v>
      </c>
      <c r="CL54" s="186" t="str">
        <f>IF((RD[[#This Row],[33 kV_Solar_F3_Export reading]]-BU53)*225000&lt;=0,"",(RD[[#This Row],[33 kV_Solar_F3_Export reading]]-BU53)*225000)</f>
        <v/>
      </c>
      <c r="CM54" s="63">
        <f>IF((RD[[#This Row],[32kV_Solar_F4_Export reading]]-BV53)*225000&lt;=0,"",(RD[[#This Row],[32kV_Solar_F4_Export reading]]-BV53)*225000)</f>
        <v>139499.99999999782</v>
      </c>
      <c r="CN54" s="64">
        <f>IF((RD[[#This Row],[33kV_OG1_Export reading]]-BW53)*1000&lt;=0,0,(RD[[#This Row],[33kV_OG1_Export reading]]-BW53)*1000)</f>
        <v>486000</v>
      </c>
      <c r="CO54" s="64">
        <f>IFERROR(IF((RD[[#This Row],[33kV_OG2_Export reading]]-BX53)*1000&lt;=0,0,(RD[[#This Row],[33kV_OG2_Export reading]]-BX53)*1000),0)</f>
        <v>415000</v>
      </c>
      <c r="CP54" s="74">
        <f>IF((RD[[#This Row],[220kV_TX1_Export reading]]-BY53)*800000&lt;=0,0,(RD[[#This Row],[220kV_TX1_Export reading]]-BY53)*800000)</f>
        <v>480799.9999999993</v>
      </c>
      <c r="CQ54" s="186">
        <f>IF((RD[[#This Row],[220kV_Tx2_Export reading]]-BZ53)*800000&lt;=0,0,(RD[[#This Row],[220kV_Tx2_Export reading]]-BZ53)*800000)</f>
        <v>407200.00000000029</v>
      </c>
      <c r="CR54" s="64">
        <f>IF((RD[[#This Row],[220kV_TL_TVM Export Reading]]-CA53)*1600000&lt;=0,0,(RD[[#This Row],[220kV_TL_TVM Export Reading]]-CA53)*1600000)</f>
        <v>894399.99999995052</v>
      </c>
      <c r="CS54" s="64">
        <f>IF((RD[[#This Row],[220kV_C&amp;R_PQM reading]]-CB53)*1600000&lt;=0,"",(RD[[#This Row],[220kV_C&amp;R_PQM reading]]-CB53)*1600000)</f>
        <v>892799.99999998836</v>
      </c>
      <c r="CT54" s="186">
        <f>IFERROR(IF((RD[[#This Row],[220KV_C&amp;R_PQM Import Reading]]-CC53)*1600000&lt;=0,0,(RD[[#This Row],[220KV_C&amp;R_PQM Import Reading]]-CC53)*1600000),"")</f>
        <v>1600.0000000000014</v>
      </c>
      <c r="CU54" s="64" t="str">
        <f>IF((RD[[#This Row],[33kV_Aux1 Import Reading]]-CD53)*1000&lt;=0,"",(RD[[#This Row],[33kV_Aux1 Import Reading]]-CD53)*1000)</f>
        <v/>
      </c>
      <c r="CV54" s="64">
        <f>IF((RD[[#This Row],[33kV_Aux2_Import reading]]-CE53)*1000&lt;=0,"",(RD[[#This Row],[33kV_Aux2_Import reading]]-CE53)*1000)</f>
        <v>329.99999999998408</v>
      </c>
      <c r="CW54" s="64">
        <f>IFERROR(RD[[#This Row],[33kV_OG1_Energy (MWh)]]+RD[[#This Row],[33kV_OG2_Energy (MWh)]],"")</f>
        <v>901000</v>
      </c>
      <c r="CX54" s="72">
        <f>IFERROR(RD[[#This Row],[220kV_TL_TVM Energy (MWh)]]-RD[[#This Row],[220KV_C&amp;R_PQM Import (MWh)]],"")</f>
        <v>892799.99999995052</v>
      </c>
      <c r="CY54" s="187">
        <f>IFERROR(RD[[#This Row],[33 kV Total Export (MWH)]]/RD[[#This Row],[220 KV Net Export (MWh)]]-1,"")</f>
        <v>9.1845878136760373E-3</v>
      </c>
      <c r="CZ54" s="188">
        <f t="shared" si="80"/>
        <v>50.6</v>
      </c>
      <c r="DA54" s="189">
        <v>96</v>
      </c>
      <c r="DB54" s="190"/>
      <c r="DC54" s="68">
        <f>IFERROR((RD[[#This Row],[Sunset Time (POA&lt;20 W/m2)]]-RD[[#This Row],[Sunrise Time (POA&gt;20 W/m2)]])*24,0)</f>
        <v>12.150000000000002</v>
      </c>
      <c r="DD54" s="70">
        <f>SUM(RD[[#This Row],[33 kV_Wind_F3_Export_Reading3]],CJ54,CK54,CL54,CM54)</f>
        <v>692999.99999999313</v>
      </c>
      <c r="DE54" s="68">
        <v>140</v>
      </c>
      <c r="DF54" s="70">
        <f t="shared" si="82"/>
        <v>230669.99999999467</v>
      </c>
      <c r="DG54" s="70">
        <v>238.47</v>
      </c>
      <c r="DH54">
        <f>'WTG Reactive Power'!AB52</f>
        <v>106654.39999999999</v>
      </c>
    </row>
    <row r="55" spans="1:112">
      <c r="A55" s="173">
        <f>YEAR(RD[[#This Row],[Date]])+IF(MONTH(RD[[#This Row],[Date]])&gt;=4,1,0)</f>
        <v>2026</v>
      </c>
      <c r="B55" s="173">
        <f>YEAR(RD[[#This Row],[Date]])</f>
        <v>2025</v>
      </c>
      <c r="C55" s="174">
        <f t="shared" si="72"/>
        <v>45778</v>
      </c>
      <c r="D55" s="173">
        <f>DAY(EOMONTH(RD[[#This Row],[Date]],0))</f>
        <v>31</v>
      </c>
      <c r="E55" s="175">
        <f t="shared" si="73"/>
        <v>45795</v>
      </c>
      <c r="F55" s="176">
        <v>0.27013888888888887</v>
      </c>
      <c r="G55" s="176">
        <v>0.77916666666666667</v>
      </c>
      <c r="H55" s="177">
        <v>7152.8</v>
      </c>
      <c r="I55" s="177">
        <v>4725.8999999999996</v>
      </c>
      <c r="J55" s="177">
        <v>5844.7</v>
      </c>
      <c r="K55" s="177">
        <v>3672</v>
      </c>
      <c r="L55" s="177">
        <v>3941.2</v>
      </c>
      <c r="M55" s="177">
        <v>4167.3</v>
      </c>
      <c r="N55" s="177">
        <v>4120.8999999999996</v>
      </c>
      <c r="O55" s="177">
        <v>5729</v>
      </c>
      <c r="P55" s="177">
        <v>4088.2</v>
      </c>
      <c r="Q55" s="177">
        <v>5528.8</v>
      </c>
      <c r="R55" s="177">
        <v>5391.4</v>
      </c>
      <c r="S55" s="177">
        <v>5770.7</v>
      </c>
      <c r="T55" s="177">
        <v>5598.3</v>
      </c>
      <c r="U55" s="177">
        <v>5073.7</v>
      </c>
      <c r="V55" s="177">
        <v>7583.2</v>
      </c>
      <c r="W55" s="177">
        <v>4956.1000000000004</v>
      </c>
      <c r="X55" s="177">
        <v>4621.2</v>
      </c>
      <c r="Y55" s="177">
        <v>4999.2</v>
      </c>
      <c r="Z55" s="177">
        <v>5038.7</v>
      </c>
      <c r="AA55" s="177">
        <v>4842.5</v>
      </c>
      <c r="AB55" s="177">
        <v>5082.1000000000004</v>
      </c>
      <c r="AC55" s="177">
        <v>4920.2</v>
      </c>
      <c r="AD55" s="177">
        <v>5300.3</v>
      </c>
      <c r="AE55" s="71">
        <v>4.5999999999999996</v>
      </c>
      <c r="AF55" s="71">
        <v>4.2</v>
      </c>
      <c r="AG55" s="71">
        <v>4.3</v>
      </c>
      <c r="AH55" s="71">
        <v>4.2</v>
      </c>
      <c r="AI55" s="71">
        <v>4.0999999999999996</v>
      </c>
      <c r="AJ55" s="71">
        <v>4</v>
      </c>
      <c r="AK55" s="71">
        <v>4.0999999999999996</v>
      </c>
      <c r="AL55" s="71">
        <v>4.3</v>
      </c>
      <c r="AM55" s="71">
        <v>4.3</v>
      </c>
      <c r="AN55" s="71">
        <v>4.2</v>
      </c>
      <c r="AO55" s="71">
        <v>4.4000000000000004</v>
      </c>
      <c r="AP55" s="71">
        <v>4.3</v>
      </c>
      <c r="AQ55" s="71">
        <v>4.2</v>
      </c>
      <c r="AR55" s="71">
        <v>4.2</v>
      </c>
      <c r="AS55" s="71">
        <v>4.8</v>
      </c>
      <c r="AT55" s="71">
        <v>4.2</v>
      </c>
      <c r="AU55" s="71">
        <v>4.5</v>
      </c>
      <c r="AV55" s="71">
        <v>4.3</v>
      </c>
      <c r="AW55" s="71">
        <v>4.5</v>
      </c>
      <c r="AX55" s="71">
        <v>4.2</v>
      </c>
      <c r="AY55" s="71">
        <v>4.5999999999999996</v>
      </c>
      <c r="AZ55" s="71">
        <v>4.5</v>
      </c>
      <c r="BA55" s="71">
        <v>4.4000000000000004</v>
      </c>
      <c r="BB55" s="178">
        <f t="shared" si="74"/>
        <v>57824.799999999988</v>
      </c>
      <c r="BC55" s="179">
        <f t="shared" si="75"/>
        <v>9577.2999999999993</v>
      </c>
      <c r="BD55" s="180">
        <f t="shared" si="70"/>
        <v>35897.199999999997</v>
      </c>
      <c r="BE55" s="179">
        <f t="shared" si="76"/>
        <v>4999.2</v>
      </c>
      <c r="BF55" s="179">
        <f t="shared" si="71"/>
        <v>9849.9</v>
      </c>
      <c r="BG55" s="179">
        <f>SUM(RD[[#This Row],[KUD01]:[KUD23]])</f>
        <v>118148.4</v>
      </c>
      <c r="BH55" s="181">
        <f t="shared" si="77"/>
        <v>4.37</v>
      </c>
      <c r="BI55" s="182">
        <f t="shared" si="78"/>
        <v>4.3499999999999996</v>
      </c>
      <c r="BJ55" s="182">
        <f t="shared" si="79"/>
        <v>4.2700000000000005</v>
      </c>
      <c r="BK55" s="183">
        <f t="shared" si="81"/>
        <v>4.3</v>
      </c>
      <c r="BL55" s="61">
        <f>IFERROR(AVERAGEIF(RD[[#This Row],[WS_KUD07]:[WS_KUD08]],"&lt;&gt;0",RD[[#This Row],[WS_KUD07]:[WS_KUD08]]),"")</f>
        <v>4.1999999999999993</v>
      </c>
      <c r="BM55" s="184">
        <f>IFERROR(AVERAGE(RD[[#This Row],[WS_KUD01]:[WS_KUD23]]),"")</f>
        <v>4.321739130434783</v>
      </c>
      <c r="BN55" s="185">
        <f>IFERROR(MAX(RD[[#This Row],[WS_KUD01]:[WS_KUD23]]),"")</f>
        <v>4.8</v>
      </c>
      <c r="BO55" s="73">
        <v>640.30499999999995</v>
      </c>
      <c r="BP55" s="73">
        <v>902.65599999999995</v>
      </c>
      <c r="BQ55" s="73">
        <v>79.08</v>
      </c>
      <c r="BR55" s="73">
        <v>233.27600000000001</v>
      </c>
      <c r="BS55" s="73">
        <v>192.94300000000001</v>
      </c>
      <c r="BT55" s="73">
        <v>300.83499999999998</v>
      </c>
      <c r="BU55" s="73"/>
      <c r="BV55" s="73">
        <v>89.951999999999998</v>
      </c>
      <c r="BW55" s="73">
        <v>199695</v>
      </c>
      <c r="BX55" s="73">
        <v>258413</v>
      </c>
      <c r="BY55" s="73">
        <v>134.88300000000001</v>
      </c>
      <c r="BZ55" s="73">
        <v>82.055000000000007</v>
      </c>
      <c r="CA55" s="73">
        <v>284.07</v>
      </c>
      <c r="CB55" s="73">
        <v>109.15600000000001</v>
      </c>
      <c r="CC55" s="73">
        <v>0.11899999999999999</v>
      </c>
      <c r="CD55" s="73">
        <v>0</v>
      </c>
      <c r="CE55" s="73">
        <v>227.10900000000001</v>
      </c>
      <c r="CF55" s="64" t="str">
        <f>IF((RD[[#This Row],[33 kV_Wind_F1_Export reading]]-BO54)*165000&lt;=0,"",(RD[[#This Row],[33 kV_Wind_F1_Export reading]]-BO54)*165000)</f>
        <v/>
      </c>
      <c r="CG55" s="64">
        <f>IF((RD[[#This Row],[33 kV_Wind_F2_Export_reading]]-BP54)*165000&lt;=0,"",(RD[[#This Row],[33 kV_Wind_F2_Export_reading]]-BP54)*165000)</f>
        <v>51809.99999999415</v>
      </c>
      <c r="CH55" s="64">
        <f>IF((RD[[#This Row],[33 kV_Wind_F3_Export_Reading]]-BQ54)*225000&lt;=0,"",(RD[[#This Row],[33 kV_Wind_F3_Export_Reading]]-BQ54)*225000)</f>
        <v>190124.99999999974</v>
      </c>
      <c r="CI55" s="64">
        <f>IF((RD[[#This Row],[33 kV_Wind_F4_Export Reading]]-BR54)*165000&lt;=0,"",(RD[[#This Row],[33 kV_Wind_F4_Export Reading]]-BR54)*165000)</f>
        <v>60390.000000002292</v>
      </c>
      <c r="CJ55" s="74">
        <f>IF((RD[[#This Row],[33 kV_Solar_F1_Export Reading]]-BS54)*225000&lt;=0,"",(RD[[#This Row],[33 kV_Solar_F1_Export Reading]]-BS54)*225000)</f>
        <v>209025.00000000047</v>
      </c>
      <c r="CK55" s="74">
        <f>IF((RD[[#This Row],[33kV_Solar_F2_Export Reading]]-BT54)*225000&lt;=0,"",(RD[[#This Row],[33kV_Solar_F2_Export Reading]]-BT54)*225000)</f>
        <v>175949.99999999601</v>
      </c>
      <c r="CL55" s="186" t="str">
        <f>IF((RD[[#This Row],[33 kV_Solar_F3_Export reading]]-BU54)*225000&lt;=0,"",(RD[[#This Row],[33 kV_Solar_F3_Export reading]]-BU54)*225000)</f>
        <v/>
      </c>
      <c r="CM55" s="63">
        <f>IF((RD[[#This Row],[32kV_Solar_F4_Export reading]]-BV54)*225000&lt;=0,"",(RD[[#This Row],[32kV_Solar_F4_Export reading]]-BV54)*225000)</f>
        <v>161550.00000000079</v>
      </c>
      <c r="CN55" s="64">
        <f>IF((RD[[#This Row],[33kV_OG1_Export reading]]-BW54)*1000&lt;=0,0,(RD[[#This Row],[33kV_OG1_Export reading]]-BW54)*1000)</f>
        <v>547000</v>
      </c>
      <c r="CO55" s="64">
        <f>IFERROR(IF((RD[[#This Row],[33kV_OG2_Export reading]]-BX54)*1000&lt;=0,0,(RD[[#This Row],[33kV_OG2_Export reading]]-BX54)*1000),0)</f>
        <v>325000</v>
      </c>
      <c r="CP55" s="74">
        <f>IF((RD[[#This Row],[220kV_TX1_Export reading]]-BY54)*800000&lt;=0,0,(RD[[#This Row],[220kV_TX1_Export reading]]-BY54)*800000)</f>
        <v>540800.00000001292</v>
      </c>
      <c r="CQ55" s="186">
        <f>IF((RD[[#This Row],[220kV_Tx2_Export reading]]-BZ54)*800000&lt;=0,0,(RD[[#This Row],[220kV_Tx2_Export reading]]-BZ54)*800000)</f>
        <v>321600.00000000081</v>
      </c>
      <c r="CR55" s="64">
        <f>IF((RD[[#This Row],[220kV_TL_TVM Export Reading]]-CA54)*1600000&lt;=0,0,(RD[[#This Row],[220kV_TL_TVM Export Reading]]-CA54)*1600000)</f>
        <v>864000.00000003271</v>
      </c>
      <c r="CS55" s="64">
        <f>IF((RD[[#This Row],[220kV_C&amp;R_PQM reading]]-CB54)*1600000&lt;=0,"",(RD[[#This Row],[220kV_C&amp;R_PQM reading]]-CB54)*1600000)</f>
        <v>865600.0000000177</v>
      </c>
      <c r="CT55" s="186">
        <f>IFERROR(IF((RD[[#This Row],[220KV_C&amp;R_PQM Import Reading]]-CC54)*1600000&lt;=0,0,(RD[[#This Row],[220KV_C&amp;R_PQM Import Reading]]-CC54)*1600000),"")</f>
        <v>0</v>
      </c>
      <c r="CU55" s="64" t="str">
        <f>IF((RD[[#This Row],[33kV_Aux1 Import Reading]]-CD54)*1000&lt;=0,"",(RD[[#This Row],[33kV_Aux1 Import Reading]]-CD54)*1000)</f>
        <v/>
      </c>
      <c r="CV55" s="64">
        <f>IF((RD[[#This Row],[33kV_Aux2_Import reading]]-CE54)*1000&lt;=0,"",(RD[[#This Row],[33kV_Aux2_Import reading]]-CE54)*1000)</f>
        <v>330.00000000001251</v>
      </c>
      <c r="CW55" s="64">
        <f>IFERROR(RD[[#This Row],[33kV_OG1_Energy (MWh)]]+RD[[#This Row],[33kV_OG2_Energy (MWh)]],"")</f>
        <v>872000</v>
      </c>
      <c r="CX55" s="72">
        <f>IFERROR(RD[[#This Row],[220kV_TL_TVM Energy (MWh)]]-RD[[#This Row],[220KV_C&amp;R_PQM Import (MWh)]],"")</f>
        <v>864000.00000003271</v>
      </c>
      <c r="CY55" s="187">
        <f>IFERROR(RD[[#This Row],[33 kV Total Export (MWH)]]/RD[[#This Row],[220 KV Net Export (MWh)]]-1,"")</f>
        <v>9.2592592592211087E-3</v>
      </c>
      <c r="CZ55" s="188">
        <f t="shared" si="80"/>
        <v>50.6</v>
      </c>
      <c r="DA55" s="189">
        <v>96</v>
      </c>
      <c r="DB55" s="190"/>
      <c r="DC55" s="68">
        <f>IFERROR((RD[[#This Row],[Sunset Time (POA&lt;20 W/m2)]]-RD[[#This Row],[Sunrise Time (POA&gt;20 W/m2)]])*24,0)</f>
        <v>12.216666666666669</v>
      </c>
      <c r="DD55" s="70">
        <f>SUM(RD[[#This Row],[33 kV_Wind_F3_Export_Reading3]],CJ55,CK55,CL55,CM55)</f>
        <v>736649.99999999709</v>
      </c>
      <c r="DE55" s="68">
        <v>140</v>
      </c>
      <c r="DF55" s="70">
        <f t="shared" si="82"/>
        <v>112199.99999999645</v>
      </c>
      <c r="DG55" s="70">
        <v>120.17</v>
      </c>
      <c r="DH55">
        <f>'WTG Reactive Power'!AB53</f>
        <v>81564.099999999991</v>
      </c>
    </row>
    <row r="56" spans="1:112">
      <c r="A56" s="173">
        <f>YEAR(RD[[#This Row],[Date]])+IF(MONTH(RD[[#This Row],[Date]])&gt;=4,1,0)</f>
        <v>2026</v>
      </c>
      <c r="B56" s="173">
        <f>YEAR(RD[[#This Row],[Date]])</f>
        <v>2025</v>
      </c>
      <c r="C56" s="174">
        <f t="shared" si="72"/>
        <v>45778</v>
      </c>
      <c r="D56" s="173">
        <f>DAY(EOMONTH(RD[[#This Row],[Date]],0))</f>
        <v>31</v>
      </c>
      <c r="E56" s="175">
        <f t="shared" si="73"/>
        <v>45796</v>
      </c>
      <c r="F56" s="176">
        <v>0.26180555555555557</v>
      </c>
      <c r="G56" s="176">
        <v>0.74583333333333335</v>
      </c>
      <c r="H56" s="177">
        <v>1915.2</v>
      </c>
      <c r="I56" s="177">
        <v>2395.6999999999998</v>
      </c>
      <c r="J56" s="177">
        <v>1509.3</v>
      </c>
      <c r="K56" s="177">
        <v>837.6</v>
      </c>
      <c r="L56" s="177">
        <v>1425.9</v>
      </c>
      <c r="M56" s="177">
        <v>1532.4</v>
      </c>
      <c r="N56" s="177">
        <v>1455.5</v>
      </c>
      <c r="O56" s="177">
        <v>1245.5999999999999</v>
      </c>
      <c r="P56" s="177">
        <v>1699.4</v>
      </c>
      <c r="Q56" s="177">
        <v>1087.2</v>
      </c>
      <c r="R56" s="177">
        <v>1621.7</v>
      </c>
      <c r="S56" s="177">
        <v>1513.8</v>
      </c>
      <c r="T56" s="177">
        <v>1689.9</v>
      </c>
      <c r="U56" s="177">
        <v>1208.2</v>
      </c>
      <c r="V56" s="177">
        <v>2344.9</v>
      </c>
      <c r="W56" s="177">
        <v>2640.3</v>
      </c>
      <c r="X56" s="177">
        <v>2580.9</v>
      </c>
      <c r="Y56" s="177">
        <v>1314</v>
      </c>
      <c r="Z56" s="177">
        <v>1610.6</v>
      </c>
      <c r="AA56" s="177">
        <v>1059</v>
      </c>
      <c r="AB56" s="177">
        <v>2126.4</v>
      </c>
      <c r="AC56" s="177">
        <v>1380.3</v>
      </c>
      <c r="AD56" s="177">
        <v>2342.4</v>
      </c>
      <c r="AE56" s="169">
        <v>3.2</v>
      </c>
      <c r="AF56" s="169">
        <v>3.2</v>
      </c>
      <c r="AG56" s="169">
        <v>3.1</v>
      </c>
      <c r="AH56" s="169">
        <v>2.7</v>
      </c>
      <c r="AI56" s="169">
        <v>2.8</v>
      </c>
      <c r="AJ56" s="169">
        <v>2.9</v>
      </c>
      <c r="AK56" s="169">
        <v>2.9</v>
      </c>
      <c r="AL56" s="169">
        <v>3.1</v>
      </c>
      <c r="AM56" s="169">
        <v>3</v>
      </c>
      <c r="AN56" s="169">
        <v>2.8</v>
      </c>
      <c r="AO56" s="169">
        <v>3.1</v>
      </c>
      <c r="AP56" s="169">
        <v>2.9</v>
      </c>
      <c r="AQ56" s="169">
        <v>3</v>
      </c>
      <c r="AR56" s="169">
        <v>2.8</v>
      </c>
      <c r="AS56" s="169">
        <v>3.4</v>
      </c>
      <c r="AT56" s="169">
        <v>3.2</v>
      </c>
      <c r="AU56" s="169">
        <v>3.2</v>
      </c>
      <c r="AV56" s="169">
        <v>2.8</v>
      </c>
      <c r="AW56" s="169">
        <v>3</v>
      </c>
      <c r="AX56" s="169">
        <v>2.9</v>
      </c>
      <c r="AY56" s="169">
        <v>3.3</v>
      </c>
      <c r="AZ56" s="169">
        <v>2.9</v>
      </c>
      <c r="BA56" s="169">
        <v>3.1</v>
      </c>
      <c r="BB56" s="178">
        <f t="shared" si="74"/>
        <v>15559.800000000001</v>
      </c>
      <c r="BC56" s="179">
        <f t="shared" si="75"/>
        <v>5221.2000000000007</v>
      </c>
      <c r="BD56" s="180">
        <f t="shared" si="70"/>
        <v>13740.099999999999</v>
      </c>
      <c r="BE56" s="179">
        <f t="shared" si="76"/>
        <v>1314</v>
      </c>
      <c r="BF56" s="179">
        <f t="shared" si="71"/>
        <v>2701.1</v>
      </c>
      <c r="BG56" s="179">
        <f>SUM(RD[[#This Row],[KUD01]:[KUD23]])</f>
        <v>38536.200000000004</v>
      </c>
      <c r="BH56" s="181">
        <f t="shared" si="77"/>
        <v>3.02</v>
      </c>
      <c r="BI56" s="182">
        <f t="shared" si="78"/>
        <v>3.2</v>
      </c>
      <c r="BJ56" s="182">
        <f t="shared" si="79"/>
        <v>2.99</v>
      </c>
      <c r="BK56" s="183">
        <f t="shared" si="81"/>
        <v>2.8</v>
      </c>
      <c r="BL56" s="61">
        <f>IFERROR(AVERAGEIF(RD[[#This Row],[WS_KUD07]:[WS_KUD08]],"&lt;&gt;0",RD[[#This Row],[WS_KUD07]:[WS_KUD08]]),"")</f>
        <v>3</v>
      </c>
      <c r="BM56" s="184">
        <f>IFERROR(AVERAGE(RD[[#This Row],[WS_KUD01]:[WS_KUD23]]),"")</f>
        <v>3.0130434782608688</v>
      </c>
      <c r="BN56" s="185">
        <f>IFERROR(MAX(RD[[#This Row],[WS_KUD01]:[WS_KUD23]]),"")</f>
        <v>3.4</v>
      </c>
      <c r="BO56" s="73">
        <v>640.30499999999995</v>
      </c>
      <c r="BP56" s="73">
        <v>902.78399999999999</v>
      </c>
      <c r="BQ56" s="73">
        <v>79.853999999999999</v>
      </c>
      <c r="BR56" s="73">
        <v>233.37700000000001</v>
      </c>
      <c r="BS56" s="73">
        <v>193.648</v>
      </c>
      <c r="BT56" s="73">
        <v>301.39600000000002</v>
      </c>
      <c r="BU56" s="73"/>
      <c r="BV56" s="73">
        <v>90.534000000000006</v>
      </c>
      <c r="BW56" s="73">
        <v>200111</v>
      </c>
      <c r="BX56" s="73">
        <v>258622</v>
      </c>
      <c r="BY56" s="73">
        <v>135.39699999999999</v>
      </c>
      <c r="BZ56" s="73">
        <v>82.313000000000002</v>
      </c>
      <c r="CA56" s="73">
        <v>284.45800000000003</v>
      </c>
      <c r="CB56" s="73">
        <v>109.544</v>
      </c>
      <c r="CC56" s="73">
        <v>0.12</v>
      </c>
      <c r="CD56" s="73">
        <v>0</v>
      </c>
      <c r="CE56" s="73">
        <v>227.43899999999999</v>
      </c>
      <c r="CF56" s="64" t="str">
        <f>IF((RD[[#This Row],[33 kV_Wind_F1_Export reading]]-BO55)*165000&lt;=0,"",(RD[[#This Row],[33 kV_Wind_F1_Export reading]]-BO55)*165000)</f>
        <v/>
      </c>
      <c r="CG56" s="64">
        <f>IF((RD[[#This Row],[33 kV_Wind_F2_Export_reading]]-BP55)*165000&lt;=0,"",(RD[[#This Row],[33 kV_Wind_F2_Export_reading]]-BP55)*165000)</f>
        <v>21120.000000007054</v>
      </c>
      <c r="CH56" s="64">
        <f>IF((RD[[#This Row],[33 kV_Wind_F3_Export_Reading]]-BQ55)*225000&lt;=0,"",(RD[[#This Row],[33 kV_Wind_F3_Export_Reading]]-BQ55)*225000)</f>
        <v>174150.0000000002</v>
      </c>
      <c r="CI56" s="64">
        <f>IF((RD[[#This Row],[33 kV_Wind_F4_Export Reading]]-BR55)*165000&lt;=0,"",(RD[[#This Row],[33 kV_Wind_F4_Export Reading]]-BR55)*165000)</f>
        <v>16664.999999999851</v>
      </c>
      <c r="CJ56" s="74">
        <f>IF((RD[[#This Row],[33 kV_Solar_F1_Export Reading]]-BS55)*225000&lt;=0,"",(RD[[#This Row],[33 kV_Solar_F1_Export Reading]]-BS55)*225000)</f>
        <v>158624.99999999642</v>
      </c>
      <c r="CK56" s="74">
        <f>IF((RD[[#This Row],[33kV_Solar_F2_Export Reading]]-BT55)*225000&lt;=0,"",(RD[[#This Row],[33kV_Solar_F2_Export Reading]]-BT55)*225000)</f>
        <v>126225.00000000797</v>
      </c>
      <c r="CL56" s="186" t="str">
        <f>IF((RD[[#This Row],[33 kV_Solar_F3_Export reading]]-BU55)*225000&lt;=0,"",(RD[[#This Row],[33 kV_Solar_F3_Export reading]]-BU55)*225000)</f>
        <v/>
      </c>
      <c r="CM56" s="63">
        <f>IF((RD[[#This Row],[32kV_Solar_F4_Export reading]]-BV55)*225000&lt;=0,"",(RD[[#This Row],[32kV_Solar_F4_Export reading]]-BV55)*225000)</f>
        <v>130950.00000000176</v>
      </c>
      <c r="CN56" s="64">
        <f>IF((RD[[#This Row],[33kV_OG1_Export reading]]-BW55)*1000&lt;=0,0,(RD[[#This Row],[33kV_OG1_Export reading]]-BW55)*1000)</f>
        <v>416000</v>
      </c>
      <c r="CO56" s="64">
        <f>IFERROR(IF((RD[[#This Row],[33kV_OG2_Export reading]]-BX55)*1000&lt;=0,0,(RD[[#This Row],[33kV_OG2_Export reading]]-BX55)*1000),0)</f>
        <v>209000</v>
      </c>
      <c r="CP56" s="74">
        <f>IF((RD[[#This Row],[220kV_TX1_Export reading]]-BY55)*800000&lt;=0,0,(RD[[#This Row],[220kV_TX1_Export reading]]-BY55)*800000)</f>
        <v>411199.99999998527</v>
      </c>
      <c r="CQ56" s="186">
        <f>IF((RD[[#This Row],[220kV_Tx2_Export reading]]-BZ55)*800000&lt;=0,0,(RD[[#This Row],[220kV_Tx2_Export reading]]-BZ55)*800000)</f>
        <v>206399.99999999645</v>
      </c>
      <c r="CR56" s="64">
        <f>IF((RD[[#This Row],[220kV_TL_TVM Export Reading]]-CA55)*1600000&lt;=0,0,(RD[[#This Row],[220kV_TL_TVM Export Reading]]-CA55)*1600000)</f>
        <v>620800.00000005378</v>
      </c>
      <c r="CS56" s="64">
        <f>IF((RD[[#This Row],[220kV_C&amp;R_PQM reading]]-CB55)*1600000&lt;=0,"",(RD[[#This Row],[220kV_C&amp;R_PQM reading]]-CB55)*1600000)</f>
        <v>620799.99999998568</v>
      </c>
      <c r="CT56" s="186">
        <f>IFERROR(IF((RD[[#This Row],[220KV_C&amp;R_PQM Import Reading]]-CC55)*1600000&lt;=0,0,(RD[[#This Row],[220KV_C&amp;R_PQM Import Reading]]-CC55)*1600000),"")</f>
        <v>1600.0000000000014</v>
      </c>
      <c r="CU56" s="64" t="str">
        <f>IF((RD[[#This Row],[33kV_Aux1 Import Reading]]-CD55)*1000&lt;=0,"",(RD[[#This Row],[33kV_Aux1 Import Reading]]-CD55)*1000)</f>
        <v/>
      </c>
      <c r="CV56" s="64">
        <f>IF((RD[[#This Row],[33kV_Aux2_Import reading]]-CE55)*1000&lt;=0,"",(RD[[#This Row],[33kV_Aux2_Import reading]]-CE55)*1000)</f>
        <v>329.99999999998408</v>
      </c>
      <c r="CW56" s="64">
        <f>IFERROR(RD[[#This Row],[33kV_OG1_Energy (MWh)]]+RD[[#This Row],[33kV_OG2_Energy (MWh)]],"")</f>
        <v>625000</v>
      </c>
      <c r="CX56" s="72">
        <f>IFERROR(RD[[#This Row],[220kV_TL_TVM Energy (MWh)]]-RD[[#This Row],[220KV_C&amp;R_PQM Import (MWh)]],"")</f>
        <v>619200.00000005378</v>
      </c>
      <c r="CY56" s="187">
        <f>IFERROR(RD[[#This Row],[33 kV Total Export (MWH)]]/RD[[#This Row],[220 KV Net Export (MWh)]]-1,"")</f>
        <v>9.3669250645118662E-3</v>
      </c>
      <c r="CZ56" s="188">
        <f t="shared" si="80"/>
        <v>50.6</v>
      </c>
      <c r="DA56" s="189">
        <v>97</v>
      </c>
      <c r="DB56" s="190"/>
      <c r="DC56" s="68">
        <f>IFERROR((RD[[#This Row],[Sunset Time (POA&lt;20 W/m2)]]-RD[[#This Row],[Sunrise Time (POA&gt;20 W/m2)]])*24,0)</f>
        <v>11.616666666666667</v>
      </c>
      <c r="DD56" s="70">
        <f>SUM(RD[[#This Row],[33 kV_Wind_F3_Export_Reading3]],CJ56,CK56,CL56,CM56)</f>
        <v>589950.0000000064</v>
      </c>
      <c r="DE56" s="68">
        <v>140</v>
      </c>
      <c r="DF56" s="70">
        <f t="shared" si="82"/>
        <v>37785.000000006905</v>
      </c>
      <c r="DG56" s="70">
        <v>41.88</v>
      </c>
      <c r="DH56">
        <f>'WTG Reactive Power'!AB54</f>
        <v>113831.20000000001</v>
      </c>
    </row>
    <row r="57" spans="1:112">
      <c r="A57" s="191">
        <f>YEAR(RD[[#This Row],[Date]])+IF(MONTH(RD[[#This Row],[Date]])&gt;=4,1,0)</f>
        <v>2026</v>
      </c>
      <c r="B57" s="191">
        <f>YEAR(RD[[#This Row],[Date]])</f>
        <v>2025</v>
      </c>
      <c r="C57" s="192">
        <f t="shared" si="72"/>
        <v>45778</v>
      </c>
      <c r="D57" s="191">
        <f>DAY(EOMONTH(RD[[#This Row],[Date]],0))</f>
        <v>31</v>
      </c>
      <c r="E57" s="193">
        <f t="shared" si="73"/>
        <v>45797</v>
      </c>
      <c r="F57" s="194">
        <v>0.26180555555555557</v>
      </c>
      <c r="G57" s="194">
        <v>0.71319444444444446</v>
      </c>
      <c r="H57" s="195">
        <v>3723.3</v>
      </c>
      <c r="I57" s="195">
        <v>5084.3</v>
      </c>
      <c r="J57" s="195">
        <v>2359.4</v>
      </c>
      <c r="K57" s="195">
        <v>3772.1</v>
      </c>
      <c r="L57" s="195">
        <v>3568.5</v>
      </c>
      <c r="M57" s="195">
        <v>2996.8</v>
      </c>
      <c r="N57" s="195">
        <v>4414.5</v>
      </c>
      <c r="O57" s="195">
        <v>2783.2</v>
      </c>
      <c r="P57" s="195">
        <v>4090</v>
      </c>
      <c r="Q57" s="195">
        <v>2572</v>
      </c>
      <c r="R57" s="195">
        <v>2378.3000000000002</v>
      </c>
      <c r="S57" s="195">
        <v>2690</v>
      </c>
      <c r="T57" s="195">
        <v>2567.8000000000002</v>
      </c>
      <c r="U57" s="195">
        <v>2424.3000000000002</v>
      </c>
      <c r="V57" s="195">
        <v>4210.6000000000004</v>
      </c>
      <c r="W57" s="195">
        <v>5784.6</v>
      </c>
      <c r="X57" s="195">
        <v>5244.7</v>
      </c>
      <c r="Y57" s="195">
        <v>4278.5</v>
      </c>
      <c r="Z57" s="195">
        <v>2596.1999999999998</v>
      </c>
      <c r="AA57" s="195">
        <v>2278.9</v>
      </c>
      <c r="AB57" s="195">
        <v>4484.8</v>
      </c>
      <c r="AC57" s="195">
        <v>4434.1000000000004</v>
      </c>
      <c r="AD57" s="195">
        <v>4241.1000000000004</v>
      </c>
      <c r="AE57" s="169">
        <v>3.4</v>
      </c>
      <c r="AF57" s="169">
        <v>3.6</v>
      </c>
      <c r="AG57" s="169">
        <v>3.1</v>
      </c>
      <c r="AH57" s="169">
        <v>3.4</v>
      </c>
      <c r="AI57" s="169">
        <v>3.3</v>
      </c>
      <c r="AJ57" s="169">
        <v>3.4</v>
      </c>
      <c r="AK57" s="169">
        <v>3.4</v>
      </c>
      <c r="AL57" s="169">
        <v>3.2</v>
      </c>
      <c r="AM57" s="169">
        <v>3.6</v>
      </c>
      <c r="AN57" s="169">
        <v>3.1</v>
      </c>
      <c r="AO57" s="169">
        <v>3.3</v>
      </c>
      <c r="AP57" s="169">
        <v>3.1</v>
      </c>
      <c r="AQ57" s="169">
        <v>3.2</v>
      </c>
      <c r="AR57" s="169">
        <v>3.1</v>
      </c>
      <c r="AS57" s="169">
        <v>3.7</v>
      </c>
      <c r="AT57" s="169">
        <v>3.8</v>
      </c>
      <c r="AU57" s="169">
        <v>3.7</v>
      </c>
      <c r="AV57" s="169">
        <v>3.3</v>
      </c>
      <c r="AW57" s="169">
        <v>3.1</v>
      </c>
      <c r="AX57" s="169">
        <v>3.3</v>
      </c>
      <c r="AY57" s="169">
        <v>3.8</v>
      </c>
      <c r="AZ57" s="169">
        <v>3.6</v>
      </c>
      <c r="BA57" s="169">
        <v>3.5</v>
      </c>
      <c r="BB57" s="178">
        <f t="shared" si="74"/>
        <v>27800.799999999999</v>
      </c>
      <c r="BC57" s="196">
        <f t="shared" si="75"/>
        <v>11029.3</v>
      </c>
      <c r="BD57" s="180">
        <f t="shared" si="70"/>
        <v>32671.699999999997</v>
      </c>
      <c r="BE57" s="196">
        <f t="shared" si="76"/>
        <v>4278.5</v>
      </c>
      <c r="BF57" s="179">
        <f t="shared" si="71"/>
        <v>7197.7</v>
      </c>
      <c r="BG57" s="196">
        <f>SUM(RD[[#This Row],[KUD01]:[KUD23]])</f>
        <v>82978.000000000015</v>
      </c>
      <c r="BH57" s="181">
        <f t="shared" si="77"/>
        <v>3.2399999999999998</v>
      </c>
      <c r="BI57" s="182">
        <f t="shared" si="78"/>
        <v>3.75</v>
      </c>
      <c r="BJ57" s="182">
        <f t="shared" si="79"/>
        <v>3.4800000000000004</v>
      </c>
      <c r="BK57" s="183">
        <f t="shared" si="81"/>
        <v>3.3</v>
      </c>
      <c r="BL57" s="61">
        <f>IFERROR(AVERAGEIF(RD[[#This Row],[WS_KUD07]:[WS_KUD08]],"&lt;&gt;0",RD[[#This Row],[WS_KUD07]:[WS_KUD08]]),"")</f>
        <v>3.3</v>
      </c>
      <c r="BM57" s="197">
        <f>IFERROR(AVERAGE(RD[[#This Row],[WS_KUD01]:[WS_KUD23]]),"")</f>
        <v>3.3913043478260869</v>
      </c>
      <c r="BN57" s="198">
        <f>IFERROR(MAX(RD[[#This Row],[WS_KUD01]:[WS_KUD23]]),"")</f>
        <v>3.8</v>
      </c>
      <c r="BO57" s="73">
        <v>640.30499999999995</v>
      </c>
      <c r="BP57" s="73">
        <v>903.096</v>
      </c>
      <c r="BQ57" s="73">
        <v>80.427999999999997</v>
      </c>
      <c r="BR57" s="73">
        <v>233.56299999999999</v>
      </c>
      <c r="BS57" s="73">
        <v>194.15899999999999</v>
      </c>
      <c r="BT57" s="73">
        <v>301.81799999999998</v>
      </c>
      <c r="BU57" s="73"/>
      <c r="BV57" s="73">
        <v>90.974999999999994</v>
      </c>
      <c r="BW57" s="73">
        <v>200420</v>
      </c>
      <c r="BX57" s="73">
        <v>258831</v>
      </c>
      <c r="BY57" s="73">
        <v>135.77600000000001</v>
      </c>
      <c r="BZ57" s="73">
        <v>82.572999999999993</v>
      </c>
      <c r="CA57" s="73">
        <v>284.78100000000001</v>
      </c>
      <c r="CB57" s="73">
        <v>109.866</v>
      </c>
      <c r="CC57" s="73">
        <v>0.122</v>
      </c>
      <c r="CD57" s="73">
        <v>0</v>
      </c>
      <c r="CE57" s="73">
        <v>227.76900000000001</v>
      </c>
      <c r="CF57" s="64" t="str">
        <f>IF((RD[[#This Row],[33 kV_Wind_F1_Export reading]]-BO56)*165000&lt;=0,"",(RD[[#This Row],[33 kV_Wind_F1_Export reading]]-BO56)*165000)</f>
        <v/>
      </c>
      <c r="CG57" s="64">
        <f>IF((RD[[#This Row],[33 kV_Wind_F2_Export_reading]]-BP56)*165000&lt;=0,"",(RD[[#This Row],[33 kV_Wind_F2_Export_reading]]-BP56)*165000)</f>
        <v>51480.00000000195</v>
      </c>
      <c r="CH57" s="64">
        <f>IF((RD[[#This Row],[33 kV_Wind_F3_Export_Reading]]-BQ56)*225000&lt;=0,"",(RD[[#This Row],[33 kV_Wind_F3_Export_Reading]]-BQ56)*225000)</f>
        <v>129149.99999999956</v>
      </c>
      <c r="CI57" s="64">
        <f>IF((RD[[#This Row],[33 kV_Wind_F4_Export Reading]]-BR56)*165000&lt;=0,"",(RD[[#This Row],[33 kV_Wind_F4_Export Reading]]-BR56)*165000)</f>
        <v>30689.999999996475</v>
      </c>
      <c r="CJ57" s="74">
        <f>IF((RD[[#This Row],[33 kV_Solar_F1_Export Reading]]-BS56)*225000&lt;=0,"",(RD[[#This Row],[33 kV_Solar_F1_Export Reading]]-BS56)*225000)</f>
        <v>114974.99999999903</v>
      </c>
      <c r="CK57" s="74">
        <f>IF((RD[[#This Row],[33kV_Solar_F2_Export Reading]]-BT56)*225000&lt;=0,"",(RD[[#This Row],[33kV_Solar_F2_Export Reading]]-BT56)*225000)</f>
        <v>94949.999999992942</v>
      </c>
      <c r="CL57" s="199" t="str">
        <f>IF((RD[[#This Row],[33 kV_Solar_F3_Export reading]]-BU56)*225000&lt;=0,"",(RD[[#This Row],[33 kV_Solar_F3_Export reading]]-BU56)*225000)</f>
        <v/>
      </c>
      <c r="CM57" s="63">
        <f>IF((RD[[#This Row],[32kV_Solar_F4_Export reading]]-BV56)*225000&lt;=0,"",(RD[[#This Row],[32kV_Solar_F4_Export reading]]-BV56)*225000)</f>
        <v>99224.999999997366</v>
      </c>
      <c r="CN57" s="64">
        <f>IF((RD[[#This Row],[33kV_OG1_Export reading]]-BW56)*1000&lt;=0,0,(RD[[#This Row],[33kV_OG1_Export reading]]-BW56)*1000)</f>
        <v>309000</v>
      </c>
      <c r="CO57" s="64">
        <f>IFERROR(IF((RD[[#This Row],[33kV_OG2_Export reading]]-BX56)*1000&lt;=0,0,(RD[[#This Row],[33kV_OG2_Export reading]]-BX56)*1000),0)</f>
        <v>209000</v>
      </c>
      <c r="CP57" s="74">
        <f>IF((RD[[#This Row],[220kV_TX1_Export reading]]-BY56)*800000&lt;=0,0,(RD[[#This Row],[220kV_TX1_Export reading]]-BY56)*800000)</f>
        <v>303200.00000001525</v>
      </c>
      <c r="CQ57" s="199">
        <f>IF((RD[[#This Row],[220kV_Tx2_Export reading]]-BZ56)*800000&lt;=0,0,(RD[[#This Row],[220kV_Tx2_Export reading]]-BZ56)*800000)</f>
        <v>207999.99999999272</v>
      </c>
      <c r="CR57" s="64">
        <f>IF((RD[[#This Row],[220kV_TL_TVM Export Reading]]-CA56)*1600000&lt;=0,0,(RD[[#This Row],[220kV_TL_TVM Export Reading]]-CA56)*1600000)</f>
        <v>516799.99999996653</v>
      </c>
      <c r="CS57" s="64">
        <f>IF((RD[[#This Row],[220kV_C&amp;R_PQM reading]]-CB56)*1600000&lt;=0,"",(RD[[#This Row],[220kV_C&amp;R_PQM reading]]-CB56)*1600000)</f>
        <v>515200.00000000437</v>
      </c>
      <c r="CT57" s="199">
        <f>IFERROR(IF((RD[[#This Row],[220KV_C&amp;R_PQM Import Reading]]-CC56)*1600000&lt;=0,0,(RD[[#This Row],[220KV_C&amp;R_PQM Import Reading]]-CC56)*1600000),"")</f>
        <v>3200.0000000000027</v>
      </c>
      <c r="CU57" s="64" t="str">
        <f>IF((RD[[#This Row],[33kV_Aux1 Import Reading]]-CD56)*1000&lt;=0,"",(RD[[#This Row],[33kV_Aux1 Import Reading]]-CD56)*1000)</f>
        <v/>
      </c>
      <c r="CV57" s="64">
        <f>IF((RD[[#This Row],[33kV_Aux2_Import reading]]-CE56)*1000&lt;=0,"",(RD[[#This Row],[33kV_Aux2_Import reading]]-CE56)*1000)</f>
        <v>330.00000000001251</v>
      </c>
      <c r="CW57" s="64">
        <f>IFERROR(RD[[#This Row],[33kV_OG1_Energy (MWh)]]+RD[[#This Row],[33kV_OG2_Energy (MWh)]],"")</f>
        <v>518000</v>
      </c>
      <c r="CX57" s="72">
        <f>IFERROR(RD[[#This Row],[220kV_TL_TVM Energy (MWh)]]-RD[[#This Row],[220KV_C&amp;R_PQM Import (MWh)]],"")</f>
        <v>513599.99999996653</v>
      </c>
      <c r="CY57" s="200">
        <f>IFERROR(RD[[#This Row],[33 kV Total Export (MWH)]]/RD[[#This Row],[220 KV Net Export (MWh)]]-1,"")</f>
        <v>8.5669781932120603E-3</v>
      </c>
      <c r="CZ57" s="201">
        <f t="shared" si="80"/>
        <v>50.6</v>
      </c>
      <c r="DA57" s="189">
        <v>97</v>
      </c>
      <c r="DB57" s="190"/>
      <c r="DC57" s="68">
        <f>IFERROR((RD[[#This Row],[Sunset Time (POA&lt;20 W/m2)]]-RD[[#This Row],[Sunrise Time (POA&gt;20 W/m2)]])*24,0)</f>
        <v>10.833333333333334</v>
      </c>
      <c r="DD57" s="70">
        <f>SUM(RD[[#This Row],[33 kV_Wind_F3_Export_Reading3]],CJ57,CK57,CL57,CM57)</f>
        <v>438299.99999998894</v>
      </c>
      <c r="DE57" s="68">
        <v>140</v>
      </c>
      <c r="DF57" s="70">
        <f t="shared" si="82"/>
        <v>82169.999999998428</v>
      </c>
      <c r="DG57" s="70">
        <v>88.93</v>
      </c>
      <c r="DH57">
        <f>'WTG Reactive Power'!AB55</f>
        <v>119845.59999999998</v>
      </c>
    </row>
    <row r="58" spans="1:112">
      <c r="A58" s="210">
        <f>YEAR(RD[[#This Row],[Date]])+IF(MONTH(RD[[#This Row],[Date]])&gt;=4,1,0)</f>
        <v>2026</v>
      </c>
      <c r="B58" s="210">
        <f>YEAR(RD[[#This Row],[Date]])</f>
        <v>2025</v>
      </c>
      <c r="C58" s="211">
        <f t="shared" ref="C58:C89" si="83">E58-DAY(E58)+1</f>
        <v>45778</v>
      </c>
      <c r="D58" s="210">
        <f>DAY(EOMONTH(RD[[#This Row],[Date]],0))</f>
        <v>31</v>
      </c>
      <c r="E58" s="212">
        <f t="shared" ref="E58:E89" si="84">E57+1</f>
        <v>45798</v>
      </c>
      <c r="F58" s="206">
        <v>0.26041666666666669</v>
      </c>
      <c r="G58" s="206">
        <v>0.7680555555555556</v>
      </c>
      <c r="H58" s="177">
        <v>20055</v>
      </c>
      <c r="I58" s="177">
        <v>18674</v>
      </c>
      <c r="J58" s="177">
        <v>18103</v>
      </c>
      <c r="K58" s="177">
        <v>16599</v>
      </c>
      <c r="L58" s="177">
        <v>18146</v>
      </c>
      <c r="M58" s="177">
        <v>18708</v>
      </c>
      <c r="N58" s="177">
        <v>18253</v>
      </c>
      <c r="O58" s="177">
        <v>19092</v>
      </c>
      <c r="P58" s="177">
        <v>17248</v>
      </c>
      <c r="Q58" s="177">
        <v>17623</v>
      </c>
      <c r="R58" s="177">
        <v>17785</v>
      </c>
      <c r="S58" s="177">
        <v>18503</v>
      </c>
      <c r="T58" s="177">
        <v>18937</v>
      </c>
      <c r="U58" s="177">
        <v>17832</v>
      </c>
      <c r="V58" s="177">
        <v>20490</v>
      </c>
      <c r="W58" s="177">
        <v>19719</v>
      </c>
      <c r="X58" s="177">
        <v>20250</v>
      </c>
      <c r="Y58" s="177">
        <v>17350</v>
      </c>
      <c r="Z58" s="177">
        <v>17394</v>
      </c>
      <c r="AA58" s="177">
        <v>16804</v>
      </c>
      <c r="AB58" s="177">
        <v>17322</v>
      </c>
      <c r="AC58" s="177">
        <v>17676</v>
      </c>
      <c r="AD58" s="177">
        <v>11377</v>
      </c>
      <c r="AE58" s="169">
        <v>6.2394551724137939</v>
      </c>
      <c r="AF58" s="169">
        <v>6.1167241379310351</v>
      </c>
      <c r="AG58" s="169">
        <v>6.1137999999999995</v>
      </c>
      <c r="AH58" s="169">
        <v>5.7737999999999987</v>
      </c>
      <c r="AI58" s="169">
        <v>6.0408137931034469</v>
      </c>
      <c r="AJ58" s="169">
        <v>6.0422620689655178</v>
      </c>
      <c r="AK58" s="169">
        <v>6.0090068965517256</v>
      </c>
      <c r="AL58" s="169">
        <v>6.1671586206896514</v>
      </c>
      <c r="AM58" s="169">
        <v>5.9588413793103436</v>
      </c>
      <c r="AN58" s="169">
        <v>5.850006896551724</v>
      </c>
      <c r="AO58" s="169">
        <v>6.1930137931034475</v>
      </c>
      <c r="AP58" s="169">
        <v>6.1241517241379286</v>
      </c>
      <c r="AQ58" s="169">
        <v>6.0017793103448298</v>
      </c>
      <c r="AR58" s="169">
        <v>5.9411310344827584</v>
      </c>
      <c r="AS58" s="169">
        <v>6.5549724137931031</v>
      </c>
      <c r="AT58" s="169">
        <v>6.1751379310344809</v>
      </c>
      <c r="AU58" s="169">
        <v>6.3888482758620704</v>
      </c>
      <c r="AV58" s="169">
        <v>5.9096896551724125</v>
      </c>
      <c r="AW58" s="169">
        <v>5.8893999999999993</v>
      </c>
      <c r="AX58" s="169">
        <v>5.8676827586206892</v>
      </c>
      <c r="AY58" s="169">
        <v>6.2453931034482748</v>
      </c>
      <c r="AZ58" s="169">
        <v>6.0575586206896519</v>
      </c>
      <c r="BA58" s="169">
        <v>6.0141048951048983</v>
      </c>
      <c r="BB58" s="214">
        <f t="shared" ref="BB58:BB89" si="85">SUM($H58,$J58,$Q58:$V58,$Z58:$AA58)</f>
        <v>183526</v>
      </c>
      <c r="BC58" s="216">
        <f t="shared" ref="BC58:BC89" si="86">SUM($W58:$X58)</f>
        <v>39969</v>
      </c>
      <c r="BD58" s="180">
        <f t="shared" si="70"/>
        <v>135750</v>
      </c>
      <c r="BE58" s="216">
        <f t="shared" ref="BE58:BE89" si="87">Y58</f>
        <v>17350</v>
      </c>
      <c r="BF58" s="179">
        <f t="shared" si="71"/>
        <v>37345</v>
      </c>
      <c r="BG58" s="216">
        <f>SUM(RD[[#This Row],[KUD01]:[KUD23]])</f>
        <v>413940</v>
      </c>
      <c r="BH58" s="217">
        <f t="shared" ref="BH58:BH89" si="88">IFERROR(AVERAGE(AE58,AG58,AN58:AS58,AW58:AX58),"")</f>
        <v>6.077539310344827</v>
      </c>
      <c r="BI58" s="219">
        <f t="shared" ref="BI58:BI89" si="89">IFERROR(AVERAGE(AT58,AU58),"")</f>
        <v>6.2819931034482757</v>
      </c>
      <c r="BJ58" s="219">
        <f t="shared" ref="BJ58:BJ89" si="90">IFERROR(AVERAGE(AF58,AH58:AM58,AY58:BA58),"")</f>
        <v>6.0425663515794543</v>
      </c>
      <c r="BK58" s="221">
        <f t="shared" si="81"/>
        <v>5.9096896551724125</v>
      </c>
      <c r="BL58" s="61">
        <f>IFERROR(AVERAGEIF(RD[[#This Row],[WS_KUD07]:[WS_KUD08]],"&lt;&gt;0",RD[[#This Row],[WS_KUD07]:[WS_KUD08]]),"")</f>
        <v>6.088082758620688</v>
      </c>
      <c r="BM58" s="223">
        <f>IFERROR(AVERAGE(RD[[#This Row],[WS_KUD01]:[WS_KUD23]]),"")</f>
        <v>6.0728144557092092</v>
      </c>
      <c r="BN58" s="224">
        <f>IFERROR(MAX(RD[[#This Row],[WS_KUD01]:[WS_KUD23]]),"")</f>
        <v>6.5549724137931031</v>
      </c>
      <c r="BO58" s="73">
        <v>640.30499999999995</v>
      </c>
      <c r="BP58" s="73">
        <v>904.32399999999996</v>
      </c>
      <c r="BQ58" s="73">
        <v>80.97</v>
      </c>
      <c r="BR58" s="73">
        <v>234.75299999999999</v>
      </c>
      <c r="BS58" s="73">
        <v>194.714</v>
      </c>
      <c r="BT58" s="73">
        <v>302.26600000000002</v>
      </c>
      <c r="BU58" s="73"/>
      <c r="BV58" s="73">
        <v>91.375</v>
      </c>
      <c r="BW58" s="73">
        <v>200736</v>
      </c>
      <c r="BX58" s="73">
        <v>259351</v>
      </c>
      <c r="BY58" s="73">
        <v>136.166</v>
      </c>
      <c r="BZ58" s="73">
        <v>83.215999999999994</v>
      </c>
      <c r="CA58" s="73">
        <v>285.298</v>
      </c>
      <c r="CB58" s="73">
        <v>110.38500000000001</v>
      </c>
      <c r="CC58" s="73">
        <v>0.122</v>
      </c>
      <c r="CD58" s="73">
        <v>0</v>
      </c>
      <c r="CE58" s="73">
        <v>228.07900000000001</v>
      </c>
      <c r="CF58" s="226" t="str">
        <f>IF((RD[[#This Row],[33 kV_Wind_F1_Export reading]]-BO57)*165000&lt;=0,"",(RD[[#This Row],[33 kV_Wind_F1_Export reading]]-BO57)*165000)</f>
        <v/>
      </c>
      <c r="CG58" s="227">
        <f>IF((RD[[#This Row],[33 kV_Wind_F2_Export_reading]]-BP57)*165000&lt;=0,"",(RD[[#This Row],[33 kV_Wind_F2_Export_reading]]-BP57)*165000)</f>
        <v>202619.99999999205</v>
      </c>
      <c r="CH58" s="64">
        <f>IF((RD[[#This Row],[33 kV_Wind_F3_Export_Reading]]-BQ57)*225000&lt;=0,"",(RD[[#This Row],[33 kV_Wind_F3_Export_Reading]]-BQ57)*225000)</f>
        <v>121950.00000000036</v>
      </c>
      <c r="CI58" s="64">
        <f>IF((RD[[#This Row],[33 kV_Wind_F4_Export Reading]]-BR57)*165000&lt;=0,"",(RD[[#This Row],[33 kV_Wind_F4_Export Reading]]-BR57)*165000)</f>
        <v>196349.99999999962</v>
      </c>
      <c r="CJ58" s="209">
        <f>IF((RD[[#This Row],[33 kV_Solar_F1_Export Reading]]-BS57)*225000&lt;=0,"",(RD[[#This Row],[33 kV_Solar_F1_Export Reading]]-BS57)*225000)</f>
        <v>124875.00000000153</v>
      </c>
      <c r="CK58" s="74">
        <f>IF((RD[[#This Row],[33kV_Solar_F2_Export Reading]]-BT57)*225000&lt;=0,"",(RD[[#This Row],[33kV_Solar_F2_Export Reading]]-BT57)*225000)</f>
        <v>100800.00000000808</v>
      </c>
      <c r="CL58" s="209" t="str">
        <f>IF((RD[[#This Row],[33 kV_Solar_F3_Export reading]]-BU57)*225000&lt;=0,"",(RD[[#This Row],[33 kV_Solar_F3_Export reading]]-BU57)*225000)</f>
        <v/>
      </c>
      <c r="CM58" s="63">
        <f>IF((RD[[#This Row],[32kV_Solar_F4_Export reading]]-BV57)*225000&lt;=0,"",(RD[[#This Row],[32kV_Solar_F4_Export reading]]-BV57)*225000)</f>
        <v>90000.000000001281</v>
      </c>
      <c r="CN58" s="227">
        <f>IF((RD[[#This Row],[33kV_OG1_Export reading]]-BW57)*1000&lt;=0,0,(RD[[#This Row],[33kV_OG1_Export reading]]-BW57)*1000)</f>
        <v>316000</v>
      </c>
      <c r="CO58" s="227">
        <f>IFERROR(IF((RD[[#This Row],[33kV_OG2_Export reading]]-BX57)*1000&lt;=0,0,(RD[[#This Row],[33kV_OG2_Export reading]]-BX57)*1000),0)</f>
        <v>520000</v>
      </c>
      <c r="CP58" s="74">
        <f>IF((RD[[#This Row],[220kV_TX1_Export reading]]-BY57)*800000&lt;=0,0,(RD[[#This Row],[220kV_TX1_Export reading]]-BY57)*800000)</f>
        <v>311999.99999998906</v>
      </c>
      <c r="CQ58" s="209">
        <f>IF((RD[[#This Row],[220kV_Tx2_Export reading]]-BZ57)*800000&lt;=0,0,(RD[[#This Row],[220kV_Tx2_Export reading]]-BZ57)*800000)</f>
        <v>514400.00000000052</v>
      </c>
      <c r="CR58" s="227">
        <f>IF((RD[[#This Row],[220kV_TL_TVM Export Reading]]-CA57)*1600000&lt;=0,0,(RD[[#This Row],[220kV_TL_TVM Export Reading]]-CA57)*1600000)</f>
        <v>827199.99999999348</v>
      </c>
      <c r="CS58" s="227">
        <f>IF((RD[[#This Row],[220kV_C&amp;R_PQM reading]]-CB57)*1600000&lt;=0,"",(RD[[#This Row],[220kV_C&amp;R_PQM reading]]-CB57)*1600000)</f>
        <v>830400.00000000873</v>
      </c>
      <c r="CT58" s="209">
        <f>IFERROR(IF((RD[[#This Row],[220KV_C&amp;R_PQM Import Reading]]-CC57)*1600000&lt;=0,0,(RD[[#This Row],[220KV_C&amp;R_PQM Import Reading]]-CC57)*1600000),"")</f>
        <v>0</v>
      </c>
      <c r="CU58" s="64" t="str">
        <f>IF((RD[[#This Row],[33kV_Aux1 Import Reading]]-CD57)*1000&lt;=0,"",(RD[[#This Row],[33kV_Aux1 Import Reading]]-CD57)*1000)</f>
        <v/>
      </c>
      <c r="CV58" s="227">
        <f>IF((RD[[#This Row],[33kV_Aux2_Import reading]]-CE57)*1000&lt;=0,"",(RD[[#This Row],[33kV_Aux2_Import reading]]-CE57)*1000)</f>
        <v>310.00000000000227</v>
      </c>
      <c r="CW58" s="227">
        <f>IFERROR(RD[[#This Row],[33kV_OG1_Energy (MWh)]]+RD[[#This Row],[33kV_OG2_Energy (MWh)]],"")</f>
        <v>836000</v>
      </c>
      <c r="CX58" s="227">
        <f>IFERROR(RD[[#This Row],[220kV_TL_TVM Energy (MWh)]]-RD[[#This Row],[220KV_C&amp;R_PQM Import (MWh)]],"")</f>
        <v>827199.99999999348</v>
      </c>
      <c r="CY58" s="228">
        <f>IFERROR(RD[[#This Row],[33 kV Total Export (MWH)]]/RD[[#This Row],[220 KV Net Export (MWh)]]-1,"")</f>
        <v>1.063829787234849E-2</v>
      </c>
      <c r="CZ58" s="229">
        <f t="shared" ref="CZ58:CZ89" si="91">23*2.2</f>
        <v>50.6</v>
      </c>
      <c r="DA58" s="189">
        <v>96</v>
      </c>
      <c r="DB58" s="231"/>
      <c r="DC58" s="232">
        <f>IFERROR((RD[[#This Row],[Sunset Time (POA&lt;20 W/m2)]]-RD[[#This Row],[Sunrise Time (POA&gt;20 W/m2)]])*24,0)</f>
        <v>12.183333333333335</v>
      </c>
      <c r="DD58" s="70">
        <f>SUM(RD[[#This Row],[33 kV_Wind_F3_Export_Reading3]],CJ58,CK58,CL58,CM58)</f>
        <v>437625.00000001123</v>
      </c>
      <c r="DE58" s="68">
        <v>140</v>
      </c>
      <c r="DF58" s="70">
        <f t="shared" si="82"/>
        <v>398969.99999999168</v>
      </c>
      <c r="DG58" s="189">
        <v>413.94</v>
      </c>
      <c r="DH58">
        <f>'WTG Reactive Power'!AB56</f>
        <v>123860.99999999999</v>
      </c>
    </row>
    <row r="59" spans="1:112">
      <c r="A59" s="210">
        <f>YEAR(RD[[#This Row],[Date]])+IF(MONTH(RD[[#This Row],[Date]])&gt;=4,1,0)</f>
        <v>2026</v>
      </c>
      <c r="B59" s="210">
        <f>YEAR(RD[[#This Row],[Date]])</f>
        <v>2025</v>
      </c>
      <c r="C59" s="211">
        <f t="shared" si="83"/>
        <v>45778</v>
      </c>
      <c r="D59" s="210">
        <f>DAY(EOMONTH(RD[[#This Row],[Date]],0))</f>
        <v>31</v>
      </c>
      <c r="E59" s="212">
        <f t="shared" si="84"/>
        <v>45799</v>
      </c>
      <c r="F59" s="336">
        <v>0.25833333333333336</v>
      </c>
      <c r="G59" s="204">
        <v>0.77152777777777781</v>
      </c>
      <c r="H59" s="177">
        <v>27333</v>
      </c>
      <c r="I59" s="177">
        <v>21763</v>
      </c>
      <c r="J59" s="177">
        <v>22850</v>
      </c>
      <c r="K59" s="177">
        <v>20324</v>
      </c>
      <c r="L59" s="177">
        <v>19958</v>
      </c>
      <c r="M59" s="177">
        <v>22041</v>
      </c>
      <c r="N59" s="177">
        <v>20889</v>
      </c>
      <c r="O59" s="177">
        <v>24209</v>
      </c>
      <c r="P59" s="177">
        <v>22095</v>
      </c>
      <c r="Q59" s="177">
        <v>22757</v>
      </c>
      <c r="R59" s="177">
        <v>22926</v>
      </c>
      <c r="S59" s="177">
        <v>24297</v>
      </c>
      <c r="T59" s="177">
        <v>23208</v>
      </c>
      <c r="U59" s="177">
        <v>21460</v>
      </c>
      <c r="V59" s="177">
        <v>27362</v>
      </c>
      <c r="W59" s="177">
        <v>24080</v>
      </c>
      <c r="X59" s="177">
        <v>24305</v>
      </c>
      <c r="Y59" s="177">
        <v>19710</v>
      </c>
      <c r="Z59" s="177">
        <v>24374</v>
      </c>
      <c r="AA59" s="177">
        <v>21402</v>
      </c>
      <c r="AB59" s="177">
        <v>21320</v>
      </c>
      <c r="AC59" s="177">
        <v>22391</v>
      </c>
      <c r="AD59" s="177">
        <v>22416</v>
      </c>
      <c r="AE59" s="169">
        <v>8.0223600000000008</v>
      </c>
      <c r="AF59" s="169">
        <v>7.4816949152542342</v>
      </c>
      <c r="AG59" s="169">
        <v>7.5523709677419326</v>
      </c>
      <c r="AH59" s="169">
        <v>7.1228048780487851</v>
      </c>
      <c r="AI59" s="169">
        <v>7.3553333333333342</v>
      </c>
      <c r="AJ59" s="169">
        <v>7.4357295081967187</v>
      </c>
      <c r="AK59" s="169">
        <v>7.5279256198347078</v>
      </c>
      <c r="AL59" s="169">
        <v>7.6289596774193535</v>
      </c>
      <c r="AM59" s="169">
        <v>7.5466910569105661</v>
      </c>
      <c r="AN59" s="169">
        <v>7.3022258064516166</v>
      </c>
      <c r="AO59" s="169">
        <v>7.6658951612903232</v>
      </c>
      <c r="AP59" s="169">
        <v>7.5867398373983734</v>
      </c>
      <c r="AQ59" s="169">
        <v>7.2385887096774209</v>
      </c>
      <c r="AR59" s="169">
        <v>7.2130564516129034</v>
      </c>
      <c r="AS59" s="169">
        <v>8.3015725806451588</v>
      </c>
      <c r="AT59" s="169">
        <v>7.8307723577235784</v>
      </c>
      <c r="AU59" s="169">
        <v>7.9488842975206611</v>
      </c>
      <c r="AV59" s="169">
        <v>7.2614715447154472</v>
      </c>
      <c r="AW59" s="169">
        <v>7.5969186991869906</v>
      </c>
      <c r="AX59" s="169">
        <v>7.1581612903225835</v>
      </c>
      <c r="AY59" s="169">
        <v>7.7922727272727279</v>
      </c>
      <c r="AZ59" s="169">
        <v>7.74322131147541</v>
      </c>
      <c r="BA59" s="169">
        <v>7.5366585365853691</v>
      </c>
      <c r="BB59" s="214">
        <f t="shared" si="85"/>
        <v>237969</v>
      </c>
      <c r="BC59" s="216">
        <f t="shared" si="86"/>
        <v>48385</v>
      </c>
      <c r="BD59" s="180">
        <f t="shared" si="70"/>
        <v>172308</v>
      </c>
      <c r="BE59" s="216">
        <f t="shared" si="87"/>
        <v>19710</v>
      </c>
      <c r="BF59" s="179">
        <f t="shared" si="71"/>
        <v>45098</v>
      </c>
      <c r="BG59" s="216">
        <f>SUM(RD[[#This Row],[KUD01]:[KUD23]])</f>
        <v>523470</v>
      </c>
      <c r="BH59" s="217">
        <f t="shared" si="88"/>
        <v>7.5637889504327305</v>
      </c>
      <c r="BI59" s="219">
        <f t="shared" si="89"/>
        <v>7.8898283276221193</v>
      </c>
      <c r="BJ59" s="219">
        <f t="shared" si="90"/>
        <v>7.5171291564331195</v>
      </c>
      <c r="BK59" s="221">
        <f t="shared" si="81"/>
        <v>7.2614715447154472</v>
      </c>
      <c r="BL59" s="61">
        <f>IFERROR(AVERAGEIF(RD[[#This Row],[WS_KUD07]:[WS_KUD08]],"&lt;&gt;0",RD[[#This Row],[WS_KUD07]:[WS_KUD08]]),"")</f>
        <v>7.5784426486270302</v>
      </c>
      <c r="BM59" s="223">
        <f>IFERROR(AVERAGE(RD[[#This Row],[WS_KUD01]:[WS_KUD23]]),"")</f>
        <v>7.5587090986355738</v>
      </c>
      <c r="BN59" s="224">
        <f>IFERROR(MAX(RD[[#This Row],[WS_KUD01]:[WS_KUD23]]),"")</f>
        <v>8.3015725806451588</v>
      </c>
      <c r="BO59" s="172">
        <v>640.30499999999995</v>
      </c>
      <c r="BP59" s="335">
        <v>905.84500000000003</v>
      </c>
      <c r="BQ59" s="335">
        <v>81.513000000000005</v>
      </c>
      <c r="BR59" s="335">
        <v>236.29599999999999</v>
      </c>
      <c r="BS59" s="335">
        <v>195.17400000000001</v>
      </c>
      <c r="BT59" s="335">
        <v>302.62299999999999</v>
      </c>
      <c r="BU59" s="335"/>
      <c r="BV59" s="335">
        <v>91.777000000000001</v>
      </c>
      <c r="BW59" s="172">
        <v>201010</v>
      </c>
      <c r="BX59" s="172">
        <v>259981</v>
      </c>
      <c r="BY59" s="335">
        <v>136.505</v>
      </c>
      <c r="BZ59" s="335">
        <v>83.989000000000004</v>
      </c>
      <c r="CA59" s="335">
        <v>285.85700000000003</v>
      </c>
      <c r="CB59" s="335">
        <v>110.944</v>
      </c>
      <c r="CC59" s="335">
        <v>0.122</v>
      </c>
      <c r="CD59" s="172">
        <v>0</v>
      </c>
      <c r="CE59" s="335">
        <v>228.41900000000001</v>
      </c>
      <c r="CF59" s="226" t="str">
        <f>IF((RD[[#This Row],[33 kV_Wind_F1_Export reading]]-BO58)*165000&lt;=0,"",(RD[[#This Row],[33 kV_Wind_F1_Export reading]]-BO58)*165000)</f>
        <v/>
      </c>
      <c r="CG59" s="227">
        <f>IF((RD[[#This Row],[33 kV_Wind_F2_Export_reading]]-BP58)*165000&lt;=0,"",(RD[[#This Row],[33 kV_Wind_F2_Export_reading]]-BP58)*165000)</f>
        <v>250965.00000001185</v>
      </c>
      <c r="CH59" s="64">
        <f>IF((RD[[#This Row],[33 kV_Wind_F3_Export_Reading]]-BQ58)*225000&lt;=0,"",(RD[[#This Row],[33 kV_Wind_F3_Export_Reading]]-BQ58)*225000)</f>
        <v>122175.00000000143</v>
      </c>
      <c r="CI59" s="64">
        <f>IF((RD[[#This Row],[33 kV_Wind_F4_Export Reading]]-BR58)*165000&lt;=0,"",(RD[[#This Row],[33 kV_Wind_F4_Export Reading]]-BR58)*165000)</f>
        <v>254595.00000000105</v>
      </c>
      <c r="CJ59" s="209">
        <f>IF((RD[[#This Row],[33 kV_Solar_F1_Export Reading]]-BS58)*225000&lt;=0,"",(RD[[#This Row],[33 kV_Solar_F1_Export Reading]]-BS58)*225000)</f>
        <v>103500.00000000179</v>
      </c>
      <c r="CK59" s="74">
        <f>IF((RD[[#This Row],[33kV_Solar_F2_Export Reading]]-BT58)*225000&lt;=0,"",(RD[[#This Row],[33kV_Solar_F2_Export Reading]]-BT58)*225000)</f>
        <v>80324.999999993452</v>
      </c>
      <c r="CL59" s="209" t="str">
        <f>IF((RD[[#This Row],[33 kV_Solar_F3_Export reading]]-BU58)*225000&lt;=0,"",(RD[[#This Row],[33 kV_Solar_F3_Export reading]]-BU58)*225000)</f>
        <v/>
      </c>
      <c r="CM59" s="63">
        <f>IF((RD[[#This Row],[32kV_Solar_F4_Export reading]]-BV58)*225000&lt;=0,"",(RD[[#This Row],[32kV_Solar_F4_Export reading]]-BV58)*225000)</f>
        <v>90450.000000000233</v>
      </c>
      <c r="CN59" s="227">
        <f>IF((RD[[#This Row],[33kV_OG1_Export reading]]-BW58)*1000&lt;=0,0,(RD[[#This Row],[33kV_OG1_Export reading]]-BW58)*1000)</f>
        <v>274000</v>
      </c>
      <c r="CO59" s="227">
        <f>IFERROR(IF((RD[[#This Row],[33kV_OG2_Export reading]]-BX58)*1000&lt;=0,0,(RD[[#This Row],[33kV_OG2_Export reading]]-BX58)*1000),0)</f>
        <v>630000</v>
      </c>
      <c r="CP59" s="74">
        <f>IF((RD[[#This Row],[220kV_TX1_Export reading]]-BY58)*800000&lt;=0,0,(RD[[#This Row],[220kV_TX1_Export reading]]-BY58)*800000)</f>
        <v>271199.99999999889</v>
      </c>
      <c r="CQ59" s="209">
        <f>IF((RD[[#This Row],[220kV_Tx2_Export reading]]-BZ58)*800000&lt;=0,0,(RD[[#This Row],[220kV_Tx2_Export reading]]-BZ58)*800000)</f>
        <v>618400.00000000827</v>
      </c>
      <c r="CR59" s="227">
        <f>IF((RD[[#This Row],[220kV_TL_TVM Export Reading]]-CA58)*1600000&lt;=0,0,(RD[[#This Row],[220kV_TL_TVM Export Reading]]-CA58)*1600000)</f>
        <v>894400.00000004144</v>
      </c>
      <c r="CS59" s="227">
        <f>IF((RD[[#This Row],[220kV_C&amp;R_PQM reading]]-CB58)*1600000&lt;=0,"",(RD[[#This Row],[220kV_C&amp;R_PQM reading]]-CB58)*1600000)</f>
        <v>894399.99999999604</v>
      </c>
      <c r="CT59" s="209">
        <f>IFERROR(IF((RD[[#This Row],[220KV_C&amp;R_PQM Import Reading]]-CC58)*1600000&lt;=0,0,(RD[[#This Row],[220KV_C&amp;R_PQM Import Reading]]-CC58)*1600000),"")</f>
        <v>0</v>
      </c>
      <c r="CU59" s="64" t="str">
        <f>IF((RD[[#This Row],[33kV_Aux1 Import Reading]]-CD58)*1000&lt;=0,"",(RD[[#This Row],[33kV_Aux1 Import Reading]]-CD58)*1000)</f>
        <v/>
      </c>
      <c r="CV59" s="227">
        <f>IF((RD[[#This Row],[33kV_Aux2_Import reading]]-CE58)*1000&lt;=0,"",(RD[[#This Row],[33kV_Aux2_Import reading]]-CE58)*1000)</f>
        <v>340.00000000000341</v>
      </c>
      <c r="CW59" s="227">
        <f>IFERROR(RD[[#This Row],[33kV_OG1_Energy (MWh)]]+RD[[#This Row],[33kV_OG2_Energy (MWh)]],"")</f>
        <v>904000</v>
      </c>
      <c r="CX59" s="227">
        <f>IFERROR(RD[[#This Row],[220kV_TL_TVM Energy (MWh)]]-RD[[#This Row],[220KV_C&amp;R_PQM Import (MWh)]],"")</f>
        <v>894400.00000004144</v>
      </c>
      <c r="CY59" s="228">
        <f>IFERROR(RD[[#This Row],[33 kV Total Export (MWH)]]/RD[[#This Row],[220 KV Net Export (MWh)]]-1,"")</f>
        <v>1.0733452593870929E-2</v>
      </c>
      <c r="CZ59" s="229">
        <f t="shared" si="91"/>
        <v>50.6</v>
      </c>
      <c r="DA59" s="230">
        <v>83</v>
      </c>
      <c r="DB59" s="231"/>
      <c r="DC59" s="232">
        <f>IFERROR((RD[[#This Row],[Sunset Time (POA&lt;20 W/m2)]]-RD[[#This Row],[Sunrise Time (POA&gt;20 W/m2)]])*24,0)</f>
        <v>12.316666666666668</v>
      </c>
      <c r="DD59" s="70">
        <f>SUM(RD[[#This Row],[33 kV_Wind_F3_Export_Reading3]],CJ59,CK59,CL59,CM59)</f>
        <v>396449.99999999686</v>
      </c>
      <c r="DE59" s="68">
        <v>140</v>
      </c>
      <c r="DF59" s="70">
        <f t="shared" si="82"/>
        <v>505560.00000001292</v>
      </c>
      <c r="DG59" s="189">
        <v>545.86</v>
      </c>
      <c r="DH59">
        <f>'WTG Reactive Power'!AB57</f>
        <v>167164.60000000003</v>
      </c>
    </row>
    <row r="60" spans="1:112">
      <c r="A60" s="210">
        <f>YEAR(RD[[#This Row],[Date]])+IF(MONTH(RD[[#This Row],[Date]])&gt;=4,1,0)</f>
        <v>2026</v>
      </c>
      <c r="B60" s="210">
        <f>YEAR(RD[[#This Row],[Date]])</f>
        <v>2025</v>
      </c>
      <c r="C60" s="211">
        <f t="shared" si="83"/>
        <v>45778</v>
      </c>
      <c r="D60" s="210">
        <f>DAY(EOMONTH(RD[[#This Row],[Date]],0))</f>
        <v>31</v>
      </c>
      <c r="E60" s="212">
        <f t="shared" si="84"/>
        <v>45800</v>
      </c>
      <c r="F60" s="204">
        <v>0.2590277777777778</v>
      </c>
      <c r="G60" s="336">
        <v>0.7680555555555556</v>
      </c>
      <c r="H60" s="177">
        <v>33684</v>
      </c>
      <c r="I60" s="177">
        <v>31262</v>
      </c>
      <c r="J60" s="177">
        <v>31873</v>
      </c>
      <c r="K60" s="177">
        <v>26047</v>
      </c>
      <c r="L60" s="177">
        <v>30308</v>
      </c>
      <c r="M60" s="177">
        <v>31487</v>
      </c>
      <c r="N60" s="177">
        <v>31209</v>
      </c>
      <c r="O60" s="177">
        <v>31512</v>
      </c>
      <c r="P60" s="177">
        <v>33593</v>
      </c>
      <c r="Q60" s="177">
        <v>31801</v>
      </c>
      <c r="R60" s="177">
        <v>31692</v>
      </c>
      <c r="S60" s="177">
        <v>31490</v>
      </c>
      <c r="T60" s="177">
        <v>31733</v>
      </c>
      <c r="U60" s="177">
        <v>30552</v>
      </c>
      <c r="V60" s="177">
        <v>33593</v>
      </c>
      <c r="W60" s="177">
        <v>32031</v>
      </c>
      <c r="X60" s="177">
        <v>32621</v>
      </c>
      <c r="Y60" s="177">
        <v>23529</v>
      </c>
      <c r="Z60" s="177">
        <v>23325</v>
      </c>
      <c r="AA60" s="177">
        <v>27635</v>
      </c>
      <c r="AB60" s="177">
        <v>29939</v>
      </c>
      <c r="AC60" s="177">
        <v>29314</v>
      </c>
      <c r="AD60" s="177">
        <v>23712</v>
      </c>
      <c r="AE60" s="169">
        <v>8.7499457364341087</v>
      </c>
      <c r="AF60" s="169">
        <v>8.4717777777777776</v>
      </c>
      <c r="AG60" s="169">
        <v>8.7687131782945738</v>
      </c>
      <c r="AH60" s="169">
        <v>7.6872790697674391</v>
      </c>
      <c r="AI60" s="169">
        <v>8.3981162790697681</v>
      </c>
      <c r="AJ60" s="169">
        <v>8.4849147286821704</v>
      </c>
      <c r="AK60" s="169">
        <v>8.5713720930232533</v>
      </c>
      <c r="AL60" s="169">
        <v>8.6102578124999951</v>
      </c>
      <c r="AM60" s="169">
        <v>8.7343953488372055</v>
      </c>
      <c r="AN60" s="169">
        <v>8.4351550387596923</v>
      </c>
      <c r="AO60" s="169">
        <v>8.8802790697674414</v>
      </c>
      <c r="AP60" s="169">
        <v>8.7453046875000027</v>
      </c>
      <c r="AQ60" s="169">
        <v>8.4986124031007737</v>
      </c>
      <c r="AR60" s="169">
        <v>8.2822558139534923</v>
      </c>
      <c r="AS60" s="169">
        <v>9.118860465116283</v>
      </c>
      <c r="AT60" s="169">
        <v>8.5117131782945776</v>
      </c>
      <c r="AU60" s="169">
        <v>8.7043565891472898</v>
      </c>
      <c r="AV60" s="169">
        <v>7.3710852713178285</v>
      </c>
      <c r="AW60" s="169">
        <v>8.0541587301587292</v>
      </c>
      <c r="AX60" s="169">
        <v>7.9892945736434084</v>
      </c>
      <c r="AY60" s="169">
        <v>8.6165813953488382</v>
      </c>
      <c r="AZ60" s="169">
        <v>8.2656356589147304</v>
      </c>
      <c r="BA60" s="169">
        <v>7.184751937984494</v>
      </c>
      <c r="BB60" s="214">
        <f t="shared" si="85"/>
        <v>307378</v>
      </c>
      <c r="BC60" s="216">
        <f t="shared" si="86"/>
        <v>64652</v>
      </c>
      <c r="BD60" s="180">
        <f t="shared" si="70"/>
        <v>235662</v>
      </c>
      <c r="BE60" s="216">
        <f t="shared" si="87"/>
        <v>23529</v>
      </c>
      <c r="BF60" s="179">
        <f t="shared" si="71"/>
        <v>62721</v>
      </c>
      <c r="BG60" s="216">
        <f>SUM(RD[[#This Row],[KUD01]:[KUD23]])</f>
        <v>693942</v>
      </c>
      <c r="BH60" s="217">
        <f t="shared" si="88"/>
        <v>8.5522579696728496</v>
      </c>
      <c r="BI60" s="219">
        <f t="shared" si="89"/>
        <v>8.6080348837209328</v>
      </c>
      <c r="BJ60" s="219">
        <f t="shared" si="90"/>
        <v>8.3025082101905667</v>
      </c>
      <c r="BK60" s="221">
        <f t="shared" si="81"/>
        <v>7.3710852713178285</v>
      </c>
      <c r="BL60" s="61">
        <f>IFERROR(AVERAGEIF(RD[[#This Row],[WS_KUD07]:[WS_KUD08]],"&lt;&gt;0",RD[[#This Row],[WS_KUD07]:[WS_KUD08]]),"")</f>
        <v>8.5908149527616242</v>
      </c>
      <c r="BM60" s="223">
        <f>IFERROR(AVERAGE(RD[[#This Row],[WS_KUD01]:[WS_KUD23]]),"")</f>
        <v>8.3971659494519084</v>
      </c>
      <c r="BN60" s="224">
        <f>IFERROR(MAX(RD[[#This Row],[WS_KUD01]:[WS_KUD23]]),"")</f>
        <v>9.118860465116283</v>
      </c>
      <c r="BO60" s="172">
        <v>640.30499999999995</v>
      </c>
      <c r="BP60" s="335">
        <v>907.923</v>
      </c>
      <c r="BQ60" s="335">
        <v>82.108000000000004</v>
      </c>
      <c r="BR60" s="335">
        <v>238.29900000000001</v>
      </c>
      <c r="BS60" s="335">
        <v>195.715</v>
      </c>
      <c r="BT60" s="335">
        <v>303.06299999999999</v>
      </c>
      <c r="BU60" s="335"/>
      <c r="BV60" s="335">
        <v>92.198999999999998</v>
      </c>
      <c r="BW60" s="172">
        <v>201326</v>
      </c>
      <c r="BX60" s="172">
        <v>260784</v>
      </c>
      <c r="BY60" s="335">
        <v>136.89599999999999</v>
      </c>
      <c r="BZ60" s="335">
        <v>84.984999999999999</v>
      </c>
      <c r="CA60" s="335">
        <v>286.55500000000001</v>
      </c>
      <c r="CB60" s="335">
        <v>111.64</v>
      </c>
      <c r="CC60" s="335">
        <v>0.122</v>
      </c>
      <c r="CD60" s="172">
        <v>0</v>
      </c>
      <c r="CE60" s="335">
        <v>228.75899999999999</v>
      </c>
      <c r="CF60" s="226" t="str">
        <f>IF((RD[[#This Row],[33 kV_Wind_F1_Export reading]]-BO59)*165000&lt;=0,"",(RD[[#This Row],[33 kV_Wind_F1_Export reading]]-BO59)*165000)</f>
        <v/>
      </c>
      <c r="CG60" s="227">
        <f>IF((RD[[#This Row],[33 kV_Wind_F2_Export_reading]]-BP59)*165000&lt;=0,"",(RD[[#This Row],[33 kV_Wind_F2_Export_reading]]-BP59)*165000)</f>
        <v>342869.99999999581</v>
      </c>
      <c r="CH60" s="64">
        <f>IF((RD[[#This Row],[33 kV_Wind_F3_Export_Reading]]-BQ59)*225000&lt;=0,"",(RD[[#This Row],[33 kV_Wind_F3_Export_Reading]]-BQ59)*225000)</f>
        <v>133874.99999999974</v>
      </c>
      <c r="CI60" s="64">
        <f>IF((RD[[#This Row],[33 kV_Wind_F4_Export Reading]]-BR59)*165000&lt;=0,"",(RD[[#This Row],[33 kV_Wind_F4_Export Reading]]-BR59)*165000)</f>
        <v>330495.00000000239</v>
      </c>
      <c r="CJ60" s="209">
        <f>IF((RD[[#This Row],[33 kV_Solar_F1_Export Reading]]-BS59)*225000&lt;=0,"",(RD[[#This Row],[33 kV_Solar_F1_Export Reading]]-BS59)*225000)</f>
        <v>121724.99999999929</v>
      </c>
      <c r="CK60" s="74">
        <f>IF((RD[[#This Row],[33kV_Solar_F2_Export Reading]]-BT59)*225000&lt;=0,"",(RD[[#This Row],[33kV_Solar_F2_Export Reading]]-BT59)*225000)</f>
        <v>98999.999999999491</v>
      </c>
      <c r="CL60" s="209" t="str">
        <f>IF((RD[[#This Row],[33 kV_Solar_F3_Export reading]]-BU59)*225000&lt;=0,"",(RD[[#This Row],[33 kV_Solar_F3_Export reading]]-BU59)*225000)</f>
        <v/>
      </c>
      <c r="CM60" s="63">
        <f>IF((RD[[#This Row],[32kV_Solar_F4_Export reading]]-BV59)*225000&lt;=0,"",(RD[[#This Row],[32kV_Solar_F4_Export reading]]-BV59)*225000)</f>
        <v>94949.999999999331</v>
      </c>
      <c r="CN60" s="227">
        <f>IF((RD[[#This Row],[33kV_OG1_Export reading]]-BW59)*1000&lt;=0,0,(RD[[#This Row],[33kV_OG1_Export reading]]-BW59)*1000)</f>
        <v>316000</v>
      </c>
      <c r="CO60" s="227">
        <f>IFERROR(IF((RD[[#This Row],[33kV_OG2_Export reading]]-BX59)*1000&lt;=0,0,(RD[[#This Row],[33kV_OG2_Export reading]]-BX59)*1000),0)</f>
        <v>803000</v>
      </c>
      <c r="CP60" s="74">
        <f>IF((RD[[#This Row],[220kV_TX1_Export reading]]-BY59)*800000&lt;=0,0,(RD[[#This Row],[220kV_TX1_Export reading]]-BY59)*800000)</f>
        <v>312799.9999999929</v>
      </c>
      <c r="CQ60" s="209">
        <f>IF((RD[[#This Row],[220kV_Tx2_Export reading]]-BZ59)*800000&lt;=0,0,(RD[[#This Row],[220kV_Tx2_Export reading]]-BZ59)*800000)</f>
        <v>796799.99999999604</v>
      </c>
      <c r="CR60" s="227">
        <f>IF((RD[[#This Row],[220kV_TL_TVM Export Reading]]-CA59)*1600000&lt;=0,0,(RD[[#This Row],[220kV_TL_TVM Export Reading]]-CA59)*1600000)</f>
        <v>1116799.9999999665</v>
      </c>
      <c r="CS60" s="227">
        <f>IF((RD[[#This Row],[220kV_C&amp;R_PQM reading]]-CB59)*1600000&lt;=0,"",(RD[[#This Row],[220kV_C&amp;R_PQM reading]]-CB59)*1600000)</f>
        <v>1113599.9999999967</v>
      </c>
      <c r="CT60" s="209">
        <f>IFERROR(IF((RD[[#This Row],[220KV_C&amp;R_PQM Import Reading]]-CC59)*1600000&lt;=0,0,(RD[[#This Row],[220KV_C&amp;R_PQM Import Reading]]-CC59)*1600000),"")</f>
        <v>0</v>
      </c>
      <c r="CU60" s="64" t="str">
        <f>IF((RD[[#This Row],[33kV_Aux1 Import Reading]]-CD59)*1000&lt;=0,"",(RD[[#This Row],[33kV_Aux1 Import Reading]]-CD59)*1000)</f>
        <v/>
      </c>
      <c r="CV60" s="227">
        <f>IF((RD[[#This Row],[33kV_Aux2_Import reading]]-CE59)*1000&lt;=0,"",(RD[[#This Row],[33kV_Aux2_Import reading]]-CE59)*1000)</f>
        <v>339.99999999997499</v>
      </c>
      <c r="CW60" s="227">
        <f>IFERROR(RD[[#This Row],[33kV_OG1_Energy (MWh)]]+RD[[#This Row],[33kV_OG2_Energy (MWh)]],"")</f>
        <v>1119000</v>
      </c>
      <c r="CX60" s="227">
        <f>IFERROR(RD[[#This Row],[220kV_TL_TVM Energy (MWh)]]-RD[[#This Row],[220KV_C&amp;R_PQM Import (MWh)]],"")</f>
        <v>1116799.9999999665</v>
      </c>
      <c r="CY60" s="228">
        <f>IFERROR(RD[[#This Row],[33 kV Total Export (MWH)]]/RD[[#This Row],[220 KV Net Export (MWh)]]-1,"")</f>
        <v>1.9699140401447934E-3</v>
      </c>
      <c r="CZ60" s="229">
        <f t="shared" si="91"/>
        <v>50.6</v>
      </c>
      <c r="DA60" s="230">
        <v>86</v>
      </c>
      <c r="DB60" s="231"/>
      <c r="DC60" s="232">
        <f>IFERROR((RD[[#This Row],[Sunset Time (POA&lt;20 W/m2)]]-RD[[#This Row],[Sunrise Time (POA&gt;20 W/m2)]])*24,0)</f>
        <v>12.216666666666669</v>
      </c>
      <c r="DD60" s="70">
        <f>SUM(RD[[#This Row],[33 kV_Wind_F3_Export_Reading3]],CJ60,CK60,CL60,CM60)</f>
        <v>449549.99999999779</v>
      </c>
      <c r="DE60" s="68">
        <v>140</v>
      </c>
      <c r="DF60" s="70">
        <f t="shared" si="82"/>
        <v>673364.99999999814</v>
      </c>
      <c r="DG60" s="189">
        <v>707.87</v>
      </c>
      <c r="DH60">
        <f>'WTG Reactive Power'!AB58</f>
        <v>82963.399999999994</v>
      </c>
    </row>
    <row r="61" spans="1:112">
      <c r="A61" s="210">
        <f>YEAR(RD[[#This Row],[Date]])+IF(MONTH(RD[[#This Row],[Date]])&gt;=4,1,0)</f>
        <v>2026</v>
      </c>
      <c r="B61" s="210">
        <f>YEAR(RD[[#This Row],[Date]])</f>
        <v>2025</v>
      </c>
      <c r="C61" s="211">
        <f t="shared" si="83"/>
        <v>45778</v>
      </c>
      <c r="D61" s="210">
        <f>DAY(EOMONTH(RD[[#This Row],[Date]],0))</f>
        <v>31</v>
      </c>
      <c r="E61" s="212">
        <f t="shared" si="84"/>
        <v>45801</v>
      </c>
      <c r="F61" s="336">
        <v>0.26041666666666669</v>
      </c>
      <c r="G61" s="204">
        <v>0.75416666666666665</v>
      </c>
      <c r="H61" s="177">
        <v>36704</v>
      </c>
      <c r="I61" s="177">
        <v>34731</v>
      </c>
      <c r="J61" s="177">
        <v>36152</v>
      </c>
      <c r="K61" s="177">
        <v>30540</v>
      </c>
      <c r="L61" s="177">
        <v>33343</v>
      </c>
      <c r="M61" s="177">
        <v>35752</v>
      </c>
      <c r="N61" s="177">
        <v>35541</v>
      </c>
      <c r="O61" s="177">
        <v>36878</v>
      </c>
      <c r="P61" s="177">
        <v>37916</v>
      </c>
      <c r="Q61" s="177">
        <v>36545</v>
      </c>
      <c r="R61" s="177">
        <v>34821</v>
      </c>
      <c r="S61" s="177">
        <v>34459</v>
      </c>
      <c r="T61" s="177">
        <v>34653</v>
      </c>
      <c r="U61" s="177">
        <v>33326</v>
      </c>
      <c r="V61" s="177">
        <v>37650</v>
      </c>
      <c r="W61" s="177">
        <v>36435</v>
      </c>
      <c r="X61" s="177">
        <v>35121</v>
      </c>
      <c r="Y61" s="177">
        <v>26093</v>
      </c>
      <c r="Z61" s="177">
        <v>30488</v>
      </c>
      <c r="AA61" s="177">
        <v>30621</v>
      </c>
      <c r="AB61" s="177">
        <v>34975</v>
      </c>
      <c r="AC61" s="177">
        <v>32311</v>
      </c>
      <c r="AD61" s="177">
        <v>28527</v>
      </c>
      <c r="AE61" s="169">
        <v>8.3181448275862113</v>
      </c>
      <c r="AF61" s="169">
        <v>8.2515664335664365</v>
      </c>
      <c r="AG61" s="169">
        <v>8.5118827586206844</v>
      </c>
      <c r="AH61" s="169">
        <v>7.6936083916083975</v>
      </c>
      <c r="AI61" s="169">
        <v>8.1152430555555544</v>
      </c>
      <c r="AJ61" s="169">
        <v>8.2783263888888889</v>
      </c>
      <c r="AK61" s="169">
        <v>8.4431258741258794</v>
      </c>
      <c r="AL61" s="169">
        <v>8.4881448275862041</v>
      </c>
      <c r="AM61" s="169">
        <v>8.5899791666666641</v>
      </c>
      <c r="AN61" s="169">
        <v>8.2370827586206872</v>
      </c>
      <c r="AO61" s="169">
        <v>8.5008068965517207</v>
      </c>
      <c r="AP61" s="169">
        <v>8.2724137931034516</v>
      </c>
      <c r="AQ61" s="169">
        <v>8.1233724137931045</v>
      </c>
      <c r="AR61" s="169">
        <v>7.9438965517241398</v>
      </c>
      <c r="AS61" s="169">
        <v>8.787510344827588</v>
      </c>
      <c r="AT61" s="169">
        <v>8.4121678321678282</v>
      </c>
      <c r="AU61" s="169">
        <v>8.3351818181818196</v>
      </c>
      <c r="AV61" s="169">
        <v>7.357237762237764</v>
      </c>
      <c r="AW61" s="169">
        <v>7.6628206896551685</v>
      </c>
      <c r="AX61" s="169">
        <v>7.7035586206896554</v>
      </c>
      <c r="AY61" s="169">
        <v>8.7570563380281694</v>
      </c>
      <c r="AZ61" s="169">
        <v>8.089097902097901</v>
      </c>
      <c r="BA61" s="169">
        <v>7.3358611111111163</v>
      </c>
      <c r="BB61" s="214">
        <f t="shared" si="85"/>
        <v>345419</v>
      </c>
      <c r="BC61" s="216">
        <f t="shared" si="86"/>
        <v>71556</v>
      </c>
      <c r="BD61" s="180">
        <f t="shared" si="70"/>
        <v>268095</v>
      </c>
      <c r="BE61" s="216">
        <f t="shared" si="87"/>
        <v>26093</v>
      </c>
      <c r="BF61" s="179">
        <f t="shared" si="71"/>
        <v>72419</v>
      </c>
      <c r="BG61" s="216">
        <f>SUM(RD[[#This Row],[KUD01]:[KUD23]])</f>
        <v>783582</v>
      </c>
      <c r="BH61" s="217">
        <f t="shared" si="88"/>
        <v>8.2061489655172402</v>
      </c>
      <c r="BI61" s="219">
        <f t="shared" si="89"/>
        <v>8.3736748251748239</v>
      </c>
      <c r="BJ61" s="219">
        <f t="shared" si="90"/>
        <v>8.204200948923523</v>
      </c>
      <c r="BK61" s="221">
        <f t="shared" si="81"/>
        <v>7.357237762237764</v>
      </c>
      <c r="BL61" s="61">
        <f>IFERROR(AVERAGEIF(RD[[#This Row],[WS_KUD07]:[WS_KUD08]],"&lt;&gt;0",RD[[#This Row],[WS_KUD07]:[WS_KUD08]]),"")</f>
        <v>8.4656353508560418</v>
      </c>
      <c r="BM61" s="223">
        <f>IFERROR(AVERAGE(RD[[#This Row],[WS_KUD01]:[WS_KUD23]]),"")</f>
        <v>8.1829602850867413</v>
      </c>
      <c r="BN61" s="224">
        <f>IFERROR(MAX(RD[[#This Row],[WS_KUD01]:[WS_KUD23]]),"")</f>
        <v>8.787510344827588</v>
      </c>
      <c r="BO61" s="172">
        <v>640.30499999999995</v>
      </c>
      <c r="BP61" s="335">
        <v>910.26199999999994</v>
      </c>
      <c r="BQ61" s="335">
        <v>82.775000000000006</v>
      </c>
      <c r="BR61" s="335">
        <v>240.548</v>
      </c>
      <c r="BS61" s="335">
        <v>196.292</v>
      </c>
      <c r="BT61" s="335">
        <v>303.54199999999997</v>
      </c>
      <c r="BU61" s="335"/>
      <c r="BV61" s="335">
        <v>92.703000000000003</v>
      </c>
      <c r="BW61" s="172">
        <v>201678</v>
      </c>
      <c r="BX61" s="172">
        <v>261692</v>
      </c>
      <c r="BY61" s="344">
        <v>137.33000000000001</v>
      </c>
      <c r="BZ61" s="344">
        <v>86.11</v>
      </c>
      <c r="CA61" s="335">
        <v>287.33600000000001</v>
      </c>
      <c r="CB61" s="335">
        <v>112.42400000000001</v>
      </c>
      <c r="CC61" s="335">
        <v>0.122</v>
      </c>
      <c r="CD61" s="172">
        <v>0</v>
      </c>
      <c r="CE61" s="335">
        <v>229.12899999999999</v>
      </c>
      <c r="CF61" s="226" t="str">
        <f>IF((RD[[#This Row],[33 kV_Wind_F1_Export reading]]-BO60)*165000&lt;=0,"",(RD[[#This Row],[33 kV_Wind_F1_Export reading]]-BO60)*165000)</f>
        <v/>
      </c>
      <c r="CG61" s="227">
        <f>IF((RD[[#This Row],[33 kV_Wind_F2_Export_reading]]-BP60)*165000&lt;=0,"",(RD[[#This Row],[33 kV_Wind_F2_Export_reading]]-BP60)*165000)</f>
        <v>385934.9999999904</v>
      </c>
      <c r="CH61" s="64">
        <f>IF((RD[[#This Row],[33 kV_Wind_F3_Export_Reading]]-BQ60)*225000&lt;=0,"",(RD[[#This Row],[33 kV_Wind_F3_Export_Reading]]-BQ60)*225000)</f>
        <v>150075.00000000035</v>
      </c>
      <c r="CI61" s="64">
        <f>IF((RD[[#This Row],[33 kV_Wind_F4_Export Reading]]-BR60)*165000&lt;=0,"",(RD[[#This Row],[33 kV_Wind_F4_Export Reading]]-BR60)*165000)</f>
        <v>371084.99999999919</v>
      </c>
      <c r="CJ61" s="209">
        <f>IF((RD[[#This Row],[33 kV_Solar_F1_Export Reading]]-BS60)*225000&lt;=0,"",(RD[[#This Row],[33 kV_Solar_F1_Export Reading]]-BS60)*225000)</f>
        <v>129824.99999999959</v>
      </c>
      <c r="CK61" s="74">
        <f>IF((RD[[#This Row],[33kV_Solar_F2_Export Reading]]-BT60)*225000&lt;=0,"",(RD[[#This Row],[33kV_Solar_F2_Export Reading]]-BT60)*225000)</f>
        <v>107774.99999999662</v>
      </c>
      <c r="CL61" s="209" t="str">
        <f>IF((RD[[#This Row],[33 kV_Solar_F3_Export reading]]-BU60)*225000&lt;=0,"",(RD[[#This Row],[33 kV_Solar_F3_Export reading]]-BU60)*225000)</f>
        <v/>
      </c>
      <c r="CM61" s="63">
        <f>IF((RD[[#This Row],[32kV_Solar_F4_Export reading]]-BV60)*225000&lt;=0,"",(RD[[#This Row],[32kV_Solar_F4_Export reading]]-BV60)*225000)</f>
        <v>113400.00000000111</v>
      </c>
      <c r="CN61" s="227">
        <f>IF((RD[[#This Row],[33kV_OG1_Export reading]]-BW60)*1000&lt;=0,0,(RD[[#This Row],[33kV_OG1_Export reading]]-BW60)*1000)</f>
        <v>352000</v>
      </c>
      <c r="CO61" s="227">
        <f>IFERROR(IF((RD[[#This Row],[33kV_OG2_Export reading]]-BX60)*1000&lt;=0,0,(RD[[#This Row],[33kV_OG2_Export reading]]-BX60)*1000),0)</f>
        <v>908000</v>
      </c>
      <c r="CP61" s="74">
        <f>IF((RD[[#This Row],[220kV_TX1_Export reading]]-BY60)*800000&lt;=0,0,(RD[[#This Row],[220kV_TX1_Export reading]]-BY60)*800000)</f>
        <v>347200.00000002072</v>
      </c>
      <c r="CQ61" s="209">
        <f>IF((RD[[#This Row],[220kV_Tx2_Export reading]]-BZ60)*800000&lt;=0,0,(RD[[#This Row],[220kV_Tx2_Export reading]]-BZ60)*800000)</f>
        <v>900000</v>
      </c>
      <c r="CR61" s="227">
        <f>IF((RD[[#This Row],[220kV_TL_TVM Export Reading]]-CA60)*1600000&lt;=0,0,(RD[[#This Row],[220kV_TL_TVM Export Reading]]-CA60)*1600000)</f>
        <v>1249600.0000000095</v>
      </c>
      <c r="CS61" s="227">
        <f>IF((RD[[#This Row],[220kV_C&amp;R_PQM reading]]-CB60)*1600000&lt;=0,"",(RD[[#This Row],[220kV_C&amp;R_PQM reading]]-CB60)*1600000)</f>
        <v>1254400.0000000095</v>
      </c>
      <c r="CT61" s="209">
        <f>IFERROR(IF((RD[[#This Row],[220KV_C&amp;R_PQM Import Reading]]-CC60)*1600000&lt;=0,0,(RD[[#This Row],[220KV_C&amp;R_PQM Import Reading]]-CC60)*1600000),"")</f>
        <v>0</v>
      </c>
      <c r="CU61" s="64" t="str">
        <f>IF((RD[[#This Row],[33kV_Aux1 Import Reading]]-CD60)*1000&lt;=0,"",(RD[[#This Row],[33kV_Aux1 Import Reading]]-CD60)*1000)</f>
        <v/>
      </c>
      <c r="CV61" s="227">
        <f>IF((RD[[#This Row],[33kV_Aux2_Import reading]]-CE60)*1000&lt;=0,"",(RD[[#This Row],[33kV_Aux2_Import reading]]-CE60)*1000)</f>
        <v>370.00000000000455</v>
      </c>
      <c r="CW61" s="227">
        <f>IFERROR(RD[[#This Row],[33kV_OG1_Energy (MWh)]]+RD[[#This Row],[33kV_OG2_Energy (MWh)]],"")</f>
        <v>1260000</v>
      </c>
      <c r="CX61" s="227">
        <f>IFERROR(RD[[#This Row],[220kV_TL_TVM Energy (MWh)]]-RD[[#This Row],[220KV_C&amp;R_PQM Import (MWh)]],"")</f>
        <v>1249600.0000000095</v>
      </c>
      <c r="CY61" s="228">
        <f>IFERROR(RD[[#This Row],[33 kV Total Export (MWH)]]/RD[[#This Row],[220 KV Net Export (MWh)]]-1,"")</f>
        <v>8.3226632522330757E-3</v>
      </c>
      <c r="CZ61" s="229">
        <f t="shared" si="91"/>
        <v>50.6</v>
      </c>
      <c r="DA61" s="230">
        <v>96</v>
      </c>
      <c r="DB61" s="231"/>
      <c r="DC61" s="232">
        <f>IFERROR((RD[[#This Row],[Sunset Time (POA&lt;20 W/m2)]]-RD[[#This Row],[Sunrise Time (POA&gt;20 W/m2)]])*24,0)</f>
        <v>11.85</v>
      </c>
      <c r="DD61" s="70">
        <f>SUM(RD[[#This Row],[33 kV_Wind_F3_Export_Reading3]],CJ61,CK61,CL61,CM61)</f>
        <v>501074.99999999767</v>
      </c>
      <c r="DE61" s="68">
        <v>140</v>
      </c>
      <c r="DF61" s="70">
        <f t="shared" si="82"/>
        <v>757019.99999998952</v>
      </c>
      <c r="DG61" s="189">
        <v>784.85</v>
      </c>
      <c r="DH61">
        <f>'WTG Reactive Power'!AB59</f>
        <v>29084.9</v>
      </c>
    </row>
    <row r="62" spans="1:112">
      <c r="A62" s="210">
        <f>YEAR(RD[[#This Row],[Date]])+IF(MONTH(RD[[#This Row],[Date]])&gt;=4,1,0)</f>
        <v>2026</v>
      </c>
      <c r="B62" s="210">
        <f>YEAR(RD[[#This Row],[Date]])</f>
        <v>2025</v>
      </c>
      <c r="C62" s="211">
        <f t="shared" si="83"/>
        <v>45778</v>
      </c>
      <c r="D62" s="210">
        <f>DAY(EOMONTH(RD[[#This Row],[Date]],0))</f>
        <v>31</v>
      </c>
      <c r="E62" s="212">
        <f t="shared" si="84"/>
        <v>45802</v>
      </c>
      <c r="F62" s="336">
        <v>0.25694444444444448</v>
      </c>
      <c r="G62" s="204">
        <v>0.74375000000000002</v>
      </c>
      <c r="H62" s="213">
        <v>41187</v>
      </c>
      <c r="I62" s="213">
        <v>39712.1</v>
      </c>
      <c r="J62" s="213">
        <v>39143.800000000003</v>
      </c>
      <c r="K62" s="213">
        <v>36070.1</v>
      </c>
      <c r="L62" s="213">
        <v>39375.300000000003</v>
      </c>
      <c r="M62" s="213">
        <v>39404.699999999997</v>
      </c>
      <c r="N62" s="213">
        <v>39604.9</v>
      </c>
      <c r="O62" s="213">
        <v>41388.5</v>
      </c>
      <c r="P62" s="213">
        <v>41371.1</v>
      </c>
      <c r="Q62" s="213">
        <v>40245.4</v>
      </c>
      <c r="R62" s="213">
        <v>39489.1</v>
      </c>
      <c r="S62" s="213">
        <v>40470.300000000003</v>
      </c>
      <c r="T62" s="213">
        <v>39886.300000000003</v>
      </c>
      <c r="U62" s="213">
        <v>39601</v>
      </c>
      <c r="V62" s="213">
        <v>41081.9</v>
      </c>
      <c r="W62" s="213">
        <v>40756</v>
      </c>
      <c r="X62" s="213">
        <v>41241.5</v>
      </c>
      <c r="Y62" s="213">
        <v>32939.5</v>
      </c>
      <c r="Z62" s="213">
        <v>37037.300000000003</v>
      </c>
      <c r="AA62" s="213">
        <v>37988.199999999997</v>
      </c>
      <c r="AB62" s="213">
        <v>38534.5</v>
      </c>
      <c r="AC62" s="213">
        <v>38145.300000000003</v>
      </c>
      <c r="AD62" s="213">
        <v>38548</v>
      </c>
      <c r="AE62" s="169">
        <v>9.5</v>
      </c>
      <c r="AF62" s="169">
        <v>9.4</v>
      </c>
      <c r="AG62" s="169">
        <v>9.4</v>
      </c>
      <c r="AH62" s="169">
        <v>8.6999999999999993</v>
      </c>
      <c r="AI62" s="169">
        <v>9.3000000000000007</v>
      </c>
      <c r="AJ62" s="169">
        <v>9.1999999999999993</v>
      </c>
      <c r="AK62" s="169">
        <v>9.4</v>
      </c>
      <c r="AL62" s="169">
        <v>9.5</v>
      </c>
      <c r="AM62" s="169">
        <v>9.5</v>
      </c>
      <c r="AN62" s="169">
        <v>9.1999999999999993</v>
      </c>
      <c r="AO62" s="169">
        <v>9.4</v>
      </c>
      <c r="AP62" s="169">
        <v>9.4</v>
      </c>
      <c r="AQ62" s="169">
        <v>9.1</v>
      </c>
      <c r="AR62" s="169">
        <v>9.1999999999999993</v>
      </c>
      <c r="AS62" s="169">
        <v>9.8000000000000007</v>
      </c>
      <c r="AT62" s="169">
        <v>9.5</v>
      </c>
      <c r="AU62" s="169">
        <v>9.6</v>
      </c>
      <c r="AV62" s="169">
        <v>8.5</v>
      </c>
      <c r="AW62" s="169">
        <v>8.9</v>
      </c>
      <c r="AX62" s="169">
        <v>8.9</v>
      </c>
      <c r="AY62" s="169">
        <v>9.6</v>
      </c>
      <c r="AZ62" s="169">
        <v>9.1</v>
      </c>
      <c r="BA62" s="169">
        <v>9</v>
      </c>
      <c r="BB62" s="214">
        <f t="shared" si="85"/>
        <v>396130.30000000005</v>
      </c>
      <c r="BC62" s="216">
        <f t="shared" si="86"/>
        <v>81997.5</v>
      </c>
      <c r="BD62" s="180">
        <f t="shared" si="70"/>
        <v>311161.10000000003</v>
      </c>
      <c r="BE62" s="216">
        <f t="shared" si="87"/>
        <v>32939.5</v>
      </c>
      <c r="BF62" s="179">
        <f t="shared" si="71"/>
        <v>80993.399999999994</v>
      </c>
      <c r="BG62" s="216">
        <f>SUM(RD[[#This Row],[KUD01]:[KUD23]])</f>
        <v>903221.8</v>
      </c>
      <c r="BH62" s="217">
        <f t="shared" si="88"/>
        <v>9.2800000000000011</v>
      </c>
      <c r="BI62" s="219">
        <f t="shared" si="89"/>
        <v>9.5500000000000007</v>
      </c>
      <c r="BJ62" s="219">
        <f t="shared" si="90"/>
        <v>9.27</v>
      </c>
      <c r="BK62" s="221">
        <f t="shared" si="81"/>
        <v>8.5</v>
      </c>
      <c r="BL62" s="61">
        <f>IFERROR(AVERAGEIF(RD[[#This Row],[WS_KUD07]:[WS_KUD08]],"&lt;&gt;0",RD[[#This Row],[WS_KUD07]:[WS_KUD08]]),"")</f>
        <v>9.4499999999999993</v>
      </c>
      <c r="BM62" s="223">
        <f>IFERROR(AVERAGE(RD[[#This Row],[WS_KUD01]:[WS_KUD23]]),"")</f>
        <v>9.2652173913043487</v>
      </c>
      <c r="BN62" s="224">
        <f>IFERROR(MAX(RD[[#This Row],[WS_KUD01]:[WS_KUD23]]),"")</f>
        <v>9.8000000000000007</v>
      </c>
      <c r="BO62" s="172">
        <v>640.30499999999995</v>
      </c>
      <c r="BP62" s="335">
        <v>912.96799999999996</v>
      </c>
      <c r="BQ62" s="335">
        <v>83.393000000000001</v>
      </c>
      <c r="BR62" s="335">
        <v>243.12100000000001</v>
      </c>
      <c r="BS62" s="335">
        <v>196.85599999999999</v>
      </c>
      <c r="BT62" s="335">
        <v>304.02100000000002</v>
      </c>
      <c r="BU62" s="345"/>
      <c r="BV62" s="335">
        <v>93.165000000000006</v>
      </c>
      <c r="BW62" s="172">
        <v>202017</v>
      </c>
      <c r="BX62" s="172">
        <v>262707</v>
      </c>
      <c r="BY62" s="344">
        <v>137.74799999999999</v>
      </c>
      <c r="BZ62" s="344">
        <v>87.34</v>
      </c>
      <c r="CA62" s="335">
        <v>288.17399999999998</v>
      </c>
      <c r="CB62" s="344">
        <v>113.26</v>
      </c>
      <c r="CC62" s="335">
        <v>0.122</v>
      </c>
      <c r="CD62" s="172">
        <v>0</v>
      </c>
      <c r="CE62" s="335">
        <v>229.499</v>
      </c>
      <c r="CF62" s="226" t="str">
        <f>IF((RD[[#This Row],[33 kV_Wind_F1_Export reading]]-BO61)*165000&lt;=0,"",(RD[[#This Row],[33 kV_Wind_F1_Export reading]]-BO61)*165000)</f>
        <v/>
      </c>
      <c r="CG62" s="227">
        <f>IF((RD[[#This Row],[33 kV_Wind_F2_Export_reading]]-BP61)*165000&lt;=0,"",(RD[[#This Row],[33 kV_Wind_F2_Export_reading]]-BP61)*165000)</f>
        <v>446490.00000000285</v>
      </c>
      <c r="CH62" s="64">
        <f>IF((RD[[#This Row],[33 kV_Wind_F3_Export_Reading]]-BQ61)*225000&lt;=0,"",(RD[[#This Row],[33 kV_Wind_F3_Export_Reading]]-BQ61)*225000)</f>
        <v>139049.99999999886</v>
      </c>
      <c r="CI62" s="64">
        <f>IF((RD[[#This Row],[33 kV_Wind_F4_Export Reading]]-BR61)*165000&lt;=0,"",(RD[[#This Row],[33 kV_Wind_F4_Export Reading]]-BR61)*165000)</f>
        <v>424545.00000000122</v>
      </c>
      <c r="CJ62" s="209">
        <f>IF((RD[[#This Row],[33 kV_Solar_F1_Export Reading]]-BS61)*225000&lt;=0,"",(RD[[#This Row],[33 kV_Solar_F1_Export Reading]]-BS61)*225000)</f>
        <v>126899.99999999841</v>
      </c>
      <c r="CK62" s="74">
        <f>IF((RD[[#This Row],[33kV_Solar_F2_Export Reading]]-BT61)*225000&lt;=0,"",(RD[[#This Row],[33kV_Solar_F2_Export Reading]]-BT61)*225000)</f>
        <v>107775.00000000942</v>
      </c>
      <c r="CL62" s="209" t="str">
        <f>IF((RD[[#This Row],[33 kV_Solar_F3_Export reading]]-BU61)*225000&lt;=0,"",(RD[[#This Row],[33 kV_Solar_F3_Export reading]]-BU61)*225000)</f>
        <v/>
      </c>
      <c r="CM62" s="63">
        <f>IF((RD[[#This Row],[32kV_Solar_F4_Export reading]]-BV61)*225000&lt;=0,"",(RD[[#This Row],[32kV_Solar_F4_Export reading]]-BV61)*225000)</f>
        <v>103950.00000000074</v>
      </c>
      <c r="CN62" s="227">
        <f>IF((RD[[#This Row],[33kV_OG1_Export reading]]-BW61)*1000&lt;=0,0,(RD[[#This Row],[33kV_OG1_Export reading]]-BW61)*1000)</f>
        <v>339000</v>
      </c>
      <c r="CO62" s="227">
        <f>IFERROR(IF((RD[[#This Row],[33kV_OG2_Export reading]]-BX61)*1000&lt;=0,0,(RD[[#This Row],[33kV_OG2_Export reading]]-BX61)*1000),0)</f>
        <v>1015000</v>
      </c>
      <c r="CP62" s="74">
        <f>IF((RD[[#This Row],[220kV_TX1_Export reading]]-BY61)*800000&lt;=0,0,(RD[[#This Row],[220kV_TX1_Export reading]]-BY61)*800000)</f>
        <v>334399.99999998236</v>
      </c>
      <c r="CQ62" s="209">
        <f>IF((RD[[#This Row],[220kV_Tx2_Export reading]]-BZ61)*800000&lt;=0,0,(RD[[#This Row],[220kV_Tx2_Export reading]]-BZ61)*800000)</f>
        <v>984000.00000000314</v>
      </c>
      <c r="CR62" s="227">
        <f>IF((RD[[#This Row],[220kV_TL_TVM Export Reading]]-CA61)*1600000&lt;=0,0,(RD[[#This Row],[220kV_TL_TVM Export Reading]]-CA61)*1600000)</f>
        <v>1340799.9999999446</v>
      </c>
      <c r="CS62" s="227">
        <f>IF((RD[[#This Row],[220kV_C&amp;R_PQM reading]]-CB61)*1600000&lt;=0,"",(RD[[#This Row],[220kV_C&amp;R_PQM reading]]-CB61)*1600000)</f>
        <v>1337599.9999999977</v>
      </c>
      <c r="CT62" s="209">
        <f>IFERROR(IF((RD[[#This Row],[220KV_C&amp;R_PQM Import Reading]]-CC61)*1600000&lt;=0,0,(RD[[#This Row],[220KV_C&amp;R_PQM Import Reading]]-CC61)*1600000),"")</f>
        <v>0</v>
      </c>
      <c r="CU62" s="64" t="str">
        <f>IF((RD[[#This Row],[33kV_Aux1 Import Reading]]-CD61)*1000&lt;=0,"",(RD[[#This Row],[33kV_Aux1 Import Reading]]-CD61)*1000)</f>
        <v/>
      </c>
      <c r="CV62" s="227">
        <f>IF((RD[[#This Row],[33kV_Aux2_Import reading]]-CE61)*1000&lt;=0,"",(RD[[#This Row],[33kV_Aux2_Import reading]]-CE61)*1000)</f>
        <v>370.00000000000455</v>
      </c>
      <c r="CW62" s="227">
        <f>IFERROR(RD[[#This Row],[33kV_OG1_Energy (MWh)]]+RD[[#This Row],[33kV_OG2_Energy (MWh)]],"")</f>
        <v>1354000</v>
      </c>
      <c r="CX62" s="227">
        <f>IFERROR(RD[[#This Row],[220kV_TL_TVM Energy (MWh)]]-RD[[#This Row],[220KV_C&amp;R_PQM Import (MWh)]],"")</f>
        <v>1340799.9999999446</v>
      </c>
      <c r="CY62" s="228">
        <f>IFERROR(RD[[#This Row],[33 kV Total Export (MWH)]]/RD[[#This Row],[220 KV Net Export (MWh)]]-1,"")</f>
        <v>9.8448687351253561E-3</v>
      </c>
      <c r="CZ62" s="229">
        <f t="shared" si="91"/>
        <v>50.6</v>
      </c>
      <c r="DA62" s="230">
        <v>96</v>
      </c>
      <c r="DB62" s="231"/>
      <c r="DC62" s="232">
        <f>IFERROR((RD[[#This Row],[Sunset Time (POA&lt;20 W/m2)]]-RD[[#This Row],[Sunrise Time (POA&gt;20 W/m2)]])*24,0)</f>
        <v>11.683333333333334</v>
      </c>
      <c r="DD62" s="70">
        <f>SUM(RD[[#This Row],[33 kV_Wind_F3_Export_Reading3]],CJ62,CK62,CL62,CM62)</f>
        <v>477675.00000000745</v>
      </c>
      <c r="DE62" s="68">
        <v>140</v>
      </c>
      <c r="DF62" s="70">
        <f t="shared" si="82"/>
        <v>871035.00000000407</v>
      </c>
      <c r="DG62" s="189">
        <v>907.2</v>
      </c>
      <c r="DH62">
        <f>'WTG Reactive Power'!AB60</f>
        <v>62295.399999999994</v>
      </c>
    </row>
    <row r="63" spans="1:112">
      <c r="A63" s="210">
        <f>YEAR(RD[[#This Row],[Date]])+IF(MONTH(RD[[#This Row],[Date]])&gt;=4,1,0)</f>
        <v>2026</v>
      </c>
      <c r="B63" s="210">
        <f>YEAR(RD[[#This Row],[Date]])</f>
        <v>2025</v>
      </c>
      <c r="C63" s="211">
        <f t="shared" si="83"/>
        <v>45778</v>
      </c>
      <c r="D63" s="210">
        <f>DAY(EOMONTH(RD[[#This Row],[Date]],0))</f>
        <v>31</v>
      </c>
      <c r="E63" s="212">
        <f t="shared" si="84"/>
        <v>45803</v>
      </c>
      <c r="F63" s="206">
        <v>0.26250000000000001</v>
      </c>
      <c r="G63" s="206">
        <v>0.77013888888888893</v>
      </c>
      <c r="H63" s="177">
        <v>49881</v>
      </c>
      <c r="I63" s="177">
        <v>49078</v>
      </c>
      <c r="J63" s="177">
        <v>46402</v>
      </c>
      <c r="K63" s="177">
        <v>46747</v>
      </c>
      <c r="L63" s="177">
        <v>48271</v>
      </c>
      <c r="M63" s="177">
        <v>47761</v>
      </c>
      <c r="N63" s="177">
        <v>47847</v>
      </c>
      <c r="O63" s="177">
        <v>49077</v>
      </c>
      <c r="P63" s="177">
        <v>48310</v>
      </c>
      <c r="Q63" s="177">
        <v>49126</v>
      </c>
      <c r="R63" s="177">
        <v>46596</v>
      </c>
      <c r="S63" s="177">
        <v>47664</v>
      </c>
      <c r="T63" s="177">
        <v>48315</v>
      </c>
      <c r="U63" s="177">
        <v>48155</v>
      </c>
      <c r="V63" s="177">
        <v>50617</v>
      </c>
      <c r="W63" s="177">
        <v>50442</v>
      </c>
      <c r="X63" s="177">
        <v>50403</v>
      </c>
      <c r="Y63" s="177">
        <v>47222</v>
      </c>
      <c r="Z63" s="177">
        <v>49501</v>
      </c>
      <c r="AA63" s="177">
        <v>47493</v>
      </c>
      <c r="AB63" s="177">
        <v>48465</v>
      </c>
      <c r="AC63" s="177">
        <v>48893</v>
      </c>
      <c r="AD63" s="177">
        <v>49790</v>
      </c>
      <c r="AE63" s="169">
        <v>10.7</v>
      </c>
      <c r="AF63" s="169">
        <v>10.5</v>
      </c>
      <c r="AG63" s="169">
        <v>10</v>
      </c>
      <c r="AH63" s="169">
        <v>10.1</v>
      </c>
      <c r="AI63" s="169">
        <v>10.3</v>
      </c>
      <c r="AJ63" s="169">
        <v>10</v>
      </c>
      <c r="AK63" s="169">
        <v>10.1</v>
      </c>
      <c r="AL63" s="169">
        <v>10.199999999999999</v>
      </c>
      <c r="AM63" s="169">
        <v>10.3</v>
      </c>
      <c r="AN63" s="169">
        <v>10</v>
      </c>
      <c r="AO63" s="169">
        <v>10.4</v>
      </c>
      <c r="AP63" s="169">
        <v>10.1</v>
      </c>
      <c r="AQ63" s="169">
        <v>10.3</v>
      </c>
      <c r="AR63" s="169">
        <v>10.1</v>
      </c>
      <c r="AS63" s="169">
        <v>11.3</v>
      </c>
      <c r="AT63" s="169">
        <v>10.7</v>
      </c>
      <c r="AU63" s="169">
        <v>10.8</v>
      </c>
      <c r="AV63" s="169">
        <v>10.199999999999999</v>
      </c>
      <c r="AW63" s="169">
        <v>10.8</v>
      </c>
      <c r="AX63" s="169">
        <v>10</v>
      </c>
      <c r="AY63" s="169">
        <v>10.6</v>
      </c>
      <c r="AZ63" s="169">
        <v>10.5</v>
      </c>
      <c r="BA63" s="169">
        <v>10.6</v>
      </c>
      <c r="BB63" s="214">
        <f t="shared" si="85"/>
        <v>483750</v>
      </c>
      <c r="BC63" s="216">
        <f t="shared" si="86"/>
        <v>100845</v>
      </c>
      <c r="BD63" s="180">
        <f t="shared" si="70"/>
        <v>387315</v>
      </c>
      <c r="BE63" s="216">
        <f t="shared" si="87"/>
        <v>47222</v>
      </c>
      <c r="BF63" s="179">
        <f t="shared" si="71"/>
        <v>96924</v>
      </c>
      <c r="BG63" s="216">
        <f>SUM(RD[[#This Row],[KUD01]:[KUD23]])</f>
        <v>1116056</v>
      </c>
      <c r="BH63" s="217">
        <f t="shared" si="88"/>
        <v>10.37</v>
      </c>
      <c r="BI63" s="219">
        <f t="shared" si="89"/>
        <v>10.75</v>
      </c>
      <c r="BJ63" s="219">
        <f t="shared" si="90"/>
        <v>10.319999999999999</v>
      </c>
      <c r="BK63" s="221">
        <f t="shared" si="81"/>
        <v>10.199999999999999</v>
      </c>
      <c r="BL63" s="61">
        <f>IFERROR(AVERAGEIF(RD[[#This Row],[WS_KUD07]:[WS_KUD08]],"&lt;&gt;0",RD[[#This Row],[WS_KUD07]:[WS_KUD08]]),"")</f>
        <v>10.149999999999999</v>
      </c>
      <c r="BM63" s="223">
        <f>IFERROR(AVERAGE(RD[[#This Row],[WS_KUD01]:[WS_KUD23]]),"")</f>
        <v>10.373913043478261</v>
      </c>
      <c r="BN63" s="224">
        <f>IFERROR(MAX(RD[[#This Row],[WS_KUD01]:[WS_KUD23]]),"")</f>
        <v>11.3</v>
      </c>
      <c r="BO63" s="172">
        <v>640.30499999999995</v>
      </c>
      <c r="BP63" s="335">
        <v>916.34199999999998</v>
      </c>
      <c r="BQ63" s="335">
        <v>83.936000000000007</v>
      </c>
      <c r="BR63" s="335">
        <v>246.244</v>
      </c>
      <c r="BS63" s="335">
        <v>197.40199999999999</v>
      </c>
      <c r="BT63" s="335">
        <v>304.45400000000001</v>
      </c>
      <c r="BU63" s="345"/>
      <c r="BV63" s="335">
        <v>93.555999999999997</v>
      </c>
      <c r="BW63" s="172">
        <v>202325</v>
      </c>
      <c r="BX63" s="172">
        <v>263895</v>
      </c>
      <c r="BY63" s="344">
        <v>138.12899999999999</v>
      </c>
      <c r="BZ63" s="344">
        <v>88.796999999999997</v>
      </c>
      <c r="CA63" s="335">
        <v>289.10700000000003</v>
      </c>
      <c r="CB63" s="344">
        <v>114.194</v>
      </c>
      <c r="CC63" s="335">
        <v>0.122</v>
      </c>
      <c r="CD63" s="172">
        <v>0</v>
      </c>
      <c r="CE63" s="335">
        <v>229.84899999999999</v>
      </c>
      <c r="CF63" s="226" t="str">
        <f>IF((RD[[#This Row],[33 kV_Wind_F1_Export reading]]-BO62)*165000&lt;=0,"",(RD[[#This Row],[33 kV_Wind_F1_Export reading]]-BO62)*165000)</f>
        <v/>
      </c>
      <c r="CG63" s="227">
        <f>IF((RD[[#This Row],[33 kV_Wind_F2_Export_reading]]-BP62)*165000&lt;=0,"",(RD[[#This Row],[33 kV_Wind_F2_Export_reading]]-BP62)*165000)</f>
        <v>556710.00000000396</v>
      </c>
      <c r="CH63" s="64">
        <f>IF((RD[[#This Row],[33 kV_Wind_F3_Export_Reading]]-BQ62)*225000&lt;=0,"",(RD[[#This Row],[33 kV_Wind_F3_Export_Reading]]-BQ62)*225000)</f>
        <v>122175.00000000143</v>
      </c>
      <c r="CI63" s="64">
        <f>IF((RD[[#This Row],[33 kV_Wind_F4_Export Reading]]-BR62)*165000&lt;=0,"",(RD[[#This Row],[33 kV_Wind_F4_Export Reading]]-BR62)*165000)</f>
        <v>515294.99999999843</v>
      </c>
      <c r="CJ63" s="209">
        <f>IF((RD[[#This Row],[33 kV_Solar_F1_Export Reading]]-BS62)*225000&lt;=0,"",(RD[[#This Row],[33 kV_Solar_F1_Export Reading]]-BS62)*225000)</f>
        <v>122849.99999999825</v>
      </c>
      <c r="CK63" s="74">
        <f>IF((RD[[#This Row],[33kV_Solar_F2_Export Reading]]-BT62)*225000&lt;=0,"",(RD[[#This Row],[33kV_Solar_F2_Export Reading]]-BT62)*225000)</f>
        <v>97424.99999999837</v>
      </c>
      <c r="CL63" s="209" t="str">
        <f>IF((RD[[#This Row],[33 kV_Solar_F3_Export reading]]-BU62)*225000&lt;=0,"",(RD[[#This Row],[33 kV_Solar_F3_Export reading]]-BU62)*225000)</f>
        <v/>
      </c>
      <c r="CM63" s="63">
        <f>IF((RD[[#This Row],[32kV_Solar_F4_Export reading]]-BV62)*225000&lt;=0,"",(RD[[#This Row],[32kV_Solar_F4_Export reading]]-BV62)*225000)</f>
        <v>87974.999999998006</v>
      </c>
      <c r="CN63" s="227">
        <f>IF((RD[[#This Row],[33kV_OG1_Export reading]]-BW62)*1000&lt;=0,0,(RD[[#This Row],[33kV_OG1_Export reading]]-BW62)*1000)</f>
        <v>308000</v>
      </c>
      <c r="CO63" s="227">
        <f>IFERROR(IF((RD[[#This Row],[33kV_OG2_Export reading]]-BX62)*1000&lt;=0,0,(RD[[#This Row],[33kV_OG2_Export reading]]-BX62)*1000),0)</f>
        <v>1188000</v>
      </c>
      <c r="CP63" s="74">
        <f>IF((RD[[#This Row],[220kV_TX1_Export reading]]-BY62)*800000&lt;=0,0,(RD[[#This Row],[220kV_TX1_Export reading]]-BY62)*800000)</f>
        <v>304800.00000000017</v>
      </c>
      <c r="CQ63" s="209">
        <f>IF((RD[[#This Row],[220kV_Tx2_Export reading]]-BZ62)*800000&lt;=0,0,(RD[[#This Row],[220kV_Tx2_Export reading]]-BZ62)*800000)</f>
        <v>1165599.9999999949</v>
      </c>
      <c r="CR63" s="227">
        <f>IF((RD[[#This Row],[220kV_TL_TVM Export Reading]]-CA62)*1600000&lt;=0,0,(RD[[#This Row],[220kV_TL_TVM Export Reading]]-CA62)*1600000)</f>
        <v>1492800.0000000794</v>
      </c>
      <c r="CS63" s="227">
        <f>IF((RD[[#This Row],[220kV_C&amp;R_PQM reading]]-CB62)*1600000&lt;=0,"",(RD[[#This Row],[220kV_C&amp;R_PQM reading]]-CB62)*1600000)</f>
        <v>1494399.999999996</v>
      </c>
      <c r="CT63" s="209">
        <f>IFERROR(IF((RD[[#This Row],[220KV_C&amp;R_PQM Import Reading]]-CC62)*1600000&lt;=0,0,(RD[[#This Row],[220KV_C&amp;R_PQM Import Reading]]-CC62)*1600000),"")</f>
        <v>0</v>
      </c>
      <c r="CU63" s="64" t="str">
        <f>IF((RD[[#This Row],[33kV_Aux1 Import Reading]]-CD62)*1000&lt;=0,"",(RD[[#This Row],[33kV_Aux1 Import Reading]]-CD62)*1000)</f>
        <v/>
      </c>
      <c r="CV63" s="227">
        <f>IF((RD[[#This Row],[33kV_Aux2_Import reading]]-CE62)*1000&lt;=0,"",(RD[[#This Row],[33kV_Aux2_Import reading]]-CE62)*1000)</f>
        <v>349.99999999999432</v>
      </c>
      <c r="CW63" s="227">
        <f>IFERROR(RD[[#This Row],[33kV_OG1_Energy (MWh)]]+RD[[#This Row],[33kV_OG2_Energy (MWh)]],"")</f>
        <v>1496000</v>
      </c>
      <c r="CX63" s="227">
        <f>IFERROR(RD[[#This Row],[220kV_TL_TVM Energy (MWh)]]-RD[[#This Row],[220KV_C&amp;R_PQM Import (MWh)]],"")</f>
        <v>1492800.0000000794</v>
      </c>
      <c r="CY63" s="228">
        <f>IFERROR(RD[[#This Row],[33 kV Total Export (MWH)]]/RD[[#This Row],[220 KV Net Export (MWh)]]-1,"")</f>
        <v>2.1436227223474713E-3</v>
      </c>
      <c r="CZ63" s="229">
        <f t="shared" si="91"/>
        <v>50.6</v>
      </c>
      <c r="DA63" s="230">
        <v>96</v>
      </c>
      <c r="DB63" s="231"/>
      <c r="DC63" s="232">
        <f>IFERROR((RD[[#This Row],[Sunset Time (POA&lt;20 W/m2)]]-RD[[#This Row],[Sunrise Time (POA&gt;20 W/m2)]])*24,0)</f>
        <v>12.183333333333335</v>
      </c>
      <c r="DD63" s="70">
        <f>SUM(RD[[#This Row],[33 kV_Wind_F3_Export_Reading3]],CJ63,CK63,CL63,CM63)</f>
        <v>430424.99999999604</v>
      </c>
      <c r="DE63" s="68">
        <v>140</v>
      </c>
      <c r="DF63" s="70">
        <f t="shared" si="82"/>
        <v>1072005.0000000023</v>
      </c>
      <c r="DG63" s="189">
        <v>1116.06</v>
      </c>
      <c r="DH63">
        <f>'WTG Reactive Power'!AB61</f>
        <v>28890</v>
      </c>
    </row>
    <row r="64" spans="1:112">
      <c r="A64" s="210">
        <f>YEAR(RD[[#This Row],[Date]])+IF(MONTH(RD[[#This Row],[Date]])&gt;=4,1,0)</f>
        <v>2026</v>
      </c>
      <c r="B64" s="210">
        <f>YEAR(RD[[#This Row],[Date]])</f>
        <v>2025</v>
      </c>
      <c r="C64" s="211">
        <f t="shared" si="83"/>
        <v>45778</v>
      </c>
      <c r="D64" s="210">
        <f>DAY(EOMONTH(RD[[#This Row],[Date]],0))</f>
        <v>31</v>
      </c>
      <c r="E64" s="212">
        <f t="shared" si="84"/>
        <v>45804</v>
      </c>
      <c r="F64" s="206">
        <v>0.2673611111111111</v>
      </c>
      <c r="G64" s="206">
        <v>0.76736111111111116</v>
      </c>
      <c r="H64" s="346">
        <v>50238</v>
      </c>
      <c r="I64" s="346">
        <v>45407</v>
      </c>
      <c r="J64" s="346">
        <v>46825</v>
      </c>
      <c r="K64" s="346">
        <v>37424</v>
      </c>
      <c r="L64" s="346">
        <v>40658</v>
      </c>
      <c r="M64" s="346">
        <v>42866</v>
      </c>
      <c r="N64" s="346">
        <v>43267</v>
      </c>
      <c r="O64" s="346">
        <v>49203</v>
      </c>
      <c r="P64" s="346">
        <v>40517</v>
      </c>
      <c r="Q64" s="346">
        <v>48587</v>
      </c>
      <c r="R64" s="346">
        <v>47903</v>
      </c>
      <c r="S64" s="346">
        <v>46818</v>
      </c>
      <c r="T64" s="346">
        <v>48552</v>
      </c>
      <c r="U64" s="346">
        <v>47638</v>
      </c>
      <c r="V64" s="346">
        <v>50637</v>
      </c>
      <c r="W64" s="346">
        <v>43448</v>
      </c>
      <c r="X64" s="346">
        <v>46761</v>
      </c>
      <c r="Y64" s="346">
        <v>44275</v>
      </c>
      <c r="Z64" s="346">
        <v>49568</v>
      </c>
      <c r="AA64" s="346">
        <v>48290</v>
      </c>
      <c r="AB64" s="346">
        <v>40390</v>
      </c>
      <c r="AC64" s="346">
        <v>40116</v>
      </c>
      <c r="AD64" s="346">
        <v>41669</v>
      </c>
      <c r="AE64" s="169">
        <v>11</v>
      </c>
      <c r="AF64" s="169">
        <v>11.1</v>
      </c>
      <c r="AG64" s="169">
        <v>10.4</v>
      </c>
      <c r="AH64" s="169">
        <v>10.8</v>
      </c>
      <c r="AI64" s="169">
        <v>11</v>
      </c>
      <c r="AJ64" s="169">
        <v>10.199999999999999</v>
      </c>
      <c r="AK64" s="169">
        <v>10.4</v>
      </c>
      <c r="AL64" s="169">
        <v>10.7</v>
      </c>
      <c r="AM64" s="169">
        <v>10.9</v>
      </c>
      <c r="AN64" s="169">
        <v>10.4</v>
      </c>
      <c r="AO64" s="169">
        <v>10.8</v>
      </c>
      <c r="AP64" s="169">
        <v>10.5</v>
      </c>
      <c r="AQ64" s="169">
        <v>10.6</v>
      </c>
      <c r="AR64" s="169">
        <v>10.4</v>
      </c>
      <c r="AS64" s="169">
        <v>11.5</v>
      </c>
      <c r="AT64" s="169">
        <v>11</v>
      </c>
      <c r="AU64" s="169">
        <v>11.2</v>
      </c>
      <c r="AV64" s="169">
        <v>10.9</v>
      </c>
      <c r="AW64" s="169">
        <v>11.1</v>
      </c>
      <c r="AX64" s="169">
        <v>10.7</v>
      </c>
      <c r="AY64" s="169">
        <v>11.2</v>
      </c>
      <c r="AZ64" s="169">
        <v>11</v>
      </c>
      <c r="BA64" s="169">
        <v>11.1</v>
      </c>
      <c r="BB64" s="214">
        <f t="shared" si="85"/>
        <v>485056</v>
      </c>
      <c r="BC64" s="216">
        <f t="shared" si="86"/>
        <v>90209</v>
      </c>
      <c r="BD64" s="180">
        <f t="shared" si="70"/>
        <v>329047</v>
      </c>
      <c r="BE64" s="216">
        <f t="shared" si="87"/>
        <v>44275</v>
      </c>
      <c r="BF64" s="179">
        <f t="shared" si="71"/>
        <v>92470</v>
      </c>
      <c r="BG64" s="216">
        <f>SUM(RD[[#This Row],[KUD01]:[KUD23]])</f>
        <v>1041057</v>
      </c>
      <c r="BH64" s="217">
        <f t="shared" si="88"/>
        <v>10.739999999999998</v>
      </c>
      <c r="BI64" s="219">
        <f t="shared" si="89"/>
        <v>11.1</v>
      </c>
      <c r="BJ64" s="219">
        <f t="shared" si="90"/>
        <v>10.84</v>
      </c>
      <c r="BK64" s="221">
        <f t="shared" si="81"/>
        <v>10.9</v>
      </c>
      <c r="BL64" s="61">
        <f>IFERROR(AVERAGEIF(RD[[#This Row],[WS_KUD07]:[WS_KUD08]],"&lt;&gt;0",RD[[#This Row],[WS_KUD07]:[WS_KUD08]]),"")</f>
        <v>10.55</v>
      </c>
      <c r="BM64" s="223">
        <f>IFERROR(AVERAGE(RD[[#This Row],[WS_KUD01]:[WS_KUD23]]),"")</f>
        <v>10.821739130434782</v>
      </c>
      <c r="BN64" s="224">
        <f>IFERROR(MAX(RD[[#This Row],[WS_KUD01]:[WS_KUD23]]),"")</f>
        <v>11.5</v>
      </c>
      <c r="BO64" s="172">
        <v>640.30499999999995</v>
      </c>
      <c r="BP64" s="335">
        <v>919.27599999999995</v>
      </c>
      <c r="BQ64" s="335">
        <v>84.680999999999997</v>
      </c>
      <c r="BR64" s="335">
        <v>249.37299999999999</v>
      </c>
      <c r="BS64" s="335">
        <v>198.16</v>
      </c>
      <c r="BT64" s="335">
        <v>305.10399999999998</v>
      </c>
      <c r="BU64" s="345"/>
      <c r="BV64" s="335">
        <v>94.119</v>
      </c>
      <c r="BW64" s="172">
        <v>202769</v>
      </c>
      <c r="BX64" s="172">
        <v>265065</v>
      </c>
      <c r="BY64" s="344">
        <v>138.678</v>
      </c>
      <c r="BZ64" s="344">
        <v>90.230999999999995</v>
      </c>
      <c r="CA64" s="335">
        <v>290.108</v>
      </c>
      <c r="CB64" s="344">
        <v>115.19199999999999</v>
      </c>
      <c r="CC64" s="335">
        <v>0.122</v>
      </c>
      <c r="CD64" s="172">
        <v>0</v>
      </c>
      <c r="CE64" s="335">
        <v>230.22900000000001</v>
      </c>
      <c r="CF64" s="226" t="str">
        <f>IF((RD[[#This Row],[33 kV_Wind_F1_Export reading]]-BO63)*165000&lt;=0,"",(RD[[#This Row],[33 kV_Wind_F1_Export reading]]-BO63)*165000)</f>
        <v/>
      </c>
      <c r="CG64" s="227">
        <f>IF((RD[[#This Row],[33 kV_Wind_F2_Export_reading]]-BP63)*165000&lt;=0,"",(RD[[#This Row],[33 kV_Wind_F2_Export_reading]]-BP63)*165000)</f>
        <v>484109.99999999488</v>
      </c>
      <c r="CH64" s="64">
        <f>IF((RD[[#This Row],[33 kV_Wind_F3_Export_Reading]]-BQ63)*225000&lt;=0,"",(RD[[#This Row],[33 kV_Wind_F3_Export_Reading]]-BQ63)*225000)</f>
        <v>167624.99999999782</v>
      </c>
      <c r="CI64" s="64">
        <f>IF((RD[[#This Row],[33 kV_Wind_F4_Export Reading]]-BR63)*165000&lt;=0,"",(RD[[#This Row],[33 kV_Wind_F4_Export Reading]]-BR63)*165000)</f>
        <v>516284.99999999849</v>
      </c>
      <c r="CJ64" s="209">
        <f>IF((RD[[#This Row],[33 kV_Solar_F1_Export Reading]]-BS63)*225000&lt;=0,"",(RD[[#This Row],[33 kV_Solar_F1_Export Reading]]-BS63)*225000)</f>
        <v>170550.00000000221</v>
      </c>
      <c r="CK64" s="74">
        <f>IF((RD[[#This Row],[33kV_Solar_F2_Export Reading]]-BT63)*225000&lt;=0,"",(RD[[#This Row],[33kV_Solar_F2_Export Reading]]-BT63)*225000)</f>
        <v>146249.99999999488</v>
      </c>
      <c r="CL64" s="209" t="str">
        <f>IF((RD[[#This Row],[33 kV_Solar_F3_Export reading]]-BU63)*225000&lt;=0,"",(RD[[#This Row],[33 kV_Solar_F3_Export reading]]-BU63)*225000)</f>
        <v/>
      </c>
      <c r="CM64" s="63">
        <f>IF((RD[[#This Row],[32kV_Solar_F4_Export reading]]-BV63)*225000&lt;=0,"",(RD[[#This Row],[32kV_Solar_F4_Export reading]]-BV63)*225000)</f>
        <v>126675.00000000054</v>
      </c>
      <c r="CN64" s="227">
        <f>IF((RD[[#This Row],[33kV_OG1_Export reading]]-BW63)*1000&lt;=0,0,(RD[[#This Row],[33kV_OG1_Export reading]]-BW63)*1000)</f>
        <v>444000</v>
      </c>
      <c r="CO64" s="227">
        <f>IFERROR(IF((RD[[#This Row],[33kV_OG2_Export reading]]-BX63)*1000&lt;=0,0,(RD[[#This Row],[33kV_OG2_Export reading]]-BX63)*1000),0)</f>
        <v>1170000</v>
      </c>
      <c r="CP64" s="74">
        <f>IF((RD[[#This Row],[220kV_TX1_Export reading]]-BY63)*800000&lt;=0,0,(RD[[#This Row],[220kV_TX1_Export reading]]-BY63)*800000)</f>
        <v>439200.0000000053</v>
      </c>
      <c r="CQ64" s="209">
        <f>IF((RD[[#This Row],[220kV_Tx2_Export reading]]-BZ63)*800000&lt;=0,0,(RD[[#This Row],[220kV_Tx2_Export reading]]-BZ63)*800000)</f>
        <v>1147199.9999999979</v>
      </c>
      <c r="CR64" s="227">
        <f>IF((RD[[#This Row],[220kV_TL_TVM Export Reading]]-CA63)*1600000&lt;=0,0,(RD[[#This Row],[220kV_TL_TVM Export Reading]]-CA63)*1600000)</f>
        <v>1601599.9999999623</v>
      </c>
      <c r="CS64" s="227">
        <f>IF((RD[[#This Row],[220kV_C&amp;R_PQM reading]]-CB63)*1600000&lt;=0,"",(RD[[#This Row],[220kV_C&amp;R_PQM reading]]-CB63)*1600000)</f>
        <v>1596799.9999999846</v>
      </c>
      <c r="CT64" s="209">
        <f>IFERROR(IF((RD[[#This Row],[220KV_C&amp;R_PQM Import Reading]]-CC63)*1600000&lt;=0,0,(RD[[#This Row],[220KV_C&amp;R_PQM Import Reading]]-CC63)*1600000),"")</f>
        <v>0</v>
      </c>
      <c r="CU64" s="64" t="str">
        <f>IF((RD[[#This Row],[33kV_Aux1 Import Reading]]-CD63)*1000&lt;=0,"",(RD[[#This Row],[33kV_Aux1 Import Reading]]-CD63)*1000)</f>
        <v/>
      </c>
      <c r="CV64" s="227">
        <f>IF((RD[[#This Row],[33kV_Aux2_Import reading]]-CE63)*1000&lt;=0,"",(RD[[#This Row],[33kV_Aux2_Import reading]]-CE63)*1000)</f>
        <v>380.00000000002387</v>
      </c>
      <c r="CW64" s="227">
        <f>IFERROR(RD[[#This Row],[33kV_OG1_Energy (MWh)]]+RD[[#This Row],[33kV_OG2_Energy (MWh)]],"")</f>
        <v>1614000</v>
      </c>
      <c r="CX64" s="227">
        <f>IFERROR(RD[[#This Row],[220kV_TL_TVM Energy (MWh)]]-RD[[#This Row],[220KV_C&amp;R_PQM Import (MWh)]],"")</f>
        <v>1601599.9999999623</v>
      </c>
      <c r="CY64" s="228">
        <f>IFERROR(RD[[#This Row],[33 kV Total Export (MWH)]]/RD[[#This Row],[220 KV Net Export (MWh)]]-1,"")</f>
        <v>7.7422577422814332E-3</v>
      </c>
      <c r="CZ64" s="229">
        <f t="shared" si="91"/>
        <v>50.6</v>
      </c>
      <c r="DA64" s="230">
        <v>96</v>
      </c>
      <c r="DB64" s="231"/>
      <c r="DC64" s="232">
        <f>IFERROR((RD[[#This Row],[Sunset Time (POA&lt;20 W/m2)]]-RD[[#This Row],[Sunrise Time (POA&gt;20 W/m2)]])*24,0)</f>
        <v>12</v>
      </c>
      <c r="DD64" s="70">
        <f>SUM(RD[[#This Row],[33 kV_Wind_F3_Export_Reading3]],CJ64,CK64,CL64,CM64)</f>
        <v>611099.99999999546</v>
      </c>
      <c r="DE64" s="233"/>
      <c r="DF64" s="70">
        <f t="shared" si="82"/>
        <v>1000394.9999999934</v>
      </c>
      <c r="DG64" s="230">
        <v>1061.0999999999999</v>
      </c>
      <c r="DH64">
        <f>'WTG Reactive Power'!AB62</f>
        <v>77519.5</v>
      </c>
    </row>
    <row r="65" spans="1:112">
      <c r="A65" s="210">
        <f>YEAR(RD[[#This Row],[Date]])+IF(MONTH(RD[[#This Row],[Date]])&gt;=4,1,0)</f>
        <v>2026</v>
      </c>
      <c r="B65" s="210">
        <f>YEAR(RD[[#This Row],[Date]])</f>
        <v>2025</v>
      </c>
      <c r="C65" s="211">
        <f t="shared" si="83"/>
        <v>45778</v>
      </c>
      <c r="D65" s="210">
        <f>DAY(EOMONTH(RD[[#This Row],[Date]],0))</f>
        <v>31</v>
      </c>
      <c r="E65" s="212">
        <f t="shared" si="84"/>
        <v>45805</v>
      </c>
      <c r="F65" s="206">
        <v>0.26319444444444445</v>
      </c>
      <c r="G65" s="206">
        <v>0.76875000000000004</v>
      </c>
      <c r="H65" s="177">
        <v>44303</v>
      </c>
      <c r="I65" s="177">
        <v>39362</v>
      </c>
      <c r="J65" s="177">
        <v>37807</v>
      </c>
      <c r="K65" s="177">
        <v>31869</v>
      </c>
      <c r="L65" s="177">
        <v>33421</v>
      </c>
      <c r="M65" s="177">
        <v>34157</v>
      </c>
      <c r="N65" s="177">
        <v>35810</v>
      </c>
      <c r="O65" s="177">
        <v>40180</v>
      </c>
      <c r="P65" s="177">
        <v>27448</v>
      </c>
      <c r="Q65" s="177">
        <v>39480</v>
      </c>
      <c r="R65" s="177">
        <v>39472</v>
      </c>
      <c r="S65" s="177">
        <v>39732</v>
      </c>
      <c r="T65" s="177">
        <v>43377</v>
      </c>
      <c r="U65" s="177">
        <v>39965</v>
      </c>
      <c r="V65" s="177">
        <v>43982</v>
      </c>
      <c r="W65" s="177">
        <v>40561</v>
      </c>
      <c r="X65" s="177">
        <v>41110</v>
      </c>
      <c r="Y65" s="177">
        <v>36706</v>
      </c>
      <c r="Z65" s="177">
        <v>43152</v>
      </c>
      <c r="AA65" s="177">
        <v>40868</v>
      </c>
      <c r="AB65" s="177">
        <v>31682</v>
      </c>
      <c r="AC65" s="177">
        <v>32880</v>
      </c>
      <c r="AD65" s="177">
        <v>35096</v>
      </c>
      <c r="AE65" s="347">
        <v>9.3000000000000007</v>
      </c>
      <c r="AF65" s="347">
        <v>9</v>
      </c>
      <c r="AG65" s="347">
        <v>8.5</v>
      </c>
      <c r="AH65" s="347">
        <v>8.4</v>
      </c>
      <c r="AI65" s="347">
        <v>8.8000000000000007</v>
      </c>
      <c r="AJ65" s="347">
        <v>8.3000000000000007</v>
      </c>
      <c r="AK65" s="347">
        <v>8.4</v>
      </c>
      <c r="AL65" s="347">
        <v>8.6999999999999993</v>
      </c>
      <c r="AM65" s="347">
        <v>8.6</v>
      </c>
      <c r="AN65" s="347">
        <v>8.4</v>
      </c>
      <c r="AO65" s="347">
        <v>8.9</v>
      </c>
      <c r="AP65" s="347">
        <v>8.6999999999999993</v>
      </c>
      <c r="AQ65" s="347">
        <v>9.1999999999999993</v>
      </c>
      <c r="AR65" s="347">
        <v>8.6999999999999993</v>
      </c>
      <c r="AS65" s="347">
        <v>9.6999999999999993</v>
      </c>
      <c r="AT65" s="347">
        <v>9.1999999999999993</v>
      </c>
      <c r="AU65" s="347">
        <v>9.4</v>
      </c>
      <c r="AV65" s="347">
        <v>8.8000000000000007</v>
      </c>
      <c r="AW65" s="347">
        <v>9.3000000000000007</v>
      </c>
      <c r="AX65" s="347">
        <v>8.8000000000000007</v>
      </c>
      <c r="AY65" s="347">
        <v>8.8000000000000007</v>
      </c>
      <c r="AZ65" s="347">
        <v>8.8000000000000007</v>
      </c>
      <c r="BA65" s="347">
        <v>8.9</v>
      </c>
      <c r="BB65" s="214">
        <f t="shared" si="85"/>
        <v>412138</v>
      </c>
      <c r="BC65" s="216">
        <f t="shared" si="86"/>
        <v>81671</v>
      </c>
      <c r="BD65" s="180">
        <f t="shared" si="70"/>
        <v>265915</v>
      </c>
      <c r="BE65" s="216">
        <f t="shared" si="87"/>
        <v>36706</v>
      </c>
      <c r="BF65" s="179">
        <f t="shared" si="71"/>
        <v>75990</v>
      </c>
      <c r="BG65" s="216">
        <f>SUM(RD[[#This Row],[KUD01]:[KUD23]])</f>
        <v>872420</v>
      </c>
      <c r="BH65" s="217">
        <f t="shared" si="88"/>
        <v>8.9499999999999993</v>
      </c>
      <c r="BI65" s="219">
        <f t="shared" si="89"/>
        <v>9.3000000000000007</v>
      </c>
      <c r="BJ65" s="219">
        <f t="shared" si="90"/>
        <v>8.67</v>
      </c>
      <c r="BK65" s="221">
        <f t="shared" si="81"/>
        <v>8.8000000000000007</v>
      </c>
      <c r="BL65" s="61">
        <f>IFERROR(AVERAGEIF(RD[[#This Row],[WS_KUD07]:[WS_KUD08]],"&lt;&gt;0",RD[[#This Row],[WS_KUD07]:[WS_KUD08]]),"")</f>
        <v>8.5500000000000007</v>
      </c>
      <c r="BM65" s="223">
        <f>IFERROR(AVERAGE(RD[[#This Row],[WS_KUD01]:[WS_KUD23]]),"")</f>
        <v>8.8521739130434813</v>
      </c>
      <c r="BN65" s="224">
        <f>IFERROR(MAX(RD[[#This Row],[WS_KUD01]:[WS_KUD23]]),"")</f>
        <v>9.6999999999999993</v>
      </c>
      <c r="BO65" s="172">
        <v>640.30499999999995</v>
      </c>
      <c r="BP65" s="335">
        <v>921.71199999999999</v>
      </c>
      <c r="BQ65" s="335">
        <v>84.994</v>
      </c>
      <c r="BR65" s="335">
        <v>252.02500000000001</v>
      </c>
      <c r="BS65" s="344">
        <v>198.52</v>
      </c>
      <c r="BT65" s="344">
        <v>305.42</v>
      </c>
      <c r="BU65" s="225"/>
      <c r="BV65" s="335">
        <v>94.347999999999999</v>
      </c>
      <c r="BW65" s="172">
        <v>202973</v>
      </c>
      <c r="BX65" s="172">
        <v>265972</v>
      </c>
      <c r="BY65" s="344">
        <v>138.929</v>
      </c>
      <c r="BZ65" s="344">
        <v>91.346000000000004</v>
      </c>
      <c r="CA65" s="335">
        <v>290.79899999999998</v>
      </c>
      <c r="CB65" s="344">
        <v>115.889</v>
      </c>
      <c r="CC65" s="335">
        <v>0.122</v>
      </c>
      <c r="CD65" s="172">
        <v>0</v>
      </c>
      <c r="CE65" s="335">
        <v>230.60900000000001</v>
      </c>
      <c r="CF65" s="226" t="str">
        <f>IF((RD[[#This Row],[33 kV_Wind_F1_Export reading]]-BO64)*165000&lt;=0,"",(RD[[#This Row],[33 kV_Wind_F1_Export reading]]-BO64)*165000)</f>
        <v/>
      </c>
      <c r="CG65" s="227">
        <f>IF((RD[[#This Row],[33 kV_Wind_F2_Export_reading]]-BP64)*165000&lt;=0,"",(RD[[#This Row],[33 kV_Wind_F2_Export_reading]]-BP64)*165000)</f>
        <v>401940.00000000588</v>
      </c>
      <c r="CH65" s="64">
        <f>IF((RD[[#This Row],[33 kV_Wind_F3_Export_Reading]]-BQ64)*225000&lt;=0,"",(RD[[#This Row],[33 kV_Wind_F3_Export_Reading]]-BQ64)*225000)</f>
        <v>70425.000000000538</v>
      </c>
      <c r="CI65" s="64">
        <f>IF((RD[[#This Row],[33 kV_Wind_F4_Export Reading]]-BR64)*165000&lt;=0,"",(RD[[#This Row],[33 kV_Wind_F4_Export Reading]]-BR64)*165000)</f>
        <v>437580.0000000025</v>
      </c>
      <c r="CJ65" s="209">
        <f>IF((RD[[#This Row],[33 kV_Solar_F1_Export Reading]]-BS64)*225000&lt;=0,"",(RD[[#This Row],[33 kV_Solar_F1_Export Reading]]-BS64)*225000)</f>
        <v>81000.00000000307</v>
      </c>
      <c r="CK65" s="74">
        <f>IF((RD[[#This Row],[33kV_Solar_F2_Export Reading]]-BT64)*225000&lt;=0,"",(RD[[#This Row],[33kV_Solar_F2_Export Reading]]-BT64)*225000)</f>
        <v>71100.000000006956</v>
      </c>
      <c r="CL65" s="209" t="str">
        <f>IF((RD[[#This Row],[33 kV_Solar_F3_Export reading]]-BU64)*225000&lt;=0,"",(RD[[#This Row],[33 kV_Solar_F3_Export reading]]-BU64)*225000)</f>
        <v/>
      </c>
      <c r="CM65" s="63">
        <f>IF((RD[[#This Row],[32kV_Solar_F4_Export reading]]-BV64)*225000&lt;=0,"",(RD[[#This Row],[32kV_Solar_F4_Export reading]]-BV64)*225000)</f>
        <v>51524.999999999818</v>
      </c>
      <c r="CN65" s="227">
        <f>IF((RD[[#This Row],[33kV_OG1_Export reading]]-BW64)*1000&lt;=0,0,(RD[[#This Row],[33kV_OG1_Export reading]]-BW64)*1000)</f>
        <v>204000</v>
      </c>
      <c r="CO65" s="227">
        <f>IFERROR(IF((RD[[#This Row],[33kV_OG2_Export reading]]-BX64)*1000&lt;=0,0,(RD[[#This Row],[33kV_OG2_Export reading]]-BX64)*1000),0)</f>
        <v>907000</v>
      </c>
      <c r="CP65" s="74">
        <f>IF((RD[[#This Row],[220kV_TX1_Export reading]]-BY64)*800000&lt;=0,0,(RD[[#This Row],[220kV_TX1_Export reading]]-BY64)*800000)</f>
        <v>200800.00000000381</v>
      </c>
      <c r="CQ65" s="209">
        <f>IF((RD[[#This Row],[220kV_Tx2_Export reading]]-BZ64)*800000&lt;=0,0,(RD[[#This Row],[220kV_Tx2_Export reading]]-BZ64)*800000)</f>
        <v>892000.00000000722</v>
      </c>
      <c r="CR65" s="227">
        <f>IF((RD[[#This Row],[220kV_TL_TVM Export Reading]]-CA64)*1600000&lt;=0,0,(RD[[#This Row],[220kV_TL_TVM Export Reading]]-CA64)*1600000)</f>
        <v>1105599.9999999586</v>
      </c>
      <c r="CS65" s="227">
        <f>IF((RD[[#This Row],[220kV_C&amp;R_PQM reading]]-CB64)*1600000&lt;=0,"",(RD[[#This Row],[220kV_C&amp;R_PQM reading]]-CB64)*1600000)</f>
        <v>1115200.0000000044</v>
      </c>
      <c r="CT65" s="209">
        <f>IFERROR(IF((RD[[#This Row],[220KV_C&amp;R_PQM Import Reading]]-CC64)*1600000&lt;=0,0,(RD[[#This Row],[220KV_C&amp;R_PQM Import Reading]]-CC64)*1600000),"")</f>
        <v>0</v>
      </c>
      <c r="CU65" s="64" t="str">
        <f>IF((RD[[#This Row],[33kV_Aux1 Import Reading]]-CD64)*1000&lt;=0,"",(RD[[#This Row],[33kV_Aux1 Import Reading]]-CD64)*1000)</f>
        <v/>
      </c>
      <c r="CV65" s="227">
        <f>IF((RD[[#This Row],[33kV_Aux2_Import reading]]-CE64)*1000&lt;=0,"",(RD[[#This Row],[33kV_Aux2_Import reading]]-CE64)*1000)</f>
        <v>379.99999999999545</v>
      </c>
      <c r="CW65" s="227">
        <f>IFERROR(RD[[#This Row],[33kV_OG1_Energy (MWh)]]+RD[[#This Row],[33kV_OG2_Energy (MWh)]],"")</f>
        <v>1111000</v>
      </c>
      <c r="CX65" s="227">
        <f>IFERROR(RD[[#This Row],[220kV_TL_TVM Energy (MWh)]]-RD[[#This Row],[220KV_C&amp;R_PQM Import (MWh)]],"")</f>
        <v>1105599.9999999586</v>
      </c>
      <c r="CY65" s="228">
        <f>IFERROR(RD[[#This Row],[33 kV Total Export (MWH)]]/RD[[#This Row],[220 KV Net Export (MWh)]]-1,"")</f>
        <v>4.8842257598060712E-3</v>
      </c>
      <c r="CZ65" s="229">
        <f t="shared" si="91"/>
        <v>50.6</v>
      </c>
      <c r="DA65" s="230">
        <v>96</v>
      </c>
      <c r="DB65" s="231"/>
      <c r="DC65" s="232">
        <f>IFERROR((RD[[#This Row],[Sunset Time (POA&lt;20 W/m2)]]-RD[[#This Row],[Sunrise Time (POA&gt;20 W/m2)]])*24,0)</f>
        <v>12.133333333333333</v>
      </c>
      <c r="DD65" s="70">
        <f>SUM(RD[[#This Row],[33 kV_Wind_F3_Export_Reading3]],CJ65,CK65,CL65,CM65)</f>
        <v>274050.00000001036</v>
      </c>
      <c r="DE65" s="233"/>
      <c r="DF65" s="70">
        <f t="shared" si="82"/>
        <v>839520.00000000838</v>
      </c>
      <c r="DG65" s="230">
        <v>884.82</v>
      </c>
      <c r="DH65">
        <f>'WTG Reactive Power'!AB63</f>
        <v>125528.2</v>
      </c>
    </row>
    <row r="66" spans="1:112">
      <c r="A66" s="210">
        <f>YEAR(RD[[#This Row],[Date]])+IF(MONTH(RD[[#This Row],[Date]])&gt;=4,1,0)</f>
        <v>2026</v>
      </c>
      <c r="B66" s="210">
        <f>YEAR(RD[[#This Row],[Date]])</f>
        <v>2025</v>
      </c>
      <c r="C66" s="211">
        <f t="shared" si="83"/>
        <v>45778</v>
      </c>
      <c r="D66" s="210">
        <f>DAY(EOMONTH(RD[[#This Row],[Date]],0))</f>
        <v>31</v>
      </c>
      <c r="E66" s="212">
        <f t="shared" si="84"/>
        <v>45806</v>
      </c>
      <c r="F66" s="206">
        <v>0.26458333333333334</v>
      </c>
      <c r="G66" s="206">
        <v>0.76388888888888884</v>
      </c>
      <c r="H66" s="213">
        <v>34891</v>
      </c>
      <c r="I66" s="213">
        <v>31960</v>
      </c>
      <c r="J66" s="213">
        <v>30215</v>
      </c>
      <c r="K66" s="213">
        <v>30177</v>
      </c>
      <c r="L66" s="213">
        <v>33981</v>
      </c>
      <c r="M66" s="213">
        <v>30820</v>
      </c>
      <c r="N66" s="213">
        <v>30941</v>
      </c>
      <c r="O66" s="213">
        <v>30965</v>
      </c>
      <c r="P66" s="213">
        <v>31505</v>
      </c>
      <c r="Q66" s="213">
        <v>31273</v>
      </c>
      <c r="R66" s="213">
        <v>31942</v>
      </c>
      <c r="S66" s="213">
        <v>34009</v>
      </c>
      <c r="T66" s="213">
        <v>35452</v>
      </c>
      <c r="U66" s="213">
        <v>33205</v>
      </c>
      <c r="V66" s="213">
        <v>35824</v>
      </c>
      <c r="W66" s="213">
        <v>34015</v>
      </c>
      <c r="X66" s="213">
        <v>35485</v>
      </c>
      <c r="Y66" s="213">
        <v>32002</v>
      </c>
      <c r="Z66" s="213">
        <v>35688</v>
      </c>
      <c r="AA66" s="213">
        <v>33783</v>
      </c>
      <c r="AB66" s="213">
        <v>32425</v>
      </c>
      <c r="AC66" s="213">
        <v>31182</v>
      </c>
      <c r="AD66" s="213">
        <v>35081</v>
      </c>
      <c r="AE66" s="347">
        <v>8</v>
      </c>
      <c r="AF66" s="347">
        <v>8</v>
      </c>
      <c r="AG66" s="347">
        <v>7.8</v>
      </c>
      <c r="AH66" s="347">
        <v>7.6</v>
      </c>
      <c r="AI66" s="347">
        <v>8.1999999999999993</v>
      </c>
      <c r="AJ66" s="347">
        <v>7.7</v>
      </c>
      <c r="AK66" s="347">
        <v>7.9</v>
      </c>
      <c r="AL66" s="347">
        <v>7.7</v>
      </c>
      <c r="AM66" s="347">
        <v>7.9</v>
      </c>
      <c r="AN66" s="347">
        <v>7.6</v>
      </c>
      <c r="AO66" s="347">
        <v>8</v>
      </c>
      <c r="AP66" s="347">
        <v>8</v>
      </c>
      <c r="AQ66" s="347">
        <v>8.1</v>
      </c>
      <c r="AR66" s="347">
        <v>7.8</v>
      </c>
      <c r="AS66" s="347">
        <v>8.4</v>
      </c>
      <c r="AT66" s="347">
        <v>8.1999999999999993</v>
      </c>
      <c r="AU66" s="347">
        <v>8.4</v>
      </c>
      <c r="AV66" s="347">
        <v>8.1</v>
      </c>
      <c r="AW66" s="347">
        <v>8.1999999999999993</v>
      </c>
      <c r="AX66" s="347">
        <v>7.9</v>
      </c>
      <c r="AY66" s="347">
        <v>8.4</v>
      </c>
      <c r="AZ66" s="347">
        <v>8</v>
      </c>
      <c r="BA66" s="347">
        <v>8.1</v>
      </c>
      <c r="BB66" s="214">
        <f t="shared" si="85"/>
        <v>336282</v>
      </c>
      <c r="BC66" s="216">
        <f t="shared" si="86"/>
        <v>69500</v>
      </c>
      <c r="BD66" s="180">
        <f t="shared" si="70"/>
        <v>257131</v>
      </c>
      <c r="BE66" s="216">
        <f t="shared" si="87"/>
        <v>32002</v>
      </c>
      <c r="BF66" s="179">
        <f t="shared" si="71"/>
        <v>61906</v>
      </c>
      <c r="BG66" s="216">
        <f>SUM(RD[[#This Row],[KUD01]:[KUD23]])</f>
        <v>756821</v>
      </c>
      <c r="BH66" s="217">
        <f t="shared" si="88"/>
        <v>7.9799999999999995</v>
      </c>
      <c r="BI66" s="219">
        <f t="shared" si="89"/>
        <v>8.3000000000000007</v>
      </c>
      <c r="BJ66" s="219">
        <f t="shared" si="90"/>
        <v>7.95</v>
      </c>
      <c r="BK66" s="221">
        <f t="shared" si="81"/>
        <v>8.1</v>
      </c>
      <c r="BL66" s="61">
        <f>IFERROR(AVERAGEIF(RD[[#This Row],[WS_KUD07]:[WS_KUD08]],"&lt;&gt;0",RD[[#This Row],[WS_KUD07]:[WS_KUD08]]),"")</f>
        <v>7.8000000000000007</v>
      </c>
      <c r="BM66" s="223">
        <f>IFERROR(AVERAGE(RD[[#This Row],[WS_KUD01]:[WS_KUD23]]),"")</f>
        <v>7.9999999999999991</v>
      </c>
      <c r="BN66" s="224">
        <f>IFERROR(MAX(RD[[#This Row],[WS_KUD01]:[WS_KUD23]]),"")</f>
        <v>8.4</v>
      </c>
      <c r="BO66" s="172">
        <v>640.30499999999995</v>
      </c>
      <c r="BP66" s="335">
        <v>923.97199999999998</v>
      </c>
      <c r="BQ66" s="335">
        <v>85.734999999999999</v>
      </c>
      <c r="BR66" s="335">
        <v>254.179</v>
      </c>
      <c r="BS66" s="344">
        <v>199.18600000000001</v>
      </c>
      <c r="BT66" s="344">
        <v>305.93599999999998</v>
      </c>
      <c r="BU66" s="225"/>
      <c r="BV66" s="335">
        <v>94.891000000000005</v>
      </c>
      <c r="BW66" s="172">
        <v>203361</v>
      </c>
      <c r="BX66" s="172">
        <v>266869</v>
      </c>
      <c r="BY66" s="344">
        <v>139.40899999999999</v>
      </c>
      <c r="BZ66" s="344">
        <v>92.454999999999998</v>
      </c>
      <c r="CA66" s="335">
        <v>291.59500000000003</v>
      </c>
      <c r="CB66" s="344">
        <v>116.687</v>
      </c>
      <c r="CC66" s="335">
        <v>0.122</v>
      </c>
      <c r="CD66" s="172">
        <v>0</v>
      </c>
      <c r="CE66" s="335">
        <v>230.989</v>
      </c>
      <c r="CF66" s="226" t="str">
        <f>IF((RD[[#This Row],[33 kV_Wind_F1_Export reading]]-BO65)*165000&lt;=0,"",(RD[[#This Row],[33 kV_Wind_F1_Export reading]]-BO65)*165000)</f>
        <v/>
      </c>
      <c r="CG66" s="227">
        <f>IF((RD[[#This Row],[33 kV_Wind_F2_Export_reading]]-BP65)*165000&lt;=0,"",(RD[[#This Row],[33 kV_Wind_F2_Export_reading]]-BP65)*165000)</f>
        <v>372899.99999999849</v>
      </c>
      <c r="CH66" s="64">
        <f>IF((RD[[#This Row],[33 kV_Wind_F3_Export_Reading]]-BQ65)*225000&lt;=0,"",(RD[[#This Row],[33 kV_Wind_F3_Export_Reading]]-BQ65)*225000)</f>
        <v>166724.99999999991</v>
      </c>
      <c r="CI66" s="64">
        <f>IF((RD[[#This Row],[33 kV_Wind_F4_Export Reading]]-BR65)*165000&lt;=0,"",(RD[[#This Row],[33 kV_Wind_F4_Export Reading]]-BR65)*165000)</f>
        <v>355409.99999999942</v>
      </c>
      <c r="CJ66" s="209">
        <f>IF((RD[[#This Row],[33 kV_Solar_F1_Export Reading]]-BS65)*225000&lt;=0,"",(RD[[#This Row],[33 kV_Solar_F1_Export Reading]]-BS65)*225000)</f>
        <v>149849.99999999927</v>
      </c>
      <c r="CK66" s="74">
        <f>IF((RD[[#This Row],[33kV_Solar_F2_Export Reading]]-BT65)*225000&lt;=0,"",(RD[[#This Row],[33kV_Solar_F2_Export Reading]]-BT65)*225000)</f>
        <v>116099.9999999916</v>
      </c>
      <c r="CL66" s="209" t="str">
        <f>IF((RD[[#This Row],[33 kV_Solar_F3_Export reading]]-BU65)*225000&lt;=0,"",(RD[[#This Row],[33 kV_Solar_F3_Export reading]]-BU65)*225000)</f>
        <v/>
      </c>
      <c r="CM66" s="63">
        <f>IF((RD[[#This Row],[32kV_Solar_F4_Export reading]]-BV65)*225000&lt;=0,"",(RD[[#This Row],[32kV_Solar_F4_Export reading]]-BV65)*225000)</f>
        <v>122175.00000000143</v>
      </c>
      <c r="CN66" s="227">
        <f>IF((RD[[#This Row],[33kV_OG1_Export reading]]-BW65)*1000&lt;=0,0,(RD[[#This Row],[33kV_OG1_Export reading]]-BW65)*1000)</f>
        <v>388000</v>
      </c>
      <c r="CO66" s="227">
        <f>IFERROR(IF((RD[[#This Row],[33kV_OG2_Export reading]]-BX65)*1000&lt;=0,0,(RD[[#This Row],[33kV_OG2_Export reading]]-BX65)*1000),0)</f>
        <v>897000</v>
      </c>
      <c r="CP66" s="74">
        <f>IF((RD[[#This Row],[220kV_TX1_Export reading]]-BY65)*800000&lt;=0,0,(RD[[#This Row],[220kV_TX1_Export reading]]-BY65)*800000)</f>
        <v>383999.99999999179</v>
      </c>
      <c r="CQ66" s="209">
        <f>IF((RD[[#This Row],[220kV_Tx2_Export reading]]-BZ65)*800000&lt;=0,0,(RD[[#This Row],[220kV_Tx2_Export reading]]-BZ65)*800000)</f>
        <v>887199.99999999569</v>
      </c>
      <c r="CR66" s="227">
        <f>IF((RD[[#This Row],[220kV_TL_TVM Export Reading]]-CA65)*1600000&lt;=0,0,(RD[[#This Row],[220kV_TL_TVM Export Reading]]-CA65)*1600000)</f>
        <v>1273600.0000000787</v>
      </c>
      <c r="CS66" s="227">
        <f>IF((RD[[#This Row],[220kV_C&amp;R_PQM reading]]-CB65)*1600000&lt;=0,"",(RD[[#This Row],[220kV_C&amp;R_PQM reading]]-CB65)*1600000)</f>
        <v>1276800.0000000028</v>
      </c>
      <c r="CT66" s="209">
        <f>IFERROR(IF((RD[[#This Row],[220KV_C&amp;R_PQM Import Reading]]-CC65)*1600000&lt;=0,0,(RD[[#This Row],[220KV_C&amp;R_PQM Import Reading]]-CC65)*1600000),"")</f>
        <v>0</v>
      </c>
      <c r="CU66" s="64" t="str">
        <f>IF((RD[[#This Row],[33kV_Aux1 Import Reading]]-CD65)*1000&lt;=0,"",(RD[[#This Row],[33kV_Aux1 Import Reading]]-CD65)*1000)</f>
        <v/>
      </c>
      <c r="CV66" s="227">
        <f>IF((RD[[#This Row],[33kV_Aux2_Import reading]]-CE65)*1000&lt;=0,"",(RD[[#This Row],[33kV_Aux2_Import reading]]-CE65)*1000)</f>
        <v>379.99999999999545</v>
      </c>
      <c r="CW66" s="227">
        <f>IFERROR(RD[[#This Row],[33kV_OG1_Energy (MWh)]]+RD[[#This Row],[33kV_OG2_Energy (MWh)]],"")</f>
        <v>1285000</v>
      </c>
      <c r="CX66" s="227">
        <f>IFERROR(RD[[#This Row],[220kV_TL_TVM Energy (MWh)]]-RD[[#This Row],[220KV_C&amp;R_PQM Import (MWh)]],"")</f>
        <v>1273600.0000000787</v>
      </c>
      <c r="CY66" s="228">
        <f>IFERROR(RD[[#This Row],[33 kV Total Export (MWH)]]/RD[[#This Row],[220 KV Net Export (MWh)]]-1,"")</f>
        <v>8.9510050250631856E-3</v>
      </c>
      <c r="CZ66" s="229">
        <f t="shared" si="91"/>
        <v>50.6</v>
      </c>
      <c r="DA66" s="230">
        <v>96</v>
      </c>
      <c r="DB66" s="231"/>
      <c r="DC66" s="232">
        <f>IFERROR((RD[[#This Row],[Sunset Time (POA&lt;20 W/m2)]]-RD[[#This Row],[Sunrise Time (POA&gt;20 W/m2)]])*24,0)</f>
        <v>11.983333333333333</v>
      </c>
      <c r="DD66" s="70">
        <f>SUM(RD[[#This Row],[33 kV_Wind_F3_Export_Reading3]],CJ66,CK66,CL66,CM66)</f>
        <v>554849.9999999922</v>
      </c>
      <c r="DE66" s="233"/>
      <c r="DF66" s="70">
        <f t="shared" si="82"/>
        <v>728309.9999999979</v>
      </c>
      <c r="DG66" s="230">
        <v>761</v>
      </c>
      <c r="DH66">
        <f>'WTG Reactive Power'!AB64</f>
        <v>72839.299999999988</v>
      </c>
    </row>
    <row r="67" spans="1:112">
      <c r="A67" s="210">
        <f>YEAR(RD[[#This Row],[Date]])+IF(MONTH(RD[[#This Row],[Date]])&gt;=4,1,0)</f>
        <v>2026</v>
      </c>
      <c r="B67" s="210">
        <f>YEAR(RD[[#This Row],[Date]])</f>
        <v>2025</v>
      </c>
      <c r="C67" s="211">
        <f t="shared" si="83"/>
        <v>45778</v>
      </c>
      <c r="D67" s="210">
        <f>DAY(EOMONTH(RD[[#This Row],[Date]],0))</f>
        <v>31</v>
      </c>
      <c r="E67" s="212">
        <f t="shared" si="84"/>
        <v>45807</v>
      </c>
      <c r="F67" s="206">
        <v>0.28055555555555556</v>
      </c>
      <c r="G67" s="206">
        <v>0.77222222222222225</v>
      </c>
      <c r="H67" s="213">
        <v>39253</v>
      </c>
      <c r="I67" s="213">
        <v>39002</v>
      </c>
      <c r="J67" s="213">
        <v>33050</v>
      </c>
      <c r="K67" s="213">
        <v>35001</v>
      </c>
      <c r="L67" s="213">
        <v>37580</v>
      </c>
      <c r="M67" s="213">
        <v>34444</v>
      </c>
      <c r="N67" s="213">
        <v>34898</v>
      </c>
      <c r="O67" s="213">
        <v>34441</v>
      </c>
      <c r="P67" s="213">
        <v>35688</v>
      </c>
      <c r="Q67" s="213">
        <v>34889</v>
      </c>
      <c r="R67" s="213">
        <v>35198</v>
      </c>
      <c r="S67" s="213">
        <v>35412</v>
      </c>
      <c r="T67" s="213">
        <v>36280</v>
      </c>
      <c r="U67" s="213">
        <v>35618</v>
      </c>
      <c r="V67" s="213">
        <v>39774</v>
      </c>
      <c r="W67" s="213">
        <v>41087</v>
      </c>
      <c r="X67" s="213">
        <v>39804</v>
      </c>
      <c r="Y67" s="213">
        <v>37286</v>
      </c>
      <c r="Z67" s="213">
        <v>38706</v>
      </c>
      <c r="AA67" s="213">
        <v>35402</v>
      </c>
      <c r="AB67" s="213">
        <v>38555</v>
      </c>
      <c r="AC67" s="213">
        <v>37093</v>
      </c>
      <c r="AD67" s="213">
        <v>40888</v>
      </c>
      <c r="AE67" s="347">
        <v>9.9</v>
      </c>
      <c r="AF67" s="347">
        <v>10</v>
      </c>
      <c r="AG67" s="347">
        <v>9</v>
      </c>
      <c r="AH67" s="347">
        <v>9.1</v>
      </c>
      <c r="AI67" s="347">
        <v>9.6</v>
      </c>
      <c r="AJ67" s="347">
        <v>8.9</v>
      </c>
      <c r="AK67" s="347">
        <v>9.1999999999999993</v>
      </c>
      <c r="AL67" s="347">
        <v>9.5</v>
      </c>
      <c r="AM67" s="347">
        <v>9.1</v>
      </c>
      <c r="AN67" s="347">
        <v>9.1999999999999993</v>
      </c>
      <c r="AO67" s="347">
        <v>9.5</v>
      </c>
      <c r="AP67" s="347">
        <v>9.1</v>
      </c>
      <c r="AQ67" s="347">
        <v>9.5</v>
      </c>
      <c r="AR67" s="347">
        <v>9.1</v>
      </c>
      <c r="AS67" s="347">
        <v>10.4</v>
      </c>
      <c r="AT67" s="347">
        <v>10.4</v>
      </c>
      <c r="AU67" s="347">
        <v>10.1</v>
      </c>
      <c r="AV67" s="347">
        <v>9.6999999999999993</v>
      </c>
      <c r="AW67" s="347">
        <v>9.9</v>
      </c>
      <c r="AX67" s="347">
        <v>9.1</v>
      </c>
      <c r="AY67" s="347">
        <v>10.199999999999999</v>
      </c>
      <c r="AZ67" s="347">
        <v>9.6</v>
      </c>
      <c r="BA67" s="347">
        <v>10.1</v>
      </c>
      <c r="BB67" s="214">
        <f t="shared" si="85"/>
        <v>363582</v>
      </c>
      <c r="BC67" s="216">
        <f t="shared" si="86"/>
        <v>80891</v>
      </c>
      <c r="BD67" s="180">
        <f t="shared" si="70"/>
        <v>298251</v>
      </c>
      <c r="BE67" s="216">
        <f t="shared" si="87"/>
        <v>37286</v>
      </c>
      <c r="BF67" s="179">
        <f t="shared" si="71"/>
        <v>69339</v>
      </c>
      <c r="BG67" s="216">
        <f>SUM(RD[[#This Row],[KUD01]:[KUD23]])</f>
        <v>849349</v>
      </c>
      <c r="BH67" s="217">
        <f t="shared" si="88"/>
        <v>9.4700000000000006</v>
      </c>
      <c r="BI67" s="219">
        <f t="shared" si="89"/>
        <v>10.25</v>
      </c>
      <c r="BJ67" s="219">
        <f t="shared" si="90"/>
        <v>9.5299999999999976</v>
      </c>
      <c r="BK67" s="221">
        <f t="shared" si="81"/>
        <v>9.6999999999999993</v>
      </c>
      <c r="BL67" s="61">
        <f>IFERROR(AVERAGEIF(RD[[#This Row],[WS_KUD07]:[WS_KUD08]],"&lt;&gt;0",RD[[#This Row],[WS_KUD07]:[WS_KUD08]]),"")</f>
        <v>9.35</v>
      </c>
      <c r="BM67" s="223">
        <f>IFERROR(AVERAGE(RD[[#This Row],[WS_KUD01]:[WS_KUD23]]),"")</f>
        <v>9.5739130434782584</v>
      </c>
      <c r="BN67" s="224">
        <f>IFERROR(MAX(RD[[#This Row],[WS_KUD01]:[WS_KUD23]]),"")</f>
        <v>10.4</v>
      </c>
      <c r="BO67" s="172">
        <v>640.30499999999995</v>
      </c>
      <c r="BP67" s="335">
        <v>926.59299999999996</v>
      </c>
      <c r="BQ67" s="335">
        <v>86.346999999999994</v>
      </c>
      <c r="BR67" s="344">
        <v>256.52</v>
      </c>
      <c r="BS67" s="344">
        <v>199.72300000000001</v>
      </c>
      <c r="BT67" s="344">
        <v>306.36200000000002</v>
      </c>
      <c r="BU67" s="225"/>
      <c r="BV67" s="335">
        <v>95.346999999999994</v>
      </c>
      <c r="BW67" s="172">
        <v>203681</v>
      </c>
      <c r="BX67" s="172">
        <v>267824</v>
      </c>
      <c r="BY67" s="344">
        <v>139.804</v>
      </c>
      <c r="BZ67" s="344">
        <v>93.637</v>
      </c>
      <c r="CA67" s="335">
        <v>292.387</v>
      </c>
      <c r="CB67" s="344">
        <v>117.479</v>
      </c>
      <c r="CC67" s="335">
        <v>0.122</v>
      </c>
      <c r="CD67" s="172">
        <v>0</v>
      </c>
      <c r="CE67" s="335">
        <v>231.369</v>
      </c>
      <c r="CF67" s="226" t="str">
        <f>IF((RD[[#This Row],[33 kV_Wind_F1_Export reading]]-BO66)*165000&lt;=0,"",(RD[[#This Row],[33 kV_Wind_F1_Export reading]]-BO66)*165000)</f>
        <v/>
      </c>
      <c r="CG67" s="227">
        <f>IF((RD[[#This Row],[33 kV_Wind_F2_Export_reading]]-BP66)*165000&lt;=0,"",(RD[[#This Row],[33 kV_Wind_F2_Export_reading]]-BP66)*165000)</f>
        <v>432464.99999999686</v>
      </c>
      <c r="CH67" s="64">
        <f>IF((RD[[#This Row],[33 kV_Wind_F3_Export_Reading]]-BQ66)*225000&lt;=0,"",(RD[[#This Row],[33 kV_Wind_F3_Export_Reading]]-BQ66)*225000)</f>
        <v>137699.99999999884</v>
      </c>
      <c r="CI67" s="64">
        <f>IF((RD[[#This Row],[33 kV_Wind_F4_Export Reading]]-BR66)*165000&lt;=0,"",(RD[[#This Row],[33 kV_Wind_F4_Export Reading]]-BR66)*165000)</f>
        <v>386264.99999999668</v>
      </c>
      <c r="CJ67" s="209">
        <f>IF((RD[[#This Row],[33 kV_Solar_F1_Export Reading]]-BS66)*225000&lt;=0,"",(RD[[#This Row],[33 kV_Solar_F1_Export Reading]]-BS66)*225000)</f>
        <v>120825.00000000138</v>
      </c>
      <c r="CK67" s="74">
        <f>IF((RD[[#This Row],[33kV_Solar_F2_Export Reading]]-BT66)*225000&lt;=0,"",(RD[[#This Row],[33kV_Solar_F2_Export Reading]]-BT66)*225000)</f>
        <v>95850.000000010026</v>
      </c>
      <c r="CL67" s="209" t="str">
        <f>IF((RD[[#This Row],[33 kV_Solar_F3_Export reading]]-BU66)*225000&lt;=0,"",(RD[[#This Row],[33 kV_Solar_F3_Export reading]]-BU66)*225000)</f>
        <v/>
      </c>
      <c r="CM67" s="63">
        <f>IF((RD[[#This Row],[32kV_Solar_F4_Export reading]]-BV66)*225000&lt;=0,"",(RD[[#This Row],[32kV_Solar_F4_Export reading]]-BV66)*225000)</f>
        <v>102599.9999999975</v>
      </c>
      <c r="CN67" s="227">
        <f>IF((RD[[#This Row],[33kV_OG1_Export reading]]-BW66)*1000&lt;=0,0,(RD[[#This Row],[33kV_OG1_Export reading]]-BW66)*1000)</f>
        <v>320000</v>
      </c>
      <c r="CO67" s="227">
        <f>IFERROR(IF((RD[[#This Row],[33kV_OG2_Export reading]]-BX66)*1000&lt;=0,0,(RD[[#This Row],[33kV_OG2_Export reading]]-BX66)*1000),0)</f>
        <v>955000</v>
      </c>
      <c r="CP67" s="74">
        <f>IF((RD[[#This Row],[220kV_TX1_Export reading]]-BY66)*800000&lt;=0,0,(RD[[#This Row],[220kV_TX1_Export reading]]-BY66)*800000)</f>
        <v>316000.00000000821</v>
      </c>
      <c r="CQ67" s="209">
        <f>IF((RD[[#This Row],[220kV_Tx2_Export reading]]-BZ66)*800000&lt;=0,0,(RD[[#This Row],[220kV_Tx2_Export reading]]-BZ66)*800000)</f>
        <v>945600.00000000175</v>
      </c>
      <c r="CR67" s="227">
        <f>IF((RD[[#This Row],[220kV_TL_TVM Export Reading]]-CA66)*1600000&lt;=0,0,(RD[[#This Row],[220kV_TL_TVM Export Reading]]-CA66)*1600000)</f>
        <v>1267199.9999999572</v>
      </c>
      <c r="CS67" s="227">
        <f>IF((RD[[#This Row],[220kV_C&amp;R_PQM reading]]-CB66)*1600000&lt;=0,"",(RD[[#This Row],[220kV_C&amp;R_PQM reading]]-CB66)*1600000)</f>
        <v>1267200.0000000026</v>
      </c>
      <c r="CT67" s="209">
        <f>IFERROR(IF((RD[[#This Row],[220KV_C&amp;R_PQM Import Reading]]-CC66)*1600000&lt;=0,0,(RD[[#This Row],[220KV_C&amp;R_PQM Import Reading]]-CC66)*1600000),"")</f>
        <v>0</v>
      </c>
      <c r="CU67" s="64" t="str">
        <f>IF((RD[[#This Row],[33kV_Aux1 Import Reading]]-CD66)*1000&lt;=0,"",(RD[[#This Row],[33kV_Aux1 Import Reading]]-CD66)*1000)</f>
        <v/>
      </c>
      <c r="CV67" s="227">
        <f>IF((RD[[#This Row],[33kV_Aux2_Import reading]]-CE66)*1000&lt;=0,"",(RD[[#This Row],[33kV_Aux2_Import reading]]-CE66)*1000)</f>
        <v>379.99999999999545</v>
      </c>
      <c r="CW67" s="227">
        <f>IFERROR(RD[[#This Row],[33kV_OG1_Energy (MWh)]]+RD[[#This Row],[33kV_OG2_Energy (MWh)]],"")</f>
        <v>1275000</v>
      </c>
      <c r="CX67" s="227">
        <f>IFERROR(RD[[#This Row],[220kV_TL_TVM Energy (MWh)]]-RD[[#This Row],[220KV_C&amp;R_PQM Import (MWh)]],"")</f>
        <v>1267199.9999999572</v>
      </c>
      <c r="CY67" s="228">
        <f>IFERROR(RD[[#This Row],[33 kV Total Export (MWH)]]/RD[[#This Row],[220 KV Net Export (MWh)]]-1,"")</f>
        <v>6.155303030336956E-3</v>
      </c>
      <c r="CZ67" s="229">
        <f t="shared" si="91"/>
        <v>50.6</v>
      </c>
      <c r="DA67" s="230">
        <v>96</v>
      </c>
      <c r="DB67" s="231"/>
      <c r="DC67" s="232">
        <f>IFERROR((RD[[#This Row],[Sunset Time (POA&lt;20 W/m2)]]-RD[[#This Row],[Sunrise Time (POA&gt;20 W/m2)]])*24,0)</f>
        <v>11.8</v>
      </c>
      <c r="DD67" s="70">
        <f>SUM(RD[[#This Row],[33 kV_Wind_F3_Export_Reading3]],CJ67,CK67,CL67,CM67)</f>
        <v>456975.00000000774</v>
      </c>
      <c r="DE67" s="233"/>
      <c r="DF67" s="70">
        <f t="shared" si="82"/>
        <v>818729.99999999348</v>
      </c>
      <c r="DG67" s="230">
        <v>872.37</v>
      </c>
      <c r="DH67">
        <f>'WTG Reactive Power'!AB65</f>
        <v>27151.299999999996</v>
      </c>
    </row>
    <row r="68" spans="1:112">
      <c r="A68" s="210">
        <f>YEAR(RD[[#This Row],[Date]])+IF(MONTH(RD[[#This Row],[Date]])&gt;=4,1,0)</f>
        <v>2026</v>
      </c>
      <c r="B68" s="210">
        <f>YEAR(RD[[#This Row],[Date]])</f>
        <v>2025</v>
      </c>
      <c r="C68" s="211">
        <f t="shared" si="83"/>
        <v>45778</v>
      </c>
      <c r="D68" s="210">
        <f>DAY(EOMONTH(RD[[#This Row],[Date]],0))</f>
        <v>31</v>
      </c>
      <c r="E68" s="212">
        <f t="shared" si="84"/>
        <v>45808</v>
      </c>
      <c r="F68" s="206">
        <v>0.26319444444444445</v>
      </c>
      <c r="G68" s="206">
        <v>0.77152777777777781</v>
      </c>
      <c r="H68" s="177">
        <v>50958</v>
      </c>
      <c r="I68" s="177">
        <v>50955</v>
      </c>
      <c r="J68" s="177">
        <v>41916</v>
      </c>
      <c r="K68" s="177">
        <v>45753</v>
      </c>
      <c r="L68" s="177">
        <v>46624</v>
      </c>
      <c r="M68" s="177">
        <v>41984</v>
      </c>
      <c r="N68" s="177">
        <v>44775</v>
      </c>
      <c r="O68" s="177">
        <v>47508</v>
      </c>
      <c r="P68" s="177">
        <v>45911</v>
      </c>
      <c r="Q68" s="177">
        <v>40646</v>
      </c>
      <c r="R68" s="177">
        <v>41670</v>
      </c>
      <c r="S68" s="177">
        <v>41860</v>
      </c>
      <c r="T68" s="177">
        <v>46372</v>
      </c>
      <c r="U68" s="177">
        <v>42797</v>
      </c>
      <c r="V68" s="177">
        <v>50578</v>
      </c>
      <c r="W68" s="177">
        <v>51331</v>
      </c>
      <c r="X68" s="177">
        <v>51436</v>
      </c>
      <c r="Y68" s="177">
        <v>46168</v>
      </c>
      <c r="Z68" s="177">
        <v>49457</v>
      </c>
      <c r="AA68" s="177">
        <v>45231</v>
      </c>
      <c r="AB68" s="177">
        <v>49159</v>
      </c>
      <c r="AC68" s="177">
        <v>49423</v>
      </c>
      <c r="AD68" s="177">
        <v>50401</v>
      </c>
      <c r="AE68" s="347">
        <v>10.7</v>
      </c>
      <c r="AF68" s="347">
        <v>10.6</v>
      </c>
      <c r="AG68" s="347">
        <v>9.4</v>
      </c>
      <c r="AH68" s="347">
        <v>9.6</v>
      </c>
      <c r="AI68" s="347">
        <v>9.9</v>
      </c>
      <c r="AJ68" s="347">
        <v>9</v>
      </c>
      <c r="AK68" s="347">
        <v>9.6</v>
      </c>
      <c r="AL68" s="347">
        <v>10</v>
      </c>
      <c r="AM68" s="347">
        <v>9.6999999999999993</v>
      </c>
      <c r="AN68" s="347">
        <v>9.5</v>
      </c>
      <c r="AO68" s="347">
        <v>9.5</v>
      </c>
      <c r="AP68" s="347">
        <v>9.1</v>
      </c>
      <c r="AQ68" s="347">
        <v>10</v>
      </c>
      <c r="AR68" s="347">
        <v>9.1999999999999993</v>
      </c>
      <c r="AS68" s="347">
        <v>10.9</v>
      </c>
      <c r="AT68" s="347">
        <v>10.7</v>
      </c>
      <c r="AU68" s="347">
        <v>10.8</v>
      </c>
      <c r="AV68" s="347">
        <v>9.9</v>
      </c>
      <c r="AW68" s="347">
        <v>10.4</v>
      </c>
      <c r="AX68" s="347">
        <v>9.5</v>
      </c>
      <c r="AY68" s="347">
        <v>10.5</v>
      </c>
      <c r="AZ68" s="347">
        <v>10.199999999999999</v>
      </c>
      <c r="BA68" s="347">
        <v>10.199999999999999</v>
      </c>
      <c r="BB68" s="214">
        <f t="shared" si="85"/>
        <v>451485</v>
      </c>
      <c r="BC68" s="216">
        <f t="shared" si="86"/>
        <v>102767</v>
      </c>
      <c r="BD68" s="180">
        <f t="shared" si="70"/>
        <v>380210</v>
      </c>
      <c r="BE68" s="216">
        <f t="shared" si="87"/>
        <v>46168</v>
      </c>
      <c r="BF68" s="179">
        <f t="shared" si="71"/>
        <v>92283</v>
      </c>
      <c r="BG68" s="216">
        <f>SUM(RD[[#This Row],[KUD01]:[KUD23]])</f>
        <v>1072913</v>
      </c>
      <c r="BH68" s="217">
        <f t="shared" si="88"/>
        <v>9.8200000000000021</v>
      </c>
      <c r="BI68" s="219">
        <f t="shared" si="89"/>
        <v>10.75</v>
      </c>
      <c r="BJ68" s="219">
        <f t="shared" si="90"/>
        <v>9.9300000000000015</v>
      </c>
      <c r="BK68" s="221">
        <f t="shared" si="81"/>
        <v>9.9</v>
      </c>
      <c r="BL68" s="61">
        <f>IFERROR(AVERAGEIF(RD[[#This Row],[WS_KUD07]:[WS_KUD08]],"&lt;&gt;0",RD[[#This Row],[WS_KUD07]:[WS_KUD08]]),"")</f>
        <v>9.8000000000000007</v>
      </c>
      <c r="BM68" s="223">
        <f>IFERROR(AVERAGE(RD[[#This Row],[WS_KUD01]:[WS_KUD23]]),"")</f>
        <v>9.9521739130434774</v>
      </c>
      <c r="BN68" s="224">
        <f>IFERROR(MAX(RD[[#This Row],[WS_KUD01]:[WS_KUD23]]),"")</f>
        <v>10.9</v>
      </c>
      <c r="BO68" s="172">
        <v>640.30499999999995</v>
      </c>
      <c r="BP68" s="348">
        <v>929.90800000000002</v>
      </c>
      <c r="BQ68" s="335">
        <v>87.332999999999998</v>
      </c>
      <c r="BR68" s="335">
        <v>259.44099999999997</v>
      </c>
      <c r="BS68" s="344">
        <v>200.696</v>
      </c>
      <c r="BT68" s="344">
        <v>307.15199999999999</v>
      </c>
      <c r="BU68" s="225"/>
      <c r="BV68" s="335">
        <v>96.094999999999999</v>
      </c>
      <c r="BW68" s="172">
        <v>204246</v>
      </c>
      <c r="BX68" s="172">
        <v>269078</v>
      </c>
      <c r="BY68" s="344">
        <v>140.50200000000001</v>
      </c>
      <c r="BZ68" s="344">
        <v>95.188000000000002</v>
      </c>
      <c r="CA68" s="335">
        <v>293.51400000000001</v>
      </c>
      <c r="CB68" s="344">
        <v>118.60899999999999</v>
      </c>
      <c r="CC68" s="335">
        <v>0.122</v>
      </c>
      <c r="CD68" s="172">
        <v>0</v>
      </c>
      <c r="CE68" s="335">
        <v>231.96899999999999</v>
      </c>
      <c r="CF68" s="226" t="str">
        <f>IF((RD[[#This Row],[33 kV_Wind_F1_Export reading]]-BO67)*165000&lt;=0,"",(RD[[#This Row],[33 kV_Wind_F1_Export reading]]-BO67)*165000)</f>
        <v/>
      </c>
      <c r="CG68" s="227">
        <f>IF((RD[[#This Row],[33 kV_Wind_F2_Export_reading]]-BP67)*165000&lt;=0,"",(RD[[#This Row],[33 kV_Wind_F2_Export_reading]]-BP67)*165000)</f>
        <v>546975.00000000896</v>
      </c>
      <c r="CH68" s="64">
        <f>IF((RD[[#This Row],[33 kV_Wind_F3_Export_Reading]]-BQ67)*225000&lt;=0,"",(RD[[#This Row],[33 kV_Wind_F3_Export_Reading]]-BQ67)*225000)</f>
        <v>221850.00000000096</v>
      </c>
      <c r="CI68" s="64">
        <f>IF((RD[[#This Row],[33 kV_Wind_F4_Export Reading]]-BR67)*165000&lt;=0,"",(RD[[#This Row],[33 kV_Wind_F4_Export Reading]]-BR67)*165000)</f>
        <v>481964.99999999872</v>
      </c>
      <c r="CJ68" s="209">
        <f>IF((RD[[#This Row],[33 kV_Solar_F1_Export Reading]]-BS67)*225000&lt;=0,"",(RD[[#This Row],[33 kV_Solar_F1_Export Reading]]-BS67)*225000)</f>
        <v>218924.99999999657</v>
      </c>
      <c r="CK68" s="74">
        <f>IF((RD[[#This Row],[33kV_Solar_F2_Export Reading]]-BT67)*225000&lt;=0,"",(RD[[#This Row],[33kV_Solar_F2_Export Reading]]-BT67)*225000)</f>
        <v>177749.99999999182</v>
      </c>
      <c r="CL68" s="209" t="str">
        <f>IF((RD[[#This Row],[33 kV_Solar_F3_Export reading]]-BU67)*225000&lt;=0,"",(RD[[#This Row],[33 kV_Solar_F3_Export reading]]-BU67)*225000)</f>
        <v/>
      </c>
      <c r="CM68" s="63">
        <f>IF((RD[[#This Row],[32kV_Solar_F4_Export reading]]-BV67)*225000&lt;=0,"",(RD[[#This Row],[32kV_Solar_F4_Export reading]]-BV67)*225000)</f>
        <v>168300.00000000105</v>
      </c>
      <c r="CN68" s="227">
        <f>IF((RD[[#This Row],[33kV_OG1_Export reading]]-BW67)*1000&lt;=0,0,(RD[[#This Row],[33kV_OG1_Export reading]]-BW67)*1000)</f>
        <v>565000</v>
      </c>
      <c r="CO68" s="227">
        <f>IFERROR(IF((RD[[#This Row],[33kV_OG2_Export reading]]-BX67)*1000&lt;=0,0,(RD[[#This Row],[33kV_OG2_Export reading]]-BX67)*1000),0)</f>
        <v>1254000</v>
      </c>
      <c r="CP68" s="74">
        <f>IF((RD[[#This Row],[220kV_TX1_Export reading]]-BY67)*800000&lt;=0,0,(RD[[#This Row],[220kV_TX1_Export reading]]-BY67)*800000)</f>
        <v>558400.00000000605</v>
      </c>
      <c r="CQ68" s="209">
        <f>IF((RD[[#This Row],[220kV_Tx2_Export reading]]-BZ67)*800000&lt;=0,0,(RD[[#This Row],[220kV_Tx2_Export reading]]-BZ67)*800000)</f>
        <v>1240800.0000000016</v>
      </c>
      <c r="CR68" s="227">
        <f>IF((RD[[#This Row],[220kV_TL_TVM Export Reading]]-CA67)*1600000&lt;=0,0,(RD[[#This Row],[220kV_TL_TVM Export Reading]]-CA67)*1600000)</f>
        <v>1803200.0000000154</v>
      </c>
      <c r="CS68" s="227">
        <f>IF((RD[[#This Row],[220kV_C&amp;R_PQM reading]]-CB67)*1600000&lt;=0,"",(RD[[#This Row],[220kV_C&amp;R_PQM reading]]-CB67)*1600000)</f>
        <v>1807999.9999999928</v>
      </c>
      <c r="CT68" s="209">
        <f>IFERROR(IF((RD[[#This Row],[220KV_C&amp;R_PQM Import Reading]]-CC67)*1600000&lt;=0,0,(RD[[#This Row],[220KV_C&amp;R_PQM Import Reading]]-CC67)*1600000),"")</f>
        <v>0</v>
      </c>
      <c r="CU68" s="64" t="str">
        <f>IF((RD[[#This Row],[33kV_Aux1 Import Reading]]-CD67)*1000&lt;=0,"",(RD[[#This Row],[33kV_Aux1 Import Reading]]-CD67)*1000)</f>
        <v/>
      </c>
      <c r="CV68" s="227">
        <f>IF((RD[[#This Row],[33kV_Aux2_Import reading]]-CE67)*1000&lt;=0,"",(RD[[#This Row],[33kV_Aux2_Import reading]]-CE67)*1000)</f>
        <v>599.99999999999432</v>
      </c>
      <c r="CW68" s="227">
        <f>IFERROR(RD[[#This Row],[33kV_OG1_Energy (MWh)]]+RD[[#This Row],[33kV_OG2_Energy (MWh)]],"")</f>
        <v>1819000</v>
      </c>
      <c r="CX68" s="227">
        <f>IFERROR(RD[[#This Row],[220kV_TL_TVM Energy (MWh)]]-RD[[#This Row],[220KV_C&amp;R_PQM Import (MWh)]],"")</f>
        <v>1803200.0000000154</v>
      </c>
      <c r="CY68" s="228">
        <f>IFERROR(RD[[#This Row],[33 kV Total Export (MWH)]]/RD[[#This Row],[220 KV Net Export (MWh)]]-1,"")</f>
        <v>8.7622005323781949E-3</v>
      </c>
      <c r="CZ68" s="229">
        <f t="shared" si="91"/>
        <v>50.6</v>
      </c>
      <c r="DA68" s="230">
        <v>96</v>
      </c>
      <c r="DB68" s="231"/>
      <c r="DC68" s="232">
        <f>IFERROR((RD[[#This Row],[Sunset Time (POA&lt;20 W/m2)]]-RD[[#This Row],[Sunrise Time (POA&gt;20 W/m2)]])*24,0)</f>
        <v>12.2</v>
      </c>
      <c r="DD68" s="70">
        <f>SUM(RD[[#This Row],[33 kV_Wind_F3_Export_Reading3]],CJ68,CK68,CL68,CM68)</f>
        <v>786824.99999999045</v>
      </c>
      <c r="DE68" s="233"/>
      <c r="DF68" s="70">
        <f t="shared" si="82"/>
        <v>1028940.0000000077</v>
      </c>
      <c r="DG68" s="230">
        <v>1072.93</v>
      </c>
      <c r="DH68">
        <f>'WTG Reactive Power'!AB66</f>
        <v>107056.90000000001</v>
      </c>
    </row>
    <row r="69" spans="1:112">
      <c r="A69" s="210">
        <f>YEAR(RD[[#This Row],[Date]])+IF(MONTH(RD[[#This Row],[Date]])&gt;=4,1,0)</f>
        <v>2026</v>
      </c>
      <c r="B69" s="210">
        <f>YEAR(RD[[#This Row],[Date]])</f>
        <v>2025</v>
      </c>
      <c r="C69" s="211">
        <f t="shared" si="83"/>
        <v>45809</v>
      </c>
      <c r="D69" s="210">
        <f>DAY(EOMONTH(RD[[#This Row],[Date]],0))</f>
        <v>30</v>
      </c>
      <c r="E69" s="212">
        <f t="shared" si="84"/>
        <v>45809</v>
      </c>
      <c r="F69" s="206">
        <v>0.26250000000000001</v>
      </c>
      <c r="G69" s="206">
        <v>0.77361111111111114</v>
      </c>
      <c r="H69" s="213">
        <v>39781.199999999997</v>
      </c>
      <c r="I69" s="213">
        <v>36804.9</v>
      </c>
      <c r="J69" s="213">
        <v>34765.1</v>
      </c>
      <c r="K69" s="213">
        <v>33389</v>
      </c>
      <c r="L69" s="213">
        <v>37928.800000000003</v>
      </c>
      <c r="M69" s="213">
        <v>35505.9</v>
      </c>
      <c r="N69" s="213">
        <v>35601.699999999997</v>
      </c>
      <c r="O69" s="213">
        <v>36766.5</v>
      </c>
      <c r="P69" s="213">
        <v>36327.9</v>
      </c>
      <c r="Q69" s="213">
        <v>36056.300000000003</v>
      </c>
      <c r="R69" s="213">
        <v>37122.9</v>
      </c>
      <c r="S69" s="213">
        <v>37869.599999999999</v>
      </c>
      <c r="T69" s="213">
        <v>39610.699999999997</v>
      </c>
      <c r="U69" s="213">
        <v>38017.9</v>
      </c>
      <c r="V69" s="213">
        <v>40717.9</v>
      </c>
      <c r="W69" s="213">
        <v>37433.1</v>
      </c>
      <c r="X69" s="213">
        <v>38667.9</v>
      </c>
      <c r="Y69" s="213">
        <v>36216.1</v>
      </c>
      <c r="Z69" s="213">
        <v>39444.6</v>
      </c>
      <c r="AA69" s="213">
        <v>36804</v>
      </c>
      <c r="AB69" s="213">
        <v>34743</v>
      </c>
      <c r="AC69" s="213">
        <v>36733.4</v>
      </c>
      <c r="AD69" s="213">
        <v>37805.199999999997</v>
      </c>
      <c r="AE69" s="350">
        <v>9</v>
      </c>
      <c r="AF69" s="350">
        <v>8.9</v>
      </c>
      <c r="AG69" s="350">
        <v>8.6</v>
      </c>
      <c r="AH69" s="350">
        <v>8.1999999999999993</v>
      </c>
      <c r="AI69" s="350">
        <v>8.9</v>
      </c>
      <c r="AJ69" s="350">
        <v>8.4</v>
      </c>
      <c r="AK69" s="350">
        <v>8.6</v>
      </c>
      <c r="AL69" s="350">
        <v>8.8000000000000007</v>
      </c>
      <c r="AM69" s="350">
        <v>8.8000000000000007</v>
      </c>
      <c r="AN69" s="350">
        <v>8.5</v>
      </c>
      <c r="AO69" s="350">
        <v>9</v>
      </c>
      <c r="AP69" s="350">
        <v>8.6999999999999993</v>
      </c>
      <c r="AQ69" s="350">
        <v>9.1</v>
      </c>
      <c r="AR69" s="350">
        <v>8.8000000000000007</v>
      </c>
      <c r="AS69" s="350">
        <v>9.5</v>
      </c>
      <c r="AT69" s="350">
        <v>8.8000000000000007</v>
      </c>
      <c r="AU69" s="350">
        <v>9.1</v>
      </c>
      <c r="AV69" s="350">
        <v>8.8000000000000007</v>
      </c>
      <c r="AW69" s="350">
        <v>9</v>
      </c>
      <c r="AX69" s="350">
        <v>8.6</v>
      </c>
      <c r="AY69" s="350">
        <v>8.9</v>
      </c>
      <c r="AZ69" s="350">
        <v>8.8000000000000007</v>
      </c>
      <c r="BA69" s="350">
        <v>8.8000000000000007</v>
      </c>
      <c r="BB69" s="214">
        <f t="shared" si="85"/>
        <v>380190.2</v>
      </c>
      <c r="BC69" s="216">
        <f t="shared" si="86"/>
        <v>76101</v>
      </c>
      <c r="BD69" s="180">
        <f t="shared" si="70"/>
        <v>289238.09999999998</v>
      </c>
      <c r="BE69" s="216">
        <f t="shared" si="87"/>
        <v>36216.1</v>
      </c>
      <c r="BF69" s="179">
        <f t="shared" si="71"/>
        <v>72368.2</v>
      </c>
      <c r="BG69" s="216">
        <f>SUM(RD[[#This Row],[KUD01]:[KUD23]])</f>
        <v>854113.6</v>
      </c>
      <c r="BH69" s="217">
        <f t="shared" si="88"/>
        <v>8.879999999999999</v>
      </c>
      <c r="BI69" s="219">
        <f t="shared" si="89"/>
        <v>8.9499999999999993</v>
      </c>
      <c r="BJ69" s="219">
        <f t="shared" si="90"/>
        <v>8.7099999999999991</v>
      </c>
      <c r="BK69" s="221">
        <f t="shared" si="81"/>
        <v>8.8000000000000007</v>
      </c>
      <c r="BL69" s="61">
        <f>IFERROR(AVERAGEIF(RD[[#This Row],[WS_KUD07]:[WS_KUD08]],"&lt;&gt;0",RD[[#This Row],[WS_KUD07]:[WS_KUD08]]),"")</f>
        <v>8.6999999999999993</v>
      </c>
      <c r="BM69" s="223">
        <f>IFERROR(AVERAGE(RD[[#This Row],[WS_KUD01]:[WS_KUD23]]),"")</f>
        <v>8.808695652173915</v>
      </c>
      <c r="BN69" s="224">
        <f>IFERROR(MAX(RD[[#This Row],[WS_KUD01]:[WS_KUD23]]),"")</f>
        <v>9.5</v>
      </c>
      <c r="BO69" s="172">
        <v>640.30499999999995</v>
      </c>
      <c r="BP69" s="348">
        <v>932.44</v>
      </c>
      <c r="BQ69" s="335">
        <v>88.182000000000002</v>
      </c>
      <c r="BR69" s="335">
        <v>261.887</v>
      </c>
      <c r="BS69" s="344">
        <v>201.52099999999999</v>
      </c>
      <c r="BT69" s="344">
        <v>307.77499999999998</v>
      </c>
      <c r="BU69" s="225"/>
      <c r="BV69" s="335">
        <v>96.722999999999999</v>
      </c>
      <c r="BW69" s="172">
        <v>204713</v>
      </c>
      <c r="BX69" s="172">
        <v>270089</v>
      </c>
      <c r="BY69" s="344">
        <v>141.08000000000001</v>
      </c>
      <c r="BZ69" s="344">
        <v>96.438000000000002</v>
      </c>
      <c r="CA69" s="335">
        <v>294.43299999999999</v>
      </c>
      <c r="CB69" s="344">
        <v>119.52800000000001</v>
      </c>
      <c r="CC69" s="335">
        <v>0.122</v>
      </c>
      <c r="CD69" s="172">
        <v>0</v>
      </c>
      <c r="CE69" s="335">
        <v>232.56899999999999</v>
      </c>
      <c r="CF69" s="226" t="str">
        <f>IF((RD[[#This Row],[33 kV_Wind_F1_Export reading]]-BO68)*165000&lt;=0,"",(RD[[#This Row],[33 kV_Wind_F1_Export reading]]-BO68)*165000)</f>
        <v/>
      </c>
      <c r="CG69" s="227">
        <f>IF((RD[[#This Row],[33 kV_Wind_F2_Export_reading]]-BP68)*165000&lt;=0,"",(RD[[#This Row],[33 kV_Wind_F2_Export_reading]]-BP68)*165000)</f>
        <v>417780.00000000646</v>
      </c>
      <c r="CH69" s="64">
        <f>IF((RD[[#This Row],[33 kV_Wind_F3_Export_Reading]]-BQ68)*225000&lt;=0,"",(RD[[#This Row],[33 kV_Wind_F3_Export_Reading]]-BQ68)*225000)</f>
        <v>191025.00000000084</v>
      </c>
      <c r="CI69" s="64">
        <f>IF((RD[[#This Row],[33 kV_Wind_F4_Export Reading]]-BR68)*165000&lt;=0,"",(RD[[#This Row],[33 kV_Wind_F4_Export Reading]]-BR68)*165000)</f>
        <v>403590.00000000437</v>
      </c>
      <c r="CJ69" s="209">
        <f>IF((RD[[#This Row],[33 kV_Solar_F1_Export Reading]]-BS68)*225000&lt;=0,"",(RD[[#This Row],[33 kV_Solar_F1_Export Reading]]-BS68)*225000)</f>
        <v>185624.99999999744</v>
      </c>
      <c r="CK69" s="74">
        <f>IF((RD[[#This Row],[33kV_Solar_F2_Export Reading]]-BT68)*225000&lt;=0,"",(RD[[#This Row],[33kV_Solar_F2_Export Reading]]-BT68)*225000)</f>
        <v>140174.99999999785</v>
      </c>
      <c r="CL69" s="209" t="str">
        <f>IF((RD[[#This Row],[33 kV_Solar_F3_Export reading]]-BU68)*225000&lt;=0,"",(RD[[#This Row],[33 kV_Solar_F3_Export reading]]-BU68)*225000)</f>
        <v/>
      </c>
      <c r="CM69" s="63">
        <f>IF((RD[[#This Row],[32kV_Solar_F4_Export reading]]-BV68)*225000&lt;=0,"",(RD[[#This Row],[32kV_Solar_F4_Export reading]]-BV68)*225000)</f>
        <v>141300.00000000003</v>
      </c>
      <c r="CN69" s="227">
        <f>IF((RD[[#This Row],[33kV_OG1_Export reading]]-BW68)*1000&lt;=0,0,(RD[[#This Row],[33kV_OG1_Export reading]]-BW68)*1000)</f>
        <v>467000</v>
      </c>
      <c r="CO69" s="227">
        <f>IFERROR(IF((RD[[#This Row],[33kV_OG2_Export reading]]-BX68)*1000&lt;=0,0,(RD[[#This Row],[33kV_OG2_Export reading]]-BX68)*1000),0)</f>
        <v>1011000</v>
      </c>
      <c r="CP69" s="74">
        <f>IF((RD[[#This Row],[220kV_TX1_Export reading]]-BY68)*800000&lt;=0,0,(RD[[#This Row],[220kV_TX1_Export reading]]-BY68)*800000)</f>
        <v>462400.00000000239</v>
      </c>
      <c r="CQ69" s="209">
        <f>IF((RD[[#This Row],[220kV_Tx2_Export reading]]-BZ68)*800000&lt;=0,0,(RD[[#This Row],[220kV_Tx2_Export reading]]-BZ68)*800000)</f>
        <v>1000000</v>
      </c>
      <c r="CR69" s="227">
        <f>IF((RD[[#This Row],[220kV_TL_TVM Export Reading]]-CA68)*1600000&lt;=0,0,(RD[[#This Row],[220kV_TL_TVM Export Reading]]-CA68)*1600000)</f>
        <v>1470399.9999999723</v>
      </c>
      <c r="CS69" s="227">
        <f>IF((RD[[#This Row],[220kV_C&amp;R_PQM reading]]-CB68)*1600000&lt;=0,"",(RD[[#This Row],[220kV_C&amp;R_PQM reading]]-CB68)*1600000)</f>
        <v>1470400.0000000179</v>
      </c>
      <c r="CT69" s="209">
        <f>IFERROR(IF((RD[[#This Row],[220KV_C&amp;R_PQM Import Reading]]-CC68)*1600000&lt;=0,0,(RD[[#This Row],[220KV_C&amp;R_PQM Import Reading]]-CC68)*1600000),"")</f>
        <v>0</v>
      </c>
      <c r="CU69" s="64" t="str">
        <f>IF((RD[[#This Row],[33kV_Aux1 Import Reading]]-CD68)*1000&lt;=0,"",(RD[[#This Row],[33kV_Aux1 Import Reading]]-CD68)*1000)</f>
        <v/>
      </c>
      <c r="CV69" s="227">
        <f>IF((RD[[#This Row],[33kV_Aux2_Import reading]]-CE68)*1000&lt;=0,"",(RD[[#This Row],[33kV_Aux2_Import reading]]-CE68)*1000)</f>
        <v>599.99999999999432</v>
      </c>
      <c r="CW69" s="227">
        <f>IFERROR(RD[[#This Row],[33kV_OG1_Energy (MWh)]]+RD[[#This Row],[33kV_OG2_Energy (MWh)]],"")</f>
        <v>1478000</v>
      </c>
      <c r="CX69" s="227">
        <f>IFERROR(RD[[#This Row],[220kV_TL_TVM Energy (MWh)]]-RD[[#This Row],[220KV_C&amp;R_PQM Import (MWh)]],"")</f>
        <v>1470399.9999999723</v>
      </c>
      <c r="CY69" s="228">
        <f>IFERROR(RD[[#This Row],[33 kV Total Export (MWH)]]/RD[[#This Row],[220 KV Net Export (MWh)]]-1,"")</f>
        <v>5.1686615887023279E-3</v>
      </c>
      <c r="CZ69" s="229">
        <f t="shared" si="91"/>
        <v>50.6</v>
      </c>
      <c r="DA69" s="230">
        <v>96</v>
      </c>
      <c r="DB69" s="231"/>
      <c r="DC69" s="232">
        <f>IFERROR((RD[[#This Row],[Sunset Time (POA&lt;20 W/m2)]]-RD[[#This Row],[Sunrise Time (POA&gt;20 W/m2)]])*24,0)</f>
        <v>12.266666666666666</v>
      </c>
      <c r="DD69" s="70">
        <f>SUM(RD[[#This Row],[33 kV_Wind_F3_Export_Reading3]],CJ69,CK69,CL69,CM69)</f>
        <v>658124.99999999616</v>
      </c>
      <c r="DE69" s="233"/>
      <c r="DF69" s="70">
        <f t="shared" si="82"/>
        <v>821370.00000001083</v>
      </c>
      <c r="DG69" s="230">
        <v>853.95</v>
      </c>
      <c r="DH69">
        <f>'WTG Reactive Power'!AB67</f>
        <v>49003.1</v>
      </c>
    </row>
    <row r="70" spans="1:112">
      <c r="A70" s="210">
        <f>YEAR(RD[[#This Row],[Date]])+IF(MONTH(RD[[#This Row],[Date]])&gt;=4,1,0)</f>
        <v>2026</v>
      </c>
      <c r="B70" s="210">
        <f>YEAR(RD[[#This Row],[Date]])</f>
        <v>2025</v>
      </c>
      <c r="C70" s="211">
        <f t="shared" si="83"/>
        <v>45809</v>
      </c>
      <c r="D70" s="210">
        <f>DAY(EOMONTH(RD[[#This Row],[Date]],0))</f>
        <v>30</v>
      </c>
      <c r="E70" s="212">
        <f t="shared" si="84"/>
        <v>45810</v>
      </c>
      <c r="F70" s="206">
        <v>0.25833333333333336</v>
      </c>
      <c r="G70" s="206">
        <v>0.77569444444444446</v>
      </c>
      <c r="H70" s="213">
        <v>30915.8</v>
      </c>
      <c r="I70" s="213">
        <v>25817.200000000001</v>
      </c>
      <c r="J70" s="213">
        <v>28505.4</v>
      </c>
      <c r="K70" s="213">
        <v>27088</v>
      </c>
      <c r="L70" s="213">
        <v>24575.3</v>
      </c>
      <c r="M70" s="213">
        <v>26022.400000000001</v>
      </c>
      <c r="N70" s="213">
        <v>24722.2</v>
      </c>
      <c r="O70" s="213">
        <v>29762.7</v>
      </c>
      <c r="P70" s="213">
        <v>26270</v>
      </c>
      <c r="Q70" s="213">
        <v>27391.200000000001</v>
      </c>
      <c r="R70" s="213">
        <v>26387.4</v>
      </c>
      <c r="S70" s="213">
        <v>30128.799999999999</v>
      </c>
      <c r="T70" s="213">
        <v>26199.3</v>
      </c>
      <c r="U70" s="213">
        <v>27902.799999999999</v>
      </c>
      <c r="V70" s="213">
        <v>31507.599999999999</v>
      </c>
      <c r="W70" s="213">
        <v>28380.3</v>
      </c>
      <c r="X70" s="213">
        <v>27170.400000000001</v>
      </c>
      <c r="Y70" s="213">
        <v>22097.9</v>
      </c>
      <c r="Z70" s="213">
        <v>26181.200000000001</v>
      </c>
      <c r="AA70" s="213">
        <v>26132.400000000001</v>
      </c>
      <c r="AB70" s="213">
        <v>26191.5</v>
      </c>
      <c r="AC70" s="213">
        <v>24168.7</v>
      </c>
      <c r="AD70" s="213">
        <v>26466.6</v>
      </c>
      <c r="AE70" s="350">
        <v>7.7</v>
      </c>
      <c r="AF70" s="350">
        <v>7.4</v>
      </c>
      <c r="AG70" s="350">
        <v>7.7</v>
      </c>
      <c r="AH70" s="350">
        <v>7.3</v>
      </c>
      <c r="AI70" s="350">
        <v>7.2</v>
      </c>
      <c r="AJ70" s="350">
        <v>7.3</v>
      </c>
      <c r="AK70" s="350">
        <v>7.3</v>
      </c>
      <c r="AL70" s="350">
        <v>7.8</v>
      </c>
      <c r="AM70" s="350">
        <v>7.4</v>
      </c>
      <c r="AN70" s="350">
        <v>7.3</v>
      </c>
      <c r="AO70" s="350">
        <v>7.5</v>
      </c>
      <c r="AP70" s="350">
        <v>7.6</v>
      </c>
      <c r="AQ70" s="350">
        <v>7.1</v>
      </c>
      <c r="AR70" s="350">
        <v>7.3</v>
      </c>
      <c r="AS70" s="350">
        <v>8.1</v>
      </c>
      <c r="AT70" s="350">
        <v>7.7</v>
      </c>
      <c r="AU70" s="350">
        <v>7.6</v>
      </c>
      <c r="AV70" s="350">
        <v>6.9</v>
      </c>
      <c r="AW70" s="350">
        <v>7.1</v>
      </c>
      <c r="AX70" s="350">
        <v>7.1</v>
      </c>
      <c r="AY70" s="350">
        <v>7.9</v>
      </c>
      <c r="AZ70" s="350">
        <v>7.3</v>
      </c>
      <c r="BA70" s="350">
        <v>7.4</v>
      </c>
      <c r="BB70" s="214">
        <f t="shared" si="85"/>
        <v>281251.89999999997</v>
      </c>
      <c r="BC70" s="216">
        <f t="shared" si="86"/>
        <v>55550.7</v>
      </c>
      <c r="BD70" s="180">
        <f t="shared" si="70"/>
        <v>206599.7</v>
      </c>
      <c r="BE70" s="216">
        <f t="shared" si="87"/>
        <v>22097.9</v>
      </c>
      <c r="BF70" s="179">
        <f t="shared" si="71"/>
        <v>54484.9</v>
      </c>
      <c r="BG70" s="216">
        <f>SUM(RD[[#This Row],[KUD01]:[KUD23]])</f>
        <v>619985.1</v>
      </c>
      <c r="BH70" s="217">
        <f t="shared" si="88"/>
        <v>7.4499999999999984</v>
      </c>
      <c r="BI70" s="219">
        <f t="shared" si="89"/>
        <v>7.65</v>
      </c>
      <c r="BJ70" s="219">
        <f t="shared" si="90"/>
        <v>7.43</v>
      </c>
      <c r="BK70" s="221">
        <f t="shared" si="81"/>
        <v>6.9</v>
      </c>
      <c r="BL70" s="61">
        <f>IFERROR(AVERAGEIF(RD[[#This Row],[WS_KUD07]:[WS_KUD08]],"&lt;&gt;0",RD[[#This Row],[WS_KUD07]:[WS_KUD08]]),"")</f>
        <v>7.55</v>
      </c>
      <c r="BM70" s="223">
        <f>IFERROR(AVERAGE(RD[[#This Row],[WS_KUD01]:[WS_KUD23]]),"")</f>
        <v>7.4347826086956506</v>
      </c>
      <c r="BN70" s="224">
        <f>IFERROR(MAX(RD[[#This Row],[WS_KUD01]:[WS_KUD23]]),"")</f>
        <v>8.1</v>
      </c>
      <c r="BO70" s="172">
        <v>640.30499999999995</v>
      </c>
      <c r="BP70" s="348">
        <v>934.24400000000003</v>
      </c>
      <c r="BQ70" s="335">
        <v>88.986000000000004</v>
      </c>
      <c r="BR70" s="335">
        <v>263.72000000000003</v>
      </c>
      <c r="BS70" s="344">
        <v>202.315</v>
      </c>
      <c r="BT70" s="344">
        <v>308.387</v>
      </c>
      <c r="BU70" s="225"/>
      <c r="BV70" s="335">
        <v>97.33</v>
      </c>
      <c r="BW70" s="172">
        <v>205167</v>
      </c>
      <c r="BX70" s="172">
        <v>270868</v>
      </c>
      <c r="BY70" s="344">
        <v>141.63999999999999</v>
      </c>
      <c r="BZ70" s="344">
        <v>97.403999999999996</v>
      </c>
      <c r="CA70" s="344">
        <v>295.2</v>
      </c>
      <c r="CB70" s="344">
        <v>120.294</v>
      </c>
      <c r="CC70" s="335">
        <v>0.122</v>
      </c>
      <c r="CD70" s="172">
        <v>0</v>
      </c>
      <c r="CE70" s="335">
        <v>233.16900000000001</v>
      </c>
      <c r="CF70" s="226" t="str">
        <f>IF((RD[[#This Row],[33 kV_Wind_F1_Export reading]]-BO69)*165000&lt;=0,"",(RD[[#This Row],[33 kV_Wind_F1_Export reading]]-BO69)*165000)</f>
        <v/>
      </c>
      <c r="CG70" s="227">
        <f>IF((RD[[#This Row],[33 kV_Wind_F2_Export_reading]]-BP69)*165000&lt;=0,"",(RD[[#This Row],[33 kV_Wind_F2_Export_reading]]-BP69)*165000)</f>
        <v>297659.99999999563</v>
      </c>
      <c r="CH70" s="64">
        <f>IF((RD[[#This Row],[33 kV_Wind_F3_Export_Reading]]-BQ69)*225000&lt;=0,"",(RD[[#This Row],[33 kV_Wind_F3_Export_Reading]]-BQ69)*225000)</f>
        <v>180900.00000000047</v>
      </c>
      <c r="CI70" s="64">
        <f>IF((RD[[#This Row],[33 kV_Wind_F4_Export Reading]]-BR69)*165000&lt;=0,"",(RD[[#This Row],[33 kV_Wind_F4_Export Reading]]-BR69)*165000)</f>
        <v>302445.00000000442</v>
      </c>
      <c r="CJ70" s="209">
        <f>IF((RD[[#This Row],[33 kV_Solar_F1_Export Reading]]-BS69)*225000&lt;=0,"",(RD[[#This Row],[33 kV_Solar_F1_Export Reading]]-BS69)*225000)</f>
        <v>178650.0000000025</v>
      </c>
      <c r="CK70" s="74">
        <f>IF((RD[[#This Row],[33kV_Solar_F2_Export Reading]]-BT69)*225000&lt;=0,"",(RD[[#This Row],[33kV_Solar_F2_Export Reading]]-BT69)*225000)</f>
        <v>137700.00000000521</v>
      </c>
      <c r="CL70" s="209" t="str">
        <f>IF((RD[[#This Row],[33 kV_Solar_F3_Export reading]]-BU69)*225000&lt;=0,"",(RD[[#This Row],[33 kV_Solar_F3_Export reading]]-BU69)*225000)</f>
        <v/>
      </c>
      <c r="CM70" s="63">
        <f>IF((RD[[#This Row],[32kV_Solar_F4_Export reading]]-BV69)*225000&lt;=0,"",(RD[[#This Row],[32kV_Solar_F4_Export reading]]-BV69)*225000)</f>
        <v>136574.99999999985</v>
      </c>
      <c r="CN70" s="227">
        <f>IF((RD[[#This Row],[33kV_OG1_Export reading]]-BW69)*1000&lt;=0,0,(RD[[#This Row],[33kV_OG1_Export reading]]-BW69)*1000)</f>
        <v>454000</v>
      </c>
      <c r="CO70" s="227">
        <f>IFERROR(IF((RD[[#This Row],[33kV_OG2_Export reading]]-BX69)*1000&lt;=0,0,(RD[[#This Row],[33kV_OG2_Export reading]]-BX69)*1000),0)</f>
        <v>779000</v>
      </c>
      <c r="CP70" s="74">
        <f>IF((RD[[#This Row],[220kV_TX1_Export reading]]-BY69)*800000&lt;=0,0,(RD[[#This Row],[220kV_TX1_Export reading]]-BY69)*800000)</f>
        <v>447999.9999999791</v>
      </c>
      <c r="CQ70" s="209">
        <f>IF((RD[[#This Row],[220kV_Tx2_Export reading]]-BZ69)*800000&lt;=0,0,(RD[[#This Row],[220kV_Tx2_Export reading]]-BZ69)*800000)</f>
        <v>772799.99999999523</v>
      </c>
      <c r="CR70" s="227">
        <f>IF((RD[[#This Row],[220kV_TL_TVM Export Reading]]-CA69)*1600000&lt;=0,0,(RD[[#This Row],[220kV_TL_TVM Export Reading]]-CA69)*1600000)</f>
        <v>1227199.9999999935</v>
      </c>
      <c r="CS70" s="227">
        <f>IF((RD[[#This Row],[220kV_C&amp;R_PQM reading]]-CB69)*1600000&lt;=0,"",(RD[[#This Row],[220kV_C&amp;R_PQM reading]]-CB69)*1600000)</f>
        <v>1225599.9999999858</v>
      </c>
      <c r="CT70" s="209">
        <f>IFERROR(IF((RD[[#This Row],[220KV_C&amp;R_PQM Import Reading]]-CC69)*1600000&lt;=0,0,(RD[[#This Row],[220KV_C&amp;R_PQM Import Reading]]-CC69)*1600000),"")</f>
        <v>0</v>
      </c>
      <c r="CU70" s="64" t="str">
        <f>IF((RD[[#This Row],[33kV_Aux1 Import Reading]]-CD69)*1000&lt;=0,"",(RD[[#This Row],[33kV_Aux1 Import Reading]]-CD69)*1000)</f>
        <v/>
      </c>
      <c r="CV70" s="227">
        <f>IF((RD[[#This Row],[33kV_Aux2_Import reading]]-CE69)*1000&lt;=0,"",(RD[[#This Row],[33kV_Aux2_Import reading]]-CE69)*1000)</f>
        <v>600.00000000002274</v>
      </c>
      <c r="CW70" s="227">
        <f>IFERROR(RD[[#This Row],[33kV_OG1_Energy (MWh)]]+RD[[#This Row],[33kV_OG2_Energy (MWh)]],"")</f>
        <v>1233000</v>
      </c>
      <c r="CX70" s="227">
        <f>IFERROR(RD[[#This Row],[220kV_TL_TVM Energy (MWh)]]-RD[[#This Row],[220KV_C&amp;R_PQM Import (MWh)]],"")</f>
        <v>1227199.9999999935</v>
      </c>
      <c r="CY70" s="228">
        <f>IFERROR(RD[[#This Row],[33 kV Total Export (MWH)]]/RD[[#This Row],[220 KV Net Export (MWh)]]-1,"")</f>
        <v>4.7262059973978143E-3</v>
      </c>
      <c r="CZ70" s="229">
        <f t="shared" si="91"/>
        <v>50.6</v>
      </c>
      <c r="DA70" s="230">
        <v>96</v>
      </c>
      <c r="DB70" s="231"/>
      <c r="DC70" s="232">
        <f>IFERROR((RD[[#This Row],[Sunset Time (POA&lt;20 W/m2)]]-RD[[#This Row],[Sunrise Time (POA&gt;20 W/m2)]])*24,0)</f>
        <v>12.416666666666668</v>
      </c>
      <c r="DD70" s="70">
        <f>SUM(RD[[#This Row],[33 kV_Wind_F3_Export_Reading3]],CJ70,CK70,CL70,CM70)</f>
        <v>633825.00000000803</v>
      </c>
      <c r="DE70" s="233"/>
      <c r="DF70" s="70">
        <f t="shared" si="82"/>
        <v>600105</v>
      </c>
      <c r="DG70" s="230">
        <v>627.14</v>
      </c>
      <c r="DH70">
        <f>'WTG Reactive Power'!AB68</f>
        <v>114741.9</v>
      </c>
    </row>
    <row r="71" spans="1:112">
      <c r="A71" s="210">
        <f>YEAR(RD[[#This Row],[Date]])+IF(MONTH(RD[[#This Row],[Date]])&gt;=4,1,0)</f>
        <v>2026</v>
      </c>
      <c r="B71" s="210">
        <f>YEAR(RD[[#This Row],[Date]])</f>
        <v>2025</v>
      </c>
      <c r="C71" s="211">
        <f t="shared" si="83"/>
        <v>45809</v>
      </c>
      <c r="D71" s="210">
        <f>DAY(EOMONTH(RD[[#This Row],[Date]],0))</f>
        <v>30</v>
      </c>
      <c r="E71" s="212">
        <f t="shared" si="84"/>
        <v>45811</v>
      </c>
      <c r="F71" s="206">
        <v>0.25555555555555554</v>
      </c>
      <c r="G71" s="206">
        <v>0.26805555555555555</v>
      </c>
      <c r="H71" s="213">
        <v>30835.7</v>
      </c>
      <c r="I71" s="213">
        <v>26477.4</v>
      </c>
      <c r="J71" s="213">
        <v>23953.599999999999</v>
      </c>
      <c r="K71" s="213">
        <v>29023.9</v>
      </c>
      <c r="L71" s="213">
        <v>27499.1</v>
      </c>
      <c r="M71" s="213">
        <v>25692.3</v>
      </c>
      <c r="N71" s="213">
        <v>24763.5</v>
      </c>
      <c r="O71" s="213">
        <v>23588.7</v>
      </c>
      <c r="P71" s="213">
        <v>28694.7</v>
      </c>
      <c r="Q71" s="213">
        <v>23753.5</v>
      </c>
      <c r="R71" s="213">
        <v>26152.3</v>
      </c>
      <c r="S71" s="213">
        <v>30254.7</v>
      </c>
      <c r="T71" s="213">
        <v>26978.799999999999</v>
      </c>
      <c r="U71" s="213">
        <v>25791.8</v>
      </c>
      <c r="V71" s="213">
        <v>28170.2</v>
      </c>
      <c r="W71" s="213">
        <v>28151.8</v>
      </c>
      <c r="X71" s="213">
        <v>28400.9</v>
      </c>
      <c r="Y71" s="213">
        <v>25060.3</v>
      </c>
      <c r="Z71" s="213">
        <v>25926.5</v>
      </c>
      <c r="AA71" s="213">
        <v>26479.599999999999</v>
      </c>
      <c r="AB71" s="213">
        <v>27548.2</v>
      </c>
      <c r="AC71" s="213">
        <v>28021.9</v>
      </c>
      <c r="AD71" s="213">
        <v>28185.5</v>
      </c>
      <c r="AE71" s="350">
        <v>7.5</v>
      </c>
      <c r="AF71" s="350">
        <v>7</v>
      </c>
      <c r="AG71" s="350">
        <v>7</v>
      </c>
      <c r="AH71" s="350">
        <v>7.2</v>
      </c>
      <c r="AI71" s="350">
        <v>7.2</v>
      </c>
      <c r="AJ71" s="350">
        <v>6.9</v>
      </c>
      <c r="AK71" s="350">
        <v>6.9</v>
      </c>
      <c r="AL71" s="350">
        <v>6.8</v>
      </c>
      <c r="AM71" s="350">
        <v>7.4</v>
      </c>
      <c r="AN71" s="350">
        <v>6.6</v>
      </c>
      <c r="AO71" s="350">
        <v>7.3</v>
      </c>
      <c r="AP71" s="350">
        <v>7.5</v>
      </c>
      <c r="AQ71" s="350">
        <v>7.1</v>
      </c>
      <c r="AR71" s="350">
        <v>6.9</v>
      </c>
      <c r="AS71" s="350">
        <v>7.4</v>
      </c>
      <c r="AT71" s="350">
        <v>7.2</v>
      </c>
      <c r="AU71" s="350">
        <v>7.3</v>
      </c>
      <c r="AV71" s="350">
        <v>6.9</v>
      </c>
      <c r="AW71" s="350">
        <v>7</v>
      </c>
      <c r="AX71" s="350">
        <v>7</v>
      </c>
      <c r="AY71" s="350">
        <v>7.6</v>
      </c>
      <c r="AZ71" s="350">
        <v>7.4</v>
      </c>
      <c r="BA71" s="350">
        <v>7.2</v>
      </c>
      <c r="BB71" s="214">
        <f t="shared" si="85"/>
        <v>268296.7</v>
      </c>
      <c r="BC71" s="216">
        <f t="shared" si="86"/>
        <v>56552.7</v>
      </c>
      <c r="BD71" s="180">
        <f t="shared" si="70"/>
        <v>221143</v>
      </c>
      <c r="BE71" s="216">
        <f t="shared" si="87"/>
        <v>25060.3</v>
      </c>
      <c r="BF71" s="179">
        <f t="shared" si="71"/>
        <v>48352.2</v>
      </c>
      <c r="BG71" s="216">
        <f>SUM(RD[[#This Row],[KUD01]:[KUD23]])</f>
        <v>619404.9</v>
      </c>
      <c r="BH71" s="217">
        <f t="shared" si="88"/>
        <v>7.1300000000000008</v>
      </c>
      <c r="BI71" s="219">
        <f t="shared" si="89"/>
        <v>7.25</v>
      </c>
      <c r="BJ71" s="219">
        <f t="shared" si="90"/>
        <v>7.1599999999999993</v>
      </c>
      <c r="BK71" s="221">
        <f t="shared" si="81"/>
        <v>6.9</v>
      </c>
      <c r="BL71" s="61">
        <f>IFERROR(AVERAGEIF(RD[[#This Row],[WS_KUD07]:[WS_KUD08]],"&lt;&gt;0",RD[[#This Row],[WS_KUD07]:[WS_KUD08]]),"")</f>
        <v>6.85</v>
      </c>
      <c r="BM71" s="223">
        <f>IFERROR(AVERAGE(RD[[#This Row],[WS_KUD01]:[WS_KUD23]]),"")</f>
        <v>7.1434782608695642</v>
      </c>
      <c r="BN71" s="224">
        <f>IFERROR(MAX(RD[[#This Row],[WS_KUD01]:[WS_KUD23]]),"")</f>
        <v>7.6</v>
      </c>
      <c r="BO71" s="172">
        <v>640.30499999999995</v>
      </c>
      <c r="BP71" s="349">
        <v>936.14700000000005</v>
      </c>
      <c r="BQ71" s="349">
        <v>89.724000000000004</v>
      </c>
      <c r="BR71" s="349">
        <v>265.435</v>
      </c>
      <c r="BS71" s="349">
        <v>203.05199999999999</v>
      </c>
      <c r="BT71" s="349">
        <v>308.94099999999997</v>
      </c>
      <c r="BU71" s="349"/>
      <c r="BV71" s="349">
        <v>97.885999999999996</v>
      </c>
      <c r="BW71" s="172">
        <v>205583</v>
      </c>
      <c r="BX71" s="172">
        <v>271631</v>
      </c>
      <c r="BY71" s="349">
        <v>142.154</v>
      </c>
      <c r="BZ71" s="349">
        <v>98.346999999999994</v>
      </c>
      <c r="CA71" s="349">
        <v>295.93099999999998</v>
      </c>
      <c r="CB71" s="349">
        <v>121.026</v>
      </c>
      <c r="CC71" s="349">
        <v>0.122</v>
      </c>
      <c r="CD71" s="172">
        <v>0</v>
      </c>
      <c r="CE71" s="349">
        <v>233.559</v>
      </c>
      <c r="CF71" s="226" t="str">
        <f>IF((RD[[#This Row],[33 kV_Wind_F1_Export reading]]-BO70)*165000&lt;=0,"",(RD[[#This Row],[33 kV_Wind_F1_Export reading]]-BO70)*165000)</f>
        <v/>
      </c>
      <c r="CG71" s="227">
        <f>IF((RD[[#This Row],[33 kV_Wind_F2_Export_reading]]-BP70)*165000&lt;=0,"",(RD[[#This Row],[33 kV_Wind_F2_Export_reading]]-BP70)*165000)</f>
        <v>313995.00000000332</v>
      </c>
      <c r="CH71" s="64">
        <f>IF((RD[[#This Row],[33 kV_Wind_F3_Export_Reading]]-BQ70)*225000&lt;=0,"",(RD[[#This Row],[33 kV_Wind_F3_Export_Reading]]-BQ70)*225000)</f>
        <v>166049.99999999988</v>
      </c>
      <c r="CI71" s="64">
        <f>IF((RD[[#This Row],[33 kV_Wind_F4_Export Reading]]-BR70)*165000&lt;=0,"",(RD[[#This Row],[33 kV_Wind_F4_Export Reading]]-BR70)*165000)</f>
        <v>282974.99999999587</v>
      </c>
      <c r="CJ71" s="209">
        <f>IF((RD[[#This Row],[33 kV_Solar_F1_Export Reading]]-BS70)*225000&lt;=0,"",(RD[[#This Row],[33 kV_Solar_F1_Export Reading]]-BS70)*225000)</f>
        <v>165824.99999999884</v>
      </c>
      <c r="CK71" s="74">
        <f>IF((RD[[#This Row],[33kV_Solar_F2_Export Reading]]-BT70)*225000&lt;=0,"",(RD[[#This Row],[33kV_Solar_F2_Export Reading]]-BT70)*225000)</f>
        <v>124649.99999999406</v>
      </c>
      <c r="CL71" s="209" t="str">
        <f>IF((RD[[#This Row],[33 kV_Solar_F3_Export reading]]-BU70)*225000&lt;=0,"",(RD[[#This Row],[33 kV_Solar_F3_Export reading]]-BU70)*225000)</f>
        <v/>
      </c>
      <c r="CM71" s="63">
        <f>IF((RD[[#This Row],[32kV_Solar_F4_Export reading]]-BV70)*225000&lt;=0,"",(RD[[#This Row],[32kV_Solar_F4_Export reading]]-BV70)*225000)</f>
        <v>125099.99999999942</v>
      </c>
      <c r="CN71" s="227">
        <f>IF((RD[[#This Row],[33kV_OG1_Export reading]]-BW70)*1000&lt;=0,0,(RD[[#This Row],[33kV_OG1_Export reading]]-BW70)*1000)</f>
        <v>416000</v>
      </c>
      <c r="CO71" s="227">
        <f>IFERROR(IF((RD[[#This Row],[33kV_OG2_Export reading]]-BX70)*1000&lt;=0,0,(RD[[#This Row],[33kV_OG2_Export reading]]-BX70)*1000),0)</f>
        <v>763000</v>
      </c>
      <c r="CP71" s="74">
        <f>IF((RD[[#This Row],[220kV_TX1_Export reading]]-BY70)*800000&lt;=0,0,(RD[[#This Row],[220kV_TX1_Export reading]]-BY70)*800000)</f>
        <v>411200.00000000803</v>
      </c>
      <c r="CQ71" s="209">
        <f>IF((RD[[#This Row],[220kV_Tx2_Export reading]]-BZ70)*800000&lt;=0,0,(RD[[#This Row],[220kV_Tx2_Export reading]]-BZ70)*800000)</f>
        <v>754399.99999999825</v>
      </c>
      <c r="CR71" s="227">
        <f>IF((RD[[#This Row],[220kV_TL_TVM Export Reading]]-CA70)*1600000&lt;=0,0,(RD[[#This Row],[220kV_TL_TVM Export Reading]]-CA70)*1600000)</f>
        <v>1169599.9999999912</v>
      </c>
      <c r="CS71" s="227">
        <f>IF((RD[[#This Row],[220kV_C&amp;R_PQM reading]]-CB70)*1600000&lt;=0,"",(RD[[#This Row],[220kV_C&amp;R_PQM reading]]-CB70)*1600000)</f>
        <v>1171199.9999999988</v>
      </c>
      <c r="CT71" s="209">
        <f>IFERROR(IF((RD[[#This Row],[220KV_C&amp;R_PQM Import Reading]]-CC70)*1600000&lt;=0,0,(RD[[#This Row],[220KV_C&amp;R_PQM Import Reading]]-CC70)*1600000),"")</f>
        <v>0</v>
      </c>
      <c r="CU71" s="64" t="str">
        <f>IF((RD[[#This Row],[33kV_Aux1 Import Reading]]-CD70)*1000&lt;=0,"",(RD[[#This Row],[33kV_Aux1 Import Reading]]-CD70)*1000)</f>
        <v/>
      </c>
      <c r="CV71" s="227">
        <f>IF((RD[[#This Row],[33kV_Aux2_Import reading]]-CE70)*1000&lt;=0,"",(RD[[#This Row],[33kV_Aux2_Import reading]]-CE70)*1000)</f>
        <v>389.99999999998636</v>
      </c>
      <c r="CW71" s="227">
        <f>IFERROR(RD[[#This Row],[33kV_OG1_Energy (MWh)]]+RD[[#This Row],[33kV_OG2_Energy (MWh)]],"")</f>
        <v>1179000</v>
      </c>
      <c r="CX71" s="227">
        <f>IFERROR(RD[[#This Row],[220kV_TL_TVM Energy (MWh)]]-RD[[#This Row],[220KV_C&amp;R_PQM Import (MWh)]],"")</f>
        <v>1169599.9999999912</v>
      </c>
      <c r="CY71" s="228">
        <f>IFERROR(RD[[#This Row],[33 kV Total Export (MWH)]]/RD[[#This Row],[220 KV Net Export (MWh)]]-1,"")</f>
        <v>8.0369357045220191E-3</v>
      </c>
      <c r="CZ71" s="229">
        <f t="shared" si="91"/>
        <v>50.6</v>
      </c>
      <c r="DA71" s="230">
        <v>96</v>
      </c>
      <c r="DB71" s="231"/>
      <c r="DC71" s="232">
        <f>IFERROR((RD[[#This Row],[Sunset Time (POA&lt;20 W/m2)]]-RD[[#This Row],[Sunrise Time (POA&gt;20 W/m2)]])*24,0)</f>
        <v>0.30000000000000027</v>
      </c>
      <c r="DD71" s="70">
        <f>SUM(RD[[#This Row],[33 kV_Wind_F3_Export_Reading3]],CJ71,CK71,CL71,CM71)</f>
        <v>581624.9999999922</v>
      </c>
      <c r="DE71" s="233"/>
      <c r="DF71" s="70">
        <f t="shared" si="82"/>
        <v>596969.99999999919</v>
      </c>
      <c r="DG71" s="230">
        <v>619.59</v>
      </c>
      <c r="DH71">
        <f>'WTG Reactive Power'!AB69</f>
        <v>163800.4</v>
      </c>
    </row>
    <row r="72" spans="1:112">
      <c r="A72" s="210">
        <f>YEAR(RD[[#This Row],[Date]])+IF(MONTH(RD[[#This Row],[Date]])&gt;=4,1,0)</f>
        <v>2026</v>
      </c>
      <c r="B72" s="210">
        <f>YEAR(RD[[#This Row],[Date]])</f>
        <v>2025</v>
      </c>
      <c r="C72" s="211">
        <f t="shared" si="83"/>
        <v>45809</v>
      </c>
      <c r="D72" s="210">
        <f>DAY(EOMONTH(RD[[#This Row],[Date]],0))</f>
        <v>30</v>
      </c>
      <c r="E72" s="212">
        <f t="shared" si="84"/>
        <v>45812</v>
      </c>
      <c r="F72" s="204">
        <v>0.26041666666666669</v>
      </c>
      <c r="G72" s="204">
        <v>0.77847222222222223</v>
      </c>
      <c r="H72" s="213">
        <v>29266.2</v>
      </c>
      <c r="I72" s="213">
        <v>26926.7</v>
      </c>
      <c r="J72" s="213">
        <v>24919.9</v>
      </c>
      <c r="K72" s="213">
        <v>22334.799999999999</v>
      </c>
      <c r="L72" s="213">
        <v>24403.4</v>
      </c>
      <c r="M72" s="213">
        <v>24795.3</v>
      </c>
      <c r="N72" s="213">
        <v>25103.5</v>
      </c>
      <c r="O72" s="213">
        <v>25795.1</v>
      </c>
      <c r="P72" s="213">
        <v>24233.5</v>
      </c>
      <c r="Q72" s="213">
        <v>24276.7</v>
      </c>
      <c r="R72" s="213">
        <v>22210.7</v>
      </c>
      <c r="S72" s="213">
        <v>25369.5</v>
      </c>
      <c r="T72" s="213">
        <v>25954.2</v>
      </c>
      <c r="U72" s="213">
        <v>22778.5</v>
      </c>
      <c r="V72" s="213">
        <v>29479.599999999999</v>
      </c>
      <c r="W72" s="213">
        <v>27781.200000000001</v>
      </c>
      <c r="X72" s="213">
        <v>28243.9</v>
      </c>
      <c r="Y72" s="213">
        <v>25029.200000000001</v>
      </c>
      <c r="Z72" s="213">
        <v>25881.3</v>
      </c>
      <c r="AA72" s="213">
        <v>23178.5</v>
      </c>
      <c r="AB72" s="213">
        <v>22885.200000000001</v>
      </c>
      <c r="AC72" s="213">
        <v>24097.200000000001</v>
      </c>
      <c r="AD72" s="213">
        <v>25088.7</v>
      </c>
      <c r="AE72" s="350">
        <v>7.6</v>
      </c>
      <c r="AF72" s="350">
        <v>7.3</v>
      </c>
      <c r="AG72" s="350">
        <v>7.4</v>
      </c>
      <c r="AH72" s="350">
        <v>6.9</v>
      </c>
      <c r="AI72" s="350">
        <v>7.1</v>
      </c>
      <c r="AJ72" s="350">
        <v>7.1</v>
      </c>
      <c r="AK72" s="350">
        <v>7.2</v>
      </c>
      <c r="AL72" s="350">
        <v>7.3</v>
      </c>
      <c r="AM72" s="350">
        <v>7.1</v>
      </c>
      <c r="AN72" s="350">
        <v>7</v>
      </c>
      <c r="AO72" s="350">
        <v>7.1</v>
      </c>
      <c r="AP72" s="350">
        <v>7.2</v>
      </c>
      <c r="AQ72" s="350">
        <v>7.3</v>
      </c>
      <c r="AR72" s="350">
        <v>6.9</v>
      </c>
      <c r="AS72" s="350">
        <v>7.9</v>
      </c>
      <c r="AT72" s="350">
        <v>7.4</v>
      </c>
      <c r="AU72" s="350">
        <v>7.6</v>
      </c>
      <c r="AV72" s="350">
        <v>7.2</v>
      </c>
      <c r="AW72" s="350">
        <v>7.3</v>
      </c>
      <c r="AX72" s="350">
        <v>7</v>
      </c>
      <c r="AY72" s="350">
        <v>7.3</v>
      </c>
      <c r="AZ72" s="350">
        <v>7.3</v>
      </c>
      <c r="BA72" s="350">
        <v>7.1</v>
      </c>
      <c r="BB72" s="214">
        <f t="shared" si="85"/>
        <v>253315.1</v>
      </c>
      <c r="BC72" s="216">
        <f t="shared" si="86"/>
        <v>56025.100000000006</v>
      </c>
      <c r="BD72" s="180">
        <f t="shared" si="70"/>
        <v>194764.80000000002</v>
      </c>
      <c r="BE72" s="216">
        <f t="shared" si="87"/>
        <v>25029.200000000001</v>
      </c>
      <c r="BF72" s="179">
        <f t="shared" si="71"/>
        <v>50898.6</v>
      </c>
      <c r="BG72" s="216">
        <f>SUM(RD[[#This Row],[KUD01]:[KUD23]])</f>
        <v>580032.79999999993</v>
      </c>
      <c r="BH72" s="217">
        <f t="shared" si="88"/>
        <v>7.2700000000000005</v>
      </c>
      <c r="BI72" s="219">
        <f t="shared" si="89"/>
        <v>7.5</v>
      </c>
      <c r="BJ72" s="219">
        <f t="shared" si="90"/>
        <v>7.169999999999999</v>
      </c>
      <c r="BK72" s="221">
        <f t="shared" si="81"/>
        <v>7.2</v>
      </c>
      <c r="BL72" s="61">
        <f>IFERROR(AVERAGEIF(RD[[#This Row],[WS_KUD07]:[WS_KUD08]],"&lt;&gt;0",RD[[#This Row],[WS_KUD07]:[WS_KUD08]]),"")</f>
        <v>7.25</v>
      </c>
      <c r="BM72" s="223">
        <f>IFERROR(AVERAGE(RD[[#This Row],[WS_KUD01]:[WS_KUD23]]),"")</f>
        <v>7.2434782608695665</v>
      </c>
      <c r="BN72" s="224">
        <f>IFERROR(MAX(RD[[#This Row],[WS_KUD01]:[WS_KUD23]]),"")</f>
        <v>7.9</v>
      </c>
      <c r="BO72" s="172">
        <v>640.30499999999995</v>
      </c>
      <c r="BP72" s="349">
        <v>937.89800000000002</v>
      </c>
      <c r="BQ72" s="349">
        <v>90.591999999999999</v>
      </c>
      <c r="BR72" s="349">
        <v>267.07499999999999</v>
      </c>
      <c r="BS72" s="349">
        <v>203.95599999999999</v>
      </c>
      <c r="BT72" s="349">
        <v>309.62400000000002</v>
      </c>
      <c r="BU72" s="349"/>
      <c r="BV72" s="349">
        <v>98.566999999999993</v>
      </c>
      <c r="BW72" s="172">
        <v>206093</v>
      </c>
      <c r="BX72" s="172">
        <v>272387</v>
      </c>
      <c r="BY72" s="349">
        <v>142.786</v>
      </c>
      <c r="BZ72" s="349">
        <v>99.286000000000001</v>
      </c>
      <c r="CA72" s="349">
        <v>296.71600000000001</v>
      </c>
      <c r="CB72" s="349">
        <v>121.81399999999999</v>
      </c>
      <c r="CC72" s="349">
        <v>0.122</v>
      </c>
      <c r="CD72" s="172">
        <v>0</v>
      </c>
      <c r="CE72" s="349">
        <v>233.94900000000001</v>
      </c>
      <c r="CF72" s="226" t="str">
        <f>IF((RD[[#This Row],[33 kV_Wind_F1_Export reading]]-BO71)*165000&lt;=0,"",(RD[[#This Row],[33 kV_Wind_F1_Export reading]]-BO71)*165000)</f>
        <v/>
      </c>
      <c r="CG72" s="227">
        <f>IF((RD[[#This Row],[33 kV_Wind_F2_Export_reading]]-BP71)*165000&lt;=0,"",(RD[[#This Row],[33 kV_Wind_F2_Export_reading]]-BP71)*165000)</f>
        <v>288914.9999999961</v>
      </c>
      <c r="CH72" s="64">
        <f>IF((RD[[#This Row],[33 kV_Wind_F3_Export_Reading]]-BQ71)*225000&lt;=0,"",(RD[[#This Row],[33 kV_Wind_F3_Export_Reading]]-BQ71)*225000)</f>
        <v>195299.99999999886</v>
      </c>
      <c r="CI72" s="64">
        <f>IF((RD[[#This Row],[33 kV_Wind_F4_Export Reading]]-BR71)*165000&lt;=0,"",(RD[[#This Row],[33 kV_Wind_F4_Export Reading]]-BR71)*165000)</f>
        <v>270599.99999999773</v>
      </c>
      <c r="CJ72" s="209">
        <f>IF((RD[[#This Row],[33 kV_Solar_F1_Export Reading]]-BS71)*225000&lt;=0,"",(RD[[#This Row],[33 kV_Solar_F1_Export Reading]]-BS71)*225000)</f>
        <v>203399.99999999919</v>
      </c>
      <c r="CK72" s="74">
        <f>IF((RD[[#This Row],[33kV_Solar_F2_Export Reading]]-BT71)*225000&lt;=0,"",(RD[[#This Row],[33kV_Solar_F2_Export Reading]]-BT71)*225000)</f>
        <v>153675.00000001115</v>
      </c>
      <c r="CL72" s="209" t="str">
        <f>IF((RD[[#This Row],[33 kV_Solar_F3_Export reading]]-BU71)*225000&lt;=0,"",(RD[[#This Row],[33 kV_Solar_F3_Export reading]]-BU71)*225000)</f>
        <v/>
      </c>
      <c r="CM72" s="63">
        <f>IF((RD[[#This Row],[32kV_Solar_F4_Export reading]]-BV71)*225000&lt;=0,"",(RD[[#This Row],[32kV_Solar_F4_Export reading]]-BV71)*225000)</f>
        <v>153224.99999999942</v>
      </c>
      <c r="CN72" s="227">
        <f>IF((RD[[#This Row],[33kV_OG1_Export reading]]-BW71)*1000&lt;=0,0,(RD[[#This Row],[33kV_OG1_Export reading]]-BW71)*1000)</f>
        <v>510000</v>
      </c>
      <c r="CO72" s="227">
        <f>IFERROR(IF((RD[[#This Row],[33kV_OG2_Export reading]]-BX71)*1000&lt;=0,0,(RD[[#This Row],[33kV_OG2_Export reading]]-BX71)*1000),0)</f>
        <v>756000</v>
      </c>
      <c r="CP72" s="74">
        <f>IF((RD[[#This Row],[220kV_TX1_Export reading]]-BY71)*800000&lt;=0,0,(RD[[#This Row],[220kV_TX1_Export reading]]-BY71)*800000)</f>
        <v>505600.00000000402</v>
      </c>
      <c r="CQ72" s="209">
        <f>IF((RD[[#This Row],[220kV_Tx2_Export reading]]-BZ71)*800000&lt;=0,0,(RD[[#This Row],[220kV_Tx2_Export reading]]-BZ71)*800000)</f>
        <v>751200.0000000057</v>
      </c>
      <c r="CR72" s="227">
        <f>IF((RD[[#This Row],[220kV_TL_TVM Export Reading]]-CA71)*1600000&lt;=0,0,(RD[[#This Row],[220kV_TL_TVM Export Reading]]-CA71)*1600000)</f>
        <v>1256000.00000004</v>
      </c>
      <c r="CS72" s="227">
        <f>IF((RD[[#This Row],[220kV_C&amp;R_PQM reading]]-CB71)*1600000&lt;=0,"",(RD[[#This Row],[220kV_C&amp;R_PQM reading]]-CB71)*1600000)</f>
        <v>1260799.9999999946</v>
      </c>
      <c r="CT72" s="209">
        <f>IFERROR(IF((RD[[#This Row],[220KV_C&amp;R_PQM Import Reading]]-CC71)*1600000&lt;=0,0,(RD[[#This Row],[220KV_C&amp;R_PQM Import Reading]]-CC71)*1600000),"")</f>
        <v>0</v>
      </c>
      <c r="CU72" s="64" t="str">
        <f>IF((RD[[#This Row],[33kV_Aux1 Import Reading]]-CD71)*1000&lt;=0,"",(RD[[#This Row],[33kV_Aux1 Import Reading]]-CD71)*1000)</f>
        <v/>
      </c>
      <c r="CV72" s="227">
        <f>IF((RD[[#This Row],[33kV_Aux2_Import reading]]-CE71)*1000&lt;=0,"",(RD[[#This Row],[33kV_Aux2_Import reading]]-CE71)*1000)</f>
        <v>390.00000000001478</v>
      </c>
      <c r="CW72" s="227">
        <f>IFERROR(RD[[#This Row],[33kV_OG1_Energy (MWh)]]+RD[[#This Row],[33kV_OG2_Energy (MWh)]],"")</f>
        <v>1266000</v>
      </c>
      <c r="CX72" s="227">
        <f>IFERROR(RD[[#This Row],[220kV_TL_TVM Energy (MWh)]]-RD[[#This Row],[220KV_C&amp;R_PQM Import (MWh)]],"")</f>
        <v>1256000.00000004</v>
      </c>
      <c r="CY72" s="228">
        <f>IFERROR(RD[[#This Row],[33 kV Total Export (MWH)]]/RD[[#This Row],[220 KV Net Export (MWh)]]-1,"")</f>
        <v>7.9617834394583031E-3</v>
      </c>
      <c r="CZ72" s="229">
        <f t="shared" si="91"/>
        <v>50.6</v>
      </c>
      <c r="DA72" s="230">
        <v>96</v>
      </c>
      <c r="DB72" s="231"/>
      <c r="DC72" s="232">
        <f>IFERROR((RD[[#This Row],[Sunset Time (POA&lt;20 W/m2)]]-RD[[#This Row],[Sunrise Time (POA&gt;20 W/m2)]])*24,0)</f>
        <v>12.433333333333332</v>
      </c>
      <c r="DD72" s="70">
        <f>SUM(RD[[#This Row],[33 kV_Wind_F3_Export_Reading3]],CJ72,CK72,CL72,CM72)</f>
        <v>705600.00000000861</v>
      </c>
      <c r="DE72" s="233"/>
      <c r="DF72" s="70">
        <f t="shared" si="82"/>
        <v>559514.99999999383</v>
      </c>
      <c r="DG72" s="230">
        <v>580.02</v>
      </c>
      <c r="DH72">
        <f>'WTG Reactive Power'!AB70</f>
        <v>107193.29999999999</v>
      </c>
    </row>
    <row r="73" spans="1:112">
      <c r="A73" s="210">
        <f>YEAR(RD[[#This Row],[Date]])+IF(MONTH(RD[[#This Row],[Date]])&gt;=4,1,0)</f>
        <v>2026</v>
      </c>
      <c r="B73" s="210">
        <f>YEAR(RD[[#This Row],[Date]])</f>
        <v>2025</v>
      </c>
      <c r="C73" s="211">
        <f t="shared" si="83"/>
        <v>45809</v>
      </c>
      <c r="D73" s="210">
        <f>DAY(EOMONTH(RD[[#This Row],[Date]],0))</f>
        <v>30</v>
      </c>
      <c r="E73" s="212">
        <f t="shared" si="84"/>
        <v>45813</v>
      </c>
      <c r="F73" s="206">
        <v>0.25833333333333336</v>
      </c>
      <c r="G73" s="206">
        <v>0.77083333333333337</v>
      </c>
      <c r="H73" s="213">
        <v>18484.7</v>
      </c>
      <c r="I73" s="213">
        <v>17250.8</v>
      </c>
      <c r="J73" s="213">
        <v>15502.4</v>
      </c>
      <c r="K73" s="213">
        <v>12670.6</v>
      </c>
      <c r="L73" s="213">
        <v>13268.9</v>
      </c>
      <c r="M73" s="213">
        <v>14650.7</v>
      </c>
      <c r="N73" s="213">
        <v>15155.5</v>
      </c>
      <c r="O73" s="213">
        <v>18170.2</v>
      </c>
      <c r="P73" s="213">
        <v>14119.9</v>
      </c>
      <c r="Q73" s="213">
        <v>15486</v>
      </c>
      <c r="R73" s="213">
        <v>14142.5</v>
      </c>
      <c r="S73" s="213">
        <v>14002.7</v>
      </c>
      <c r="T73" s="213">
        <v>14861.3</v>
      </c>
      <c r="U73" s="213">
        <v>13221.3</v>
      </c>
      <c r="V73" s="213">
        <v>19821</v>
      </c>
      <c r="W73" s="213">
        <v>18623.7</v>
      </c>
      <c r="X73" s="213">
        <v>17515.900000000001</v>
      </c>
      <c r="Y73" s="213">
        <v>14577.2</v>
      </c>
      <c r="Z73" s="213">
        <v>15387.4</v>
      </c>
      <c r="AA73" s="213">
        <v>12562.5</v>
      </c>
      <c r="AB73" s="213">
        <v>15240.4</v>
      </c>
      <c r="AC73" s="213">
        <v>13662.6</v>
      </c>
      <c r="AD73" s="213">
        <v>15895.2</v>
      </c>
      <c r="AE73" s="350">
        <v>6.2</v>
      </c>
      <c r="AF73" s="350">
        <v>6.2</v>
      </c>
      <c r="AG73" s="350">
        <v>6.1</v>
      </c>
      <c r="AH73" s="350">
        <v>5.6</v>
      </c>
      <c r="AI73" s="350">
        <v>5.8</v>
      </c>
      <c r="AJ73" s="350">
        <v>5.8</v>
      </c>
      <c r="AK73" s="350">
        <v>6</v>
      </c>
      <c r="AL73" s="350">
        <v>6.3</v>
      </c>
      <c r="AM73" s="350">
        <v>5.9</v>
      </c>
      <c r="AN73" s="350">
        <v>5.9</v>
      </c>
      <c r="AO73" s="350">
        <v>6</v>
      </c>
      <c r="AP73" s="350">
        <v>5.8</v>
      </c>
      <c r="AQ73" s="350">
        <v>5.9</v>
      </c>
      <c r="AR73" s="350">
        <v>5.6</v>
      </c>
      <c r="AS73" s="350">
        <v>6.7</v>
      </c>
      <c r="AT73" s="350">
        <v>6.3</v>
      </c>
      <c r="AU73" s="350">
        <v>6.3</v>
      </c>
      <c r="AV73" s="350">
        <v>6</v>
      </c>
      <c r="AW73" s="350">
        <v>6</v>
      </c>
      <c r="AX73" s="350">
        <v>5.6</v>
      </c>
      <c r="AY73" s="350">
        <v>6.3</v>
      </c>
      <c r="AZ73" s="350">
        <v>6.1</v>
      </c>
      <c r="BA73" s="350">
        <v>6</v>
      </c>
      <c r="BB73" s="214">
        <f t="shared" si="85"/>
        <v>153471.80000000002</v>
      </c>
      <c r="BC73" s="216">
        <f t="shared" si="86"/>
        <v>36139.600000000006</v>
      </c>
      <c r="BD73" s="180">
        <f t="shared" si="70"/>
        <v>116759.09999999999</v>
      </c>
      <c r="BE73" s="216">
        <f t="shared" si="87"/>
        <v>14577.2</v>
      </c>
      <c r="BF73" s="179">
        <f t="shared" si="71"/>
        <v>33325.699999999997</v>
      </c>
      <c r="BG73" s="216">
        <f>SUM(RD[[#This Row],[KUD01]:[KUD23]])</f>
        <v>354273.4</v>
      </c>
      <c r="BH73" s="217">
        <f t="shared" si="88"/>
        <v>5.9800000000000013</v>
      </c>
      <c r="BI73" s="219">
        <f t="shared" si="89"/>
        <v>6.3</v>
      </c>
      <c r="BJ73" s="219">
        <f t="shared" si="90"/>
        <v>6</v>
      </c>
      <c r="BK73" s="221">
        <f t="shared" si="81"/>
        <v>6</v>
      </c>
      <c r="BL73" s="61">
        <f>IFERROR(AVERAGEIF(RD[[#This Row],[WS_KUD07]:[WS_KUD08]],"&lt;&gt;0",RD[[#This Row],[WS_KUD07]:[WS_KUD08]]),"")</f>
        <v>6.15</v>
      </c>
      <c r="BM73" s="223">
        <f>IFERROR(AVERAGE(RD[[#This Row],[WS_KUD01]:[WS_KUD23]]),"")</f>
        <v>6.0173913043478251</v>
      </c>
      <c r="BN73" s="224">
        <f>IFERROR(MAX(RD[[#This Row],[WS_KUD01]:[WS_KUD23]]),"")</f>
        <v>6.7</v>
      </c>
      <c r="BO73" s="172">
        <v>640.30499999999995</v>
      </c>
      <c r="BP73" s="349">
        <v>938.96299999999997</v>
      </c>
      <c r="BQ73" s="349">
        <v>91.566999999999993</v>
      </c>
      <c r="BR73" s="349">
        <v>268.08699999999999</v>
      </c>
      <c r="BS73" s="349">
        <v>204.97800000000001</v>
      </c>
      <c r="BT73" s="349">
        <v>310.43299999999999</v>
      </c>
      <c r="BU73" s="349"/>
      <c r="BV73" s="349">
        <v>99.352999999999994</v>
      </c>
      <c r="BW73" s="172">
        <v>206682</v>
      </c>
      <c r="BX73" s="172">
        <v>272949</v>
      </c>
      <c r="BY73" s="349">
        <v>143.51400000000001</v>
      </c>
      <c r="BZ73" s="349">
        <v>99.981999999999999</v>
      </c>
      <c r="CA73" s="349">
        <v>297.43</v>
      </c>
      <c r="CB73" s="349">
        <v>122.529</v>
      </c>
      <c r="CC73" s="349">
        <v>0.122</v>
      </c>
      <c r="CD73" s="172">
        <v>0</v>
      </c>
      <c r="CE73" s="349">
        <v>234.339</v>
      </c>
      <c r="CF73" s="226" t="str">
        <f>IF((RD[[#This Row],[33 kV_Wind_F1_Export reading]]-BO72)*165000&lt;=0,"",(RD[[#This Row],[33 kV_Wind_F1_Export reading]]-BO72)*165000)</f>
        <v/>
      </c>
      <c r="CG73" s="227">
        <f>IF((RD[[#This Row],[33 kV_Wind_F2_Export_reading]]-BP72)*165000&lt;=0,"",(RD[[#This Row],[33 kV_Wind_F2_Export_reading]]-BP72)*165000)</f>
        <v>175724.99999999025</v>
      </c>
      <c r="CH73" s="64">
        <f>IF((RD[[#This Row],[33 kV_Wind_F3_Export_Reading]]-BQ72)*225000&lt;=0,"",(RD[[#This Row],[33 kV_Wind_F3_Export_Reading]]-BQ72)*225000)</f>
        <v>219374.99999999872</v>
      </c>
      <c r="CI73" s="64">
        <f>IF((RD[[#This Row],[33 kV_Wind_F4_Export Reading]]-BR72)*165000&lt;=0,"",(RD[[#This Row],[33 kV_Wind_F4_Export Reading]]-BR72)*165000)</f>
        <v>166980.00000000009</v>
      </c>
      <c r="CJ73" s="209">
        <f>IF((RD[[#This Row],[33 kV_Solar_F1_Export Reading]]-BS72)*225000&lt;=0,"",(RD[[#This Row],[33 kV_Solar_F1_Export Reading]]-BS72)*225000)</f>
        <v>229950.00000000445</v>
      </c>
      <c r="CK73" s="74">
        <f>IF((RD[[#This Row],[33kV_Solar_F2_Export Reading]]-BT72)*225000&lt;=0,"",(RD[[#This Row],[33kV_Solar_F2_Export Reading]]-BT72)*225000)</f>
        <v>182024.99999999304</v>
      </c>
      <c r="CL73" s="209" t="str">
        <f>IF((RD[[#This Row],[33 kV_Solar_F3_Export reading]]-BU72)*225000&lt;=0,"",(RD[[#This Row],[33 kV_Solar_F3_Export reading]]-BU72)*225000)</f>
        <v/>
      </c>
      <c r="CM73" s="63">
        <f>IF((RD[[#This Row],[32kV_Solar_F4_Export reading]]-BV72)*225000&lt;=0,"",(RD[[#This Row],[32kV_Solar_F4_Export reading]]-BV72)*225000)</f>
        <v>176850.00000000032</v>
      </c>
      <c r="CN73" s="227">
        <f>IF((RD[[#This Row],[33kV_OG1_Export reading]]-BW72)*1000&lt;=0,0,(RD[[#This Row],[33kV_OG1_Export reading]]-BW72)*1000)</f>
        <v>589000</v>
      </c>
      <c r="CO73" s="227">
        <f>IFERROR(IF((RD[[#This Row],[33kV_OG2_Export reading]]-BX72)*1000&lt;=0,0,(RD[[#This Row],[33kV_OG2_Export reading]]-BX72)*1000),0)</f>
        <v>562000</v>
      </c>
      <c r="CP73" s="74">
        <f>IF((RD[[#This Row],[220kV_TX1_Export reading]]-BY72)*800000&lt;=0,0,(RD[[#This Row],[220kV_TX1_Export reading]]-BY72)*800000)</f>
        <v>582400.00000000687</v>
      </c>
      <c r="CQ73" s="209">
        <f>IF((RD[[#This Row],[220kV_Tx2_Export reading]]-BZ72)*800000&lt;=0,0,(RD[[#This Row],[220kV_Tx2_Export reading]]-BZ72)*800000)</f>
        <v>556799.99999999837</v>
      </c>
      <c r="CR73" s="227">
        <f>IF((RD[[#This Row],[220kV_TL_TVM Export Reading]]-CA72)*1600000&lt;=0,0,(RD[[#This Row],[220kV_TL_TVM Export Reading]]-CA72)*1600000)</f>
        <v>1142399.9999999979</v>
      </c>
      <c r="CS73" s="227">
        <f>IF((RD[[#This Row],[220kV_C&amp;R_PQM reading]]-CB72)*1600000&lt;=0,"",(RD[[#This Row],[220kV_C&amp;R_PQM reading]]-CB72)*1600000)</f>
        <v>1144000.0000000054</v>
      </c>
      <c r="CT73" s="209">
        <f>IFERROR(IF((RD[[#This Row],[220KV_C&amp;R_PQM Import Reading]]-CC72)*1600000&lt;=0,0,(RD[[#This Row],[220KV_C&amp;R_PQM Import Reading]]-CC72)*1600000),"")</f>
        <v>0</v>
      </c>
      <c r="CU73" s="64" t="str">
        <f>IF((RD[[#This Row],[33kV_Aux1 Import Reading]]-CD72)*1000&lt;=0,"",(RD[[#This Row],[33kV_Aux1 Import Reading]]-CD72)*1000)</f>
        <v/>
      </c>
      <c r="CV73" s="227">
        <f>IF((RD[[#This Row],[33kV_Aux2_Import reading]]-CE72)*1000&lt;=0,"",(RD[[#This Row],[33kV_Aux2_Import reading]]-CE72)*1000)</f>
        <v>389.99999999998636</v>
      </c>
      <c r="CW73" s="227">
        <f>IFERROR(RD[[#This Row],[33kV_OG1_Energy (MWh)]]+RD[[#This Row],[33kV_OG2_Energy (MWh)]],"")</f>
        <v>1151000</v>
      </c>
      <c r="CX73" s="227">
        <f>IFERROR(RD[[#This Row],[220kV_TL_TVM Energy (MWh)]]-RD[[#This Row],[220KV_C&amp;R_PQM Import (MWh)]],"")</f>
        <v>1142399.9999999979</v>
      </c>
      <c r="CY73" s="228">
        <f>IFERROR(RD[[#This Row],[33 kV Total Export (MWH)]]/RD[[#This Row],[220 KV Net Export (MWh)]]-1,"")</f>
        <v>7.5280112044835423E-3</v>
      </c>
      <c r="CZ73" s="229">
        <f t="shared" si="91"/>
        <v>50.6</v>
      </c>
      <c r="DA73" s="230">
        <v>95</v>
      </c>
      <c r="DB73" s="231"/>
      <c r="DC73" s="232">
        <f>IFERROR((RD[[#This Row],[Sunset Time (POA&lt;20 W/m2)]]-RD[[#This Row],[Sunrise Time (POA&gt;20 W/m2)]])*24,0)</f>
        <v>12.299999999999999</v>
      </c>
      <c r="DD73" s="70">
        <f>SUM(RD[[#This Row],[33 kV_Wind_F3_Export_Reading3]],CJ73,CK73,CL73,CM73)</f>
        <v>808199.99999999651</v>
      </c>
      <c r="DE73" s="233"/>
      <c r="DF73" s="70">
        <f t="shared" si="82"/>
        <v>342704.99999999034</v>
      </c>
      <c r="DG73" s="230">
        <v>358.15</v>
      </c>
      <c r="DH73">
        <f>'WTG Reactive Power'!AB71</f>
        <v>159881.90000000002</v>
      </c>
    </row>
    <row r="74" spans="1:112">
      <c r="A74" s="210">
        <f>YEAR(RD[[#This Row],[Date]])+IF(MONTH(RD[[#This Row],[Date]])&gt;=4,1,0)</f>
        <v>2026</v>
      </c>
      <c r="B74" s="210">
        <f>YEAR(RD[[#This Row],[Date]])</f>
        <v>2025</v>
      </c>
      <c r="C74" s="211">
        <f t="shared" si="83"/>
        <v>45809</v>
      </c>
      <c r="D74" s="210">
        <f>DAY(EOMONTH(RD[[#This Row],[Date]],0))</f>
        <v>30</v>
      </c>
      <c r="E74" s="212">
        <f t="shared" si="84"/>
        <v>45814</v>
      </c>
      <c r="F74" s="206">
        <v>0.26111111111111113</v>
      </c>
      <c r="G74" s="206">
        <v>0.77361111111111114</v>
      </c>
      <c r="H74" s="213">
        <v>12317.7</v>
      </c>
      <c r="I74" s="213">
        <v>12868.3</v>
      </c>
      <c r="J74" s="213">
        <v>11666.8</v>
      </c>
      <c r="K74" s="213">
        <v>11542.5</v>
      </c>
      <c r="L74" s="213">
        <v>12870</v>
      </c>
      <c r="M74" s="213">
        <v>12620.1</v>
      </c>
      <c r="N74" s="213">
        <v>13011.6</v>
      </c>
      <c r="O74" s="213">
        <v>12427.6</v>
      </c>
      <c r="P74" s="213">
        <v>13612.4</v>
      </c>
      <c r="Q74" s="213">
        <v>11227.3</v>
      </c>
      <c r="R74" s="213">
        <v>11978.9</v>
      </c>
      <c r="S74" s="213">
        <v>12249.9</v>
      </c>
      <c r="T74" s="213">
        <v>13380</v>
      </c>
      <c r="U74" s="213">
        <v>12100.6</v>
      </c>
      <c r="V74" s="213">
        <v>14354.1</v>
      </c>
      <c r="W74" s="213">
        <v>15174.2</v>
      </c>
      <c r="X74" s="213">
        <v>13501</v>
      </c>
      <c r="Y74" s="213">
        <v>12793.9</v>
      </c>
      <c r="Z74" s="213">
        <v>13898.2</v>
      </c>
      <c r="AA74" s="213">
        <v>8501.9</v>
      </c>
      <c r="AB74" s="213">
        <v>12784.8</v>
      </c>
      <c r="AC74" s="213">
        <v>13460.9</v>
      </c>
      <c r="AD74" s="213">
        <v>14048.3</v>
      </c>
      <c r="AE74" s="350">
        <v>5.6</v>
      </c>
      <c r="AF74" s="350">
        <v>5.6</v>
      </c>
      <c r="AG74" s="350">
        <v>5.4</v>
      </c>
      <c r="AH74" s="350">
        <v>5.4</v>
      </c>
      <c r="AI74" s="350">
        <v>5.6</v>
      </c>
      <c r="AJ74" s="350">
        <v>5.5</v>
      </c>
      <c r="AK74" s="350">
        <v>5.6</v>
      </c>
      <c r="AL74" s="350">
        <v>5.5</v>
      </c>
      <c r="AM74" s="350">
        <v>5.7</v>
      </c>
      <c r="AN74" s="350">
        <v>5.2</v>
      </c>
      <c r="AO74" s="350">
        <v>5.6</v>
      </c>
      <c r="AP74" s="350">
        <v>5.4</v>
      </c>
      <c r="AQ74" s="350">
        <v>5.6</v>
      </c>
      <c r="AR74" s="350">
        <v>5.4</v>
      </c>
      <c r="AS74" s="350">
        <v>5.9</v>
      </c>
      <c r="AT74" s="350">
        <v>5.8</v>
      </c>
      <c r="AU74" s="350">
        <v>5.7</v>
      </c>
      <c r="AV74" s="350">
        <v>5.6</v>
      </c>
      <c r="AW74" s="350">
        <v>5.7</v>
      </c>
      <c r="AX74" s="350">
        <v>5.3</v>
      </c>
      <c r="AY74" s="350">
        <v>5.9</v>
      </c>
      <c r="AZ74" s="350">
        <v>5.8</v>
      </c>
      <c r="BA74" s="350">
        <v>5.7</v>
      </c>
      <c r="BB74" s="214">
        <f t="shared" si="85"/>
        <v>121675.40000000001</v>
      </c>
      <c r="BC74" s="216">
        <f t="shared" si="86"/>
        <v>28675.200000000001</v>
      </c>
      <c r="BD74" s="180">
        <f t="shared" si="70"/>
        <v>103807.3</v>
      </c>
      <c r="BE74" s="216">
        <f t="shared" si="87"/>
        <v>12793.9</v>
      </c>
      <c r="BF74" s="179">
        <f t="shared" si="71"/>
        <v>25439.200000000001</v>
      </c>
      <c r="BG74" s="216">
        <f>SUM(RD[[#This Row],[KUD01]:[KUD23]])</f>
        <v>292391.00000000006</v>
      </c>
      <c r="BH74" s="217">
        <f t="shared" si="88"/>
        <v>5.51</v>
      </c>
      <c r="BI74" s="219">
        <f t="shared" si="89"/>
        <v>5.75</v>
      </c>
      <c r="BJ74" s="219">
        <f t="shared" si="90"/>
        <v>5.6300000000000008</v>
      </c>
      <c r="BK74" s="221">
        <f t="shared" si="81"/>
        <v>5.6</v>
      </c>
      <c r="BL74" s="61">
        <f>IFERROR(AVERAGEIF(RD[[#This Row],[WS_KUD07]:[WS_KUD08]],"&lt;&gt;0",RD[[#This Row],[WS_KUD07]:[WS_KUD08]]),"")</f>
        <v>5.55</v>
      </c>
      <c r="BM74" s="223">
        <f>IFERROR(AVERAGE(RD[[#This Row],[WS_KUD01]:[WS_KUD23]]),"")</f>
        <v>5.5869565217391308</v>
      </c>
      <c r="BN74" s="224">
        <f>IFERROR(MAX(RD[[#This Row],[WS_KUD01]:[WS_KUD23]]),"")</f>
        <v>5.9</v>
      </c>
      <c r="BO74" s="172">
        <v>640.30499999999995</v>
      </c>
      <c r="BP74" s="349">
        <v>939.88499999999999</v>
      </c>
      <c r="BQ74" s="349">
        <v>92.491</v>
      </c>
      <c r="BR74" s="349">
        <v>268.87599999999998</v>
      </c>
      <c r="BS74" s="349">
        <v>205.928</v>
      </c>
      <c r="BT74" s="349">
        <v>311.12599999999998</v>
      </c>
      <c r="BU74" s="349"/>
      <c r="BV74" s="349">
        <v>100.09099999999999</v>
      </c>
      <c r="BW74" s="172">
        <v>207219</v>
      </c>
      <c r="BX74" s="172">
        <v>273438</v>
      </c>
      <c r="BY74" s="349">
        <v>144.17699999999999</v>
      </c>
      <c r="BZ74" s="349">
        <v>100.58799999999999</v>
      </c>
      <c r="CA74" s="349">
        <v>298.06599999999997</v>
      </c>
      <c r="CB74" s="349">
        <v>123.166</v>
      </c>
      <c r="CC74" s="349">
        <v>0.122</v>
      </c>
      <c r="CD74" s="172">
        <v>0</v>
      </c>
      <c r="CE74" s="349">
        <v>234.72900000000001</v>
      </c>
      <c r="CF74" s="226" t="str">
        <f>IF((RD[[#This Row],[33 kV_Wind_F1_Export reading]]-BO73)*165000&lt;=0,"",(RD[[#This Row],[33 kV_Wind_F1_Export reading]]-BO73)*165000)</f>
        <v/>
      </c>
      <c r="CG74" s="227">
        <f>IF((RD[[#This Row],[33 kV_Wind_F2_Export_reading]]-BP73)*165000&lt;=0,"",(RD[[#This Row],[33 kV_Wind_F2_Export_reading]]-BP73)*165000)</f>
        <v>152130.00000000419</v>
      </c>
      <c r="CH74" s="64">
        <f>IF((RD[[#This Row],[33 kV_Wind_F3_Export_Reading]]-BQ73)*225000&lt;=0,"",(RD[[#This Row],[33 kV_Wind_F3_Export_Reading]]-BQ73)*225000)</f>
        <v>207900.00000000148</v>
      </c>
      <c r="CI74" s="64">
        <f>IF((RD[[#This Row],[33 kV_Wind_F4_Export Reading]]-BR73)*165000&lt;=0,"",(RD[[#This Row],[33 kV_Wind_F4_Export Reading]]-BR73)*165000)</f>
        <v>130184.9999999979</v>
      </c>
      <c r="CJ74" s="209">
        <f>IF((RD[[#This Row],[33 kV_Solar_F1_Export Reading]]-BS73)*225000&lt;=0,"",(RD[[#This Row],[33 kV_Solar_F1_Export Reading]]-BS73)*225000)</f>
        <v>213749.99999999744</v>
      </c>
      <c r="CK74" s="74">
        <f>IF((RD[[#This Row],[33kV_Solar_F2_Export Reading]]-BT73)*225000&lt;=0,"",(RD[[#This Row],[33kV_Solar_F2_Export Reading]]-BT73)*225000)</f>
        <v>155924.9999999963</v>
      </c>
      <c r="CL74" s="209" t="str">
        <f>IF((RD[[#This Row],[33 kV_Solar_F3_Export reading]]-BU73)*225000&lt;=0,"",(RD[[#This Row],[33 kV_Solar_F3_Export reading]]-BU73)*225000)</f>
        <v/>
      </c>
      <c r="CM74" s="63">
        <f>IF((RD[[#This Row],[32kV_Solar_F4_Export reading]]-BV73)*225000&lt;=0,"",(RD[[#This Row],[32kV_Solar_F4_Export reading]]-BV73)*225000)</f>
        <v>166049.99999999988</v>
      </c>
      <c r="CN74" s="227">
        <f>IF((RD[[#This Row],[33kV_OG1_Export reading]]-BW73)*1000&lt;=0,0,(RD[[#This Row],[33kV_OG1_Export reading]]-BW73)*1000)</f>
        <v>537000</v>
      </c>
      <c r="CO74" s="227">
        <f>IFERROR(IF((RD[[#This Row],[33kV_OG2_Export reading]]-BX73)*1000&lt;=0,0,(RD[[#This Row],[33kV_OG2_Export reading]]-BX73)*1000),0)</f>
        <v>489000</v>
      </c>
      <c r="CP74" s="74">
        <f>IF((RD[[#This Row],[220kV_TX1_Export reading]]-BY73)*800000&lt;=0,0,(RD[[#This Row],[220kV_TX1_Export reading]]-BY73)*800000)</f>
        <v>530399.99999998603</v>
      </c>
      <c r="CQ74" s="209">
        <f>IF((RD[[#This Row],[220kV_Tx2_Export reading]]-BZ73)*800000&lt;=0,0,(RD[[#This Row],[220kV_Tx2_Export reading]]-BZ73)*800000)</f>
        <v>484799.99999999563</v>
      </c>
      <c r="CR74" s="227">
        <f>IF((RD[[#This Row],[220kV_TL_TVM Export Reading]]-CA73)*1600000&lt;=0,0,(RD[[#This Row],[220kV_TL_TVM Export Reading]]-CA73)*1600000)</f>
        <v>1017599.9999999476</v>
      </c>
      <c r="CS74" s="227">
        <f>IF((RD[[#This Row],[220kV_C&amp;R_PQM reading]]-CB73)*1600000&lt;=0,"",(RD[[#This Row],[220kV_C&amp;R_PQM reading]]-CB73)*1600000)</f>
        <v>1019200.0000000007</v>
      </c>
      <c r="CT74" s="209">
        <f>IFERROR(IF((RD[[#This Row],[220KV_C&amp;R_PQM Import Reading]]-CC73)*1600000&lt;=0,0,(RD[[#This Row],[220KV_C&amp;R_PQM Import Reading]]-CC73)*1600000),"")</f>
        <v>0</v>
      </c>
      <c r="CU74" s="64" t="str">
        <f>IF((RD[[#This Row],[33kV_Aux1 Import Reading]]-CD73)*1000&lt;=0,"",(RD[[#This Row],[33kV_Aux1 Import Reading]]-CD73)*1000)</f>
        <v/>
      </c>
      <c r="CV74" s="227">
        <f>IF((RD[[#This Row],[33kV_Aux2_Import reading]]-CE73)*1000&lt;=0,"",(RD[[#This Row],[33kV_Aux2_Import reading]]-CE73)*1000)</f>
        <v>390.00000000001478</v>
      </c>
      <c r="CW74" s="227">
        <f>IFERROR(RD[[#This Row],[33kV_OG1_Energy (MWh)]]+RD[[#This Row],[33kV_OG2_Energy (MWh)]],"")</f>
        <v>1026000</v>
      </c>
      <c r="CX74" s="227">
        <f>IFERROR(RD[[#This Row],[220kV_TL_TVM Energy (MWh)]]-RD[[#This Row],[220KV_C&amp;R_PQM Import (MWh)]],"")</f>
        <v>1017599.9999999476</v>
      </c>
      <c r="CY74" s="228">
        <f>IFERROR(RD[[#This Row],[33 kV Total Export (MWH)]]/RD[[#This Row],[220 KV Net Export (MWh)]]-1,"")</f>
        <v>8.2547169811839627E-3</v>
      </c>
      <c r="CZ74" s="229">
        <f t="shared" si="91"/>
        <v>50.6</v>
      </c>
      <c r="DA74" s="230">
        <v>96</v>
      </c>
      <c r="DB74" s="231"/>
      <c r="DC74" s="232">
        <f>IFERROR((RD[[#This Row],[Sunset Time (POA&lt;20 W/m2)]]-RD[[#This Row],[Sunrise Time (POA&gt;20 W/m2)]])*24,0)</f>
        <v>12.299999999999999</v>
      </c>
      <c r="DD74" s="70">
        <f>SUM(RD[[#This Row],[33 kV_Wind_F3_Export_Reading3]],CJ74,CK74,CL74,CM74)</f>
        <v>743624.99999999511</v>
      </c>
      <c r="DE74" s="233"/>
      <c r="DF74" s="70">
        <f t="shared" si="82"/>
        <v>282315.0000000021</v>
      </c>
      <c r="DG74" s="230">
        <v>292.76</v>
      </c>
      <c r="DH74">
        <f>'WTG Reactive Power'!AB72</f>
        <v>83300.200000000012</v>
      </c>
    </row>
    <row r="75" spans="1:112">
      <c r="A75" s="210">
        <f>YEAR(RD[[#This Row],[Date]])+IF(MONTH(RD[[#This Row],[Date]])&gt;=4,1,0)</f>
        <v>2026</v>
      </c>
      <c r="B75" s="210">
        <f>YEAR(RD[[#This Row],[Date]])</f>
        <v>2025</v>
      </c>
      <c r="C75" s="211">
        <f t="shared" si="83"/>
        <v>45809</v>
      </c>
      <c r="D75" s="210">
        <f>DAY(EOMONTH(RD[[#This Row],[Date]],0))</f>
        <v>30</v>
      </c>
      <c r="E75" s="212">
        <f t="shared" si="84"/>
        <v>45815</v>
      </c>
      <c r="F75" s="206">
        <v>0.26041666666666669</v>
      </c>
      <c r="G75" s="206">
        <v>0.7729166666666667</v>
      </c>
      <c r="H75" s="213">
        <v>21829</v>
      </c>
      <c r="I75" s="213">
        <v>20972.2</v>
      </c>
      <c r="J75" s="213">
        <v>16590.900000000001</v>
      </c>
      <c r="K75" s="213">
        <v>16254.5</v>
      </c>
      <c r="L75" s="213">
        <v>18932.7</v>
      </c>
      <c r="M75" s="213">
        <v>17868</v>
      </c>
      <c r="N75" s="213">
        <v>17873.3</v>
      </c>
      <c r="O75" s="213">
        <v>18685.599999999999</v>
      </c>
      <c r="P75" s="213">
        <v>18195.7</v>
      </c>
      <c r="Q75" s="213">
        <v>18228.8</v>
      </c>
      <c r="R75" s="213">
        <v>17172.599999999999</v>
      </c>
      <c r="S75" s="213">
        <v>17963.5</v>
      </c>
      <c r="T75" s="213">
        <v>19565.2</v>
      </c>
      <c r="U75" s="213">
        <v>18132.7</v>
      </c>
      <c r="V75" s="213">
        <v>23271</v>
      </c>
      <c r="W75" s="213">
        <v>23374.6</v>
      </c>
      <c r="X75" s="213">
        <v>22786.799999999999</v>
      </c>
      <c r="Y75" s="213">
        <v>19768.3</v>
      </c>
      <c r="Z75" s="213">
        <v>20368.2</v>
      </c>
      <c r="AA75" s="213">
        <v>17407.900000000001</v>
      </c>
      <c r="AB75" s="213">
        <v>20737.2</v>
      </c>
      <c r="AC75" s="213">
        <v>18646.599999999999</v>
      </c>
      <c r="AD75" s="213">
        <v>22796.400000000001</v>
      </c>
      <c r="AE75" s="350">
        <v>6.8</v>
      </c>
      <c r="AF75" s="350">
        <v>6.8</v>
      </c>
      <c r="AG75" s="350">
        <v>6.5</v>
      </c>
      <c r="AH75" s="350">
        <v>6.2</v>
      </c>
      <c r="AI75" s="350">
        <v>6.7</v>
      </c>
      <c r="AJ75" s="350">
        <v>6.4</v>
      </c>
      <c r="AK75" s="350">
        <v>6.5</v>
      </c>
      <c r="AL75" s="350">
        <v>6.6</v>
      </c>
      <c r="AM75" s="350">
        <v>6.4</v>
      </c>
      <c r="AN75" s="350">
        <v>6.5</v>
      </c>
      <c r="AO75" s="350">
        <v>6.6</v>
      </c>
      <c r="AP75" s="350">
        <v>6.4</v>
      </c>
      <c r="AQ75" s="350">
        <v>6.6</v>
      </c>
      <c r="AR75" s="350">
        <v>6.4</v>
      </c>
      <c r="AS75" s="350">
        <v>7.2</v>
      </c>
      <c r="AT75" s="350">
        <v>7</v>
      </c>
      <c r="AU75" s="350">
        <v>7</v>
      </c>
      <c r="AV75" s="350">
        <v>6.7</v>
      </c>
      <c r="AW75" s="350">
        <v>6.8</v>
      </c>
      <c r="AX75" s="350">
        <v>6.4</v>
      </c>
      <c r="AY75" s="350">
        <v>7.2</v>
      </c>
      <c r="AZ75" s="350">
        <v>6.6</v>
      </c>
      <c r="BA75" s="350">
        <v>7</v>
      </c>
      <c r="BB75" s="214">
        <f t="shared" si="85"/>
        <v>190529.8</v>
      </c>
      <c r="BC75" s="216">
        <f t="shared" si="86"/>
        <v>46161.399999999994</v>
      </c>
      <c r="BD75" s="180">
        <f t="shared" si="70"/>
        <v>154403.29999999999</v>
      </c>
      <c r="BE75" s="216">
        <f t="shared" si="87"/>
        <v>19768.3</v>
      </c>
      <c r="BF75" s="179">
        <f t="shared" si="71"/>
        <v>36558.899999999994</v>
      </c>
      <c r="BG75" s="216">
        <f>SUM(RD[[#This Row],[KUD01]:[KUD23]])</f>
        <v>447421.70000000007</v>
      </c>
      <c r="BH75" s="217">
        <f t="shared" si="88"/>
        <v>6.62</v>
      </c>
      <c r="BI75" s="219">
        <f t="shared" si="89"/>
        <v>7</v>
      </c>
      <c r="BJ75" s="219">
        <f t="shared" si="90"/>
        <v>6.6400000000000006</v>
      </c>
      <c r="BK75" s="221">
        <f t="shared" si="81"/>
        <v>6.7</v>
      </c>
      <c r="BL75" s="61">
        <f>IFERROR(AVERAGEIF(RD[[#This Row],[WS_KUD07]:[WS_KUD08]],"&lt;&gt;0",RD[[#This Row],[WS_KUD07]:[WS_KUD08]]),"")</f>
        <v>6.55</v>
      </c>
      <c r="BM75" s="223">
        <f>IFERROR(AVERAGE(RD[[#This Row],[WS_KUD01]:[WS_KUD23]]),"")</f>
        <v>6.6652173913043473</v>
      </c>
      <c r="BN75" s="224">
        <f>IFERROR(MAX(RD[[#This Row],[WS_KUD01]:[WS_KUD23]]),"")</f>
        <v>7.2</v>
      </c>
      <c r="BO75" s="172">
        <v>640.30499999999995</v>
      </c>
      <c r="BP75" s="349">
        <v>941.274</v>
      </c>
      <c r="BQ75" s="349">
        <v>93.546999999999997</v>
      </c>
      <c r="BR75" s="349">
        <v>270.10899999999998</v>
      </c>
      <c r="BS75" s="349">
        <v>207.06800000000001</v>
      </c>
      <c r="BT75" s="349">
        <v>311.97800000000001</v>
      </c>
      <c r="BU75" s="349"/>
      <c r="BV75" s="349">
        <v>100.92700000000001</v>
      </c>
      <c r="BW75" s="172">
        <v>207855</v>
      </c>
      <c r="BX75" s="172">
        <v>274112</v>
      </c>
      <c r="BY75" s="349">
        <v>144.964</v>
      </c>
      <c r="BZ75" s="349">
        <v>101.42</v>
      </c>
      <c r="CA75" s="349">
        <v>298.87700000000001</v>
      </c>
      <c r="CB75" s="349">
        <v>123.979</v>
      </c>
      <c r="CC75" s="349">
        <v>0.122</v>
      </c>
      <c r="CD75" s="172">
        <v>0</v>
      </c>
      <c r="CE75" s="349">
        <v>235.119</v>
      </c>
      <c r="CF75" s="226" t="str">
        <f>IF((RD[[#This Row],[33 kV_Wind_F1_Export reading]]-BO74)*165000&lt;=0,"",(RD[[#This Row],[33 kV_Wind_F1_Export reading]]-BO74)*165000)</f>
        <v/>
      </c>
      <c r="CG75" s="227">
        <f>IF((RD[[#This Row],[33 kV_Wind_F2_Export_reading]]-BP74)*165000&lt;=0,"",(RD[[#This Row],[33 kV_Wind_F2_Export_reading]]-BP74)*165000)</f>
        <v>229185.00000000166</v>
      </c>
      <c r="CH75" s="64">
        <f>IF((RD[[#This Row],[33 kV_Wind_F3_Export_Reading]]-BQ74)*225000&lt;=0,"",(RD[[#This Row],[33 kV_Wind_F3_Export_Reading]]-BQ74)*225000)</f>
        <v>237599.99999999942</v>
      </c>
      <c r="CI75" s="64">
        <f>IF((RD[[#This Row],[33 kV_Wind_F4_Export Reading]]-BR74)*165000&lt;=0,"",(RD[[#This Row],[33 kV_Wind_F4_Export Reading]]-BR74)*165000)</f>
        <v>203445.00000000067</v>
      </c>
      <c r="CJ75" s="209">
        <f>IF((RD[[#This Row],[33 kV_Solar_F1_Export Reading]]-BS74)*225000&lt;=0,"",(RD[[#This Row],[33 kV_Solar_F1_Export Reading]]-BS74)*225000)</f>
        <v>256500.00000000332</v>
      </c>
      <c r="CK75" s="74">
        <f>IF((RD[[#This Row],[33kV_Solar_F2_Export Reading]]-BT74)*225000&lt;=0,"",(RD[[#This Row],[33kV_Solar_F2_Export Reading]]-BT74)*225000)</f>
        <v>191700.00000000728</v>
      </c>
      <c r="CL75" s="209" t="str">
        <f>IF((RD[[#This Row],[33 kV_Solar_F3_Export reading]]-BU74)*225000&lt;=0,"",(RD[[#This Row],[33 kV_Solar_F3_Export reading]]-BU74)*225000)</f>
        <v/>
      </c>
      <c r="CM75" s="63">
        <f>IF((RD[[#This Row],[32kV_Solar_F4_Export reading]]-BV74)*225000&lt;=0,"",(RD[[#This Row],[32kV_Solar_F4_Export reading]]-BV74)*225000)</f>
        <v>188100.00000000285</v>
      </c>
      <c r="CN75" s="227">
        <f>IF((RD[[#This Row],[33kV_OG1_Export reading]]-BW74)*1000&lt;=0,0,(RD[[#This Row],[33kV_OG1_Export reading]]-BW74)*1000)</f>
        <v>636000</v>
      </c>
      <c r="CO75" s="227">
        <f>IFERROR(IF((RD[[#This Row],[33kV_OG2_Export reading]]-BX74)*1000&lt;=0,0,(RD[[#This Row],[33kV_OG2_Export reading]]-BX74)*1000),0)</f>
        <v>674000</v>
      </c>
      <c r="CP75" s="74">
        <f>IF((RD[[#This Row],[220kV_TX1_Export reading]]-BY74)*800000&lt;=0,0,(RD[[#This Row],[220kV_TX1_Export reading]]-BY74)*800000)</f>
        <v>629600.00000000489</v>
      </c>
      <c r="CQ75" s="209">
        <f>IF((RD[[#This Row],[220kV_Tx2_Export reading]]-BZ74)*800000&lt;=0,0,(RD[[#This Row],[220kV_Tx2_Export reading]]-BZ74)*800000)</f>
        <v>665600.00000000629</v>
      </c>
      <c r="CR75" s="227">
        <f>IF((RD[[#This Row],[220kV_TL_TVM Export Reading]]-CA74)*1600000&lt;=0,0,(RD[[#This Row],[220kV_TL_TVM Export Reading]]-CA74)*1600000)</f>
        <v>1297600.0000000568</v>
      </c>
      <c r="CS75" s="227">
        <f>IF((RD[[#This Row],[220kV_C&amp;R_PQM reading]]-CB74)*1600000&lt;=0,"",(RD[[#This Row],[220kV_C&amp;R_PQM reading]]-CB74)*1600000)</f>
        <v>1300800.0000000037</v>
      </c>
      <c r="CT75" s="209">
        <f>IFERROR(IF((RD[[#This Row],[220KV_C&amp;R_PQM Import Reading]]-CC74)*1600000&lt;=0,0,(RD[[#This Row],[220KV_C&amp;R_PQM Import Reading]]-CC74)*1600000),"")</f>
        <v>0</v>
      </c>
      <c r="CU75" s="64" t="str">
        <f>IF((RD[[#This Row],[33kV_Aux1 Import Reading]]-CD74)*1000&lt;=0,"",(RD[[#This Row],[33kV_Aux1 Import Reading]]-CD74)*1000)</f>
        <v/>
      </c>
      <c r="CV75" s="227">
        <f>IF((RD[[#This Row],[33kV_Aux2_Import reading]]-CE74)*1000&lt;=0,"",(RD[[#This Row],[33kV_Aux2_Import reading]]-CE74)*1000)</f>
        <v>389.99999999998636</v>
      </c>
      <c r="CW75" s="227">
        <f>IFERROR(RD[[#This Row],[33kV_OG1_Energy (MWh)]]+RD[[#This Row],[33kV_OG2_Energy (MWh)]],"")</f>
        <v>1310000</v>
      </c>
      <c r="CX75" s="227">
        <f>IFERROR(RD[[#This Row],[220kV_TL_TVM Energy (MWh)]]-RD[[#This Row],[220KV_C&amp;R_PQM Import (MWh)]],"")</f>
        <v>1297600.0000000568</v>
      </c>
      <c r="CY75" s="228">
        <f>IFERROR(RD[[#This Row],[33 kV Total Export (MWH)]]/RD[[#This Row],[220 KV Net Export (MWh)]]-1,"")</f>
        <v>9.5561035757880664E-3</v>
      </c>
      <c r="CZ75" s="229">
        <f t="shared" si="91"/>
        <v>50.6</v>
      </c>
      <c r="DA75" s="230">
        <v>96</v>
      </c>
      <c r="DB75" s="231"/>
      <c r="DC75" s="232">
        <f>IFERROR((RD[[#This Row],[Sunset Time (POA&lt;20 W/m2)]]-RD[[#This Row],[Sunrise Time (POA&gt;20 W/m2)]])*24,0)</f>
        <v>12.299999999999999</v>
      </c>
      <c r="DD75" s="70">
        <f>SUM(RD[[#This Row],[33 kV_Wind_F3_Export_Reading3]],CJ75,CK75,CL75,CM75)</f>
        <v>873900.00000001281</v>
      </c>
      <c r="DE75" s="233"/>
      <c r="DF75" s="70">
        <f t="shared" si="82"/>
        <v>432630.00000000233</v>
      </c>
      <c r="DG75" s="230">
        <v>447.56</v>
      </c>
      <c r="DH75">
        <f>'WTG Reactive Power'!AB73</f>
        <v>48267</v>
      </c>
    </row>
    <row r="76" spans="1:112">
      <c r="A76" s="210">
        <f>YEAR(RD[[#This Row],[Date]])+IF(MONTH(RD[[#This Row],[Date]])&gt;=4,1,0)</f>
        <v>2026</v>
      </c>
      <c r="B76" s="210">
        <f>YEAR(RD[[#This Row],[Date]])</f>
        <v>2025</v>
      </c>
      <c r="C76" s="211">
        <f t="shared" si="83"/>
        <v>45809</v>
      </c>
      <c r="D76" s="210">
        <f>DAY(EOMONTH(RD[[#This Row],[Date]],0))</f>
        <v>30</v>
      </c>
      <c r="E76" s="212">
        <f t="shared" si="84"/>
        <v>45816</v>
      </c>
      <c r="F76" s="206">
        <v>0.2590277777777778</v>
      </c>
      <c r="G76" s="206">
        <v>0.77916666666666667</v>
      </c>
      <c r="H76" s="213">
        <v>23216.9</v>
      </c>
      <c r="I76" s="213">
        <v>23804.400000000001</v>
      </c>
      <c r="J76" s="213">
        <v>18870.7</v>
      </c>
      <c r="K76" s="213">
        <v>17091.5</v>
      </c>
      <c r="L76" s="213">
        <v>19478</v>
      </c>
      <c r="M76" s="213">
        <v>18738.7</v>
      </c>
      <c r="N76" s="213">
        <v>18877.8</v>
      </c>
      <c r="O76" s="213">
        <v>21029.3</v>
      </c>
      <c r="P76" s="213">
        <v>17253</v>
      </c>
      <c r="Q76" s="213">
        <v>18723.900000000001</v>
      </c>
      <c r="R76" s="213">
        <v>18173.400000000001</v>
      </c>
      <c r="S76" s="213">
        <v>18563.8</v>
      </c>
      <c r="T76" s="213">
        <v>19900</v>
      </c>
      <c r="U76" s="213">
        <v>18557.099999999999</v>
      </c>
      <c r="V76" s="213">
        <v>24662.3</v>
      </c>
      <c r="W76" s="213">
        <v>25272.3</v>
      </c>
      <c r="X76" s="213">
        <v>23670</v>
      </c>
      <c r="Y76" s="213">
        <v>20287</v>
      </c>
      <c r="Z76" s="213">
        <v>19876.900000000001</v>
      </c>
      <c r="AA76" s="213">
        <v>17197.7</v>
      </c>
      <c r="AB76" s="213">
        <v>20441.3</v>
      </c>
      <c r="AC76" s="213">
        <v>20428</v>
      </c>
      <c r="AD76" s="213">
        <v>22897.7</v>
      </c>
      <c r="AE76" s="350">
        <v>6.8</v>
      </c>
      <c r="AF76" s="350">
        <v>7</v>
      </c>
      <c r="AG76" s="350">
        <v>6.6</v>
      </c>
      <c r="AH76" s="350">
        <v>6.2</v>
      </c>
      <c r="AI76" s="350">
        <v>6.6</v>
      </c>
      <c r="AJ76" s="350">
        <v>6.3</v>
      </c>
      <c r="AK76" s="350">
        <v>6.5</v>
      </c>
      <c r="AL76" s="350">
        <v>6.7</v>
      </c>
      <c r="AM76" s="350">
        <v>6.2</v>
      </c>
      <c r="AN76" s="350">
        <v>6.4</v>
      </c>
      <c r="AO76" s="350">
        <v>6.6</v>
      </c>
      <c r="AP76" s="350">
        <v>6.4</v>
      </c>
      <c r="AQ76" s="350">
        <v>6.5</v>
      </c>
      <c r="AR76" s="350">
        <v>6.3</v>
      </c>
      <c r="AS76" s="350">
        <v>7.2</v>
      </c>
      <c r="AT76" s="350">
        <v>7.1</v>
      </c>
      <c r="AU76" s="350">
        <v>7</v>
      </c>
      <c r="AV76" s="350">
        <v>6.7</v>
      </c>
      <c r="AW76" s="350">
        <v>6.6</v>
      </c>
      <c r="AX76" s="350">
        <v>6.3</v>
      </c>
      <c r="AY76" s="350">
        <v>7</v>
      </c>
      <c r="AZ76" s="350">
        <v>6.7</v>
      </c>
      <c r="BA76" s="350">
        <v>6.8</v>
      </c>
      <c r="BB76" s="214">
        <f t="shared" si="85"/>
        <v>197742.7</v>
      </c>
      <c r="BC76" s="216">
        <f t="shared" si="86"/>
        <v>48942.3</v>
      </c>
      <c r="BD76" s="180">
        <f t="shared" si="70"/>
        <v>160132.60000000003</v>
      </c>
      <c r="BE76" s="216">
        <f t="shared" si="87"/>
        <v>20287</v>
      </c>
      <c r="BF76" s="179">
        <f t="shared" si="71"/>
        <v>39907.1</v>
      </c>
      <c r="BG76" s="216">
        <f>SUM(RD[[#This Row],[KUD01]:[KUD23]])</f>
        <v>467011.69999999995</v>
      </c>
      <c r="BH76" s="217">
        <f t="shared" si="88"/>
        <v>6.57</v>
      </c>
      <c r="BI76" s="219">
        <f t="shared" si="89"/>
        <v>7.05</v>
      </c>
      <c r="BJ76" s="219">
        <f t="shared" si="90"/>
        <v>6.6</v>
      </c>
      <c r="BK76" s="221">
        <f t="shared" si="81"/>
        <v>6.7</v>
      </c>
      <c r="BL76" s="61">
        <f>IFERROR(AVERAGEIF(RD[[#This Row],[WS_KUD07]:[WS_KUD08]],"&lt;&gt;0",RD[[#This Row],[WS_KUD07]:[WS_KUD08]]),"")</f>
        <v>6.6</v>
      </c>
      <c r="BM76" s="223">
        <f>IFERROR(AVERAGE(RD[[#This Row],[WS_KUD01]:[WS_KUD23]]),"")</f>
        <v>6.6304347826086953</v>
      </c>
      <c r="BN76" s="224">
        <f>IFERROR(MAX(RD[[#This Row],[WS_KUD01]:[WS_KUD23]]),"")</f>
        <v>7.2</v>
      </c>
      <c r="BO76" s="172">
        <v>640.30499999999995</v>
      </c>
      <c r="BP76" s="349">
        <v>942.72500000000002</v>
      </c>
      <c r="BQ76" s="349">
        <v>94.38</v>
      </c>
      <c r="BR76" s="349">
        <v>271.40300000000002</v>
      </c>
      <c r="BS76" s="349">
        <v>207.923</v>
      </c>
      <c r="BT76" s="349">
        <v>312.63600000000002</v>
      </c>
      <c r="BU76" s="349"/>
      <c r="BV76" s="349">
        <v>101.6</v>
      </c>
      <c r="BW76" s="172">
        <v>208348</v>
      </c>
      <c r="BX76" s="172">
        <v>274764</v>
      </c>
      <c r="BY76" s="349">
        <v>145.57300000000001</v>
      </c>
      <c r="BZ76" s="349">
        <v>102.212</v>
      </c>
      <c r="CA76" s="349">
        <v>299.57900000000001</v>
      </c>
      <c r="CB76" s="349">
        <v>124.684</v>
      </c>
      <c r="CC76" s="349">
        <v>0.122</v>
      </c>
      <c r="CD76" s="172">
        <v>0</v>
      </c>
      <c r="CE76" s="349">
        <v>235.50899999999999</v>
      </c>
      <c r="CF76" s="226" t="str">
        <f>IF((RD[[#This Row],[33 kV_Wind_F1_Export reading]]-BO75)*165000&lt;=0,"",(RD[[#This Row],[33 kV_Wind_F1_Export reading]]-BO75)*165000)</f>
        <v/>
      </c>
      <c r="CG76" s="227">
        <f>IF((RD[[#This Row],[33 kV_Wind_F2_Export_reading]]-BP75)*165000&lt;=0,"",(RD[[#This Row],[33 kV_Wind_F2_Export_reading]]-BP75)*165000)</f>
        <v>239415.00000000361</v>
      </c>
      <c r="CH76" s="64">
        <f>IF((RD[[#This Row],[33 kV_Wind_F3_Export_Reading]]-BQ75)*225000&lt;=0,"",(RD[[#This Row],[33 kV_Wind_F3_Export_Reading]]-BQ75)*225000)</f>
        <v>187424.99999999965</v>
      </c>
      <c r="CI76" s="64">
        <f>IF((RD[[#This Row],[33 kV_Wind_F4_Export Reading]]-BR75)*165000&lt;=0,"",(RD[[#This Row],[33 kV_Wind_F4_Export Reading]]-BR75)*165000)</f>
        <v>213510.00000000652</v>
      </c>
      <c r="CJ76" s="209">
        <f>IF((RD[[#This Row],[33 kV_Solar_F1_Export Reading]]-BS75)*225000&lt;=0,"",(RD[[#This Row],[33 kV_Solar_F1_Export Reading]]-BS75)*225000)</f>
        <v>192374.9999999977</v>
      </c>
      <c r="CK76" s="74">
        <f>IF((RD[[#This Row],[33kV_Solar_F2_Export Reading]]-BT75)*225000&lt;=0,"",(RD[[#This Row],[33kV_Solar_F2_Export Reading]]-BT75)*225000)</f>
        <v>148050.00000000349</v>
      </c>
      <c r="CL76" s="209" t="str">
        <f>IF((RD[[#This Row],[33 kV_Solar_F3_Export reading]]-BU75)*225000&lt;=0,"",(RD[[#This Row],[33 kV_Solar_F3_Export reading]]-BU75)*225000)</f>
        <v/>
      </c>
      <c r="CM76" s="63">
        <f>IF((RD[[#This Row],[32kV_Solar_F4_Export reading]]-BV75)*225000&lt;=0,"",(RD[[#This Row],[32kV_Solar_F4_Export reading]]-BV75)*225000)</f>
        <v>151424.99999999721</v>
      </c>
      <c r="CN76" s="227">
        <f>IF((RD[[#This Row],[33kV_OG1_Export reading]]-BW75)*1000&lt;=0,0,(RD[[#This Row],[33kV_OG1_Export reading]]-BW75)*1000)</f>
        <v>493000</v>
      </c>
      <c r="CO76" s="227">
        <f>IFERROR(IF((RD[[#This Row],[33kV_OG2_Export reading]]-BX75)*1000&lt;=0,0,(RD[[#This Row],[33kV_OG2_Export reading]]-BX75)*1000),0)</f>
        <v>652000</v>
      </c>
      <c r="CP76" s="74">
        <f>IF((RD[[#This Row],[220kV_TX1_Export reading]]-BY75)*800000&lt;=0,0,(RD[[#This Row],[220kV_TX1_Export reading]]-BY75)*800000)</f>
        <v>487200.0000000071</v>
      </c>
      <c r="CQ76" s="209">
        <f>IF((RD[[#This Row],[220kV_Tx2_Export reading]]-BZ75)*800000&lt;=0,0,(RD[[#This Row],[220kV_Tx2_Export reading]]-BZ75)*800000)</f>
        <v>633600.00000000128</v>
      </c>
      <c r="CR76" s="227">
        <f>IF((RD[[#This Row],[220kV_TL_TVM Export Reading]]-CA75)*1600000&lt;=0,0,(RD[[#This Row],[220kV_TL_TVM Export Reading]]-CA75)*1600000)</f>
        <v>1123199.9999999972</v>
      </c>
      <c r="CS76" s="227">
        <f>IF((RD[[#This Row],[220kV_C&amp;R_PQM reading]]-CB75)*1600000&lt;=0,"",(RD[[#This Row],[220kV_C&amp;R_PQM reading]]-CB75)*1600000)</f>
        <v>1127999.9999999972</v>
      </c>
      <c r="CT76" s="209">
        <f>IFERROR(IF((RD[[#This Row],[220KV_C&amp;R_PQM Import Reading]]-CC75)*1600000&lt;=0,0,(RD[[#This Row],[220KV_C&amp;R_PQM Import Reading]]-CC75)*1600000),"")</f>
        <v>0</v>
      </c>
      <c r="CU76" s="64" t="str">
        <f>IF((RD[[#This Row],[33kV_Aux1 Import Reading]]-CD75)*1000&lt;=0,"",(RD[[#This Row],[33kV_Aux1 Import Reading]]-CD75)*1000)</f>
        <v/>
      </c>
      <c r="CV76" s="227">
        <f>IF((RD[[#This Row],[33kV_Aux2_Import reading]]-CE75)*1000&lt;=0,"",(RD[[#This Row],[33kV_Aux2_Import reading]]-CE75)*1000)</f>
        <v>389.99999999998636</v>
      </c>
      <c r="CW76" s="227">
        <f>IFERROR(RD[[#This Row],[33kV_OG1_Energy (MWh)]]+RD[[#This Row],[33kV_OG2_Energy (MWh)]],"")</f>
        <v>1145000</v>
      </c>
      <c r="CX76" s="227">
        <f>IFERROR(RD[[#This Row],[220kV_TL_TVM Energy (MWh)]]-RD[[#This Row],[220KV_C&amp;R_PQM Import (MWh)]],"")</f>
        <v>1123199.9999999972</v>
      </c>
      <c r="CY76" s="228">
        <f>IFERROR(RD[[#This Row],[33 kV Total Export (MWH)]]/RD[[#This Row],[220 KV Net Export (MWh)]]-1,"")</f>
        <v>1.9408831908834356E-2</v>
      </c>
      <c r="CZ76" s="229">
        <f t="shared" si="91"/>
        <v>50.6</v>
      </c>
      <c r="DA76" s="230">
        <v>96</v>
      </c>
      <c r="DB76" s="231"/>
      <c r="DC76" s="232">
        <f>IFERROR((RD[[#This Row],[Sunset Time (POA&lt;20 W/m2)]]-RD[[#This Row],[Sunrise Time (POA&gt;20 W/m2)]])*24,0)</f>
        <v>12.483333333333334</v>
      </c>
      <c r="DD76" s="70">
        <f>SUM(RD[[#This Row],[33 kV_Wind_F3_Export_Reading3]],CJ76,CK76,CL76,CM76)</f>
        <v>679274.99999999802</v>
      </c>
      <c r="DE76" s="233"/>
      <c r="DF76" s="70">
        <f t="shared" si="82"/>
        <v>452925.00000001013</v>
      </c>
      <c r="DG76" s="230">
        <v>468.64</v>
      </c>
      <c r="DH76">
        <f>'WTG Reactive Power'!AB74</f>
        <v>23262.500000000004</v>
      </c>
    </row>
    <row r="77" spans="1:112">
      <c r="A77" s="210">
        <f>YEAR(RD[[#This Row],[Date]])+IF(MONTH(RD[[#This Row],[Date]])&gt;=4,1,0)</f>
        <v>2026</v>
      </c>
      <c r="B77" s="210">
        <f>YEAR(RD[[#This Row],[Date]])</f>
        <v>2025</v>
      </c>
      <c r="C77" s="211">
        <f t="shared" si="83"/>
        <v>45809</v>
      </c>
      <c r="D77" s="210">
        <f>DAY(EOMONTH(RD[[#This Row],[Date]],0))</f>
        <v>30</v>
      </c>
      <c r="E77" s="212">
        <f t="shared" si="84"/>
        <v>45817</v>
      </c>
      <c r="F77" s="206">
        <v>0.25763888888888886</v>
      </c>
      <c r="G77" s="206">
        <v>0.77361111111111114</v>
      </c>
      <c r="H77" s="213">
        <v>26679</v>
      </c>
      <c r="I77" s="213">
        <v>15671</v>
      </c>
      <c r="J77" s="213">
        <v>21441</v>
      </c>
      <c r="K77" s="213">
        <v>11743</v>
      </c>
      <c r="L77" s="213">
        <v>13089</v>
      </c>
      <c r="M77" s="213">
        <v>12340</v>
      </c>
      <c r="N77" s="213">
        <v>11897</v>
      </c>
      <c r="O77" s="213">
        <v>23685</v>
      </c>
      <c r="P77" s="213">
        <v>13594</v>
      </c>
      <c r="Q77" s="213">
        <v>20760</v>
      </c>
      <c r="R77" s="213">
        <v>22275</v>
      </c>
      <c r="S77" s="213">
        <v>24659</v>
      </c>
      <c r="T77" s="213">
        <v>25001</v>
      </c>
      <c r="U77" s="213">
        <v>22047</v>
      </c>
      <c r="V77" s="213">
        <v>28909</v>
      </c>
      <c r="W77" s="213">
        <v>17069</v>
      </c>
      <c r="X77" s="213">
        <v>16535</v>
      </c>
      <c r="Y77" s="213">
        <v>14355</v>
      </c>
      <c r="Z77" s="213">
        <v>24412</v>
      </c>
      <c r="AA77" s="213">
        <v>21908</v>
      </c>
      <c r="AB77" s="213">
        <v>14213</v>
      </c>
      <c r="AC77" s="213">
        <v>14572</v>
      </c>
      <c r="AD77" s="213">
        <v>16804</v>
      </c>
      <c r="AE77" s="350">
        <v>7.3</v>
      </c>
      <c r="AF77" s="350">
        <v>6.5</v>
      </c>
      <c r="AG77" s="350">
        <v>6.9</v>
      </c>
      <c r="AH77" s="350">
        <v>6.2</v>
      </c>
      <c r="AI77" s="350">
        <v>6.3</v>
      </c>
      <c r="AJ77" s="350">
        <v>6</v>
      </c>
      <c r="AK77" s="350">
        <v>6.1</v>
      </c>
      <c r="AL77" s="350">
        <v>7</v>
      </c>
      <c r="AM77" s="350">
        <v>6.3</v>
      </c>
      <c r="AN77" s="350">
        <v>6.6</v>
      </c>
      <c r="AO77" s="350">
        <v>7.2</v>
      </c>
      <c r="AP77" s="350">
        <v>7.2</v>
      </c>
      <c r="AQ77" s="350">
        <v>7.2</v>
      </c>
      <c r="AR77" s="350">
        <v>6.7</v>
      </c>
      <c r="AS77" s="350">
        <v>7.9</v>
      </c>
      <c r="AT77" s="350">
        <v>6.7</v>
      </c>
      <c r="AU77" s="350">
        <v>6.7</v>
      </c>
      <c r="AV77" s="350">
        <v>6.5</v>
      </c>
      <c r="AW77" s="350">
        <v>7.1</v>
      </c>
      <c r="AX77" s="350">
        <v>6.8</v>
      </c>
      <c r="AY77" s="350">
        <v>6.8</v>
      </c>
      <c r="AZ77" s="350">
        <v>6.5</v>
      </c>
      <c r="BA77" s="350">
        <v>6.6</v>
      </c>
      <c r="BB77" s="214">
        <f t="shared" si="85"/>
        <v>238091</v>
      </c>
      <c r="BC77" s="216">
        <f t="shared" si="86"/>
        <v>33604</v>
      </c>
      <c r="BD77" s="180">
        <f t="shared" si="70"/>
        <v>112026</v>
      </c>
      <c r="BE77" s="216">
        <f t="shared" si="87"/>
        <v>14355</v>
      </c>
      <c r="BF77" s="179">
        <f t="shared" si="71"/>
        <v>35582</v>
      </c>
      <c r="BG77" s="216">
        <f>SUM(RD[[#This Row],[KUD01]:[KUD23]])</f>
        <v>433658</v>
      </c>
      <c r="BH77" s="217">
        <f t="shared" si="88"/>
        <v>7.089999999999999</v>
      </c>
      <c r="BI77" s="219">
        <f t="shared" si="89"/>
        <v>6.7</v>
      </c>
      <c r="BJ77" s="219">
        <f t="shared" si="90"/>
        <v>6.43</v>
      </c>
      <c r="BK77" s="221">
        <f t="shared" si="81"/>
        <v>6.5</v>
      </c>
      <c r="BL77" s="61">
        <f>IFERROR(AVERAGEIF(RD[[#This Row],[WS_KUD07]:[WS_KUD08]],"&lt;&gt;0",RD[[#This Row],[WS_KUD07]:[WS_KUD08]]),"")</f>
        <v>6.55</v>
      </c>
      <c r="BM77" s="223">
        <f>IFERROR(AVERAGE(RD[[#This Row],[WS_KUD01]:[WS_KUD23]]),"")</f>
        <v>6.7434782608695674</v>
      </c>
      <c r="BN77" s="224">
        <f>IFERROR(MAX(RD[[#This Row],[WS_KUD01]:[WS_KUD23]]),"")</f>
        <v>7.9</v>
      </c>
      <c r="BO77" s="172">
        <v>640.30499999999995</v>
      </c>
      <c r="BP77" s="349">
        <v>943.73599999999999</v>
      </c>
      <c r="BQ77" s="349">
        <v>95.174999999999997</v>
      </c>
      <c r="BR77" s="349">
        <v>272.94499999999999</v>
      </c>
      <c r="BS77" s="349">
        <v>208.649</v>
      </c>
      <c r="BT77" s="349">
        <v>313.30200000000002</v>
      </c>
      <c r="BU77" s="349"/>
      <c r="BV77" s="349">
        <v>102.193</v>
      </c>
      <c r="BW77" s="172">
        <v>208795</v>
      </c>
      <c r="BX77" s="172">
        <v>275347</v>
      </c>
      <c r="BY77" s="349">
        <v>146.125</v>
      </c>
      <c r="BZ77" s="349">
        <v>102.944</v>
      </c>
      <c r="CA77" s="349">
        <v>300.22899999999998</v>
      </c>
      <c r="CB77" s="349">
        <v>125.331</v>
      </c>
      <c r="CC77" s="349">
        <v>0.122</v>
      </c>
      <c r="CD77" s="172">
        <v>0</v>
      </c>
      <c r="CE77" s="349">
        <v>235.899</v>
      </c>
      <c r="CF77" s="226" t="str">
        <f>IF((RD[[#This Row],[33 kV_Wind_F1_Export reading]]-BO76)*165000&lt;=0,"",(RD[[#This Row],[33 kV_Wind_F1_Export reading]]-BO76)*165000)</f>
        <v/>
      </c>
      <c r="CG77" s="227">
        <f>IF((RD[[#This Row],[33 kV_Wind_F2_Export_reading]]-BP76)*165000&lt;=0,"",(RD[[#This Row],[33 kV_Wind_F2_Export_reading]]-BP76)*165000)</f>
        <v>166814.99999999459</v>
      </c>
      <c r="CH77" s="64">
        <f>IF((RD[[#This Row],[33 kV_Wind_F3_Export_Reading]]-BQ76)*225000&lt;=0,"",(RD[[#This Row],[33 kV_Wind_F3_Export_Reading]]-BQ76)*225000)</f>
        <v>178875.00000000038</v>
      </c>
      <c r="CI77" s="64">
        <f>IF((RD[[#This Row],[33 kV_Wind_F4_Export Reading]]-BR76)*165000&lt;=0,"",(RD[[#This Row],[33 kV_Wind_F4_Export Reading]]-BR76)*165000)</f>
        <v>254429.99999999558</v>
      </c>
      <c r="CJ77" s="209">
        <f>IF((RD[[#This Row],[33 kV_Solar_F1_Export Reading]]-BS76)*225000&lt;=0,"",(RD[[#This Row],[33 kV_Solar_F1_Export Reading]]-BS76)*225000)</f>
        <v>163349.9999999998</v>
      </c>
      <c r="CK77" s="74">
        <f>IF((RD[[#This Row],[33kV_Solar_F2_Export Reading]]-BT76)*225000&lt;=0,"",(RD[[#This Row],[33kV_Solar_F2_Export Reading]]-BT76)*225000)</f>
        <v>149849.99999999927</v>
      </c>
      <c r="CL77" s="209" t="str">
        <f>IF((RD[[#This Row],[33 kV_Solar_F3_Export reading]]-BU76)*225000&lt;=0,"",(RD[[#This Row],[33 kV_Solar_F3_Export reading]]-BU76)*225000)</f>
        <v/>
      </c>
      <c r="CM77" s="63">
        <f>IF((RD[[#This Row],[32kV_Solar_F4_Export reading]]-BV76)*225000&lt;=0,"",(RD[[#This Row],[32kV_Solar_F4_Export reading]]-BV76)*225000)</f>
        <v>133425.00000000079</v>
      </c>
      <c r="CN77" s="227">
        <f>IF((RD[[#This Row],[33kV_OG1_Export reading]]-BW76)*1000&lt;=0,0,(RD[[#This Row],[33kV_OG1_Export reading]]-BW76)*1000)</f>
        <v>447000</v>
      </c>
      <c r="CO77" s="227">
        <f>IFERROR(IF((RD[[#This Row],[33kV_OG2_Export reading]]-BX76)*1000&lt;=0,0,(RD[[#This Row],[33kV_OG2_Export reading]]-BX76)*1000),0)</f>
        <v>583000</v>
      </c>
      <c r="CP77" s="74">
        <f>IF((RD[[#This Row],[220kV_TX1_Export reading]]-BY76)*800000&lt;=0,0,(RD[[#This Row],[220kV_TX1_Export reading]]-BY76)*800000)</f>
        <v>441599.999999994</v>
      </c>
      <c r="CQ77" s="209">
        <f>IF((RD[[#This Row],[220kV_Tx2_Export reading]]-BZ76)*800000&lt;=0,0,(RD[[#This Row],[220kV_Tx2_Export reading]]-BZ76)*800000)</f>
        <v>585599.99999999942</v>
      </c>
      <c r="CR77" s="227">
        <f>IF((RD[[#This Row],[220kV_TL_TVM Export Reading]]-CA76)*1600000&lt;=0,0,(RD[[#This Row],[220kV_TL_TVM Export Reading]]-CA76)*1600000)</f>
        <v>1039999.9999999637</v>
      </c>
      <c r="CS77" s="227">
        <f>IF((RD[[#This Row],[220kV_C&amp;R_PQM reading]]-CB76)*1600000&lt;=0,"",(RD[[#This Row],[220kV_C&amp;R_PQM reading]]-CB76)*1600000)</f>
        <v>1035200.000000009</v>
      </c>
      <c r="CT77" s="209">
        <f>IFERROR(IF((RD[[#This Row],[220KV_C&amp;R_PQM Import Reading]]-CC76)*1600000&lt;=0,0,(RD[[#This Row],[220KV_C&amp;R_PQM Import Reading]]-CC76)*1600000),"")</f>
        <v>0</v>
      </c>
      <c r="CU77" s="64" t="str">
        <f>IF((RD[[#This Row],[33kV_Aux1 Import Reading]]-CD76)*1000&lt;=0,"",(RD[[#This Row],[33kV_Aux1 Import Reading]]-CD76)*1000)</f>
        <v/>
      </c>
      <c r="CV77" s="227">
        <f>IF((RD[[#This Row],[33kV_Aux2_Import reading]]-CE76)*1000&lt;=0,"",(RD[[#This Row],[33kV_Aux2_Import reading]]-CE76)*1000)</f>
        <v>390.00000000001478</v>
      </c>
      <c r="CW77" s="227">
        <f>IFERROR(RD[[#This Row],[33kV_OG1_Energy (MWh)]]+RD[[#This Row],[33kV_OG2_Energy (MWh)]],"")</f>
        <v>1030000</v>
      </c>
      <c r="CX77" s="227">
        <f>IFERROR(RD[[#This Row],[220kV_TL_TVM Energy (MWh)]]-RD[[#This Row],[220KV_C&amp;R_PQM Import (MWh)]],"")</f>
        <v>1039999.9999999637</v>
      </c>
      <c r="CY77" s="228">
        <f>IFERROR(RD[[#This Row],[33 kV Total Export (MWH)]]/RD[[#This Row],[220 KV Net Export (MWh)]]-1,"")</f>
        <v>-9.6153846153500533E-3</v>
      </c>
      <c r="CZ77" s="229">
        <f t="shared" si="91"/>
        <v>50.6</v>
      </c>
      <c r="DA77" s="230">
        <v>96</v>
      </c>
      <c r="DB77" s="231"/>
      <c r="DC77" s="232">
        <f>IFERROR((RD[[#This Row],[Sunset Time (POA&lt;20 W/m2)]]-RD[[#This Row],[Sunrise Time (POA&gt;20 W/m2)]])*24,0)</f>
        <v>12.383333333333335</v>
      </c>
      <c r="DD77" s="70">
        <f>SUM(RD[[#This Row],[33 kV_Wind_F3_Export_Reading3]],CJ77,CK77,CL77,CM77)</f>
        <v>625500.00000000023</v>
      </c>
      <c r="DE77" s="233"/>
      <c r="DF77" s="70">
        <f t="shared" si="82"/>
        <v>421244.99999999016</v>
      </c>
      <c r="DG77" s="230">
        <v>437.12</v>
      </c>
      <c r="DH77">
        <f>'WTG Reactive Power'!AB75</f>
        <v>70697.899999999994</v>
      </c>
    </row>
    <row r="78" spans="1:112">
      <c r="A78" s="210">
        <f>YEAR(RD[[#This Row],[Date]])+IF(MONTH(RD[[#This Row],[Date]])&gt;=4,1,0)</f>
        <v>2026</v>
      </c>
      <c r="B78" s="210">
        <f>YEAR(RD[[#This Row],[Date]])</f>
        <v>2025</v>
      </c>
      <c r="C78" s="211">
        <f t="shared" si="83"/>
        <v>45809</v>
      </c>
      <c r="D78" s="210">
        <f>DAY(EOMONTH(RD[[#This Row],[Date]],0))</f>
        <v>30</v>
      </c>
      <c r="E78" s="212">
        <f t="shared" si="84"/>
        <v>45818</v>
      </c>
      <c r="F78" s="206">
        <v>0.25624999999999998</v>
      </c>
      <c r="G78" s="206">
        <v>0.77222222222222225</v>
      </c>
      <c r="H78" s="213">
        <v>22989.200000000001</v>
      </c>
      <c r="I78" s="213">
        <v>24673.1</v>
      </c>
      <c r="J78" s="213">
        <v>17072.7</v>
      </c>
      <c r="K78" s="213">
        <v>16443.3</v>
      </c>
      <c r="L78" s="213">
        <v>18370.5</v>
      </c>
      <c r="M78" s="213">
        <v>16907.3</v>
      </c>
      <c r="N78" s="213">
        <v>15898.5</v>
      </c>
      <c r="O78" s="213">
        <v>19051.599999999999</v>
      </c>
      <c r="P78" s="213">
        <v>17628.3</v>
      </c>
      <c r="Q78" s="213">
        <v>16505.7</v>
      </c>
      <c r="R78" s="213">
        <v>16580.599999999999</v>
      </c>
      <c r="S78" s="213">
        <v>17991.900000000001</v>
      </c>
      <c r="T78" s="213">
        <v>20747.8</v>
      </c>
      <c r="U78" s="213">
        <v>17737.400000000001</v>
      </c>
      <c r="V78" s="213">
        <v>26733.3</v>
      </c>
      <c r="W78" s="213">
        <v>26523.1</v>
      </c>
      <c r="X78" s="213">
        <v>26342.5</v>
      </c>
      <c r="Y78" s="213">
        <v>19585.900000000001</v>
      </c>
      <c r="Z78" s="213">
        <v>20691.3</v>
      </c>
      <c r="AA78" s="213">
        <v>15891.5</v>
      </c>
      <c r="AB78" s="213">
        <v>19860.599999999999</v>
      </c>
      <c r="AC78" s="213">
        <v>19442.5</v>
      </c>
      <c r="AD78" s="213">
        <v>23445.8</v>
      </c>
      <c r="AE78" s="350">
        <v>6.8</v>
      </c>
      <c r="AF78" s="350">
        <v>7.1</v>
      </c>
      <c r="AG78" s="350">
        <v>6.5</v>
      </c>
      <c r="AH78" s="350">
        <v>6.1</v>
      </c>
      <c r="AI78" s="350">
        <v>6.5</v>
      </c>
      <c r="AJ78" s="350">
        <v>6.2</v>
      </c>
      <c r="AK78" s="350">
        <v>6.2</v>
      </c>
      <c r="AL78" s="350">
        <v>6.6</v>
      </c>
      <c r="AM78" s="350">
        <v>6.3</v>
      </c>
      <c r="AN78" s="350">
        <v>6.1</v>
      </c>
      <c r="AO78" s="350">
        <v>6.5</v>
      </c>
      <c r="AP78" s="350">
        <v>6.4</v>
      </c>
      <c r="AQ78" s="350">
        <v>6.6</v>
      </c>
      <c r="AR78" s="350">
        <v>6.3</v>
      </c>
      <c r="AS78" s="350">
        <v>7.6</v>
      </c>
      <c r="AT78" s="350">
        <v>7.3</v>
      </c>
      <c r="AU78" s="350">
        <v>7.4</v>
      </c>
      <c r="AV78" s="350">
        <v>6.6</v>
      </c>
      <c r="AW78" s="350">
        <v>6.7</v>
      </c>
      <c r="AX78" s="350">
        <v>6.1</v>
      </c>
      <c r="AY78" s="350">
        <v>7.3</v>
      </c>
      <c r="AZ78" s="350">
        <v>6.6</v>
      </c>
      <c r="BA78" s="350">
        <v>6.9</v>
      </c>
      <c r="BB78" s="214">
        <f t="shared" si="85"/>
        <v>192941.4</v>
      </c>
      <c r="BC78" s="216">
        <f t="shared" si="86"/>
        <v>52865.599999999999</v>
      </c>
      <c r="BD78" s="180">
        <f t="shared" si="70"/>
        <v>156771.4</v>
      </c>
      <c r="BE78" s="216">
        <f t="shared" si="87"/>
        <v>19585.900000000001</v>
      </c>
      <c r="BF78" s="179">
        <f t="shared" si="71"/>
        <v>34950.1</v>
      </c>
      <c r="BG78" s="216">
        <f>SUM(RD[[#This Row],[KUD01]:[KUD23]])</f>
        <v>457114.39999999997</v>
      </c>
      <c r="BH78" s="217">
        <f t="shared" si="88"/>
        <v>6.56</v>
      </c>
      <c r="BI78" s="219">
        <f t="shared" si="89"/>
        <v>7.35</v>
      </c>
      <c r="BJ78" s="219">
        <f t="shared" si="90"/>
        <v>6.58</v>
      </c>
      <c r="BK78" s="221">
        <f t="shared" si="81"/>
        <v>6.6</v>
      </c>
      <c r="BL78" s="61">
        <f>IFERROR(AVERAGEIF(RD[[#This Row],[WS_KUD07]:[WS_KUD08]],"&lt;&gt;0",RD[[#This Row],[WS_KUD07]:[WS_KUD08]]),"")</f>
        <v>6.4</v>
      </c>
      <c r="BM78" s="223">
        <f>IFERROR(AVERAGE(RD[[#This Row],[WS_KUD01]:[WS_KUD23]]),"")</f>
        <v>6.6391304347826097</v>
      </c>
      <c r="BN78" s="224">
        <f>IFERROR(MAX(RD[[#This Row],[WS_KUD01]:[WS_KUD23]]),"")</f>
        <v>7.6</v>
      </c>
      <c r="BO78" s="172">
        <v>640.30499999999995</v>
      </c>
      <c r="BP78" s="349">
        <v>945.15899999999999</v>
      </c>
      <c r="BQ78" s="349">
        <v>96.028999999999996</v>
      </c>
      <c r="BR78" s="349">
        <v>274.19099999999997</v>
      </c>
      <c r="BS78" s="349">
        <v>209.35400000000001</v>
      </c>
      <c r="BT78" s="349">
        <v>313.92899999999997</v>
      </c>
      <c r="BU78" s="349"/>
      <c r="BV78" s="349">
        <v>102.857</v>
      </c>
      <c r="BW78" s="172">
        <v>209244</v>
      </c>
      <c r="BX78" s="172">
        <v>275980</v>
      </c>
      <c r="BY78" s="349">
        <v>146.68100000000001</v>
      </c>
      <c r="BZ78" s="349">
        <v>103.726</v>
      </c>
      <c r="CA78" s="349">
        <v>300.899</v>
      </c>
      <c r="CB78" s="349">
        <v>126.002</v>
      </c>
      <c r="CC78" s="349">
        <v>0.122</v>
      </c>
      <c r="CD78" s="172">
        <v>0</v>
      </c>
      <c r="CE78" s="349">
        <v>236.279</v>
      </c>
      <c r="CF78" s="226" t="str">
        <f>IF((RD[[#This Row],[33 kV_Wind_F1_Export reading]]-BO77)*165000&lt;=0,"",(RD[[#This Row],[33 kV_Wind_F1_Export reading]]-BO77)*165000)</f>
        <v/>
      </c>
      <c r="CG78" s="227">
        <f>IF((RD[[#This Row],[33 kV_Wind_F2_Export_reading]]-BP77)*165000&lt;=0,"",(RD[[#This Row],[33 kV_Wind_F2_Export_reading]]-BP77)*165000)</f>
        <v>234795.00000000029</v>
      </c>
      <c r="CH78" s="64">
        <f>IF((RD[[#This Row],[33 kV_Wind_F3_Export_Reading]]-BQ77)*225000&lt;=0,"",(RD[[#This Row],[33 kV_Wind_F3_Export_Reading]]-BQ77)*225000)</f>
        <v>192149.99999999983</v>
      </c>
      <c r="CI78" s="64">
        <f>IF((RD[[#This Row],[33 kV_Wind_F4_Export Reading]]-BR77)*165000&lt;=0,"",(RD[[#This Row],[33 kV_Wind_F4_Export Reading]]-BR77)*165000)</f>
        <v>205589.99999999686</v>
      </c>
      <c r="CJ78" s="209">
        <f>IF((RD[[#This Row],[33 kV_Solar_F1_Export Reading]]-BS77)*225000&lt;=0,"",(RD[[#This Row],[33 kV_Solar_F1_Export Reading]]-BS77)*225000)</f>
        <v>158625.00000000282</v>
      </c>
      <c r="CK78" s="74">
        <f>IF((RD[[#This Row],[33kV_Solar_F2_Export Reading]]-BT77)*225000&lt;=0,"",(RD[[#This Row],[33kV_Solar_F2_Export Reading]]-BT77)*225000)</f>
        <v>141074.99999998935</v>
      </c>
      <c r="CL78" s="209" t="str">
        <f>IF((RD[[#This Row],[33 kV_Solar_F3_Export reading]]-BU77)*225000&lt;=0,"",(RD[[#This Row],[33 kV_Solar_F3_Export reading]]-BU77)*225000)</f>
        <v/>
      </c>
      <c r="CM78" s="63">
        <f>IF((RD[[#This Row],[32kV_Solar_F4_Export reading]]-BV77)*225000&lt;=0,"",(RD[[#This Row],[32kV_Solar_F4_Export reading]]-BV77)*225000)</f>
        <v>149400.00000000032</v>
      </c>
      <c r="CN78" s="227">
        <f>IF((RD[[#This Row],[33kV_OG1_Export reading]]-BW77)*1000&lt;=0,0,(RD[[#This Row],[33kV_OG1_Export reading]]-BW77)*1000)</f>
        <v>449000</v>
      </c>
      <c r="CO78" s="227">
        <f>IFERROR(IF((RD[[#This Row],[33kV_OG2_Export reading]]-BX77)*1000&lt;=0,0,(RD[[#This Row],[33kV_OG2_Export reading]]-BX77)*1000),0)</f>
        <v>633000</v>
      </c>
      <c r="CP78" s="74">
        <f>IF((RD[[#This Row],[220kV_TX1_Export reading]]-BY77)*800000&lt;=0,0,(RD[[#This Row],[220kV_TX1_Export reading]]-BY77)*800000)</f>
        <v>444800.00000000926</v>
      </c>
      <c r="CQ78" s="209">
        <f>IF((RD[[#This Row],[220kV_Tx2_Export reading]]-BZ77)*800000&lt;=0,0,(RD[[#This Row],[220kV_Tx2_Export reading]]-BZ77)*800000)</f>
        <v>625599.99999999721</v>
      </c>
      <c r="CR78" s="227">
        <f>IF((RD[[#This Row],[220kV_TL_TVM Export Reading]]-CA77)*1600000&lt;=0,0,(RD[[#This Row],[220kV_TL_TVM Export Reading]]-CA77)*1600000)</f>
        <v>1072000.0000000254</v>
      </c>
      <c r="CS78" s="227">
        <f>IF((RD[[#This Row],[220kV_C&amp;R_PQM reading]]-CB77)*1600000&lt;=0,"",(RD[[#This Row],[220kV_C&amp;R_PQM reading]]-CB77)*1600000)</f>
        <v>1073599.9999999877</v>
      </c>
      <c r="CT78" s="209">
        <f>IFERROR(IF((RD[[#This Row],[220KV_C&amp;R_PQM Import Reading]]-CC77)*1600000&lt;=0,0,(RD[[#This Row],[220KV_C&amp;R_PQM Import Reading]]-CC77)*1600000),"")</f>
        <v>0</v>
      </c>
      <c r="CU78" s="64" t="str">
        <f>IF((RD[[#This Row],[33kV_Aux1 Import Reading]]-CD77)*1000&lt;=0,"",(RD[[#This Row],[33kV_Aux1 Import Reading]]-CD77)*1000)</f>
        <v/>
      </c>
      <c r="CV78" s="227">
        <f>IF((RD[[#This Row],[33kV_Aux2_Import reading]]-CE77)*1000&lt;=0,"",(RD[[#This Row],[33kV_Aux2_Import reading]]-CE77)*1000)</f>
        <v>379.99999999999545</v>
      </c>
      <c r="CW78" s="227">
        <f>IFERROR(RD[[#This Row],[33kV_OG1_Energy (MWh)]]+RD[[#This Row],[33kV_OG2_Energy (MWh)]],"")</f>
        <v>1082000</v>
      </c>
      <c r="CX78" s="227">
        <f>IFERROR(RD[[#This Row],[220kV_TL_TVM Energy (MWh)]]-RD[[#This Row],[220KV_C&amp;R_PQM Import (MWh)]],"")</f>
        <v>1072000.0000000254</v>
      </c>
      <c r="CY78" s="228">
        <f>IFERROR(RD[[#This Row],[33 kV Total Export (MWH)]]/RD[[#This Row],[220 KV Net Export (MWh)]]-1,"")</f>
        <v>9.3283582089314088E-3</v>
      </c>
      <c r="CZ78" s="229">
        <f t="shared" si="91"/>
        <v>50.6</v>
      </c>
      <c r="DA78" s="230">
        <v>96</v>
      </c>
      <c r="DB78" s="231"/>
      <c r="DC78" s="232">
        <f>IFERROR((RD[[#This Row],[Sunset Time (POA&lt;20 W/m2)]]-RD[[#This Row],[Sunrise Time (POA&gt;20 W/m2)]])*24,0)</f>
        <v>12.383333333333335</v>
      </c>
      <c r="DD78" s="70">
        <f>SUM(RD[[#This Row],[33 kV_Wind_F3_Export_Reading3]],CJ78,CK78,CL78,CM78)</f>
        <v>641249.99999999232</v>
      </c>
      <c r="DE78" s="233"/>
      <c r="DF78" s="70">
        <f t="shared" si="82"/>
        <v>440384.99999999715</v>
      </c>
      <c r="DG78" s="230">
        <v>459.81</v>
      </c>
      <c r="DH78">
        <f>'WTG Reactive Power'!AB76</f>
        <v>75224.999999999985</v>
      </c>
    </row>
    <row r="79" spans="1:112">
      <c r="A79" s="210">
        <f>YEAR(RD[[#This Row],[Date]])+IF(MONTH(RD[[#This Row],[Date]])&gt;=4,1,0)</f>
        <v>2026</v>
      </c>
      <c r="B79" s="210">
        <f>YEAR(RD[[#This Row],[Date]])</f>
        <v>2025</v>
      </c>
      <c r="C79" s="211">
        <f t="shared" si="83"/>
        <v>45809</v>
      </c>
      <c r="D79" s="210">
        <f>DAY(EOMONTH(RD[[#This Row],[Date]],0))</f>
        <v>30</v>
      </c>
      <c r="E79" s="212">
        <f t="shared" si="84"/>
        <v>45819</v>
      </c>
      <c r="F79" s="206">
        <v>0.27361111111111114</v>
      </c>
      <c r="G79" s="206">
        <v>0.7631944444444444</v>
      </c>
      <c r="H79" s="213">
        <v>17917</v>
      </c>
      <c r="I79" s="213">
        <v>17756.900000000001</v>
      </c>
      <c r="J79" s="213">
        <v>13494.2</v>
      </c>
      <c r="K79" s="213">
        <v>13749.9</v>
      </c>
      <c r="L79" s="213">
        <v>14375</v>
      </c>
      <c r="M79" s="213">
        <v>13557</v>
      </c>
      <c r="N79" s="213">
        <v>13572.5</v>
      </c>
      <c r="O79" s="213">
        <v>14783.9</v>
      </c>
      <c r="P79" s="213">
        <v>14785.3</v>
      </c>
      <c r="Q79" s="213">
        <v>11925.8</v>
      </c>
      <c r="R79" s="213">
        <v>14151.8</v>
      </c>
      <c r="S79" s="213">
        <v>15720.5</v>
      </c>
      <c r="T79" s="213">
        <v>15423.4</v>
      </c>
      <c r="U79" s="213">
        <v>13801.2</v>
      </c>
      <c r="V79" s="213">
        <v>19032.5</v>
      </c>
      <c r="W79" s="213">
        <v>19744.7</v>
      </c>
      <c r="X79" s="213">
        <v>17731.7</v>
      </c>
      <c r="Y79" s="213">
        <v>15320</v>
      </c>
      <c r="Z79" s="213">
        <v>14536</v>
      </c>
      <c r="AA79" s="213">
        <v>13202.1</v>
      </c>
      <c r="AB79" s="213">
        <v>16226</v>
      </c>
      <c r="AC79" s="213">
        <v>16132.9</v>
      </c>
      <c r="AD79" s="213">
        <v>17933.3</v>
      </c>
      <c r="AE79" s="350">
        <v>6.2</v>
      </c>
      <c r="AF79" s="350">
        <v>6.3</v>
      </c>
      <c r="AG79" s="350">
        <v>5.8</v>
      </c>
      <c r="AH79" s="350">
        <v>5.8</v>
      </c>
      <c r="AI79" s="350">
        <v>5.9</v>
      </c>
      <c r="AJ79" s="350">
        <v>5.7</v>
      </c>
      <c r="AK79" s="350">
        <v>5.8</v>
      </c>
      <c r="AL79" s="350">
        <v>5.9</v>
      </c>
      <c r="AM79" s="350">
        <v>5.8</v>
      </c>
      <c r="AN79" s="350">
        <v>5.6</v>
      </c>
      <c r="AO79" s="350">
        <v>6</v>
      </c>
      <c r="AP79" s="350">
        <v>6</v>
      </c>
      <c r="AQ79" s="350">
        <v>6</v>
      </c>
      <c r="AR79" s="350">
        <v>5.8</v>
      </c>
      <c r="AS79" s="350">
        <v>6.5</v>
      </c>
      <c r="AT79" s="350">
        <v>6.4</v>
      </c>
      <c r="AU79" s="350">
        <v>6.2</v>
      </c>
      <c r="AV79" s="350">
        <v>6.1</v>
      </c>
      <c r="AW79" s="350">
        <v>6</v>
      </c>
      <c r="AX79" s="350">
        <v>5.8</v>
      </c>
      <c r="AY79" s="350">
        <v>6.5</v>
      </c>
      <c r="AZ79" s="350">
        <v>6.2</v>
      </c>
      <c r="BA79" s="350">
        <v>6.3</v>
      </c>
      <c r="BB79" s="214">
        <f t="shared" si="85"/>
        <v>149204.5</v>
      </c>
      <c r="BC79" s="216">
        <f t="shared" si="86"/>
        <v>37476.400000000001</v>
      </c>
      <c r="BD79" s="180">
        <f t="shared" si="70"/>
        <v>124516.3</v>
      </c>
      <c r="BE79" s="216">
        <f t="shared" si="87"/>
        <v>15320</v>
      </c>
      <c r="BF79" s="179">
        <f t="shared" si="71"/>
        <v>28356.400000000001</v>
      </c>
      <c r="BG79" s="216">
        <f>SUM(RD[[#This Row],[KUD01]:[KUD23]])</f>
        <v>354873.59999999998</v>
      </c>
      <c r="BH79" s="217">
        <f t="shared" si="88"/>
        <v>5.97</v>
      </c>
      <c r="BI79" s="219">
        <f t="shared" si="89"/>
        <v>6.3000000000000007</v>
      </c>
      <c r="BJ79" s="219">
        <f t="shared" si="90"/>
        <v>6.02</v>
      </c>
      <c r="BK79" s="221">
        <f t="shared" si="81"/>
        <v>6.1</v>
      </c>
      <c r="BL79" s="61">
        <f>IFERROR(AVERAGEIF(RD[[#This Row],[WS_KUD07]:[WS_KUD08]],"&lt;&gt;0",RD[[#This Row],[WS_KUD07]:[WS_KUD08]]),"")</f>
        <v>5.85</v>
      </c>
      <c r="BM79" s="223">
        <f>IFERROR(AVERAGE(RD[[#This Row],[WS_KUD01]:[WS_KUD23]]),"")</f>
        <v>6.0260869565217385</v>
      </c>
      <c r="BN79" s="224">
        <f>IFERROR(MAX(RD[[#This Row],[WS_KUD01]:[WS_KUD23]]),"")</f>
        <v>6.5</v>
      </c>
      <c r="BO79" s="172">
        <v>640.30499999999995</v>
      </c>
      <c r="BP79" s="349">
        <v>946.27300000000002</v>
      </c>
      <c r="BQ79" s="349">
        <v>96.516000000000005</v>
      </c>
      <c r="BR79" s="349">
        <v>275.15899999999999</v>
      </c>
      <c r="BS79" s="349">
        <v>209.79400000000001</v>
      </c>
      <c r="BT79" s="349">
        <v>314.33999999999997</v>
      </c>
      <c r="BU79" s="349"/>
      <c r="BV79" s="349">
        <v>103.22799999999999</v>
      </c>
      <c r="BW79" s="172">
        <v>209519</v>
      </c>
      <c r="BX79" s="172">
        <v>276433</v>
      </c>
      <c r="BY79" s="349">
        <v>147.02099999999999</v>
      </c>
      <c r="BZ79" s="349">
        <v>104.286</v>
      </c>
      <c r="CA79" s="349">
        <v>301.35000000000002</v>
      </c>
      <c r="CB79" s="349">
        <v>126.45399999999999</v>
      </c>
      <c r="CC79" s="349">
        <v>0.122</v>
      </c>
      <c r="CD79" s="172">
        <v>0</v>
      </c>
      <c r="CE79" s="349">
        <v>236.649</v>
      </c>
      <c r="CF79" s="226" t="str">
        <f>IF((RD[[#This Row],[33 kV_Wind_F1_Export reading]]-BO78)*165000&lt;=0,"",(RD[[#This Row],[33 kV_Wind_F1_Export reading]]-BO78)*165000)</f>
        <v/>
      </c>
      <c r="CG79" s="227">
        <f>IF((RD[[#This Row],[33 kV_Wind_F2_Export_reading]]-BP78)*165000&lt;=0,"",(RD[[#This Row],[33 kV_Wind_F2_Export_reading]]-BP78)*165000)</f>
        <v>183810.00000000541</v>
      </c>
      <c r="CH79" s="64">
        <f>IF((RD[[#This Row],[33 kV_Wind_F3_Export_Reading]]-BQ78)*225000&lt;=0,"",(RD[[#This Row],[33 kV_Wind_F3_Export_Reading]]-BQ78)*225000)</f>
        <v>109575.00000000202</v>
      </c>
      <c r="CI79" s="64">
        <f>IF((RD[[#This Row],[33 kV_Wind_F4_Export Reading]]-BR78)*165000&lt;=0,"",(RD[[#This Row],[33 kV_Wind_F4_Export Reading]]-BR78)*165000)</f>
        <v>159720.00000000294</v>
      </c>
      <c r="CJ79" s="209">
        <f>IF((RD[[#This Row],[33 kV_Solar_F1_Export Reading]]-BS78)*225000&lt;=0,"",(RD[[#This Row],[33 kV_Solar_F1_Export Reading]]-BS78)*225000)</f>
        <v>98999.999999999491</v>
      </c>
      <c r="CK79" s="74">
        <f>IF((RD[[#This Row],[33kV_Solar_F2_Export Reading]]-BT78)*225000&lt;=0,"",(RD[[#This Row],[33kV_Solar_F2_Export Reading]]-BT78)*225000)</f>
        <v>92475.000000000306</v>
      </c>
      <c r="CL79" s="209" t="str">
        <f>IF((RD[[#This Row],[33 kV_Solar_F3_Export reading]]-BU78)*225000&lt;=0,"",(RD[[#This Row],[33 kV_Solar_F3_Export reading]]-BU78)*225000)</f>
        <v/>
      </c>
      <c r="CM79" s="63">
        <f>IF((RD[[#This Row],[32kV_Solar_F4_Export reading]]-BV78)*225000&lt;=0,"",(RD[[#This Row],[32kV_Solar_F4_Export reading]]-BV78)*225000)</f>
        <v>83474.999999998894</v>
      </c>
      <c r="CN79" s="227">
        <f>IF((RD[[#This Row],[33kV_OG1_Export reading]]-BW78)*1000&lt;=0,0,(RD[[#This Row],[33kV_OG1_Export reading]]-BW78)*1000)</f>
        <v>275000</v>
      </c>
      <c r="CO79" s="227">
        <f>IFERROR(IF((RD[[#This Row],[33kV_OG2_Export reading]]-BX78)*1000&lt;=0,0,(RD[[#This Row],[33kV_OG2_Export reading]]-BX78)*1000),0)</f>
        <v>453000</v>
      </c>
      <c r="CP79" s="74">
        <f>IF((RD[[#This Row],[220kV_TX1_Export reading]]-BY78)*800000&lt;=0,0,(RD[[#This Row],[220kV_TX1_Export reading]]-BY78)*800000)</f>
        <v>271999.99999997998</v>
      </c>
      <c r="CQ79" s="209">
        <f>IF((RD[[#This Row],[220kV_Tx2_Export reading]]-BZ78)*800000&lt;=0,0,(RD[[#This Row],[220kV_Tx2_Export reading]]-BZ78)*800000)</f>
        <v>448000.0000000018</v>
      </c>
      <c r="CR79" s="227">
        <f>IF((RD[[#This Row],[220kV_TL_TVM Export Reading]]-CA78)*1600000&lt;=0,0,(RD[[#This Row],[220kV_TL_TVM Export Reading]]-CA78)*1600000)</f>
        <v>721600.00000003492</v>
      </c>
      <c r="CS79" s="227">
        <f>IF((RD[[#This Row],[220kV_C&amp;R_PQM reading]]-CB78)*1600000&lt;=0,"",(RD[[#This Row],[220kV_C&amp;R_PQM reading]]-CB78)*1600000)</f>
        <v>723199.99999999709</v>
      </c>
      <c r="CT79" s="209">
        <f>IFERROR(IF((RD[[#This Row],[220KV_C&amp;R_PQM Import Reading]]-CC78)*1600000&lt;=0,0,(RD[[#This Row],[220KV_C&amp;R_PQM Import Reading]]-CC78)*1600000),"")</f>
        <v>0</v>
      </c>
      <c r="CU79" s="64" t="str">
        <f>IF((RD[[#This Row],[33kV_Aux1 Import Reading]]-CD78)*1000&lt;=0,"",(RD[[#This Row],[33kV_Aux1 Import Reading]]-CD78)*1000)</f>
        <v/>
      </c>
      <c r="CV79" s="227">
        <f>IF((RD[[#This Row],[33kV_Aux2_Import reading]]-CE78)*1000&lt;=0,"",(RD[[#This Row],[33kV_Aux2_Import reading]]-CE78)*1000)</f>
        <v>370.00000000000455</v>
      </c>
      <c r="CW79" s="227">
        <f>IFERROR(RD[[#This Row],[33kV_OG1_Energy (MWh)]]+RD[[#This Row],[33kV_OG2_Energy (MWh)]],"")</f>
        <v>728000</v>
      </c>
      <c r="CX79" s="227">
        <f>IFERROR(RD[[#This Row],[220kV_TL_TVM Energy (MWh)]]-RD[[#This Row],[220KV_C&amp;R_PQM Import (MWh)]],"")</f>
        <v>721600.00000003492</v>
      </c>
      <c r="CY79" s="228">
        <f>IFERROR(RD[[#This Row],[33 kV Total Export (MWH)]]/RD[[#This Row],[220 KV Net Export (MWh)]]-1,"")</f>
        <v>8.8691796008379953E-3</v>
      </c>
      <c r="CZ79" s="229">
        <f t="shared" si="91"/>
        <v>50.6</v>
      </c>
      <c r="DA79" s="230">
        <v>96</v>
      </c>
      <c r="DB79" s="231"/>
      <c r="DC79" s="232">
        <f>IFERROR((RD[[#This Row],[Sunset Time (POA&lt;20 W/m2)]]-RD[[#This Row],[Sunrise Time (POA&gt;20 W/m2)]])*24,0)</f>
        <v>11.749999999999998</v>
      </c>
      <c r="DD79" s="70">
        <f>SUM(RD[[#This Row],[33 kV_Wind_F3_Export_Reading3]],CJ79,CK79,CL79,CM79)</f>
        <v>384525.0000000007</v>
      </c>
      <c r="DE79" s="233"/>
      <c r="DF79" s="70">
        <f t="shared" si="82"/>
        <v>343530.00000000838</v>
      </c>
      <c r="DG79" s="230">
        <v>354.87</v>
      </c>
      <c r="DH79">
        <f>'WTG Reactive Power'!AB77</f>
        <v>183573.3</v>
      </c>
    </row>
    <row r="80" spans="1:112">
      <c r="A80" s="210">
        <f>YEAR(RD[[#This Row],[Date]])+IF(MONTH(RD[[#This Row],[Date]])&gt;=4,1,0)</f>
        <v>2026</v>
      </c>
      <c r="B80" s="210">
        <f>YEAR(RD[[#This Row],[Date]])</f>
        <v>2025</v>
      </c>
      <c r="C80" s="211">
        <f t="shared" si="83"/>
        <v>45809</v>
      </c>
      <c r="D80" s="210">
        <f>DAY(EOMONTH(RD[[#This Row],[Date]],0))</f>
        <v>30</v>
      </c>
      <c r="E80" s="212">
        <f t="shared" si="84"/>
        <v>45820</v>
      </c>
      <c r="F80" s="206">
        <v>0.27847222222222223</v>
      </c>
      <c r="G80" s="206">
        <v>0.75763888888888886</v>
      </c>
      <c r="H80" s="213">
        <v>20532.900000000001</v>
      </c>
      <c r="I80" s="213">
        <v>16324.6</v>
      </c>
      <c r="J80" s="213">
        <v>14984.8</v>
      </c>
      <c r="K80" s="213">
        <v>15569.5</v>
      </c>
      <c r="L80" s="213">
        <v>14702.8</v>
      </c>
      <c r="M80" s="213">
        <v>14604.8</v>
      </c>
      <c r="N80" s="213">
        <v>13882.1</v>
      </c>
      <c r="O80" s="213">
        <v>16340.8</v>
      </c>
      <c r="P80" s="213">
        <v>14455.1</v>
      </c>
      <c r="Q80" s="213">
        <v>13879.9</v>
      </c>
      <c r="R80" s="213">
        <v>13511.2</v>
      </c>
      <c r="S80" s="213">
        <v>18198.5</v>
      </c>
      <c r="T80" s="213">
        <v>16526.5</v>
      </c>
      <c r="U80" s="213">
        <v>14362.5</v>
      </c>
      <c r="V80" s="213">
        <v>20115.599999999999</v>
      </c>
      <c r="W80" s="213">
        <v>18621.900000000001</v>
      </c>
      <c r="X80" s="213">
        <v>18317.400000000001</v>
      </c>
      <c r="Y80" s="213">
        <v>16243.6</v>
      </c>
      <c r="Z80" s="213">
        <v>15812.3</v>
      </c>
      <c r="AA80" s="213">
        <v>15013.8</v>
      </c>
      <c r="AB80" s="213">
        <v>15807.7</v>
      </c>
      <c r="AC80" s="213">
        <v>15640</v>
      </c>
      <c r="AD80" s="213">
        <v>16287.6</v>
      </c>
      <c r="AE80" s="350">
        <v>6.4</v>
      </c>
      <c r="AF80" s="350">
        <v>6.2</v>
      </c>
      <c r="AG80" s="350">
        <v>6.1</v>
      </c>
      <c r="AH80" s="350">
        <v>5.9</v>
      </c>
      <c r="AI80" s="350">
        <v>6</v>
      </c>
      <c r="AJ80" s="350">
        <v>6</v>
      </c>
      <c r="AK80" s="350">
        <v>6</v>
      </c>
      <c r="AL80" s="350">
        <v>6.1</v>
      </c>
      <c r="AM80" s="350">
        <v>6.1</v>
      </c>
      <c r="AN80" s="350">
        <v>5.7</v>
      </c>
      <c r="AO80" s="350">
        <v>6</v>
      </c>
      <c r="AP80" s="350">
        <v>6.3</v>
      </c>
      <c r="AQ80" s="350">
        <v>6</v>
      </c>
      <c r="AR80" s="350">
        <v>5.9</v>
      </c>
      <c r="AS80" s="350">
        <v>6.6</v>
      </c>
      <c r="AT80" s="350">
        <v>6.4</v>
      </c>
      <c r="AU80" s="350">
        <v>6.4</v>
      </c>
      <c r="AV80" s="350">
        <v>6.2</v>
      </c>
      <c r="AW80" s="350">
        <v>6</v>
      </c>
      <c r="AX80" s="350">
        <v>5.9</v>
      </c>
      <c r="AY80" s="350">
        <v>6.5</v>
      </c>
      <c r="AZ80" s="350">
        <v>6.2</v>
      </c>
      <c r="BA80" s="350">
        <v>6.1</v>
      </c>
      <c r="BB80" s="214">
        <f t="shared" si="85"/>
        <v>162937.99999999997</v>
      </c>
      <c r="BC80" s="216">
        <f t="shared" si="86"/>
        <v>36939.300000000003</v>
      </c>
      <c r="BD80" s="180">
        <f t="shared" si="70"/>
        <v>123392.1</v>
      </c>
      <c r="BE80" s="216">
        <f t="shared" si="87"/>
        <v>16243.6</v>
      </c>
      <c r="BF80" s="179">
        <f t="shared" si="71"/>
        <v>30222.9</v>
      </c>
      <c r="BG80" s="216">
        <f>SUM(RD[[#This Row],[KUD01]:[KUD23]])</f>
        <v>369735.89999999997</v>
      </c>
      <c r="BH80" s="217">
        <f t="shared" si="88"/>
        <v>6.09</v>
      </c>
      <c r="BI80" s="219">
        <f t="shared" si="89"/>
        <v>6.4</v>
      </c>
      <c r="BJ80" s="219">
        <f t="shared" si="90"/>
        <v>6.1100000000000012</v>
      </c>
      <c r="BK80" s="221">
        <f t="shared" si="81"/>
        <v>6.2</v>
      </c>
      <c r="BL80" s="61">
        <f>IFERROR(AVERAGEIF(RD[[#This Row],[WS_KUD07]:[WS_KUD08]],"&lt;&gt;0",RD[[#This Row],[WS_KUD07]:[WS_KUD08]]),"")</f>
        <v>6.05</v>
      </c>
      <c r="BM80" s="223">
        <f>IFERROR(AVERAGE(RD[[#This Row],[WS_KUD01]:[WS_KUD23]]),"")</f>
        <v>6.1304347826086953</v>
      </c>
      <c r="BN80" s="224">
        <f>IFERROR(MAX(RD[[#This Row],[WS_KUD01]:[WS_KUD23]]),"")</f>
        <v>6.6</v>
      </c>
      <c r="BO80" s="172">
        <v>640.30499999999995</v>
      </c>
      <c r="BP80" s="349">
        <v>947.39</v>
      </c>
      <c r="BQ80" s="349">
        <v>96.914000000000001</v>
      </c>
      <c r="BR80" s="349">
        <v>276.21899999999999</v>
      </c>
      <c r="BS80" s="349">
        <v>210.07400000000001</v>
      </c>
      <c r="BT80" s="349">
        <v>314.608</v>
      </c>
      <c r="BU80" s="349"/>
      <c r="BV80" s="349">
        <v>103.536</v>
      </c>
      <c r="BW80" s="172">
        <v>209712</v>
      </c>
      <c r="BX80" s="172">
        <v>276880</v>
      </c>
      <c r="BY80" s="349">
        <v>147.25800000000001</v>
      </c>
      <c r="BZ80" s="349">
        <v>104.842</v>
      </c>
      <c r="CA80" s="349">
        <v>301.74700000000001</v>
      </c>
      <c r="CB80" s="349">
        <v>126.85</v>
      </c>
      <c r="CC80" s="349">
        <v>0.122</v>
      </c>
      <c r="CD80" s="172">
        <v>0</v>
      </c>
      <c r="CE80" s="349">
        <v>236.999</v>
      </c>
      <c r="CF80" s="226" t="str">
        <f>IF((RD[[#This Row],[33 kV_Wind_F1_Export reading]]-BO79)*165000&lt;=0,"",(RD[[#This Row],[33 kV_Wind_F1_Export reading]]-BO79)*165000)</f>
        <v/>
      </c>
      <c r="CG80" s="227">
        <f>IF((RD[[#This Row],[33 kV_Wind_F2_Export_reading]]-BP79)*165000&lt;=0,"",(RD[[#This Row],[33 kV_Wind_F2_Export_reading]]-BP79)*165000)</f>
        <v>184304.99999999368</v>
      </c>
      <c r="CH80" s="64">
        <f>IF((RD[[#This Row],[33 kV_Wind_F3_Export_Reading]]-BQ79)*225000&lt;=0,"",(RD[[#This Row],[33 kV_Wind_F3_Export_Reading]]-BQ79)*225000)</f>
        <v>89549.999999999127</v>
      </c>
      <c r="CI80" s="64">
        <f>IF((RD[[#This Row],[33 kV_Wind_F4_Export Reading]]-BR79)*165000&lt;=0,"",(RD[[#This Row],[33 kV_Wind_F4_Export Reading]]-BR79)*165000)</f>
        <v>174900.00000000038</v>
      </c>
      <c r="CJ80" s="209">
        <f>IF((RD[[#This Row],[33 kV_Solar_F1_Export Reading]]-BS79)*225000&lt;=0,"",(RD[[#This Row],[33 kV_Solar_F1_Export Reading]]-BS79)*225000)</f>
        <v>63000.000000000255</v>
      </c>
      <c r="CK80" s="74">
        <f>IF((RD[[#This Row],[33kV_Solar_F2_Export Reading]]-BT79)*225000&lt;=0,"",(RD[[#This Row],[33kV_Solar_F2_Export Reading]]-BT79)*225000)</f>
        <v>60300.000000006548</v>
      </c>
      <c r="CL80" s="209" t="str">
        <f>IF((RD[[#This Row],[33 kV_Solar_F3_Export reading]]-BU79)*225000&lt;=0,"",(RD[[#This Row],[33 kV_Solar_F3_Export reading]]-BU79)*225000)</f>
        <v/>
      </c>
      <c r="CM80" s="63">
        <f>IF((RD[[#This Row],[32kV_Solar_F4_Export reading]]-BV79)*225000&lt;=0,"",(RD[[#This Row],[32kV_Solar_F4_Export reading]]-BV79)*225000)</f>
        <v>69300.000000001557</v>
      </c>
      <c r="CN80" s="227">
        <f>IF((RD[[#This Row],[33kV_OG1_Export reading]]-BW79)*1000&lt;=0,0,(RD[[#This Row],[33kV_OG1_Export reading]]-BW79)*1000)</f>
        <v>193000</v>
      </c>
      <c r="CO80" s="227">
        <f>IFERROR(IF((RD[[#This Row],[33kV_OG2_Export reading]]-BX79)*1000&lt;=0,0,(RD[[#This Row],[33kV_OG2_Export reading]]-BX79)*1000),0)</f>
        <v>447000</v>
      </c>
      <c r="CP80" s="74">
        <f>IF((RD[[#This Row],[220kV_TX1_Export reading]]-BY79)*800000&lt;=0,0,(RD[[#This Row],[220kV_TX1_Export reading]]-BY79)*800000)</f>
        <v>189600.00000001857</v>
      </c>
      <c r="CQ80" s="209">
        <f>IF((RD[[#This Row],[220kV_Tx2_Export reading]]-BZ79)*800000&lt;=0,0,(RD[[#This Row],[220kV_Tx2_Export reading]]-BZ79)*800000)</f>
        <v>444799.9999999979</v>
      </c>
      <c r="CR80" s="227">
        <f>IF((RD[[#This Row],[220kV_TL_TVM Export Reading]]-CA79)*1600000&lt;=0,0,(RD[[#This Row],[220kV_TL_TVM Export Reading]]-CA79)*1600000)</f>
        <v>635199.99999998615</v>
      </c>
      <c r="CS80" s="227">
        <f>IF((RD[[#This Row],[220kV_C&amp;R_PQM reading]]-CB79)*1600000&lt;=0,"",(RD[[#This Row],[220kV_C&amp;R_PQM reading]]-CB79)*1600000)</f>
        <v>633600.00000000128</v>
      </c>
      <c r="CT80" s="209">
        <f>IFERROR(IF((RD[[#This Row],[220KV_C&amp;R_PQM Import Reading]]-CC79)*1600000&lt;=0,0,(RD[[#This Row],[220KV_C&amp;R_PQM Import Reading]]-CC79)*1600000),"")</f>
        <v>0</v>
      </c>
      <c r="CU80" s="64" t="str">
        <f>IF((RD[[#This Row],[33kV_Aux1 Import Reading]]-CD79)*1000&lt;=0,"",(RD[[#This Row],[33kV_Aux1 Import Reading]]-CD79)*1000)</f>
        <v/>
      </c>
      <c r="CV80" s="227">
        <f>IF((RD[[#This Row],[33kV_Aux2_Import reading]]-CE79)*1000&lt;=0,"",(RD[[#This Row],[33kV_Aux2_Import reading]]-CE79)*1000)</f>
        <v>349.99999999999432</v>
      </c>
      <c r="CW80" s="227">
        <f>IFERROR(RD[[#This Row],[33kV_OG1_Energy (MWh)]]+RD[[#This Row],[33kV_OG2_Energy (MWh)]],"")</f>
        <v>640000</v>
      </c>
      <c r="CX80" s="227">
        <f>IFERROR(RD[[#This Row],[220kV_TL_TVM Energy (MWh)]]-RD[[#This Row],[220KV_C&amp;R_PQM Import (MWh)]],"")</f>
        <v>635199.99999998615</v>
      </c>
      <c r="CY80" s="228">
        <f>IFERROR(RD[[#This Row],[33 kV Total Export (MWH)]]/RD[[#This Row],[220 KV Net Export (MWh)]]-1,"")</f>
        <v>7.5566750629942891E-3</v>
      </c>
      <c r="CZ80" s="229">
        <f t="shared" si="91"/>
        <v>50.6</v>
      </c>
      <c r="DA80" s="230">
        <v>96</v>
      </c>
      <c r="DB80" s="231"/>
      <c r="DC80" s="232">
        <f>IFERROR((RD[[#This Row],[Sunset Time (POA&lt;20 W/m2)]]-RD[[#This Row],[Sunrise Time (POA&gt;20 W/m2)]])*24,0)</f>
        <v>11.5</v>
      </c>
      <c r="DD80" s="70">
        <f>SUM(RD[[#This Row],[33 kV_Wind_F3_Export_Reading3]],CJ80,CK80,CL80,CM80)</f>
        <v>282150.00000000751</v>
      </c>
      <c r="DE80" s="233"/>
      <c r="DF80" s="70">
        <f t="shared" si="82"/>
        <v>359204.99999999406</v>
      </c>
      <c r="DG80" s="230">
        <v>375.68</v>
      </c>
      <c r="DH80">
        <f>'WTG Reactive Power'!AB78</f>
        <v>270298.80000000005</v>
      </c>
    </row>
    <row r="81" spans="1:112">
      <c r="A81" s="210">
        <f>YEAR(RD[[#This Row],[Date]])+IF(MONTH(RD[[#This Row],[Date]])&gt;=4,1,0)</f>
        <v>2026</v>
      </c>
      <c r="B81" s="210">
        <f>YEAR(RD[[#This Row],[Date]])</f>
        <v>2025</v>
      </c>
      <c r="C81" s="211">
        <f t="shared" si="83"/>
        <v>45809</v>
      </c>
      <c r="D81" s="210">
        <f>DAY(EOMONTH(RD[[#This Row],[Date]],0))</f>
        <v>30</v>
      </c>
      <c r="E81" s="212">
        <f t="shared" si="84"/>
        <v>45821</v>
      </c>
      <c r="F81" s="206">
        <v>0.27430555555555558</v>
      </c>
      <c r="G81" s="206">
        <v>0.75763888888888886</v>
      </c>
      <c r="H81" s="213">
        <v>23371.3</v>
      </c>
      <c r="I81" s="213">
        <v>19732.400000000001</v>
      </c>
      <c r="J81" s="213">
        <v>19238.8</v>
      </c>
      <c r="K81" s="213">
        <v>17872.099999999999</v>
      </c>
      <c r="L81" s="213">
        <v>19418.900000000001</v>
      </c>
      <c r="M81" s="213">
        <v>19480.7</v>
      </c>
      <c r="N81" s="213">
        <v>19875</v>
      </c>
      <c r="O81" s="213">
        <v>21046</v>
      </c>
      <c r="P81" s="213">
        <v>21291.3</v>
      </c>
      <c r="Q81" s="213">
        <v>19131</v>
      </c>
      <c r="R81" s="213">
        <v>18492.5</v>
      </c>
      <c r="S81" s="213">
        <v>21458.3</v>
      </c>
      <c r="T81" s="213">
        <v>18799.400000000001</v>
      </c>
      <c r="U81" s="213">
        <v>19807.599999999999</v>
      </c>
      <c r="V81" s="213">
        <v>21870.3</v>
      </c>
      <c r="W81" s="213">
        <v>21770</v>
      </c>
      <c r="X81" s="213">
        <v>21612.6</v>
      </c>
      <c r="Y81" s="213">
        <v>16187.4</v>
      </c>
      <c r="Z81" s="213">
        <v>18305.8</v>
      </c>
      <c r="AA81" s="213">
        <v>18002.599999999999</v>
      </c>
      <c r="AB81" s="213">
        <v>18385.900000000001</v>
      </c>
      <c r="AC81" s="213">
        <v>18449</v>
      </c>
      <c r="AD81" s="213">
        <v>19036.2</v>
      </c>
      <c r="AE81" s="350">
        <v>6.7</v>
      </c>
      <c r="AF81" s="350">
        <v>6.5</v>
      </c>
      <c r="AG81" s="350">
        <v>6.6</v>
      </c>
      <c r="AH81" s="350">
        <v>6.2</v>
      </c>
      <c r="AI81" s="350">
        <v>6.5</v>
      </c>
      <c r="AJ81" s="350">
        <v>6.4</v>
      </c>
      <c r="AK81" s="350">
        <v>6.6</v>
      </c>
      <c r="AL81" s="350">
        <v>6.6</v>
      </c>
      <c r="AM81" s="350">
        <v>6.7</v>
      </c>
      <c r="AN81" s="350">
        <v>6.3</v>
      </c>
      <c r="AO81" s="350">
        <v>6.6</v>
      </c>
      <c r="AP81" s="350">
        <v>6.7</v>
      </c>
      <c r="AQ81" s="350">
        <v>6.3</v>
      </c>
      <c r="AR81" s="350">
        <v>6.5</v>
      </c>
      <c r="AS81" s="350">
        <v>6.8</v>
      </c>
      <c r="AT81" s="350">
        <v>6.6</v>
      </c>
      <c r="AU81" s="350">
        <v>6.7</v>
      </c>
      <c r="AV81" s="350">
        <v>6.1</v>
      </c>
      <c r="AW81" s="350">
        <v>6.3</v>
      </c>
      <c r="AX81" s="350">
        <v>6.3</v>
      </c>
      <c r="AY81" s="350">
        <v>6.7</v>
      </c>
      <c r="AZ81" s="350">
        <v>6.5</v>
      </c>
      <c r="BA81" s="350">
        <v>6.3</v>
      </c>
      <c r="BB81" s="214">
        <f t="shared" si="85"/>
        <v>198477.6</v>
      </c>
      <c r="BC81" s="216">
        <f t="shared" si="86"/>
        <v>43382.6</v>
      </c>
      <c r="BD81" s="180">
        <f t="shared" si="70"/>
        <v>153666.50000000003</v>
      </c>
      <c r="BE81" s="216">
        <f t="shared" si="87"/>
        <v>16187.4</v>
      </c>
      <c r="BF81" s="179">
        <f t="shared" si="71"/>
        <v>40921</v>
      </c>
      <c r="BG81" s="216">
        <f>SUM(RD[[#This Row],[KUD01]:[KUD23]])</f>
        <v>452635.1</v>
      </c>
      <c r="BH81" s="217">
        <f t="shared" si="88"/>
        <v>6.51</v>
      </c>
      <c r="BI81" s="219">
        <f t="shared" si="89"/>
        <v>6.65</v>
      </c>
      <c r="BJ81" s="219">
        <f t="shared" si="90"/>
        <v>6.5000000000000018</v>
      </c>
      <c r="BK81" s="221">
        <f t="shared" si="81"/>
        <v>6.1</v>
      </c>
      <c r="BL81" s="61">
        <f>IFERROR(AVERAGEIF(RD[[#This Row],[WS_KUD07]:[WS_KUD08]],"&lt;&gt;0",RD[[#This Row],[WS_KUD07]:[WS_KUD08]]),"")</f>
        <v>6.6</v>
      </c>
      <c r="BM81" s="223">
        <f>IFERROR(AVERAGE(RD[[#This Row],[WS_KUD01]:[WS_KUD23]]),"")</f>
        <v>6.5</v>
      </c>
      <c r="BN81" s="224">
        <f>IFERROR(MAX(RD[[#This Row],[WS_KUD01]:[WS_KUD23]]),"")</f>
        <v>6.8</v>
      </c>
      <c r="BO81" s="172">
        <v>640.30499999999995</v>
      </c>
      <c r="BP81" s="348">
        <v>948.78</v>
      </c>
      <c r="BQ81" s="349">
        <v>97.403000000000006</v>
      </c>
      <c r="BR81" s="349">
        <v>277.53500000000003</v>
      </c>
      <c r="BS81" s="349">
        <v>210.476</v>
      </c>
      <c r="BT81" s="349">
        <v>315.03199999999998</v>
      </c>
      <c r="BU81" s="349"/>
      <c r="BV81" s="349">
        <v>103.91800000000001</v>
      </c>
      <c r="BW81" s="172">
        <v>209984</v>
      </c>
      <c r="BX81" s="172">
        <v>277435</v>
      </c>
      <c r="BY81" s="349">
        <v>147.595</v>
      </c>
      <c r="BZ81" s="349">
        <v>105.527</v>
      </c>
      <c r="CA81" s="349">
        <v>302.26100000000002</v>
      </c>
      <c r="CB81" s="349">
        <v>127.364</v>
      </c>
      <c r="CC81" s="349">
        <v>0.122</v>
      </c>
      <c r="CD81" s="172">
        <v>0</v>
      </c>
      <c r="CE81" s="349">
        <v>237.34899999999999</v>
      </c>
      <c r="CF81" s="226" t="str">
        <f>IF((RD[[#This Row],[33 kV_Wind_F1_Export reading]]-BO80)*165000&lt;=0,"",(RD[[#This Row],[33 kV_Wind_F1_Export reading]]-BO80)*165000)</f>
        <v/>
      </c>
      <c r="CG81" s="227">
        <f>IF((RD[[#This Row],[33 kV_Wind_F2_Export_reading]]-BP80)*165000&lt;=0,"",(RD[[#This Row],[33 kV_Wind_F2_Export_reading]]-BP80)*165000)</f>
        <v>229349.99999999776</v>
      </c>
      <c r="CH81" s="64">
        <f>IF((RD[[#This Row],[33 kV_Wind_F3_Export_Reading]]-BQ80)*225000&lt;=0,"",(RD[[#This Row],[33 kV_Wind_F3_Export_Reading]]-BQ80)*225000)</f>
        <v>110025.00000000097</v>
      </c>
      <c r="CI81" s="64">
        <f>IF((RD[[#This Row],[33 kV_Wind_F4_Export Reading]]-BR80)*165000&lt;=0,"",(RD[[#This Row],[33 kV_Wind_F4_Export Reading]]-BR80)*165000)</f>
        <v>217140.00000000509</v>
      </c>
      <c r="CJ81" s="209">
        <f>IF((RD[[#This Row],[33 kV_Solar_F1_Export Reading]]-BS80)*225000&lt;=0,"",(RD[[#This Row],[33 kV_Solar_F1_Export Reading]]-BS80)*225000)</f>
        <v>90449.999999997031</v>
      </c>
      <c r="CK81" s="74">
        <f>IF((RD[[#This Row],[33kV_Solar_F2_Export Reading]]-BT80)*225000&lt;=0,"",(RD[[#This Row],[33kV_Solar_F2_Export Reading]]-BT80)*225000)</f>
        <v>95399.999999995081</v>
      </c>
      <c r="CL81" s="209" t="str">
        <f>IF((RD[[#This Row],[33 kV_Solar_F3_Export reading]]-BU80)*225000&lt;=0,"",(RD[[#This Row],[33 kV_Solar_F3_Export reading]]-BU80)*225000)</f>
        <v/>
      </c>
      <c r="CM81" s="63">
        <f>IF((RD[[#This Row],[32kV_Solar_F4_Export reading]]-BV80)*225000&lt;=0,"",(RD[[#This Row],[32kV_Solar_F4_Export reading]]-BV80)*225000)</f>
        <v>85950.00000000112</v>
      </c>
      <c r="CN81" s="227">
        <f>IF((RD[[#This Row],[33kV_OG1_Export reading]]-BW80)*1000&lt;=0,0,(RD[[#This Row],[33kV_OG1_Export reading]]-BW80)*1000)</f>
        <v>272000</v>
      </c>
      <c r="CO81" s="227">
        <f>IFERROR(IF((RD[[#This Row],[33kV_OG2_Export reading]]-BX80)*1000&lt;=0,0,(RD[[#This Row],[33kV_OG2_Export reading]]-BX80)*1000),0)</f>
        <v>555000</v>
      </c>
      <c r="CP81" s="74">
        <f>IF((RD[[#This Row],[220kV_TX1_Export reading]]-BY80)*800000&lt;=0,0,(RD[[#This Row],[220kV_TX1_Export reading]]-BY80)*800000)</f>
        <v>269599.99999999127</v>
      </c>
      <c r="CQ81" s="209">
        <f>IF((RD[[#This Row],[220kV_Tx2_Export reading]]-BZ80)*800000&lt;=0,0,(RD[[#This Row],[220kV_Tx2_Export reading]]-BZ80)*800000)</f>
        <v>548000.00000000186</v>
      </c>
      <c r="CR81" s="227">
        <f>IF((RD[[#This Row],[220kV_TL_TVM Export Reading]]-CA80)*1600000&lt;=0,0,(RD[[#This Row],[220kV_TL_TVM Export Reading]]-CA80)*1600000)</f>
        <v>822400.00000001607</v>
      </c>
      <c r="CS81" s="227">
        <f>IF((RD[[#This Row],[220kV_C&amp;R_PQM reading]]-CB80)*1600000&lt;=0,"",(RD[[#This Row],[220kV_C&amp;R_PQM reading]]-CB80)*1600000)</f>
        <v>822400.00000001607</v>
      </c>
      <c r="CT81" s="209">
        <f>IFERROR(IF((RD[[#This Row],[220KV_C&amp;R_PQM Import Reading]]-CC80)*1600000&lt;=0,0,(RD[[#This Row],[220KV_C&amp;R_PQM Import Reading]]-CC80)*1600000),"")</f>
        <v>0</v>
      </c>
      <c r="CU81" s="64" t="str">
        <f>IF((RD[[#This Row],[33kV_Aux1 Import Reading]]-CD80)*1000&lt;=0,"",(RD[[#This Row],[33kV_Aux1 Import Reading]]-CD80)*1000)</f>
        <v/>
      </c>
      <c r="CV81" s="227">
        <f>IF((RD[[#This Row],[33kV_Aux2_Import reading]]-CE80)*1000&lt;=0,"",(RD[[#This Row],[33kV_Aux2_Import reading]]-CE80)*1000)</f>
        <v>349.99999999999432</v>
      </c>
      <c r="CW81" s="227">
        <f>IFERROR(RD[[#This Row],[33kV_OG1_Energy (MWh)]]+RD[[#This Row],[33kV_OG2_Energy (MWh)]],"")</f>
        <v>827000</v>
      </c>
      <c r="CX81" s="227">
        <f>IFERROR(RD[[#This Row],[220kV_TL_TVM Energy (MWh)]]-RD[[#This Row],[220KV_C&amp;R_PQM Import (MWh)]],"")</f>
        <v>822400.00000001607</v>
      </c>
      <c r="CY81" s="228">
        <f>IFERROR(RD[[#This Row],[33 kV Total Export (MWH)]]/RD[[#This Row],[220 KV Net Export (MWh)]]-1,"")</f>
        <v>5.5933852139882223E-3</v>
      </c>
      <c r="CZ81" s="229">
        <f t="shared" si="91"/>
        <v>50.6</v>
      </c>
      <c r="DA81" s="230">
        <v>96</v>
      </c>
      <c r="DB81" s="231"/>
      <c r="DC81" s="232">
        <f>IFERROR((RD[[#This Row],[Sunset Time (POA&lt;20 W/m2)]]-RD[[#This Row],[Sunrise Time (POA&gt;20 W/m2)]])*24,0)</f>
        <v>11.599999999999998</v>
      </c>
      <c r="DD81" s="70">
        <f>SUM(RD[[#This Row],[33 kV_Wind_F3_Export_Reading3]],CJ81,CK81,CL81,CM81)</f>
        <v>381824.99999999424</v>
      </c>
      <c r="DE81" s="233"/>
      <c r="DF81" s="70">
        <f t="shared" si="82"/>
        <v>446490.00000000285</v>
      </c>
      <c r="DG81" s="230">
        <v>452.65</v>
      </c>
      <c r="DH81">
        <f>'WTG Reactive Power'!AB79</f>
        <v>56.099999999999987</v>
      </c>
    </row>
    <row r="82" spans="1:112">
      <c r="A82" s="210">
        <f>YEAR(RD[[#This Row],[Date]])+IF(MONTH(RD[[#This Row],[Date]])&gt;=4,1,0)</f>
        <v>2026</v>
      </c>
      <c r="B82" s="210">
        <f>YEAR(RD[[#This Row],[Date]])</f>
        <v>2025</v>
      </c>
      <c r="C82" s="211">
        <f t="shared" si="83"/>
        <v>45809</v>
      </c>
      <c r="D82" s="210">
        <f>DAY(EOMONTH(RD[[#This Row],[Date]],0))</f>
        <v>30</v>
      </c>
      <c r="E82" s="212">
        <f t="shared" si="84"/>
        <v>45822</v>
      </c>
      <c r="F82" s="206">
        <v>0.27430555555555558</v>
      </c>
      <c r="G82" s="206">
        <v>0.75763888888888886</v>
      </c>
      <c r="H82" s="213">
        <v>43093.2</v>
      </c>
      <c r="I82" s="213">
        <v>40088.699999999997</v>
      </c>
      <c r="J82" s="213">
        <v>40092.6</v>
      </c>
      <c r="K82" s="213">
        <v>37761.599999999999</v>
      </c>
      <c r="L82" s="213">
        <v>39634.699999999997</v>
      </c>
      <c r="M82" s="213">
        <v>40307.199999999997</v>
      </c>
      <c r="N82" s="213">
        <v>40842.199999999997</v>
      </c>
      <c r="O82" s="213">
        <v>41234.300000000003</v>
      </c>
      <c r="P82" s="213">
        <v>41897.5</v>
      </c>
      <c r="Q82" s="213">
        <v>40173.800000000003</v>
      </c>
      <c r="R82" s="213">
        <v>39416.6</v>
      </c>
      <c r="S82" s="213">
        <v>42083.1</v>
      </c>
      <c r="T82" s="213">
        <v>38849.9</v>
      </c>
      <c r="U82" s="213">
        <v>40136.6</v>
      </c>
      <c r="V82" s="213">
        <v>41977</v>
      </c>
      <c r="W82" s="213">
        <v>42281.2</v>
      </c>
      <c r="X82" s="213">
        <v>41938.300000000003</v>
      </c>
      <c r="Y82" s="213">
        <v>31386.3</v>
      </c>
      <c r="Z82" s="213">
        <v>34152.800000000003</v>
      </c>
      <c r="AA82" s="213">
        <v>36547.199999999997</v>
      </c>
      <c r="AB82" s="213">
        <v>40056.800000000003</v>
      </c>
      <c r="AC82" s="213">
        <v>36466.6</v>
      </c>
      <c r="AD82" s="213">
        <v>36389</v>
      </c>
      <c r="AE82" s="350">
        <v>9</v>
      </c>
      <c r="AF82" s="350">
        <v>8.6</v>
      </c>
      <c r="AG82" s="350">
        <v>8.9</v>
      </c>
      <c r="AH82" s="350">
        <v>8.1999999999999993</v>
      </c>
      <c r="AI82" s="350">
        <v>8.6</v>
      </c>
      <c r="AJ82" s="350">
        <v>8.6</v>
      </c>
      <c r="AK82" s="350">
        <v>8.8000000000000007</v>
      </c>
      <c r="AL82" s="350">
        <v>8.9</v>
      </c>
      <c r="AM82" s="350">
        <v>8.9</v>
      </c>
      <c r="AN82" s="350">
        <v>8.6</v>
      </c>
      <c r="AO82" s="350">
        <v>8.9</v>
      </c>
      <c r="AP82" s="350">
        <v>8.9</v>
      </c>
      <c r="AQ82" s="350">
        <v>8.6999999999999993</v>
      </c>
      <c r="AR82" s="350">
        <v>8.6</v>
      </c>
      <c r="AS82" s="350">
        <v>9.1999999999999993</v>
      </c>
      <c r="AT82" s="350">
        <v>8.8000000000000007</v>
      </c>
      <c r="AU82" s="350">
        <v>8.9</v>
      </c>
      <c r="AV82" s="350">
        <v>7.7</v>
      </c>
      <c r="AW82" s="350">
        <v>8</v>
      </c>
      <c r="AX82" s="350">
        <v>8.1999999999999993</v>
      </c>
      <c r="AY82" s="350">
        <v>9</v>
      </c>
      <c r="AZ82" s="350">
        <v>8.3000000000000007</v>
      </c>
      <c r="BA82" s="350">
        <v>8.1999999999999993</v>
      </c>
      <c r="BB82" s="214">
        <f t="shared" si="85"/>
        <v>396522.8</v>
      </c>
      <c r="BC82" s="216">
        <f t="shared" si="86"/>
        <v>84219.5</v>
      </c>
      <c r="BD82" s="180">
        <f t="shared" si="70"/>
        <v>312602.09999999998</v>
      </c>
      <c r="BE82" s="216">
        <f t="shared" si="87"/>
        <v>31386.3</v>
      </c>
      <c r="BF82" s="179">
        <f t="shared" si="71"/>
        <v>82076.5</v>
      </c>
      <c r="BG82" s="216">
        <f>SUM(RD[[#This Row],[KUD01]:[KUD23]])</f>
        <v>906807.2</v>
      </c>
      <c r="BH82" s="217">
        <f t="shared" si="88"/>
        <v>8.6999999999999993</v>
      </c>
      <c r="BI82" s="219">
        <f t="shared" si="89"/>
        <v>8.8500000000000014</v>
      </c>
      <c r="BJ82" s="219">
        <f t="shared" si="90"/>
        <v>8.61</v>
      </c>
      <c r="BK82" s="221">
        <f t="shared" si="81"/>
        <v>7.7</v>
      </c>
      <c r="BL82" s="61">
        <f>IFERROR(AVERAGEIF(RD[[#This Row],[WS_KUD07]:[WS_KUD08]],"&lt;&gt;0",RD[[#This Row],[WS_KUD07]:[WS_KUD08]]),"")</f>
        <v>8.8500000000000014</v>
      </c>
      <c r="BM82" s="223">
        <f>IFERROR(AVERAGE(RD[[#This Row],[WS_KUD01]:[WS_KUD23]]),"")</f>
        <v>8.6304347826086953</v>
      </c>
      <c r="BN82" s="224">
        <f>IFERROR(MAX(RD[[#This Row],[WS_KUD01]:[WS_KUD23]]),"")</f>
        <v>9.1999999999999993</v>
      </c>
      <c r="BO82" s="172">
        <v>640.30499999999995</v>
      </c>
      <c r="BP82" s="349">
        <v>951.51400000000001</v>
      </c>
      <c r="BQ82" s="349">
        <v>98.138999999999996</v>
      </c>
      <c r="BR82" s="349">
        <v>280.11200000000002</v>
      </c>
      <c r="BS82" s="349">
        <v>211.10400000000001</v>
      </c>
      <c r="BT82" s="349">
        <v>315.60899999999998</v>
      </c>
      <c r="BU82" s="349"/>
      <c r="BV82" s="349">
        <v>104.479</v>
      </c>
      <c r="BW82" s="172">
        <v>210381</v>
      </c>
      <c r="BX82" s="172">
        <v>278478</v>
      </c>
      <c r="BY82" s="349">
        <v>148.08600000000001</v>
      </c>
      <c r="BZ82" s="349">
        <v>106.818</v>
      </c>
      <c r="CA82" s="349">
        <v>303.15499999999997</v>
      </c>
      <c r="CB82" s="349">
        <v>128.25899999999999</v>
      </c>
      <c r="CC82" s="349">
        <v>0.122</v>
      </c>
      <c r="CD82" s="172">
        <v>0</v>
      </c>
      <c r="CE82" s="349">
        <v>237.71899999999999</v>
      </c>
      <c r="CF82" s="226" t="str">
        <f>IF((RD[[#This Row],[33 kV_Wind_F1_Export reading]]-BO81)*165000&lt;=0,"",(RD[[#This Row],[33 kV_Wind_F1_Export reading]]-BO81)*165000)</f>
        <v/>
      </c>
      <c r="CG82" s="227">
        <f>IF((RD[[#This Row],[33 kV_Wind_F2_Export_reading]]-BP81)*165000&lt;=0,"",(RD[[#This Row],[33 kV_Wind_F2_Export_reading]]-BP81)*165000)</f>
        <v>451110.00000000617</v>
      </c>
      <c r="CH82" s="64">
        <f>IF((RD[[#This Row],[33 kV_Wind_F3_Export_Reading]]-BQ81)*225000&lt;=0,"",(RD[[#This Row],[33 kV_Wind_F3_Export_Reading]]-BQ81)*225000)</f>
        <v>165599.99999999776</v>
      </c>
      <c r="CI82" s="64">
        <f>IF((RD[[#This Row],[33 kV_Wind_F4_Export Reading]]-BR81)*165000&lt;=0,"",(RD[[#This Row],[33 kV_Wind_F4_Export Reading]]-BR81)*165000)</f>
        <v>425204.99999999971</v>
      </c>
      <c r="CJ82" s="209">
        <f>IF((RD[[#This Row],[33 kV_Solar_F1_Export Reading]]-BS81)*225000&lt;=0,"",(RD[[#This Row],[33 kV_Solar_F1_Export Reading]]-BS81)*225000)</f>
        <v>141300.00000000323</v>
      </c>
      <c r="CK82" s="74">
        <f>IF((RD[[#This Row],[33kV_Solar_F2_Export Reading]]-BT81)*225000&lt;=0,"",(RD[[#This Row],[33kV_Solar_F2_Export Reading]]-BT81)*225000)</f>
        <v>129824.99999999959</v>
      </c>
      <c r="CL82" s="209" t="str">
        <f>IF((RD[[#This Row],[33 kV_Solar_F3_Export reading]]-BU81)*225000&lt;=0,"",(RD[[#This Row],[33 kV_Solar_F3_Export reading]]-BU81)*225000)</f>
        <v/>
      </c>
      <c r="CM82" s="63">
        <f>IF((RD[[#This Row],[32kV_Solar_F4_Export reading]]-BV81)*225000&lt;=0,"",(RD[[#This Row],[32kV_Solar_F4_Export reading]]-BV81)*225000)</f>
        <v>126224.99999999838</v>
      </c>
      <c r="CN82" s="227">
        <f>IF((RD[[#This Row],[33kV_OG1_Export reading]]-BW81)*1000&lt;=0,0,(RD[[#This Row],[33kV_OG1_Export reading]]-BW81)*1000)</f>
        <v>397000</v>
      </c>
      <c r="CO82" s="227">
        <f>IFERROR(IF((RD[[#This Row],[33kV_OG2_Export reading]]-BX81)*1000&lt;=0,0,(RD[[#This Row],[33kV_OG2_Export reading]]-BX81)*1000),0)</f>
        <v>1043000</v>
      </c>
      <c r="CP82" s="74">
        <f>IF((RD[[#This Row],[220kV_TX1_Export reading]]-BY81)*800000&lt;=0,0,(RD[[#This Row],[220kV_TX1_Export reading]]-BY81)*800000)</f>
        <v>392800.00000001112</v>
      </c>
      <c r="CQ82" s="209">
        <f>IF((RD[[#This Row],[220kV_Tx2_Export reading]]-BZ81)*800000&lt;=0,0,(RD[[#This Row],[220kV_Tx2_Export reading]]-BZ81)*800000)</f>
        <v>1032799.9999999974</v>
      </c>
      <c r="CR82" s="227">
        <f>IF((RD[[#This Row],[220kV_TL_TVM Export Reading]]-CA81)*1600000&lt;=0,0,(RD[[#This Row],[220kV_TL_TVM Export Reading]]-CA81)*1600000)</f>
        <v>1430399.9999999178</v>
      </c>
      <c r="CS82" s="227">
        <f>IF((RD[[#This Row],[220kV_C&amp;R_PQM reading]]-CB81)*1600000&lt;=0,"",(RD[[#This Row],[220kV_C&amp;R_PQM reading]]-CB81)*1600000)</f>
        <v>1431999.9999999709</v>
      </c>
      <c r="CT82" s="209">
        <f>IFERROR(IF((RD[[#This Row],[220KV_C&amp;R_PQM Import Reading]]-CC81)*1600000&lt;=0,0,(RD[[#This Row],[220KV_C&amp;R_PQM Import Reading]]-CC81)*1600000),"")</f>
        <v>0</v>
      </c>
      <c r="CU82" s="64" t="str">
        <f>IF((RD[[#This Row],[33kV_Aux1 Import Reading]]-CD81)*1000&lt;=0,"",(RD[[#This Row],[33kV_Aux1 Import Reading]]-CD81)*1000)</f>
        <v/>
      </c>
      <c r="CV82" s="227">
        <f>IF((RD[[#This Row],[33kV_Aux2_Import reading]]-CE81)*1000&lt;=0,"",(RD[[#This Row],[33kV_Aux2_Import reading]]-CE81)*1000)</f>
        <v>370.00000000000455</v>
      </c>
      <c r="CW82" s="227">
        <f>IFERROR(RD[[#This Row],[33kV_OG1_Energy (MWh)]]+RD[[#This Row],[33kV_OG2_Energy (MWh)]],"")</f>
        <v>1440000</v>
      </c>
      <c r="CX82" s="227">
        <f>IFERROR(RD[[#This Row],[220kV_TL_TVM Energy (MWh)]]-RD[[#This Row],[220KV_C&amp;R_PQM Import (MWh)]],"")</f>
        <v>1430399.9999999178</v>
      </c>
      <c r="CY82" s="228">
        <f>IFERROR(RD[[#This Row],[33 kV Total Export (MWH)]]/RD[[#This Row],[220 KV Net Export (MWh)]]-1,"")</f>
        <v>6.7114093960309873E-3</v>
      </c>
      <c r="CZ82" s="229">
        <f t="shared" si="91"/>
        <v>50.6</v>
      </c>
      <c r="DA82" s="230">
        <v>96</v>
      </c>
      <c r="DB82" s="231"/>
      <c r="DC82" s="232">
        <f>IFERROR((RD[[#This Row],[Sunset Time (POA&lt;20 W/m2)]]-RD[[#This Row],[Sunrise Time (POA&gt;20 W/m2)]])*24,0)</f>
        <v>11.599999999999998</v>
      </c>
      <c r="DD82" s="70">
        <f>SUM(RD[[#This Row],[33 kV_Wind_F3_Export_Reading3]],CJ82,CK82,CL82,CM82)</f>
        <v>562949.99999999895</v>
      </c>
      <c r="DE82" s="233"/>
      <c r="DF82" s="70">
        <f t="shared" si="82"/>
        <v>876315.00000000582</v>
      </c>
      <c r="DG82" s="230">
        <v>906.85</v>
      </c>
      <c r="DH82">
        <f>'WTG Reactive Power'!AB80</f>
        <v>76965.399999999994</v>
      </c>
    </row>
    <row r="83" spans="1:112">
      <c r="A83" s="210">
        <f>YEAR(RD[[#This Row],[Date]])+IF(MONTH(RD[[#This Row],[Date]])&gt;=4,1,0)</f>
        <v>2026</v>
      </c>
      <c r="B83" s="210">
        <f>YEAR(RD[[#This Row],[Date]])</f>
        <v>2025</v>
      </c>
      <c r="C83" s="211">
        <f t="shared" si="83"/>
        <v>45809</v>
      </c>
      <c r="D83" s="210">
        <f>DAY(EOMONTH(RD[[#This Row],[Date]],0))</f>
        <v>30</v>
      </c>
      <c r="E83" s="212">
        <f t="shared" si="84"/>
        <v>45823</v>
      </c>
      <c r="F83" s="206">
        <v>0.27430555555555558</v>
      </c>
      <c r="G83" s="206">
        <v>0.75763888888888886</v>
      </c>
      <c r="H83" s="213">
        <v>41893.199999999997</v>
      </c>
      <c r="I83" s="213">
        <v>41274.699999999997</v>
      </c>
      <c r="J83" s="213">
        <v>39998.5</v>
      </c>
      <c r="K83" s="213">
        <v>38156.400000000001</v>
      </c>
      <c r="L83" s="213">
        <v>39986.699999999997</v>
      </c>
      <c r="M83" s="213">
        <v>40172.6</v>
      </c>
      <c r="N83" s="213">
        <v>40254</v>
      </c>
      <c r="O83" s="213">
        <v>41147.599999999999</v>
      </c>
      <c r="P83" s="213">
        <v>41648.800000000003</v>
      </c>
      <c r="Q83" s="213">
        <v>39966.5</v>
      </c>
      <c r="R83" s="213">
        <v>39057.699999999997</v>
      </c>
      <c r="S83" s="213">
        <v>41323.199999999997</v>
      </c>
      <c r="T83" s="213">
        <v>38703.300000000003</v>
      </c>
      <c r="U83" s="213">
        <v>38322.800000000003</v>
      </c>
      <c r="V83" s="213">
        <v>42107.7</v>
      </c>
      <c r="W83" s="213">
        <v>42113.5</v>
      </c>
      <c r="X83" s="213">
        <v>42186.1</v>
      </c>
      <c r="Y83" s="213">
        <v>33490.6</v>
      </c>
      <c r="Z83" s="213">
        <v>34968.6</v>
      </c>
      <c r="AA83" s="213">
        <v>37424.400000000001</v>
      </c>
      <c r="AB83" s="213">
        <v>41124.9</v>
      </c>
      <c r="AC83" s="213">
        <v>39020.800000000003</v>
      </c>
      <c r="AD83" s="213">
        <v>40598.400000000001</v>
      </c>
      <c r="AE83" s="350">
        <v>9.6</v>
      </c>
      <c r="AF83" s="350">
        <v>9.3000000000000007</v>
      </c>
      <c r="AG83" s="350">
        <v>9.4</v>
      </c>
      <c r="AH83" s="350">
        <v>9</v>
      </c>
      <c r="AI83" s="350">
        <v>9.3000000000000007</v>
      </c>
      <c r="AJ83" s="350">
        <v>9.1999999999999993</v>
      </c>
      <c r="AK83" s="350">
        <v>9.3000000000000007</v>
      </c>
      <c r="AL83" s="350">
        <v>9.5</v>
      </c>
      <c r="AM83" s="350">
        <v>9.4</v>
      </c>
      <c r="AN83" s="350">
        <v>9.1</v>
      </c>
      <c r="AO83" s="350">
        <v>9.4</v>
      </c>
      <c r="AP83" s="350">
        <v>9.5</v>
      </c>
      <c r="AQ83" s="350">
        <v>9.1</v>
      </c>
      <c r="AR83" s="350">
        <v>9</v>
      </c>
      <c r="AS83" s="350">
        <v>9.8000000000000007</v>
      </c>
      <c r="AT83" s="350">
        <v>9.3000000000000007</v>
      </c>
      <c r="AU83" s="350">
        <v>9.5</v>
      </c>
      <c r="AV83" s="350">
        <v>8.3000000000000007</v>
      </c>
      <c r="AW83" s="350">
        <v>8.6</v>
      </c>
      <c r="AX83" s="350">
        <v>8.8000000000000007</v>
      </c>
      <c r="AY83" s="350">
        <v>9.6</v>
      </c>
      <c r="AZ83" s="350">
        <v>9.1</v>
      </c>
      <c r="BA83" s="350">
        <v>9.1</v>
      </c>
      <c r="BB83" s="214">
        <f t="shared" si="85"/>
        <v>393765.89999999997</v>
      </c>
      <c r="BC83" s="216">
        <f t="shared" si="86"/>
        <v>84299.6</v>
      </c>
      <c r="BD83" s="180">
        <f t="shared" si="70"/>
        <v>321983.30000000005</v>
      </c>
      <c r="BE83" s="216">
        <f t="shared" si="87"/>
        <v>33490.6</v>
      </c>
      <c r="BF83" s="179">
        <f t="shared" si="71"/>
        <v>81401.600000000006</v>
      </c>
      <c r="BG83" s="216">
        <f>SUM(RD[[#This Row],[KUD01]:[KUD23]])</f>
        <v>914941</v>
      </c>
      <c r="BH83" s="217">
        <f t="shared" si="88"/>
        <v>9.2299999999999986</v>
      </c>
      <c r="BI83" s="219">
        <f t="shared" si="89"/>
        <v>9.4</v>
      </c>
      <c r="BJ83" s="219">
        <f t="shared" si="90"/>
        <v>9.2799999999999976</v>
      </c>
      <c r="BK83" s="221">
        <f t="shared" si="81"/>
        <v>8.3000000000000007</v>
      </c>
      <c r="BL83" s="61">
        <f>IFERROR(AVERAGEIF(RD[[#This Row],[WS_KUD07]:[WS_KUD08]],"&lt;&gt;0",RD[[#This Row],[WS_KUD07]:[WS_KUD08]]),"")</f>
        <v>9.4</v>
      </c>
      <c r="BM83" s="223">
        <f>IFERROR(AVERAGE(RD[[#This Row],[WS_KUD01]:[WS_KUD23]]),"")</f>
        <v>9.2260869565217405</v>
      </c>
      <c r="BN83" s="224">
        <f>IFERROR(MAX(RD[[#This Row],[WS_KUD01]:[WS_KUD23]]),"")</f>
        <v>9.8000000000000007</v>
      </c>
      <c r="BO83" s="172">
        <v>640.30499999999995</v>
      </c>
      <c r="BP83" s="349">
        <v>954.30499999999995</v>
      </c>
      <c r="BQ83" s="349">
        <v>98.686999999999998</v>
      </c>
      <c r="BR83" s="349">
        <v>282.67</v>
      </c>
      <c r="BS83" s="349">
        <v>211.53399999999999</v>
      </c>
      <c r="BT83" s="349">
        <v>316.03800000000001</v>
      </c>
      <c r="BU83" s="349"/>
      <c r="BV83" s="349">
        <v>104.907</v>
      </c>
      <c r="BW83" s="172">
        <v>210671</v>
      </c>
      <c r="BX83" s="172">
        <v>279497</v>
      </c>
      <c r="BY83" s="349">
        <v>148.44399999999999</v>
      </c>
      <c r="BZ83" s="349">
        <v>108.102</v>
      </c>
      <c r="CA83" s="349">
        <v>303.95999999999998</v>
      </c>
      <c r="CB83" s="349">
        <v>129.065</v>
      </c>
      <c r="CC83" s="349">
        <v>0.122</v>
      </c>
      <c r="CD83" s="172">
        <v>0</v>
      </c>
      <c r="CE83" s="349">
        <v>238.089</v>
      </c>
      <c r="CF83" s="226" t="str">
        <f>IF((RD[[#This Row],[33 kV_Wind_F1_Export reading]]-BO82)*165000&lt;=0,"",(RD[[#This Row],[33 kV_Wind_F1_Export reading]]-BO82)*165000)</f>
        <v/>
      </c>
      <c r="CG83" s="227">
        <f>IF((RD[[#This Row],[33 kV_Wind_F2_Export_reading]]-BP82)*165000&lt;=0,"",(RD[[#This Row],[33 kV_Wind_F2_Export_reading]]-BP82)*165000)</f>
        <v>460514.9999999901</v>
      </c>
      <c r="CH83" s="64">
        <f>IF((RD[[#This Row],[33 kV_Wind_F3_Export_Reading]]-BQ82)*225000&lt;=0,"",(RD[[#This Row],[33 kV_Wind_F3_Export_Reading]]-BQ82)*225000)</f>
        <v>123300.00000000041</v>
      </c>
      <c r="CI83" s="64">
        <f>IF((RD[[#This Row],[33 kV_Wind_F4_Export Reading]]-BR82)*165000&lt;=0,"",(RD[[#This Row],[33 kV_Wind_F4_Export Reading]]-BR82)*165000)</f>
        <v>422069.99999999878</v>
      </c>
      <c r="CJ83" s="209">
        <f>IF((RD[[#This Row],[33 kV_Solar_F1_Export Reading]]-BS82)*225000&lt;=0,"",(RD[[#This Row],[33 kV_Solar_F1_Export Reading]]-BS82)*225000)</f>
        <v>96749.99999999514</v>
      </c>
      <c r="CK83" s="74">
        <f>IF((RD[[#This Row],[33kV_Solar_F2_Export Reading]]-BT82)*225000&lt;=0,"",(RD[[#This Row],[33kV_Solar_F2_Export Reading]]-BT82)*225000)</f>
        <v>96525.000000006854</v>
      </c>
      <c r="CL83" s="209" t="str">
        <f>IF((RD[[#This Row],[33 kV_Solar_F3_Export reading]]-BU82)*225000&lt;=0,"",(RD[[#This Row],[33 kV_Solar_F3_Export reading]]-BU82)*225000)</f>
        <v/>
      </c>
      <c r="CM83" s="63">
        <f>IF((RD[[#This Row],[32kV_Solar_F4_Export reading]]-BV82)*225000&lt;=0,"",(RD[[#This Row],[32kV_Solar_F4_Export reading]]-BV82)*225000)</f>
        <v>96299.999999999389</v>
      </c>
      <c r="CN83" s="227">
        <f>IF((RD[[#This Row],[33kV_OG1_Export reading]]-BW82)*1000&lt;=0,0,(RD[[#This Row],[33kV_OG1_Export reading]]-BW82)*1000)</f>
        <v>290000</v>
      </c>
      <c r="CO83" s="227">
        <f>IFERROR(IF((RD[[#This Row],[33kV_OG2_Export reading]]-BX82)*1000&lt;=0,0,(RD[[#This Row],[33kV_OG2_Export reading]]-BX82)*1000),0)</f>
        <v>1019000</v>
      </c>
      <c r="CP83" s="74">
        <f>IF((RD[[#This Row],[220kV_TX1_Export reading]]-BY82)*800000&lt;=0,0,(RD[[#This Row],[220kV_TX1_Export reading]]-BY82)*800000)</f>
        <v>286399.99999998056</v>
      </c>
      <c r="CQ83" s="209">
        <f>IF((RD[[#This Row],[220kV_Tx2_Export reading]]-BZ82)*800000&lt;=0,0,(RD[[#This Row],[220kV_Tx2_Export reading]]-BZ82)*800000)</f>
        <v>1027200.0000000048</v>
      </c>
      <c r="CR83" s="227">
        <f>IF((RD[[#This Row],[220kV_TL_TVM Export Reading]]-CA82)*1600000&lt;=0,0,(RD[[#This Row],[220kV_TL_TVM Export Reading]]-CA82)*1600000)</f>
        <v>1288000.0000000109</v>
      </c>
      <c r="CS83" s="227">
        <f>IF((RD[[#This Row],[220kV_C&amp;R_PQM reading]]-CB82)*1600000&lt;=0,"",(RD[[#This Row],[220kV_C&amp;R_PQM reading]]-CB82)*1600000)</f>
        <v>1289600.0000000186</v>
      </c>
      <c r="CT83" s="209">
        <f>IFERROR(IF((RD[[#This Row],[220KV_C&amp;R_PQM Import Reading]]-CC82)*1600000&lt;=0,0,(RD[[#This Row],[220KV_C&amp;R_PQM Import Reading]]-CC82)*1600000),"")</f>
        <v>0</v>
      </c>
      <c r="CU83" s="64" t="str">
        <f>IF((RD[[#This Row],[33kV_Aux1 Import Reading]]-CD82)*1000&lt;=0,"",(RD[[#This Row],[33kV_Aux1 Import Reading]]-CD82)*1000)</f>
        <v/>
      </c>
      <c r="CV83" s="227">
        <f>IF((RD[[#This Row],[33kV_Aux2_Import reading]]-CE82)*1000&lt;=0,"",(RD[[#This Row],[33kV_Aux2_Import reading]]-CE82)*1000)</f>
        <v>370.00000000000455</v>
      </c>
      <c r="CW83" s="227">
        <f>IFERROR(RD[[#This Row],[33kV_OG1_Energy (MWh)]]+RD[[#This Row],[33kV_OG2_Energy (MWh)]],"")</f>
        <v>1309000</v>
      </c>
      <c r="CX83" s="227">
        <f>IFERROR(RD[[#This Row],[220kV_TL_TVM Energy (MWh)]]-RD[[#This Row],[220KV_C&amp;R_PQM Import (MWh)]],"")</f>
        <v>1288000.0000000109</v>
      </c>
      <c r="CY83" s="228">
        <f>IFERROR(RD[[#This Row],[33 kV Total Export (MWH)]]/RD[[#This Row],[220 KV Net Export (MWh)]]-1,"")</f>
        <v>1.6304347826078258E-2</v>
      </c>
      <c r="CZ83" s="229">
        <f t="shared" si="91"/>
        <v>50.6</v>
      </c>
      <c r="DA83" s="230">
        <v>96</v>
      </c>
      <c r="DB83" s="231"/>
      <c r="DC83" s="232">
        <f>IFERROR((RD[[#This Row],[Sunset Time (POA&lt;20 W/m2)]]-RD[[#This Row],[Sunrise Time (POA&gt;20 W/m2)]])*24,0)</f>
        <v>11.599999999999998</v>
      </c>
      <c r="DD83" s="70">
        <f>SUM(RD[[#This Row],[33 kV_Wind_F3_Export_Reading3]],CJ83,CK83,CL83,CM83)</f>
        <v>412875.00000000175</v>
      </c>
      <c r="DE83" s="233"/>
      <c r="DF83" s="70">
        <f t="shared" si="82"/>
        <v>882584.99999998882</v>
      </c>
      <c r="DG83" s="230">
        <v>914.94</v>
      </c>
      <c r="DH83">
        <f>'WTG Reactive Power'!AB81</f>
        <v>109003.40000000001</v>
      </c>
    </row>
    <row r="84" spans="1:112">
      <c r="A84" s="210">
        <f>YEAR(RD[[#This Row],[Date]])+IF(MONTH(RD[[#This Row],[Date]])&gt;=4,1,0)</f>
        <v>2026</v>
      </c>
      <c r="B84" s="210">
        <f>YEAR(RD[[#This Row],[Date]])</f>
        <v>2025</v>
      </c>
      <c r="C84" s="211">
        <f t="shared" si="83"/>
        <v>45809</v>
      </c>
      <c r="D84" s="210">
        <f>DAY(EOMONTH(RD[[#This Row],[Date]],0))</f>
        <v>30</v>
      </c>
      <c r="E84" s="212">
        <f t="shared" si="84"/>
        <v>45824</v>
      </c>
      <c r="F84" s="206">
        <v>0.27083333333333331</v>
      </c>
      <c r="G84" s="206">
        <v>0.75763888888888886</v>
      </c>
      <c r="H84" s="213">
        <v>49494.8</v>
      </c>
      <c r="I84" s="213">
        <v>47055.199999999997</v>
      </c>
      <c r="J84" s="213">
        <v>47493.3</v>
      </c>
      <c r="K84" s="213">
        <v>47820.4</v>
      </c>
      <c r="L84" s="213">
        <v>47533.3</v>
      </c>
      <c r="M84" s="213">
        <v>47628.7</v>
      </c>
      <c r="N84" s="213">
        <v>47371.8</v>
      </c>
      <c r="O84" s="213">
        <v>48160.6</v>
      </c>
      <c r="P84" s="213">
        <v>48741.5</v>
      </c>
      <c r="Q84" s="213">
        <v>47929.9</v>
      </c>
      <c r="R84" s="213">
        <v>47862.2</v>
      </c>
      <c r="S84" s="213">
        <v>48744</v>
      </c>
      <c r="T84" s="213">
        <v>47242.6</v>
      </c>
      <c r="U84" s="213">
        <v>47951</v>
      </c>
      <c r="V84" s="213">
        <v>48815.7</v>
      </c>
      <c r="W84" s="213">
        <v>47246.1</v>
      </c>
      <c r="X84" s="213">
        <v>48254.1</v>
      </c>
      <c r="Y84" s="213">
        <v>44850.400000000001</v>
      </c>
      <c r="Z84" s="213">
        <v>46396.1</v>
      </c>
      <c r="AA84" s="213">
        <v>47247.1</v>
      </c>
      <c r="AB84" s="213">
        <v>46965.599999999999</v>
      </c>
      <c r="AC84" s="213">
        <v>46110</v>
      </c>
      <c r="AD84" s="213">
        <v>47057.4</v>
      </c>
      <c r="AE84" s="350">
        <v>11.5</v>
      </c>
      <c r="AF84" s="350">
        <v>10.8</v>
      </c>
      <c r="AG84" s="350">
        <v>10.8</v>
      </c>
      <c r="AH84" s="350">
        <v>11</v>
      </c>
      <c r="AI84" s="350">
        <v>11</v>
      </c>
      <c r="AJ84" s="350">
        <v>10.7</v>
      </c>
      <c r="AK84" s="350">
        <v>10.8</v>
      </c>
      <c r="AL84" s="350">
        <v>10.8</v>
      </c>
      <c r="AM84" s="350">
        <v>11.2</v>
      </c>
      <c r="AN84" s="350">
        <v>10.6</v>
      </c>
      <c r="AO84" s="350">
        <v>11</v>
      </c>
      <c r="AP84" s="350">
        <v>11.3</v>
      </c>
      <c r="AQ84" s="350">
        <v>11</v>
      </c>
      <c r="AR84" s="350">
        <v>11</v>
      </c>
      <c r="AS84" s="350">
        <v>11.6</v>
      </c>
      <c r="AT84" s="350">
        <v>10.8</v>
      </c>
      <c r="AU84" s="350">
        <v>11.1</v>
      </c>
      <c r="AV84" s="350">
        <v>10.1</v>
      </c>
      <c r="AW84" s="350">
        <v>10.7</v>
      </c>
      <c r="AX84" s="350">
        <v>10.8</v>
      </c>
      <c r="AY84" s="350">
        <v>11.1</v>
      </c>
      <c r="AZ84" s="350">
        <v>10.9</v>
      </c>
      <c r="BA84" s="350">
        <v>10.7</v>
      </c>
      <c r="BB84" s="214">
        <f t="shared" si="85"/>
        <v>479176.69999999995</v>
      </c>
      <c r="BC84" s="216">
        <f t="shared" si="86"/>
        <v>95500.2</v>
      </c>
      <c r="BD84" s="180">
        <f t="shared" ref="BD84:BD147" si="92">SUM(I84,K84,L84,M84,P84,AB84,AC84,AD84)</f>
        <v>378912.10000000003</v>
      </c>
      <c r="BE84" s="216">
        <f t="shared" si="87"/>
        <v>44850.400000000001</v>
      </c>
      <c r="BF84" s="179">
        <f t="shared" ref="BF84:BF147" si="93">SUM($N84:$O84)</f>
        <v>95532.4</v>
      </c>
      <c r="BG84" s="216">
        <f>SUM(RD[[#This Row],[KUD01]:[KUD23]])</f>
        <v>1093971.7999999998</v>
      </c>
      <c r="BH84" s="217">
        <f t="shared" si="88"/>
        <v>11.03</v>
      </c>
      <c r="BI84" s="219">
        <f t="shared" si="89"/>
        <v>10.95</v>
      </c>
      <c r="BJ84" s="219">
        <f t="shared" si="90"/>
        <v>10.9</v>
      </c>
      <c r="BK84" s="221">
        <f t="shared" si="81"/>
        <v>10.1</v>
      </c>
      <c r="BL84" s="61">
        <f>IFERROR(AVERAGEIF(RD[[#This Row],[WS_KUD07]:[WS_KUD08]],"&lt;&gt;0",RD[[#This Row],[WS_KUD07]:[WS_KUD08]]),"")</f>
        <v>10.8</v>
      </c>
      <c r="BM84" s="223">
        <f>IFERROR(AVERAGE(RD[[#This Row],[WS_KUD01]:[WS_KUD23]]),"")</f>
        <v>10.926086956521738</v>
      </c>
      <c r="BN84" s="224">
        <f>IFERROR(MAX(RD[[#This Row],[WS_KUD01]:[WS_KUD23]]),"")</f>
        <v>11.6</v>
      </c>
      <c r="BO84" s="172">
        <v>640.30499999999995</v>
      </c>
      <c r="BP84" s="349">
        <v>957.58600000000001</v>
      </c>
      <c r="BQ84" s="348">
        <v>99.39</v>
      </c>
      <c r="BR84" s="349">
        <v>285.76100000000002</v>
      </c>
      <c r="BS84" s="348">
        <v>212.1</v>
      </c>
      <c r="BT84" s="349">
        <v>316.57299999999998</v>
      </c>
      <c r="BU84" s="349"/>
      <c r="BV84" s="349">
        <v>105.45099999999999</v>
      </c>
      <c r="BW84" s="172">
        <v>211042</v>
      </c>
      <c r="BX84" s="172">
        <v>280695</v>
      </c>
      <c r="BY84" s="349">
        <v>148.90199999999999</v>
      </c>
      <c r="BZ84" s="349">
        <v>109.559</v>
      </c>
      <c r="CA84" s="349">
        <v>304.94099999999997</v>
      </c>
      <c r="CB84" s="349">
        <v>130.047</v>
      </c>
      <c r="CC84" s="349">
        <v>0.122</v>
      </c>
      <c r="CD84" s="172">
        <v>0</v>
      </c>
      <c r="CE84" s="349">
        <v>238.43899999999999</v>
      </c>
      <c r="CF84" s="226" t="str">
        <f>IF((RD[[#This Row],[33 kV_Wind_F1_Export reading]]-BO83)*165000&lt;=0,"",(RD[[#This Row],[33 kV_Wind_F1_Export reading]]-BO83)*165000)</f>
        <v/>
      </c>
      <c r="CG84" s="227">
        <f>IF((RD[[#This Row],[33 kV_Wind_F2_Export_reading]]-BP83)*165000&lt;=0,"",(RD[[#This Row],[33 kV_Wind_F2_Export_reading]]-BP83)*165000)</f>
        <v>541365.00000001036</v>
      </c>
      <c r="CH84" s="64">
        <f>IF((RD[[#This Row],[33 kV_Wind_F3_Export_Reading]]-BQ83)*225000&lt;=0,"",(RD[[#This Row],[33 kV_Wind_F3_Export_Reading]]-BQ83)*225000)</f>
        <v>158175.00000000067</v>
      </c>
      <c r="CI84" s="64">
        <f>IF((RD[[#This Row],[33 kV_Wind_F4_Export Reading]]-BR83)*165000&lt;=0,"",(RD[[#This Row],[33 kV_Wind_F4_Export Reading]]-BR83)*165000)</f>
        <v>510015.00000000134</v>
      </c>
      <c r="CJ84" s="209">
        <f>IF((RD[[#This Row],[33 kV_Solar_F1_Export Reading]]-BS83)*225000&lt;=0,"",(RD[[#This Row],[33 kV_Solar_F1_Export Reading]]-BS83)*225000)</f>
        <v>127350.00000000057</v>
      </c>
      <c r="CK84" s="74">
        <f>IF((RD[[#This Row],[33kV_Solar_F2_Export Reading]]-BT83)*225000&lt;=0,"",(RD[[#This Row],[33kV_Solar_F2_Export Reading]]-BT83)*225000)</f>
        <v>120374.99999999284</v>
      </c>
      <c r="CL84" s="209" t="str">
        <f>IF((RD[[#This Row],[33 kV_Solar_F3_Export reading]]-BU83)*225000&lt;=0,"",(RD[[#This Row],[33 kV_Solar_F3_Export reading]]-BU83)*225000)</f>
        <v/>
      </c>
      <c r="CM84" s="63">
        <f>IF((RD[[#This Row],[32kV_Solar_F4_Export reading]]-BV83)*225000&lt;=0,"",(RD[[#This Row],[32kV_Solar_F4_Export reading]]-BV83)*225000)</f>
        <v>122399.99999999932</v>
      </c>
      <c r="CN84" s="227">
        <f>IF((RD[[#This Row],[33kV_OG1_Export reading]]-BW83)*1000&lt;=0,0,(RD[[#This Row],[33kV_OG1_Export reading]]-BW83)*1000)</f>
        <v>371000</v>
      </c>
      <c r="CO84" s="227">
        <f>IFERROR(IF((RD[[#This Row],[33kV_OG2_Export reading]]-BX83)*1000&lt;=0,0,(RD[[#This Row],[33kV_OG2_Export reading]]-BX83)*1000),0)</f>
        <v>1198000</v>
      </c>
      <c r="CP84" s="74">
        <f>IF((RD[[#This Row],[220kV_TX1_Export reading]]-BY83)*800000&lt;=0,0,(RD[[#This Row],[220kV_TX1_Export reading]]-BY83)*800000)</f>
        <v>366399.99999999872</v>
      </c>
      <c r="CQ84" s="209">
        <f>IF((RD[[#This Row],[220kV_Tx2_Export reading]]-BZ83)*800000&lt;=0,0,(RD[[#This Row],[220kV_Tx2_Export reading]]-BZ83)*800000)</f>
        <v>1165599.9999999949</v>
      </c>
      <c r="CR84" s="227">
        <f>IF((RD[[#This Row],[220kV_TL_TVM Export Reading]]-CA83)*1600000&lt;=0,0,(RD[[#This Row],[220kV_TL_TVM Export Reading]]-CA83)*1600000)</f>
        <v>1569599.9999999912</v>
      </c>
      <c r="CS84" s="227">
        <f>IF((RD[[#This Row],[220kV_C&amp;R_PQM reading]]-CB83)*1600000&lt;=0,"",(RD[[#This Row],[220kV_C&amp;R_PQM reading]]-CB83)*1600000)</f>
        <v>1571199.9999999988</v>
      </c>
      <c r="CT84" s="209">
        <f>IFERROR(IF((RD[[#This Row],[220KV_C&amp;R_PQM Import Reading]]-CC83)*1600000&lt;=0,0,(RD[[#This Row],[220KV_C&amp;R_PQM Import Reading]]-CC83)*1600000),"")</f>
        <v>0</v>
      </c>
      <c r="CU84" s="64" t="str">
        <f>IF((RD[[#This Row],[33kV_Aux1 Import Reading]]-CD83)*1000&lt;=0,"",(RD[[#This Row],[33kV_Aux1 Import Reading]]-CD83)*1000)</f>
        <v/>
      </c>
      <c r="CV84" s="227">
        <f>IF((RD[[#This Row],[33kV_Aux2_Import reading]]-CE83)*1000&lt;=0,"",(RD[[#This Row],[33kV_Aux2_Import reading]]-CE83)*1000)</f>
        <v>349.99999999999432</v>
      </c>
      <c r="CW84" s="227">
        <f>IFERROR(RD[[#This Row],[33kV_OG1_Energy (MWh)]]+RD[[#This Row],[33kV_OG2_Energy (MWh)]],"")</f>
        <v>1569000</v>
      </c>
      <c r="CX84" s="227">
        <f>IFERROR(RD[[#This Row],[220kV_TL_TVM Energy (MWh)]]-RD[[#This Row],[220KV_C&amp;R_PQM Import (MWh)]],"")</f>
        <v>1569599.9999999912</v>
      </c>
      <c r="CY84" s="228">
        <f>IFERROR(RD[[#This Row],[33 kV Total Export (MWH)]]/RD[[#This Row],[220 KV Net Export (MWh)]]-1,"")</f>
        <v>-3.8226299693622234E-4</v>
      </c>
      <c r="CZ84" s="229">
        <f t="shared" si="91"/>
        <v>50.6</v>
      </c>
      <c r="DA84" s="230">
        <v>95</v>
      </c>
      <c r="DB84" s="231"/>
      <c r="DC84" s="232">
        <f>IFERROR((RD[[#This Row],[Sunset Time (POA&lt;20 W/m2)]]-RD[[#This Row],[Sunrise Time (POA&gt;20 W/m2)]])*24,0)</f>
        <v>11.683333333333334</v>
      </c>
      <c r="DD84" s="70">
        <f>SUM(RD[[#This Row],[33 kV_Wind_F3_Export_Reading3]],CJ84,CK84,CL84,CM84)</f>
        <v>528299.99999999336</v>
      </c>
      <c r="DE84" s="233"/>
      <c r="DF84" s="70">
        <f t="shared" si="82"/>
        <v>1051380.0000000116</v>
      </c>
      <c r="DG84" s="230">
        <v>1107.45</v>
      </c>
      <c r="DH84">
        <f>'WTG Reactive Power'!AB82</f>
        <v>181242.90000000002</v>
      </c>
    </row>
    <row r="85" spans="1:112">
      <c r="A85" s="210">
        <f>YEAR(RD[[#This Row],[Date]])+IF(MONTH(RD[[#This Row],[Date]])&gt;=4,1,0)</f>
        <v>2026</v>
      </c>
      <c r="B85" s="210">
        <f>YEAR(RD[[#This Row],[Date]])</f>
        <v>2025</v>
      </c>
      <c r="C85" s="211">
        <f t="shared" si="83"/>
        <v>45809</v>
      </c>
      <c r="D85" s="210">
        <f>DAY(EOMONTH(RD[[#This Row],[Date]],0))</f>
        <v>30</v>
      </c>
      <c r="E85" s="212">
        <f t="shared" si="84"/>
        <v>45825</v>
      </c>
      <c r="F85" s="206">
        <v>0.27638888888888891</v>
      </c>
      <c r="G85" s="206">
        <v>0.75902777777777775</v>
      </c>
      <c r="H85" s="213">
        <v>34776.9</v>
      </c>
      <c r="I85" s="213">
        <v>32312.6</v>
      </c>
      <c r="J85" s="213">
        <v>29208</v>
      </c>
      <c r="K85" s="213">
        <v>30276.9</v>
      </c>
      <c r="L85" s="213">
        <v>30648.9</v>
      </c>
      <c r="M85" s="213">
        <v>29652.6</v>
      </c>
      <c r="N85" s="213">
        <v>30259.200000000001</v>
      </c>
      <c r="O85" s="213">
        <v>33214.6</v>
      </c>
      <c r="P85" s="213">
        <v>32221.4</v>
      </c>
      <c r="Q85" s="213">
        <v>31688.2</v>
      </c>
      <c r="R85" s="213">
        <v>27961.599999999999</v>
      </c>
      <c r="S85" s="213">
        <v>30885.599999999999</v>
      </c>
      <c r="T85" s="213">
        <v>30722.1</v>
      </c>
      <c r="U85" s="213">
        <v>29211.599999999999</v>
      </c>
      <c r="V85" s="213">
        <v>35297.699999999997</v>
      </c>
      <c r="W85" s="213">
        <v>34532.9</v>
      </c>
      <c r="X85" s="213">
        <v>34124</v>
      </c>
      <c r="Y85" s="213">
        <v>28920.2</v>
      </c>
      <c r="Z85" s="213">
        <v>33474.800000000003</v>
      </c>
      <c r="AA85" s="213">
        <v>30764.7</v>
      </c>
      <c r="AB85" s="213">
        <v>29357.9</v>
      </c>
      <c r="AC85" s="213">
        <v>31825.8</v>
      </c>
      <c r="AD85" s="213">
        <v>32189.200000000001</v>
      </c>
      <c r="AE85" s="350">
        <v>8.5</v>
      </c>
      <c r="AF85" s="350">
        <v>8.1999999999999993</v>
      </c>
      <c r="AG85" s="350">
        <v>8.1</v>
      </c>
      <c r="AH85" s="350">
        <v>7.8</v>
      </c>
      <c r="AI85" s="350">
        <v>8</v>
      </c>
      <c r="AJ85" s="350">
        <v>7.8</v>
      </c>
      <c r="AK85" s="350">
        <v>8</v>
      </c>
      <c r="AL85" s="350">
        <v>8.4</v>
      </c>
      <c r="AM85" s="350">
        <v>8.1999999999999993</v>
      </c>
      <c r="AN85" s="350">
        <v>7.9</v>
      </c>
      <c r="AO85" s="350">
        <v>8</v>
      </c>
      <c r="AP85" s="350">
        <v>8.1</v>
      </c>
      <c r="AQ85" s="350">
        <v>8.1</v>
      </c>
      <c r="AR85" s="350">
        <v>7.8</v>
      </c>
      <c r="AS85" s="350">
        <v>8.9</v>
      </c>
      <c r="AT85" s="350">
        <v>8.5</v>
      </c>
      <c r="AU85" s="350">
        <v>8.6</v>
      </c>
      <c r="AV85" s="350">
        <v>7.8</v>
      </c>
      <c r="AW85" s="350">
        <v>8.3000000000000007</v>
      </c>
      <c r="AX85" s="350">
        <v>8</v>
      </c>
      <c r="AY85" s="350">
        <v>8.3000000000000007</v>
      </c>
      <c r="AZ85" s="350">
        <v>8.4</v>
      </c>
      <c r="BA85" s="350">
        <v>8.1</v>
      </c>
      <c r="BB85" s="214">
        <f t="shared" si="85"/>
        <v>313991.2</v>
      </c>
      <c r="BC85" s="216">
        <f t="shared" si="86"/>
        <v>68656.899999999994</v>
      </c>
      <c r="BD85" s="180">
        <f t="shared" si="92"/>
        <v>248485.3</v>
      </c>
      <c r="BE85" s="216">
        <f t="shared" si="87"/>
        <v>28920.2</v>
      </c>
      <c r="BF85" s="179">
        <f t="shared" si="93"/>
        <v>63473.8</v>
      </c>
      <c r="BG85" s="216">
        <f>SUM(RD[[#This Row],[KUD01]:[KUD23]])</f>
        <v>723527.4</v>
      </c>
      <c r="BH85" s="217">
        <f t="shared" si="88"/>
        <v>8.17</v>
      </c>
      <c r="BI85" s="219">
        <f t="shared" si="89"/>
        <v>8.5500000000000007</v>
      </c>
      <c r="BJ85" s="219">
        <f t="shared" si="90"/>
        <v>8.1199999999999992</v>
      </c>
      <c r="BK85" s="221">
        <f t="shared" si="81"/>
        <v>7.8</v>
      </c>
      <c r="BL85" s="61">
        <f>IFERROR(AVERAGEIF(RD[[#This Row],[WS_KUD07]:[WS_KUD08]],"&lt;&gt;0",RD[[#This Row],[WS_KUD07]:[WS_KUD08]]),"")</f>
        <v>8.1999999999999993</v>
      </c>
      <c r="BM85" s="223">
        <f>IFERROR(AVERAGE(RD[[#This Row],[WS_KUD01]:[WS_KUD23]]),"")</f>
        <v>8.1652173913043491</v>
      </c>
      <c r="BN85" s="224">
        <f>IFERROR(MAX(RD[[#This Row],[WS_KUD01]:[WS_KUD23]]),"")</f>
        <v>8.9</v>
      </c>
      <c r="BO85" s="172">
        <v>640.30499999999995</v>
      </c>
      <c r="BP85" s="349">
        <v>959.77499999999998</v>
      </c>
      <c r="BQ85" s="349">
        <v>100.09699999999999</v>
      </c>
      <c r="BR85" s="349">
        <v>287.80099999999999</v>
      </c>
      <c r="BS85" s="349">
        <v>212.64400000000001</v>
      </c>
      <c r="BT85" s="349">
        <v>317.01400000000001</v>
      </c>
      <c r="BU85" s="349"/>
      <c r="BV85" s="349">
        <v>105.998</v>
      </c>
      <c r="BW85" s="172">
        <v>211387</v>
      </c>
      <c r="BX85" s="172">
        <v>281552</v>
      </c>
      <c r="BY85" s="349">
        <v>149.328</v>
      </c>
      <c r="BZ85" s="349">
        <v>110.622</v>
      </c>
      <c r="CA85" s="349">
        <v>305.68599999999998</v>
      </c>
      <c r="CB85" s="349">
        <v>130.79499999999999</v>
      </c>
      <c r="CC85" s="349">
        <v>0.122</v>
      </c>
      <c r="CD85" s="172">
        <v>0</v>
      </c>
      <c r="CE85" s="349">
        <v>238.78899999999999</v>
      </c>
      <c r="CF85" s="226" t="str">
        <f>IF((RD[[#This Row],[33 kV_Wind_F1_Export reading]]-BO84)*165000&lt;=0,"",(RD[[#This Row],[33 kV_Wind_F1_Export reading]]-BO84)*165000)</f>
        <v/>
      </c>
      <c r="CG85" s="227">
        <f>IF((RD[[#This Row],[33 kV_Wind_F2_Export_reading]]-BP84)*165000&lt;=0,"",(RD[[#This Row],[33 kV_Wind_F2_Export_reading]]-BP84)*165000)</f>
        <v>361184.99999999412</v>
      </c>
      <c r="CH85" s="64">
        <f>IF((RD[[#This Row],[33 kV_Wind_F3_Export_Reading]]-BQ84)*225000&lt;=0,"",(RD[[#This Row],[33 kV_Wind_F3_Export_Reading]]-BQ84)*225000)</f>
        <v>159074.99999999857</v>
      </c>
      <c r="CI85" s="64">
        <f>IF((RD[[#This Row],[33 kV_Wind_F4_Export Reading]]-BR84)*165000&lt;=0,"",(RD[[#This Row],[33 kV_Wind_F4_Export Reading]]-BR84)*165000)</f>
        <v>336599.999999994</v>
      </c>
      <c r="CJ85" s="209">
        <f>IF((RD[[#This Row],[33 kV_Solar_F1_Export Reading]]-BS84)*225000&lt;=0,"",(RD[[#This Row],[33 kV_Solar_F1_Export Reading]]-BS84)*225000)</f>
        <v>122400.0000000025</v>
      </c>
      <c r="CK85" s="74">
        <f>IF((RD[[#This Row],[33kV_Solar_F2_Export Reading]]-BT84)*225000&lt;=0,"",(RD[[#This Row],[33kV_Solar_F2_Export Reading]]-BT84)*225000)</f>
        <v>99225.000000006956</v>
      </c>
      <c r="CL85" s="209" t="str">
        <f>IF((RD[[#This Row],[33 kV_Solar_F3_Export reading]]-BU84)*225000&lt;=0,"",(RD[[#This Row],[33 kV_Solar_F3_Export reading]]-BU84)*225000)</f>
        <v/>
      </c>
      <c r="CM85" s="63">
        <f>IF((RD[[#This Row],[32kV_Solar_F4_Export reading]]-BV84)*225000&lt;=0,"",(RD[[#This Row],[32kV_Solar_F4_Export reading]]-BV84)*225000)</f>
        <v>123075.00000000253</v>
      </c>
      <c r="CN85" s="227">
        <f>IF((RD[[#This Row],[33kV_OG1_Export reading]]-BW84)*1000&lt;=0,0,(RD[[#This Row],[33kV_OG1_Export reading]]-BW84)*1000)</f>
        <v>345000</v>
      </c>
      <c r="CO85" s="227">
        <f>IFERROR(IF((RD[[#This Row],[33kV_OG2_Export reading]]-BX84)*1000&lt;=0,0,(RD[[#This Row],[33kV_OG2_Export reading]]-BX84)*1000),0)</f>
        <v>857000</v>
      </c>
      <c r="CP85" s="74">
        <f>IF((RD[[#This Row],[220kV_TX1_Export reading]]-BY84)*800000&lt;=0,0,(RD[[#This Row],[220kV_TX1_Export reading]]-BY84)*800000)</f>
        <v>340800.00000001292</v>
      </c>
      <c r="CQ85" s="209">
        <f>IF((RD[[#This Row],[220kV_Tx2_Export reading]]-BZ84)*800000&lt;=0,0,(RD[[#This Row],[220kV_Tx2_Export reading]]-BZ84)*800000)</f>
        <v>850400.00000000186</v>
      </c>
      <c r="CR85" s="227">
        <f>IF((RD[[#This Row],[220kV_TL_TVM Export Reading]]-CA84)*1600000&lt;=0,0,(RD[[#This Row],[220kV_TL_TVM Export Reading]]-CA84)*1600000)</f>
        <v>1192000.0000000072</v>
      </c>
      <c r="CS85" s="227">
        <f>IF((RD[[#This Row],[220kV_C&amp;R_PQM reading]]-CB84)*1600000&lt;=0,"",(RD[[#This Row],[220kV_C&amp;R_PQM reading]]-CB84)*1600000)</f>
        <v>1196799.9999999846</v>
      </c>
      <c r="CT85" s="209">
        <f>IFERROR(IF((RD[[#This Row],[220KV_C&amp;R_PQM Import Reading]]-CC84)*1600000&lt;=0,0,(RD[[#This Row],[220KV_C&amp;R_PQM Import Reading]]-CC84)*1600000),"")</f>
        <v>0</v>
      </c>
      <c r="CU85" s="64" t="str">
        <f>IF((RD[[#This Row],[33kV_Aux1 Import Reading]]-CD84)*1000&lt;=0,"",(RD[[#This Row],[33kV_Aux1 Import Reading]]-CD84)*1000)</f>
        <v/>
      </c>
      <c r="CV85" s="227">
        <f>IF((RD[[#This Row],[33kV_Aux2_Import reading]]-CE84)*1000&lt;=0,"",(RD[[#This Row],[33kV_Aux2_Import reading]]-CE84)*1000)</f>
        <v>349.99999999999432</v>
      </c>
      <c r="CW85" s="227">
        <f>IFERROR(RD[[#This Row],[33kV_OG1_Energy (MWh)]]+RD[[#This Row],[33kV_OG2_Energy (MWh)]],"")</f>
        <v>1202000</v>
      </c>
      <c r="CX85" s="227">
        <f>IFERROR(RD[[#This Row],[220kV_TL_TVM Energy (MWh)]]-RD[[#This Row],[220KV_C&amp;R_PQM Import (MWh)]],"")</f>
        <v>1192000.0000000072</v>
      </c>
      <c r="CY85" s="228">
        <f>IFERROR(RD[[#This Row],[33 kV Total Export (MWH)]]/RD[[#This Row],[220 KV Net Export (MWh)]]-1,"")</f>
        <v>8.3892617449603524E-3</v>
      </c>
      <c r="CZ85" s="229">
        <f t="shared" si="91"/>
        <v>50.6</v>
      </c>
      <c r="DA85" s="230">
        <v>93</v>
      </c>
      <c r="DB85" s="231"/>
      <c r="DC85" s="232">
        <f>IFERROR((RD[[#This Row],[Sunset Time (POA&lt;20 W/m2)]]-RD[[#This Row],[Sunrise Time (POA&gt;20 W/m2)]])*24,0)</f>
        <v>11.583333333333332</v>
      </c>
      <c r="DD85" s="70">
        <f>SUM(RD[[#This Row],[33 kV_Wind_F3_Export_Reading3]],CJ85,CK85,CL85,CM85)</f>
        <v>503775.00000001059</v>
      </c>
      <c r="DE85" s="233"/>
      <c r="DF85" s="70">
        <f t="shared" si="82"/>
        <v>697784.99999998813</v>
      </c>
      <c r="DG85" s="230">
        <v>742.5</v>
      </c>
      <c r="DH85">
        <f>'WTG Reactive Power'!AB83</f>
        <v>9449.6</v>
      </c>
    </row>
    <row r="86" spans="1:112">
      <c r="A86" s="210">
        <f>YEAR(RD[[#This Row],[Date]])+IF(MONTH(RD[[#This Row],[Date]])&gt;=4,1,0)</f>
        <v>2026</v>
      </c>
      <c r="B86" s="210">
        <f>YEAR(RD[[#This Row],[Date]])</f>
        <v>2025</v>
      </c>
      <c r="C86" s="211">
        <f t="shared" si="83"/>
        <v>45809</v>
      </c>
      <c r="D86" s="210">
        <f>DAY(EOMONTH(RD[[#This Row],[Date]],0))</f>
        <v>30</v>
      </c>
      <c r="E86" s="212">
        <f t="shared" si="84"/>
        <v>45826</v>
      </c>
      <c r="F86" s="206">
        <v>0.27083333333333331</v>
      </c>
      <c r="G86" s="206">
        <v>0.27777777777777779</v>
      </c>
      <c r="H86" s="213">
        <v>14454.3</v>
      </c>
      <c r="I86" s="213">
        <v>37547.9</v>
      </c>
      <c r="J86" s="213">
        <v>33242.9</v>
      </c>
      <c r="K86" s="213">
        <v>33306.6</v>
      </c>
      <c r="L86" s="213">
        <v>35114</v>
      </c>
      <c r="M86" s="213">
        <v>33589</v>
      </c>
      <c r="N86" s="213">
        <v>34105.599999999999</v>
      </c>
      <c r="O86" s="213">
        <v>37994.9</v>
      </c>
      <c r="P86" s="213">
        <v>34761.9</v>
      </c>
      <c r="Q86" s="213">
        <v>35358.5</v>
      </c>
      <c r="R86" s="213">
        <v>32387.1</v>
      </c>
      <c r="S86" s="213">
        <v>34251.599999999999</v>
      </c>
      <c r="T86" s="213">
        <v>34285.9</v>
      </c>
      <c r="U86" s="213">
        <v>33713</v>
      </c>
      <c r="V86" s="213">
        <v>40555.4</v>
      </c>
      <c r="W86" s="213">
        <v>39431.5</v>
      </c>
      <c r="X86" s="213">
        <v>39066.300000000003</v>
      </c>
      <c r="Y86" s="213">
        <v>34739.300000000003</v>
      </c>
      <c r="Z86" s="213">
        <v>36612.699999999997</v>
      </c>
      <c r="AA86" s="213">
        <v>33516.800000000003</v>
      </c>
      <c r="AB86" s="213">
        <v>36272</v>
      </c>
      <c r="AC86" s="213">
        <v>36187.5</v>
      </c>
      <c r="AD86" s="213">
        <v>37665.199999999997</v>
      </c>
      <c r="AE86" s="350">
        <v>8.4</v>
      </c>
      <c r="AF86" s="350">
        <v>8.9</v>
      </c>
      <c r="AG86" s="350">
        <v>8.5</v>
      </c>
      <c r="AH86" s="350">
        <v>8.1</v>
      </c>
      <c r="AI86" s="350">
        <v>8.6</v>
      </c>
      <c r="AJ86" s="350">
        <v>8.1999999999999993</v>
      </c>
      <c r="AK86" s="350">
        <v>8.4</v>
      </c>
      <c r="AL86" s="350">
        <v>9</v>
      </c>
      <c r="AM86" s="350">
        <v>8.5</v>
      </c>
      <c r="AN86" s="350">
        <v>8.5</v>
      </c>
      <c r="AO86" s="350">
        <v>8.4</v>
      </c>
      <c r="AP86" s="350">
        <v>8.4</v>
      </c>
      <c r="AQ86" s="350">
        <v>8.5</v>
      </c>
      <c r="AR86" s="350">
        <v>8.4</v>
      </c>
      <c r="AS86" s="350">
        <v>9.6</v>
      </c>
      <c r="AT86" s="350">
        <v>9.1</v>
      </c>
      <c r="AU86" s="350">
        <v>9.1</v>
      </c>
      <c r="AV86" s="350">
        <v>8.6</v>
      </c>
      <c r="AW86" s="350">
        <v>8.6999999999999993</v>
      </c>
      <c r="AX86" s="350">
        <v>8.3000000000000007</v>
      </c>
      <c r="AY86" s="350">
        <v>9.1</v>
      </c>
      <c r="AZ86" s="350">
        <v>8.8000000000000007</v>
      </c>
      <c r="BA86" s="350">
        <v>8.6999999999999993</v>
      </c>
      <c r="BB86" s="214">
        <f t="shared" si="85"/>
        <v>328378.19999999995</v>
      </c>
      <c r="BC86" s="216">
        <f t="shared" si="86"/>
        <v>78497.8</v>
      </c>
      <c r="BD86" s="180">
        <f t="shared" si="92"/>
        <v>284444.09999999998</v>
      </c>
      <c r="BE86" s="216">
        <f t="shared" si="87"/>
        <v>34739.300000000003</v>
      </c>
      <c r="BF86" s="179">
        <f t="shared" si="93"/>
        <v>72100.5</v>
      </c>
      <c r="BG86" s="216">
        <f>SUM(RD[[#This Row],[KUD01]:[KUD23]])</f>
        <v>798159.90000000014</v>
      </c>
      <c r="BH86" s="217">
        <f t="shared" si="88"/>
        <v>8.5699999999999985</v>
      </c>
      <c r="BI86" s="219">
        <f t="shared" si="89"/>
        <v>9.1</v>
      </c>
      <c r="BJ86" s="219">
        <f t="shared" si="90"/>
        <v>8.629999999999999</v>
      </c>
      <c r="BK86" s="221">
        <f t="shared" si="81"/>
        <v>8.6</v>
      </c>
      <c r="BL86" s="61">
        <f>IFERROR(AVERAGEIF(RD[[#This Row],[WS_KUD07]:[WS_KUD08]],"&lt;&gt;0",RD[[#This Row],[WS_KUD07]:[WS_KUD08]]),"")</f>
        <v>8.6999999999999993</v>
      </c>
      <c r="BM86" s="223">
        <f>IFERROR(AVERAGE(RD[[#This Row],[WS_KUD01]:[WS_KUD23]]),"")</f>
        <v>8.6434782608695642</v>
      </c>
      <c r="BN86" s="224">
        <f>IFERROR(MAX(RD[[#This Row],[WS_KUD01]:[WS_KUD23]]),"")</f>
        <v>9.6</v>
      </c>
      <c r="BO86" s="172">
        <v>640.30499999999995</v>
      </c>
      <c r="BP86" s="349">
        <v>962.30600000000004</v>
      </c>
      <c r="BQ86" s="349">
        <v>100.858</v>
      </c>
      <c r="BR86" s="349">
        <v>289.97399999999999</v>
      </c>
      <c r="BS86" s="349">
        <v>213.291</v>
      </c>
      <c r="BT86" s="349">
        <v>317.57100000000003</v>
      </c>
      <c r="BU86" s="349"/>
      <c r="BV86" s="349">
        <v>106.575</v>
      </c>
      <c r="BW86" s="172">
        <v>211787</v>
      </c>
      <c r="BX86" s="172">
        <v>282498</v>
      </c>
      <c r="BY86" s="349">
        <v>149.82400000000001</v>
      </c>
      <c r="BZ86" s="349">
        <v>111.792</v>
      </c>
      <c r="CA86" s="349">
        <v>306.52300000000002</v>
      </c>
      <c r="CB86" s="349">
        <v>131.631</v>
      </c>
      <c r="CC86" s="349">
        <v>0.122</v>
      </c>
      <c r="CD86" s="172">
        <v>0</v>
      </c>
      <c r="CE86" s="349">
        <v>239.16900000000001</v>
      </c>
      <c r="CF86" s="226" t="str">
        <f>IF((RD[[#This Row],[33 kV_Wind_F1_Export reading]]-BO85)*165000&lt;=0,"",(RD[[#This Row],[33 kV_Wind_F1_Export reading]]-BO85)*165000)</f>
        <v/>
      </c>
      <c r="CG86" s="227">
        <f>IF((RD[[#This Row],[33 kV_Wind_F2_Export_reading]]-BP85)*165000&lt;=0,"",(RD[[#This Row],[33 kV_Wind_F2_Export_reading]]-BP85)*165000)</f>
        <v>417615.00000001036</v>
      </c>
      <c r="CH86" s="64">
        <f>IF((RD[[#This Row],[33 kV_Wind_F3_Export_Reading]]-BQ85)*225000&lt;=0,"",(RD[[#This Row],[33 kV_Wind_F3_Export_Reading]]-BQ85)*225000)</f>
        <v>171225.00000000221</v>
      </c>
      <c r="CI86" s="64">
        <f>IF((RD[[#This Row],[33 kV_Wind_F4_Export Reading]]-BR85)*165000&lt;=0,"",(RD[[#This Row],[33 kV_Wind_F4_Export Reading]]-BR85)*165000)</f>
        <v>358545.00000000029</v>
      </c>
      <c r="CJ86" s="209">
        <f>IF((RD[[#This Row],[33 kV_Solar_F1_Export Reading]]-BS85)*225000&lt;=0,"",(RD[[#This Row],[33 kV_Solar_F1_Export Reading]]-BS85)*225000)</f>
        <v>145574.99999999805</v>
      </c>
      <c r="CK86" s="74">
        <f>IF((RD[[#This Row],[33kV_Solar_F2_Export Reading]]-BT85)*225000&lt;=0,"",(RD[[#This Row],[33kV_Solar_F2_Export Reading]]-BT85)*225000)</f>
        <v>125325.00000000368</v>
      </c>
      <c r="CL86" s="209" t="str">
        <f>IF((RD[[#This Row],[33 kV_Solar_F3_Export reading]]-BU85)*225000&lt;=0,"",(RD[[#This Row],[33 kV_Solar_F3_Export reading]]-BU85)*225000)</f>
        <v/>
      </c>
      <c r="CM86" s="63">
        <f>IF((RD[[#This Row],[32kV_Solar_F4_Export reading]]-BV85)*225000&lt;=0,"",(RD[[#This Row],[32kV_Solar_F4_Export reading]]-BV85)*225000)</f>
        <v>129824.99999999959</v>
      </c>
      <c r="CN86" s="227">
        <f>IF((RD[[#This Row],[33kV_OG1_Export reading]]-BW85)*1000&lt;=0,0,(RD[[#This Row],[33kV_OG1_Export reading]]-BW85)*1000)</f>
        <v>400000</v>
      </c>
      <c r="CO86" s="227">
        <f>IFERROR(IF((RD[[#This Row],[33kV_OG2_Export reading]]-BX85)*1000&lt;=0,0,(RD[[#This Row],[33kV_OG2_Export reading]]-BX85)*1000),0)</f>
        <v>946000</v>
      </c>
      <c r="CP86" s="74">
        <f>IF((RD[[#This Row],[220kV_TX1_Export reading]]-BY85)*800000&lt;=0,0,(RD[[#This Row],[220kV_TX1_Export reading]]-BY85)*800000)</f>
        <v>396800.00000000745</v>
      </c>
      <c r="CQ86" s="209">
        <f>IF((RD[[#This Row],[220kV_Tx2_Export reading]]-BZ85)*800000&lt;=0,0,(RD[[#This Row],[220kV_Tx2_Export reading]]-BZ85)*800000)</f>
        <v>936000.0000000014</v>
      </c>
      <c r="CR86" s="227">
        <f>IF((RD[[#This Row],[220kV_TL_TVM Export Reading]]-CA85)*1600000&lt;=0,0,(RD[[#This Row],[220kV_TL_TVM Export Reading]]-CA85)*1600000)</f>
        <v>1339200.0000000736</v>
      </c>
      <c r="CS86" s="227">
        <f>IF((RD[[#This Row],[220kV_C&amp;R_PQM reading]]-CB85)*1600000&lt;=0,"",(RD[[#This Row],[220kV_C&amp;R_PQM reading]]-CB85)*1600000)</f>
        <v>1337600.0000000205</v>
      </c>
      <c r="CT86" s="209">
        <f>IFERROR(IF((RD[[#This Row],[220KV_C&amp;R_PQM Import Reading]]-CC85)*1600000&lt;=0,0,(RD[[#This Row],[220KV_C&amp;R_PQM Import Reading]]-CC85)*1600000),"")</f>
        <v>0</v>
      </c>
      <c r="CU86" s="64" t="str">
        <f>IF((RD[[#This Row],[33kV_Aux1 Import Reading]]-CD85)*1000&lt;=0,"",(RD[[#This Row],[33kV_Aux1 Import Reading]]-CD85)*1000)</f>
        <v/>
      </c>
      <c r="CV86" s="227">
        <f>IF((RD[[#This Row],[33kV_Aux2_Import reading]]-CE85)*1000&lt;=0,"",(RD[[#This Row],[33kV_Aux2_Import reading]]-CE85)*1000)</f>
        <v>380.00000000002387</v>
      </c>
      <c r="CW86" s="227">
        <f>IFERROR(RD[[#This Row],[33kV_OG1_Energy (MWh)]]+RD[[#This Row],[33kV_OG2_Energy (MWh)]],"")</f>
        <v>1346000</v>
      </c>
      <c r="CX86" s="227">
        <f>IFERROR(RD[[#This Row],[220kV_TL_TVM Energy (MWh)]]-RD[[#This Row],[220KV_C&amp;R_PQM Import (MWh)]],"")</f>
        <v>1339200.0000000736</v>
      </c>
      <c r="CY86" s="228">
        <f>IFERROR(RD[[#This Row],[33 kV Total Export (MWH)]]/RD[[#This Row],[220 KV Net Export (MWh)]]-1,"")</f>
        <v>5.0776583034095601E-3</v>
      </c>
      <c r="CZ86" s="229">
        <f t="shared" si="91"/>
        <v>50.6</v>
      </c>
      <c r="DA86" s="230">
        <v>93</v>
      </c>
      <c r="DB86" s="231"/>
      <c r="DC86" s="232">
        <f>IFERROR((RD[[#This Row],[Sunset Time (POA&lt;20 W/m2)]]-RD[[#This Row],[Sunrise Time (POA&gt;20 W/m2)]])*24,0)</f>
        <v>0.16666666666666741</v>
      </c>
      <c r="DD86" s="70">
        <f>SUM(RD[[#This Row],[33 kV_Wind_F3_Export_Reading3]],CJ86,CK86,CL86,CM86)</f>
        <v>571950.00000000349</v>
      </c>
      <c r="DE86" s="233"/>
      <c r="DF86" s="70">
        <f t="shared" si="82"/>
        <v>776160.00000001071</v>
      </c>
      <c r="DG86" s="230">
        <v>805.85</v>
      </c>
      <c r="DH86">
        <f>'WTG Reactive Power'!AB84</f>
        <v>266.8</v>
      </c>
    </row>
    <row r="87" spans="1:112">
      <c r="A87" s="210">
        <f>YEAR(RD[[#This Row],[Date]])+IF(MONTH(RD[[#This Row],[Date]])&gt;=4,1,0)</f>
        <v>2026</v>
      </c>
      <c r="B87" s="210">
        <f>YEAR(RD[[#This Row],[Date]])</f>
        <v>2025</v>
      </c>
      <c r="C87" s="211">
        <f t="shared" si="83"/>
        <v>45809</v>
      </c>
      <c r="D87" s="210">
        <f>DAY(EOMONTH(RD[[#This Row],[Date]],0))</f>
        <v>30</v>
      </c>
      <c r="E87" s="212">
        <f t="shared" si="84"/>
        <v>45827</v>
      </c>
      <c r="F87" s="206">
        <v>0.27013888888888887</v>
      </c>
      <c r="G87" s="206">
        <v>0.28055555555555556</v>
      </c>
      <c r="H87" s="213">
        <v>38442.5</v>
      </c>
      <c r="I87" s="213">
        <v>43920.2</v>
      </c>
      <c r="J87" s="213">
        <v>40780.800000000003</v>
      </c>
      <c r="K87" s="213">
        <v>42334.400000000001</v>
      </c>
      <c r="L87" s="213">
        <v>42099.199999999997</v>
      </c>
      <c r="M87" s="213">
        <v>42529.2</v>
      </c>
      <c r="N87" s="213">
        <v>43175.9</v>
      </c>
      <c r="O87" s="213">
        <v>44049.3</v>
      </c>
      <c r="P87" s="213">
        <v>43139.5</v>
      </c>
      <c r="Q87" s="213">
        <v>41403.199999999997</v>
      </c>
      <c r="R87" s="213">
        <v>40048.300000000003</v>
      </c>
      <c r="S87" s="213">
        <v>41951.9</v>
      </c>
      <c r="T87" s="213">
        <v>40624.199999999997</v>
      </c>
      <c r="U87" s="213">
        <v>37128.800000000003</v>
      </c>
      <c r="V87" s="213">
        <v>44135.4</v>
      </c>
      <c r="W87" s="213">
        <v>43694.6</v>
      </c>
      <c r="X87" s="213">
        <v>44514.8</v>
      </c>
      <c r="Y87" s="213">
        <v>41326.300000000003</v>
      </c>
      <c r="Z87" s="213">
        <v>42011.3</v>
      </c>
      <c r="AA87" s="213">
        <v>40933.199999999997</v>
      </c>
      <c r="AB87" s="213">
        <v>42487.1</v>
      </c>
      <c r="AC87" s="213">
        <v>41638.400000000001</v>
      </c>
      <c r="AD87" s="213">
        <v>43055.6</v>
      </c>
      <c r="AE87" s="350">
        <v>10.6</v>
      </c>
      <c r="AF87" s="350">
        <v>10.4</v>
      </c>
      <c r="AG87" s="350">
        <v>10.3</v>
      </c>
      <c r="AH87" s="350">
        <v>9.9</v>
      </c>
      <c r="AI87" s="350">
        <v>10.199999999999999</v>
      </c>
      <c r="AJ87" s="350">
        <v>9.9</v>
      </c>
      <c r="AK87" s="350">
        <v>10.199999999999999</v>
      </c>
      <c r="AL87" s="350">
        <v>10.5</v>
      </c>
      <c r="AM87" s="350">
        <v>10.4</v>
      </c>
      <c r="AN87" s="350">
        <v>10</v>
      </c>
      <c r="AO87" s="350">
        <v>10.199999999999999</v>
      </c>
      <c r="AP87" s="350">
        <v>10.199999999999999</v>
      </c>
      <c r="AQ87" s="350">
        <v>10.4</v>
      </c>
      <c r="AR87" s="350">
        <v>10.199999999999999</v>
      </c>
      <c r="AS87" s="350">
        <v>11.2</v>
      </c>
      <c r="AT87" s="350">
        <v>10.5</v>
      </c>
      <c r="AU87" s="350">
        <v>10.7</v>
      </c>
      <c r="AV87" s="350">
        <v>10.1</v>
      </c>
      <c r="AW87" s="350">
        <v>10.5</v>
      </c>
      <c r="AX87" s="350">
        <v>9.9</v>
      </c>
      <c r="AY87" s="350">
        <v>10.4</v>
      </c>
      <c r="AZ87" s="350">
        <v>10.3</v>
      </c>
      <c r="BA87" s="350">
        <v>10.1</v>
      </c>
      <c r="BB87" s="214">
        <f t="shared" si="85"/>
        <v>407459.6</v>
      </c>
      <c r="BC87" s="216">
        <f t="shared" si="86"/>
        <v>88209.4</v>
      </c>
      <c r="BD87" s="180">
        <f t="shared" si="92"/>
        <v>341203.6</v>
      </c>
      <c r="BE87" s="216">
        <f t="shared" si="87"/>
        <v>41326.300000000003</v>
      </c>
      <c r="BF87" s="179">
        <f t="shared" si="93"/>
        <v>87225.200000000012</v>
      </c>
      <c r="BG87" s="216">
        <f>SUM(RD[[#This Row],[KUD01]:[KUD23]])</f>
        <v>965424.10000000009</v>
      </c>
      <c r="BH87" s="217">
        <f t="shared" si="88"/>
        <v>10.35</v>
      </c>
      <c r="BI87" s="219">
        <f t="shared" si="89"/>
        <v>10.6</v>
      </c>
      <c r="BJ87" s="219">
        <f t="shared" si="90"/>
        <v>10.23</v>
      </c>
      <c r="BK87" s="221">
        <f t="shared" si="81"/>
        <v>10.1</v>
      </c>
      <c r="BL87" s="61">
        <f>IFERROR(AVERAGEIF(RD[[#This Row],[WS_KUD07]:[WS_KUD08]],"&lt;&gt;0",RD[[#This Row],[WS_KUD07]:[WS_KUD08]]),"")</f>
        <v>10.35</v>
      </c>
      <c r="BM87" s="223">
        <f>IFERROR(AVERAGE(RD[[#This Row],[WS_KUD01]:[WS_KUD23]]),"")</f>
        <v>10.308695652173913</v>
      </c>
      <c r="BN87" s="224">
        <f>IFERROR(MAX(RD[[#This Row],[WS_KUD01]:[WS_KUD23]]),"")</f>
        <v>11.2</v>
      </c>
      <c r="BO87" s="172">
        <v>640.30499999999995</v>
      </c>
      <c r="BP87" s="349">
        <v>965.28599999999994</v>
      </c>
      <c r="BQ87" s="349">
        <v>101.658</v>
      </c>
      <c r="BR87" s="349">
        <v>292.62599999999998</v>
      </c>
      <c r="BS87" s="349">
        <v>213.857</v>
      </c>
      <c r="BT87" s="349">
        <v>317.976</v>
      </c>
      <c r="BU87" s="349"/>
      <c r="BV87" s="349">
        <v>107.18600000000001</v>
      </c>
      <c r="BW87" s="172">
        <v>212144</v>
      </c>
      <c r="BX87" s="172">
        <v>283608</v>
      </c>
      <c r="BY87" s="349">
        <v>150.26400000000001</v>
      </c>
      <c r="BZ87" s="349">
        <v>113.169</v>
      </c>
      <c r="CA87" s="349">
        <v>307.43200000000002</v>
      </c>
      <c r="CB87" s="349">
        <v>132.54300000000001</v>
      </c>
      <c r="CC87" s="349">
        <v>0.122</v>
      </c>
      <c r="CD87" s="172">
        <v>0</v>
      </c>
      <c r="CE87" s="349">
        <v>239.54900000000001</v>
      </c>
      <c r="CF87" s="226" t="str">
        <f>IF((RD[[#This Row],[33 kV_Wind_F1_Export reading]]-BO86)*165000&lt;=0,"",(RD[[#This Row],[33 kV_Wind_F1_Export reading]]-BO86)*165000)</f>
        <v/>
      </c>
      <c r="CG87" s="227">
        <f>IF((RD[[#This Row],[33 kV_Wind_F2_Export_reading]]-BP86)*165000&lt;=0,"",(RD[[#This Row],[33 kV_Wind_F2_Export_reading]]-BP86)*165000)</f>
        <v>491699.99999998423</v>
      </c>
      <c r="CH87" s="64">
        <f>IF((RD[[#This Row],[33 kV_Wind_F3_Export_Reading]]-BQ86)*225000&lt;=0,"",(RD[[#This Row],[33 kV_Wind_F3_Export_Reading]]-BQ86)*225000)</f>
        <v>179999.99999999936</v>
      </c>
      <c r="CI87" s="64">
        <f>IF((RD[[#This Row],[33 kV_Wind_F4_Export Reading]]-BR86)*165000&lt;=0,"",(RD[[#This Row],[33 kV_Wind_F4_Export Reading]]-BR86)*165000)</f>
        <v>437579.99999999785</v>
      </c>
      <c r="CJ87" s="209">
        <f>IF((RD[[#This Row],[33 kV_Solar_F1_Export Reading]]-BS86)*225000&lt;=0,"",(RD[[#This Row],[33 kV_Solar_F1_Export Reading]]-BS86)*225000)</f>
        <v>127350.00000000057</v>
      </c>
      <c r="CK87" s="74">
        <f>IF((RD[[#This Row],[33kV_Solar_F2_Export Reading]]-BT86)*225000&lt;=0,"",(RD[[#This Row],[33kV_Solar_F2_Export Reading]]-BT86)*225000)</f>
        <v>91124.999999993859</v>
      </c>
      <c r="CL87" s="209" t="str">
        <f>IF((RD[[#This Row],[33 kV_Solar_F3_Export reading]]-BU86)*225000&lt;=0,"",(RD[[#This Row],[33 kV_Solar_F3_Export reading]]-BU86)*225000)</f>
        <v/>
      </c>
      <c r="CM87" s="63">
        <f>IF((RD[[#This Row],[32kV_Solar_F4_Export reading]]-BV86)*225000&lt;=0,"",(RD[[#This Row],[32kV_Solar_F4_Export reading]]-BV86)*225000)</f>
        <v>137475.00000000096</v>
      </c>
      <c r="CN87" s="227">
        <f>IF((RD[[#This Row],[33kV_OG1_Export reading]]-BW86)*1000&lt;=0,0,(RD[[#This Row],[33kV_OG1_Export reading]]-BW86)*1000)</f>
        <v>357000</v>
      </c>
      <c r="CO87" s="227">
        <f>IFERROR(IF((RD[[#This Row],[33kV_OG2_Export reading]]-BX86)*1000&lt;=0,0,(RD[[#This Row],[33kV_OG2_Export reading]]-BX86)*1000),0)</f>
        <v>1110000</v>
      </c>
      <c r="CP87" s="74">
        <f>IF((RD[[#This Row],[220kV_TX1_Export reading]]-BY86)*800000&lt;=0,0,(RD[[#This Row],[220kV_TX1_Export reading]]-BY86)*800000)</f>
        <v>351999.9999999982</v>
      </c>
      <c r="CQ87" s="209">
        <f>IF((RD[[#This Row],[220kV_Tx2_Export reading]]-BZ86)*800000&lt;=0,0,(RD[[#This Row],[220kV_Tx2_Export reading]]-BZ86)*800000)</f>
        <v>1101599.9999999963</v>
      </c>
      <c r="CR87" s="227">
        <f>IF((RD[[#This Row],[220kV_TL_TVM Export Reading]]-CA86)*1600000&lt;=0,0,(RD[[#This Row],[220kV_TL_TVM Export Reading]]-CA86)*1600000)</f>
        <v>1454399.999999987</v>
      </c>
      <c r="CS87" s="227">
        <f>IF((RD[[#This Row],[220kV_C&amp;R_PQM reading]]-CB86)*1600000&lt;=0,"",(RD[[#This Row],[220kV_C&amp;R_PQM reading]]-CB86)*1600000)</f>
        <v>1459200.0000000098</v>
      </c>
      <c r="CT87" s="209">
        <f>IFERROR(IF((RD[[#This Row],[220KV_C&amp;R_PQM Import Reading]]-CC86)*1600000&lt;=0,0,(RD[[#This Row],[220KV_C&amp;R_PQM Import Reading]]-CC86)*1600000),"")</f>
        <v>0</v>
      </c>
      <c r="CU87" s="64" t="str">
        <f>IF((RD[[#This Row],[33kV_Aux1 Import Reading]]-CD86)*1000&lt;=0,"",(RD[[#This Row],[33kV_Aux1 Import Reading]]-CD86)*1000)</f>
        <v/>
      </c>
      <c r="CV87" s="227">
        <f>IF((RD[[#This Row],[33kV_Aux2_Import reading]]-CE86)*1000&lt;=0,"",(RD[[#This Row],[33kV_Aux2_Import reading]]-CE86)*1000)</f>
        <v>379.99999999999545</v>
      </c>
      <c r="CW87" s="227">
        <f>IFERROR(RD[[#This Row],[33kV_OG1_Energy (MWh)]]+RD[[#This Row],[33kV_OG2_Energy (MWh)]],"")</f>
        <v>1467000</v>
      </c>
      <c r="CX87" s="227">
        <f>IFERROR(RD[[#This Row],[220kV_TL_TVM Energy (MWh)]]-RD[[#This Row],[220KV_C&amp;R_PQM Import (MWh)]],"")</f>
        <v>1454399.999999987</v>
      </c>
      <c r="CY87" s="228">
        <f>IFERROR(RD[[#This Row],[33 kV Total Export (MWH)]]/RD[[#This Row],[220 KV Net Export (MWh)]]-1,"")</f>
        <v>8.6633663366426639E-3</v>
      </c>
      <c r="CZ87" s="229">
        <f t="shared" si="91"/>
        <v>50.6</v>
      </c>
      <c r="DA87" s="230">
        <v>93</v>
      </c>
      <c r="DB87" s="231"/>
      <c r="DC87" s="232">
        <f>IFERROR((RD[[#This Row],[Sunset Time (POA&lt;20 W/m2)]]-RD[[#This Row],[Sunrise Time (POA&gt;20 W/m2)]])*24,0)</f>
        <v>0.25000000000000044</v>
      </c>
      <c r="DD87" s="70">
        <f>SUM(RD[[#This Row],[33 kV_Wind_F3_Export_Reading3]],CJ87,CK87,CL87,CM87)</f>
        <v>535949.99999999476</v>
      </c>
      <c r="DE87" s="233"/>
      <c r="DF87" s="70">
        <f t="shared" si="82"/>
        <v>929279.99999998207</v>
      </c>
      <c r="DG87" s="230">
        <v>1000.67</v>
      </c>
      <c r="DH87">
        <f>'WTG Reactive Power'!AB85</f>
        <v>44129.5</v>
      </c>
    </row>
    <row r="88" spans="1:112">
      <c r="A88" s="210">
        <f>YEAR(RD[[#This Row],[Date]])+IF(MONTH(RD[[#This Row],[Date]])&gt;=4,1,0)</f>
        <v>2026</v>
      </c>
      <c r="B88" s="210">
        <f>YEAR(RD[[#This Row],[Date]])</f>
        <v>2025</v>
      </c>
      <c r="C88" s="211">
        <f t="shared" si="83"/>
        <v>45809</v>
      </c>
      <c r="D88" s="210">
        <f>DAY(EOMONTH(RD[[#This Row],[Date]],0))</f>
        <v>30</v>
      </c>
      <c r="E88" s="212">
        <f t="shared" si="84"/>
        <v>45828</v>
      </c>
      <c r="F88" s="206">
        <v>0.2590277777777778</v>
      </c>
      <c r="G88" s="206">
        <v>0.77083333333333337</v>
      </c>
      <c r="H88" s="213">
        <v>46080.2</v>
      </c>
      <c r="I88" s="213">
        <v>42513.8</v>
      </c>
      <c r="J88" s="213">
        <v>36649.699999999997</v>
      </c>
      <c r="K88" s="213">
        <v>41777.199999999997</v>
      </c>
      <c r="L88" s="213">
        <v>42878.400000000001</v>
      </c>
      <c r="M88" s="213">
        <v>39298.6</v>
      </c>
      <c r="N88" s="213">
        <v>38479.300000000003</v>
      </c>
      <c r="O88" s="213">
        <v>40816.6</v>
      </c>
      <c r="P88" s="213">
        <v>42956.5</v>
      </c>
      <c r="Q88" s="213">
        <v>39688.800000000003</v>
      </c>
      <c r="R88" s="213">
        <v>40360.300000000003</v>
      </c>
      <c r="S88" s="213">
        <v>43620.6</v>
      </c>
      <c r="T88" s="213">
        <v>44644</v>
      </c>
      <c r="U88" s="213">
        <v>42985.2</v>
      </c>
      <c r="V88" s="213">
        <v>46219</v>
      </c>
      <c r="W88" s="213">
        <v>44507.1</v>
      </c>
      <c r="X88" s="213">
        <v>44128.7</v>
      </c>
      <c r="Y88" s="213">
        <v>41586.1</v>
      </c>
      <c r="Z88" s="213">
        <v>44671.6</v>
      </c>
      <c r="AA88" s="213">
        <v>41942.5</v>
      </c>
      <c r="AB88" s="213">
        <v>40835.599999999999</v>
      </c>
      <c r="AC88" s="213">
        <v>43752.5</v>
      </c>
      <c r="AD88" s="213">
        <v>43900.6</v>
      </c>
      <c r="AE88" s="350">
        <v>9.8000000000000007</v>
      </c>
      <c r="AF88" s="350">
        <v>9.6</v>
      </c>
      <c r="AG88" s="350">
        <v>8.8000000000000007</v>
      </c>
      <c r="AH88" s="350">
        <v>9.1</v>
      </c>
      <c r="AI88" s="350">
        <v>9.4</v>
      </c>
      <c r="AJ88" s="350">
        <v>9</v>
      </c>
      <c r="AK88" s="350">
        <v>8.9</v>
      </c>
      <c r="AL88" s="350">
        <v>9.3000000000000007</v>
      </c>
      <c r="AM88" s="350">
        <v>9.4</v>
      </c>
      <c r="AN88" s="350">
        <v>8.9</v>
      </c>
      <c r="AO88" s="350">
        <v>9.4</v>
      </c>
      <c r="AP88" s="350">
        <v>9.5</v>
      </c>
      <c r="AQ88" s="350">
        <v>9.6999999999999993</v>
      </c>
      <c r="AR88" s="350">
        <v>9.3000000000000007</v>
      </c>
      <c r="AS88" s="350">
        <v>10.5</v>
      </c>
      <c r="AT88" s="350">
        <v>9.6</v>
      </c>
      <c r="AU88" s="350">
        <v>9.8000000000000007</v>
      </c>
      <c r="AV88" s="350">
        <v>9.4</v>
      </c>
      <c r="AW88" s="350">
        <v>9.6999999999999993</v>
      </c>
      <c r="AX88" s="350">
        <v>9.1999999999999993</v>
      </c>
      <c r="AY88" s="350">
        <v>9.6</v>
      </c>
      <c r="AZ88" s="350">
        <v>9.5</v>
      </c>
      <c r="BA88" s="350">
        <v>9.5</v>
      </c>
      <c r="BB88" s="214">
        <f t="shared" si="85"/>
        <v>426861.89999999997</v>
      </c>
      <c r="BC88" s="216">
        <f t="shared" si="86"/>
        <v>88635.799999999988</v>
      </c>
      <c r="BD88" s="180">
        <f t="shared" si="92"/>
        <v>337913.19999999995</v>
      </c>
      <c r="BE88" s="216">
        <f t="shared" si="87"/>
        <v>41586.1</v>
      </c>
      <c r="BF88" s="179">
        <f t="shared" si="93"/>
        <v>79295.899999999994</v>
      </c>
      <c r="BG88" s="216">
        <f>SUM(RD[[#This Row],[KUD01]:[KUD23]])</f>
        <v>974292.89999999979</v>
      </c>
      <c r="BH88" s="217">
        <f t="shared" si="88"/>
        <v>9.48</v>
      </c>
      <c r="BI88" s="219">
        <f t="shared" si="89"/>
        <v>9.6999999999999993</v>
      </c>
      <c r="BJ88" s="219">
        <f t="shared" si="90"/>
        <v>9.33</v>
      </c>
      <c r="BK88" s="221">
        <f t="shared" si="81"/>
        <v>9.4</v>
      </c>
      <c r="BL88" s="61">
        <f>IFERROR(AVERAGEIF(RD[[#This Row],[WS_KUD07]:[WS_KUD08]],"&lt;&gt;0",RD[[#This Row],[WS_KUD07]:[WS_KUD08]]),"")</f>
        <v>9.1000000000000014</v>
      </c>
      <c r="BM88" s="223">
        <f>IFERROR(AVERAGE(RD[[#This Row],[WS_KUD01]:[WS_KUD23]]),"")</f>
        <v>9.4304347826086961</v>
      </c>
      <c r="BN88" s="224">
        <f>IFERROR(MAX(RD[[#This Row],[WS_KUD01]:[WS_KUD23]]),"")</f>
        <v>10.5</v>
      </c>
      <c r="BO88" s="172">
        <v>640.30499999999995</v>
      </c>
      <c r="BP88" s="348">
        <v>968.23</v>
      </c>
      <c r="BQ88" s="349">
        <v>102.404</v>
      </c>
      <c r="BR88" s="349">
        <v>295.375</v>
      </c>
      <c r="BS88" s="349">
        <v>214.465</v>
      </c>
      <c r="BT88" s="349">
        <v>318.49</v>
      </c>
      <c r="BU88" s="349"/>
      <c r="BV88" s="349">
        <v>107.782</v>
      </c>
      <c r="BW88" s="172">
        <v>212531</v>
      </c>
      <c r="BX88" s="172">
        <v>284714</v>
      </c>
      <c r="BY88" s="349">
        <v>150.74199999999999</v>
      </c>
      <c r="BZ88" s="349">
        <v>114.539</v>
      </c>
      <c r="CA88" s="349">
        <v>308.36</v>
      </c>
      <c r="CB88" s="349">
        <v>133.47200000000001</v>
      </c>
      <c r="CC88" s="349">
        <v>0.122</v>
      </c>
      <c r="CD88" s="172">
        <v>0</v>
      </c>
      <c r="CE88" s="349">
        <v>239.929</v>
      </c>
      <c r="CF88" s="226" t="str">
        <f>IF((RD[[#This Row],[33 kV_Wind_F1_Export reading]]-BO87)*165000&lt;=0,"",(RD[[#This Row],[33 kV_Wind_F1_Export reading]]-BO87)*165000)</f>
        <v/>
      </c>
      <c r="CG88" s="227">
        <f>IF((RD[[#This Row],[33 kV_Wind_F2_Export_reading]]-BP87)*165000&lt;=0,"",(RD[[#This Row],[33 kV_Wind_F2_Export_reading]]-BP87)*165000)</f>
        <v>485760.00000001217</v>
      </c>
      <c r="CH88" s="64">
        <f>IF((RD[[#This Row],[33 kV_Wind_F3_Export_Reading]]-BQ87)*225000&lt;=0,"",(RD[[#This Row],[33 kV_Wind_F3_Export_Reading]]-BQ87)*225000)</f>
        <v>167849.99999999889</v>
      </c>
      <c r="CI88" s="64">
        <f>IF((RD[[#This Row],[33 kV_Wind_F4_Export Reading]]-BR87)*165000&lt;=0,"",(RD[[#This Row],[33 kV_Wind_F4_Export Reading]]-BR87)*165000)</f>
        <v>453585.0000000039</v>
      </c>
      <c r="CJ88" s="209">
        <f>IF((RD[[#This Row],[33 kV_Solar_F1_Export Reading]]-BS87)*225000&lt;=0,"",(RD[[#This Row],[33 kV_Solar_F1_Export Reading]]-BS87)*225000)</f>
        <v>136800.00000000093</v>
      </c>
      <c r="CK88" s="74">
        <f>IF((RD[[#This Row],[33kV_Solar_F2_Export Reading]]-BT87)*225000&lt;=0,"",(RD[[#This Row],[33kV_Solar_F2_Export Reading]]-BT87)*225000)</f>
        <v>115650.00000000226</v>
      </c>
      <c r="CL88" s="209" t="str">
        <f>IF((RD[[#This Row],[33 kV_Solar_F3_Export reading]]-BU87)*225000&lt;=0,"",(RD[[#This Row],[33 kV_Solar_F3_Export reading]]-BU87)*225000)</f>
        <v/>
      </c>
      <c r="CM88" s="63">
        <f>IF((RD[[#This Row],[32kV_Solar_F4_Export reading]]-BV87)*225000&lt;=0,"",(RD[[#This Row],[32kV_Solar_F4_Export reading]]-BV87)*225000)</f>
        <v>134099.99999999761</v>
      </c>
      <c r="CN88" s="227">
        <f>IF((RD[[#This Row],[33kV_OG1_Export reading]]-BW87)*1000&lt;=0,0,(RD[[#This Row],[33kV_OG1_Export reading]]-BW87)*1000)</f>
        <v>387000</v>
      </c>
      <c r="CO88" s="227">
        <f>IFERROR(IF((RD[[#This Row],[33kV_OG2_Export reading]]-BX87)*1000&lt;=0,0,(RD[[#This Row],[33kV_OG2_Export reading]]-BX87)*1000),0)</f>
        <v>1106000</v>
      </c>
      <c r="CP88" s="74">
        <f>IF((RD[[#This Row],[220kV_TX1_Export reading]]-BY87)*800000&lt;=0,0,(RD[[#This Row],[220kV_TX1_Export reading]]-BY87)*800000)</f>
        <v>382399.99999998417</v>
      </c>
      <c r="CQ88" s="209">
        <f>IF((RD[[#This Row],[220kV_Tx2_Export reading]]-BZ87)*800000&lt;=0,0,(RD[[#This Row],[220kV_Tx2_Export reading]]-BZ87)*800000)</f>
        <v>1096000.0000000037</v>
      </c>
      <c r="CR88" s="227">
        <f>IF((RD[[#This Row],[220kV_TL_TVM Export Reading]]-CA87)*1600000&lt;=0,0,(RD[[#This Row],[220kV_TL_TVM Export Reading]]-CA87)*1600000)</f>
        <v>1484799.9999999956</v>
      </c>
      <c r="CS88" s="227">
        <f>IF((RD[[#This Row],[220kV_C&amp;R_PQM reading]]-CB87)*1600000&lt;=0,"",(RD[[#This Row],[220kV_C&amp;R_PQM reading]]-CB87)*1600000)</f>
        <v>1486400.0000000033</v>
      </c>
      <c r="CT88" s="209">
        <f>IFERROR(IF((RD[[#This Row],[220KV_C&amp;R_PQM Import Reading]]-CC87)*1600000&lt;=0,0,(RD[[#This Row],[220KV_C&amp;R_PQM Import Reading]]-CC87)*1600000),"")</f>
        <v>0</v>
      </c>
      <c r="CU88" s="64" t="str">
        <f>IF((RD[[#This Row],[33kV_Aux1 Import Reading]]-CD87)*1000&lt;=0,"",(RD[[#This Row],[33kV_Aux1 Import Reading]]-CD87)*1000)</f>
        <v/>
      </c>
      <c r="CV88" s="227">
        <f>IF((RD[[#This Row],[33kV_Aux2_Import reading]]-CE87)*1000&lt;=0,"",(RD[[#This Row],[33kV_Aux2_Import reading]]-CE87)*1000)</f>
        <v>379.99999999999545</v>
      </c>
      <c r="CW88" s="227">
        <f>IFERROR(RD[[#This Row],[33kV_OG1_Energy (MWh)]]+RD[[#This Row],[33kV_OG2_Energy (MWh)]],"")</f>
        <v>1493000</v>
      </c>
      <c r="CX88" s="227">
        <f>IFERROR(RD[[#This Row],[220kV_TL_TVM Energy (MWh)]]-RD[[#This Row],[220KV_C&amp;R_PQM Import (MWh)]],"")</f>
        <v>1484799.9999999956</v>
      </c>
      <c r="CY88" s="228">
        <f>IFERROR(RD[[#This Row],[33 kV Total Export (MWH)]]/RD[[#This Row],[220 KV Net Export (MWh)]]-1,"")</f>
        <v>5.5226293103478596E-3</v>
      </c>
      <c r="CZ88" s="229">
        <f t="shared" si="91"/>
        <v>50.6</v>
      </c>
      <c r="DA88" s="230">
        <v>96</v>
      </c>
      <c r="DB88" s="231"/>
      <c r="DC88" s="232">
        <f>IFERROR((RD[[#This Row],[Sunset Time (POA&lt;20 W/m2)]]-RD[[#This Row],[Sunrise Time (POA&gt;20 W/m2)]])*24,0)</f>
        <v>12.283333333333335</v>
      </c>
      <c r="DD88" s="70">
        <f>SUM(RD[[#This Row],[33 kV_Wind_F3_Export_Reading3]],CJ88,CK88,CL88,CM88)</f>
        <v>554399.99999999977</v>
      </c>
      <c r="DE88" s="233"/>
      <c r="DF88" s="70">
        <f t="shared" si="82"/>
        <v>939345.00000001607</v>
      </c>
      <c r="DG88" s="230">
        <v>998</v>
      </c>
      <c r="DH88">
        <f>'WTG Reactive Power'!AB86</f>
        <v>4274.0999999999995</v>
      </c>
    </row>
    <row r="89" spans="1:112">
      <c r="A89" s="210">
        <f>YEAR(RD[[#This Row],[Date]])+IF(MONTH(RD[[#This Row],[Date]])&gt;=4,1,0)</f>
        <v>2026</v>
      </c>
      <c r="B89" s="210">
        <f>YEAR(RD[[#This Row],[Date]])</f>
        <v>2025</v>
      </c>
      <c r="C89" s="211">
        <f t="shared" si="83"/>
        <v>45809</v>
      </c>
      <c r="D89" s="210">
        <f>DAY(EOMONTH(RD[[#This Row],[Date]],0))</f>
        <v>30</v>
      </c>
      <c r="E89" s="212">
        <f t="shared" si="84"/>
        <v>45829</v>
      </c>
      <c r="F89" s="206">
        <v>0.26041666666666669</v>
      </c>
      <c r="G89" s="206">
        <v>0.77083333333333337</v>
      </c>
      <c r="H89" s="213">
        <v>41544.800000000003</v>
      </c>
      <c r="I89" s="213">
        <v>40819.599999999999</v>
      </c>
      <c r="J89" s="213">
        <v>36063.9</v>
      </c>
      <c r="K89" s="213">
        <v>35483.5</v>
      </c>
      <c r="L89" s="213">
        <v>40356.1</v>
      </c>
      <c r="M89" s="213">
        <v>37787.1</v>
      </c>
      <c r="N89" s="213">
        <v>38251.800000000003</v>
      </c>
      <c r="O89" s="213">
        <v>39136.1</v>
      </c>
      <c r="P89" s="213">
        <v>37469.800000000003</v>
      </c>
      <c r="Q89" s="213">
        <v>37770.300000000003</v>
      </c>
      <c r="R89" s="213">
        <v>39026.9</v>
      </c>
      <c r="S89" s="213">
        <v>37384.400000000001</v>
      </c>
      <c r="T89" s="213">
        <v>39514.9</v>
      </c>
      <c r="U89" s="213">
        <v>38455.5</v>
      </c>
      <c r="V89" s="213">
        <v>42956.1</v>
      </c>
      <c r="W89" s="213">
        <v>42613.9</v>
      </c>
      <c r="X89" s="213">
        <v>43262.7</v>
      </c>
      <c r="Y89" s="213">
        <v>39868.400000000001</v>
      </c>
      <c r="Z89" s="213">
        <v>40031.1</v>
      </c>
      <c r="AA89" s="213">
        <v>37502</v>
      </c>
      <c r="AB89" s="213">
        <v>40456.9</v>
      </c>
      <c r="AC89" s="213">
        <v>39288.699999999997</v>
      </c>
      <c r="AD89" s="213">
        <v>42722.5</v>
      </c>
      <c r="AE89" s="350">
        <v>9.6999999999999993</v>
      </c>
      <c r="AF89" s="350">
        <v>9.6</v>
      </c>
      <c r="AG89" s="350">
        <v>9.1</v>
      </c>
      <c r="AH89" s="350">
        <v>9</v>
      </c>
      <c r="AI89" s="350">
        <v>9.6</v>
      </c>
      <c r="AJ89" s="350">
        <v>9.1</v>
      </c>
      <c r="AK89" s="350">
        <v>9.1999999999999993</v>
      </c>
      <c r="AL89" s="350">
        <v>9.3000000000000007</v>
      </c>
      <c r="AM89" s="350">
        <v>9.1999999999999993</v>
      </c>
      <c r="AN89" s="350">
        <v>9.1</v>
      </c>
      <c r="AO89" s="350">
        <v>9.6</v>
      </c>
      <c r="AP89" s="350">
        <v>9.1</v>
      </c>
      <c r="AQ89" s="350">
        <v>9.8000000000000007</v>
      </c>
      <c r="AR89" s="350">
        <v>9.1999999999999993</v>
      </c>
      <c r="AS89" s="350">
        <v>10.199999999999999</v>
      </c>
      <c r="AT89" s="350">
        <v>9.6</v>
      </c>
      <c r="AU89" s="350">
        <v>9.8000000000000007</v>
      </c>
      <c r="AV89" s="350">
        <v>9.5</v>
      </c>
      <c r="AW89" s="350">
        <v>9.5</v>
      </c>
      <c r="AX89" s="350">
        <v>9.1</v>
      </c>
      <c r="AY89" s="350">
        <v>9.6999999999999993</v>
      </c>
      <c r="AZ89" s="350">
        <v>9.4</v>
      </c>
      <c r="BA89" s="350">
        <v>9.6999999999999993</v>
      </c>
      <c r="BB89" s="214">
        <f t="shared" si="85"/>
        <v>390249.89999999997</v>
      </c>
      <c r="BC89" s="216">
        <f t="shared" si="86"/>
        <v>85876.6</v>
      </c>
      <c r="BD89" s="180">
        <f t="shared" si="92"/>
        <v>314384.2</v>
      </c>
      <c r="BE89" s="216">
        <f t="shared" si="87"/>
        <v>39868.400000000001</v>
      </c>
      <c r="BF89" s="179">
        <f t="shared" si="93"/>
        <v>77387.899999999994</v>
      </c>
      <c r="BG89" s="216">
        <f>SUM(RD[[#This Row],[KUD01]:[KUD23]])</f>
        <v>907766.99999999988</v>
      </c>
      <c r="BH89" s="217">
        <f t="shared" si="88"/>
        <v>9.4400000000000013</v>
      </c>
      <c r="BI89" s="219">
        <f t="shared" si="89"/>
        <v>9.6999999999999993</v>
      </c>
      <c r="BJ89" s="219">
        <f t="shared" si="90"/>
        <v>9.3800000000000008</v>
      </c>
      <c r="BK89" s="221">
        <f t="shared" si="81"/>
        <v>9.5</v>
      </c>
      <c r="BL89" s="61">
        <f>IFERROR(AVERAGEIF(RD[[#This Row],[WS_KUD07]:[WS_KUD08]],"&lt;&gt;0",RD[[#This Row],[WS_KUD07]:[WS_KUD08]]),"")</f>
        <v>9.25</v>
      </c>
      <c r="BM89" s="223">
        <f>IFERROR(AVERAGE(RD[[#This Row],[WS_KUD01]:[WS_KUD23]]),"")</f>
        <v>9.4391304347826068</v>
      </c>
      <c r="BN89" s="224">
        <f>IFERROR(MAX(RD[[#This Row],[WS_KUD01]:[WS_KUD23]]),"")</f>
        <v>10.199999999999999</v>
      </c>
      <c r="BO89" s="172">
        <v>640.30499999999995</v>
      </c>
      <c r="BP89" s="348">
        <v>971.00699999999995</v>
      </c>
      <c r="BQ89" s="348">
        <v>103.24</v>
      </c>
      <c r="BR89" s="348">
        <v>297.899</v>
      </c>
      <c r="BS89" s="348">
        <v>215.19800000000001</v>
      </c>
      <c r="BT89" s="348">
        <v>319.13099999999997</v>
      </c>
      <c r="BU89" s="348"/>
      <c r="BV89" s="348">
        <v>108.479</v>
      </c>
      <c r="BW89" s="172">
        <v>212997</v>
      </c>
      <c r="BX89" s="172">
        <v>285777</v>
      </c>
      <c r="BY89" s="348">
        <v>151.31800000000001</v>
      </c>
      <c r="BZ89" s="348">
        <v>115.85</v>
      </c>
      <c r="CA89" s="348">
        <v>309.31</v>
      </c>
      <c r="CB89" s="348">
        <v>134.41999999999999</v>
      </c>
      <c r="CC89" s="348">
        <v>0.122</v>
      </c>
      <c r="CD89" s="172">
        <v>0</v>
      </c>
      <c r="CE89" s="348">
        <v>240.29900000000001</v>
      </c>
      <c r="CF89" s="226" t="str">
        <f>IF((RD[[#This Row],[33 kV_Wind_F1_Export reading]]-BO88)*165000&lt;=0,"",(RD[[#This Row],[33 kV_Wind_F1_Export reading]]-BO88)*165000)</f>
        <v/>
      </c>
      <c r="CG89" s="227">
        <f>IF((RD[[#This Row],[33 kV_Wind_F2_Export_reading]]-BP88)*165000&lt;=0,"",(RD[[#This Row],[33 kV_Wind_F2_Export_reading]]-BP88)*165000)</f>
        <v>458204.99999998842</v>
      </c>
      <c r="CH89" s="64">
        <f>IF((RD[[#This Row],[33 kV_Wind_F3_Export_Reading]]-BQ88)*225000&lt;=0,"",(RD[[#This Row],[33 kV_Wind_F3_Export_Reading]]-BQ88)*225000)</f>
        <v>188099.99999999968</v>
      </c>
      <c r="CI89" s="64">
        <f>IF((RD[[#This Row],[33 kV_Wind_F4_Export Reading]]-BR88)*165000&lt;=0,"",(RD[[#This Row],[33 kV_Wind_F4_Export Reading]]-BR88)*165000)</f>
        <v>416460.00000000017</v>
      </c>
      <c r="CJ89" s="209">
        <f>IF((RD[[#This Row],[33 kV_Solar_F1_Export Reading]]-BS88)*225000&lt;=0,"",(RD[[#This Row],[33 kV_Solar_F1_Export Reading]]-BS88)*225000)</f>
        <v>164925.00000000093</v>
      </c>
      <c r="CK89" s="74">
        <f>IF((RD[[#This Row],[33kV_Solar_F2_Export Reading]]-BT88)*225000&lt;=0,"",(RD[[#This Row],[33kV_Solar_F2_Export Reading]]-BT88)*225000)</f>
        <v>144224.99999999162</v>
      </c>
      <c r="CL89" s="209" t="str">
        <f>IF((RD[[#This Row],[33 kV_Solar_F3_Export reading]]-BU88)*225000&lt;=0,"",(RD[[#This Row],[33 kV_Solar_F3_Export reading]]-BU88)*225000)</f>
        <v/>
      </c>
      <c r="CM89" s="63">
        <f>IF((RD[[#This Row],[32kV_Solar_F4_Export reading]]-BV88)*225000&lt;=0,"",(RD[[#This Row],[32kV_Solar_F4_Export reading]]-BV88)*225000)</f>
        <v>156825.00000000061</v>
      </c>
      <c r="CN89" s="227">
        <f>IF((RD[[#This Row],[33kV_OG1_Export reading]]-BW88)*1000&lt;=0,0,(RD[[#This Row],[33kV_OG1_Export reading]]-BW88)*1000)</f>
        <v>466000</v>
      </c>
      <c r="CO89" s="227">
        <f>IFERROR(IF((RD[[#This Row],[33kV_OG2_Export reading]]-BX88)*1000&lt;=0,0,(RD[[#This Row],[33kV_OG2_Export reading]]-BX88)*1000),0)</f>
        <v>1063000</v>
      </c>
      <c r="CP89" s="74">
        <f>IF((RD[[#This Row],[220kV_TX1_Export reading]]-BY88)*800000&lt;=0,0,(RD[[#This Row],[220kV_TX1_Export reading]]-BY88)*800000)</f>
        <v>460800.00000001746</v>
      </c>
      <c r="CQ89" s="209">
        <f>IF((RD[[#This Row],[220kV_Tx2_Export reading]]-BZ88)*800000&lt;=0,0,(RD[[#This Row],[220kV_Tx2_Export reading]]-BZ88)*800000)</f>
        <v>1048799.9999999942</v>
      </c>
      <c r="CR89" s="227">
        <f>IF((RD[[#This Row],[220kV_TL_TVM Export Reading]]-CA88)*1600000&lt;=0,0,(RD[[#This Row],[220kV_TL_TVM Export Reading]]-CA88)*1600000)</f>
        <v>1519999.9999999818</v>
      </c>
      <c r="CS89" s="227">
        <f>IF((RD[[#This Row],[220kV_C&amp;R_PQM reading]]-CB88)*1600000&lt;=0,"",(RD[[#This Row],[220kV_C&amp;R_PQM reading]]-CB88)*1600000)</f>
        <v>1516799.9999999665</v>
      </c>
      <c r="CT89" s="209">
        <f>IFERROR(IF((RD[[#This Row],[220KV_C&amp;R_PQM Import Reading]]-CC88)*1600000&lt;=0,0,(RD[[#This Row],[220KV_C&amp;R_PQM Import Reading]]-CC88)*1600000),"")</f>
        <v>0</v>
      </c>
      <c r="CU89" s="64" t="str">
        <f>IF((RD[[#This Row],[33kV_Aux1 Import Reading]]-CD88)*1000&lt;=0,"",(RD[[#This Row],[33kV_Aux1 Import Reading]]-CD88)*1000)</f>
        <v/>
      </c>
      <c r="CV89" s="227">
        <f>IF((RD[[#This Row],[33kV_Aux2_Import reading]]-CE88)*1000&lt;=0,"",(RD[[#This Row],[33kV_Aux2_Import reading]]-CE88)*1000)</f>
        <v>370.00000000000455</v>
      </c>
      <c r="CW89" s="227">
        <f>IFERROR(RD[[#This Row],[33kV_OG1_Energy (MWh)]]+RD[[#This Row],[33kV_OG2_Energy (MWh)]],"")</f>
        <v>1529000</v>
      </c>
      <c r="CX89" s="227">
        <f>IFERROR(RD[[#This Row],[220kV_TL_TVM Energy (MWh)]]-RD[[#This Row],[220KV_C&amp;R_PQM Import (MWh)]],"")</f>
        <v>1519999.9999999818</v>
      </c>
      <c r="CY89" s="228">
        <f>IFERROR(RD[[#This Row],[33 kV Total Export (MWH)]]/RD[[#This Row],[220 KV Net Export (MWh)]]-1,"")</f>
        <v>5.9210526315909284E-3</v>
      </c>
      <c r="CZ89" s="229">
        <f t="shared" si="91"/>
        <v>50.6</v>
      </c>
      <c r="DA89" s="230">
        <v>96</v>
      </c>
      <c r="DB89" s="231"/>
      <c r="DC89" s="232">
        <f>IFERROR((RD[[#This Row],[Sunset Time (POA&lt;20 W/m2)]]-RD[[#This Row],[Sunrise Time (POA&gt;20 W/m2)]])*24,0)</f>
        <v>12.250000000000002</v>
      </c>
      <c r="DD89" s="70">
        <f>SUM(RD[[#This Row],[33 kV_Wind_F3_Export_Reading3]],CJ89,CK89,CL89,CM89)</f>
        <v>654074.99999999278</v>
      </c>
      <c r="DE89" s="233"/>
      <c r="DF89" s="70">
        <f t="shared" si="82"/>
        <v>874664.99999998859</v>
      </c>
      <c r="DG89" s="230">
        <v>966.22</v>
      </c>
      <c r="DH89">
        <f>'WTG Reactive Power'!AB87</f>
        <v>7762.0000000000027</v>
      </c>
    </row>
    <row r="90" spans="1:112">
      <c r="A90" s="210">
        <f>YEAR(RD[[#This Row],[Date]])+IF(MONTH(RD[[#This Row],[Date]])&gt;=4,1,0)</f>
        <v>2026</v>
      </c>
      <c r="B90" s="210">
        <f>YEAR(RD[[#This Row],[Date]])</f>
        <v>2025</v>
      </c>
      <c r="C90" s="211">
        <f t="shared" ref="C90:C121" si="94">E90-DAY(E90)+1</f>
        <v>45809</v>
      </c>
      <c r="D90" s="210">
        <f>DAY(EOMONTH(RD[[#This Row],[Date]],0))</f>
        <v>30</v>
      </c>
      <c r="E90" s="212">
        <f t="shared" ref="E90:E121" si="95">E89+1</f>
        <v>45830</v>
      </c>
      <c r="F90" s="206">
        <v>0.26180555555555557</v>
      </c>
      <c r="G90" s="206">
        <v>0.76666666666666672</v>
      </c>
      <c r="H90" s="213">
        <v>42171.6</v>
      </c>
      <c r="I90" s="213">
        <v>41491.300000000003</v>
      </c>
      <c r="J90" s="213">
        <v>35504.5</v>
      </c>
      <c r="K90" s="213">
        <v>40134.1</v>
      </c>
      <c r="L90" s="213">
        <v>38966.400000000001</v>
      </c>
      <c r="M90" s="213">
        <v>37406.400000000001</v>
      </c>
      <c r="N90" s="213">
        <v>37083.199999999997</v>
      </c>
      <c r="O90" s="213">
        <v>39271.599999999999</v>
      </c>
      <c r="P90" s="213">
        <v>38081.1</v>
      </c>
      <c r="Q90" s="213">
        <v>37185.4</v>
      </c>
      <c r="R90" s="213">
        <v>36355.599999999999</v>
      </c>
      <c r="S90" s="213">
        <v>40346.699999999997</v>
      </c>
      <c r="T90" s="213">
        <v>40197.699999999997</v>
      </c>
      <c r="U90" s="213">
        <v>37098.199999999997</v>
      </c>
      <c r="V90" s="213">
        <v>43001.4</v>
      </c>
      <c r="W90" s="213">
        <v>43454.8</v>
      </c>
      <c r="X90" s="213">
        <v>43058.6</v>
      </c>
      <c r="Y90" s="213">
        <v>38841.199999999997</v>
      </c>
      <c r="Z90" s="213">
        <v>40088</v>
      </c>
      <c r="AA90" s="213">
        <v>39566.199999999997</v>
      </c>
      <c r="AB90" s="213">
        <v>39503.4</v>
      </c>
      <c r="AC90" s="213">
        <v>39934.5</v>
      </c>
      <c r="AD90" s="213">
        <v>42777.1</v>
      </c>
      <c r="AE90" s="350">
        <v>9.1</v>
      </c>
      <c r="AF90" s="350">
        <v>8.9</v>
      </c>
      <c r="AG90" s="350">
        <v>8.6</v>
      </c>
      <c r="AH90" s="350">
        <v>8.6999999999999993</v>
      </c>
      <c r="AI90" s="350">
        <v>8.6999999999999993</v>
      </c>
      <c r="AJ90" s="350">
        <v>8.4</v>
      </c>
      <c r="AK90" s="350">
        <v>8.5</v>
      </c>
      <c r="AL90" s="350">
        <v>8.8000000000000007</v>
      </c>
      <c r="AM90" s="350">
        <v>8.6</v>
      </c>
      <c r="AN90" s="350">
        <v>8.4</v>
      </c>
      <c r="AO90" s="350">
        <v>8.6</v>
      </c>
      <c r="AP90" s="350">
        <v>8.8000000000000007</v>
      </c>
      <c r="AQ90" s="350">
        <v>8.9</v>
      </c>
      <c r="AR90" s="350">
        <v>8.4</v>
      </c>
      <c r="AS90" s="350">
        <v>9.5</v>
      </c>
      <c r="AT90" s="350">
        <v>9.1</v>
      </c>
      <c r="AU90" s="350">
        <v>9.1999999999999993</v>
      </c>
      <c r="AV90" s="350">
        <v>8.6999999999999993</v>
      </c>
      <c r="AW90" s="350">
        <v>8.9</v>
      </c>
      <c r="AX90" s="350">
        <v>8.6999999999999993</v>
      </c>
      <c r="AY90" s="350">
        <v>9</v>
      </c>
      <c r="AZ90" s="350">
        <v>8.9</v>
      </c>
      <c r="BA90" s="350">
        <v>8.9</v>
      </c>
      <c r="BB90" s="214">
        <f t="shared" ref="BB90:BB121" si="96">SUM($H90,$J90,$Q90:$V90,$Z90:$AA90)</f>
        <v>391515.30000000005</v>
      </c>
      <c r="BC90" s="216">
        <f t="shared" ref="BC90:BC121" si="97">SUM($W90:$X90)</f>
        <v>86513.4</v>
      </c>
      <c r="BD90" s="180">
        <f t="shared" si="92"/>
        <v>318294.29999999993</v>
      </c>
      <c r="BE90" s="216">
        <f t="shared" ref="BE90:BE121" si="98">Y90</f>
        <v>38841.199999999997</v>
      </c>
      <c r="BF90" s="179">
        <f t="shared" si="93"/>
        <v>76354.799999999988</v>
      </c>
      <c r="BG90" s="216">
        <f>SUM(RD[[#This Row],[KUD01]:[KUD23]])</f>
        <v>911518.99999999988</v>
      </c>
      <c r="BH90" s="217">
        <f t="shared" ref="BH90:BH121" si="99">IFERROR(AVERAGE(AE90,AG90,AN90:AS90,AW90:AX90),"")</f>
        <v>8.7900000000000009</v>
      </c>
      <c r="BI90" s="219">
        <f t="shared" ref="BI90:BI121" si="100">IFERROR(AVERAGE(AT90,AU90),"")</f>
        <v>9.1499999999999986</v>
      </c>
      <c r="BJ90" s="219">
        <f t="shared" ref="BJ90:BJ121" si="101">IFERROR(AVERAGE(AF90,AH90:AM90,AY90:BA90),"")</f>
        <v>8.74</v>
      </c>
      <c r="BK90" s="221">
        <f t="shared" si="81"/>
        <v>8.6999999999999993</v>
      </c>
      <c r="BL90" s="61">
        <f>IFERROR(AVERAGEIF(RD[[#This Row],[WS_KUD07]:[WS_KUD08]],"&lt;&gt;0",RD[[#This Row],[WS_KUD07]:[WS_KUD08]]),"")</f>
        <v>8.65</v>
      </c>
      <c r="BM90" s="223">
        <f>IFERROR(AVERAGE(RD[[#This Row],[WS_KUD01]:[WS_KUD23]]),"")</f>
        <v>8.7956521739130427</v>
      </c>
      <c r="BN90" s="224">
        <f>IFERROR(MAX(RD[[#This Row],[WS_KUD01]:[WS_KUD23]]),"")</f>
        <v>9.5</v>
      </c>
      <c r="BO90" s="172">
        <v>640.30499999999995</v>
      </c>
      <c r="BP90" s="348">
        <v>973.79499999999996</v>
      </c>
      <c r="BQ90" s="348">
        <v>103.934</v>
      </c>
      <c r="BR90" s="348">
        <v>300.42899999999997</v>
      </c>
      <c r="BS90" s="348">
        <v>215.745</v>
      </c>
      <c r="BT90" s="348">
        <v>319.65300000000002</v>
      </c>
      <c r="BU90" s="348"/>
      <c r="BV90" s="348">
        <v>109.032</v>
      </c>
      <c r="BW90" s="172">
        <v>213362</v>
      </c>
      <c r="BX90" s="172">
        <v>286811</v>
      </c>
      <c r="BY90" s="348">
        <v>151.77000000000001</v>
      </c>
      <c r="BZ90" s="348">
        <v>117.13</v>
      </c>
      <c r="CA90" s="348">
        <v>310.178</v>
      </c>
      <c r="CB90" s="348">
        <v>135.29</v>
      </c>
      <c r="CC90" s="348">
        <v>0.122</v>
      </c>
      <c r="CD90" s="172">
        <v>0</v>
      </c>
      <c r="CE90" s="348">
        <v>240.649</v>
      </c>
      <c r="CF90" s="226" t="str">
        <f>IF((RD[[#This Row],[33 kV_Wind_F1_Export reading]]-BO89)*165000&lt;=0,"",(RD[[#This Row],[33 kV_Wind_F1_Export reading]]-BO89)*165000)</f>
        <v/>
      </c>
      <c r="CG90" s="227">
        <f>IF((RD[[#This Row],[33 kV_Wind_F2_Export_reading]]-BP89)*165000&lt;=0,"",(RD[[#This Row],[33 kV_Wind_F2_Export_reading]]-BP89)*165000)</f>
        <v>460020.0000000018</v>
      </c>
      <c r="CH90" s="64">
        <f>IF((RD[[#This Row],[33 kV_Wind_F3_Export_Reading]]-BQ89)*225000&lt;=0,"",(RD[[#This Row],[33 kV_Wind_F3_Export_Reading]]-BQ89)*225000)</f>
        <v>156150.00000000058</v>
      </c>
      <c r="CI90" s="64">
        <f>IF((RD[[#This Row],[33 kV_Wind_F4_Export Reading]]-BR89)*165000&lt;=0,"",(RD[[#This Row],[33 kV_Wind_F4_Export Reading]]-BR89)*165000)</f>
        <v>417449.99999999552</v>
      </c>
      <c r="CJ90" s="209">
        <f>IF((RD[[#This Row],[33 kV_Solar_F1_Export Reading]]-BS89)*225000&lt;=0,"",(RD[[#This Row],[33 kV_Solar_F1_Export Reading]]-BS89)*225000)</f>
        <v>123074.99999999933</v>
      </c>
      <c r="CK90" s="74">
        <f>IF((RD[[#This Row],[33kV_Solar_F2_Export Reading]]-BT89)*225000&lt;=0,"",(RD[[#This Row],[33kV_Solar_F2_Export Reading]]-BT89)*225000)</f>
        <v>117450.00000001084</v>
      </c>
      <c r="CL90" s="209" t="str">
        <f>IF((RD[[#This Row],[33 kV_Solar_F3_Export reading]]-BU89)*225000&lt;=0,"",(RD[[#This Row],[33 kV_Solar_F3_Export reading]]-BU89)*225000)</f>
        <v/>
      </c>
      <c r="CM90" s="63">
        <f>IF((RD[[#This Row],[32kV_Solar_F4_Export reading]]-BV89)*225000&lt;=0,"",(RD[[#This Row],[32kV_Solar_F4_Export reading]]-BV89)*225000)</f>
        <v>124424.99999999939</v>
      </c>
      <c r="CN90" s="227">
        <f>IF((RD[[#This Row],[33kV_OG1_Export reading]]-BW89)*1000&lt;=0,0,(RD[[#This Row],[33kV_OG1_Export reading]]-BW89)*1000)</f>
        <v>365000</v>
      </c>
      <c r="CO90" s="227">
        <f>IFERROR(IF((RD[[#This Row],[33kV_OG2_Export reading]]-BX89)*1000&lt;=0,0,(RD[[#This Row],[33kV_OG2_Export reading]]-BX89)*1000),0)</f>
        <v>1034000</v>
      </c>
      <c r="CP90" s="74">
        <f>IF((RD[[#This Row],[220kV_TX1_Export reading]]-BY89)*800000&lt;=0,0,(RD[[#This Row],[220kV_TX1_Export reading]]-BY89)*800000)</f>
        <v>361599.99999999854</v>
      </c>
      <c r="CQ90" s="209">
        <f>IF((RD[[#This Row],[220kV_Tx2_Export reading]]-BZ89)*800000&lt;=0,0,(RD[[#This Row],[220kV_Tx2_Export reading]]-BZ89)*800000)</f>
        <v>1024000.0000000009</v>
      </c>
      <c r="CR90" s="227">
        <f>IF((RD[[#This Row],[220kV_TL_TVM Export Reading]]-CA89)*1600000&lt;=0,0,(RD[[#This Row],[220kV_TL_TVM Export Reading]]-CA89)*1600000)</f>
        <v>1388799.9999999921</v>
      </c>
      <c r="CS90" s="227">
        <f>IF((RD[[#This Row],[220kV_C&amp;R_PQM reading]]-CB89)*1600000&lt;=0,"",(RD[[#This Row],[220kV_C&amp;R_PQM reading]]-CB89)*1600000)</f>
        <v>1392000.0000000072</v>
      </c>
      <c r="CT90" s="209">
        <f>IFERROR(IF((RD[[#This Row],[220KV_C&amp;R_PQM Import Reading]]-CC89)*1600000&lt;=0,0,(RD[[#This Row],[220KV_C&amp;R_PQM Import Reading]]-CC89)*1600000),"")</f>
        <v>0</v>
      </c>
      <c r="CU90" s="64" t="str">
        <f>IF((RD[[#This Row],[33kV_Aux1 Import Reading]]-CD89)*1000&lt;=0,"",(RD[[#This Row],[33kV_Aux1 Import Reading]]-CD89)*1000)</f>
        <v/>
      </c>
      <c r="CV90" s="227">
        <f>IF((RD[[#This Row],[33kV_Aux2_Import reading]]-CE89)*1000&lt;=0,"",(RD[[#This Row],[33kV_Aux2_Import reading]]-CE89)*1000)</f>
        <v>349.99999999999432</v>
      </c>
      <c r="CW90" s="227">
        <f>IFERROR(RD[[#This Row],[33kV_OG1_Energy (MWh)]]+RD[[#This Row],[33kV_OG2_Energy (MWh)]],"")</f>
        <v>1399000</v>
      </c>
      <c r="CX90" s="227">
        <f>IFERROR(RD[[#This Row],[220kV_TL_TVM Energy (MWh)]]-RD[[#This Row],[220KV_C&amp;R_PQM Import (MWh)]],"")</f>
        <v>1388799.9999999921</v>
      </c>
      <c r="CY90" s="228">
        <f>IFERROR(RD[[#This Row],[33 kV Total Export (MWH)]]/RD[[#This Row],[220 KV Net Export (MWh)]]-1,"")</f>
        <v>7.3444700460887358E-3</v>
      </c>
      <c r="CZ90" s="229">
        <f t="shared" ref="CZ90:CZ121" si="102">23*2.2</f>
        <v>50.6</v>
      </c>
      <c r="DA90" s="230">
        <v>96</v>
      </c>
      <c r="DB90" s="231"/>
      <c r="DC90" s="232">
        <f>IFERROR((RD[[#This Row],[Sunset Time (POA&lt;20 W/m2)]]-RD[[#This Row],[Sunrise Time (POA&gt;20 W/m2)]])*24,0)</f>
        <v>12.116666666666669</v>
      </c>
      <c r="DD90" s="70">
        <f>SUM(RD[[#This Row],[33 kV_Wind_F3_Export_Reading3]],CJ90,CK90,CL90,CM90)</f>
        <v>521100.00000001013</v>
      </c>
      <c r="DE90" s="233"/>
      <c r="DF90" s="70">
        <f t="shared" si="82"/>
        <v>877469.99999999732</v>
      </c>
      <c r="DG90" s="189">
        <v>911.18</v>
      </c>
      <c r="DH90">
        <f>'WTG Reactive Power'!AB88</f>
        <v>33002.300000000003</v>
      </c>
    </row>
    <row r="91" spans="1:112">
      <c r="A91" s="210">
        <f>YEAR(RD[[#This Row],[Date]])+IF(MONTH(RD[[#This Row],[Date]])&gt;=4,1,0)</f>
        <v>2026</v>
      </c>
      <c r="B91" s="210">
        <f>YEAR(RD[[#This Row],[Date]])</f>
        <v>2025</v>
      </c>
      <c r="C91" s="211">
        <f t="shared" si="94"/>
        <v>45809</v>
      </c>
      <c r="D91" s="210">
        <f>DAY(EOMONTH(RD[[#This Row],[Date]],0))</f>
        <v>30</v>
      </c>
      <c r="E91" s="212">
        <f t="shared" si="95"/>
        <v>45831</v>
      </c>
      <c r="F91" s="206">
        <v>0.2638888888888889</v>
      </c>
      <c r="G91" s="206">
        <v>0.77430555555555558</v>
      </c>
      <c r="H91" s="213">
        <v>47935.6</v>
      </c>
      <c r="I91" s="213">
        <v>46595.9</v>
      </c>
      <c r="J91" s="213">
        <v>44179.3</v>
      </c>
      <c r="K91" s="213">
        <v>43265.7</v>
      </c>
      <c r="L91" s="213">
        <v>45846.3</v>
      </c>
      <c r="M91" s="213">
        <v>45806.1</v>
      </c>
      <c r="N91" s="213">
        <v>45816.5</v>
      </c>
      <c r="O91" s="213">
        <v>46684.2</v>
      </c>
      <c r="P91" s="213">
        <v>47005.7</v>
      </c>
      <c r="Q91" s="213">
        <v>46225.3</v>
      </c>
      <c r="R91" s="213">
        <v>43891.5</v>
      </c>
      <c r="S91" s="213">
        <v>45082.2</v>
      </c>
      <c r="T91" s="213">
        <v>47731.4</v>
      </c>
      <c r="U91" s="213">
        <v>45269.7</v>
      </c>
      <c r="V91" s="213">
        <v>49292.2</v>
      </c>
      <c r="W91" s="213">
        <v>48307.8</v>
      </c>
      <c r="X91" s="213">
        <v>48111.3</v>
      </c>
      <c r="Y91" s="213">
        <v>45424.7</v>
      </c>
      <c r="Z91" s="213">
        <v>48237</v>
      </c>
      <c r="AA91" s="213">
        <v>45531.4</v>
      </c>
      <c r="AB91" s="213">
        <v>42471.1</v>
      </c>
      <c r="AC91" s="213">
        <v>47682.1</v>
      </c>
      <c r="AD91" s="213">
        <v>45476.1</v>
      </c>
      <c r="AE91" s="350">
        <v>10.199999999999999</v>
      </c>
      <c r="AF91" s="350">
        <v>10.1</v>
      </c>
      <c r="AG91" s="350">
        <v>9.6999999999999993</v>
      </c>
      <c r="AH91" s="350">
        <v>9.3000000000000007</v>
      </c>
      <c r="AI91" s="350">
        <v>9.9</v>
      </c>
      <c r="AJ91" s="350">
        <v>9.6</v>
      </c>
      <c r="AK91" s="350">
        <v>9.8000000000000007</v>
      </c>
      <c r="AL91" s="350">
        <v>10.1</v>
      </c>
      <c r="AM91" s="350">
        <v>9.9</v>
      </c>
      <c r="AN91" s="350">
        <v>9.6999999999999993</v>
      </c>
      <c r="AO91" s="350">
        <v>9.8000000000000007</v>
      </c>
      <c r="AP91" s="350">
        <v>9.6999999999999993</v>
      </c>
      <c r="AQ91" s="350">
        <v>10.3</v>
      </c>
      <c r="AR91" s="350">
        <v>9.6999999999999993</v>
      </c>
      <c r="AS91" s="350">
        <v>10.9</v>
      </c>
      <c r="AT91" s="350">
        <v>10.199999999999999</v>
      </c>
      <c r="AU91" s="350">
        <v>10.3</v>
      </c>
      <c r="AV91" s="350">
        <v>9.9</v>
      </c>
      <c r="AW91" s="350">
        <v>10.199999999999999</v>
      </c>
      <c r="AX91" s="350">
        <v>9.6</v>
      </c>
      <c r="AY91" s="350">
        <v>9.8000000000000007</v>
      </c>
      <c r="AZ91" s="350">
        <v>10.1</v>
      </c>
      <c r="BA91" s="350">
        <v>9.6999999999999993</v>
      </c>
      <c r="BB91" s="214">
        <f t="shared" si="96"/>
        <v>463375.60000000009</v>
      </c>
      <c r="BC91" s="216">
        <f t="shared" si="97"/>
        <v>96419.1</v>
      </c>
      <c r="BD91" s="180">
        <f t="shared" si="92"/>
        <v>364148.99999999994</v>
      </c>
      <c r="BE91" s="216">
        <f t="shared" si="98"/>
        <v>45424.7</v>
      </c>
      <c r="BF91" s="179">
        <f t="shared" si="93"/>
        <v>92500.7</v>
      </c>
      <c r="BG91" s="216">
        <f>SUM(RD[[#This Row],[KUD01]:[KUD23]])</f>
        <v>1061869.0999999999</v>
      </c>
      <c r="BH91" s="217">
        <f t="shared" si="99"/>
        <v>9.98</v>
      </c>
      <c r="BI91" s="219">
        <f t="shared" si="100"/>
        <v>10.25</v>
      </c>
      <c r="BJ91" s="219">
        <f t="shared" si="101"/>
        <v>9.83</v>
      </c>
      <c r="BK91" s="221">
        <f t="shared" si="81"/>
        <v>9.9</v>
      </c>
      <c r="BL91" s="61">
        <f>IFERROR(AVERAGEIF(RD[[#This Row],[WS_KUD07]:[WS_KUD08]],"&lt;&gt;0",RD[[#This Row],[WS_KUD07]:[WS_KUD08]]),"")</f>
        <v>9.9499999999999993</v>
      </c>
      <c r="BM91" s="223">
        <f>IFERROR(AVERAGE(RD[[#This Row],[WS_KUD01]:[WS_KUD23]]),"")</f>
        <v>9.9347826086956506</v>
      </c>
      <c r="BN91" s="224">
        <f>IFERROR(MAX(RD[[#This Row],[WS_KUD01]:[WS_KUD23]]),"")</f>
        <v>10.9</v>
      </c>
      <c r="BO91" s="172">
        <v>640.30499999999995</v>
      </c>
      <c r="BP91" s="348">
        <v>976.99199999999996</v>
      </c>
      <c r="BQ91" s="348">
        <v>104.496</v>
      </c>
      <c r="BR91" s="348">
        <v>303.41899999999998</v>
      </c>
      <c r="BS91" s="348">
        <v>216.209</v>
      </c>
      <c r="BT91" s="348">
        <v>320.08800000000002</v>
      </c>
      <c r="BU91" s="348"/>
      <c r="BV91" s="348">
        <v>109.488</v>
      </c>
      <c r="BW91" s="172">
        <v>213667</v>
      </c>
      <c r="BX91" s="172">
        <v>287957</v>
      </c>
      <c r="BY91" s="348">
        <v>152.14599999999999</v>
      </c>
      <c r="BZ91" s="348">
        <v>118.54900000000001</v>
      </c>
      <c r="CA91" s="348">
        <v>311.08</v>
      </c>
      <c r="CB91" s="348">
        <v>136.19200000000001</v>
      </c>
      <c r="CC91" s="348">
        <v>0.122</v>
      </c>
      <c r="CD91" s="172">
        <v>0</v>
      </c>
      <c r="CE91" s="348">
        <v>240.989</v>
      </c>
      <c r="CF91" s="226" t="str">
        <f>IF((RD[[#This Row],[33 kV_Wind_F1_Export reading]]-BO90)*165000&lt;=0,"",(RD[[#This Row],[33 kV_Wind_F1_Export reading]]-BO90)*165000)</f>
        <v/>
      </c>
      <c r="CG91" s="227">
        <f>IF((RD[[#This Row],[33 kV_Wind_F2_Export_reading]]-BP90)*165000&lt;=0,"",(RD[[#This Row],[33 kV_Wind_F2_Export_reading]]-BP90)*165000)</f>
        <v>527505.00000000047</v>
      </c>
      <c r="CH91" s="64">
        <f>IF((RD[[#This Row],[33 kV_Wind_F3_Export_Reading]]-BQ90)*225000&lt;=0,"",(RD[[#This Row],[33 kV_Wind_F3_Export_Reading]]-BQ90)*225000)</f>
        <v>126449.99999999946</v>
      </c>
      <c r="CI91" s="64">
        <f>IF((RD[[#This Row],[33 kV_Wind_F4_Export Reading]]-BR90)*165000&lt;=0,"",(RD[[#This Row],[33 kV_Wind_F4_Export Reading]]-BR90)*165000)</f>
        <v>493350.00000000151</v>
      </c>
      <c r="CJ91" s="209">
        <f>IF((RD[[#This Row],[33 kV_Solar_F1_Export Reading]]-BS90)*225000&lt;=0,"",(RD[[#This Row],[33 kV_Solar_F1_Export Reading]]-BS90)*225000)</f>
        <v>104399.99999999969</v>
      </c>
      <c r="CK91" s="74">
        <f>IF((RD[[#This Row],[33kV_Solar_F2_Export Reading]]-BT90)*225000&lt;=0,"",(RD[[#This Row],[33kV_Solar_F2_Export Reading]]-BT90)*225000)</f>
        <v>97875.000000000509</v>
      </c>
      <c r="CL91" s="209" t="str">
        <f>IF((RD[[#This Row],[33 kV_Solar_F3_Export reading]]-BU90)*225000&lt;=0,"",(RD[[#This Row],[33 kV_Solar_F3_Export reading]]-BU90)*225000)</f>
        <v/>
      </c>
      <c r="CM91" s="63">
        <f>IF((RD[[#This Row],[32kV_Solar_F4_Export reading]]-BV90)*225000&lt;=0,"",(RD[[#This Row],[32kV_Solar_F4_Export reading]]-BV90)*225000)</f>
        <v>102600.00000000068</v>
      </c>
      <c r="CN91" s="227">
        <f>IF((RD[[#This Row],[33kV_OG1_Export reading]]-BW90)*1000&lt;=0,0,(RD[[#This Row],[33kV_OG1_Export reading]]-BW90)*1000)</f>
        <v>305000</v>
      </c>
      <c r="CO91" s="227">
        <f>IFERROR(IF((RD[[#This Row],[33kV_OG2_Export reading]]-BX90)*1000&lt;=0,0,(RD[[#This Row],[33kV_OG2_Export reading]]-BX90)*1000),0)</f>
        <v>1146000</v>
      </c>
      <c r="CP91" s="74">
        <f>IF((RD[[#This Row],[220kV_TX1_Export reading]]-BY90)*800000&lt;=0,0,(RD[[#This Row],[220kV_TX1_Export reading]]-BY90)*800000)</f>
        <v>300799.99999998108</v>
      </c>
      <c r="CQ91" s="209">
        <f>IF((RD[[#This Row],[220kV_Tx2_Export reading]]-BZ90)*800000&lt;=0,0,(RD[[#This Row],[220kV_Tx2_Export reading]]-BZ90)*800000)</f>
        <v>1135200.0000000088</v>
      </c>
      <c r="CR91" s="227">
        <f>IF((RD[[#This Row],[220kV_TL_TVM Export Reading]]-CA90)*1600000&lt;=0,0,(RD[[#This Row],[220kV_TL_TVM Export Reading]]-CA90)*1600000)</f>
        <v>1443199.9999999788</v>
      </c>
      <c r="CS91" s="227">
        <f>IF((RD[[#This Row],[220kV_C&amp;R_PQM reading]]-CB90)*1600000&lt;=0,"",(RD[[#This Row],[220kV_C&amp;R_PQM reading]]-CB90)*1600000)</f>
        <v>1443200.0000000244</v>
      </c>
      <c r="CT91" s="209">
        <f>IFERROR(IF((RD[[#This Row],[220KV_C&amp;R_PQM Import Reading]]-CC90)*1600000&lt;=0,0,(RD[[#This Row],[220KV_C&amp;R_PQM Import Reading]]-CC90)*1600000),"")</f>
        <v>0</v>
      </c>
      <c r="CU91" s="64" t="str">
        <f>IF((RD[[#This Row],[33kV_Aux1 Import Reading]]-CD90)*1000&lt;=0,"",(RD[[#This Row],[33kV_Aux1 Import Reading]]-CD90)*1000)</f>
        <v/>
      </c>
      <c r="CV91" s="227">
        <f>IF((RD[[#This Row],[33kV_Aux2_Import reading]]-CE90)*1000&lt;=0,"",(RD[[#This Row],[33kV_Aux2_Import reading]]-CE90)*1000)</f>
        <v>340.00000000000341</v>
      </c>
      <c r="CW91" s="227">
        <f>IFERROR(RD[[#This Row],[33kV_OG1_Energy (MWh)]]+RD[[#This Row],[33kV_OG2_Energy (MWh)]],"")</f>
        <v>1451000</v>
      </c>
      <c r="CX91" s="227">
        <f>IFERROR(RD[[#This Row],[220kV_TL_TVM Energy (MWh)]]-RD[[#This Row],[220KV_C&amp;R_PQM Import (MWh)]],"")</f>
        <v>1443199.9999999788</v>
      </c>
      <c r="CY91" s="228">
        <f>IFERROR(RD[[#This Row],[33 kV Total Export (MWH)]]/RD[[#This Row],[220 KV Net Export (MWh)]]-1,"")</f>
        <v>5.4046563193053121E-3</v>
      </c>
      <c r="CZ91" s="229">
        <f t="shared" si="102"/>
        <v>50.6</v>
      </c>
      <c r="DA91" s="230">
        <v>96</v>
      </c>
      <c r="DB91" s="231"/>
      <c r="DC91" s="232">
        <f>IFERROR((RD[[#This Row],[Sunset Time (POA&lt;20 W/m2)]]-RD[[#This Row],[Sunrise Time (POA&gt;20 W/m2)]])*24,0)</f>
        <v>12.250000000000002</v>
      </c>
      <c r="DD91" s="70">
        <f>SUM(RD[[#This Row],[33 kV_Wind_F3_Export_Reading3]],CJ91,CK91,CL91,CM91)</f>
        <v>431325.00000000035</v>
      </c>
      <c r="DE91" s="233"/>
      <c r="DF91" s="70">
        <f t="shared" si="82"/>
        <v>1020855.000000002</v>
      </c>
      <c r="DG91" s="230">
        <v>1070.07</v>
      </c>
      <c r="DH91">
        <f>'WTG Reactive Power'!AB89</f>
        <v>67917.299999999988</v>
      </c>
    </row>
    <row r="92" spans="1:112">
      <c r="A92" s="210">
        <f>YEAR(RD[[#This Row],[Date]])+IF(MONTH(RD[[#This Row],[Date]])&gt;=4,1,0)</f>
        <v>2026</v>
      </c>
      <c r="B92" s="210">
        <f>YEAR(RD[[#This Row],[Date]])</f>
        <v>2025</v>
      </c>
      <c r="C92" s="211">
        <f t="shared" si="94"/>
        <v>45809</v>
      </c>
      <c r="D92" s="210">
        <f>DAY(EOMONTH(RD[[#This Row],[Date]],0))</f>
        <v>30</v>
      </c>
      <c r="E92" s="212">
        <f t="shared" si="95"/>
        <v>45832</v>
      </c>
      <c r="F92" s="206">
        <v>0.26805555555555555</v>
      </c>
      <c r="G92" s="206">
        <v>0.77708333333333335</v>
      </c>
      <c r="H92" s="213">
        <v>48094.400000000001</v>
      </c>
      <c r="I92" s="213">
        <v>48673.1</v>
      </c>
      <c r="J92" s="213">
        <v>46873.2</v>
      </c>
      <c r="K92" s="213">
        <v>45687</v>
      </c>
      <c r="L92" s="213">
        <v>48321.5</v>
      </c>
      <c r="M92" s="213">
        <v>47842.9</v>
      </c>
      <c r="N92" s="213">
        <v>47510.3</v>
      </c>
      <c r="O92" s="213">
        <v>47418.5</v>
      </c>
      <c r="P92" s="213">
        <v>46469.7</v>
      </c>
      <c r="Q92" s="213">
        <v>47296.1</v>
      </c>
      <c r="R92" s="213">
        <v>47767</v>
      </c>
      <c r="S92" s="213">
        <v>47680.5</v>
      </c>
      <c r="T92" s="213">
        <v>48297.1</v>
      </c>
      <c r="U92" s="213">
        <v>47535.3</v>
      </c>
      <c r="V92" s="213">
        <v>49292.2</v>
      </c>
      <c r="W92" s="213">
        <v>48286.9</v>
      </c>
      <c r="X92" s="213">
        <v>49086.6</v>
      </c>
      <c r="Y92" s="213">
        <v>47504.5</v>
      </c>
      <c r="Z92" s="213">
        <v>47580.6</v>
      </c>
      <c r="AA92" s="213">
        <v>47408.2</v>
      </c>
      <c r="AB92" s="213">
        <v>47906.400000000001</v>
      </c>
      <c r="AC92" s="213">
        <v>46077.4</v>
      </c>
      <c r="AD92" s="213">
        <v>48941.7</v>
      </c>
      <c r="AE92" s="350">
        <v>11.2</v>
      </c>
      <c r="AF92" s="350">
        <v>11.6</v>
      </c>
      <c r="AG92" s="350">
        <v>10.8</v>
      </c>
      <c r="AH92" s="350">
        <v>10.5</v>
      </c>
      <c r="AI92" s="350">
        <v>11.4</v>
      </c>
      <c r="AJ92" s="350">
        <v>10.7</v>
      </c>
      <c r="AK92" s="350">
        <v>10.9</v>
      </c>
      <c r="AL92" s="350">
        <v>10.9</v>
      </c>
      <c r="AM92" s="350">
        <v>10.8</v>
      </c>
      <c r="AN92" s="350">
        <v>10.7</v>
      </c>
      <c r="AO92" s="350">
        <v>11.3</v>
      </c>
      <c r="AP92" s="350">
        <v>10.9</v>
      </c>
      <c r="AQ92" s="350">
        <v>11.5</v>
      </c>
      <c r="AR92" s="350">
        <v>10.9</v>
      </c>
      <c r="AS92" s="350">
        <v>12.1</v>
      </c>
      <c r="AT92" s="350">
        <v>11.5</v>
      </c>
      <c r="AU92" s="350">
        <v>11.7</v>
      </c>
      <c r="AV92" s="350">
        <v>11</v>
      </c>
      <c r="AW92" s="350">
        <v>11.1</v>
      </c>
      <c r="AX92" s="350">
        <v>10.8</v>
      </c>
      <c r="AY92" s="350">
        <v>11.4</v>
      </c>
      <c r="AZ92" s="350">
        <v>10.9</v>
      </c>
      <c r="BA92" s="350">
        <v>11.4</v>
      </c>
      <c r="BB92" s="214">
        <f t="shared" si="96"/>
        <v>477824.6</v>
      </c>
      <c r="BC92" s="216">
        <f t="shared" si="97"/>
        <v>97373.5</v>
      </c>
      <c r="BD92" s="180">
        <f t="shared" si="92"/>
        <v>379919.70000000007</v>
      </c>
      <c r="BE92" s="216">
        <f t="shared" si="98"/>
        <v>47504.5</v>
      </c>
      <c r="BF92" s="179">
        <f t="shared" si="93"/>
        <v>94928.8</v>
      </c>
      <c r="BG92" s="216">
        <f>SUM(RD[[#This Row],[KUD01]:[KUD23]])</f>
        <v>1097551.0999999999</v>
      </c>
      <c r="BH92" s="217">
        <f t="shared" si="99"/>
        <v>11.129999999999999</v>
      </c>
      <c r="BI92" s="219">
        <f t="shared" si="100"/>
        <v>11.6</v>
      </c>
      <c r="BJ92" s="219">
        <f t="shared" si="101"/>
        <v>11.05</v>
      </c>
      <c r="BK92" s="221">
        <f t="shared" si="81"/>
        <v>11</v>
      </c>
      <c r="BL92" s="61">
        <f>IFERROR(AVERAGEIF(RD[[#This Row],[WS_KUD07]:[WS_KUD08]],"&lt;&gt;0",RD[[#This Row],[WS_KUD07]:[WS_KUD08]]),"")</f>
        <v>10.9</v>
      </c>
      <c r="BM92" s="223">
        <f>IFERROR(AVERAGE(RD[[#This Row],[WS_KUD01]:[WS_KUD23]]),"")</f>
        <v>11.130434782608695</v>
      </c>
      <c r="BN92" s="224">
        <f>IFERROR(MAX(RD[[#This Row],[WS_KUD01]:[WS_KUD23]]),"")</f>
        <v>12.1</v>
      </c>
      <c r="BO92" s="172">
        <v>640.30499999999995</v>
      </c>
      <c r="BP92" s="349">
        <v>980.298</v>
      </c>
      <c r="BQ92" s="349">
        <v>105.17700000000001</v>
      </c>
      <c r="BR92" s="349">
        <v>306.49299999999999</v>
      </c>
      <c r="BS92" s="349">
        <v>216.74299999999999</v>
      </c>
      <c r="BT92" s="349">
        <v>320.57900000000001</v>
      </c>
      <c r="BU92" s="349"/>
      <c r="BV92" s="349">
        <v>110.042</v>
      </c>
      <c r="BW92" s="172">
        <v>214023</v>
      </c>
      <c r="BX92" s="172">
        <v>289164</v>
      </c>
      <c r="BY92" s="349">
        <v>152.58600000000001</v>
      </c>
      <c r="BZ92" s="349">
        <v>120.045</v>
      </c>
      <c r="CA92" s="349">
        <v>312.04899999999998</v>
      </c>
      <c r="CB92" s="349">
        <v>137.16399999999999</v>
      </c>
      <c r="CC92" s="349">
        <v>0.122</v>
      </c>
      <c r="CD92" s="172">
        <v>0</v>
      </c>
      <c r="CE92" s="349">
        <v>241.34899999999999</v>
      </c>
      <c r="CF92" s="226" t="str">
        <f>IF((RD[[#This Row],[33 kV_Wind_F1_Export reading]]-BO91)*165000&lt;=0,"",(RD[[#This Row],[33 kV_Wind_F1_Export reading]]-BO91)*165000)</f>
        <v/>
      </c>
      <c r="CG92" s="227">
        <f>IF((RD[[#This Row],[33 kV_Wind_F2_Export_reading]]-BP91)*165000&lt;=0,"",(RD[[#This Row],[33 kV_Wind_F2_Export_reading]]-BP91)*165000)</f>
        <v>545490.00000000664</v>
      </c>
      <c r="CH92" s="64">
        <f>IF((RD[[#This Row],[33 kV_Wind_F3_Export_Reading]]-BQ91)*225000&lt;=0,"",(RD[[#This Row],[33 kV_Wind_F3_Export_Reading]]-BQ91)*225000)</f>
        <v>153225.00000000262</v>
      </c>
      <c r="CI92" s="64">
        <f>IF((RD[[#This Row],[33 kV_Wind_F4_Export Reading]]-BR91)*165000&lt;=0,"",(RD[[#This Row],[33 kV_Wind_F4_Export Reading]]-BR91)*165000)</f>
        <v>507210.00000000204</v>
      </c>
      <c r="CJ92" s="209">
        <f>IF((RD[[#This Row],[33 kV_Solar_F1_Export Reading]]-BS91)*225000&lt;=0,"",(RD[[#This Row],[33 kV_Solar_F1_Export Reading]]-BS91)*225000)</f>
        <v>120149.99999999815</v>
      </c>
      <c r="CK92" s="74">
        <f>IF((RD[[#This Row],[33kV_Solar_F2_Export Reading]]-BT91)*225000&lt;=0,"",(RD[[#This Row],[33kV_Solar_F2_Export Reading]]-BT91)*225000)</f>
        <v>110474.99999999673</v>
      </c>
      <c r="CL92" s="209" t="str">
        <f>IF((RD[[#This Row],[33 kV_Solar_F3_Export reading]]-BU91)*225000&lt;=0,"",(RD[[#This Row],[33 kV_Solar_F3_Export reading]]-BU91)*225000)</f>
        <v/>
      </c>
      <c r="CM92" s="63">
        <f>IF((RD[[#This Row],[32kV_Solar_F4_Export reading]]-BV91)*225000&lt;=0,"",(RD[[#This Row],[32kV_Solar_F4_Export reading]]-BV91)*225000)</f>
        <v>124650.00000000047</v>
      </c>
      <c r="CN92" s="227">
        <f>IF((RD[[#This Row],[33kV_OG1_Export reading]]-BW91)*1000&lt;=0,0,(RD[[#This Row],[33kV_OG1_Export reading]]-BW91)*1000)</f>
        <v>356000</v>
      </c>
      <c r="CO92" s="227">
        <f>IFERROR(IF((RD[[#This Row],[33kV_OG2_Export reading]]-BX91)*1000&lt;=0,0,(RD[[#This Row],[33kV_OG2_Export reading]]-BX91)*1000),0)</f>
        <v>1207000</v>
      </c>
      <c r="CP92" s="74">
        <f>IF((RD[[#This Row],[220kV_TX1_Export reading]]-BY91)*800000&lt;=0,0,(RD[[#This Row],[220kV_TX1_Export reading]]-BY91)*800000)</f>
        <v>352000.0000000209</v>
      </c>
      <c r="CQ92" s="209">
        <f>IF((RD[[#This Row],[220kV_Tx2_Export reading]]-BZ91)*800000&lt;=0,0,(RD[[#This Row],[220kV_Tx2_Export reading]]-BZ91)*800000)</f>
        <v>1196799.999999996</v>
      </c>
      <c r="CR92" s="227">
        <f>IF((RD[[#This Row],[220kV_TL_TVM Export Reading]]-CA91)*1600000&lt;=0,0,(RD[[#This Row],[220kV_TL_TVM Export Reading]]-CA91)*1600000)</f>
        <v>1550399.9999999905</v>
      </c>
      <c r="CS92" s="227">
        <f>IF((RD[[#This Row],[220kV_C&amp;R_PQM reading]]-CB91)*1600000&lt;=0,"",(RD[[#This Row],[220kV_C&amp;R_PQM reading]]-CB91)*1600000)</f>
        <v>1555199.9999999679</v>
      </c>
      <c r="CT92" s="209">
        <f>IFERROR(IF((RD[[#This Row],[220KV_C&amp;R_PQM Import Reading]]-CC91)*1600000&lt;=0,0,(RD[[#This Row],[220KV_C&amp;R_PQM Import Reading]]-CC91)*1600000),"")</f>
        <v>0</v>
      </c>
      <c r="CU92" s="64" t="str">
        <f>IF((RD[[#This Row],[33kV_Aux1 Import Reading]]-CD91)*1000&lt;=0,"",(RD[[#This Row],[33kV_Aux1 Import Reading]]-CD91)*1000)</f>
        <v/>
      </c>
      <c r="CV92" s="227">
        <f>IF((RD[[#This Row],[33kV_Aux2_Import reading]]-CE91)*1000&lt;=0,"",(RD[[#This Row],[33kV_Aux2_Import reading]]-CE91)*1000)</f>
        <v>359.99999999998522</v>
      </c>
      <c r="CW92" s="227">
        <f>IFERROR(RD[[#This Row],[33kV_OG1_Energy (MWh)]]+RD[[#This Row],[33kV_OG2_Energy (MWh)]],"")</f>
        <v>1563000</v>
      </c>
      <c r="CX92" s="227">
        <f>IFERROR(RD[[#This Row],[220kV_TL_TVM Energy (MWh)]]-RD[[#This Row],[220KV_C&amp;R_PQM Import (MWh)]],"")</f>
        <v>1550399.9999999905</v>
      </c>
      <c r="CY92" s="228">
        <f>IFERROR(RD[[#This Row],[33 kV Total Export (MWH)]]/RD[[#This Row],[220 KV Net Export (MWh)]]-1,"")</f>
        <v>8.1269349845263239E-3</v>
      </c>
      <c r="CZ92" s="229">
        <f t="shared" si="102"/>
        <v>50.6</v>
      </c>
      <c r="DA92" s="230">
        <v>94</v>
      </c>
      <c r="DB92" s="231"/>
      <c r="DC92" s="232">
        <f>IFERROR((RD[[#This Row],[Sunset Time (POA&lt;20 W/m2)]]-RD[[#This Row],[Sunrise Time (POA&gt;20 W/m2)]])*24,0)</f>
        <v>12.216666666666669</v>
      </c>
      <c r="DD92" s="70">
        <f>SUM(RD[[#This Row],[33 kV_Wind_F3_Export_Reading3]],CJ92,CK92,CL92,CM92)</f>
        <v>508499.99999999796</v>
      </c>
      <c r="DE92" s="233"/>
      <c r="DF92" s="70">
        <f t="shared" si="82"/>
        <v>1052700.0000000086</v>
      </c>
      <c r="DG92" s="230">
        <v>1107.55</v>
      </c>
      <c r="DH92">
        <f>'WTG Reactive Power'!AB90</f>
        <v>76894</v>
      </c>
    </row>
    <row r="93" spans="1:112">
      <c r="A93" s="210">
        <f>YEAR(RD[[#This Row],[Date]])+IF(MONTH(RD[[#This Row],[Date]])&gt;=4,1,0)</f>
        <v>2026</v>
      </c>
      <c r="B93" s="210">
        <f>YEAR(RD[[#This Row],[Date]])</f>
        <v>2025</v>
      </c>
      <c r="C93" s="211">
        <f t="shared" si="94"/>
        <v>45809</v>
      </c>
      <c r="D93" s="210">
        <f>DAY(EOMONTH(RD[[#This Row],[Date]],0))</f>
        <v>30</v>
      </c>
      <c r="E93" s="212">
        <f t="shared" si="95"/>
        <v>45833</v>
      </c>
      <c r="F93" s="206">
        <v>0.27083333333333331</v>
      </c>
      <c r="G93" s="206">
        <v>0.77430555555555558</v>
      </c>
      <c r="H93" s="213">
        <v>47343</v>
      </c>
      <c r="I93" s="213">
        <v>47963</v>
      </c>
      <c r="J93" s="213">
        <v>42126</v>
      </c>
      <c r="K93" s="213">
        <v>41604</v>
      </c>
      <c r="L93" s="213">
        <v>46213</v>
      </c>
      <c r="M93" s="213">
        <v>42605</v>
      </c>
      <c r="N93" s="213">
        <v>34994</v>
      </c>
      <c r="O93" s="213">
        <v>46697</v>
      </c>
      <c r="P93" s="213">
        <v>43430</v>
      </c>
      <c r="Q93" s="213">
        <v>45045</v>
      </c>
      <c r="R93" s="213">
        <v>43873</v>
      </c>
      <c r="S93" s="213">
        <v>43085</v>
      </c>
      <c r="T93" s="213">
        <v>45750</v>
      </c>
      <c r="U93" s="213">
        <v>44585</v>
      </c>
      <c r="V93" s="213">
        <v>49611</v>
      </c>
      <c r="W93" s="213">
        <v>48844</v>
      </c>
      <c r="X93" s="213">
        <v>49050</v>
      </c>
      <c r="Y93" s="213">
        <v>45475</v>
      </c>
      <c r="Z93" s="213">
        <v>46507</v>
      </c>
      <c r="AA93" s="213">
        <v>44242</v>
      </c>
      <c r="AB93" s="213">
        <v>44991</v>
      </c>
      <c r="AC93" s="213">
        <v>45287</v>
      </c>
      <c r="AD93" s="213">
        <v>47519</v>
      </c>
      <c r="AE93" s="350">
        <v>9.8968344827586243</v>
      </c>
      <c r="AF93" s="350">
        <v>10.258678321678325</v>
      </c>
      <c r="AG93" s="350">
        <v>9.3458137931034457</v>
      </c>
      <c r="AH93" s="350">
        <v>9.0230275862068954</v>
      </c>
      <c r="AI93" s="350">
        <v>9.8061655172413786</v>
      </c>
      <c r="AJ93" s="350">
        <v>9.0986482758620664</v>
      </c>
      <c r="AK93" s="350">
        <v>9.6031333333333269</v>
      </c>
      <c r="AL93" s="350">
        <v>9.8658000000000037</v>
      </c>
      <c r="AM93" s="350">
        <v>9.3714689655172378</v>
      </c>
      <c r="AN93" s="350">
        <v>9.3938344827586242</v>
      </c>
      <c r="AO93" s="350">
        <v>9.69784137931034</v>
      </c>
      <c r="AP93" s="350">
        <v>9.2569724137931022</v>
      </c>
      <c r="AQ93" s="350">
        <v>9.8735241379310335</v>
      </c>
      <c r="AR93" s="350">
        <v>9.4947655172413814</v>
      </c>
      <c r="AS93" s="350">
        <v>10.756462068965517</v>
      </c>
      <c r="AT93" s="350">
        <v>10.343296551724141</v>
      </c>
      <c r="AU93" s="350">
        <v>10.378186206896551</v>
      </c>
      <c r="AV93" s="350">
        <v>9.7341862068965543</v>
      </c>
      <c r="AW93" s="350">
        <v>9.759586206896552</v>
      </c>
      <c r="AX93" s="350">
        <v>9.334144827586206</v>
      </c>
      <c r="AY93" s="350">
        <v>9.976555555555553</v>
      </c>
      <c r="AZ93" s="350">
        <v>9.6847517241379304</v>
      </c>
      <c r="BA93" s="350">
        <v>9.8839586206896541</v>
      </c>
      <c r="BB93" s="214">
        <f t="shared" si="96"/>
        <v>452167</v>
      </c>
      <c r="BC93" s="216">
        <f t="shared" si="97"/>
        <v>97894</v>
      </c>
      <c r="BD93" s="180">
        <f t="shared" si="92"/>
        <v>359612</v>
      </c>
      <c r="BE93" s="216">
        <f t="shared" si="98"/>
        <v>45475</v>
      </c>
      <c r="BF93" s="179">
        <f t="shared" si="93"/>
        <v>81691</v>
      </c>
      <c r="BG93" s="216">
        <f>SUM(RD[[#This Row],[KUD01]:[KUD23]])</f>
        <v>1036839</v>
      </c>
      <c r="BH93" s="217">
        <f t="shared" si="99"/>
        <v>9.6809779310344819</v>
      </c>
      <c r="BI93" s="219">
        <f t="shared" si="100"/>
        <v>10.360741379310346</v>
      </c>
      <c r="BJ93" s="219">
        <f t="shared" si="101"/>
        <v>9.6572187900222364</v>
      </c>
      <c r="BK93" s="221">
        <f t="shared" si="81"/>
        <v>9.7341862068965543</v>
      </c>
      <c r="BL93" s="61">
        <f>IFERROR(AVERAGEIF(RD[[#This Row],[WS_KUD07]:[WS_KUD08]],"&lt;&gt;0",RD[[#This Row],[WS_KUD07]:[WS_KUD08]]),"")</f>
        <v>9.7344666666666662</v>
      </c>
      <c r="BM93" s="223">
        <f>IFERROR(AVERAGE(RD[[#This Row],[WS_KUD01]:[WS_KUD23]]),"")</f>
        <v>9.7320711380906282</v>
      </c>
      <c r="BN93" s="224">
        <f>IFERROR(MAX(RD[[#This Row],[WS_KUD01]:[WS_KUD23]]),"")</f>
        <v>10.756462068965517</v>
      </c>
      <c r="BO93" s="172">
        <v>640.30499999999995</v>
      </c>
      <c r="BP93" s="349">
        <v>983.41499999999996</v>
      </c>
      <c r="BQ93" s="349">
        <v>105.676</v>
      </c>
      <c r="BR93" s="349">
        <v>309.42099999999999</v>
      </c>
      <c r="BS93" s="349">
        <v>217.184</v>
      </c>
      <c r="BT93" s="349">
        <v>320.99299999999999</v>
      </c>
      <c r="BU93" s="349"/>
      <c r="BV93" s="349">
        <v>110.44499999999999</v>
      </c>
      <c r="BW93" s="172">
        <v>214306</v>
      </c>
      <c r="BX93" s="172">
        <v>290274</v>
      </c>
      <c r="BY93" s="349">
        <v>152.93600000000001</v>
      </c>
      <c r="BZ93" s="349">
        <v>121.41500000000001</v>
      </c>
      <c r="CA93" s="349">
        <v>312.91399999999999</v>
      </c>
      <c r="CB93" s="349">
        <v>138.029</v>
      </c>
      <c r="CC93" s="349">
        <v>0.122</v>
      </c>
      <c r="CD93" s="172">
        <v>0</v>
      </c>
      <c r="CE93" s="349">
        <v>241.709</v>
      </c>
      <c r="CF93" s="226" t="str">
        <f>IF((RD[[#This Row],[33 kV_Wind_F1_Export reading]]-BO92)*165000&lt;=0,"",(RD[[#This Row],[33 kV_Wind_F1_Export reading]]-BO92)*165000)</f>
        <v/>
      </c>
      <c r="CG93" s="227">
        <f>IF((RD[[#This Row],[33 kV_Wind_F2_Export_reading]]-BP92)*165000&lt;=0,"",(RD[[#This Row],[33 kV_Wind_F2_Export_reading]]-BP92)*165000)</f>
        <v>514304.99999999371</v>
      </c>
      <c r="CH93" s="64">
        <f>IF((RD[[#This Row],[33 kV_Wind_F3_Export_Reading]]-BQ92)*225000&lt;=0,"",(RD[[#This Row],[33 kV_Wind_F3_Export_Reading]]-BQ92)*225000)</f>
        <v>112274.99999999892</v>
      </c>
      <c r="CI93" s="64">
        <f>IF((RD[[#This Row],[33 kV_Wind_F4_Export Reading]]-BR92)*165000&lt;=0,"",(RD[[#This Row],[33 kV_Wind_F4_Export Reading]]-BR92)*165000)</f>
        <v>483119.99999999953</v>
      </c>
      <c r="CJ93" s="209">
        <f>IF((RD[[#This Row],[33 kV_Solar_F1_Export Reading]]-BS92)*225000&lt;=0,"",(RD[[#This Row],[33 kV_Solar_F1_Export Reading]]-BS92)*225000)</f>
        <v>99225.000000000568</v>
      </c>
      <c r="CK93" s="74">
        <f>IF((RD[[#This Row],[33kV_Solar_F2_Export Reading]]-BT92)*225000&lt;=0,"",(RD[[#This Row],[33kV_Solar_F2_Export Reading]]-BT92)*225000)</f>
        <v>93149.999999997133</v>
      </c>
      <c r="CL93" s="209" t="str">
        <f>IF((RD[[#This Row],[33 kV_Solar_F3_Export reading]]-BU92)*225000&lt;=0,"",(RD[[#This Row],[33 kV_Solar_F3_Export reading]]-BU92)*225000)</f>
        <v/>
      </c>
      <c r="CM93" s="63">
        <f>IF((RD[[#This Row],[32kV_Solar_F4_Export reading]]-BV92)*225000&lt;=0,"",(RD[[#This Row],[32kV_Solar_F4_Export reading]]-BV92)*225000)</f>
        <v>90674.999999998108</v>
      </c>
      <c r="CN93" s="227">
        <f>IF((RD[[#This Row],[33kV_OG1_Export reading]]-BW92)*1000&lt;=0,0,(RD[[#This Row],[33kV_OG1_Export reading]]-BW92)*1000)</f>
        <v>283000</v>
      </c>
      <c r="CO93" s="227">
        <f>IFERROR(IF((RD[[#This Row],[33kV_OG2_Export reading]]-BX92)*1000&lt;=0,0,(RD[[#This Row],[33kV_OG2_Export reading]]-BX92)*1000),0)</f>
        <v>1110000</v>
      </c>
      <c r="CP93" s="74">
        <f>IF((RD[[#This Row],[220kV_TX1_Export reading]]-BY92)*800000&lt;=0,0,(RD[[#This Row],[220kV_TX1_Export reading]]-BY92)*800000)</f>
        <v>279999.99999999546</v>
      </c>
      <c r="CQ93" s="209">
        <f>IF((RD[[#This Row],[220kV_Tx2_Export reading]]-BZ92)*800000&lt;=0,0,(RD[[#This Row],[220kV_Tx2_Export reading]]-BZ92)*800000)</f>
        <v>1096000.0000000037</v>
      </c>
      <c r="CR93" s="227">
        <f>IF((RD[[#This Row],[220kV_TL_TVM Export Reading]]-CA92)*1600000&lt;=0,0,(RD[[#This Row],[220kV_TL_TVM Export Reading]]-CA92)*1600000)</f>
        <v>1384000.0000000144</v>
      </c>
      <c r="CS93" s="227">
        <f>IF((RD[[#This Row],[220kV_C&amp;R_PQM reading]]-CB92)*1600000&lt;=0,"",(RD[[#This Row],[220kV_C&amp;R_PQM reading]]-CB92)*1600000)</f>
        <v>1384000.0000000144</v>
      </c>
      <c r="CT93" s="209">
        <f>IFERROR(IF((RD[[#This Row],[220KV_C&amp;R_PQM Import Reading]]-CC92)*1600000&lt;=0,0,(RD[[#This Row],[220KV_C&amp;R_PQM Import Reading]]-CC92)*1600000),"")</f>
        <v>0</v>
      </c>
      <c r="CU93" s="64" t="str">
        <f>IF((RD[[#This Row],[33kV_Aux1 Import Reading]]-CD92)*1000&lt;=0,"",(RD[[#This Row],[33kV_Aux1 Import Reading]]-CD92)*1000)</f>
        <v/>
      </c>
      <c r="CV93" s="227">
        <f>IF((RD[[#This Row],[33kV_Aux2_Import reading]]-CE92)*1000&lt;=0,"",(RD[[#This Row],[33kV_Aux2_Import reading]]-CE92)*1000)</f>
        <v>360.00000000001364</v>
      </c>
      <c r="CW93" s="227">
        <f>IFERROR(RD[[#This Row],[33kV_OG1_Energy (MWh)]]+RD[[#This Row],[33kV_OG2_Energy (MWh)]],"")</f>
        <v>1393000</v>
      </c>
      <c r="CX93" s="227">
        <f>IFERROR(RD[[#This Row],[220kV_TL_TVM Energy (MWh)]]-RD[[#This Row],[220KV_C&amp;R_PQM Import (MWh)]],"")</f>
        <v>1384000.0000000144</v>
      </c>
      <c r="CY93" s="228">
        <f>IFERROR(RD[[#This Row],[33 kV Total Export (MWH)]]/RD[[#This Row],[220 KV Net Export (MWh)]]-1,"")</f>
        <v>6.502890173399889E-3</v>
      </c>
      <c r="CZ93" s="229">
        <f t="shared" si="102"/>
        <v>50.6</v>
      </c>
      <c r="DA93" s="230">
        <v>96</v>
      </c>
      <c r="DB93" s="231"/>
      <c r="DC93" s="232">
        <f>IFERROR((RD[[#This Row],[Sunset Time (POA&lt;20 W/m2)]]-RD[[#This Row],[Sunrise Time (POA&gt;20 W/m2)]])*24,0)</f>
        <v>12.083333333333336</v>
      </c>
      <c r="DD93" s="70">
        <f>SUM(RD[[#This Row],[33 kV_Wind_F3_Export_Reading3]],CJ93,CK93,CL93,CM93)</f>
        <v>395324.99999999476</v>
      </c>
      <c r="DE93" s="233"/>
      <c r="DF93" s="70">
        <f t="shared" si="82"/>
        <v>997424.99999999325</v>
      </c>
      <c r="DG93" s="230">
        <v>1042.72</v>
      </c>
      <c r="DH93">
        <f>'WTG Reactive Power'!AB91</f>
        <v>70206.2</v>
      </c>
    </row>
    <row r="94" spans="1:112">
      <c r="A94" s="210">
        <f>YEAR(RD[[#This Row],[Date]])+IF(MONTH(RD[[#This Row],[Date]])&gt;=4,1,0)</f>
        <v>2026</v>
      </c>
      <c r="B94" s="210">
        <f>YEAR(RD[[#This Row],[Date]])</f>
        <v>2025</v>
      </c>
      <c r="C94" s="211">
        <f t="shared" si="94"/>
        <v>45809</v>
      </c>
      <c r="D94" s="210">
        <f>DAY(EOMONTH(RD[[#This Row],[Date]],0))</f>
        <v>30</v>
      </c>
      <c r="E94" s="212">
        <f t="shared" si="95"/>
        <v>45834</v>
      </c>
      <c r="F94" s="206">
        <v>0.27916666666666667</v>
      </c>
      <c r="G94" s="206">
        <v>0.76249999999999996</v>
      </c>
      <c r="H94" s="213">
        <v>46509</v>
      </c>
      <c r="I94" s="213">
        <v>46875</v>
      </c>
      <c r="J94" s="213">
        <v>42275</v>
      </c>
      <c r="K94" s="213">
        <v>40672</v>
      </c>
      <c r="L94" s="213">
        <v>46671</v>
      </c>
      <c r="M94" s="213">
        <v>44372</v>
      </c>
      <c r="N94" s="213">
        <v>43945</v>
      </c>
      <c r="O94" s="213">
        <v>44010</v>
      </c>
      <c r="P94" s="213">
        <v>43578</v>
      </c>
      <c r="Q94" s="213">
        <v>44154</v>
      </c>
      <c r="R94" s="213">
        <v>44262</v>
      </c>
      <c r="S94" s="213">
        <v>43898</v>
      </c>
      <c r="T94" s="213">
        <v>45974</v>
      </c>
      <c r="U94" s="213">
        <v>44376</v>
      </c>
      <c r="V94" s="213">
        <v>47882</v>
      </c>
      <c r="W94" s="213">
        <v>46933</v>
      </c>
      <c r="X94" s="213">
        <v>47836</v>
      </c>
      <c r="Y94" s="213">
        <v>45413</v>
      </c>
      <c r="Z94" s="213">
        <v>45770</v>
      </c>
      <c r="AA94" s="213">
        <v>43610</v>
      </c>
      <c r="AB94" s="213">
        <v>45202</v>
      </c>
      <c r="AC94" s="213">
        <v>44240</v>
      </c>
      <c r="AD94" s="213">
        <v>47430</v>
      </c>
      <c r="AE94" s="350">
        <v>9.7350896551724198</v>
      </c>
      <c r="AF94" s="350">
        <v>9.7019655172413781</v>
      </c>
      <c r="AG94" s="350">
        <v>9.3222896551724119</v>
      </c>
      <c r="AH94" s="350">
        <v>8.6121103448275935</v>
      </c>
      <c r="AI94" s="350">
        <v>9.7856758620689757</v>
      </c>
      <c r="AJ94" s="350">
        <v>9.1926344827586224</v>
      </c>
      <c r="AK94" s="350">
        <v>9.2832896551724176</v>
      </c>
      <c r="AL94" s="350">
        <v>9.3362620689655138</v>
      </c>
      <c r="AM94" s="350">
        <v>9.137524137931031</v>
      </c>
      <c r="AN94" s="350">
        <v>9.1852620689655193</v>
      </c>
      <c r="AO94" s="350">
        <v>9.7250206896551727</v>
      </c>
      <c r="AP94" s="350">
        <v>9.3607655172413793</v>
      </c>
      <c r="AQ94" s="350">
        <v>9.8756758620689631</v>
      </c>
      <c r="AR94" s="350">
        <v>9.4938068965517228</v>
      </c>
      <c r="AS94" s="350">
        <v>10.437448275862067</v>
      </c>
      <c r="AT94" s="350">
        <v>9.59234482758621</v>
      </c>
      <c r="AU94" s="350">
        <v>9.9259034482758626</v>
      </c>
      <c r="AV94" s="350">
        <v>9.657772413793106</v>
      </c>
      <c r="AW94" s="350">
        <v>9.7012657342657338</v>
      </c>
      <c r="AX94" s="350">
        <v>9.1123862068965469</v>
      </c>
      <c r="AY94" s="350">
        <v>9.8460000000000054</v>
      </c>
      <c r="AZ94" s="350">
        <v>9.3676827586206937</v>
      </c>
      <c r="BA94" s="350">
        <v>9.7433999999999976</v>
      </c>
      <c r="BB94" s="214">
        <f t="shared" si="96"/>
        <v>448710</v>
      </c>
      <c r="BC94" s="216">
        <f t="shared" si="97"/>
        <v>94769</v>
      </c>
      <c r="BD94" s="180">
        <f t="shared" si="92"/>
        <v>359040</v>
      </c>
      <c r="BE94" s="216">
        <f t="shared" si="98"/>
        <v>45413</v>
      </c>
      <c r="BF94" s="179">
        <f t="shared" si="93"/>
        <v>87955</v>
      </c>
      <c r="BG94" s="216">
        <f>SUM(RD[[#This Row],[KUD01]:[KUD23]])</f>
        <v>1035887</v>
      </c>
      <c r="BH94" s="217">
        <f t="shared" si="99"/>
        <v>9.5949010561851917</v>
      </c>
      <c r="BI94" s="219">
        <f t="shared" si="100"/>
        <v>9.7591241379310354</v>
      </c>
      <c r="BJ94" s="219">
        <f t="shared" si="101"/>
        <v>9.4006544827586218</v>
      </c>
      <c r="BK94" s="221">
        <f t="shared" si="81"/>
        <v>9.657772413793106</v>
      </c>
      <c r="BL94" s="61">
        <f>IFERROR(AVERAGEIF(RD[[#This Row],[WS_KUD07]:[WS_KUD08]],"&lt;&gt;0",RD[[#This Row],[WS_KUD07]:[WS_KUD08]]),"")</f>
        <v>9.3097758620689657</v>
      </c>
      <c r="BM94" s="223">
        <f>IFERROR(AVERAGE(RD[[#This Row],[WS_KUD01]:[WS_KUD23]]),"")</f>
        <v>9.5274598295257995</v>
      </c>
      <c r="BN94" s="224">
        <f>IFERROR(MAX(RD[[#This Row],[WS_KUD01]:[WS_KUD23]]),"")</f>
        <v>10.437448275862067</v>
      </c>
      <c r="BO94" s="172">
        <v>640.30499999999995</v>
      </c>
      <c r="BP94" s="349">
        <v>986.56100000000004</v>
      </c>
      <c r="BQ94" s="349">
        <v>106.203</v>
      </c>
      <c r="BR94" s="349">
        <v>312.30799999999999</v>
      </c>
      <c r="BS94" s="349">
        <v>217.602</v>
      </c>
      <c r="BT94" s="349">
        <v>321.26400000000001</v>
      </c>
      <c r="BU94" s="349"/>
      <c r="BV94" s="349">
        <v>110.879</v>
      </c>
      <c r="BW94" s="172">
        <v>214559</v>
      </c>
      <c r="BX94" s="172">
        <v>291388</v>
      </c>
      <c r="BY94" s="349">
        <v>153.24799999999999</v>
      </c>
      <c r="BZ94" s="349">
        <v>122.79900000000001</v>
      </c>
      <c r="CA94" s="349">
        <v>313.76299999999998</v>
      </c>
      <c r="CB94" s="349">
        <v>138.881</v>
      </c>
      <c r="CC94" s="349">
        <v>0.122</v>
      </c>
      <c r="CD94" s="172">
        <v>0</v>
      </c>
      <c r="CE94" s="349">
        <v>242.06899999999999</v>
      </c>
      <c r="CF94" s="360" t="str">
        <f>IF((RD[[#This Row],[33 kV_Wind_F1_Export reading]]-BO93)*165000&lt;=0,"",(RD[[#This Row],[33 kV_Wind_F1_Export reading]]-BO93)*165000)</f>
        <v/>
      </c>
      <c r="CG94" s="227">
        <f>IF((RD[[#This Row],[33 kV_Wind_F2_Export_reading]]-BP93)*165000&lt;=0,"",(RD[[#This Row],[33 kV_Wind_F2_Export_reading]]-BP93)*165000)</f>
        <v>519090.00000001187</v>
      </c>
      <c r="CH94" s="64">
        <f>IF((RD[[#This Row],[33 kV_Wind_F3_Export_Reading]]-BQ93)*225000&lt;=0,"",(RD[[#This Row],[33 kV_Wind_F3_Export_Reading]]-BQ93)*225000)</f>
        <v>118575.00000000023</v>
      </c>
      <c r="CI94" s="64">
        <f>IF((RD[[#This Row],[33 kV_Wind_F4_Export Reading]]-BR93)*165000&lt;=0,"",(RD[[#This Row],[33 kV_Wind_F4_Export Reading]]-BR93)*165000)</f>
        <v>476355.00000000006</v>
      </c>
      <c r="CJ94" s="209">
        <f>IF((RD[[#This Row],[33 kV_Solar_F1_Export Reading]]-BS93)*225000&lt;=0,"",(RD[[#This Row],[33 kV_Solar_F1_Export Reading]]-BS93)*225000)</f>
        <v>94050.000000001426</v>
      </c>
      <c r="CK94" s="74">
        <f>IF((RD[[#This Row],[33kV_Solar_F2_Export Reading]]-BT93)*225000&lt;=0,"",(RD[[#This Row],[33kV_Solar_F2_Export Reading]]-BT93)*225000)</f>
        <v>60975.000000003376</v>
      </c>
      <c r="CL94" s="209" t="str">
        <f>IF((RD[[#This Row],[33 kV_Solar_F3_Export reading]]-BU93)*225000&lt;=0,"",(RD[[#This Row],[33 kV_Solar_F3_Export reading]]-BU93)*225000)</f>
        <v/>
      </c>
      <c r="CM94" s="63">
        <f>IF((RD[[#This Row],[32kV_Solar_F4_Export reading]]-BV93)*225000&lt;=0,"",(RD[[#This Row],[32kV_Solar_F4_Export reading]]-BV93)*225000)</f>
        <v>97650.000000002634</v>
      </c>
      <c r="CN94" s="227">
        <f>IF((RD[[#This Row],[33kV_OG1_Export reading]]-BW93)*1000&lt;=0,0,(RD[[#This Row],[33kV_OG1_Export reading]]-BW93)*1000)</f>
        <v>253000</v>
      </c>
      <c r="CO94" s="227">
        <f>IFERROR(IF((RD[[#This Row],[33kV_OG2_Export reading]]-BX93)*1000&lt;=0,0,(RD[[#This Row],[33kV_OG2_Export reading]]-BX93)*1000),0)</f>
        <v>1114000</v>
      </c>
      <c r="CP94" s="74">
        <f>IF((RD[[#This Row],[220kV_TX1_Export reading]]-BY93)*800000&lt;=0,0,(RD[[#This Row],[220kV_TX1_Export reading]]-BY93)*800000)</f>
        <v>249599.99999998673</v>
      </c>
      <c r="CQ94" s="209">
        <f>IF((RD[[#This Row],[220kV_Tx2_Export reading]]-BZ93)*800000&lt;=0,0,(RD[[#This Row],[220kV_Tx2_Export reading]]-BZ93)*800000)</f>
        <v>1107200.0000000002</v>
      </c>
      <c r="CR94" s="227">
        <f>IF((RD[[#This Row],[220kV_TL_TVM Export Reading]]-CA93)*1600000&lt;=0,0,(RD[[#This Row],[220kV_TL_TVM Export Reading]]-CA93)*1600000)</f>
        <v>1358399.9999999832</v>
      </c>
      <c r="CS94" s="227">
        <f>IF((RD[[#This Row],[220kV_C&amp;R_PQM reading]]-CB93)*1600000&lt;=0,"",(RD[[#This Row],[220kV_C&amp;R_PQM reading]]-CB93)*1600000)</f>
        <v>1363200.0000000063</v>
      </c>
      <c r="CT94" s="209">
        <f>IFERROR(IF((RD[[#This Row],[220KV_C&amp;R_PQM Import Reading]]-CC93)*1600000&lt;=0,0,(RD[[#This Row],[220KV_C&amp;R_PQM Import Reading]]-CC93)*1600000),"")</f>
        <v>0</v>
      </c>
      <c r="CU94" s="64" t="str">
        <f>IF((RD[[#This Row],[33kV_Aux1 Import Reading]]-CD93)*1000&lt;=0,"",(RD[[#This Row],[33kV_Aux1 Import Reading]]-CD93)*1000)</f>
        <v/>
      </c>
      <c r="CV94" s="227">
        <f>IF((RD[[#This Row],[33kV_Aux2_Import reading]]-CE93)*1000&lt;=0,"",(RD[[#This Row],[33kV_Aux2_Import reading]]-CE93)*1000)</f>
        <v>359.99999999998522</v>
      </c>
      <c r="CW94" s="227">
        <f>IFERROR(RD[[#This Row],[33kV_OG1_Energy (MWh)]]+RD[[#This Row],[33kV_OG2_Energy (MWh)]],"")</f>
        <v>1367000</v>
      </c>
      <c r="CX94" s="227">
        <f>IFERROR(RD[[#This Row],[220kV_TL_TVM Energy (MWh)]]-RD[[#This Row],[220KV_C&amp;R_PQM Import (MWh)]],"")</f>
        <v>1358399.9999999832</v>
      </c>
      <c r="CY94" s="228">
        <f>IFERROR(RD[[#This Row],[33 kV Total Export (MWH)]]/RD[[#This Row],[220 KV Net Export (MWh)]]-1,"")</f>
        <v>6.3309776207427504E-3</v>
      </c>
      <c r="CZ94" s="229">
        <f t="shared" si="102"/>
        <v>50.6</v>
      </c>
      <c r="DA94" s="230">
        <v>96</v>
      </c>
      <c r="DB94" s="231"/>
      <c r="DC94" s="232">
        <f>IFERROR((RD[[#This Row],[Sunset Time (POA&lt;20 W/m2)]]-RD[[#This Row],[Sunrise Time (POA&gt;20 W/m2)]])*24,0)</f>
        <v>11.599999999999998</v>
      </c>
      <c r="DD94" s="70">
        <f>SUM(RD[[#This Row],[33 kV_Wind_F3_Export_Reading3]],CJ94,CK94,CL94,CM94)</f>
        <v>371250.00000000763</v>
      </c>
      <c r="DE94" s="233"/>
      <c r="DF94" s="70">
        <f t="shared" si="82"/>
        <v>995445.00000001187</v>
      </c>
      <c r="DG94" s="230">
        <v>1040.28</v>
      </c>
      <c r="DH94">
        <v>102602.90000000001</v>
      </c>
    </row>
    <row r="95" spans="1:112">
      <c r="A95" s="210">
        <f>YEAR(RD[[#This Row],[Date]])+IF(MONTH(RD[[#This Row],[Date]])&gt;=4,1,0)</f>
        <v>2026</v>
      </c>
      <c r="B95" s="210">
        <f>YEAR(RD[[#This Row],[Date]])</f>
        <v>2025</v>
      </c>
      <c r="C95" s="211">
        <f t="shared" si="94"/>
        <v>45809</v>
      </c>
      <c r="D95" s="210">
        <f>DAY(EOMONTH(RD[[#This Row],[Date]],0))</f>
        <v>30</v>
      </c>
      <c r="E95" s="212">
        <f t="shared" si="95"/>
        <v>45835</v>
      </c>
      <c r="F95" s="206">
        <v>0.26805555555555555</v>
      </c>
      <c r="G95" s="206">
        <v>0.78055555555555556</v>
      </c>
      <c r="H95" s="213">
        <v>37596.699999999997</v>
      </c>
      <c r="I95" s="213">
        <v>31736.3</v>
      </c>
      <c r="J95" s="213">
        <v>32681</v>
      </c>
      <c r="K95" s="213">
        <v>32094</v>
      </c>
      <c r="L95" s="213">
        <v>33058.400000000001</v>
      </c>
      <c r="M95" s="213">
        <v>32322.799999999999</v>
      </c>
      <c r="N95" s="213">
        <v>31946.3</v>
      </c>
      <c r="O95" s="213">
        <v>33428.699999999997</v>
      </c>
      <c r="P95" s="213">
        <v>33645.800000000003</v>
      </c>
      <c r="Q95" s="213">
        <v>33262.5</v>
      </c>
      <c r="R95" s="213">
        <v>33945.9</v>
      </c>
      <c r="S95" s="213">
        <v>35003.9</v>
      </c>
      <c r="T95" s="213">
        <v>33408.800000000003</v>
      </c>
      <c r="U95" s="213">
        <v>34780.400000000001</v>
      </c>
      <c r="V95" s="213">
        <v>36535.800000000003</v>
      </c>
      <c r="W95" s="213">
        <v>33130.9</v>
      </c>
      <c r="X95" s="213">
        <v>33378.400000000001</v>
      </c>
      <c r="Y95" s="213">
        <v>31260.7</v>
      </c>
      <c r="Z95" s="213">
        <v>35543.1</v>
      </c>
      <c r="AA95" s="213">
        <v>34019.599999999999</v>
      </c>
      <c r="AB95" s="213">
        <v>31664.3</v>
      </c>
      <c r="AC95" s="213">
        <v>32629</v>
      </c>
      <c r="AD95" s="213">
        <v>32126.1</v>
      </c>
      <c r="AE95" s="350">
        <v>10</v>
      </c>
      <c r="AF95" s="350">
        <v>9</v>
      </c>
      <c r="AG95" s="350">
        <v>9.3000000000000007</v>
      </c>
      <c r="AH95" s="350">
        <v>8.8000000000000007</v>
      </c>
      <c r="AI95" s="350">
        <v>9.3000000000000007</v>
      </c>
      <c r="AJ95" s="350">
        <v>8.9</v>
      </c>
      <c r="AK95" s="350">
        <v>9.1</v>
      </c>
      <c r="AL95" s="350">
        <v>9.4</v>
      </c>
      <c r="AM95" s="350">
        <v>9.4</v>
      </c>
      <c r="AN95" s="350">
        <v>9.1</v>
      </c>
      <c r="AO95" s="350">
        <v>9.6</v>
      </c>
      <c r="AP95" s="350">
        <v>9.4</v>
      </c>
      <c r="AQ95" s="350">
        <v>9.4</v>
      </c>
      <c r="AR95" s="350">
        <v>9.5</v>
      </c>
      <c r="AS95" s="350">
        <v>10.1</v>
      </c>
      <c r="AT95" s="350">
        <v>9.1999999999999993</v>
      </c>
      <c r="AU95" s="350">
        <v>9.3000000000000007</v>
      </c>
      <c r="AV95" s="350">
        <v>9</v>
      </c>
      <c r="AW95" s="350">
        <v>9.6</v>
      </c>
      <c r="AX95" s="350">
        <v>9.3000000000000007</v>
      </c>
      <c r="AY95" s="350">
        <v>9.1999999999999993</v>
      </c>
      <c r="AZ95" s="350">
        <v>9.1999999999999993</v>
      </c>
      <c r="BA95" s="350">
        <v>8.9</v>
      </c>
      <c r="BB95" s="214">
        <f t="shared" si="96"/>
        <v>346777.69999999995</v>
      </c>
      <c r="BC95" s="216">
        <f t="shared" si="97"/>
        <v>66509.3</v>
      </c>
      <c r="BD95" s="180">
        <f t="shared" si="92"/>
        <v>259276.7</v>
      </c>
      <c r="BE95" s="216">
        <f t="shared" si="98"/>
        <v>31260.7</v>
      </c>
      <c r="BF95" s="179">
        <f t="shared" si="93"/>
        <v>65375</v>
      </c>
      <c r="BG95" s="216">
        <f>SUM(RD[[#This Row],[KUD01]:[KUD23]])</f>
        <v>769199.39999999991</v>
      </c>
      <c r="BH95" s="217">
        <f t="shared" si="99"/>
        <v>9.5299999999999976</v>
      </c>
      <c r="BI95" s="219">
        <f t="shared" si="100"/>
        <v>9.25</v>
      </c>
      <c r="BJ95" s="219">
        <f t="shared" si="101"/>
        <v>9.120000000000001</v>
      </c>
      <c r="BK95" s="221">
        <f t="shared" si="81"/>
        <v>9</v>
      </c>
      <c r="BL95" s="61">
        <f>IFERROR(AVERAGEIF(RD[[#This Row],[WS_KUD07]:[WS_KUD08]],"&lt;&gt;0",RD[[#This Row],[WS_KUD07]:[WS_KUD08]]),"")</f>
        <v>9.25</v>
      </c>
      <c r="BM95" s="223">
        <f>IFERROR(AVERAGE(RD[[#This Row],[WS_KUD01]:[WS_KUD23]]),"")</f>
        <v>9.304347826086957</v>
      </c>
      <c r="BN95" s="224">
        <f>IFERROR(MAX(RD[[#This Row],[WS_KUD01]:[WS_KUD23]]),"")</f>
        <v>10.1</v>
      </c>
      <c r="BO95" s="172">
        <v>640.423</v>
      </c>
      <c r="BP95" s="359">
        <v>988.41</v>
      </c>
      <c r="BQ95" s="359">
        <v>107.05</v>
      </c>
      <c r="BR95" s="359">
        <v>314.82</v>
      </c>
      <c r="BS95" s="359">
        <v>218.30699999999999</v>
      </c>
      <c r="BT95" s="359">
        <v>321.80700000000002</v>
      </c>
      <c r="BU95" s="344"/>
      <c r="BV95" s="359">
        <v>111.581</v>
      </c>
      <c r="BW95" s="172">
        <v>214998</v>
      </c>
      <c r="BX95" s="172">
        <v>292319</v>
      </c>
      <c r="BY95" s="359">
        <v>153.791</v>
      </c>
      <c r="BZ95" s="359">
        <v>123.947</v>
      </c>
      <c r="CA95" s="359">
        <v>314.61200000000002</v>
      </c>
      <c r="CB95" s="359">
        <v>139.73099999999999</v>
      </c>
      <c r="CC95" s="359">
        <v>0.123</v>
      </c>
      <c r="CD95" s="172">
        <v>0</v>
      </c>
      <c r="CE95" s="359">
        <v>242.429</v>
      </c>
      <c r="CF95" s="360">
        <f>IF((RD[[#This Row],[33 kV_Wind_F1_Export reading]]-BO94)*165000&lt;=0,"",(RD[[#This Row],[33 kV_Wind_F1_Export reading]]-BO94)*165000)</f>
        <v>19470.000000008553</v>
      </c>
      <c r="CG95" s="227">
        <f>IF((RD[[#This Row],[33 kV_Wind_F2_Export_reading]]-BP94)*165000&lt;=0,"",(RD[[#This Row],[33 kV_Wind_F2_Export_reading]]-BP94)*165000)</f>
        <v>305084.99999998888</v>
      </c>
      <c r="CH95" s="64">
        <f>IF((RD[[#This Row],[33 kV_Wind_F3_Export_Reading]]-BQ94)*225000&lt;=0,"",(RD[[#This Row],[33 kV_Wind_F3_Export_Reading]]-BQ94)*225000)</f>
        <v>190574.99999999869</v>
      </c>
      <c r="CI95" s="64">
        <f>IF((RD[[#This Row],[33 kV_Wind_F4_Export Reading]]-BR94)*165000&lt;=0,"",(RD[[#This Row],[33 kV_Wind_F4_Export Reading]]-BR94)*165000)</f>
        <v>414480.00000000006</v>
      </c>
      <c r="CJ95" s="209">
        <f>IF((RD[[#This Row],[33 kV_Solar_F1_Export Reading]]-BS94)*225000&lt;=0,"",(RD[[#This Row],[33 kV_Solar_F1_Export Reading]]-BS94)*225000)</f>
        <v>158624.99999999642</v>
      </c>
      <c r="CK95" s="74">
        <f>IF((RD[[#This Row],[33kV_Solar_F2_Export Reading]]-BT94)*225000&lt;=0,"",(RD[[#This Row],[33kV_Solar_F2_Export Reading]]-BT94)*225000)</f>
        <v>122175.00000000143</v>
      </c>
      <c r="CL95" s="209" t="str">
        <f>IF((RD[[#This Row],[33 kV_Solar_F3_Export reading]]-BU94)*225000&lt;=0,"",(RD[[#This Row],[33 kV_Solar_F3_Export reading]]-BU94)*225000)</f>
        <v/>
      </c>
      <c r="CM95" s="63">
        <f>IF((RD[[#This Row],[32kV_Solar_F4_Export reading]]-BV94)*225000&lt;=0,"",(RD[[#This Row],[32kV_Solar_F4_Export reading]]-BV94)*225000)</f>
        <v>157949.99999999959</v>
      </c>
      <c r="CN95" s="227">
        <f>IF((RD[[#This Row],[33kV_OG1_Export reading]]-BW94)*1000&lt;=0,0,(RD[[#This Row],[33kV_OG1_Export reading]]-BW94)*1000)</f>
        <v>439000</v>
      </c>
      <c r="CO95" s="227">
        <f>IFERROR(IF((RD[[#This Row],[33kV_OG2_Export reading]]-BX94)*1000&lt;=0,0,(RD[[#This Row],[33kV_OG2_Export reading]]-BX94)*1000),0)</f>
        <v>931000</v>
      </c>
      <c r="CP95" s="74">
        <f>IF((RD[[#This Row],[220kV_TX1_Export reading]]-BY94)*800000&lt;=0,0,(RD[[#This Row],[220kV_TX1_Export reading]]-BY94)*800000)</f>
        <v>434400.00000000512</v>
      </c>
      <c r="CQ95" s="209">
        <f>IF((RD[[#This Row],[220kV_Tx2_Export reading]]-BZ94)*800000&lt;=0,0,(RD[[#This Row],[220kV_Tx2_Export reading]]-BZ94)*800000)</f>
        <v>918399.99999999686</v>
      </c>
      <c r="CR95" s="227">
        <f>IF((RD[[#This Row],[220kV_TL_TVM Export Reading]]-CA94)*1600000&lt;=0,0,(RD[[#This Row],[220kV_TL_TVM Export Reading]]-CA94)*1600000)</f>
        <v>1358400.0000000743</v>
      </c>
      <c r="CS95" s="227">
        <f>IF((RD[[#This Row],[220kV_C&amp;R_PQM reading]]-CB94)*1600000&lt;=0,"",(RD[[#This Row],[220kV_C&amp;R_PQM reading]]-CB94)*1600000)</f>
        <v>1359999.9999999909</v>
      </c>
      <c r="CT95" s="209">
        <f>IFERROR(IF((RD[[#This Row],[220KV_C&amp;R_PQM Import Reading]]-CC94)*1600000&lt;=0,0,(RD[[#This Row],[220KV_C&amp;R_PQM Import Reading]]-CC94)*1600000),"")</f>
        <v>1600.0000000000014</v>
      </c>
      <c r="CU95" s="64" t="str">
        <f>IF((RD[[#This Row],[33kV_Aux1 Import Reading]]-CD94)*1000&lt;=0,"",(RD[[#This Row],[33kV_Aux1 Import Reading]]-CD94)*1000)</f>
        <v/>
      </c>
      <c r="CV95" s="227">
        <f>IF((RD[[#This Row],[33kV_Aux2_Import reading]]-CE94)*1000&lt;=0,"",(RD[[#This Row],[33kV_Aux2_Import reading]]-CE94)*1000)</f>
        <v>360.00000000001364</v>
      </c>
      <c r="CW95" s="227">
        <f>IFERROR(RD[[#This Row],[33kV_OG1_Energy (MWh)]]+RD[[#This Row],[33kV_OG2_Energy (MWh)]],"")</f>
        <v>1370000</v>
      </c>
      <c r="CX95" s="227">
        <f>IFERROR(RD[[#This Row],[220kV_TL_TVM Energy (MWh)]]-RD[[#This Row],[220KV_C&amp;R_PQM Import (MWh)]],"")</f>
        <v>1356800.0000000743</v>
      </c>
      <c r="CY95" s="228">
        <f>IFERROR(RD[[#This Row],[33 kV Total Export (MWH)]]/RD[[#This Row],[220 KV Net Export (MWh)]]-1,"")</f>
        <v>9.7287735848503587E-3</v>
      </c>
      <c r="CZ95" s="229">
        <f t="shared" si="102"/>
        <v>50.6</v>
      </c>
      <c r="DA95" s="230">
        <v>68</v>
      </c>
      <c r="DB95" s="231"/>
      <c r="DC95" s="232">
        <f>IFERROR((RD[[#This Row],[Sunset Time (POA&lt;20 W/m2)]]-RD[[#This Row],[Sunrise Time (POA&gt;20 W/m2)]])*24,0)</f>
        <v>12.299999999999999</v>
      </c>
      <c r="DD95" s="70">
        <f>SUM(RD[[#This Row],[33 kV_Wind_F3_Export_Reading3]],CJ95,CK95,CL95,CM95)</f>
        <v>629324.99999999604</v>
      </c>
      <c r="DE95" s="233"/>
      <c r="DF95" s="70">
        <f>SUM(CG95,CI95,CF95)</f>
        <v>739034.99999999744</v>
      </c>
      <c r="DG95" s="230">
        <v>787.8</v>
      </c>
      <c r="DH95">
        <f>'WTG Reactive Power'!AB93</f>
        <v>32446.900000000005</v>
      </c>
    </row>
    <row r="96" spans="1:112">
      <c r="A96" s="210">
        <f>YEAR(RD[[#This Row],[Date]])+IF(MONTH(RD[[#This Row],[Date]])&gt;=4,1,0)</f>
        <v>2026</v>
      </c>
      <c r="B96" s="210">
        <f>YEAR(RD[[#This Row],[Date]])</f>
        <v>2025</v>
      </c>
      <c r="C96" s="211">
        <f t="shared" si="94"/>
        <v>45809</v>
      </c>
      <c r="D96" s="210">
        <f>DAY(EOMONTH(RD[[#This Row],[Date]],0))</f>
        <v>30</v>
      </c>
      <c r="E96" s="212">
        <f t="shared" si="95"/>
        <v>45836</v>
      </c>
      <c r="F96" s="206">
        <v>0.26319444444444445</v>
      </c>
      <c r="G96" s="206">
        <v>0.78125</v>
      </c>
      <c r="H96" s="213">
        <v>38746</v>
      </c>
      <c r="I96" s="213">
        <v>35182</v>
      </c>
      <c r="J96" s="213">
        <v>35127</v>
      </c>
      <c r="K96" s="213">
        <v>29067</v>
      </c>
      <c r="L96" s="213">
        <v>30776</v>
      </c>
      <c r="M96" s="213">
        <v>33925</v>
      </c>
      <c r="N96" s="213">
        <v>33307</v>
      </c>
      <c r="O96" s="213">
        <v>36531</v>
      </c>
      <c r="P96" s="213">
        <v>30251</v>
      </c>
      <c r="Q96" s="213">
        <v>35944</v>
      </c>
      <c r="R96" s="213">
        <v>34846</v>
      </c>
      <c r="S96" s="213">
        <v>36875</v>
      </c>
      <c r="T96" s="213">
        <v>37908</v>
      </c>
      <c r="U96" s="213">
        <v>35448</v>
      </c>
      <c r="V96" s="213">
        <v>39876</v>
      </c>
      <c r="W96" s="213">
        <v>19741</v>
      </c>
      <c r="X96" s="213">
        <v>29400</v>
      </c>
      <c r="Y96" s="213">
        <v>32757</v>
      </c>
      <c r="Z96" s="213">
        <v>37146</v>
      </c>
      <c r="AA96" s="213">
        <v>35411</v>
      </c>
      <c r="AB96" s="213">
        <v>28221</v>
      </c>
      <c r="AC96" s="213">
        <v>30276</v>
      </c>
      <c r="AD96" s="213">
        <v>31033</v>
      </c>
      <c r="AE96" s="350">
        <v>8.6</v>
      </c>
      <c r="AF96" s="350">
        <v>8.5</v>
      </c>
      <c r="AG96" s="350">
        <v>8.4</v>
      </c>
      <c r="AH96" s="350">
        <v>7.9</v>
      </c>
      <c r="AI96" s="350">
        <v>8.3000000000000007</v>
      </c>
      <c r="AJ96" s="350">
        <v>8.1999999999999993</v>
      </c>
      <c r="AK96" s="350">
        <v>8.3000000000000007</v>
      </c>
      <c r="AL96" s="350">
        <v>8.5</v>
      </c>
      <c r="AM96" s="350">
        <v>8.1999999999999993</v>
      </c>
      <c r="AN96" s="350">
        <v>8.1999999999999993</v>
      </c>
      <c r="AO96" s="350">
        <v>8.5</v>
      </c>
      <c r="AP96" s="350">
        <v>8.5</v>
      </c>
      <c r="AQ96" s="350">
        <v>8.6</v>
      </c>
      <c r="AR96" s="350">
        <v>8.1999999999999993</v>
      </c>
      <c r="AS96" s="350">
        <v>9.1999999999999993</v>
      </c>
      <c r="AT96" s="350">
        <v>8.1</v>
      </c>
      <c r="AU96" s="350">
        <v>8.5</v>
      </c>
      <c r="AV96" s="350">
        <v>8.1999999999999993</v>
      </c>
      <c r="AW96" s="350">
        <v>8.5</v>
      </c>
      <c r="AX96" s="350">
        <v>8.3000000000000007</v>
      </c>
      <c r="AY96" s="350">
        <v>8.3000000000000007</v>
      </c>
      <c r="AZ96" s="350">
        <v>8.3000000000000007</v>
      </c>
      <c r="BA96" s="350">
        <v>8.1999999999999993</v>
      </c>
      <c r="BB96" s="214">
        <f t="shared" si="96"/>
        <v>367327</v>
      </c>
      <c r="BC96" s="216">
        <f t="shared" si="97"/>
        <v>49141</v>
      </c>
      <c r="BD96" s="180">
        <f t="shared" si="92"/>
        <v>248731</v>
      </c>
      <c r="BE96" s="216">
        <f t="shared" si="98"/>
        <v>32757</v>
      </c>
      <c r="BF96" s="179">
        <f t="shared" si="93"/>
        <v>69838</v>
      </c>
      <c r="BG96" s="216">
        <f>SUM(RD[[#This Row],[KUD01]:[KUD23]])</f>
        <v>767794</v>
      </c>
      <c r="BH96" s="217">
        <f t="shared" si="99"/>
        <v>8.5</v>
      </c>
      <c r="BI96" s="219">
        <f t="shared" si="100"/>
        <v>8.3000000000000007</v>
      </c>
      <c r="BJ96" s="219">
        <f t="shared" si="101"/>
        <v>8.27</v>
      </c>
      <c r="BK96" s="221">
        <f t="shared" si="81"/>
        <v>8.1999999999999993</v>
      </c>
      <c r="BL96" s="61">
        <f>IFERROR(AVERAGEIF(RD[[#This Row],[WS_KUD07]:[WS_KUD08]],"&lt;&gt;0",RD[[#This Row],[WS_KUD07]:[WS_KUD08]]),"")</f>
        <v>8.4</v>
      </c>
      <c r="BM96" s="223">
        <f>IFERROR(AVERAGE(RD[[#This Row],[WS_KUD01]:[WS_KUD23]]),"")</f>
        <v>8.3695652173913064</v>
      </c>
      <c r="BN96" s="224">
        <f>IFERROR(MAX(RD[[#This Row],[WS_KUD01]:[WS_KUD23]]),"")</f>
        <v>9.1999999999999993</v>
      </c>
      <c r="BO96" s="172">
        <v>642.79999999999995</v>
      </c>
      <c r="BP96" s="348">
        <v>988.41</v>
      </c>
      <c r="BQ96" s="348">
        <v>107.89100000000001</v>
      </c>
      <c r="BR96" s="348">
        <v>316.94400000000002</v>
      </c>
      <c r="BS96" s="348">
        <v>218.995</v>
      </c>
      <c r="BT96" s="348">
        <v>322.43299999999999</v>
      </c>
      <c r="BU96" s="348"/>
      <c r="BV96" s="348">
        <v>112.282</v>
      </c>
      <c r="BW96" s="172">
        <v>215452</v>
      </c>
      <c r="BX96" s="172">
        <v>293256</v>
      </c>
      <c r="BY96" s="348">
        <v>154.351</v>
      </c>
      <c r="BZ96" s="348">
        <v>125.10599999999999</v>
      </c>
      <c r="CA96" s="348">
        <v>315.47199999999998</v>
      </c>
      <c r="CB96" s="348">
        <v>140.59399999999999</v>
      </c>
      <c r="CC96" s="348">
        <v>0.123</v>
      </c>
      <c r="CD96" s="172">
        <v>0</v>
      </c>
      <c r="CE96" s="348">
        <v>242.809</v>
      </c>
      <c r="CF96" s="360">
        <f>IF((RD[[#This Row],[33 kV_Wind_F1_Export reading]]-BO95)*165000&lt;=0,"",(RD[[#This Row],[33 kV_Wind_F1_Export reading]]-BO95)*165000)</f>
        <v>392204.9999999922</v>
      </c>
      <c r="CG96" s="227" t="str">
        <f>IF((RD[[#This Row],[33 kV_Wind_F2_Export_reading]]-BP95)*165000&lt;=0,"",(RD[[#This Row],[33 kV_Wind_F2_Export_reading]]-BP95)*165000)</f>
        <v/>
      </c>
      <c r="CH96" s="64">
        <f>IF((RD[[#This Row],[33 kV_Wind_F3_Export_Reading]]-BQ95)*225000&lt;=0,"",(RD[[#This Row],[33 kV_Wind_F3_Export_Reading]]-BQ95)*225000)</f>
        <v>189225.00000000183</v>
      </c>
      <c r="CI96" s="64">
        <f>IF((RD[[#This Row],[33 kV_Wind_F4_Export Reading]]-BR95)*165000&lt;=0,"",(RD[[#This Row],[33 kV_Wind_F4_Export Reading]]-BR95)*165000)</f>
        <v>350460.0000000039</v>
      </c>
      <c r="CJ96" s="209">
        <f>IF((RD[[#This Row],[33 kV_Solar_F1_Export Reading]]-BS95)*225000&lt;=0,"",(RD[[#This Row],[33 kV_Solar_F1_Export Reading]]-BS95)*225000)</f>
        <v>154800.00000000373</v>
      </c>
      <c r="CK96" s="74">
        <f>IF((RD[[#This Row],[33kV_Solar_F2_Export Reading]]-BT95)*225000&lt;=0,"",(RD[[#This Row],[33kV_Solar_F2_Export Reading]]-BT95)*225000)</f>
        <v>140849.99999999467</v>
      </c>
      <c r="CL96" s="209" t="str">
        <f>IF((RD[[#This Row],[33 kV_Solar_F3_Export reading]]-BU95)*225000&lt;=0,"",(RD[[#This Row],[33 kV_Solar_F3_Export reading]]-BU95)*225000)</f>
        <v/>
      </c>
      <c r="CM96" s="63">
        <f>IF((RD[[#This Row],[32kV_Solar_F4_Export reading]]-BV95)*225000&lt;=0,"",(RD[[#This Row],[32kV_Solar_F4_Export reading]]-BV95)*225000)</f>
        <v>157724.99999999852</v>
      </c>
      <c r="CN96" s="227">
        <f>IF((RD[[#This Row],[33kV_OG1_Export reading]]-BW95)*1000&lt;=0,0,(RD[[#This Row],[33kV_OG1_Export reading]]-BW95)*1000)</f>
        <v>454000</v>
      </c>
      <c r="CO96" s="227">
        <f>IFERROR(IF((RD[[#This Row],[33kV_OG2_Export reading]]-BX95)*1000&lt;=0,0,(RD[[#This Row],[33kV_OG2_Export reading]]-BX95)*1000),0)</f>
        <v>937000</v>
      </c>
      <c r="CP96" s="74">
        <f>IF((RD[[#This Row],[220kV_TX1_Export reading]]-BY95)*800000&lt;=0,0,(RD[[#This Row],[220kV_TX1_Export reading]]-BY95)*800000)</f>
        <v>448000.0000000018</v>
      </c>
      <c r="CQ96" s="209">
        <f>IF((RD[[#This Row],[220kV_Tx2_Export reading]]-BZ95)*800000&lt;=0,0,(RD[[#This Row],[220kV_Tx2_Export reading]]-BZ95)*800000)</f>
        <v>927199.99999999348</v>
      </c>
      <c r="CR96" s="227">
        <f>IF((RD[[#This Row],[220kV_TL_TVM Export Reading]]-CA95)*1600000&lt;=0,0,(RD[[#This Row],[220kV_TL_TVM Export Reading]]-CA95)*1600000)</f>
        <v>1375999.9999999308</v>
      </c>
      <c r="CS96" s="227">
        <f>IF((RD[[#This Row],[220kV_C&amp;R_PQM reading]]-CB95)*1600000&lt;=0,"",(RD[[#This Row],[220kV_C&amp;R_PQM reading]]-CB95)*1600000)</f>
        <v>1380799.9999999993</v>
      </c>
      <c r="CT96" s="209">
        <f>IFERROR(IF((RD[[#This Row],[220KV_C&amp;R_PQM Import Reading]]-CC95)*1600000&lt;=0,0,(RD[[#This Row],[220KV_C&amp;R_PQM Import Reading]]-CC95)*1600000),"")</f>
        <v>0</v>
      </c>
      <c r="CU96" s="64" t="str">
        <f>IF((RD[[#This Row],[33kV_Aux1 Import Reading]]-CD95)*1000&lt;=0,"",(RD[[#This Row],[33kV_Aux1 Import Reading]]-CD95)*1000)</f>
        <v/>
      </c>
      <c r="CV96" s="227">
        <f>IF((RD[[#This Row],[33kV_Aux2_Import reading]]-CE95)*1000&lt;=0,"",(RD[[#This Row],[33kV_Aux2_Import reading]]-CE95)*1000)</f>
        <v>379.99999999999545</v>
      </c>
      <c r="CW96" s="227">
        <f>IFERROR(RD[[#This Row],[33kV_OG1_Energy (MWh)]]+RD[[#This Row],[33kV_OG2_Energy (MWh)]],"")</f>
        <v>1391000</v>
      </c>
      <c r="CX96" s="227">
        <f>IFERROR(RD[[#This Row],[220kV_TL_TVM Energy (MWh)]]-RD[[#This Row],[220KV_C&amp;R_PQM Import (MWh)]],"")</f>
        <v>1375999.9999999308</v>
      </c>
      <c r="CY96" s="228">
        <f>IFERROR(RD[[#This Row],[33 kV Total Export (MWH)]]/RD[[#This Row],[220 KV Net Export (MWh)]]-1,"")</f>
        <v>1.0901162790748486E-2</v>
      </c>
      <c r="CZ96" s="229">
        <f t="shared" si="102"/>
        <v>50.6</v>
      </c>
      <c r="DA96" s="230">
        <v>96</v>
      </c>
      <c r="DB96" s="231"/>
      <c r="DC96" s="232">
        <f>IFERROR((RD[[#This Row],[Sunset Time (POA&lt;20 W/m2)]]-RD[[#This Row],[Sunrise Time (POA&gt;20 W/m2)]])*24,0)</f>
        <v>12.433333333333332</v>
      </c>
      <c r="DD96" s="70">
        <f>SUM(RD[[#This Row],[33 kV_Wind_F3_Export_Reading3]],CJ96,CK96,CL96,CM96)</f>
        <v>642599.99999999872</v>
      </c>
      <c r="DE96" s="233"/>
      <c r="DF96" s="70">
        <f t="shared" ref="DF96:DF157" si="103">SUM(CF96,CI96)</f>
        <v>742664.99999999604</v>
      </c>
      <c r="DG96" s="230">
        <v>771.89</v>
      </c>
      <c r="DH96">
        <v>12185.400000000003</v>
      </c>
    </row>
    <row r="97" spans="1:112">
      <c r="A97" s="210">
        <f>YEAR(RD[[#This Row],[Date]])+IF(MONTH(RD[[#This Row],[Date]])&gt;=4,1,0)</f>
        <v>2026</v>
      </c>
      <c r="B97" s="210">
        <f>YEAR(RD[[#This Row],[Date]])</f>
        <v>2025</v>
      </c>
      <c r="C97" s="211">
        <f t="shared" si="94"/>
        <v>45809</v>
      </c>
      <c r="D97" s="210">
        <f>DAY(EOMONTH(RD[[#This Row],[Date]],0))</f>
        <v>30</v>
      </c>
      <c r="E97" s="212">
        <f t="shared" si="95"/>
        <v>45837</v>
      </c>
      <c r="F97" s="206">
        <v>0.27708333333333335</v>
      </c>
      <c r="G97" s="206">
        <v>0.77916666666666667</v>
      </c>
      <c r="H97" s="213">
        <v>42796.5</v>
      </c>
      <c r="I97" s="213">
        <v>42378.6</v>
      </c>
      <c r="J97" s="213">
        <v>36708.9</v>
      </c>
      <c r="K97" s="213">
        <v>36470.1</v>
      </c>
      <c r="L97" s="213">
        <v>41153.5</v>
      </c>
      <c r="M97" s="213">
        <v>39337.9</v>
      </c>
      <c r="N97" s="213">
        <v>39954.1</v>
      </c>
      <c r="O97" s="213">
        <v>39588.300000000003</v>
      </c>
      <c r="P97" s="213">
        <v>40391.199999999997</v>
      </c>
      <c r="Q97" s="213">
        <v>39900.300000000003</v>
      </c>
      <c r="R97" s="213">
        <v>39390.400000000001</v>
      </c>
      <c r="S97" s="213">
        <v>38222.1</v>
      </c>
      <c r="T97" s="213">
        <v>41034.5</v>
      </c>
      <c r="U97" s="213">
        <v>39424.199999999997</v>
      </c>
      <c r="V97" s="213">
        <v>44006</v>
      </c>
      <c r="W97" s="213">
        <v>43645.5</v>
      </c>
      <c r="X97" s="213">
        <v>32367.3</v>
      </c>
      <c r="Y97" s="213">
        <v>41586.800000000003</v>
      </c>
      <c r="Z97" s="213">
        <v>42444.7</v>
      </c>
      <c r="AA97" s="213">
        <v>37466.1</v>
      </c>
      <c r="AB97" s="213">
        <v>39399.800000000003</v>
      </c>
      <c r="AC97" s="213">
        <v>42315.7</v>
      </c>
      <c r="AD97" s="213">
        <v>43556.2</v>
      </c>
      <c r="AE97" s="350">
        <v>9.6999999999999993</v>
      </c>
      <c r="AF97" s="350">
        <v>9.9</v>
      </c>
      <c r="AG97" s="350">
        <v>9.1999999999999993</v>
      </c>
      <c r="AH97" s="350">
        <v>8.6999999999999993</v>
      </c>
      <c r="AI97" s="350">
        <v>9.5</v>
      </c>
      <c r="AJ97" s="350">
        <v>9.1</v>
      </c>
      <c r="AK97" s="350">
        <v>9.4</v>
      </c>
      <c r="AL97" s="350">
        <v>9.5</v>
      </c>
      <c r="AM97" s="350">
        <v>9.4</v>
      </c>
      <c r="AN97" s="350">
        <v>9.4</v>
      </c>
      <c r="AO97" s="350">
        <v>9.6</v>
      </c>
      <c r="AP97" s="350">
        <v>9</v>
      </c>
      <c r="AQ97" s="350">
        <v>9.6999999999999993</v>
      </c>
      <c r="AR97" s="350">
        <v>9.3000000000000007</v>
      </c>
      <c r="AS97" s="350">
        <v>10.4</v>
      </c>
      <c r="AT97" s="350">
        <v>9.9</v>
      </c>
      <c r="AU97" s="350">
        <v>9.6999999999999993</v>
      </c>
      <c r="AV97" s="350">
        <v>9.5</v>
      </c>
      <c r="AW97" s="350">
        <v>9.8000000000000007</v>
      </c>
      <c r="AX97" s="350">
        <v>9</v>
      </c>
      <c r="AY97" s="350">
        <v>9.6999999999999993</v>
      </c>
      <c r="AZ97" s="350">
        <v>9.5</v>
      </c>
      <c r="BA97" s="350">
        <v>9.6999999999999993</v>
      </c>
      <c r="BB97" s="214">
        <f t="shared" si="96"/>
        <v>401393.7</v>
      </c>
      <c r="BC97" s="216">
        <f t="shared" si="97"/>
        <v>76012.800000000003</v>
      </c>
      <c r="BD97" s="180">
        <f t="shared" si="92"/>
        <v>325003</v>
      </c>
      <c r="BE97" s="216">
        <f t="shared" si="98"/>
        <v>41586.800000000003</v>
      </c>
      <c r="BF97" s="179">
        <f t="shared" si="93"/>
        <v>79542.399999999994</v>
      </c>
      <c r="BG97" s="216">
        <f>SUM(RD[[#This Row],[KUD01]:[KUD23]])</f>
        <v>923538.7</v>
      </c>
      <c r="BH97" s="217">
        <f t="shared" si="99"/>
        <v>9.51</v>
      </c>
      <c r="BI97" s="219">
        <f t="shared" si="100"/>
        <v>9.8000000000000007</v>
      </c>
      <c r="BJ97" s="219">
        <f t="shared" si="101"/>
        <v>9.4400000000000013</v>
      </c>
      <c r="BK97" s="221">
        <f t="shared" si="81"/>
        <v>9.5</v>
      </c>
      <c r="BL97" s="61">
        <f>IFERROR(AVERAGEIF(RD[[#This Row],[WS_KUD07]:[WS_KUD08]],"&lt;&gt;0",RD[[#This Row],[WS_KUD07]:[WS_KUD08]]),"")</f>
        <v>9.4499999999999993</v>
      </c>
      <c r="BM97" s="223">
        <f>IFERROR(AVERAGE(RD[[#This Row],[WS_KUD01]:[WS_KUD23]]),"")</f>
        <v>9.5043478260869563</v>
      </c>
      <c r="BN97" s="224">
        <f>IFERROR(MAX(RD[[#This Row],[WS_KUD01]:[WS_KUD23]]),"")</f>
        <v>10.4</v>
      </c>
      <c r="BO97" s="172">
        <v>645.39400000000001</v>
      </c>
      <c r="BP97" s="348">
        <v>988.41</v>
      </c>
      <c r="BQ97" s="349">
        <v>108.76900000000001</v>
      </c>
      <c r="BR97" s="349">
        <v>319.75400000000002</v>
      </c>
      <c r="BS97" s="349">
        <v>219.69</v>
      </c>
      <c r="BT97" s="349">
        <v>323.04000000000002</v>
      </c>
      <c r="BU97" s="349"/>
      <c r="BV97" s="349">
        <v>113.01600000000001</v>
      </c>
      <c r="BW97" s="172">
        <v>215910</v>
      </c>
      <c r="BX97" s="172">
        <v>294342</v>
      </c>
      <c r="BY97" s="349">
        <v>154.91800000000001</v>
      </c>
      <c r="BZ97" s="349">
        <v>126.45</v>
      </c>
      <c r="CA97" s="349">
        <v>316.43200000000002</v>
      </c>
      <c r="CB97" s="349">
        <v>141.553</v>
      </c>
      <c r="CC97" s="349">
        <v>0.123</v>
      </c>
      <c r="CD97" s="172">
        <v>0</v>
      </c>
      <c r="CE97" s="349">
        <v>243.179</v>
      </c>
      <c r="CF97" s="360">
        <f>IF((RD[[#This Row],[33 kV_Wind_F1_Export reading]]-BO96)*165000&lt;=0,"",(RD[[#This Row],[33 kV_Wind_F1_Export reading]]-BO96)*165000)</f>
        <v>428010.00000000838</v>
      </c>
      <c r="CG97" s="227" t="str">
        <f>IF((RD[[#This Row],[33 kV_Wind_F2_Export_reading]]-BP96)*165000&lt;=0,"",(RD[[#This Row],[33 kV_Wind_F2_Export_reading]]-BP96)*165000)</f>
        <v/>
      </c>
      <c r="CH97" s="64">
        <f>IF((RD[[#This Row],[33 kV_Wind_F3_Export_Reading]]-BQ96)*225000&lt;=0,"",(RD[[#This Row],[33 kV_Wind_F3_Export_Reading]]-BQ96)*225000)</f>
        <v>197550.00000000003</v>
      </c>
      <c r="CI97" s="64">
        <f>IF((RD[[#This Row],[33 kV_Wind_F4_Export Reading]]-BR96)*165000&lt;=0,"",(RD[[#This Row],[33 kV_Wind_F4_Export Reading]]-BR96)*165000)</f>
        <v>463650.00000000035</v>
      </c>
      <c r="CJ97" s="209">
        <f>IF((RD[[#This Row],[33 kV_Solar_F1_Export Reading]]-BS96)*225000&lt;=0,"",(RD[[#This Row],[33 kV_Solar_F1_Export Reading]]-BS96)*225000)</f>
        <v>156374.99999999846</v>
      </c>
      <c r="CK97" s="74">
        <f>IF((RD[[#This Row],[33kV_Solar_F2_Export Reading]]-BT96)*225000&lt;=0,"",(RD[[#This Row],[33kV_Solar_F2_Export Reading]]-BT96)*225000)</f>
        <v>136575.00000000623</v>
      </c>
      <c r="CL97" s="209" t="str">
        <f>IF((RD[[#This Row],[33 kV_Solar_F3_Export reading]]-BU96)*225000&lt;=0,"",(RD[[#This Row],[33 kV_Solar_F3_Export reading]]-BU96)*225000)</f>
        <v/>
      </c>
      <c r="CM97" s="63">
        <f>IF((RD[[#This Row],[32kV_Solar_F4_Export reading]]-BV96)*225000&lt;=0,"",(RD[[#This Row],[32kV_Solar_F4_Export reading]]-BV96)*225000)</f>
        <v>165150.00000000201</v>
      </c>
      <c r="CN97" s="227">
        <f>IF((RD[[#This Row],[33kV_OG1_Export reading]]-BW96)*1000&lt;=0,0,(RD[[#This Row],[33kV_OG1_Export reading]]-BW96)*1000)</f>
        <v>458000</v>
      </c>
      <c r="CO97" s="227">
        <f>IFERROR(IF((RD[[#This Row],[33kV_OG2_Export reading]]-BX96)*1000&lt;=0,0,(RD[[#This Row],[33kV_OG2_Export reading]]-BX96)*1000),0)</f>
        <v>1086000</v>
      </c>
      <c r="CP97" s="74">
        <f>IF((RD[[#This Row],[220kV_TX1_Export reading]]-BY96)*800000&lt;=0,0,(RD[[#This Row],[220kV_TX1_Export reading]]-BY96)*800000)</f>
        <v>453600.00000000582</v>
      </c>
      <c r="CQ97" s="209">
        <f>IF((RD[[#This Row],[220kV_Tx2_Export reading]]-BZ96)*800000&lt;=0,0,(RD[[#This Row],[220kV_Tx2_Export reading]]-BZ96)*800000)</f>
        <v>1075200.0000000068</v>
      </c>
      <c r="CR97" s="227">
        <f>IF((RD[[#This Row],[220kV_TL_TVM Export Reading]]-CA96)*1600000&lt;=0,0,(RD[[#This Row],[220kV_TL_TVM Export Reading]]-CA96)*1600000)</f>
        <v>1536000.0000000582</v>
      </c>
      <c r="CS97" s="227">
        <f>IF((RD[[#This Row],[220kV_C&amp;R_PQM reading]]-CB96)*1600000&lt;=0,"",(RD[[#This Row],[220kV_C&amp;R_PQM reading]]-CB96)*1600000)</f>
        <v>1534400.0000000051</v>
      </c>
      <c r="CT97" s="209">
        <f>IFERROR(IF((RD[[#This Row],[220KV_C&amp;R_PQM Import Reading]]-CC96)*1600000&lt;=0,0,(RD[[#This Row],[220KV_C&amp;R_PQM Import Reading]]-CC96)*1600000),"")</f>
        <v>0</v>
      </c>
      <c r="CU97" s="64" t="str">
        <f>IF((RD[[#This Row],[33kV_Aux1 Import Reading]]-CD96)*1000&lt;=0,"",(RD[[#This Row],[33kV_Aux1 Import Reading]]-CD96)*1000)</f>
        <v/>
      </c>
      <c r="CV97" s="227">
        <f>IF((RD[[#This Row],[33kV_Aux2_Import reading]]-CE96)*1000&lt;=0,"",(RD[[#This Row],[33kV_Aux2_Import reading]]-CE96)*1000)</f>
        <v>370.00000000000455</v>
      </c>
      <c r="CW97" s="227">
        <f>IFERROR(RD[[#This Row],[33kV_OG1_Energy (MWh)]]+RD[[#This Row],[33kV_OG2_Energy (MWh)]],"")</f>
        <v>1544000</v>
      </c>
      <c r="CX97" s="227">
        <f>IFERROR(RD[[#This Row],[220kV_TL_TVM Energy (MWh)]]-RD[[#This Row],[220KV_C&amp;R_PQM Import (MWh)]],"")</f>
        <v>1536000.0000000582</v>
      </c>
      <c r="CY97" s="228">
        <f>IFERROR(RD[[#This Row],[33 kV Total Export (MWH)]]/RD[[#This Row],[220 KV Net Export (MWh)]]-1,"")</f>
        <v>5.2083333332952897E-3</v>
      </c>
      <c r="CZ97" s="229">
        <f t="shared" si="102"/>
        <v>50.6</v>
      </c>
      <c r="DA97" s="230">
        <v>96</v>
      </c>
      <c r="DB97" s="231"/>
      <c r="DC97" s="232">
        <f>IFERROR((RD[[#This Row],[Sunset Time (POA&lt;20 W/m2)]]-RD[[#This Row],[Sunrise Time (POA&gt;20 W/m2)]])*24,0)</f>
        <v>12.05</v>
      </c>
      <c r="DD97" s="70">
        <f>SUM(RD[[#This Row],[33 kV_Wind_F3_Export_Reading3]],CJ97,CK97,CL97,CM97)</f>
        <v>655650.00000000675</v>
      </c>
      <c r="DE97" s="233"/>
      <c r="DF97" s="70">
        <f t="shared" si="103"/>
        <v>891660.00000000873</v>
      </c>
      <c r="DG97">
        <v>926.53</v>
      </c>
      <c r="DH97">
        <v>144.29999999999998</v>
      </c>
    </row>
    <row r="98" spans="1:112">
      <c r="A98" s="210">
        <f>YEAR(RD[[#This Row],[Date]])+IF(MONTH(RD[[#This Row],[Date]])&gt;=4,1,0)</f>
        <v>2026</v>
      </c>
      <c r="B98" s="210">
        <f>YEAR(RD[[#This Row],[Date]])</f>
        <v>2025</v>
      </c>
      <c r="C98" s="211">
        <f t="shared" si="94"/>
        <v>45809</v>
      </c>
      <c r="D98" s="210">
        <f>DAY(EOMONTH(RD[[#This Row],[Date]],0))</f>
        <v>30</v>
      </c>
      <c r="E98" s="212">
        <f t="shared" si="95"/>
        <v>45838</v>
      </c>
      <c r="F98" s="206">
        <v>0.26319444444444445</v>
      </c>
      <c r="G98" s="206">
        <v>0.7680555555555556</v>
      </c>
      <c r="H98" s="177">
        <v>45187.7</v>
      </c>
      <c r="I98" s="177">
        <v>46070.8</v>
      </c>
      <c r="J98" s="177">
        <v>40727.1</v>
      </c>
      <c r="K98" s="177">
        <v>40271.5</v>
      </c>
      <c r="L98" s="177">
        <v>44476.5</v>
      </c>
      <c r="M98" s="177">
        <v>41753.699999999997</v>
      </c>
      <c r="N98" s="177">
        <v>42187.3</v>
      </c>
      <c r="O98" s="177">
        <v>43193.7</v>
      </c>
      <c r="P98" s="177">
        <v>41912.699999999997</v>
      </c>
      <c r="Q98" s="177">
        <v>43154.2</v>
      </c>
      <c r="R98" s="177">
        <v>42050.6</v>
      </c>
      <c r="S98" s="177">
        <v>42865</v>
      </c>
      <c r="T98" s="177">
        <v>43937.1</v>
      </c>
      <c r="U98" s="177">
        <v>42592.2</v>
      </c>
      <c r="V98" s="177">
        <v>46713.8</v>
      </c>
      <c r="W98" s="177">
        <v>45746.9</v>
      </c>
      <c r="X98" s="177">
        <v>46640.800000000003</v>
      </c>
      <c r="Y98" s="177">
        <v>43966.400000000001</v>
      </c>
      <c r="Z98" s="177">
        <v>44462.8</v>
      </c>
      <c r="AA98" s="177">
        <v>42761.1</v>
      </c>
      <c r="AB98" s="177">
        <v>44387.199999999997</v>
      </c>
      <c r="AC98" s="177">
        <v>42358.8</v>
      </c>
      <c r="AD98" s="177">
        <v>45869.9</v>
      </c>
      <c r="AE98" s="347">
        <v>10.3</v>
      </c>
      <c r="AF98" s="347">
        <v>10.4</v>
      </c>
      <c r="AG98" s="347">
        <v>9.6999999999999993</v>
      </c>
      <c r="AH98" s="347">
        <v>9.4</v>
      </c>
      <c r="AI98" s="347">
        <v>10.1</v>
      </c>
      <c r="AJ98" s="347">
        <v>9.6</v>
      </c>
      <c r="AK98" s="347">
        <v>9.8000000000000007</v>
      </c>
      <c r="AL98" s="347">
        <v>10</v>
      </c>
      <c r="AM98" s="347">
        <v>9.9</v>
      </c>
      <c r="AN98" s="347">
        <v>9.8000000000000007</v>
      </c>
      <c r="AO98" s="347">
        <v>10.1</v>
      </c>
      <c r="AP98" s="347">
        <v>9.6999999999999993</v>
      </c>
      <c r="AQ98" s="347">
        <v>10.199999999999999</v>
      </c>
      <c r="AR98" s="347">
        <v>9.9</v>
      </c>
      <c r="AS98" s="347">
        <v>10.9</v>
      </c>
      <c r="AT98" s="347">
        <v>10.199999999999999</v>
      </c>
      <c r="AU98" s="347">
        <v>10.5</v>
      </c>
      <c r="AV98" s="347">
        <v>10</v>
      </c>
      <c r="AW98" s="347">
        <v>10.199999999999999</v>
      </c>
      <c r="AX98" s="347">
        <v>9.6999999999999993</v>
      </c>
      <c r="AY98" s="347">
        <v>10.4</v>
      </c>
      <c r="AZ98" s="347">
        <v>9.8000000000000007</v>
      </c>
      <c r="BA98" s="347">
        <v>10.3</v>
      </c>
      <c r="BB98" s="214">
        <f t="shared" si="96"/>
        <v>434451.59999999992</v>
      </c>
      <c r="BC98" s="216">
        <f t="shared" si="97"/>
        <v>92387.700000000012</v>
      </c>
      <c r="BD98" s="180">
        <f t="shared" si="92"/>
        <v>347101.10000000003</v>
      </c>
      <c r="BE98" s="216">
        <f t="shared" si="98"/>
        <v>43966.400000000001</v>
      </c>
      <c r="BF98" s="179">
        <f t="shared" si="93"/>
        <v>85381</v>
      </c>
      <c r="BG98" s="216">
        <f>SUM(RD[[#This Row],[KUD01]:[KUD23]])</f>
        <v>1003287.8000000002</v>
      </c>
      <c r="BH98" s="217">
        <f t="shared" si="99"/>
        <v>10.050000000000001</v>
      </c>
      <c r="BI98" s="219">
        <f t="shared" si="100"/>
        <v>10.35</v>
      </c>
      <c r="BJ98" s="219">
        <f t="shared" si="101"/>
        <v>9.9700000000000006</v>
      </c>
      <c r="BK98" s="221">
        <f t="shared" si="81"/>
        <v>10</v>
      </c>
      <c r="BL98" s="61">
        <f>IFERROR(AVERAGEIF(RD[[#This Row],[WS_KUD07]:[WS_KUD08]],"&lt;&gt;0",RD[[#This Row],[WS_KUD07]:[WS_KUD08]]),"")</f>
        <v>9.9</v>
      </c>
      <c r="BM98" s="223">
        <f>IFERROR(AVERAGE(RD[[#This Row],[WS_KUD01]:[WS_KUD23]]),"")</f>
        <v>10.039130434782608</v>
      </c>
      <c r="BN98" s="224">
        <f>IFERROR(MAX(RD[[#This Row],[WS_KUD01]:[WS_KUD23]]),"")</f>
        <v>10.9</v>
      </c>
      <c r="BO98" s="172">
        <v>648.20399999999995</v>
      </c>
      <c r="BP98" s="348">
        <v>988.41</v>
      </c>
      <c r="BQ98" s="349">
        <v>109.648</v>
      </c>
      <c r="BR98" s="349">
        <v>322.81099999999998</v>
      </c>
      <c r="BS98" s="349">
        <v>220.387</v>
      </c>
      <c r="BT98" s="349">
        <v>323.67599999999999</v>
      </c>
      <c r="BU98" s="349"/>
      <c r="BV98" s="349">
        <v>113.74299999999999</v>
      </c>
      <c r="BW98" s="172">
        <v>216374</v>
      </c>
      <c r="BX98" s="172">
        <v>295505</v>
      </c>
      <c r="BY98" s="349">
        <v>155.49199999999999</v>
      </c>
      <c r="BZ98" s="349">
        <v>127.895</v>
      </c>
      <c r="CA98" s="349">
        <v>317.44400000000002</v>
      </c>
      <c r="CB98" s="349">
        <v>142.56800000000001</v>
      </c>
      <c r="CC98" s="349">
        <v>0.123</v>
      </c>
      <c r="CD98" s="172">
        <v>0</v>
      </c>
      <c r="CE98" s="349">
        <v>243.57900000000001</v>
      </c>
      <c r="CF98" s="360">
        <f>IF((RD[[#This Row],[33 kV_Wind_F1_Export reading]]-BO97)*165000&lt;=0,"",(RD[[#This Row],[33 kV_Wind_F1_Export reading]]-BO97)*165000)</f>
        <v>463649.99999999098</v>
      </c>
      <c r="CG98" s="227" t="str">
        <f>IF((RD[[#This Row],[33 kV_Wind_F2_Export_reading]]-BP97)*165000&lt;=0,"",(RD[[#This Row],[33 kV_Wind_F2_Export_reading]]-BP97)*165000)</f>
        <v/>
      </c>
      <c r="CH98" s="64">
        <f>IF((RD[[#This Row],[33 kV_Wind_F3_Export_Reading]]-BQ97)*225000&lt;=0,"",(RD[[#This Row],[33 kV_Wind_F3_Export_Reading]]-BQ97)*225000)</f>
        <v>197774.9999999979</v>
      </c>
      <c r="CI98" s="64">
        <f>IF((RD[[#This Row],[33 kV_Wind_F4_Export Reading]]-BR97)*165000&lt;=0,"",(RD[[#This Row],[33 kV_Wind_F4_Export Reading]]-BR97)*165000)</f>
        <v>504404.99999999331</v>
      </c>
      <c r="CJ98" s="209">
        <f>IF((RD[[#This Row],[33 kV_Solar_F1_Export Reading]]-BS97)*225000&lt;=0,"",(RD[[#This Row],[33 kV_Solar_F1_Export Reading]]-BS97)*225000)</f>
        <v>156825.00000000061</v>
      </c>
      <c r="CK98" s="74">
        <f>IF((RD[[#This Row],[33kV_Solar_F2_Export Reading]]-BT97)*225000&lt;=0,"",(RD[[#This Row],[33kV_Solar_F2_Export Reading]]-BT97)*225000)</f>
        <v>143099.99999999264</v>
      </c>
      <c r="CL98" s="209" t="str">
        <f>IF((RD[[#This Row],[33 kV_Solar_F3_Export reading]]-BU97)*225000&lt;=0,"",(RD[[#This Row],[33 kV_Solar_F3_Export reading]]-BU97)*225000)</f>
        <v/>
      </c>
      <c r="CM98" s="63">
        <f>IF((RD[[#This Row],[32kV_Solar_F4_Export reading]]-BV97)*225000&lt;=0,"",(RD[[#This Row],[32kV_Solar_F4_Export reading]]-BV97)*225000)</f>
        <v>163574.99999999767</v>
      </c>
      <c r="CN98" s="227">
        <f>IF((RD[[#This Row],[33kV_OG1_Export reading]]-BW97)*1000&lt;=0,0,(RD[[#This Row],[33kV_OG1_Export reading]]-BW97)*1000)</f>
        <v>464000</v>
      </c>
      <c r="CO98" s="227">
        <f>IFERROR(IF((RD[[#This Row],[33kV_OG2_Export reading]]-BX97)*1000&lt;=0,0,(RD[[#This Row],[33kV_OG2_Export reading]]-BX97)*1000),0)</f>
        <v>1163000</v>
      </c>
      <c r="CP98" s="74">
        <f>IF((RD[[#This Row],[220kV_TX1_Export reading]]-BY97)*800000&lt;=0,0,(RD[[#This Row],[220kV_TX1_Export reading]]-BY97)*800000)</f>
        <v>459199.99999998708</v>
      </c>
      <c r="CQ98" s="209">
        <f>IF((RD[[#This Row],[220kV_Tx2_Export reading]]-BZ97)*800000&lt;=0,0,(RD[[#This Row],[220kV_Tx2_Export reading]]-BZ97)*800000)</f>
        <v>1155999.9999999946</v>
      </c>
      <c r="CR98" s="227">
        <f>IF((RD[[#This Row],[220kV_TL_TVM Export Reading]]-CA97)*1600000&lt;=0,0,(RD[[#This Row],[220kV_TL_TVM Export Reading]]-CA97)*1600000)</f>
        <v>1619200.0000000007</v>
      </c>
      <c r="CS98" s="227">
        <f>IF((RD[[#This Row],[220kV_C&amp;R_PQM reading]]-CB97)*1600000&lt;=0,"",(RD[[#This Row],[220kV_C&amp;R_PQM reading]]-CB97)*1600000)</f>
        <v>1624000.0000000237</v>
      </c>
      <c r="CT98" s="209">
        <f>IFERROR(IF((RD[[#This Row],[220KV_C&amp;R_PQM Import Reading]]-CC97)*1600000&lt;=0,0,(RD[[#This Row],[220KV_C&amp;R_PQM Import Reading]]-CC97)*1600000),"")</f>
        <v>0</v>
      </c>
      <c r="CU98" s="64" t="str">
        <f>IF((RD[[#This Row],[33kV_Aux1 Import Reading]]-CD97)*1000&lt;=0,"",(RD[[#This Row],[33kV_Aux1 Import Reading]]-CD97)*1000)</f>
        <v/>
      </c>
      <c r="CV98" s="227">
        <f>IF((RD[[#This Row],[33kV_Aux2_Import reading]]-CE97)*1000&lt;=0,"",(RD[[#This Row],[33kV_Aux2_Import reading]]-CE97)*1000)</f>
        <v>400.00000000000568</v>
      </c>
      <c r="CW98" s="227">
        <f>IFERROR(RD[[#This Row],[33kV_OG1_Energy (MWh)]]+RD[[#This Row],[33kV_OG2_Energy (MWh)]],"")</f>
        <v>1627000</v>
      </c>
      <c r="CX98" s="227">
        <f>IFERROR(RD[[#This Row],[220kV_TL_TVM Energy (MWh)]]-RD[[#This Row],[220KV_C&amp;R_PQM Import (MWh)]],"")</f>
        <v>1619200.0000000007</v>
      </c>
      <c r="CY98" s="228">
        <f>IFERROR(RD[[#This Row],[33 kV Total Export (MWH)]]/RD[[#This Row],[220 KV Net Export (MWh)]]-1,"")</f>
        <v>4.8171936758889533E-3</v>
      </c>
      <c r="CZ98" s="229">
        <f t="shared" si="102"/>
        <v>50.6</v>
      </c>
      <c r="DA98" s="230">
        <v>96</v>
      </c>
      <c r="DB98" s="231"/>
      <c r="DC98" s="232">
        <f>IFERROR((RD[[#This Row],[Sunset Time (POA&lt;20 W/m2)]]-RD[[#This Row],[Sunrise Time (POA&gt;20 W/m2)]])*24,0)</f>
        <v>12.116666666666669</v>
      </c>
      <c r="DD98" s="70">
        <f>SUM(RD[[#This Row],[33 kV_Wind_F3_Export_Reading3]],CJ98,CK98,CL98,CM98)</f>
        <v>661274.99999998882</v>
      </c>
      <c r="DE98" s="233"/>
      <c r="DF98" s="70">
        <f t="shared" si="103"/>
        <v>968054.99999998428</v>
      </c>
      <c r="DG98" s="189">
        <v>1003.29</v>
      </c>
      <c r="DH98">
        <f>'WTG Reactive Power'!AB96</f>
        <v>35332.600000000006</v>
      </c>
    </row>
    <row r="99" spans="1:112">
      <c r="A99" s="210">
        <f>YEAR(RD[[#This Row],[Date]])+IF(MONTH(RD[[#This Row],[Date]])&gt;=4,1,0)</f>
        <v>2026</v>
      </c>
      <c r="B99" s="210">
        <f>YEAR(RD[[#This Row],[Date]])</f>
        <v>2025</v>
      </c>
      <c r="C99" s="211">
        <f t="shared" si="94"/>
        <v>45839</v>
      </c>
      <c r="D99" s="210">
        <f>DAY(EOMONTH(RD[[#This Row],[Date]],0))</f>
        <v>31</v>
      </c>
      <c r="E99" s="212">
        <f t="shared" si="95"/>
        <v>45839</v>
      </c>
      <c r="F99" s="206">
        <v>0.27083333333333331</v>
      </c>
      <c r="G99" s="206">
        <v>0.77430555555555558</v>
      </c>
      <c r="H99" s="213">
        <v>41556.1</v>
      </c>
      <c r="I99" s="213">
        <v>42508.800000000003</v>
      </c>
      <c r="J99" s="213">
        <v>36210.5</v>
      </c>
      <c r="K99" s="213">
        <v>38144.9</v>
      </c>
      <c r="L99" s="213">
        <v>40843.1</v>
      </c>
      <c r="M99" s="213">
        <v>37046.199999999997</v>
      </c>
      <c r="N99" s="213">
        <v>37884.5</v>
      </c>
      <c r="O99" s="213">
        <v>38950.300000000003</v>
      </c>
      <c r="P99" s="213">
        <v>36278.300000000003</v>
      </c>
      <c r="Q99" s="213">
        <v>38584.199999999997</v>
      </c>
      <c r="R99" s="213">
        <v>37811.800000000003</v>
      </c>
      <c r="S99" s="213">
        <v>36167.5</v>
      </c>
      <c r="T99" s="213">
        <v>40161.300000000003</v>
      </c>
      <c r="U99" s="213">
        <v>37399.5</v>
      </c>
      <c r="V99" s="213">
        <v>43423.199999999997</v>
      </c>
      <c r="W99" s="213">
        <v>42656.3</v>
      </c>
      <c r="X99" s="213">
        <v>43440.2</v>
      </c>
      <c r="Y99" s="213">
        <v>38806</v>
      </c>
      <c r="Z99" s="213">
        <v>40545.599999999999</v>
      </c>
      <c r="AA99" s="213">
        <v>36320.1</v>
      </c>
      <c r="AB99" s="213">
        <v>40152.400000000001</v>
      </c>
      <c r="AC99" s="213">
        <v>38392.5</v>
      </c>
      <c r="AD99" s="213">
        <v>42954.2</v>
      </c>
      <c r="AE99" s="350">
        <v>9.4</v>
      </c>
      <c r="AF99" s="350">
        <v>9.5</v>
      </c>
      <c r="AG99" s="350">
        <v>8.6999999999999993</v>
      </c>
      <c r="AH99" s="350">
        <v>8.8000000000000007</v>
      </c>
      <c r="AI99" s="350">
        <v>9.1999999999999993</v>
      </c>
      <c r="AJ99" s="350">
        <v>8.5</v>
      </c>
      <c r="AK99" s="350">
        <v>8.8000000000000007</v>
      </c>
      <c r="AL99" s="350">
        <v>9.1</v>
      </c>
      <c r="AM99" s="350">
        <v>8.5</v>
      </c>
      <c r="AN99" s="350">
        <v>9</v>
      </c>
      <c r="AO99" s="350">
        <v>9</v>
      </c>
      <c r="AP99" s="350">
        <v>8.5</v>
      </c>
      <c r="AQ99" s="350">
        <v>9.1999999999999993</v>
      </c>
      <c r="AR99" s="350">
        <v>8.6999999999999993</v>
      </c>
      <c r="AS99" s="350">
        <v>9.9</v>
      </c>
      <c r="AT99" s="350">
        <v>9.5</v>
      </c>
      <c r="AU99" s="350">
        <v>9.6</v>
      </c>
      <c r="AV99" s="350">
        <v>9.1</v>
      </c>
      <c r="AW99" s="350">
        <v>9.1999999999999993</v>
      </c>
      <c r="AX99" s="350">
        <v>8.5</v>
      </c>
      <c r="AY99" s="350">
        <v>9.4</v>
      </c>
      <c r="AZ99" s="350">
        <v>9</v>
      </c>
      <c r="BA99" s="350">
        <v>9.3000000000000007</v>
      </c>
      <c r="BB99" s="214">
        <f t="shared" si="96"/>
        <v>388179.8</v>
      </c>
      <c r="BC99" s="216">
        <f t="shared" si="97"/>
        <v>86096.5</v>
      </c>
      <c r="BD99" s="180">
        <f t="shared" si="92"/>
        <v>316320.39999999997</v>
      </c>
      <c r="BE99" s="216">
        <f t="shared" si="98"/>
        <v>38806</v>
      </c>
      <c r="BF99" s="179">
        <f t="shared" si="93"/>
        <v>76834.8</v>
      </c>
      <c r="BG99" s="216">
        <f>SUM(RD[[#This Row],[KUD01]:[KUD23]])</f>
        <v>906237.49999999988</v>
      </c>
      <c r="BH99" s="217">
        <f t="shared" si="99"/>
        <v>9.0100000000000016</v>
      </c>
      <c r="BI99" s="219">
        <f t="shared" si="100"/>
        <v>9.5500000000000007</v>
      </c>
      <c r="BJ99" s="219">
        <f t="shared" si="101"/>
        <v>9.01</v>
      </c>
      <c r="BK99" s="221">
        <f t="shared" ref="BK99:BK121" si="104">AV99</f>
        <v>9.1</v>
      </c>
      <c r="BL99" s="61">
        <f>IFERROR(AVERAGEIF(RD[[#This Row],[WS_KUD07]:[WS_KUD08]],"&lt;&gt;0",RD[[#This Row],[WS_KUD07]:[WS_KUD08]]),"")</f>
        <v>8.9499999999999993</v>
      </c>
      <c r="BM99" s="223">
        <f>IFERROR(AVERAGE(RD[[#This Row],[WS_KUD01]:[WS_KUD23]]),"")</f>
        <v>9.0608695652173896</v>
      </c>
      <c r="BN99" s="224">
        <f>IFERROR(MAX(RD[[#This Row],[WS_KUD01]:[WS_KUD23]]),"")</f>
        <v>9.9</v>
      </c>
      <c r="BO99" s="172">
        <v>650.71500000000003</v>
      </c>
      <c r="BP99" s="348">
        <v>988.41</v>
      </c>
      <c r="BQ99" s="348">
        <v>110.31399999999999</v>
      </c>
      <c r="BR99" s="348">
        <v>325.59699999999998</v>
      </c>
      <c r="BS99" s="348">
        <v>220.905</v>
      </c>
      <c r="BT99" s="348">
        <v>324.16000000000003</v>
      </c>
      <c r="BU99" s="348"/>
      <c r="BV99" s="348">
        <v>114.286</v>
      </c>
      <c r="BW99" s="172">
        <v>216722</v>
      </c>
      <c r="BX99" s="172">
        <v>296540</v>
      </c>
      <c r="BY99" s="348">
        <v>155.92099999999999</v>
      </c>
      <c r="BZ99" s="348">
        <v>129.16999999999999</v>
      </c>
      <c r="CA99" s="348">
        <v>318.29599999999999</v>
      </c>
      <c r="CB99" s="348">
        <v>143.41999999999999</v>
      </c>
      <c r="CC99" s="348">
        <v>0.123</v>
      </c>
      <c r="CD99" s="172">
        <v>0</v>
      </c>
      <c r="CE99" s="348">
        <v>243.959</v>
      </c>
      <c r="CF99" s="360">
        <f>IF((RD[[#This Row],[33 kV_Wind_F1_Export reading]]-BO98)*165000&lt;=0,"",(RD[[#This Row],[33 kV_Wind_F1_Export reading]]-BO98)*165000)</f>
        <v>414315.00000001333</v>
      </c>
      <c r="CG99" s="227" t="str">
        <f>IF((RD[[#This Row],[33 kV_Wind_F2_Export_reading]]-BP98)*165000&lt;=0,"",(RD[[#This Row],[33 kV_Wind_F2_Export_reading]]-BP98)*165000)</f>
        <v/>
      </c>
      <c r="CH99" s="64">
        <f>IF((RD[[#This Row],[33 kV_Wind_F3_Export_Reading]]-BQ98)*225000&lt;=0,"",(RD[[#This Row],[33 kV_Wind_F3_Export_Reading]]-BQ98)*225000)</f>
        <v>149849.99999999927</v>
      </c>
      <c r="CI99" s="64">
        <f>IF((RD[[#This Row],[33 kV_Wind_F4_Export Reading]]-BR98)*165000&lt;=0,"",(RD[[#This Row],[33 kV_Wind_F4_Export Reading]]-BR98)*165000)</f>
        <v>459690.00000000023</v>
      </c>
      <c r="CJ99" s="209">
        <f>IF((RD[[#This Row],[33 kV_Solar_F1_Export Reading]]-BS98)*225000&lt;=0,"",(RD[[#This Row],[33 kV_Solar_F1_Export Reading]]-BS98)*225000)</f>
        <v>116550.00000000016</v>
      </c>
      <c r="CK99" s="74">
        <f>IF((RD[[#This Row],[33kV_Solar_F2_Export Reading]]-BT98)*225000&lt;=0,"",(RD[[#This Row],[33kV_Solar_F2_Export Reading]]-BT98)*225000)</f>
        <v>108900.0000000084</v>
      </c>
      <c r="CL99" s="209" t="str">
        <f>IF((RD[[#This Row],[33 kV_Solar_F3_Export reading]]-BU98)*225000&lt;=0,"",(RD[[#This Row],[33 kV_Solar_F3_Export reading]]-BU98)*225000)</f>
        <v/>
      </c>
      <c r="CM99" s="63">
        <f>IF((RD[[#This Row],[32kV_Solar_F4_Export reading]]-BV98)*225000&lt;=0,"",(RD[[#This Row],[32kV_Solar_F4_Export reading]]-BV98)*225000)</f>
        <v>122175.00000000143</v>
      </c>
      <c r="CN99" s="227">
        <f>IF((RD[[#This Row],[33kV_OG1_Export reading]]-BW98)*1000&lt;=0,0,(RD[[#This Row],[33kV_OG1_Export reading]]-BW98)*1000)</f>
        <v>348000</v>
      </c>
      <c r="CO99" s="227">
        <f>IFERROR(IF((RD[[#This Row],[33kV_OG2_Export reading]]-BX98)*1000&lt;=0,0,(RD[[#This Row],[33kV_OG2_Export reading]]-BX98)*1000),0)</f>
        <v>1035000</v>
      </c>
      <c r="CP99" s="74">
        <f>IF((RD[[#This Row],[220kV_TX1_Export reading]]-BY98)*800000&lt;=0,0,(RD[[#This Row],[220kV_TX1_Export reading]]-BY98)*800000)</f>
        <v>343200.00000000163</v>
      </c>
      <c r="CQ99" s="209">
        <f>IF((RD[[#This Row],[220kV_Tx2_Export reading]]-BZ98)*800000&lt;=0,0,(RD[[#This Row],[220kV_Tx2_Export reading]]-BZ98)*800000)</f>
        <v>1019999.9999999931</v>
      </c>
      <c r="CR99" s="227">
        <f>IF((RD[[#This Row],[220kV_TL_TVM Export Reading]]-CA98)*1600000&lt;=0,0,(RD[[#This Row],[220kV_TL_TVM Export Reading]]-CA98)*1600000)</f>
        <v>1363199.9999999607</v>
      </c>
      <c r="CS99" s="227">
        <f>IF((RD[[#This Row],[220kV_C&amp;R_PQM reading]]-CB98)*1600000&lt;=0,"",(RD[[#This Row],[220kV_C&amp;R_PQM reading]]-CB98)*1600000)</f>
        <v>1363199.9999999607</v>
      </c>
      <c r="CT99" s="209">
        <f>IFERROR(IF((RD[[#This Row],[220KV_C&amp;R_PQM Import Reading]]-CC98)*1600000&lt;=0,0,(RD[[#This Row],[220KV_C&amp;R_PQM Import Reading]]-CC98)*1600000),"")</f>
        <v>0</v>
      </c>
      <c r="CU99" s="64" t="str">
        <f>IF((RD[[#This Row],[33kV_Aux1 Import Reading]]-CD98)*1000&lt;=0,"",(RD[[#This Row],[33kV_Aux1 Import Reading]]-CD98)*1000)</f>
        <v/>
      </c>
      <c r="CV99" s="227">
        <f>IF((RD[[#This Row],[33kV_Aux2_Import reading]]-CE98)*1000&lt;=0,"",(RD[[#This Row],[33kV_Aux2_Import reading]]-CE98)*1000)</f>
        <v>379.99999999999545</v>
      </c>
      <c r="CW99" s="227">
        <f>IFERROR(RD[[#This Row],[33kV_OG1_Energy (MWh)]]+RD[[#This Row],[33kV_OG2_Energy (MWh)]],"")</f>
        <v>1383000</v>
      </c>
      <c r="CX99" s="227">
        <f>IFERROR(RD[[#This Row],[220kV_TL_TVM Energy (MWh)]]-RD[[#This Row],[220KV_C&amp;R_PQM Import (MWh)]],"")</f>
        <v>1363199.9999999607</v>
      </c>
      <c r="CY99" s="228">
        <f>IFERROR(RD[[#This Row],[33 kV Total Export (MWH)]]/RD[[#This Row],[220 KV Net Export (MWh)]]-1,"")</f>
        <v>1.4524647887353304E-2</v>
      </c>
      <c r="CZ99" s="229">
        <f t="shared" si="102"/>
        <v>50.6</v>
      </c>
      <c r="DA99" s="230">
        <v>96</v>
      </c>
      <c r="DB99" s="231"/>
      <c r="DC99" s="232">
        <f>IFERROR((RD[[#This Row],[Sunset Time (POA&lt;20 W/m2)]]-RD[[#This Row],[Sunrise Time (POA&gt;20 W/m2)]])*24,0)</f>
        <v>12.083333333333336</v>
      </c>
      <c r="DD99" s="70">
        <f>SUM(RD[[#This Row],[33 kV_Wind_F3_Export_Reading3]],CJ99,CK99,CL99,CM99)</f>
        <v>497475.0000000092</v>
      </c>
      <c r="DE99" s="233"/>
      <c r="DF99" s="70">
        <f t="shared" si="103"/>
        <v>874005.0000000135</v>
      </c>
      <c r="DG99" s="230">
        <v>906.23</v>
      </c>
      <c r="DH99">
        <f>'WTG Reactive Power'!AB97</f>
        <v>24078.6</v>
      </c>
    </row>
    <row r="100" spans="1:112">
      <c r="A100" s="210">
        <f>YEAR(RD[[#This Row],[Date]])+IF(MONTH(RD[[#This Row],[Date]])&gt;=4,1,0)</f>
        <v>2026</v>
      </c>
      <c r="B100" s="210">
        <f>YEAR(RD[[#This Row],[Date]])</f>
        <v>2025</v>
      </c>
      <c r="C100" s="211">
        <f t="shared" si="94"/>
        <v>45839</v>
      </c>
      <c r="D100" s="210">
        <f>DAY(EOMONTH(RD[[#This Row],[Date]],0))</f>
        <v>31</v>
      </c>
      <c r="E100" s="212">
        <f t="shared" si="95"/>
        <v>45840</v>
      </c>
      <c r="F100" s="206">
        <v>0.2722222222222222</v>
      </c>
      <c r="G100" s="206">
        <v>0.77569444444444446</v>
      </c>
      <c r="H100" s="213">
        <v>41236</v>
      </c>
      <c r="I100" s="213">
        <v>40556</v>
      </c>
      <c r="J100" s="213">
        <v>35781</v>
      </c>
      <c r="K100" s="213">
        <v>36403</v>
      </c>
      <c r="L100" s="213">
        <v>38599</v>
      </c>
      <c r="M100" s="213">
        <v>37152</v>
      </c>
      <c r="N100" s="213">
        <v>36901</v>
      </c>
      <c r="O100" s="213">
        <v>38422</v>
      </c>
      <c r="P100" s="213">
        <v>35801</v>
      </c>
      <c r="Q100" s="213">
        <v>37219</v>
      </c>
      <c r="R100" s="213">
        <v>37380</v>
      </c>
      <c r="S100" s="213">
        <v>36827</v>
      </c>
      <c r="T100" s="213">
        <v>39048</v>
      </c>
      <c r="U100" s="213">
        <v>37246</v>
      </c>
      <c r="V100" s="213">
        <v>41913</v>
      </c>
      <c r="W100" s="213">
        <v>41153</v>
      </c>
      <c r="X100" s="213">
        <v>41837</v>
      </c>
      <c r="Y100" s="213">
        <v>38134</v>
      </c>
      <c r="Z100" s="213">
        <v>38996</v>
      </c>
      <c r="AA100" s="213">
        <v>36839</v>
      </c>
      <c r="AB100" s="213">
        <v>39115</v>
      </c>
      <c r="AC100" s="213">
        <v>37347</v>
      </c>
      <c r="AD100" s="213">
        <v>41892</v>
      </c>
      <c r="AE100" s="350">
        <v>9.1</v>
      </c>
      <c r="AF100" s="350">
        <v>9</v>
      </c>
      <c r="AG100" s="350">
        <v>8.6</v>
      </c>
      <c r="AH100" s="350">
        <v>8.6</v>
      </c>
      <c r="AI100" s="350">
        <v>8.9</v>
      </c>
      <c r="AJ100" s="350">
        <v>8.5</v>
      </c>
      <c r="AK100" s="350">
        <v>8.6</v>
      </c>
      <c r="AL100" s="350">
        <v>8.8000000000000007</v>
      </c>
      <c r="AM100" s="350">
        <v>8.4</v>
      </c>
      <c r="AN100" s="350">
        <v>8.5</v>
      </c>
      <c r="AO100" s="350">
        <v>8.9</v>
      </c>
      <c r="AP100" s="350">
        <v>8.6</v>
      </c>
      <c r="AQ100" s="350">
        <v>9</v>
      </c>
      <c r="AR100" s="350">
        <v>8.6</v>
      </c>
      <c r="AS100" s="350">
        <v>9.5</v>
      </c>
      <c r="AT100" s="350">
        <v>9</v>
      </c>
      <c r="AU100" s="350">
        <v>9.1</v>
      </c>
      <c r="AV100" s="350">
        <v>8.8000000000000007</v>
      </c>
      <c r="AW100" s="350">
        <v>8.8000000000000007</v>
      </c>
      <c r="AX100" s="350">
        <v>8.5</v>
      </c>
      <c r="AY100" s="350">
        <v>9</v>
      </c>
      <c r="AZ100" s="350">
        <v>8.6999999999999993</v>
      </c>
      <c r="BA100" s="350">
        <v>8.9</v>
      </c>
      <c r="BB100" s="214">
        <f t="shared" si="96"/>
        <v>382485</v>
      </c>
      <c r="BC100" s="216">
        <f t="shared" si="97"/>
        <v>82990</v>
      </c>
      <c r="BD100" s="180">
        <f t="shared" si="92"/>
        <v>306865</v>
      </c>
      <c r="BE100" s="216">
        <f t="shared" si="98"/>
        <v>38134</v>
      </c>
      <c r="BF100" s="179">
        <f t="shared" si="93"/>
        <v>75323</v>
      </c>
      <c r="BG100" s="216">
        <f>SUM(RD[[#This Row],[KUD01]:[KUD23]])</f>
        <v>885797</v>
      </c>
      <c r="BH100" s="217">
        <f t="shared" si="99"/>
        <v>8.81</v>
      </c>
      <c r="BI100" s="219">
        <f t="shared" si="100"/>
        <v>9.0500000000000007</v>
      </c>
      <c r="BJ100" s="219">
        <f t="shared" si="101"/>
        <v>8.740000000000002</v>
      </c>
      <c r="BK100" s="221">
        <f t="shared" si="104"/>
        <v>8.8000000000000007</v>
      </c>
      <c r="BL100" s="61">
        <f>IFERROR(AVERAGEIF(RD[[#This Row],[WS_KUD07]:[WS_KUD08]],"&lt;&gt;0",RD[[#This Row],[WS_KUD07]:[WS_KUD08]]),"")</f>
        <v>8.6999999999999993</v>
      </c>
      <c r="BM100" s="223">
        <f>IFERROR(AVERAGE(RD[[#This Row],[WS_KUD01]:[WS_KUD23]]),"")</f>
        <v>8.8000000000000007</v>
      </c>
      <c r="BN100" s="224">
        <f>IFERROR(MAX(RD[[#This Row],[WS_KUD01]:[WS_KUD23]]),"")</f>
        <v>9.5</v>
      </c>
      <c r="BO100" s="172">
        <v>653.19600000000003</v>
      </c>
      <c r="BP100" s="348">
        <v>988.41</v>
      </c>
      <c r="BQ100" s="349">
        <v>110.944</v>
      </c>
      <c r="BR100" s="349">
        <v>328.30799999999999</v>
      </c>
      <c r="BS100" s="349">
        <v>221.43899999999999</v>
      </c>
      <c r="BT100" s="349">
        <v>324.678</v>
      </c>
      <c r="BU100" s="349"/>
      <c r="BV100" s="349">
        <v>114.797</v>
      </c>
      <c r="BW100" s="172">
        <v>217074</v>
      </c>
      <c r="BX100" s="172">
        <v>297546</v>
      </c>
      <c r="BY100" s="349">
        <v>156.35599999999999</v>
      </c>
      <c r="BZ100" s="349">
        <v>130.39400000000001</v>
      </c>
      <c r="CA100" s="349">
        <v>319.13400000000001</v>
      </c>
      <c r="CB100" s="349">
        <v>144.25800000000001</v>
      </c>
      <c r="CC100" s="348">
        <v>0.123</v>
      </c>
      <c r="CD100" s="172">
        <v>0</v>
      </c>
      <c r="CE100" s="349">
        <v>244.31899999999999</v>
      </c>
      <c r="CF100" s="360">
        <f>IF((RD[[#This Row],[33 kV_Wind_F1_Export reading]]-BO99)*165000&lt;=0,"",(RD[[#This Row],[33 kV_Wind_F1_Export reading]]-BO99)*165000)</f>
        <v>409364.99999999913</v>
      </c>
      <c r="CG100" s="227" t="str">
        <f>IF((RD[[#This Row],[33 kV_Wind_F2_Export_reading]]-BP99)*165000&lt;=0,"",(RD[[#This Row],[33 kV_Wind_F2_Export_reading]]-BP99)*165000)</f>
        <v/>
      </c>
      <c r="CH100" s="64">
        <f>IF((RD[[#This Row],[33 kV_Wind_F3_Export_Reading]]-BQ99)*225000&lt;=0,"",(RD[[#This Row],[33 kV_Wind_F3_Export_Reading]]-BQ99)*225000)</f>
        <v>141750.00000000218</v>
      </c>
      <c r="CI100" s="64">
        <f>IF((RD[[#This Row],[33 kV_Wind_F4_Export Reading]]-BR99)*165000&lt;=0,"",(RD[[#This Row],[33 kV_Wind_F4_Export Reading]]-BR99)*165000)</f>
        <v>447315.0000000021</v>
      </c>
      <c r="CJ100" s="209">
        <f>IF((RD[[#This Row],[33 kV_Solar_F1_Export Reading]]-BS99)*225000&lt;=0,"",(RD[[#This Row],[33 kV_Solar_F1_Export Reading]]-BS99)*225000)</f>
        <v>120149.99999999815</v>
      </c>
      <c r="CK100" s="74">
        <f>IF((RD[[#This Row],[33kV_Solar_F2_Export Reading]]-BT99)*225000&lt;=0,"",(RD[[#This Row],[33kV_Solar_F2_Export Reading]]-BT99)*225000)</f>
        <v>116549.99999999376</v>
      </c>
      <c r="CL100" s="209" t="str">
        <f>IF((RD[[#This Row],[33 kV_Solar_F3_Export reading]]-BU99)*225000&lt;=0,"",(RD[[#This Row],[33 kV_Solar_F3_Export reading]]-BU99)*225000)</f>
        <v/>
      </c>
      <c r="CM100" s="63">
        <f>IF((RD[[#This Row],[32kV_Solar_F4_Export reading]]-BV99)*225000&lt;=0,"",(RD[[#This Row],[32kV_Solar_F4_Export reading]]-BV99)*225000)</f>
        <v>114974.99999999903</v>
      </c>
      <c r="CN100" s="227">
        <f>IF((RD[[#This Row],[33kV_OG1_Export reading]]-BW99)*1000&lt;=0,0,(RD[[#This Row],[33kV_OG1_Export reading]]-BW99)*1000)</f>
        <v>352000</v>
      </c>
      <c r="CO100" s="227">
        <f>IFERROR(IF((RD[[#This Row],[33kV_OG2_Export reading]]-BX99)*1000&lt;=0,0,(RD[[#This Row],[33kV_OG2_Export reading]]-BX99)*1000),0)</f>
        <v>1006000</v>
      </c>
      <c r="CP100" s="74">
        <f>IF((RD[[#This Row],[220kV_TX1_Export reading]]-BY99)*800000&lt;=0,0,(RD[[#This Row],[220kV_TX1_Export reading]]-BY99)*800000)</f>
        <v>348000.0000000018</v>
      </c>
      <c r="CQ100" s="209">
        <f>IF((RD[[#This Row],[220kV_Tx2_Export reading]]-BZ99)*800000&lt;=0,0,(RD[[#This Row],[220kV_Tx2_Export reading]]-BZ99)*800000)</f>
        <v>979200.00000001432</v>
      </c>
      <c r="CR100" s="227">
        <f>IF((RD[[#This Row],[220kV_TL_TVM Export Reading]]-CA99)*1600000&lt;=0,0,(RD[[#This Row],[220kV_TL_TVM Export Reading]]-CA99)*1600000)</f>
        <v>1340800.0000000356</v>
      </c>
      <c r="CS100" s="227">
        <f>IF((RD[[#This Row],[220kV_C&amp;R_PQM reading]]-CB99)*1600000&lt;=0,"",(RD[[#This Row],[220kV_C&amp;R_PQM reading]]-CB99)*1600000)</f>
        <v>1340800.0000000356</v>
      </c>
      <c r="CT100" s="209">
        <f>IFERROR(IF((RD[[#This Row],[220KV_C&amp;R_PQM Import Reading]]-CC99)*1600000&lt;=0,0,(RD[[#This Row],[220KV_C&amp;R_PQM Import Reading]]-CC99)*1600000),"")</f>
        <v>0</v>
      </c>
      <c r="CU100" s="64" t="str">
        <f>IF((RD[[#This Row],[33kV_Aux1 Import Reading]]-CD99)*1000&lt;=0,"",(RD[[#This Row],[33kV_Aux1 Import Reading]]-CD99)*1000)</f>
        <v/>
      </c>
      <c r="CV100" s="227">
        <f>IF((RD[[#This Row],[33kV_Aux2_Import reading]]-CE99)*1000&lt;=0,"",(RD[[#This Row],[33kV_Aux2_Import reading]]-CE99)*1000)</f>
        <v>359.99999999998522</v>
      </c>
      <c r="CW100" s="227">
        <f>IFERROR(RD[[#This Row],[33kV_OG1_Energy (MWh)]]+RD[[#This Row],[33kV_OG2_Energy (MWh)]],"")</f>
        <v>1358000</v>
      </c>
      <c r="CX100" s="227">
        <f>IFERROR(RD[[#This Row],[220kV_TL_TVM Energy (MWh)]]-RD[[#This Row],[220KV_C&amp;R_PQM Import (MWh)]],"")</f>
        <v>1340800.0000000356</v>
      </c>
      <c r="CY100" s="228">
        <f>IFERROR(RD[[#This Row],[33 kV Total Export (MWH)]]/RD[[#This Row],[220 KV Net Export (MWh)]]-1,"")</f>
        <v>1.2828162291142586E-2</v>
      </c>
      <c r="CZ100" s="229">
        <f t="shared" si="102"/>
        <v>50.6</v>
      </c>
      <c r="DA100" s="230">
        <v>96</v>
      </c>
      <c r="DB100" s="231"/>
      <c r="DC100" s="232">
        <f>IFERROR((RD[[#This Row],[Sunset Time (POA&lt;20 W/m2)]]-RD[[#This Row],[Sunrise Time (POA&gt;20 W/m2)]])*24,0)</f>
        <v>12.083333333333336</v>
      </c>
      <c r="DD100" s="70">
        <f>SUM(RD[[#This Row],[33 kV_Wind_F3_Export_Reading3]],CJ100,CK100,CL100,CM100)</f>
        <v>493424.99999999313</v>
      </c>
      <c r="DE100" s="233"/>
      <c r="DF100" s="70">
        <f t="shared" si="103"/>
        <v>856680.00000000116</v>
      </c>
      <c r="DG100" s="230">
        <v>885.8</v>
      </c>
      <c r="DH100">
        <f>'WTG Reactive Power'!AB98</f>
        <v>110675.19999999998</v>
      </c>
    </row>
    <row r="101" spans="1:112">
      <c r="A101" s="210">
        <f>YEAR(RD[[#This Row],[Date]])+IF(MONTH(RD[[#This Row],[Date]])&gt;=4,1,0)</f>
        <v>2026</v>
      </c>
      <c r="B101" s="210">
        <f>YEAR(RD[[#This Row],[Date]])</f>
        <v>2025</v>
      </c>
      <c r="C101" s="211">
        <f t="shared" si="94"/>
        <v>45839</v>
      </c>
      <c r="D101" s="210">
        <f>DAY(EOMONTH(RD[[#This Row],[Date]],0))</f>
        <v>31</v>
      </c>
      <c r="E101" s="212">
        <f t="shared" si="95"/>
        <v>45841</v>
      </c>
      <c r="F101" s="206">
        <v>0.26458333333333334</v>
      </c>
      <c r="G101" s="206">
        <v>0.77638888888888891</v>
      </c>
      <c r="H101" s="213">
        <v>44432</v>
      </c>
      <c r="I101" s="213">
        <v>42776</v>
      </c>
      <c r="J101" s="213">
        <v>36434</v>
      </c>
      <c r="K101" s="213">
        <v>38395</v>
      </c>
      <c r="L101" s="213">
        <v>41322</v>
      </c>
      <c r="M101" s="213">
        <v>37978</v>
      </c>
      <c r="N101" s="213">
        <v>37552</v>
      </c>
      <c r="O101" s="213">
        <v>41023</v>
      </c>
      <c r="P101" s="213">
        <v>40489</v>
      </c>
      <c r="Q101" s="213">
        <v>39697</v>
      </c>
      <c r="R101" s="213">
        <v>38215</v>
      </c>
      <c r="S101" s="213">
        <v>39935</v>
      </c>
      <c r="T101" s="213">
        <v>40493</v>
      </c>
      <c r="U101" s="213">
        <v>39656</v>
      </c>
      <c r="V101" s="213">
        <v>44382</v>
      </c>
      <c r="W101" s="213">
        <v>44900</v>
      </c>
      <c r="X101" s="213">
        <v>43815</v>
      </c>
      <c r="Y101" s="213">
        <v>40398</v>
      </c>
      <c r="Z101" s="213">
        <v>41907</v>
      </c>
      <c r="AA101" s="213">
        <v>39728</v>
      </c>
      <c r="AB101" s="213">
        <v>40752</v>
      </c>
      <c r="AC101" s="213">
        <v>41786</v>
      </c>
      <c r="AD101" s="213">
        <v>42830</v>
      </c>
      <c r="AE101" s="350">
        <v>9.6999999999999993</v>
      </c>
      <c r="AF101" s="350">
        <v>9.6</v>
      </c>
      <c r="AG101" s="350">
        <v>8.8000000000000007</v>
      </c>
      <c r="AH101" s="350">
        <v>8.9</v>
      </c>
      <c r="AI101" s="350">
        <v>9.3000000000000007</v>
      </c>
      <c r="AJ101" s="350">
        <v>8.6999999999999993</v>
      </c>
      <c r="AK101" s="350">
        <v>8.8000000000000007</v>
      </c>
      <c r="AL101" s="350">
        <v>9.4</v>
      </c>
      <c r="AM101" s="350">
        <v>9.1</v>
      </c>
      <c r="AN101" s="350">
        <v>9</v>
      </c>
      <c r="AO101" s="350">
        <v>9.1</v>
      </c>
      <c r="AP101" s="350">
        <v>9</v>
      </c>
      <c r="AQ101" s="350">
        <v>9.1999999999999993</v>
      </c>
      <c r="AR101" s="350">
        <v>9</v>
      </c>
      <c r="AS101" s="350">
        <v>10.1</v>
      </c>
      <c r="AT101" s="350">
        <v>9.8000000000000007</v>
      </c>
      <c r="AU101" s="350">
        <v>9.8000000000000007</v>
      </c>
      <c r="AV101" s="350">
        <v>9.3000000000000007</v>
      </c>
      <c r="AW101" s="350">
        <v>9.4</v>
      </c>
      <c r="AX101" s="350">
        <v>9</v>
      </c>
      <c r="AY101" s="350">
        <v>9.6</v>
      </c>
      <c r="AZ101" s="350">
        <v>9.4</v>
      </c>
      <c r="BA101" s="350">
        <v>9.4</v>
      </c>
      <c r="BB101" s="214">
        <f t="shared" si="96"/>
        <v>404879</v>
      </c>
      <c r="BC101" s="216">
        <f t="shared" si="97"/>
        <v>88715</v>
      </c>
      <c r="BD101" s="180">
        <f t="shared" si="92"/>
        <v>326328</v>
      </c>
      <c r="BE101" s="216">
        <f t="shared" si="98"/>
        <v>40398</v>
      </c>
      <c r="BF101" s="179">
        <f t="shared" si="93"/>
        <v>78575</v>
      </c>
      <c r="BG101" s="216">
        <f>SUM(RD[[#This Row],[KUD01]:[KUD23]])</f>
        <v>938895</v>
      </c>
      <c r="BH101" s="217">
        <f t="shared" si="99"/>
        <v>9.23</v>
      </c>
      <c r="BI101" s="219">
        <f t="shared" si="100"/>
        <v>9.8000000000000007</v>
      </c>
      <c r="BJ101" s="219">
        <f t="shared" si="101"/>
        <v>9.2200000000000006</v>
      </c>
      <c r="BK101" s="221">
        <f t="shared" si="104"/>
        <v>9.3000000000000007</v>
      </c>
      <c r="BL101" s="61">
        <f>IFERROR(AVERAGEIF(RD[[#This Row],[WS_KUD07]:[WS_KUD08]],"&lt;&gt;0",RD[[#This Row],[WS_KUD07]:[WS_KUD08]]),"")</f>
        <v>9.1000000000000014</v>
      </c>
      <c r="BM101" s="223">
        <f>IFERROR(AVERAGE(RD[[#This Row],[WS_KUD01]:[WS_KUD23]]),"")</f>
        <v>9.2782608695652193</v>
      </c>
      <c r="BN101" s="224">
        <f>IFERROR(MAX(RD[[#This Row],[WS_KUD01]:[WS_KUD23]]),"")</f>
        <v>10.1</v>
      </c>
      <c r="BO101" s="172">
        <v>655.81100000000004</v>
      </c>
      <c r="BP101" s="348">
        <v>988.41</v>
      </c>
      <c r="BQ101" s="349">
        <v>111.57599999999999</v>
      </c>
      <c r="BR101" s="349">
        <v>331.154</v>
      </c>
      <c r="BS101" s="349">
        <v>222.024</v>
      </c>
      <c r="BT101" s="349">
        <v>325.20699999999999</v>
      </c>
      <c r="BU101" s="349"/>
      <c r="BV101" s="349">
        <v>115.30500000000001</v>
      </c>
      <c r="BW101" s="172">
        <v>217439</v>
      </c>
      <c r="BX101" s="172">
        <v>298599</v>
      </c>
      <c r="BY101" s="349">
        <v>156.80799999999999</v>
      </c>
      <c r="BZ101" s="349">
        <v>131.69200000000001</v>
      </c>
      <c r="CA101" s="349">
        <v>320.00799999999998</v>
      </c>
      <c r="CB101" s="349">
        <v>145.125</v>
      </c>
      <c r="CC101" s="349">
        <v>0.123</v>
      </c>
      <c r="CD101" s="172">
        <v>0</v>
      </c>
      <c r="CE101" s="349">
        <v>244.68899999999999</v>
      </c>
      <c r="CF101" s="360">
        <f>IF((RD[[#This Row],[33 kV_Wind_F1_Export reading]]-BO100)*165000&lt;=0,"",(RD[[#This Row],[33 kV_Wind_F1_Export reading]]-BO100)*165000)</f>
        <v>431475.00000000151</v>
      </c>
      <c r="CG101" s="227" t="str">
        <f>IF((RD[[#This Row],[33 kV_Wind_F2_Export_reading]]-BP100)*165000&lt;=0,"",(RD[[#This Row],[33 kV_Wind_F2_Export_reading]]-BP100)*165000)</f>
        <v/>
      </c>
      <c r="CH101" s="64">
        <f>IF((RD[[#This Row],[33 kV_Wind_F3_Export_Reading]]-BQ100)*225000&lt;=0,"",(RD[[#This Row],[33 kV_Wind_F3_Export_Reading]]-BQ100)*225000)</f>
        <v>142199.99999999793</v>
      </c>
      <c r="CI101" s="64">
        <f>IF((RD[[#This Row],[33 kV_Wind_F4_Export Reading]]-BR100)*165000&lt;=0,"",(RD[[#This Row],[33 kV_Wind_F4_Export Reading]]-BR100)*165000)</f>
        <v>469590.00000000058</v>
      </c>
      <c r="CJ101" s="209">
        <f>IF((RD[[#This Row],[33 kV_Solar_F1_Export Reading]]-BS100)*225000&lt;=0,"",(RD[[#This Row],[33 kV_Solar_F1_Export Reading]]-BS100)*225000)</f>
        <v>131625.0000000018</v>
      </c>
      <c r="CK101" s="74">
        <f>IF((RD[[#This Row],[33kV_Solar_F2_Export Reading]]-BT100)*225000&lt;=0,"",(RD[[#This Row],[33kV_Solar_F2_Export Reading]]-BT100)*225000)</f>
        <v>119024.99999999919</v>
      </c>
      <c r="CL101" s="209" t="str">
        <f>IF((RD[[#This Row],[33 kV_Solar_F3_Export reading]]-BU100)*225000&lt;=0,"",(RD[[#This Row],[33 kV_Solar_F3_Export reading]]-BU100)*225000)</f>
        <v/>
      </c>
      <c r="CM101" s="63">
        <f>IF((RD[[#This Row],[32kV_Solar_F4_Export reading]]-BV100)*225000&lt;=0,"",(RD[[#This Row],[32kV_Solar_F4_Export reading]]-BV100)*225000)</f>
        <v>114300.0000000022</v>
      </c>
      <c r="CN101" s="227">
        <f>IF((RD[[#This Row],[33kV_OG1_Export reading]]-BW100)*1000&lt;=0,0,(RD[[#This Row],[33kV_OG1_Export reading]]-BW100)*1000)</f>
        <v>365000</v>
      </c>
      <c r="CO101" s="227">
        <f>IFERROR(IF((RD[[#This Row],[33kV_OG2_Export reading]]-BX100)*1000&lt;=0,0,(RD[[#This Row],[33kV_OG2_Export reading]]-BX100)*1000),0)</f>
        <v>1053000</v>
      </c>
      <c r="CP101" s="74">
        <f>IF((RD[[#This Row],[220kV_TX1_Export reading]]-BY100)*800000&lt;=0,0,(RD[[#This Row],[220kV_TX1_Export reading]]-BY100)*800000)</f>
        <v>361599.99999999854</v>
      </c>
      <c r="CQ101" s="209">
        <f>IF((RD[[#This Row],[220kV_Tx2_Export reading]]-BZ100)*800000&lt;=0,0,(RD[[#This Row],[220kV_Tx2_Export reading]]-BZ100)*800000)</f>
        <v>1038400.0000000014</v>
      </c>
      <c r="CR101" s="227">
        <f>IF((RD[[#This Row],[220kV_TL_TVM Export Reading]]-CA100)*1600000&lt;=0,0,(RD[[#This Row],[220kV_TL_TVM Export Reading]]-CA100)*1600000)</f>
        <v>1398399.9999999469</v>
      </c>
      <c r="CS101" s="227">
        <f>IF((RD[[#This Row],[220kV_C&amp;R_PQM reading]]-CB100)*1600000&lt;=0,"",(RD[[#This Row],[220kV_C&amp;R_PQM reading]]-CB100)*1600000)</f>
        <v>1387199.9999999844</v>
      </c>
      <c r="CT101" s="209">
        <f>IFERROR(IF((RD[[#This Row],[220KV_C&amp;R_PQM Import Reading]]-CC100)*1600000&lt;=0,0,(RD[[#This Row],[220KV_C&amp;R_PQM Import Reading]]-CC100)*1600000),"")</f>
        <v>0</v>
      </c>
      <c r="CU101" s="64" t="str">
        <f>IF((RD[[#This Row],[33kV_Aux1 Import Reading]]-CD100)*1000&lt;=0,"",(RD[[#This Row],[33kV_Aux1 Import Reading]]-CD100)*1000)</f>
        <v/>
      </c>
      <c r="CV101" s="227">
        <f>IF((RD[[#This Row],[33kV_Aux2_Import reading]]-CE100)*1000&lt;=0,"",(RD[[#This Row],[33kV_Aux2_Import reading]]-CE100)*1000)</f>
        <v>370.00000000000455</v>
      </c>
      <c r="CW101" s="227">
        <f>IFERROR(RD[[#This Row],[33kV_OG1_Energy (MWh)]]+RD[[#This Row],[33kV_OG2_Energy (MWh)]],"")</f>
        <v>1418000</v>
      </c>
      <c r="CX101" s="227">
        <f>IFERROR(RD[[#This Row],[220kV_TL_TVM Energy (MWh)]]-RD[[#This Row],[220KV_C&amp;R_PQM Import (MWh)]],"")</f>
        <v>1398399.9999999469</v>
      </c>
      <c r="CY101" s="228">
        <f>IFERROR(RD[[#This Row],[33 kV Total Export (MWH)]]/RD[[#This Row],[220 KV Net Export (MWh)]]-1,"")</f>
        <v>1.4016018306674649E-2</v>
      </c>
      <c r="CZ101" s="229">
        <f t="shared" si="102"/>
        <v>50.6</v>
      </c>
      <c r="DA101" s="230">
        <v>96</v>
      </c>
      <c r="DB101" s="231"/>
      <c r="DC101" s="232">
        <f>IFERROR((RD[[#This Row],[Sunset Time (POA&lt;20 W/m2)]]-RD[[#This Row],[Sunrise Time (POA&gt;20 W/m2)]])*24,0)</f>
        <v>12.283333333333335</v>
      </c>
      <c r="DD101" s="70">
        <f>SUM(RD[[#This Row],[33 kV_Wind_F3_Export_Reading3]],CJ101,CK101,CL101,CM101)</f>
        <v>507150.00000000116</v>
      </c>
      <c r="DE101" s="233"/>
      <c r="DF101" s="70">
        <f t="shared" si="103"/>
        <v>901065.0000000021</v>
      </c>
      <c r="DG101" s="230">
        <v>939</v>
      </c>
      <c r="DH101">
        <f>'WTG Reactive Power'!AB99</f>
        <v>21966.800000000003</v>
      </c>
    </row>
    <row r="102" spans="1:112">
      <c r="A102" s="210">
        <f>YEAR(RD[[#This Row],[Date]])+IF(MONTH(RD[[#This Row],[Date]])&gt;=4,1,0)</f>
        <v>2026</v>
      </c>
      <c r="B102" s="210">
        <f>YEAR(RD[[#This Row],[Date]])</f>
        <v>2025</v>
      </c>
      <c r="C102" s="211">
        <f t="shared" si="94"/>
        <v>45839</v>
      </c>
      <c r="D102" s="210">
        <f>DAY(EOMONTH(RD[[#This Row],[Date]],0))</f>
        <v>31</v>
      </c>
      <c r="E102" s="212">
        <f t="shared" si="95"/>
        <v>45842</v>
      </c>
      <c r="F102" s="206">
        <v>0.26527777777777778</v>
      </c>
      <c r="G102" s="206">
        <v>0.77083333333333337</v>
      </c>
      <c r="H102" s="213">
        <v>47243.5</v>
      </c>
      <c r="I102" s="213">
        <v>45319.199999999997</v>
      </c>
      <c r="J102" s="213">
        <v>43034.8</v>
      </c>
      <c r="K102" s="213">
        <v>43179.199999999997</v>
      </c>
      <c r="L102" s="213">
        <v>45451</v>
      </c>
      <c r="M102" s="213">
        <v>42037.599999999999</v>
      </c>
      <c r="N102" s="213">
        <v>42816.7</v>
      </c>
      <c r="O102" s="213">
        <v>45625.2</v>
      </c>
      <c r="P102" s="213">
        <v>44130.5</v>
      </c>
      <c r="Q102" s="213">
        <v>44170.7</v>
      </c>
      <c r="R102" s="213">
        <v>42662.2</v>
      </c>
      <c r="S102" s="213">
        <v>44619.5</v>
      </c>
      <c r="T102" s="213">
        <v>44506</v>
      </c>
      <c r="U102" s="213">
        <v>44266.5</v>
      </c>
      <c r="V102" s="213">
        <v>48201.8</v>
      </c>
      <c r="W102" s="213">
        <v>46506.8</v>
      </c>
      <c r="X102" s="213">
        <v>46918.400000000001</v>
      </c>
      <c r="Y102" s="213">
        <v>43879.4</v>
      </c>
      <c r="Z102" s="213">
        <v>47108.2</v>
      </c>
      <c r="AA102" s="213">
        <v>44601</v>
      </c>
      <c r="AB102" s="213">
        <v>44391.5</v>
      </c>
      <c r="AC102" s="213">
        <v>45263</v>
      </c>
      <c r="AD102" s="213">
        <v>46003.1</v>
      </c>
      <c r="AE102" s="350">
        <v>10.199999999999999</v>
      </c>
      <c r="AF102" s="350">
        <v>10.199999999999999</v>
      </c>
      <c r="AG102" s="350">
        <v>9.6</v>
      </c>
      <c r="AH102" s="350">
        <v>9.4</v>
      </c>
      <c r="AI102" s="350">
        <v>9.9</v>
      </c>
      <c r="AJ102" s="350">
        <v>9.3000000000000007</v>
      </c>
      <c r="AK102" s="350">
        <v>9.6</v>
      </c>
      <c r="AL102" s="350">
        <v>10</v>
      </c>
      <c r="AM102" s="350">
        <v>9.6</v>
      </c>
      <c r="AN102" s="350">
        <v>9.6</v>
      </c>
      <c r="AO102" s="350">
        <v>9.6</v>
      </c>
      <c r="AP102" s="350">
        <v>9.8000000000000007</v>
      </c>
      <c r="AQ102" s="350">
        <v>9.9</v>
      </c>
      <c r="AR102" s="350">
        <v>9.6</v>
      </c>
      <c r="AS102" s="350">
        <v>10.8</v>
      </c>
      <c r="AT102" s="350">
        <v>10.3</v>
      </c>
      <c r="AU102" s="350">
        <v>10.4</v>
      </c>
      <c r="AV102" s="350">
        <v>9.8000000000000007</v>
      </c>
      <c r="AW102" s="350">
        <v>10.1</v>
      </c>
      <c r="AX102" s="350">
        <v>9.6999999999999993</v>
      </c>
      <c r="AY102" s="350">
        <v>10.3</v>
      </c>
      <c r="AZ102" s="350">
        <v>9.9</v>
      </c>
      <c r="BA102" s="350">
        <v>10.1</v>
      </c>
      <c r="BB102" s="214">
        <f t="shared" si="96"/>
        <v>450414.2</v>
      </c>
      <c r="BC102" s="216">
        <f t="shared" si="97"/>
        <v>93425.200000000012</v>
      </c>
      <c r="BD102" s="180">
        <f t="shared" si="92"/>
        <v>355775.1</v>
      </c>
      <c r="BE102" s="216">
        <f t="shared" si="98"/>
        <v>43879.4</v>
      </c>
      <c r="BF102" s="179">
        <f t="shared" si="93"/>
        <v>88441.9</v>
      </c>
      <c r="BG102" s="216">
        <f>SUM(RD[[#This Row],[KUD01]:[KUD23]])</f>
        <v>1031935.8000000002</v>
      </c>
      <c r="BH102" s="217">
        <f t="shared" si="99"/>
        <v>9.8899999999999988</v>
      </c>
      <c r="BI102" s="219">
        <f t="shared" si="100"/>
        <v>10.350000000000001</v>
      </c>
      <c r="BJ102" s="219">
        <f t="shared" si="101"/>
        <v>9.83</v>
      </c>
      <c r="BK102" s="221">
        <f t="shared" si="104"/>
        <v>9.8000000000000007</v>
      </c>
      <c r="BL102" s="61">
        <f>IFERROR(AVERAGEIF(RD[[#This Row],[WS_KUD07]:[WS_KUD08]],"&lt;&gt;0",RD[[#This Row],[WS_KUD07]:[WS_KUD08]]),"")</f>
        <v>9.8000000000000007</v>
      </c>
      <c r="BM102" s="223">
        <f>IFERROR(AVERAGE(RD[[#This Row],[WS_KUD01]:[WS_KUD23]]),"")</f>
        <v>9.9</v>
      </c>
      <c r="BN102" s="224">
        <f>IFERROR(MAX(RD[[#This Row],[WS_KUD01]:[WS_KUD23]]),"")</f>
        <v>10.8</v>
      </c>
      <c r="BO102" s="172">
        <v>658.72</v>
      </c>
      <c r="BP102" s="348">
        <v>988.41</v>
      </c>
      <c r="BQ102" s="348">
        <v>112.28</v>
      </c>
      <c r="BR102" s="348">
        <v>334.27</v>
      </c>
      <c r="BS102" s="349">
        <v>222.64599999999999</v>
      </c>
      <c r="BT102" s="349">
        <v>325.74599999999998</v>
      </c>
      <c r="BU102" s="349"/>
      <c r="BV102" s="349">
        <v>115.89400000000001</v>
      </c>
      <c r="BW102" s="172">
        <v>217837</v>
      </c>
      <c r="BX102" s="172">
        <v>299725</v>
      </c>
      <c r="BY102" s="349">
        <v>157.29900000000001</v>
      </c>
      <c r="BZ102" s="348">
        <v>133.11000000000001</v>
      </c>
      <c r="CA102" s="349">
        <v>320.971</v>
      </c>
      <c r="CB102" s="349">
        <v>146.096</v>
      </c>
      <c r="CC102" s="349">
        <v>0.123</v>
      </c>
      <c r="CD102" s="172">
        <v>0</v>
      </c>
      <c r="CE102" s="349">
        <v>245.03899999999999</v>
      </c>
      <c r="CF102" s="360">
        <f>IF((RD[[#This Row],[33 kV_Wind_F1_Export reading]]-BO101)*165000&lt;=0,"",(RD[[#This Row],[33 kV_Wind_F1_Export reading]]-BO101)*165000)</f>
        <v>479984.99999999866</v>
      </c>
      <c r="CG102" s="227" t="str">
        <f>IF((RD[[#This Row],[33 kV_Wind_F2_Export_reading]]-BP101)*165000&lt;=0,"",(RD[[#This Row],[33 kV_Wind_F2_Export_reading]]-BP101)*165000)</f>
        <v/>
      </c>
      <c r="CH102" s="64">
        <f>IF((RD[[#This Row],[33 kV_Wind_F3_Export_Reading]]-BQ101)*225000&lt;=0,"",(RD[[#This Row],[33 kV_Wind_F3_Export_Reading]]-BQ101)*225000)</f>
        <v>158400.00000000175</v>
      </c>
      <c r="CI102" s="64">
        <f>IF((RD[[#This Row],[33 kV_Wind_F4_Export Reading]]-BR101)*165000&lt;=0,"",(RD[[#This Row],[33 kV_Wind_F4_Export Reading]]-BR101)*165000)</f>
        <v>514139.99999999761</v>
      </c>
      <c r="CJ102" s="209">
        <f>IF((RD[[#This Row],[33 kV_Solar_F1_Export Reading]]-BS101)*225000&lt;=0,"",(RD[[#This Row],[33 kV_Solar_F1_Export Reading]]-BS101)*225000)</f>
        <v>139949.99999999677</v>
      </c>
      <c r="CK102" s="74">
        <f>IF((RD[[#This Row],[33kV_Solar_F2_Export Reading]]-BT101)*225000&lt;=0,"",(RD[[#This Row],[33kV_Solar_F2_Export Reading]]-BT101)*225000)</f>
        <v>121274.99999999713</v>
      </c>
      <c r="CL102" s="209" t="str">
        <f>IF((RD[[#This Row],[33 kV_Solar_F3_Export reading]]-BU101)*225000&lt;=0,"",(RD[[#This Row],[33 kV_Solar_F3_Export reading]]-BU101)*225000)</f>
        <v/>
      </c>
      <c r="CM102" s="63">
        <f>IF((RD[[#This Row],[32kV_Solar_F4_Export reading]]-BV101)*225000&lt;=0,"",(RD[[#This Row],[32kV_Solar_F4_Export reading]]-BV101)*225000)</f>
        <v>132524.99999999968</v>
      </c>
      <c r="CN102" s="227">
        <f>IF((RD[[#This Row],[33kV_OG1_Export reading]]-BW101)*1000&lt;=0,0,(RD[[#This Row],[33kV_OG1_Export reading]]-BW101)*1000)</f>
        <v>398000</v>
      </c>
      <c r="CO102" s="227">
        <f>IFERROR(IF((RD[[#This Row],[33kV_OG2_Export reading]]-BX101)*1000&lt;=0,0,(RD[[#This Row],[33kV_OG2_Export reading]]-BX101)*1000),0)</f>
        <v>1126000</v>
      </c>
      <c r="CP102" s="74">
        <f>IF((RD[[#This Row],[220kV_TX1_Export reading]]-BY101)*800000&lt;=0,0,(RD[[#This Row],[220kV_TX1_Export reading]]-BY101)*800000)</f>
        <v>392800.00000001112</v>
      </c>
      <c r="CQ102" s="209">
        <f>IF((RD[[#This Row],[220kV_Tx2_Export reading]]-BZ101)*800000&lt;=0,0,(RD[[#This Row],[220kV_Tx2_Export reading]]-BZ101)*800000)</f>
        <v>1134400.0000000051</v>
      </c>
      <c r="CR102" s="227">
        <f>IF((RD[[#This Row],[220kV_TL_TVM Export Reading]]-CA101)*1600000&lt;=0,0,(RD[[#This Row],[220kV_TL_TVM Export Reading]]-CA101)*1600000)</f>
        <v>1540800.0000000356</v>
      </c>
      <c r="CS102" s="227">
        <f>IF((RD[[#This Row],[220kV_C&amp;R_PQM reading]]-CB101)*1600000&lt;=0,"",(RD[[#This Row],[220kV_C&amp;R_PQM reading]]-CB101)*1600000)</f>
        <v>1553600.0000000058</v>
      </c>
      <c r="CT102" s="209">
        <f>IFERROR(IF((RD[[#This Row],[220KV_C&amp;R_PQM Import Reading]]-CC101)*1600000&lt;=0,0,(RD[[#This Row],[220KV_C&amp;R_PQM Import Reading]]-CC101)*1600000),"")</f>
        <v>0</v>
      </c>
      <c r="CU102" s="64" t="str">
        <f>IF((RD[[#This Row],[33kV_Aux1 Import Reading]]-CD101)*1000&lt;=0,"",(RD[[#This Row],[33kV_Aux1 Import Reading]]-CD101)*1000)</f>
        <v/>
      </c>
      <c r="CV102" s="227">
        <f>IF((RD[[#This Row],[33kV_Aux2_Import reading]]-CE101)*1000&lt;=0,"",(RD[[#This Row],[33kV_Aux2_Import reading]]-CE101)*1000)</f>
        <v>349.99999999999432</v>
      </c>
      <c r="CW102" s="227">
        <f>IFERROR(RD[[#This Row],[33kV_OG1_Energy (MWh)]]+RD[[#This Row],[33kV_OG2_Energy (MWh)]],"")</f>
        <v>1524000</v>
      </c>
      <c r="CX102" s="227">
        <f>IFERROR(RD[[#This Row],[220kV_TL_TVM Energy (MWh)]]-RD[[#This Row],[220KV_C&amp;R_PQM Import (MWh)]],"")</f>
        <v>1540800.0000000356</v>
      </c>
      <c r="CY102" s="228">
        <f>IFERROR(RD[[#This Row],[33 kV Total Export (MWH)]]/RD[[#This Row],[220 KV Net Export (MWh)]]-1,"")</f>
        <v>-1.0903426791300075E-2</v>
      </c>
      <c r="CZ102" s="229">
        <f t="shared" si="102"/>
        <v>50.6</v>
      </c>
      <c r="DA102" s="230">
        <v>96</v>
      </c>
      <c r="DB102" s="231"/>
      <c r="DC102" s="232">
        <f>IFERROR((RD[[#This Row],[Sunset Time (POA&lt;20 W/m2)]]-RD[[#This Row],[Sunrise Time (POA&gt;20 W/m2)]])*24,0)</f>
        <v>12.133333333333333</v>
      </c>
      <c r="DD102" s="70">
        <f>SUM(RD[[#This Row],[33 kV_Wind_F3_Export_Reading3]],CJ102,CK102,CL102,CM102)</f>
        <v>552149.99999999534</v>
      </c>
      <c r="DE102" s="233"/>
      <c r="DF102" s="70">
        <f t="shared" si="103"/>
        <v>994124.99999999627</v>
      </c>
      <c r="DG102" s="230">
        <v>1036.83</v>
      </c>
      <c r="DH102">
        <f>'WTG Reactive Power'!AB100</f>
        <v>45338.599999999991</v>
      </c>
    </row>
    <row r="103" spans="1:112">
      <c r="A103" s="210">
        <f>YEAR(RD[[#This Row],[Date]])+IF(MONTH(RD[[#This Row],[Date]])&gt;=4,1,0)</f>
        <v>2026</v>
      </c>
      <c r="B103" s="210">
        <f>YEAR(RD[[#This Row],[Date]])</f>
        <v>2025</v>
      </c>
      <c r="C103" s="211">
        <f t="shared" si="94"/>
        <v>45839</v>
      </c>
      <c r="D103" s="210">
        <f>DAY(EOMONTH(RD[[#This Row],[Date]],0))</f>
        <v>31</v>
      </c>
      <c r="E103" s="212">
        <f t="shared" si="95"/>
        <v>45843</v>
      </c>
      <c r="F103" s="206">
        <v>0.27569444444444446</v>
      </c>
      <c r="G103" s="206">
        <v>0.77777777777777779</v>
      </c>
      <c r="H103" s="213">
        <v>47177</v>
      </c>
      <c r="I103" s="213">
        <v>47237</v>
      </c>
      <c r="J103" s="213">
        <v>43447</v>
      </c>
      <c r="K103" s="213">
        <v>42247</v>
      </c>
      <c r="L103" s="213">
        <v>45097</v>
      </c>
      <c r="M103" s="213">
        <v>43793</v>
      </c>
      <c r="N103" s="213">
        <v>44863</v>
      </c>
      <c r="O103" s="213">
        <v>45197</v>
      </c>
      <c r="P103" s="213">
        <v>43859</v>
      </c>
      <c r="Q103" s="213">
        <v>45633</v>
      </c>
      <c r="R103" s="213">
        <v>43527</v>
      </c>
      <c r="S103" s="213">
        <v>42497</v>
      </c>
      <c r="T103" s="213">
        <v>45101</v>
      </c>
      <c r="U103" s="213">
        <v>43821</v>
      </c>
      <c r="V103" s="213">
        <v>48179</v>
      </c>
      <c r="W103" s="213">
        <v>47902</v>
      </c>
      <c r="X103" s="213">
        <v>47800</v>
      </c>
      <c r="Y103" s="213">
        <v>44604</v>
      </c>
      <c r="Z103" s="213">
        <v>45650</v>
      </c>
      <c r="AA103" s="213">
        <v>42258</v>
      </c>
      <c r="AB103" s="213">
        <v>44621</v>
      </c>
      <c r="AC103" s="213">
        <v>44386</v>
      </c>
      <c r="AD103" s="213">
        <v>46607</v>
      </c>
      <c r="AE103" s="350">
        <v>10.1</v>
      </c>
      <c r="AF103" s="350">
        <v>10.1</v>
      </c>
      <c r="AG103" s="350">
        <v>9.6</v>
      </c>
      <c r="AH103" s="350">
        <v>9.6</v>
      </c>
      <c r="AI103" s="350">
        <v>9.9</v>
      </c>
      <c r="AJ103" s="350">
        <v>9.4</v>
      </c>
      <c r="AK103" s="350">
        <v>9.6999999999999993</v>
      </c>
      <c r="AL103" s="350">
        <v>9.9</v>
      </c>
      <c r="AM103" s="350">
        <v>9.5</v>
      </c>
      <c r="AN103" s="350">
        <v>9.6</v>
      </c>
      <c r="AO103" s="350">
        <v>9.6999999999999993</v>
      </c>
      <c r="AP103" s="350">
        <v>9.5</v>
      </c>
      <c r="AQ103" s="350">
        <v>10</v>
      </c>
      <c r="AR103" s="350">
        <v>9.5</v>
      </c>
      <c r="AS103" s="350">
        <v>10.6</v>
      </c>
      <c r="AT103" s="350">
        <v>10.1</v>
      </c>
      <c r="AU103" s="350">
        <v>10.199999999999999</v>
      </c>
      <c r="AV103" s="350">
        <v>9.6999999999999993</v>
      </c>
      <c r="AW103" s="350">
        <v>9.8000000000000007</v>
      </c>
      <c r="AX103" s="350">
        <v>9.5</v>
      </c>
      <c r="AY103" s="350">
        <v>9.9</v>
      </c>
      <c r="AZ103" s="350">
        <v>9.6</v>
      </c>
      <c r="BA103" s="350">
        <v>10</v>
      </c>
      <c r="BB103" s="214">
        <f t="shared" si="96"/>
        <v>447290</v>
      </c>
      <c r="BC103" s="216">
        <f t="shared" si="97"/>
        <v>95702</v>
      </c>
      <c r="BD103" s="180">
        <f t="shared" si="92"/>
        <v>357847</v>
      </c>
      <c r="BE103" s="216">
        <f t="shared" si="98"/>
        <v>44604</v>
      </c>
      <c r="BF103" s="179">
        <f t="shared" si="93"/>
        <v>90060</v>
      </c>
      <c r="BG103" s="216">
        <f>SUM(RD[[#This Row],[KUD01]:[KUD23]])</f>
        <v>1035503</v>
      </c>
      <c r="BH103" s="217">
        <f t="shared" si="99"/>
        <v>9.7899999999999991</v>
      </c>
      <c r="BI103" s="219">
        <f t="shared" si="100"/>
        <v>10.149999999999999</v>
      </c>
      <c r="BJ103" s="219">
        <f t="shared" si="101"/>
        <v>9.76</v>
      </c>
      <c r="BK103" s="221">
        <f t="shared" si="104"/>
        <v>9.6999999999999993</v>
      </c>
      <c r="BL103" s="61">
        <f>IFERROR(AVERAGEIF(RD[[#This Row],[WS_KUD07]:[WS_KUD08]],"&lt;&gt;0",RD[[#This Row],[WS_KUD07]:[WS_KUD08]]),"")</f>
        <v>9.8000000000000007</v>
      </c>
      <c r="BM103" s="223">
        <f>IFERROR(AVERAGE(RD[[#This Row],[WS_KUD01]:[WS_KUD23]]),"")</f>
        <v>9.8043478260869552</v>
      </c>
      <c r="BN103" s="224">
        <f>IFERROR(MAX(RD[[#This Row],[WS_KUD01]:[WS_KUD23]]),"")</f>
        <v>10.6</v>
      </c>
      <c r="BO103" s="172">
        <v>661.60900000000004</v>
      </c>
      <c r="BP103" s="348">
        <v>988.41</v>
      </c>
      <c r="BQ103" s="348">
        <v>112.967</v>
      </c>
      <c r="BR103" s="348">
        <v>337.41699999999997</v>
      </c>
      <c r="BS103" s="348">
        <v>223.256</v>
      </c>
      <c r="BT103" s="348">
        <v>326.31599999999997</v>
      </c>
      <c r="BU103" s="348"/>
      <c r="BV103" s="348">
        <v>116.45</v>
      </c>
      <c r="BW103" s="172">
        <v>218224</v>
      </c>
      <c r="BX103" s="172">
        <v>300872</v>
      </c>
      <c r="BY103" s="348">
        <v>157.77699999999999</v>
      </c>
      <c r="BZ103" s="348">
        <v>134.53</v>
      </c>
      <c r="CA103" s="348">
        <v>321.92599999999999</v>
      </c>
      <c r="CB103" s="348">
        <v>147.05099999999999</v>
      </c>
      <c r="CC103" s="348">
        <v>0.123</v>
      </c>
      <c r="CD103" s="172">
        <v>0</v>
      </c>
      <c r="CE103" s="348">
        <v>245.40899999999999</v>
      </c>
      <c r="CF103" s="360">
        <f>IF((RD[[#This Row],[33 kV_Wind_F1_Export reading]]-BO102)*165000&lt;=0,"",(RD[[#This Row],[33 kV_Wind_F1_Export reading]]-BO102)*165000)</f>
        <v>476685.00000000163</v>
      </c>
      <c r="CG103" s="227" t="str">
        <f>IF((RD[[#This Row],[33 kV_Wind_F2_Export_reading]]-BP102)*165000&lt;=0,"",(RD[[#This Row],[33 kV_Wind_F2_Export_reading]]-BP102)*165000)</f>
        <v/>
      </c>
      <c r="CH103" s="64">
        <f>IF((RD[[#This Row],[33 kV_Wind_F3_Export_Reading]]-BQ102)*225000&lt;=0,"",(RD[[#This Row],[33 kV_Wind_F3_Export_Reading]]-BQ102)*225000)</f>
        <v>154574.99999999948</v>
      </c>
      <c r="CI103" s="64">
        <f>IF((RD[[#This Row],[33 kV_Wind_F4_Export Reading]]-BR102)*165000&lt;=0,"",(RD[[#This Row],[33 kV_Wind_F4_Export Reading]]-BR102)*165000)</f>
        <v>519254.9999999986</v>
      </c>
      <c r="CJ103" s="209">
        <f>IF((RD[[#This Row],[33 kV_Solar_F1_Export Reading]]-BS102)*225000&lt;=0,"",(RD[[#This Row],[33 kV_Solar_F1_Export Reading]]-BS102)*225000)</f>
        <v>137250.00000000306</v>
      </c>
      <c r="CK103" s="74">
        <f>IF((RD[[#This Row],[33kV_Solar_F2_Export Reading]]-BT102)*225000&lt;=0,"",(RD[[#This Row],[33kV_Solar_F2_Export Reading]]-BT102)*225000)</f>
        <v>128249.99999999847</v>
      </c>
      <c r="CL103" s="209" t="str">
        <f>IF((RD[[#This Row],[33 kV_Solar_F3_Export reading]]-BU102)*225000&lt;=0,"",(RD[[#This Row],[33 kV_Solar_F3_Export reading]]-BU102)*225000)</f>
        <v/>
      </c>
      <c r="CM103" s="63">
        <f>IF((RD[[#This Row],[32kV_Solar_F4_Export reading]]-BV102)*225000&lt;=0,"",(RD[[#This Row],[32kV_Solar_F4_Export reading]]-BV102)*225000)</f>
        <v>125099.99999999942</v>
      </c>
      <c r="CN103" s="227">
        <f>IF((RD[[#This Row],[33kV_OG1_Export reading]]-BW102)*1000&lt;=0,0,(RD[[#This Row],[33kV_OG1_Export reading]]-BW102)*1000)</f>
        <v>387000</v>
      </c>
      <c r="CO103" s="227">
        <f>IFERROR(IF((RD[[#This Row],[33kV_OG2_Export reading]]-BX102)*1000&lt;=0,0,(RD[[#This Row],[33kV_OG2_Export reading]]-BX102)*1000),0)</f>
        <v>1147000</v>
      </c>
      <c r="CP103" s="74">
        <f>IF((RD[[#This Row],[220kV_TX1_Export reading]]-BY102)*800000&lt;=0,0,(RD[[#This Row],[220kV_TX1_Export reading]]-BY102)*800000)</f>
        <v>382399.99999998417</v>
      </c>
      <c r="CQ103" s="209">
        <f>IF((RD[[#This Row],[220kV_Tx2_Export reading]]-BZ102)*800000&lt;=0,0,(RD[[#This Row],[220kV_Tx2_Export reading]]-BZ102)*800000)</f>
        <v>1135999.99999999</v>
      </c>
      <c r="CR103" s="227">
        <f>IF((RD[[#This Row],[220kV_TL_TVM Export Reading]]-CA102)*1600000&lt;=0,0,(RD[[#This Row],[220kV_TL_TVM Export Reading]]-CA102)*1600000)</f>
        <v>1527999.9999999746</v>
      </c>
      <c r="CS103" s="227">
        <f>IF((RD[[#This Row],[220kV_C&amp;R_PQM reading]]-CB102)*1600000&lt;=0,"",(RD[[#This Row],[220kV_C&amp;R_PQM reading]]-CB102)*1600000)</f>
        <v>1527999.9999999746</v>
      </c>
      <c r="CT103" s="209">
        <f>IFERROR(IF((RD[[#This Row],[220KV_C&amp;R_PQM Import Reading]]-CC102)*1600000&lt;=0,0,(RD[[#This Row],[220KV_C&amp;R_PQM Import Reading]]-CC102)*1600000),"")</f>
        <v>0</v>
      </c>
      <c r="CU103" s="64" t="str">
        <f>IF((RD[[#This Row],[33kV_Aux1 Import Reading]]-CD102)*1000&lt;=0,"",(RD[[#This Row],[33kV_Aux1 Import Reading]]-CD102)*1000)</f>
        <v/>
      </c>
      <c r="CV103" s="227">
        <f>IF((RD[[#This Row],[33kV_Aux2_Import reading]]-CE102)*1000&lt;=0,"",(RD[[#This Row],[33kV_Aux2_Import reading]]-CE102)*1000)</f>
        <v>370.00000000000455</v>
      </c>
      <c r="CW103" s="227">
        <f>IFERROR(RD[[#This Row],[33kV_OG1_Energy (MWh)]]+RD[[#This Row],[33kV_OG2_Energy (MWh)]],"")</f>
        <v>1534000</v>
      </c>
      <c r="CX103" s="227">
        <f>IFERROR(RD[[#This Row],[220kV_TL_TVM Energy (MWh)]]-RD[[#This Row],[220KV_C&amp;R_PQM Import (MWh)]],"")</f>
        <v>1527999.9999999746</v>
      </c>
      <c r="CY103" s="228">
        <f>IFERROR(RD[[#This Row],[33 kV Total Export (MWH)]]/RD[[#This Row],[220 KV Net Export (MWh)]]-1,"")</f>
        <v>3.9267015706974107E-3</v>
      </c>
      <c r="CZ103" s="229">
        <f t="shared" si="102"/>
        <v>50.6</v>
      </c>
      <c r="DA103" s="230">
        <v>96</v>
      </c>
      <c r="DB103" s="231"/>
      <c r="DC103" s="232">
        <f>IFERROR((RD[[#This Row],[Sunset Time (POA&lt;20 W/m2)]]-RD[[#This Row],[Sunrise Time (POA&gt;20 W/m2)]])*24,0)</f>
        <v>12.05</v>
      </c>
      <c r="DD103" s="70">
        <f>SUM(RD[[#This Row],[33 kV_Wind_F3_Export_Reading3]],CJ103,CK103,CL103,CM103)</f>
        <v>545175.00000000047</v>
      </c>
      <c r="DE103" s="233"/>
      <c r="DF103" s="70">
        <f t="shared" si="103"/>
        <v>995940.00000000023</v>
      </c>
      <c r="DG103" s="230">
        <v>1035.51</v>
      </c>
      <c r="DH103">
        <f>'WTG Reactive Power'!AB101</f>
        <v>81244.7</v>
      </c>
    </row>
    <row r="104" spans="1:112">
      <c r="A104" s="210">
        <f>YEAR(RD[[#This Row],[Date]])+IF(MONTH(RD[[#This Row],[Date]])&gt;=4,1,0)</f>
        <v>2026</v>
      </c>
      <c r="B104" s="210">
        <f>YEAR(RD[[#This Row],[Date]])</f>
        <v>2025</v>
      </c>
      <c r="C104" s="211">
        <f t="shared" si="94"/>
        <v>45839</v>
      </c>
      <c r="D104" s="210">
        <f>DAY(EOMONTH(RD[[#This Row],[Date]],0))</f>
        <v>31</v>
      </c>
      <c r="E104" s="212">
        <f t="shared" si="95"/>
        <v>45844</v>
      </c>
      <c r="F104" s="206">
        <v>0.28055555555555556</v>
      </c>
      <c r="G104" s="206">
        <v>0.77986111111111112</v>
      </c>
      <c r="H104" s="213">
        <v>49113</v>
      </c>
      <c r="I104" s="213">
        <v>49683</v>
      </c>
      <c r="J104" s="213">
        <v>49337</v>
      </c>
      <c r="K104" s="213">
        <v>47434</v>
      </c>
      <c r="L104" s="213">
        <v>50581</v>
      </c>
      <c r="M104" s="213">
        <v>49864</v>
      </c>
      <c r="N104" s="213">
        <v>49487</v>
      </c>
      <c r="O104" s="213">
        <v>48172</v>
      </c>
      <c r="P104" s="213">
        <v>48077</v>
      </c>
      <c r="Q104" s="213">
        <v>49006</v>
      </c>
      <c r="R104" s="213">
        <v>50308</v>
      </c>
      <c r="S104" s="213">
        <v>50025</v>
      </c>
      <c r="T104" s="213">
        <v>50558</v>
      </c>
      <c r="U104" s="213">
        <v>49713</v>
      </c>
      <c r="V104" s="213">
        <v>50482</v>
      </c>
      <c r="W104" s="213">
        <v>49901</v>
      </c>
      <c r="X104" s="213">
        <v>49994</v>
      </c>
      <c r="Y104" s="213">
        <v>49857</v>
      </c>
      <c r="Z104" s="213">
        <v>48634</v>
      </c>
      <c r="AA104" s="213">
        <v>50572</v>
      </c>
      <c r="AB104" s="213">
        <v>49469</v>
      </c>
      <c r="AC104" s="213">
        <v>46347</v>
      </c>
      <c r="AD104" s="213">
        <v>50775</v>
      </c>
      <c r="AE104" s="350">
        <v>10.9</v>
      </c>
      <c r="AF104" s="350">
        <v>11</v>
      </c>
      <c r="AG104" s="350">
        <v>10.8</v>
      </c>
      <c r="AH104" s="350">
        <v>10.3</v>
      </c>
      <c r="AI104" s="350">
        <v>11.2</v>
      </c>
      <c r="AJ104" s="350">
        <v>10.6</v>
      </c>
      <c r="AK104" s="350">
        <v>10.7</v>
      </c>
      <c r="AL104" s="350">
        <v>10.8</v>
      </c>
      <c r="AM104" s="350">
        <v>10.7</v>
      </c>
      <c r="AN104" s="350">
        <v>10.7</v>
      </c>
      <c r="AO104" s="350">
        <v>11.2</v>
      </c>
      <c r="AP104" s="350">
        <v>10.9</v>
      </c>
      <c r="AQ104" s="350">
        <v>11.3</v>
      </c>
      <c r="AR104" s="350">
        <v>11</v>
      </c>
      <c r="AS104" s="350">
        <v>11.6</v>
      </c>
      <c r="AT104" s="350">
        <v>11.1</v>
      </c>
      <c r="AU104" s="350">
        <v>11</v>
      </c>
      <c r="AV104" s="350">
        <v>11.1</v>
      </c>
      <c r="AW104" s="350">
        <v>11</v>
      </c>
      <c r="AX104" s="350">
        <v>11</v>
      </c>
      <c r="AY104" s="350">
        <v>11</v>
      </c>
      <c r="AZ104" s="350">
        <v>10.5</v>
      </c>
      <c r="BA104" s="350">
        <v>11.1</v>
      </c>
      <c r="BB104" s="214">
        <f t="shared" si="96"/>
        <v>497748</v>
      </c>
      <c r="BC104" s="216">
        <f t="shared" si="97"/>
        <v>99895</v>
      </c>
      <c r="BD104" s="180">
        <f t="shared" si="92"/>
        <v>392230</v>
      </c>
      <c r="BE104" s="216">
        <f t="shared" si="98"/>
        <v>49857</v>
      </c>
      <c r="BF104" s="179">
        <f t="shared" si="93"/>
        <v>97659</v>
      </c>
      <c r="BG104" s="216">
        <f>SUM(RD[[#This Row],[KUD01]:[KUD23]])</f>
        <v>1137389</v>
      </c>
      <c r="BH104" s="217">
        <f t="shared" si="99"/>
        <v>11.040000000000001</v>
      </c>
      <c r="BI104" s="219">
        <f t="shared" si="100"/>
        <v>11.05</v>
      </c>
      <c r="BJ104" s="219">
        <f t="shared" si="101"/>
        <v>10.79</v>
      </c>
      <c r="BK104" s="221">
        <f t="shared" si="104"/>
        <v>11.1</v>
      </c>
      <c r="BL104" s="61">
        <f>IFERROR(AVERAGEIF(RD[[#This Row],[WS_KUD07]:[WS_KUD08]],"&lt;&gt;0",RD[[#This Row],[WS_KUD07]:[WS_KUD08]]),"")</f>
        <v>10.75</v>
      </c>
      <c r="BM104" s="223">
        <f>IFERROR(AVERAGE(RD[[#This Row],[WS_KUD01]:[WS_KUD23]]),"")</f>
        <v>10.934782608695652</v>
      </c>
      <c r="BN104" s="224">
        <f>IFERROR(MAX(RD[[#This Row],[WS_KUD01]:[WS_KUD23]]),"")</f>
        <v>11.6</v>
      </c>
      <c r="BO104" s="172">
        <v>664.81200000000001</v>
      </c>
      <c r="BP104" s="348">
        <v>988.41</v>
      </c>
      <c r="BQ104" s="349">
        <v>113.706</v>
      </c>
      <c r="BR104" s="349">
        <v>340.84500000000003</v>
      </c>
      <c r="BS104" s="348">
        <v>223.83</v>
      </c>
      <c r="BT104" s="349">
        <v>326.83199999999999</v>
      </c>
      <c r="BU104" s="349"/>
      <c r="BV104" s="349">
        <v>117.054</v>
      </c>
      <c r="BW104" s="172">
        <v>218606</v>
      </c>
      <c r="BX104" s="172">
        <v>302135</v>
      </c>
      <c r="BY104" s="349">
        <v>158.249</v>
      </c>
      <c r="BZ104" s="348">
        <v>136.1</v>
      </c>
      <c r="CA104" s="349">
        <v>322.94499999999999</v>
      </c>
      <c r="CB104" s="349">
        <v>148.07400000000001</v>
      </c>
      <c r="CC104" s="348">
        <v>0.123</v>
      </c>
      <c r="CD104" s="172">
        <v>0</v>
      </c>
      <c r="CE104" s="349">
        <v>245.76900000000001</v>
      </c>
      <c r="CF104" s="360">
        <f>IF((RD[[#This Row],[33 kV_Wind_F1_Export reading]]-BO103)*165000&lt;=0,"",(RD[[#This Row],[33 kV_Wind_F1_Export reading]]-BO103)*165000)</f>
        <v>528494.99999999581</v>
      </c>
      <c r="CG104" s="227" t="str">
        <f>IF((RD[[#This Row],[33 kV_Wind_F2_Export_reading]]-BP103)*165000&lt;=0,"",(RD[[#This Row],[33 kV_Wind_F2_Export_reading]]-BP103)*165000)</f>
        <v/>
      </c>
      <c r="CH104" s="64">
        <f>IF((RD[[#This Row],[33 kV_Wind_F3_Export_Reading]]-BQ103)*225000&lt;=0,"",(RD[[#This Row],[33 kV_Wind_F3_Export_Reading]]-BQ103)*225000)</f>
        <v>166275.00000000096</v>
      </c>
      <c r="CI104" s="64">
        <f>IF((RD[[#This Row],[33 kV_Wind_F4_Export Reading]]-BR103)*165000&lt;=0,"",(RD[[#This Row],[33 kV_Wind_F4_Export Reading]]-BR103)*165000)</f>
        <v>565620.00000000896</v>
      </c>
      <c r="CJ104" s="209">
        <f>IF((RD[[#This Row],[33 kV_Solar_F1_Export Reading]]-BS103)*225000&lt;=0,"",(RD[[#This Row],[33 kV_Solar_F1_Export Reading]]-BS103)*225000)</f>
        <v>129150.00000000276</v>
      </c>
      <c r="CK104" s="74">
        <f>IF((RD[[#This Row],[33kV_Solar_F2_Export Reading]]-BT103)*225000&lt;=0,"",(RD[[#This Row],[33kV_Solar_F2_Export Reading]]-BT103)*225000)</f>
        <v>116100.00000000439</v>
      </c>
      <c r="CL104" s="209" t="str">
        <f>IF((RD[[#This Row],[33 kV_Solar_F3_Export reading]]-BU103)*225000&lt;=0,"",(RD[[#This Row],[33 kV_Solar_F3_Export reading]]-BU103)*225000)</f>
        <v/>
      </c>
      <c r="CM104" s="63">
        <f>IF((RD[[#This Row],[32kV_Solar_F4_Export reading]]-BV103)*225000&lt;=0,"",(RD[[#This Row],[32kV_Solar_F4_Export reading]]-BV103)*225000)</f>
        <v>135899.99999999983</v>
      </c>
      <c r="CN104" s="227">
        <f>IF((RD[[#This Row],[33kV_OG1_Export reading]]-BW103)*1000&lt;=0,0,(RD[[#This Row],[33kV_OG1_Export reading]]-BW103)*1000)</f>
        <v>382000</v>
      </c>
      <c r="CO104" s="227">
        <f>IFERROR(IF((RD[[#This Row],[33kV_OG2_Export reading]]-BX103)*1000&lt;=0,0,(RD[[#This Row],[33kV_OG2_Export reading]]-BX103)*1000),0)</f>
        <v>1263000</v>
      </c>
      <c r="CP104" s="74">
        <f>IF((RD[[#This Row],[220kV_TX1_Export reading]]-BY103)*800000&lt;=0,0,(RD[[#This Row],[220kV_TX1_Export reading]]-BY103)*800000)</f>
        <v>377600.00000000675</v>
      </c>
      <c r="CQ104" s="209">
        <f>IF((RD[[#This Row],[220kV_Tx2_Export reading]]-BZ103)*800000&lt;=0,0,(RD[[#This Row],[220kV_Tx2_Export reading]]-BZ103)*800000)</f>
        <v>1255999.9999999946</v>
      </c>
      <c r="CR104" s="227">
        <f>IF((RD[[#This Row],[220kV_TL_TVM Export Reading]]-CA103)*1600000&lt;=0,0,(RD[[#This Row],[220kV_TL_TVM Export Reading]]-CA103)*1600000)</f>
        <v>1630400.0000000088</v>
      </c>
      <c r="CS104" s="227">
        <f>IF((RD[[#This Row],[220kV_C&amp;R_PQM reading]]-CB103)*1600000&lt;=0,"",(RD[[#This Row],[220kV_C&amp;R_PQM reading]]-CB103)*1600000)</f>
        <v>1636800.0000000393</v>
      </c>
      <c r="CT104" s="209">
        <f>IFERROR(IF((RD[[#This Row],[220KV_C&amp;R_PQM Import Reading]]-CC103)*1600000&lt;=0,0,(RD[[#This Row],[220KV_C&amp;R_PQM Import Reading]]-CC103)*1600000),"")</f>
        <v>0</v>
      </c>
      <c r="CU104" s="64" t="str">
        <f>IF((RD[[#This Row],[33kV_Aux1 Import Reading]]-CD103)*1000&lt;=0,"",(RD[[#This Row],[33kV_Aux1 Import Reading]]-CD103)*1000)</f>
        <v/>
      </c>
      <c r="CV104" s="227">
        <f>IF((RD[[#This Row],[33kV_Aux2_Import reading]]-CE103)*1000&lt;=0,"",(RD[[#This Row],[33kV_Aux2_Import reading]]-CE103)*1000)</f>
        <v>360.00000000001364</v>
      </c>
      <c r="CW104" s="227">
        <f>IFERROR(RD[[#This Row],[33kV_OG1_Energy (MWh)]]+RD[[#This Row],[33kV_OG2_Energy (MWh)]],"")</f>
        <v>1645000</v>
      </c>
      <c r="CX104" s="227">
        <f>IFERROR(RD[[#This Row],[220kV_TL_TVM Energy (MWh)]]-RD[[#This Row],[220KV_C&amp;R_PQM Import (MWh)]],"")</f>
        <v>1630400.0000000088</v>
      </c>
      <c r="CY104" s="228">
        <f>IFERROR(RD[[#This Row],[33 kV Total Export (MWH)]]/RD[[#This Row],[220 KV Net Export (MWh)]]-1,"")</f>
        <v>8.954857703625585E-3</v>
      </c>
      <c r="CZ104" s="229">
        <f t="shared" si="102"/>
        <v>50.6</v>
      </c>
      <c r="DA104" s="230">
        <v>96</v>
      </c>
      <c r="DB104" s="231"/>
      <c r="DC104" s="232">
        <f>IFERROR((RD[[#This Row],[Sunset Time (POA&lt;20 W/m2)]]-RD[[#This Row],[Sunrise Time (POA&gt;20 W/m2)]])*24,0)</f>
        <v>11.983333333333334</v>
      </c>
      <c r="DD104" s="70">
        <f>SUM(RD[[#This Row],[33 kV_Wind_F3_Export_Reading3]],CJ104,CK104,CL104,CM104)</f>
        <v>547425.00000000792</v>
      </c>
      <c r="DE104" s="233"/>
      <c r="DF104" s="70">
        <f t="shared" si="103"/>
        <v>1094115.0000000047</v>
      </c>
      <c r="DG104" s="230">
        <v>1137.3900000000001</v>
      </c>
      <c r="DH104">
        <f>'WTG Reactive Power'!AB102</f>
        <v>169324.9</v>
      </c>
    </row>
    <row r="105" spans="1:112">
      <c r="A105" s="210">
        <f>YEAR(RD[[#This Row],[Date]])+IF(MONTH(RD[[#This Row],[Date]])&gt;=4,1,0)</f>
        <v>2026</v>
      </c>
      <c r="B105" s="210">
        <f>YEAR(RD[[#This Row],[Date]])</f>
        <v>2025</v>
      </c>
      <c r="C105" s="211">
        <f t="shared" si="94"/>
        <v>45839</v>
      </c>
      <c r="D105" s="210">
        <f>DAY(EOMONTH(RD[[#This Row],[Date]],0))</f>
        <v>31</v>
      </c>
      <c r="E105" s="212">
        <f t="shared" si="95"/>
        <v>45845</v>
      </c>
      <c r="F105" s="336">
        <v>0.27083333333333331</v>
      </c>
      <c r="G105" s="336">
        <v>0.7715277777777777</v>
      </c>
      <c r="H105" s="213">
        <v>48268</v>
      </c>
      <c r="I105" s="213">
        <v>48727</v>
      </c>
      <c r="J105" s="213">
        <v>46624</v>
      </c>
      <c r="K105" s="213">
        <v>43222</v>
      </c>
      <c r="L105" s="213">
        <v>48107</v>
      </c>
      <c r="M105" s="213">
        <v>48161</v>
      </c>
      <c r="N105" s="213">
        <v>47770</v>
      </c>
      <c r="O105" s="213">
        <v>47454</v>
      </c>
      <c r="P105" s="213">
        <v>44220</v>
      </c>
      <c r="Q105" s="213">
        <v>47491</v>
      </c>
      <c r="R105" s="213">
        <v>47974</v>
      </c>
      <c r="S105" s="213">
        <v>46422</v>
      </c>
      <c r="T105" s="213">
        <v>47274</v>
      </c>
      <c r="U105" s="213">
        <v>46500</v>
      </c>
      <c r="V105" s="213">
        <v>49639</v>
      </c>
      <c r="W105" s="213">
        <v>48867</v>
      </c>
      <c r="X105" s="213">
        <v>49810</v>
      </c>
      <c r="Y105" s="213">
        <v>48146</v>
      </c>
      <c r="Z105" s="213">
        <v>47046</v>
      </c>
      <c r="AA105" s="213">
        <v>46309</v>
      </c>
      <c r="AB105" s="213">
        <v>47482</v>
      </c>
      <c r="AC105" s="213">
        <v>45587</v>
      </c>
      <c r="AD105" s="213">
        <v>48605</v>
      </c>
      <c r="AE105" s="350">
        <v>10.6</v>
      </c>
      <c r="AF105" s="350">
        <v>10.7</v>
      </c>
      <c r="AG105" s="350">
        <v>10.3</v>
      </c>
      <c r="AH105" s="350">
        <v>9.6</v>
      </c>
      <c r="AI105" s="350">
        <v>10.4</v>
      </c>
      <c r="AJ105" s="350">
        <v>10.199999999999999</v>
      </c>
      <c r="AK105" s="350">
        <v>10.3</v>
      </c>
      <c r="AL105" s="350">
        <v>10.6</v>
      </c>
      <c r="AM105" s="350">
        <v>9.9</v>
      </c>
      <c r="AN105" s="350">
        <v>10.199999999999999</v>
      </c>
      <c r="AO105" s="350">
        <v>10.6</v>
      </c>
      <c r="AP105" s="350">
        <v>10.199999999999999</v>
      </c>
      <c r="AQ105" s="350">
        <v>10.6</v>
      </c>
      <c r="AR105" s="350">
        <v>10.199999999999999</v>
      </c>
      <c r="AS105" s="350">
        <v>11.4</v>
      </c>
      <c r="AT105" s="350">
        <v>10.6</v>
      </c>
      <c r="AU105" s="350">
        <v>10.9</v>
      </c>
      <c r="AV105" s="350">
        <v>10.5</v>
      </c>
      <c r="AW105" s="350">
        <v>10.4</v>
      </c>
      <c r="AX105" s="350">
        <v>10.1</v>
      </c>
      <c r="AY105" s="350">
        <v>10.7</v>
      </c>
      <c r="AZ105" s="350">
        <v>10.1</v>
      </c>
      <c r="BA105" s="350">
        <v>10.6</v>
      </c>
      <c r="BB105" s="214">
        <f t="shared" si="96"/>
        <v>473547</v>
      </c>
      <c r="BC105" s="216">
        <f t="shared" si="97"/>
        <v>98677</v>
      </c>
      <c r="BD105" s="180">
        <f t="shared" si="92"/>
        <v>374111</v>
      </c>
      <c r="BE105" s="216">
        <f t="shared" si="98"/>
        <v>48146</v>
      </c>
      <c r="BF105" s="179">
        <f t="shared" si="93"/>
        <v>95224</v>
      </c>
      <c r="BG105" s="216">
        <f>SUM(RD[[#This Row],[KUD01]:[KUD23]])</f>
        <v>1089705</v>
      </c>
      <c r="BH105" s="217">
        <f t="shared" si="99"/>
        <v>10.459999999999999</v>
      </c>
      <c r="BI105" s="219">
        <f t="shared" si="100"/>
        <v>10.75</v>
      </c>
      <c r="BJ105" s="219">
        <f t="shared" si="101"/>
        <v>10.309999999999999</v>
      </c>
      <c r="BK105" s="221">
        <f t="shared" si="104"/>
        <v>10.5</v>
      </c>
      <c r="BL105" s="61">
        <f>IFERROR(AVERAGEIF(RD[[#This Row],[WS_KUD07]:[WS_KUD08]],"&lt;&gt;0",RD[[#This Row],[WS_KUD07]:[WS_KUD08]]),"")</f>
        <v>10.45</v>
      </c>
      <c r="BM105" s="223">
        <f>IFERROR(AVERAGE(RD[[#This Row],[WS_KUD01]:[WS_KUD23]]),"")</f>
        <v>10.421739130434782</v>
      </c>
      <c r="BN105" s="224">
        <f>IFERROR(MAX(RD[[#This Row],[WS_KUD01]:[WS_KUD23]]),"")</f>
        <v>11.4</v>
      </c>
      <c r="BO105" s="172">
        <v>667.86400000000003</v>
      </c>
      <c r="BP105" s="348">
        <v>988.41</v>
      </c>
      <c r="BQ105" s="348">
        <v>114.581</v>
      </c>
      <c r="BR105" s="348">
        <v>344.13900000000001</v>
      </c>
      <c r="BS105" s="348">
        <v>224.51</v>
      </c>
      <c r="BT105" s="348">
        <v>327.42899999999997</v>
      </c>
      <c r="BU105" s="348"/>
      <c r="BV105" s="348">
        <v>117.77200000000001</v>
      </c>
      <c r="BW105" s="172">
        <v>219055</v>
      </c>
      <c r="BX105" s="172">
        <v>303378</v>
      </c>
      <c r="BY105" s="348">
        <v>158.804</v>
      </c>
      <c r="BZ105" s="348">
        <v>137.631</v>
      </c>
      <c r="CA105" s="348">
        <v>323.99599999999998</v>
      </c>
      <c r="CB105" s="348">
        <v>149.125</v>
      </c>
      <c r="CC105" s="348">
        <v>0.123</v>
      </c>
      <c r="CD105" s="172">
        <v>0</v>
      </c>
      <c r="CE105" s="348">
        <v>246.13900000000001</v>
      </c>
      <c r="CF105" s="360">
        <f>IF((RD[[#This Row],[33 kV_Wind_F1_Export reading]]-BO104)*165000&lt;=0,"",(RD[[#This Row],[33 kV_Wind_F1_Export reading]]-BO104)*165000)</f>
        <v>503580.00000000343</v>
      </c>
      <c r="CG105" s="227" t="str">
        <f>IF((RD[[#This Row],[33 kV_Wind_F2_Export_reading]]-BP104)*165000&lt;=0,"",(RD[[#This Row],[33 kV_Wind_F2_Export_reading]]-BP104)*165000)</f>
        <v/>
      </c>
      <c r="CH105" s="64">
        <f>IF((RD[[#This Row],[33 kV_Wind_F3_Export_Reading]]-BQ104)*225000&lt;=0,"",(RD[[#This Row],[33 kV_Wind_F3_Export_Reading]]-BQ104)*225000)</f>
        <v>196875</v>
      </c>
      <c r="CI105" s="64">
        <f>IF((RD[[#This Row],[33 kV_Wind_F4_Export Reading]]-BR104)*165000&lt;=0,"",(RD[[#This Row],[33 kV_Wind_F4_Export Reading]]-BR104)*165000)</f>
        <v>543509.99999999721</v>
      </c>
      <c r="CJ105" s="209">
        <f>IF((RD[[#This Row],[33 kV_Solar_F1_Export Reading]]-BS104)*225000&lt;=0,"",(RD[[#This Row],[33 kV_Solar_F1_Export Reading]]-BS104)*225000)</f>
        <v>152999.99999999514</v>
      </c>
      <c r="CK105" s="74">
        <f>IF((RD[[#This Row],[33kV_Solar_F2_Export Reading]]-BT104)*225000&lt;=0,"",(RD[[#This Row],[33kV_Solar_F2_Export Reading]]-BT104)*225000)</f>
        <v>134324.99999999549</v>
      </c>
      <c r="CL105" s="209" t="str">
        <f>IF((RD[[#This Row],[33 kV_Solar_F3_Export reading]]-BU104)*225000&lt;=0,"",(RD[[#This Row],[33 kV_Solar_F3_Export reading]]-BU104)*225000)</f>
        <v/>
      </c>
      <c r="CM105" s="63">
        <f>IF((RD[[#This Row],[32kV_Solar_F4_Export reading]]-BV104)*225000&lt;=0,"",(RD[[#This Row],[32kV_Solar_F4_Export reading]]-BV104)*225000)</f>
        <v>161550.00000000079</v>
      </c>
      <c r="CN105" s="227">
        <f>IF((RD[[#This Row],[33kV_OG1_Export reading]]-BW104)*1000&lt;=0,0,(RD[[#This Row],[33kV_OG1_Export reading]]-BW104)*1000)</f>
        <v>449000</v>
      </c>
      <c r="CO105" s="227">
        <f>IFERROR(IF((RD[[#This Row],[33kV_OG2_Export reading]]-BX104)*1000&lt;=0,0,(RD[[#This Row],[33kV_OG2_Export reading]]-BX104)*1000),0)</f>
        <v>1243000</v>
      </c>
      <c r="CP105" s="74">
        <f>IF((RD[[#This Row],[220kV_TX1_Export reading]]-BY104)*800000&lt;=0,0,(RD[[#This Row],[220kV_TX1_Export reading]]-BY104)*800000)</f>
        <v>444000.00000000547</v>
      </c>
      <c r="CQ105" s="209">
        <f>IF((RD[[#This Row],[220kV_Tx2_Export reading]]-BZ104)*800000&lt;=0,0,(RD[[#This Row],[220kV_Tx2_Export reading]]-BZ104)*800000)</f>
        <v>1224800.0000000047</v>
      </c>
      <c r="CR105" s="227">
        <f>IF((RD[[#This Row],[220kV_TL_TVM Export Reading]]-CA104)*1600000&lt;=0,0,(RD[[#This Row],[220kV_TL_TVM Export Reading]]-CA104)*1600000)</f>
        <v>1681599.9999999804</v>
      </c>
      <c r="CS105" s="227">
        <f>IF((RD[[#This Row],[220kV_C&amp;R_PQM reading]]-CB104)*1600000&lt;=0,"",(RD[[#This Row],[220kV_C&amp;R_PQM reading]]-CB104)*1600000)</f>
        <v>1681599.9999999804</v>
      </c>
      <c r="CT105" s="209">
        <f>IFERROR(IF((RD[[#This Row],[220KV_C&amp;R_PQM Import Reading]]-CC104)*1600000&lt;=0,0,(RD[[#This Row],[220KV_C&amp;R_PQM Import Reading]]-CC104)*1600000),"")</f>
        <v>0</v>
      </c>
      <c r="CU105" s="64" t="str">
        <f>IF((RD[[#This Row],[33kV_Aux1 Import Reading]]-CD104)*1000&lt;=0,"",(RD[[#This Row],[33kV_Aux1 Import Reading]]-CD104)*1000)</f>
        <v/>
      </c>
      <c r="CV105" s="227">
        <f>IF((RD[[#This Row],[33kV_Aux2_Import reading]]-CE104)*1000&lt;=0,"",(RD[[#This Row],[33kV_Aux2_Import reading]]-CE104)*1000)</f>
        <v>370.00000000000455</v>
      </c>
      <c r="CW105" s="227">
        <f>IFERROR(RD[[#This Row],[33kV_OG1_Energy (MWh)]]+RD[[#This Row],[33kV_OG2_Energy (MWh)]],"")</f>
        <v>1692000</v>
      </c>
      <c r="CX105" s="227">
        <f>IFERROR(RD[[#This Row],[220kV_TL_TVM Energy (MWh)]]-RD[[#This Row],[220KV_C&amp;R_PQM Import (MWh)]],"")</f>
        <v>1681599.9999999804</v>
      </c>
      <c r="CY105" s="228">
        <f>IFERROR(RD[[#This Row],[33 kV Total Export (MWH)]]/RD[[#This Row],[220 KV Net Export (MWh)]]-1,"")</f>
        <v>6.1845861084797171E-3</v>
      </c>
      <c r="CZ105" s="229">
        <f t="shared" si="102"/>
        <v>50.6</v>
      </c>
      <c r="DA105" s="230">
        <v>96</v>
      </c>
      <c r="DB105" s="231"/>
      <c r="DC105" s="232">
        <f>IFERROR((RD[[#This Row],[Sunset Time (POA&lt;20 W/m2)]]-RD[[#This Row],[Sunrise Time (POA&gt;20 W/m2)]])*24,0)</f>
        <v>12.016666666666664</v>
      </c>
      <c r="DD105" s="70">
        <f>SUM(RD[[#This Row],[33 kV_Wind_F3_Export_Reading3]],CJ105,CK105,CL105,CM105)</f>
        <v>645749.99999999139</v>
      </c>
      <c r="DE105" s="233"/>
      <c r="DF105" s="70">
        <f t="shared" si="103"/>
        <v>1047090.0000000007</v>
      </c>
      <c r="DG105" s="230">
        <v>1089.7</v>
      </c>
      <c r="DH105">
        <f>'WTG Reactive Power'!AB103</f>
        <v>66715.5</v>
      </c>
    </row>
    <row r="106" spans="1:112">
      <c r="A106" s="210">
        <f>YEAR(RD[[#This Row],[Date]])+IF(MONTH(RD[[#This Row],[Date]])&gt;=4,1,0)</f>
        <v>2026</v>
      </c>
      <c r="B106" s="210">
        <f>YEAR(RD[[#This Row],[Date]])</f>
        <v>2025</v>
      </c>
      <c r="C106" s="211">
        <f t="shared" si="94"/>
        <v>45839</v>
      </c>
      <c r="D106" s="210">
        <f>DAY(EOMONTH(RD[[#This Row],[Date]],0))</f>
        <v>31</v>
      </c>
      <c r="E106" s="212">
        <f t="shared" si="95"/>
        <v>45846</v>
      </c>
      <c r="F106" s="206">
        <v>0.28472222222222221</v>
      </c>
      <c r="G106" s="206">
        <v>0.77430555555555558</v>
      </c>
      <c r="H106" s="213">
        <v>42109</v>
      </c>
      <c r="I106" s="213">
        <v>42321</v>
      </c>
      <c r="J106" s="213">
        <v>40550</v>
      </c>
      <c r="K106" s="213">
        <v>39834</v>
      </c>
      <c r="L106" s="213">
        <v>43161</v>
      </c>
      <c r="M106" s="213">
        <v>41539</v>
      </c>
      <c r="N106" s="213">
        <v>41064</v>
      </c>
      <c r="O106" s="213">
        <v>40168</v>
      </c>
      <c r="P106" s="213">
        <v>39937</v>
      </c>
      <c r="Q106" s="213">
        <v>40144</v>
      </c>
      <c r="R106" s="213">
        <v>41560</v>
      </c>
      <c r="S106" s="213">
        <v>42161</v>
      </c>
      <c r="T106" s="213">
        <v>42959</v>
      </c>
      <c r="U106" s="213">
        <v>41477</v>
      </c>
      <c r="V106" s="213">
        <v>43082</v>
      </c>
      <c r="W106" s="213">
        <v>42579</v>
      </c>
      <c r="X106" s="213">
        <v>43655</v>
      </c>
      <c r="Y106" s="213">
        <v>41565</v>
      </c>
      <c r="Z106" s="213">
        <v>41720</v>
      </c>
      <c r="AA106" s="213">
        <v>41560</v>
      </c>
      <c r="AB106" s="213">
        <v>41638</v>
      </c>
      <c r="AC106" s="213">
        <v>39946</v>
      </c>
      <c r="AD106" s="213">
        <v>43355</v>
      </c>
      <c r="AE106" s="350">
        <v>9.5</v>
      </c>
      <c r="AF106" s="350">
        <v>9.5</v>
      </c>
      <c r="AG106" s="350">
        <v>9.3000000000000007</v>
      </c>
      <c r="AH106" s="350">
        <v>9.1</v>
      </c>
      <c r="AI106" s="350">
        <v>9.5</v>
      </c>
      <c r="AJ106" s="350">
        <v>9.1999999999999993</v>
      </c>
      <c r="AK106" s="350">
        <v>9.3000000000000007</v>
      </c>
      <c r="AL106" s="350">
        <v>9.1999999999999993</v>
      </c>
      <c r="AM106" s="350">
        <v>9.1</v>
      </c>
      <c r="AN106" s="350">
        <v>9</v>
      </c>
      <c r="AO106" s="350">
        <v>9.6</v>
      </c>
      <c r="AP106" s="350">
        <v>9.4</v>
      </c>
      <c r="AQ106" s="350">
        <v>9.6999999999999993</v>
      </c>
      <c r="AR106" s="350">
        <v>9.3000000000000007</v>
      </c>
      <c r="AS106" s="350">
        <v>9.8000000000000007</v>
      </c>
      <c r="AT106" s="350">
        <v>9.4</v>
      </c>
      <c r="AU106" s="350">
        <v>9.6</v>
      </c>
      <c r="AV106" s="350">
        <v>9.4</v>
      </c>
      <c r="AW106" s="350">
        <v>9.4</v>
      </c>
      <c r="AX106" s="350">
        <v>9.4</v>
      </c>
      <c r="AY106" s="350">
        <v>9.4</v>
      </c>
      <c r="AZ106" s="350">
        <v>9.1999999999999993</v>
      </c>
      <c r="BA106" s="350">
        <v>9.4</v>
      </c>
      <c r="BB106" s="214">
        <f t="shared" si="96"/>
        <v>417322</v>
      </c>
      <c r="BC106" s="216">
        <f t="shared" si="97"/>
        <v>86234</v>
      </c>
      <c r="BD106" s="180">
        <f t="shared" si="92"/>
        <v>331731</v>
      </c>
      <c r="BE106" s="216">
        <f t="shared" si="98"/>
        <v>41565</v>
      </c>
      <c r="BF106" s="179">
        <f t="shared" si="93"/>
        <v>81232</v>
      </c>
      <c r="BG106" s="216">
        <f>SUM(RD[[#This Row],[KUD01]:[KUD23]])</f>
        <v>958084</v>
      </c>
      <c r="BH106" s="217">
        <f t="shared" si="99"/>
        <v>9.4400000000000013</v>
      </c>
      <c r="BI106" s="219">
        <f t="shared" si="100"/>
        <v>9.5</v>
      </c>
      <c r="BJ106" s="219">
        <f t="shared" si="101"/>
        <v>9.2900000000000009</v>
      </c>
      <c r="BK106" s="221">
        <f t="shared" si="104"/>
        <v>9.4</v>
      </c>
      <c r="BL106" s="61">
        <f>IFERROR(AVERAGEIF(RD[[#This Row],[WS_KUD07]:[WS_KUD08]],"&lt;&gt;0",RD[[#This Row],[WS_KUD07]:[WS_KUD08]]),"")</f>
        <v>9.25</v>
      </c>
      <c r="BM106" s="223">
        <f>IFERROR(AVERAGE(RD[[#This Row],[WS_KUD01]:[WS_KUD23]]),"")</f>
        <v>9.378260869565219</v>
      </c>
      <c r="BN106" s="224">
        <f>IFERROR(MAX(RD[[#This Row],[WS_KUD01]:[WS_KUD23]]),"")</f>
        <v>9.8000000000000007</v>
      </c>
      <c r="BO106" s="172">
        <v>670.55</v>
      </c>
      <c r="BP106" s="348">
        <v>988.41</v>
      </c>
      <c r="BQ106" s="348">
        <v>115.288</v>
      </c>
      <c r="BR106" s="348">
        <v>347.04399999999998</v>
      </c>
      <c r="BS106" s="348">
        <v>225.06800000000001</v>
      </c>
      <c r="BT106" s="348">
        <v>327.928</v>
      </c>
      <c r="BU106" s="348"/>
      <c r="BV106" s="348">
        <v>118.351</v>
      </c>
      <c r="BW106" s="172">
        <v>219423</v>
      </c>
      <c r="BX106" s="172">
        <v>304462</v>
      </c>
      <c r="BY106" s="348">
        <v>159.25899999999999</v>
      </c>
      <c r="BZ106" s="348">
        <v>138.971</v>
      </c>
      <c r="CA106" s="348">
        <v>324.89600000000002</v>
      </c>
      <c r="CB106" s="348">
        <v>150.02699999999999</v>
      </c>
      <c r="CC106" s="348">
        <v>0.123</v>
      </c>
      <c r="CD106" s="172">
        <v>0</v>
      </c>
      <c r="CE106" s="348">
        <v>246.50899999999999</v>
      </c>
      <c r="CF106" s="360">
        <f>IF((RD[[#This Row],[33 kV_Wind_F1_Export reading]]-BO105)*165000&lt;=0,"",(RD[[#This Row],[33 kV_Wind_F1_Export reading]]-BO105)*165000)</f>
        <v>443189.99999998708</v>
      </c>
      <c r="CG106" s="227" t="str">
        <f>IF((RD[[#This Row],[33 kV_Wind_F2_Export_reading]]-BP105)*165000&lt;=0,"",(RD[[#This Row],[33 kV_Wind_F2_Export_reading]]-BP105)*165000)</f>
        <v/>
      </c>
      <c r="CH106" s="64">
        <f>IF((RD[[#This Row],[33 kV_Wind_F3_Export_Reading]]-BQ105)*225000&lt;=0,"",(RD[[#This Row],[33 kV_Wind_F3_Export_Reading]]-BQ105)*225000)</f>
        <v>159074.99999999857</v>
      </c>
      <c r="CI106" s="64">
        <f>IF((RD[[#This Row],[33 kV_Wind_F4_Export Reading]]-BR105)*165000&lt;=0,"",(RD[[#This Row],[33 kV_Wind_F4_Export Reading]]-BR105)*165000)</f>
        <v>479324.99999999552</v>
      </c>
      <c r="CJ106" s="209">
        <f>IF((RD[[#This Row],[33 kV_Solar_F1_Export Reading]]-BS105)*225000&lt;=0,"",(RD[[#This Row],[33 kV_Solar_F1_Export Reading]]-BS105)*225000)</f>
        <v>125550.00000000476</v>
      </c>
      <c r="CK106" s="74">
        <f>IF((RD[[#This Row],[33kV_Solar_F2_Export Reading]]-BT105)*225000&lt;=0,"",(RD[[#This Row],[33kV_Solar_F2_Export Reading]]-BT105)*225000)</f>
        <v>112275.00000000533</v>
      </c>
      <c r="CL106" s="209" t="str">
        <f>IF((RD[[#This Row],[33 kV_Solar_F3_Export reading]]-BU105)*225000&lt;=0,"",(RD[[#This Row],[33 kV_Solar_F3_Export reading]]-BU105)*225000)</f>
        <v/>
      </c>
      <c r="CM106" s="63">
        <f>IF((RD[[#This Row],[32kV_Solar_F4_Export reading]]-BV105)*225000&lt;=0,"",(RD[[#This Row],[32kV_Solar_F4_Export reading]]-BV105)*225000)</f>
        <v>130274.99999999854</v>
      </c>
      <c r="CN106" s="227">
        <f>IF((RD[[#This Row],[33kV_OG1_Export reading]]-BW105)*1000&lt;=0,0,(RD[[#This Row],[33kV_OG1_Export reading]]-BW105)*1000)</f>
        <v>368000</v>
      </c>
      <c r="CO106" s="227">
        <f>IFERROR(IF((RD[[#This Row],[33kV_OG2_Export reading]]-BX105)*1000&lt;=0,0,(RD[[#This Row],[33kV_OG2_Export reading]]-BX105)*1000),0)</f>
        <v>1084000</v>
      </c>
      <c r="CP106" s="74">
        <f>IF((RD[[#This Row],[220kV_TX1_Export reading]]-BY105)*800000&lt;=0,0,(RD[[#This Row],[220kV_TX1_Export reading]]-BY105)*800000)</f>
        <v>363999.99999998725</v>
      </c>
      <c r="CQ106" s="209">
        <f>IF((RD[[#This Row],[220kV_Tx2_Export reading]]-BZ105)*800000&lt;=0,0,(RD[[#This Row],[220kV_Tx2_Export reading]]-BZ105)*800000)</f>
        <v>1072000.0000000028</v>
      </c>
      <c r="CR106" s="227">
        <f>IF((RD[[#This Row],[220kV_TL_TVM Export Reading]]-CA105)*1600000&lt;=0,0,(RD[[#This Row],[220kV_TL_TVM Export Reading]]-CA105)*1600000)</f>
        <v>1440000.0000000545</v>
      </c>
      <c r="CS106" s="227">
        <f>IF((RD[[#This Row],[220kV_C&amp;R_PQM reading]]-CB105)*1600000&lt;=0,"",(RD[[#This Row],[220kV_C&amp;R_PQM reading]]-CB105)*1600000)</f>
        <v>1443199.9999999788</v>
      </c>
      <c r="CT106" s="209">
        <f>IFERROR(IF((RD[[#This Row],[220KV_C&amp;R_PQM Import Reading]]-CC105)*1600000&lt;=0,0,(RD[[#This Row],[220KV_C&amp;R_PQM Import Reading]]-CC105)*1600000),"")</f>
        <v>0</v>
      </c>
      <c r="CU106" s="64" t="str">
        <f>IF((RD[[#This Row],[33kV_Aux1 Import Reading]]-CD105)*1000&lt;=0,"",(RD[[#This Row],[33kV_Aux1 Import Reading]]-CD105)*1000)</f>
        <v/>
      </c>
      <c r="CV106" s="227">
        <f>IF((RD[[#This Row],[33kV_Aux2_Import reading]]-CE105)*1000&lt;=0,"",(RD[[#This Row],[33kV_Aux2_Import reading]]-CE105)*1000)</f>
        <v>369.99999999997613</v>
      </c>
      <c r="CW106" s="227">
        <f>IFERROR(RD[[#This Row],[33kV_OG1_Energy (MWh)]]+RD[[#This Row],[33kV_OG2_Energy (MWh)]],"")</f>
        <v>1452000</v>
      </c>
      <c r="CX106" s="227">
        <f>IFERROR(RD[[#This Row],[220kV_TL_TVM Energy (MWh)]]-RD[[#This Row],[220KV_C&amp;R_PQM Import (MWh)]],"")</f>
        <v>1440000.0000000545</v>
      </c>
      <c r="CY106" s="228">
        <f>IFERROR(RD[[#This Row],[33 kV Total Export (MWH)]]/RD[[#This Row],[220 KV Net Export (MWh)]]-1,"")</f>
        <v>8.3333333332951121E-3</v>
      </c>
      <c r="CZ106" s="229">
        <f t="shared" si="102"/>
        <v>50.6</v>
      </c>
      <c r="DA106" s="230">
        <v>96</v>
      </c>
      <c r="DB106" s="231"/>
      <c r="DC106" s="232">
        <f>IFERROR((RD[[#This Row],[Sunset Time (POA&lt;20 W/m2)]]-RD[[#This Row],[Sunrise Time (POA&gt;20 W/m2)]])*24,0)</f>
        <v>11.75</v>
      </c>
      <c r="DD106" s="70">
        <f>SUM(RD[[#This Row],[33 kV_Wind_F3_Export_Reading3]],CJ106,CK106,CL106,CM106)</f>
        <v>527175.00000000722</v>
      </c>
      <c r="DE106" s="233"/>
      <c r="DF106" s="70">
        <f t="shared" si="103"/>
        <v>922514.99999998254</v>
      </c>
      <c r="DG106" s="230">
        <v>957.73</v>
      </c>
      <c r="DH106">
        <f>'WTG Reactive Power'!AB104</f>
        <v>16106.900000000005</v>
      </c>
    </row>
    <row r="107" spans="1:112">
      <c r="A107" s="210">
        <f>YEAR(RD[[#This Row],[Date]])+IF(MONTH(RD[[#This Row],[Date]])&gt;=4,1,0)</f>
        <v>2026</v>
      </c>
      <c r="B107" s="210">
        <f>YEAR(RD[[#This Row],[Date]])</f>
        <v>2025</v>
      </c>
      <c r="C107" s="211">
        <f t="shared" si="94"/>
        <v>45839</v>
      </c>
      <c r="D107" s="210">
        <f>DAY(EOMONTH(RD[[#This Row],[Date]],0))</f>
        <v>31</v>
      </c>
      <c r="E107" s="212">
        <f t="shared" si="95"/>
        <v>45847</v>
      </c>
      <c r="F107" s="206">
        <v>0.26874999999999999</v>
      </c>
      <c r="G107" s="206">
        <v>0.77638888888888891</v>
      </c>
      <c r="H107" s="213">
        <v>43432</v>
      </c>
      <c r="I107" s="213">
        <v>40513</v>
      </c>
      <c r="J107" s="213">
        <v>39926</v>
      </c>
      <c r="K107" s="213">
        <v>39711</v>
      </c>
      <c r="L107" s="213">
        <v>40730</v>
      </c>
      <c r="M107" s="213">
        <v>40715</v>
      </c>
      <c r="N107" s="213">
        <v>29100</v>
      </c>
      <c r="O107" s="213">
        <v>41249</v>
      </c>
      <c r="P107" s="213">
        <v>41876</v>
      </c>
      <c r="Q107" s="213">
        <v>40525</v>
      </c>
      <c r="R107" s="213">
        <v>39052</v>
      </c>
      <c r="S107" s="213">
        <v>41573</v>
      </c>
      <c r="T107" s="213">
        <v>41737</v>
      </c>
      <c r="U107" s="213">
        <v>40240</v>
      </c>
      <c r="V107" s="213">
        <v>44284</v>
      </c>
      <c r="W107" s="213">
        <v>42437</v>
      </c>
      <c r="X107" s="213">
        <v>43346</v>
      </c>
      <c r="Y107" s="213">
        <v>38372</v>
      </c>
      <c r="Z107" s="213">
        <v>42976</v>
      </c>
      <c r="AA107" s="213">
        <v>40788</v>
      </c>
      <c r="AB107" s="213">
        <v>38459</v>
      </c>
      <c r="AC107" s="213">
        <v>41477</v>
      </c>
      <c r="AD107" s="213">
        <v>41588</v>
      </c>
      <c r="AE107" s="350">
        <v>9.1999999999999993</v>
      </c>
      <c r="AF107" s="350">
        <v>9.1</v>
      </c>
      <c r="AG107" s="350">
        <v>9.1</v>
      </c>
      <c r="AH107" s="350">
        <v>8.8000000000000007</v>
      </c>
      <c r="AI107" s="350">
        <v>9.1</v>
      </c>
      <c r="AJ107" s="350">
        <v>9</v>
      </c>
      <c r="AK107" s="350">
        <v>8.6999999999999993</v>
      </c>
      <c r="AL107" s="350">
        <v>9.1</v>
      </c>
      <c r="AM107" s="350">
        <v>9.1999999999999993</v>
      </c>
      <c r="AN107" s="350">
        <v>8.8000000000000007</v>
      </c>
      <c r="AO107" s="350">
        <v>9.1</v>
      </c>
      <c r="AP107" s="350">
        <v>9.1</v>
      </c>
      <c r="AQ107" s="350">
        <v>9.3000000000000007</v>
      </c>
      <c r="AR107" s="350">
        <v>9</v>
      </c>
      <c r="AS107" s="350">
        <v>9.9</v>
      </c>
      <c r="AT107" s="350">
        <v>9.1999999999999993</v>
      </c>
      <c r="AU107" s="350">
        <v>9.5</v>
      </c>
      <c r="AV107" s="350">
        <v>8.9</v>
      </c>
      <c r="AW107" s="350">
        <v>9.1999999999999993</v>
      </c>
      <c r="AX107" s="350">
        <v>8.9</v>
      </c>
      <c r="AY107" s="350">
        <v>9.1</v>
      </c>
      <c r="AZ107" s="350">
        <v>9</v>
      </c>
      <c r="BA107" s="350">
        <v>9.1</v>
      </c>
      <c r="BB107" s="214">
        <f t="shared" si="96"/>
        <v>414533</v>
      </c>
      <c r="BC107" s="216">
        <f t="shared" si="97"/>
        <v>85783</v>
      </c>
      <c r="BD107" s="180">
        <f t="shared" si="92"/>
        <v>325069</v>
      </c>
      <c r="BE107" s="216">
        <f t="shared" si="98"/>
        <v>38372</v>
      </c>
      <c r="BF107" s="179">
        <f t="shared" si="93"/>
        <v>70349</v>
      </c>
      <c r="BG107" s="216">
        <f>SUM(RD[[#This Row],[KUD01]:[KUD23]])</f>
        <v>934106</v>
      </c>
      <c r="BH107" s="217">
        <f t="shared" si="99"/>
        <v>9.16</v>
      </c>
      <c r="BI107" s="219">
        <f t="shared" si="100"/>
        <v>9.35</v>
      </c>
      <c r="BJ107" s="219">
        <f t="shared" si="101"/>
        <v>9.02</v>
      </c>
      <c r="BK107" s="221">
        <f t="shared" si="104"/>
        <v>8.9</v>
      </c>
      <c r="BL107" s="61">
        <f>IFERROR(AVERAGEIF(RD[[#This Row],[WS_KUD07]:[WS_KUD08]],"&lt;&gt;0",RD[[#This Row],[WS_KUD07]:[WS_KUD08]]),"")</f>
        <v>8.8999999999999986</v>
      </c>
      <c r="BM107" s="223">
        <f>IFERROR(AVERAGE(RD[[#This Row],[WS_KUD01]:[WS_KUD23]]),"")</f>
        <v>9.1043478260869541</v>
      </c>
      <c r="BN107" s="224">
        <f>IFERROR(MAX(RD[[#This Row],[WS_KUD01]:[WS_KUD23]]),"")</f>
        <v>9.9</v>
      </c>
      <c r="BO107" s="172">
        <v>673.22500000000002</v>
      </c>
      <c r="BP107" s="348">
        <v>988.41</v>
      </c>
      <c r="BQ107" s="349">
        <v>116.01900000000001</v>
      </c>
      <c r="BR107" s="348">
        <v>349.82</v>
      </c>
      <c r="BS107" s="349">
        <v>225.78399999999999</v>
      </c>
      <c r="BT107" s="348">
        <v>328.62</v>
      </c>
      <c r="BU107" s="349"/>
      <c r="BV107" s="349">
        <v>118.953</v>
      </c>
      <c r="BW107" s="172">
        <v>219876</v>
      </c>
      <c r="BX107" s="172">
        <v>305525</v>
      </c>
      <c r="BY107" s="349">
        <v>159.81800000000001</v>
      </c>
      <c r="BZ107" s="349">
        <v>140.292</v>
      </c>
      <c r="CA107" s="349">
        <v>325.83699999999999</v>
      </c>
      <c r="CB107" s="348">
        <v>150.97</v>
      </c>
      <c r="CC107" s="349">
        <v>0.123</v>
      </c>
      <c r="CD107" s="172">
        <v>0</v>
      </c>
      <c r="CE107" s="349">
        <v>246.88900000000001</v>
      </c>
      <c r="CF107" s="360">
        <f>IF((RD[[#This Row],[33 kV_Wind_F1_Export reading]]-BO106)*165000&lt;=0,"",(RD[[#This Row],[33 kV_Wind_F1_Export reading]]-BO106)*165000)</f>
        <v>441375.00000001123</v>
      </c>
      <c r="CG107" s="227" t="str">
        <f>IF((RD[[#This Row],[33 kV_Wind_F2_Export_reading]]-BP106)*165000&lt;=0,"",(RD[[#This Row],[33 kV_Wind_F2_Export_reading]]-BP106)*165000)</f>
        <v/>
      </c>
      <c r="CH107" s="64">
        <f>IF((RD[[#This Row],[33 kV_Wind_F3_Export_Reading]]-BQ106)*225000&lt;=0,"",(RD[[#This Row],[33 kV_Wind_F3_Export_Reading]]-BQ106)*225000)</f>
        <v>164475.00000000198</v>
      </c>
      <c r="CI107" s="64">
        <f>IF((RD[[#This Row],[33 kV_Wind_F4_Export Reading]]-BR106)*165000&lt;=0,"",(RD[[#This Row],[33 kV_Wind_F4_Export Reading]]-BR106)*165000)</f>
        <v>458040.00000000175</v>
      </c>
      <c r="CJ107" s="209">
        <f>IF((RD[[#This Row],[33 kV_Solar_F1_Export Reading]]-BS106)*225000&lt;=0,"",(RD[[#This Row],[33 kV_Solar_F1_Export Reading]]-BS106)*225000)</f>
        <v>161099.99999999546</v>
      </c>
      <c r="CK107" s="74">
        <f>IF((RD[[#This Row],[33kV_Solar_F2_Export Reading]]-BT106)*225000&lt;=0,"",(RD[[#This Row],[33kV_Solar_F2_Export Reading]]-BT106)*225000)</f>
        <v>155700.00000000163</v>
      </c>
      <c r="CL107" s="209" t="str">
        <f>IF((RD[[#This Row],[33 kV_Solar_F3_Export reading]]-BU106)*225000&lt;=0,"",(RD[[#This Row],[33 kV_Solar_F3_Export reading]]-BU106)*225000)</f>
        <v/>
      </c>
      <c r="CM107" s="63">
        <f>IF((RD[[#This Row],[32kV_Solar_F4_Export reading]]-BV106)*225000&lt;=0,"",(RD[[#This Row],[32kV_Solar_F4_Export reading]]-BV106)*225000)</f>
        <v>135450.00000000087</v>
      </c>
      <c r="CN107" s="227">
        <f>IF((RD[[#This Row],[33kV_OG1_Export reading]]-BW106)*1000&lt;=0,0,(RD[[#This Row],[33kV_OG1_Export reading]]-BW106)*1000)</f>
        <v>453000</v>
      </c>
      <c r="CO107" s="227">
        <f>IFERROR(IF((RD[[#This Row],[33kV_OG2_Export reading]]-BX106)*1000&lt;=0,0,(RD[[#This Row],[33kV_OG2_Export reading]]-BX106)*1000),0)</f>
        <v>1063000</v>
      </c>
      <c r="CP107" s="74">
        <f>IF((RD[[#This Row],[220kV_TX1_Export reading]]-BY106)*800000&lt;=0,0,(RD[[#This Row],[220kV_TX1_Export reading]]-BY106)*800000)</f>
        <v>447200.00000002072</v>
      </c>
      <c r="CQ107" s="209">
        <f>IF((RD[[#This Row],[220kV_Tx2_Export reading]]-BZ106)*800000&lt;=0,0,(RD[[#This Row],[220kV_Tx2_Export reading]]-BZ106)*800000)</f>
        <v>1056799.9999999984</v>
      </c>
      <c r="CR107" s="227">
        <f>IF((RD[[#This Row],[220kV_TL_TVM Export Reading]]-CA106)*1600000&lt;=0,0,(RD[[#This Row],[220kV_TL_TVM Export Reading]]-CA106)*1600000)</f>
        <v>1505599.9999999586</v>
      </c>
      <c r="CS107" s="227">
        <f>IF((RD[[#This Row],[220kV_C&amp;R_PQM reading]]-CB106)*1600000&lt;=0,"",(RD[[#This Row],[220kV_C&amp;R_PQM reading]]-CB106)*1600000)</f>
        <v>1508800.0000000193</v>
      </c>
      <c r="CT107" s="209">
        <f>IFERROR(IF((RD[[#This Row],[220KV_C&amp;R_PQM Import Reading]]-CC106)*1600000&lt;=0,0,(RD[[#This Row],[220KV_C&amp;R_PQM Import Reading]]-CC106)*1600000),"")</f>
        <v>0</v>
      </c>
      <c r="CU107" s="64" t="str">
        <f>IF((RD[[#This Row],[33kV_Aux1 Import Reading]]-CD106)*1000&lt;=0,"",(RD[[#This Row],[33kV_Aux1 Import Reading]]-CD106)*1000)</f>
        <v/>
      </c>
      <c r="CV107" s="227">
        <f>IF((RD[[#This Row],[33kV_Aux2_Import reading]]-CE106)*1000&lt;=0,"",(RD[[#This Row],[33kV_Aux2_Import reading]]-CE106)*1000)</f>
        <v>380.00000000002387</v>
      </c>
      <c r="CW107" s="227">
        <f>IFERROR(RD[[#This Row],[33kV_OG1_Energy (MWh)]]+RD[[#This Row],[33kV_OG2_Energy (MWh)]],"")</f>
        <v>1516000</v>
      </c>
      <c r="CX107" s="227">
        <f>IFERROR(RD[[#This Row],[220kV_TL_TVM Energy (MWh)]]-RD[[#This Row],[220KV_C&amp;R_PQM Import (MWh)]],"")</f>
        <v>1505599.9999999586</v>
      </c>
      <c r="CY107" s="228">
        <f>IFERROR(RD[[#This Row],[33 kV Total Export (MWH)]]/RD[[#This Row],[220 KV Net Export (MWh)]]-1,"")</f>
        <v>6.9075451647460095E-3</v>
      </c>
      <c r="CZ107" s="229">
        <f t="shared" si="102"/>
        <v>50.6</v>
      </c>
      <c r="DA107" s="230">
        <v>96</v>
      </c>
      <c r="DB107" s="231"/>
      <c r="DC107" s="232">
        <f>IFERROR((RD[[#This Row],[Sunset Time (POA&lt;20 W/m2)]]-RD[[#This Row],[Sunrise Time (POA&gt;20 W/m2)]])*24,0)</f>
        <v>12.183333333333335</v>
      </c>
      <c r="DD107" s="70">
        <f>SUM(RD[[#This Row],[33 kV_Wind_F3_Export_Reading3]],CJ107,CK107,CL107,CM107)</f>
        <v>616725</v>
      </c>
      <c r="DE107" s="233"/>
      <c r="DF107" s="70">
        <f t="shared" si="103"/>
        <v>899415.00000001304</v>
      </c>
      <c r="DG107" s="230">
        <v>934.11</v>
      </c>
      <c r="DH107">
        <f>'WTG Reactive Power'!AB105</f>
        <v>54211.3</v>
      </c>
    </row>
    <row r="108" spans="1:112">
      <c r="A108" s="210">
        <f>YEAR(RD[[#This Row],[Date]])+IF(MONTH(RD[[#This Row],[Date]])&gt;=4,1,0)</f>
        <v>2026</v>
      </c>
      <c r="B108" s="210">
        <f>YEAR(RD[[#This Row],[Date]])</f>
        <v>2025</v>
      </c>
      <c r="C108" s="211">
        <f t="shared" si="94"/>
        <v>45839</v>
      </c>
      <c r="D108" s="210">
        <f>DAY(EOMONTH(RD[[#This Row],[Date]],0))</f>
        <v>31</v>
      </c>
      <c r="E108" s="212">
        <f t="shared" si="95"/>
        <v>45848</v>
      </c>
      <c r="F108" s="206">
        <v>0.26666666666666666</v>
      </c>
      <c r="G108" s="206">
        <v>0.77500000000000002</v>
      </c>
      <c r="H108" s="213">
        <v>35848</v>
      </c>
      <c r="I108" s="213">
        <v>35128</v>
      </c>
      <c r="J108" s="213">
        <v>30025</v>
      </c>
      <c r="K108" s="213">
        <v>30944</v>
      </c>
      <c r="L108" s="213">
        <v>31765</v>
      </c>
      <c r="M108" s="213">
        <v>30403</v>
      </c>
      <c r="N108" s="213">
        <v>31071</v>
      </c>
      <c r="O108" s="213">
        <v>32622</v>
      </c>
      <c r="P108" s="213">
        <v>29004</v>
      </c>
      <c r="Q108" s="213">
        <v>30867</v>
      </c>
      <c r="R108" s="213">
        <v>30654</v>
      </c>
      <c r="S108" s="213">
        <v>31064</v>
      </c>
      <c r="T108" s="213">
        <v>32877</v>
      </c>
      <c r="U108" s="213">
        <v>30251</v>
      </c>
      <c r="V108" s="213">
        <v>36311</v>
      </c>
      <c r="W108" s="213">
        <v>36259</v>
      </c>
      <c r="X108" s="213">
        <v>36431</v>
      </c>
      <c r="Y108" s="213">
        <v>31187</v>
      </c>
      <c r="Z108" s="213">
        <v>33611</v>
      </c>
      <c r="AA108" s="213">
        <v>29977</v>
      </c>
      <c r="AB108" s="213">
        <v>31810</v>
      </c>
      <c r="AC108" s="213">
        <v>31915</v>
      </c>
      <c r="AD108" s="213">
        <v>35280</v>
      </c>
      <c r="AE108" s="350">
        <v>8.1999999999999993</v>
      </c>
      <c r="AF108" s="350">
        <v>8.1999999999999993</v>
      </c>
      <c r="AG108" s="350">
        <v>7.9</v>
      </c>
      <c r="AH108" s="350">
        <v>7.6</v>
      </c>
      <c r="AI108" s="350">
        <v>7.9</v>
      </c>
      <c r="AJ108" s="350">
        <v>7.7</v>
      </c>
      <c r="AK108" s="350">
        <v>7.8</v>
      </c>
      <c r="AL108" s="350">
        <v>8.1</v>
      </c>
      <c r="AM108" s="350">
        <v>7.5</v>
      </c>
      <c r="AN108" s="350">
        <v>7.8</v>
      </c>
      <c r="AO108" s="350">
        <v>8</v>
      </c>
      <c r="AP108" s="350">
        <v>7.8</v>
      </c>
      <c r="AQ108" s="350">
        <v>8</v>
      </c>
      <c r="AR108" s="350">
        <v>7.6</v>
      </c>
      <c r="AS108" s="350">
        <v>8.6</v>
      </c>
      <c r="AT108" s="350">
        <v>8.4</v>
      </c>
      <c r="AU108" s="350">
        <v>8.4</v>
      </c>
      <c r="AV108" s="350">
        <v>7.9</v>
      </c>
      <c r="AW108" s="350">
        <v>8</v>
      </c>
      <c r="AX108" s="350">
        <v>7.5</v>
      </c>
      <c r="AY108" s="350">
        <v>8.1</v>
      </c>
      <c r="AZ108" s="350">
        <v>7.9</v>
      </c>
      <c r="BA108" s="350">
        <v>8.1</v>
      </c>
      <c r="BB108" s="214">
        <f t="shared" si="96"/>
        <v>321485</v>
      </c>
      <c r="BC108" s="216">
        <f t="shared" si="97"/>
        <v>72690</v>
      </c>
      <c r="BD108" s="180">
        <f t="shared" si="92"/>
        <v>256249</v>
      </c>
      <c r="BE108" s="216">
        <f t="shared" si="98"/>
        <v>31187</v>
      </c>
      <c r="BF108" s="179">
        <f t="shared" si="93"/>
        <v>63693</v>
      </c>
      <c r="BG108" s="216">
        <f>SUM(RD[[#This Row],[KUD01]:[KUD23]])</f>
        <v>745304</v>
      </c>
      <c r="BH108" s="217">
        <f t="shared" si="99"/>
        <v>7.94</v>
      </c>
      <c r="BI108" s="219">
        <f t="shared" si="100"/>
        <v>8.4</v>
      </c>
      <c r="BJ108" s="219">
        <f t="shared" si="101"/>
        <v>7.8899999999999988</v>
      </c>
      <c r="BK108" s="221">
        <f t="shared" si="104"/>
        <v>7.9</v>
      </c>
      <c r="BL108" s="61">
        <f>IFERROR(AVERAGEIF(RD[[#This Row],[WS_KUD07]:[WS_KUD08]],"&lt;&gt;0",RD[[#This Row],[WS_KUD07]:[WS_KUD08]]),"")</f>
        <v>7.9499999999999993</v>
      </c>
      <c r="BM108" s="223">
        <f>IFERROR(AVERAGE(RD[[#This Row],[WS_KUD01]:[WS_KUD23]]),"")</f>
        <v>7.9565217391304346</v>
      </c>
      <c r="BN108" s="224">
        <f>IFERROR(MAX(RD[[#This Row],[WS_KUD01]:[WS_KUD23]]),"")</f>
        <v>8.6</v>
      </c>
      <c r="BO108" s="172">
        <v>675.30899999999997</v>
      </c>
      <c r="BP108" s="348">
        <v>988.41</v>
      </c>
      <c r="BQ108" s="349">
        <v>116.887</v>
      </c>
      <c r="BR108" s="349">
        <v>352.09899999999999</v>
      </c>
      <c r="BS108" s="349">
        <v>226.501</v>
      </c>
      <c r="BT108" s="349">
        <v>329.26600000000002</v>
      </c>
      <c r="BU108" s="349"/>
      <c r="BV108" s="349">
        <v>119.661</v>
      </c>
      <c r="BW108" s="172">
        <v>220342</v>
      </c>
      <c r="BX108" s="172">
        <v>306440</v>
      </c>
      <c r="BY108" s="349">
        <v>160.39500000000001</v>
      </c>
      <c r="BZ108" s="349">
        <v>141.42400000000001</v>
      </c>
      <c r="CA108" s="349">
        <v>326.69400000000002</v>
      </c>
      <c r="CB108" s="349">
        <v>151.82900000000001</v>
      </c>
      <c r="CC108" s="349">
        <v>0.123</v>
      </c>
      <c r="CD108" s="172">
        <v>0</v>
      </c>
      <c r="CE108" s="349">
        <v>247.26900000000001</v>
      </c>
      <c r="CF108" s="360">
        <f>IF((RD[[#This Row],[33 kV_Wind_F1_Export reading]]-BO107)*165000&lt;=0,"",(RD[[#This Row],[33 kV_Wind_F1_Export reading]]-BO107)*165000)</f>
        <v>343859.99999999115</v>
      </c>
      <c r="CG108" s="227" t="str">
        <f>IF((RD[[#This Row],[33 kV_Wind_F2_Export_reading]]-BP107)*165000&lt;=0,"",(RD[[#This Row],[33 kV_Wind_F2_Export_reading]]-BP107)*165000)</f>
        <v/>
      </c>
      <c r="CH108" s="64">
        <f>IF((RD[[#This Row],[33 kV_Wind_F3_Export_Reading]]-BQ107)*225000&lt;=0,"",(RD[[#This Row],[33 kV_Wind_F3_Export_Reading]]-BQ107)*225000)</f>
        <v>195299.99999999886</v>
      </c>
      <c r="CI108" s="64">
        <f>IF((RD[[#This Row],[33 kV_Wind_F4_Export Reading]]-BR107)*165000&lt;=0,"",(RD[[#This Row],[33 kV_Wind_F4_Export Reading]]-BR107)*165000)</f>
        <v>376034.99999999942</v>
      </c>
      <c r="CJ108" s="209">
        <f>IF((RD[[#This Row],[33 kV_Solar_F1_Export Reading]]-BS107)*225000&lt;=0,"",(RD[[#This Row],[33 kV_Solar_F1_Export Reading]]-BS107)*225000)</f>
        <v>161325.00000000291</v>
      </c>
      <c r="CK108" s="74">
        <f>IF((RD[[#This Row],[33kV_Solar_F2_Export Reading]]-BT107)*225000&lt;=0,"",(RD[[#This Row],[33kV_Solar_F2_Export Reading]]-BT107)*225000)</f>
        <v>145350.00000000338</v>
      </c>
      <c r="CL108" s="209" t="str">
        <f>IF((RD[[#This Row],[33 kV_Solar_F3_Export reading]]-BU107)*225000&lt;=0,"",(RD[[#This Row],[33 kV_Solar_F3_Export reading]]-BU107)*225000)</f>
        <v/>
      </c>
      <c r="CM108" s="63">
        <f>IF((RD[[#This Row],[32kV_Solar_F4_Export reading]]-BV107)*225000&lt;=0,"",(RD[[#This Row],[32kV_Solar_F4_Export reading]]-BV107)*225000)</f>
        <v>159299.99999999965</v>
      </c>
      <c r="CN108" s="227">
        <f>IF((RD[[#This Row],[33kV_OG1_Export reading]]-BW107)*1000&lt;=0,0,(RD[[#This Row],[33kV_OG1_Export reading]]-BW107)*1000)</f>
        <v>466000</v>
      </c>
      <c r="CO108" s="227">
        <f>IFERROR(IF((RD[[#This Row],[33kV_OG2_Export reading]]-BX107)*1000&lt;=0,0,(RD[[#This Row],[33kV_OG2_Export reading]]-BX107)*1000),0)</f>
        <v>915000</v>
      </c>
      <c r="CP108" s="74">
        <f>IF((RD[[#This Row],[220kV_TX1_Export reading]]-BY107)*800000&lt;=0,0,(RD[[#This Row],[220kV_TX1_Export reading]]-BY107)*800000)</f>
        <v>461599.99999999854</v>
      </c>
      <c r="CQ108" s="209">
        <f>IF((RD[[#This Row],[220kV_Tx2_Export reading]]-BZ107)*800000&lt;=0,0,(RD[[#This Row],[220kV_Tx2_Export reading]]-BZ107)*800000)</f>
        <v>905600.00000000396</v>
      </c>
      <c r="CR108" s="227">
        <f>IF((RD[[#This Row],[220kV_TL_TVM Export Reading]]-CA107)*1600000&lt;=0,0,(RD[[#This Row],[220kV_TL_TVM Export Reading]]-CA107)*1600000)</f>
        <v>1371200.0000000445</v>
      </c>
      <c r="CS108" s="227">
        <f>IF((RD[[#This Row],[220kV_C&amp;R_PQM reading]]-CB107)*1600000&lt;=0,"",(RD[[#This Row],[220kV_C&amp;R_PQM reading]]-CB107)*1600000)</f>
        <v>1374400.0000000142</v>
      </c>
      <c r="CT108" s="209">
        <f>IFERROR(IF((RD[[#This Row],[220KV_C&amp;R_PQM Import Reading]]-CC107)*1600000&lt;=0,0,(RD[[#This Row],[220KV_C&amp;R_PQM Import Reading]]-CC107)*1600000),"")</f>
        <v>0</v>
      </c>
      <c r="CU108" s="64" t="str">
        <f>IF((RD[[#This Row],[33kV_Aux1 Import Reading]]-CD107)*1000&lt;=0,"",(RD[[#This Row],[33kV_Aux1 Import Reading]]-CD107)*1000)</f>
        <v/>
      </c>
      <c r="CV108" s="227">
        <f>IF((RD[[#This Row],[33kV_Aux2_Import reading]]-CE107)*1000&lt;=0,"",(RD[[#This Row],[33kV_Aux2_Import reading]]-CE107)*1000)</f>
        <v>379.99999999999545</v>
      </c>
      <c r="CW108" s="227">
        <f>IFERROR(RD[[#This Row],[33kV_OG1_Energy (MWh)]]+RD[[#This Row],[33kV_OG2_Energy (MWh)]],"")</f>
        <v>1381000</v>
      </c>
      <c r="CX108" s="227">
        <f>IFERROR(RD[[#This Row],[220kV_TL_TVM Energy (MWh)]]-RD[[#This Row],[220KV_C&amp;R_PQM Import (MWh)]],"")</f>
        <v>1371200.0000000445</v>
      </c>
      <c r="CY108" s="228">
        <f>IFERROR(RD[[#This Row],[33 kV Total Export (MWH)]]/RD[[#This Row],[220 KV Net Export (MWh)]]-1,"")</f>
        <v>7.147024504051247E-3</v>
      </c>
      <c r="CZ108" s="229">
        <f t="shared" si="102"/>
        <v>50.6</v>
      </c>
      <c r="DA108" s="230">
        <v>96</v>
      </c>
      <c r="DB108" s="231"/>
      <c r="DC108" s="232">
        <f>IFERROR((RD[[#This Row],[Sunset Time (POA&lt;20 W/m2)]]-RD[[#This Row],[Sunrise Time (POA&gt;20 W/m2)]])*24,0)</f>
        <v>12.2</v>
      </c>
      <c r="DD108" s="70">
        <f>SUM(RD[[#This Row],[33 kV_Wind_F3_Export_Reading3]],CJ108,CK108,CL108,CM108)</f>
        <v>661275.00000000477</v>
      </c>
      <c r="DE108" s="233"/>
      <c r="DF108" s="70">
        <f t="shared" si="103"/>
        <v>719894.99999999057</v>
      </c>
      <c r="DG108" s="230">
        <v>745.32</v>
      </c>
      <c r="DH108">
        <f>'WTG Reactive Power'!AB106</f>
        <v>33668.399999999994</v>
      </c>
    </row>
    <row r="109" spans="1:112">
      <c r="A109" s="210">
        <f>YEAR(RD[[#This Row],[Date]])+IF(MONTH(RD[[#This Row],[Date]])&gt;=4,1,0)</f>
        <v>2026</v>
      </c>
      <c r="B109" s="210">
        <f>YEAR(RD[[#This Row],[Date]])</f>
        <v>2025</v>
      </c>
      <c r="C109" s="211">
        <f t="shared" si="94"/>
        <v>45839</v>
      </c>
      <c r="D109" s="210">
        <f>DAY(EOMONTH(RD[[#This Row],[Date]],0))</f>
        <v>31</v>
      </c>
      <c r="E109" s="212">
        <f t="shared" si="95"/>
        <v>45849</v>
      </c>
      <c r="F109" s="206">
        <v>0.26944444444444443</v>
      </c>
      <c r="G109" s="206">
        <v>0.77361111111111114</v>
      </c>
      <c r="H109" s="213">
        <v>27846</v>
      </c>
      <c r="I109" s="213">
        <v>25150</v>
      </c>
      <c r="J109" s="213">
        <v>21919</v>
      </c>
      <c r="K109" s="213">
        <v>24260</v>
      </c>
      <c r="L109" s="213">
        <v>24206</v>
      </c>
      <c r="M109" s="213">
        <v>22214</v>
      </c>
      <c r="N109" s="213">
        <v>22689</v>
      </c>
      <c r="O109" s="213">
        <v>24044</v>
      </c>
      <c r="P109" s="213">
        <v>23343</v>
      </c>
      <c r="Q109" s="213">
        <v>22167</v>
      </c>
      <c r="R109" s="213">
        <v>21957</v>
      </c>
      <c r="S109" s="213">
        <v>26350</v>
      </c>
      <c r="T109" s="213">
        <v>24966</v>
      </c>
      <c r="U109" s="213">
        <v>22732</v>
      </c>
      <c r="V109" s="213">
        <v>28007</v>
      </c>
      <c r="W109" s="213">
        <v>27208</v>
      </c>
      <c r="X109" s="213">
        <v>27411</v>
      </c>
      <c r="Y109" s="213">
        <v>22980</v>
      </c>
      <c r="Z109" s="213">
        <v>25244</v>
      </c>
      <c r="AA109" s="213">
        <v>23898</v>
      </c>
      <c r="AB109" s="213">
        <v>21833</v>
      </c>
      <c r="AC109" s="213">
        <v>23894</v>
      </c>
      <c r="AD109" s="213">
        <v>27147</v>
      </c>
      <c r="AE109" s="350">
        <v>7.2</v>
      </c>
      <c r="AF109" s="350">
        <v>7.1</v>
      </c>
      <c r="AG109" s="350">
        <v>6.9</v>
      </c>
      <c r="AH109" s="350">
        <v>6.9</v>
      </c>
      <c r="AI109" s="350">
        <v>7.1</v>
      </c>
      <c r="AJ109" s="350">
        <v>6.7</v>
      </c>
      <c r="AK109" s="350">
        <v>6.9</v>
      </c>
      <c r="AL109" s="350">
        <v>7</v>
      </c>
      <c r="AM109" s="350">
        <v>6.8</v>
      </c>
      <c r="AN109" s="350">
        <v>6.8</v>
      </c>
      <c r="AO109" s="350">
        <v>7</v>
      </c>
      <c r="AP109" s="350">
        <v>7.3</v>
      </c>
      <c r="AQ109" s="350">
        <v>7</v>
      </c>
      <c r="AR109" s="350">
        <v>6.8</v>
      </c>
      <c r="AS109" s="350">
        <v>7.6</v>
      </c>
      <c r="AT109" s="350">
        <v>7.3</v>
      </c>
      <c r="AU109" s="350">
        <v>7.4</v>
      </c>
      <c r="AV109" s="350">
        <v>7</v>
      </c>
      <c r="AW109" s="350">
        <v>7.1</v>
      </c>
      <c r="AX109" s="350">
        <v>7</v>
      </c>
      <c r="AY109" s="350">
        <v>7.2</v>
      </c>
      <c r="AZ109" s="350">
        <v>7.1</v>
      </c>
      <c r="BA109" s="350">
        <v>7.3</v>
      </c>
      <c r="BB109" s="214">
        <f t="shared" si="96"/>
        <v>245086</v>
      </c>
      <c r="BC109" s="216">
        <f t="shared" si="97"/>
        <v>54619</v>
      </c>
      <c r="BD109" s="180">
        <f t="shared" si="92"/>
        <v>192047</v>
      </c>
      <c r="BE109" s="216">
        <f t="shared" si="98"/>
        <v>22980</v>
      </c>
      <c r="BF109" s="179">
        <f t="shared" si="93"/>
        <v>46733</v>
      </c>
      <c r="BG109" s="216">
        <f>SUM(RD[[#This Row],[KUD01]:[KUD23]])</f>
        <v>561465</v>
      </c>
      <c r="BH109" s="217">
        <f t="shared" si="99"/>
        <v>7.07</v>
      </c>
      <c r="BI109" s="219">
        <f t="shared" si="100"/>
        <v>7.35</v>
      </c>
      <c r="BJ109" s="219">
        <f t="shared" si="101"/>
        <v>7.0100000000000007</v>
      </c>
      <c r="BK109" s="221">
        <f t="shared" si="104"/>
        <v>7</v>
      </c>
      <c r="BL109" s="61">
        <f>IFERROR(AVERAGEIF(RD[[#This Row],[WS_KUD07]:[WS_KUD08]],"&lt;&gt;0",RD[[#This Row],[WS_KUD07]:[WS_KUD08]]),"")</f>
        <v>6.95</v>
      </c>
      <c r="BM109" s="223">
        <f>IFERROR(AVERAGE(RD[[#This Row],[WS_KUD01]:[WS_KUD23]]),"")</f>
        <v>7.0652173913043477</v>
      </c>
      <c r="BN109" s="224">
        <f>IFERROR(MAX(RD[[#This Row],[WS_KUD01]:[WS_KUD23]]),"")</f>
        <v>7.6</v>
      </c>
      <c r="BO109" s="172">
        <v>676.89499999999998</v>
      </c>
      <c r="BP109" s="348">
        <v>988.41</v>
      </c>
      <c r="BQ109" s="348">
        <v>117.626</v>
      </c>
      <c r="BR109" s="348">
        <v>353.80500000000001</v>
      </c>
      <c r="BS109" s="348">
        <v>227.167</v>
      </c>
      <c r="BT109" s="348">
        <v>329.89600000000002</v>
      </c>
      <c r="BU109" s="348"/>
      <c r="BV109" s="348">
        <v>120.244</v>
      </c>
      <c r="BW109" s="172">
        <v>220765</v>
      </c>
      <c r="BX109" s="172">
        <v>307148</v>
      </c>
      <c r="BY109" s="348">
        <v>160.91800000000001</v>
      </c>
      <c r="BZ109" s="348">
        <v>142.297</v>
      </c>
      <c r="CA109" s="348">
        <v>327.39699999999999</v>
      </c>
      <c r="CB109" s="348">
        <v>152.53200000000001</v>
      </c>
      <c r="CC109" s="348">
        <v>0.123</v>
      </c>
      <c r="CD109" s="172">
        <v>0</v>
      </c>
      <c r="CE109" s="348">
        <v>247.62899999999999</v>
      </c>
      <c r="CF109" s="360">
        <f>IF((RD[[#This Row],[33 kV_Wind_F1_Export reading]]-BO108)*165000&lt;=0,"",(RD[[#This Row],[33 kV_Wind_F1_Export reading]]-BO108)*165000)</f>
        <v>261690.0000000021</v>
      </c>
      <c r="CG109" s="227" t="str">
        <f>IF((RD[[#This Row],[33 kV_Wind_F2_Export_reading]]-BP108)*165000&lt;=0,"",(RD[[#This Row],[33 kV_Wind_F2_Export_reading]]-BP108)*165000)</f>
        <v/>
      </c>
      <c r="CH109" s="64">
        <f>IF((RD[[#This Row],[33 kV_Wind_F3_Export_Reading]]-BQ108)*225000&lt;=0,"",(RD[[#This Row],[33 kV_Wind_F3_Export_Reading]]-BQ108)*225000)</f>
        <v>166275.00000000096</v>
      </c>
      <c r="CI109" s="64">
        <f>IF((RD[[#This Row],[33 kV_Wind_F4_Export Reading]]-BR108)*165000&lt;=0,"",(RD[[#This Row],[33 kV_Wind_F4_Export Reading]]-BR108)*165000)</f>
        <v>281490.00000000285</v>
      </c>
      <c r="CJ109" s="209">
        <f>IF((RD[[#This Row],[33 kV_Solar_F1_Export Reading]]-BS108)*225000&lt;=0,"",(RD[[#This Row],[33 kV_Solar_F1_Export Reading]]-BS108)*225000)</f>
        <v>149849.99999999927</v>
      </c>
      <c r="CK109" s="74">
        <f>IF((RD[[#This Row],[33kV_Solar_F2_Export Reading]]-BT108)*225000&lt;=0,"",(RD[[#This Row],[33kV_Solar_F2_Export Reading]]-BT108)*225000)</f>
        <v>141749.99999999898</v>
      </c>
      <c r="CL109" s="209" t="str">
        <f>IF((RD[[#This Row],[33 kV_Solar_F3_Export reading]]-BU108)*225000&lt;=0,"",(RD[[#This Row],[33 kV_Solar_F3_Export reading]]-BU108)*225000)</f>
        <v/>
      </c>
      <c r="CM109" s="63">
        <f>IF((RD[[#This Row],[32kV_Solar_F4_Export reading]]-BV108)*225000&lt;=0,"",(RD[[#This Row],[32kV_Solar_F4_Export reading]]-BV108)*225000)</f>
        <v>131174.99999999965</v>
      </c>
      <c r="CN109" s="227">
        <f>IF((RD[[#This Row],[33kV_OG1_Export reading]]-BW108)*1000&lt;=0,0,(RD[[#This Row],[33kV_OG1_Export reading]]-BW108)*1000)</f>
        <v>423000</v>
      </c>
      <c r="CO109" s="227">
        <f>IFERROR(IF((RD[[#This Row],[33kV_OG2_Export reading]]-BX108)*1000&lt;=0,0,(RD[[#This Row],[33kV_OG2_Export reading]]-BX108)*1000),0)</f>
        <v>708000</v>
      </c>
      <c r="CP109" s="74">
        <f>IF((RD[[#This Row],[220kV_TX1_Export reading]]-BY108)*800000&lt;=0,0,(RD[[#This Row],[220kV_TX1_Export reading]]-BY108)*800000)</f>
        <v>418399.99999999691</v>
      </c>
      <c r="CQ109" s="209">
        <f>IF((RD[[#This Row],[220kV_Tx2_Export reading]]-BZ108)*800000&lt;=0,0,(RD[[#This Row],[220kV_Tx2_Export reading]]-BZ108)*800000)</f>
        <v>698399.99999999232</v>
      </c>
      <c r="CR109" s="227">
        <f>IF((RD[[#This Row],[220kV_TL_TVM Export Reading]]-CA108)*1600000&lt;=0,0,(RD[[#This Row],[220kV_TL_TVM Export Reading]]-CA108)*1600000)</f>
        <v>1124799.9999999593</v>
      </c>
      <c r="CS109" s="227">
        <f>IF((RD[[#This Row],[220kV_C&amp;R_PQM reading]]-CB108)*1600000&lt;=0,"",(RD[[#This Row],[220kV_C&amp;R_PQM reading]]-CB108)*1600000)</f>
        <v>1124800.0000000047</v>
      </c>
      <c r="CT109" s="209">
        <f>IFERROR(IF((RD[[#This Row],[220KV_C&amp;R_PQM Import Reading]]-CC108)*1600000&lt;=0,0,(RD[[#This Row],[220KV_C&amp;R_PQM Import Reading]]-CC108)*1600000),"")</f>
        <v>0</v>
      </c>
      <c r="CU109" s="64" t="str">
        <f>IF((RD[[#This Row],[33kV_Aux1 Import Reading]]-CD108)*1000&lt;=0,"",(RD[[#This Row],[33kV_Aux1 Import Reading]]-CD108)*1000)</f>
        <v/>
      </c>
      <c r="CV109" s="227">
        <f>IF((RD[[#This Row],[33kV_Aux2_Import reading]]-CE108)*1000&lt;=0,"",(RD[[#This Row],[33kV_Aux2_Import reading]]-CE108)*1000)</f>
        <v>359.99999999998522</v>
      </c>
      <c r="CW109" s="227">
        <f>IFERROR(RD[[#This Row],[33kV_OG1_Energy (MWh)]]+RD[[#This Row],[33kV_OG2_Energy (MWh)]],"")</f>
        <v>1131000</v>
      </c>
      <c r="CX109" s="227">
        <f>IFERROR(RD[[#This Row],[220kV_TL_TVM Energy (MWh)]]-RD[[#This Row],[220KV_C&amp;R_PQM Import (MWh)]],"")</f>
        <v>1124799.9999999593</v>
      </c>
      <c r="CY109" s="228">
        <f>IFERROR(RD[[#This Row],[33 kV Total Export (MWH)]]/RD[[#This Row],[220 KV Net Export (MWh)]]-1,"")</f>
        <v>5.5120910384431898E-3</v>
      </c>
      <c r="CZ109" s="229">
        <f t="shared" si="102"/>
        <v>50.6</v>
      </c>
      <c r="DA109" s="230">
        <v>96</v>
      </c>
      <c r="DB109" s="231"/>
      <c r="DC109" s="232">
        <f>IFERROR((RD[[#This Row],[Sunset Time (POA&lt;20 W/m2)]]-RD[[#This Row],[Sunrise Time (POA&gt;20 W/m2)]])*24,0)</f>
        <v>12.1</v>
      </c>
      <c r="DD109" s="70">
        <f>SUM(RD[[#This Row],[33 kV_Wind_F3_Export_Reading3]],CJ109,CK109,CL109,CM109)</f>
        <v>589049.99999999884</v>
      </c>
      <c r="DE109" s="233"/>
      <c r="DF109" s="70">
        <f t="shared" si="103"/>
        <v>543180.00000000489</v>
      </c>
      <c r="DG109" s="230">
        <v>562.92999999999995</v>
      </c>
      <c r="DH109">
        <f>'WTG Reactive Power'!AB107</f>
        <v>41870.100000000006</v>
      </c>
    </row>
    <row r="110" spans="1:112">
      <c r="A110" s="210">
        <f>YEAR(RD[[#This Row],[Date]])+IF(MONTH(RD[[#This Row],[Date]])&gt;=4,1,0)</f>
        <v>2026</v>
      </c>
      <c r="B110" s="210">
        <f>YEAR(RD[[#This Row],[Date]])</f>
        <v>2025</v>
      </c>
      <c r="C110" s="211">
        <f t="shared" si="94"/>
        <v>45839</v>
      </c>
      <c r="D110" s="210">
        <f>DAY(EOMONTH(RD[[#This Row],[Date]],0))</f>
        <v>31</v>
      </c>
      <c r="E110" s="212">
        <f t="shared" si="95"/>
        <v>45850</v>
      </c>
      <c r="F110" s="206">
        <v>0.2638888888888889</v>
      </c>
      <c r="G110" s="204">
        <v>0.77430555555555558</v>
      </c>
      <c r="H110" s="213">
        <v>32669.9</v>
      </c>
      <c r="I110" s="213">
        <v>29627.5</v>
      </c>
      <c r="J110" s="213">
        <v>26006.7</v>
      </c>
      <c r="K110" s="213">
        <v>22311.8</v>
      </c>
      <c r="L110" s="213">
        <v>25184.7</v>
      </c>
      <c r="M110" s="213">
        <v>24653.5</v>
      </c>
      <c r="N110" s="213">
        <v>25942.5</v>
      </c>
      <c r="O110" s="213">
        <v>29416.6</v>
      </c>
      <c r="P110" s="213">
        <v>22319.4</v>
      </c>
      <c r="Q110" s="213">
        <v>28692</v>
      </c>
      <c r="R110" s="213">
        <v>26962.9</v>
      </c>
      <c r="S110" s="213">
        <v>27997.3</v>
      </c>
      <c r="T110" s="213">
        <v>29021.599999999999</v>
      </c>
      <c r="U110" s="213">
        <v>27665.8</v>
      </c>
      <c r="V110" s="213">
        <v>33290.300000000003</v>
      </c>
      <c r="W110" s="213">
        <v>30464.799999999999</v>
      </c>
      <c r="X110" s="213">
        <v>30266.9</v>
      </c>
      <c r="Y110" s="213">
        <v>27787.200000000001</v>
      </c>
      <c r="Z110" s="213">
        <v>30425.8</v>
      </c>
      <c r="AA110" s="213">
        <v>27250.1</v>
      </c>
      <c r="AB110" s="213">
        <v>23800.1</v>
      </c>
      <c r="AC110" s="213">
        <v>23857.1</v>
      </c>
      <c r="AD110" s="213">
        <v>27206</v>
      </c>
      <c r="AE110" s="350">
        <v>7.9</v>
      </c>
      <c r="AF110" s="350">
        <v>7.8</v>
      </c>
      <c r="AG110" s="350">
        <v>7.4</v>
      </c>
      <c r="AH110" s="350">
        <v>7.1</v>
      </c>
      <c r="AI110" s="350">
        <v>7.7</v>
      </c>
      <c r="AJ110" s="350">
        <v>7.2</v>
      </c>
      <c r="AK110" s="350">
        <v>7.5</v>
      </c>
      <c r="AL110" s="350">
        <v>7.6</v>
      </c>
      <c r="AM110" s="350">
        <v>7.1</v>
      </c>
      <c r="AN110" s="350">
        <v>7.6</v>
      </c>
      <c r="AO110" s="350">
        <v>7.6</v>
      </c>
      <c r="AP110" s="350">
        <v>7.4</v>
      </c>
      <c r="AQ110" s="350">
        <v>7.5</v>
      </c>
      <c r="AR110" s="350">
        <v>7.3</v>
      </c>
      <c r="AS110" s="350">
        <v>8.1999999999999993</v>
      </c>
      <c r="AT110" s="350">
        <v>7.9</v>
      </c>
      <c r="AU110" s="350">
        <v>8</v>
      </c>
      <c r="AV110" s="350">
        <v>7.7</v>
      </c>
      <c r="AW110" s="350">
        <v>7.7</v>
      </c>
      <c r="AX110" s="350">
        <v>7.3</v>
      </c>
      <c r="AY110" s="350">
        <v>7.8</v>
      </c>
      <c r="AZ110" s="350">
        <v>7.6</v>
      </c>
      <c r="BA110" s="350">
        <v>7.8</v>
      </c>
      <c r="BB110" s="214">
        <f t="shared" si="96"/>
        <v>289982.39999999997</v>
      </c>
      <c r="BC110" s="216">
        <f t="shared" si="97"/>
        <v>60731.7</v>
      </c>
      <c r="BD110" s="180">
        <f t="shared" si="92"/>
        <v>198960.1</v>
      </c>
      <c r="BE110" s="216">
        <f t="shared" si="98"/>
        <v>27787.200000000001</v>
      </c>
      <c r="BF110" s="179">
        <f t="shared" si="93"/>
        <v>55359.1</v>
      </c>
      <c r="BG110" s="216">
        <f>SUM(RD[[#This Row],[KUD01]:[KUD23]])</f>
        <v>632820.49999999988</v>
      </c>
      <c r="BH110" s="217">
        <f t="shared" si="99"/>
        <v>7.589999999999999</v>
      </c>
      <c r="BI110" s="219">
        <f t="shared" si="100"/>
        <v>7.95</v>
      </c>
      <c r="BJ110" s="219">
        <f t="shared" si="101"/>
        <v>7.5199999999999987</v>
      </c>
      <c r="BK110" s="221">
        <f t="shared" si="104"/>
        <v>7.7</v>
      </c>
      <c r="BL110" s="61">
        <f>IFERROR(AVERAGEIF(RD[[#This Row],[WS_KUD07]:[WS_KUD08]],"&lt;&gt;0",RD[[#This Row],[WS_KUD07]:[WS_KUD08]]),"")</f>
        <v>7.55</v>
      </c>
      <c r="BM110" s="223">
        <f>IFERROR(AVERAGE(RD[[#This Row],[WS_KUD01]:[WS_KUD23]]),"")</f>
        <v>7.5956521739130443</v>
      </c>
      <c r="BN110" s="224">
        <f>IFERROR(MAX(RD[[#This Row],[WS_KUD01]:[WS_KUD23]]),"")</f>
        <v>8.1999999999999993</v>
      </c>
      <c r="BO110" s="172">
        <v>678.77800000000002</v>
      </c>
      <c r="BP110" s="348">
        <v>988.41</v>
      </c>
      <c r="BQ110" s="349">
        <v>118.364</v>
      </c>
      <c r="BR110" s="349">
        <v>355.63900000000001</v>
      </c>
      <c r="BS110" s="349">
        <v>227.90799999999999</v>
      </c>
      <c r="BT110" s="349">
        <v>330.52100000000002</v>
      </c>
      <c r="BU110" s="349"/>
      <c r="BV110" s="349">
        <v>120.843</v>
      </c>
      <c r="BW110" s="172">
        <v>221208</v>
      </c>
      <c r="BX110" s="172">
        <v>307928</v>
      </c>
      <c r="BY110" s="349">
        <v>161.465</v>
      </c>
      <c r="BZ110" s="349">
        <v>143.279</v>
      </c>
      <c r="CA110" s="349">
        <v>328.15499999999997</v>
      </c>
      <c r="CB110" s="348">
        <v>153.30000000000001</v>
      </c>
      <c r="CC110" s="349">
        <v>0.123</v>
      </c>
      <c r="CD110" s="172">
        <v>0</v>
      </c>
      <c r="CE110" s="349">
        <v>247.999</v>
      </c>
      <c r="CF110" s="360">
        <f>IF((RD[[#This Row],[33 kV_Wind_F1_Export reading]]-BO109)*165000&lt;=0,"",(RD[[#This Row],[33 kV_Wind_F1_Export reading]]-BO109)*165000)</f>
        <v>310695.00000000629</v>
      </c>
      <c r="CG110" s="227" t="str">
        <f>IF((RD[[#This Row],[33 kV_Wind_F2_Export_reading]]-BP109)*165000&lt;=0,"",(RD[[#This Row],[33 kV_Wind_F2_Export_reading]]-BP109)*165000)</f>
        <v/>
      </c>
      <c r="CH110" s="64">
        <f>IF((RD[[#This Row],[33 kV_Wind_F3_Export_Reading]]-BQ109)*225000&lt;=0,"",(RD[[#This Row],[33 kV_Wind_F3_Export_Reading]]-BQ109)*225000)</f>
        <v>166049.99999999988</v>
      </c>
      <c r="CI110" s="64">
        <f>IF((RD[[#This Row],[33 kV_Wind_F4_Export Reading]]-BR109)*165000&lt;=0,"",(RD[[#This Row],[33 kV_Wind_F4_Export Reading]]-BR109)*165000)</f>
        <v>302610.00000000052</v>
      </c>
      <c r="CJ110" s="209">
        <f>IF((RD[[#This Row],[33 kV_Solar_F1_Export Reading]]-BS109)*225000&lt;=0,"",(RD[[#This Row],[33 kV_Solar_F1_Export Reading]]-BS109)*225000)</f>
        <v>166724.99999999674</v>
      </c>
      <c r="CK110" s="74">
        <f>IF((RD[[#This Row],[33kV_Solar_F2_Export Reading]]-BT109)*225000&lt;=0,"",(RD[[#This Row],[33kV_Solar_F2_Export Reading]]-BT109)*225000)</f>
        <v>140625</v>
      </c>
      <c r="CL110" s="209" t="str">
        <f>IF((RD[[#This Row],[33 kV_Solar_F3_Export reading]]-BU109)*225000&lt;=0,"",(RD[[#This Row],[33 kV_Solar_F3_Export reading]]-BU109)*225000)</f>
        <v/>
      </c>
      <c r="CM110" s="63">
        <f>IF((RD[[#This Row],[32kV_Solar_F4_Export reading]]-BV109)*225000&lt;=0,"",(RD[[#This Row],[32kV_Solar_F4_Export reading]]-BV109)*225000)</f>
        <v>134775.00000000084</v>
      </c>
      <c r="CN110" s="227">
        <f>IF((RD[[#This Row],[33kV_OG1_Export reading]]-BW109)*1000&lt;=0,0,(RD[[#This Row],[33kV_OG1_Export reading]]-BW109)*1000)</f>
        <v>443000</v>
      </c>
      <c r="CO110" s="227">
        <f>IFERROR(IF((RD[[#This Row],[33kV_OG2_Export reading]]-BX109)*1000&lt;=0,0,(RD[[#This Row],[33kV_OG2_Export reading]]-BX109)*1000),0)</f>
        <v>780000</v>
      </c>
      <c r="CP110" s="74">
        <f>IF((RD[[#This Row],[220kV_TX1_Export reading]]-BY109)*800000&lt;=0,0,(RD[[#This Row],[220kV_TX1_Export reading]]-BY109)*800000)</f>
        <v>437599.99999999761</v>
      </c>
      <c r="CQ110" s="209">
        <f>IF((RD[[#This Row],[220kV_Tx2_Export reading]]-BZ109)*800000&lt;=0,0,(RD[[#This Row],[220kV_Tx2_Export reading]]-BZ109)*800000)</f>
        <v>785599.99999999942</v>
      </c>
      <c r="CR110" s="227">
        <f>IF((RD[[#This Row],[220kV_TL_TVM Export Reading]]-CA109)*1600000&lt;=0,0,(RD[[#This Row],[220kV_TL_TVM Export Reading]]-CA109)*1600000)</f>
        <v>1212799.9999999702</v>
      </c>
      <c r="CS110" s="227">
        <f>IF((RD[[#This Row],[220kV_C&amp;R_PQM reading]]-CB109)*1600000&lt;=0,"",(RD[[#This Row],[220kV_C&amp;R_PQM reading]]-CB109)*1600000)</f>
        <v>1228800.0000000012</v>
      </c>
      <c r="CT110" s="209">
        <f>IFERROR(IF((RD[[#This Row],[220KV_C&amp;R_PQM Import Reading]]-CC109)*1600000&lt;=0,0,(RD[[#This Row],[220KV_C&amp;R_PQM Import Reading]]-CC109)*1600000),"")</f>
        <v>0</v>
      </c>
      <c r="CU110" s="64" t="str">
        <f>IF((RD[[#This Row],[33kV_Aux1 Import Reading]]-CD109)*1000&lt;=0,"",(RD[[#This Row],[33kV_Aux1 Import Reading]]-CD109)*1000)</f>
        <v/>
      </c>
      <c r="CV110" s="227">
        <f>IF((RD[[#This Row],[33kV_Aux2_Import reading]]-CE109)*1000&lt;=0,"",(RD[[#This Row],[33kV_Aux2_Import reading]]-CE109)*1000)</f>
        <v>370.00000000000455</v>
      </c>
      <c r="CW110" s="227">
        <f>IFERROR(RD[[#This Row],[33kV_OG1_Energy (MWh)]]+RD[[#This Row],[33kV_OG2_Energy (MWh)]],"")</f>
        <v>1223000</v>
      </c>
      <c r="CX110" s="227">
        <f>IFERROR(RD[[#This Row],[220kV_TL_TVM Energy (MWh)]]-RD[[#This Row],[220KV_C&amp;R_PQM Import (MWh)]],"")</f>
        <v>1212799.9999999702</v>
      </c>
      <c r="CY110" s="228">
        <f>IFERROR(RD[[#This Row],[33 kV Total Export (MWH)]]/RD[[#This Row],[220 KV Net Export (MWh)]]-1,"")</f>
        <v>8.4102902374918465E-3</v>
      </c>
      <c r="CZ110" s="229">
        <f t="shared" si="102"/>
        <v>50.6</v>
      </c>
      <c r="DA110" s="230">
        <v>96</v>
      </c>
      <c r="DB110" s="231"/>
      <c r="DC110" s="232">
        <f>IFERROR((RD[[#This Row],[Sunset Time (POA&lt;20 W/m2)]]-RD[[#This Row],[Sunrise Time (POA&gt;20 W/m2)]])*24,0)</f>
        <v>12.250000000000002</v>
      </c>
      <c r="DD110" s="70">
        <f>SUM(RD[[#This Row],[33 kV_Wind_F3_Export_Reading3]],CJ110,CK110,CL110,CM110)</f>
        <v>608174.99999999744</v>
      </c>
      <c r="DE110" s="233"/>
      <c r="DF110" s="70">
        <f t="shared" si="103"/>
        <v>613305.00000000675</v>
      </c>
      <c r="DG110" s="230">
        <v>639.03</v>
      </c>
      <c r="DH110">
        <f>'WTG Reactive Power'!AB108</f>
        <v>55873.599999999991</v>
      </c>
    </row>
    <row r="111" spans="1:112">
      <c r="A111" s="210">
        <f>YEAR(RD[[#This Row],[Date]])+IF(MONTH(RD[[#This Row],[Date]])&gt;=4,1,0)</f>
        <v>2026</v>
      </c>
      <c r="B111" s="210">
        <f>YEAR(RD[[#This Row],[Date]])</f>
        <v>2025</v>
      </c>
      <c r="C111" s="211">
        <f t="shared" si="94"/>
        <v>45839</v>
      </c>
      <c r="D111" s="210">
        <f>DAY(EOMONTH(RD[[#This Row],[Date]],0))</f>
        <v>31</v>
      </c>
      <c r="E111" s="212">
        <f t="shared" si="95"/>
        <v>45851</v>
      </c>
      <c r="F111" s="206">
        <v>0.26527777777777778</v>
      </c>
      <c r="G111" s="206">
        <v>0.76388888888888884</v>
      </c>
      <c r="H111" s="213">
        <v>36006.1</v>
      </c>
      <c r="I111" s="213">
        <v>36763</v>
      </c>
      <c r="J111" s="213">
        <v>29810.2</v>
      </c>
      <c r="K111" s="213">
        <v>31260.1</v>
      </c>
      <c r="L111" s="213">
        <v>34751</v>
      </c>
      <c r="M111" s="213">
        <v>30854.6</v>
      </c>
      <c r="N111" s="213">
        <v>30933</v>
      </c>
      <c r="O111" s="213">
        <v>33129</v>
      </c>
      <c r="P111" s="213">
        <v>30556.5</v>
      </c>
      <c r="Q111" s="213">
        <v>31685.9</v>
      </c>
      <c r="R111" s="213">
        <v>31661.7</v>
      </c>
      <c r="S111" s="213">
        <v>31374.6</v>
      </c>
      <c r="T111" s="213">
        <v>33264.199999999997</v>
      </c>
      <c r="U111" s="213">
        <v>31963.1</v>
      </c>
      <c r="V111" s="213">
        <v>38271.5</v>
      </c>
      <c r="W111" s="213">
        <v>38691</v>
      </c>
      <c r="X111" s="213">
        <v>38191.800000000003</v>
      </c>
      <c r="Y111" s="213">
        <v>34674.400000000001</v>
      </c>
      <c r="Z111" s="213">
        <v>34397.699999999997</v>
      </c>
      <c r="AA111" s="213">
        <v>31745.599999999999</v>
      </c>
      <c r="AB111" s="213">
        <v>34487</v>
      </c>
      <c r="AC111" s="213">
        <v>32807.5</v>
      </c>
      <c r="AD111" s="213">
        <v>38701.699999999997</v>
      </c>
      <c r="AE111" s="350">
        <v>8.1999999999999993</v>
      </c>
      <c r="AF111" s="350">
        <v>8.1999999999999993</v>
      </c>
      <c r="AG111" s="350">
        <v>7.8</v>
      </c>
      <c r="AH111" s="350">
        <v>7.7</v>
      </c>
      <c r="AI111" s="350">
        <v>8.1999999999999993</v>
      </c>
      <c r="AJ111" s="350">
        <v>7.7</v>
      </c>
      <c r="AK111" s="350">
        <v>7.8</v>
      </c>
      <c r="AL111" s="350">
        <v>8</v>
      </c>
      <c r="AM111" s="350">
        <v>7.7</v>
      </c>
      <c r="AN111" s="350">
        <v>7.9</v>
      </c>
      <c r="AO111" s="350">
        <v>8.1</v>
      </c>
      <c r="AP111" s="350">
        <v>7.8</v>
      </c>
      <c r="AQ111" s="350">
        <v>7.9</v>
      </c>
      <c r="AR111" s="350">
        <v>7.8</v>
      </c>
      <c r="AS111" s="350">
        <v>8.8000000000000007</v>
      </c>
      <c r="AT111" s="350">
        <v>8.5</v>
      </c>
      <c r="AU111" s="350">
        <v>8.5</v>
      </c>
      <c r="AV111" s="350">
        <v>8.1999999999999993</v>
      </c>
      <c r="AW111" s="350">
        <v>8.1</v>
      </c>
      <c r="AX111" s="350">
        <v>7.8</v>
      </c>
      <c r="AY111" s="350">
        <v>8.4</v>
      </c>
      <c r="AZ111" s="350">
        <v>8</v>
      </c>
      <c r="BA111" s="350">
        <v>8.4</v>
      </c>
      <c r="BB111" s="214">
        <f t="shared" si="96"/>
        <v>330180.60000000003</v>
      </c>
      <c r="BC111" s="216">
        <f t="shared" si="97"/>
        <v>76882.8</v>
      </c>
      <c r="BD111" s="180">
        <f t="shared" si="92"/>
        <v>270181.40000000002</v>
      </c>
      <c r="BE111" s="216">
        <f t="shared" si="98"/>
        <v>34674.400000000001</v>
      </c>
      <c r="BF111" s="179">
        <f t="shared" si="93"/>
        <v>64062</v>
      </c>
      <c r="BG111" s="216">
        <f>SUM(RD[[#This Row],[KUD01]:[KUD23]])</f>
        <v>775981.2</v>
      </c>
      <c r="BH111" s="217">
        <f t="shared" si="99"/>
        <v>8.02</v>
      </c>
      <c r="BI111" s="219">
        <f t="shared" si="100"/>
        <v>8.5</v>
      </c>
      <c r="BJ111" s="219">
        <f t="shared" si="101"/>
        <v>8.01</v>
      </c>
      <c r="BK111" s="221">
        <f t="shared" si="104"/>
        <v>8.1999999999999993</v>
      </c>
      <c r="BL111" s="61">
        <f>IFERROR(AVERAGEIF(RD[[#This Row],[WS_KUD07]:[WS_KUD08]],"&lt;&gt;0",RD[[#This Row],[WS_KUD07]:[WS_KUD08]]),"")</f>
        <v>7.9</v>
      </c>
      <c r="BM111" s="223">
        <f>IFERROR(AVERAGE(RD[[#This Row],[WS_KUD01]:[WS_KUD23]]),"")</f>
        <v>8.0652173913043477</v>
      </c>
      <c r="BN111" s="224">
        <f>IFERROR(MAX(RD[[#This Row],[WS_KUD01]:[WS_KUD23]]),"")</f>
        <v>8.8000000000000007</v>
      </c>
      <c r="BO111" s="172">
        <v>680.92</v>
      </c>
      <c r="BP111" s="348">
        <v>988.41</v>
      </c>
      <c r="BQ111" s="348">
        <v>119.114</v>
      </c>
      <c r="BR111" s="348">
        <v>358.04599999999999</v>
      </c>
      <c r="BS111" s="348">
        <v>228.6</v>
      </c>
      <c r="BT111" s="348">
        <v>331.08499999999998</v>
      </c>
      <c r="BU111" s="348"/>
      <c r="BV111" s="348">
        <v>121.45699999999999</v>
      </c>
      <c r="BW111" s="172">
        <v>221627</v>
      </c>
      <c r="BX111" s="172">
        <v>308847</v>
      </c>
      <c r="BY111" s="348">
        <v>161.98500000000001</v>
      </c>
      <c r="BZ111" s="348">
        <v>144.39500000000001</v>
      </c>
      <c r="CA111" s="348">
        <v>328.98700000000002</v>
      </c>
      <c r="CB111" s="348">
        <v>154.136</v>
      </c>
      <c r="CC111" s="348">
        <v>0.123</v>
      </c>
      <c r="CD111" s="172">
        <v>0</v>
      </c>
      <c r="CE111" s="348">
        <v>248.37899999999999</v>
      </c>
      <c r="CF111" s="360">
        <f>IF((RD[[#This Row],[33 kV_Wind_F1_Export reading]]-BO110)*165000&lt;=0,"",(RD[[#This Row],[33 kV_Wind_F1_Export reading]]-BO110)*165000)</f>
        <v>353429.99999998993</v>
      </c>
      <c r="CG111" s="227" t="str">
        <f>IF((RD[[#This Row],[33 kV_Wind_F2_Export_reading]]-BP110)*165000&lt;=0,"",(RD[[#This Row],[33 kV_Wind_F2_Export_reading]]-BP110)*165000)</f>
        <v/>
      </c>
      <c r="CH111" s="64">
        <f>IF((RD[[#This Row],[33 kV_Wind_F3_Export_Reading]]-BQ110)*225000&lt;=0,"",(RD[[#This Row],[33 kV_Wind_F3_Export_Reading]]-BQ110)*225000)</f>
        <v>168750</v>
      </c>
      <c r="CI111" s="64">
        <f>IF((RD[[#This Row],[33 kV_Wind_F4_Export Reading]]-BR110)*165000&lt;=0,"",(RD[[#This Row],[33 kV_Wind_F4_Export Reading]]-BR110)*165000)</f>
        <v>397154.99999999709</v>
      </c>
      <c r="CJ111" s="209">
        <f>IF((RD[[#This Row],[33 kV_Solar_F1_Export Reading]]-BS110)*225000&lt;=0,"",(RD[[#This Row],[33 kV_Solar_F1_Export Reading]]-BS110)*225000)</f>
        <v>155700.00000000163</v>
      </c>
      <c r="CK111" s="74">
        <f>IF((RD[[#This Row],[33kV_Solar_F2_Export Reading]]-BT110)*225000&lt;=0,"",(RD[[#This Row],[33kV_Solar_F2_Export Reading]]-BT110)*225000)</f>
        <v>126899.99999999203</v>
      </c>
      <c r="CL111" s="209" t="str">
        <f>IF((RD[[#This Row],[33 kV_Solar_F3_Export reading]]-BU110)*225000&lt;=0,"",(RD[[#This Row],[33 kV_Solar_F3_Export reading]]-BU110)*225000)</f>
        <v/>
      </c>
      <c r="CM111" s="63">
        <f>IF((RD[[#This Row],[32kV_Solar_F4_Export reading]]-BV110)*225000&lt;=0,"",(RD[[#This Row],[32kV_Solar_F4_Export reading]]-BV110)*225000)</f>
        <v>138149.99999999779</v>
      </c>
      <c r="CN111" s="227">
        <f>IF((RD[[#This Row],[33kV_OG1_Export reading]]-BW110)*1000&lt;=0,0,(RD[[#This Row],[33kV_OG1_Export reading]]-BW110)*1000)</f>
        <v>419000</v>
      </c>
      <c r="CO111" s="227">
        <f>IFERROR(IF((RD[[#This Row],[33kV_OG2_Export reading]]-BX110)*1000&lt;=0,0,(RD[[#This Row],[33kV_OG2_Export reading]]-BX110)*1000),0)</f>
        <v>919000</v>
      </c>
      <c r="CP111" s="74">
        <f>IF((RD[[#This Row],[220kV_TX1_Export reading]]-BY110)*800000&lt;=0,0,(RD[[#This Row],[220kV_TX1_Export reading]]-BY110)*800000)</f>
        <v>416000.00000000821</v>
      </c>
      <c r="CQ111" s="209">
        <f>IF((RD[[#This Row],[220kV_Tx2_Export reading]]-BZ110)*800000&lt;=0,0,(RD[[#This Row],[220kV_Tx2_Export reading]]-BZ110)*800000)</f>
        <v>892800.00000001106</v>
      </c>
      <c r="CR111" s="227">
        <f>IF((RD[[#This Row],[220kV_TL_TVM Export Reading]]-CA110)*1600000&lt;=0,0,(RD[[#This Row],[220kV_TL_TVM Export Reading]]-CA110)*1600000)</f>
        <v>1331200.0000000808</v>
      </c>
      <c r="CS111" s="227">
        <f>IF((RD[[#This Row],[220kV_C&amp;R_PQM reading]]-CB110)*1600000&lt;=0,"",(RD[[#This Row],[220kV_C&amp;R_PQM reading]]-CB110)*1600000)</f>
        <v>1337599.9999999749</v>
      </c>
      <c r="CT111" s="209">
        <f>IFERROR(IF((RD[[#This Row],[220KV_C&amp;R_PQM Import Reading]]-CC110)*1600000&lt;=0,0,(RD[[#This Row],[220KV_C&amp;R_PQM Import Reading]]-CC110)*1600000),"")</f>
        <v>0</v>
      </c>
      <c r="CU111" s="64" t="str">
        <f>IF((RD[[#This Row],[33kV_Aux1 Import Reading]]-CD110)*1000&lt;=0,"",(RD[[#This Row],[33kV_Aux1 Import Reading]]-CD110)*1000)</f>
        <v/>
      </c>
      <c r="CV111" s="227">
        <f>IF((RD[[#This Row],[33kV_Aux2_Import reading]]-CE110)*1000&lt;=0,"",(RD[[#This Row],[33kV_Aux2_Import reading]]-CE110)*1000)</f>
        <v>379.99999999999545</v>
      </c>
      <c r="CW111" s="227">
        <f>IFERROR(RD[[#This Row],[33kV_OG1_Energy (MWh)]]+RD[[#This Row],[33kV_OG2_Energy (MWh)]],"")</f>
        <v>1338000</v>
      </c>
      <c r="CX111" s="227">
        <f>IFERROR(RD[[#This Row],[220kV_TL_TVM Energy (MWh)]]-RD[[#This Row],[220KV_C&amp;R_PQM Import (MWh)]],"")</f>
        <v>1331200.0000000808</v>
      </c>
      <c r="CY111" s="228">
        <f>IFERROR(RD[[#This Row],[33 kV Total Export (MWH)]]/RD[[#This Row],[220 KV Net Export (MWh)]]-1,"")</f>
        <v>5.1081730768620659E-3</v>
      </c>
      <c r="CZ111" s="229">
        <f t="shared" si="102"/>
        <v>50.6</v>
      </c>
      <c r="DA111" s="230">
        <v>88</v>
      </c>
      <c r="DB111" s="231"/>
      <c r="DC111" s="232">
        <f>IFERROR((RD[[#This Row],[Sunset Time (POA&lt;20 W/m2)]]-RD[[#This Row],[Sunrise Time (POA&gt;20 W/m2)]])*24,0)</f>
        <v>11.966666666666665</v>
      </c>
      <c r="DD111" s="70">
        <f>SUM(RD[[#This Row],[33 kV_Wind_F3_Export_Reading3]],CJ111,CK111,CL111,CM111)</f>
        <v>589499.99999999139</v>
      </c>
      <c r="DE111" s="233"/>
      <c r="DF111" s="70">
        <f t="shared" si="103"/>
        <v>750584.99999998696</v>
      </c>
      <c r="DG111" s="230">
        <v>775.97</v>
      </c>
      <c r="DH111">
        <f>'WTG Reactive Power'!AB109</f>
        <v>61374.499999999993</v>
      </c>
    </row>
    <row r="112" spans="1:112">
      <c r="A112" s="210">
        <f>YEAR(RD[[#This Row],[Date]])+IF(MONTH(RD[[#This Row],[Date]])&gt;=4,1,0)</f>
        <v>2026</v>
      </c>
      <c r="B112" s="210">
        <f>YEAR(RD[[#This Row],[Date]])</f>
        <v>2025</v>
      </c>
      <c r="C112" s="211">
        <f t="shared" si="94"/>
        <v>45839</v>
      </c>
      <c r="D112" s="210">
        <f>DAY(EOMONTH(RD[[#This Row],[Date]],0))</f>
        <v>31</v>
      </c>
      <c r="E112" s="212">
        <f t="shared" si="95"/>
        <v>45852</v>
      </c>
      <c r="F112" s="206">
        <v>0.27013888888888887</v>
      </c>
      <c r="G112" s="206">
        <v>0.77777777777777779</v>
      </c>
      <c r="H112" s="213">
        <v>33690.6</v>
      </c>
      <c r="I112" s="213">
        <v>41907.9</v>
      </c>
      <c r="J112" s="213">
        <v>36692</v>
      </c>
      <c r="K112" s="213">
        <v>38101.199999999997</v>
      </c>
      <c r="L112" s="213">
        <v>41867.9</v>
      </c>
      <c r="M112" s="213">
        <v>38327</v>
      </c>
      <c r="N112" s="213">
        <v>38940.6</v>
      </c>
      <c r="O112" s="213">
        <v>39180.300000000003</v>
      </c>
      <c r="P112" s="213">
        <v>39568.199999999997</v>
      </c>
      <c r="Q112" s="213">
        <v>39380.1</v>
      </c>
      <c r="R112" s="213">
        <v>38478.5</v>
      </c>
      <c r="S112" s="213">
        <v>39114.199999999997</v>
      </c>
      <c r="T112" s="213">
        <v>40634.5</v>
      </c>
      <c r="U112" s="213">
        <v>39939.4</v>
      </c>
      <c r="V112" s="213">
        <v>43717.2</v>
      </c>
      <c r="W112" s="213">
        <v>43264</v>
      </c>
      <c r="X112" s="213">
        <v>44267.9</v>
      </c>
      <c r="Y112" s="213">
        <v>41251.599999999999</v>
      </c>
      <c r="Z112" s="213">
        <v>42349.1</v>
      </c>
      <c r="AA112" s="213">
        <v>39465.1</v>
      </c>
      <c r="AB112" s="213">
        <v>40019.800000000003</v>
      </c>
      <c r="AC112" s="213">
        <v>40690</v>
      </c>
      <c r="AD112" s="213">
        <v>42249.599999999999</v>
      </c>
      <c r="AE112" s="350">
        <v>9.1999999999999993</v>
      </c>
      <c r="AF112" s="350">
        <v>9.3000000000000007</v>
      </c>
      <c r="AG112" s="350">
        <v>8.9</v>
      </c>
      <c r="AH112" s="350">
        <v>8.6999999999999993</v>
      </c>
      <c r="AI112" s="350">
        <v>9.3000000000000007</v>
      </c>
      <c r="AJ112" s="350">
        <v>8.9</v>
      </c>
      <c r="AK112" s="350">
        <v>9.1</v>
      </c>
      <c r="AL112" s="350">
        <v>9.1999999999999993</v>
      </c>
      <c r="AM112" s="350">
        <v>9.1</v>
      </c>
      <c r="AN112" s="350">
        <v>9.1999999999999993</v>
      </c>
      <c r="AO112" s="350">
        <v>9.1</v>
      </c>
      <c r="AP112" s="350">
        <v>9</v>
      </c>
      <c r="AQ112" s="350">
        <v>9.1999999999999993</v>
      </c>
      <c r="AR112" s="350">
        <v>9.1</v>
      </c>
      <c r="AS112" s="350">
        <v>9.8000000000000007</v>
      </c>
      <c r="AT112" s="350">
        <v>9.5</v>
      </c>
      <c r="AU112" s="350">
        <v>9.6999999999999993</v>
      </c>
      <c r="AV112" s="350">
        <v>9.1999999999999993</v>
      </c>
      <c r="AW112" s="350">
        <v>9.4</v>
      </c>
      <c r="AX112" s="350">
        <v>8.9</v>
      </c>
      <c r="AY112" s="350">
        <v>9.3000000000000007</v>
      </c>
      <c r="AZ112" s="350">
        <v>9.1999999999999993</v>
      </c>
      <c r="BA112" s="350">
        <v>9.1999999999999993</v>
      </c>
      <c r="BB112" s="214">
        <f t="shared" si="96"/>
        <v>393460.7</v>
      </c>
      <c r="BC112" s="216">
        <f t="shared" si="97"/>
        <v>87531.9</v>
      </c>
      <c r="BD112" s="180">
        <f t="shared" si="92"/>
        <v>322731.59999999998</v>
      </c>
      <c r="BE112" s="216">
        <f t="shared" si="98"/>
        <v>41251.599999999999</v>
      </c>
      <c r="BF112" s="179">
        <f t="shared" si="93"/>
        <v>78120.899999999994</v>
      </c>
      <c r="BG112" s="216">
        <f>SUM(RD[[#This Row],[KUD01]:[KUD23]])</f>
        <v>923096.7</v>
      </c>
      <c r="BH112" s="217">
        <f t="shared" si="99"/>
        <v>9.1800000000000015</v>
      </c>
      <c r="BI112" s="219">
        <f t="shared" si="100"/>
        <v>9.6</v>
      </c>
      <c r="BJ112" s="219">
        <f t="shared" si="101"/>
        <v>9.1300000000000008</v>
      </c>
      <c r="BK112" s="221">
        <f t="shared" si="104"/>
        <v>9.1999999999999993</v>
      </c>
      <c r="BL112" s="61">
        <f>IFERROR(AVERAGEIF(RD[[#This Row],[WS_KUD07]:[WS_KUD08]],"&lt;&gt;0",RD[[#This Row],[WS_KUD07]:[WS_KUD08]]),"")</f>
        <v>9.1499999999999986</v>
      </c>
      <c r="BM112" s="223">
        <f>IFERROR(AVERAGE(RD[[#This Row],[WS_KUD01]:[WS_KUD23]]),"")</f>
        <v>9.195652173913043</v>
      </c>
      <c r="BN112" s="224">
        <f>IFERROR(MAX(RD[[#This Row],[WS_KUD01]:[WS_KUD23]]),"")</f>
        <v>9.8000000000000007</v>
      </c>
      <c r="BO112" s="172">
        <v>683.46299999999997</v>
      </c>
      <c r="BP112" s="348">
        <v>988.41</v>
      </c>
      <c r="BQ112" s="348">
        <v>119.994</v>
      </c>
      <c r="BR112" s="348">
        <v>360.899</v>
      </c>
      <c r="BS112" s="348">
        <v>229.37100000000001</v>
      </c>
      <c r="BT112" s="348">
        <v>331.709</v>
      </c>
      <c r="BU112" s="348"/>
      <c r="BV112" s="348">
        <v>122.18600000000001</v>
      </c>
      <c r="BW112" s="172">
        <v>222107</v>
      </c>
      <c r="BX112" s="172">
        <v>309935</v>
      </c>
      <c r="BY112" s="348">
        <v>162.57599999999999</v>
      </c>
      <c r="BZ112" s="348">
        <v>145.74</v>
      </c>
      <c r="CA112" s="348">
        <v>329.959</v>
      </c>
      <c r="CB112" s="348">
        <v>155.096</v>
      </c>
      <c r="CC112" s="348">
        <v>0.123</v>
      </c>
      <c r="CD112" s="172">
        <v>0</v>
      </c>
      <c r="CE112" s="348">
        <v>248.72900000000001</v>
      </c>
      <c r="CF112" s="360">
        <f>IF((RD[[#This Row],[33 kV_Wind_F1_Export reading]]-BO111)*165000&lt;=0,"",(RD[[#This Row],[33 kV_Wind_F1_Export reading]]-BO111)*165000)</f>
        <v>419595.00000000105</v>
      </c>
      <c r="CG112" s="227" t="str">
        <f>IF((RD[[#This Row],[33 kV_Wind_F2_Export_reading]]-BP111)*165000&lt;=0,"",(RD[[#This Row],[33 kV_Wind_F2_Export_reading]]-BP111)*165000)</f>
        <v/>
      </c>
      <c r="CH112" s="64">
        <f>IF((RD[[#This Row],[33 kV_Wind_F3_Export_Reading]]-BQ111)*225000&lt;=0,"",(RD[[#This Row],[33 kV_Wind_F3_Export_Reading]]-BQ111)*225000)</f>
        <v>197999.99999999898</v>
      </c>
      <c r="CI112" s="64">
        <f>IF((RD[[#This Row],[33 kV_Wind_F4_Export Reading]]-BR111)*165000&lt;=0,"",(RD[[#This Row],[33 kV_Wind_F4_Export Reading]]-BR111)*165000)</f>
        <v>470745.0000000014</v>
      </c>
      <c r="CJ112" s="209">
        <f>IF((RD[[#This Row],[33 kV_Solar_F1_Export Reading]]-BS111)*225000&lt;=0,"",(RD[[#This Row],[33 kV_Solar_F1_Export Reading]]-BS111)*225000)</f>
        <v>173475.00000000338</v>
      </c>
      <c r="CK112" s="74">
        <f>IF((RD[[#This Row],[33kV_Solar_F2_Export Reading]]-BT111)*225000&lt;=0,"",(RD[[#This Row],[33kV_Solar_F2_Export Reading]]-BT111)*225000)</f>
        <v>140400.00000000533</v>
      </c>
      <c r="CL112" s="209" t="str">
        <f>IF((RD[[#This Row],[33 kV_Solar_F3_Export reading]]-BU111)*225000&lt;=0,"",(RD[[#This Row],[33 kV_Solar_F3_Export reading]]-BU111)*225000)</f>
        <v/>
      </c>
      <c r="CM112" s="63">
        <f>IF((RD[[#This Row],[32kV_Solar_F4_Export reading]]-BV111)*225000&lt;=0,"",(RD[[#This Row],[32kV_Solar_F4_Export reading]]-BV111)*225000)</f>
        <v>164025.00000000303</v>
      </c>
      <c r="CN112" s="227">
        <f>IF((RD[[#This Row],[33kV_OG1_Export reading]]-BW111)*1000&lt;=0,0,(RD[[#This Row],[33kV_OG1_Export reading]]-BW111)*1000)</f>
        <v>480000</v>
      </c>
      <c r="CO112" s="227">
        <f>IFERROR(IF((RD[[#This Row],[33kV_OG2_Export reading]]-BX111)*1000&lt;=0,0,(RD[[#This Row],[33kV_OG2_Export reading]]-BX111)*1000),0)</f>
        <v>1088000</v>
      </c>
      <c r="CP112" s="74">
        <f>IF((RD[[#This Row],[220kV_TX1_Export reading]]-BY111)*800000&lt;=0,0,(RD[[#This Row],[220kV_TX1_Export reading]]-BY111)*800000)</f>
        <v>472799.99999998382</v>
      </c>
      <c r="CQ112" s="209">
        <f>IF((RD[[#This Row],[220kV_Tx2_Export reading]]-BZ111)*800000&lt;=0,0,(RD[[#This Row],[220kV_Tx2_Export reading]]-BZ111)*800000)</f>
        <v>1075999.9999999991</v>
      </c>
      <c r="CR112" s="227">
        <f>IF((RD[[#This Row],[220kV_TL_TVM Export Reading]]-CA111)*1600000&lt;=0,0,(RD[[#This Row],[220kV_TL_TVM Export Reading]]-CA111)*1600000)</f>
        <v>1555199.9999999679</v>
      </c>
      <c r="CS112" s="227">
        <f>IF((RD[[#This Row],[220kV_C&amp;R_PQM reading]]-CB111)*1600000&lt;=0,"",(RD[[#This Row],[220kV_C&amp;R_PQM reading]]-CB111)*1600000)</f>
        <v>1536000.0000000128</v>
      </c>
      <c r="CT112" s="209">
        <f>IFERROR(IF((RD[[#This Row],[220KV_C&amp;R_PQM Import Reading]]-CC111)*1600000&lt;=0,0,(RD[[#This Row],[220KV_C&amp;R_PQM Import Reading]]-CC111)*1600000),"")</f>
        <v>0</v>
      </c>
      <c r="CU112" s="64" t="str">
        <f>IF((RD[[#This Row],[33kV_Aux1 Import Reading]]-CD111)*1000&lt;=0,"",(RD[[#This Row],[33kV_Aux1 Import Reading]]-CD111)*1000)</f>
        <v/>
      </c>
      <c r="CV112" s="227">
        <f>IF((RD[[#This Row],[33kV_Aux2_Import reading]]-CE111)*1000&lt;=0,"",(RD[[#This Row],[33kV_Aux2_Import reading]]-CE111)*1000)</f>
        <v>350.00000000002274</v>
      </c>
      <c r="CW112" s="227">
        <f>IFERROR(RD[[#This Row],[33kV_OG1_Energy (MWh)]]+RD[[#This Row],[33kV_OG2_Energy (MWh)]],"")</f>
        <v>1568000</v>
      </c>
      <c r="CX112" s="227">
        <f>IFERROR(RD[[#This Row],[220kV_TL_TVM Energy (MWh)]]-RD[[#This Row],[220KV_C&amp;R_PQM Import (MWh)]],"")</f>
        <v>1555199.9999999679</v>
      </c>
      <c r="CY112" s="228">
        <f>IFERROR(RD[[#This Row],[33 kV Total Export (MWH)]]/RD[[#This Row],[220 KV Net Export (MWh)]]-1,"")</f>
        <v>8.2304526749179541E-3</v>
      </c>
      <c r="CZ112" s="229">
        <f t="shared" si="102"/>
        <v>50.6</v>
      </c>
      <c r="DA112" s="230">
        <v>96</v>
      </c>
      <c r="DB112" s="231"/>
      <c r="DC112" s="232">
        <f>IFERROR((RD[[#This Row],[Sunset Time (POA&lt;20 W/m2)]]-RD[[#This Row],[Sunrise Time (POA&gt;20 W/m2)]])*24,0)</f>
        <v>12.183333333333335</v>
      </c>
      <c r="DD112" s="70">
        <f>SUM(RD[[#This Row],[33 kV_Wind_F3_Export_Reading3]],CJ112,CK112,CL112,CM112)</f>
        <v>675900.00000001071</v>
      </c>
      <c r="DE112" s="233"/>
      <c r="DF112" s="70">
        <f t="shared" si="103"/>
        <v>890340.00000000244</v>
      </c>
      <c r="DG112" s="230">
        <v>923.1</v>
      </c>
      <c r="DH112">
        <f>'WTG Reactive Power'!AB110</f>
        <v>124912.99999999999</v>
      </c>
    </row>
    <row r="113" spans="1:112">
      <c r="A113" s="210">
        <f>YEAR(RD[[#This Row],[Date]])+IF(MONTH(RD[[#This Row],[Date]])&gt;=4,1,0)</f>
        <v>2026</v>
      </c>
      <c r="B113" s="210">
        <f>YEAR(RD[[#This Row],[Date]])</f>
        <v>2025</v>
      </c>
      <c r="C113" s="211">
        <f t="shared" si="94"/>
        <v>45839</v>
      </c>
      <c r="D113" s="210">
        <f>DAY(EOMONTH(RD[[#This Row],[Date]],0))</f>
        <v>31</v>
      </c>
      <c r="E113" s="212">
        <f t="shared" si="95"/>
        <v>45853</v>
      </c>
      <c r="F113" s="206">
        <v>0.27013888888888887</v>
      </c>
      <c r="G113" s="206">
        <v>0.7715277777777777</v>
      </c>
      <c r="H113" s="213">
        <v>10978.1</v>
      </c>
      <c r="I113" s="213">
        <v>39244.1</v>
      </c>
      <c r="J113" s="213">
        <v>34765.5</v>
      </c>
      <c r="K113" s="213">
        <v>35924</v>
      </c>
      <c r="L113" s="213">
        <v>38979.199999999997</v>
      </c>
      <c r="M113" s="213">
        <v>36464.800000000003</v>
      </c>
      <c r="N113" s="213">
        <v>36840.400000000001</v>
      </c>
      <c r="O113" s="213">
        <v>37961.199999999997</v>
      </c>
      <c r="P113" s="213">
        <v>38387.199999999997</v>
      </c>
      <c r="Q113" s="213">
        <v>37957.800000000003</v>
      </c>
      <c r="R113" s="213">
        <v>36553.199999999997</v>
      </c>
      <c r="S113" s="213">
        <v>35921.199999999997</v>
      </c>
      <c r="T113" s="213">
        <v>38640.800000000003</v>
      </c>
      <c r="U113" s="213">
        <v>37449.5</v>
      </c>
      <c r="V113" s="213">
        <v>41688.5</v>
      </c>
      <c r="W113" s="213">
        <v>40247.5</v>
      </c>
      <c r="X113" s="213">
        <v>40460.199999999997</v>
      </c>
      <c r="Y113" s="213">
        <v>38433.9</v>
      </c>
      <c r="Z113" s="213">
        <v>40478.9</v>
      </c>
      <c r="AA113" s="213">
        <v>35783.800000000003</v>
      </c>
      <c r="AB113" s="213">
        <v>37015.4</v>
      </c>
      <c r="AC113" s="213">
        <v>39340.199999999997</v>
      </c>
      <c r="AD113" s="213">
        <v>39321.5</v>
      </c>
      <c r="AE113" s="350">
        <v>8.4</v>
      </c>
      <c r="AF113" s="350">
        <v>8.8000000000000007</v>
      </c>
      <c r="AG113" s="350">
        <v>8.3000000000000007</v>
      </c>
      <c r="AH113" s="350">
        <v>8.4</v>
      </c>
      <c r="AI113" s="350">
        <v>8.8000000000000007</v>
      </c>
      <c r="AJ113" s="350">
        <v>8.3000000000000007</v>
      </c>
      <c r="AK113" s="350">
        <v>8.5</v>
      </c>
      <c r="AL113" s="350">
        <v>8.6999999999999993</v>
      </c>
      <c r="AM113" s="350">
        <v>8.6999999999999993</v>
      </c>
      <c r="AN113" s="350">
        <v>8.8000000000000007</v>
      </c>
      <c r="AO113" s="350">
        <v>8.6</v>
      </c>
      <c r="AP113" s="350">
        <v>8.4</v>
      </c>
      <c r="AQ113" s="350">
        <v>8.8000000000000007</v>
      </c>
      <c r="AR113" s="350">
        <v>8.5</v>
      </c>
      <c r="AS113" s="350">
        <v>9.4</v>
      </c>
      <c r="AT113" s="350">
        <v>8.9</v>
      </c>
      <c r="AU113" s="350">
        <v>9</v>
      </c>
      <c r="AV113" s="350">
        <v>8.8000000000000007</v>
      </c>
      <c r="AW113" s="350">
        <v>9</v>
      </c>
      <c r="AX113" s="350">
        <v>8.3000000000000007</v>
      </c>
      <c r="AY113" s="350">
        <v>8.8000000000000007</v>
      </c>
      <c r="AZ113" s="350">
        <v>8.9</v>
      </c>
      <c r="BA113" s="350">
        <v>8.8000000000000007</v>
      </c>
      <c r="BB113" s="214">
        <f t="shared" si="96"/>
        <v>350217.3</v>
      </c>
      <c r="BC113" s="216">
        <f t="shared" si="97"/>
        <v>80707.7</v>
      </c>
      <c r="BD113" s="180">
        <f t="shared" si="92"/>
        <v>304676.39999999997</v>
      </c>
      <c r="BE113" s="216">
        <f t="shared" si="98"/>
        <v>38433.9</v>
      </c>
      <c r="BF113" s="179">
        <f t="shared" si="93"/>
        <v>74801.600000000006</v>
      </c>
      <c r="BG113" s="216">
        <f>SUM(RD[[#This Row],[KUD01]:[KUD23]])</f>
        <v>848836.9</v>
      </c>
      <c r="BH113" s="217">
        <f t="shared" si="99"/>
        <v>8.65</v>
      </c>
      <c r="BI113" s="219">
        <f t="shared" si="100"/>
        <v>8.9499999999999993</v>
      </c>
      <c r="BJ113" s="219">
        <f t="shared" si="101"/>
        <v>8.67</v>
      </c>
      <c r="BK113" s="221">
        <f t="shared" si="104"/>
        <v>8.8000000000000007</v>
      </c>
      <c r="BL113" s="61">
        <f>IFERROR(AVERAGEIF(RD[[#This Row],[WS_KUD07]:[WS_KUD08]],"&lt;&gt;0",RD[[#This Row],[WS_KUD07]:[WS_KUD08]]),"")</f>
        <v>8.6</v>
      </c>
      <c r="BM113" s="223">
        <f>IFERROR(AVERAGE(RD[[#This Row],[WS_KUD01]:[WS_KUD23]]),"")</f>
        <v>8.6913043478260903</v>
      </c>
      <c r="BN113" s="224">
        <f>IFERROR(MAX(RD[[#This Row],[WS_KUD01]:[WS_KUD23]]),"")</f>
        <v>9.4</v>
      </c>
      <c r="BO113" s="172">
        <v>685.74800000000005</v>
      </c>
      <c r="BP113" s="348">
        <v>988.41</v>
      </c>
      <c r="BQ113" s="348">
        <v>120.65</v>
      </c>
      <c r="BR113" s="348">
        <v>363.57600000000002</v>
      </c>
      <c r="BS113" s="348">
        <v>230.03100000000001</v>
      </c>
      <c r="BT113" s="348">
        <v>332.21699999999998</v>
      </c>
      <c r="BU113" s="348"/>
      <c r="BV113" s="348">
        <v>122.72</v>
      </c>
      <c r="BW113" s="172">
        <v>222490</v>
      </c>
      <c r="BX113" s="172">
        <v>310901</v>
      </c>
      <c r="BY113" s="348">
        <v>163.05000000000001</v>
      </c>
      <c r="BZ113" s="348">
        <v>146.93799999999999</v>
      </c>
      <c r="CA113" s="348">
        <v>330.79599999999999</v>
      </c>
      <c r="CB113" s="348">
        <v>155.935</v>
      </c>
      <c r="CC113" s="348">
        <v>0.123</v>
      </c>
      <c r="CD113" s="172">
        <v>0</v>
      </c>
      <c r="CE113" s="348">
        <v>249.12899999999999</v>
      </c>
      <c r="CF113" s="360">
        <f>IF((RD[[#This Row],[33 kV_Wind_F1_Export reading]]-BO112)*165000&lt;=0,"",(RD[[#This Row],[33 kV_Wind_F1_Export reading]]-BO112)*165000)</f>
        <v>377025.0000000135</v>
      </c>
      <c r="CG113" s="227" t="str">
        <f>IF((RD[[#This Row],[33 kV_Wind_F2_Export_reading]]-BP112)*165000&lt;=0,"",(RD[[#This Row],[33 kV_Wind_F2_Export_reading]]-BP112)*165000)</f>
        <v/>
      </c>
      <c r="CH113" s="64">
        <f>IF((RD[[#This Row],[33 kV_Wind_F3_Export_Reading]]-BQ112)*225000&lt;=0,"",(RD[[#This Row],[33 kV_Wind_F3_Export_Reading]]-BQ112)*225000)</f>
        <v>147600.00000000134</v>
      </c>
      <c r="CI113" s="64">
        <f>IF((RD[[#This Row],[33 kV_Wind_F4_Export Reading]]-BR112)*165000&lt;=0,"",(RD[[#This Row],[33 kV_Wind_F4_Export Reading]]-BR112)*165000)</f>
        <v>441705.00000000343</v>
      </c>
      <c r="CJ113" s="209">
        <f>IF((RD[[#This Row],[33 kV_Solar_F1_Export Reading]]-BS112)*225000&lt;=0,"",(RD[[#This Row],[33 kV_Solar_F1_Export Reading]]-BS112)*225000)</f>
        <v>148499.99999999924</v>
      </c>
      <c r="CK113" s="74">
        <f>IF((RD[[#This Row],[33kV_Solar_F2_Export Reading]]-BT112)*225000&lt;=0,"",(RD[[#This Row],[33kV_Solar_F2_Export Reading]]-BT112)*225000)</f>
        <v>114299.99999999581</v>
      </c>
      <c r="CL113" s="209" t="str">
        <f>IF((RD[[#This Row],[33 kV_Solar_F3_Export reading]]-BU112)*225000&lt;=0,"",(RD[[#This Row],[33 kV_Solar_F3_Export reading]]-BU112)*225000)</f>
        <v/>
      </c>
      <c r="CM113" s="63">
        <f>IF((RD[[#This Row],[32kV_Solar_F4_Export reading]]-BV112)*225000&lt;=0,"",(RD[[#This Row],[32kV_Solar_F4_Export reading]]-BV112)*225000)</f>
        <v>120149.99999999815</v>
      </c>
      <c r="CN113" s="227">
        <f>IF((RD[[#This Row],[33kV_OG1_Export reading]]-BW112)*1000&lt;=0,0,(RD[[#This Row],[33kV_OG1_Export reading]]-BW112)*1000)</f>
        <v>383000</v>
      </c>
      <c r="CO113" s="227">
        <f>IFERROR(IF((RD[[#This Row],[33kV_OG2_Export reading]]-BX112)*1000&lt;=0,0,(RD[[#This Row],[33kV_OG2_Export reading]]-BX112)*1000),0)</f>
        <v>966000</v>
      </c>
      <c r="CP113" s="74">
        <f>IF((RD[[#This Row],[220kV_TX1_Export reading]]-BY112)*800000&lt;=0,0,(RD[[#This Row],[220kV_TX1_Export reading]]-BY112)*800000)</f>
        <v>379200.00000001438</v>
      </c>
      <c r="CQ113" s="209">
        <f>IF((RD[[#This Row],[220kV_Tx2_Export reading]]-BZ112)*800000&lt;=0,0,(RD[[#This Row],[220kV_Tx2_Export reading]]-BZ112)*800000)</f>
        <v>958399.99999998324</v>
      </c>
      <c r="CR113" s="227">
        <f>IF((RD[[#This Row],[220kV_TL_TVM Export Reading]]-CA112)*1600000&lt;=0,0,(RD[[#This Row],[220kV_TL_TVM Export Reading]]-CA112)*1600000)</f>
        <v>1339199.9999999825</v>
      </c>
      <c r="CS113" s="227">
        <f>IF((RD[[#This Row],[220kV_C&amp;R_PQM reading]]-CB112)*1600000&lt;=0,"",(RD[[#This Row],[220kV_C&amp;R_PQM reading]]-CB112)*1600000)</f>
        <v>1342399.9999999979</v>
      </c>
      <c r="CT113" s="209">
        <f>IFERROR(IF((RD[[#This Row],[220KV_C&amp;R_PQM Import Reading]]-CC112)*1600000&lt;=0,0,(RD[[#This Row],[220KV_C&amp;R_PQM Import Reading]]-CC112)*1600000),"")</f>
        <v>0</v>
      </c>
      <c r="CU113" s="64" t="str">
        <f>IF((RD[[#This Row],[33kV_Aux1 Import Reading]]-CD112)*1000&lt;=0,"",(RD[[#This Row],[33kV_Aux1 Import Reading]]-CD112)*1000)</f>
        <v/>
      </c>
      <c r="CV113" s="227">
        <f>IF((RD[[#This Row],[33kV_Aux2_Import reading]]-CE112)*1000&lt;=0,"",(RD[[#This Row],[33kV_Aux2_Import reading]]-CE112)*1000)</f>
        <v>399.99999999997726</v>
      </c>
      <c r="CW113" s="227">
        <f>IFERROR(RD[[#This Row],[33kV_OG1_Energy (MWh)]]+RD[[#This Row],[33kV_OG2_Energy (MWh)]],"")</f>
        <v>1349000</v>
      </c>
      <c r="CX113" s="227">
        <f>IFERROR(RD[[#This Row],[220kV_TL_TVM Energy (MWh)]]-RD[[#This Row],[220KV_C&amp;R_PQM Import (MWh)]],"")</f>
        <v>1339199.9999999825</v>
      </c>
      <c r="CY113" s="228">
        <f>IFERROR(RD[[#This Row],[33 kV Total Export (MWH)]]/RD[[#This Row],[220 KV Net Export (MWh)]]-1,"")</f>
        <v>7.3178016726536121E-3</v>
      </c>
      <c r="CZ113" s="229">
        <f t="shared" si="102"/>
        <v>50.6</v>
      </c>
      <c r="DA113" s="230">
        <v>96</v>
      </c>
      <c r="DB113" s="231"/>
      <c r="DC113" s="232">
        <f>IFERROR((RD[[#This Row],[Sunset Time (POA&lt;20 W/m2)]]-RD[[#This Row],[Sunrise Time (POA&gt;20 W/m2)]])*24,0)</f>
        <v>12.033333333333333</v>
      </c>
      <c r="DD113" s="70">
        <f>SUM(RD[[#This Row],[33 kV_Wind_F3_Export_Reading3]],CJ113,CK113,CL113,CM113)</f>
        <v>530549.99999999453</v>
      </c>
      <c r="DE113" s="233"/>
      <c r="DF113" s="70">
        <f t="shared" si="103"/>
        <v>818730.000000017</v>
      </c>
      <c r="DG113" s="230">
        <v>848.83</v>
      </c>
      <c r="DH113">
        <f>'WTG Reactive Power'!AB111</f>
        <v>145957.1</v>
      </c>
    </row>
    <row r="114" spans="1:112">
      <c r="A114" s="210">
        <f>YEAR(RD[[#This Row],[Date]])+IF(MONTH(RD[[#This Row],[Date]])&gt;=4,1,0)</f>
        <v>2026</v>
      </c>
      <c r="B114" s="210">
        <f>YEAR(RD[[#This Row],[Date]])</f>
        <v>2025</v>
      </c>
      <c r="C114" s="211">
        <f t="shared" si="94"/>
        <v>45839</v>
      </c>
      <c r="D114" s="210">
        <f>DAY(EOMONTH(RD[[#This Row],[Date]],0))</f>
        <v>31</v>
      </c>
      <c r="E114" s="212">
        <f t="shared" si="95"/>
        <v>45854</v>
      </c>
      <c r="F114" s="204">
        <v>0.26597222222222222</v>
      </c>
      <c r="G114" s="204">
        <v>0.77361111111111114</v>
      </c>
      <c r="H114" s="213">
        <v>20930.8</v>
      </c>
      <c r="I114" s="213">
        <v>18162.2</v>
      </c>
      <c r="J114" s="213">
        <v>13305.5</v>
      </c>
      <c r="K114" s="213">
        <v>13460.6</v>
      </c>
      <c r="L114" s="213">
        <v>15070.6</v>
      </c>
      <c r="M114" s="213">
        <v>13732.3</v>
      </c>
      <c r="N114" s="213">
        <v>13907.3</v>
      </c>
      <c r="O114" s="213">
        <v>16489.400000000001</v>
      </c>
      <c r="P114" s="213">
        <v>13743.9</v>
      </c>
      <c r="Q114" s="213">
        <v>15115</v>
      </c>
      <c r="R114" s="213">
        <v>14003.5</v>
      </c>
      <c r="S114" s="213">
        <v>15345.4</v>
      </c>
      <c r="T114" s="213">
        <v>15560.9</v>
      </c>
      <c r="U114" s="213">
        <v>13894</v>
      </c>
      <c r="V114" s="213">
        <v>20770.400000000001</v>
      </c>
      <c r="W114" s="213">
        <v>19686.8</v>
      </c>
      <c r="X114" s="213">
        <v>19379.5</v>
      </c>
      <c r="Y114" s="213">
        <v>16590.900000000001</v>
      </c>
      <c r="Z114" s="213">
        <v>16667.099999999999</v>
      </c>
      <c r="AA114" s="213">
        <v>13655.2</v>
      </c>
      <c r="AB114" s="213">
        <v>16720</v>
      </c>
      <c r="AC114" s="213">
        <v>16362.7</v>
      </c>
      <c r="AD114" s="213">
        <v>18831.5</v>
      </c>
      <c r="AE114" s="350">
        <v>6.4</v>
      </c>
      <c r="AF114" s="350">
        <v>6.3</v>
      </c>
      <c r="AG114" s="350">
        <v>5.7</v>
      </c>
      <c r="AH114" s="350">
        <v>5.7</v>
      </c>
      <c r="AI114" s="350">
        <v>6</v>
      </c>
      <c r="AJ114" s="350">
        <v>5.7</v>
      </c>
      <c r="AK114" s="350">
        <v>5.8</v>
      </c>
      <c r="AL114" s="350">
        <v>6</v>
      </c>
      <c r="AM114" s="350">
        <v>5.7</v>
      </c>
      <c r="AN114" s="350">
        <v>5.9</v>
      </c>
      <c r="AO114" s="350">
        <v>6</v>
      </c>
      <c r="AP114" s="350">
        <v>6</v>
      </c>
      <c r="AQ114" s="350">
        <v>5.9</v>
      </c>
      <c r="AR114" s="350">
        <v>5.8</v>
      </c>
      <c r="AS114" s="350">
        <v>6.6</v>
      </c>
      <c r="AT114" s="350">
        <v>6.4</v>
      </c>
      <c r="AU114" s="350">
        <v>6.5</v>
      </c>
      <c r="AV114" s="350">
        <v>6.2</v>
      </c>
      <c r="AW114" s="350">
        <v>6.1</v>
      </c>
      <c r="AX114" s="350">
        <v>5.8</v>
      </c>
      <c r="AY114" s="350">
        <v>6.5</v>
      </c>
      <c r="AZ114" s="350">
        <v>6.3</v>
      </c>
      <c r="BA114" s="350">
        <v>6.4</v>
      </c>
      <c r="BB114" s="214">
        <f t="shared" si="96"/>
        <v>159247.80000000002</v>
      </c>
      <c r="BC114" s="216">
        <f t="shared" si="97"/>
        <v>39066.300000000003</v>
      </c>
      <c r="BD114" s="180">
        <f t="shared" si="92"/>
        <v>126083.79999999999</v>
      </c>
      <c r="BE114" s="216">
        <f t="shared" si="98"/>
        <v>16590.900000000001</v>
      </c>
      <c r="BF114" s="179">
        <f t="shared" si="93"/>
        <v>30396.7</v>
      </c>
      <c r="BG114" s="216">
        <f>SUM(RD[[#This Row],[KUD01]:[KUD23]])</f>
        <v>371385.5</v>
      </c>
      <c r="BH114" s="217">
        <f t="shared" si="99"/>
        <v>6.02</v>
      </c>
      <c r="BI114" s="219">
        <f t="shared" si="100"/>
        <v>6.45</v>
      </c>
      <c r="BJ114" s="219">
        <f t="shared" si="101"/>
        <v>6.04</v>
      </c>
      <c r="BK114" s="221">
        <f t="shared" si="104"/>
        <v>6.2</v>
      </c>
      <c r="BL114" s="61">
        <f>IFERROR(AVERAGEIF(RD[[#This Row],[WS_KUD07]:[WS_KUD08]],"&lt;&gt;0",RD[[#This Row],[WS_KUD07]:[WS_KUD08]]),"")</f>
        <v>5.9</v>
      </c>
      <c r="BM114" s="223">
        <f>IFERROR(AVERAGE(RD[[#This Row],[WS_KUD01]:[WS_KUD23]]),"")</f>
        <v>6.0739130434782602</v>
      </c>
      <c r="BN114" s="224">
        <f>IFERROR(MAX(RD[[#This Row],[WS_KUD01]:[WS_KUD23]]),"")</f>
        <v>6.6</v>
      </c>
      <c r="BO114" s="172">
        <v>686.78599999999994</v>
      </c>
      <c r="BP114" s="348">
        <v>988.41</v>
      </c>
      <c r="BQ114" s="348">
        <v>121.11199999999999</v>
      </c>
      <c r="BR114" s="348">
        <v>364.72199999999998</v>
      </c>
      <c r="BS114" s="348">
        <v>230.49799999999999</v>
      </c>
      <c r="BT114" s="348">
        <v>332.58199999999999</v>
      </c>
      <c r="BU114" s="348"/>
      <c r="BV114" s="348">
        <v>123.096</v>
      </c>
      <c r="BW114" s="172">
        <v>222762</v>
      </c>
      <c r="BX114" s="172">
        <v>311365</v>
      </c>
      <c r="BY114" s="348">
        <v>163.386</v>
      </c>
      <c r="BZ114" s="348">
        <v>147.512</v>
      </c>
      <c r="CA114" s="348">
        <v>331.25200000000001</v>
      </c>
      <c r="CB114" s="348">
        <v>156.39099999999999</v>
      </c>
      <c r="CC114" s="348">
        <v>0.123</v>
      </c>
      <c r="CD114" s="172">
        <v>0</v>
      </c>
      <c r="CE114" s="348">
        <v>249.44900000000001</v>
      </c>
      <c r="CF114" s="360">
        <f>IF((RD[[#This Row],[33 kV_Wind_F1_Export reading]]-BO113)*165000&lt;=0,"",(RD[[#This Row],[33 kV_Wind_F1_Export reading]]-BO113)*165000)</f>
        <v>171269.99999998303</v>
      </c>
      <c r="CG114" s="227" t="str">
        <f>IF((RD[[#This Row],[33 kV_Wind_F2_Export_reading]]-BP113)*165000&lt;=0,"",(RD[[#This Row],[33 kV_Wind_F2_Export_reading]]-BP113)*165000)</f>
        <v/>
      </c>
      <c r="CH114" s="64">
        <f>IF((RD[[#This Row],[33 kV_Wind_F3_Export_Reading]]-BQ113)*225000&lt;=0,"",(RD[[#This Row],[33 kV_Wind_F3_Export_Reading]]-BQ113)*225000)</f>
        <v>103949.99999999754</v>
      </c>
      <c r="CI114" s="64">
        <f>IF((RD[[#This Row],[33 kV_Wind_F4_Export Reading]]-BR113)*165000&lt;=0,"",(RD[[#This Row],[33 kV_Wind_F4_Export Reading]]-BR113)*165000)</f>
        <v>189089.9999999931</v>
      </c>
      <c r="CJ114" s="209">
        <f>IF((RD[[#This Row],[33 kV_Solar_F1_Export Reading]]-BS113)*225000&lt;=0,"",(RD[[#This Row],[33 kV_Solar_F1_Export Reading]]-BS113)*225000)</f>
        <v>105074.99999999652</v>
      </c>
      <c r="CK114" s="74">
        <f>IF((RD[[#This Row],[33kV_Solar_F2_Export Reading]]-BT113)*225000&lt;=0,"",(RD[[#This Row],[33kV_Solar_F2_Export Reading]]-BT113)*225000)</f>
        <v>82125.000000002052</v>
      </c>
      <c r="CL114" s="209" t="str">
        <f>IF((RD[[#This Row],[33 kV_Solar_F3_Export reading]]-BU113)*225000&lt;=0,"",(RD[[#This Row],[33 kV_Solar_F3_Export reading]]-BU113)*225000)</f>
        <v/>
      </c>
      <c r="CM114" s="63">
        <f>IF((RD[[#This Row],[32kV_Solar_F4_Export reading]]-BV113)*225000&lt;=0,"",(RD[[#This Row],[32kV_Solar_F4_Export reading]]-BV113)*225000)</f>
        <v>84600.000000001077</v>
      </c>
      <c r="CN114" s="227">
        <f>IF((RD[[#This Row],[33kV_OG1_Export reading]]-BW113)*1000&lt;=0,0,(RD[[#This Row],[33kV_OG1_Export reading]]-BW113)*1000)</f>
        <v>272000</v>
      </c>
      <c r="CO114" s="227">
        <f>IFERROR(IF((RD[[#This Row],[33kV_OG2_Export reading]]-BX113)*1000&lt;=0,0,(RD[[#This Row],[33kV_OG2_Export reading]]-BX113)*1000),0)</f>
        <v>464000</v>
      </c>
      <c r="CP114" s="74">
        <f>IF((RD[[#This Row],[220kV_TX1_Export reading]]-BY113)*800000&lt;=0,0,(RD[[#This Row],[220kV_TX1_Export reading]]-BY113)*800000)</f>
        <v>268799.99999998743</v>
      </c>
      <c r="CQ114" s="209">
        <f>IF((RD[[#This Row],[220kV_Tx2_Export reading]]-BZ113)*800000&lt;=0,0,(RD[[#This Row],[220kV_Tx2_Export reading]]-BZ113)*800000)</f>
        <v>459200.00000000984</v>
      </c>
      <c r="CR114" s="227">
        <f>IF((RD[[#This Row],[220kV_TL_TVM Export Reading]]-CA113)*1600000&lt;=0,0,(RD[[#This Row],[220kV_TL_TVM Export Reading]]-CA113)*1600000)</f>
        <v>729600.00000002771</v>
      </c>
      <c r="CS114" s="227">
        <f>IF((RD[[#This Row],[220kV_C&amp;R_PQM reading]]-CB113)*1600000&lt;=0,"",(RD[[#This Row],[220kV_C&amp;R_PQM reading]]-CB113)*1600000)</f>
        <v>729599.99999998219</v>
      </c>
      <c r="CT114" s="209">
        <f>IFERROR(IF((RD[[#This Row],[220KV_C&amp;R_PQM Import Reading]]-CC113)*1600000&lt;=0,0,(RD[[#This Row],[220KV_C&amp;R_PQM Import Reading]]-CC113)*1600000),"")</f>
        <v>0</v>
      </c>
      <c r="CU114" s="64" t="str">
        <f>IF((RD[[#This Row],[33kV_Aux1 Import Reading]]-CD113)*1000&lt;=0,"",(RD[[#This Row],[33kV_Aux1 Import Reading]]-CD113)*1000)</f>
        <v/>
      </c>
      <c r="CV114" s="227">
        <f>IF((RD[[#This Row],[33kV_Aux2_Import reading]]-CE113)*1000&lt;=0,"",(RD[[#This Row],[33kV_Aux2_Import reading]]-CE113)*1000)</f>
        <v>320.0000000000216</v>
      </c>
      <c r="CW114" s="227">
        <f>IFERROR(RD[[#This Row],[33kV_OG1_Energy (MWh)]]+RD[[#This Row],[33kV_OG2_Energy (MWh)]],"")</f>
        <v>736000</v>
      </c>
      <c r="CX114" s="227">
        <f>IFERROR(RD[[#This Row],[220kV_TL_TVM Energy (MWh)]]-RD[[#This Row],[220KV_C&amp;R_PQM Import (MWh)]],"")</f>
        <v>729600.00000002771</v>
      </c>
      <c r="CY114" s="228">
        <f>IFERROR(RD[[#This Row],[33 kV Total Export (MWH)]]/RD[[#This Row],[220 KV Net Export (MWh)]]-1,"")</f>
        <v>8.7719298245230171E-3</v>
      </c>
      <c r="CZ114" s="229">
        <f t="shared" si="102"/>
        <v>50.6</v>
      </c>
      <c r="DA114" s="230">
        <v>96</v>
      </c>
      <c r="DB114" s="231"/>
      <c r="DC114" s="232">
        <f>IFERROR((RD[[#This Row],[Sunset Time (POA&lt;20 W/m2)]]-RD[[#This Row],[Sunrise Time (POA&gt;20 W/m2)]])*24,0)</f>
        <v>12.183333333333335</v>
      </c>
      <c r="DD114" s="70">
        <f>SUM(RD[[#This Row],[33 kV_Wind_F3_Export_Reading3]],CJ114,CK114,CL114,CM114)</f>
        <v>375749.99999999721</v>
      </c>
      <c r="DE114" s="233"/>
      <c r="DF114" s="70">
        <f t="shared" si="103"/>
        <v>360359.99999997613</v>
      </c>
      <c r="DG114" s="230">
        <v>372.55</v>
      </c>
      <c r="DH114">
        <f>'WTG Reactive Power'!AB112</f>
        <v>73725.2</v>
      </c>
    </row>
    <row r="115" spans="1:112">
      <c r="A115" s="210">
        <f>YEAR(RD[[#This Row],[Date]])+IF(MONTH(RD[[#This Row],[Date]])&gt;=4,1,0)</f>
        <v>2026</v>
      </c>
      <c r="B115" s="210">
        <f>YEAR(RD[[#This Row],[Date]])</f>
        <v>2025</v>
      </c>
      <c r="C115" s="211">
        <f t="shared" si="94"/>
        <v>45839</v>
      </c>
      <c r="D115" s="210">
        <f>DAY(EOMONTH(RD[[#This Row],[Date]],0))</f>
        <v>31</v>
      </c>
      <c r="E115" s="212">
        <f t="shared" si="95"/>
        <v>45855</v>
      </c>
      <c r="F115" s="206">
        <v>0.28263888888888888</v>
      </c>
      <c r="G115" s="206">
        <v>0.77430555555555558</v>
      </c>
      <c r="H115" s="213">
        <v>23016.1</v>
      </c>
      <c r="I115" s="213">
        <v>20370.5</v>
      </c>
      <c r="J115" s="213">
        <v>17676.7</v>
      </c>
      <c r="K115" s="213">
        <v>16452.099999999999</v>
      </c>
      <c r="L115" s="213">
        <v>18343.400000000001</v>
      </c>
      <c r="M115" s="213">
        <v>17648.7</v>
      </c>
      <c r="N115" s="213">
        <v>17950.3</v>
      </c>
      <c r="O115" s="213">
        <v>19585.7</v>
      </c>
      <c r="P115" s="213">
        <v>16925</v>
      </c>
      <c r="Q115" s="213">
        <v>18606.2</v>
      </c>
      <c r="R115" s="213">
        <v>17892.5</v>
      </c>
      <c r="S115" s="213">
        <v>20842.900000000001</v>
      </c>
      <c r="T115" s="213">
        <v>20916.599999999999</v>
      </c>
      <c r="U115" s="213">
        <v>18439.599999999999</v>
      </c>
      <c r="V115" s="213">
        <v>23591.599999999999</v>
      </c>
      <c r="W115" s="213">
        <v>21895</v>
      </c>
      <c r="X115" s="213">
        <v>22188.5</v>
      </c>
      <c r="Y115" s="213">
        <v>19987.099999999999</v>
      </c>
      <c r="Z115" s="213">
        <v>16586.7</v>
      </c>
      <c r="AA115" s="213">
        <v>19482.400000000001</v>
      </c>
      <c r="AB115" s="213">
        <v>18308</v>
      </c>
      <c r="AC115" s="213">
        <v>16089.3</v>
      </c>
      <c r="AD115" s="213">
        <v>20308.900000000001</v>
      </c>
      <c r="AE115" s="350">
        <v>6.7</v>
      </c>
      <c r="AF115" s="350">
        <v>6.6</v>
      </c>
      <c r="AG115" s="350">
        <v>6.5</v>
      </c>
      <c r="AH115" s="350">
        <v>6.3</v>
      </c>
      <c r="AI115" s="350">
        <v>6.7</v>
      </c>
      <c r="AJ115" s="350">
        <v>6.3</v>
      </c>
      <c r="AK115" s="350">
        <v>6.5</v>
      </c>
      <c r="AL115" s="350">
        <v>6.5</v>
      </c>
      <c r="AM115" s="350">
        <v>6.4</v>
      </c>
      <c r="AN115" s="350">
        <v>6.5</v>
      </c>
      <c r="AO115" s="350">
        <v>6.6</v>
      </c>
      <c r="AP115" s="350">
        <v>6.7</v>
      </c>
      <c r="AQ115" s="350">
        <v>6.6</v>
      </c>
      <c r="AR115" s="350">
        <v>6.4</v>
      </c>
      <c r="AS115" s="350">
        <v>7</v>
      </c>
      <c r="AT115" s="350">
        <v>6.8</v>
      </c>
      <c r="AU115" s="350">
        <v>6.9</v>
      </c>
      <c r="AV115" s="350">
        <v>6.7</v>
      </c>
      <c r="AW115" s="350">
        <v>6.5</v>
      </c>
      <c r="AX115" s="350">
        <v>6.5</v>
      </c>
      <c r="AY115" s="350">
        <v>6.9</v>
      </c>
      <c r="AZ115" s="350">
        <v>6.5</v>
      </c>
      <c r="BA115" s="350">
        <v>6.8</v>
      </c>
      <c r="BB115" s="214">
        <f t="shared" si="96"/>
        <v>197051.30000000002</v>
      </c>
      <c r="BC115" s="216">
        <f t="shared" si="97"/>
        <v>44083.5</v>
      </c>
      <c r="BD115" s="180">
        <f t="shared" si="92"/>
        <v>144445.9</v>
      </c>
      <c r="BE115" s="216">
        <f t="shared" si="98"/>
        <v>19987.099999999999</v>
      </c>
      <c r="BF115" s="179">
        <f t="shared" si="93"/>
        <v>37536</v>
      </c>
      <c r="BG115" s="216">
        <f>SUM(RD[[#This Row],[KUD01]:[KUD23]])</f>
        <v>443103.8</v>
      </c>
      <c r="BH115" s="217">
        <f t="shared" si="99"/>
        <v>6.6</v>
      </c>
      <c r="BI115" s="219">
        <f t="shared" si="100"/>
        <v>6.85</v>
      </c>
      <c r="BJ115" s="219">
        <f t="shared" si="101"/>
        <v>6.55</v>
      </c>
      <c r="BK115" s="221">
        <f t="shared" si="104"/>
        <v>6.7</v>
      </c>
      <c r="BL115" s="61">
        <f>IFERROR(AVERAGEIF(RD[[#This Row],[WS_KUD07]:[WS_KUD08]],"&lt;&gt;0",RD[[#This Row],[WS_KUD07]:[WS_KUD08]]),"")</f>
        <v>6.5</v>
      </c>
      <c r="BM115" s="223">
        <f>IFERROR(AVERAGE(RD[[#This Row],[WS_KUD01]:[WS_KUD23]]),"")</f>
        <v>6.6043478260869568</v>
      </c>
      <c r="BN115" s="224">
        <f>IFERROR(MAX(RD[[#This Row],[WS_KUD01]:[WS_KUD23]]),"")</f>
        <v>7</v>
      </c>
      <c r="BO115" s="172">
        <v>688.06700000000001</v>
      </c>
      <c r="BP115" s="348">
        <v>988.41</v>
      </c>
      <c r="BQ115" s="349">
        <v>121.666</v>
      </c>
      <c r="BR115" s="349">
        <v>366.05099999999999</v>
      </c>
      <c r="BS115" s="349">
        <v>231.09700000000001</v>
      </c>
      <c r="BT115" s="349">
        <v>333.06299999999999</v>
      </c>
      <c r="BU115" s="349"/>
      <c r="BV115" s="349">
        <v>123.556</v>
      </c>
      <c r="BW115" s="172">
        <v>223109</v>
      </c>
      <c r="BX115" s="172">
        <v>311920</v>
      </c>
      <c r="BY115" s="349">
        <v>163.815</v>
      </c>
      <c r="BZ115" s="349">
        <v>148.20099999999999</v>
      </c>
      <c r="CA115" s="349">
        <v>331.81099999999998</v>
      </c>
      <c r="CB115" s="349">
        <v>156.952</v>
      </c>
      <c r="CC115" s="349">
        <v>0.123</v>
      </c>
      <c r="CD115" s="172">
        <v>0</v>
      </c>
      <c r="CE115" s="349">
        <v>249.779</v>
      </c>
      <c r="CF115" s="360">
        <f>IF((RD[[#This Row],[33 kV_Wind_F1_Export reading]]-BO114)*165000&lt;=0,"",(RD[[#This Row],[33 kV_Wind_F1_Export reading]]-BO114)*165000)</f>
        <v>211365.00000001036</v>
      </c>
      <c r="CG115" s="227" t="str">
        <f>IF((RD[[#This Row],[33 kV_Wind_F2_Export_reading]]-BP114)*165000&lt;=0,"",(RD[[#This Row],[33 kV_Wind_F2_Export_reading]]-BP114)*165000)</f>
        <v/>
      </c>
      <c r="CH115" s="64">
        <f>IF((RD[[#This Row],[33 kV_Wind_F3_Export_Reading]]-BQ114)*225000&lt;=0,"",(RD[[#This Row],[33 kV_Wind_F3_Export_Reading]]-BQ114)*225000)</f>
        <v>124650.00000000047</v>
      </c>
      <c r="CI115" s="64">
        <f>IF((RD[[#This Row],[33 kV_Wind_F4_Export Reading]]-BR114)*165000&lt;=0,"",(RD[[#This Row],[33 kV_Wind_F4_Export Reading]]-BR114)*165000)</f>
        <v>219285.00000000128</v>
      </c>
      <c r="CJ115" s="209">
        <f>IF((RD[[#This Row],[33 kV_Solar_F1_Export Reading]]-BS114)*225000&lt;=0,"",(RD[[#This Row],[33 kV_Solar_F1_Export Reading]]-BS114)*225000)</f>
        <v>134775.00000000405</v>
      </c>
      <c r="CK115" s="74">
        <f>IF((RD[[#This Row],[33kV_Solar_F2_Export Reading]]-BT114)*225000&lt;=0,"",(RD[[#This Row],[33kV_Solar_F2_Export Reading]]-BT114)*225000)</f>
        <v>108224.99999999878</v>
      </c>
      <c r="CL115" s="209" t="str">
        <f>IF((RD[[#This Row],[33 kV_Solar_F3_Export reading]]-BU114)*225000&lt;=0,"",(RD[[#This Row],[33 kV_Solar_F3_Export reading]]-BU114)*225000)</f>
        <v/>
      </c>
      <c r="CM115" s="63">
        <f>IF((RD[[#This Row],[32kV_Solar_F4_Export reading]]-BV114)*225000&lt;=0,"",(RD[[#This Row],[32kV_Solar_F4_Export reading]]-BV114)*225000)</f>
        <v>103499.99999999859</v>
      </c>
      <c r="CN115" s="227">
        <f>IF((RD[[#This Row],[33kV_OG1_Export reading]]-BW114)*1000&lt;=0,0,(RD[[#This Row],[33kV_OG1_Export reading]]-BW114)*1000)</f>
        <v>347000</v>
      </c>
      <c r="CO115" s="227">
        <f>IFERROR(IF((RD[[#This Row],[33kV_OG2_Export reading]]-BX114)*1000&lt;=0,0,(RD[[#This Row],[33kV_OG2_Export reading]]-BX114)*1000),0)</f>
        <v>555000</v>
      </c>
      <c r="CP115" s="74">
        <f>IF((RD[[#This Row],[220kV_TX1_Export reading]]-BY114)*800000&lt;=0,0,(RD[[#This Row],[220kV_TX1_Export reading]]-BY114)*800000)</f>
        <v>343200.00000000163</v>
      </c>
      <c r="CQ115" s="209">
        <f>IF((RD[[#This Row],[220kV_Tx2_Export reading]]-BZ114)*800000&lt;=0,0,(RD[[#This Row],[220kV_Tx2_Export reading]]-BZ114)*800000)</f>
        <v>551199.99999999441</v>
      </c>
      <c r="CR115" s="227">
        <f>IF((RD[[#This Row],[220kV_TL_TVM Export Reading]]-CA114)*1600000&lt;=0,0,(RD[[#This Row],[220kV_TL_TVM Export Reading]]-CA114)*1600000)</f>
        <v>894399.99999995052</v>
      </c>
      <c r="CS115" s="227">
        <f>IF((RD[[#This Row],[220kV_C&amp;R_PQM reading]]-CB114)*1600000&lt;=0,"",(RD[[#This Row],[220kV_C&amp;R_PQM reading]]-CB114)*1600000)</f>
        <v>897600.00000001129</v>
      </c>
      <c r="CT115" s="209">
        <f>IFERROR(IF((RD[[#This Row],[220KV_C&amp;R_PQM Import Reading]]-CC114)*1600000&lt;=0,0,(RD[[#This Row],[220KV_C&amp;R_PQM Import Reading]]-CC114)*1600000),"")</f>
        <v>0</v>
      </c>
      <c r="CU115" s="64" t="str">
        <f>IF((RD[[#This Row],[33kV_Aux1 Import Reading]]-CD114)*1000&lt;=0,"",(RD[[#This Row],[33kV_Aux1 Import Reading]]-CD114)*1000)</f>
        <v/>
      </c>
      <c r="CV115" s="227">
        <f>IF((RD[[#This Row],[33kV_Aux2_Import reading]]-CE114)*1000&lt;=0,"",(RD[[#This Row],[33kV_Aux2_Import reading]]-CE114)*1000)</f>
        <v>329.99999999998408</v>
      </c>
      <c r="CW115" s="227">
        <f>IFERROR(RD[[#This Row],[33kV_OG1_Energy (MWh)]]+RD[[#This Row],[33kV_OG2_Energy (MWh)]],"")</f>
        <v>902000</v>
      </c>
      <c r="CX115" s="227">
        <f>IFERROR(RD[[#This Row],[220kV_TL_TVM Energy (MWh)]]-RD[[#This Row],[220KV_C&amp;R_PQM Import (MWh)]],"")</f>
        <v>894399.99999995052</v>
      </c>
      <c r="CY115" s="228">
        <f>IFERROR(RD[[#This Row],[33 kV Total Export (MWH)]]/RD[[#This Row],[220 KV Net Export (MWh)]]-1,"")</f>
        <v>8.4973166369073372E-3</v>
      </c>
      <c r="CZ115" s="229">
        <f t="shared" si="102"/>
        <v>50.6</v>
      </c>
      <c r="DA115" s="230">
        <v>96</v>
      </c>
      <c r="DB115" s="231"/>
      <c r="DC115" s="232">
        <f>IFERROR((RD[[#This Row],[Sunset Time (POA&lt;20 W/m2)]]-RD[[#This Row],[Sunrise Time (POA&gt;20 W/m2)]])*24,0)</f>
        <v>11.8</v>
      </c>
      <c r="DD115" s="70">
        <f>SUM(RD[[#This Row],[33 kV_Wind_F3_Export_Reading3]],CJ115,CK115,CL115,CM115)</f>
        <v>471150.00000000186</v>
      </c>
      <c r="DE115" s="233"/>
      <c r="DF115" s="70">
        <f t="shared" si="103"/>
        <v>430650.00000001164</v>
      </c>
      <c r="DG115" s="230">
        <v>445.33</v>
      </c>
      <c r="DH115">
        <f>'WTG Reactive Power'!AB113</f>
        <v>10918.7</v>
      </c>
    </row>
    <row r="116" spans="1:112">
      <c r="A116" s="210">
        <f>YEAR(RD[[#This Row],[Date]])+IF(MONTH(RD[[#This Row],[Date]])&gt;=4,1,0)</f>
        <v>2026</v>
      </c>
      <c r="B116" s="210">
        <f>YEAR(RD[[#This Row],[Date]])</f>
        <v>2025</v>
      </c>
      <c r="C116" s="211">
        <f t="shared" si="94"/>
        <v>45839</v>
      </c>
      <c r="D116" s="210">
        <f>DAY(EOMONTH(RD[[#This Row],[Date]],0))</f>
        <v>31</v>
      </c>
      <c r="E116" s="212">
        <f t="shared" si="95"/>
        <v>45856</v>
      </c>
      <c r="F116" s="206">
        <v>0.2722222222222222</v>
      </c>
      <c r="G116" s="206">
        <v>0.74305555555555558</v>
      </c>
      <c r="H116" s="213">
        <v>25277.200000000001</v>
      </c>
      <c r="I116" s="213">
        <v>23897</v>
      </c>
      <c r="J116" s="213">
        <v>18257.3</v>
      </c>
      <c r="K116" s="213">
        <v>17917.8</v>
      </c>
      <c r="L116" s="213">
        <v>20857.7</v>
      </c>
      <c r="M116" s="213">
        <v>19125.400000000001</v>
      </c>
      <c r="N116" s="213">
        <v>18996.7</v>
      </c>
      <c r="O116" s="213">
        <v>21482.3</v>
      </c>
      <c r="P116" s="213">
        <v>20100.3</v>
      </c>
      <c r="Q116" s="213">
        <v>19471.2</v>
      </c>
      <c r="R116" s="213">
        <v>18723.400000000001</v>
      </c>
      <c r="S116" s="213">
        <v>19753.900000000001</v>
      </c>
      <c r="T116" s="213">
        <v>20170.599999999999</v>
      </c>
      <c r="U116" s="213">
        <v>19453.400000000001</v>
      </c>
      <c r="V116" s="213">
        <v>25160.3</v>
      </c>
      <c r="W116" s="213">
        <v>25775.9</v>
      </c>
      <c r="X116" s="213">
        <v>25073.4</v>
      </c>
      <c r="Y116" s="213">
        <v>21535.9</v>
      </c>
      <c r="Z116" s="213">
        <v>21889.599999999999</v>
      </c>
      <c r="AA116" s="213">
        <v>18400.099999999999</v>
      </c>
      <c r="AB116" s="213">
        <v>22823.8</v>
      </c>
      <c r="AC116" s="213">
        <v>22586.799999999999</v>
      </c>
      <c r="AD116" s="213">
        <v>25082.6</v>
      </c>
      <c r="AE116" s="350">
        <v>7</v>
      </c>
      <c r="AF116" s="350">
        <v>6.9</v>
      </c>
      <c r="AG116" s="350">
        <v>6.4</v>
      </c>
      <c r="AH116" s="350">
        <v>6.2</v>
      </c>
      <c r="AI116" s="350">
        <v>6.7</v>
      </c>
      <c r="AJ116" s="350">
        <v>6.3</v>
      </c>
      <c r="AK116" s="350">
        <v>6.5</v>
      </c>
      <c r="AL116" s="350">
        <v>6.6</v>
      </c>
      <c r="AM116" s="350">
        <v>6.5</v>
      </c>
      <c r="AN116" s="350">
        <v>6.5</v>
      </c>
      <c r="AO116" s="350">
        <v>6.6</v>
      </c>
      <c r="AP116" s="350">
        <v>6.5</v>
      </c>
      <c r="AQ116" s="350">
        <v>6.5</v>
      </c>
      <c r="AR116" s="350">
        <v>6.4</v>
      </c>
      <c r="AS116" s="350">
        <v>7.2</v>
      </c>
      <c r="AT116" s="350">
        <v>7.1</v>
      </c>
      <c r="AU116" s="350">
        <v>7.1</v>
      </c>
      <c r="AV116" s="350">
        <v>6.8</v>
      </c>
      <c r="AW116" s="350">
        <v>6.8</v>
      </c>
      <c r="AX116" s="350">
        <v>6.3</v>
      </c>
      <c r="AY116" s="350">
        <v>7.1</v>
      </c>
      <c r="AZ116" s="350">
        <v>6.9</v>
      </c>
      <c r="BA116" s="350">
        <v>7</v>
      </c>
      <c r="BB116" s="214">
        <f t="shared" si="96"/>
        <v>206557</v>
      </c>
      <c r="BC116" s="216">
        <f t="shared" si="97"/>
        <v>50849.3</v>
      </c>
      <c r="BD116" s="180">
        <f t="shared" si="92"/>
        <v>172391.4</v>
      </c>
      <c r="BE116" s="216">
        <f t="shared" si="98"/>
        <v>21535.9</v>
      </c>
      <c r="BF116" s="179">
        <f t="shared" si="93"/>
        <v>40479</v>
      </c>
      <c r="BG116" s="216">
        <f>SUM(RD[[#This Row],[KUD01]:[KUD23]])</f>
        <v>491812.6</v>
      </c>
      <c r="BH116" s="217">
        <f t="shared" si="99"/>
        <v>6.62</v>
      </c>
      <c r="BI116" s="219">
        <f t="shared" si="100"/>
        <v>7.1</v>
      </c>
      <c r="BJ116" s="219">
        <f t="shared" si="101"/>
        <v>6.67</v>
      </c>
      <c r="BK116" s="221">
        <f t="shared" si="104"/>
        <v>6.8</v>
      </c>
      <c r="BL116" s="61">
        <f>IFERROR(AVERAGEIF(RD[[#This Row],[WS_KUD07]:[WS_KUD08]],"&lt;&gt;0",RD[[#This Row],[WS_KUD07]:[WS_KUD08]]),"")</f>
        <v>6.55</v>
      </c>
      <c r="BM116" s="223">
        <f>IFERROR(AVERAGE(RD[[#This Row],[WS_KUD01]:[WS_KUD23]]),"")</f>
        <v>6.6913043478260859</v>
      </c>
      <c r="BN116" s="224">
        <f>IFERROR(MAX(RD[[#This Row],[WS_KUD01]:[WS_KUD23]]),"")</f>
        <v>7.2</v>
      </c>
      <c r="BO116" s="172">
        <v>689.41700000000003</v>
      </c>
      <c r="BP116" s="348">
        <v>988.41</v>
      </c>
      <c r="BQ116" s="349">
        <v>122.252</v>
      </c>
      <c r="BR116" s="349">
        <v>367.59800000000001</v>
      </c>
      <c r="BS116" s="349">
        <v>231.649</v>
      </c>
      <c r="BT116" s="349">
        <v>333.488</v>
      </c>
      <c r="BU116" s="349"/>
      <c r="BV116" s="349">
        <v>124.054</v>
      </c>
      <c r="BW116" s="172">
        <v>223441</v>
      </c>
      <c r="BX116" s="172">
        <v>312528</v>
      </c>
      <c r="BY116" s="349">
        <v>164.22499999999999</v>
      </c>
      <c r="BZ116" s="349">
        <v>148.95599999999999</v>
      </c>
      <c r="CA116" s="349">
        <v>332.39600000000002</v>
      </c>
      <c r="CB116" s="349">
        <v>157.53700000000001</v>
      </c>
      <c r="CC116" s="349">
        <v>0.123</v>
      </c>
      <c r="CD116" s="172">
        <v>0</v>
      </c>
      <c r="CE116" s="349">
        <v>250.12899999999999</v>
      </c>
      <c r="CF116" s="360">
        <f>IF((RD[[#This Row],[33 kV_Wind_F1_Export reading]]-BO115)*165000&lt;=0,"",(RD[[#This Row],[33 kV_Wind_F1_Export reading]]-BO115)*165000)</f>
        <v>222750.00000000375</v>
      </c>
      <c r="CG116" s="227" t="str">
        <f>IF((RD[[#This Row],[33 kV_Wind_F2_Export_reading]]-BP115)*165000&lt;=0,"",(RD[[#This Row],[33 kV_Wind_F2_Export_reading]]-BP115)*165000)</f>
        <v/>
      </c>
      <c r="CH116" s="64">
        <f>IF((RD[[#This Row],[33 kV_Wind_F3_Export_Reading]]-BQ115)*225000&lt;=0,"",(RD[[#This Row],[33 kV_Wind_F3_Export_Reading]]-BQ115)*225000)</f>
        <v>131849.99999999968</v>
      </c>
      <c r="CI116" s="64">
        <f>IF((RD[[#This Row],[33 kV_Wind_F4_Export Reading]]-BR115)*165000&lt;=0,"",(RD[[#This Row],[33 kV_Wind_F4_Export Reading]]-BR115)*165000)</f>
        <v>255255.00000000419</v>
      </c>
      <c r="CJ116" s="209">
        <f>IF((RD[[#This Row],[33 kV_Solar_F1_Export Reading]]-BS115)*225000&lt;=0,"",(RD[[#This Row],[33 kV_Solar_F1_Export Reading]]-BS115)*225000)</f>
        <v>124199.99999999831</v>
      </c>
      <c r="CK116" s="74">
        <f>IF((RD[[#This Row],[33kV_Solar_F2_Export Reading]]-BT115)*225000&lt;=0,"",(RD[[#This Row],[33kV_Solar_F2_Export Reading]]-BT115)*225000)</f>
        <v>95625.000000002561</v>
      </c>
      <c r="CL116" s="209" t="str">
        <f>IF((RD[[#This Row],[33 kV_Solar_F3_Export reading]]-BU115)*225000&lt;=0,"",(RD[[#This Row],[33 kV_Solar_F3_Export reading]]-BU115)*225000)</f>
        <v/>
      </c>
      <c r="CM116" s="63">
        <f>IF((RD[[#This Row],[32kV_Solar_F4_Export reading]]-BV115)*225000&lt;=0,"",(RD[[#This Row],[32kV_Solar_F4_Export reading]]-BV115)*225000)</f>
        <v>112050.00000000105</v>
      </c>
      <c r="CN116" s="227">
        <f>IF((RD[[#This Row],[33kV_OG1_Export reading]]-BW115)*1000&lt;=0,0,(RD[[#This Row],[33kV_OG1_Export reading]]-BW115)*1000)</f>
        <v>332000</v>
      </c>
      <c r="CO116" s="227">
        <f>IFERROR(IF((RD[[#This Row],[33kV_OG2_Export reading]]-BX115)*1000&lt;=0,0,(RD[[#This Row],[33kV_OG2_Export reading]]-BX115)*1000),0)</f>
        <v>608000</v>
      </c>
      <c r="CP116" s="74">
        <f>IF((RD[[#This Row],[220kV_TX1_Export reading]]-BY115)*800000&lt;=0,0,(RD[[#This Row],[220kV_TX1_Export reading]]-BY115)*800000)</f>
        <v>327999.99999999726</v>
      </c>
      <c r="CQ116" s="209">
        <f>IF((RD[[#This Row],[220kV_Tx2_Export reading]]-BZ115)*800000&lt;=0,0,(RD[[#This Row],[220kV_Tx2_Export reading]]-BZ115)*800000)</f>
        <v>603999.99999999639</v>
      </c>
      <c r="CR116" s="227">
        <f>IF((RD[[#This Row],[220kV_TL_TVM Export Reading]]-CA115)*1600000&lt;=0,0,(RD[[#This Row],[220kV_TL_TVM Export Reading]]-CA115)*1600000)</f>
        <v>936000.00000005821</v>
      </c>
      <c r="CS116" s="227">
        <f>IF((RD[[#This Row],[220kV_C&amp;R_PQM reading]]-CB115)*1600000&lt;=0,"",(RD[[#This Row],[220kV_C&amp;R_PQM reading]]-CB115)*1600000)</f>
        <v>936000.00000001269</v>
      </c>
      <c r="CT116" s="209">
        <f>IFERROR(IF((RD[[#This Row],[220KV_C&amp;R_PQM Import Reading]]-CC115)*1600000&lt;=0,0,(RD[[#This Row],[220KV_C&amp;R_PQM Import Reading]]-CC115)*1600000),"")</f>
        <v>0</v>
      </c>
      <c r="CU116" s="64" t="str">
        <f>IF((RD[[#This Row],[33kV_Aux1 Import Reading]]-CD115)*1000&lt;=0,"",(RD[[#This Row],[33kV_Aux1 Import Reading]]-CD115)*1000)</f>
        <v/>
      </c>
      <c r="CV116" s="227">
        <f>IF((RD[[#This Row],[33kV_Aux2_Import reading]]-CE115)*1000&lt;=0,"",(RD[[#This Row],[33kV_Aux2_Import reading]]-CE115)*1000)</f>
        <v>349.99999999999432</v>
      </c>
      <c r="CW116" s="227">
        <f>IFERROR(RD[[#This Row],[33kV_OG1_Energy (MWh)]]+RD[[#This Row],[33kV_OG2_Energy (MWh)]],"")</f>
        <v>940000</v>
      </c>
      <c r="CX116" s="227">
        <f>IFERROR(RD[[#This Row],[220kV_TL_TVM Energy (MWh)]]-RD[[#This Row],[220KV_C&amp;R_PQM Import (MWh)]],"")</f>
        <v>936000.00000005821</v>
      </c>
      <c r="CY116" s="228">
        <f>IFERROR(RD[[#This Row],[33 kV Total Export (MWH)]]/RD[[#This Row],[220 KV Net Export (MWh)]]-1,"")</f>
        <v>4.2735042734418638E-3</v>
      </c>
      <c r="CZ116" s="229">
        <f t="shared" si="102"/>
        <v>50.6</v>
      </c>
      <c r="DA116" s="230">
        <v>96</v>
      </c>
      <c r="DB116" s="231"/>
      <c r="DC116" s="232">
        <f>IFERROR((RD[[#This Row],[Sunset Time (POA&lt;20 W/m2)]]-RD[[#This Row],[Sunrise Time (POA&gt;20 W/m2)]])*24,0)</f>
        <v>11.3</v>
      </c>
      <c r="DD116" s="70">
        <f>SUM(RD[[#This Row],[33 kV_Wind_F3_Export_Reading3]],CJ116,CK116,CL116,CM116)</f>
        <v>463725.00000000163</v>
      </c>
      <c r="DE116" s="233"/>
      <c r="DF116" s="70">
        <f t="shared" si="103"/>
        <v>478005.00000000792</v>
      </c>
      <c r="DG116" s="230">
        <v>491.82</v>
      </c>
      <c r="DH116">
        <f>'WTG Reactive Power'!AB114</f>
        <v>13889.600000000002</v>
      </c>
    </row>
    <row r="117" spans="1:112">
      <c r="A117" s="210">
        <f>YEAR(RD[[#This Row],[Date]])+IF(MONTH(RD[[#This Row],[Date]])&gt;=4,1,0)</f>
        <v>2026</v>
      </c>
      <c r="B117" s="210">
        <f>YEAR(RD[[#This Row],[Date]])</f>
        <v>2025</v>
      </c>
      <c r="C117" s="211">
        <f t="shared" si="94"/>
        <v>45839</v>
      </c>
      <c r="D117" s="210">
        <f>DAY(EOMONTH(RD[[#This Row],[Date]],0))</f>
        <v>31</v>
      </c>
      <c r="E117" s="212">
        <f t="shared" si="95"/>
        <v>45857</v>
      </c>
      <c r="F117" s="206">
        <v>0.26180555555555557</v>
      </c>
      <c r="G117" s="206">
        <v>0.77430555555555558</v>
      </c>
      <c r="H117" s="213">
        <v>27311</v>
      </c>
      <c r="I117" s="213">
        <v>27759</v>
      </c>
      <c r="J117" s="213">
        <v>22546.400000000001</v>
      </c>
      <c r="K117" s="213">
        <v>22807.9</v>
      </c>
      <c r="L117" s="213">
        <v>23961.7</v>
      </c>
      <c r="M117" s="213">
        <v>23660.1</v>
      </c>
      <c r="N117" s="213">
        <v>22378.799999999999</v>
      </c>
      <c r="O117" s="213">
        <v>23178.5</v>
      </c>
      <c r="P117" s="213">
        <v>23456.7</v>
      </c>
      <c r="Q117" s="213">
        <v>22170.9</v>
      </c>
      <c r="R117" s="213">
        <v>23179.4</v>
      </c>
      <c r="S117" s="213">
        <v>23594.6</v>
      </c>
      <c r="T117" s="213">
        <v>26286.7</v>
      </c>
      <c r="U117" s="213">
        <v>23025.4</v>
      </c>
      <c r="V117" s="213">
        <v>27365.7</v>
      </c>
      <c r="W117" s="213">
        <v>29602.3</v>
      </c>
      <c r="X117" s="213">
        <v>27965.1</v>
      </c>
      <c r="Y117" s="213">
        <v>24919.5</v>
      </c>
      <c r="Z117" s="213">
        <v>26384.1</v>
      </c>
      <c r="AA117" s="213">
        <v>22262.3</v>
      </c>
      <c r="AB117" s="213">
        <v>26952</v>
      </c>
      <c r="AC117" s="213">
        <v>26177.5</v>
      </c>
      <c r="AD117" s="213">
        <v>28273.8</v>
      </c>
      <c r="AE117" s="350">
        <v>7.3</v>
      </c>
      <c r="AF117" s="350">
        <v>7.4</v>
      </c>
      <c r="AG117" s="350">
        <v>6.9</v>
      </c>
      <c r="AH117" s="350">
        <v>6.8</v>
      </c>
      <c r="AI117" s="350">
        <v>7.1</v>
      </c>
      <c r="AJ117" s="350">
        <v>6.9</v>
      </c>
      <c r="AK117" s="350">
        <v>6.9</v>
      </c>
      <c r="AL117" s="350">
        <v>6.9</v>
      </c>
      <c r="AM117" s="350">
        <v>7</v>
      </c>
      <c r="AN117" s="350">
        <v>6.8</v>
      </c>
      <c r="AO117" s="350">
        <v>7.1</v>
      </c>
      <c r="AP117" s="350">
        <v>7</v>
      </c>
      <c r="AQ117" s="350">
        <v>7.2</v>
      </c>
      <c r="AR117" s="350">
        <v>6.9</v>
      </c>
      <c r="AS117" s="350">
        <v>7.7</v>
      </c>
      <c r="AT117" s="350">
        <v>7.7</v>
      </c>
      <c r="AU117" s="350">
        <v>7.5</v>
      </c>
      <c r="AV117" s="350">
        <v>7.2</v>
      </c>
      <c r="AW117" s="350">
        <v>7.3</v>
      </c>
      <c r="AX117" s="350">
        <v>6.7</v>
      </c>
      <c r="AY117" s="350">
        <v>7.7</v>
      </c>
      <c r="AZ117" s="350">
        <v>7.3</v>
      </c>
      <c r="BA117" s="350">
        <v>7.4</v>
      </c>
      <c r="BB117" s="214">
        <f t="shared" si="96"/>
        <v>244126.50000000003</v>
      </c>
      <c r="BC117" s="216">
        <f t="shared" si="97"/>
        <v>57567.399999999994</v>
      </c>
      <c r="BD117" s="180">
        <f t="shared" si="92"/>
        <v>203048.7</v>
      </c>
      <c r="BE117" s="216">
        <f t="shared" si="98"/>
        <v>24919.5</v>
      </c>
      <c r="BF117" s="179">
        <f t="shared" si="93"/>
        <v>45557.3</v>
      </c>
      <c r="BG117" s="216">
        <f>SUM(RD[[#This Row],[KUD01]:[KUD23]])</f>
        <v>575219.39999999991</v>
      </c>
      <c r="BH117" s="217">
        <f t="shared" si="99"/>
        <v>7.0900000000000007</v>
      </c>
      <c r="BI117" s="219">
        <f t="shared" si="100"/>
        <v>7.6</v>
      </c>
      <c r="BJ117" s="219">
        <f t="shared" si="101"/>
        <v>7.1399999999999988</v>
      </c>
      <c r="BK117" s="221">
        <f t="shared" si="104"/>
        <v>7.2</v>
      </c>
      <c r="BL117" s="61">
        <f>IFERROR(AVERAGEIF(RD[[#This Row],[WS_KUD07]:[WS_KUD08]],"&lt;&gt;0",RD[[#This Row],[WS_KUD07]:[WS_KUD08]]),"")</f>
        <v>6.9</v>
      </c>
      <c r="BM117" s="223">
        <f>IFERROR(AVERAGE(RD[[#This Row],[WS_KUD01]:[WS_KUD23]]),"")</f>
        <v>7.1608695652173919</v>
      </c>
      <c r="BN117" s="224">
        <f>IFERROR(MAX(RD[[#This Row],[WS_KUD01]:[WS_KUD23]]),"")</f>
        <v>7.7</v>
      </c>
      <c r="BO117" s="172">
        <v>690.98500000000001</v>
      </c>
      <c r="BP117" s="348">
        <v>988.41</v>
      </c>
      <c r="BQ117" s="349">
        <v>123.005</v>
      </c>
      <c r="BR117" s="349">
        <v>369.38200000000001</v>
      </c>
      <c r="BS117" s="349">
        <v>232.35900000000001</v>
      </c>
      <c r="BT117" s="349">
        <v>334.06400000000002</v>
      </c>
      <c r="BU117" s="349"/>
      <c r="BV117" s="349">
        <v>124.71599999999999</v>
      </c>
      <c r="BW117" s="172">
        <v>223880</v>
      </c>
      <c r="BX117" s="172">
        <v>313252</v>
      </c>
      <c r="BY117" s="349">
        <v>164.767</v>
      </c>
      <c r="BZ117" s="349">
        <v>149.84899999999999</v>
      </c>
      <c r="CA117" s="349">
        <v>333.11500000000001</v>
      </c>
      <c r="CB117" s="349">
        <v>158.25800000000001</v>
      </c>
      <c r="CC117" s="349">
        <v>0.123</v>
      </c>
      <c r="CD117" s="172">
        <v>0</v>
      </c>
      <c r="CE117" s="349">
        <v>250.47900000000001</v>
      </c>
      <c r="CF117" s="360">
        <f>IF((RD[[#This Row],[33 kV_Wind_F1_Export reading]]-BO116)*165000&lt;=0,"",(RD[[#This Row],[33 kV_Wind_F1_Export reading]]-BO116)*165000)</f>
        <v>258719.99999999729</v>
      </c>
      <c r="CG117" s="227" t="str">
        <f>IF((RD[[#This Row],[33 kV_Wind_F2_Export_reading]]-BP116)*165000&lt;=0,"",(RD[[#This Row],[33 kV_Wind_F2_Export_reading]]-BP116)*165000)</f>
        <v/>
      </c>
      <c r="CH117" s="64">
        <f>IF((RD[[#This Row],[33 kV_Wind_F3_Export_Reading]]-BQ116)*225000&lt;=0,"",(RD[[#This Row],[33 kV_Wind_F3_Export_Reading]]-BQ116)*225000)</f>
        <v>169425.00000000003</v>
      </c>
      <c r="CI117" s="64">
        <f>IF((RD[[#This Row],[33 kV_Wind_F4_Export Reading]]-BR116)*165000&lt;=0,"",(RD[[#This Row],[33 kV_Wind_F4_Export Reading]]-BR116)*165000)</f>
        <v>294359.99999999866</v>
      </c>
      <c r="CJ117" s="209">
        <f>IF((RD[[#This Row],[33 kV_Solar_F1_Export Reading]]-BS116)*225000&lt;=0,"",(RD[[#This Row],[33 kV_Solar_F1_Export Reading]]-BS116)*225000)</f>
        <v>159750.0000000018</v>
      </c>
      <c r="CK117" s="74">
        <f>IF((RD[[#This Row],[33kV_Solar_F2_Export Reading]]-BT116)*225000&lt;=0,"",(RD[[#This Row],[33kV_Solar_F2_Export Reading]]-BT116)*225000)</f>
        <v>129600.00000000492</v>
      </c>
      <c r="CL117" s="209" t="str">
        <f>IF((RD[[#This Row],[33 kV_Solar_F3_Export reading]]-BU116)*225000&lt;=0,"",(RD[[#This Row],[33 kV_Solar_F3_Export reading]]-BU116)*225000)</f>
        <v/>
      </c>
      <c r="CM117" s="63">
        <f>IF((RD[[#This Row],[32kV_Solar_F4_Export reading]]-BV116)*225000&lt;=0,"",(RD[[#This Row],[32kV_Solar_F4_Export reading]]-BV116)*225000)</f>
        <v>148949.9999999982</v>
      </c>
      <c r="CN117" s="227">
        <f>IF((RD[[#This Row],[33kV_OG1_Export reading]]-BW116)*1000&lt;=0,0,(RD[[#This Row],[33kV_OG1_Export reading]]-BW116)*1000)</f>
        <v>439000</v>
      </c>
      <c r="CO117" s="227">
        <f>IFERROR(IF((RD[[#This Row],[33kV_OG2_Export reading]]-BX116)*1000&lt;=0,0,(RD[[#This Row],[33kV_OG2_Export reading]]-BX116)*1000),0)</f>
        <v>724000</v>
      </c>
      <c r="CP117" s="74">
        <f>IF((RD[[#This Row],[220kV_TX1_Export reading]]-BY116)*800000&lt;=0,0,(RD[[#This Row],[220kV_TX1_Export reading]]-BY116)*800000)</f>
        <v>433600.00000000128</v>
      </c>
      <c r="CQ117" s="209">
        <f>IF((RD[[#This Row],[220kV_Tx2_Export reading]]-BZ116)*800000&lt;=0,0,(RD[[#This Row],[220kV_Tx2_Export reading]]-BZ116)*800000)</f>
        <v>714400.00000000058</v>
      </c>
      <c r="CR117" s="227">
        <f>IF((RD[[#This Row],[220kV_TL_TVM Export Reading]]-CA116)*1600000&lt;=0,0,(RD[[#This Row],[220kV_TL_TVM Export Reading]]-CA116)*1600000)</f>
        <v>1150399.9999999905</v>
      </c>
      <c r="CS117" s="227">
        <f>IF((RD[[#This Row],[220kV_C&amp;R_PQM reading]]-CB116)*1600000&lt;=0,"",(RD[[#This Row],[220kV_C&amp;R_PQM reading]]-CB116)*1600000)</f>
        <v>1153600.0000000058</v>
      </c>
      <c r="CT117" s="209">
        <f>IFERROR(IF((RD[[#This Row],[220KV_C&amp;R_PQM Import Reading]]-CC116)*1600000&lt;=0,0,(RD[[#This Row],[220KV_C&amp;R_PQM Import Reading]]-CC116)*1600000),"")</f>
        <v>0</v>
      </c>
      <c r="CU117" s="64" t="str">
        <f>IF((RD[[#This Row],[33kV_Aux1 Import Reading]]-CD116)*1000&lt;=0,"",(RD[[#This Row],[33kV_Aux1 Import Reading]]-CD116)*1000)</f>
        <v/>
      </c>
      <c r="CV117" s="227">
        <f>IF((RD[[#This Row],[33kV_Aux2_Import reading]]-CE116)*1000&lt;=0,"",(RD[[#This Row],[33kV_Aux2_Import reading]]-CE116)*1000)</f>
        <v>350.00000000002274</v>
      </c>
      <c r="CW117" s="227">
        <f>IFERROR(RD[[#This Row],[33kV_OG1_Energy (MWh)]]+RD[[#This Row],[33kV_OG2_Energy (MWh)]],"")</f>
        <v>1163000</v>
      </c>
      <c r="CX117" s="227">
        <f>IFERROR(RD[[#This Row],[220kV_TL_TVM Energy (MWh)]]-RD[[#This Row],[220KV_C&amp;R_PQM Import (MWh)]],"")</f>
        <v>1150399.9999999905</v>
      </c>
      <c r="CY117" s="228">
        <f>IFERROR(RD[[#This Row],[33 kV Total Export (MWH)]]/RD[[#This Row],[220 KV Net Export (MWh)]]-1,"")</f>
        <v>1.0952712100147366E-2</v>
      </c>
      <c r="CZ117" s="229">
        <f t="shared" si="102"/>
        <v>50.6</v>
      </c>
      <c r="DA117" s="230">
        <v>96</v>
      </c>
      <c r="DB117" s="231"/>
      <c r="DC117" s="232">
        <f>IFERROR((RD[[#This Row],[Sunset Time (POA&lt;20 W/m2)]]-RD[[#This Row],[Sunrise Time (POA&gt;20 W/m2)]])*24,0)</f>
        <v>12.299999999999999</v>
      </c>
      <c r="DD117" s="70">
        <f>SUM(RD[[#This Row],[33 kV_Wind_F3_Export_Reading3]],CJ117,CK117,CL117,CM117)</f>
        <v>607725.00000000489</v>
      </c>
      <c r="DE117" s="233"/>
      <c r="DF117" s="70">
        <f t="shared" si="103"/>
        <v>553079.99999999593</v>
      </c>
      <c r="DG117" s="230">
        <v>577.61</v>
      </c>
      <c r="DH117">
        <f>'WTG Reactive Power'!AB115</f>
        <v>74414.100000000006</v>
      </c>
    </row>
    <row r="118" spans="1:112">
      <c r="A118" s="210">
        <f>YEAR(RD[[#This Row],[Date]])+IF(MONTH(RD[[#This Row],[Date]])&gt;=4,1,0)</f>
        <v>2026</v>
      </c>
      <c r="B118" s="210">
        <f>YEAR(RD[[#This Row],[Date]])</f>
        <v>2025</v>
      </c>
      <c r="C118" s="211">
        <f t="shared" si="94"/>
        <v>45839</v>
      </c>
      <c r="D118" s="210">
        <f>DAY(EOMONTH(RD[[#This Row],[Date]],0))</f>
        <v>31</v>
      </c>
      <c r="E118" s="212">
        <f t="shared" si="95"/>
        <v>45858</v>
      </c>
      <c r="F118" s="206"/>
      <c r="G118" s="206"/>
      <c r="H118" s="213"/>
      <c r="I118" s="213"/>
      <c r="J118" s="213"/>
      <c r="K118" s="213"/>
      <c r="L118" s="213"/>
      <c r="M118" s="213"/>
      <c r="N118" s="213"/>
      <c r="O118" s="213"/>
      <c r="P118" s="213"/>
      <c r="Q118" s="213"/>
      <c r="R118" s="213"/>
      <c r="S118" s="213"/>
      <c r="T118" s="213"/>
      <c r="U118" s="213"/>
      <c r="V118" s="213"/>
      <c r="W118" s="213"/>
      <c r="X118" s="213"/>
      <c r="Y118" s="213"/>
      <c r="Z118" s="213"/>
      <c r="AA118" s="213"/>
      <c r="AB118" s="213"/>
      <c r="AC118" s="213"/>
      <c r="AD118" s="213"/>
      <c r="AE118" s="350"/>
      <c r="AF118" s="350"/>
      <c r="AG118" s="350"/>
      <c r="AH118" s="350"/>
      <c r="AI118" s="350"/>
      <c r="AJ118" s="350"/>
      <c r="AK118" s="350"/>
      <c r="AL118" s="350"/>
      <c r="AM118" s="350"/>
      <c r="AN118" s="350"/>
      <c r="AO118" s="350"/>
      <c r="AP118" s="350"/>
      <c r="AQ118" s="350"/>
      <c r="AR118" s="350"/>
      <c r="AS118" s="350"/>
      <c r="AT118" s="350"/>
      <c r="AU118" s="350"/>
      <c r="AV118" s="350"/>
      <c r="AW118" s="350"/>
      <c r="AX118" s="350"/>
      <c r="AY118" s="350"/>
      <c r="AZ118" s="350"/>
      <c r="BA118" s="350"/>
      <c r="BB118" s="214">
        <f t="shared" si="96"/>
        <v>0</v>
      </c>
      <c r="BC118" s="216">
        <f t="shared" si="97"/>
        <v>0</v>
      </c>
      <c r="BD118" s="180">
        <f t="shared" si="92"/>
        <v>0</v>
      </c>
      <c r="BE118" s="216">
        <f t="shared" si="98"/>
        <v>0</v>
      </c>
      <c r="BF118" s="179">
        <f t="shared" si="93"/>
        <v>0</v>
      </c>
      <c r="BG118" s="216">
        <f>SUM(RD[[#This Row],[KUD01]:[KUD23]])</f>
        <v>0</v>
      </c>
      <c r="BH118" s="217" t="str">
        <f t="shared" si="99"/>
        <v/>
      </c>
      <c r="BI118" s="219" t="str">
        <f t="shared" si="100"/>
        <v/>
      </c>
      <c r="BJ118" s="219" t="str">
        <f t="shared" si="101"/>
        <v/>
      </c>
      <c r="BK118" s="221">
        <f t="shared" si="104"/>
        <v>0</v>
      </c>
      <c r="BL118" s="61" t="str">
        <f>IFERROR(AVERAGEIF(RD[[#This Row],[WS_KUD07]:[WS_KUD08]],"&lt;&gt;0",RD[[#This Row],[WS_KUD07]:[WS_KUD08]]),"")</f>
        <v/>
      </c>
      <c r="BM118" s="223" t="str">
        <f>IFERROR(AVERAGE(RD[[#This Row],[WS_KUD01]:[WS_KUD23]]),"")</f>
        <v/>
      </c>
      <c r="BN118" s="224">
        <f>IFERROR(MAX(RD[[#This Row],[WS_KUD01]:[WS_KUD23]]),"")</f>
        <v>0</v>
      </c>
      <c r="BO118" s="172"/>
      <c r="BP118" s="349"/>
      <c r="BQ118" s="349"/>
      <c r="BR118" s="349"/>
      <c r="BS118" s="349"/>
      <c r="BT118" s="349"/>
      <c r="BU118" s="349"/>
      <c r="BV118" s="349"/>
      <c r="BW118" s="172"/>
      <c r="BX118" s="172"/>
      <c r="BY118" s="349"/>
      <c r="BZ118" s="349"/>
      <c r="CA118" s="349"/>
      <c r="CB118" s="349"/>
      <c r="CC118" s="349"/>
      <c r="CD118" s="172"/>
      <c r="CE118" s="349"/>
      <c r="CF118" s="360" t="str">
        <f>IF((RD[[#This Row],[33 kV_Wind_F1_Export reading]]-BO117)*165000&lt;=0,"",(RD[[#This Row],[33 kV_Wind_F1_Export reading]]-BO117)*165000)</f>
        <v/>
      </c>
      <c r="CG118" s="227" t="str">
        <f>IF((RD[[#This Row],[33 kV_Wind_F2_Export_reading]]-BP117)*165000&lt;=0,"",(RD[[#This Row],[33 kV_Wind_F2_Export_reading]]-BP117)*165000)</f>
        <v/>
      </c>
      <c r="CH118" s="64" t="str">
        <f>IF((RD[[#This Row],[33 kV_Wind_F3_Export_Reading]]-BQ117)*225000&lt;=0,"",(RD[[#This Row],[33 kV_Wind_F3_Export_Reading]]-BQ117)*225000)</f>
        <v/>
      </c>
      <c r="CI118" s="64" t="str">
        <f>IF((RD[[#This Row],[33 kV_Wind_F4_Export Reading]]-BR117)*165000&lt;=0,"",(RD[[#This Row],[33 kV_Wind_F4_Export Reading]]-BR117)*165000)</f>
        <v/>
      </c>
      <c r="CJ118" s="209" t="str">
        <f>IF((RD[[#This Row],[33 kV_Solar_F1_Export Reading]]-BS117)*225000&lt;=0,"",(RD[[#This Row],[33 kV_Solar_F1_Export Reading]]-BS117)*225000)</f>
        <v/>
      </c>
      <c r="CK118" s="74" t="str">
        <f>IF((RD[[#This Row],[33kV_Solar_F2_Export Reading]]-BT117)*225000&lt;=0,"",(RD[[#This Row],[33kV_Solar_F2_Export Reading]]-BT117)*225000)</f>
        <v/>
      </c>
      <c r="CL118" s="209" t="str">
        <f>IF((RD[[#This Row],[33 kV_Solar_F3_Export reading]]-BU117)*225000&lt;=0,"",(RD[[#This Row],[33 kV_Solar_F3_Export reading]]-BU117)*225000)</f>
        <v/>
      </c>
      <c r="CM118" s="63" t="str">
        <f>IF((RD[[#This Row],[32kV_Solar_F4_Export reading]]-BV117)*225000&lt;=0,"",(RD[[#This Row],[32kV_Solar_F4_Export reading]]-BV117)*225000)</f>
        <v/>
      </c>
      <c r="CN118" s="227">
        <f>IF((RD[[#This Row],[33kV_OG1_Export reading]]-BW117)*1000&lt;=0,0,(RD[[#This Row],[33kV_OG1_Export reading]]-BW117)*1000)</f>
        <v>0</v>
      </c>
      <c r="CO118" s="227">
        <f>IFERROR(IF((RD[[#This Row],[33kV_OG2_Export reading]]-BX117)*1000&lt;=0,0,(RD[[#This Row],[33kV_OG2_Export reading]]-BX117)*1000),0)</f>
        <v>0</v>
      </c>
      <c r="CP118" s="74">
        <f>IF((RD[[#This Row],[220kV_TX1_Export reading]]-BY117)*800000&lt;=0,0,(RD[[#This Row],[220kV_TX1_Export reading]]-BY117)*800000)</f>
        <v>0</v>
      </c>
      <c r="CQ118" s="209">
        <f>IF((RD[[#This Row],[220kV_Tx2_Export reading]]-BZ117)*800000&lt;=0,0,(RD[[#This Row],[220kV_Tx2_Export reading]]-BZ117)*800000)</f>
        <v>0</v>
      </c>
      <c r="CR118" s="227">
        <f>IF((RD[[#This Row],[220kV_TL_TVM Export Reading]]-CA117)*1600000&lt;=0,0,(RD[[#This Row],[220kV_TL_TVM Export Reading]]-CA117)*1600000)</f>
        <v>0</v>
      </c>
      <c r="CS118" s="227" t="str">
        <f>IF((RD[[#This Row],[220kV_C&amp;R_PQM reading]]-CB117)*1600000&lt;=0,"",(RD[[#This Row],[220kV_C&amp;R_PQM reading]]-CB117)*1600000)</f>
        <v/>
      </c>
      <c r="CT118" s="209">
        <f>IFERROR(IF((RD[[#This Row],[220KV_C&amp;R_PQM Import Reading]]-CC117)*1600000&lt;=0,0,(RD[[#This Row],[220KV_C&amp;R_PQM Import Reading]]-CC117)*1600000),"")</f>
        <v>0</v>
      </c>
      <c r="CU118" s="64" t="str">
        <f>IF((RD[[#This Row],[33kV_Aux1 Import Reading]]-CD117)*1000&lt;=0,"",(RD[[#This Row],[33kV_Aux1 Import Reading]]-CD117)*1000)</f>
        <v/>
      </c>
      <c r="CV118" s="227" t="str">
        <f>IF((RD[[#This Row],[33kV_Aux2_Import reading]]-CE117)*1000&lt;=0,"",(RD[[#This Row],[33kV_Aux2_Import reading]]-CE117)*1000)</f>
        <v/>
      </c>
      <c r="CW118" s="227">
        <f>IFERROR(RD[[#This Row],[33kV_OG1_Energy (MWh)]]+RD[[#This Row],[33kV_OG2_Energy (MWh)]],"")</f>
        <v>0</v>
      </c>
      <c r="CX118" s="227">
        <f>IFERROR(RD[[#This Row],[220kV_TL_TVM Energy (MWh)]]-RD[[#This Row],[220KV_C&amp;R_PQM Import (MWh)]],"")</f>
        <v>0</v>
      </c>
      <c r="CY118" s="228" t="str">
        <f>IFERROR(RD[[#This Row],[33 kV Total Export (MWH)]]/RD[[#This Row],[220 KV Net Export (MWh)]]-1,"")</f>
        <v/>
      </c>
      <c r="CZ118" s="229">
        <f t="shared" si="102"/>
        <v>50.6</v>
      </c>
      <c r="DA118" s="230"/>
      <c r="DB118" s="231"/>
      <c r="DC118" s="232">
        <f>IFERROR((RD[[#This Row],[Sunset Time (POA&lt;20 W/m2)]]-RD[[#This Row],[Sunrise Time (POA&gt;20 W/m2)]])*24,0)</f>
        <v>0</v>
      </c>
      <c r="DD118" s="70">
        <f>SUM(RD[[#This Row],[33 kV_Wind_F3_Export_Reading3]],CJ118,CK118,CL118,CM118)</f>
        <v>0</v>
      </c>
      <c r="DE118" s="233"/>
      <c r="DF118" s="70">
        <f t="shared" si="103"/>
        <v>0</v>
      </c>
      <c r="DG118" s="230"/>
      <c r="DH118">
        <f>'WTG Reactive Power'!AB116</f>
        <v>0</v>
      </c>
    </row>
    <row r="119" spans="1:112">
      <c r="A119" s="210">
        <f>YEAR(RD[[#This Row],[Date]])+IF(MONTH(RD[[#This Row],[Date]])&gt;=4,1,0)</f>
        <v>2026</v>
      </c>
      <c r="B119" s="210">
        <f>YEAR(RD[[#This Row],[Date]])</f>
        <v>2025</v>
      </c>
      <c r="C119" s="211">
        <f t="shared" si="94"/>
        <v>45839</v>
      </c>
      <c r="D119" s="210">
        <f>DAY(EOMONTH(RD[[#This Row],[Date]],0))</f>
        <v>31</v>
      </c>
      <c r="E119" s="212">
        <f t="shared" si="95"/>
        <v>45859</v>
      </c>
      <c r="F119" s="206"/>
      <c r="G119" s="206"/>
      <c r="H119" s="213"/>
      <c r="I119" s="213"/>
      <c r="J119" s="213"/>
      <c r="K119" s="213"/>
      <c r="L119" s="213"/>
      <c r="M119" s="213"/>
      <c r="N119" s="213"/>
      <c r="O119" s="213"/>
      <c r="P119" s="213"/>
      <c r="Q119" s="213"/>
      <c r="R119" s="213"/>
      <c r="S119" s="213"/>
      <c r="T119" s="213"/>
      <c r="U119" s="213"/>
      <c r="V119" s="213"/>
      <c r="W119" s="213"/>
      <c r="X119" s="213"/>
      <c r="Y119" s="213"/>
      <c r="Z119" s="213"/>
      <c r="AA119" s="213"/>
      <c r="AB119" s="213"/>
      <c r="AC119" s="213"/>
      <c r="AD119" s="213"/>
      <c r="AE119" s="350"/>
      <c r="AF119" s="350"/>
      <c r="AG119" s="350"/>
      <c r="AH119" s="350"/>
      <c r="AI119" s="350"/>
      <c r="AJ119" s="350"/>
      <c r="AK119" s="350"/>
      <c r="AL119" s="350"/>
      <c r="AM119" s="350"/>
      <c r="AN119" s="350"/>
      <c r="AO119" s="350"/>
      <c r="AP119" s="350"/>
      <c r="AQ119" s="350"/>
      <c r="AR119" s="350"/>
      <c r="AS119" s="350"/>
      <c r="AT119" s="350"/>
      <c r="AU119" s="350"/>
      <c r="AV119" s="350"/>
      <c r="AW119" s="350"/>
      <c r="AX119" s="350"/>
      <c r="AY119" s="350"/>
      <c r="AZ119" s="350"/>
      <c r="BA119" s="350"/>
      <c r="BB119" s="214">
        <f t="shared" si="96"/>
        <v>0</v>
      </c>
      <c r="BC119" s="216">
        <f t="shared" si="97"/>
        <v>0</v>
      </c>
      <c r="BD119" s="180">
        <f t="shared" si="92"/>
        <v>0</v>
      </c>
      <c r="BE119" s="216">
        <f t="shared" si="98"/>
        <v>0</v>
      </c>
      <c r="BF119" s="179">
        <f t="shared" si="93"/>
        <v>0</v>
      </c>
      <c r="BG119" s="216">
        <f>SUM(RD[[#This Row],[KUD01]:[KUD23]])</f>
        <v>0</v>
      </c>
      <c r="BH119" s="217" t="str">
        <f t="shared" si="99"/>
        <v/>
      </c>
      <c r="BI119" s="219" t="str">
        <f t="shared" si="100"/>
        <v/>
      </c>
      <c r="BJ119" s="219" t="str">
        <f t="shared" si="101"/>
        <v/>
      </c>
      <c r="BK119" s="221">
        <f t="shared" si="104"/>
        <v>0</v>
      </c>
      <c r="BL119" s="61" t="str">
        <f>IFERROR(AVERAGEIF(RD[[#This Row],[WS_KUD07]:[WS_KUD08]],"&lt;&gt;0",RD[[#This Row],[WS_KUD07]:[WS_KUD08]]),"")</f>
        <v/>
      </c>
      <c r="BM119" s="223" t="str">
        <f>IFERROR(AVERAGE(RD[[#This Row],[WS_KUD01]:[WS_KUD23]]),"")</f>
        <v/>
      </c>
      <c r="BN119" s="224">
        <f>IFERROR(MAX(RD[[#This Row],[WS_KUD01]:[WS_KUD23]]),"")</f>
        <v>0</v>
      </c>
      <c r="BO119" s="172"/>
      <c r="BP119" s="349"/>
      <c r="BQ119" s="349"/>
      <c r="BR119" s="349"/>
      <c r="BS119" s="349"/>
      <c r="BT119" s="349"/>
      <c r="BU119" s="349"/>
      <c r="BV119" s="349"/>
      <c r="BW119" s="172"/>
      <c r="BX119" s="172"/>
      <c r="BY119" s="349"/>
      <c r="BZ119" s="349"/>
      <c r="CA119" s="349"/>
      <c r="CB119" s="349"/>
      <c r="CC119" s="349"/>
      <c r="CD119" s="172"/>
      <c r="CE119" s="349"/>
      <c r="CF119" s="360" t="str">
        <f>IF((RD[[#This Row],[33 kV_Wind_F1_Export reading]]-BO118)*165000&lt;=0,"",(RD[[#This Row],[33 kV_Wind_F1_Export reading]]-BO118)*165000)</f>
        <v/>
      </c>
      <c r="CG119" s="227" t="str">
        <f>IF((RD[[#This Row],[33 kV_Wind_F2_Export_reading]]-BP118)*165000&lt;=0,"",(RD[[#This Row],[33 kV_Wind_F2_Export_reading]]-BP118)*165000)</f>
        <v/>
      </c>
      <c r="CH119" s="64" t="str">
        <f>IF((RD[[#This Row],[33 kV_Wind_F3_Export_Reading]]-BQ118)*225000&lt;=0,"",(RD[[#This Row],[33 kV_Wind_F3_Export_Reading]]-BQ118)*225000)</f>
        <v/>
      </c>
      <c r="CI119" s="64" t="str">
        <f>IF((RD[[#This Row],[33 kV_Wind_F4_Export Reading]]-BR118)*165000&lt;=0,"",(RD[[#This Row],[33 kV_Wind_F4_Export Reading]]-BR118)*165000)</f>
        <v/>
      </c>
      <c r="CJ119" s="209" t="str">
        <f>IF((RD[[#This Row],[33 kV_Solar_F1_Export Reading]]-BS118)*225000&lt;=0,"",(RD[[#This Row],[33 kV_Solar_F1_Export Reading]]-BS118)*225000)</f>
        <v/>
      </c>
      <c r="CK119" s="74" t="str">
        <f>IF((RD[[#This Row],[33kV_Solar_F2_Export Reading]]-BT118)*225000&lt;=0,"",(RD[[#This Row],[33kV_Solar_F2_Export Reading]]-BT118)*225000)</f>
        <v/>
      </c>
      <c r="CL119" s="209" t="str">
        <f>IF((RD[[#This Row],[33 kV_Solar_F3_Export reading]]-BU118)*225000&lt;=0,"",(RD[[#This Row],[33 kV_Solar_F3_Export reading]]-BU118)*225000)</f>
        <v/>
      </c>
      <c r="CM119" s="63" t="str">
        <f>IF((RD[[#This Row],[32kV_Solar_F4_Export reading]]-BV118)*225000&lt;=0,"",(RD[[#This Row],[32kV_Solar_F4_Export reading]]-BV118)*225000)</f>
        <v/>
      </c>
      <c r="CN119" s="227">
        <f>IF((RD[[#This Row],[33kV_OG1_Export reading]]-BW118)*1000&lt;=0,0,(RD[[#This Row],[33kV_OG1_Export reading]]-BW118)*1000)</f>
        <v>0</v>
      </c>
      <c r="CO119" s="227">
        <f>IFERROR(IF((RD[[#This Row],[33kV_OG2_Export reading]]-BX118)*1000&lt;=0,0,(RD[[#This Row],[33kV_OG2_Export reading]]-BX118)*1000),0)</f>
        <v>0</v>
      </c>
      <c r="CP119" s="74">
        <f>IF((RD[[#This Row],[220kV_TX1_Export reading]]-BY118)*800000&lt;=0,0,(RD[[#This Row],[220kV_TX1_Export reading]]-BY118)*800000)</f>
        <v>0</v>
      </c>
      <c r="CQ119" s="209">
        <f>IF((RD[[#This Row],[220kV_Tx2_Export reading]]-BZ118)*800000&lt;=0,0,(RD[[#This Row],[220kV_Tx2_Export reading]]-BZ118)*800000)</f>
        <v>0</v>
      </c>
      <c r="CR119" s="227">
        <f>IF((RD[[#This Row],[220kV_TL_TVM Export Reading]]-CA118)*1600000&lt;=0,0,(RD[[#This Row],[220kV_TL_TVM Export Reading]]-CA118)*1600000)</f>
        <v>0</v>
      </c>
      <c r="CS119" s="227" t="str">
        <f>IF((RD[[#This Row],[220kV_C&amp;R_PQM reading]]-CB118)*1600000&lt;=0,"",(RD[[#This Row],[220kV_C&amp;R_PQM reading]]-CB118)*1600000)</f>
        <v/>
      </c>
      <c r="CT119" s="209">
        <f>IFERROR(IF((RD[[#This Row],[220KV_C&amp;R_PQM Import Reading]]-CC118)*1600000&lt;=0,0,(RD[[#This Row],[220KV_C&amp;R_PQM Import Reading]]-CC118)*1600000),"")</f>
        <v>0</v>
      </c>
      <c r="CU119" s="64" t="str">
        <f>IF((RD[[#This Row],[33kV_Aux1 Import Reading]]-CD118)*1000&lt;=0,"",(RD[[#This Row],[33kV_Aux1 Import Reading]]-CD118)*1000)</f>
        <v/>
      </c>
      <c r="CV119" s="227" t="str">
        <f>IF((RD[[#This Row],[33kV_Aux2_Import reading]]-CE118)*1000&lt;=0,"",(RD[[#This Row],[33kV_Aux2_Import reading]]-CE118)*1000)</f>
        <v/>
      </c>
      <c r="CW119" s="227">
        <f>IFERROR(RD[[#This Row],[33kV_OG1_Energy (MWh)]]+RD[[#This Row],[33kV_OG2_Energy (MWh)]],"")</f>
        <v>0</v>
      </c>
      <c r="CX119" s="227">
        <f>IFERROR(RD[[#This Row],[220kV_TL_TVM Energy (MWh)]]-RD[[#This Row],[220KV_C&amp;R_PQM Import (MWh)]],"")</f>
        <v>0</v>
      </c>
      <c r="CY119" s="228" t="str">
        <f>IFERROR(RD[[#This Row],[33 kV Total Export (MWH)]]/RD[[#This Row],[220 KV Net Export (MWh)]]-1,"")</f>
        <v/>
      </c>
      <c r="CZ119" s="229">
        <f t="shared" si="102"/>
        <v>50.6</v>
      </c>
      <c r="DA119" s="230"/>
      <c r="DB119" s="231"/>
      <c r="DC119" s="232">
        <f>IFERROR((RD[[#This Row],[Sunset Time (POA&lt;20 W/m2)]]-RD[[#This Row],[Sunrise Time (POA&gt;20 W/m2)]])*24,0)</f>
        <v>0</v>
      </c>
      <c r="DD119" s="70">
        <f>SUM(RD[[#This Row],[33 kV_Wind_F3_Export_Reading3]],CJ119,CK119,CL119,CM119)</f>
        <v>0</v>
      </c>
      <c r="DE119" s="233"/>
      <c r="DF119" s="70">
        <f t="shared" si="103"/>
        <v>0</v>
      </c>
      <c r="DG119" s="230"/>
      <c r="DH119">
        <f>'WTG Reactive Power'!AB117</f>
        <v>0</v>
      </c>
    </row>
    <row r="120" spans="1:112">
      <c r="A120" s="210">
        <f>YEAR(RD[[#This Row],[Date]])+IF(MONTH(RD[[#This Row],[Date]])&gt;=4,1,0)</f>
        <v>2026</v>
      </c>
      <c r="B120" s="210">
        <f>YEAR(RD[[#This Row],[Date]])</f>
        <v>2025</v>
      </c>
      <c r="C120" s="211">
        <f t="shared" si="94"/>
        <v>45839</v>
      </c>
      <c r="D120" s="210">
        <f>DAY(EOMONTH(RD[[#This Row],[Date]],0))</f>
        <v>31</v>
      </c>
      <c r="E120" s="212">
        <f t="shared" si="95"/>
        <v>45860</v>
      </c>
      <c r="F120" s="206"/>
      <c r="G120" s="206"/>
      <c r="H120" s="213"/>
      <c r="I120" s="213"/>
      <c r="J120" s="213"/>
      <c r="K120" s="213"/>
      <c r="L120" s="213"/>
      <c r="M120" s="213"/>
      <c r="N120" s="213"/>
      <c r="O120" s="213"/>
      <c r="P120" s="213"/>
      <c r="Q120" s="213"/>
      <c r="R120" s="213"/>
      <c r="S120" s="213"/>
      <c r="T120" s="213"/>
      <c r="U120" s="213"/>
      <c r="V120" s="213"/>
      <c r="W120" s="213"/>
      <c r="X120" s="213"/>
      <c r="Y120" s="213"/>
      <c r="Z120" s="213"/>
      <c r="AA120" s="213"/>
      <c r="AB120" s="213"/>
      <c r="AC120" s="213"/>
      <c r="AD120" s="213"/>
      <c r="AE120" s="350"/>
      <c r="AF120" s="350"/>
      <c r="AG120" s="350"/>
      <c r="AH120" s="350"/>
      <c r="AI120" s="350"/>
      <c r="AJ120" s="350"/>
      <c r="AK120" s="350"/>
      <c r="AL120" s="350"/>
      <c r="AM120" s="350"/>
      <c r="AN120" s="350"/>
      <c r="AO120" s="350"/>
      <c r="AP120" s="350"/>
      <c r="AQ120" s="350"/>
      <c r="AR120" s="350"/>
      <c r="AS120" s="350"/>
      <c r="AT120" s="350"/>
      <c r="AU120" s="350"/>
      <c r="AV120" s="350"/>
      <c r="AW120" s="350"/>
      <c r="AX120" s="350"/>
      <c r="AY120" s="350"/>
      <c r="AZ120" s="350"/>
      <c r="BA120" s="350"/>
      <c r="BB120" s="214">
        <f t="shared" si="96"/>
        <v>0</v>
      </c>
      <c r="BC120" s="216">
        <f t="shared" si="97"/>
        <v>0</v>
      </c>
      <c r="BD120" s="180">
        <f t="shared" si="92"/>
        <v>0</v>
      </c>
      <c r="BE120" s="216">
        <f t="shared" si="98"/>
        <v>0</v>
      </c>
      <c r="BF120" s="179">
        <f t="shared" si="93"/>
        <v>0</v>
      </c>
      <c r="BG120" s="216">
        <f>SUM(RD[[#This Row],[KUD01]:[KUD23]])</f>
        <v>0</v>
      </c>
      <c r="BH120" s="217" t="str">
        <f t="shared" si="99"/>
        <v/>
      </c>
      <c r="BI120" s="219" t="str">
        <f t="shared" si="100"/>
        <v/>
      </c>
      <c r="BJ120" s="219" t="str">
        <f t="shared" si="101"/>
        <v/>
      </c>
      <c r="BK120" s="221">
        <f t="shared" si="104"/>
        <v>0</v>
      </c>
      <c r="BL120" s="61" t="str">
        <f>IFERROR(AVERAGEIF(RD[[#This Row],[WS_KUD07]:[WS_KUD08]],"&lt;&gt;0",RD[[#This Row],[WS_KUD07]:[WS_KUD08]]),"")</f>
        <v/>
      </c>
      <c r="BM120" s="223" t="str">
        <f>IFERROR(AVERAGE(RD[[#This Row],[WS_KUD01]:[WS_KUD23]]),"")</f>
        <v/>
      </c>
      <c r="BN120" s="224">
        <f>IFERROR(MAX(RD[[#This Row],[WS_KUD01]:[WS_KUD23]]),"")</f>
        <v>0</v>
      </c>
      <c r="BO120" s="172"/>
      <c r="BP120" s="349"/>
      <c r="BQ120" s="349"/>
      <c r="BR120" s="349"/>
      <c r="BS120" s="349"/>
      <c r="BT120" s="349"/>
      <c r="BU120" s="349"/>
      <c r="BV120" s="349"/>
      <c r="BW120" s="172"/>
      <c r="BX120" s="172"/>
      <c r="BY120" s="349"/>
      <c r="BZ120" s="349"/>
      <c r="CA120" s="349"/>
      <c r="CB120" s="349"/>
      <c r="CC120" s="349"/>
      <c r="CD120" s="172"/>
      <c r="CE120" s="349"/>
      <c r="CF120" s="360" t="str">
        <f>IF((RD[[#This Row],[33 kV_Wind_F1_Export reading]]-BO119)*165000&lt;=0,"",(RD[[#This Row],[33 kV_Wind_F1_Export reading]]-BO119)*165000)</f>
        <v/>
      </c>
      <c r="CG120" s="227" t="str">
        <f>IF((RD[[#This Row],[33 kV_Wind_F2_Export_reading]]-BP119)*165000&lt;=0,"",(RD[[#This Row],[33 kV_Wind_F2_Export_reading]]-BP119)*165000)</f>
        <v/>
      </c>
      <c r="CH120" s="64" t="str">
        <f>IF((RD[[#This Row],[33 kV_Wind_F3_Export_Reading]]-BQ119)*225000&lt;=0,"",(RD[[#This Row],[33 kV_Wind_F3_Export_Reading]]-BQ119)*225000)</f>
        <v/>
      </c>
      <c r="CI120" s="64" t="str">
        <f>IF((RD[[#This Row],[33 kV_Wind_F4_Export Reading]]-BR119)*165000&lt;=0,"",(RD[[#This Row],[33 kV_Wind_F4_Export Reading]]-BR119)*165000)</f>
        <v/>
      </c>
      <c r="CJ120" s="209" t="str">
        <f>IF((RD[[#This Row],[33 kV_Solar_F1_Export Reading]]-BS119)*225000&lt;=0,"",(RD[[#This Row],[33 kV_Solar_F1_Export Reading]]-BS119)*225000)</f>
        <v/>
      </c>
      <c r="CK120" s="74" t="str">
        <f>IF((RD[[#This Row],[33kV_Solar_F2_Export Reading]]-BT119)*225000&lt;=0,"",(RD[[#This Row],[33kV_Solar_F2_Export Reading]]-BT119)*225000)</f>
        <v/>
      </c>
      <c r="CL120" s="209" t="str">
        <f>IF((RD[[#This Row],[33 kV_Solar_F3_Export reading]]-BU119)*225000&lt;=0,"",(RD[[#This Row],[33 kV_Solar_F3_Export reading]]-BU119)*225000)</f>
        <v/>
      </c>
      <c r="CM120" s="63" t="str">
        <f>IF((RD[[#This Row],[32kV_Solar_F4_Export reading]]-BV119)*225000&lt;=0,"",(RD[[#This Row],[32kV_Solar_F4_Export reading]]-BV119)*225000)</f>
        <v/>
      </c>
      <c r="CN120" s="227">
        <f>IF((RD[[#This Row],[33kV_OG1_Export reading]]-BW119)*1000&lt;=0,0,(RD[[#This Row],[33kV_OG1_Export reading]]-BW119)*1000)</f>
        <v>0</v>
      </c>
      <c r="CO120" s="227">
        <f>IFERROR(IF((RD[[#This Row],[33kV_OG2_Export reading]]-BX119)*1000&lt;=0,0,(RD[[#This Row],[33kV_OG2_Export reading]]-BX119)*1000),0)</f>
        <v>0</v>
      </c>
      <c r="CP120" s="74">
        <f>IF((RD[[#This Row],[220kV_TX1_Export reading]]-BY119)*800000&lt;=0,0,(RD[[#This Row],[220kV_TX1_Export reading]]-BY119)*800000)</f>
        <v>0</v>
      </c>
      <c r="CQ120" s="209">
        <f>IF((RD[[#This Row],[220kV_Tx2_Export reading]]-BZ119)*800000&lt;=0,0,(RD[[#This Row],[220kV_Tx2_Export reading]]-BZ119)*800000)</f>
        <v>0</v>
      </c>
      <c r="CR120" s="227">
        <f>IF((RD[[#This Row],[220kV_TL_TVM Export Reading]]-CA119)*1600000&lt;=0,0,(RD[[#This Row],[220kV_TL_TVM Export Reading]]-CA119)*1600000)</f>
        <v>0</v>
      </c>
      <c r="CS120" s="227" t="str">
        <f>IF((RD[[#This Row],[220kV_C&amp;R_PQM reading]]-CB119)*1600000&lt;=0,"",(RD[[#This Row],[220kV_C&amp;R_PQM reading]]-CB119)*1600000)</f>
        <v/>
      </c>
      <c r="CT120" s="209">
        <f>IFERROR(IF((RD[[#This Row],[220KV_C&amp;R_PQM Import Reading]]-CC119)*1600000&lt;=0,0,(RD[[#This Row],[220KV_C&amp;R_PQM Import Reading]]-CC119)*1600000),"")</f>
        <v>0</v>
      </c>
      <c r="CU120" s="64" t="str">
        <f>IF((RD[[#This Row],[33kV_Aux1 Import Reading]]-CD119)*1000&lt;=0,"",(RD[[#This Row],[33kV_Aux1 Import Reading]]-CD119)*1000)</f>
        <v/>
      </c>
      <c r="CV120" s="227" t="str">
        <f>IF((RD[[#This Row],[33kV_Aux2_Import reading]]-CE119)*1000&lt;=0,"",(RD[[#This Row],[33kV_Aux2_Import reading]]-CE119)*1000)</f>
        <v/>
      </c>
      <c r="CW120" s="227">
        <f>IFERROR(RD[[#This Row],[33kV_OG1_Energy (MWh)]]+RD[[#This Row],[33kV_OG2_Energy (MWh)]],"")</f>
        <v>0</v>
      </c>
      <c r="CX120" s="227">
        <f>IFERROR(RD[[#This Row],[220kV_TL_TVM Energy (MWh)]]-RD[[#This Row],[220KV_C&amp;R_PQM Import (MWh)]],"")</f>
        <v>0</v>
      </c>
      <c r="CY120" s="228" t="str">
        <f>IFERROR(RD[[#This Row],[33 kV Total Export (MWH)]]/RD[[#This Row],[220 KV Net Export (MWh)]]-1,"")</f>
        <v/>
      </c>
      <c r="CZ120" s="229">
        <f t="shared" si="102"/>
        <v>50.6</v>
      </c>
      <c r="DA120" s="230"/>
      <c r="DB120" s="231"/>
      <c r="DC120" s="232">
        <f>IFERROR((RD[[#This Row],[Sunset Time (POA&lt;20 W/m2)]]-RD[[#This Row],[Sunrise Time (POA&gt;20 W/m2)]])*24,0)</f>
        <v>0</v>
      </c>
      <c r="DD120" s="70">
        <f>SUM(RD[[#This Row],[33 kV_Wind_F3_Export_Reading3]],CJ120,CK120,CL120,CM120)</f>
        <v>0</v>
      </c>
      <c r="DE120" s="233"/>
      <c r="DF120" s="70">
        <f t="shared" si="103"/>
        <v>0</v>
      </c>
      <c r="DG120" s="230"/>
      <c r="DH120">
        <f>'WTG Reactive Power'!AB118</f>
        <v>0</v>
      </c>
    </row>
    <row r="121" spans="1:112">
      <c r="A121" s="210">
        <f>YEAR(RD[[#This Row],[Date]])+IF(MONTH(RD[[#This Row],[Date]])&gt;=4,1,0)</f>
        <v>2026</v>
      </c>
      <c r="B121" s="210">
        <f>YEAR(RD[[#This Row],[Date]])</f>
        <v>2025</v>
      </c>
      <c r="C121" s="211">
        <f t="shared" si="94"/>
        <v>45839</v>
      </c>
      <c r="D121" s="210">
        <f>DAY(EOMONTH(RD[[#This Row],[Date]],0))</f>
        <v>31</v>
      </c>
      <c r="E121" s="212">
        <f t="shared" si="95"/>
        <v>45861</v>
      </c>
      <c r="F121" s="206"/>
      <c r="G121" s="206"/>
      <c r="H121" s="213"/>
      <c r="I121" s="213"/>
      <c r="J121" s="213"/>
      <c r="K121" s="213"/>
      <c r="L121" s="213"/>
      <c r="M121" s="213"/>
      <c r="N121" s="213"/>
      <c r="O121" s="213"/>
      <c r="P121" s="213"/>
      <c r="Q121" s="213"/>
      <c r="R121" s="213"/>
      <c r="S121" s="213"/>
      <c r="T121" s="213"/>
      <c r="U121" s="213"/>
      <c r="V121" s="213"/>
      <c r="W121" s="213"/>
      <c r="X121" s="213"/>
      <c r="Y121" s="213"/>
      <c r="Z121" s="213"/>
      <c r="AA121" s="213"/>
      <c r="AB121" s="213"/>
      <c r="AC121" s="213"/>
      <c r="AD121" s="213"/>
      <c r="AE121" s="350"/>
      <c r="AF121" s="350"/>
      <c r="AG121" s="350"/>
      <c r="AH121" s="350"/>
      <c r="AI121" s="350"/>
      <c r="AJ121" s="350"/>
      <c r="AK121" s="350"/>
      <c r="AL121" s="350"/>
      <c r="AM121" s="350"/>
      <c r="AN121" s="350"/>
      <c r="AO121" s="350"/>
      <c r="AP121" s="350"/>
      <c r="AQ121" s="350"/>
      <c r="AR121" s="350"/>
      <c r="AS121" s="350"/>
      <c r="AT121" s="350"/>
      <c r="AU121" s="350"/>
      <c r="AV121" s="350"/>
      <c r="AW121" s="350"/>
      <c r="AX121" s="350"/>
      <c r="AY121" s="350"/>
      <c r="AZ121" s="350"/>
      <c r="BA121" s="350"/>
      <c r="BB121" s="214">
        <f t="shared" si="96"/>
        <v>0</v>
      </c>
      <c r="BC121" s="216">
        <f t="shared" si="97"/>
        <v>0</v>
      </c>
      <c r="BD121" s="180">
        <f t="shared" si="92"/>
        <v>0</v>
      </c>
      <c r="BE121" s="216">
        <f t="shared" si="98"/>
        <v>0</v>
      </c>
      <c r="BF121" s="179">
        <f t="shared" si="93"/>
        <v>0</v>
      </c>
      <c r="BG121" s="216">
        <f>SUM(RD[[#This Row],[KUD01]:[KUD23]])</f>
        <v>0</v>
      </c>
      <c r="BH121" s="217" t="str">
        <f t="shared" si="99"/>
        <v/>
      </c>
      <c r="BI121" s="219" t="str">
        <f t="shared" si="100"/>
        <v/>
      </c>
      <c r="BJ121" s="219" t="str">
        <f t="shared" si="101"/>
        <v/>
      </c>
      <c r="BK121" s="221">
        <f t="shared" si="104"/>
        <v>0</v>
      </c>
      <c r="BL121" s="61" t="str">
        <f>IFERROR(AVERAGEIF(RD[[#This Row],[WS_KUD07]:[WS_KUD08]],"&lt;&gt;0",RD[[#This Row],[WS_KUD07]:[WS_KUD08]]),"")</f>
        <v/>
      </c>
      <c r="BM121" s="223" t="str">
        <f>IFERROR(AVERAGE(RD[[#This Row],[WS_KUD01]:[WS_KUD23]]),"")</f>
        <v/>
      </c>
      <c r="BN121" s="224">
        <f>IFERROR(MAX(RD[[#This Row],[WS_KUD01]:[WS_KUD23]]),"")</f>
        <v>0</v>
      </c>
      <c r="BO121" s="172"/>
      <c r="BP121" s="349"/>
      <c r="BQ121" s="349"/>
      <c r="BR121" s="349"/>
      <c r="BS121" s="349"/>
      <c r="BT121" s="349"/>
      <c r="BU121" s="349"/>
      <c r="BV121" s="349"/>
      <c r="BW121" s="172"/>
      <c r="BX121" s="172"/>
      <c r="BY121" s="349"/>
      <c r="BZ121" s="349"/>
      <c r="CA121" s="349"/>
      <c r="CB121" s="349"/>
      <c r="CC121" s="349"/>
      <c r="CD121" s="172"/>
      <c r="CE121" s="349"/>
      <c r="CF121" s="360" t="str">
        <f>IF((RD[[#This Row],[33 kV_Wind_F1_Export reading]]-BO120)*165000&lt;=0,"",(RD[[#This Row],[33 kV_Wind_F1_Export reading]]-BO120)*165000)</f>
        <v/>
      </c>
      <c r="CG121" s="227" t="str">
        <f>IF((RD[[#This Row],[33 kV_Wind_F2_Export_reading]]-BP120)*165000&lt;=0,"",(RD[[#This Row],[33 kV_Wind_F2_Export_reading]]-BP120)*165000)</f>
        <v/>
      </c>
      <c r="CH121" s="64" t="str">
        <f>IF((RD[[#This Row],[33 kV_Wind_F3_Export_Reading]]-BQ120)*225000&lt;=0,"",(RD[[#This Row],[33 kV_Wind_F3_Export_Reading]]-BQ120)*225000)</f>
        <v/>
      </c>
      <c r="CI121" s="64" t="str">
        <f>IF((RD[[#This Row],[33 kV_Wind_F4_Export Reading]]-BR120)*165000&lt;=0,"",(RD[[#This Row],[33 kV_Wind_F4_Export Reading]]-BR120)*165000)</f>
        <v/>
      </c>
      <c r="CJ121" s="209" t="str">
        <f>IF((RD[[#This Row],[33 kV_Solar_F1_Export Reading]]-BS120)*225000&lt;=0,"",(RD[[#This Row],[33 kV_Solar_F1_Export Reading]]-BS120)*225000)</f>
        <v/>
      </c>
      <c r="CK121" s="74" t="str">
        <f>IF((RD[[#This Row],[33kV_Solar_F2_Export Reading]]-BT120)*225000&lt;=0,"",(RD[[#This Row],[33kV_Solar_F2_Export Reading]]-BT120)*225000)</f>
        <v/>
      </c>
      <c r="CL121" s="209" t="str">
        <f>IF((RD[[#This Row],[33 kV_Solar_F3_Export reading]]-BU120)*225000&lt;=0,"",(RD[[#This Row],[33 kV_Solar_F3_Export reading]]-BU120)*225000)</f>
        <v/>
      </c>
      <c r="CM121" s="63" t="str">
        <f>IF((RD[[#This Row],[32kV_Solar_F4_Export reading]]-BV120)*225000&lt;=0,"",(RD[[#This Row],[32kV_Solar_F4_Export reading]]-BV120)*225000)</f>
        <v/>
      </c>
      <c r="CN121" s="227">
        <f>IF((RD[[#This Row],[33kV_OG1_Export reading]]-BW120)*1000&lt;=0,0,(RD[[#This Row],[33kV_OG1_Export reading]]-BW120)*1000)</f>
        <v>0</v>
      </c>
      <c r="CO121" s="227">
        <f>IFERROR(IF((RD[[#This Row],[33kV_OG2_Export reading]]-BX120)*1000&lt;=0,0,(RD[[#This Row],[33kV_OG2_Export reading]]-BX120)*1000),0)</f>
        <v>0</v>
      </c>
      <c r="CP121" s="74">
        <f>IF((RD[[#This Row],[220kV_TX1_Export reading]]-BY120)*800000&lt;=0,0,(RD[[#This Row],[220kV_TX1_Export reading]]-BY120)*800000)</f>
        <v>0</v>
      </c>
      <c r="CQ121" s="209">
        <f>IF((RD[[#This Row],[220kV_Tx2_Export reading]]-BZ120)*800000&lt;=0,0,(RD[[#This Row],[220kV_Tx2_Export reading]]-BZ120)*800000)</f>
        <v>0</v>
      </c>
      <c r="CR121" s="227">
        <f>IF((RD[[#This Row],[220kV_TL_TVM Export Reading]]-CA120)*1600000&lt;=0,0,(RD[[#This Row],[220kV_TL_TVM Export Reading]]-CA120)*1600000)</f>
        <v>0</v>
      </c>
      <c r="CS121" s="227" t="str">
        <f>IF((RD[[#This Row],[220kV_C&amp;R_PQM reading]]-CB120)*1600000&lt;=0,"",(RD[[#This Row],[220kV_C&amp;R_PQM reading]]-CB120)*1600000)</f>
        <v/>
      </c>
      <c r="CT121" s="209">
        <f>IFERROR(IF((RD[[#This Row],[220KV_C&amp;R_PQM Import Reading]]-CC120)*1600000&lt;=0,0,(RD[[#This Row],[220KV_C&amp;R_PQM Import Reading]]-CC120)*1600000),"")</f>
        <v>0</v>
      </c>
      <c r="CU121" s="64" t="str">
        <f>IF((RD[[#This Row],[33kV_Aux1 Import Reading]]-CD120)*1000&lt;=0,"",(RD[[#This Row],[33kV_Aux1 Import Reading]]-CD120)*1000)</f>
        <v/>
      </c>
      <c r="CV121" s="227" t="str">
        <f>IF((RD[[#This Row],[33kV_Aux2_Import reading]]-CE120)*1000&lt;=0,"",(RD[[#This Row],[33kV_Aux2_Import reading]]-CE120)*1000)</f>
        <v/>
      </c>
      <c r="CW121" s="227">
        <f>IFERROR(RD[[#This Row],[33kV_OG1_Energy (MWh)]]+RD[[#This Row],[33kV_OG2_Energy (MWh)]],"")</f>
        <v>0</v>
      </c>
      <c r="CX121" s="227">
        <f>IFERROR(RD[[#This Row],[220kV_TL_TVM Energy (MWh)]]-RD[[#This Row],[220KV_C&amp;R_PQM Import (MWh)]],"")</f>
        <v>0</v>
      </c>
      <c r="CY121" s="228" t="str">
        <f>IFERROR(RD[[#This Row],[33 kV Total Export (MWH)]]/RD[[#This Row],[220 KV Net Export (MWh)]]-1,"")</f>
        <v/>
      </c>
      <c r="CZ121" s="229">
        <f t="shared" si="102"/>
        <v>50.6</v>
      </c>
      <c r="DA121" s="230"/>
      <c r="DB121" s="231"/>
      <c r="DC121" s="232">
        <f>IFERROR((RD[[#This Row],[Sunset Time (POA&lt;20 W/m2)]]-RD[[#This Row],[Sunrise Time (POA&gt;20 W/m2)]])*24,0)</f>
        <v>0</v>
      </c>
      <c r="DD121" s="70">
        <f>SUM(RD[[#This Row],[33 kV_Wind_F3_Export_Reading3]],CJ121,CK121,CL121,CM121)</f>
        <v>0</v>
      </c>
      <c r="DE121" s="233"/>
      <c r="DF121" s="70">
        <f t="shared" si="103"/>
        <v>0</v>
      </c>
      <c r="DG121" s="230"/>
      <c r="DH121">
        <f>'WTG Reactive Power'!AB119</f>
        <v>0</v>
      </c>
    </row>
    <row r="122" spans="1:112">
      <c r="A122" s="210">
        <f>YEAR(RD[[#This Row],[Date]])+IF(MONTH(RD[[#This Row],[Date]])&gt;=4,1,0)</f>
        <v>2026</v>
      </c>
      <c r="B122" s="210">
        <f>YEAR(RD[[#This Row],[Date]])</f>
        <v>2025</v>
      </c>
      <c r="C122" s="211">
        <f t="shared" ref="C122:C157" si="105">E122-DAY(E122)+1</f>
        <v>45839</v>
      </c>
      <c r="D122" s="210">
        <f>DAY(EOMONTH(RD[[#This Row],[Date]],0))</f>
        <v>31</v>
      </c>
      <c r="E122" s="212">
        <f t="shared" ref="E122:E157" si="106">E121+1</f>
        <v>45862</v>
      </c>
      <c r="F122" s="206"/>
      <c r="G122" s="206"/>
      <c r="H122" s="213"/>
      <c r="I122" s="213"/>
      <c r="J122" s="213"/>
      <c r="K122" s="213"/>
      <c r="L122" s="213"/>
      <c r="M122" s="213"/>
      <c r="N122" s="213"/>
      <c r="O122" s="213"/>
      <c r="P122" s="213"/>
      <c r="Q122" s="213"/>
      <c r="R122" s="213"/>
      <c r="S122" s="213"/>
      <c r="T122" s="213"/>
      <c r="U122" s="213"/>
      <c r="V122" s="213"/>
      <c r="W122" s="213"/>
      <c r="X122" s="213"/>
      <c r="Y122" s="213"/>
      <c r="Z122" s="213"/>
      <c r="AA122" s="213"/>
      <c r="AB122" s="213"/>
      <c r="AC122" s="213"/>
      <c r="AD122" s="213"/>
      <c r="AE122" s="350"/>
      <c r="AF122" s="350"/>
      <c r="AG122" s="350"/>
      <c r="AH122" s="350"/>
      <c r="AI122" s="350"/>
      <c r="AJ122" s="350"/>
      <c r="AK122" s="350"/>
      <c r="AL122" s="350"/>
      <c r="AM122" s="350"/>
      <c r="AN122" s="350"/>
      <c r="AO122" s="350"/>
      <c r="AP122" s="350"/>
      <c r="AQ122" s="350"/>
      <c r="AR122" s="350"/>
      <c r="AS122" s="350"/>
      <c r="AT122" s="350"/>
      <c r="AU122" s="350"/>
      <c r="AV122" s="350"/>
      <c r="AW122" s="350"/>
      <c r="AX122" s="350"/>
      <c r="AY122" s="350"/>
      <c r="AZ122" s="350"/>
      <c r="BA122" s="350"/>
      <c r="BB122" s="214">
        <f t="shared" ref="BB122:BB157" si="107">SUM($H122,$J122,$Q122:$V122,$Z122:$AA122)</f>
        <v>0</v>
      </c>
      <c r="BC122" s="216">
        <f t="shared" ref="BC122:BC157" si="108">SUM($W122:$X122)</f>
        <v>0</v>
      </c>
      <c r="BD122" s="180">
        <f t="shared" si="92"/>
        <v>0</v>
      </c>
      <c r="BE122" s="216">
        <f t="shared" ref="BE122:BE157" si="109">Y122</f>
        <v>0</v>
      </c>
      <c r="BF122" s="179">
        <f t="shared" si="93"/>
        <v>0</v>
      </c>
      <c r="BG122" s="216">
        <f>SUM(RD[[#This Row],[KUD01]:[KUD23]])</f>
        <v>0</v>
      </c>
      <c r="BH122" s="217" t="str">
        <f t="shared" ref="BH122:BH157" si="110">IFERROR(AVERAGE(AE122,AG122,AN122:AS122,AW122:AX122),"")</f>
        <v/>
      </c>
      <c r="BI122" s="219" t="str">
        <f t="shared" ref="BI122:BI157" si="111">IFERROR(AVERAGE(AT122,AU122),"")</f>
        <v/>
      </c>
      <c r="BJ122" s="219" t="str">
        <f t="shared" ref="BJ122:BJ157" si="112">IFERROR(AVERAGE(AF122,AH122:AM122,AY122:BA122),"")</f>
        <v/>
      </c>
      <c r="BK122" s="221">
        <f t="shared" ref="BK122:BK157" si="113">AV122</f>
        <v>0</v>
      </c>
      <c r="BL122" s="61" t="str">
        <f>IFERROR(AVERAGEIF(RD[[#This Row],[WS_KUD07]:[WS_KUD08]],"&lt;&gt;0",RD[[#This Row],[WS_KUD07]:[WS_KUD08]]),"")</f>
        <v/>
      </c>
      <c r="BM122" s="223" t="str">
        <f>IFERROR(AVERAGE(RD[[#This Row],[WS_KUD01]:[WS_KUD23]]),"")</f>
        <v/>
      </c>
      <c r="BN122" s="224">
        <f>IFERROR(MAX(RD[[#This Row],[WS_KUD01]:[WS_KUD23]]),"")</f>
        <v>0</v>
      </c>
      <c r="BO122" s="172"/>
      <c r="BP122" s="349"/>
      <c r="BQ122" s="349"/>
      <c r="BR122" s="349"/>
      <c r="BS122" s="349"/>
      <c r="BT122" s="349"/>
      <c r="BU122" s="349"/>
      <c r="BV122" s="349"/>
      <c r="BW122" s="172"/>
      <c r="BX122" s="172"/>
      <c r="BY122" s="349"/>
      <c r="BZ122" s="349"/>
      <c r="CA122" s="349"/>
      <c r="CB122" s="349"/>
      <c r="CC122" s="349"/>
      <c r="CD122" s="172"/>
      <c r="CE122" s="349"/>
      <c r="CF122" s="360" t="str">
        <f>IF((RD[[#This Row],[33 kV_Wind_F1_Export reading]]-BO121)*165000&lt;=0,"",(RD[[#This Row],[33 kV_Wind_F1_Export reading]]-BO121)*165000)</f>
        <v/>
      </c>
      <c r="CG122" s="227" t="str">
        <f>IF((RD[[#This Row],[33 kV_Wind_F2_Export_reading]]-BP121)*165000&lt;=0,"",(RD[[#This Row],[33 kV_Wind_F2_Export_reading]]-BP121)*165000)</f>
        <v/>
      </c>
      <c r="CH122" s="64" t="str">
        <f>IF((RD[[#This Row],[33 kV_Wind_F3_Export_Reading]]-BQ121)*225000&lt;=0,"",(RD[[#This Row],[33 kV_Wind_F3_Export_Reading]]-BQ121)*225000)</f>
        <v/>
      </c>
      <c r="CI122" s="64" t="str">
        <f>IF((RD[[#This Row],[33 kV_Wind_F4_Export Reading]]-BR121)*165000&lt;=0,"",(RD[[#This Row],[33 kV_Wind_F4_Export Reading]]-BR121)*165000)</f>
        <v/>
      </c>
      <c r="CJ122" s="209" t="str">
        <f>IF((RD[[#This Row],[33 kV_Solar_F1_Export Reading]]-BS121)*225000&lt;=0,"",(RD[[#This Row],[33 kV_Solar_F1_Export Reading]]-BS121)*225000)</f>
        <v/>
      </c>
      <c r="CK122" s="74" t="str">
        <f>IF((RD[[#This Row],[33kV_Solar_F2_Export Reading]]-BT121)*225000&lt;=0,"",(RD[[#This Row],[33kV_Solar_F2_Export Reading]]-BT121)*225000)</f>
        <v/>
      </c>
      <c r="CL122" s="209" t="str">
        <f>IF((RD[[#This Row],[33 kV_Solar_F3_Export reading]]-BU121)*225000&lt;=0,"",(RD[[#This Row],[33 kV_Solar_F3_Export reading]]-BU121)*225000)</f>
        <v/>
      </c>
      <c r="CM122" s="63" t="str">
        <f>IF((RD[[#This Row],[32kV_Solar_F4_Export reading]]-BV121)*225000&lt;=0,"",(RD[[#This Row],[32kV_Solar_F4_Export reading]]-BV121)*225000)</f>
        <v/>
      </c>
      <c r="CN122" s="227">
        <f>IF((RD[[#This Row],[33kV_OG1_Export reading]]-BW121)*1000&lt;=0,0,(RD[[#This Row],[33kV_OG1_Export reading]]-BW121)*1000)</f>
        <v>0</v>
      </c>
      <c r="CO122" s="227">
        <f>IFERROR(IF((RD[[#This Row],[33kV_OG2_Export reading]]-BX121)*1000&lt;=0,0,(RD[[#This Row],[33kV_OG2_Export reading]]-BX121)*1000),0)</f>
        <v>0</v>
      </c>
      <c r="CP122" s="74">
        <f>IF((RD[[#This Row],[220kV_TX1_Export reading]]-BY121)*800000&lt;=0,0,(RD[[#This Row],[220kV_TX1_Export reading]]-BY121)*800000)</f>
        <v>0</v>
      </c>
      <c r="CQ122" s="209">
        <f>IF((RD[[#This Row],[220kV_Tx2_Export reading]]-BZ121)*800000&lt;=0,0,(RD[[#This Row],[220kV_Tx2_Export reading]]-BZ121)*800000)</f>
        <v>0</v>
      </c>
      <c r="CR122" s="227">
        <f>IF((RD[[#This Row],[220kV_TL_TVM Export Reading]]-CA121)*1600000&lt;=0,0,(RD[[#This Row],[220kV_TL_TVM Export Reading]]-CA121)*1600000)</f>
        <v>0</v>
      </c>
      <c r="CS122" s="227" t="str">
        <f>IF((RD[[#This Row],[220kV_C&amp;R_PQM reading]]-CB121)*1600000&lt;=0,"",(RD[[#This Row],[220kV_C&amp;R_PQM reading]]-CB121)*1600000)</f>
        <v/>
      </c>
      <c r="CT122" s="209">
        <f>IFERROR(IF((RD[[#This Row],[220KV_C&amp;R_PQM Import Reading]]-CC121)*1600000&lt;=0,0,(RD[[#This Row],[220KV_C&amp;R_PQM Import Reading]]-CC121)*1600000),"")</f>
        <v>0</v>
      </c>
      <c r="CU122" s="64" t="str">
        <f>IF((RD[[#This Row],[33kV_Aux1 Import Reading]]-CD121)*1000&lt;=0,"",(RD[[#This Row],[33kV_Aux1 Import Reading]]-CD121)*1000)</f>
        <v/>
      </c>
      <c r="CV122" s="227" t="str">
        <f>IF((RD[[#This Row],[33kV_Aux2_Import reading]]-CE121)*1000&lt;=0,"",(RD[[#This Row],[33kV_Aux2_Import reading]]-CE121)*1000)</f>
        <v/>
      </c>
      <c r="CW122" s="227">
        <f>IFERROR(RD[[#This Row],[33kV_OG1_Energy (MWh)]]+RD[[#This Row],[33kV_OG2_Energy (MWh)]],"")</f>
        <v>0</v>
      </c>
      <c r="CX122" s="227">
        <f>IFERROR(RD[[#This Row],[220kV_TL_TVM Energy (MWh)]]-RD[[#This Row],[220KV_C&amp;R_PQM Import (MWh)]],"")</f>
        <v>0</v>
      </c>
      <c r="CY122" s="228" t="str">
        <f>IFERROR(RD[[#This Row],[33 kV Total Export (MWH)]]/RD[[#This Row],[220 KV Net Export (MWh)]]-1,"")</f>
        <v/>
      </c>
      <c r="CZ122" s="229">
        <f t="shared" ref="CZ122:CZ157" si="114">23*2.2</f>
        <v>50.6</v>
      </c>
      <c r="DA122" s="230"/>
      <c r="DB122" s="231"/>
      <c r="DC122" s="232">
        <f>IFERROR((RD[[#This Row],[Sunset Time (POA&lt;20 W/m2)]]-RD[[#This Row],[Sunrise Time (POA&gt;20 W/m2)]])*24,0)</f>
        <v>0</v>
      </c>
      <c r="DD122" s="70">
        <f>SUM(RD[[#This Row],[33 kV_Wind_F3_Export_Reading3]],CJ122,CK122,CL122,CM122)</f>
        <v>0</v>
      </c>
      <c r="DE122" s="233"/>
      <c r="DF122" s="70">
        <f t="shared" si="103"/>
        <v>0</v>
      </c>
      <c r="DG122" s="230"/>
      <c r="DH122">
        <f>'WTG Reactive Power'!AB120</f>
        <v>0</v>
      </c>
    </row>
    <row r="123" spans="1:112">
      <c r="A123" s="210">
        <f>YEAR(RD[[#This Row],[Date]])+IF(MONTH(RD[[#This Row],[Date]])&gt;=4,1,0)</f>
        <v>2026</v>
      </c>
      <c r="B123" s="210">
        <f>YEAR(RD[[#This Row],[Date]])</f>
        <v>2025</v>
      </c>
      <c r="C123" s="211">
        <f t="shared" si="105"/>
        <v>45839</v>
      </c>
      <c r="D123" s="210">
        <f>DAY(EOMONTH(RD[[#This Row],[Date]],0))</f>
        <v>31</v>
      </c>
      <c r="E123" s="212">
        <f t="shared" si="106"/>
        <v>45863</v>
      </c>
      <c r="F123" s="206"/>
      <c r="G123" s="206"/>
      <c r="H123" s="213"/>
      <c r="I123" s="213"/>
      <c r="J123" s="213"/>
      <c r="K123" s="213"/>
      <c r="L123" s="213"/>
      <c r="M123" s="213"/>
      <c r="N123" s="213"/>
      <c r="O123" s="213"/>
      <c r="P123" s="213"/>
      <c r="Q123" s="213"/>
      <c r="R123" s="213"/>
      <c r="S123" s="213"/>
      <c r="T123" s="213"/>
      <c r="U123" s="213"/>
      <c r="V123" s="213"/>
      <c r="W123" s="213"/>
      <c r="X123" s="213"/>
      <c r="Y123" s="213"/>
      <c r="Z123" s="213"/>
      <c r="AA123" s="213"/>
      <c r="AB123" s="213"/>
      <c r="AC123" s="213"/>
      <c r="AD123" s="213"/>
      <c r="AE123" s="350"/>
      <c r="AF123" s="350"/>
      <c r="AG123" s="350"/>
      <c r="AH123" s="350"/>
      <c r="AI123" s="350"/>
      <c r="AJ123" s="350"/>
      <c r="AK123" s="350"/>
      <c r="AL123" s="350"/>
      <c r="AM123" s="350"/>
      <c r="AN123" s="350"/>
      <c r="AO123" s="350"/>
      <c r="AP123" s="350"/>
      <c r="AQ123" s="350"/>
      <c r="AR123" s="350"/>
      <c r="AS123" s="350"/>
      <c r="AT123" s="350"/>
      <c r="AU123" s="350"/>
      <c r="AV123" s="350"/>
      <c r="AW123" s="350"/>
      <c r="AX123" s="350"/>
      <c r="AY123" s="350"/>
      <c r="AZ123" s="350"/>
      <c r="BA123" s="350"/>
      <c r="BB123" s="214">
        <f t="shared" si="107"/>
        <v>0</v>
      </c>
      <c r="BC123" s="216">
        <f t="shared" si="108"/>
        <v>0</v>
      </c>
      <c r="BD123" s="180">
        <f t="shared" si="92"/>
        <v>0</v>
      </c>
      <c r="BE123" s="216">
        <f t="shared" si="109"/>
        <v>0</v>
      </c>
      <c r="BF123" s="179">
        <f t="shared" si="93"/>
        <v>0</v>
      </c>
      <c r="BG123" s="216">
        <f>SUM(RD[[#This Row],[KUD01]:[KUD23]])</f>
        <v>0</v>
      </c>
      <c r="BH123" s="217" t="str">
        <f t="shared" si="110"/>
        <v/>
      </c>
      <c r="BI123" s="219" t="str">
        <f t="shared" si="111"/>
        <v/>
      </c>
      <c r="BJ123" s="219" t="str">
        <f t="shared" si="112"/>
        <v/>
      </c>
      <c r="BK123" s="221">
        <f t="shared" si="113"/>
        <v>0</v>
      </c>
      <c r="BL123" s="61" t="str">
        <f>IFERROR(AVERAGEIF(RD[[#This Row],[WS_KUD07]:[WS_KUD08]],"&lt;&gt;0",RD[[#This Row],[WS_KUD07]:[WS_KUD08]]),"")</f>
        <v/>
      </c>
      <c r="BM123" s="223" t="str">
        <f>IFERROR(AVERAGE(RD[[#This Row],[WS_KUD01]:[WS_KUD23]]),"")</f>
        <v/>
      </c>
      <c r="BN123" s="224">
        <f>IFERROR(MAX(RD[[#This Row],[WS_KUD01]:[WS_KUD23]]),"")</f>
        <v>0</v>
      </c>
      <c r="BO123" s="172"/>
      <c r="BP123" s="349"/>
      <c r="BQ123" s="349"/>
      <c r="BR123" s="349"/>
      <c r="BS123" s="349"/>
      <c r="BT123" s="349"/>
      <c r="BU123" s="349"/>
      <c r="BV123" s="349"/>
      <c r="BW123" s="172"/>
      <c r="BX123" s="172"/>
      <c r="BY123" s="349"/>
      <c r="BZ123" s="349"/>
      <c r="CA123" s="349"/>
      <c r="CB123" s="349"/>
      <c r="CC123" s="349"/>
      <c r="CD123" s="172"/>
      <c r="CE123" s="349"/>
      <c r="CF123" s="360" t="str">
        <f>IF((RD[[#This Row],[33 kV_Wind_F1_Export reading]]-BO122)*165000&lt;=0,"",(RD[[#This Row],[33 kV_Wind_F1_Export reading]]-BO122)*165000)</f>
        <v/>
      </c>
      <c r="CG123" s="227" t="str">
        <f>IF((RD[[#This Row],[33 kV_Wind_F2_Export_reading]]-BP122)*165000&lt;=0,"",(RD[[#This Row],[33 kV_Wind_F2_Export_reading]]-BP122)*165000)</f>
        <v/>
      </c>
      <c r="CH123" s="64" t="str">
        <f>IF((RD[[#This Row],[33 kV_Wind_F3_Export_Reading]]-BQ122)*225000&lt;=0,"",(RD[[#This Row],[33 kV_Wind_F3_Export_Reading]]-BQ122)*225000)</f>
        <v/>
      </c>
      <c r="CI123" s="64" t="str">
        <f>IF((RD[[#This Row],[33 kV_Wind_F4_Export Reading]]-BR122)*165000&lt;=0,"",(RD[[#This Row],[33 kV_Wind_F4_Export Reading]]-BR122)*165000)</f>
        <v/>
      </c>
      <c r="CJ123" s="209" t="str">
        <f>IF((RD[[#This Row],[33 kV_Solar_F1_Export Reading]]-BS122)*225000&lt;=0,"",(RD[[#This Row],[33 kV_Solar_F1_Export Reading]]-BS122)*225000)</f>
        <v/>
      </c>
      <c r="CK123" s="74" t="str">
        <f>IF((RD[[#This Row],[33kV_Solar_F2_Export Reading]]-BT122)*225000&lt;=0,"",(RD[[#This Row],[33kV_Solar_F2_Export Reading]]-BT122)*225000)</f>
        <v/>
      </c>
      <c r="CL123" s="209" t="str">
        <f>IF((RD[[#This Row],[33 kV_Solar_F3_Export reading]]-BU122)*225000&lt;=0,"",(RD[[#This Row],[33 kV_Solar_F3_Export reading]]-BU122)*225000)</f>
        <v/>
      </c>
      <c r="CM123" s="63" t="str">
        <f>IF((RD[[#This Row],[32kV_Solar_F4_Export reading]]-BV122)*225000&lt;=0,"",(RD[[#This Row],[32kV_Solar_F4_Export reading]]-BV122)*225000)</f>
        <v/>
      </c>
      <c r="CN123" s="227">
        <f>IF((RD[[#This Row],[33kV_OG1_Export reading]]-BW122)*1000&lt;=0,0,(RD[[#This Row],[33kV_OG1_Export reading]]-BW122)*1000)</f>
        <v>0</v>
      </c>
      <c r="CO123" s="227">
        <f>IFERROR(IF((RD[[#This Row],[33kV_OG2_Export reading]]-BX122)*1000&lt;=0,0,(RD[[#This Row],[33kV_OG2_Export reading]]-BX122)*1000),0)</f>
        <v>0</v>
      </c>
      <c r="CP123" s="74">
        <f>IF((RD[[#This Row],[220kV_TX1_Export reading]]-BY122)*800000&lt;=0,0,(RD[[#This Row],[220kV_TX1_Export reading]]-BY122)*800000)</f>
        <v>0</v>
      </c>
      <c r="CQ123" s="209">
        <f>IF((RD[[#This Row],[220kV_Tx2_Export reading]]-BZ122)*800000&lt;=0,0,(RD[[#This Row],[220kV_Tx2_Export reading]]-BZ122)*800000)</f>
        <v>0</v>
      </c>
      <c r="CR123" s="227">
        <f>IF((RD[[#This Row],[220kV_TL_TVM Export Reading]]-CA122)*1600000&lt;=0,0,(RD[[#This Row],[220kV_TL_TVM Export Reading]]-CA122)*1600000)</f>
        <v>0</v>
      </c>
      <c r="CS123" s="227" t="str">
        <f>IF((RD[[#This Row],[220kV_C&amp;R_PQM reading]]-CB122)*1600000&lt;=0,"",(RD[[#This Row],[220kV_C&amp;R_PQM reading]]-CB122)*1600000)</f>
        <v/>
      </c>
      <c r="CT123" s="209">
        <f>IFERROR(IF((RD[[#This Row],[220KV_C&amp;R_PQM Import Reading]]-CC122)*1600000&lt;=0,0,(RD[[#This Row],[220KV_C&amp;R_PQM Import Reading]]-CC122)*1600000),"")</f>
        <v>0</v>
      </c>
      <c r="CU123" s="64" t="str">
        <f>IF((RD[[#This Row],[33kV_Aux1 Import Reading]]-CD122)*1000&lt;=0,"",(RD[[#This Row],[33kV_Aux1 Import Reading]]-CD122)*1000)</f>
        <v/>
      </c>
      <c r="CV123" s="227" t="str">
        <f>IF((RD[[#This Row],[33kV_Aux2_Import reading]]-CE122)*1000&lt;=0,"",(RD[[#This Row],[33kV_Aux2_Import reading]]-CE122)*1000)</f>
        <v/>
      </c>
      <c r="CW123" s="227">
        <f>IFERROR(RD[[#This Row],[33kV_OG1_Energy (MWh)]]+RD[[#This Row],[33kV_OG2_Energy (MWh)]],"")</f>
        <v>0</v>
      </c>
      <c r="CX123" s="227">
        <f>IFERROR(RD[[#This Row],[220kV_TL_TVM Energy (MWh)]]-RD[[#This Row],[220KV_C&amp;R_PQM Import (MWh)]],"")</f>
        <v>0</v>
      </c>
      <c r="CY123" s="228" t="str">
        <f>IFERROR(RD[[#This Row],[33 kV Total Export (MWH)]]/RD[[#This Row],[220 KV Net Export (MWh)]]-1,"")</f>
        <v/>
      </c>
      <c r="CZ123" s="229">
        <f t="shared" si="114"/>
        <v>50.6</v>
      </c>
      <c r="DA123" s="230"/>
      <c r="DB123" s="231"/>
      <c r="DC123" s="232">
        <f>IFERROR((RD[[#This Row],[Sunset Time (POA&lt;20 W/m2)]]-RD[[#This Row],[Sunrise Time (POA&gt;20 W/m2)]])*24,0)</f>
        <v>0</v>
      </c>
      <c r="DD123" s="70">
        <f>SUM(RD[[#This Row],[33 kV_Wind_F3_Export_Reading3]],CJ123,CK123,CL123,CM123)</f>
        <v>0</v>
      </c>
      <c r="DE123" s="233"/>
      <c r="DF123" s="70">
        <f t="shared" si="103"/>
        <v>0</v>
      </c>
      <c r="DG123" s="230"/>
      <c r="DH123">
        <f>'WTG Reactive Power'!AB121</f>
        <v>0</v>
      </c>
    </row>
    <row r="124" spans="1:112">
      <c r="A124" s="210">
        <f>YEAR(RD[[#This Row],[Date]])+IF(MONTH(RD[[#This Row],[Date]])&gt;=4,1,0)</f>
        <v>2026</v>
      </c>
      <c r="B124" s="210">
        <f>YEAR(RD[[#This Row],[Date]])</f>
        <v>2025</v>
      </c>
      <c r="C124" s="211">
        <f t="shared" si="105"/>
        <v>45839</v>
      </c>
      <c r="D124" s="210">
        <f>DAY(EOMONTH(RD[[#This Row],[Date]],0))</f>
        <v>31</v>
      </c>
      <c r="E124" s="212">
        <f t="shared" si="106"/>
        <v>45864</v>
      </c>
      <c r="F124" s="206"/>
      <c r="G124" s="206"/>
      <c r="H124" s="213"/>
      <c r="I124" s="213"/>
      <c r="J124" s="213"/>
      <c r="K124" s="213"/>
      <c r="L124" s="213"/>
      <c r="M124" s="213"/>
      <c r="N124" s="213"/>
      <c r="O124" s="213"/>
      <c r="P124" s="213"/>
      <c r="Q124" s="213"/>
      <c r="R124" s="213"/>
      <c r="S124" s="213"/>
      <c r="T124" s="213"/>
      <c r="U124" s="213"/>
      <c r="V124" s="213"/>
      <c r="W124" s="213"/>
      <c r="X124" s="213"/>
      <c r="Y124" s="213"/>
      <c r="Z124" s="213"/>
      <c r="AA124" s="213"/>
      <c r="AB124" s="213"/>
      <c r="AC124" s="213"/>
      <c r="AD124" s="213"/>
      <c r="AE124" s="350"/>
      <c r="AF124" s="350"/>
      <c r="AG124" s="350"/>
      <c r="AH124" s="350"/>
      <c r="AI124" s="350"/>
      <c r="AJ124" s="350"/>
      <c r="AK124" s="350"/>
      <c r="AL124" s="350"/>
      <c r="AM124" s="350"/>
      <c r="AN124" s="350"/>
      <c r="AO124" s="350"/>
      <c r="AP124" s="350"/>
      <c r="AQ124" s="350"/>
      <c r="AR124" s="350"/>
      <c r="AS124" s="350"/>
      <c r="AT124" s="350"/>
      <c r="AU124" s="350"/>
      <c r="AV124" s="350"/>
      <c r="AW124" s="350"/>
      <c r="AX124" s="350"/>
      <c r="AY124" s="350"/>
      <c r="AZ124" s="350"/>
      <c r="BA124" s="350"/>
      <c r="BB124" s="214">
        <f t="shared" si="107"/>
        <v>0</v>
      </c>
      <c r="BC124" s="216">
        <f t="shared" si="108"/>
        <v>0</v>
      </c>
      <c r="BD124" s="180">
        <f t="shared" si="92"/>
        <v>0</v>
      </c>
      <c r="BE124" s="216">
        <f t="shared" si="109"/>
        <v>0</v>
      </c>
      <c r="BF124" s="179">
        <f t="shared" si="93"/>
        <v>0</v>
      </c>
      <c r="BG124" s="216">
        <f>SUM(RD[[#This Row],[KUD01]:[KUD23]])</f>
        <v>0</v>
      </c>
      <c r="BH124" s="217" t="str">
        <f t="shared" si="110"/>
        <v/>
      </c>
      <c r="BI124" s="219" t="str">
        <f t="shared" si="111"/>
        <v/>
      </c>
      <c r="BJ124" s="219" t="str">
        <f t="shared" si="112"/>
        <v/>
      </c>
      <c r="BK124" s="221">
        <f t="shared" si="113"/>
        <v>0</v>
      </c>
      <c r="BL124" s="61" t="str">
        <f>IFERROR(AVERAGEIF(RD[[#This Row],[WS_KUD07]:[WS_KUD08]],"&lt;&gt;0",RD[[#This Row],[WS_KUD07]:[WS_KUD08]]),"")</f>
        <v/>
      </c>
      <c r="BM124" s="223" t="str">
        <f>IFERROR(AVERAGE(RD[[#This Row],[WS_KUD01]:[WS_KUD23]]),"")</f>
        <v/>
      </c>
      <c r="BN124" s="224">
        <f>IFERROR(MAX(RD[[#This Row],[WS_KUD01]:[WS_KUD23]]),"")</f>
        <v>0</v>
      </c>
      <c r="BO124" s="172"/>
      <c r="BP124" s="349"/>
      <c r="BQ124" s="349"/>
      <c r="BR124" s="349"/>
      <c r="BS124" s="349"/>
      <c r="BT124" s="349"/>
      <c r="BU124" s="349"/>
      <c r="BV124" s="349"/>
      <c r="BW124" s="172"/>
      <c r="BX124" s="172"/>
      <c r="BY124" s="349"/>
      <c r="BZ124" s="349"/>
      <c r="CA124" s="349"/>
      <c r="CB124" s="349"/>
      <c r="CC124" s="349"/>
      <c r="CD124" s="172"/>
      <c r="CE124" s="349"/>
      <c r="CF124" s="360" t="str">
        <f>IF((RD[[#This Row],[33 kV_Wind_F1_Export reading]]-BO123)*165000&lt;=0,"",(RD[[#This Row],[33 kV_Wind_F1_Export reading]]-BO123)*165000)</f>
        <v/>
      </c>
      <c r="CG124" s="227" t="str">
        <f>IF((RD[[#This Row],[33 kV_Wind_F2_Export_reading]]-BP123)*165000&lt;=0,"",(RD[[#This Row],[33 kV_Wind_F2_Export_reading]]-BP123)*165000)</f>
        <v/>
      </c>
      <c r="CH124" s="64" t="str">
        <f>IF((RD[[#This Row],[33 kV_Wind_F3_Export_Reading]]-BQ123)*225000&lt;=0,"",(RD[[#This Row],[33 kV_Wind_F3_Export_Reading]]-BQ123)*225000)</f>
        <v/>
      </c>
      <c r="CI124" s="64" t="str">
        <f>IF((RD[[#This Row],[33 kV_Wind_F4_Export Reading]]-BR123)*165000&lt;=0,"",(RD[[#This Row],[33 kV_Wind_F4_Export Reading]]-BR123)*165000)</f>
        <v/>
      </c>
      <c r="CJ124" s="209" t="str">
        <f>IF((RD[[#This Row],[33 kV_Solar_F1_Export Reading]]-BS123)*225000&lt;=0,"",(RD[[#This Row],[33 kV_Solar_F1_Export Reading]]-BS123)*225000)</f>
        <v/>
      </c>
      <c r="CK124" s="74" t="str">
        <f>IF((RD[[#This Row],[33kV_Solar_F2_Export Reading]]-BT123)*225000&lt;=0,"",(RD[[#This Row],[33kV_Solar_F2_Export Reading]]-BT123)*225000)</f>
        <v/>
      </c>
      <c r="CL124" s="209" t="str">
        <f>IF((RD[[#This Row],[33 kV_Solar_F3_Export reading]]-BU123)*225000&lt;=0,"",(RD[[#This Row],[33 kV_Solar_F3_Export reading]]-BU123)*225000)</f>
        <v/>
      </c>
      <c r="CM124" s="63" t="str">
        <f>IF((RD[[#This Row],[32kV_Solar_F4_Export reading]]-BV123)*225000&lt;=0,"",(RD[[#This Row],[32kV_Solar_F4_Export reading]]-BV123)*225000)</f>
        <v/>
      </c>
      <c r="CN124" s="227">
        <f>IF((RD[[#This Row],[33kV_OG1_Export reading]]-BW123)*1000&lt;=0,0,(RD[[#This Row],[33kV_OG1_Export reading]]-BW123)*1000)</f>
        <v>0</v>
      </c>
      <c r="CO124" s="227">
        <f>IFERROR(IF((RD[[#This Row],[33kV_OG2_Export reading]]-BX123)*1000&lt;=0,0,(RD[[#This Row],[33kV_OG2_Export reading]]-BX123)*1000),0)</f>
        <v>0</v>
      </c>
      <c r="CP124" s="74">
        <f>IF((RD[[#This Row],[220kV_TX1_Export reading]]-BY123)*800000&lt;=0,0,(RD[[#This Row],[220kV_TX1_Export reading]]-BY123)*800000)</f>
        <v>0</v>
      </c>
      <c r="CQ124" s="209">
        <f>IF((RD[[#This Row],[220kV_Tx2_Export reading]]-BZ123)*800000&lt;=0,0,(RD[[#This Row],[220kV_Tx2_Export reading]]-BZ123)*800000)</f>
        <v>0</v>
      </c>
      <c r="CR124" s="227">
        <f>IF((RD[[#This Row],[220kV_TL_TVM Export Reading]]-CA123)*1600000&lt;=0,0,(RD[[#This Row],[220kV_TL_TVM Export Reading]]-CA123)*1600000)</f>
        <v>0</v>
      </c>
      <c r="CS124" s="227" t="str">
        <f>IF((RD[[#This Row],[220kV_C&amp;R_PQM reading]]-CB123)*1600000&lt;=0,"",(RD[[#This Row],[220kV_C&amp;R_PQM reading]]-CB123)*1600000)</f>
        <v/>
      </c>
      <c r="CT124" s="209">
        <f>IFERROR(IF((RD[[#This Row],[220KV_C&amp;R_PQM Import Reading]]-CC123)*1600000&lt;=0,0,(RD[[#This Row],[220KV_C&amp;R_PQM Import Reading]]-CC123)*1600000),"")</f>
        <v>0</v>
      </c>
      <c r="CU124" s="64" t="str">
        <f>IF((RD[[#This Row],[33kV_Aux1 Import Reading]]-CD123)*1000&lt;=0,"",(RD[[#This Row],[33kV_Aux1 Import Reading]]-CD123)*1000)</f>
        <v/>
      </c>
      <c r="CV124" s="227" t="str">
        <f>IF((RD[[#This Row],[33kV_Aux2_Import reading]]-CE123)*1000&lt;=0,"",(RD[[#This Row],[33kV_Aux2_Import reading]]-CE123)*1000)</f>
        <v/>
      </c>
      <c r="CW124" s="227">
        <f>IFERROR(RD[[#This Row],[33kV_OG1_Energy (MWh)]]+RD[[#This Row],[33kV_OG2_Energy (MWh)]],"")</f>
        <v>0</v>
      </c>
      <c r="CX124" s="227">
        <f>IFERROR(RD[[#This Row],[220kV_TL_TVM Energy (MWh)]]-RD[[#This Row],[220KV_C&amp;R_PQM Import (MWh)]],"")</f>
        <v>0</v>
      </c>
      <c r="CY124" s="228" t="str">
        <f>IFERROR(RD[[#This Row],[33 kV Total Export (MWH)]]/RD[[#This Row],[220 KV Net Export (MWh)]]-1,"")</f>
        <v/>
      </c>
      <c r="CZ124" s="229">
        <f t="shared" si="114"/>
        <v>50.6</v>
      </c>
      <c r="DA124" s="230"/>
      <c r="DB124" s="231"/>
      <c r="DC124" s="232">
        <f>IFERROR((RD[[#This Row],[Sunset Time (POA&lt;20 W/m2)]]-RD[[#This Row],[Sunrise Time (POA&gt;20 W/m2)]])*24,0)</f>
        <v>0</v>
      </c>
      <c r="DD124" s="70">
        <f>SUM(RD[[#This Row],[33 kV_Wind_F3_Export_Reading3]],CJ124,CK124,CL124,CM124)</f>
        <v>0</v>
      </c>
      <c r="DE124" s="233"/>
      <c r="DF124" s="70">
        <f t="shared" si="103"/>
        <v>0</v>
      </c>
      <c r="DG124" s="230"/>
      <c r="DH124">
        <f>'WTG Reactive Power'!AB122</f>
        <v>0</v>
      </c>
    </row>
    <row r="125" spans="1:112">
      <c r="A125" s="210">
        <f>YEAR(RD[[#This Row],[Date]])+IF(MONTH(RD[[#This Row],[Date]])&gt;=4,1,0)</f>
        <v>2026</v>
      </c>
      <c r="B125" s="210">
        <f>YEAR(RD[[#This Row],[Date]])</f>
        <v>2025</v>
      </c>
      <c r="C125" s="211">
        <f t="shared" si="105"/>
        <v>45839</v>
      </c>
      <c r="D125" s="210">
        <f>DAY(EOMONTH(RD[[#This Row],[Date]],0))</f>
        <v>31</v>
      </c>
      <c r="E125" s="212">
        <f t="shared" si="106"/>
        <v>45865</v>
      </c>
      <c r="F125" s="206"/>
      <c r="G125" s="206"/>
      <c r="H125" s="213"/>
      <c r="I125" s="213"/>
      <c r="J125" s="213"/>
      <c r="K125" s="213"/>
      <c r="L125" s="213"/>
      <c r="M125" s="213"/>
      <c r="N125" s="213"/>
      <c r="O125" s="213"/>
      <c r="P125" s="213"/>
      <c r="Q125" s="213"/>
      <c r="R125" s="213"/>
      <c r="S125" s="213"/>
      <c r="T125" s="213"/>
      <c r="U125" s="213"/>
      <c r="V125" s="213"/>
      <c r="W125" s="213"/>
      <c r="X125" s="213"/>
      <c r="Y125" s="213"/>
      <c r="Z125" s="213"/>
      <c r="AA125" s="213"/>
      <c r="AB125" s="213"/>
      <c r="AC125" s="213"/>
      <c r="AD125" s="213"/>
      <c r="AE125" s="350"/>
      <c r="AF125" s="350"/>
      <c r="AG125" s="350"/>
      <c r="AH125" s="350"/>
      <c r="AI125" s="350"/>
      <c r="AJ125" s="350"/>
      <c r="AK125" s="350"/>
      <c r="AL125" s="350"/>
      <c r="AM125" s="350"/>
      <c r="AN125" s="350"/>
      <c r="AO125" s="350"/>
      <c r="AP125" s="350"/>
      <c r="AQ125" s="350"/>
      <c r="AR125" s="350"/>
      <c r="AS125" s="350"/>
      <c r="AT125" s="350"/>
      <c r="AU125" s="350"/>
      <c r="AV125" s="350"/>
      <c r="AW125" s="350"/>
      <c r="AX125" s="350"/>
      <c r="AY125" s="350"/>
      <c r="AZ125" s="350"/>
      <c r="BA125" s="350"/>
      <c r="BB125" s="214">
        <f t="shared" si="107"/>
        <v>0</v>
      </c>
      <c r="BC125" s="216">
        <f t="shared" si="108"/>
        <v>0</v>
      </c>
      <c r="BD125" s="180">
        <f t="shared" si="92"/>
        <v>0</v>
      </c>
      <c r="BE125" s="216">
        <f t="shared" si="109"/>
        <v>0</v>
      </c>
      <c r="BF125" s="179">
        <f t="shared" si="93"/>
        <v>0</v>
      </c>
      <c r="BG125" s="216">
        <f>SUM(RD[[#This Row],[KUD01]:[KUD23]])</f>
        <v>0</v>
      </c>
      <c r="BH125" s="217" t="str">
        <f t="shared" si="110"/>
        <v/>
      </c>
      <c r="BI125" s="219" t="str">
        <f t="shared" si="111"/>
        <v/>
      </c>
      <c r="BJ125" s="219" t="str">
        <f t="shared" si="112"/>
        <v/>
      </c>
      <c r="BK125" s="221">
        <f t="shared" si="113"/>
        <v>0</v>
      </c>
      <c r="BL125" s="61" t="str">
        <f>IFERROR(AVERAGEIF(RD[[#This Row],[WS_KUD07]:[WS_KUD08]],"&lt;&gt;0",RD[[#This Row],[WS_KUD07]:[WS_KUD08]]),"")</f>
        <v/>
      </c>
      <c r="BM125" s="223" t="str">
        <f>IFERROR(AVERAGE(RD[[#This Row],[WS_KUD01]:[WS_KUD23]]),"")</f>
        <v/>
      </c>
      <c r="BN125" s="224">
        <f>IFERROR(MAX(RD[[#This Row],[WS_KUD01]:[WS_KUD23]]),"")</f>
        <v>0</v>
      </c>
      <c r="BO125" s="172"/>
      <c r="BP125" s="349"/>
      <c r="BQ125" s="349"/>
      <c r="BR125" s="349"/>
      <c r="BS125" s="349"/>
      <c r="BT125" s="349"/>
      <c r="BU125" s="349"/>
      <c r="BV125" s="349"/>
      <c r="BW125" s="172"/>
      <c r="BX125" s="172"/>
      <c r="BY125" s="349"/>
      <c r="BZ125" s="349"/>
      <c r="CA125" s="349"/>
      <c r="CB125" s="349"/>
      <c r="CC125" s="349"/>
      <c r="CD125" s="172"/>
      <c r="CE125" s="349"/>
      <c r="CF125" s="360" t="str">
        <f>IF((RD[[#This Row],[33 kV_Wind_F1_Export reading]]-BO124)*165000&lt;=0,"",(RD[[#This Row],[33 kV_Wind_F1_Export reading]]-BO124)*165000)</f>
        <v/>
      </c>
      <c r="CG125" s="227" t="str">
        <f>IF((RD[[#This Row],[33 kV_Wind_F2_Export_reading]]-BP124)*165000&lt;=0,"",(RD[[#This Row],[33 kV_Wind_F2_Export_reading]]-BP124)*165000)</f>
        <v/>
      </c>
      <c r="CH125" s="64" t="str">
        <f>IF((RD[[#This Row],[33 kV_Wind_F3_Export_Reading]]-BQ124)*225000&lt;=0,"",(RD[[#This Row],[33 kV_Wind_F3_Export_Reading]]-BQ124)*225000)</f>
        <v/>
      </c>
      <c r="CI125" s="64" t="str">
        <f>IF((RD[[#This Row],[33 kV_Wind_F4_Export Reading]]-BR124)*165000&lt;=0,"",(RD[[#This Row],[33 kV_Wind_F4_Export Reading]]-BR124)*165000)</f>
        <v/>
      </c>
      <c r="CJ125" s="209" t="str">
        <f>IF((RD[[#This Row],[33 kV_Solar_F1_Export Reading]]-BS124)*225000&lt;=0,"",(RD[[#This Row],[33 kV_Solar_F1_Export Reading]]-BS124)*225000)</f>
        <v/>
      </c>
      <c r="CK125" s="74" t="str">
        <f>IF((RD[[#This Row],[33kV_Solar_F2_Export Reading]]-BT124)*225000&lt;=0,"",(RD[[#This Row],[33kV_Solar_F2_Export Reading]]-BT124)*225000)</f>
        <v/>
      </c>
      <c r="CL125" s="209" t="str">
        <f>IF((RD[[#This Row],[33 kV_Solar_F3_Export reading]]-BU124)*225000&lt;=0,"",(RD[[#This Row],[33 kV_Solar_F3_Export reading]]-BU124)*225000)</f>
        <v/>
      </c>
      <c r="CM125" s="63" t="str">
        <f>IF((RD[[#This Row],[32kV_Solar_F4_Export reading]]-BV124)*225000&lt;=0,"",(RD[[#This Row],[32kV_Solar_F4_Export reading]]-BV124)*225000)</f>
        <v/>
      </c>
      <c r="CN125" s="227">
        <f>IF((RD[[#This Row],[33kV_OG1_Export reading]]-BW124)*1000&lt;=0,0,(RD[[#This Row],[33kV_OG1_Export reading]]-BW124)*1000)</f>
        <v>0</v>
      </c>
      <c r="CO125" s="227">
        <f>IFERROR(IF((RD[[#This Row],[33kV_OG2_Export reading]]-BX124)*1000&lt;=0,0,(RD[[#This Row],[33kV_OG2_Export reading]]-BX124)*1000),0)</f>
        <v>0</v>
      </c>
      <c r="CP125" s="74">
        <f>IF((RD[[#This Row],[220kV_TX1_Export reading]]-BY124)*800000&lt;=0,0,(RD[[#This Row],[220kV_TX1_Export reading]]-BY124)*800000)</f>
        <v>0</v>
      </c>
      <c r="CQ125" s="209">
        <f>IF((RD[[#This Row],[220kV_Tx2_Export reading]]-BZ124)*800000&lt;=0,0,(RD[[#This Row],[220kV_Tx2_Export reading]]-BZ124)*800000)</f>
        <v>0</v>
      </c>
      <c r="CR125" s="227">
        <f>IF((RD[[#This Row],[220kV_TL_TVM Export Reading]]-CA124)*1600000&lt;=0,0,(RD[[#This Row],[220kV_TL_TVM Export Reading]]-CA124)*1600000)</f>
        <v>0</v>
      </c>
      <c r="CS125" s="227" t="str">
        <f>IF((RD[[#This Row],[220kV_C&amp;R_PQM reading]]-CB124)*1600000&lt;=0,"",(RD[[#This Row],[220kV_C&amp;R_PQM reading]]-CB124)*1600000)</f>
        <v/>
      </c>
      <c r="CT125" s="209">
        <f>IFERROR(IF((RD[[#This Row],[220KV_C&amp;R_PQM Import Reading]]-CC124)*1600000&lt;=0,0,(RD[[#This Row],[220KV_C&amp;R_PQM Import Reading]]-CC124)*1600000),"")</f>
        <v>0</v>
      </c>
      <c r="CU125" s="64" t="str">
        <f>IF((RD[[#This Row],[33kV_Aux1 Import Reading]]-CD124)*1000&lt;=0,"",(RD[[#This Row],[33kV_Aux1 Import Reading]]-CD124)*1000)</f>
        <v/>
      </c>
      <c r="CV125" s="227" t="str">
        <f>IF((RD[[#This Row],[33kV_Aux2_Import reading]]-CE124)*1000&lt;=0,"",(RD[[#This Row],[33kV_Aux2_Import reading]]-CE124)*1000)</f>
        <v/>
      </c>
      <c r="CW125" s="227">
        <f>IFERROR(RD[[#This Row],[33kV_OG1_Energy (MWh)]]+RD[[#This Row],[33kV_OG2_Energy (MWh)]],"")</f>
        <v>0</v>
      </c>
      <c r="CX125" s="227">
        <f>IFERROR(RD[[#This Row],[220kV_TL_TVM Energy (MWh)]]-RD[[#This Row],[220KV_C&amp;R_PQM Import (MWh)]],"")</f>
        <v>0</v>
      </c>
      <c r="CY125" s="228" t="str">
        <f>IFERROR(RD[[#This Row],[33 kV Total Export (MWH)]]/RD[[#This Row],[220 KV Net Export (MWh)]]-1,"")</f>
        <v/>
      </c>
      <c r="CZ125" s="229">
        <f t="shared" si="114"/>
        <v>50.6</v>
      </c>
      <c r="DA125" s="230"/>
      <c r="DB125" s="231"/>
      <c r="DC125" s="232">
        <f>IFERROR((RD[[#This Row],[Sunset Time (POA&lt;20 W/m2)]]-RD[[#This Row],[Sunrise Time (POA&gt;20 W/m2)]])*24,0)</f>
        <v>0</v>
      </c>
      <c r="DD125" s="70">
        <f>SUM(RD[[#This Row],[33 kV_Wind_F3_Export_Reading3]],CJ125,CK125,CL125,CM125)</f>
        <v>0</v>
      </c>
      <c r="DE125" s="233"/>
      <c r="DF125" s="70">
        <f t="shared" si="103"/>
        <v>0</v>
      </c>
      <c r="DG125" s="230"/>
      <c r="DH125">
        <f>'WTG Reactive Power'!AB123</f>
        <v>0</v>
      </c>
    </row>
    <row r="126" spans="1:112">
      <c r="A126" s="210">
        <f>YEAR(RD[[#This Row],[Date]])+IF(MONTH(RD[[#This Row],[Date]])&gt;=4,1,0)</f>
        <v>2026</v>
      </c>
      <c r="B126" s="210">
        <f>YEAR(RD[[#This Row],[Date]])</f>
        <v>2025</v>
      </c>
      <c r="C126" s="211">
        <f t="shared" si="105"/>
        <v>45839</v>
      </c>
      <c r="D126" s="210">
        <f>DAY(EOMONTH(RD[[#This Row],[Date]],0))</f>
        <v>31</v>
      </c>
      <c r="E126" s="212">
        <f t="shared" si="106"/>
        <v>45866</v>
      </c>
      <c r="F126" s="206"/>
      <c r="G126" s="206"/>
      <c r="H126" s="213"/>
      <c r="I126" s="213"/>
      <c r="J126" s="213"/>
      <c r="K126" s="213"/>
      <c r="L126" s="213"/>
      <c r="M126" s="213"/>
      <c r="N126" s="213"/>
      <c r="O126" s="213"/>
      <c r="P126" s="213"/>
      <c r="Q126" s="213"/>
      <c r="R126" s="213"/>
      <c r="S126" s="213"/>
      <c r="T126" s="213"/>
      <c r="U126" s="213"/>
      <c r="V126" s="213"/>
      <c r="W126" s="213"/>
      <c r="X126" s="213"/>
      <c r="Y126" s="213"/>
      <c r="Z126" s="213"/>
      <c r="AA126" s="213"/>
      <c r="AB126" s="213"/>
      <c r="AC126" s="213"/>
      <c r="AD126" s="213"/>
      <c r="AE126" s="350"/>
      <c r="AF126" s="350"/>
      <c r="AG126" s="350"/>
      <c r="AH126" s="350"/>
      <c r="AI126" s="350"/>
      <c r="AJ126" s="350"/>
      <c r="AK126" s="350"/>
      <c r="AL126" s="350"/>
      <c r="AM126" s="350"/>
      <c r="AN126" s="350"/>
      <c r="AO126" s="350"/>
      <c r="AP126" s="350"/>
      <c r="AQ126" s="350"/>
      <c r="AR126" s="350"/>
      <c r="AS126" s="350"/>
      <c r="AT126" s="350"/>
      <c r="AU126" s="350"/>
      <c r="AV126" s="350"/>
      <c r="AW126" s="350"/>
      <c r="AX126" s="350"/>
      <c r="AY126" s="350"/>
      <c r="AZ126" s="350"/>
      <c r="BA126" s="350"/>
      <c r="BB126" s="214">
        <f t="shared" si="107"/>
        <v>0</v>
      </c>
      <c r="BC126" s="216">
        <f t="shared" si="108"/>
        <v>0</v>
      </c>
      <c r="BD126" s="180">
        <f t="shared" si="92"/>
        <v>0</v>
      </c>
      <c r="BE126" s="216">
        <f t="shared" si="109"/>
        <v>0</v>
      </c>
      <c r="BF126" s="179">
        <f t="shared" si="93"/>
        <v>0</v>
      </c>
      <c r="BG126" s="216">
        <f>SUM(RD[[#This Row],[KUD01]:[KUD23]])</f>
        <v>0</v>
      </c>
      <c r="BH126" s="217" t="str">
        <f t="shared" si="110"/>
        <v/>
      </c>
      <c r="BI126" s="219" t="str">
        <f t="shared" si="111"/>
        <v/>
      </c>
      <c r="BJ126" s="219" t="str">
        <f t="shared" si="112"/>
        <v/>
      </c>
      <c r="BK126" s="221">
        <f t="shared" si="113"/>
        <v>0</v>
      </c>
      <c r="BL126" s="61" t="str">
        <f>IFERROR(AVERAGEIF(RD[[#This Row],[WS_KUD07]:[WS_KUD08]],"&lt;&gt;0",RD[[#This Row],[WS_KUD07]:[WS_KUD08]]),"")</f>
        <v/>
      </c>
      <c r="BM126" s="223" t="str">
        <f>IFERROR(AVERAGE(RD[[#This Row],[WS_KUD01]:[WS_KUD23]]),"")</f>
        <v/>
      </c>
      <c r="BN126" s="224">
        <f>IFERROR(MAX(RD[[#This Row],[WS_KUD01]:[WS_KUD23]]),"")</f>
        <v>0</v>
      </c>
      <c r="BO126" s="172"/>
      <c r="BP126" s="349"/>
      <c r="BQ126" s="349"/>
      <c r="BR126" s="349"/>
      <c r="BS126" s="349"/>
      <c r="BT126" s="349"/>
      <c r="BU126" s="349"/>
      <c r="BV126" s="349"/>
      <c r="BW126" s="172"/>
      <c r="BX126" s="172"/>
      <c r="BY126" s="349"/>
      <c r="BZ126" s="349"/>
      <c r="CA126" s="349"/>
      <c r="CB126" s="349"/>
      <c r="CC126" s="349"/>
      <c r="CD126" s="172"/>
      <c r="CE126" s="349"/>
      <c r="CF126" s="360" t="str">
        <f>IF((RD[[#This Row],[33 kV_Wind_F1_Export reading]]-BO125)*165000&lt;=0,"",(RD[[#This Row],[33 kV_Wind_F1_Export reading]]-BO125)*165000)</f>
        <v/>
      </c>
      <c r="CG126" s="227" t="str">
        <f>IF((RD[[#This Row],[33 kV_Wind_F2_Export_reading]]-BP125)*165000&lt;=0,"",(RD[[#This Row],[33 kV_Wind_F2_Export_reading]]-BP125)*165000)</f>
        <v/>
      </c>
      <c r="CH126" s="64" t="str">
        <f>IF((RD[[#This Row],[33 kV_Wind_F3_Export_Reading]]-BQ125)*225000&lt;=0,"",(RD[[#This Row],[33 kV_Wind_F3_Export_Reading]]-BQ125)*225000)</f>
        <v/>
      </c>
      <c r="CI126" s="64" t="str">
        <f>IF((RD[[#This Row],[33 kV_Wind_F4_Export Reading]]-BR125)*165000&lt;=0,"",(RD[[#This Row],[33 kV_Wind_F4_Export Reading]]-BR125)*165000)</f>
        <v/>
      </c>
      <c r="CJ126" s="209" t="str">
        <f>IF((RD[[#This Row],[33 kV_Solar_F1_Export Reading]]-BS125)*225000&lt;=0,"",(RD[[#This Row],[33 kV_Solar_F1_Export Reading]]-BS125)*225000)</f>
        <v/>
      </c>
      <c r="CK126" s="74" t="str">
        <f>IF((RD[[#This Row],[33kV_Solar_F2_Export Reading]]-BT125)*225000&lt;=0,"",(RD[[#This Row],[33kV_Solar_F2_Export Reading]]-BT125)*225000)</f>
        <v/>
      </c>
      <c r="CL126" s="209" t="str">
        <f>IF((RD[[#This Row],[33 kV_Solar_F3_Export reading]]-BU125)*225000&lt;=0,"",(RD[[#This Row],[33 kV_Solar_F3_Export reading]]-BU125)*225000)</f>
        <v/>
      </c>
      <c r="CM126" s="63" t="str">
        <f>IF((RD[[#This Row],[32kV_Solar_F4_Export reading]]-BV125)*225000&lt;=0,"",(RD[[#This Row],[32kV_Solar_F4_Export reading]]-BV125)*225000)</f>
        <v/>
      </c>
      <c r="CN126" s="227">
        <f>IF((RD[[#This Row],[33kV_OG1_Export reading]]-BW125)*1000&lt;=0,0,(RD[[#This Row],[33kV_OG1_Export reading]]-BW125)*1000)</f>
        <v>0</v>
      </c>
      <c r="CO126" s="227">
        <f>IFERROR(IF((RD[[#This Row],[33kV_OG2_Export reading]]-BX125)*1000&lt;=0,0,(RD[[#This Row],[33kV_OG2_Export reading]]-BX125)*1000),0)</f>
        <v>0</v>
      </c>
      <c r="CP126" s="74">
        <f>IF((RD[[#This Row],[220kV_TX1_Export reading]]-BY125)*800000&lt;=0,0,(RD[[#This Row],[220kV_TX1_Export reading]]-BY125)*800000)</f>
        <v>0</v>
      </c>
      <c r="CQ126" s="209">
        <f>IF((RD[[#This Row],[220kV_Tx2_Export reading]]-BZ125)*800000&lt;=0,0,(RD[[#This Row],[220kV_Tx2_Export reading]]-BZ125)*800000)</f>
        <v>0</v>
      </c>
      <c r="CR126" s="227">
        <f>IF((RD[[#This Row],[220kV_TL_TVM Export Reading]]-CA125)*1600000&lt;=0,0,(RD[[#This Row],[220kV_TL_TVM Export Reading]]-CA125)*1600000)</f>
        <v>0</v>
      </c>
      <c r="CS126" s="227" t="str">
        <f>IF((RD[[#This Row],[220kV_C&amp;R_PQM reading]]-CB125)*1600000&lt;=0,"",(RD[[#This Row],[220kV_C&amp;R_PQM reading]]-CB125)*1600000)</f>
        <v/>
      </c>
      <c r="CT126" s="209">
        <f>IFERROR(IF((RD[[#This Row],[220KV_C&amp;R_PQM Import Reading]]-CC125)*1600000&lt;=0,0,(RD[[#This Row],[220KV_C&amp;R_PQM Import Reading]]-CC125)*1600000),"")</f>
        <v>0</v>
      </c>
      <c r="CU126" s="64" t="str">
        <f>IF((RD[[#This Row],[33kV_Aux1 Import Reading]]-CD125)*1000&lt;=0,"",(RD[[#This Row],[33kV_Aux1 Import Reading]]-CD125)*1000)</f>
        <v/>
      </c>
      <c r="CV126" s="227" t="str">
        <f>IF((RD[[#This Row],[33kV_Aux2_Import reading]]-CE125)*1000&lt;=0,"",(RD[[#This Row],[33kV_Aux2_Import reading]]-CE125)*1000)</f>
        <v/>
      </c>
      <c r="CW126" s="227">
        <f>IFERROR(RD[[#This Row],[33kV_OG1_Energy (MWh)]]+RD[[#This Row],[33kV_OG2_Energy (MWh)]],"")</f>
        <v>0</v>
      </c>
      <c r="CX126" s="227">
        <f>IFERROR(RD[[#This Row],[220kV_TL_TVM Energy (MWh)]]-RD[[#This Row],[220KV_C&amp;R_PQM Import (MWh)]],"")</f>
        <v>0</v>
      </c>
      <c r="CY126" s="228" t="str">
        <f>IFERROR(RD[[#This Row],[33 kV Total Export (MWH)]]/RD[[#This Row],[220 KV Net Export (MWh)]]-1,"")</f>
        <v/>
      </c>
      <c r="CZ126" s="229">
        <f t="shared" si="114"/>
        <v>50.6</v>
      </c>
      <c r="DA126" s="230"/>
      <c r="DB126" s="231"/>
      <c r="DC126" s="232">
        <f>IFERROR((RD[[#This Row],[Sunset Time (POA&lt;20 W/m2)]]-RD[[#This Row],[Sunrise Time (POA&gt;20 W/m2)]])*24,0)</f>
        <v>0</v>
      </c>
      <c r="DD126" s="70">
        <f>SUM(RD[[#This Row],[33 kV_Wind_F3_Export_Reading3]],CJ126,CK126,CL126,CM126)</f>
        <v>0</v>
      </c>
      <c r="DE126" s="233"/>
      <c r="DF126" s="70">
        <f t="shared" si="103"/>
        <v>0</v>
      </c>
      <c r="DG126" s="230"/>
      <c r="DH126">
        <f>'WTG Reactive Power'!AB124</f>
        <v>0</v>
      </c>
    </row>
    <row r="127" spans="1:112">
      <c r="A127" s="210">
        <f>YEAR(RD[[#This Row],[Date]])+IF(MONTH(RD[[#This Row],[Date]])&gt;=4,1,0)</f>
        <v>2026</v>
      </c>
      <c r="B127" s="210">
        <f>YEAR(RD[[#This Row],[Date]])</f>
        <v>2025</v>
      </c>
      <c r="C127" s="211">
        <f t="shared" si="105"/>
        <v>45839</v>
      </c>
      <c r="D127" s="210">
        <f>DAY(EOMONTH(RD[[#This Row],[Date]],0))</f>
        <v>31</v>
      </c>
      <c r="E127" s="212">
        <f t="shared" si="106"/>
        <v>45867</v>
      </c>
      <c r="F127" s="206"/>
      <c r="G127" s="206"/>
      <c r="H127" s="213"/>
      <c r="I127" s="213"/>
      <c r="J127" s="213"/>
      <c r="K127" s="213"/>
      <c r="L127" s="213"/>
      <c r="M127" s="213"/>
      <c r="N127" s="213"/>
      <c r="O127" s="213"/>
      <c r="P127" s="213"/>
      <c r="Q127" s="213"/>
      <c r="R127" s="213"/>
      <c r="S127" s="213"/>
      <c r="T127" s="213"/>
      <c r="U127" s="213"/>
      <c r="V127" s="213"/>
      <c r="W127" s="213"/>
      <c r="X127" s="213"/>
      <c r="Y127" s="213"/>
      <c r="Z127" s="213"/>
      <c r="AA127" s="213"/>
      <c r="AB127" s="213"/>
      <c r="AC127" s="213"/>
      <c r="AD127" s="213"/>
      <c r="AE127" s="350"/>
      <c r="AF127" s="350"/>
      <c r="AG127" s="350"/>
      <c r="AH127" s="350"/>
      <c r="AI127" s="350"/>
      <c r="AJ127" s="350"/>
      <c r="AK127" s="350"/>
      <c r="AL127" s="350"/>
      <c r="AM127" s="350"/>
      <c r="AN127" s="350"/>
      <c r="AO127" s="350"/>
      <c r="AP127" s="350"/>
      <c r="AQ127" s="350"/>
      <c r="AR127" s="350"/>
      <c r="AS127" s="350"/>
      <c r="AT127" s="350"/>
      <c r="AU127" s="350"/>
      <c r="AV127" s="350"/>
      <c r="AW127" s="350"/>
      <c r="AX127" s="350"/>
      <c r="AY127" s="350"/>
      <c r="AZ127" s="350"/>
      <c r="BA127" s="350"/>
      <c r="BB127" s="214">
        <f t="shared" si="107"/>
        <v>0</v>
      </c>
      <c r="BC127" s="216">
        <f t="shared" si="108"/>
        <v>0</v>
      </c>
      <c r="BD127" s="180">
        <f t="shared" si="92"/>
        <v>0</v>
      </c>
      <c r="BE127" s="216">
        <f t="shared" si="109"/>
        <v>0</v>
      </c>
      <c r="BF127" s="179">
        <f t="shared" si="93"/>
        <v>0</v>
      </c>
      <c r="BG127" s="216">
        <f>SUM(RD[[#This Row],[KUD01]:[KUD23]])</f>
        <v>0</v>
      </c>
      <c r="BH127" s="217" t="str">
        <f t="shared" si="110"/>
        <v/>
      </c>
      <c r="BI127" s="219" t="str">
        <f t="shared" si="111"/>
        <v/>
      </c>
      <c r="BJ127" s="219" t="str">
        <f t="shared" si="112"/>
        <v/>
      </c>
      <c r="BK127" s="221">
        <f t="shared" si="113"/>
        <v>0</v>
      </c>
      <c r="BL127" s="61" t="str">
        <f>IFERROR(AVERAGEIF(RD[[#This Row],[WS_KUD07]:[WS_KUD08]],"&lt;&gt;0",RD[[#This Row],[WS_KUD07]:[WS_KUD08]]),"")</f>
        <v/>
      </c>
      <c r="BM127" s="223" t="str">
        <f>IFERROR(AVERAGE(RD[[#This Row],[WS_KUD01]:[WS_KUD23]]),"")</f>
        <v/>
      </c>
      <c r="BN127" s="224">
        <f>IFERROR(MAX(RD[[#This Row],[WS_KUD01]:[WS_KUD23]]),"")</f>
        <v>0</v>
      </c>
      <c r="BO127" s="172"/>
      <c r="BP127" s="349"/>
      <c r="BQ127" s="349"/>
      <c r="BR127" s="349"/>
      <c r="BS127" s="349"/>
      <c r="BT127" s="349"/>
      <c r="BU127" s="349"/>
      <c r="BV127" s="349"/>
      <c r="BW127" s="172"/>
      <c r="BX127" s="172"/>
      <c r="BY127" s="349"/>
      <c r="BZ127" s="349"/>
      <c r="CA127" s="349"/>
      <c r="CB127" s="349"/>
      <c r="CC127" s="349"/>
      <c r="CD127" s="172"/>
      <c r="CE127" s="349"/>
      <c r="CF127" s="360" t="str">
        <f>IF((RD[[#This Row],[33 kV_Wind_F1_Export reading]]-BO126)*165000&lt;=0,"",(RD[[#This Row],[33 kV_Wind_F1_Export reading]]-BO126)*165000)</f>
        <v/>
      </c>
      <c r="CG127" s="227" t="str">
        <f>IF((RD[[#This Row],[33 kV_Wind_F2_Export_reading]]-BP126)*165000&lt;=0,"",(RD[[#This Row],[33 kV_Wind_F2_Export_reading]]-BP126)*165000)</f>
        <v/>
      </c>
      <c r="CH127" s="64" t="str">
        <f>IF((RD[[#This Row],[33 kV_Wind_F3_Export_Reading]]-BQ126)*225000&lt;=0,"",(RD[[#This Row],[33 kV_Wind_F3_Export_Reading]]-BQ126)*225000)</f>
        <v/>
      </c>
      <c r="CI127" s="64" t="str">
        <f>IF((RD[[#This Row],[33 kV_Wind_F4_Export Reading]]-BR126)*165000&lt;=0,"",(RD[[#This Row],[33 kV_Wind_F4_Export Reading]]-BR126)*165000)</f>
        <v/>
      </c>
      <c r="CJ127" s="209" t="str">
        <f>IF((RD[[#This Row],[33 kV_Solar_F1_Export Reading]]-BS126)*225000&lt;=0,"",(RD[[#This Row],[33 kV_Solar_F1_Export Reading]]-BS126)*225000)</f>
        <v/>
      </c>
      <c r="CK127" s="74" t="str">
        <f>IF((RD[[#This Row],[33kV_Solar_F2_Export Reading]]-BT126)*225000&lt;=0,"",(RD[[#This Row],[33kV_Solar_F2_Export Reading]]-BT126)*225000)</f>
        <v/>
      </c>
      <c r="CL127" s="209" t="str">
        <f>IF((RD[[#This Row],[33 kV_Solar_F3_Export reading]]-BU126)*225000&lt;=0,"",(RD[[#This Row],[33 kV_Solar_F3_Export reading]]-BU126)*225000)</f>
        <v/>
      </c>
      <c r="CM127" s="63" t="str">
        <f>IF((RD[[#This Row],[32kV_Solar_F4_Export reading]]-BV126)*225000&lt;=0,"",(RD[[#This Row],[32kV_Solar_F4_Export reading]]-BV126)*225000)</f>
        <v/>
      </c>
      <c r="CN127" s="227">
        <f>IF((RD[[#This Row],[33kV_OG1_Export reading]]-BW126)*1000&lt;=0,0,(RD[[#This Row],[33kV_OG1_Export reading]]-BW126)*1000)</f>
        <v>0</v>
      </c>
      <c r="CO127" s="227">
        <f>IFERROR(IF((RD[[#This Row],[33kV_OG2_Export reading]]-BX126)*1000&lt;=0,0,(RD[[#This Row],[33kV_OG2_Export reading]]-BX126)*1000),0)</f>
        <v>0</v>
      </c>
      <c r="CP127" s="74">
        <f>IF((RD[[#This Row],[220kV_TX1_Export reading]]-BY126)*800000&lt;=0,0,(RD[[#This Row],[220kV_TX1_Export reading]]-BY126)*800000)</f>
        <v>0</v>
      </c>
      <c r="CQ127" s="209">
        <f>IF((RD[[#This Row],[220kV_Tx2_Export reading]]-BZ126)*800000&lt;=0,0,(RD[[#This Row],[220kV_Tx2_Export reading]]-BZ126)*800000)</f>
        <v>0</v>
      </c>
      <c r="CR127" s="227">
        <f>IF((RD[[#This Row],[220kV_TL_TVM Export Reading]]-CA126)*1600000&lt;=0,0,(RD[[#This Row],[220kV_TL_TVM Export Reading]]-CA126)*1600000)</f>
        <v>0</v>
      </c>
      <c r="CS127" s="227" t="str">
        <f>IF((RD[[#This Row],[220kV_C&amp;R_PQM reading]]-CB126)*1600000&lt;=0,"",(RD[[#This Row],[220kV_C&amp;R_PQM reading]]-CB126)*1600000)</f>
        <v/>
      </c>
      <c r="CT127" s="209">
        <f>IFERROR(IF((RD[[#This Row],[220KV_C&amp;R_PQM Import Reading]]-CC126)*1600000&lt;=0,0,(RD[[#This Row],[220KV_C&amp;R_PQM Import Reading]]-CC126)*1600000),"")</f>
        <v>0</v>
      </c>
      <c r="CU127" s="64" t="str">
        <f>IF((RD[[#This Row],[33kV_Aux1 Import Reading]]-CD126)*1000&lt;=0,"",(RD[[#This Row],[33kV_Aux1 Import Reading]]-CD126)*1000)</f>
        <v/>
      </c>
      <c r="CV127" s="227" t="str">
        <f>IF((RD[[#This Row],[33kV_Aux2_Import reading]]-CE126)*1000&lt;=0,"",(RD[[#This Row],[33kV_Aux2_Import reading]]-CE126)*1000)</f>
        <v/>
      </c>
      <c r="CW127" s="227">
        <f>IFERROR(RD[[#This Row],[33kV_OG1_Energy (MWh)]]+RD[[#This Row],[33kV_OG2_Energy (MWh)]],"")</f>
        <v>0</v>
      </c>
      <c r="CX127" s="227">
        <f>IFERROR(RD[[#This Row],[220kV_TL_TVM Energy (MWh)]]-RD[[#This Row],[220KV_C&amp;R_PQM Import (MWh)]],"")</f>
        <v>0</v>
      </c>
      <c r="CY127" s="228" t="str">
        <f>IFERROR(RD[[#This Row],[33 kV Total Export (MWH)]]/RD[[#This Row],[220 KV Net Export (MWh)]]-1,"")</f>
        <v/>
      </c>
      <c r="CZ127" s="229">
        <f t="shared" si="114"/>
        <v>50.6</v>
      </c>
      <c r="DA127" s="230"/>
      <c r="DB127" s="231"/>
      <c r="DC127" s="232">
        <f>IFERROR((RD[[#This Row],[Sunset Time (POA&lt;20 W/m2)]]-RD[[#This Row],[Sunrise Time (POA&gt;20 W/m2)]])*24,0)</f>
        <v>0</v>
      </c>
      <c r="DD127" s="70">
        <f>SUM(RD[[#This Row],[33 kV_Wind_F3_Export_Reading3]],CJ127,CK127,CL127,CM127)</f>
        <v>0</v>
      </c>
      <c r="DE127" s="233"/>
      <c r="DF127" s="70">
        <f t="shared" si="103"/>
        <v>0</v>
      </c>
      <c r="DG127" s="230"/>
      <c r="DH127">
        <f>'WTG Reactive Power'!AB125</f>
        <v>0</v>
      </c>
    </row>
    <row r="128" spans="1:112">
      <c r="A128" s="210">
        <f>YEAR(RD[[#This Row],[Date]])+IF(MONTH(RD[[#This Row],[Date]])&gt;=4,1,0)</f>
        <v>2026</v>
      </c>
      <c r="B128" s="210">
        <f>YEAR(RD[[#This Row],[Date]])</f>
        <v>2025</v>
      </c>
      <c r="C128" s="211">
        <f t="shared" si="105"/>
        <v>45839</v>
      </c>
      <c r="D128" s="210">
        <f>DAY(EOMONTH(RD[[#This Row],[Date]],0))</f>
        <v>31</v>
      </c>
      <c r="E128" s="212">
        <f t="shared" si="106"/>
        <v>45868</v>
      </c>
      <c r="F128" s="206"/>
      <c r="G128" s="206"/>
      <c r="H128" s="213"/>
      <c r="I128" s="213"/>
      <c r="J128" s="213"/>
      <c r="K128" s="213"/>
      <c r="L128" s="213"/>
      <c r="M128" s="213"/>
      <c r="N128" s="213"/>
      <c r="O128" s="213"/>
      <c r="P128" s="213"/>
      <c r="Q128" s="213"/>
      <c r="R128" s="213"/>
      <c r="S128" s="213"/>
      <c r="T128" s="213"/>
      <c r="U128" s="213"/>
      <c r="V128" s="213"/>
      <c r="W128" s="213"/>
      <c r="X128" s="213"/>
      <c r="Y128" s="213"/>
      <c r="Z128" s="213"/>
      <c r="AA128" s="213"/>
      <c r="AB128" s="213"/>
      <c r="AC128" s="213"/>
      <c r="AD128" s="213"/>
      <c r="AE128" s="350"/>
      <c r="AF128" s="350"/>
      <c r="AG128" s="350"/>
      <c r="AH128" s="350"/>
      <c r="AI128" s="350"/>
      <c r="AJ128" s="350"/>
      <c r="AK128" s="350"/>
      <c r="AL128" s="350"/>
      <c r="AM128" s="350"/>
      <c r="AN128" s="350"/>
      <c r="AO128" s="350"/>
      <c r="AP128" s="350"/>
      <c r="AQ128" s="350"/>
      <c r="AR128" s="350"/>
      <c r="AS128" s="350"/>
      <c r="AT128" s="350"/>
      <c r="AU128" s="350"/>
      <c r="AV128" s="350"/>
      <c r="AW128" s="350"/>
      <c r="AX128" s="350"/>
      <c r="AY128" s="350"/>
      <c r="AZ128" s="350"/>
      <c r="BA128" s="350"/>
      <c r="BB128" s="214">
        <f t="shared" si="107"/>
        <v>0</v>
      </c>
      <c r="BC128" s="216">
        <f t="shared" si="108"/>
        <v>0</v>
      </c>
      <c r="BD128" s="180">
        <f t="shared" si="92"/>
        <v>0</v>
      </c>
      <c r="BE128" s="216">
        <f t="shared" si="109"/>
        <v>0</v>
      </c>
      <c r="BF128" s="179">
        <f t="shared" si="93"/>
        <v>0</v>
      </c>
      <c r="BG128" s="216">
        <f>SUM(RD[[#This Row],[KUD01]:[KUD23]])</f>
        <v>0</v>
      </c>
      <c r="BH128" s="217" t="str">
        <f t="shared" si="110"/>
        <v/>
      </c>
      <c r="BI128" s="219" t="str">
        <f t="shared" si="111"/>
        <v/>
      </c>
      <c r="BJ128" s="219" t="str">
        <f t="shared" si="112"/>
        <v/>
      </c>
      <c r="BK128" s="221">
        <f t="shared" si="113"/>
        <v>0</v>
      </c>
      <c r="BL128" s="61" t="str">
        <f>IFERROR(AVERAGEIF(RD[[#This Row],[WS_KUD07]:[WS_KUD08]],"&lt;&gt;0",RD[[#This Row],[WS_KUD07]:[WS_KUD08]]),"")</f>
        <v/>
      </c>
      <c r="BM128" s="223" t="str">
        <f>IFERROR(AVERAGE(RD[[#This Row],[WS_KUD01]:[WS_KUD23]]),"")</f>
        <v/>
      </c>
      <c r="BN128" s="224">
        <f>IFERROR(MAX(RD[[#This Row],[WS_KUD01]:[WS_KUD23]]),"")</f>
        <v>0</v>
      </c>
      <c r="BO128" s="172"/>
      <c r="BP128" s="349"/>
      <c r="BQ128" s="349"/>
      <c r="BR128" s="349"/>
      <c r="BS128" s="349"/>
      <c r="BT128" s="349"/>
      <c r="BU128" s="349"/>
      <c r="BV128" s="349"/>
      <c r="BW128" s="172"/>
      <c r="BX128" s="172"/>
      <c r="BY128" s="349"/>
      <c r="BZ128" s="349"/>
      <c r="CA128" s="349"/>
      <c r="CB128" s="349"/>
      <c r="CC128" s="349"/>
      <c r="CD128" s="172"/>
      <c r="CE128" s="349"/>
      <c r="CF128" s="360" t="str">
        <f>IF((RD[[#This Row],[33 kV_Wind_F1_Export reading]]-BO127)*165000&lt;=0,"",(RD[[#This Row],[33 kV_Wind_F1_Export reading]]-BO127)*165000)</f>
        <v/>
      </c>
      <c r="CG128" s="227" t="str">
        <f>IF((RD[[#This Row],[33 kV_Wind_F2_Export_reading]]-BP127)*165000&lt;=0,"",(RD[[#This Row],[33 kV_Wind_F2_Export_reading]]-BP127)*165000)</f>
        <v/>
      </c>
      <c r="CH128" s="64" t="str">
        <f>IF((RD[[#This Row],[33 kV_Wind_F3_Export_Reading]]-BQ127)*225000&lt;=0,"",(RD[[#This Row],[33 kV_Wind_F3_Export_Reading]]-BQ127)*225000)</f>
        <v/>
      </c>
      <c r="CI128" s="64" t="str">
        <f>IF((RD[[#This Row],[33 kV_Wind_F4_Export Reading]]-BR127)*165000&lt;=0,"",(RD[[#This Row],[33 kV_Wind_F4_Export Reading]]-BR127)*165000)</f>
        <v/>
      </c>
      <c r="CJ128" s="209" t="str">
        <f>IF((RD[[#This Row],[33 kV_Solar_F1_Export Reading]]-BS127)*225000&lt;=0,"",(RD[[#This Row],[33 kV_Solar_F1_Export Reading]]-BS127)*225000)</f>
        <v/>
      </c>
      <c r="CK128" s="74" t="str">
        <f>IF((RD[[#This Row],[33kV_Solar_F2_Export Reading]]-BT127)*225000&lt;=0,"",(RD[[#This Row],[33kV_Solar_F2_Export Reading]]-BT127)*225000)</f>
        <v/>
      </c>
      <c r="CL128" s="209" t="str">
        <f>IF((RD[[#This Row],[33 kV_Solar_F3_Export reading]]-BU127)*225000&lt;=0,"",(RD[[#This Row],[33 kV_Solar_F3_Export reading]]-BU127)*225000)</f>
        <v/>
      </c>
      <c r="CM128" s="63" t="str">
        <f>IF((RD[[#This Row],[32kV_Solar_F4_Export reading]]-BV127)*225000&lt;=0,"",(RD[[#This Row],[32kV_Solar_F4_Export reading]]-BV127)*225000)</f>
        <v/>
      </c>
      <c r="CN128" s="227">
        <f>IF((RD[[#This Row],[33kV_OG1_Export reading]]-BW127)*1000&lt;=0,0,(RD[[#This Row],[33kV_OG1_Export reading]]-BW127)*1000)</f>
        <v>0</v>
      </c>
      <c r="CO128" s="227">
        <f>IFERROR(IF((RD[[#This Row],[33kV_OG2_Export reading]]-BX127)*1000&lt;=0,0,(RD[[#This Row],[33kV_OG2_Export reading]]-BX127)*1000),0)</f>
        <v>0</v>
      </c>
      <c r="CP128" s="74">
        <f>IF((RD[[#This Row],[220kV_TX1_Export reading]]-BY127)*800000&lt;=0,0,(RD[[#This Row],[220kV_TX1_Export reading]]-BY127)*800000)</f>
        <v>0</v>
      </c>
      <c r="CQ128" s="209">
        <f>IF((RD[[#This Row],[220kV_Tx2_Export reading]]-BZ127)*800000&lt;=0,0,(RD[[#This Row],[220kV_Tx2_Export reading]]-BZ127)*800000)</f>
        <v>0</v>
      </c>
      <c r="CR128" s="227">
        <f>IF((RD[[#This Row],[220kV_TL_TVM Export Reading]]-CA127)*1600000&lt;=0,0,(RD[[#This Row],[220kV_TL_TVM Export Reading]]-CA127)*1600000)</f>
        <v>0</v>
      </c>
      <c r="CS128" s="227" t="str">
        <f>IF((RD[[#This Row],[220kV_C&amp;R_PQM reading]]-CB127)*1600000&lt;=0,"",(RD[[#This Row],[220kV_C&amp;R_PQM reading]]-CB127)*1600000)</f>
        <v/>
      </c>
      <c r="CT128" s="209">
        <f>IFERROR(IF((RD[[#This Row],[220KV_C&amp;R_PQM Import Reading]]-CC127)*1600000&lt;=0,0,(RD[[#This Row],[220KV_C&amp;R_PQM Import Reading]]-CC127)*1600000),"")</f>
        <v>0</v>
      </c>
      <c r="CU128" s="64" t="str">
        <f>IF((RD[[#This Row],[33kV_Aux1 Import Reading]]-CD127)*1000&lt;=0,"",(RD[[#This Row],[33kV_Aux1 Import Reading]]-CD127)*1000)</f>
        <v/>
      </c>
      <c r="CV128" s="227" t="str">
        <f>IF((RD[[#This Row],[33kV_Aux2_Import reading]]-CE127)*1000&lt;=0,"",(RD[[#This Row],[33kV_Aux2_Import reading]]-CE127)*1000)</f>
        <v/>
      </c>
      <c r="CW128" s="227">
        <f>IFERROR(RD[[#This Row],[33kV_OG1_Energy (MWh)]]+RD[[#This Row],[33kV_OG2_Energy (MWh)]],"")</f>
        <v>0</v>
      </c>
      <c r="CX128" s="227">
        <f>IFERROR(RD[[#This Row],[220kV_TL_TVM Energy (MWh)]]-RD[[#This Row],[220KV_C&amp;R_PQM Import (MWh)]],"")</f>
        <v>0</v>
      </c>
      <c r="CY128" s="228" t="str">
        <f>IFERROR(RD[[#This Row],[33 kV Total Export (MWH)]]/RD[[#This Row],[220 KV Net Export (MWh)]]-1,"")</f>
        <v/>
      </c>
      <c r="CZ128" s="229">
        <f t="shared" si="114"/>
        <v>50.6</v>
      </c>
      <c r="DA128" s="230"/>
      <c r="DB128" s="231"/>
      <c r="DC128" s="232">
        <f>IFERROR((RD[[#This Row],[Sunset Time (POA&lt;20 W/m2)]]-RD[[#This Row],[Sunrise Time (POA&gt;20 W/m2)]])*24,0)</f>
        <v>0</v>
      </c>
      <c r="DD128" s="70">
        <f>SUM(RD[[#This Row],[33 kV_Wind_F3_Export_Reading3]],CJ128,CK128,CL128,CM128)</f>
        <v>0</v>
      </c>
      <c r="DE128" s="233"/>
      <c r="DF128" s="70">
        <f t="shared" si="103"/>
        <v>0</v>
      </c>
      <c r="DG128" s="230"/>
      <c r="DH128">
        <f>'WTG Reactive Power'!AB126</f>
        <v>0</v>
      </c>
    </row>
    <row r="129" spans="1:112">
      <c r="A129" s="210">
        <f>YEAR(RD[[#This Row],[Date]])+IF(MONTH(RD[[#This Row],[Date]])&gt;=4,1,0)</f>
        <v>2026</v>
      </c>
      <c r="B129" s="210">
        <f>YEAR(RD[[#This Row],[Date]])</f>
        <v>2025</v>
      </c>
      <c r="C129" s="211">
        <f t="shared" si="105"/>
        <v>45839</v>
      </c>
      <c r="D129" s="210">
        <f>DAY(EOMONTH(RD[[#This Row],[Date]],0))</f>
        <v>31</v>
      </c>
      <c r="E129" s="212">
        <f t="shared" si="106"/>
        <v>45869</v>
      </c>
      <c r="F129" s="206"/>
      <c r="G129" s="206"/>
      <c r="H129" s="213"/>
      <c r="I129" s="213"/>
      <c r="J129" s="213"/>
      <c r="K129" s="213"/>
      <c r="L129" s="213"/>
      <c r="M129" s="213"/>
      <c r="N129" s="213"/>
      <c r="O129" s="213"/>
      <c r="P129" s="213"/>
      <c r="Q129" s="213"/>
      <c r="R129" s="213"/>
      <c r="S129" s="213"/>
      <c r="T129" s="213"/>
      <c r="U129" s="213"/>
      <c r="V129" s="213"/>
      <c r="W129" s="213"/>
      <c r="X129" s="213"/>
      <c r="Y129" s="213"/>
      <c r="Z129" s="213"/>
      <c r="AA129" s="213"/>
      <c r="AB129" s="213"/>
      <c r="AC129" s="213"/>
      <c r="AD129" s="213"/>
      <c r="AE129" s="350"/>
      <c r="AF129" s="350"/>
      <c r="AG129" s="350"/>
      <c r="AH129" s="350"/>
      <c r="AI129" s="350"/>
      <c r="AJ129" s="350"/>
      <c r="AK129" s="350"/>
      <c r="AL129" s="350"/>
      <c r="AM129" s="350"/>
      <c r="AN129" s="350"/>
      <c r="AO129" s="350"/>
      <c r="AP129" s="350"/>
      <c r="AQ129" s="350"/>
      <c r="AR129" s="350"/>
      <c r="AS129" s="350"/>
      <c r="AT129" s="350"/>
      <c r="AU129" s="350"/>
      <c r="AV129" s="350"/>
      <c r="AW129" s="350"/>
      <c r="AX129" s="350"/>
      <c r="AY129" s="350"/>
      <c r="AZ129" s="350"/>
      <c r="BA129" s="350"/>
      <c r="BB129" s="214">
        <f t="shared" si="107"/>
        <v>0</v>
      </c>
      <c r="BC129" s="216">
        <f t="shared" si="108"/>
        <v>0</v>
      </c>
      <c r="BD129" s="180">
        <f t="shared" si="92"/>
        <v>0</v>
      </c>
      <c r="BE129" s="216">
        <f t="shared" si="109"/>
        <v>0</v>
      </c>
      <c r="BF129" s="179">
        <f t="shared" si="93"/>
        <v>0</v>
      </c>
      <c r="BG129" s="216">
        <f>SUM(RD[[#This Row],[KUD01]:[KUD23]])</f>
        <v>0</v>
      </c>
      <c r="BH129" s="217" t="str">
        <f t="shared" si="110"/>
        <v/>
      </c>
      <c r="BI129" s="219" t="str">
        <f t="shared" si="111"/>
        <v/>
      </c>
      <c r="BJ129" s="219" t="str">
        <f t="shared" si="112"/>
        <v/>
      </c>
      <c r="BK129" s="221">
        <f t="shared" si="113"/>
        <v>0</v>
      </c>
      <c r="BL129" s="61" t="str">
        <f>IFERROR(AVERAGEIF(RD[[#This Row],[WS_KUD07]:[WS_KUD08]],"&lt;&gt;0",RD[[#This Row],[WS_KUD07]:[WS_KUD08]]),"")</f>
        <v/>
      </c>
      <c r="BM129" s="223" t="str">
        <f>IFERROR(AVERAGE(RD[[#This Row],[WS_KUD01]:[WS_KUD23]]),"")</f>
        <v/>
      </c>
      <c r="BN129" s="224">
        <f>IFERROR(MAX(RD[[#This Row],[WS_KUD01]:[WS_KUD23]]),"")</f>
        <v>0</v>
      </c>
      <c r="BO129" s="172"/>
      <c r="BP129" s="349"/>
      <c r="BQ129" s="349"/>
      <c r="BR129" s="349"/>
      <c r="BS129" s="349"/>
      <c r="BT129" s="349"/>
      <c r="BU129" s="349"/>
      <c r="BV129" s="349"/>
      <c r="BW129" s="172"/>
      <c r="BX129" s="172"/>
      <c r="BY129" s="349"/>
      <c r="BZ129" s="349"/>
      <c r="CA129" s="349"/>
      <c r="CB129" s="349"/>
      <c r="CC129" s="349"/>
      <c r="CD129" s="172"/>
      <c r="CE129" s="349"/>
      <c r="CF129" s="360" t="str">
        <f>IF((RD[[#This Row],[33 kV_Wind_F1_Export reading]]-BO128)*165000&lt;=0,"",(RD[[#This Row],[33 kV_Wind_F1_Export reading]]-BO128)*165000)</f>
        <v/>
      </c>
      <c r="CG129" s="227" t="str">
        <f>IF((RD[[#This Row],[33 kV_Wind_F2_Export_reading]]-BP128)*165000&lt;=0,"",(RD[[#This Row],[33 kV_Wind_F2_Export_reading]]-BP128)*165000)</f>
        <v/>
      </c>
      <c r="CH129" s="64" t="str">
        <f>IF((RD[[#This Row],[33 kV_Wind_F3_Export_Reading]]-BQ128)*225000&lt;=0,"",(RD[[#This Row],[33 kV_Wind_F3_Export_Reading]]-BQ128)*225000)</f>
        <v/>
      </c>
      <c r="CI129" s="64" t="str">
        <f>IF((RD[[#This Row],[33 kV_Wind_F4_Export Reading]]-BR128)*165000&lt;=0,"",(RD[[#This Row],[33 kV_Wind_F4_Export Reading]]-BR128)*165000)</f>
        <v/>
      </c>
      <c r="CJ129" s="209" t="str">
        <f>IF((RD[[#This Row],[33 kV_Solar_F1_Export Reading]]-BS128)*225000&lt;=0,"",(RD[[#This Row],[33 kV_Solar_F1_Export Reading]]-BS128)*225000)</f>
        <v/>
      </c>
      <c r="CK129" s="74" t="str">
        <f>IF((RD[[#This Row],[33kV_Solar_F2_Export Reading]]-BT128)*225000&lt;=0,"",(RD[[#This Row],[33kV_Solar_F2_Export Reading]]-BT128)*225000)</f>
        <v/>
      </c>
      <c r="CL129" s="209" t="str">
        <f>IF((RD[[#This Row],[33 kV_Solar_F3_Export reading]]-BU128)*225000&lt;=0,"",(RD[[#This Row],[33 kV_Solar_F3_Export reading]]-BU128)*225000)</f>
        <v/>
      </c>
      <c r="CM129" s="63" t="str">
        <f>IF((RD[[#This Row],[32kV_Solar_F4_Export reading]]-BV128)*225000&lt;=0,"",(RD[[#This Row],[32kV_Solar_F4_Export reading]]-BV128)*225000)</f>
        <v/>
      </c>
      <c r="CN129" s="227">
        <f>IF((RD[[#This Row],[33kV_OG1_Export reading]]-BW128)*1000&lt;=0,0,(RD[[#This Row],[33kV_OG1_Export reading]]-BW128)*1000)</f>
        <v>0</v>
      </c>
      <c r="CO129" s="227">
        <f>IFERROR(IF((RD[[#This Row],[33kV_OG2_Export reading]]-BX128)*1000&lt;=0,0,(RD[[#This Row],[33kV_OG2_Export reading]]-BX128)*1000),0)</f>
        <v>0</v>
      </c>
      <c r="CP129" s="74">
        <f>IF((RD[[#This Row],[220kV_TX1_Export reading]]-BY128)*800000&lt;=0,0,(RD[[#This Row],[220kV_TX1_Export reading]]-BY128)*800000)</f>
        <v>0</v>
      </c>
      <c r="CQ129" s="209">
        <f>IF((RD[[#This Row],[220kV_Tx2_Export reading]]-BZ128)*800000&lt;=0,0,(RD[[#This Row],[220kV_Tx2_Export reading]]-BZ128)*800000)</f>
        <v>0</v>
      </c>
      <c r="CR129" s="227">
        <f>IF((RD[[#This Row],[220kV_TL_TVM Export Reading]]-CA128)*1600000&lt;=0,0,(RD[[#This Row],[220kV_TL_TVM Export Reading]]-CA128)*1600000)</f>
        <v>0</v>
      </c>
      <c r="CS129" s="227" t="str">
        <f>IF((RD[[#This Row],[220kV_C&amp;R_PQM reading]]-CB128)*1600000&lt;=0,"",(RD[[#This Row],[220kV_C&amp;R_PQM reading]]-CB128)*1600000)</f>
        <v/>
      </c>
      <c r="CT129" s="209">
        <f>IFERROR(IF((RD[[#This Row],[220KV_C&amp;R_PQM Import Reading]]-CC128)*1600000&lt;=0,0,(RD[[#This Row],[220KV_C&amp;R_PQM Import Reading]]-CC128)*1600000),"")</f>
        <v>0</v>
      </c>
      <c r="CU129" s="64" t="str">
        <f>IF((RD[[#This Row],[33kV_Aux1 Import Reading]]-CD128)*1000&lt;=0,"",(RD[[#This Row],[33kV_Aux1 Import Reading]]-CD128)*1000)</f>
        <v/>
      </c>
      <c r="CV129" s="227" t="str">
        <f>IF((RD[[#This Row],[33kV_Aux2_Import reading]]-CE128)*1000&lt;=0,"",(RD[[#This Row],[33kV_Aux2_Import reading]]-CE128)*1000)</f>
        <v/>
      </c>
      <c r="CW129" s="227">
        <f>IFERROR(RD[[#This Row],[33kV_OG1_Energy (MWh)]]+RD[[#This Row],[33kV_OG2_Energy (MWh)]],"")</f>
        <v>0</v>
      </c>
      <c r="CX129" s="227">
        <f>IFERROR(RD[[#This Row],[220kV_TL_TVM Energy (MWh)]]-RD[[#This Row],[220KV_C&amp;R_PQM Import (MWh)]],"")</f>
        <v>0</v>
      </c>
      <c r="CY129" s="228" t="str">
        <f>IFERROR(RD[[#This Row],[33 kV Total Export (MWH)]]/RD[[#This Row],[220 KV Net Export (MWh)]]-1,"")</f>
        <v/>
      </c>
      <c r="CZ129" s="229">
        <f t="shared" si="114"/>
        <v>50.6</v>
      </c>
      <c r="DA129" s="230"/>
      <c r="DB129" s="231"/>
      <c r="DC129" s="232">
        <f>IFERROR((RD[[#This Row],[Sunset Time (POA&lt;20 W/m2)]]-RD[[#This Row],[Sunrise Time (POA&gt;20 W/m2)]])*24,0)</f>
        <v>0</v>
      </c>
      <c r="DD129" s="70">
        <f>SUM(RD[[#This Row],[33 kV_Wind_F3_Export_Reading3]],CJ129,CK129,CL129,CM129)</f>
        <v>0</v>
      </c>
      <c r="DE129" s="233"/>
      <c r="DF129" s="70">
        <f t="shared" si="103"/>
        <v>0</v>
      </c>
      <c r="DG129" s="230"/>
      <c r="DH129">
        <f>'WTG Reactive Power'!AB127</f>
        <v>0</v>
      </c>
    </row>
    <row r="130" spans="1:112">
      <c r="A130" s="210">
        <f>YEAR(RD[[#This Row],[Date]])+IF(MONTH(RD[[#This Row],[Date]])&gt;=4,1,0)</f>
        <v>2026</v>
      </c>
      <c r="B130" s="210">
        <f>YEAR(RD[[#This Row],[Date]])</f>
        <v>2025</v>
      </c>
      <c r="C130" s="211">
        <f t="shared" si="105"/>
        <v>45870</v>
      </c>
      <c r="D130" s="210">
        <f>DAY(EOMONTH(RD[[#This Row],[Date]],0))</f>
        <v>31</v>
      </c>
      <c r="E130" s="212">
        <f t="shared" si="106"/>
        <v>45870</v>
      </c>
      <c r="F130" s="206"/>
      <c r="G130" s="206"/>
      <c r="H130" s="213"/>
      <c r="I130" s="213"/>
      <c r="J130" s="213"/>
      <c r="K130" s="213"/>
      <c r="L130" s="213"/>
      <c r="M130" s="213"/>
      <c r="N130" s="213"/>
      <c r="O130" s="213"/>
      <c r="P130" s="213"/>
      <c r="Q130" s="213"/>
      <c r="R130" s="213"/>
      <c r="S130" s="213"/>
      <c r="T130" s="213"/>
      <c r="U130" s="213"/>
      <c r="V130" s="213"/>
      <c r="W130" s="213"/>
      <c r="X130" s="213"/>
      <c r="Y130" s="213"/>
      <c r="Z130" s="213"/>
      <c r="AA130" s="213"/>
      <c r="AB130" s="213"/>
      <c r="AC130" s="213"/>
      <c r="AD130" s="213"/>
      <c r="AE130" s="350"/>
      <c r="AF130" s="350"/>
      <c r="AG130" s="350"/>
      <c r="AH130" s="350"/>
      <c r="AI130" s="350"/>
      <c r="AJ130" s="350"/>
      <c r="AK130" s="350"/>
      <c r="AL130" s="350"/>
      <c r="AM130" s="350"/>
      <c r="AN130" s="350"/>
      <c r="AO130" s="350"/>
      <c r="AP130" s="350"/>
      <c r="AQ130" s="350"/>
      <c r="AR130" s="350"/>
      <c r="AS130" s="350"/>
      <c r="AT130" s="350"/>
      <c r="AU130" s="350"/>
      <c r="AV130" s="350"/>
      <c r="AW130" s="350"/>
      <c r="AX130" s="350"/>
      <c r="AY130" s="350"/>
      <c r="AZ130" s="350"/>
      <c r="BA130" s="350"/>
      <c r="BB130" s="214">
        <f t="shared" si="107"/>
        <v>0</v>
      </c>
      <c r="BC130" s="216">
        <f t="shared" si="108"/>
        <v>0</v>
      </c>
      <c r="BD130" s="180">
        <f t="shared" si="92"/>
        <v>0</v>
      </c>
      <c r="BE130" s="216">
        <f t="shared" si="109"/>
        <v>0</v>
      </c>
      <c r="BF130" s="179">
        <f t="shared" si="93"/>
        <v>0</v>
      </c>
      <c r="BG130" s="216">
        <f>SUM(RD[[#This Row],[KUD01]:[KUD23]])</f>
        <v>0</v>
      </c>
      <c r="BH130" s="217" t="str">
        <f t="shared" si="110"/>
        <v/>
      </c>
      <c r="BI130" s="219" t="str">
        <f t="shared" si="111"/>
        <v/>
      </c>
      <c r="BJ130" s="219" t="str">
        <f t="shared" si="112"/>
        <v/>
      </c>
      <c r="BK130" s="221">
        <f t="shared" si="113"/>
        <v>0</v>
      </c>
      <c r="BL130" s="61" t="str">
        <f>IFERROR(AVERAGEIF(RD[[#This Row],[WS_KUD07]:[WS_KUD08]],"&lt;&gt;0",RD[[#This Row],[WS_KUD07]:[WS_KUD08]]),"")</f>
        <v/>
      </c>
      <c r="BM130" s="223" t="str">
        <f>IFERROR(AVERAGE(RD[[#This Row],[WS_KUD01]:[WS_KUD23]]),"")</f>
        <v/>
      </c>
      <c r="BN130" s="224">
        <f>IFERROR(MAX(RD[[#This Row],[WS_KUD01]:[WS_KUD23]]),"")</f>
        <v>0</v>
      </c>
      <c r="BO130" s="172"/>
      <c r="BP130" s="349"/>
      <c r="BQ130" s="349"/>
      <c r="BR130" s="349"/>
      <c r="BS130" s="349"/>
      <c r="BT130" s="349"/>
      <c r="BU130" s="349"/>
      <c r="BV130" s="349"/>
      <c r="BW130" s="172"/>
      <c r="BX130" s="172"/>
      <c r="BY130" s="349"/>
      <c r="BZ130" s="349"/>
      <c r="CA130" s="349"/>
      <c r="CB130" s="349"/>
      <c r="CC130" s="349"/>
      <c r="CD130" s="172"/>
      <c r="CE130" s="349"/>
      <c r="CF130" s="360" t="str">
        <f>IF((RD[[#This Row],[33 kV_Wind_F1_Export reading]]-BO129)*165000&lt;=0,"",(RD[[#This Row],[33 kV_Wind_F1_Export reading]]-BO129)*165000)</f>
        <v/>
      </c>
      <c r="CG130" s="227" t="str">
        <f>IF((RD[[#This Row],[33 kV_Wind_F2_Export_reading]]-BP129)*165000&lt;=0,"",(RD[[#This Row],[33 kV_Wind_F2_Export_reading]]-BP129)*165000)</f>
        <v/>
      </c>
      <c r="CH130" s="64" t="str">
        <f>IF((RD[[#This Row],[33 kV_Wind_F3_Export_Reading]]-BQ129)*225000&lt;=0,"",(RD[[#This Row],[33 kV_Wind_F3_Export_Reading]]-BQ129)*225000)</f>
        <v/>
      </c>
      <c r="CI130" s="64" t="str">
        <f>IF((RD[[#This Row],[33 kV_Wind_F4_Export Reading]]-BR129)*165000&lt;=0,"",(RD[[#This Row],[33 kV_Wind_F4_Export Reading]]-BR129)*165000)</f>
        <v/>
      </c>
      <c r="CJ130" s="209" t="str">
        <f>IF((RD[[#This Row],[33 kV_Solar_F1_Export Reading]]-BS129)*225000&lt;=0,"",(RD[[#This Row],[33 kV_Solar_F1_Export Reading]]-BS129)*225000)</f>
        <v/>
      </c>
      <c r="CK130" s="74" t="str">
        <f>IF((RD[[#This Row],[33kV_Solar_F2_Export Reading]]-BT129)*225000&lt;=0,"",(RD[[#This Row],[33kV_Solar_F2_Export Reading]]-BT129)*225000)</f>
        <v/>
      </c>
      <c r="CL130" s="209" t="str">
        <f>IF((RD[[#This Row],[33 kV_Solar_F3_Export reading]]-BU129)*225000&lt;=0,"",(RD[[#This Row],[33 kV_Solar_F3_Export reading]]-BU129)*225000)</f>
        <v/>
      </c>
      <c r="CM130" s="63" t="str">
        <f>IF((RD[[#This Row],[32kV_Solar_F4_Export reading]]-BV129)*225000&lt;=0,"",(RD[[#This Row],[32kV_Solar_F4_Export reading]]-BV129)*225000)</f>
        <v/>
      </c>
      <c r="CN130" s="227">
        <f>IF((RD[[#This Row],[33kV_OG1_Export reading]]-BW129)*1000&lt;=0,0,(RD[[#This Row],[33kV_OG1_Export reading]]-BW129)*1000)</f>
        <v>0</v>
      </c>
      <c r="CO130" s="227">
        <f>IFERROR(IF((RD[[#This Row],[33kV_OG2_Export reading]]-BX129)*1000&lt;=0,0,(RD[[#This Row],[33kV_OG2_Export reading]]-BX129)*1000),0)</f>
        <v>0</v>
      </c>
      <c r="CP130" s="74">
        <f>IF((RD[[#This Row],[220kV_TX1_Export reading]]-BY129)*800000&lt;=0,0,(RD[[#This Row],[220kV_TX1_Export reading]]-BY129)*800000)</f>
        <v>0</v>
      </c>
      <c r="CQ130" s="209">
        <f>IF((RD[[#This Row],[220kV_Tx2_Export reading]]-BZ129)*800000&lt;=0,0,(RD[[#This Row],[220kV_Tx2_Export reading]]-BZ129)*800000)</f>
        <v>0</v>
      </c>
      <c r="CR130" s="227">
        <f>IF((RD[[#This Row],[220kV_TL_TVM Export Reading]]-CA129)*1600000&lt;=0,0,(RD[[#This Row],[220kV_TL_TVM Export Reading]]-CA129)*1600000)</f>
        <v>0</v>
      </c>
      <c r="CS130" s="227" t="str">
        <f>IF((RD[[#This Row],[220kV_C&amp;R_PQM reading]]-CB129)*1600000&lt;=0,"",(RD[[#This Row],[220kV_C&amp;R_PQM reading]]-CB129)*1600000)</f>
        <v/>
      </c>
      <c r="CT130" s="209">
        <f>IFERROR(IF((RD[[#This Row],[220KV_C&amp;R_PQM Import Reading]]-CC129)*1600000&lt;=0,0,(RD[[#This Row],[220KV_C&amp;R_PQM Import Reading]]-CC129)*1600000),"")</f>
        <v>0</v>
      </c>
      <c r="CU130" s="64" t="str">
        <f>IF((RD[[#This Row],[33kV_Aux1 Import Reading]]-CD129)*1000&lt;=0,"",(RD[[#This Row],[33kV_Aux1 Import Reading]]-CD129)*1000)</f>
        <v/>
      </c>
      <c r="CV130" s="227" t="str">
        <f>IF((RD[[#This Row],[33kV_Aux2_Import reading]]-CE129)*1000&lt;=0,"",(RD[[#This Row],[33kV_Aux2_Import reading]]-CE129)*1000)</f>
        <v/>
      </c>
      <c r="CW130" s="227">
        <f>IFERROR(RD[[#This Row],[33kV_OG1_Energy (MWh)]]+RD[[#This Row],[33kV_OG2_Energy (MWh)]],"")</f>
        <v>0</v>
      </c>
      <c r="CX130" s="227">
        <f>IFERROR(RD[[#This Row],[220kV_TL_TVM Energy (MWh)]]-RD[[#This Row],[220KV_C&amp;R_PQM Import (MWh)]],"")</f>
        <v>0</v>
      </c>
      <c r="CY130" s="228" t="str">
        <f>IFERROR(RD[[#This Row],[33 kV Total Export (MWH)]]/RD[[#This Row],[220 KV Net Export (MWh)]]-1,"")</f>
        <v/>
      </c>
      <c r="CZ130" s="229">
        <f t="shared" si="114"/>
        <v>50.6</v>
      </c>
      <c r="DA130" s="230"/>
      <c r="DB130" s="231"/>
      <c r="DC130" s="232">
        <f>IFERROR((RD[[#This Row],[Sunset Time (POA&lt;20 W/m2)]]-RD[[#This Row],[Sunrise Time (POA&gt;20 W/m2)]])*24,0)</f>
        <v>0</v>
      </c>
      <c r="DD130" s="70">
        <f>SUM(RD[[#This Row],[33 kV_Wind_F3_Export_Reading3]],CJ130,CK130,CL130,CM130)</f>
        <v>0</v>
      </c>
      <c r="DE130" s="233"/>
      <c r="DF130" s="70">
        <f t="shared" si="103"/>
        <v>0</v>
      </c>
      <c r="DG130" s="230"/>
      <c r="DH130">
        <f>'WTG Reactive Power'!AB128</f>
        <v>0</v>
      </c>
    </row>
    <row r="131" spans="1:112">
      <c r="A131" s="210">
        <f>YEAR(RD[[#This Row],[Date]])+IF(MONTH(RD[[#This Row],[Date]])&gt;=4,1,0)</f>
        <v>2026</v>
      </c>
      <c r="B131" s="210">
        <f>YEAR(RD[[#This Row],[Date]])</f>
        <v>2025</v>
      </c>
      <c r="C131" s="211">
        <f t="shared" si="105"/>
        <v>45870</v>
      </c>
      <c r="D131" s="210">
        <f>DAY(EOMONTH(RD[[#This Row],[Date]],0))</f>
        <v>31</v>
      </c>
      <c r="E131" s="212">
        <f t="shared" si="106"/>
        <v>45871</v>
      </c>
      <c r="F131" s="206"/>
      <c r="G131" s="206"/>
      <c r="H131" s="213"/>
      <c r="I131" s="213"/>
      <c r="J131" s="213"/>
      <c r="K131" s="213"/>
      <c r="L131" s="213"/>
      <c r="M131" s="213"/>
      <c r="N131" s="213"/>
      <c r="O131" s="213"/>
      <c r="P131" s="213"/>
      <c r="Q131" s="213"/>
      <c r="R131" s="213"/>
      <c r="S131" s="213"/>
      <c r="T131" s="213"/>
      <c r="U131" s="213"/>
      <c r="V131" s="213"/>
      <c r="W131" s="213"/>
      <c r="X131" s="213"/>
      <c r="Y131" s="213"/>
      <c r="Z131" s="213"/>
      <c r="AA131" s="213"/>
      <c r="AB131" s="213"/>
      <c r="AC131" s="213"/>
      <c r="AD131" s="213"/>
      <c r="AE131" s="350"/>
      <c r="AF131" s="350"/>
      <c r="AG131" s="350"/>
      <c r="AH131" s="350"/>
      <c r="AI131" s="350"/>
      <c r="AJ131" s="350"/>
      <c r="AK131" s="350"/>
      <c r="AL131" s="350"/>
      <c r="AM131" s="350"/>
      <c r="AN131" s="350"/>
      <c r="AO131" s="350"/>
      <c r="AP131" s="350"/>
      <c r="AQ131" s="350"/>
      <c r="AR131" s="350"/>
      <c r="AS131" s="350"/>
      <c r="AT131" s="350"/>
      <c r="AU131" s="350"/>
      <c r="AV131" s="350"/>
      <c r="AW131" s="350"/>
      <c r="AX131" s="350"/>
      <c r="AY131" s="350"/>
      <c r="AZ131" s="350"/>
      <c r="BA131" s="350"/>
      <c r="BB131" s="214">
        <f t="shared" si="107"/>
        <v>0</v>
      </c>
      <c r="BC131" s="216">
        <f t="shared" si="108"/>
        <v>0</v>
      </c>
      <c r="BD131" s="180">
        <f t="shared" si="92"/>
        <v>0</v>
      </c>
      <c r="BE131" s="216">
        <f t="shared" si="109"/>
        <v>0</v>
      </c>
      <c r="BF131" s="179">
        <f t="shared" si="93"/>
        <v>0</v>
      </c>
      <c r="BG131" s="216">
        <f>SUM(RD[[#This Row],[KUD01]:[KUD23]])</f>
        <v>0</v>
      </c>
      <c r="BH131" s="217" t="str">
        <f t="shared" si="110"/>
        <v/>
      </c>
      <c r="BI131" s="219" t="str">
        <f t="shared" si="111"/>
        <v/>
      </c>
      <c r="BJ131" s="219" t="str">
        <f t="shared" si="112"/>
        <v/>
      </c>
      <c r="BK131" s="221">
        <f t="shared" si="113"/>
        <v>0</v>
      </c>
      <c r="BL131" s="61" t="str">
        <f>IFERROR(AVERAGEIF(RD[[#This Row],[WS_KUD07]:[WS_KUD08]],"&lt;&gt;0",RD[[#This Row],[WS_KUD07]:[WS_KUD08]]),"")</f>
        <v/>
      </c>
      <c r="BM131" s="223" t="str">
        <f>IFERROR(AVERAGE(RD[[#This Row],[WS_KUD01]:[WS_KUD23]]),"")</f>
        <v/>
      </c>
      <c r="BN131" s="224">
        <f>IFERROR(MAX(RD[[#This Row],[WS_KUD01]:[WS_KUD23]]),"")</f>
        <v>0</v>
      </c>
      <c r="BO131" s="172"/>
      <c r="BP131" s="349"/>
      <c r="BQ131" s="349"/>
      <c r="BR131" s="349"/>
      <c r="BS131" s="349"/>
      <c r="BT131" s="349"/>
      <c r="BU131" s="349"/>
      <c r="BV131" s="349"/>
      <c r="BW131" s="172"/>
      <c r="BX131" s="172"/>
      <c r="BY131" s="349"/>
      <c r="BZ131" s="349"/>
      <c r="CA131" s="349"/>
      <c r="CB131" s="349"/>
      <c r="CC131" s="349"/>
      <c r="CD131" s="172"/>
      <c r="CE131" s="349"/>
      <c r="CF131" s="360" t="str">
        <f>IF((RD[[#This Row],[33 kV_Wind_F1_Export reading]]-BO130)*165000&lt;=0,"",(RD[[#This Row],[33 kV_Wind_F1_Export reading]]-BO130)*165000)</f>
        <v/>
      </c>
      <c r="CG131" s="227" t="str">
        <f>IF((RD[[#This Row],[33 kV_Wind_F2_Export_reading]]-BP130)*165000&lt;=0,"",(RD[[#This Row],[33 kV_Wind_F2_Export_reading]]-BP130)*165000)</f>
        <v/>
      </c>
      <c r="CH131" s="64" t="str">
        <f>IF((RD[[#This Row],[33 kV_Wind_F3_Export_Reading]]-BQ130)*225000&lt;=0,"",(RD[[#This Row],[33 kV_Wind_F3_Export_Reading]]-BQ130)*225000)</f>
        <v/>
      </c>
      <c r="CI131" s="64" t="str">
        <f>IF((RD[[#This Row],[33 kV_Wind_F4_Export Reading]]-BR130)*165000&lt;=0,"",(RD[[#This Row],[33 kV_Wind_F4_Export Reading]]-BR130)*165000)</f>
        <v/>
      </c>
      <c r="CJ131" s="209" t="str">
        <f>IF((RD[[#This Row],[33 kV_Solar_F1_Export Reading]]-BS130)*225000&lt;=0,"",(RD[[#This Row],[33 kV_Solar_F1_Export Reading]]-BS130)*225000)</f>
        <v/>
      </c>
      <c r="CK131" s="74" t="str">
        <f>IF((RD[[#This Row],[33kV_Solar_F2_Export Reading]]-BT130)*225000&lt;=0,"",(RD[[#This Row],[33kV_Solar_F2_Export Reading]]-BT130)*225000)</f>
        <v/>
      </c>
      <c r="CL131" s="209" t="str">
        <f>IF((RD[[#This Row],[33 kV_Solar_F3_Export reading]]-BU130)*225000&lt;=0,"",(RD[[#This Row],[33 kV_Solar_F3_Export reading]]-BU130)*225000)</f>
        <v/>
      </c>
      <c r="CM131" s="63" t="str">
        <f>IF((RD[[#This Row],[32kV_Solar_F4_Export reading]]-BV130)*225000&lt;=0,"",(RD[[#This Row],[32kV_Solar_F4_Export reading]]-BV130)*225000)</f>
        <v/>
      </c>
      <c r="CN131" s="227">
        <f>IF((RD[[#This Row],[33kV_OG1_Export reading]]-BW130)*1000&lt;=0,0,(RD[[#This Row],[33kV_OG1_Export reading]]-BW130)*1000)</f>
        <v>0</v>
      </c>
      <c r="CO131" s="227">
        <f>IFERROR(IF((RD[[#This Row],[33kV_OG2_Export reading]]-BX130)*1000&lt;=0,0,(RD[[#This Row],[33kV_OG2_Export reading]]-BX130)*1000),0)</f>
        <v>0</v>
      </c>
      <c r="CP131" s="74">
        <f>IF((RD[[#This Row],[220kV_TX1_Export reading]]-BY130)*800000&lt;=0,0,(RD[[#This Row],[220kV_TX1_Export reading]]-BY130)*800000)</f>
        <v>0</v>
      </c>
      <c r="CQ131" s="209">
        <f>IF((RD[[#This Row],[220kV_Tx2_Export reading]]-BZ130)*800000&lt;=0,0,(RD[[#This Row],[220kV_Tx2_Export reading]]-BZ130)*800000)</f>
        <v>0</v>
      </c>
      <c r="CR131" s="227">
        <f>IF((RD[[#This Row],[220kV_TL_TVM Export Reading]]-CA130)*1600000&lt;=0,0,(RD[[#This Row],[220kV_TL_TVM Export Reading]]-CA130)*1600000)</f>
        <v>0</v>
      </c>
      <c r="CS131" s="227" t="str">
        <f>IF((RD[[#This Row],[220kV_C&amp;R_PQM reading]]-CB130)*1600000&lt;=0,"",(RD[[#This Row],[220kV_C&amp;R_PQM reading]]-CB130)*1600000)</f>
        <v/>
      </c>
      <c r="CT131" s="209">
        <f>IFERROR(IF((RD[[#This Row],[220KV_C&amp;R_PQM Import Reading]]-CC130)*1600000&lt;=0,0,(RD[[#This Row],[220KV_C&amp;R_PQM Import Reading]]-CC130)*1600000),"")</f>
        <v>0</v>
      </c>
      <c r="CU131" s="64" t="str">
        <f>IF((RD[[#This Row],[33kV_Aux1 Import Reading]]-CD130)*1000&lt;=0,"",(RD[[#This Row],[33kV_Aux1 Import Reading]]-CD130)*1000)</f>
        <v/>
      </c>
      <c r="CV131" s="227" t="str">
        <f>IF((RD[[#This Row],[33kV_Aux2_Import reading]]-CE130)*1000&lt;=0,"",(RD[[#This Row],[33kV_Aux2_Import reading]]-CE130)*1000)</f>
        <v/>
      </c>
      <c r="CW131" s="227">
        <f>IFERROR(RD[[#This Row],[33kV_OG1_Energy (MWh)]]+RD[[#This Row],[33kV_OG2_Energy (MWh)]],"")</f>
        <v>0</v>
      </c>
      <c r="CX131" s="227">
        <f>IFERROR(RD[[#This Row],[220kV_TL_TVM Energy (MWh)]]-RD[[#This Row],[220KV_C&amp;R_PQM Import (MWh)]],"")</f>
        <v>0</v>
      </c>
      <c r="CY131" s="228" t="str">
        <f>IFERROR(RD[[#This Row],[33 kV Total Export (MWH)]]/RD[[#This Row],[220 KV Net Export (MWh)]]-1,"")</f>
        <v/>
      </c>
      <c r="CZ131" s="229">
        <f t="shared" si="114"/>
        <v>50.6</v>
      </c>
      <c r="DA131" s="230"/>
      <c r="DB131" s="231"/>
      <c r="DC131" s="232">
        <f>IFERROR((RD[[#This Row],[Sunset Time (POA&lt;20 W/m2)]]-RD[[#This Row],[Sunrise Time (POA&gt;20 W/m2)]])*24,0)</f>
        <v>0</v>
      </c>
      <c r="DD131" s="70">
        <f>SUM(RD[[#This Row],[33 kV_Wind_F3_Export_Reading3]],CJ131,CK131,CL131,CM131)</f>
        <v>0</v>
      </c>
      <c r="DE131" s="233"/>
      <c r="DF131" s="70">
        <f t="shared" si="103"/>
        <v>0</v>
      </c>
      <c r="DG131" s="230"/>
      <c r="DH131">
        <f>'WTG Reactive Power'!AB129</f>
        <v>0</v>
      </c>
    </row>
    <row r="132" spans="1:112">
      <c r="A132" s="210">
        <f>YEAR(RD[[#This Row],[Date]])+IF(MONTH(RD[[#This Row],[Date]])&gt;=4,1,0)</f>
        <v>2026</v>
      </c>
      <c r="B132" s="210">
        <f>YEAR(RD[[#This Row],[Date]])</f>
        <v>2025</v>
      </c>
      <c r="C132" s="211">
        <f t="shared" si="105"/>
        <v>45870</v>
      </c>
      <c r="D132" s="210">
        <f>DAY(EOMONTH(RD[[#This Row],[Date]],0))</f>
        <v>31</v>
      </c>
      <c r="E132" s="212">
        <f t="shared" si="106"/>
        <v>45872</v>
      </c>
      <c r="F132" s="206"/>
      <c r="G132" s="206"/>
      <c r="H132" s="213"/>
      <c r="I132" s="213"/>
      <c r="J132" s="213"/>
      <c r="K132" s="213"/>
      <c r="L132" s="213"/>
      <c r="M132" s="213"/>
      <c r="N132" s="213"/>
      <c r="O132" s="213"/>
      <c r="P132" s="213"/>
      <c r="Q132" s="213"/>
      <c r="R132" s="213"/>
      <c r="S132" s="213"/>
      <c r="T132" s="213"/>
      <c r="U132" s="213"/>
      <c r="V132" s="213"/>
      <c r="W132" s="213"/>
      <c r="X132" s="213"/>
      <c r="Y132" s="213"/>
      <c r="Z132" s="213"/>
      <c r="AA132" s="213"/>
      <c r="AB132" s="213"/>
      <c r="AC132" s="213"/>
      <c r="AD132" s="213"/>
      <c r="AE132" s="350"/>
      <c r="AF132" s="350"/>
      <c r="AG132" s="350"/>
      <c r="AH132" s="350"/>
      <c r="AI132" s="350"/>
      <c r="AJ132" s="350"/>
      <c r="AK132" s="350"/>
      <c r="AL132" s="350"/>
      <c r="AM132" s="350"/>
      <c r="AN132" s="350"/>
      <c r="AO132" s="350"/>
      <c r="AP132" s="350"/>
      <c r="AQ132" s="350"/>
      <c r="AR132" s="350"/>
      <c r="AS132" s="350"/>
      <c r="AT132" s="350"/>
      <c r="AU132" s="350"/>
      <c r="AV132" s="350"/>
      <c r="AW132" s="350"/>
      <c r="AX132" s="350"/>
      <c r="AY132" s="350"/>
      <c r="AZ132" s="350"/>
      <c r="BA132" s="350"/>
      <c r="BB132" s="214">
        <f t="shared" si="107"/>
        <v>0</v>
      </c>
      <c r="BC132" s="216">
        <f t="shared" si="108"/>
        <v>0</v>
      </c>
      <c r="BD132" s="180">
        <f t="shared" si="92"/>
        <v>0</v>
      </c>
      <c r="BE132" s="216">
        <f t="shared" si="109"/>
        <v>0</v>
      </c>
      <c r="BF132" s="179">
        <f t="shared" si="93"/>
        <v>0</v>
      </c>
      <c r="BG132" s="216">
        <f>SUM(RD[[#This Row],[KUD01]:[KUD23]])</f>
        <v>0</v>
      </c>
      <c r="BH132" s="217" t="str">
        <f t="shared" si="110"/>
        <v/>
      </c>
      <c r="BI132" s="219" t="str">
        <f t="shared" si="111"/>
        <v/>
      </c>
      <c r="BJ132" s="219" t="str">
        <f t="shared" si="112"/>
        <v/>
      </c>
      <c r="BK132" s="221">
        <f t="shared" si="113"/>
        <v>0</v>
      </c>
      <c r="BL132" s="61" t="str">
        <f>IFERROR(AVERAGEIF(RD[[#This Row],[WS_KUD07]:[WS_KUD08]],"&lt;&gt;0",RD[[#This Row],[WS_KUD07]:[WS_KUD08]]),"")</f>
        <v/>
      </c>
      <c r="BM132" s="223" t="str">
        <f>IFERROR(AVERAGE(RD[[#This Row],[WS_KUD01]:[WS_KUD23]]),"")</f>
        <v/>
      </c>
      <c r="BN132" s="224">
        <f>IFERROR(MAX(RD[[#This Row],[WS_KUD01]:[WS_KUD23]]),"")</f>
        <v>0</v>
      </c>
      <c r="BO132" s="172"/>
      <c r="BP132" s="349"/>
      <c r="BQ132" s="349"/>
      <c r="BR132" s="349"/>
      <c r="BS132" s="349"/>
      <c r="BT132" s="349"/>
      <c r="BU132" s="349"/>
      <c r="BV132" s="349"/>
      <c r="BW132" s="172"/>
      <c r="BX132" s="172"/>
      <c r="BY132" s="349"/>
      <c r="BZ132" s="349"/>
      <c r="CA132" s="349"/>
      <c r="CB132" s="349"/>
      <c r="CC132" s="349"/>
      <c r="CD132" s="172"/>
      <c r="CE132" s="349"/>
      <c r="CF132" s="360" t="str">
        <f>IF((RD[[#This Row],[33 kV_Wind_F1_Export reading]]-BO131)*165000&lt;=0,"",(RD[[#This Row],[33 kV_Wind_F1_Export reading]]-BO131)*165000)</f>
        <v/>
      </c>
      <c r="CG132" s="227" t="str">
        <f>IF((RD[[#This Row],[33 kV_Wind_F2_Export_reading]]-BP131)*165000&lt;=0,"",(RD[[#This Row],[33 kV_Wind_F2_Export_reading]]-BP131)*165000)</f>
        <v/>
      </c>
      <c r="CH132" s="64" t="str">
        <f>IF((RD[[#This Row],[33 kV_Wind_F3_Export_Reading]]-BQ131)*225000&lt;=0,"",(RD[[#This Row],[33 kV_Wind_F3_Export_Reading]]-BQ131)*225000)</f>
        <v/>
      </c>
      <c r="CI132" s="64" t="str">
        <f>IF((RD[[#This Row],[33 kV_Wind_F4_Export Reading]]-BR131)*165000&lt;=0,"",(RD[[#This Row],[33 kV_Wind_F4_Export Reading]]-BR131)*165000)</f>
        <v/>
      </c>
      <c r="CJ132" s="209" t="str">
        <f>IF((RD[[#This Row],[33 kV_Solar_F1_Export Reading]]-BS131)*225000&lt;=0,"",(RD[[#This Row],[33 kV_Solar_F1_Export Reading]]-BS131)*225000)</f>
        <v/>
      </c>
      <c r="CK132" s="74" t="str">
        <f>IF((RD[[#This Row],[33kV_Solar_F2_Export Reading]]-BT131)*225000&lt;=0,"",(RD[[#This Row],[33kV_Solar_F2_Export Reading]]-BT131)*225000)</f>
        <v/>
      </c>
      <c r="CL132" s="209" t="str">
        <f>IF((RD[[#This Row],[33 kV_Solar_F3_Export reading]]-BU131)*225000&lt;=0,"",(RD[[#This Row],[33 kV_Solar_F3_Export reading]]-BU131)*225000)</f>
        <v/>
      </c>
      <c r="CM132" s="63" t="str">
        <f>IF((RD[[#This Row],[32kV_Solar_F4_Export reading]]-BV131)*225000&lt;=0,"",(RD[[#This Row],[32kV_Solar_F4_Export reading]]-BV131)*225000)</f>
        <v/>
      </c>
      <c r="CN132" s="227">
        <f>IF((RD[[#This Row],[33kV_OG1_Export reading]]-BW131)*1000&lt;=0,0,(RD[[#This Row],[33kV_OG1_Export reading]]-BW131)*1000)</f>
        <v>0</v>
      </c>
      <c r="CO132" s="227">
        <f>IFERROR(IF((RD[[#This Row],[33kV_OG2_Export reading]]-BX131)*1000&lt;=0,0,(RD[[#This Row],[33kV_OG2_Export reading]]-BX131)*1000),0)</f>
        <v>0</v>
      </c>
      <c r="CP132" s="74">
        <f>IF((RD[[#This Row],[220kV_TX1_Export reading]]-BY131)*800000&lt;=0,0,(RD[[#This Row],[220kV_TX1_Export reading]]-BY131)*800000)</f>
        <v>0</v>
      </c>
      <c r="CQ132" s="209">
        <f>IF((RD[[#This Row],[220kV_Tx2_Export reading]]-BZ131)*800000&lt;=0,0,(RD[[#This Row],[220kV_Tx2_Export reading]]-BZ131)*800000)</f>
        <v>0</v>
      </c>
      <c r="CR132" s="227">
        <f>IF((RD[[#This Row],[220kV_TL_TVM Export Reading]]-CA131)*1600000&lt;=0,0,(RD[[#This Row],[220kV_TL_TVM Export Reading]]-CA131)*1600000)</f>
        <v>0</v>
      </c>
      <c r="CS132" s="227" t="str">
        <f>IF((RD[[#This Row],[220kV_C&amp;R_PQM reading]]-CB131)*1600000&lt;=0,"",(RD[[#This Row],[220kV_C&amp;R_PQM reading]]-CB131)*1600000)</f>
        <v/>
      </c>
      <c r="CT132" s="209">
        <f>IFERROR(IF((RD[[#This Row],[220KV_C&amp;R_PQM Import Reading]]-CC131)*1600000&lt;=0,0,(RD[[#This Row],[220KV_C&amp;R_PQM Import Reading]]-CC131)*1600000),"")</f>
        <v>0</v>
      </c>
      <c r="CU132" s="64" t="str">
        <f>IF((RD[[#This Row],[33kV_Aux1 Import Reading]]-CD131)*1000&lt;=0,"",(RD[[#This Row],[33kV_Aux1 Import Reading]]-CD131)*1000)</f>
        <v/>
      </c>
      <c r="CV132" s="227" t="str">
        <f>IF((RD[[#This Row],[33kV_Aux2_Import reading]]-CE131)*1000&lt;=0,"",(RD[[#This Row],[33kV_Aux2_Import reading]]-CE131)*1000)</f>
        <v/>
      </c>
      <c r="CW132" s="227">
        <f>IFERROR(RD[[#This Row],[33kV_OG1_Energy (MWh)]]+RD[[#This Row],[33kV_OG2_Energy (MWh)]],"")</f>
        <v>0</v>
      </c>
      <c r="CX132" s="227">
        <f>IFERROR(RD[[#This Row],[220kV_TL_TVM Energy (MWh)]]-RD[[#This Row],[220KV_C&amp;R_PQM Import (MWh)]],"")</f>
        <v>0</v>
      </c>
      <c r="CY132" s="228" t="str">
        <f>IFERROR(RD[[#This Row],[33 kV Total Export (MWH)]]/RD[[#This Row],[220 KV Net Export (MWh)]]-1,"")</f>
        <v/>
      </c>
      <c r="CZ132" s="229">
        <f t="shared" si="114"/>
        <v>50.6</v>
      </c>
      <c r="DA132" s="230"/>
      <c r="DB132" s="231"/>
      <c r="DC132" s="232">
        <f>IFERROR((RD[[#This Row],[Sunset Time (POA&lt;20 W/m2)]]-RD[[#This Row],[Sunrise Time (POA&gt;20 W/m2)]])*24,0)</f>
        <v>0</v>
      </c>
      <c r="DD132" s="70">
        <f>SUM(RD[[#This Row],[33 kV_Wind_F3_Export_Reading3]],CJ132,CK132,CL132,CM132)</f>
        <v>0</v>
      </c>
      <c r="DE132" s="233"/>
      <c r="DF132" s="70">
        <f t="shared" si="103"/>
        <v>0</v>
      </c>
      <c r="DG132" s="230"/>
      <c r="DH132">
        <f>'WTG Reactive Power'!AB130</f>
        <v>0</v>
      </c>
    </row>
    <row r="133" spans="1:112">
      <c r="A133" s="210">
        <f>YEAR(RD[[#This Row],[Date]])+IF(MONTH(RD[[#This Row],[Date]])&gt;=4,1,0)</f>
        <v>2026</v>
      </c>
      <c r="B133" s="210">
        <f>YEAR(RD[[#This Row],[Date]])</f>
        <v>2025</v>
      </c>
      <c r="C133" s="211">
        <f t="shared" si="105"/>
        <v>45870</v>
      </c>
      <c r="D133" s="210">
        <f>DAY(EOMONTH(RD[[#This Row],[Date]],0))</f>
        <v>31</v>
      </c>
      <c r="E133" s="212">
        <f t="shared" si="106"/>
        <v>45873</v>
      </c>
      <c r="F133" s="206"/>
      <c r="G133" s="206"/>
      <c r="H133" s="213"/>
      <c r="I133" s="213"/>
      <c r="J133" s="213"/>
      <c r="K133" s="213"/>
      <c r="L133" s="213"/>
      <c r="M133" s="213"/>
      <c r="N133" s="213"/>
      <c r="O133" s="213"/>
      <c r="P133" s="213"/>
      <c r="Q133" s="213"/>
      <c r="R133" s="213"/>
      <c r="S133" s="213"/>
      <c r="T133" s="213"/>
      <c r="U133" s="213"/>
      <c r="V133" s="213"/>
      <c r="W133" s="213"/>
      <c r="X133" s="213"/>
      <c r="Y133" s="213"/>
      <c r="Z133" s="213"/>
      <c r="AA133" s="213"/>
      <c r="AB133" s="213"/>
      <c r="AC133" s="213"/>
      <c r="AD133" s="213"/>
      <c r="AE133" s="350"/>
      <c r="AF133" s="350"/>
      <c r="AG133" s="350"/>
      <c r="AH133" s="350"/>
      <c r="AI133" s="350"/>
      <c r="AJ133" s="350"/>
      <c r="AK133" s="350"/>
      <c r="AL133" s="350"/>
      <c r="AM133" s="350"/>
      <c r="AN133" s="350"/>
      <c r="AO133" s="350"/>
      <c r="AP133" s="350"/>
      <c r="AQ133" s="350"/>
      <c r="AR133" s="350"/>
      <c r="AS133" s="350"/>
      <c r="AT133" s="350"/>
      <c r="AU133" s="350"/>
      <c r="AV133" s="350"/>
      <c r="AW133" s="350"/>
      <c r="AX133" s="350"/>
      <c r="AY133" s="350"/>
      <c r="AZ133" s="350"/>
      <c r="BA133" s="350"/>
      <c r="BB133" s="214">
        <f t="shared" si="107"/>
        <v>0</v>
      </c>
      <c r="BC133" s="216">
        <f t="shared" si="108"/>
        <v>0</v>
      </c>
      <c r="BD133" s="180">
        <f t="shared" si="92"/>
        <v>0</v>
      </c>
      <c r="BE133" s="216">
        <f t="shared" si="109"/>
        <v>0</v>
      </c>
      <c r="BF133" s="179">
        <f t="shared" si="93"/>
        <v>0</v>
      </c>
      <c r="BG133" s="216">
        <f>SUM(RD[[#This Row],[KUD01]:[KUD23]])</f>
        <v>0</v>
      </c>
      <c r="BH133" s="217" t="str">
        <f t="shared" si="110"/>
        <v/>
      </c>
      <c r="BI133" s="219" t="str">
        <f t="shared" si="111"/>
        <v/>
      </c>
      <c r="BJ133" s="219" t="str">
        <f t="shared" si="112"/>
        <v/>
      </c>
      <c r="BK133" s="221">
        <f t="shared" si="113"/>
        <v>0</v>
      </c>
      <c r="BL133" s="61" t="str">
        <f>IFERROR(AVERAGEIF(RD[[#This Row],[WS_KUD07]:[WS_KUD08]],"&lt;&gt;0",RD[[#This Row],[WS_KUD07]:[WS_KUD08]]),"")</f>
        <v/>
      </c>
      <c r="BM133" s="223" t="str">
        <f>IFERROR(AVERAGE(RD[[#This Row],[WS_KUD01]:[WS_KUD23]]),"")</f>
        <v/>
      </c>
      <c r="BN133" s="224">
        <f>IFERROR(MAX(RD[[#This Row],[WS_KUD01]:[WS_KUD23]]),"")</f>
        <v>0</v>
      </c>
      <c r="BO133" s="172"/>
      <c r="BP133" s="349"/>
      <c r="BQ133" s="349"/>
      <c r="BR133" s="349"/>
      <c r="BS133" s="349"/>
      <c r="BT133" s="349"/>
      <c r="BU133" s="349"/>
      <c r="BV133" s="349"/>
      <c r="BW133" s="172"/>
      <c r="BX133" s="172"/>
      <c r="BY133" s="349"/>
      <c r="BZ133" s="349"/>
      <c r="CA133" s="349"/>
      <c r="CB133" s="349"/>
      <c r="CC133" s="349"/>
      <c r="CD133" s="172"/>
      <c r="CE133" s="349"/>
      <c r="CF133" s="360" t="str">
        <f>IF((RD[[#This Row],[33 kV_Wind_F1_Export reading]]-BO132)*165000&lt;=0,"",(RD[[#This Row],[33 kV_Wind_F1_Export reading]]-BO132)*165000)</f>
        <v/>
      </c>
      <c r="CG133" s="227" t="str">
        <f>IF((RD[[#This Row],[33 kV_Wind_F2_Export_reading]]-BP132)*165000&lt;=0,"",(RD[[#This Row],[33 kV_Wind_F2_Export_reading]]-BP132)*165000)</f>
        <v/>
      </c>
      <c r="CH133" s="64" t="str">
        <f>IF((RD[[#This Row],[33 kV_Wind_F3_Export_Reading]]-BQ132)*225000&lt;=0,"",(RD[[#This Row],[33 kV_Wind_F3_Export_Reading]]-BQ132)*225000)</f>
        <v/>
      </c>
      <c r="CI133" s="64" t="str">
        <f>IF((RD[[#This Row],[33 kV_Wind_F4_Export Reading]]-BR132)*165000&lt;=0,"",(RD[[#This Row],[33 kV_Wind_F4_Export Reading]]-BR132)*165000)</f>
        <v/>
      </c>
      <c r="CJ133" s="209" t="str">
        <f>IF((RD[[#This Row],[33 kV_Solar_F1_Export Reading]]-BS132)*225000&lt;=0,"",(RD[[#This Row],[33 kV_Solar_F1_Export Reading]]-BS132)*225000)</f>
        <v/>
      </c>
      <c r="CK133" s="74" t="str">
        <f>IF((RD[[#This Row],[33kV_Solar_F2_Export Reading]]-BT132)*225000&lt;=0,"",(RD[[#This Row],[33kV_Solar_F2_Export Reading]]-BT132)*225000)</f>
        <v/>
      </c>
      <c r="CL133" s="209" t="str">
        <f>IF((RD[[#This Row],[33 kV_Solar_F3_Export reading]]-BU132)*225000&lt;=0,"",(RD[[#This Row],[33 kV_Solar_F3_Export reading]]-BU132)*225000)</f>
        <v/>
      </c>
      <c r="CM133" s="63" t="str">
        <f>IF((RD[[#This Row],[32kV_Solar_F4_Export reading]]-BV132)*225000&lt;=0,"",(RD[[#This Row],[32kV_Solar_F4_Export reading]]-BV132)*225000)</f>
        <v/>
      </c>
      <c r="CN133" s="227">
        <f>IF((RD[[#This Row],[33kV_OG1_Export reading]]-BW132)*1000&lt;=0,0,(RD[[#This Row],[33kV_OG1_Export reading]]-BW132)*1000)</f>
        <v>0</v>
      </c>
      <c r="CO133" s="227">
        <f>IFERROR(IF((RD[[#This Row],[33kV_OG2_Export reading]]-BX132)*1000&lt;=0,0,(RD[[#This Row],[33kV_OG2_Export reading]]-BX132)*1000),0)</f>
        <v>0</v>
      </c>
      <c r="CP133" s="74">
        <f>IF((RD[[#This Row],[220kV_TX1_Export reading]]-BY132)*800000&lt;=0,0,(RD[[#This Row],[220kV_TX1_Export reading]]-BY132)*800000)</f>
        <v>0</v>
      </c>
      <c r="CQ133" s="209">
        <f>IF((RD[[#This Row],[220kV_Tx2_Export reading]]-BZ132)*800000&lt;=0,0,(RD[[#This Row],[220kV_Tx2_Export reading]]-BZ132)*800000)</f>
        <v>0</v>
      </c>
      <c r="CR133" s="227">
        <f>IF((RD[[#This Row],[220kV_TL_TVM Export Reading]]-CA132)*1600000&lt;=0,0,(RD[[#This Row],[220kV_TL_TVM Export Reading]]-CA132)*1600000)</f>
        <v>0</v>
      </c>
      <c r="CS133" s="227" t="str">
        <f>IF((RD[[#This Row],[220kV_C&amp;R_PQM reading]]-CB132)*1600000&lt;=0,"",(RD[[#This Row],[220kV_C&amp;R_PQM reading]]-CB132)*1600000)</f>
        <v/>
      </c>
      <c r="CT133" s="209">
        <f>IFERROR(IF((RD[[#This Row],[220KV_C&amp;R_PQM Import Reading]]-CC132)*1600000&lt;=0,0,(RD[[#This Row],[220KV_C&amp;R_PQM Import Reading]]-CC132)*1600000),"")</f>
        <v>0</v>
      </c>
      <c r="CU133" s="64" t="str">
        <f>IF((RD[[#This Row],[33kV_Aux1 Import Reading]]-CD132)*1000&lt;=0,"",(RD[[#This Row],[33kV_Aux1 Import Reading]]-CD132)*1000)</f>
        <v/>
      </c>
      <c r="CV133" s="227" t="str">
        <f>IF((RD[[#This Row],[33kV_Aux2_Import reading]]-CE132)*1000&lt;=0,"",(RD[[#This Row],[33kV_Aux2_Import reading]]-CE132)*1000)</f>
        <v/>
      </c>
      <c r="CW133" s="227">
        <f>IFERROR(RD[[#This Row],[33kV_OG1_Energy (MWh)]]+RD[[#This Row],[33kV_OG2_Energy (MWh)]],"")</f>
        <v>0</v>
      </c>
      <c r="CX133" s="227">
        <f>IFERROR(RD[[#This Row],[220kV_TL_TVM Energy (MWh)]]-RD[[#This Row],[220KV_C&amp;R_PQM Import (MWh)]],"")</f>
        <v>0</v>
      </c>
      <c r="CY133" s="228" t="str">
        <f>IFERROR(RD[[#This Row],[33 kV Total Export (MWH)]]/RD[[#This Row],[220 KV Net Export (MWh)]]-1,"")</f>
        <v/>
      </c>
      <c r="CZ133" s="229">
        <f t="shared" si="114"/>
        <v>50.6</v>
      </c>
      <c r="DA133" s="230"/>
      <c r="DB133" s="231"/>
      <c r="DC133" s="232">
        <f>IFERROR((RD[[#This Row],[Sunset Time (POA&lt;20 W/m2)]]-RD[[#This Row],[Sunrise Time (POA&gt;20 W/m2)]])*24,0)</f>
        <v>0</v>
      </c>
      <c r="DD133" s="70">
        <f>SUM(RD[[#This Row],[33 kV_Wind_F3_Export_Reading3]],CJ133,CK133,CL133,CM133)</f>
        <v>0</v>
      </c>
      <c r="DE133" s="233"/>
      <c r="DF133" s="70">
        <f t="shared" si="103"/>
        <v>0</v>
      </c>
      <c r="DG133" s="230"/>
      <c r="DH133">
        <f>'WTG Reactive Power'!AB131</f>
        <v>0</v>
      </c>
    </row>
    <row r="134" spans="1:112">
      <c r="A134" s="210">
        <f>YEAR(RD[[#This Row],[Date]])+IF(MONTH(RD[[#This Row],[Date]])&gt;=4,1,0)</f>
        <v>2026</v>
      </c>
      <c r="B134" s="210">
        <f>YEAR(RD[[#This Row],[Date]])</f>
        <v>2025</v>
      </c>
      <c r="C134" s="211">
        <f t="shared" si="105"/>
        <v>45870</v>
      </c>
      <c r="D134" s="210">
        <f>DAY(EOMONTH(RD[[#This Row],[Date]],0))</f>
        <v>31</v>
      </c>
      <c r="E134" s="212">
        <f t="shared" si="106"/>
        <v>45874</v>
      </c>
      <c r="F134" s="206"/>
      <c r="G134" s="206"/>
      <c r="H134" s="213"/>
      <c r="I134" s="213"/>
      <c r="J134" s="213"/>
      <c r="K134" s="213"/>
      <c r="L134" s="213"/>
      <c r="M134" s="213"/>
      <c r="N134" s="213"/>
      <c r="O134" s="213"/>
      <c r="P134" s="213"/>
      <c r="Q134" s="213"/>
      <c r="R134" s="213"/>
      <c r="S134" s="213"/>
      <c r="T134" s="213"/>
      <c r="U134" s="213"/>
      <c r="V134" s="213"/>
      <c r="W134" s="213"/>
      <c r="X134" s="213"/>
      <c r="Y134" s="213"/>
      <c r="Z134" s="213"/>
      <c r="AA134" s="213"/>
      <c r="AB134" s="213"/>
      <c r="AC134" s="213"/>
      <c r="AD134" s="213"/>
      <c r="AE134" s="350"/>
      <c r="AF134" s="350"/>
      <c r="AG134" s="350"/>
      <c r="AH134" s="350"/>
      <c r="AI134" s="350"/>
      <c r="AJ134" s="350"/>
      <c r="AK134" s="350"/>
      <c r="AL134" s="350"/>
      <c r="AM134" s="350"/>
      <c r="AN134" s="350"/>
      <c r="AO134" s="350"/>
      <c r="AP134" s="350"/>
      <c r="AQ134" s="350"/>
      <c r="AR134" s="350"/>
      <c r="AS134" s="350"/>
      <c r="AT134" s="350"/>
      <c r="AU134" s="350"/>
      <c r="AV134" s="350"/>
      <c r="AW134" s="350"/>
      <c r="AX134" s="350"/>
      <c r="AY134" s="350"/>
      <c r="AZ134" s="350"/>
      <c r="BA134" s="350"/>
      <c r="BB134" s="214">
        <f t="shared" si="107"/>
        <v>0</v>
      </c>
      <c r="BC134" s="216">
        <f t="shared" si="108"/>
        <v>0</v>
      </c>
      <c r="BD134" s="180">
        <f t="shared" si="92"/>
        <v>0</v>
      </c>
      <c r="BE134" s="216">
        <f t="shared" si="109"/>
        <v>0</v>
      </c>
      <c r="BF134" s="179">
        <f t="shared" si="93"/>
        <v>0</v>
      </c>
      <c r="BG134" s="216">
        <f>SUM(RD[[#This Row],[KUD01]:[KUD23]])</f>
        <v>0</v>
      </c>
      <c r="BH134" s="217" t="str">
        <f t="shared" si="110"/>
        <v/>
      </c>
      <c r="BI134" s="219" t="str">
        <f t="shared" si="111"/>
        <v/>
      </c>
      <c r="BJ134" s="219" t="str">
        <f t="shared" si="112"/>
        <v/>
      </c>
      <c r="BK134" s="221">
        <f t="shared" si="113"/>
        <v>0</v>
      </c>
      <c r="BL134" s="61" t="str">
        <f>IFERROR(AVERAGEIF(RD[[#This Row],[WS_KUD07]:[WS_KUD08]],"&lt;&gt;0",RD[[#This Row],[WS_KUD07]:[WS_KUD08]]),"")</f>
        <v/>
      </c>
      <c r="BM134" s="223" t="str">
        <f>IFERROR(AVERAGE(RD[[#This Row],[WS_KUD01]:[WS_KUD23]]),"")</f>
        <v/>
      </c>
      <c r="BN134" s="224">
        <f>IFERROR(MAX(RD[[#This Row],[WS_KUD01]:[WS_KUD23]]),"")</f>
        <v>0</v>
      </c>
      <c r="BO134" s="172"/>
      <c r="BP134" s="349"/>
      <c r="BQ134" s="349"/>
      <c r="BR134" s="349"/>
      <c r="BS134" s="349"/>
      <c r="BT134" s="349"/>
      <c r="BU134" s="349"/>
      <c r="BV134" s="349"/>
      <c r="BW134" s="172"/>
      <c r="BX134" s="172"/>
      <c r="BY134" s="349"/>
      <c r="BZ134" s="349"/>
      <c r="CA134" s="349"/>
      <c r="CB134" s="349"/>
      <c r="CC134" s="349"/>
      <c r="CD134" s="172"/>
      <c r="CE134" s="349"/>
      <c r="CF134" s="360" t="str">
        <f>IF((RD[[#This Row],[33 kV_Wind_F1_Export reading]]-BO133)*165000&lt;=0,"",(RD[[#This Row],[33 kV_Wind_F1_Export reading]]-BO133)*165000)</f>
        <v/>
      </c>
      <c r="CG134" s="227" t="str">
        <f>IF((RD[[#This Row],[33 kV_Wind_F2_Export_reading]]-BP133)*165000&lt;=0,"",(RD[[#This Row],[33 kV_Wind_F2_Export_reading]]-BP133)*165000)</f>
        <v/>
      </c>
      <c r="CH134" s="64" t="str">
        <f>IF((RD[[#This Row],[33 kV_Wind_F3_Export_Reading]]-BQ133)*225000&lt;=0,"",(RD[[#This Row],[33 kV_Wind_F3_Export_Reading]]-BQ133)*225000)</f>
        <v/>
      </c>
      <c r="CI134" s="64" t="str">
        <f>IF((RD[[#This Row],[33 kV_Wind_F4_Export Reading]]-BR133)*165000&lt;=0,"",(RD[[#This Row],[33 kV_Wind_F4_Export Reading]]-BR133)*165000)</f>
        <v/>
      </c>
      <c r="CJ134" s="209" t="str">
        <f>IF((RD[[#This Row],[33 kV_Solar_F1_Export Reading]]-BS133)*225000&lt;=0,"",(RD[[#This Row],[33 kV_Solar_F1_Export Reading]]-BS133)*225000)</f>
        <v/>
      </c>
      <c r="CK134" s="74" t="str">
        <f>IF((RD[[#This Row],[33kV_Solar_F2_Export Reading]]-BT133)*225000&lt;=0,"",(RD[[#This Row],[33kV_Solar_F2_Export Reading]]-BT133)*225000)</f>
        <v/>
      </c>
      <c r="CL134" s="209" t="str">
        <f>IF((RD[[#This Row],[33 kV_Solar_F3_Export reading]]-BU133)*225000&lt;=0,"",(RD[[#This Row],[33 kV_Solar_F3_Export reading]]-BU133)*225000)</f>
        <v/>
      </c>
      <c r="CM134" s="63" t="str">
        <f>IF((RD[[#This Row],[32kV_Solar_F4_Export reading]]-BV133)*225000&lt;=0,"",(RD[[#This Row],[32kV_Solar_F4_Export reading]]-BV133)*225000)</f>
        <v/>
      </c>
      <c r="CN134" s="227">
        <f>IF((RD[[#This Row],[33kV_OG1_Export reading]]-BW133)*1000&lt;=0,0,(RD[[#This Row],[33kV_OG1_Export reading]]-BW133)*1000)</f>
        <v>0</v>
      </c>
      <c r="CO134" s="227">
        <f>IFERROR(IF((RD[[#This Row],[33kV_OG2_Export reading]]-BX133)*1000&lt;=0,0,(RD[[#This Row],[33kV_OG2_Export reading]]-BX133)*1000),0)</f>
        <v>0</v>
      </c>
      <c r="CP134" s="74">
        <f>IF((RD[[#This Row],[220kV_TX1_Export reading]]-BY133)*800000&lt;=0,0,(RD[[#This Row],[220kV_TX1_Export reading]]-BY133)*800000)</f>
        <v>0</v>
      </c>
      <c r="CQ134" s="209">
        <f>IF((RD[[#This Row],[220kV_Tx2_Export reading]]-BZ133)*800000&lt;=0,0,(RD[[#This Row],[220kV_Tx2_Export reading]]-BZ133)*800000)</f>
        <v>0</v>
      </c>
      <c r="CR134" s="227">
        <f>IF((RD[[#This Row],[220kV_TL_TVM Export Reading]]-CA133)*1600000&lt;=0,0,(RD[[#This Row],[220kV_TL_TVM Export Reading]]-CA133)*1600000)</f>
        <v>0</v>
      </c>
      <c r="CS134" s="227" t="str">
        <f>IF((RD[[#This Row],[220kV_C&amp;R_PQM reading]]-CB133)*1600000&lt;=0,"",(RD[[#This Row],[220kV_C&amp;R_PQM reading]]-CB133)*1600000)</f>
        <v/>
      </c>
      <c r="CT134" s="209">
        <f>IFERROR(IF((RD[[#This Row],[220KV_C&amp;R_PQM Import Reading]]-CC133)*1600000&lt;=0,0,(RD[[#This Row],[220KV_C&amp;R_PQM Import Reading]]-CC133)*1600000),"")</f>
        <v>0</v>
      </c>
      <c r="CU134" s="64" t="str">
        <f>IF((RD[[#This Row],[33kV_Aux1 Import Reading]]-CD133)*1000&lt;=0,"",(RD[[#This Row],[33kV_Aux1 Import Reading]]-CD133)*1000)</f>
        <v/>
      </c>
      <c r="CV134" s="227" t="str">
        <f>IF((RD[[#This Row],[33kV_Aux2_Import reading]]-CE133)*1000&lt;=0,"",(RD[[#This Row],[33kV_Aux2_Import reading]]-CE133)*1000)</f>
        <v/>
      </c>
      <c r="CW134" s="227">
        <f>IFERROR(RD[[#This Row],[33kV_OG1_Energy (MWh)]]+RD[[#This Row],[33kV_OG2_Energy (MWh)]],"")</f>
        <v>0</v>
      </c>
      <c r="CX134" s="227">
        <f>IFERROR(RD[[#This Row],[220kV_TL_TVM Energy (MWh)]]-RD[[#This Row],[220KV_C&amp;R_PQM Import (MWh)]],"")</f>
        <v>0</v>
      </c>
      <c r="CY134" s="228" t="str">
        <f>IFERROR(RD[[#This Row],[33 kV Total Export (MWH)]]/RD[[#This Row],[220 KV Net Export (MWh)]]-1,"")</f>
        <v/>
      </c>
      <c r="CZ134" s="229">
        <f t="shared" si="114"/>
        <v>50.6</v>
      </c>
      <c r="DA134" s="230"/>
      <c r="DB134" s="231"/>
      <c r="DC134" s="232">
        <f>IFERROR((RD[[#This Row],[Sunset Time (POA&lt;20 W/m2)]]-RD[[#This Row],[Sunrise Time (POA&gt;20 W/m2)]])*24,0)</f>
        <v>0</v>
      </c>
      <c r="DD134" s="70">
        <f>SUM(RD[[#This Row],[33 kV_Wind_F3_Export_Reading3]],CJ134,CK134,CL134,CM134)</f>
        <v>0</v>
      </c>
      <c r="DE134" s="233"/>
      <c r="DF134" s="70">
        <f t="shared" si="103"/>
        <v>0</v>
      </c>
      <c r="DG134" s="230"/>
      <c r="DH134">
        <f>'WTG Reactive Power'!AB132</f>
        <v>0</v>
      </c>
    </row>
    <row r="135" spans="1:112">
      <c r="A135" s="210">
        <f>YEAR(RD[[#This Row],[Date]])+IF(MONTH(RD[[#This Row],[Date]])&gt;=4,1,0)</f>
        <v>2026</v>
      </c>
      <c r="B135" s="210">
        <f>YEAR(RD[[#This Row],[Date]])</f>
        <v>2025</v>
      </c>
      <c r="C135" s="211">
        <f t="shared" si="105"/>
        <v>45870</v>
      </c>
      <c r="D135" s="210">
        <f>DAY(EOMONTH(RD[[#This Row],[Date]],0))</f>
        <v>31</v>
      </c>
      <c r="E135" s="212">
        <f t="shared" si="106"/>
        <v>45875</v>
      </c>
      <c r="F135" s="206"/>
      <c r="G135" s="206"/>
      <c r="H135" s="213"/>
      <c r="I135" s="213"/>
      <c r="J135" s="213"/>
      <c r="K135" s="213"/>
      <c r="L135" s="213"/>
      <c r="M135" s="213"/>
      <c r="N135" s="213"/>
      <c r="O135" s="213"/>
      <c r="P135" s="213"/>
      <c r="Q135" s="213"/>
      <c r="R135" s="213"/>
      <c r="S135" s="213"/>
      <c r="T135" s="213"/>
      <c r="U135" s="213"/>
      <c r="V135" s="213"/>
      <c r="W135" s="213"/>
      <c r="X135" s="213"/>
      <c r="Y135" s="213"/>
      <c r="Z135" s="213"/>
      <c r="AA135" s="213"/>
      <c r="AB135" s="213"/>
      <c r="AC135" s="213"/>
      <c r="AD135" s="213"/>
      <c r="AE135" s="350"/>
      <c r="AF135" s="350"/>
      <c r="AG135" s="350"/>
      <c r="AH135" s="350"/>
      <c r="AI135" s="350"/>
      <c r="AJ135" s="350"/>
      <c r="AK135" s="350"/>
      <c r="AL135" s="350"/>
      <c r="AM135" s="350"/>
      <c r="AN135" s="350"/>
      <c r="AO135" s="350"/>
      <c r="AP135" s="350"/>
      <c r="AQ135" s="350"/>
      <c r="AR135" s="350"/>
      <c r="AS135" s="350"/>
      <c r="AT135" s="350"/>
      <c r="AU135" s="350"/>
      <c r="AV135" s="350"/>
      <c r="AW135" s="350"/>
      <c r="AX135" s="350"/>
      <c r="AY135" s="350"/>
      <c r="AZ135" s="350"/>
      <c r="BA135" s="350"/>
      <c r="BB135" s="214">
        <f t="shared" si="107"/>
        <v>0</v>
      </c>
      <c r="BC135" s="216">
        <f t="shared" si="108"/>
        <v>0</v>
      </c>
      <c r="BD135" s="180">
        <f t="shared" si="92"/>
        <v>0</v>
      </c>
      <c r="BE135" s="216">
        <f t="shared" si="109"/>
        <v>0</v>
      </c>
      <c r="BF135" s="179">
        <f t="shared" si="93"/>
        <v>0</v>
      </c>
      <c r="BG135" s="216">
        <f>SUM(RD[[#This Row],[KUD01]:[KUD23]])</f>
        <v>0</v>
      </c>
      <c r="BH135" s="217" t="str">
        <f t="shared" si="110"/>
        <v/>
      </c>
      <c r="BI135" s="219" t="str">
        <f t="shared" si="111"/>
        <v/>
      </c>
      <c r="BJ135" s="219" t="str">
        <f t="shared" si="112"/>
        <v/>
      </c>
      <c r="BK135" s="221">
        <f t="shared" si="113"/>
        <v>0</v>
      </c>
      <c r="BL135" s="61" t="str">
        <f>IFERROR(AVERAGEIF(RD[[#This Row],[WS_KUD07]:[WS_KUD08]],"&lt;&gt;0",RD[[#This Row],[WS_KUD07]:[WS_KUD08]]),"")</f>
        <v/>
      </c>
      <c r="BM135" s="223" t="str">
        <f>IFERROR(AVERAGE(RD[[#This Row],[WS_KUD01]:[WS_KUD23]]),"")</f>
        <v/>
      </c>
      <c r="BN135" s="224">
        <f>IFERROR(MAX(RD[[#This Row],[WS_KUD01]:[WS_KUD23]]),"")</f>
        <v>0</v>
      </c>
      <c r="BO135" s="172"/>
      <c r="BP135" s="349"/>
      <c r="BQ135" s="349"/>
      <c r="BR135" s="349"/>
      <c r="BS135" s="349"/>
      <c r="BT135" s="349"/>
      <c r="BU135" s="349"/>
      <c r="BV135" s="349"/>
      <c r="BW135" s="172"/>
      <c r="BX135" s="172"/>
      <c r="BY135" s="349"/>
      <c r="BZ135" s="349"/>
      <c r="CA135" s="349"/>
      <c r="CB135" s="349"/>
      <c r="CC135" s="349"/>
      <c r="CD135" s="172"/>
      <c r="CE135" s="349"/>
      <c r="CF135" s="360" t="str">
        <f>IF((RD[[#This Row],[33 kV_Wind_F1_Export reading]]-BO134)*165000&lt;=0,"",(RD[[#This Row],[33 kV_Wind_F1_Export reading]]-BO134)*165000)</f>
        <v/>
      </c>
      <c r="CG135" s="227" t="str">
        <f>IF((RD[[#This Row],[33 kV_Wind_F2_Export_reading]]-BP134)*165000&lt;=0,"",(RD[[#This Row],[33 kV_Wind_F2_Export_reading]]-BP134)*165000)</f>
        <v/>
      </c>
      <c r="CH135" s="64" t="str">
        <f>IF((RD[[#This Row],[33 kV_Wind_F3_Export_Reading]]-BQ134)*225000&lt;=0,"",(RD[[#This Row],[33 kV_Wind_F3_Export_Reading]]-BQ134)*225000)</f>
        <v/>
      </c>
      <c r="CI135" s="64" t="str">
        <f>IF((RD[[#This Row],[33 kV_Wind_F4_Export Reading]]-BR134)*165000&lt;=0,"",(RD[[#This Row],[33 kV_Wind_F4_Export Reading]]-BR134)*165000)</f>
        <v/>
      </c>
      <c r="CJ135" s="209" t="str">
        <f>IF((RD[[#This Row],[33 kV_Solar_F1_Export Reading]]-BS134)*225000&lt;=0,"",(RD[[#This Row],[33 kV_Solar_F1_Export Reading]]-BS134)*225000)</f>
        <v/>
      </c>
      <c r="CK135" s="74" t="str">
        <f>IF((RD[[#This Row],[33kV_Solar_F2_Export Reading]]-BT134)*225000&lt;=0,"",(RD[[#This Row],[33kV_Solar_F2_Export Reading]]-BT134)*225000)</f>
        <v/>
      </c>
      <c r="CL135" s="209" t="str">
        <f>IF((RD[[#This Row],[33 kV_Solar_F3_Export reading]]-BU134)*225000&lt;=0,"",(RD[[#This Row],[33 kV_Solar_F3_Export reading]]-BU134)*225000)</f>
        <v/>
      </c>
      <c r="CM135" s="63" t="str">
        <f>IF((RD[[#This Row],[32kV_Solar_F4_Export reading]]-BV134)*225000&lt;=0,"",(RD[[#This Row],[32kV_Solar_F4_Export reading]]-BV134)*225000)</f>
        <v/>
      </c>
      <c r="CN135" s="227">
        <f>IF((RD[[#This Row],[33kV_OG1_Export reading]]-BW134)*1000&lt;=0,0,(RD[[#This Row],[33kV_OG1_Export reading]]-BW134)*1000)</f>
        <v>0</v>
      </c>
      <c r="CO135" s="227">
        <f>IFERROR(IF((RD[[#This Row],[33kV_OG2_Export reading]]-BX134)*1000&lt;=0,0,(RD[[#This Row],[33kV_OG2_Export reading]]-BX134)*1000),0)</f>
        <v>0</v>
      </c>
      <c r="CP135" s="74">
        <f>IF((RD[[#This Row],[220kV_TX1_Export reading]]-BY134)*800000&lt;=0,0,(RD[[#This Row],[220kV_TX1_Export reading]]-BY134)*800000)</f>
        <v>0</v>
      </c>
      <c r="CQ135" s="209">
        <f>IF((RD[[#This Row],[220kV_Tx2_Export reading]]-BZ134)*800000&lt;=0,0,(RD[[#This Row],[220kV_Tx2_Export reading]]-BZ134)*800000)</f>
        <v>0</v>
      </c>
      <c r="CR135" s="227">
        <f>IF((RD[[#This Row],[220kV_TL_TVM Export Reading]]-CA134)*1600000&lt;=0,0,(RD[[#This Row],[220kV_TL_TVM Export Reading]]-CA134)*1600000)</f>
        <v>0</v>
      </c>
      <c r="CS135" s="227" t="str">
        <f>IF((RD[[#This Row],[220kV_C&amp;R_PQM reading]]-CB134)*1600000&lt;=0,"",(RD[[#This Row],[220kV_C&amp;R_PQM reading]]-CB134)*1600000)</f>
        <v/>
      </c>
      <c r="CT135" s="209">
        <f>IFERROR(IF((RD[[#This Row],[220KV_C&amp;R_PQM Import Reading]]-CC134)*1600000&lt;=0,0,(RD[[#This Row],[220KV_C&amp;R_PQM Import Reading]]-CC134)*1600000),"")</f>
        <v>0</v>
      </c>
      <c r="CU135" s="64" t="str">
        <f>IF((RD[[#This Row],[33kV_Aux1 Import Reading]]-CD134)*1000&lt;=0,"",(RD[[#This Row],[33kV_Aux1 Import Reading]]-CD134)*1000)</f>
        <v/>
      </c>
      <c r="CV135" s="227" t="str">
        <f>IF((RD[[#This Row],[33kV_Aux2_Import reading]]-CE134)*1000&lt;=0,"",(RD[[#This Row],[33kV_Aux2_Import reading]]-CE134)*1000)</f>
        <v/>
      </c>
      <c r="CW135" s="227">
        <f>IFERROR(RD[[#This Row],[33kV_OG1_Energy (MWh)]]+RD[[#This Row],[33kV_OG2_Energy (MWh)]],"")</f>
        <v>0</v>
      </c>
      <c r="CX135" s="227">
        <f>IFERROR(RD[[#This Row],[220kV_TL_TVM Energy (MWh)]]-RD[[#This Row],[220KV_C&amp;R_PQM Import (MWh)]],"")</f>
        <v>0</v>
      </c>
      <c r="CY135" s="228" t="str">
        <f>IFERROR(RD[[#This Row],[33 kV Total Export (MWH)]]/RD[[#This Row],[220 KV Net Export (MWh)]]-1,"")</f>
        <v/>
      </c>
      <c r="CZ135" s="229">
        <f t="shared" si="114"/>
        <v>50.6</v>
      </c>
      <c r="DA135" s="230"/>
      <c r="DB135" s="231"/>
      <c r="DC135" s="232">
        <f>IFERROR((RD[[#This Row],[Sunset Time (POA&lt;20 W/m2)]]-RD[[#This Row],[Sunrise Time (POA&gt;20 W/m2)]])*24,0)</f>
        <v>0</v>
      </c>
      <c r="DD135" s="70">
        <f>SUM(RD[[#This Row],[33 kV_Wind_F3_Export_Reading3]],CJ135,CK135,CL135,CM135)</f>
        <v>0</v>
      </c>
      <c r="DE135" s="233"/>
      <c r="DF135" s="70">
        <f t="shared" si="103"/>
        <v>0</v>
      </c>
      <c r="DG135" s="230"/>
      <c r="DH135">
        <f>'WTG Reactive Power'!AB133</f>
        <v>0</v>
      </c>
    </row>
    <row r="136" spans="1:112">
      <c r="A136" s="210">
        <f>YEAR(RD[[#This Row],[Date]])+IF(MONTH(RD[[#This Row],[Date]])&gt;=4,1,0)</f>
        <v>2026</v>
      </c>
      <c r="B136" s="210">
        <f>YEAR(RD[[#This Row],[Date]])</f>
        <v>2025</v>
      </c>
      <c r="C136" s="211">
        <f t="shared" si="105"/>
        <v>45870</v>
      </c>
      <c r="D136" s="210">
        <f>DAY(EOMONTH(RD[[#This Row],[Date]],0))</f>
        <v>31</v>
      </c>
      <c r="E136" s="212">
        <f t="shared" si="106"/>
        <v>45876</v>
      </c>
      <c r="F136" s="206"/>
      <c r="G136" s="206"/>
      <c r="H136" s="213"/>
      <c r="I136" s="213"/>
      <c r="J136" s="213"/>
      <c r="K136" s="213"/>
      <c r="L136" s="213"/>
      <c r="M136" s="213"/>
      <c r="N136" s="213"/>
      <c r="O136" s="213"/>
      <c r="P136" s="213"/>
      <c r="Q136" s="213"/>
      <c r="R136" s="213"/>
      <c r="S136" s="213"/>
      <c r="T136" s="213"/>
      <c r="U136" s="213"/>
      <c r="V136" s="213"/>
      <c r="W136" s="213"/>
      <c r="X136" s="213"/>
      <c r="Y136" s="213"/>
      <c r="Z136" s="213"/>
      <c r="AA136" s="213"/>
      <c r="AB136" s="213"/>
      <c r="AC136" s="213"/>
      <c r="AD136" s="213"/>
      <c r="AE136" s="350"/>
      <c r="AF136" s="350"/>
      <c r="AG136" s="350"/>
      <c r="AH136" s="350"/>
      <c r="AI136" s="350"/>
      <c r="AJ136" s="350"/>
      <c r="AK136" s="350"/>
      <c r="AL136" s="350"/>
      <c r="AM136" s="350"/>
      <c r="AN136" s="350"/>
      <c r="AO136" s="350"/>
      <c r="AP136" s="350"/>
      <c r="AQ136" s="350"/>
      <c r="AR136" s="350"/>
      <c r="AS136" s="350"/>
      <c r="AT136" s="350"/>
      <c r="AU136" s="350"/>
      <c r="AV136" s="350"/>
      <c r="AW136" s="350"/>
      <c r="AX136" s="350"/>
      <c r="AY136" s="350"/>
      <c r="AZ136" s="350"/>
      <c r="BA136" s="350"/>
      <c r="BB136" s="214">
        <f t="shared" si="107"/>
        <v>0</v>
      </c>
      <c r="BC136" s="216">
        <f t="shared" si="108"/>
        <v>0</v>
      </c>
      <c r="BD136" s="180">
        <f t="shared" si="92"/>
        <v>0</v>
      </c>
      <c r="BE136" s="216">
        <f t="shared" si="109"/>
        <v>0</v>
      </c>
      <c r="BF136" s="179">
        <f t="shared" si="93"/>
        <v>0</v>
      </c>
      <c r="BG136" s="216">
        <f>SUM(RD[[#This Row],[KUD01]:[KUD23]])</f>
        <v>0</v>
      </c>
      <c r="BH136" s="217" t="str">
        <f t="shared" si="110"/>
        <v/>
      </c>
      <c r="BI136" s="219" t="str">
        <f t="shared" si="111"/>
        <v/>
      </c>
      <c r="BJ136" s="219" t="str">
        <f t="shared" si="112"/>
        <v/>
      </c>
      <c r="BK136" s="221">
        <f t="shared" si="113"/>
        <v>0</v>
      </c>
      <c r="BL136" s="61" t="str">
        <f>IFERROR(AVERAGEIF(RD[[#This Row],[WS_KUD07]:[WS_KUD08]],"&lt;&gt;0",RD[[#This Row],[WS_KUD07]:[WS_KUD08]]),"")</f>
        <v/>
      </c>
      <c r="BM136" s="223" t="str">
        <f>IFERROR(AVERAGE(RD[[#This Row],[WS_KUD01]:[WS_KUD23]]),"")</f>
        <v/>
      </c>
      <c r="BN136" s="224">
        <f>IFERROR(MAX(RD[[#This Row],[WS_KUD01]:[WS_KUD23]]),"")</f>
        <v>0</v>
      </c>
      <c r="BO136" s="172"/>
      <c r="BP136" s="349"/>
      <c r="BQ136" s="349"/>
      <c r="BR136" s="349"/>
      <c r="BS136" s="349"/>
      <c r="BT136" s="349"/>
      <c r="BU136" s="349"/>
      <c r="BV136" s="349"/>
      <c r="BW136" s="172"/>
      <c r="BX136" s="172"/>
      <c r="BY136" s="349"/>
      <c r="BZ136" s="349"/>
      <c r="CA136" s="349"/>
      <c r="CB136" s="349"/>
      <c r="CC136" s="349"/>
      <c r="CD136" s="172"/>
      <c r="CE136" s="349"/>
      <c r="CF136" s="360" t="str">
        <f>IF((RD[[#This Row],[33 kV_Wind_F1_Export reading]]-BO135)*165000&lt;=0,"",(RD[[#This Row],[33 kV_Wind_F1_Export reading]]-BO135)*165000)</f>
        <v/>
      </c>
      <c r="CG136" s="227" t="str">
        <f>IF((RD[[#This Row],[33 kV_Wind_F2_Export_reading]]-BP135)*165000&lt;=0,"",(RD[[#This Row],[33 kV_Wind_F2_Export_reading]]-BP135)*165000)</f>
        <v/>
      </c>
      <c r="CH136" s="64" t="str">
        <f>IF((RD[[#This Row],[33 kV_Wind_F3_Export_Reading]]-BQ135)*225000&lt;=0,"",(RD[[#This Row],[33 kV_Wind_F3_Export_Reading]]-BQ135)*225000)</f>
        <v/>
      </c>
      <c r="CI136" s="64" t="str">
        <f>IF((RD[[#This Row],[33 kV_Wind_F4_Export Reading]]-BR135)*165000&lt;=0,"",(RD[[#This Row],[33 kV_Wind_F4_Export Reading]]-BR135)*165000)</f>
        <v/>
      </c>
      <c r="CJ136" s="209" t="str">
        <f>IF((RD[[#This Row],[33 kV_Solar_F1_Export Reading]]-BS135)*225000&lt;=0,"",(RD[[#This Row],[33 kV_Solar_F1_Export Reading]]-BS135)*225000)</f>
        <v/>
      </c>
      <c r="CK136" s="74" t="str">
        <f>IF((RD[[#This Row],[33kV_Solar_F2_Export Reading]]-BT135)*225000&lt;=0,"",(RD[[#This Row],[33kV_Solar_F2_Export Reading]]-BT135)*225000)</f>
        <v/>
      </c>
      <c r="CL136" s="209" t="str">
        <f>IF((RD[[#This Row],[33 kV_Solar_F3_Export reading]]-BU135)*225000&lt;=0,"",(RD[[#This Row],[33 kV_Solar_F3_Export reading]]-BU135)*225000)</f>
        <v/>
      </c>
      <c r="CM136" s="63" t="str">
        <f>IF((RD[[#This Row],[32kV_Solar_F4_Export reading]]-BV135)*225000&lt;=0,"",(RD[[#This Row],[32kV_Solar_F4_Export reading]]-BV135)*225000)</f>
        <v/>
      </c>
      <c r="CN136" s="227">
        <f>IF((RD[[#This Row],[33kV_OG1_Export reading]]-BW135)*1000&lt;=0,0,(RD[[#This Row],[33kV_OG1_Export reading]]-BW135)*1000)</f>
        <v>0</v>
      </c>
      <c r="CO136" s="227">
        <f>IFERROR(IF((RD[[#This Row],[33kV_OG2_Export reading]]-BX135)*1000&lt;=0,0,(RD[[#This Row],[33kV_OG2_Export reading]]-BX135)*1000),0)</f>
        <v>0</v>
      </c>
      <c r="CP136" s="74">
        <f>IF((RD[[#This Row],[220kV_TX1_Export reading]]-BY135)*800000&lt;=0,0,(RD[[#This Row],[220kV_TX1_Export reading]]-BY135)*800000)</f>
        <v>0</v>
      </c>
      <c r="CQ136" s="209">
        <f>IF((RD[[#This Row],[220kV_Tx2_Export reading]]-BZ135)*800000&lt;=0,0,(RD[[#This Row],[220kV_Tx2_Export reading]]-BZ135)*800000)</f>
        <v>0</v>
      </c>
      <c r="CR136" s="227">
        <f>IF((RD[[#This Row],[220kV_TL_TVM Export Reading]]-CA135)*1600000&lt;=0,0,(RD[[#This Row],[220kV_TL_TVM Export Reading]]-CA135)*1600000)</f>
        <v>0</v>
      </c>
      <c r="CS136" s="227" t="str">
        <f>IF((RD[[#This Row],[220kV_C&amp;R_PQM reading]]-CB135)*1600000&lt;=0,"",(RD[[#This Row],[220kV_C&amp;R_PQM reading]]-CB135)*1600000)</f>
        <v/>
      </c>
      <c r="CT136" s="209">
        <f>IFERROR(IF((RD[[#This Row],[220KV_C&amp;R_PQM Import Reading]]-CC135)*1600000&lt;=0,0,(RD[[#This Row],[220KV_C&amp;R_PQM Import Reading]]-CC135)*1600000),"")</f>
        <v>0</v>
      </c>
      <c r="CU136" s="64" t="str">
        <f>IF((RD[[#This Row],[33kV_Aux1 Import Reading]]-CD135)*1000&lt;=0,"",(RD[[#This Row],[33kV_Aux1 Import Reading]]-CD135)*1000)</f>
        <v/>
      </c>
      <c r="CV136" s="227" t="str">
        <f>IF((RD[[#This Row],[33kV_Aux2_Import reading]]-CE135)*1000&lt;=0,"",(RD[[#This Row],[33kV_Aux2_Import reading]]-CE135)*1000)</f>
        <v/>
      </c>
      <c r="CW136" s="227">
        <f>IFERROR(RD[[#This Row],[33kV_OG1_Energy (MWh)]]+RD[[#This Row],[33kV_OG2_Energy (MWh)]],"")</f>
        <v>0</v>
      </c>
      <c r="CX136" s="227">
        <f>IFERROR(RD[[#This Row],[220kV_TL_TVM Energy (MWh)]]-RD[[#This Row],[220KV_C&amp;R_PQM Import (MWh)]],"")</f>
        <v>0</v>
      </c>
      <c r="CY136" s="228" t="str">
        <f>IFERROR(RD[[#This Row],[33 kV Total Export (MWH)]]/RD[[#This Row],[220 KV Net Export (MWh)]]-1,"")</f>
        <v/>
      </c>
      <c r="CZ136" s="229">
        <f t="shared" si="114"/>
        <v>50.6</v>
      </c>
      <c r="DA136" s="230"/>
      <c r="DB136" s="231"/>
      <c r="DC136" s="232">
        <f>IFERROR((RD[[#This Row],[Sunset Time (POA&lt;20 W/m2)]]-RD[[#This Row],[Sunrise Time (POA&gt;20 W/m2)]])*24,0)</f>
        <v>0</v>
      </c>
      <c r="DD136" s="70">
        <f>SUM(RD[[#This Row],[33 kV_Wind_F3_Export_Reading3]],CJ136,CK136,CL136,CM136)</f>
        <v>0</v>
      </c>
      <c r="DE136" s="233"/>
      <c r="DF136" s="70">
        <f t="shared" si="103"/>
        <v>0</v>
      </c>
      <c r="DG136" s="230"/>
      <c r="DH136">
        <f>'WTG Reactive Power'!AB134</f>
        <v>0</v>
      </c>
    </row>
    <row r="137" spans="1:112">
      <c r="A137" s="210">
        <f>YEAR(RD[[#This Row],[Date]])+IF(MONTH(RD[[#This Row],[Date]])&gt;=4,1,0)</f>
        <v>2026</v>
      </c>
      <c r="B137" s="210">
        <f>YEAR(RD[[#This Row],[Date]])</f>
        <v>2025</v>
      </c>
      <c r="C137" s="211">
        <f t="shared" si="105"/>
        <v>45870</v>
      </c>
      <c r="D137" s="210">
        <f>DAY(EOMONTH(RD[[#This Row],[Date]],0))</f>
        <v>31</v>
      </c>
      <c r="E137" s="212">
        <f t="shared" si="106"/>
        <v>45877</v>
      </c>
      <c r="F137" s="206"/>
      <c r="G137" s="206"/>
      <c r="H137" s="213"/>
      <c r="I137" s="213"/>
      <c r="J137" s="213"/>
      <c r="K137" s="213"/>
      <c r="L137" s="213"/>
      <c r="M137" s="213"/>
      <c r="N137" s="213"/>
      <c r="O137" s="213"/>
      <c r="P137" s="213"/>
      <c r="Q137" s="213"/>
      <c r="R137" s="213"/>
      <c r="S137" s="213"/>
      <c r="T137" s="213"/>
      <c r="U137" s="213"/>
      <c r="V137" s="213"/>
      <c r="W137" s="213"/>
      <c r="X137" s="213"/>
      <c r="Y137" s="213"/>
      <c r="Z137" s="213"/>
      <c r="AA137" s="213"/>
      <c r="AB137" s="213"/>
      <c r="AC137" s="213"/>
      <c r="AD137" s="213"/>
      <c r="AE137" s="350"/>
      <c r="AF137" s="350"/>
      <c r="AG137" s="350"/>
      <c r="AH137" s="350"/>
      <c r="AI137" s="350"/>
      <c r="AJ137" s="350"/>
      <c r="AK137" s="350"/>
      <c r="AL137" s="350"/>
      <c r="AM137" s="350"/>
      <c r="AN137" s="350"/>
      <c r="AO137" s="350"/>
      <c r="AP137" s="350"/>
      <c r="AQ137" s="350"/>
      <c r="AR137" s="350"/>
      <c r="AS137" s="350"/>
      <c r="AT137" s="350"/>
      <c r="AU137" s="350"/>
      <c r="AV137" s="350"/>
      <c r="AW137" s="350"/>
      <c r="AX137" s="350"/>
      <c r="AY137" s="350"/>
      <c r="AZ137" s="350"/>
      <c r="BA137" s="350"/>
      <c r="BB137" s="214">
        <f t="shared" si="107"/>
        <v>0</v>
      </c>
      <c r="BC137" s="216">
        <f t="shared" si="108"/>
        <v>0</v>
      </c>
      <c r="BD137" s="180">
        <f t="shared" si="92"/>
        <v>0</v>
      </c>
      <c r="BE137" s="216">
        <f t="shared" si="109"/>
        <v>0</v>
      </c>
      <c r="BF137" s="179">
        <f t="shared" si="93"/>
        <v>0</v>
      </c>
      <c r="BG137" s="216">
        <f>SUM(RD[[#This Row],[KUD01]:[KUD23]])</f>
        <v>0</v>
      </c>
      <c r="BH137" s="217" t="str">
        <f t="shared" si="110"/>
        <v/>
      </c>
      <c r="BI137" s="219" t="str">
        <f t="shared" si="111"/>
        <v/>
      </c>
      <c r="BJ137" s="219" t="str">
        <f t="shared" si="112"/>
        <v/>
      </c>
      <c r="BK137" s="221">
        <f t="shared" si="113"/>
        <v>0</v>
      </c>
      <c r="BL137" s="61" t="str">
        <f>IFERROR(AVERAGEIF(RD[[#This Row],[WS_KUD07]:[WS_KUD08]],"&lt;&gt;0",RD[[#This Row],[WS_KUD07]:[WS_KUD08]]),"")</f>
        <v/>
      </c>
      <c r="BM137" s="223" t="str">
        <f>IFERROR(AVERAGE(RD[[#This Row],[WS_KUD01]:[WS_KUD23]]),"")</f>
        <v/>
      </c>
      <c r="BN137" s="224">
        <f>IFERROR(MAX(RD[[#This Row],[WS_KUD01]:[WS_KUD23]]),"")</f>
        <v>0</v>
      </c>
      <c r="BO137" s="172"/>
      <c r="BP137" s="349"/>
      <c r="BQ137" s="349"/>
      <c r="BR137" s="349"/>
      <c r="BS137" s="349"/>
      <c r="BT137" s="349"/>
      <c r="BU137" s="349"/>
      <c r="BV137" s="349"/>
      <c r="BW137" s="172"/>
      <c r="BX137" s="172"/>
      <c r="BY137" s="349"/>
      <c r="BZ137" s="349"/>
      <c r="CA137" s="349"/>
      <c r="CB137" s="349"/>
      <c r="CC137" s="349"/>
      <c r="CD137" s="172"/>
      <c r="CE137" s="349"/>
      <c r="CF137" s="360" t="str">
        <f>IF((RD[[#This Row],[33 kV_Wind_F1_Export reading]]-BO136)*165000&lt;=0,"",(RD[[#This Row],[33 kV_Wind_F1_Export reading]]-BO136)*165000)</f>
        <v/>
      </c>
      <c r="CG137" s="227" t="str">
        <f>IF((RD[[#This Row],[33 kV_Wind_F2_Export_reading]]-BP136)*165000&lt;=0,"",(RD[[#This Row],[33 kV_Wind_F2_Export_reading]]-BP136)*165000)</f>
        <v/>
      </c>
      <c r="CH137" s="64" t="str">
        <f>IF((RD[[#This Row],[33 kV_Wind_F3_Export_Reading]]-BQ136)*225000&lt;=0,"",(RD[[#This Row],[33 kV_Wind_F3_Export_Reading]]-BQ136)*225000)</f>
        <v/>
      </c>
      <c r="CI137" s="64" t="str">
        <f>IF((RD[[#This Row],[33 kV_Wind_F4_Export Reading]]-BR136)*165000&lt;=0,"",(RD[[#This Row],[33 kV_Wind_F4_Export Reading]]-BR136)*165000)</f>
        <v/>
      </c>
      <c r="CJ137" s="209" t="str">
        <f>IF((RD[[#This Row],[33 kV_Solar_F1_Export Reading]]-BS136)*225000&lt;=0,"",(RD[[#This Row],[33 kV_Solar_F1_Export Reading]]-BS136)*225000)</f>
        <v/>
      </c>
      <c r="CK137" s="74" t="str">
        <f>IF((RD[[#This Row],[33kV_Solar_F2_Export Reading]]-BT136)*225000&lt;=0,"",(RD[[#This Row],[33kV_Solar_F2_Export Reading]]-BT136)*225000)</f>
        <v/>
      </c>
      <c r="CL137" s="209" t="str">
        <f>IF((RD[[#This Row],[33 kV_Solar_F3_Export reading]]-BU136)*225000&lt;=0,"",(RD[[#This Row],[33 kV_Solar_F3_Export reading]]-BU136)*225000)</f>
        <v/>
      </c>
      <c r="CM137" s="63" t="str">
        <f>IF((RD[[#This Row],[32kV_Solar_F4_Export reading]]-BV136)*225000&lt;=0,"",(RD[[#This Row],[32kV_Solar_F4_Export reading]]-BV136)*225000)</f>
        <v/>
      </c>
      <c r="CN137" s="227">
        <f>IF((RD[[#This Row],[33kV_OG1_Export reading]]-BW136)*1000&lt;=0,0,(RD[[#This Row],[33kV_OG1_Export reading]]-BW136)*1000)</f>
        <v>0</v>
      </c>
      <c r="CO137" s="227">
        <f>IFERROR(IF((RD[[#This Row],[33kV_OG2_Export reading]]-BX136)*1000&lt;=0,0,(RD[[#This Row],[33kV_OG2_Export reading]]-BX136)*1000),0)</f>
        <v>0</v>
      </c>
      <c r="CP137" s="74">
        <f>IF((RD[[#This Row],[220kV_TX1_Export reading]]-BY136)*800000&lt;=0,0,(RD[[#This Row],[220kV_TX1_Export reading]]-BY136)*800000)</f>
        <v>0</v>
      </c>
      <c r="CQ137" s="209">
        <f>IF((RD[[#This Row],[220kV_Tx2_Export reading]]-BZ136)*800000&lt;=0,0,(RD[[#This Row],[220kV_Tx2_Export reading]]-BZ136)*800000)</f>
        <v>0</v>
      </c>
      <c r="CR137" s="227">
        <f>IF((RD[[#This Row],[220kV_TL_TVM Export Reading]]-CA136)*1600000&lt;=0,0,(RD[[#This Row],[220kV_TL_TVM Export Reading]]-CA136)*1600000)</f>
        <v>0</v>
      </c>
      <c r="CS137" s="227" t="str">
        <f>IF((RD[[#This Row],[220kV_C&amp;R_PQM reading]]-CB136)*1600000&lt;=0,"",(RD[[#This Row],[220kV_C&amp;R_PQM reading]]-CB136)*1600000)</f>
        <v/>
      </c>
      <c r="CT137" s="209">
        <f>IFERROR(IF((RD[[#This Row],[220KV_C&amp;R_PQM Import Reading]]-CC136)*1600000&lt;=0,0,(RD[[#This Row],[220KV_C&amp;R_PQM Import Reading]]-CC136)*1600000),"")</f>
        <v>0</v>
      </c>
      <c r="CU137" s="64" t="str">
        <f>IF((RD[[#This Row],[33kV_Aux1 Import Reading]]-CD136)*1000&lt;=0,"",(RD[[#This Row],[33kV_Aux1 Import Reading]]-CD136)*1000)</f>
        <v/>
      </c>
      <c r="CV137" s="227" t="str">
        <f>IF((RD[[#This Row],[33kV_Aux2_Import reading]]-CE136)*1000&lt;=0,"",(RD[[#This Row],[33kV_Aux2_Import reading]]-CE136)*1000)</f>
        <v/>
      </c>
      <c r="CW137" s="227">
        <f>IFERROR(RD[[#This Row],[33kV_OG1_Energy (MWh)]]+RD[[#This Row],[33kV_OG2_Energy (MWh)]],"")</f>
        <v>0</v>
      </c>
      <c r="CX137" s="227">
        <f>IFERROR(RD[[#This Row],[220kV_TL_TVM Energy (MWh)]]-RD[[#This Row],[220KV_C&amp;R_PQM Import (MWh)]],"")</f>
        <v>0</v>
      </c>
      <c r="CY137" s="228" t="str">
        <f>IFERROR(RD[[#This Row],[33 kV Total Export (MWH)]]/RD[[#This Row],[220 KV Net Export (MWh)]]-1,"")</f>
        <v/>
      </c>
      <c r="CZ137" s="229">
        <f t="shared" si="114"/>
        <v>50.6</v>
      </c>
      <c r="DA137" s="230"/>
      <c r="DB137" s="231"/>
      <c r="DC137" s="232">
        <f>IFERROR((RD[[#This Row],[Sunset Time (POA&lt;20 W/m2)]]-RD[[#This Row],[Sunrise Time (POA&gt;20 W/m2)]])*24,0)</f>
        <v>0</v>
      </c>
      <c r="DD137" s="70">
        <f>SUM(RD[[#This Row],[33 kV_Wind_F3_Export_Reading3]],CJ137,CK137,CL137,CM137)</f>
        <v>0</v>
      </c>
      <c r="DE137" s="233"/>
      <c r="DF137" s="70">
        <f t="shared" si="103"/>
        <v>0</v>
      </c>
      <c r="DG137" s="230"/>
      <c r="DH137">
        <f>'WTG Reactive Power'!AB135</f>
        <v>0</v>
      </c>
    </row>
    <row r="138" spans="1:112">
      <c r="A138" s="210">
        <f>YEAR(RD[[#This Row],[Date]])+IF(MONTH(RD[[#This Row],[Date]])&gt;=4,1,0)</f>
        <v>2026</v>
      </c>
      <c r="B138" s="210">
        <f>YEAR(RD[[#This Row],[Date]])</f>
        <v>2025</v>
      </c>
      <c r="C138" s="211">
        <f t="shared" si="105"/>
        <v>45870</v>
      </c>
      <c r="D138" s="210">
        <f>DAY(EOMONTH(RD[[#This Row],[Date]],0))</f>
        <v>31</v>
      </c>
      <c r="E138" s="212">
        <f t="shared" si="106"/>
        <v>45878</v>
      </c>
      <c r="F138" s="206"/>
      <c r="G138" s="206"/>
      <c r="H138" s="213"/>
      <c r="I138" s="213"/>
      <c r="J138" s="213"/>
      <c r="K138" s="213"/>
      <c r="L138" s="213"/>
      <c r="M138" s="213"/>
      <c r="N138" s="213"/>
      <c r="O138" s="213"/>
      <c r="P138" s="213"/>
      <c r="Q138" s="213"/>
      <c r="R138" s="213"/>
      <c r="S138" s="213"/>
      <c r="T138" s="213"/>
      <c r="U138" s="213"/>
      <c r="V138" s="213"/>
      <c r="W138" s="213"/>
      <c r="X138" s="213"/>
      <c r="Y138" s="213"/>
      <c r="Z138" s="213"/>
      <c r="AA138" s="213"/>
      <c r="AB138" s="213"/>
      <c r="AC138" s="213"/>
      <c r="AD138" s="213"/>
      <c r="AE138" s="350"/>
      <c r="AF138" s="350"/>
      <c r="AG138" s="350"/>
      <c r="AH138" s="350"/>
      <c r="AI138" s="350"/>
      <c r="AJ138" s="350"/>
      <c r="AK138" s="350"/>
      <c r="AL138" s="350"/>
      <c r="AM138" s="350"/>
      <c r="AN138" s="350"/>
      <c r="AO138" s="350"/>
      <c r="AP138" s="350"/>
      <c r="AQ138" s="350"/>
      <c r="AR138" s="350"/>
      <c r="AS138" s="350"/>
      <c r="AT138" s="350"/>
      <c r="AU138" s="350"/>
      <c r="AV138" s="350"/>
      <c r="AW138" s="350"/>
      <c r="AX138" s="350"/>
      <c r="AY138" s="350"/>
      <c r="AZ138" s="350"/>
      <c r="BA138" s="350"/>
      <c r="BB138" s="214">
        <f t="shared" si="107"/>
        <v>0</v>
      </c>
      <c r="BC138" s="216">
        <f t="shared" si="108"/>
        <v>0</v>
      </c>
      <c r="BD138" s="180">
        <f t="shared" si="92"/>
        <v>0</v>
      </c>
      <c r="BE138" s="216">
        <f t="shared" si="109"/>
        <v>0</v>
      </c>
      <c r="BF138" s="179">
        <f t="shared" si="93"/>
        <v>0</v>
      </c>
      <c r="BG138" s="216">
        <f>SUM(RD[[#This Row],[KUD01]:[KUD23]])</f>
        <v>0</v>
      </c>
      <c r="BH138" s="217" t="str">
        <f t="shared" si="110"/>
        <v/>
      </c>
      <c r="BI138" s="219" t="str">
        <f t="shared" si="111"/>
        <v/>
      </c>
      <c r="BJ138" s="219" t="str">
        <f t="shared" si="112"/>
        <v/>
      </c>
      <c r="BK138" s="221">
        <f t="shared" si="113"/>
        <v>0</v>
      </c>
      <c r="BL138" s="61" t="str">
        <f>IFERROR(AVERAGEIF(RD[[#This Row],[WS_KUD07]:[WS_KUD08]],"&lt;&gt;0",RD[[#This Row],[WS_KUD07]:[WS_KUD08]]),"")</f>
        <v/>
      </c>
      <c r="BM138" s="223" t="str">
        <f>IFERROR(AVERAGE(RD[[#This Row],[WS_KUD01]:[WS_KUD23]]),"")</f>
        <v/>
      </c>
      <c r="BN138" s="224">
        <f>IFERROR(MAX(RD[[#This Row],[WS_KUD01]:[WS_KUD23]]),"")</f>
        <v>0</v>
      </c>
      <c r="BO138" s="172"/>
      <c r="BP138" s="349"/>
      <c r="BQ138" s="349"/>
      <c r="BR138" s="349"/>
      <c r="BS138" s="349"/>
      <c r="BT138" s="349"/>
      <c r="BU138" s="349"/>
      <c r="BV138" s="349"/>
      <c r="BW138" s="172"/>
      <c r="BX138" s="172"/>
      <c r="BY138" s="349"/>
      <c r="BZ138" s="349"/>
      <c r="CA138" s="349"/>
      <c r="CB138" s="349"/>
      <c r="CC138" s="349"/>
      <c r="CD138" s="172"/>
      <c r="CE138" s="349"/>
      <c r="CF138" s="360" t="str">
        <f>IF((RD[[#This Row],[33 kV_Wind_F1_Export reading]]-BO137)*165000&lt;=0,"",(RD[[#This Row],[33 kV_Wind_F1_Export reading]]-BO137)*165000)</f>
        <v/>
      </c>
      <c r="CG138" s="227" t="str">
        <f>IF((RD[[#This Row],[33 kV_Wind_F2_Export_reading]]-BP137)*165000&lt;=0,"",(RD[[#This Row],[33 kV_Wind_F2_Export_reading]]-BP137)*165000)</f>
        <v/>
      </c>
      <c r="CH138" s="64" t="str">
        <f>IF((RD[[#This Row],[33 kV_Wind_F3_Export_Reading]]-BQ137)*225000&lt;=0,"",(RD[[#This Row],[33 kV_Wind_F3_Export_Reading]]-BQ137)*225000)</f>
        <v/>
      </c>
      <c r="CI138" s="64" t="str">
        <f>IF((RD[[#This Row],[33 kV_Wind_F4_Export Reading]]-BR137)*165000&lt;=0,"",(RD[[#This Row],[33 kV_Wind_F4_Export Reading]]-BR137)*165000)</f>
        <v/>
      </c>
      <c r="CJ138" s="209" t="str">
        <f>IF((RD[[#This Row],[33 kV_Solar_F1_Export Reading]]-BS137)*225000&lt;=0,"",(RD[[#This Row],[33 kV_Solar_F1_Export Reading]]-BS137)*225000)</f>
        <v/>
      </c>
      <c r="CK138" s="74" t="str">
        <f>IF((RD[[#This Row],[33kV_Solar_F2_Export Reading]]-BT137)*225000&lt;=0,"",(RD[[#This Row],[33kV_Solar_F2_Export Reading]]-BT137)*225000)</f>
        <v/>
      </c>
      <c r="CL138" s="209" t="str">
        <f>IF((RD[[#This Row],[33 kV_Solar_F3_Export reading]]-BU137)*225000&lt;=0,"",(RD[[#This Row],[33 kV_Solar_F3_Export reading]]-BU137)*225000)</f>
        <v/>
      </c>
      <c r="CM138" s="63" t="str">
        <f>IF((RD[[#This Row],[32kV_Solar_F4_Export reading]]-BV137)*225000&lt;=0,"",(RD[[#This Row],[32kV_Solar_F4_Export reading]]-BV137)*225000)</f>
        <v/>
      </c>
      <c r="CN138" s="227">
        <f>IF((RD[[#This Row],[33kV_OG1_Export reading]]-BW137)*1000&lt;=0,0,(RD[[#This Row],[33kV_OG1_Export reading]]-BW137)*1000)</f>
        <v>0</v>
      </c>
      <c r="CO138" s="227">
        <f>IFERROR(IF((RD[[#This Row],[33kV_OG2_Export reading]]-BX137)*1000&lt;=0,0,(RD[[#This Row],[33kV_OG2_Export reading]]-BX137)*1000),0)</f>
        <v>0</v>
      </c>
      <c r="CP138" s="74">
        <f>IF((RD[[#This Row],[220kV_TX1_Export reading]]-BY137)*800000&lt;=0,0,(RD[[#This Row],[220kV_TX1_Export reading]]-BY137)*800000)</f>
        <v>0</v>
      </c>
      <c r="CQ138" s="209">
        <f>IF((RD[[#This Row],[220kV_Tx2_Export reading]]-BZ137)*800000&lt;=0,0,(RD[[#This Row],[220kV_Tx2_Export reading]]-BZ137)*800000)</f>
        <v>0</v>
      </c>
      <c r="CR138" s="227">
        <f>IF((RD[[#This Row],[220kV_TL_TVM Export Reading]]-CA137)*1600000&lt;=0,0,(RD[[#This Row],[220kV_TL_TVM Export Reading]]-CA137)*1600000)</f>
        <v>0</v>
      </c>
      <c r="CS138" s="227" t="str">
        <f>IF((RD[[#This Row],[220kV_C&amp;R_PQM reading]]-CB137)*1600000&lt;=0,"",(RD[[#This Row],[220kV_C&amp;R_PQM reading]]-CB137)*1600000)</f>
        <v/>
      </c>
      <c r="CT138" s="209">
        <f>IFERROR(IF((RD[[#This Row],[220KV_C&amp;R_PQM Import Reading]]-CC137)*1600000&lt;=0,0,(RD[[#This Row],[220KV_C&amp;R_PQM Import Reading]]-CC137)*1600000),"")</f>
        <v>0</v>
      </c>
      <c r="CU138" s="64" t="str">
        <f>IF((RD[[#This Row],[33kV_Aux1 Import Reading]]-CD137)*1000&lt;=0,"",(RD[[#This Row],[33kV_Aux1 Import Reading]]-CD137)*1000)</f>
        <v/>
      </c>
      <c r="CV138" s="227" t="str">
        <f>IF((RD[[#This Row],[33kV_Aux2_Import reading]]-CE137)*1000&lt;=0,"",(RD[[#This Row],[33kV_Aux2_Import reading]]-CE137)*1000)</f>
        <v/>
      </c>
      <c r="CW138" s="227">
        <f>IFERROR(RD[[#This Row],[33kV_OG1_Energy (MWh)]]+RD[[#This Row],[33kV_OG2_Energy (MWh)]],"")</f>
        <v>0</v>
      </c>
      <c r="CX138" s="227">
        <f>IFERROR(RD[[#This Row],[220kV_TL_TVM Energy (MWh)]]-RD[[#This Row],[220KV_C&amp;R_PQM Import (MWh)]],"")</f>
        <v>0</v>
      </c>
      <c r="CY138" s="228" t="str">
        <f>IFERROR(RD[[#This Row],[33 kV Total Export (MWH)]]/RD[[#This Row],[220 KV Net Export (MWh)]]-1,"")</f>
        <v/>
      </c>
      <c r="CZ138" s="229">
        <f t="shared" si="114"/>
        <v>50.6</v>
      </c>
      <c r="DA138" s="230"/>
      <c r="DB138" s="231"/>
      <c r="DC138" s="232">
        <f>IFERROR((RD[[#This Row],[Sunset Time (POA&lt;20 W/m2)]]-RD[[#This Row],[Sunrise Time (POA&gt;20 W/m2)]])*24,0)</f>
        <v>0</v>
      </c>
      <c r="DD138" s="70">
        <f>SUM(RD[[#This Row],[33 kV_Wind_F3_Export_Reading3]],CJ138,CK138,CL138,CM138)</f>
        <v>0</v>
      </c>
      <c r="DE138" s="233"/>
      <c r="DF138" s="70">
        <f t="shared" si="103"/>
        <v>0</v>
      </c>
      <c r="DG138" s="230"/>
      <c r="DH138">
        <f>'WTG Reactive Power'!AB136</f>
        <v>0</v>
      </c>
    </row>
    <row r="139" spans="1:112">
      <c r="A139" s="210">
        <f>YEAR(RD[[#This Row],[Date]])+IF(MONTH(RD[[#This Row],[Date]])&gt;=4,1,0)</f>
        <v>2026</v>
      </c>
      <c r="B139" s="210">
        <f>YEAR(RD[[#This Row],[Date]])</f>
        <v>2025</v>
      </c>
      <c r="C139" s="211">
        <f t="shared" si="105"/>
        <v>45870</v>
      </c>
      <c r="D139" s="210">
        <f>DAY(EOMONTH(RD[[#This Row],[Date]],0))</f>
        <v>31</v>
      </c>
      <c r="E139" s="212">
        <f t="shared" si="106"/>
        <v>45879</v>
      </c>
      <c r="F139" s="206"/>
      <c r="G139" s="206"/>
      <c r="H139" s="213"/>
      <c r="I139" s="213"/>
      <c r="J139" s="213"/>
      <c r="K139" s="213"/>
      <c r="L139" s="213"/>
      <c r="M139" s="213"/>
      <c r="N139" s="213"/>
      <c r="O139" s="213"/>
      <c r="P139" s="213"/>
      <c r="Q139" s="213"/>
      <c r="R139" s="213"/>
      <c r="S139" s="213"/>
      <c r="T139" s="213"/>
      <c r="U139" s="213"/>
      <c r="V139" s="213"/>
      <c r="W139" s="213"/>
      <c r="X139" s="213"/>
      <c r="Y139" s="213"/>
      <c r="Z139" s="213"/>
      <c r="AA139" s="213"/>
      <c r="AB139" s="213"/>
      <c r="AC139" s="213"/>
      <c r="AD139" s="213"/>
      <c r="AE139" s="350"/>
      <c r="AF139" s="350"/>
      <c r="AG139" s="350"/>
      <c r="AH139" s="350"/>
      <c r="AI139" s="350"/>
      <c r="AJ139" s="350"/>
      <c r="AK139" s="350"/>
      <c r="AL139" s="350"/>
      <c r="AM139" s="350"/>
      <c r="AN139" s="350"/>
      <c r="AO139" s="350"/>
      <c r="AP139" s="350"/>
      <c r="AQ139" s="350"/>
      <c r="AR139" s="350"/>
      <c r="AS139" s="350"/>
      <c r="AT139" s="350"/>
      <c r="AU139" s="350"/>
      <c r="AV139" s="350"/>
      <c r="AW139" s="350"/>
      <c r="AX139" s="350"/>
      <c r="AY139" s="350"/>
      <c r="AZ139" s="350"/>
      <c r="BA139" s="350"/>
      <c r="BB139" s="214">
        <f t="shared" si="107"/>
        <v>0</v>
      </c>
      <c r="BC139" s="216">
        <f t="shared" si="108"/>
        <v>0</v>
      </c>
      <c r="BD139" s="180">
        <f t="shared" si="92"/>
        <v>0</v>
      </c>
      <c r="BE139" s="216">
        <f t="shared" si="109"/>
        <v>0</v>
      </c>
      <c r="BF139" s="179">
        <f t="shared" si="93"/>
        <v>0</v>
      </c>
      <c r="BG139" s="216">
        <f>SUM(RD[[#This Row],[KUD01]:[KUD23]])</f>
        <v>0</v>
      </c>
      <c r="BH139" s="217" t="str">
        <f t="shared" si="110"/>
        <v/>
      </c>
      <c r="BI139" s="219" t="str">
        <f t="shared" si="111"/>
        <v/>
      </c>
      <c r="BJ139" s="219" t="str">
        <f t="shared" si="112"/>
        <v/>
      </c>
      <c r="BK139" s="221">
        <f t="shared" si="113"/>
        <v>0</v>
      </c>
      <c r="BL139" s="61" t="str">
        <f>IFERROR(AVERAGEIF(RD[[#This Row],[WS_KUD07]:[WS_KUD08]],"&lt;&gt;0",RD[[#This Row],[WS_KUD07]:[WS_KUD08]]),"")</f>
        <v/>
      </c>
      <c r="BM139" s="223" t="str">
        <f>IFERROR(AVERAGE(RD[[#This Row],[WS_KUD01]:[WS_KUD23]]),"")</f>
        <v/>
      </c>
      <c r="BN139" s="224">
        <f>IFERROR(MAX(RD[[#This Row],[WS_KUD01]:[WS_KUD23]]),"")</f>
        <v>0</v>
      </c>
      <c r="BO139" s="172"/>
      <c r="BP139" s="349"/>
      <c r="BQ139" s="349"/>
      <c r="BR139" s="349"/>
      <c r="BS139" s="349"/>
      <c r="BT139" s="349"/>
      <c r="BU139" s="349"/>
      <c r="BV139" s="349"/>
      <c r="BW139" s="172"/>
      <c r="BX139" s="172"/>
      <c r="BY139" s="349"/>
      <c r="BZ139" s="349"/>
      <c r="CA139" s="349"/>
      <c r="CB139" s="349"/>
      <c r="CC139" s="349"/>
      <c r="CD139" s="172"/>
      <c r="CE139" s="349"/>
      <c r="CF139" s="360" t="str">
        <f>IF((RD[[#This Row],[33 kV_Wind_F1_Export reading]]-BO138)*165000&lt;=0,"",(RD[[#This Row],[33 kV_Wind_F1_Export reading]]-BO138)*165000)</f>
        <v/>
      </c>
      <c r="CG139" s="227" t="str">
        <f>IF((RD[[#This Row],[33 kV_Wind_F2_Export_reading]]-BP138)*165000&lt;=0,"",(RD[[#This Row],[33 kV_Wind_F2_Export_reading]]-BP138)*165000)</f>
        <v/>
      </c>
      <c r="CH139" s="64" t="str">
        <f>IF((RD[[#This Row],[33 kV_Wind_F3_Export_Reading]]-BQ138)*225000&lt;=0,"",(RD[[#This Row],[33 kV_Wind_F3_Export_Reading]]-BQ138)*225000)</f>
        <v/>
      </c>
      <c r="CI139" s="64" t="str">
        <f>IF((RD[[#This Row],[33 kV_Wind_F4_Export Reading]]-BR138)*165000&lt;=0,"",(RD[[#This Row],[33 kV_Wind_F4_Export Reading]]-BR138)*165000)</f>
        <v/>
      </c>
      <c r="CJ139" s="209" t="str">
        <f>IF((RD[[#This Row],[33 kV_Solar_F1_Export Reading]]-BS138)*225000&lt;=0,"",(RD[[#This Row],[33 kV_Solar_F1_Export Reading]]-BS138)*225000)</f>
        <v/>
      </c>
      <c r="CK139" s="74" t="str">
        <f>IF((RD[[#This Row],[33kV_Solar_F2_Export Reading]]-BT138)*225000&lt;=0,"",(RD[[#This Row],[33kV_Solar_F2_Export Reading]]-BT138)*225000)</f>
        <v/>
      </c>
      <c r="CL139" s="209" t="str">
        <f>IF((RD[[#This Row],[33 kV_Solar_F3_Export reading]]-BU138)*225000&lt;=0,"",(RD[[#This Row],[33 kV_Solar_F3_Export reading]]-BU138)*225000)</f>
        <v/>
      </c>
      <c r="CM139" s="63" t="str">
        <f>IF((RD[[#This Row],[32kV_Solar_F4_Export reading]]-BV138)*225000&lt;=0,"",(RD[[#This Row],[32kV_Solar_F4_Export reading]]-BV138)*225000)</f>
        <v/>
      </c>
      <c r="CN139" s="227">
        <f>IF((RD[[#This Row],[33kV_OG1_Export reading]]-BW138)*1000&lt;=0,0,(RD[[#This Row],[33kV_OG1_Export reading]]-BW138)*1000)</f>
        <v>0</v>
      </c>
      <c r="CO139" s="227">
        <f>IFERROR(IF((RD[[#This Row],[33kV_OG2_Export reading]]-BX138)*1000&lt;=0,0,(RD[[#This Row],[33kV_OG2_Export reading]]-BX138)*1000),0)</f>
        <v>0</v>
      </c>
      <c r="CP139" s="74">
        <f>IF((RD[[#This Row],[220kV_TX1_Export reading]]-BY138)*800000&lt;=0,0,(RD[[#This Row],[220kV_TX1_Export reading]]-BY138)*800000)</f>
        <v>0</v>
      </c>
      <c r="CQ139" s="209">
        <f>IF((RD[[#This Row],[220kV_Tx2_Export reading]]-BZ138)*800000&lt;=0,0,(RD[[#This Row],[220kV_Tx2_Export reading]]-BZ138)*800000)</f>
        <v>0</v>
      </c>
      <c r="CR139" s="227">
        <f>IF((RD[[#This Row],[220kV_TL_TVM Export Reading]]-CA138)*1600000&lt;=0,0,(RD[[#This Row],[220kV_TL_TVM Export Reading]]-CA138)*1600000)</f>
        <v>0</v>
      </c>
      <c r="CS139" s="227" t="str">
        <f>IF((RD[[#This Row],[220kV_C&amp;R_PQM reading]]-CB138)*1600000&lt;=0,"",(RD[[#This Row],[220kV_C&amp;R_PQM reading]]-CB138)*1600000)</f>
        <v/>
      </c>
      <c r="CT139" s="209">
        <f>IFERROR(IF((RD[[#This Row],[220KV_C&amp;R_PQM Import Reading]]-CC138)*1600000&lt;=0,0,(RD[[#This Row],[220KV_C&amp;R_PQM Import Reading]]-CC138)*1600000),"")</f>
        <v>0</v>
      </c>
      <c r="CU139" s="64" t="str">
        <f>IF((RD[[#This Row],[33kV_Aux1 Import Reading]]-CD138)*1000&lt;=0,"",(RD[[#This Row],[33kV_Aux1 Import Reading]]-CD138)*1000)</f>
        <v/>
      </c>
      <c r="CV139" s="227" t="str">
        <f>IF((RD[[#This Row],[33kV_Aux2_Import reading]]-CE138)*1000&lt;=0,"",(RD[[#This Row],[33kV_Aux2_Import reading]]-CE138)*1000)</f>
        <v/>
      </c>
      <c r="CW139" s="227">
        <f>IFERROR(RD[[#This Row],[33kV_OG1_Energy (MWh)]]+RD[[#This Row],[33kV_OG2_Energy (MWh)]],"")</f>
        <v>0</v>
      </c>
      <c r="CX139" s="227">
        <f>IFERROR(RD[[#This Row],[220kV_TL_TVM Energy (MWh)]]-RD[[#This Row],[220KV_C&amp;R_PQM Import (MWh)]],"")</f>
        <v>0</v>
      </c>
      <c r="CY139" s="228" t="str">
        <f>IFERROR(RD[[#This Row],[33 kV Total Export (MWH)]]/RD[[#This Row],[220 KV Net Export (MWh)]]-1,"")</f>
        <v/>
      </c>
      <c r="CZ139" s="229">
        <f t="shared" si="114"/>
        <v>50.6</v>
      </c>
      <c r="DA139" s="230"/>
      <c r="DB139" s="231"/>
      <c r="DC139" s="232">
        <f>IFERROR((RD[[#This Row],[Sunset Time (POA&lt;20 W/m2)]]-RD[[#This Row],[Sunrise Time (POA&gt;20 W/m2)]])*24,0)</f>
        <v>0</v>
      </c>
      <c r="DD139" s="70">
        <f>SUM(RD[[#This Row],[33 kV_Wind_F3_Export_Reading3]],CJ139,CK139,CL139,CM139)</f>
        <v>0</v>
      </c>
      <c r="DE139" s="233"/>
      <c r="DF139" s="70">
        <f t="shared" si="103"/>
        <v>0</v>
      </c>
      <c r="DG139" s="230"/>
      <c r="DH139">
        <f>'WTG Reactive Power'!AB137</f>
        <v>0</v>
      </c>
    </row>
    <row r="140" spans="1:112">
      <c r="A140" s="210">
        <f>YEAR(RD[[#This Row],[Date]])+IF(MONTH(RD[[#This Row],[Date]])&gt;=4,1,0)</f>
        <v>2026</v>
      </c>
      <c r="B140" s="210">
        <f>YEAR(RD[[#This Row],[Date]])</f>
        <v>2025</v>
      </c>
      <c r="C140" s="211">
        <f t="shared" si="105"/>
        <v>45870</v>
      </c>
      <c r="D140" s="210">
        <f>DAY(EOMONTH(RD[[#This Row],[Date]],0))</f>
        <v>31</v>
      </c>
      <c r="E140" s="212">
        <f t="shared" si="106"/>
        <v>45880</v>
      </c>
      <c r="F140" s="206"/>
      <c r="G140" s="206"/>
      <c r="H140" s="213"/>
      <c r="I140" s="213"/>
      <c r="J140" s="213"/>
      <c r="K140" s="213"/>
      <c r="L140" s="213"/>
      <c r="M140" s="213"/>
      <c r="N140" s="213"/>
      <c r="O140" s="213"/>
      <c r="P140" s="213"/>
      <c r="Q140" s="213"/>
      <c r="R140" s="213"/>
      <c r="S140" s="213"/>
      <c r="T140" s="213"/>
      <c r="U140" s="213"/>
      <c r="V140" s="213"/>
      <c r="W140" s="213"/>
      <c r="X140" s="213"/>
      <c r="Y140" s="213"/>
      <c r="Z140" s="213"/>
      <c r="AA140" s="213"/>
      <c r="AB140" s="213"/>
      <c r="AC140" s="213"/>
      <c r="AD140" s="213"/>
      <c r="AE140" s="350"/>
      <c r="AF140" s="350"/>
      <c r="AG140" s="350"/>
      <c r="AH140" s="350"/>
      <c r="AI140" s="350"/>
      <c r="AJ140" s="350"/>
      <c r="AK140" s="350"/>
      <c r="AL140" s="350"/>
      <c r="AM140" s="350"/>
      <c r="AN140" s="350"/>
      <c r="AO140" s="350"/>
      <c r="AP140" s="350"/>
      <c r="AQ140" s="350"/>
      <c r="AR140" s="350"/>
      <c r="AS140" s="350"/>
      <c r="AT140" s="350"/>
      <c r="AU140" s="350"/>
      <c r="AV140" s="350"/>
      <c r="AW140" s="350"/>
      <c r="AX140" s="350"/>
      <c r="AY140" s="350"/>
      <c r="AZ140" s="350"/>
      <c r="BA140" s="350"/>
      <c r="BB140" s="214">
        <f t="shared" si="107"/>
        <v>0</v>
      </c>
      <c r="BC140" s="216">
        <f t="shared" si="108"/>
        <v>0</v>
      </c>
      <c r="BD140" s="180">
        <f t="shared" si="92"/>
        <v>0</v>
      </c>
      <c r="BE140" s="216">
        <f t="shared" si="109"/>
        <v>0</v>
      </c>
      <c r="BF140" s="179">
        <f t="shared" si="93"/>
        <v>0</v>
      </c>
      <c r="BG140" s="216">
        <f>SUM(RD[[#This Row],[KUD01]:[KUD23]])</f>
        <v>0</v>
      </c>
      <c r="BH140" s="217" t="str">
        <f t="shared" si="110"/>
        <v/>
      </c>
      <c r="BI140" s="219" t="str">
        <f t="shared" si="111"/>
        <v/>
      </c>
      <c r="BJ140" s="219" t="str">
        <f t="shared" si="112"/>
        <v/>
      </c>
      <c r="BK140" s="221">
        <f t="shared" si="113"/>
        <v>0</v>
      </c>
      <c r="BL140" s="61" t="str">
        <f>IFERROR(AVERAGEIF(RD[[#This Row],[WS_KUD07]:[WS_KUD08]],"&lt;&gt;0",RD[[#This Row],[WS_KUD07]:[WS_KUD08]]),"")</f>
        <v/>
      </c>
      <c r="BM140" s="223" t="str">
        <f>IFERROR(AVERAGE(RD[[#This Row],[WS_KUD01]:[WS_KUD23]]),"")</f>
        <v/>
      </c>
      <c r="BN140" s="224">
        <f>IFERROR(MAX(RD[[#This Row],[WS_KUD01]:[WS_KUD23]]),"")</f>
        <v>0</v>
      </c>
      <c r="BO140" s="172"/>
      <c r="BP140" s="349"/>
      <c r="BQ140" s="349"/>
      <c r="BR140" s="349"/>
      <c r="BS140" s="349"/>
      <c r="BT140" s="349"/>
      <c r="BU140" s="349"/>
      <c r="BV140" s="349"/>
      <c r="BW140" s="172"/>
      <c r="BX140" s="172"/>
      <c r="BY140" s="349"/>
      <c r="BZ140" s="349"/>
      <c r="CA140" s="349"/>
      <c r="CB140" s="349"/>
      <c r="CC140" s="349"/>
      <c r="CD140" s="172"/>
      <c r="CE140" s="349"/>
      <c r="CF140" s="360" t="str">
        <f>IF((RD[[#This Row],[33 kV_Wind_F1_Export reading]]-BO139)*165000&lt;=0,"",(RD[[#This Row],[33 kV_Wind_F1_Export reading]]-BO139)*165000)</f>
        <v/>
      </c>
      <c r="CG140" s="227" t="str">
        <f>IF((RD[[#This Row],[33 kV_Wind_F2_Export_reading]]-BP139)*165000&lt;=0,"",(RD[[#This Row],[33 kV_Wind_F2_Export_reading]]-BP139)*165000)</f>
        <v/>
      </c>
      <c r="CH140" s="64" t="str">
        <f>IF((RD[[#This Row],[33 kV_Wind_F3_Export_Reading]]-BQ139)*225000&lt;=0,"",(RD[[#This Row],[33 kV_Wind_F3_Export_Reading]]-BQ139)*225000)</f>
        <v/>
      </c>
      <c r="CI140" s="64" t="str">
        <f>IF((RD[[#This Row],[33 kV_Wind_F4_Export Reading]]-BR139)*165000&lt;=0,"",(RD[[#This Row],[33 kV_Wind_F4_Export Reading]]-BR139)*165000)</f>
        <v/>
      </c>
      <c r="CJ140" s="209" t="str">
        <f>IF((RD[[#This Row],[33 kV_Solar_F1_Export Reading]]-BS139)*225000&lt;=0,"",(RD[[#This Row],[33 kV_Solar_F1_Export Reading]]-BS139)*225000)</f>
        <v/>
      </c>
      <c r="CK140" s="74" t="str">
        <f>IF((RD[[#This Row],[33kV_Solar_F2_Export Reading]]-BT139)*225000&lt;=0,"",(RD[[#This Row],[33kV_Solar_F2_Export Reading]]-BT139)*225000)</f>
        <v/>
      </c>
      <c r="CL140" s="209" t="str">
        <f>IF((RD[[#This Row],[33 kV_Solar_F3_Export reading]]-BU139)*225000&lt;=0,"",(RD[[#This Row],[33 kV_Solar_F3_Export reading]]-BU139)*225000)</f>
        <v/>
      </c>
      <c r="CM140" s="63" t="str">
        <f>IF((RD[[#This Row],[32kV_Solar_F4_Export reading]]-BV139)*225000&lt;=0,"",(RD[[#This Row],[32kV_Solar_F4_Export reading]]-BV139)*225000)</f>
        <v/>
      </c>
      <c r="CN140" s="227">
        <f>IF((RD[[#This Row],[33kV_OG1_Export reading]]-BW139)*1000&lt;=0,0,(RD[[#This Row],[33kV_OG1_Export reading]]-BW139)*1000)</f>
        <v>0</v>
      </c>
      <c r="CO140" s="227">
        <f>IFERROR(IF((RD[[#This Row],[33kV_OG2_Export reading]]-BX139)*1000&lt;=0,0,(RD[[#This Row],[33kV_OG2_Export reading]]-BX139)*1000),0)</f>
        <v>0</v>
      </c>
      <c r="CP140" s="74">
        <f>IF((RD[[#This Row],[220kV_TX1_Export reading]]-BY139)*800000&lt;=0,0,(RD[[#This Row],[220kV_TX1_Export reading]]-BY139)*800000)</f>
        <v>0</v>
      </c>
      <c r="CQ140" s="209">
        <f>IF((RD[[#This Row],[220kV_Tx2_Export reading]]-BZ139)*800000&lt;=0,0,(RD[[#This Row],[220kV_Tx2_Export reading]]-BZ139)*800000)</f>
        <v>0</v>
      </c>
      <c r="CR140" s="227">
        <f>IF((RD[[#This Row],[220kV_TL_TVM Export Reading]]-CA139)*1600000&lt;=0,0,(RD[[#This Row],[220kV_TL_TVM Export Reading]]-CA139)*1600000)</f>
        <v>0</v>
      </c>
      <c r="CS140" s="227" t="str">
        <f>IF((RD[[#This Row],[220kV_C&amp;R_PQM reading]]-CB139)*1600000&lt;=0,"",(RD[[#This Row],[220kV_C&amp;R_PQM reading]]-CB139)*1600000)</f>
        <v/>
      </c>
      <c r="CT140" s="209">
        <f>IFERROR(IF((RD[[#This Row],[220KV_C&amp;R_PQM Import Reading]]-CC139)*1600000&lt;=0,0,(RD[[#This Row],[220KV_C&amp;R_PQM Import Reading]]-CC139)*1600000),"")</f>
        <v>0</v>
      </c>
      <c r="CU140" s="64" t="str">
        <f>IF((RD[[#This Row],[33kV_Aux1 Import Reading]]-CD139)*1000&lt;=0,"",(RD[[#This Row],[33kV_Aux1 Import Reading]]-CD139)*1000)</f>
        <v/>
      </c>
      <c r="CV140" s="227" t="str">
        <f>IF((RD[[#This Row],[33kV_Aux2_Import reading]]-CE139)*1000&lt;=0,"",(RD[[#This Row],[33kV_Aux2_Import reading]]-CE139)*1000)</f>
        <v/>
      </c>
      <c r="CW140" s="227">
        <f>IFERROR(RD[[#This Row],[33kV_OG1_Energy (MWh)]]+RD[[#This Row],[33kV_OG2_Energy (MWh)]],"")</f>
        <v>0</v>
      </c>
      <c r="CX140" s="227">
        <f>IFERROR(RD[[#This Row],[220kV_TL_TVM Energy (MWh)]]-RD[[#This Row],[220KV_C&amp;R_PQM Import (MWh)]],"")</f>
        <v>0</v>
      </c>
      <c r="CY140" s="228" t="str">
        <f>IFERROR(RD[[#This Row],[33 kV Total Export (MWH)]]/RD[[#This Row],[220 KV Net Export (MWh)]]-1,"")</f>
        <v/>
      </c>
      <c r="CZ140" s="229">
        <f t="shared" si="114"/>
        <v>50.6</v>
      </c>
      <c r="DA140" s="230"/>
      <c r="DB140" s="231"/>
      <c r="DC140" s="232">
        <f>IFERROR((RD[[#This Row],[Sunset Time (POA&lt;20 W/m2)]]-RD[[#This Row],[Sunrise Time (POA&gt;20 W/m2)]])*24,0)</f>
        <v>0</v>
      </c>
      <c r="DD140" s="70">
        <f>SUM(RD[[#This Row],[33 kV_Wind_F3_Export_Reading3]],CJ140,CK140,CL140,CM140)</f>
        <v>0</v>
      </c>
      <c r="DE140" s="233"/>
      <c r="DF140" s="70">
        <f t="shared" si="103"/>
        <v>0</v>
      </c>
      <c r="DG140" s="230"/>
      <c r="DH140">
        <f>'WTG Reactive Power'!AB138</f>
        <v>0</v>
      </c>
    </row>
    <row r="141" spans="1:112">
      <c r="A141" s="210">
        <f>YEAR(RD[[#This Row],[Date]])+IF(MONTH(RD[[#This Row],[Date]])&gt;=4,1,0)</f>
        <v>2026</v>
      </c>
      <c r="B141" s="210">
        <f>YEAR(RD[[#This Row],[Date]])</f>
        <v>2025</v>
      </c>
      <c r="C141" s="211">
        <f t="shared" si="105"/>
        <v>45870</v>
      </c>
      <c r="D141" s="210">
        <f>DAY(EOMONTH(RD[[#This Row],[Date]],0))</f>
        <v>31</v>
      </c>
      <c r="E141" s="212">
        <f t="shared" si="106"/>
        <v>45881</v>
      </c>
      <c r="F141" s="206"/>
      <c r="G141" s="206"/>
      <c r="H141" s="213"/>
      <c r="I141" s="213"/>
      <c r="J141" s="213"/>
      <c r="K141" s="213"/>
      <c r="L141" s="213"/>
      <c r="M141" s="213"/>
      <c r="N141" s="213"/>
      <c r="O141" s="213"/>
      <c r="P141" s="213"/>
      <c r="Q141" s="213"/>
      <c r="R141" s="213"/>
      <c r="S141" s="213"/>
      <c r="T141" s="213"/>
      <c r="U141" s="213"/>
      <c r="V141" s="213"/>
      <c r="W141" s="213"/>
      <c r="X141" s="213"/>
      <c r="Y141" s="213"/>
      <c r="Z141" s="213"/>
      <c r="AA141" s="213"/>
      <c r="AB141" s="213"/>
      <c r="AC141" s="213"/>
      <c r="AD141" s="213"/>
      <c r="AE141" s="350"/>
      <c r="AF141" s="350"/>
      <c r="AG141" s="350"/>
      <c r="AH141" s="350"/>
      <c r="AI141" s="350"/>
      <c r="AJ141" s="350"/>
      <c r="AK141" s="350"/>
      <c r="AL141" s="350"/>
      <c r="AM141" s="350"/>
      <c r="AN141" s="350"/>
      <c r="AO141" s="350"/>
      <c r="AP141" s="350"/>
      <c r="AQ141" s="350"/>
      <c r="AR141" s="350"/>
      <c r="AS141" s="350"/>
      <c r="AT141" s="350"/>
      <c r="AU141" s="350"/>
      <c r="AV141" s="350"/>
      <c r="AW141" s="350"/>
      <c r="AX141" s="350"/>
      <c r="AY141" s="350"/>
      <c r="AZ141" s="350"/>
      <c r="BA141" s="350"/>
      <c r="BB141" s="214">
        <f t="shared" si="107"/>
        <v>0</v>
      </c>
      <c r="BC141" s="216">
        <f t="shared" si="108"/>
        <v>0</v>
      </c>
      <c r="BD141" s="180">
        <f t="shared" si="92"/>
        <v>0</v>
      </c>
      <c r="BE141" s="216">
        <f t="shared" si="109"/>
        <v>0</v>
      </c>
      <c r="BF141" s="179">
        <f t="shared" si="93"/>
        <v>0</v>
      </c>
      <c r="BG141" s="216">
        <f>SUM(RD[[#This Row],[KUD01]:[KUD23]])</f>
        <v>0</v>
      </c>
      <c r="BH141" s="217" t="str">
        <f t="shared" si="110"/>
        <v/>
      </c>
      <c r="BI141" s="219" t="str">
        <f t="shared" si="111"/>
        <v/>
      </c>
      <c r="BJ141" s="219" t="str">
        <f t="shared" si="112"/>
        <v/>
      </c>
      <c r="BK141" s="221">
        <f t="shared" si="113"/>
        <v>0</v>
      </c>
      <c r="BL141" s="61" t="str">
        <f>IFERROR(AVERAGEIF(RD[[#This Row],[WS_KUD07]:[WS_KUD08]],"&lt;&gt;0",RD[[#This Row],[WS_KUD07]:[WS_KUD08]]),"")</f>
        <v/>
      </c>
      <c r="BM141" s="223" t="str">
        <f>IFERROR(AVERAGE(RD[[#This Row],[WS_KUD01]:[WS_KUD23]]),"")</f>
        <v/>
      </c>
      <c r="BN141" s="224">
        <f>IFERROR(MAX(RD[[#This Row],[WS_KUD01]:[WS_KUD23]]),"")</f>
        <v>0</v>
      </c>
      <c r="BO141" s="172"/>
      <c r="BP141" s="349"/>
      <c r="BQ141" s="349"/>
      <c r="BR141" s="349"/>
      <c r="BS141" s="349"/>
      <c r="BT141" s="349"/>
      <c r="BU141" s="349"/>
      <c r="BV141" s="349"/>
      <c r="BW141" s="172"/>
      <c r="BX141" s="172"/>
      <c r="BY141" s="349"/>
      <c r="BZ141" s="349"/>
      <c r="CA141" s="349"/>
      <c r="CB141" s="349"/>
      <c r="CC141" s="349"/>
      <c r="CD141" s="172"/>
      <c r="CE141" s="349"/>
      <c r="CF141" s="360" t="str">
        <f>IF((RD[[#This Row],[33 kV_Wind_F1_Export reading]]-BO140)*165000&lt;=0,"",(RD[[#This Row],[33 kV_Wind_F1_Export reading]]-BO140)*165000)</f>
        <v/>
      </c>
      <c r="CG141" s="227" t="str">
        <f>IF((RD[[#This Row],[33 kV_Wind_F2_Export_reading]]-BP140)*165000&lt;=0,"",(RD[[#This Row],[33 kV_Wind_F2_Export_reading]]-BP140)*165000)</f>
        <v/>
      </c>
      <c r="CH141" s="64" t="str">
        <f>IF((RD[[#This Row],[33 kV_Wind_F3_Export_Reading]]-BQ140)*225000&lt;=0,"",(RD[[#This Row],[33 kV_Wind_F3_Export_Reading]]-BQ140)*225000)</f>
        <v/>
      </c>
      <c r="CI141" s="64" t="str">
        <f>IF((RD[[#This Row],[33 kV_Wind_F4_Export Reading]]-BR140)*165000&lt;=0,"",(RD[[#This Row],[33 kV_Wind_F4_Export Reading]]-BR140)*165000)</f>
        <v/>
      </c>
      <c r="CJ141" s="209" t="str">
        <f>IF((RD[[#This Row],[33 kV_Solar_F1_Export Reading]]-BS140)*225000&lt;=0,"",(RD[[#This Row],[33 kV_Solar_F1_Export Reading]]-BS140)*225000)</f>
        <v/>
      </c>
      <c r="CK141" s="74" t="str">
        <f>IF((RD[[#This Row],[33kV_Solar_F2_Export Reading]]-BT140)*225000&lt;=0,"",(RD[[#This Row],[33kV_Solar_F2_Export Reading]]-BT140)*225000)</f>
        <v/>
      </c>
      <c r="CL141" s="209" t="str">
        <f>IF((RD[[#This Row],[33 kV_Solar_F3_Export reading]]-BU140)*225000&lt;=0,"",(RD[[#This Row],[33 kV_Solar_F3_Export reading]]-BU140)*225000)</f>
        <v/>
      </c>
      <c r="CM141" s="63" t="str">
        <f>IF((RD[[#This Row],[32kV_Solar_F4_Export reading]]-BV140)*225000&lt;=0,"",(RD[[#This Row],[32kV_Solar_F4_Export reading]]-BV140)*225000)</f>
        <v/>
      </c>
      <c r="CN141" s="227">
        <f>IF((RD[[#This Row],[33kV_OG1_Export reading]]-BW140)*1000&lt;=0,0,(RD[[#This Row],[33kV_OG1_Export reading]]-BW140)*1000)</f>
        <v>0</v>
      </c>
      <c r="CO141" s="227">
        <f>IFERROR(IF((RD[[#This Row],[33kV_OG2_Export reading]]-BX140)*1000&lt;=0,0,(RD[[#This Row],[33kV_OG2_Export reading]]-BX140)*1000),0)</f>
        <v>0</v>
      </c>
      <c r="CP141" s="74">
        <f>IF((RD[[#This Row],[220kV_TX1_Export reading]]-BY140)*800000&lt;=0,0,(RD[[#This Row],[220kV_TX1_Export reading]]-BY140)*800000)</f>
        <v>0</v>
      </c>
      <c r="CQ141" s="209">
        <f>IF((RD[[#This Row],[220kV_Tx2_Export reading]]-BZ140)*800000&lt;=0,0,(RD[[#This Row],[220kV_Tx2_Export reading]]-BZ140)*800000)</f>
        <v>0</v>
      </c>
      <c r="CR141" s="227">
        <f>IF((RD[[#This Row],[220kV_TL_TVM Export Reading]]-CA140)*1600000&lt;=0,0,(RD[[#This Row],[220kV_TL_TVM Export Reading]]-CA140)*1600000)</f>
        <v>0</v>
      </c>
      <c r="CS141" s="227" t="str">
        <f>IF((RD[[#This Row],[220kV_C&amp;R_PQM reading]]-CB140)*1600000&lt;=0,"",(RD[[#This Row],[220kV_C&amp;R_PQM reading]]-CB140)*1600000)</f>
        <v/>
      </c>
      <c r="CT141" s="209">
        <f>IFERROR(IF((RD[[#This Row],[220KV_C&amp;R_PQM Import Reading]]-CC140)*1600000&lt;=0,0,(RD[[#This Row],[220KV_C&amp;R_PQM Import Reading]]-CC140)*1600000),"")</f>
        <v>0</v>
      </c>
      <c r="CU141" s="64" t="str">
        <f>IF((RD[[#This Row],[33kV_Aux1 Import Reading]]-CD140)*1000&lt;=0,"",(RD[[#This Row],[33kV_Aux1 Import Reading]]-CD140)*1000)</f>
        <v/>
      </c>
      <c r="CV141" s="227" t="str">
        <f>IF((RD[[#This Row],[33kV_Aux2_Import reading]]-CE140)*1000&lt;=0,"",(RD[[#This Row],[33kV_Aux2_Import reading]]-CE140)*1000)</f>
        <v/>
      </c>
      <c r="CW141" s="227">
        <f>IFERROR(RD[[#This Row],[33kV_OG1_Energy (MWh)]]+RD[[#This Row],[33kV_OG2_Energy (MWh)]],"")</f>
        <v>0</v>
      </c>
      <c r="CX141" s="227">
        <f>IFERROR(RD[[#This Row],[220kV_TL_TVM Energy (MWh)]]-RD[[#This Row],[220KV_C&amp;R_PQM Import (MWh)]],"")</f>
        <v>0</v>
      </c>
      <c r="CY141" s="228" t="str">
        <f>IFERROR(RD[[#This Row],[33 kV Total Export (MWH)]]/RD[[#This Row],[220 KV Net Export (MWh)]]-1,"")</f>
        <v/>
      </c>
      <c r="CZ141" s="229">
        <f t="shared" si="114"/>
        <v>50.6</v>
      </c>
      <c r="DA141" s="230"/>
      <c r="DB141" s="231"/>
      <c r="DC141" s="232">
        <f>IFERROR((RD[[#This Row],[Sunset Time (POA&lt;20 W/m2)]]-RD[[#This Row],[Sunrise Time (POA&gt;20 W/m2)]])*24,0)</f>
        <v>0</v>
      </c>
      <c r="DD141" s="70">
        <f>SUM(RD[[#This Row],[33 kV_Wind_F3_Export_Reading3]],CJ141,CK141,CL141,CM141)</f>
        <v>0</v>
      </c>
      <c r="DE141" s="233"/>
      <c r="DF141" s="70">
        <f t="shared" si="103"/>
        <v>0</v>
      </c>
      <c r="DG141" s="230"/>
      <c r="DH141">
        <f>'WTG Reactive Power'!AB139</f>
        <v>0</v>
      </c>
    </row>
    <row r="142" spans="1:112">
      <c r="A142" s="210">
        <f>YEAR(RD[[#This Row],[Date]])+IF(MONTH(RD[[#This Row],[Date]])&gt;=4,1,0)</f>
        <v>2026</v>
      </c>
      <c r="B142" s="210">
        <f>YEAR(RD[[#This Row],[Date]])</f>
        <v>2025</v>
      </c>
      <c r="C142" s="211">
        <f t="shared" si="105"/>
        <v>45870</v>
      </c>
      <c r="D142" s="210">
        <f>DAY(EOMONTH(RD[[#This Row],[Date]],0))</f>
        <v>31</v>
      </c>
      <c r="E142" s="212">
        <f t="shared" si="106"/>
        <v>45882</v>
      </c>
      <c r="F142" s="206"/>
      <c r="G142" s="206"/>
      <c r="H142" s="213"/>
      <c r="I142" s="213"/>
      <c r="J142" s="213"/>
      <c r="K142" s="213"/>
      <c r="L142" s="213"/>
      <c r="M142" s="213"/>
      <c r="N142" s="213"/>
      <c r="O142" s="213"/>
      <c r="P142" s="213"/>
      <c r="Q142" s="213"/>
      <c r="R142" s="213"/>
      <c r="S142" s="213"/>
      <c r="T142" s="213"/>
      <c r="U142" s="213"/>
      <c r="V142" s="213"/>
      <c r="W142" s="213"/>
      <c r="X142" s="213"/>
      <c r="Y142" s="213"/>
      <c r="Z142" s="213"/>
      <c r="AA142" s="213"/>
      <c r="AB142" s="213"/>
      <c r="AC142" s="213"/>
      <c r="AD142" s="213"/>
      <c r="AE142" s="350"/>
      <c r="AF142" s="350"/>
      <c r="AG142" s="350"/>
      <c r="AH142" s="350"/>
      <c r="AI142" s="350"/>
      <c r="AJ142" s="350"/>
      <c r="AK142" s="350"/>
      <c r="AL142" s="350"/>
      <c r="AM142" s="350"/>
      <c r="AN142" s="350"/>
      <c r="AO142" s="350"/>
      <c r="AP142" s="350"/>
      <c r="AQ142" s="350"/>
      <c r="AR142" s="350"/>
      <c r="AS142" s="350"/>
      <c r="AT142" s="350"/>
      <c r="AU142" s="350"/>
      <c r="AV142" s="350"/>
      <c r="AW142" s="350"/>
      <c r="AX142" s="350"/>
      <c r="AY142" s="350"/>
      <c r="AZ142" s="350"/>
      <c r="BA142" s="350"/>
      <c r="BB142" s="214">
        <f t="shared" si="107"/>
        <v>0</v>
      </c>
      <c r="BC142" s="216">
        <f t="shared" si="108"/>
        <v>0</v>
      </c>
      <c r="BD142" s="180">
        <f t="shared" si="92"/>
        <v>0</v>
      </c>
      <c r="BE142" s="216">
        <f t="shared" si="109"/>
        <v>0</v>
      </c>
      <c r="BF142" s="179">
        <f t="shared" si="93"/>
        <v>0</v>
      </c>
      <c r="BG142" s="216">
        <f>SUM(RD[[#This Row],[KUD01]:[KUD23]])</f>
        <v>0</v>
      </c>
      <c r="BH142" s="217" t="str">
        <f t="shared" si="110"/>
        <v/>
      </c>
      <c r="BI142" s="219" t="str">
        <f t="shared" si="111"/>
        <v/>
      </c>
      <c r="BJ142" s="219" t="str">
        <f t="shared" si="112"/>
        <v/>
      </c>
      <c r="BK142" s="221">
        <f t="shared" si="113"/>
        <v>0</v>
      </c>
      <c r="BL142" s="61" t="str">
        <f>IFERROR(AVERAGEIF(RD[[#This Row],[WS_KUD07]:[WS_KUD08]],"&lt;&gt;0",RD[[#This Row],[WS_KUD07]:[WS_KUD08]]),"")</f>
        <v/>
      </c>
      <c r="BM142" s="223" t="str">
        <f>IFERROR(AVERAGE(RD[[#This Row],[WS_KUD01]:[WS_KUD23]]),"")</f>
        <v/>
      </c>
      <c r="BN142" s="224">
        <f>IFERROR(MAX(RD[[#This Row],[WS_KUD01]:[WS_KUD23]]),"")</f>
        <v>0</v>
      </c>
      <c r="BO142" s="172"/>
      <c r="BP142" s="349"/>
      <c r="BQ142" s="349"/>
      <c r="BR142" s="349"/>
      <c r="BS142" s="349"/>
      <c r="BT142" s="349"/>
      <c r="BU142" s="349"/>
      <c r="BV142" s="349"/>
      <c r="BW142" s="172"/>
      <c r="BX142" s="172"/>
      <c r="BY142" s="349"/>
      <c r="BZ142" s="349"/>
      <c r="CA142" s="349"/>
      <c r="CB142" s="349"/>
      <c r="CC142" s="349"/>
      <c r="CD142" s="172"/>
      <c r="CE142" s="349"/>
      <c r="CF142" s="360" t="str">
        <f>IF((RD[[#This Row],[33 kV_Wind_F1_Export reading]]-BO141)*165000&lt;=0,"",(RD[[#This Row],[33 kV_Wind_F1_Export reading]]-BO141)*165000)</f>
        <v/>
      </c>
      <c r="CG142" s="227" t="str">
        <f>IF((RD[[#This Row],[33 kV_Wind_F2_Export_reading]]-BP141)*165000&lt;=0,"",(RD[[#This Row],[33 kV_Wind_F2_Export_reading]]-BP141)*165000)</f>
        <v/>
      </c>
      <c r="CH142" s="64" t="str">
        <f>IF((RD[[#This Row],[33 kV_Wind_F3_Export_Reading]]-BQ141)*225000&lt;=0,"",(RD[[#This Row],[33 kV_Wind_F3_Export_Reading]]-BQ141)*225000)</f>
        <v/>
      </c>
      <c r="CI142" s="64" t="str">
        <f>IF((RD[[#This Row],[33 kV_Wind_F4_Export Reading]]-BR141)*165000&lt;=0,"",(RD[[#This Row],[33 kV_Wind_F4_Export Reading]]-BR141)*165000)</f>
        <v/>
      </c>
      <c r="CJ142" s="209" t="str">
        <f>IF((RD[[#This Row],[33 kV_Solar_F1_Export Reading]]-BS141)*225000&lt;=0,"",(RD[[#This Row],[33 kV_Solar_F1_Export Reading]]-BS141)*225000)</f>
        <v/>
      </c>
      <c r="CK142" s="74" t="str">
        <f>IF((RD[[#This Row],[33kV_Solar_F2_Export Reading]]-BT141)*225000&lt;=0,"",(RD[[#This Row],[33kV_Solar_F2_Export Reading]]-BT141)*225000)</f>
        <v/>
      </c>
      <c r="CL142" s="209" t="str">
        <f>IF((RD[[#This Row],[33 kV_Solar_F3_Export reading]]-BU141)*225000&lt;=0,"",(RD[[#This Row],[33 kV_Solar_F3_Export reading]]-BU141)*225000)</f>
        <v/>
      </c>
      <c r="CM142" s="63" t="str">
        <f>IF((RD[[#This Row],[32kV_Solar_F4_Export reading]]-BV141)*225000&lt;=0,"",(RD[[#This Row],[32kV_Solar_F4_Export reading]]-BV141)*225000)</f>
        <v/>
      </c>
      <c r="CN142" s="227">
        <f>IF((RD[[#This Row],[33kV_OG1_Export reading]]-BW141)*1000&lt;=0,0,(RD[[#This Row],[33kV_OG1_Export reading]]-BW141)*1000)</f>
        <v>0</v>
      </c>
      <c r="CO142" s="227">
        <f>IFERROR(IF((RD[[#This Row],[33kV_OG2_Export reading]]-BX141)*1000&lt;=0,0,(RD[[#This Row],[33kV_OG2_Export reading]]-BX141)*1000),0)</f>
        <v>0</v>
      </c>
      <c r="CP142" s="74">
        <f>IF((RD[[#This Row],[220kV_TX1_Export reading]]-BY141)*800000&lt;=0,0,(RD[[#This Row],[220kV_TX1_Export reading]]-BY141)*800000)</f>
        <v>0</v>
      </c>
      <c r="CQ142" s="209">
        <f>IF((RD[[#This Row],[220kV_Tx2_Export reading]]-BZ141)*800000&lt;=0,0,(RD[[#This Row],[220kV_Tx2_Export reading]]-BZ141)*800000)</f>
        <v>0</v>
      </c>
      <c r="CR142" s="227">
        <f>IF((RD[[#This Row],[220kV_TL_TVM Export Reading]]-CA141)*1600000&lt;=0,0,(RD[[#This Row],[220kV_TL_TVM Export Reading]]-CA141)*1600000)</f>
        <v>0</v>
      </c>
      <c r="CS142" s="227" t="str">
        <f>IF((RD[[#This Row],[220kV_C&amp;R_PQM reading]]-CB141)*1600000&lt;=0,"",(RD[[#This Row],[220kV_C&amp;R_PQM reading]]-CB141)*1600000)</f>
        <v/>
      </c>
      <c r="CT142" s="209">
        <f>IFERROR(IF((RD[[#This Row],[220KV_C&amp;R_PQM Import Reading]]-CC141)*1600000&lt;=0,0,(RD[[#This Row],[220KV_C&amp;R_PQM Import Reading]]-CC141)*1600000),"")</f>
        <v>0</v>
      </c>
      <c r="CU142" s="64" t="str">
        <f>IF((RD[[#This Row],[33kV_Aux1 Import Reading]]-CD141)*1000&lt;=0,"",(RD[[#This Row],[33kV_Aux1 Import Reading]]-CD141)*1000)</f>
        <v/>
      </c>
      <c r="CV142" s="227" t="str">
        <f>IF((RD[[#This Row],[33kV_Aux2_Import reading]]-CE141)*1000&lt;=0,"",(RD[[#This Row],[33kV_Aux2_Import reading]]-CE141)*1000)</f>
        <v/>
      </c>
      <c r="CW142" s="227">
        <f>IFERROR(RD[[#This Row],[33kV_OG1_Energy (MWh)]]+RD[[#This Row],[33kV_OG2_Energy (MWh)]],"")</f>
        <v>0</v>
      </c>
      <c r="CX142" s="227">
        <f>IFERROR(RD[[#This Row],[220kV_TL_TVM Energy (MWh)]]-RD[[#This Row],[220KV_C&amp;R_PQM Import (MWh)]],"")</f>
        <v>0</v>
      </c>
      <c r="CY142" s="228" t="str">
        <f>IFERROR(RD[[#This Row],[33 kV Total Export (MWH)]]/RD[[#This Row],[220 KV Net Export (MWh)]]-1,"")</f>
        <v/>
      </c>
      <c r="CZ142" s="229">
        <f t="shared" si="114"/>
        <v>50.6</v>
      </c>
      <c r="DA142" s="230"/>
      <c r="DB142" s="231"/>
      <c r="DC142" s="232">
        <f>IFERROR((RD[[#This Row],[Sunset Time (POA&lt;20 W/m2)]]-RD[[#This Row],[Sunrise Time (POA&gt;20 W/m2)]])*24,0)</f>
        <v>0</v>
      </c>
      <c r="DD142" s="70">
        <f>SUM(RD[[#This Row],[33 kV_Wind_F3_Export_Reading3]],CJ142,CK142,CL142,CM142)</f>
        <v>0</v>
      </c>
      <c r="DE142" s="233"/>
      <c r="DF142" s="70">
        <f t="shared" si="103"/>
        <v>0</v>
      </c>
      <c r="DG142" s="230"/>
      <c r="DH142">
        <f>'WTG Reactive Power'!AB140</f>
        <v>0</v>
      </c>
    </row>
    <row r="143" spans="1:112">
      <c r="A143" s="210">
        <f>YEAR(RD[[#This Row],[Date]])+IF(MONTH(RD[[#This Row],[Date]])&gt;=4,1,0)</f>
        <v>2026</v>
      </c>
      <c r="B143" s="210">
        <f>YEAR(RD[[#This Row],[Date]])</f>
        <v>2025</v>
      </c>
      <c r="C143" s="211">
        <f t="shared" si="105"/>
        <v>45870</v>
      </c>
      <c r="D143" s="210">
        <f>DAY(EOMONTH(RD[[#This Row],[Date]],0))</f>
        <v>31</v>
      </c>
      <c r="E143" s="212">
        <f t="shared" si="106"/>
        <v>45883</v>
      </c>
      <c r="F143" s="206"/>
      <c r="G143" s="206"/>
      <c r="H143" s="213"/>
      <c r="I143" s="213"/>
      <c r="J143" s="213"/>
      <c r="K143" s="213"/>
      <c r="L143" s="213"/>
      <c r="M143" s="213"/>
      <c r="N143" s="213"/>
      <c r="O143" s="213"/>
      <c r="P143" s="213"/>
      <c r="Q143" s="213"/>
      <c r="R143" s="213"/>
      <c r="S143" s="213"/>
      <c r="T143" s="213"/>
      <c r="U143" s="213"/>
      <c r="V143" s="213"/>
      <c r="W143" s="213"/>
      <c r="X143" s="213"/>
      <c r="Y143" s="213"/>
      <c r="Z143" s="213"/>
      <c r="AA143" s="213"/>
      <c r="AB143" s="213"/>
      <c r="AC143" s="213"/>
      <c r="AD143" s="213"/>
      <c r="AE143" s="350"/>
      <c r="AF143" s="350"/>
      <c r="AG143" s="350"/>
      <c r="AH143" s="350"/>
      <c r="AI143" s="350"/>
      <c r="AJ143" s="350"/>
      <c r="AK143" s="350"/>
      <c r="AL143" s="350"/>
      <c r="AM143" s="350"/>
      <c r="AN143" s="350"/>
      <c r="AO143" s="350"/>
      <c r="AP143" s="350"/>
      <c r="AQ143" s="350"/>
      <c r="AR143" s="350"/>
      <c r="AS143" s="350"/>
      <c r="AT143" s="350"/>
      <c r="AU143" s="350"/>
      <c r="AV143" s="350"/>
      <c r="AW143" s="350"/>
      <c r="AX143" s="350"/>
      <c r="AY143" s="350"/>
      <c r="AZ143" s="350"/>
      <c r="BA143" s="350"/>
      <c r="BB143" s="214">
        <f t="shared" si="107"/>
        <v>0</v>
      </c>
      <c r="BC143" s="216">
        <f t="shared" si="108"/>
        <v>0</v>
      </c>
      <c r="BD143" s="180">
        <f t="shared" si="92"/>
        <v>0</v>
      </c>
      <c r="BE143" s="216">
        <f t="shared" si="109"/>
        <v>0</v>
      </c>
      <c r="BF143" s="179">
        <f t="shared" si="93"/>
        <v>0</v>
      </c>
      <c r="BG143" s="216">
        <f>SUM(RD[[#This Row],[KUD01]:[KUD23]])</f>
        <v>0</v>
      </c>
      <c r="BH143" s="217" t="str">
        <f t="shared" si="110"/>
        <v/>
      </c>
      <c r="BI143" s="219" t="str">
        <f t="shared" si="111"/>
        <v/>
      </c>
      <c r="BJ143" s="219" t="str">
        <f t="shared" si="112"/>
        <v/>
      </c>
      <c r="BK143" s="221">
        <f t="shared" si="113"/>
        <v>0</v>
      </c>
      <c r="BL143" s="61" t="str">
        <f>IFERROR(AVERAGEIF(RD[[#This Row],[WS_KUD07]:[WS_KUD08]],"&lt;&gt;0",RD[[#This Row],[WS_KUD07]:[WS_KUD08]]),"")</f>
        <v/>
      </c>
      <c r="BM143" s="223" t="str">
        <f>IFERROR(AVERAGE(RD[[#This Row],[WS_KUD01]:[WS_KUD23]]),"")</f>
        <v/>
      </c>
      <c r="BN143" s="224">
        <f>IFERROR(MAX(RD[[#This Row],[WS_KUD01]:[WS_KUD23]]),"")</f>
        <v>0</v>
      </c>
      <c r="BO143" s="172"/>
      <c r="BP143" s="349"/>
      <c r="BQ143" s="349"/>
      <c r="BR143" s="349"/>
      <c r="BS143" s="349"/>
      <c r="BT143" s="349"/>
      <c r="BU143" s="349"/>
      <c r="BV143" s="349"/>
      <c r="BW143" s="172"/>
      <c r="BX143" s="172"/>
      <c r="BY143" s="349"/>
      <c r="BZ143" s="349"/>
      <c r="CA143" s="349"/>
      <c r="CB143" s="349"/>
      <c r="CC143" s="349"/>
      <c r="CD143" s="172"/>
      <c r="CE143" s="349"/>
      <c r="CF143" s="360" t="str">
        <f>IF((RD[[#This Row],[33 kV_Wind_F1_Export reading]]-BO142)*165000&lt;=0,"",(RD[[#This Row],[33 kV_Wind_F1_Export reading]]-BO142)*165000)</f>
        <v/>
      </c>
      <c r="CG143" s="227" t="str">
        <f>IF((RD[[#This Row],[33 kV_Wind_F2_Export_reading]]-BP142)*165000&lt;=0,"",(RD[[#This Row],[33 kV_Wind_F2_Export_reading]]-BP142)*165000)</f>
        <v/>
      </c>
      <c r="CH143" s="64" t="str">
        <f>IF((RD[[#This Row],[33 kV_Wind_F3_Export_Reading]]-BQ142)*225000&lt;=0,"",(RD[[#This Row],[33 kV_Wind_F3_Export_Reading]]-BQ142)*225000)</f>
        <v/>
      </c>
      <c r="CI143" s="64" t="str">
        <f>IF((RD[[#This Row],[33 kV_Wind_F4_Export Reading]]-BR142)*165000&lt;=0,"",(RD[[#This Row],[33 kV_Wind_F4_Export Reading]]-BR142)*165000)</f>
        <v/>
      </c>
      <c r="CJ143" s="209" t="str">
        <f>IF((RD[[#This Row],[33 kV_Solar_F1_Export Reading]]-BS142)*225000&lt;=0,"",(RD[[#This Row],[33 kV_Solar_F1_Export Reading]]-BS142)*225000)</f>
        <v/>
      </c>
      <c r="CK143" s="74" t="str">
        <f>IF((RD[[#This Row],[33kV_Solar_F2_Export Reading]]-BT142)*225000&lt;=0,"",(RD[[#This Row],[33kV_Solar_F2_Export Reading]]-BT142)*225000)</f>
        <v/>
      </c>
      <c r="CL143" s="209" t="str">
        <f>IF((RD[[#This Row],[33 kV_Solar_F3_Export reading]]-BU142)*225000&lt;=0,"",(RD[[#This Row],[33 kV_Solar_F3_Export reading]]-BU142)*225000)</f>
        <v/>
      </c>
      <c r="CM143" s="63" t="str">
        <f>IF((RD[[#This Row],[32kV_Solar_F4_Export reading]]-BV142)*225000&lt;=0,"",(RD[[#This Row],[32kV_Solar_F4_Export reading]]-BV142)*225000)</f>
        <v/>
      </c>
      <c r="CN143" s="227">
        <f>IF((RD[[#This Row],[33kV_OG1_Export reading]]-BW142)*1000&lt;=0,0,(RD[[#This Row],[33kV_OG1_Export reading]]-BW142)*1000)</f>
        <v>0</v>
      </c>
      <c r="CO143" s="227">
        <f>IFERROR(IF((RD[[#This Row],[33kV_OG2_Export reading]]-BX142)*1000&lt;=0,0,(RD[[#This Row],[33kV_OG2_Export reading]]-BX142)*1000),0)</f>
        <v>0</v>
      </c>
      <c r="CP143" s="74">
        <f>IF((RD[[#This Row],[220kV_TX1_Export reading]]-BY142)*800000&lt;=0,0,(RD[[#This Row],[220kV_TX1_Export reading]]-BY142)*800000)</f>
        <v>0</v>
      </c>
      <c r="CQ143" s="209">
        <f>IF((RD[[#This Row],[220kV_Tx2_Export reading]]-BZ142)*800000&lt;=0,0,(RD[[#This Row],[220kV_Tx2_Export reading]]-BZ142)*800000)</f>
        <v>0</v>
      </c>
      <c r="CR143" s="227">
        <f>IF((RD[[#This Row],[220kV_TL_TVM Export Reading]]-CA142)*1600000&lt;=0,0,(RD[[#This Row],[220kV_TL_TVM Export Reading]]-CA142)*1600000)</f>
        <v>0</v>
      </c>
      <c r="CS143" s="227" t="str">
        <f>IF((RD[[#This Row],[220kV_C&amp;R_PQM reading]]-CB142)*1600000&lt;=0,"",(RD[[#This Row],[220kV_C&amp;R_PQM reading]]-CB142)*1600000)</f>
        <v/>
      </c>
      <c r="CT143" s="209">
        <f>IFERROR(IF((RD[[#This Row],[220KV_C&amp;R_PQM Import Reading]]-CC142)*1600000&lt;=0,0,(RD[[#This Row],[220KV_C&amp;R_PQM Import Reading]]-CC142)*1600000),"")</f>
        <v>0</v>
      </c>
      <c r="CU143" s="64" t="str">
        <f>IF((RD[[#This Row],[33kV_Aux1 Import Reading]]-CD142)*1000&lt;=0,"",(RD[[#This Row],[33kV_Aux1 Import Reading]]-CD142)*1000)</f>
        <v/>
      </c>
      <c r="CV143" s="227" t="str">
        <f>IF((RD[[#This Row],[33kV_Aux2_Import reading]]-CE142)*1000&lt;=0,"",(RD[[#This Row],[33kV_Aux2_Import reading]]-CE142)*1000)</f>
        <v/>
      </c>
      <c r="CW143" s="227">
        <f>IFERROR(RD[[#This Row],[33kV_OG1_Energy (MWh)]]+RD[[#This Row],[33kV_OG2_Energy (MWh)]],"")</f>
        <v>0</v>
      </c>
      <c r="CX143" s="227">
        <f>IFERROR(RD[[#This Row],[220kV_TL_TVM Energy (MWh)]]-RD[[#This Row],[220KV_C&amp;R_PQM Import (MWh)]],"")</f>
        <v>0</v>
      </c>
      <c r="CY143" s="228" t="str">
        <f>IFERROR(RD[[#This Row],[33 kV Total Export (MWH)]]/RD[[#This Row],[220 KV Net Export (MWh)]]-1,"")</f>
        <v/>
      </c>
      <c r="CZ143" s="229">
        <f t="shared" si="114"/>
        <v>50.6</v>
      </c>
      <c r="DA143" s="230"/>
      <c r="DB143" s="231"/>
      <c r="DC143" s="232">
        <f>IFERROR((RD[[#This Row],[Sunset Time (POA&lt;20 W/m2)]]-RD[[#This Row],[Sunrise Time (POA&gt;20 W/m2)]])*24,0)</f>
        <v>0</v>
      </c>
      <c r="DD143" s="70">
        <f>SUM(RD[[#This Row],[33 kV_Wind_F3_Export_Reading3]],CJ143,CK143,CL143,CM143)</f>
        <v>0</v>
      </c>
      <c r="DE143" s="233"/>
      <c r="DF143" s="70">
        <f t="shared" si="103"/>
        <v>0</v>
      </c>
      <c r="DG143" s="230"/>
      <c r="DH143">
        <f>'WTG Reactive Power'!AB141</f>
        <v>0</v>
      </c>
    </row>
    <row r="144" spans="1:112">
      <c r="A144" s="210">
        <f>YEAR(RD[[#This Row],[Date]])+IF(MONTH(RD[[#This Row],[Date]])&gt;=4,1,0)</f>
        <v>2026</v>
      </c>
      <c r="B144" s="210">
        <f>YEAR(RD[[#This Row],[Date]])</f>
        <v>2025</v>
      </c>
      <c r="C144" s="211">
        <f t="shared" si="105"/>
        <v>45870</v>
      </c>
      <c r="D144" s="210">
        <f>DAY(EOMONTH(RD[[#This Row],[Date]],0))</f>
        <v>31</v>
      </c>
      <c r="E144" s="212">
        <f t="shared" si="106"/>
        <v>45884</v>
      </c>
      <c r="F144" s="206"/>
      <c r="G144" s="206"/>
      <c r="H144" s="213"/>
      <c r="I144" s="213"/>
      <c r="J144" s="213"/>
      <c r="K144" s="213"/>
      <c r="L144" s="213"/>
      <c r="M144" s="213"/>
      <c r="N144" s="213"/>
      <c r="O144" s="213"/>
      <c r="P144" s="213"/>
      <c r="Q144" s="213"/>
      <c r="R144" s="213"/>
      <c r="S144" s="213"/>
      <c r="T144" s="213"/>
      <c r="U144" s="213"/>
      <c r="V144" s="213"/>
      <c r="W144" s="213"/>
      <c r="X144" s="213"/>
      <c r="Y144" s="213"/>
      <c r="Z144" s="213"/>
      <c r="AA144" s="213"/>
      <c r="AB144" s="213"/>
      <c r="AC144" s="213"/>
      <c r="AD144" s="213"/>
      <c r="AE144" s="350"/>
      <c r="AF144" s="350"/>
      <c r="AG144" s="350"/>
      <c r="AH144" s="350"/>
      <c r="AI144" s="350"/>
      <c r="AJ144" s="350"/>
      <c r="AK144" s="350"/>
      <c r="AL144" s="350"/>
      <c r="AM144" s="350"/>
      <c r="AN144" s="350"/>
      <c r="AO144" s="350"/>
      <c r="AP144" s="350"/>
      <c r="AQ144" s="350"/>
      <c r="AR144" s="350"/>
      <c r="AS144" s="350"/>
      <c r="AT144" s="350"/>
      <c r="AU144" s="350"/>
      <c r="AV144" s="350"/>
      <c r="AW144" s="350"/>
      <c r="AX144" s="350"/>
      <c r="AY144" s="350"/>
      <c r="AZ144" s="350"/>
      <c r="BA144" s="350"/>
      <c r="BB144" s="214">
        <f t="shared" si="107"/>
        <v>0</v>
      </c>
      <c r="BC144" s="216">
        <f t="shared" si="108"/>
        <v>0</v>
      </c>
      <c r="BD144" s="180">
        <f t="shared" si="92"/>
        <v>0</v>
      </c>
      <c r="BE144" s="216">
        <f t="shared" si="109"/>
        <v>0</v>
      </c>
      <c r="BF144" s="179">
        <f t="shared" si="93"/>
        <v>0</v>
      </c>
      <c r="BG144" s="216">
        <f>SUM(RD[[#This Row],[KUD01]:[KUD23]])</f>
        <v>0</v>
      </c>
      <c r="BH144" s="217" t="str">
        <f t="shared" si="110"/>
        <v/>
      </c>
      <c r="BI144" s="219" t="str">
        <f t="shared" si="111"/>
        <v/>
      </c>
      <c r="BJ144" s="219" t="str">
        <f t="shared" si="112"/>
        <v/>
      </c>
      <c r="BK144" s="221">
        <f t="shared" si="113"/>
        <v>0</v>
      </c>
      <c r="BL144" s="61" t="str">
        <f>IFERROR(AVERAGEIF(RD[[#This Row],[WS_KUD07]:[WS_KUD08]],"&lt;&gt;0",RD[[#This Row],[WS_KUD07]:[WS_KUD08]]),"")</f>
        <v/>
      </c>
      <c r="BM144" s="223" t="str">
        <f>IFERROR(AVERAGE(RD[[#This Row],[WS_KUD01]:[WS_KUD23]]),"")</f>
        <v/>
      </c>
      <c r="BN144" s="224">
        <f>IFERROR(MAX(RD[[#This Row],[WS_KUD01]:[WS_KUD23]]),"")</f>
        <v>0</v>
      </c>
      <c r="BO144" s="172"/>
      <c r="BP144" s="349"/>
      <c r="BQ144" s="349"/>
      <c r="BR144" s="349"/>
      <c r="BS144" s="349"/>
      <c r="BT144" s="349"/>
      <c r="BU144" s="349"/>
      <c r="BV144" s="349"/>
      <c r="BW144" s="172"/>
      <c r="BX144" s="172"/>
      <c r="BY144" s="349"/>
      <c r="BZ144" s="349"/>
      <c r="CA144" s="349"/>
      <c r="CB144" s="349"/>
      <c r="CC144" s="349"/>
      <c r="CD144" s="172"/>
      <c r="CE144" s="349"/>
      <c r="CF144" s="360" t="str">
        <f>IF((RD[[#This Row],[33 kV_Wind_F1_Export reading]]-BO143)*165000&lt;=0,"",(RD[[#This Row],[33 kV_Wind_F1_Export reading]]-BO143)*165000)</f>
        <v/>
      </c>
      <c r="CG144" s="227" t="str">
        <f>IF((RD[[#This Row],[33 kV_Wind_F2_Export_reading]]-BP143)*165000&lt;=0,"",(RD[[#This Row],[33 kV_Wind_F2_Export_reading]]-BP143)*165000)</f>
        <v/>
      </c>
      <c r="CH144" s="64" t="str">
        <f>IF((RD[[#This Row],[33 kV_Wind_F3_Export_Reading]]-BQ143)*225000&lt;=0,"",(RD[[#This Row],[33 kV_Wind_F3_Export_Reading]]-BQ143)*225000)</f>
        <v/>
      </c>
      <c r="CI144" s="64" t="str">
        <f>IF((RD[[#This Row],[33 kV_Wind_F4_Export Reading]]-BR143)*165000&lt;=0,"",(RD[[#This Row],[33 kV_Wind_F4_Export Reading]]-BR143)*165000)</f>
        <v/>
      </c>
      <c r="CJ144" s="209" t="str">
        <f>IF((RD[[#This Row],[33 kV_Solar_F1_Export Reading]]-BS143)*225000&lt;=0,"",(RD[[#This Row],[33 kV_Solar_F1_Export Reading]]-BS143)*225000)</f>
        <v/>
      </c>
      <c r="CK144" s="74" t="str">
        <f>IF((RD[[#This Row],[33kV_Solar_F2_Export Reading]]-BT143)*225000&lt;=0,"",(RD[[#This Row],[33kV_Solar_F2_Export Reading]]-BT143)*225000)</f>
        <v/>
      </c>
      <c r="CL144" s="209" t="str">
        <f>IF((RD[[#This Row],[33 kV_Solar_F3_Export reading]]-BU143)*225000&lt;=0,"",(RD[[#This Row],[33 kV_Solar_F3_Export reading]]-BU143)*225000)</f>
        <v/>
      </c>
      <c r="CM144" s="63" t="str">
        <f>IF((RD[[#This Row],[32kV_Solar_F4_Export reading]]-BV143)*225000&lt;=0,"",(RD[[#This Row],[32kV_Solar_F4_Export reading]]-BV143)*225000)</f>
        <v/>
      </c>
      <c r="CN144" s="227">
        <f>IF((RD[[#This Row],[33kV_OG1_Export reading]]-BW143)*1000&lt;=0,0,(RD[[#This Row],[33kV_OG1_Export reading]]-BW143)*1000)</f>
        <v>0</v>
      </c>
      <c r="CO144" s="227">
        <f>IFERROR(IF((RD[[#This Row],[33kV_OG2_Export reading]]-BX143)*1000&lt;=0,0,(RD[[#This Row],[33kV_OG2_Export reading]]-BX143)*1000),0)</f>
        <v>0</v>
      </c>
      <c r="CP144" s="74">
        <f>IF((RD[[#This Row],[220kV_TX1_Export reading]]-BY143)*800000&lt;=0,0,(RD[[#This Row],[220kV_TX1_Export reading]]-BY143)*800000)</f>
        <v>0</v>
      </c>
      <c r="CQ144" s="209">
        <f>IF((RD[[#This Row],[220kV_Tx2_Export reading]]-BZ143)*800000&lt;=0,0,(RD[[#This Row],[220kV_Tx2_Export reading]]-BZ143)*800000)</f>
        <v>0</v>
      </c>
      <c r="CR144" s="227">
        <f>IF((RD[[#This Row],[220kV_TL_TVM Export Reading]]-CA143)*1600000&lt;=0,0,(RD[[#This Row],[220kV_TL_TVM Export Reading]]-CA143)*1600000)</f>
        <v>0</v>
      </c>
      <c r="CS144" s="227" t="str">
        <f>IF((RD[[#This Row],[220kV_C&amp;R_PQM reading]]-CB143)*1600000&lt;=0,"",(RD[[#This Row],[220kV_C&amp;R_PQM reading]]-CB143)*1600000)</f>
        <v/>
      </c>
      <c r="CT144" s="209">
        <f>IFERROR(IF((RD[[#This Row],[220KV_C&amp;R_PQM Import Reading]]-CC143)*1600000&lt;=0,0,(RD[[#This Row],[220KV_C&amp;R_PQM Import Reading]]-CC143)*1600000),"")</f>
        <v>0</v>
      </c>
      <c r="CU144" s="64" t="str">
        <f>IF((RD[[#This Row],[33kV_Aux1 Import Reading]]-CD143)*1000&lt;=0,"",(RD[[#This Row],[33kV_Aux1 Import Reading]]-CD143)*1000)</f>
        <v/>
      </c>
      <c r="CV144" s="227" t="str">
        <f>IF((RD[[#This Row],[33kV_Aux2_Import reading]]-CE143)*1000&lt;=0,"",(RD[[#This Row],[33kV_Aux2_Import reading]]-CE143)*1000)</f>
        <v/>
      </c>
      <c r="CW144" s="227">
        <f>IFERROR(RD[[#This Row],[33kV_OG1_Energy (MWh)]]+RD[[#This Row],[33kV_OG2_Energy (MWh)]],"")</f>
        <v>0</v>
      </c>
      <c r="CX144" s="227">
        <f>IFERROR(RD[[#This Row],[220kV_TL_TVM Energy (MWh)]]-RD[[#This Row],[220KV_C&amp;R_PQM Import (MWh)]],"")</f>
        <v>0</v>
      </c>
      <c r="CY144" s="228" t="str">
        <f>IFERROR(RD[[#This Row],[33 kV Total Export (MWH)]]/RD[[#This Row],[220 KV Net Export (MWh)]]-1,"")</f>
        <v/>
      </c>
      <c r="CZ144" s="229">
        <f t="shared" si="114"/>
        <v>50.6</v>
      </c>
      <c r="DA144" s="230"/>
      <c r="DB144" s="231"/>
      <c r="DC144" s="232">
        <f>IFERROR((RD[[#This Row],[Sunset Time (POA&lt;20 W/m2)]]-RD[[#This Row],[Sunrise Time (POA&gt;20 W/m2)]])*24,0)</f>
        <v>0</v>
      </c>
      <c r="DD144" s="70">
        <f>SUM(RD[[#This Row],[33 kV_Wind_F3_Export_Reading3]],CJ144,CK144,CL144,CM144)</f>
        <v>0</v>
      </c>
      <c r="DE144" s="233"/>
      <c r="DF144" s="70">
        <f t="shared" si="103"/>
        <v>0</v>
      </c>
      <c r="DG144" s="230"/>
      <c r="DH144">
        <f>'WTG Reactive Power'!AB142</f>
        <v>0</v>
      </c>
    </row>
    <row r="145" spans="1:112">
      <c r="A145" s="210">
        <f>YEAR(RD[[#This Row],[Date]])+IF(MONTH(RD[[#This Row],[Date]])&gt;=4,1,0)</f>
        <v>2026</v>
      </c>
      <c r="B145" s="210">
        <f>YEAR(RD[[#This Row],[Date]])</f>
        <v>2025</v>
      </c>
      <c r="C145" s="211">
        <f t="shared" si="105"/>
        <v>45870</v>
      </c>
      <c r="D145" s="210">
        <f>DAY(EOMONTH(RD[[#This Row],[Date]],0))</f>
        <v>31</v>
      </c>
      <c r="E145" s="212">
        <f t="shared" si="106"/>
        <v>45885</v>
      </c>
      <c r="F145" s="206"/>
      <c r="G145" s="206"/>
      <c r="H145" s="213"/>
      <c r="I145" s="213"/>
      <c r="J145" s="213"/>
      <c r="K145" s="213"/>
      <c r="L145" s="213"/>
      <c r="M145" s="213"/>
      <c r="N145" s="213"/>
      <c r="O145" s="213"/>
      <c r="P145" s="213"/>
      <c r="Q145" s="213"/>
      <c r="R145" s="213"/>
      <c r="S145" s="213"/>
      <c r="T145" s="213"/>
      <c r="U145" s="213"/>
      <c r="V145" s="213"/>
      <c r="W145" s="213"/>
      <c r="X145" s="213"/>
      <c r="Y145" s="213"/>
      <c r="Z145" s="213"/>
      <c r="AA145" s="213"/>
      <c r="AB145" s="213"/>
      <c r="AC145" s="213"/>
      <c r="AD145" s="213"/>
      <c r="AE145" s="350"/>
      <c r="AF145" s="350"/>
      <c r="AG145" s="350"/>
      <c r="AH145" s="350"/>
      <c r="AI145" s="350"/>
      <c r="AJ145" s="350"/>
      <c r="AK145" s="350"/>
      <c r="AL145" s="350"/>
      <c r="AM145" s="350"/>
      <c r="AN145" s="350"/>
      <c r="AO145" s="350"/>
      <c r="AP145" s="350"/>
      <c r="AQ145" s="350"/>
      <c r="AR145" s="350"/>
      <c r="AS145" s="350"/>
      <c r="AT145" s="350"/>
      <c r="AU145" s="350"/>
      <c r="AV145" s="350"/>
      <c r="AW145" s="350"/>
      <c r="AX145" s="350"/>
      <c r="AY145" s="350"/>
      <c r="AZ145" s="350"/>
      <c r="BA145" s="350"/>
      <c r="BB145" s="214">
        <f t="shared" si="107"/>
        <v>0</v>
      </c>
      <c r="BC145" s="216">
        <f t="shared" si="108"/>
        <v>0</v>
      </c>
      <c r="BD145" s="180">
        <f t="shared" si="92"/>
        <v>0</v>
      </c>
      <c r="BE145" s="216">
        <f t="shared" si="109"/>
        <v>0</v>
      </c>
      <c r="BF145" s="179">
        <f t="shared" si="93"/>
        <v>0</v>
      </c>
      <c r="BG145" s="216">
        <f>SUM(RD[[#This Row],[KUD01]:[KUD23]])</f>
        <v>0</v>
      </c>
      <c r="BH145" s="217" t="str">
        <f t="shared" si="110"/>
        <v/>
      </c>
      <c r="BI145" s="219" t="str">
        <f t="shared" si="111"/>
        <v/>
      </c>
      <c r="BJ145" s="219" t="str">
        <f t="shared" si="112"/>
        <v/>
      </c>
      <c r="BK145" s="221">
        <f t="shared" si="113"/>
        <v>0</v>
      </c>
      <c r="BL145" s="61" t="str">
        <f>IFERROR(AVERAGEIF(RD[[#This Row],[WS_KUD07]:[WS_KUD08]],"&lt;&gt;0",RD[[#This Row],[WS_KUD07]:[WS_KUD08]]),"")</f>
        <v/>
      </c>
      <c r="BM145" s="223" t="str">
        <f>IFERROR(AVERAGE(RD[[#This Row],[WS_KUD01]:[WS_KUD23]]),"")</f>
        <v/>
      </c>
      <c r="BN145" s="224">
        <f>IFERROR(MAX(RD[[#This Row],[WS_KUD01]:[WS_KUD23]]),"")</f>
        <v>0</v>
      </c>
      <c r="BO145" s="172"/>
      <c r="BP145" s="349"/>
      <c r="BQ145" s="349"/>
      <c r="BR145" s="349"/>
      <c r="BS145" s="349"/>
      <c r="BT145" s="349"/>
      <c r="BU145" s="349"/>
      <c r="BV145" s="349"/>
      <c r="BW145" s="172"/>
      <c r="BX145" s="172"/>
      <c r="BY145" s="349"/>
      <c r="BZ145" s="349"/>
      <c r="CA145" s="349"/>
      <c r="CB145" s="349"/>
      <c r="CC145" s="349"/>
      <c r="CD145" s="172"/>
      <c r="CE145" s="349"/>
      <c r="CF145" s="360" t="str">
        <f>IF((RD[[#This Row],[33 kV_Wind_F1_Export reading]]-BO144)*165000&lt;=0,"",(RD[[#This Row],[33 kV_Wind_F1_Export reading]]-BO144)*165000)</f>
        <v/>
      </c>
      <c r="CG145" s="227" t="str">
        <f>IF((RD[[#This Row],[33 kV_Wind_F2_Export_reading]]-BP144)*165000&lt;=0,"",(RD[[#This Row],[33 kV_Wind_F2_Export_reading]]-BP144)*165000)</f>
        <v/>
      </c>
      <c r="CH145" s="64" t="str">
        <f>IF((RD[[#This Row],[33 kV_Wind_F3_Export_Reading]]-BQ144)*225000&lt;=0,"",(RD[[#This Row],[33 kV_Wind_F3_Export_Reading]]-BQ144)*225000)</f>
        <v/>
      </c>
      <c r="CI145" s="64" t="str">
        <f>IF((RD[[#This Row],[33 kV_Wind_F4_Export Reading]]-BR144)*165000&lt;=0,"",(RD[[#This Row],[33 kV_Wind_F4_Export Reading]]-BR144)*165000)</f>
        <v/>
      </c>
      <c r="CJ145" s="209" t="str">
        <f>IF((RD[[#This Row],[33 kV_Solar_F1_Export Reading]]-BS144)*225000&lt;=0,"",(RD[[#This Row],[33 kV_Solar_F1_Export Reading]]-BS144)*225000)</f>
        <v/>
      </c>
      <c r="CK145" s="74" t="str">
        <f>IF((RD[[#This Row],[33kV_Solar_F2_Export Reading]]-BT144)*225000&lt;=0,"",(RD[[#This Row],[33kV_Solar_F2_Export Reading]]-BT144)*225000)</f>
        <v/>
      </c>
      <c r="CL145" s="209" t="str">
        <f>IF((RD[[#This Row],[33 kV_Solar_F3_Export reading]]-BU144)*225000&lt;=0,"",(RD[[#This Row],[33 kV_Solar_F3_Export reading]]-BU144)*225000)</f>
        <v/>
      </c>
      <c r="CM145" s="63" t="str">
        <f>IF((RD[[#This Row],[32kV_Solar_F4_Export reading]]-BV144)*225000&lt;=0,"",(RD[[#This Row],[32kV_Solar_F4_Export reading]]-BV144)*225000)</f>
        <v/>
      </c>
      <c r="CN145" s="227">
        <f>IF((RD[[#This Row],[33kV_OG1_Export reading]]-BW144)*1000&lt;=0,0,(RD[[#This Row],[33kV_OG1_Export reading]]-BW144)*1000)</f>
        <v>0</v>
      </c>
      <c r="CO145" s="227">
        <f>IFERROR(IF((RD[[#This Row],[33kV_OG2_Export reading]]-BX144)*1000&lt;=0,0,(RD[[#This Row],[33kV_OG2_Export reading]]-BX144)*1000),0)</f>
        <v>0</v>
      </c>
      <c r="CP145" s="74">
        <f>IF((RD[[#This Row],[220kV_TX1_Export reading]]-BY144)*800000&lt;=0,0,(RD[[#This Row],[220kV_TX1_Export reading]]-BY144)*800000)</f>
        <v>0</v>
      </c>
      <c r="CQ145" s="209">
        <f>IF((RD[[#This Row],[220kV_Tx2_Export reading]]-BZ144)*800000&lt;=0,0,(RD[[#This Row],[220kV_Tx2_Export reading]]-BZ144)*800000)</f>
        <v>0</v>
      </c>
      <c r="CR145" s="227">
        <f>IF((RD[[#This Row],[220kV_TL_TVM Export Reading]]-CA144)*1600000&lt;=0,0,(RD[[#This Row],[220kV_TL_TVM Export Reading]]-CA144)*1600000)</f>
        <v>0</v>
      </c>
      <c r="CS145" s="227" t="str">
        <f>IF((RD[[#This Row],[220kV_C&amp;R_PQM reading]]-CB144)*1600000&lt;=0,"",(RD[[#This Row],[220kV_C&amp;R_PQM reading]]-CB144)*1600000)</f>
        <v/>
      </c>
      <c r="CT145" s="209">
        <f>IFERROR(IF((RD[[#This Row],[220KV_C&amp;R_PQM Import Reading]]-CC144)*1600000&lt;=0,0,(RD[[#This Row],[220KV_C&amp;R_PQM Import Reading]]-CC144)*1600000),"")</f>
        <v>0</v>
      </c>
      <c r="CU145" s="64" t="str">
        <f>IF((RD[[#This Row],[33kV_Aux1 Import Reading]]-CD144)*1000&lt;=0,"",(RD[[#This Row],[33kV_Aux1 Import Reading]]-CD144)*1000)</f>
        <v/>
      </c>
      <c r="CV145" s="227" t="str">
        <f>IF((RD[[#This Row],[33kV_Aux2_Import reading]]-CE144)*1000&lt;=0,"",(RD[[#This Row],[33kV_Aux2_Import reading]]-CE144)*1000)</f>
        <v/>
      </c>
      <c r="CW145" s="227">
        <f>IFERROR(RD[[#This Row],[33kV_OG1_Energy (MWh)]]+RD[[#This Row],[33kV_OG2_Energy (MWh)]],"")</f>
        <v>0</v>
      </c>
      <c r="CX145" s="227">
        <f>IFERROR(RD[[#This Row],[220kV_TL_TVM Energy (MWh)]]-RD[[#This Row],[220KV_C&amp;R_PQM Import (MWh)]],"")</f>
        <v>0</v>
      </c>
      <c r="CY145" s="228" t="str">
        <f>IFERROR(RD[[#This Row],[33 kV Total Export (MWH)]]/RD[[#This Row],[220 KV Net Export (MWh)]]-1,"")</f>
        <v/>
      </c>
      <c r="CZ145" s="229">
        <f t="shared" si="114"/>
        <v>50.6</v>
      </c>
      <c r="DA145" s="230"/>
      <c r="DB145" s="231"/>
      <c r="DC145" s="232">
        <f>IFERROR((RD[[#This Row],[Sunset Time (POA&lt;20 W/m2)]]-RD[[#This Row],[Sunrise Time (POA&gt;20 W/m2)]])*24,0)</f>
        <v>0</v>
      </c>
      <c r="DD145" s="70">
        <f>SUM(RD[[#This Row],[33 kV_Wind_F3_Export_Reading3]],CJ145,CK145,CL145,CM145)</f>
        <v>0</v>
      </c>
      <c r="DE145" s="233"/>
      <c r="DF145" s="70">
        <f t="shared" si="103"/>
        <v>0</v>
      </c>
      <c r="DG145" s="230"/>
      <c r="DH145">
        <f>'WTG Reactive Power'!AB143</f>
        <v>0</v>
      </c>
    </row>
    <row r="146" spans="1:112">
      <c r="A146" s="210">
        <f>YEAR(RD[[#This Row],[Date]])+IF(MONTH(RD[[#This Row],[Date]])&gt;=4,1,0)</f>
        <v>2026</v>
      </c>
      <c r="B146" s="210">
        <f>YEAR(RD[[#This Row],[Date]])</f>
        <v>2025</v>
      </c>
      <c r="C146" s="211">
        <f t="shared" si="105"/>
        <v>45870</v>
      </c>
      <c r="D146" s="210">
        <f>DAY(EOMONTH(RD[[#This Row],[Date]],0))</f>
        <v>31</v>
      </c>
      <c r="E146" s="212">
        <f t="shared" si="106"/>
        <v>45886</v>
      </c>
      <c r="F146" s="206"/>
      <c r="G146" s="206"/>
      <c r="H146" s="213"/>
      <c r="I146" s="213"/>
      <c r="J146" s="213"/>
      <c r="K146" s="213"/>
      <c r="L146" s="213"/>
      <c r="M146" s="213"/>
      <c r="N146" s="213"/>
      <c r="O146" s="213"/>
      <c r="P146" s="213"/>
      <c r="Q146" s="213"/>
      <c r="R146" s="213"/>
      <c r="S146" s="213"/>
      <c r="T146" s="213"/>
      <c r="U146" s="213"/>
      <c r="V146" s="213"/>
      <c r="W146" s="213"/>
      <c r="X146" s="213"/>
      <c r="Y146" s="213"/>
      <c r="Z146" s="213"/>
      <c r="AA146" s="213"/>
      <c r="AB146" s="213"/>
      <c r="AC146" s="213"/>
      <c r="AD146" s="213"/>
      <c r="AE146" s="350"/>
      <c r="AF146" s="350"/>
      <c r="AG146" s="350"/>
      <c r="AH146" s="350"/>
      <c r="AI146" s="350"/>
      <c r="AJ146" s="350"/>
      <c r="AK146" s="350"/>
      <c r="AL146" s="350"/>
      <c r="AM146" s="350"/>
      <c r="AN146" s="350"/>
      <c r="AO146" s="350"/>
      <c r="AP146" s="350"/>
      <c r="AQ146" s="350"/>
      <c r="AR146" s="350"/>
      <c r="AS146" s="350"/>
      <c r="AT146" s="350"/>
      <c r="AU146" s="350"/>
      <c r="AV146" s="350"/>
      <c r="AW146" s="350"/>
      <c r="AX146" s="350"/>
      <c r="AY146" s="350"/>
      <c r="AZ146" s="350"/>
      <c r="BA146" s="350"/>
      <c r="BB146" s="214">
        <f t="shared" si="107"/>
        <v>0</v>
      </c>
      <c r="BC146" s="216">
        <f t="shared" si="108"/>
        <v>0</v>
      </c>
      <c r="BD146" s="180">
        <f t="shared" si="92"/>
        <v>0</v>
      </c>
      <c r="BE146" s="216">
        <f t="shared" si="109"/>
        <v>0</v>
      </c>
      <c r="BF146" s="179">
        <f t="shared" si="93"/>
        <v>0</v>
      </c>
      <c r="BG146" s="216">
        <f>SUM(RD[[#This Row],[KUD01]:[KUD23]])</f>
        <v>0</v>
      </c>
      <c r="BH146" s="217" t="str">
        <f t="shared" si="110"/>
        <v/>
      </c>
      <c r="BI146" s="219" t="str">
        <f t="shared" si="111"/>
        <v/>
      </c>
      <c r="BJ146" s="219" t="str">
        <f t="shared" si="112"/>
        <v/>
      </c>
      <c r="BK146" s="221">
        <f t="shared" si="113"/>
        <v>0</v>
      </c>
      <c r="BL146" s="61" t="str">
        <f>IFERROR(AVERAGEIF(RD[[#This Row],[WS_KUD07]:[WS_KUD08]],"&lt;&gt;0",RD[[#This Row],[WS_KUD07]:[WS_KUD08]]),"")</f>
        <v/>
      </c>
      <c r="BM146" s="223" t="str">
        <f>IFERROR(AVERAGE(RD[[#This Row],[WS_KUD01]:[WS_KUD23]]),"")</f>
        <v/>
      </c>
      <c r="BN146" s="224">
        <f>IFERROR(MAX(RD[[#This Row],[WS_KUD01]:[WS_KUD23]]),"")</f>
        <v>0</v>
      </c>
      <c r="BO146" s="172"/>
      <c r="BP146" s="349"/>
      <c r="BQ146" s="349"/>
      <c r="BR146" s="349"/>
      <c r="BS146" s="349"/>
      <c r="BT146" s="349"/>
      <c r="BU146" s="349"/>
      <c r="BV146" s="349"/>
      <c r="BW146" s="172"/>
      <c r="BX146" s="172"/>
      <c r="BY146" s="349"/>
      <c r="BZ146" s="349"/>
      <c r="CA146" s="349"/>
      <c r="CB146" s="349"/>
      <c r="CC146" s="349"/>
      <c r="CD146" s="172"/>
      <c r="CE146" s="349"/>
      <c r="CF146" s="360" t="str">
        <f>IF((RD[[#This Row],[33 kV_Wind_F1_Export reading]]-BO145)*165000&lt;=0,"",(RD[[#This Row],[33 kV_Wind_F1_Export reading]]-BO145)*165000)</f>
        <v/>
      </c>
      <c r="CG146" s="227" t="str">
        <f>IF((RD[[#This Row],[33 kV_Wind_F2_Export_reading]]-BP145)*165000&lt;=0,"",(RD[[#This Row],[33 kV_Wind_F2_Export_reading]]-BP145)*165000)</f>
        <v/>
      </c>
      <c r="CH146" s="64" t="str">
        <f>IF((RD[[#This Row],[33 kV_Wind_F3_Export_Reading]]-BQ145)*225000&lt;=0,"",(RD[[#This Row],[33 kV_Wind_F3_Export_Reading]]-BQ145)*225000)</f>
        <v/>
      </c>
      <c r="CI146" s="64" t="str">
        <f>IF((RD[[#This Row],[33 kV_Wind_F4_Export Reading]]-BR145)*165000&lt;=0,"",(RD[[#This Row],[33 kV_Wind_F4_Export Reading]]-BR145)*165000)</f>
        <v/>
      </c>
      <c r="CJ146" s="209" t="str">
        <f>IF((RD[[#This Row],[33 kV_Solar_F1_Export Reading]]-BS145)*225000&lt;=0,"",(RD[[#This Row],[33 kV_Solar_F1_Export Reading]]-BS145)*225000)</f>
        <v/>
      </c>
      <c r="CK146" s="74" t="str">
        <f>IF((RD[[#This Row],[33kV_Solar_F2_Export Reading]]-BT145)*225000&lt;=0,"",(RD[[#This Row],[33kV_Solar_F2_Export Reading]]-BT145)*225000)</f>
        <v/>
      </c>
      <c r="CL146" s="209" t="str">
        <f>IF((RD[[#This Row],[33 kV_Solar_F3_Export reading]]-BU145)*225000&lt;=0,"",(RD[[#This Row],[33 kV_Solar_F3_Export reading]]-BU145)*225000)</f>
        <v/>
      </c>
      <c r="CM146" s="63" t="str">
        <f>IF((RD[[#This Row],[32kV_Solar_F4_Export reading]]-BV145)*225000&lt;=0,"",(RD[[#This Row],[32kV_Solar_F4_Export reading]]-BV145)*225000)</f>
        <v/>
      </c>
      <c r="CN146" s="227">
        <f>IF((RD[[#This Row],[33kV_OG1_Export reading]]-BW145)*1000&lt;=0,0,(RD[[#This Row],[33kV_OG1_Export reading]]-BW145)*1000)</f>
        <v>0</v>
      </c>
      <c r="CO146" s="227">
        <f>IFERROR(IF((RD[[#This Row],[33kV_OG2_Export reading]]-BX145)*1000&lt;=0,0,(RD[[#This Row],[33kV_OG2_Export reading]]-BX145)*1000),0)</f>
        <v>0</v>
      </c>
      <c r="CP146" s="74">
        <f>IF((RD[[#This Row],[220kV_TX1_Export reading]]-BY145)*800000&lt;=0,0,(RD[[#This Row],[220kV_TX1_Export reading]]-BY145)*800000)</f>
        <v>0</v>
      </c>
      <c r="CQ146" s="209">
        <f>IF((RD[[#This Row],[220kV_Tx2_Export reading]]-BZ145)*800000&lt;=0,0,(RD[[#This Row],[220kV_Tx2_Export reading]]-BZ145)*800000)</f>
        <v>0</v>
      </c>
      <c r="CR146" s="227">
        <f>IF((RD[[#This Row],[220kV_TL_TVM Export Reading]]-CA145)*1600000&lt;=0,0,(RD[[#This Row],[220kV_TL_TVM Export Reading]]-CA145)*1600000)</f>
        <v>0</v>
      </c>
      <c r="CS146" s="227" t="str">
        <f>IF((RD[[#This Row],[220kV_C&amp;R_PQM reading]]-CB145)*1600000&lt;=0,"",(RD[[#This Row],[220kV_C&amp;R_PQM reading]]-CB145)*1600000)</f>
        <v/>
      </c>
      <c r="CT146" s="209">
        <f>IFERROR(IF((RD[[#This Row],[220KV_C&amp;R_PQM Import Reading]]-CC145)*1600000&lt;=0,0,(RD[[#This Row],[220KV_C&amp;R_PQM Import Reading]]-CC145)*1600000),"")</f>
        <v>0</v>
      </c>
      <c r="CU146" s="64" t="str">
        <f>IF((RD[[#This Row],[33kV_Aux1 Import Reading]]-CD145)*1000&lt;=0,"",(RD[[#This Row],[33kV_Aux1 Import Reading]]-CD145)*1000)</f>
        <v/>
      </c>
      <c r="CV146" s="227" t="str">
        <f>IF((RD[[#This Row],[33kV_Aux2_Import reading]]-CE145)*1000&lt;=0,"",(RD[[#This Row],[33kV_Aux2_Import reading]]-CE145)*1000)</f>
        <v/>
      </c>
      <c r="CW146" s="227">
        <f>IFERROR(RD[[#This Row],[33kV_OG1_Energy (MWh)]]+RD[[#This Row],[33kV_OG2_Energy (MWh)]],"")</f>
        <v>0</v>
      </c>
      <c r="CX146" s="227">
        <f>IFERROR(RD[[#This Row],[220kV_TL_TVM Energy (MWh)]]-RD[[#This Row],[220KV_C&amp;R_PQM Import (MWh)]],"")</f>
        <v>0</v>
      </c>
      <c r="CY146" s="228" t="str">
        <f>IFERROR(RD[[#This Row],[33 kV Total Export (MWH)]]/RD[[#This Row],[220 KV Net Export (MWh)]]-1,"")</f>
        <v/>
      </c>
      <c r="CZ146" s="229">
        <f t="shared" si="114"/>
        <v>50.6</v>
      </c>
      <c r="DA146" s="230"/>
      <c r="DB146" s="231"/>
      <c r="DC146" s="232">
        <f>IFERROR((RD[[#This Row],[Sunset Time (POA&lt;20 W/m2)]]-RD[[#This Row],[Sunrise Time (POA&gt;20 W/m2)]])*24,0)</f>
        <v>0</v>
      </c>
      <c r="DD146" s="70">
        <f>SUM(RD[[#This Row],[33 kV_Wind_F3_Export_Reading3]],CJ146,CK146,CL146,CM146)</f>
        <v>0</v>
      </c>
      <c r="DE146" s="233"/>
      <c r="DF146" s="70">
        <f t="shared" si="103"/>
        <v>0</v>
      </c>
      <c r="DG146" s="230"/>
      <c r="DH146">
        <f>'WTG Reactive Power'!AB144</f>
        <v>0</v>
      </c>
    </row>
    <row r="147" spans="1:112">
      <c r="A147" s="210">
        <f>YEAR(RD[[#This Row],[Date]])+IF(MONTH(RD[[#This Row],[Date]])&gt;=4,1,0)</f>
        <v>2026</v>
      </c>
      <c r="B147" s="210">
        <f>YEAR(RD[[#This Row],[Date]])</f>
        <v>2025</v>
      </c>
      <c r="C147" s="211">
        <f t="shared" si="105"/>
        <v>45870</v>
      </c>
      <c r="D147" s="210">
        <f>DAY(EOMONTH(RD[[#This Row],[Date]],0))</f>
        <v>31</v>
      </c>
      <c r="E147" s="212">
        <f t="shared" si="106"/>
        <v>45887</v>
      </c>
      <c r="F147" s="206"/>
      <c r="G147" s="206"/>
      <c r="H147" s="213"/>
      <c r="I147" s="213"/>
      <c r="J147" s="213"/>
      <c r="K147" s="213"/>
      <c r="L147" s="213"/>
      <c r="M147" s="213"/>
      <c r="N147" s="213"/>
      <c r="O147" s="213"/>
      <c r="P147" s="213"/>
      <c r="Q147" s="213"/>
      <c r="R147" s="213"/>
      <c r="S147" s="213"/>
      <c r="T147" s="213"/>
      <c r="U147" s="213"/>
      <c r="V147" s="213"/>
      <c r="W147" s="213"/>
      <c r="X147" s="213"/>
      <c r="Y147" s="213"/>
      <c r="Z147" s="213"/>
      <c r="AA147" s="213"/>
      <c r="AB147" s="213"/>
      <c r="AC147" s="213"/>
      <c r="AD147" s="213"/>
      <c r="AE147" s="350"/>
      <c r="AF147" s="350"/>
      <c r="AG147" s="350"/>
      <c r="AH147" s="350"/>
      <c r="AI147" s="350"/>
      <c r="AJ147" s="350"/>
      <c r="AK147" s="350"/>
      <c r="AL147" s="350"/>
      <c r="AM147" s="350"/>
      <c r="AN147" s="350"/>
      <c r="AO147" s="350"/>
      <c r="AP147" s="350"/>
      <c r="AQ147" s="350"/>
      <c r="AR147" s="350"/>
      <c r="AS147" s="350"/>
      <c r="AT147" s="350"/>
      <c r="AU147" s="350"/>
      <c r="AV147" s="350"/>
      <c r="AW147" s="350"/>
      <c r="AX147" s="350"/>
      <c r="AY147" s="350"/>
      <c r="AZ147" s="350"/>
      <c r="BA147" s="350"/>
      <c r="BB147" s="214">
        <f t="shared" si="107"/>
        <v>0</v>
      </c>
      <c r="BC147" s="216">
        <f t="shared" si="108"/>
        <v>0</v>
      </c>
      <c r="BD147" s="180">
        <f t="shared" si="92"/>
        <v>0</v>
      </c>
      <c r="BE147" s="216">
        <f t="shared" si="109"/>
        <v>0</v>
      </c>
      <c r="BF147" s="179">
        <f t="shared" si="93"/>
        <v>0</v>
      </c>
      <c r="BG147" s="216">
        <f>SUM(RD[[#This Row],[KUD01]:[KUD23]])</f>
        <v>0</v>
      </c>
      <c r="BH147" s="217" t="str">
        <f t="shared" si="110"/>
        <v/>
      </c>
      <c r="BI147" s="219" t="str">
        <f t="shared" si="111"/>
        <v/>
      </c>
      <c r="BJ147" s="219" t="str">
        <f t="shared" si="112"/>
        <v/>
      </c>
      <c r="BK147" s="221">
        <f t="shared" si="113"/>
        <v>0</v>
      </c>
      <c r="BL147" s="61" t="str">
        <f>IFERROR(AVERAGEIF(RD[[#This Row],[WS_KUD07]:[WS_KUD08]],"&lt;&gt;0",RD[[#This Row],[WS_KUD07]:[WS_KUD08]]),"")</f>
        <v/>
      </c>
      <c r="BM147" s="223" t="str">
        <f>IFERROR(AVERAGE(RD[[#This Row],[WS_KUD01]:[WS_KUD23]]),"")</f>
        <v/>
      </c>
      <c r="BN147" s="224">
        <f>IFERROR(MAX(RD[[#This Row],[WS_KUD01]:[WS_KUD23]]),"")</f>
        <v>0</v>
      </c>
      <c r="BO147" s="172"/>
      <c r="BP147" s="349"/>
      <c r="BQ147" s="349"/>
      <c r="BR147" s="349"/>
      <c r="BS147" s="349"/>
      <c r="BT147" s="349"/>
      <c r="BU147" s="349"/>
      <c r="BV147" s="349"/>
      <c r="BW147" s="172"/>
      <c r="BX147" s="172"/>
      <c r="BY147" s="349"/>
      <c r="BZ147" s="349"/>
      <c r="CA147" s="349"/>
      <c r="CB147" s="349"/>
      <c r="CC147" s="349"/>
      <c r="CD147" s="172"/>
      <c r="CE147" s="349"/>
      <c r="CF147" s="360" t="str">
        <f>IF((RD[[#This Row],[33 kV_Wind_F1_Export reading]]-BO146)*165000&lt;=0,"",(RD[[#This Row],[33 kV_Wind_F1_Export reading]]-BO146)*165000)</f>
        <v/>
      </c>
      <c r="CG147" s="227" t="str">
        <f>IF((RD[[#This Row],[33 kV_Wind_F2_Export_reading]]-BP146)*165000&lt;=0,"",(RD[[#This Row],[33 kV_Wind_F2_Export_reading]]-BP146)*165000)</f>
        <v/>
      </c>
      <c r="CH147" s="64" t="str">
        <f>IF((RD[[#This Row],[33 kV_Wind_F3_Export_Reading]]-BQ146)*225000&lt;=0,"",(RD[[#This Row],[33 kV_Wind_F3_Export_Reading]]-BQ146)*225000)</f>
        <v/>
      </c>
      <c r="CI147" s="64" t="str">
        <f>IF((RD[[#This Row],[33 kV_Wind_F4_Export Reading]]-BR146)*165000&lt;=0,"",(RD[[#This Row],[33 kV_Wind_F4_Export Reading]]-BR146)*165000)</f>
        <v/>
      </c>
      <c r="CJ147" s="209" t="str">
        <f>IF((RD[[#This Row],[33 kV_Solar_F1_Export Reading]]-BS146)*225000&lt;=0,"",(RD[[#This Row],[33 kV_Solar_F1_Export Reading]]-BS146)*225000)</f>
        <v/>
      </c>
      <c r="CK147" s="74" t="str">
        <f>IF((RD[[#This Row],[33kV_Solar_F2_Export Reading]]-BT146)*225000&lt;=0,"",(RD[[#This Row],[33kV_Solar_F2_Export Reading]]-BT146)*225000)</f>
        <v/>
      </c>
      <c r="CL147" s="209" t="str">
        <f>IF((RD[[#This Row],[33 kV_Solar_F3_Export reading]]-BU146)*225000&lt;=0,"",(RD[[#This Row],[33 kV_Solar_F3_Export reading]]-BU146)*225000)</f>
        <v/>
      </c>
      <c r="CM147" s="63" t="str">
        <f>IF((RD[[#This Row],[32kV_Solar_F4_Export reading]]-BV146)*225000&lt;=0,"",(RD[[#This Row],[32kV_Solar_F4_Export reading]]-BV146)*225000)</f>
        <v/>
      </c>
      <c r="CN147" s="227">
        <f>IF((RD[[#This Row],[33kV_OG1_Export reading]]-BW146)*1000&lt;=0,0,(RD[[#This Row],[33kV_OG1_Export reading]]-BW146)*1000)</f>
        <v>0</v>
      </c>
      <c r="CO147" s="227">
        <f>IFERROR(IF((RD[[#This Row],[33kV_OG2_Export reading]]-BX146)*1000&lt;=0,0,(RD[[#This Row],[33kV_OG2_Export reading]]-BX146)*1000),0)</f>
        <v>0</v>
      </c>
      <c r="CP147" s="74">
        <f>IF((RD[[#This Row],[220kV_TX1_Export reading]]-BY146)*800000&lt;=0,0,(RD[[#This Row],[220kV_TX1_Export reading]]-BY146)*800000)</f>
        <v>0</v>
      </c>
      <c r="CQ147" s="209">
        <f>IF((RD[[#This Row],[220kV_Tx2_Export reading]]-BZ146)*800000&lt;=0,0,(RD[[#This Row],[220kV_Tx2_Export reading]]-BZ146)*800000)</f>
        <v>0</v>
      </c>
      <c r="CR147" s="227">
        <f>IF((RD[[#This Row],[220kV_TL_TVM Export Reading]]-CA146)*1600000&lt;=0,0,(RD[[#This Row],[220kV_TL_TVM Export Reading]]-CA146)*1600000)</f>
        <v>0</v>
      </c>
      <c r="CS147" s="227" t="str">
        <f>IF((RD[[#This Row],[220kV_C&amp;R_PQM reading]]-CB146)*1600000&lt;=0,"",(RD[[#This Row],[220kV_C&amp;R_PQM reading]]-CB146)*1600000)</f>
        <v/>
      </c>
      <c r="CT147" s="209">
        <f>IFERROR(IF((RD[[#This Row],[220KV_C&amp;R_PQM Import Reading]]-CC146)*1600000&lt;=0,0,(RD[[#This Row],[220KV_C&amp;R_PQM Import Reading]]-CC146)*1600000),"")</f>
        <v>0</v>
      </c>
      <c r="CU147" s="64" t="str">
        <f>IF((RD[[#This Row],[33kV_Aux1 Import Reading]]-CD146)*1000&lt;=0,"",(RD[[#This Row],[33kV_Aux1 Import Reading]]-CD146)*1000)</f>
        <v/>
      </c>
      <c r="CV147" s="227" t="str">
        <f>IF((RD[[#This Row],[33kV_Aux2_Import reading]]-CE146)*1000&lt;=0,"",(RD[[#This Row],[33kV_Aux2_Import reading]]-CE146)*1000)</f>
        <v/>
      </c>
      <c r="CW147" s="227">
        <f>IFERROR(RD[[#This Row],[33kV_OG1_Energy (MWh)]]+RD[[#This Row],[33kV_OG2_Energy (MWh)]],"")</f>
        <v>0</v>
      </c>
      <c r="CX147" s="227">
        <f>IFERROR(RD[[#This Row],[220kV_TL_TVM Energy (MWh)]]-RD[[#This Row],[220KV_C&amp;R_PQM Import (MWh)]],"")</f>
        <v>0</v>
      </c>
      <c r="CY147" s="228" t="str">
        <f>IFERROR(RD[[#This Row],[33 kV Total Export (MWH)]]/RD[[#This Row],[220 KV Net Export (MWh)]]-1,"")</f>
        <v/>
      </c>
      <c r="CZ147" s="229">
        <f t="shared" si="114"/>
        <v>50.6</v>
      </c>
      <c r="DA147" s="230"/>
      <c r="DB147" s="231"/>
      <c r="DC147" s="232">
        <f>IFERROR((RD[[#This Row],[Sunset Time (POA&lt;20 W/m2)]]-RD[[#This Row],[Sunrise Time (POA&gt;20 W/m2)]])*24,0)</f>
        <v>0</v>
      </c>
      <c r="DD147" s="70">
        <f>SUM(RD[[#This Row],[33 kV_Wind_F3_Export_Reading3]],CJ147,CK147,CL147,CM147)</f>
        <v>0</v>
      </c>
      <c r="DE147" s="233"/>
      <c r="DF147" s="70">
        <f t="shared" si="103"/>
        <v>0</v>
      </c>
      <c r="DG147" s="230"/>
      <c r="DH147">
        <f>'WTG Reactive Power'!AB145</f>
        <v>0</v>
      </c>
    </row>
    <row r="148" spans="1:112">
      <c r="A148" s="210">
        <f>YEAR(RD[[#This Row],[Date]])+IF(MONTH(RD[[#This Row],[Date]])&gt;=4,1,0)</f>
        <v>2026</v>
      </c>
      <c r="B148" s="210">
        <f>YEAR(RD[[#This Row],[Date]])</f>
        <v>2025</v>
      </c>
      <c r="C148" s="211">
        <f t="shared" si="105"/>
        <v>45870</v>
      </c>
      <c r="D148" s="210">
        <f>DAY(EOMONTH(RD[[#This Row],[Date]],0))</f>
        <v>31</v>
      </c>
      <c r="E148" s="212">
        <f t="shared" si="106"/>
        <v>45888</v>
      </c>
      <c r="F148" s="206"/>
      <c r="G148" s="206"/>
      <c r="H148" s="213"/>
      <c r="I148" s="213"/>
      <c r="J148" s="213"/>
      <c r="K148" s="213"/>
      <c r="L148" s="213"/>
      <c r="M148" s="213"/>
      <c r="N148" s="213"/>
      <c r="O148" s="213"/>
      <c r="P148" s="213"/>
      <c r="Q148" s="213"/>
      <c r="R148" s="213"/>
      <c r="S148" s="213"/>
      <c r="T148" s="213"/>
      <c r="U148" s="213"/>
      <c r="V148" s="213"/>
      <c r="W148" s="213"/>
      <c r="X148" s="213"/>
      <c r="Y148" s="213"/>
      <c r="Z148" s="213"/>
      <c r="AA148" s="213"/>
      <c r="AB148" s="213"/>
      <c r="AC148" s="213"/>
      <c r="AD148" s="213"/>
      <c r="AE148" s="350"/>
      <c r="AF148" s="350"/>
      <c r="AG148" s="350"/>
      <c r="AH148" s="350"/>
      <c r="AI148" s="350"/>
      <c r="AJ148" s="350"/>
      <c r="AK148" s="350"/>
      <c r="AL148" s="350"/>
      <c r="AM148" s="350"/>
      <c r="AN148" s="350"/>
      <c r="AO148" s="350"/>
      <c r="AP148" s="350"/>
      <c r="AQ148" s="350"/>
      <c r="AR148" s="350"/>
      <c r="AS148" s="350"/>
      <c r="AT148" s="350"/>
      <c r="AU148" s="350"/>
      <c r="AV148" s="350"/>
      <c r="AW148" s="350"/>
      <c r="AX148" s="350"/>
      <c r="AY148" s="350"/>
      <c r="AZ148" s="350"/>
      <c r="BA148" s="350"/>
      <c r="BB148" s="214">
        <f t="shared" si="107"/>
        <v>0</v>
      </c>
      <c r="BC148" s="216">
        <f t="shared" si="108"/>
        <v>0</v>
      </c>
      <c r="BD148" s="180">
        <f t="shared" ref="BD148:BD157" si="115">SUM(I148,K148,L148,M148,P148,AB148,AC148,AD148)</f>
        <v>0</v>
      </c>
      <c r="BE148" s="216">
        <f t="shared" si="109"/>
        <v>0</v>
      </c>
      <c r="BF148" s="179">
        <f t="shared" ref="BF148:BF157" si="116">SUM($N148:$O148)</f>
        <v>0</v>
      </c>
      <c r="BG148" s="216">
        <f>SUM(RD[[#This Row],[KUD01]:[KUD23]])</f>
        <v>0</v>
      </c>
      <c r="BH148" s="217" t="str">
        <f t="shared" si="110"/>
        <v/>
      </c>
      <c r="BI148" s="219" t="str">
        <f t="shared" si="111"/>
        <v/>
      </c>
      <c r="BJ148" s="219" t="str">
        <f t="shared" si="112"/>
        <v/>
      </c>
      <c r="BK148" s="221">
        <f t="shared" si="113"/>
        <v>0</v>
      </c>
      <c r="BL148" s="61" t="str">
        <f>IFERROR(AVERAGEIF(RD[[#This Row],[WS_KUD07]:[WS_KUD08]],"&lt;&gt;0",RD[[#This Row],[WS_KUD07]:[WS_KUD08]]),"")</f>
        <v/>
      </c>
      <c r="BM148" s="223" t="str">
        <f>IFERROR(AVERAGE(RD[[#This Row],[WS_KUD01]:[WS_KUD23]]),"")</f>
        <v/>
      </c>
      <c r="BN148" s="224">
        <f>IFERROR(MAX(RD[[#This Row],[WS_KUD01]:[WS_KUD23]]),"")</f>
        <v>0</v>
      </c>
      <c r="BO148" s="172"/>
      <c r="BP148" s="349"/>
      <c r="BQ148" s="349"/>
      <c r="BR148" s="349"/>
      <c r="BS148" s="349"/>
      <c r="BT148" s="349"/>
      <c r="BU148" s="349"/>
      <c r="BV148" s="349"/>
      <c r="BW148" s="172"/>
      <c r="BX148" s="172"/>
      <c r="BY148" s="349"/>
      <c r="BZ148" s="349"/>
      <c r="CA148" s="349"/>
      <c r="CB148" s="349"/>
      <c r="CC148" s="349"/>
      <c r="CD148" s="172"/>
      <c r="CE148" s="349"/>
      <c r="CF148" s="360" t="str">
        <f>IF((RD[[#This Row],[33 kV_Wind_F1_Export reading]]-BO147)*165000&lt;=0,"",(RD[[#This Row],[33 kV_Wind_F1_Export reading]]-BO147)*165000)</f>
        <v/>
      </c>
      <c r="CG148" s="227" t="str">
        <f>IF((RD[[#This Row],[33 kV_Wind_F2_Export_reading]]-BP147)*165000&lt;=0,"",(RD[[#This Row],[33 kV_Wind_F2_Export_reading]]-BP147)*165000)</f>
        <v/>
      </c>
      <c r="CH148" s="64" t="str">
        <f>IF((RD[[#This Row],[33 kV_Wind_F3_Export_Reading]]-BQ147)*225000&lt;=0,"",(RD[[#This Row],[33 kV_Wind_F3_Export_Reading]]-BQ147)*225000)</f>
        <v/>
      </c>
      <c r="CI148" s="64" t="str">
        <f>IF((RD[[#This Row],[33 kV_Wind_F4_Export Reading]]-BR147)*165000&lt;=0,"",(RD[[#This Row],[33 kV_Wind_F4_Export Reading]]-BR147)*165000)</f>
        <v/>
      </c>
      <c r="CJ148" s="209" t="str">
        <f>IF((RD[[#This Row],[33 kV_Solar_F1_Export Reading]]-BS147)*225000&lt;=0,"",(RD[[#This Row],[33 kV_Solar_F1_Export Reading]]-BS147)*225000)</f>
        <v/>
      </c>
      <c r="CK148" s="74" t="str">
        <f>IF((RD[[#This Row],[33kV_Solar_F2_Export Reading]]-BT147)*225000&lt;=0,"",(RD[[#This Row],[33kV_Solar_F2_Export Reading]]-BT147)*225000)</f>
        <v/>
      </c>
      <c r="CL148" s="209" t="str">
        <f>IF((RD[[#This Row],[33 kV_Solar_F3_Export reading]]-BU147)*225000&lt;=0,"",(RD[[#This Row],[33 kV_Solar_F3_Export reading]]-BU147)*225000)</f>
        <v/>
      </c>
      <c r="CM148" s="63" t="str">
        <f>IF((RD[[#This Row],[32kV_Solar_F4_Export reading]]-BV147)*225000&lt;=0,"",(RD[[#This Row],[32kV_Solar_F4_Export reading]]-BV147)*225000)</f>
        <v/>
      </c>
      <c r="CN148" s="227">
        <f>IF((RD[[#This Row],[33kV_OG1_Export reading]]-BW147)*1000&lt;=0,0,(RD[[#This Row],[33kV_OG1_Export reading]]-BW147)*1000)</f>
        <v>0</v>
      </c>
      <c r="CO148" s="227">
        <f>IFERROR(IF((RD[[#This Row],[33kV_OG2_Export reading]]-BX147)*1000&lt;=0,0,(RD[[#This Row],[33kV_OG2_Export reading]]-BX147)*1000),0)</f>
        <v>0</v>
      </c>
      <c r="CP148" s="74">
        <f>IF((RD[[#This Row],[220kV_TX1_Export reading]]-BY147)*800000&lt;=0,0,(RD[[#This Row],[220kV_TX1_Export reading]]-BY147)*800000)</f>
        <v>0</v>
      </c>
      <c r="CQ148" s="209">
        <f>IF((RD[[#This Row],[220kV_Tx2_Export reading]]-BZ147)*800000&lt;=0,0,(RD[[#This Row],[220kV_Tx2_Export reading]]-BZ147)*800000)</f>
        <v>0</v>
      </c>
      <c r="CR148" s="227">
        <f>IF((RD[[#This Row],[220kV_TL_TVM Export Reading]]-CA147)*1600000&lt;=0,0,(RD[[#This Row],[220kV_TL_TVM Export Reading]]-CA147)*1600000)</f>
        <v>0</v>
      </c>
      <c r="CS148" s="227" t="str">
        <f>IF((RD[[#This Row],[220kV_C&amp;R_PQM reading]]-CB147)*1600000&lt;=0,"",(RD[[#This Row],[220kV_C&amp;R_PQM reading]]-CB147)*1600000)</f>
        <v/>
      </c>
      <c r="CT148" s="209">
        <f>IFERROR(IF((RD[[#This Row],[220KV_C&amp;R_PQM Import Reading]]-CC147)*1600000&lt;=0,0,(RD[[#This Row],[220KV_C&amp;R_PQM Import Reading]]-CC147)*1600000),"")</f>
        <v>0</v>
      </c>
      <c r="CU148" s="64" t="str">
        <f>IF((RD[[#This Row],[33kV_Aux1 Import Reading]]-CD147)*1000&lt;=0,"",(RD[[#This Row],[33kV_Aux1 Import Reading]]-CD147)*1000)</f>
        <v/>
      </c>
      <c r="CV148" s="227" t="str">
        <f>IF((RD[[#This Row],[33kV_Aux2_Import reading]]-CE147)*1000&lt;=0,"",(RD[[#This Row],[33kV_Aux2_Import reading]]-CE147)*1000)</f>
        <v/>
      </c>
      <c r="CW148" s="227">
        <f>IFERROR(RD[[#This Row],[33kV_OG1_Energy (MWh)]]+RD[[#This Row],[33kV_OG2_Energy (MWh)]],"")</f>
        <v>0</v>
      </c>
      <c r="CX148" s="227">
        <f>IFERROR(RD[[#This Row],[220kV_TL_TVM Energy (MWh)]]-RD[[#This Row],[220KV_C&amp;R_PQM Import (MWh)]],"")</f>
        <v>0</v>
      </c>
      <c r="CY148" s="228" t="str">
        <f>IFERROR(RD[[#This Row],[33 kV Total Export (MWH)]]/RD[[#This Row],[220 KV Net Export (MWh)]]-1,"")</f>
        <v/>
      </c>
      <c r="CZ148" s="229">
        <f t="shared" si="114"/>
        <v>50.6</v>
      </c>
      <c r="DA148" s="230"/>
      <c r="DB148" s="231"/>
      <c r="DC148" s="232">
        <f>IFERROR((RD[[#This Row],[Sunset Time (POA&lt;20 W/m2)]]-RD[[#This Row],[Sunrise Time (POA&gt;20 W/m2)]])*24,0)</f>
        <v>0</v>
      </c>
      <c r="DD148" s="70">
        <f>SUM(RD[[#This Row],[33 kV_Wind_F3_Export_Reading3]],CJ148,CK148,CL148,CM148)</f>
        <v>0</v>
      </c>
      <c r="DE148" s="233"/>
      <c r="DF148" s="70">
        <f t="shared" si="103"/>
        <v>0</v>
      </c>
      <c r="DG148" s="230"/>
      <c r="DH148">
        <f>'WTG Reactive Power'!AB146</f>
        <v>0</v>
      </c>
    </row>
    <row r="149" spans="1:112">
      <c r="A149" s="210">
        <f>YEAR(RD[[#This Row],[Date]])+IF(MONTH(RD[[#This Row],[Date]])&gt;=4,1,0)</f>
        <v>2026</v>
      </c>
      <c r="B149" s="210">
        <f>YEAR(RD[[#This Row],[Date]])</f>
        <v>2025</v>
      </c>
      <c r="C149" s="211">
        <f t="shared" si="105"/>
        <v>45870</v>
      </c>
      <c r="D149" s="210">
        <f>DAY(EOMONTH(RD[[#This Row],[Date]],0))</f>
        <v>31</v>
      </c>
      <c r="E149" s="212">
        <f t="shared" si="106"/>
        <v>45889</v>
      </c>
      <c r="F149" s="206"/>
      <c r="G149" s="206"/>
      <c r="H149" s="213"/>
      <c r="I149" s="213"/>
      <c r="J149" s="213"/>
      <c r="K149" s="213"/>
      <c r="L149" s="213"/>
      <c r="M149" s="213"/>
      <c r="N149" s="213"/>
      <c r="O149" s="213"/>
      <c r="P149" s="213"/>
      <c r="Q149" s="213"/>
      <c r="R149" s="213"/>
      <c r="S149" s="213"/>
      <c r="T149" s="213"/>
      <c r="U149" s="213"/>
      <c r="V149" s="213"/>
      <c r="W149" s="213"/>
      <c r="X149" s="213"/>
      <c r="Y149" s="213"/>
      <c r="Z149" s="213"/>
      <c r="AA149" s="213"/>
      <c r="AB149" s="213"/>
      <c r="AC149" s="213"/>
      <c r="AD149" s="213"/>
      <c r="AE149" s="350"/>
      <c r="AF149" s="350"/>
      <c r="AG149" s="350"/>
      <c r="AH149" s="350"/>
      <c r="AI149" s="350"/>
      <c r="AJ149" s="350"/>
      <c r="AK149" s="350"/>
      <c r="AL149" s="350"/>
      <c r="AM149" s="350"/>
      <c r="AN149" s="350"/>
      <c r="AO149" s="350"/>
      <c r="AP149" s="350"/>
      <c r="AQ149" s="350"/>
      <c r="AR149" s="350"/>
      <c r="AS149" s="350"/>
      <c r="AT149" s="350"/>
      <c r="AU149" s="350"/>
      <c r="AV149" s="350"/>
      <c r="AW149" s="350"/>
      <c r="AX149" s="350"/>
      <c r="AY149" s="350"/>
      <c r="AZ149" s="350"/>
      <c r="BA149" s="350"/>
      <c r="BB149" s="214">
        <f t="shared" si="107"/>
        <v>0</v>
      </c>
      <c r="BC149" s="216">
        <f t="shared" si="108"/>
        <v>0</v>
      </c>
      <c r="BD149" s="180">
        <f t="shared" si="115"/>
        <v>0</v>
      </c>
      <c r="BE149" s="216">
        <f t="shared" si="109"/>
        <v>0</v>
      </c>
      <c r="BF149" s="179">
        <f t="shared" si="116"/>
        <v>0</v>
      </c>
      <c r="BG149" s="216">
        <f>SUM(RD[[#This Row],[KUD01]:[KUD23]])</f>
        <v>0</v>
      </c>
      <c r="BH149" s="217" t="str">
        <f t="shared" si="110"/>
        <v/>
      </c>
      <c r="BI149" s="219" t="str">
        <f t="shared" si="111"/>
        <v/>
      </c>
      <c r="BJ149" s="219" t="str">
        <f t="shared" si="112"/>
        <v/>
      </c>
      <c r="BK149" s="221">
        <f t="shared" si="113"/>
        <v>0</v>
      </c>
      <c r="BL149" s="61" t="str">
        <f>IFERROR(AVERAGEIF(RD[[#This Row],[WS_KUD07]:[WS_KUD08]],"&lt;&gt;0",RD[[#This Row],[WS_KUD07]:[WS_KUD08]]),"")</f>
        <v/>
      </c>
      <c r="BM149" s="223" t="str">
        <f>IFERROR(AVERAGE(RD[[#This Row],[WS_KUD01]:[WS_KUD23]]),"")</f>
        <v/>
      </c>
      <c r="BN149" s="224">
        <f>IFERROR(MAX(RD[[#This Row],[WS_KUD01]:[WS_KUD23]]),"")</f>
        <v>0</v>
      </c>
      <c r="BO149" s="172"/>
      <c r="BP149" s="349"/>
      <c r="BQ149" s="349"/>
      <c r="BR149" s="349"/>
      <c r="BS149" s="349"/>
      <c r="BT149" s="349"/>
      <c r="BU149" s="349"/>
      <c r="BV149" s="349"/>
      <c r="BW149" s="172"/>
      <c r="BX149" s="172"/>
      <c r="BY149" s="349"/>
      <c r="BZ149" s="349"/>
      <c r="CA149" s="349"/>
      <c r="CB149" s="349"/>
      <c r="CC149" s="349"/>
      <c r="CD149" s="172"/>
      <c r="CE149" s="349"/>
      <c r="CF149" s="360" t="str">
        <f>IF((RD[[#This Row],[33 kV_Wind_F1_Export reading]]-BO148)*165000&lt;=0,"",(RD[[#This Row],[33 kV_Wind_F1_Export reading]]-BO148)*165000)</f>
        <v/>
      </c>
      <c r="CG149" s="227" t="str">
        <f>IF((RD[[#This Row],[33 kV_Wind_F2_Export_reading]]-BP148)*165000&lt;=0,"",(RD[[#This Row],[33 kV_Wind_F2_Export_reading]]-BP148)*165000)</f>
        <v/>
      </c>
      <c r="CH149" s="64" t="str">
        <f>IF((RD[[#This Row],[33 kV_Wind_F3_Export_Reading]]-BQ148)*225000&lt;=0,"",(RD[[#This Row],[33 kV_Wind_F3_Export_Reading]]-BQ148)*225000)</f>
        <v/>
      </c>
      <c r="CI149" s="64" t="str">
        <f>IF((RD[[#This Row],[33 kV_Wind_F4_Export Reading]]-BR148)*165000&lt;=0,"",(RD[[#This Row],[33 kV_Wind_F4_Export Reading]]-BR148)*165000)</f>
        <v/>
      </c>
      <c r="CJ149" s="209" t="str">
        <f>IF((RD[[#This Row],[33 kV_Solar_F1_Export Reading]]-BS148)*225000&lt;=0,"",(RD[[#This Row],[33 kV_Solar_F1_Export Reading]]-BS148)*225000)</f>
        <v/>
      </c>
      <c r="CK149" s="74" t="str">
        <f>IF((RD[[#This Row],[33kV_Solar_F2_Export Reading]]-BT148)*225000&lt;=0,"",(RD[[#This Row],[33kV_Solar_F2_Export Reading]]-BT148)*225000)</f>
        <v/>
      </c>
      <c r="CL149" s="209" t="str">
        <f>IF((RD[[#This Row],[33 kV_Solar_F3_Export reading]]-BU148)*225000&lt;=0,"",(RD[[#This Row],[33 kV_Solar_F3_Export reading]]-BU148)*225000)</f>
        <v/>
      </c>
      <c r="CM149" s="63" t="str">
        <f>IF((RD[[#This Row],[32kV_Solar_F4_Export reading]]-BV148)*225000&lt;=0,"",(RD[[#This Row],[32kV_Solar_F4_Export reading]]-BV148)*225000)</f>
        <v/>
      </c>
      <c r="CN149" s="227">
        <f>IF((RD[[#This Row],[33kV_OG1_Export reading]]-BW148)*1000&lt;=0,0,(RD[[#This Row],[33kV_OG1_Export reading]]-BW148)*1000)</f>
        <v>0</v>
      </c>
      <c r="CO149" s="227">
        <f>IFERROR(IF((RD[[#This Row],[33kV_OG2_Export reading]]-BX148)*1000&lt;=0,0,(RD[[#This Row],[33kV_OG2_Export reading]]-BX148)*1000),0)</f>
        <v>0</v>
      </c>
      <c r="CP149" s="74">
        <f>IF((RD[[#This Row],[220kV_TX1_Export reading]]-BY148)*800000&lt;=0,0,(RD[[#This Row],[220kV_TX1_Export reading]]-BY148)*800000)</f>
        <v>0</v>
      </c>
      <c r="CQ149" s="209">
        <f>IF((RD[[#This Row],[220kV_Tx2_Export reading]]-BZ148)*800000&lt;=0,0,(RD[[#This Row],[220kV_Tx2_Export reading]]-BZ148)*800000)</f>
        <v>0</v>
      </c>
      <c r="CR149" s="227">
        <f>IF((RD[[#This Row],[220kV_TL_TVM Export Reading]]-CA148)*1600000&lt;=0,0,(RD[[#This Row],[220kV_TL_TVM Export Reading]]-CA148)*1600000)</f>
        <v>0</v>
      </c>
      <c r="CS149" s="227" t="str">
        <f>IF((RD[[#This Row],[220kV_C&amp;R_PQM reading]]-CB148)*1600000&lt;=0,"",(RD[[#This Row],[220kV_C&amp;R_PQM reading]]-CB148)*1600000)</f>
        <v/>
      </c>
      <c r="CT149" s="209">
        <f>IFERROR(IF((RD[[#This Row],[220KV_C&amp;R_PQM Import Reading]]-CC148)*1600000&lt;=0,0,(RD[[#This Row],[220KV_C&amp;R_PQM Import Reading]]-CC148)*1600000),"")</f>
        <v>0</v>
      </c>
      <c r="CU149" s="64" t="str">
        <f>IF((RD[[#This Row],[33kV_Aux1 Import Reading]]-CD148)*1000&lt;=0,"",(RD[[#This Row],[33kV_Aux1 Import Reading]]-CD148)*1000)</f>
        <v/>
      </c>
      <c r="CV149" s="227" t="str">
        <f>IF((RD[[#This Row],[33kV_Aux2_Import reading]]-CE148)*1000&lt;=0,"",(RD[[#This Row],[33kV_Aux2_Import reading]]-CE148)*1000)</f>
        <v/>
      </c>
      <c r="CW149" s="227">
        <f>IFERROR(RD[[#This Row],[33kV_OG1_Energy (MWh)]]+RD[[#This Row],[33kV_OG2_Energy (MWh)]],"")</f>
        <v>0</v>
      </c>
      <c r="CX149" s="227">
        <f>IFERROR(RD[[#This Row],[220kV_TL_TVM Energy (MWh)]]-RD[[#This Row],[220KV_C&amp;R_PQM Import (MWh)]],"")</f>
        <v>0</v>
      </c>
      <c r="CY149" s="228" t="str">
        <f>IFERROR(RD[[#This Row],[33 kV Total Export (MWH)]]/RD[[#This Row],[220 KV Net Export (MWh)]]-1,"")</f>
        <v/>
      </c>
      <c r="CZ149" s="229">
        <f t="shared" si="114"/>
        <v>50.6</v>
      </c>
      <c r="DA149" s="230"/>
      <c r="DB149" s="231"/>
      <c r="DC149" s="232">
        <f>IFERROR((RD[[#This Row],[Sunset Time (POA&lt;20 W/m2)]]-RD[[#This Row],[Sunrise Time (POA&gt;20 W/m2)]])*24,0)</f>
        <v>0</v>
      </c>
      <c r="DD149" s="70">
        <f>SUM(RD[[#This Row],[33 kV_Wind_F3_Export_Reading3]],CJ149,CK149,CL149,CM149)</f>
        <v>0</v>
      </c>
      <c r="DE149" s="233"/>
      <c r="DF149" s="70">
        <f t="shared" si="103"/>
        <v>0</v>
      </c>
      <c r="DG149" s="230"/>
      <c r="DH149">
        <f>'WTG Reactive Power'!AB147</f>
        <v>0</v>
      </c>
    </row>
    <row r="150" spans="1:112">
      <c r="A150" s="210">
        <f>YEAR(RD[[#This Row],[Date]])+IF(MONTH(RD[[#This Row],[Date]])&gt;=4,1,0)</f>
        <v>2026</v>
      </c>
      <c r="B150" s="210">
        <f>YEAR(RD[[#This Row],[Date]])</f>
        <v>2025</v>
      </c>
      <c r="C150" s="211">
        <f t="shared" si="105"/>
        <v>45870</v>
      </c>
      <c r="D150" s="210">
        <f>DAY(EOMONTH(RD[[#This Row],[Date]],0))</f>
        <v>31</v>
      </c>
      <c r="E150" s="212">
        <f t="shared" si="106"/>
        <v>45890</v>
      </c>
      <c r="F150" s="206"/>
      <c r="G150" s="206"/>
      <c r="H150" s="213"/>
      <c r="I150" s="213"/>
      <c r="J150" s="213"/>
      <c r="K150" s="213"/>
      <c r="L150" s="213"/>
      <c r="M150" s="213"/>
      <c r="N150" s="213"/>
      <c r="O150" s="213"/>
      <c r="P150" s="213"/>
      <c r="Q150" s="213"/>
      <c r="R150" s="213"/>
      <c r="S150" s="213"/>
      <c r="T150" s="213"/>
      <c r="U150" s="213"/>
      <c r="V150" s="213"/>
      <c r="W150" s="213"/>
      <c r="X150" s="213"/>
      <c r="Y150" s="213"/>
      <c r="Z150" s="213"/>
      <c r="AA150" s="213"/>
      <c r="AB150" s="213"/>
      <c r="AC150" s="213"/>
      <c r="AD150" s="213"/>
      <c r="AE150" s="350"/>
      <c r="AF150" s="350"/>
      <c r="AG150" s="350"/>
      <c r="AH150" s="350"/>
      <c r="AI150" s="350"/>
      <c r="AJ150" s="350"/>
      <c r="AK150" s="350"/>
      <c r="AL150" s="350"/>
      <c r="AM150" s="350"/>
      <c r="AN150" s="350"/>
      <c r="AO150" s="350"/>
      <c r="AP150" s="350"/>
      <c r="AQ150" s="350"/>
      <c r="AR150" s="350"/>
      <c r="AS150" s="350"/>
      <c r="AT150" s="350"/>
      <c r="AU150" s="350"/>
      <c r="AV150" s="350"/>
      <c r="AW150" s="350"/>
      <c r="AX150" s="350"/>
      <c r="AY150" s="350"/>
      <c r="AZ150" s="350"/>
      <c r="BA150" s="350"/>
      <c r="BB150" s="214">
        <f t="shared" si="107"/>
        <v>0</v>
      </c>
      <c r="BC150" s="216">
        <f t="shared" si="108"/>
        <v>0</v>
      </c>
      <c r="BD150" s="180">
        <f t="shared" si="115"/>
        <v>0</v>
      </c>
      <c r="BE150" s="216">
        <f t="shared" si="109"/>
        <v>0</v>
      </c>
      <c r="BF150" s="179">
        <f t="shared" si="116"/>
        <v>0</v>
      </c>
      <c r="BG150" s="216">
        <f>SUM(RD[[#This Row],[KUD01]:[KUD23]])</f>
        <v>0</v>
      </c>
      <c r="BH150" s="217" t="str">
        <f t="shared" si="110"/>
        <v/>
      </c>
      <c r="BI150" s="219" t="str">
        <f t="shared" si="111"/>
        <v/>
      </c>
      <c r="BJ150" s="219" t="str">
        <f t="shared" si="112"/>
        <v/>
      </c>
      <c r="BK150" s="221">
        <f t="shared" si="113"/>
        <v>0</v>
      </c>
      <c r="BL150" s="61" t="str">
        <f>IFERROR(AVERAGEIF(RD[[#This Row],[WS_KUD07]:[WS_KUD08]],"&lt;&gt;0",RD[[#This Row],[WS_KUD07]:[WS_KUD08]]),"")</f>
        <v/>
      </c>
      <c r="BM150" s="223" t="str">
        <f>IFERROR(AVERAGE(RD[[#This Row],[WS_KUD01]:[WS_KUD23]]),"")</f>
        <v/>
      </c>
      <c r="BN150" s="224">
        <f>IFERROR(MAX(RD[[#This Row],[WS_KUD01]:[WS_KUD23]]),"")</f>
        <v>0</v>
      </c>
      <c r="BO150" s="172"/>
      <c r="BP150" s="349"/>
      <c r="BQ150" s="349"/>
      <c r="BR150" s="349"/>
      <c r="BS150" s="349"/>
      <c r="BT150" s="349"/>
      <c r="BU150" s="349"/>
      <c r="BV150" s="349"/>
      <c r="BW150" s="172"/>
      <c r="BX150" s="172"/>
      <c r="BY150" s="349"/>
      <c r="BZ150" s="349"/>
      <c r="CA150" s="349"/>
      <c r="CB150" s="349"/>
      <c r="CC150" s="349"/>
      <c r="CD150" s="172"/>
      <c r="CE150" s="349"/>
      <c r="CF150" s="360" t="str">
        <f>IF((RD[[#This Row],[33 kV_Wind_F1_Export reading]]-BO149)*165000&lt;=0,"",(RD[[#This Row],[33 kV_Wind_F1_Export reading]]-BO149)*165000)</f>
        <v/>
      </c>
      <c r="CG150" s="227" t="str">
        <f>IF((RD[[#This Row],[33 kV_Wind_F2_Export_reading]]-BP149)*165000&lt;=0,"",(RD[[#This Row],[33 kV_Wind_F2_Export_reading]]-BP149)*165000)</f>
        <v/>
      </c>
      <c r="CH150" s="64" t="str">
        <f>IF((RD[[#This Row],[33 kV_Wind_F3_Export_Reading]]-BQ149)*225000&lt;=0,"",(RD[[#This Row],[33 kV_Wind_F3_Export_Reading]]-BQ149)*225000)</f>
        <v/>
      </c>
      <c r="CI150" s="64" t="str">
        <f>IF((RD[[#This Row],[33 kV_Wind_F4_Export Reading]]-BR149)*165000&lt;=0,"",(RD[[#This Row],[33 kV_Wind_F4_Export Reading]]-BR149)*165000)</f>
        <v/>
      </c>
      <c r="CJ150" s="209" t="str">
        <f>IF((RD[[#This Row],[33 kV_Solar_F1_Export Reading]]-BS149)*225000&lt;=0,"",(RD[[#This Row],[33 kV_Solar_F1_Export Reading]]-BS149)*225000)</f>
        <v/>
      </c>
      <c r="CK150" s="74" t="str">
        <f>IF((RD[[#This Row],[33kV_Solar_F2_Export Reading]]-BT149)*225000&lt;=0,"",(RD[[#This Row],[33kV_Solar_F2_Export Reading]]-BT149)*225000)</f>
        <v/>
      </c>
      <c r="CL150" s="209" t="str">
        <f>IF((RD[[#This Row],[33 kV_Solar_F3_Export reading]]-BU149)*225000&lt;=0,"",(RD[[#This Row],[33 kV_Solar_F3_Export reading]]-BU149)*225000)</f>
        <v/>
      </c>
      <c r="CM150" s="63" t="str">
        <f>IF((RD[[#This Row],[32kV_Solar_F4_Export reading]]-BV149)*225000&lt;=0,"",(RD[[#This Row],[32kV_Solar_F4_Export reading]]-BV149)*225000)</f>
        <v/>
      </c>
      <c r="CN150" s="227">
        <f>IF((RD[[#This Row],[33kV_OG1_Export reading]]-BW149)*1000&lt;=0,0,(RD[[#This Row],[33kV_OG1_Export reading]]-BW149)*1000)</f>
        <v>0</v>
      </c>
      <c r="CO150" s="227">
        <f>IFERROR(IF((RD[[#This Row],[33kV_OG2_Export reading]]-BX149)*1000&lt;=0,0,(RD[[#This Row],[33kV_OG2_Export reading]]-BX149)*1000),0)</f>
        <v>0</v>
      </c>
      <c r="CP150" s="74">
        <f>IF((RD[[#This Row],[220kV_TX1_Export reading]]-BY149)*800000&lt;=0,0,(RD[[#This Row],[220kV_TX1_Export reading]]-BY149)*800000)</f>
        <v>0</v>
      </c>
      <c r="CQ150" s="209">
        <f>IF((RD[[#This Row],[220kV_Tx2_Export reading]]-BZ149)*800000&lt;=0,0,(RD[[#This Row],[220kV_Tx2_Export reading]]-BZ149)*800000)</f>
        <v>0</v>
      </c>
      <c r="CR150" s="227">
        <f>IF((RD[[#This Row],[220kV_TL_TVM Export Reading]]-CA149)*1600000&lt;=0,0,(RD[[#This Row],[220kV_TL_TVM Export Reading]]-CA149)*1600000)</f>
        <v>0</v>
      </c>
      <c r="CS150" s="227" t="str">
        <f>IF((RD[[#This Row],[220kV_C&amp;R_PQM reading]]-CB149)*1600000&lt;=0,"",(RD[[#This Row],[220kV_C&amp;R_PQM reading]]-CB149)*1600000)</f>
        <v/>
      </c>
      <c r="CT150" s="209">
        <f>IFERROR(IF((RD[[#This Row],[220KV_C&amp;R_PQM Import Reading]]-CC149)*1600000&lt;=0,0,(RD[[#This Row],[220KV_C&amp;R_PQM Import Reading]]-CC149)*1600000),"")</f>
        <v>0</v>
      </c>
      <c r="CU150" s="64" t="str">
        <f>IF((RD[[#This Row],[33kV_Aux1 Import Reading]]-CD149)*1000&lt;=0,"",(RD[[#This Row],[33kV_Aux1 Import Reading]]-CD149)*1000)</f>
        <v/>
      </c>
      <c r="CV150" s="227" t="str">
        <f>IF((RD[[#This Row],[33kV_Aux2_Import reading]]-CE149)*1000&lt;=0,"",(RD[[#This Row],[33kV_Aux2_Import reading]]-CE149)*1000)</f>
        <v/>
      </c>
      <c r="CW150" s="227">
        <f>IFERROR(RD[[#This Row],[33kV_OG1_Energy (MWh)]]+RD[[#This Row],[33kV_OG2_Energy (MWh)]],"")</f>
        <v>0</v>
      </c>
      <c r="CX150" s="227">
        <f>IFERROR(RD[[#This Row],[220kV_TL_TVM Energy (MWh)]]-RD[[#This Row],[220KV_C&amp;R_PQM Import (MWh)]],"")</f>
        <v>0</v>
      </c>
      <c r="CY150" s="228" t="str">
        <f>IFERROR(RD[[#This Row],[33 kV Total Export (MWH)]]/RD[[#This Row],[220 KV Net Export (MWh)]]-1,"")</f>
        <v/>
      </c>
      <c r="CZ150" s="229">
        <f t="shared" si="114"/>
        <v>50.6</v>
      </c>
      <c r="DA150" s="230"/>
      <c r="DB150" s="231"/>
      <c r="DC150" s="232">
        <f>IFERROR((RD[[#This Row],[Sunset Time (POA&lt;20 W/m2)]]-RD[[#This Row],[Sunrise Time (POA&gt;20 W/m2)]])*24,0)</f>
        <v>0</v>
      </c>
      <c r="DD150" s="70">
        <f>SUM(RD[[#This Row],[33 kV_Wind_F3_Export_Reading3]],CJ150,CK150,CL150,CM150)</f>
        <v>0</v>
      </c>
      <c r="DE150" s="233"/>
      <c r="DF150" s="70">
        <f t="shared" si="103"/>
        <v>0</v>
      </c>
      <c r="DG150" s="230"/>
      <c r="DH150">
        <f>'WTG Reactive Power'!AB148</f>
        <v>0</v>
      </c>
    </row>
    <row r="151" spans="1:112">
      <c r="A151" s="210">
        <f>YEAR(RD[[#This Row],[Date]])+IF(MONTH(RD[[#This Row],[Date]])&gt;=4,1,0)</f>
        <v>2026</v>
      </c>
      <c r="B151" s="210">
        <f>YEAR(RD[[#This Row],[Date]])</f>
        <v>2025</v>
      </c>
      <c r="C151" s="211">
        <f t="shared" si="105"/>
        <v>45870</v>
      </c>
      <c r="D151" s="210">
        <f>DAY(EOMONTH(RD[[#This Row],[Date]],0))</f>
        <v>31</v>
      </c>
      <c r="E151" s="212">
        <f t="shared" si="106"/>
        <v>45891</v>
      </c>
      <c r="F151" s="206"/>
      <c r="G151" s="206"/>
      <c r="H151" s="213"/>
      <c r="I151" s="213"/>
      <c r="J151" s="213"/>
      <c r="K151" s="213"/>
      <c r="L151" s="213"/>
      <c r="M151" s="213"/>
      <c r="N151" s="213"/>
      <c r="O151" s="213"/>
      <c r="P151" s="213"/>
      <c r="Q151" s="213"/>
      <c r="R151" s="213"/>
      <c r="S151" s="213"/>
      <c r="T151" s="213"/>
      <c r="U151" s="213"/>
      <c r="V151" s="213"/>
      <c r="W151" s="213"/>
      <c r="X151" s="213"/>
      <c r="Y151" s="213"/>
      <c r="Z151" s="213"/>
      <c r="AA151" s="213"/>
      <c r="AB151" s="213"/>
      <c r="AC151" s="213"/>
      <c r="AD151" s="213"/>
      <c r="AE151" s="350"/>
      <c r="AF151" s="350"/>
      <c r="AG151" s="350"/>
      <c r="AH151" s="350"/>
      <c r="AI151" s="350"/>
      <c r="AJ151" s="350"/>
      <c r="AK151" s="350"/>
      <c r="AL151" s="350"/>
      <c r="AM151" s="350"/>
      <c r="AN151" s="350"/>
      <c r="AO151" s="350"/>
      <c r="AP151" s="350"/>
      <c r="AQ151" s="350"/>
      <c r="AR151" s="350"/>
      <c r="AS151" s="350"/>
      <c r="AT151" s="350"/>
      <c r="AU151" s="350"/>
      <c r="AV151" s="350"/>
      <c r="AW151" s="350"/>
      <c r="AX151" s="350"/>
      <c r="AY151" s="350"/>
      <c r="AZ151" s="350"/>
      <c r="BA151" s="350"/>
      <c r="BB151" s="214">
        <f t="shared" si="107"/>
        <v>0</v>
      </c>
      <c r="BC151" s="216">
        <f t="shared" si="108"/>
        <v>0</v>
      </c>
      <c r="BD151" s="180">
        <f t="shared" si="115"/>
        <v>0</v>
      </c>
      <c r="BE151" s="216">
        <f t="shared" si="109"/>
        <v>0</v>
      </c>
      <c r="BF151" s="179">
        <f t="shared" si="116"/>
        <v>0</v>
      </c>
      <c r="BG151" s="216">
        <f>SUM(RD[[#This Row],[KUD01]:[KUD23]])</f>
        <v>0</v>
      </c>
      <c r="BH151" s="217" t="str">
        <f t="shared" si="110"/>
        <v/>
      </c>
      <c r="BI151" s="219" t="str">
        <f t="shared" si="111"/>
        <v/>
      </c>
      <c r="BJ151" s="219" t="str">
        <f t="shared" si="112"/>
        <v/>
      </c>
      <c r="BK151" s="221">
        <f t="shared" si="113"/>
        <v>0</v>
      </c>
      <c r="BL151" s="61" t="str">
        <f>IFERROR(AVERAGEIF(RD[[#This Row],[WS_KUD07]:[WS_KUD08]],"&lt;&gt;0",RD[[#This Row],[WS_KUD07]:[WS_KUD08]]),"")</f>
        <v/>
      </c>
      <c r="BM151" s="223" t="str">
        <f>IFERROR(AVERAGE(RD[[#This Row],[WS_KUD01]:[WS_KUD23]]),"")</f>
        <v/>
      </c>
      <c r="BN151" s="224">
        <f>IFERROR(MAX(RD[[#This Row],[WS_KUD01]:[WS_KUD23]]),"")</f>
        <v>0</v>
      </c>
      <c r="BO151" s="172"/>
      <c r="BP151" s="349"/>
      <c r="BQ151" s="349"/>
      <c r="BR151" s="349"/>
      <c r="BS151" s="349"/>
      <c r="BT151" s="349"/>
      <c r="BU151" s="349"/>
      <c r="BV151" s="349"/>
      <c r="BW151" s="172"/>
      <c r="BX151" s="172"/>
      <c r="BY151" s="349"/>
      <c r="BZ151" s="349"/>
      <c r="CA151" s="349"/>
      <c r="CB151" s="349"/>
      <c r="CC151" s="349"/>
      <c r="CD151" s="172"/>
      <c r="CE151" s="349"/>
      <c r="CF151" s="360" t="str">
        <f>IF((RD[[#This Row],[33 kV_Wind_F1_Export reading]]-BO150)*165000&lt;=0,"",(RD[[#This Row],[33 kV_Wind_F1_Export reading]]-BO150)*165000)</f>
        <v/>
      </c>
      <c r="CG151" s="227" t="str">
        <f>IF((RD[[#This Row],[33 kV_Wind_F2_Export_reading]]-BP150)*165000&lt;=0,"",(RD[[#This Row],[33 kV_Wind_F2_Export_reading]]-BP150)*165000)</f>
        <v/>
      </c>
      <c r="CH151" s="64" t="str">
        <f>IF((RD[[#This Row],[33 kV_Wind_F3_Export_Reading]]-BQ150)*225000&lt;=0,"",(RD[[#This Row],[33 kV_Wind_F3_Export_Reading]]-BQ150)*225000)</f>
        <v/>
      </c>
      <c r="CI151" s="64" t="str">
        <f>IF((RD[[#This Row],[33 kV_Wind_F4_Export Reading]]-BR150)*165000&lt;=0,"",(RD[[#This Row],[33 kV_Wind_F4_Export Reading]]-BR150)*165000)</f>
        <v/>
      </c>
      <c r="CJ151" s="209" t="str">
        <f>IF((RD[[#This Row],[33 kV_Solar_F1_Export Reading]]-BS150)*225000&lt;=0,"",(RD[[#This Row],[33 kV_Solar_F1_Export Reading]]-BS150)*225000)</f>
        <v/>
      </c>
      <c r="CK151" s="74" t="str">
        <f>IF((RD[[#This Row],[33kV_Solar_F2_Export Reading]]-BT150)*225000&lt;=0,"",(RD[[#This Row],[33kV_Solar_F2_Export Reading]]-BT150)*225000)</f>
        <v/>
      </c>
      <c r="CL151" s="209" t="str">
        <f>IF((RD[[#This Row],[33 kV_Solar_F3_Export reading]]-BU150)*225000&lt;=0,"",(RD[[#This Row],[33 kV_Solar_F3_Export reading]]-BU150)*225000)</f>
        <v/>
      </c>
      <c r="CM151" s="63" t="str">
        <f>IF((RD[[#This Row],[32kV_Solar_F4_Export reading]]-BV150)*225000&lt;=0,"",(RD[[#This Row],[32kV_Solar_F4_Export reading]]-BV150)*225000)</f>
        <v/>
      </c>
      <c r="CN151" s="227">
        <f>IF((RD[[#This Row],[33kV_OG1_Export reading]]-BW150)*1000&lt;=0,0,(RD[[#This Row],[33kV_OG1_Export reading]]-BW150)*1000)</f>
        <v>0</v>
      </c>
      <c r="CO151" s="227">
        <f>IFERROR(IF((RD[[#This Row],[33kV_OG2_Export reading]]-BX150)*1000&lt;=0,0,(RD[[#This Row],[33kV_OG2_Export reading]]-BX150)*1000),0)</f>
        <v>0</v>
      </c>
      <c r="CP151" s="74">
        <f>IF((RD[[#This Row],[220kV_TX1_Export reading]]-BY150)*800000&lt;=0,0,(RD[[#This Row],[220kV_TX1_Export reading]]-BY150)*800000)</f>
        <v>0</v>
      </c>
      <c r="CQ151" s="209">
        <f>IF((RD[[#This Row],[220kV_Tx2_Export reading]]-BZ150)*800000&lt;=0,0,(RD[[#This Row],[220kV_Tx2_Export reading]]-BZ150)*800000)</f>
        <v>0</v>
      </c>
      <c r="CR151" s="227">
        <f>IF((RD[[#This Row],[220kV_TL_TVM Export Reading]]-CA150)*1600000&lt;=0,0,(RD[[#This Row],[220kV_TL_TVM Export Reading]]-CA150)*1600000)</f>
        <v>0</v>
      </c>
      <c r="CS151" s="227" t="str">
        <f>IF((RD[[#This Row],[220kV_C&amp;R_PQM reading]]-CB150)*1600000&lt;=0,"",(RD[[#This Row],[220kV_C&amp;R_PQM reading]]-CB150)*1600000)</f>
        <v/>
      </c>
      <c r="CT151" s="209">
        <f>IFERROR(IF((RD[[#This Row],[220KV_C&amp;R_PQM Import Reading]]-CC150)*1600000&lt;=0,0,(RD[[#This Row],[220KV_C&amp;R_PQM Import Reading]]-CC150)*1600000),"")</f>
        <v>0</v>
      </c>
      <c r="CU151" s="64" t="str">
        <f>IF((RD[[#This Row],[33kV_Aux1 Import Reading]]-CD150)*1000&lt;=0,"",(RD[[#This Row],[33kV_Aux1 Import Reading]]-CD150)*1000)</f>
        <v/>
      </c>
      <c r="CV151" s="227" t="str">
        <f>IF((RD[[#This Row],[33kV_Aux2_Import reading]]-CE150)*1000&lt;=0,"",(RD[[#This Row],[33kV_Aux2_Import reading]]-CE150)*1000)</f>
        <v/>
      </c>
      <c r="CW151" s="227">
        <f>IFERROR(RD[[#This Row],[33kV_OG1_Energy (MWh)]]+RD[[#This Row],[33kV_OG2_Energy (MWh)]],"")</f>
        <v>0</v>
      </c>
      <c r="CX151" s="227">
        <f>IFERROR(RD[[#This Row],[220kV_TL_TVM Energy (MWh)]]-RD[[#This Row],[220KV_C&amp;R_PQM Import (MWh)]],"")</f>
        <v>0</v>
      </c>
      <c r="CY151" s="228" t="str">
        <f>IFERROR(RD[[#This Row],[33 kV Total Export (MWH)]]/RD[[#This Row],[220 KV Net Export (MWh)]]-1,"")</f>
        <v/>
      </c>
      <c r="CZ151" s="229">
        <f t="shared" si="114"/>
        <v>50.6</v>
      </c>
      <c r="DA151" s="230"/>
      <c r="DB151" s="231"/>
      <c r="DC151" s="232">
        <f>IFERROR((RD[[#This Row],[Sunset Time (POA&lt;20 W/m2)]]-RD[[#This Row],[Sunrise Time (POA&gt;20 W/m2)]])*24,0)</f>
        <v>0</v>
      </c>
      <c r="DD151" s="70">
        <f>SUM(RD[[#This Row],[33 kV_Wind_F3_Export_Reading3]],CJ151,CK151,CL151,CM151)</f>
        <v>0</v>
      </c>
      <c r="DE151" s="233"/>
      <c r="DF151" s="70">
        <f t="shared" si="103"/>
        <v>0</v>
      </c>
      <c r="DG151" s="230"/>
      <c r="DH151">
        <f>'WTG Reactive Power'!AB149</f>
        <v>0</v>
      </c>
    </row>
    <row r="152" spans="1:112">
      <c r="A152" s="210">
        <f>YEAR(RD[[#This Row],[Date]])+IF(MONTH(RD[[#This Row],[Date]])&gt;=4,1,0)</f>
        <v>2026</v>
      </c>
      <c r="B152" s="210">
        <f>YEAR(RD[[#This Row],[Date]])</f>
        <v>2025</v>
      </c>
      <c r="C152" s="211">
        <f t="shared" si="105"/>
        <v>45870</v>
      </c>
      <c r="D152" s="210">
        <f>DAY(EOMONTH(RD[[#This Row],[Date]],0))</f>
        <v>31</v>
      </c>
      <c r="E152" s="212">
        <f t="shared" si="106"/>
        <v>45892</v>
      </c>
      <c r="F152" s="206"/>
      <c r="G152" s="206"/>
      <c r="H152" s="213"/>
      <c r="I152" s="213"/>
      <c r="J152" s="213"/>
      <c r="K152" s="213"/>
      <c r="L152" s="213"/>
      <c r="M152" s="213"/>
      <c r="N152" s="213"/>
      <c r="O152" s="213"/>
      <c r="P152" s="213"/>
      <c r="Q152" s="213"/>
      <c r="R152" s="213"/>
      <c r="S152" s="213"/>
      <c r="T152" s="213"/>
      <c r="U152" s="213"/>
      <c r="V152" s="213"/>
      <c r="W152" s="213"/>
      <c r="X152" s="213"/>
      <c r="Y152" s="213"/>
      <c r="Z152" s="213"/>
      <c r="AA152" s="213"/>
      <c r="AB152" s="213"/>
      <c r="AC152" s="213"/>
      <c r="AD152" s="213"/>
      <c r="AE152" s="350"/>
      <c r="AF152" s="350"/>
      <c r="AG152" s="350"/>
      <c r="AH152" s="350"/>
      <c r="AI152" s="350"/>
      <c r="AJ152" s="350"/>
      <c r="AK152" s="350"/>
      <c r="AL152" s="350"/>
      <c r="AM152" s="350"/>
      <c r="AN152" s="350"/>
      <c r="AO152" s="350"/>
      <c r="AP152" s="350"/>
      <c r="AQ152" s="350"/>
      <c r="AR152" s="350"/>
      <c r="AS152" s="350"/>
      <c r="AT152" s="350"/>
      <c r="AU152" s="350"/>
      <c r="AV152" s="350"/>
      <c r="AW152" s="350"/>
      <c r="AX152" s="350"/>
      <c r="AY152" s="350"/>
      <c r="AZ152" s="350"/>
      <c r="BA152" s="350"/>
      <c r="BB152" s="214">
        <f t="shared" si="107"/>
        <v>0</v>
      </c>
      <c r="BC152" s="216">
        <f t="shared" si="108"/>
        <v>0</v>
      </c>
      <c r="BD152" s="180">
        <f t="shared" si="115"/>
        <v>0</v>
      </c>
      <c r="BE152" s="216">
        <f t="shared" si="109"/>
        <v>0</v>
      </c>
      <c r="BF152" s="179">
        <f t="shared" si="116"/>
        <v>0</v>
      </c>
      <c r="BG152" s="216">
        <f>SUM(RD[[#This Row],[KUD01]:[KUD23]])</f>
        <v>0</v>
      </c>
      <c r="BH152" s="217" t="str">
        <f t="shared" si="110"/>
        <v/>
      </c>
      <c r="BI152" s="219" t="str">
        <f t="shared" si="111"/>
        <v/>
      </c>
      <c r="BJ152" s="219" t="str">
        <f t="shared" si="112"/>
        <v/>
      </c>
      <c r="BK152" s="221">
        <f t="shared" si="113"/>
        <v>0</v>
      </c>
      <c r="BL152" s="61" t="str">
        <f>IFERROR(AVERAGEIF(RD[[#This Row],[WS_KUD07]:[WS_KUD08]],"&lt;&gt;0",RD[[#This Row],[WS_KUD07]:[WS_KUD08]]),"")</f>
        <v/>
      </c>
      <c r="BM152" s="223" t="str">
        <f>IFERROR(AVERAGE(RD[[#This Row],[WS_KUD01]:[WS_KUD23]]),"")</f>
        <v/>
      </c>
      <c r="BN152" s="224">
        <f>IFERROR(MAX(RD[[#This Row],[WS_KUD01]:[WS_KUD23]]),"")</f>
        <v>0</v>
      </c>
      <c r="BO152" s="172"/>
      <c r="BP152" s="349"/>
      <c r="BQ152" s="349"/>
      <c r="BR152" s="349"/>
      <c r="BS152" s="349"/>
      <c r="BT152" s="349"/>
      <c r="BU152" s="349"/>
      <c r="BV152" s="349"/>
      <c r="BW152" s="172"/>
      <c r="BX152" s="172"/>
      <c r="BY152" s="349"/>
      <c r="BZ152" s="349"/>
      <c r="CA152" s="349"/>
      <c r="CB152" s="349"/>
      <c r="CC152" s="349"/>
      <c r="CD152" s="172"/>
      <c r="CE152" s="349"/>
      <c r="CF152" s="360" t="str">
        <f>IF((RD[[#This Row],[33 kV_Wind_F1_Export reading]]-BO151)*165000&lt;=0,"",(RD[[#This Row],[33 kV_Wind_F1_Export reading]]-BO151)*165000)</f>
        <v/>
      </c>
      <c r="CG152" s="227" t="str">
        <f>IF((RD[[#This Row],[33 kV_Wind_F2_Export_reading]]-BP151)*165000&lt;=0,"",(RD[[#This Row],[33 kV_Wind_F2_Export_reading]]-BP151)*165000)</f>
        <v/>
      </c>
      <c r="CH152" s="64" t="str">
        <f>IF((RD[[#This Row],[33 kV_Wind_F3_Export_Reading]]-BQ151)*225000&lt;=0,"",(RD[[#This Row],[33 kV_Wind_F3_Export_Reading]]-BQ151)*225000)</f>
        <v/>
      </c>
      <c r="CI152" s="64" t="str">
        <f>IF((RD[[#This Row],[33 kV_Wind_F4_Export Reading]]-BR151)*165000&lt;=0,"",(RD[[#This Row],[33 kV_Wind_F4_Export Reading]]-BR151)*165000)</f>
        <v/>
      </c>
      <c r="CJ152" s="209" t="str">
        <f>IF((RD[[#This Row],[33 kV_Solar_F1_Export Reading]]-BS151)*225000&lt;=0,"",(RD[[#This Row],[33 kV_Solar_F1_Export Reading]]-BS151)*225000)</f>
        <v/>
      </c>
      <c r="CK152" s="74" t="str">
        <f>IF((RD[[#This Row],[33kV_Solar_F2_Export Reading]]-BT151)*225000&lt;=0,"",(RD[[#This Row],[33kV_Solar_F2_Export Reading]]-BT151)*225000)</f>
        <v/>
      </c>
      <c r="CL152" s="209" t="str">
        <f>IF((RD[[#This Row],[33 kV_Solar_F3_Export reading]]-BU151)*225000&lt;=0,"",(RD[[#This Row],[33 kV_Solar_F3_Export reading]]-BU151)*225000)</f>
        <v/>
      </c>
      <c r="CM152" s="63" t="str">
        <f>IF((RD[[#This Row],[32kV_Solar_F4_Export reading]]-BV151)*225000&lt;=0,"",(RD[[#This Row],[32kV_Solar_F4_Export reading]]-BV151)*225000)</f>
        <v/>
      </c>
      <c r="CN152" s="227">
        <f>IF((RD[[#This Row],[33kV_OG1_Export reading]]-BW151)*1000&lt;=0,0,(RD[[#This Row],[33kV_OG1_Export reading]]-BW151)*1000)</f>
        <v>0</v>
      </c>
      <c r="CO152" s="227">
        <f>IFERROR(IF((RD[[#This Row],[33kV_OG2_Export reading]]-BX151)*1000&lt;=0,0,(RD[[#This Row],[33kV_OG2_Export reading]]-BX151)*1000),0)</f>
        <v>0</v>
      </c>
      <c r="CP152" s="74">
        <f>IF((RD[[#This Row],[220kV_TX1_Export reading]]-BY151)*800000&lt;=0,0,(RD[[#This Row],[220kV_TX1_Export reading]]-BY151)*800000)</f>
        <v>0</v>
      </c>
      <c r="CQ152" s="209">
        <f>IF((RD[[#This Row],[220kV_Tx2_Export reading]]-BZ151)*800000&lt;=0,0,(RD[[#This Row],[220kV_Tx2_Export reading]]-BZ151)*800000)</f>
        <v>0</v>
      </c>
      <c r="CR152" s="227">
        <f>IF((RD[[#This Row],[220kV_TL_TVM Export Reading]]-CA151)*1600000&lt;=0,0,(RD[[#This Row],[220kV_TL_TVM Export Reading]]-CA151)*1600000)</f>
        <v>0</v>
      </c>
      <c r="CS152" s="227" t="str">
        <f>IF((RD[[#This Row],[220kV_C&amp;R_PQM reading]]-CB151)*1600000&lt;=0,"",(RD[[#This Row],[220kV_C&amp;R_PQM reading]]-CB151)*1600000)</f>
        <v/>
      </c>
      <c r="CT152" s="209">
        <f>IFERROR(IF((RD[[#This Row],[220KV_C&amp;R_PQM Import Reading]]-CC151)*1600000&lt;=0,0,(RD[[#This Row],[220KV_C&amp;R_PQM Import Reading]]-CC151)*1600000),"")</f>
        <v>0</v>
      </c>
      <c r="CU152" s="64" t="str">
        <f>IF((RD[[#This Row],[33kV_Aux1 Import Reading]]-CD151)*1000&lt;=0,"",(RD[[#This Row],[33kV_Aux1 Import Reading]]-CD151)*1000)</f>
        <v/>
      </c>
      <c r="CV152" s="227" t="str">
        <f>IF((RD[[#This Row],[33kV_Aux2_Import reading]]-CE151)*1000&lt;=0,"",(RD[[#This Row],[33kV_Aux2_Import reading]]-CE151)*1000)</f>
        <v/>
      </c>
      <c r="CW152" s="227">
        <f>IFERROR(RD[[#This Row],[33kV_OG1_Energy (MWh)]]+RD[[#This Row],[33kV_OG2_Energy (MWh)]],"")</f>
        <v>0</v>
      </c>
      <c r="CX152" s="227">
        <f>IFERROR(RD[[#This Row],[220kV_TL_TVM Energy (MWh)]]-RD[[#This Row],[220KV_C&amp;R_PQM Import (MWh)]],"")</f>
        <v>0</v>
      </c>
      <c r="CY152" s="228" t="str">
        <f>IFERROR(RD[[#This Row],[33 kV Total Export (MWH)]]/RD[[#This Row],[220 KV Net Export (MWh)]]-1,"")</f>
        <v/>
      </c>
      <c r="CZ152" s="229">
        <f t="shared" si="114"/>
        <v>50.6</v>
      </c>
      <c r="DA152" s="230"/>
      <c r="DB152" s="231"/>
      <c r="DC152" s="232">
        <f>IFERROR((RD[[#This Row],[Sunset Time (POA&lt;20 W/m2)]]-RD[[#This Row],[Sunrise Time (POA&gt;20 W/m2)]])*24,0)</f>
        <v>0</v>
      </c>
      <c r="DD152" s="70">
        <f>SUM(RD[[#This Row],[33 kV_Wind_F3_Export_Reading3]],CJ152,CK152,CL152,CM152)</f>
        <v>0</v>
      </c>
      <c r="DE152" s="233"/>
      <c r="DF152" s="70">
        <f t="shared" si="103"/>
        <v>0</v>
      </c>
      <c r="DG152" s="230"/>
      <c r="DH152">
        <f>'WTG Reactive Power'!AB150</f>
        <v>0</v>
      </c>
    </row>
    <row r="153" spans="1:112">
      <c r="A153" s="210">
        <f>YEAR(RD[[#This Row],[Date]])+IF(MONTH(RD[[#This Row],[Date]])&gt;=4,1,0)</f>
        <v>2026</v>
      </c>
      <c r="B153" s="210">
        <f>YEAR(RD[[#This Row],[Date]])</f>
        <v>2025</v>
      </c>
      <c r="C153" s="211">
        <f t="shared" si="105"/>
        <v>45870</v>
      </c>
      <c r="D153" s="210">
        <f>DAY(EOMONTH(RD[[#This Row],[Date]],0))</f>
        <v>31</v>
      </c>
      <c r="E153" s="212">
        <f t="shared" si="106"/>
        <v>45893</v>
      </c>
      <c r="F153" s="206"/>
      <c r="G153" s="206"/>
      <c r="H153" s="213"/>
      <c r="I153" s="213"/>
      <c r="J153" s="213"/>
      <c r="K153" s="213"/>
      <c r="L153" s="213"/>
      <c r="M153" s="213"/>
      <c r="N153" s="213"/>
      <c r="O153" s="213"/>
      <c r="P153" s="213"/>
      <c r="Q153" s="213"/>
      <c r="R153" s="213"/>
      <c r="S153" s="213"/>
      <c r="T153" s="213"/>
      <c r="U153" s="213"/>
      <c r="V153" s="213"/>
      <c r="W153" s="213"/>
      <c r="X153" s="213"/>
      <c r="Y153" s="213"/>
      <c r="Z153" s="213"/>
      <c r="AA153" s="213"/>
      <c r="AB153" s="213"/>
      <c r="AC153" s="213"/>
      <c r="AD153" s="213"/>
      <c r="AE153" s="350"/>
      <c r="AF153" s="350"/>
      <c r="AG153" s="350"/>
      <c r="AH153" s="350"/>
      <c r="AI153" s="350"/>
      <c r="AJ153" s="350"/>
      <c r="AK153" s="350"/>
      <c r="AL153" s="350"/>
      <c r="AM153" s="350"/>
      <c r="AN153" s="350"/>
      <c r="AO153" s="350"/>
      <c r="AP153" s="350"/>
      <c r="AQ153" s="350"/>
      <c r="AR153" s="350"/>
      <c r="AS153" s="350"/>
      <c r="AT153" s="350"/>
      <c r="AU153" s="350"/>
      <c r="AV153" s="350"/>
      <c r="AW153" s="350"/>
      <c r="AX153" s="350"/>
      <c r="AY153" s="350"/>
      <c r="AZ153" s="350"/>
      <c r="BA153" s="350"/>
      <c r="BB153" s="214">
        <f t="shared" si="107"/>
        <v>0</v>
      </c>
      <c r="BC153" s="216">
        <f t="shared" si="108"/>
        <v>0</v>
      </c>
      <c r="BD153" s="180">
        <f t="shared" si="115"/>
        <v>0</v>
      </c>
      <c r="BE153" s="216">
        <f t="shared" si="109"/>
        <v>0</v>
      </c>
      <c r="BF153" s="179">
        <f t="shared" si="116"/>
        <v>0</v>
      </c>
      <c r="BG153" s="216">
        <f>SUM(RD[[#This Row],[KUD01]:[KUD23]])</f>
        <v>0</v>
      </c>
      <c r="BH153" s="217" t="str">
        <f t="shared" si="110"/>
        <v/>
      </c>
      <c r="BI153" s="219" t="str">
        <f t="shared" si="111"/>
        <v/>
      </c>
      <c r="BJ153" s="219" t="str">
        <f t="shared" si="112"/>
        <v/>
      </c>
      <c r="BK153" s="221">
        <f t="shared" si="113"/>
        <v>0</v>
      </c>
      <c r="BL153" s="61" t="str">
        <f>IFERROR(AVERAGEIF(RD[[#This Row],[WS_KUD07]:[WS_KUD08]],"&lt;&gt;0",RD[[#This Row],[WS_KUD07]:[WS_KUD08]]),"")</f>
        <v/>
      </c>
      <c r="BM153" s="223" t="str">
        <f>IFERROR(AVERAGE(RD[[#This Row],[WS_KUD01]:[WS_KUD23]]),"")</f>
        <v/>
      </c>
      <c r="BN153" s="224">
        <f>IFERROR(MAX(RD[[#This Row],[WS_KUD01]:[WS_KUD23]]),"")</f>
        <v>0</v>
      </c>
      <c r="BO153" s="172"/>
      <c r="BP153" s="349"/>
      <c r="BQ153" s="349"/>
      <c r="BR153" s="349"/>
      <c r="BS153" s="349"/>
      <c r="BT153" s="349"/>
      <c r="BU153" s="349"/>
      <c r="BV153" s="349"/>
      <c r="BW153" s="172"/>
      <c r="BX153" s="172"/>
      <c r="BY153" s="349"/>
      <c r="BZ153" s="349"/>
      <c r="CA153" s="349"/>
      <c r="CB153" s="349"/>
      <c r="CC153" s="349"/>
      <c r="CD153" s="172"/>
      <c r="CE153" s="349"/>
      <c r="CF153" s="360" t="str">
        <f>IF((RD[[#This Row],[33 kV_Wind_F1_Export reading]]-BO152)*165000&lt;=0,"",(RD[[#This Row],[33 kV_Wind_F1_Export reading]]-BO152)*165000)</f>
        <v/>
      </c>
      <c r="CG153" s="227" t="str">
        <f>IF((RD[[#This Row],[33 kV_Wind_F2_Export_reading]]-BP152)*165000&lt;=0,"",(RD[[#This Row],[33 kV_Wind_F2_Export_reading]]-BP152)*165000)</f>
        <v/>
      </c>
      <c r="CH153" s="64" t="str">
        <f>IF((RD[[#This Row],[33 kV_Wind_F3_Export_Reading]]-BQ152)*225000&lt;=0,"",(RD[[#This Row],[33 kV_Wind_F3_Export_Reading]]-BQ152)*225000)</f>
        <v/>
      </c>
      <c r="CI153" s="64" t="str">
        <f>IF((RD[[#This Row],[33 kV_Wind_F4_Export Reading]]-BR152)*165000&lt;=0,"",(RD[[#This Row],[33 kV_Wind_F4_Export Reading]]-BR152)*165000)</f>
        <v/>
      </c>
      <c r="CJ153" s="209" t="str">
        <f>IF((RD[[#This Row],[33 kV_Solar_F1_Export Reading]]-BS152)*225000&lt;=0,"",(RD[[#This Row],[33 kV_Solar_F1_Export Reading]]-BS152)*225000)</f>
        <v/>
      </c>
      <c r="CK153" s="74" t="str">
        <f>IF((RD[[#This Row],[33kV_Solar_F2_Export Reading]]-BT152)*225000&lt;=0,"",(RD[[#This Row],[33kV_Solar_F2_Export Reading]]-BT152)*225000)</f>
        <v/>
      </c>
      <c r="CL153" s="209" t="str">
        <f>IF((RD[[#This Row],[33 kV_Solar_F3_Export reading]]-BU152)*225000&lt;=0,"",(RD[[#This Row],[33 kV_Solar_F3_Export reading]]-BU152)*225000)</f>
        <v/>
      </c>
      <c r="CM153" s="63" t="str">
        <f>IF((RD[[#This Row],[32kV_Solar_F4_Export reading]]-BV152)*225000&lt;=0,"",(RD[[#This Row],[32kV_Solar_F4_Export reading]]-BV152)*225000)</f>
        <v/>
      </c>
      <c r="CN153" s="227">
        <f>IF((RD[[#This Row],[33kV_OG1_Export reading]]-BW152)*1000&lt;=0,0,(RD[[#This Row],[33kV_OG1_Export reading]]-BW152)*1000)</f>
        <v>0</v>
      </c>
      <c r="CO153" s="227">
        <f>IFERROR(IF((RD[[#This Row],[33kV_OG2_Export reading]]-BX152)*1000&lt;=0,0,(RD[[#This Row],[33kV_OG2_Export reading]]-BX152)*1000),0)</f>
        <v>0</v>
      </c>
      <c r="CP153" s="74">
        <f>IF((RD[[#This Row],[220kV_TX1_Export reading]]-BY152)*800000&lt;=0,0,(RD[[#This Row],[220kV_TX1_Export reading]]-BY152)*800000)</f>
        <v>0</v>
      </c>
      <c r="CQ153" s="209">
        <f>IF((RD[[#This Row],[220kV_Tx2_Export reading]]-BZ152)*800000&lt;=0,0,(RD[[#This Row],[220kV_Tx2_Export reading]]-BZ152)*800000)</f>
        <v>0</v>
      </c>
      <c r="CR153" s="227">
        <f>IF((RD[[#This Row],[220kV_TL_TVM Export Reading]]-CA152)*1600000&lt;=0,0,(RD[[#This Row],[220kV_TL_TVM Export Reading]]-CA152)*1600000)</f>
        <v>0</v>
      </c>
      <c r="CS153" s="227" t="str">
        <f>IF((RD[[#This Row],[220kV_C&amp;R_PQM reading]]-CB152)*1600000&lt;=0,"",(RD[[#This Row],[220kV_C&amp;R_PQM reading]]-CB152)*1600000)</f>
        <v/>
      </c>
      <c r="CT153" s="209">
        <f>IFERROR(IF((RD[[#This Row],[220KV_C&amp;R_PQM Import Reading]]-CC152)*1600000&lt;=0,0,(RD[[#This Row],[220KV_C&amp;R_PQM Import Reading]]-CC152)*1600000),"")</f>
        <v>0</v>
      </c>
      <c r="CU153" s="64" t="str">
        <f>IF((RD[[#This Row],[33kV_Aux1 Import Reading]]-CD152)*1000&lt;=0,"",(RD[[#This Row],[33kV_Aux1 Import Reading]]-CD152)*1000)</f>
        <v/>
      </c>
      <c r="CV153" s="227" t="str">
        <f>IF((RD[[#This Row],[33kV_Aux2_Import reading]]-CE152)*1000&lt;=0,"",(RD[[#This Row],[33kV_Aux2_Import reading]]-CE152)*1000)</f>
        <v/>
      </c>
      <c r="CW153" s="227">
        <f>IFERROR(RD[[#This Row],[33kV_OG1_Energy (MWh)]]+RD[[#This Row],[33kV_OG2_Energy (MWh)]],"")</f>
        <v>0</v>
      </c>
      <c r="CX153" s="227">
        <f>IFERROR(RD[[#This Row],[220kV_TL_TVM Energy (MWh)]]-RD[[#This Row],[220KV_C&amp;R_PQM Import (MWh)]],"")</f>
        <v>0</v>
      </c>
      <c r="CY153" s="228" t="str">
        <f>IFERROR(RD[[#This Row],[33 kV Total Export (MWH)]]/RD[[#This Row],[220 KV Net Export (MWh)]]-1,"")</f>
        <v/>
      </c>
      <c r="CZ153" s="229">
        <f t="shared" si="114"/>
        <v>50.6</v>
      </c>
      <c r="DA153" s="230"/>
      <c r="DB153" s="231"/>
      <c r="DC153" s="232">
        <f>IFERROR((RD[[#This Row],[Sunset Time (POA&lt;20 W/m2)]]-RD[[#This Row],[Sunrise Time (POA&gt;20 W/m2)]])*24,0)</f>
        <v>0</v>
      </c>
      <c r="DD153" s="70">
        <f>SUM(RD[[#This Row],[33 kV_Wind_F3_Export_Reading3]],CJ153,CK153,CL153,CM153)</f>
        <v>0</v>
      </c>
      <c r="DE153" s="233"/>
      <c r="DF153" s="70">
        <f t="shared" si="103"/>
        <v>0</v>
      </c>
      <c r="DG153" s="230"/>
      <c r="DH153">
        <f>'WTG Reactive Power'!AB151</f>
        <v>0</v>
      </c>
    </row>
    <row r="154" spans="1:112">
      <c r="A154" s="210">
        <f>YEAR(RD[[#This Row],[Date]])+IF(MONTH(RD[[#This Row],[Date]])&gt;=4,1,0)</f>
        <v>2026</v>
      </c>
      <c r="B154" s="210">
        <f>YEAR(RD[[#This Row],[Date]])</f>
        <v>2025</v>
      </c>
      <c r="C154" s="211">
        <f t="shared" si="105"/>
        <v>45870</v>
      </c>
      <c r="D154" s="210">
        <f>DAY(EOMONTH(RD[[#This Row],[Date]],0))</f>
        <v>31</v>
      </c>
      <c r="E154" s="212">
        <f t="shared" si="106"/>
        <v>45894</v>
      </c>
      <c r="F154" s="206"/>
      <c r="G154" s="206"/>
      <c r="H154" s="213"/>
      <c r="I154" s="213"/>
      <c r="J154" s="213"/>
      <c r="K154" s="213"/>
      <c r="L154" s="213"/>
      <c r="M154" s="213"/>
      <c r="N154" s="213"/>
      <c r="O154" s="213"/>
      <c r="P154" s="213"/>
      <c r="Q154" s="213"/>
      <c r="R154" s="213"/>
      <c r="S154" s="213"/>
      <c r="T154" s="213"/>
      <c r="U154" s="213"/>
      <c r="V154" s="213"/>
      <c r="W154" s="213"/>
      <c r="X154" s="213"/>
      <c r="Y154" s="213"/>
      <c r="Z154" s="213"/>
      <c r="AA154" s="213"/>
      <c r="AB154" s="213"/>
      <c r="AC154" s="213"/>
      <c r="AD154" s="213"/>
      <c r="AE154" s="350"/>
      <c r="AF154" s="350"/>
      <c r="AG154" s="350"/>
      <c r="AH154" s="350"/>
      <c r="AI154" s="350"/>
      <c r="AJ154" s="350"/>
      <c r="AK154" s="350"/>
      <c r="AL154" s="350"/>
      <c r="AM154" s="350"/>
      <c r="AN154" s="350"/>
      <c r="AO154" s="350"/>
      <c r="AP154" s="350"/>
      <c r="AQ154" s="350"/>
      <c r="AR154" s="350"/>
      <c r="AS154" s="350"/>
      <c r="AT154" s="350"/>
      <c r="AU154" s="350"/>
      <c r="AV154" s="350"/>
      <c r="AW154" s="350"/>
      <c r="AX154" s="350"/>
      <c r="AY154" s="350"/>
      <c r="AZ154" s="350"/>
      <c r="BA154" s="350"/>
      <c r="BB154" s="214">
        <f t="shared" si="107"/>
        <v>0</v>
      </c>
      <c r="BC154" s="216">
        <f t="shared" si="108"/>
        <v>0</v>
      </c>
      <c r="BD154" s="180">
        <f t="shared" si="115"/>
        <v>0</v>
      </c>
      <c r="BE154" s="216">
        <f t="shared" si="109"/>
        <v>0</v>
      </c>
      <c r="BF154" s="179">
        <f t="shared" si="116"/>
        <v>0</v>
      </c>
      <c r="BG154" s="216">
        <f>SUM(RD[[#This Row],[KUD01]:[KUD23]])</f>
        <v>0</v>
      </c>
      <c r="BH154" s="217" t="str">
        <f t="shared" si="110"/>
        <v/>
      </c>
      <c r="BI154" s="219" t="str">
        <f t="shared" si="111"/>
        <v/>
      </c>
      <c r="BJ154" s="219" t="str">
        <f t="shared" si="112"/>
        <v/>
      </c>
      <c r="BK154" s="221">
        <f t="shared" si="113"/>
        <v>0</v>
      </c>
      <c r="BL154" s="61" t="str">
        <f>IFERROR(AVERAGEIF(RD[[#This Row],[WS_KUD07]:[WS_KUD08]],"&lt;&gt;0",RD[[#This Row],[WS_KUD07]:[WS_KUD08]]),"")</f>
        <v/>
      </c>
      <c r="BM154" s="223" t="str">
        <f>IFERROR(AVERAGE(RD[[#This Row],[WS_KUD01]:[WS_KUD23]]),"")</f>
        <v/>
      </c>
      <c r="BN154" s="224">
        <f>IFERROR(MAX(RD[[#This Row],[WS_KUD01]:[WS_KUD23]]),"")</f>
        <v>0</v>
      </c>
      <c r="BO154" s="172"/>
      <c r="BP154" s="349"/>
      <c r="BQ154" s="349"/>
      <c r="BR154" s="349"/>
      <c r="BS154" s="349"/>
      <c r="BT154" s="349"/>
      <c r="BU154" s="349"/>
      <c r="BV154" s="349"/>
      <c r="BW154" s="172"/>
      <c r="BX154" s="172"/>
      <c r="BY154" s="349"/>
      <c r="BZ154" s="349"/>
      <c r="CA154" s="349"/>
      <c r="CB154" s="349"/>
      <c r="CC154" s="349"/>
      <c r="CD154" s="172"/>
      <c r="CE154" s="349"/>
      <c r="CF154" s="360" t="str">
        <f>IF((RD[[#This Row],[33 kV_Wind_F1_Export reading]]-BO153)*165000&lt;=0,"",(RD[[#This Row],[33 kV_Wind_F1_Export reading]]-BO153)*165000)</f>
        <v/>
      </c>
      <c r="CG154" s="227" t="str">
        <f>IF((RD[[#This Row],[33 kV_Wind_F2_Export_reading]]-BP153)*165000&lt;=0,"",(RD[[#This Row],[33 kV_Wind_F2_Export_reading]]-BP153)*165000)</f>
        <v/>
      </c>
      <c r="CH154" s="64" t="str">
        <f>IF((RD[[#This Row],[33 kV_Wind_F3_Export_Reading]]-BQ153)*225000&lt;=0,"",(RD[[#This Row],[33 kV_Wind_F3_Export_Reading]]-BQ153)*225000)</f>
        <v/>
      </c>
      <c r="CI154" s="64" t="str">
        <f>IF((RD[[#This Row],[33 kV_Wind_F4_Export Reading]]-BR153)*165000&lt;=0,"",(RD[[#This Row],[33 kV_Wind_F4_Export Reading]]-BR153)*165000)</f>
        <v/>
      </c>
      <c r="CJ154" s="209" t="str">
        <f>IF((RD[[#This Row],[33 kV_Solar_F1_Export Reading]]-BS153)*225000&lt;=0,"",(RD[[#This Row],[33 kV_Solar_F1_Export Reading]]-BS153)*225000)</f>
        <v/>
      </c>
      <c r="CK154" s="74" t="str">
        <f>IF((RD[[#This Row],[33kV_Solar_F2_Export Reading]]-BT153)*225000&lt;=0,"",(RD[[#This Row],[33kV_Solar_F2_Export Reading]]-BT153)*225000)</f>
        <v/>
      </c>
      <c r="CL154" s="209" t="str">
        <f>IF((RD[[#This Row],[33 kV_Solar_F3_Export reading]]-BU153)*225000&lt;=0,"",(RD[[#This Row],[33 kV_Solar_F3_Export reading]]-BU153)*225000)</f>
        <v/>
      </c>
      <c r="CM154" s="63" t="str">
        <f>IF((RD[[#This Row],[32kV_Solar_F4_Export reading]]-BV153)*225000&lt;=0,"",(RD[[#This Row],[32kV_Solar_F4_Export reading]]-BV153)*225000)</f>
        <v/>
      </c>
      <c r="CN154" s="227">
        <f>IF((RD[[#This Row],[33kV_OG1_Export reading]]-BW153)*1000&lt;=0,0,(RD[[#This Row],[33kV_OG1_Export reading]]-BW153)*1000)</f>
        <v>0</v>
      </c>
      <c r="CO154" s="227">
        <f>IFERROR(IF((RD[[#This Row],[33kV_OG2_Export reading]]-BX153)*1000&lt;=0,0,(RD[[#This Row],[33kV_OG2_Export reading]]-BX153)*1000),0)</f>
        <v>0</v>
      </c>
      <c r="CP154" s="74">
        <f>IF((RD[[#This Row],[220kV_TX1_Export reading]]-BY153)*800000&lt;=0,0,(RD[[#This Row],[220kV_TX1_Export reading]]-BY153)*800000)</f>
        <v>0</v>
      </c>
      <c r="CQ154" s="209">
        <f>IF((RD[[#This Row],[220kV_Tx2_Export reading]]-BZ153)*800000&lt;=0,0,(RD[[#This Row],[220kV_Tx2_Export reading]]-BZ153)*800000)</f>
        <v>0</v>
      </c>
      <c r="CR154" s="227">
        <f>IF((RD[[#This Row],[220kV_TL_TVM Export Reading]]-CA153)*1600000&lt;=0,0,(RD[[#This Row],[220kV_TL_TVM Export Reading]]-CA153)*1600000)</f>
        <v>0</v>
      </c>
      <c r="CS154" s="227" t="str">
        <f>IF((RD[[#This Row],[220kV_C&amp;R_PQM reading]]-CB153)*1600000&lt;=0,"",(RD[[#This Row],[220kV_C&amp;R_PQM reading]]-CB153)*1600000)</f>
        <v/>
      </c>
      <c r="CT154" s="209">
        <f>IFERROR(IF((RD[[#This Row],[220KV_C&amp;R_PQM Import Reading]]-CC153)*1600000&lt;=0,0,(RD[[#This Row],[220KV_C&amp;R_PQM Import Reading]]-CC153)*1600000),"")</f>
        <v>0</v>
      </c>
      <c r="CU154" s="64" t="str">
        <f>IF((RD[[#This Row],[33kV_Aux1 Import Reading]]-CD153)*1000&lt;=0,"",(RD[[#This Row],[33kV_Aux1 Import Reading]]-CD153)*1000)</f>
        <v/>
      </c>
      <c r="CV154" s="227" t="str">
        <f>IF((RD[[#This Row],[33kV_Aux2_Import reading]]-CE153)*1000&lt;=0,"",(RD[[#This Row],[33kV_Aux2_Import reading]]-CE153)*1000)</f>
        <v/>
      </c>
      <c r="CW154" s="227">
        <f>IFERROR(RD[[#This Row],[33kV_OG1_Energy (MWh)]]+RD[[#This Row],[33kV_OG2_Energy (MWh)]],"")</f>
        <v>0</v>
      </c>
      <c r="CX154" s="227">
        <f>IFERROR(RD[[#This Row],[220kV_TL_TVM Energy (MWh)]]-RD[[#This Row],[220KV_C&amp;R_PQM Import (MWh)]],"")</f>
        <v>0</v>
      </c>
      <c r="CY154" s="228" t="str">
        <f>IFERROR(RD[[#This Row],[33 kV Total Export (MWH)]]/RD[[#This Row],[220 KV Net Export (MWh)]]-1,"")</f>
        <v/>
      </c>
      <c r="CZ154" s="229">
        <f t="shared" si="114"/>
        <v>50.6</v>
      </c>
      <c r="DA154" s="230"/>
      <c r="DB154" s="231"/>
      <c r="DC154" s="232">
        <f>IFERROR((RD[[#This Row],[Sunset Time (POA&lt;20 W/m2)]]-RD[[#This Row],[Sunrise Time (POA&gt;20 W/m2)]])*24,0)</f>
        <v>0</v>
      </c>
      <c r="DD154" s="70">
        <f>SUM(RD[[#This Row],[33 kV_Wind_F3_Export_Reading3]],CJ154,CK154,CL154,CM154)</f>
        <v>0</v>
      </c>
      <c r="DE154" s="233"/>
      <c r="DF154" s="70">
        <f t="shared" si="103"/>
        <v>0</v>
      </c>
      <c r="DG154" s="230"/>
      <c r="DH154">
        <f>'WTG Reactive Power'!AB152</f>
        <v>0</v>
      </c>
    </row>
    <row r="155" spans="1:112">
      <c r="A155" s="210">
        <f>YEAR(RD[[#This Row],[Date]])+IF(MONTH(RD[[#This Row],[Date]])&gt;=4,1,0)</f>
        <v>2026</v>
      </c>
      <c r="B155" s="210">
        <f>YEAR(RD[[#This Row],[Date]])</f>
        <v>2025</v>
      </c>
      <c r="C155" s="211">
        <f t="shared" si="105"/>
        <v>45870</v>
      </c>
      <c r="D155" s="210">
        <f>DAY(EOMONTH(RD[[#This Row],[Date]],0))</f>
        <v>31</v>
      </c>
      <c r="E155" s="212">
        <f t="shared" si="106"/>
        <v>45895</v>
      </c>
      <c r="F155" s="206"/>
      <c r="G155" s="206"/>
      <c r="H155" s="213"/>
      <c r="I155" s="213"/>
      <c r="J155" s="213"/>
      <c r="K155" s="213"/>
      <c r="L155" s="213"/>
      <c r="M155" s="213"/>
      <c r="N155" s="213"/>
      <c r="O155" s="213"/>
      <c r="P155" s="213"/>
      <c r="Q155" s="213"/>
      <c r="R155" s="213"/>
      <c r="S155" s="213"/>
      <c r="T155" s="213"/>
      <c r="U155" s="213"/>
      <c r="V155" s="213"/>
      <c r="W155" s="213"/>
      <c r="X155" s="213"/>
      <c r="Y155" s="213"/>
      <c r="Z155" s="213"/>
      <c r="AA155" s="213"/>
      <c r="AB155" s="213"/>
      <c r="AC155" s="213"/>
      <c r="AD155" s="213"/>
      <c r="AE155" s="350"/>
      <c r="AF155" s="350"/>
      <c r="AG155" s="350"/>
      <c r="AH155" s="350"/>
      <c r="AI155" s="350"/>
      <c r="AJ155" s="350"/>
      <c r="AK155" s="350"/>
      <c r="AL155" s="350"/>
      <c r="AM155" s="350"/>
      <c r="AN155" s="350"/>
      <c r="AO155" s="350"/>
      <c r="AP155" s="350"/>
      <c r="AQ155" s="350"/>
      <c r="AR155" s="350"/>
      <c r="AS155" s="350"/>
      <c r="AT155" s="350"/>
      <c r="AU155" s="350"/>
      <c r="AV155" s="350"/>
      <c r="AW155" s="350"/>
      <c r="AX155" s="350"/>
      <c r="AY155" s="350"/>
      <c r="AZ155" s="350"/>
      <c r="BA155" s="350"/>
      <c r="BB155" s="214">
        <f t="shared" si="107"/>
        <v>0</v>
      </c>
      <c r="BC155" s="216">
        <f t="shared" si="108"/>
        <v>0</v>
      </c>
      <c r="BD155" s="180">
        <f t="shared" si="115"/>
        <v>0</v>
      </c>
      <c r="BE155" s="216">
        <f t="shared" si="109"/>
        <v>0</v>
      </c>
      <c r="BF155" s="179">
        <f t="shared" si="116"/>
        <v>0</v>
      </c>
      <c r="BG155" s="216">
        <f>SUM(RD[[#This Row],[KUD01]:[KUD23]])</f>
        <v>0</v>
      </c>
      <c r="BH155" s="217" t="str">
        <f t="shared" si="110"/>
        <v/>
      </c>
      <c r="BI155" s="219" t="str">
        <f t="shared" si="111"/>
        <v/>
      </c>
      <c r="BJ155" s="219" t="str">
        <f t="shared" si="112"/>
        <v/>
      </c>
      <c r="BK155" s="221">
        <f t="shared" si="113"/>
        <v>0</v>
      </c>
      <c r="BL155" s="61" t="str">
        <f>IFERROR(AVERAGEIF(RD[[#This Row],[WS_KUD07]:[WS_KUD08]],"&lt;&gt;0",RD[[#This Row],[WS_KUD07]:[WS_KUD08]]),"")</f>
        <v/>
      </c>
      <c r="BM155" s="223" t="str">
        <f>IFERROR(AVERAGE(RD[[#This Row],[WS_KUD01]:[WS_KUD23]]),"")</f>
        <v/>
      </c>
      <c r="BN155" s="224">
        <f>IFERROR(MAX(RD[[#This Row],[WS_KUD01]:[WS_KUD23]]),"")</f>
        <v>0</v>
      </c>
      <c r="BO155" s="172"/>
      <c r="BP155" s="349"/>
      <c r="BQ155" s="349"/>
      <c r="BR155" s="349"/>
      <c r="BS155" s="349"/>
      <c r="BT155" s="349"/>
      <c r="BU155" s="349"/>
      <c r="BV155" s="349"/>
      <c r="BW155" s="172"/>
      <c r="BX155" s="172"/>
      <c r="BY155" s="349"/>
      <c r="BZ155" s="349"/>
      <c r="CA155" s="349"/>
      <c r="CB155" s="349"/>
      <c r="CC155" s="349"/>
      <c r="CD155" s="172"/>
      <c r="CE155" s="349"/>
      <c r="CF155" s="360" t="str">
        <f>IF((RD[[#This Row],[33 kV_Wind_F1_Export reading]]-BO154)*165000&lt;=0,"",(RD[[#This Row],[33 kV_Wind_F1_Export reading]]-BO154)*165000)</f>
        <v/>
      </c>
      <c r="CG155" s="227" t="str">
        <f>IF((RD[[#This Row],[33 kV_Wind_F2_Export_reading]]-BP154)*165000&lt;=0,"",(RD[[#This Row],[33 kV_Wind_F2_Export_reading]]-BP154)*165000)</f>
        <v/>
      </c>
      <c r="CH155" s="64" t="str">
        <f>IF((RD[[#This Row],[33 kV_Wind_F3_Export_Reading]]-BQ154)*225000&lt;=0,"",(RD[[#This Row],[33 kV_Wind_F3_Export_Reading]]-BQ154)*225000)</f>
        <v/>
      </c>
      <c r="CI155" s="64" t="str">
        <f>IF((RD[[#This Row],[33 kV_Wind_F4_Export Reading]]-BR154)*165000&lt;=0,"",(RD[[#This Row],[33 kV_Wind_F4_Export Reading]]-BR154)*165000)</f>
        <v/>
      </c>
      <c r="CJ155" s="209" t="str">
        <f>IF((RD[[#This Row],[33 kV_Solar_F1_Export Reading]]-BS154)*225000&lt;=0,"",(RD[[#This Row],[33 kV_Solar_F1_Export Reading]]-BS154)*225000)</f>
        <v/>
      </c>
      <c r="CK155" s="74" t="str">
        <f>IF((RD[[#This Row],[33kV_Solar_F2_Export Reading]]-BT154)*225000&lt;=0,"",(RD[[#This Row],[33kV_Solar_F2_Export Reading]]-BT154)*225000)</f>
        <v/>
      </c>
      <c r="CL155" s="209" t="str">
        <f>IF((RD[[#This Row],[33 kV_Solar_F3_Export reading]]-BU154)*225000&lt;=0,"",(RD[[#This Row],[33 kV_Solar_F3_Export reading]]-BU154)*225000)</f>
        <v/>
      </c>
      <c r="CM155" s="63" t="str">
        <f>IF((RD[[#This Row],[32kV_Solar_F4_Export reading]]-BV154)*225000&lt;=0,"",(RD[[#This Row],[32kV_Solar_F4_Export reading]]-BV154)*225000)</f>
        <v/>
      </c>
      <c r="CN155" s="227">
        <f>IF((RD[[#This Row],[33kV_OG1_Export reading]]-BW154)*1000&lt;=0,0,(RD[[#This Row],[33kV_OG1_Export reading]]-BW154)*1000)</f>
        <v>0</v>
      </c>
      <c r="CO155" s="227">
        <f>IFERROR(IF((RD[[#This Row],[33kV_OG2_Export reading]]-BX154)*1000&lt;=0,0,(RD[[#This Row],[33kV_OG2_Export reading]]-BX154)*1000),0)</f>
        <v>0</v>
      </c>
      <c r="CP155" s="74">
        <f>IF((RD[[#This Row],[220kV_TX1_Export reading]]-BY154)*800000&lt;=0,0,(RD[[#This Row],[220kV_TX1_Export reading]]-BY154)*800000)</f>
        <v>0</v>
      </c>
      <c r="CQ155" s="209">
        <f>IF((RD[[#This Row],[220kV_Tx2_Export reading]]-BZ154)*800000&lt;=0,0,(RD[[#This Row],[220kV_Tx2_Export reading]]-BZ154)*800000)</f>
        <v>0</v>
      </c>
      <c r="CR155" s="227">
        <f>IF((RD[[#This Row],[220kV_TL_TVM Export Reading]]-CA154)*1600000&lt;=0,0,(RD[[#This Row],[220kV_TL_TVM Export Reading]]-CA154)*1600000)</f>
        <v>0</v>
      </c>
      <c r="CS155" s="227" t="str">
        <f>IF((RD[[#This Row],[220kV_C&amp;R_PQM reading]]-CB154)*1600000&lt;=0,"",(RD[[#This Row],[220kV_C&amp;R_PQM reading]]-CB154)*1600000)</f>
        <v/>
      </c>
      <c r="CT155" s="209">
        <f>IFERROR(IF((RD[[#This Row],[220KV_C&amp;R_PQM Import Reading]]-CC154)*1600000&lt;=0,0,(RD[[#This Row],[220KV_C&amp;R_PQM Import Reading]]-CC154)*1600000),"")</f>
        <v>0</v>
      </c>
      <c r="CU155" s="64" t="str">
        <f>IF((RD[[#This Row],[33kV_Aux1 Import Reading]]-CD154)*1000&lt;=0,"",(RD[[#This Row],[33kV_Aux1 Import Reading]]-CD154)*1000)</f>
        <v/>
      </c>
      <c r="CV155" s="227" t="str">
        <f>IF((RD[[#This Row],[33kV_Aux2_Import reading]]-CE154)*1000&lt;=0,"",(RD[[#This Row],[33kV_Aux2_Import reading]]-CE154)*1000)</f>
        <v/>
      </c>
      <c r="CW155" s="227">
        <f>IFERROR(RD[[#This Row],[33kV_OG1_Energy (MWh)]]+RD[[#This Row],[33kV_OG2_Energy (MWh)]],"")</f>
        <v>0</v>
      </c>
      <c r="CX155" s="227">
        <f>IFERROR(RD[[#This Row],[220kV_TL_TVM Energy (MWh)]]-RD[[#This Row],[220KV_C&amp;R_PQM Import (MWh)]],"")</f>
        <v>0</v>
      </c>
      <c r="CY155" s="228" t="str">
        <f>IFERROR(RD[[#This Row],[33 kV Total Export (MWH)]]/RD[[#This Row],[220 KV Net Export (MWh)]]-1,"")</f>
        <v/>
      </c>
      <c r="CZ155" s="229">
        <f t="shared" si="114"/>
        <v>50.6</v>
      </c>
      <c r="DA155" s="230"/>
      <c r="DB155" s="231"/>
      <c r="DC155" s="232">
        <f>IFERROR((RD[[#This Row],[Sunset Time (POA&lt;20 W/m2)]]-RD[[#This Row],[Sunrise Time (POA&gt;20 W/m2)]])*24,0)</f>
        <v>0</v>
      </c>
      <c r="DD155" s="70">
        <f>SUM(RD[[#This Row],[33 kV_Wind_F3_Export_Reading3]],CJ155,CK155,CL155,CM155)</f>
        <v>0</v>
      </c>
      <c r="DE155" s="233"/>
      <c r="DF155" s="70">
        <f t="shared" si="103"/>
        <v>0</v>
      </c>
      <c r="DG155" s="230"/>
      <c r="DH155">
        <f>'WTG Reactive Power'!AB153</f>
        <v>0</v>
      </c>
    </row>
    <row r="156" spans="1:112">
      <c r="A156" s="210">
        <f>YEAR(RD[[#This Row],[Date]])+IF(MONTH(RD[[#This Row],[Date]])&gt;=4,1,0)</f>
        <v>2026</v>
      </c>
      <c r="B156" s="210">
        <f>YEAR(RD[[#This Row],[Date]])</f>
        <v>2025</v>
      </c>
      <c r="C156" s="211">
        <f t="shared" si="105"/>
        <v>45870</v>
      </c>
      <c r="D156" s="210">
        <f>DAY(EOMONTH(RD[[#This Row],[Date]],0))</f>
        <v>31</v>
      </c>
      <c r="E156" s="212">
        <f t="shared" si="106"/>
        <v>45896</v>
      </c>
      <c r="F156" s="206"/>
      <c r="G156" s="206"/>
      <c r="H156" s="213"/>
      <c r="I156" s="213"/>
      <c r="J156" s="213"/>
      <c r="K156" s="213"/>
      <c r="L156" s="213"/>
      <c r="M156" s="213"/>
      <c r="N156" s="213"/>
      <c r="O156" s="213"/>
      <c r="P156" s="213"/>
      <c r="Q156" s="213"/>
      <c r="R156" s="213"/>
      <c r="S156" s="213"/>
      <c r="T156" s="213"/>
      <c r="U156" s="213"/>
      <c r="V156" s="213"/>
      <c r="W156" s="213"/>
      <c r="X156" s="213"/>
      <c r="Y156" s="213"/>
      <c r="Z156" s="213"/>
      <c r="AA156" s="213"/>
      <c r="AB156" s="213"/>
      <c r="AC156" s="213"/>
      <c r="AD156" s="213"/>
      <c r="AE156" s="350"/>
      <c r="AF156" s="350"/>
      <c r="AG156" s="350"/>
      <c r="AH156" s="350"/>
      <c r="AI156" s="350"/>
      <c r="AJ156" s="350"/>
      <c r="AK156" s="350"/>
      <c r="AL156" s="350"/>
      <c r="AM156" s="350"/>
      <c r="AN156" s="350"/>
      <c r="AO156" s="350"/>
      <c r="AP156" s="350"/>
      <c r="AQ156" s="350"/>
      <c r="AR156" s="350"/>
      <c r="AS156" s="350"/>
      <c r="AT156" s="350"/>
      <c r="AU156" s="350"/>
      <c r="AV156" s="350"/>
      <c r="AW156" s="350"/>
      <c r="AX156" s="350"/>
      <c r="AY156" s="350"/>
      <c r="AZ156" s="350"/>
      <c r="BA156" s="350"/>
      <c r="BB156" s="214">
        <f t="shared" si="107"/>
        <v>0</v>
      </c>
      <c r="BC156" s="216">
        <f t="shared" si="108"/>
        <v>0</v>
      </c>
      <c r="BD156" s="180">
        <f t="shared" si="115"/>
        <v>0</v>
      </c>
      <c r="BE156" s="216">
        <f t="shared" si="109"/>
        <v>0</v>
      </c>
      <c r="BF156" s="179">
        <f t="shared" si="116"/>
        <v>0</v>
      </c>
      <c r="BG156" s="216">
        <f>SUM(RD[[#This Row],[KUD01]:[KUD23]])</f>
        <v>0</v>
      </c>
      <c r="BH156" s="217" t="str">
        <f t="shared" si="110"/>
        <v/>
      </c>
      <c r="BI156" s="219" t="str">
        <f t="shared" si="111"/>
        <v/>
      </c>
      <c r="BJ156" s="219" t="str">
        <f t="shared" si="112"/>
        <v/>
      </c>
      <c r="BK156" s="221">
        <f t="shared" si="113"/>
        <v>0</v>
      </c>
      <c r="BL156" s="61" t="str">
        <f>IFERROR(AVERAGEIF(RD[[#This Row],[WS_KUD07]:[WS_KUD08]],"&lt;&gt;0",RD[[#This Row],[WS_KUD07]:[WS_KUD08]]),"")</f>
        <v/>
      </c>
      <c r="BM156" s="223" t="str">
        <f>IFERROR(AVERAGE(RD[[#This Row],[WS_KUD01]:[WS_KUD23]]),"")</f>
        <v/>
      </c>
      <c r="BN156" s="224">
        <f>IFERROR(MAX(RD[[#This Row],[WS_KUD01]:[WS_KUD23]]),"")</f>
        <v>0</v>
      </c>
      <c r="BO156" s="172"/>
      <c r="BP156" s="349"/>
      <c r="BQ156" s="349"/>
      <c r="BR156" s="349"/>
      <c r="BS156" s="349"/>
      <c r="BT156" s="349"/>
      <c r="BU156" s="349"/>
      <c r="BV156" s="349"/>
      <c r="BW156" s="172"/>
      <c r="BX156" s="172"/>
      <c r="BY156" s="349"/>
      <c r="BZ156" s="349"/>
      <c r="CA156" s="349"/>
      <c r="CB156" s="349"/>
      <c r="CC156" s="349"/>
      <c r="CD156" s="172"/>
      <c r="CE156" s="349"/>
      <c r="CF156" s="360" t="str">
        <f>IF((RD[[#This Row],[33 kV_Wind_F1_Export reading]]-BO155)*165000&lt;=0,"",(RD[[#This Row],[33 kV_Wind_F1_Export reading]]-BO155)*165000)</f>
        <v/>
      </c>
      <c r="CG156" s="227" t="str">
        <f>IF((RD[[#This Row],[33 kV_Wind_F2_Export_reading]]-BP155)*165000&lt;=0,"",(RD[[#This Row],[33 kV_Wind_F2_Export_reading]]-BP155)*165000)</f>
        <v/>
      </c>
      <c r="CH156" s="64" t="str">
        <f>IF((RD[[#This Row],[33 kV_Wind_F3_Export_Reading]]-BQ155)*225000&lt;=0,"",(RD[[#This Row],[33 kV_Wind_F3_Export_Reading]]-BQ155)*225000)</f>
        <v/>
      </c>
      <c r="CI156" s="64" t="str">
        <f>IF((RD[[#This Row],[33 kV_Wind_F4_Export Reading]]-BR155)*165000&lt;=0,"",(RD[[#This Row],[33 kV_Wind_F4_Export Reading]]-BR155)*165000)</f>
        <v/>
      </c>
      <c r="CJ156" s="209" t="str">
        <f>IF((RD[[#This Row],[33 kV_Solar_F1_Export Reading]]-BS155)*225000&lt;=0,"",(RD[[#This Row],[33 kV_Solar_F1_Export Reading]]-BS155)*225000)</f>
        <v/>
      </c>
      <c r="CK156" s="74" t="str">
        <f>IF((RD[[#This Row],[33kV_Solar_F2_Export Reading]]-BT155)*225000&lt;=0,"",(RD[[#This Row],[33kV_Solar_F2_Export Reading]]-BT155)*225000)</f>
        <v/>
      </c>
      <c r="CL156" s="209" t="str">
        <f>IF((RD[[#This Row],[33 kV_Solar_F3_Export reading]]-BU155)*225000&lt;=0,"",(RD[[#This Row],[33 kV_Solar_F3_Export reading]]-BU155)*225000)</f>
        <v/>
      </c>
      <c r="CM156" s="63" t="str">
        <f>IF((RD[[#This Row],[32kV_Solar_F4_Export reading]]-BV155)*225000&lt;=0,"",(RD[[#This Row],[32kV_Solar_F4_Export reading]]-BV155)*225000)</f>
        <v/>
      </c>
      <c r="CN156" s="227">
        <f>IF((RD[[#This Row],[33kV_OG1_Export reading]]-BW155)*1000&lt;=0,0,(RD[[#This Row],[33kV_OG1_Export reading]]-BW155)*1000)</f>
        <v>0</v>
      </c>
      <c r="CO156" s="227">
        <f>IFERROR(IF((RD[[#This Row],[33kV_OG2_Export reading]]-BX155)*1000&lt;=0,0,(RD[[#This Row],[33kV_OG2_Export reading]]-BX155)*1000),0)</f>
        <v>0</v>
      </c>
      <c r="CP156" s="74">
        <f>IF((RD[[#This Row],[220kV_TX1_Export reading]]-BY155)*800000&lt;=0,0,(RD[[#This Row],[220kV_TX1_Export reading]]-BY155)*800000)</f>
        <v>0</v>
      </c>
      <c r="CQ156" s="209">
        <f>IF((RD[[#This Row],[220kV_Tx2_Export reading]]-BZ155)*800000&lt;=0,0,(RD[[#This Row],[220kV_Tx2_Export reading]]-BZ155)*800000)</f>
        <v>0</v>
      </c>
      <c r="CR156" s="227">
        <f>IF((RD[[#This Row],[220kV_TL_TVM Export Reading]]-CA155)*1600000&lt;=0,0,(RD[[#This Row],[220kV_TL_TVM Export Reading]]-CA155)*1600000)</f>
        <v>0</v>
      </c>
      <c r="CS156" s="227" t="str">
        <f>IF((RD[[#This Row],[220kV_C&amp;R_PQM reading]]-CB155)*1600000&lt;=0,"",(RD[[#This Row],[220kV_C&amp;R_PQM reading]]-CB155)*1600000)</f>
        <v/>
      </c>
      <c r="CT156" s="209">
        <f>IFERROR(IF((RD[[#This Row],[220KV_C&amp;R_PQM Import Reading]]-CC155)*1600000&lt;=0,0,(RD[[#This Row],[220KV_C&amp;R_PQM Import Reading]]-CC155)*1600000),"")</f>
        <v>0</v>
      </c>
      <c r="CU156" s="64" t="str">
        <f>IF((RD[[#This Row],[33kV_Aux1 Import Reading]]-CD155)*1000&lt;=0,"",(RD[[#This Row],[33kV_Aux1 Import Reading]]-CD155)*1000)</f>
        <v/>
      </c>
      <c r="CV156" s="227" t="str">
        <f>IF((RD[[#This Row],[33kV_Aux2_Import reading]]-CE155)*1000&lt;=0,"",(RD[[#This Row],[33kV_Aux2_Import reading]]-CE155)*1000)</f>
        <v/>
      </c>
      <c r="CW156" s="227">
        <f>IFERROR(RD[[#This Row],[33kV_OG1_Energy (MWh)]]+RD[[#This Row],[33kV_OG2_Energy (MWh)]],"")</f>
        <v>0</v>
      </c>
      <c r="CX156" s="227">
        <f>IFERROR(RD[[#This Row],[220kV_TL_TVM Energy (MWh)]]-RD[[#This Row],[220KV_C&amp;R_PQM Import (MWh)]],"")</f>
        <v>0</v>
      </c>
      <c r="CY156" s="228" t="str">
        <f>IFERROR(RD[[#This Row],[33 kV Total Export (MWH)]]/RD[[#This Row],[220 KV Net Export (MWh)]]-1,"")</f>
        <v/>
      </c>
      <c r="CZ156" s="229">
        <f t="shared" si="114"/>
        <v>50.6</v>
      </c>
      <c r="DA156" s="230"/>
      <c r="DB156" s="231"/>
      <c r="DC156" s="232">
        <f>IFERROR((RD[[#This Row],[Sunset Time (POA&lt;20 W/m2)]]-RD[[#This Row],[Sunrise Time (POA&gt;20 W/m2)]])*24,0)</f>
        <v>0</v>
      </c>
      <c r="DD156" s="70">
        <f>SUM(RD[[#This Row],[33 kV_Wind_F3_Export_Reading3]],CJ156,CK156,CL156,CM156)</f>
        <v>0</v>
      </c>
      <c r="DE156" s="233"/>
      <c r="DF156" s="70">
        <f t="shared" si="103"/>
        <v>0</v>
      </c>
      <c r="DG156" s="230"/>
      <c r="DH156">
        <f>'WTG Reactive Power'!AB154</f>
        <v>0</v>
      </c>
    </row>
    <row r="157" spans="1:112">
      <c r="A157" s="210">
        <f>YEAR(RD[[#This Row],[Date]])+IF(MONTH(RD[[#This Row],[Date]])&gt;=4,1,0)</f>
        <v>2026</v>
      </c>
      <c r="B157" s="210">
        <f>YEAR(RD[[#This Row],[Date]])</f>
        <v>2025</v>
      </c>
      <c r="C157" s="211">
        <f t="shared" si="105"/>
        <v>45870</v>
      </c>
      <c r="D157" s="210">
        <f>DAY(EOMONTH(RD[[#This Row],[Date]],0))</f>
        <v>31</v>
      </c>
      <c r="E157" s="212">
        <f t="shared" si="106"/>
        <v>45897</v>
      </c>
      <c r="F157" s="206"/>
      <c r="G157" s="206"/>
      <c r="H157" s="213"/>
      <c r="I157" s="213"/>
      <c r="J157" s="213"/>
      <c r="K157" s="213"/>
      <c r="L157" s="213"/>
      <c r="M157" s="213"/>
      <c r="N157" s="213"/>
      <c r="O157" s="213"/>
      <c r="P157" s="213"/>
      <c r="Q157" s="213"/>
      <c r="R157" s="213"/>
      <c r="S157" s="213"/>
      <c r="T157" s="213"/>
      <c r="U157" s="213"/>
      <c r="V157" s="213"/>
      <c r="W157" s="213"/>
      <c r="X157" s="213"/>
      <c r="Y157" s="213"/>
      <c r="Z157" s="213"/>
      <c r="AA157" s="213"/>
      <c r="AB157" s="213"/>
      <c r="AC157" s="213"/>
      <c r="AD157" s="213"/>
      <c r="AE157" s="350"/>
      <c r="AF157" s="350"/>
      <c r="AG157" s="350"/>
      <c r="AH157" s="350"/>
      <c r="AI157" s="350"/>
      <c r="AJ157" s="350"/>
      <c r="AK157" s="350"/>
      <c r="AL157" s="350"/>
      <c r="AM157" s="350"/>
      <c r="AN157" s="350"/>
      <c r="AO157" s="350"/>
      <c r="AP157" s="350"/>
      <c r="AQ157" s="350"/>
      <c r="AR157" s="350"/>
      <c r="AS157" s="350"/>
      <c r="AT157" s="350"/>
      <c r="AU157" s="350"/>
      <c r="AV157" s="350"/>
      <c r="AW157" s="350"/>
      <c r="AX157" s="350"/>
      <c r="AY157" s="350"/>
      <c r="AZ157" s="350"/>
      <c r="BA157" s="350"/>
      <c r="BB157" s="215">
        <f t="shared" si="107"/>
        <v>0</v>
      </c>
      <c r="BC157" s="216">
        <f t="shared" si="108"/>
        <v>0</v>
      </c>
      <c r="BD157" s="180">
        <f t="shared" si="115"/>
        <v>0</v>
      </c>
      <c r="BE157" s="216">
        <f t="shared" si="109"/>
        <v>0</v>
      </c>
      <c r="BF157" s="179">
        <f t="shared" si="116"/>
        <v>0</v>
      </c>
      <c r="BG157" s="216">
        <f>SUM(RD[[#This Row],[KUD01]:[KUD23]])</f>
        <v>0</v>
      </c>
      <c r="BH157" s="218" t="str">
        <f t="shared" si="110"/>
        <v/>
      </c>
      <c r="BI157" s="220" t="str">
        <f t="shared" si="111"/>
        <v/>
      </c>
      <c r="BJ157" s="220" t="str">
        <f t="shared" si="112"/>
        <v/>
      </c>
      <c r="BK157" s="222">
        <f t="shared" si="113"/>
        <v>0</v>
      </c>
      <c r="BL157" s="61" t="str">
        <f>IFERROR(AVERAGEIF(RD[[#This Row],[WS_KUD07]:[WS_KUD08]],"&lt;&gt;0",RD[[#This Row],[WS_KUD07]:[WS_KUD08]]),"")</f>
        <v/>
      </c>
      <c r="BM157" s="223" t="str">
        <f>IFERROR(AVERAGE(RD[[#This Row],[WS_KUD01]:[WS_KUD23]]),"")</f>
        <v/>
      </c>
      <c r="BN157" s="224">
        <f>IFERROR(MAX(RD[[#This Row],[WS_KUD01]:[WS_KUD23]]),"")</f>
        <v>0</v>
      </c>
      <c r="BO157" s="172"/>
      <c r="BP157" s="349"/>
      <c r="BQ157" s="349"/>
      <c r="BR157" s="349"/>
      <c r="BS157" s="349"/>
      <c r="BT157" s="349"/>
      <c r="BU157" s="349"/>
      <c r="BV157" s="349"/>
      <c r="BW157" s="172"/>
      <c r="BX157" s="172"/>
      <c r="BY157" s="349"/>
      <c r="BZ157" s="349"/>
      <c r="CA157" s="349"/>
      <c r="CB157" s="349"/>
      <c r="CC157" s="349"/>
      <c r="CD157" s="172"/>
      <c r="CE157" s="349"/>
      <c r="CF157" s="360" t="str">
        <f>IF((RD[[#This Row],[33 kV_Wind_F1_Export reading]]-BO156)*165000&lt;=0,"",(RD[[#This Row],[33 kV_Wind_F1_Export reading]]-BO156)*165000)</f>
        <v/>
      </c>
      <c r="CG157" s="227" t="str">
        <f>IF((RD[[#This Row],[33 kV_Wind_F2_Export_reading]]-BP156)*165000&lt;=0,"",(RD[[#This Row],[33 kV_Wind_F2_Export_reading]]-BP156)*165000)</f>
        <v/>
      </c>
      <c r="CH157" s="64" t="str">
        <f>IF((RD[[#This Row],[33 kV_Wind_F3_Export_Reading]]-BQ156)*225000&lt;=0,"",(RD[[#This Row],[33 kV_Wind_F3_Export_Reading]]-BQ156)*225000)</f>
        <v/>
      </c>
      <c r="CI157" s="64" t="str">
        <f>IF((RD[[#This Row],[33 kV_Wind_F4_Export Reading]]-BR156)*165000&lt;=0,"",(RD[[#This Row],[33 kV_Wind_F4_Export Reading]]-BR156)*165000)</f>
        <v/>
      </c>
      <c r="CJ157" s="209" t="str">
        <f>IF((RD[[#This Row],[33 kV_Solar_F1_Export Reading]]-BS156)*225000&lt;=0,"",(RD[[#This Row],[33 kV_Solar_F1_Export Reading]]-BS156)*225000)</f>
        <v/>
      </c>
      <c r="CK157" s="74" t="str">
        <f>IF((RD[[#This Row],[33kV_Solar_F2_Export Reading]]-BT156)*225000&lt;=0,"",(RD[[#This Row],[33kV_Solar_F2_Export Reading]]-BT156)*225000)</f>
        <v/>
      </c>
      <c r="CL157" s="209" t="str">
        <f>IF((RD[[#This Row],[33 kV_Solar_F3_Export reading]]-BU156)*225000&lt;=0,"",(RD[[#This Row],[33 kV_Solar_F3_Export reading]]-BU156)*225000)</f>
        <v/>
      </c>
      <c r="CM157" s="63" t="str">
        <f>IF((RD[[#This Row],[32kV_Solar_F4_Export reading]]-BV156)*225000&lt;=0,"",(RD[[#This Row],[32kV_Solar_F4_Export reading]]-BV156)*225000)</f>
        <v/>
      </c>
      <c r="CN157" s="227">
        <f>IF((RD[[#This Row],[33kV_OG1_Export reading]]-BW156)*1000&lt;=0,0,(RD[[#This Row],[33kV_OG1_Export reading]]-BW156)*1000)</f>
        <v>0</v>
      </c>
      <c r="CO157" s="227">
        <f>IFERROR(IF((RD[[#This Row],[33kV_OG2_Export reading]]-BX156)*1000&lt;=0,0,(RD[[#This Row],[33kV_OG2_Export reading]]-BX156)*1000),0)</f>
        <v>0</v>
      </c>
      <c r="CP157" s="74">
        <f>IF((RD[[#This Row],[220kV_TX1_Export reading]]-BY156)*800000&lt;=0,0,(RD[[#This Row],[220kV_TX1_Export reading]]-BY156)*800000)</f>
        <v>0</v>
      </c>
      <c r="CQ157" s="209">
        <f>IF((RD[[#This Row],[220kV_Tx2_Export reading]]-BZ156)*800000&lt;=0,0,(RD[[#This Row],[220kV_Tx2_Export reading]]-BZ156)*800000)</f>
        <v>0</v>
      </c>
      <c r="CR157" s="227">
        <f>IF((RD[[#This Row],[220kV_TL_TVM Export Reading]]-CA156)*1600000&lt;=0,0,(RD[[#This Row],[220kV_TL_TVM Export Reading]]-CA156)*1600000)</f>
        <v>0</v>
      </c>
      <c r="CS157" s="227" t="str">
        <f>IF((RD[[#This Row],[220kV_C&amp;R_PQM reading]]-CB156)*1600000&lt;=0,"",(RD[[#This Row],[220kV_C&amp;R_PQM reading]]-CB156)*1600000)</f>
        <v/>
      </c>
      <c r="CT157" s="209">
        <f>IFERROR(IF((RD[[#This Row],[220KV_C&amp;R_PQM Import Reading]]-CC156)*1600000&lt;=0,0,(RD[[#This Row],[220KV_C&amp;R_PQM Import Reading]]-CC156)*1600000),"")</f>
        <v>0</v>
      </c>
      <c r="CU157" s="64" t="str">
        <f>IF((RD[[#This Row],[33kV_Aux1 Import Reading]]-CD156)*1000&lt;=0,"",(RD[[#This Row],[33kV_Aux1 Import Reading]]-CD156)*1000)</f>
        <v/>
      </c>
      <c r="CV157" s="227" t="str">
        <f>IF((RD[[#This Row],[33kV_Aux2_Import reading]]-CE156)*1000&lt;=0,"",(RD[[#This Row],[33kV_Aux2_Import reading]]-CE156)*1000)</f>
        <v/>
      </c>
      <c r="CW157" s="227">
        <f>IFERROR(RD[[#This Row],[33kV_OG1_Energy (MWh)]]+RD[[#This Row],[33kV_OG2_Energy (MWh)]],"")</f>
        <v>0</v>
      </c>
      <c r="CX157" s="227">
        <f>IFERROR(RD[[#This Row],[220kV_TL_TVM Energy (MWh)]]-RD[[#This Row],[220KV_C&amp;R_PQM Import (MWh)]],"")</f>
        <v>0</v>
      </c>
      <c r="CY157" s="228" t="str">
        <f>IFERROR(RD[[#This Row],[33 kV Total Export (MWH)]]/RD[[#This Row],[220 KV Net Export (MWh)]]-1,"")</f>
        <v/>
      </c>
      <c r="CZ157" s="229">
        <f t="shared" si="114"/>
        <v>50.6</v>
      </c>
      <c r="DA157" s="230"/>
      <c r="DB157" s="231"/>
      <c r="DC157" s="232">
        <f>IFERROR((RD[[#This Row],[Sunset Time (POA&lt;20 W/m2)]]-RD[[#This Row],[Sunrise Time (POA&gt;20 W/m2)]])*24,0)</f>
        <v>0</v>
      </c>
      <c r="DD157" s="70">
        <f>SUM(RD[[#This Row],[33 kV_Wind_F3_Export_Reading3]],CJ157,CK157,CL157,CM157)</f>
        <v>0</v>
      </c>
      <c r="DE157" s="233"/>
      <c r="DF157" s="70">
        <f t="shared" si="103"/>
        <v>0</v>
      </c>
      <c r="DG157" s="230"/>
      <c r="DH157">
        <f>'WTG Reactive Power'!AB155</f>
        <v>0</v>
      </c>
    </row>
  </sheetData>
  <mergeCells count="1">
    <mergeCell ref="CF3:CY3"/>
  </mergeCells>
  <phoneticPr fontId="107" type="noConversion"/>
  <pageMargins left="0.7" right="0.7" top="0.75" bottom="0.75" header="0.3" footer="0.3"/>
  <pageSetup orientation="portrait" r:id="rId1"/>
  <headerFooter>
    <oddFooter>&amp;C&amp;1#&amp;"Calibri"&amp;8&amp;K000000Classification: Confidential</oddFooter>
  </headerFooter>
  <ignoredErrors>
    <ignoredError sqref="BL5:BL157" calculatedColumn="1"/>
    <ignoredError sqref="BJ5:BJ157" formulaRange="1"/>
  </ignoredError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AD710"/>
  <sheetViews>
    <sheetView zoomScaleNormal="100" workbookViewId="0">
      <pane xSplit="6" ySplit="1" topLeftCell="U612" activePane="bottomRight" state="frozen"/>
      <selection activeCell="E142" sqref="E142"/>
      <selection pane="topRight" activeCell="E142" sqref="E142"/>
      <selection pane="bottomLeft" activeCell="E142" sqref="E142"/>
      <selection pane="bottomRight" activeCell="Y623" sqref="Y623"/>
    </sheetView>
  </sheetViews>
  <sheetFormatPr defaultColWidth="7.7265625" defaultRowHeight="14.5"/>
  <cols>
    <col min="1" max="1" width="9.1796875" customWidth="1"/>
    <col min="6" max="6" width="10.453125" customWidth="1"/>
    <col min="10" max="10" width="10.54296875" style="41" customWidth="1"/>
    <col min="11" max="11" width="7.7265625" style="4"/>
    <col min="12" max="13" width="30.453125" bestFit="1" customWidth="1"/>
    <col min="14" max="14" width="11.453125" bestFit="1" customWidth="1"/>
    <col min="15" max="17" width="7.7265625" style="35"/>
    <col min="18" max="18" width="7.7265625" style="356"/>
    <col min="19" max="19" width="8.54296875" style="356" customWidth="1"/>
    <col min="20" max="20" width="9.26953125" style="356" customWidth="1"/>
    <col min="21" max="21" width="56.81640625" customWidth="1"/>
    <col min="23" max="23" width="9.54296875" style="29" customWidth="1"/>
    <col min="24" max="24" width="11.54296875" style="29" bestFit="1" customWidth="1"/>
    <col min="26" max="26" width="10.54296875" customWidth="1"/>
    <col min="27" max="28" width="7.7265625" style="4"/>
  </cols>
  <sheetData>
    <row r="1" spans="1:30" ht="55.5" customHeight="1">
      <c r="A1" s="30" t="s">
        <v>6</v>
      </c>
      <c r="B1" s="30" t="s">
        <v>4388</v>
      </c>
      <c r="C1" s="30" t="s">
        <v>4310</v>
      </c>
      <c r="D1" s="30" t="s">
        <v>236</v>
      </c>
      <c r="E1" s="30" t="s">
        <v>4264</v>
      </c>
      <c r="F1" s="31" t="s">
        <v>148</v>
      </c>
      <c r="G1" s="30" t="s">
        <v>237</v>
      </c>
      <c r="H1" s="30" t="s">
        <v>39</v>
      </c>
      <c r="I1" s="30" t="s">
        <v>421</v>
      </c>
      <c r="J1" s="30" t="s">
        <v>239</v>
      </c>
      <c r="K1" s="30" t="s">
        <v>240</v>
      </c>
      <c r="L1" s="30" t="s">
        <v>241</v>
      </c>
      <c r="M1" s="30" t="s">
        <v>242</v>
      </c>
      <c r="N1" s="30" t="s">
        <v>4651</v>
      </c>
      <c r="O1" s="30" t="s">
        <v>243</v>
      </c>
      <c r="P1" s="30" t="s">
        <v>244</v>
      </c>
      <c r="Q1" s="30" t="s">
        <v>245</v>
      </c>
      <c r="R1" s="30" t="s">
        <v>246</v>
      </c>
      <c r="S1" s="30" t="s">
        <v>247</v>
      </c>
      <c r="T1" s="30" t="s">
        <v>248</v>
      </c>
      <c r="U1" s="30" t="s">
        <v>249</v>
      </c>
      <c r="V1" s="30" t="s">
        <v>250</v>
      </c>
      <c r="W1" s="36" t="s">
        <v>251</v>
      </c>
      <c r="X1" s="36" t="s">
        <v>4615</v>
      </c>
      <c r="Y1" s="30" t="s">
        <v>252</v>
      </c>
      <c r="Z1" s="352" t="s">
        <v>4652</v>
      </c>
      <c r="AA1" s="37" t="s">
        <v>253</v>
      </c>
      <c r="AB1" s="37" t="s">
        <v>4653</v>
      </c>
      <c r="AC1" s="37" t="s">
        <v>4566</v>
      </c>
      <c r="AD1" s="37" t="s">
        <v>4567</v>
      </c>
    </row>
    <row r="2" spans="1:30">
      <c r="A2" s="10">
        <v>1</v>
      </c>
      <c r="B2" s="43">
        <f>YEAR(WTG_BD[[#This Row],[Date]])+IF(MONTH(WTG_BD[[#This Row],[Date]])&gt;=4,1,0)</f>
        <v>2025</v>
      </c>
      <c r="C2" s="10">
        <v>2025</v>
      </c>
      <c r="D2" s="10" t="s">
        <v>4309</v>
      </c>
      <c r="E2" s="309">
        <f>WTG_BD[[#This Row],[Date]]-DAY(WTG_BD[[#This Row],[Date]])+1</f>
        <v>45717</v>
      </c>
      <c r="F2" s="32">
        <v>45745</v>
      </c>
      <c r="G2" t="s">
        <v>85</v>
      </c>
      <c r="H2" t="str">
        <f>IFERROR(VLOOKUP(WTG_BD[[#This Row],[Affected WTG]],'Basic Data'!$A$3:$E$25,2,0),"")</f>
        <v>O2R1</v>
      </c>
      <c r="I2" t="str">
        <f>IFERROR(VLOOKUP(WTG_BD[[#This Row],[Affected WTG]],'Basic Data'!$A$3:$E$25,3,0),"")</f>
        <v>KSIPL</v>
      </c>
      <c r="J2" s="355">
        <f>IFERROR(VLOOKUP(WTG_BD[[#This Row],[Affected WTG]],'Basic Data'!$A$3:$E$25,5,0),"")</f>
        <v>4.3478260869565223E-2</v>
      </c>
      <c r="K2" s="10">
        <v>3272</v>
      </c>
      <c r="L2" t="str">
        <f>IFERROR(VLOOKUP(WTG_BD[[#This Row],[Error Code]],'Basic Data'!S:T,2,0),"Incorrect Error Code")</f>
        <v>YawUntwistCW: Code__,_______°</v>
      </c>
      <c r="M2" t="s">
        <v>378</v>
      </c>
      <c r="O2" s="270">
        <v>0.55625000000000002</v>
      </c>
      <c r="P2" s="270">
        <v>0.55625000000000002</v>
      </c>
      <c r="Q2" s="270">
        <v>0.57013888888888886</v>
      </c>
      <c r="R2" s="356">
        <f>(WTG_BD[[#This Row],[Work Start TimeStamp]]-WTG_BD[[#This Row],[Fault Start TimeStamp]])*24</f>
        <v>0</v>
      </c>
      <c r="S2" s="34">
        <f>(WTG_BD[[#This Row],[Fault Clearance time]]-WTG_BD[[#This Row],[Work Start TimeStamp]])*24</f>
        <v>0.33333333333333215</v>
      </c>
      <c r="T2" s="34">
        <f>(WTG_BD[[#This Row],[Fault Clearance time]]-WTG_BD[[#This Row],[Fault Start TimeStamp]])*24</f>
        <v>0.33333333333333215</v>
      </c>
      <c r="U2" t="s">
        <v>4323</v>
      </c>
      <c r="V2" s="234" t="s">
        <v>255</v>
      </c>
      <c r="W2" s="50">
        <f>IFERROR(IF(N2="ROW",0,(WTG_BD[[#This Row],[Breakdown Time]]*WTG_BD[[#This Row],[Plant Equivalent Weightage]])),"")</f>
        <v>1.4492753623188356E-2</v>
      </c>
      <c r="X2" s="50"/>
      <c r="Y2" s="205">
        <v>1</v>
      </c>
      <c r="Z2" s="205"/>
      <c r="AA2" s="4">
        <v>3.5999999999999997E-2</v>
      </c>
      <c r="AC2" s="4"/>
    </row>
    <row r="3" spans="1:30">
      <c r="A3" s="10">
        <f t="shared" ref="A3:A25" si="0">A2+1</f>
        <v>2</v>
      </c>
      <c r="B3" s="43">
        <f>YEAR(WTG_BD[[#This Row],[Date]])+IF(MONTH(WTG_BD[[#This Row],[Date]])&gt;=4,1,0)</f>
        <v>2025</v>
      </c>
      <c r="C3" s="10">
        <v>2025</v>
      </c>
      <c r="D3" s="10" t="s">
        <v>4309</v>
      </c>
      <c r="E3" s="309">
        <f>WTG_BD[[#This Row],[Date]]-DAY(WTG_BD[[#This Row],[Date]])+1</f>
        <v>45717</v>
      </c>
      <c r="F3" s="32">
        <v>45745</v>
      </c>
      <c r="G3" t="s">
        <v>95</v>
      </c>
      <c r="H3" t="str">
        <f>IFERROR(VLOOKUP(WTG_BD[[#This Row],[Affected WTG]],'Basic Data'!$A$3:$E$25,2,0),"")</f>
        <v>O2R1</v>
      </c>
      <c r="I3" t="str">
        <f>IFERROR(VLOOKUP(WTG_BD[[#This Row],[Affected WTG]],'Basic Data'!$A$3:$E$25,3,0),"")</f>
        <v>KSIPL</v>
      </c>
      <c r="J3" s="355">
        <f>IFERROR(VLOOKUP(WTG_BD[[#This Row],[Affected WTG]],'Basic Data'!$A$3:$E$25,5,0),"")</f>
        <v>4.3478260869565223E-2</v>
      </c>
      <c r="K3" s="10">
        <v>309</v>
      </c>
      <c r="L3" t="str">
        <f>IFERROR(VLOOKUP(WTG_BD[[#This Row],[Error Code]],'Basic Data'!S:T,2,0),"Incorrect Error Code")</f>
        <v>Pause over RCS __0</v>
      </c>
      <c r="M3" t="s">
        <v>871</v>
      </c>
      <c r="N3" t="s">
        <v>257</v>
      </c>
      <c r="O3" s="270">
        <v>0.62916666666666665</v>
      </c>
      <c r="P3" s="270">
        <v>0.62916666666666665</v>
      </c>
      <c r="Q3" s="270">
        <v>0.68888888888888888</v>
      </c>
      <c r="R3" s="356">
        <f>(WTG_BD[[#This Row],[Work Start TimeStamp]]-WTG_BD[[#This Row],[Fault Start TimeStamp]])*24</f>
        <v>0</v>
      </c>
      <c r="S3" s="34">
        <f>(WTG_BD[[#This Row],[Fault Clearance time]]-WTG_BD[[#This Row],[Work Start TimeStamp]])*24</f>
        <v>1.4333333333333336</v>
      </c>
      <c r="T3" s="34">
        <f>(WTG_BD[[#This Row],[Fault Clearance time]]-WTG_BD[[#This Row],[Fault Start TimeStamp]])*24</f>
        <v>1.4333333333333336</v>
      </c>
      <c r="U3" t="s">
        <v>4465</v>
      </c>
      <c r="V3" s="234" t="s">
        <v>255</v>
      </c>
      <c r="W3" s="50">
        <f>IFERROR(IF(N3="ROW",0,(WTG_BD[[#This Row],[Breakdown Time]]*WTG_BD[[#This Row],[Plant Equivalent Weightage]])),"")</f>
        <v>6.2318840579710162E-2</v>
      </c>
      <c r="X3" s="50"/>
      <c r="Y3" s="205">
        <v>1</v>
      </c>
      <c r="Z3" s="205"/>
      <c r="AA3" s="4">
        <v>0.46300000000000002</v>
      </c>
      <c r="AC3" s="4"/>
    </row>
    <row r="4" spans="1:30">
      <c r="A4" s="10">
        <f t="shared" si="0"/>
        <v>3</v>
      </c>
      <c r="B4" s="43">
        <f>YEAR(WTG_BD[[#This Row],[Date]])+IF(MONTH(WTG_BD[[#This Row],[Date]])&gt;=4,1,0)</f>
        <v>2025</v>
      </c>
      <c r="C4" s="10">
        <v>2025</v>
      </c>
      <c r="D4" s="10" t="s">
        <v>4309</v>
      </c>
      <c r="E4" s="309">
        <f>WTG_BD[[#This Row],[Date]]-DAY(WTG_BD[[#This Row],[Date]])+1</f>
        <v>45717</v>
      </c>
      <c r="F4" s="32">
        <v>45746</v>
      </c>
      <c r="G4" t="s">
        <v>83</v>
      </c>
      <c r="H4" t="str">
        <f>IFERROR(VLOOKUP(WTG_BD[[#This Row],[Affected WTG]],'Basic Data'!$A$3:$E$25,2,0),"")</f>
        <v>O2R3</v>
      </c>
      <c r="I4" t="str">
        <f>IFERROR(VLOOKUP(WTG_BD[[#This Row],[Affected WTG]],'Basic Data'!$A$3:$E$25,3,0),"")</f>
        <v>JK</v>
      </c>
      <c r="J4" s="355">
        <f>IFERROR(VLOOKUP(WTG_BD[[#This Row],[Affected WTG]],'Basic Data'!$A$3:$E$25,5,0),"")</f>
        <v>4.3478260869565223E-2</v>
      </c>
      <c r="K4" s="10">
        <v>3272</v>
      </c>
      <c r="L4" t="str">
        <f>IFERROR(VLOOKUP(WTG_BD[[#This Row],[Error Code]],'Basic Data'!S:T,2,0),"Incorrect Error Code")</f>
        <v>YawUntwistCW: Code__,_______°</v>
      </c>
      <c r="M4" t="s">
        <v>378</v>
      </c>
      <c r="O4" s="270">
        <v>0.61875000000000002</v>
      </c>
      <c r="P4" s="270">
        <v>0.61875000000000002</v>
      </c>
      <c r="Q4" s="270">
        <v>0.6333333333333333</v>
      </c>
      <c r="R4" s="356">
        <f>(WTG_BD[[#This Row],[Work Start TimeStamp]]-WTG_BD[[#This Row],[Fault Start TimeStamp]])*24</f>
        <v>0</v>
      </c>
      <c r="S4" s="34">
        <f>(WTG_BD[[#This Row],[Fault Clearance time]]-WTG_BD[[#This Row],[Work Start TimeStamp]])*24</f>
        <v>0.34999999999999876</v>
      </c>
      <c r="T4" s="34">
        <f>(WTG_BD[[#This Row],[Fault Clearance time]]-WTG_BD[[#This Row],[Fault Start TimeStamp]])*24</f>
        <v>0.34999999999999876</v>
      </c>
      <c r="U4" t="s">
        <v>4323</v>
      </c>
      <c r="V4" s="234" t="s">
        <v>255</v>
      </c>
      <c r="W4" s="50">
        <f>IFERROR(IF(N4="ROW",0,(WTG_BD[[#This Row],[Breakdown Time]]*WTG_BD[[#This Row],[Plant Equivalent Weightage]])),"")</f>
        <v>1.5217391304347775E-2</v>
      </c>
      <c r="X4" s="50"/>
      <c r="Y4" s="205">
        <v>1</v>
      </c>
      <c r="Z4" s="205"/>
      <c r="AA4" s="4">
        <v>1E-3</v>
      </c>
      <c r="AC4" s="4"/>
    </row>
    <row r="5" spans="1:30">
      <c r="A5" s="10">
        <f t="shared" si="0"/>
        <v>4</v>
      </c>
      <c r="B5" s="43">
        <f>YEAR(WTG_BD[[#This Row],[Date]])+IF(MONTH(WTG_BD[[#This Row],[Date]])&gt;=4,1,0)</f>
        <v>2025</v>
      </c>
      <c r="C5" s="10">
        <v>2025</v>
      </c>
      <c r="D5" s="10" t="s">
        <v>4309</v>
      </c>
      <c r="E5" s="309">
        <f>WTG_BD[[#This Row],[Date]]-DAY(WTG_BD[[#This Row],[Date]])+1</f>
        <v>45717</v>
      </c>
      <c r="F5" s="32">
        <v>45746</v>
      </c>
      <c r="G5" t="s">
        <v>88</v>
      </c>
      <c r="H5" t="str">
        <f>IFERROR(VLOOKUP(WTG_BD[[#This Row],[Affected WTG]],'Basic Data'!$A$3:$E$25,2,0),"")</f>
        <v>O2R1</v>
      </c>
      <c r="I5" t="str">
        <f>IFERROR(VLOOKUP(WTG_BD[[#This Row],[Affected WTG]],'Basic Data'!$A$3:$E$25,3,0),"")</f>
        <v>KSIPL</v>
      </c>
      <c r="J5" s="355">
        <f>IFERROR(VLOOKUP(WTG_BD[[#This Row],[Affected WTG]],'Basic Data'!$A$3:$E$25,5,0),"")</f>
        <v>4.3478260869565223E-2</v>
      </c>
      <c r="K5" s="10">
        <v>3272</v>
      </c>
      <c r="L5" t="str">
        <f>IFERROR(VLOOKUP(WTG_BD[[#This Row],[Error Code]],'Basic Data'!S:T,2,0),"Incorrect Error Code")</f>
        <v>YawUntwistCW: Code__,_______°</v>
      </c>
      <c r="M5" t="s">
        <v>378</v>
      </c>
      <c r="O5" s="270">
        <v>0.5131944444444444</v>
      </c>
      <c r="P5" s="270">
        <v>0.5131944444444444</v>
      </c>
      <c r="Q5" s="270">
        <v>0.52708333333333335</v>
      </c>
      <c r="R5" s="356">
        <f>(WTG_BD[[#This Row],[Work Start TimeStamp]]-WTG_BD[[#This Row],[Fault Start TimeStamp]])*24</f>
        <v>0</v>
      </c>
      <c r="S5" s="34">
        <f>(WTG_BD[[#This Row],[Fault Clearance time]]-WTG_BD[[#This Row],[Work Start TimeStamp]])*24</f>
        <v>0.33333333333333481</v>
      </c>
      <c r="T5" s="34">
        <f>(WTG_BD[[#This Row],[Fault Clearance time]]-WTG_BD[[#This Row],[Fault Start TimeStamp]])*24</f>
        <v>0.33333333333333481</v>
      </c>
      <c r="U5" t="s">
        <v>4323</v>
      </c>
      <c r="V5" s="234" t="s">
        <v>255</v>
      </c>
      <c r="W5" s="50">
        <f>IFERROR(IF(N5="ROW",0,(WTG_BD[[#This Row],[Breakdown Time]]*WTG_BD[[#This Row],[Plant Equivalent Weightage]])),"")</f>
        <v>1.4492753623188472E-2</v>
      </c>
      <c r="X5" s="50"/>
      <c r="Y5" s="205">
        <v>1</v>
      </c>
      <c r="Z5" s="205"/>
      <c r="AA5" s="4">
        <v>3.0000000000000001E-3</v>
      </c>
      <c r="AC5" s="4"/>
    </row>
    <row r="6" spans="1:30">
      <c r="A6" s="10">
        <f t="shared" si="0"/>
        <v>5</v>
      </c>
      <c r="B6" s="43">
        <f>YEAR(WTG_BD[[#This Row],[Date]])+IF(MONTH(WTG_BD[[#This Row],[Date]])&gt;=4,1,0)</f>
        <v>2025</v>
      </c>
      <c r="C6" s="10">
        <v>2025</v>
      </c>
      <c r="D6" s="10" t="s">
        <v>4309</v>
      </c>
      <c r="E6" s="309">
        <f>WTG_BD[[#This Row],[Date]]-DAY(WTG_BD[[#This Row],[Date]])+1</f>
        <v>45717</v>
      </c>
      <c r="F6" s="32">
        <v>45746</v>
      </c>
      <c r="G6" t="s">
        <v>84</v>
      </c>
      <c r="H6" t="str">
        <f>IFERROR(VLOOKUP(WTG_BD[[#This Row],[Affected WTG]],'Basic Data'!$A$3:$E$25,2,0),"")</f>
        <v>O2R3</v>
      </c>
      <c r="I6" t="str">
        <f>IFERROR(VLOOKUP(WTG_BD[[#This Row],[Affected WTG]],'Basic Data'!$A$3:$E$25,3,0),"")</f>
        <v>JK</v>
      </c>
      <c r="J6" s="355">
        <f>IFERROR(VLOOKUP(WTG_BD[[#This Row],[Affected WTG]],'Basic Data'!$A$3:$E$25,5,0),"")</f>
        <v>4.3478260869565223E-2</v>
      </c>
      <c r="K6" s="10">
        <v>3272</v>
      </c>
      <c r="L6" t="str">
        <f>IFERROR(VLOOKUP(WTG_BD[[#This Row],[Error Code]],'Basic Data'!S:T,2,0),"Incorrect Error Code")</f>
        <v>YawUntwistCW: Code__,_______°</v>
      </c>
      <c r="M6" t="s">
        <v>378</v>
      </c>
      <c r="O6" s="270">
        <v>0.59027777777777779</v>
      </c>
      <c r="P6" s="270">
        <v>0.59027777777777779</v>
      </c>
      <c r="Q6" s="270">
        <v>0.60624999999999996</v>
      </c>
      <c r="R6" s="356">
        <f>(WTG_BD[[#This Row],[Work Start TimeStamp]]-WTG_BD[[#This Row],[Fault Start TimeStamp]])*24</f>
        <v>0</v>
      </c>
      <c r="S6" s="34">
        <f>(WTG_BD[[#This Row],[Fault Clearance time]]-WTG_BD[[#This Row],[Work Start TimeStamp]])*24</f>
        <v>0.38333333333333197</v>
      </c>
      <c r="T6" s="34">
        <f>(WTG_BD[[#This Row],[Fault Clearance time]]-WTG_BD[[#This Row],[Fault Start TimeStamp]])*24</f>
        <v>0.38333333333333197</v>
      </c>
      <c r="U6" t="s">
        <v>4323</v>
      </c>
      <c r="V6" s="234" t="s">
        <v>255</v>
      </c>
      <c r="W6" s="50">
        <f>IFERROR(IF(N6="ROW",0,(WTG_BD[[#This Row],[Breakdown Time]]*WTG_BD[[#This Row],[Plant Equivalent Weightage]])),"")</f>
        <v>1.6666666666666611E-2</v>
      </c>
      <c r="X6" s="50"/>
      <c r="Y6" s="205">
        <v>1</v>
      </c>
      <c r="Z6" s="205"/>
      <c r="AA6" s="4">
        <v>4.0000000000000001E-3</v>
      </c>
      <c r="AC6" s="4"/>
    </row>
    <row r="7" spans="1:30">
      <c r="A7" s="10">
        <f t="shared" si="0"/>
        <v>6</v>
      </c>
      <c r="B7" s="43">
        <f>YEAR(WTG_BD[[#This Row],[Date]])+IF(MONTH(WTG_BD[[#This Row],[Date]])&gt;=4,1,0)</f>
        <v>2025</v>
      </c>
      <c r="C7" s="10">
        <v>2025</v>
      </c>
      <c r="D7" s="10" t="s">
        <v>4309</v>
      </c>
      <c r="E7" s="309">
        <f>WTG_BD[[#This Row],[Date]]-DAY(WTG_BD[[#This Row],[Date]])+1</f>
        <v>45717</v>
      </c>
      <c r="F7" s="32">
        <v>45746</v>
      </c>
      <c r="G7" t="s">
        <v>97</v>
      </c>
      <c r="H7" t="str">
        <f>IFERROR(VLOOKUP(WTG_BD[[#This Row],[Affected WTG]],'Basic Data'!$A$3:$E$25,2,0),"")</f>
        <v>O2R3</v>
      </c>
      <c r="I7" t="str">
        <f>IFERROR(VLOOKUP(WTG_BD[[#This Row],[Affected WTG]],'Basic Data'!$A$3:$E$25,3,0),"")</f>
        <v>JK</v>
      </c>
      <c r="J7" s="355">
        <f>IFERROR(VLOOKUP(WTG_BD[[#This Row],[Affected WTG]],'Basic Data'!$A$3:$E$25,5,0),"")</f>
        <v>4.3478260869565223E-2</v>
      </c>
      <c r="K7" s="10">
        <v>5069</v>
      </c>
      <c r="L7" t="str">
        <f>IFERROR(VLOOKUP(WTG_BD[[#This Row],[Error Code]],'Basic Data'!S:T,2,0),"Incorrect Error Code")</f>
        <v>Pitch pos C meas. signal fault</v>
      </c>
      <c r="M7" t="s">
        <v>365</v>
      </c>
      <c r="N7" t="s">
        <v>107</v>
      </c>
      <c r="O7" s="270">
        <v>0.60416666666666663</v>
      </c>
      <c r="P7" s="270">
        <v>0.60416666666666663</v>
      </c>
      <c r="Q7" s="270">
        <v>0.77083333333333337</v>
      </c>
      <c r="R7" s="356">
        <f>(WTG_BD[[#This Row],[Work Start TimeStamp]]-WTG_BD[[#This Row],[Fault Start TimeStamp]])*24</f>
        <v>0</v>
      </c>
      <c r="S7" s="34">
        <f>(WTG_BD[[#This Row],[Fault Clearance time]]-WTG_BD[[#This Row],[Work Start TimeStamp]])*24</f>
        <v>4.0000000000000018</v>
      </c>
      <c r="T7" s="34">
        <f>(WTG_BD[[#This Row],[Fault Clearance time]]-WTG_BD[[#This Row],[Fault Start TimeStamp]])*24</f>
        <v>4.0000000000000018</v>
      </c>
      <c r="U7" t="s">
        <v>4326</v>
      </c>
      <c r="V7" s="234" t="s">
        <v>255</v>
      </c>
      <c r="W7" s="50">
        <f>IFERROR(IF(N7="ROW",0,(WTG_BD[[#This Row],[Breakdown Time]]*WTG_BD[[#This Row],[Plant Equivalent Weightage]])),"")</f>
        <v>0</v>
      </c>
      <c r="X7" s="50"/>
      <c r="Y7" s="205">
        <v>1</v>
      </c>
      <c r="Z7" s="205"/>
      <c r="AA7" s="4">
        <v>0</v>
      </c>
      <c r="AC7" s="4"/>
    </row>
    <row r="8" spans="1:30">
      <c r="A8" s="10">
        <f t="shared" si="0"/>
        <v>7</v>
      </c>
      <c r="B8" s="43">
        <f>YEAR(WTG_BD[[#This Row],[Date]])+IF(MONTH(WTG_BD[[#This Row],[Date]])&gt;=4,1,0)</f>
        <v>2025</v>
      </c>
      <c r="C8" s="10">
        <v>2025</v>
      </c>
      <c r="D8" s="10" t="s">
        <v>4309</v>
      </c>
      <c r="E8" s="309">
        <f>WTG_BD[[#This Row],[Date]]-DAY(WTG_BD[[#This Row],[Date]])+1</f>
        <v>45717</v>
      </c>
      <c r="F8" s="32">
        <v>45746</v>
      </c>
      <c r="G8" t="s">
        <v>97</v>
      </c>
      <c r="H8" t="str">
        <f>IFERROR(VLOOKUP(WTG_BD[[#This Row],[Affected WTG]],'Basic Data'!$A$3:$E$25,2,0),"")</f>
        <v>O2R3</v>
      </c>
      <c r="I8" t="str">
        <f>IFERROR(VLOOKUP(WTG_BD[[#This Row],[Affected WTG]],'Basic Data'!$A$3:$E$25,3,0),"")</f>
        <v>JK</v>
      </c>
      <c r="J8" s="355">
        <f>IFERROR(VLOOKUP(WTG_BD[[#This Row],[Affected WTG]],'Basic Data'!$A$3:$E$25,5,0),"")</f>
        <v>4.3478260869565223E-2</v>
      </c>
      <c r="K8" s="10">
        <v>5069</v>
      </c>
      <c r="L8" t="str">
        <f>IFERROR(VLOOKUP(WTG_BD[[#This Row],[Error Code]],'Basic Data'!S:T,2,0),"Incorrect Error Code")</f>
        <v>Pitch pos C meas. signal fault</v>
      </c>
      <c r="M8" t="s">
        <v>365</v>
      </c>
      <c r="N8" t="s">
        <v>113</v>
      </c>
      <c r="O8" s="270">
        <v>0.77083333333333337</v>
      </c>
      <c r="P8" s="270">
        <v>0.77083333333333337</v>
      </c>
      <c r="Q8" s="270">
        <v>0.85347222222222219</v>
      </c>
      <c r="R8" s="356">
        <f>(WTG_BD[[#This Row],[Work Start TimeStamp]]-WTG_BD[[#This Row],[Fault Start TimeStamp]])*24</f>
        <v>0</v>
      </c>
      <c r="S8" s="34">
        <f>(WTG_BD[[#This Row],[Fault Clearance time]]-WTG_BD[[#This Row],[Work Start TimeStamp]])*24</f>
        <v>1.9833333333333316</v>
      </c>
      <c r="T8" s="34">
        <f>(WTG_BD[[#This Row],[Fault Clearance time]]-WTG_BD[[#This Row],[Fault Start TimeStamp]])*24</f>
        <v>1.9833333333333316</v>
      </c>
      <c r="U8" t="s">
        <v>4466</v>
      </c>
      <c r="V8" s="234" t="s">
        <v>255</v>
      </c>
      <c r="W8" s="50">
        <f>IFERROR(IF(N8="ROW",0,(WTG_BD[[#This Row],[Breakdown Time]]*WTG_BD[[#This Row],[Plant Equivalent Weightage]])),"")</f>
        <v>8.6231884057970956E-2</v>
      </c>
      <c r="X8" s="50"/>
      <c r="Y8" s="205">
        <v>1</v>
      </c>
      <c r="Z8" s="205"/>
      <c r="AA8" s="4">
        <v>0.76200000000000001</v>
      </c>
      <c r="AC8" s="4"/>
    </row>
    <row r="9" spans="1:30">
      <c r="A9" s="10">
        <f t="shared" si="0"/>
        <v>8</v>
      </c>
      <c r="B9" s="43">
        <f>YEAR(WTG_BD[[#This Row],[Date]])+IF(MONTH(WTG_BD[[#This Row],[Date]])&gt;=4,1,0)</f>
        <v>2025</v>
      </c>
      <c r="C9" s="10">
        <v>2025</v>
      </c>
      <c r="D9" s="10" t="s">
        <v>4309</v>
      </c>
      <c r="E9" s="309">
        <f>WTG_BD[[#This Row],[Date]]-DAY(WTG_BD[[#This Row],[Date]])+1</f>
        <v>45717</v>
      </c>
      <c r="F9" s="32">
        <v>45747</v>
      </c>
      <c r="G9" t="s">
        <v>76</v>
      </c>
      <c r="H9" t="str">
        <f>IFERROR(VLOOKUP(WTG_BD[[#This Row],[Affected WTG]],'Basic Data'!$A$3:$E$25,2,0),"")</f>
        <v>O2R1</v>
      </c>
      <c r="I9" t="str">
        <f>IFERROR(VLOOKUP(WTG_BD[[#This Row],[Affected WTG]],'Basic Data'!$A$3:$E$25,3,0),"")</f>
        <v>KSIPL</v>
      </c>
      <c r="J9" s="355">
        <f>IFERROR(VLOOKUP(WTG_BD[[#This Row],[Affected WTG]],'Basic Data'!$A$3:$E$25,5,0),"")</f>
        <v>4.3478260869565223E-2</v>
      </c>
      <c r="K9" s="10">
        <v>3272</v>
      </c>
      <c r="L9" t="str">
        <f>IFERROR(VLOOKUP(WTG_BD[[#This Row],[Error Code]],'Basic Data'!S:T,2,0),"Incorrect Error Code")</f>
        <v>YawUntwistCW: Code__,_______°</v>
      </c>
      <c r="M9" t="s">
        <v>378</v>
      </c>
      <c r="O9" s="270">
        <v>0.55694444444444446</v>
      </c>
      <c r="P9" s="270">
        <v>0.55694444444444446</v>
      </c>
      <c r="Q9" s="270">
        <v>0.57361111111111107</v>
      </c>
      <c r="R9" s="356">
        <f>(WTG_BD[[#This Row],[Work Start TimeStamp]]-WTG_BD[[#This Row],[Fault Start TimeStamp]])*24</f>
        <v>0</v>
      </c>
      <c r="S9" s="34">
        <f>(WTG_BD[[#This Row],[Fault Clearance time]]-WTG_BD[[#This Row],[Work Start TimeStamp]])*24</f>
        <v>0.39999999999999858</v>
      </c>
      <c r="T9" s="34">
        <f>(WTG_BD[[#This Row],[Fault Clearance time]]-WTG_BD[[#This Row],[Fault Start TimeStamp]])*24</f>
        <v>0.39999999999999858</v>
      </c>
      <c r="U9" t="s">
        <v>4323</v>
      </c>
      <c r="V9" s="234" t="s">
        <v>255</v>
      </c>
      <c r="W9" s="50">
        <f>IFERROR(IF(N9="ROW",0,(WTG_BD[[#This Row],[Breakdown Time]]*WTG_BD[[#This Row],[Plant Equivalent Weightage]])),"")</f>
        <v>1.7391304347826028E-2</v>
      </c>
      <c r="X9" s="50"/>
      <c r="Y9" s="205">
        <v>1</v>
      </c>
      <c r="Z9" s="205"/>
      <c r="AA9" s="4">
        <v>5.8000000000000003E-2</v>
      </c>
      <c r="AC9" s="4"/>
    </row>
    <row r="10" spans="1:30">
      <c r="A10" s="10">
        <f t="shared" si="0"/>
        <v>9</v>
      </c>
      <c r="B10" s="43">
        <f>YEAR(WTG_BD[[#This Row],[Date]])+IF(MONTH(WTG_BD[[#This Row],[Date]])&gt;=4,1,0)</f>
        <v>2025</v>
      </c>
      <c r="C10" s="10">
        <v>2025</v>
      </c>
      <c r="D10" s="10" t="s">
        <v>4309</v>
      </c>
      <c r="E10" s="309">
        <f>WTG_BD[[#This Row],[Date]]-DAY(WTG_BD[[#This Row],[Date]])+1</f>
        <v>45717</v>
      </c>
      <c r="F10" s="32">
        <v>45747</v>
      </c>
      <c r="G10" t="s">
        <v>86</v>
      </c>
      <c r="H10" t="str">
        <f>IFERROR(VLOOKUP(WTG_BD[[#This Row],[Affected WTG]],'Basic Data'!$A$3:$E$25,2,0),"")</f>
        <v>O2R1</v>
      </c>
      <c r="I10" t="str">
        <f>IFERROR(VLOOKUP(WTG_BD[[#This Row],[Affected WTG]],'Basic Data'!$A$3:$E$25,3,0),"")</f>
        <v>KSIPL</v>
      </c>
      <c r="J10" s="355">
        <f>IFERROR(VLOOKUP(WTG_BD[[#This Row],[Affected WTG]],'Basic Data'!$A$3:$E$25,5,0),"")</f>
        <v>4.3478260869565223E-2</v>
      </c>
      <c r="K10" s="10">
        <v>309</v>
      </c>
      <c r="L10" t="str">
        <f>IFERROR(VLOOKUP(WTG_BD[[#This Row],[Error Code]],'Basic Data'!S:T,2,0),"Incorrect Error Code")</f>
        <v>Pause over RCS __0</v>
      </c>
      <c r="M10" t="s">
        <v>871</v>
      </c>
      <c r="N10" t="s">
        <v>257</v>
      </c>
      <c r="O10" s="270">
        <v>0.49513888888888891</v>
      </c>
      <c r="P10" s="270">
        <v>0.49513888888888891</v>
      </c>
      <c r="Q10" s="270">
        <v>0.5708333333333333</v>
      </c>
      <c r="R10" s="356">
        <f>(WTG_BD[[#This Row],[Work Start TimeStamp]]-WTG_BD[[#This Row],[Fault Start TimeStamp]])*24</f>
        <v>0</v>
      </c>
      <c r="S10" s="34">
        <f>(WTG_BD[[#This Row],[Fault Clearance time]]-WTG_BD[[#This Row],[Work Start TimeStamp]])*24</f>
        <v>1.8166666666666655</v>
      </c>
      <c r="T10" s="34">
        <f>(WTG_BD[[#This Row],[Fault Clearance time]]-WTG_BD[[#This Row],[Fault Start TimeStamp]])*24</f>
        <v>1.8166666666666655</v>
      </c>
      <c r="U10" t="s">
        <v>4467</v>
      </c>
      <c r="V10" s="234" t="s">
        <v>255</v>
      </c>
      <c r="W10" s="50">
        <f>IFERROR(IF(N10="ROW",0,(WTG_BD[[#This Row],[Breakdown Time]]*WTG_BD[[#This Row],[Plant Equivalent Weightage]])),"")</f>
        <v>7.8985507246376777E-2</v>
      </c>
      <c r="X10" s="50"/>
      <c r="Y10" s="205">
        <v>1</v>
      </c>
      <c r="Z10" s="205"/>
      <c r="AA10" s="4">
        <v>0.05</v>
      </c>
      <c r="AC10" s="4"/>
    </row>
    <row r="11" spans="1:30">
      <c r="A11" s="10">
        <f t="shared" si="0"/>
        <v>10</v>
      </c>
      <c r="B11" s="43">
        <f>YEAR(WTG_BD[[#This Row],[Date]])+IF(MONTH(WTG_BD[[#This Row],[Date]])&gt;=4,1,0)</f>
        <v>2025</v>
      </c>
      <c r="C11" s="10">
        <v>2025</v>
      </c>
      <c r="D11" s="10" t="s">
        <v>4309</v>
      </c>
      <c r="E11" s="309">
        <f>WTG_BD[[#This Row],[Date]]-DAY(WTG_BD[[#This Row],[Date]])+1</f>
        <v>45717</v>
      </c>
      <c r="F11" s="32">
        <v>45747</v>
      </c>
      <c r="G11" t="s">
        <v>80</v>
      </c>
      <c r="H11" t="str">
        <f>IFERROR(VLOOKUP(WTG_BD[[#This Row],[Affected WTG]],'Basic Data'!$A$3:$E$25,2,0),"")</f>
        <v>O2R3</v>
      </c>
      <c r="I11" t="str">
        <f>IFERROR(VLOOKUP(WTG_BD[[#This Row],[Affected WTG]],'Basic Data'!$A$3:$E$25,3,0),"")</f>
        <v>JK</v>
      </c>
      <c r="J11" s="355">
        <f>IFERROR(VLOOKUP(WTG_BD[[#This Row],[Affected WTG]],'Basic Data'!$A$3:$E$25,5,0),"")</f>
        <v>4.3478260869565223E-2</v>
      </c>
      <c r="K11" s="10">
        <v>3273</v>
      </c>
      <c r="L11" t="str">
        <f>IFERROR(VLOOKUP(WTG_BD[[#This Row],[Error Code]],'Basic Data'!S:T,2,0),"Incorrect Error Code")</f>
        <v>YawUntwistCCW: Code__,_______°</v>
      </c>
      <c r="M11" t="s">
        <v>1963</v>
      </c>
      <c r="O11" s="270">
        <v>0.39027777777777778</v>
      </c>
      <c r="P11" s="270">
        <v>0.39027777777777778</v>
      </c>
      <c r="Q11" s="270">
        <v>0.40486111111111112</v>
      </c>
      <c r="R11" s="356">
        <f>(WTG_BD[[#This Row],[Work Start TimeStamp]]-WTG_BD[[#This Row],[Fault Start TimeStamp]])*24</f>
        <v>0</v>
      </c>
      <c r="S11" s="34">
        <f>(WTG_BD[[#This Row],[Fault Clearance time]]-WTG_BD[[#This Row],[Work Start TimeStamp]])*24</f>
        <v>0.35000000000000009</v>
      </c>
      <c r="T11" s="34">
        <f>(WTG_BD[[#This Row],[Fault Clearance time]]-WTG_BD[[#This Row],[Fault Start TimeStamp]])*24</f>
        <v>0.35000000000000009</v>
      </c>
      <c r="U11" t="s">
        <v>4323</v>
      </c>
      <c r="V11" s="234" t="s">
        <v>255</v>
      </c>
      <c r="W11" s="50">
        <f>IFERROR(IF(N11="ROW",0,(WTG_BD[[#This Row],[Breakdown Time]]*WTG_BD[[#This Row],[Plant Equivalent Weightage]])),"")</f>
        <v>1.5217391304347832E-2</v>
      </c>
      <c r="X11" s="50"/>
      <c r="Y11" s="205">
        <v>1</v>
      </c>
      <c r="Z11" s="205"/>
      <c r="AA11" s="4">
        <v>0</v>
      </c>
      <c r="AC11" s="4"/>
    </row>
    <row r="12" spans="1:30">
      <c r="A12" s="10">
        <f t="shared" si="0"/>
        <v>11</v>
      </c>
      <c r="B12" s="43">
        <f>YEAR(WTG_BD[[#This Row],[Date]])+IF(MONTH(WTG_BD[[#This Row],[Date]])&gt;=4,1,0)</f>
        <v>2025</v>
      </c>
      <c r="C12" s="10">
        <v>2025</v>
      </c>
      <c r="D12" s="10" t="s">
        <v>4309</v>
      </c>
      <c r="E12" s="309">
        <f>WTG_BD[[#This Row],[Date]]-DAY(WTG_BD[[#This Row],[Date]])+1</f>
        <v>45717</v>
      </c>
      <c r="F12" s="32">
        <v>45747</v>
      </c>
      <c r="G12" t="s">
        <v>82</v>
      </c>
      <c r="H12" t="str">
        <f>IFERROR(VLOOKUP(WTG_BD[[#This Row],[Affected WTG]],'Basic Data'!$A$3:$E$25,2,0),"")</f>
        <v>O2R3</v>
      </c>
      <c r="I12" t="str">
        <f>IFERROR(VLOOKUP(WTG_BD[[#This Row],[Affected WTG]],'Basic Data'!$A$3:$E$25,3,0),"")</f>
        <v>JK</v>
      </c>
      <c r="J12" s="355">
        <f>IFERROR(VLOOKUP(WTG_BD[[#This Row],[Affected WTG]],'Basic Data'!$A$3:$E$25,5,0),"")</f>
        <v>4.3478260869565223E-2</v>
      </c>
      <c r="K12" s="10">
        <v>3272</v>
      </c>
      <c r="L12" t="str">
        <f>IFERROR(VLOOKUP(WTG_BD[[#This Row],[Error Code]],'Basic Data'!S:T,2,0),"Incorrect Error Code")</f>
        <v>YawUntwistCW: Code__,_______°</v>
      </c>
      <c r="M12" t="s">
        <v>378</v>
      </c>
      <c r="O12" s="270">
        <v>0.54791666666666672</v>
      </c>
      <c r="P12" s="270">
        <v>0.54791666666666672</v>
      </c>
      <c r="Q12" s="270">
        <v>0.56180555555555556</v>
      </c>
      <c r="R12" s="356">
        <f>(WTG_BD[[#This Row],[Work Start TimeStamp]]-WTG_BD[[#This Row],[Fault Start TimeStamp]])*24</f>
        <v>0</v>
      </c>
      <c r="S12" s="34">
        <f>(WTG_BD[[#This Row],[Fault Clearance time]]-WTG_BD[[#This Row],[Work Start TimeStamp]])*24</f>
        <v>0.33333333333333215</v>
      </c>
      <c r="T12" s="34">
        <f>(WTG_BD[[#This Row],[Fault Clearance time]]-WTG_BD[[#This Row],[Fault Start TimeStamp]])*24</f>
        <v>0.33333333333333215</v>
      </c>
      <c r="U12" t="s">
        <v>4323</v>
      </c>
      <c r="V12" s="234" t="s">
        <v>255</v>
      </c>
      <c r="W12" s="50">
        <f>IFERROR(IF(N12="ROW",0,(WTG_BD[[#This Row],[Breakdown Time]]*WTG_BD[[#This Row],[Plant Equivalent Weightage]])),"")</f>
        <v>1.4492753623188356E-2</v>
      </c>
      <c r="X12" s="50"/>
      <c r="Y12" s="205">
        <v>1</v>
      </c>
      <c r="Z12" s="205"/>
      <c r="AA12" s="4">
        <v>1E-3</v>
      </c>
      <c r="AC12" s="4"/>
    </row>
    <row r="13" spans="1:30">
      <c r="A13" s="10">
        <f t="shared" si="0"/>
        <v>12</v>
      </c>
      <c r="B13" s="43">
        <f>YEAR(WTG_BD[[#This Row],[Date]])+IF(MONTH(WTG_BD[[#This Row],[Date]])&gt;=4,1,0)</f>
        <v>2025</v>
      </c>
      <c r="C13" s="10">
        <v>2025</v>
      </c>
      <c r="D13" s="10" t="s">
        <v>4309</v>
      </c>
      <c r="E13" s="309">
        <f>WTG_BD[[#This Row],[Date]]-DAY(WTG_BD[[#This Row],[Date]])+1</f>
        <v>45717</v>
      </c>
      <c r="F13" s="32">
        <v>45747</v>
      </c>
      <c r="G13" t="s">
        <v>84</v>
      </c>
      <c r="H13" t="str">
        <f>IFERROR(VLOOKUP(WTG_BD[[#This Row],[Affected WTG]],'Basic Data'!$A$3:$E$25,2,0),"")</f>
        <v>O2R3</v>
      </c>
      <c r="I13" t="str">
        <f>IFERROR(VLOOKUP(WTG_BD[[#This Row],[Affected WTG]],'Basic Data'!$A$3:$E$25,3,0),"")</f>
        <v>JK</v>
      </c>
      <c r="J13" s="355">
        <f>IFERROR(VLOOKUP(WTG_BD[[#This Row],[Affected WTG]],'Basic Data'!$A$3:$E$25,5,0),"")</f>
        <v>4.3478260869565223E-2</v>
      </c>
      <c r="K13" s="10">
        <v>3272</v>
      </c>
      <c r="L13" t="str">
        <f>IFERROR(VLOOKUP(WTG_BD[[#This Row],[Error Code]],'Basic Data'!S:T,2,0),"Incorrect Error Code")</f>
        <v>YawUntwistCW: Code__,_______°</v>
      </c>
      <c r="M13" t="s">
        <v>378</v>
      </c>
      <c r="O13" s="270">
        <v>0.52638888888888891</v>
      </c>
      <c r="P13" s="270">
        <v>0.52638888888888891</v>
      </c>
      <c r="Q13" s="270">
        <v>0.54097222222222219</v>
      </c>
      <c r="R13" s="356">
        <f>(WTG_BD[[#This Row],[Work Start TimeStamp]]-WTG_BD[[#This Row],[Fault Start TimeStamp]])*24</f>
        <v>0</v>
      </c>
      <c r="S13" s="34">
        <f>(WTG_BD[[#This Row],[Fault Clearance time]]-WTG_BD[[#This Row],[Work Start TimeStamp]])*24</f>
        <v>0.34999999999999876</v>
      </c>
      <c r="T13" s="34">
        <f>(WTG_BD[[#This Row],[Fault Clearance time]]-WTG_BD[[#This Row],[Fault Start TimeStamp]])*24</f>
        <v>0.34999999999999876</v>
      </c>
      <c r="U13" t="s">
        <v>4323</v>
      </c>
      <c r="V13" s="234" t="s">
        <v>255</v>
      </c>
      <c r="W13" s="50">
        <f>IFERROR(IF(N13="ROW",0,(WTG_BD[[#This Row],[Breakdown Time]]*WTG_BD[[#This Row],[Plant Equivalent Weightage]])),"")</f>
        <v>1.5217391304347775E-2</v>
      </c>
      <c r="X13" s="50"/>
      <c r="Y13" s="205">
        <v>1</v>
      </c>
      <c r="Z13" s="205"/>
      <c r="AA13" s="4">
        <v>8.0000000000000002E-3</v>
      </c>
      <c r="AC13" s="4"/>
    </row>
    <row r="14" spans="1:30">
      <c r="A14" s="10">
        <f t="shared" si="0"/>
        <v>13</v>
      </c>
      <c r="B14" s="43">
        <f>YEAR(WTG_BD[[#This Row],[Date]])+IF(MONTH(WTG_BD[[#This Row],[Date]])&gt;=4,1,0)</f>
        <v>2025</v>
      </c>
      <c r="C14" s="10">
        <v>2025</v>
      </c>
      <c r="D14" s="10" t="s">
        <v>4309</v>
      </c>
      <c r="E14" s="309">
        <f>WTG_BD[[#This Row],[Date]]-DAY(WTG_BD[[#This Row],[Date]])+1</f>
        <v>45717</v>
      </c>
      <c r="F14" s="32">
        <v>45747</v>
      </c>
      <c r="G14" t="s">
        <v>93</v>
      </c>
      <c r="H14" t="str">
        <f>IFERROR(VLOOKUP(WTG_BD[[#This Row],[Affected WTG]],'Basic Data'!$A$3:$E$25,2,0),"")</f>
        <v>O2R4</v>
      </c>
      <c r="I14" t="str">
        <f>IFERROR(VLOOKUP(WTG_BD[[#This Row],[Affected WTG]],'Basic Data'!$A$3:$E$25,3,0),"")</f>
        <v>SGDCIPL</v>
      </c>
      <c r="J14" s="355">
        <f>IFERROR(VLOOKUP(WTG_BD[[#This Row],[Affected WTG]],'Basic Data'!$A$3:$E$25,5,0),"")</f>
        <v>4.3478260869565223E-2</v>
      </c>
      <c r="K14" s="10">
        <v>3273</v>
      </c>
      <c r="L14" t="str">
        <f>IFERROR(VLOOKUP(WTG_BD[[#This Row],[Error Code]],'Basic Data'!S:T,2,0),"Incorrect Error Code")</f>
        <v>YawUntwistCCW: Code__,_______°</v>
      </c>
      <c r="M14" t="s">
        <v>1963</v>
      </c>
      <c r="O14" s="270">
        <v>0.61736111111111114</v>
      </c>
      <c r="P14" s="270">
        <v>0.61736111111111114</v>
      </c>
      <c r="Q14" s="270">
        <v>0.63402777777777775</v>
      </c>
      <c r="R14" s="356">
        <f>(WTG_BD[[#This Row],[Work Start TimeStamp]]-WTG_BD[[#This Row],[Fault Start TimeStamp]])*24</f>
        <v>0</v>
      </c>
      <c r="S14" s="34">
        <f>(WTG_BD[[#This Row],[Fault Clearance time]]-WTG_BD[[#This Row],[Work Start TimeStamp]])*24</f>
        <v>0.39999999999999858</v>
      </c>
      <c r="T14" s="34">
        <f>(WTG_BD[[#This Row],[Fault Clearance time]]-WTG_BD[[#This Row],[Fault Start TimeStamp]])*24</f>
        <v>0.39999999999999858</v>
      </c>
      <c r="U14" t="s">
        <v>4323</v>
      </c>
      <c r="V14" s="234" t="s">
        <v>255</v>
      </c>
      <c r="W14" s="50">
        <f>IFERROR(IF(N14="ROW",0,(WTG_BD[[#This Row],[Breakdown Time]]*WTG_BD[[#This Row],[Plant Equivalent Weightage]])),"")</f>
        <v>1.7391304347826028E-2</v>
      </c>
      <c r="X14" s="50"/>
      <c r="Y14" s="205">
        <v>1</v>
      </c>
      <c r="Z14" s="205"/>
      <c r="AA14" s="4">
        <v>6.8000000000000005E-2</v>
      </c>
      <c r="AC14" s="4"/>
    </row>
    <row r="15" spans="1:30">
      <c r="A15" s="10">
        <f t="shared" si="0"/>
        <v>14</v>
      </c>
      <c r="B15" s="43">
        <f>YEAR(WTG_BD[[#This Row],[Date]])+IF(MONTH(WTG_BD[[#This Row],[Date]])&gt;=4,1,0)</f>
        <v>2025</v>
      </c>
      <c r="C15" s="10">
        <v>2025</v>
      </c>
      <c r="D15" s="10" t="s">
        <v>4309</v>
      </c>
      <c r="E15" s="309">
        <f>WTG_BD[[#This Row],[Date]]-DAY(WTG_BD[[#This Row],[Date]])+1</f>
        <v>45717</v>
      </c>
      <c r="F15" s="32">
        <v>45747</v>
      </c>
      <c r="G15" t="s">
        <v>97</v>
      </c>
      <c r="H15" t="str">
        <f>IFERROR(VLOOKUP(WTG_BD[[#This Row],[Affected WTG]],'Basic Data'!$A$3:$E$25,2,0),"")</f>
        <v>O2R3</v>
      </c>
      <c r="I15" t="str">
        <f>IFERROR(VLOOKUP(WTG_BD[[#This Row],[Affected WTG]],'Basic Data'!$A$3:$E$25,3,0),"")</f>
        <v>JK</v>
      </c>
      <c r="J15" s="355">
        <f>IFERROR(VLOOKUP(WTG_BD[[#This Row],[Affected WTG]],'Basic Data'!$A$3:$E$25,5,0),"")</f>
        <v>4.3478260869565223E-2</v>
      </c>
      <c r="K15" s="10">
        <v>3273</v>
      </c>
      <c r="L15" t="str">
        <f>IFERROR(VLOOKUP(WTG_BD[[#This Row],[Error Code]],'Basic Data'!S:T,2,0),"Incorrect Error Code")</f>
        <v>YawUntwistCCW: Code__,_______°</v>
      </c>
      <c r="M15" t="s">
        <v>1963</v>
      </c>
      <c r="O15" s="270">
        <v>0.42222222222222222</v>
      </c>
      <c r="P15" s="270">
        <v>0.42222222222222222</v>
      </c>
      <c r="Q15" s="270">
        <v>0.43611111111111112</v>
      </c>
      <c r="R15" s="356">
        <f>(WTG_BD[[#This Row],[Work Start TimeStamp]]-WTG_BD[[#This Row],[Fault Start TimeStamp]])*24</f>
        <v>0</v>
      </c>
      <c r="S15" s="34">
        <f>(WTG_BD[[#This Row],[Fault Clearance time]]-WTG_BD[[#This Row],[Work Start TimeStamp]])*24</f>
        <v>0.33333333333333348</v>
      </c>
      <c r="T15" s="34">
        <f>(WTG_BD[[#This Row],[Fault Clearance time]]-WTG_BD[[#This Row],[Fault Start TimeStamp]])*24</f>
        <v>0.33333333333333348</v>
      </c>
      <c r="U15" t="s">
        <v>4323</v>
      </c>
      <c r="V15" s="234" t="s">
        <v>255</v>
      </c>
      <c r="W15" s="50">
        <f>IFERROR(IF(N15="ROW",0,(WTG_BD[[#This Row],[Breakdown Time]]*WTG_BD[[#This Row],[Plant Equivalent Weightage]])),"")</f>
        <v>1.4492753623188415E-2</v>
      </c>
      <c r="X15" s="50"/>
      <c r="Y15" s="205">
        <v>1</v>
      </c>
      <c r="Z15" s="205"/>
      <c r="AA15" s="4">
        <v>2E-3</v>
      </c>
      <c r="AC15" s="4"/>
    </row>
    <row r="16" spans="1:30">
      <c r="A16" s="10">
        <f t="shared" si="0"/>
        <v>15</v>
      </c>
      <c r="B16" s="43">
        <f>YEAR(WTG_BD[[#This Row],[Date]])+IF(MONTH(WTG_BD[[#This Row],[Date]])&gt;=4,1,0)</f>
        <v>2025</v>
      </c>
      <c r="C16" s="10">
        <v>2025</v>
      </c>
      <c r="D16" s="10" t="s">
        <v>4309</v>
      </c>
      <c r="E16" s="309">
        <f>WTG_BD[[#This Row],[Date]]-DAY(WTG_BD[[#This Row],[Date]])+1</f>
        <v>45717</v>
      </c>
      <c r="F16" s="32">
        <v>45747</v>
      </c>
      <c r="G16" t="s">
        <v>98</v>
      </c>
      <c r="H16" t="str">
        <f>IFERROR(VLOOKUP(WTG_BD[[#This Row],[Affected WTG]],'Basic Data'!$A$3:$E$25,2,0),"")</f>
        <v>O2R3</v>
      </c>
      <c r="I16" t="str">
        <f>IFERROR(VLOOKUP(WTG_BD[[#This Row],[Affected WTG]],'Basic Data'!$A$3:$E$25,3,0),"")</f>
        <v>JK</v>
      </c>
      <c r="J16" s="355">
        <f>IFERROR(VLOOKUP(WTG_BD[[#This Row],[Affected WTG]],'Basic Data'!$A$3:$E$25,5,0),"")</f>
        <v>4.3478260869565223E-2</v>
      </c>
      <c r="K16" s="10">
        <v>3273</v>
      </c>
      <c r="L16" t="str">
        <f>IFERROR(VLOOKUP(WTG_BD[[#This Row],[Error Code]],'Basic Data'!S:T,2,0),"Incorrect Error Code")</f>
        <v>YawUntwistCCW: Code__,_______°</v>
      </c>
      <c r="M16" t="s">
        <v>1963</v>
      </c>
      <c r="O16" s="270">
        <v>0.67569444444444449</v>
      </c>
      <c r="P16" s="270">
        <v>0.67569444444444449</v>
      </c>
      <c r="Q16" s="270">
        <v>0.69513888888888886</v>
      </c>
      <c r="R16" s="356">
        <f>(WTG_BD[[#This Row],[Work Start TimeStamp]]-WTG_BD[[#This Row],[Fault Start TimeStamp]])*24</f>
        <v>0</v>
      </c>
      <c r="S16" s="34">
        <f>(WTG_BD[[#This Row],[Fault Clearance time]]-WTG_BD[[#This Row],[Work Start TimeStamp]])*24</f>
        <v>0.46666666666666501</v>
      </c>
      <c r="T16" s="34">
        <f>(WTG_BD[[#This Row],[Fault Clearance time]]-WTG_BD[[#This Row],[Fault Start TimeStamp]])*24</f>
        <v>0.46666666666666501</v>
      </c>
      <c r="U16" t="s">
        <v>4323</v>
      </c>
      <c r="V16" s="234" t="s">
        <v>255</v>
      </c>
      <c r="W16" s="50">
        <f>IFERROR(IF(N16="ROW",0,(WTG_BD[[#This Row],[Breakdown Time]]*WTG_BD[[#This Row],[Plant Equivalent Weightage]])),"")</f>
        <v>2.0289855072463697E-2</v>
      </c>
      <c r="X16" s="50"/>
      <c r="Y16" s="205">
        <v>1</v>
      </c>
      <c r="Z16" s="205"/>
      <c r="AA16" s="4">
        <v>8.8999999999999996E-2</v>
      </c>
      <c r="AC16" s="4"/>
    </row>
    <row r="17" spans="1:29">
      <c r="A17" s="10">
        <f t="shared" ref="A17:A21" si="1">A16+1</f>
        <v>16</v>
      </c>
      <c r="B17" s="43">
        <f>YEAR(WTG_BD[[#This Row],[Date]])+IF(MONTH(WTG_BD[[#This Row],[Date]])&gt;=4,1,0)</f>
        <v>2026</v>
      </c>
      <c r="C17" s="10">
        <v>2025</v>
      </c>
      <c r="D17" s="10" t="s">
        <v>4478</v>
      </c>
      <c r="E17" s="309">
        <f>WTG_BD[[#This Row],[Date]]-DAY(WTG_BD[[#This Row],[Date]])+1</f>
        <v>45748</v>
      </c>
      <c r="F17" s="32">
        <v>45748</v>
      </c>
      <c r="G17" t="s">
        <v>85</v>
      </c>
      <c r="H17" t="str">
        <f>IFERROR(VLOOKUP(WTG_BD[[#This Row],[Affected WTG]],'Basic Data'!$A$3:$E$25,2,0),"")</f>
        <v>O2R1</v>
      </c>
      <c r="I17" t="str">
        <f>IFERROR(VLOOKUP(WTG_BD[[#This Row],[Affected WTG]],'Basic Data'!$A$3:$E$25,3,0),"")</f>
        <v>KSIPL</v>
      </c>
      <c r="J17" s="355">
        <f>IFERROR(VLOOKUP(WTG_BD[[#This Row],[Affected WTG]],'Basic Data'!$A$3:$E$25,5,0),"")</f>
        <v>4.3478260869565223E-2</v>
      </c>
      <c r="K17" s="10">
        <v>3273</v>
      </c>
      <c r="L17" t="str">
        <f>IFERROR(VLOOKUP(WTG_BD[[#This Row],[Error Code]],'Basic Data'!S:T,2,0),"Incorrect Error Code")</f>
        <v>YawUntwistCCW: Code__,_______°</v>
      </c>
      <c r="M17" t="s">
        <v>1963</v>
      </c>
      <c r="O17" s="270">
        <v>0.3923611111111111</v>
      </c>
      <c r="P17" s="270">
        <v>0.3923611111111111</v>
      </c>
      <c r="Q17" s="270">
        <v>0.40625</v>
      </c>
      <c r="R17" s="356">
        <f>(WTG_BD[[#This Row],[Work Start TimeStamp]]-WTG_BD[[#This Row],[Fault Start TimeStamp]])*24</f>
        <v>0</v>
      </c>
      <c r="S17" s="34">
        <f>(WTG_BD[[#This Row],[Fault Clearance time]]-WTG_BD[[#This Row],[Work Start TimeStamp]])*24</f>
        <v>0.33333333333333348</v>
      </c>
      <c r="T17" s="34">
        <f>(WTG_BD[[#This Row],[Fault Clearance time]]-WTG_BD[[#This Row],[Fault Start TimeStamp]])*24</f>
        <v>0.33333333333333348</v>
      </c>
      <c r="U17" t="s">
        <v>4323</v>
      </c>
      <c r="V17" s="234" t="s">
        <v>255</v>
      </c>
      <c r="W17" s="50">
        <f>IFERROR(IF(N17="ROW",0,(WTG_BD[[#This Row],[Breakdown Time]]*WTG_BD[[#This Row],[Plant Equivalent Weightage]])),"")</f>
        <v>1.4492753623188415E-2</v>
      </c>
      <c r="X17" s="50"/>
      <c r="Y17" s="205">
        <v>1</v>
      </c>
      <c r="Z17" s="205"/>
      <c r="AA17" s="4">
        <v>1E-3</v>
      </c>
      <c r="AC17" s="4"/>
    </row>
    <row r="18" spans="1:29">
      <c r="A18" s="10">
        <f t="shared" si="0"/>
        <v>17</v>
      </c>
      <c r="B18" s="43">
        <f>YEAR(WTG_BD[[#This Row],[Date]])+IF(MONTH(WTG_BD[[#This Row],[Date]])&gt;=4,1,0)</f>
        <v>2026</v>
      </c>
      <c r="C18" s="10">
        <v>2025</v>
      </c>
      <c r="D18" s="10" t="s">
        <v>4478</v>
      </c>
      <c r="E18" s="309">
        <f>WTG_BD[[#This Row],[Date]]-DAY(WTG_BD[[#This Row],[Date]])+1</f>
        <v>45748</v>
      </c>
      <c r="F18" s="32">
        <v>45748</v>
      </c>
      <c r="G18" t="s">
        <v>86</v>
      </c>
      <c r="H18" t="str">
        <f>IFERROR(VLOOKUP(WTG_BD[[#This Row],[Affected WTG]],'Basic Data'!$A$3:$E$25,2,0),"")</f>
        <v>O2R1</v>
      </c>
      <c r="I18" t="str">
        <f>IFERROR(VLOOKUP(WTG_BD[[#This Row],[Affected WTG]],'Basic Data'!$A$3:$E$25,3,0),"")</f>
        <v>KSIPL</v>
      </c>
      <c r="J18" s="355">
        <f>IFERROR(VLOOKUP(WTG_BD[[#This Row],[Affected WTG]],'Basic Data'!$A$3:$E$25,5,0),"")</f>
        <v>4.3478260869565223E-2</v>
      </c>
      <c r="K18" s="10">
        <v>3273</v>
      </c>
      <c r="L18" t="str">
        <f>IFERROR(VLOOKUP(WTG_BD[[#This Row],[Error Code]],'Basic Data'!S:T,2,0),"Incorrect Error Code")</f>
        <v>YawUntwistCCW: Code__,_______°</v>
      </c>
      <c r="M18" t="s">
        <v>1963</v>
      </c>
      <c r="O18" s="270">
        <v>0.38611111111111113</v>
      </c>
      <c r="P18" s="270">
        <v>0.38611111111111113</v>
      </c>
      <c r="Q18" s="270">
        <v>0.4</v>
      </c>
      <c r="R18" s="356">
        <f>(WTG_BD[[#This Row],[Work Start TimeStamp]]-WTG_BD[[#This Row],[Fault Start TimeStamp]])*24</f>
        <v>0</v>
      </c>
      <c r="S18" s="34">
        <f>(WTG_BD[[#This Row],[Fault Clearance time]]-WTG_BD[[#This Row],[Work Start TimeStamp]])*24</f>
        <v>0.33333333333333348</v>
      </c>
      <c r="T18" s="34">
        <f>(WTG_BD[[#This Row],[Fault Clearance time]]-WTG_BD[[#This Row],[Fault Start TimeStamp]])*24</f>
        <v>0.33333333333333348</v>
      </c>
      <c r="U18" t="s">
        <v>4323</v>
      </c>
      <c r="V18" s="234" t="s">
        <v>255</v>
      </c>
      <c r="W18" s="50">
        <f>IFERROR(IF(N18="ROW",0,(WTG_BD[[#This Row],[Breakdown Time]]*WTG_BD[[#This Row],[Plant Equivalent Weightage]])),"")</f>
        <v>1.4492753623188415E-2</v>
      </c>
      <c r="X18" s="50"/>
      <c r="Y18" s="205">
        <v>1</v>
      </c>
      <c r="Z18" s="205"/>
      <c r="AA18" s="4">
        <v>1E-3</v>
      </c>
      <c r="AC18" s="4"/>
    </row>
    <row r="19" spans="1:29">
      <c r="A19" s="10">
        <f t="shared" si="0"/>
        <v>18</v>
      </c>
      <c r="B19" s="43">
        <f>YEAR(WTG_BD[[#This Row],[Date]])+IF(MONTH(WTG_BD[[#This Row],[Date]])&gt;=4,1,0)</f>
        <v>2026</v>
      </c>
      <c r="C19" s="10">
        <v>2025</v>
      </c>
      <c r="D19" s="10" t="s">
        <v>4478</v>
      </c>
      <c r="E19" s="309">
        <f>WTG_BD[[#This Row],[Date]]-DAY(WTG_BD[[#This Row],[Date]])+1</f>
        <v>45748</v>
      </c>
      <c r="F19" s="32">
        <v>45748</v>
      </c>
      <c r="G19" t="s">
        <v>87</v>
      </c>
      <c r="H19" t="str">
        <f>IFERROR(VLOOKUP(WTG_BD[[#This Row],[Affected WTG]],'Basic Data'!$A$3:$E$25,2,0),"")</f>
        <v>O2R1</v>
      </c>
      <c r="I19" t="str">
        <f>IFERROR(VLOOKUP(WTG_BD[[#This Row],[Affected WTG]],'Basic Data'!$A$3:$E$25,3,0),"")</f>
        <v>KSIPL</v>
      </c>
      <c r="J19" s="355">
        <f>IFERROR(VLOOKUP(WTG_BD[[#This Row],[Affected WTG]],'Basic Data'!$A$3:$E$25,5,0),"")</f>
        <v>4.3478260869565223E-2</v>
      </c>
      <c r="K19" s="10">
        <v>3273</v>
      </c>
      <c r="L19" t="str">
        <f>IFERROR(VLOOKUP(WTG_BD[[#This Row],[Error Code]],'Basic Data'!S:T,2,0),"Incorrect Error Code")</f>
        <v>YawUntwistCCW: Code__,_______°</v>
      </c>
      <c r="M19" t="s">
        <v>1963</v>
      </c>
      <c r="O19" s="270">
        <v>0.40902777777777777</v>
      </c>
      <c r="P19" s="270">
        <v>0.40902777777777777</v>
      </c>
      <c r="Q19" s="270">
        <v>0.42430555555555555</v>
      </c>
      <c r="R19" s="356">
        <f>(WTG_BD[[#This Row],[Work Start TimeStamp]]-WTG_BD[[#This Row],[Fault Start TimeStamp]])*24</f>
        <v>0</v>
      </c>
      <c r="S19" s="34">
        <f>(WTG_BD[[#This Row],[Fault Clearance time]]-WTG_BD[[#This Row],[Work Start TimeStamp]])*24</f>
        <v>0.3666666666666667</v>
      </c>
      <c r="T19" s="34">
        <f>(WTG_BD[[#This Row],[Fault Clearance time]]-WTG_BD[[#This Row],[Fault Start TimeStamp]])*24</f>
        <v>0.3666666666666667</v>
      </c>
      <c r="U19" t="s">
        <v>4323</v>
      </c>
      <c r="V19" s="234" t="s">
        <v>255</v>
      </c>
      <c r="W19" s="50">
        <f>IFERROR(IF(N19="ROW",0,(WTG_BD[[#This Row],[Breakdown Time]]*WTG_BD[[#This Row],[Plant Equivalent Weightage]])),"")</f>
        <v>1.5942028985507249E-2</v>
      </c>
      <c r="X19" s="50"/>
      <c r="Y19" s="205">
        <v>1</v>
      </c>
      <c r="Z19" s="205"/>
      <c r="AA19" s="4">
        <v>1E-3</v>
      </c>
      <c r="AC19" s="4"/>
    </row>
    <row r="20" spans="1:29">
      <c r="A20" s="10">
        <f t="shared" si="0"/>
        <v>19</v>
      </c>
      <c r="B20" s="43">
        <f>YEAR(WTG_BD[[#This Row],[Date]])+IF(MONTH(WTG_BD[[#This Row],[Date]])&gt;=4,1,0)</f>
        <v>2026</v>
      </c>
      <c r="C20" s="10">
        <v>2025</v>
      </c>
      <c r="D20" s="10" t="s">
        <v>4478</v>
      </c>
      <c r="E20" s="309">
        <f>WTG_BD[[#This Row],[Date]]-DAY(WTG_BD[[#This Row],[Date]])+1</f>
        <v>45748</v>
      </c>
      <c r="F20" s="32">
        <v>45748</v>
      </c>
      <c r="G20" t="s">
        <v>90</v>
      </c>
      <c r="H20" t="str">
        <f>IFERROR(VLOOKUP(WTG_BD[[#This Row],[Affected WTG]],'Basic Data'!$A$3:$E$25,2,0),"")</f>
        <v>O2R1</v>
      </c>
      <c r="I20" t="str">
        <f>IFERROR(VLOOKUP(WTG_BD[[#This Row],[Affected WTG]],'Basic Data'!$A$3:$E$25,3,0),"")</f>
        <v>KSIPL</v>
      </c>
      <c r="J20" s="355">
        <f>IFERROR(VLOOKUP(WTG_BD[[#This Row],[Affected WTG]],'Basic Data'!$A$3:$E$25,5,0),"")</f>
        <v>4.3478260869565223E-2</v>
      </c>
      <c r="K20" s="10">
        <v>3273</v>
      </c>
      <c r="L20" t="str">
        <f>IFERROR(VLOOKUP(WTG_BD[[#This Row],[Error Code]],'Basic Data'!S:T,2,0),"Incorrect Error Code")</f>
        <v>YawUntwistCCW: Code__,_______°</v>
      </c>
      <c r="M20" t="s">
        <v>1963</v>
      </c>
      <c r="O20" s="270">
        <v>0.39583333333333331</v>
      </c>
      <c r="P20" s="270">
        <v>0.39583333333333331</v>
      </c>
      <c r="Q20" s="270">
        <v>0.41041666666666665</v>
      </c>
      <c r="R20" s="356">
        <f>(WTG_BD[[#This Row],[Work Start TimeStamp]]-WTG_BD[[#This Row],[Fault Start TimeStamp]])*24</f>
        <v>0</v>
      </c>
      <c r="S20" s="34">
        <f>(WTG_BD[[#This Row],[Fault Clearance time]]-WTG_BD[[#This Row],[Work Start TimeStamp]])*24</f>
        <v>0.35000000000000009</v>
      </c>
      <c r="T20" s="34">
        <f>(WTG_BD[[#This Row],[Fault Clearance time]]-WTG_BD[[#This Row],[Fault Start TimeStamp]])*24</f>
        <v>0.35000000000000009</v>
      </c>
      <c r="U20" t="s">
        <v>4323</v>
      </c>
      <c r="V20" s="234" t="s">
        <v>255</v>
      </c>
      <c r="W20" s="50">
        <f>IFERROR(IF(N20="ROW",0,(WTG_BD[[#This Row],[Breakdown Time]]*WTG_BD[[#This Row],[Plant Equivalent Weightage]])),"")</f>
        <v>1.5217391304347832E-2</v>
      </c>
      <c r="X20" s="50"/>
      <c r="Y20" s="205">
        <v>1</v>
      </c>
      <c r="Z20" s="205"/>
      <c r="AA20" s="4">
        <v>1E-3</v>
      </c>
      <c r="AC20" s="4"/>
    </row>
    <row r="21" spans="1:29">
      <c r="A21" s="10">
        <f t="shared" si="1"/>
        <v>20</v>
      </c>
      <c r="B21" s="43">
        <f>YEAR(WTG_BD[[#This Row],[Date]])+IF(MONTH(WTG_BD[[#This Row],[Date]])&gt;=4,1,0)</f>
        <v>2026</v>
      </c>
      <c r="C21" s="10">
        <v>2025</v>
      </c>
      <c r="D21" s="10" t="s">
        <v>4478</v>
      </c>
      <c r="E21" s="309">
        <f>WTG_BD[[#This Row],[Date]]-DAY(WTG_BD[[#This Row],[Date]])+1</f>
        <v>45748</v>
      </c>
      <c r="F21" s="32">
        <v>45748</v>
      </c>
      <c r="G21" t="s">
        <v>94</v>
      </c>
      <c r="H21" t="str">
        <f>IFERROR(VLOOKUP(WTG_BD[[#This Row],[Affected WTG]],'Basic Data'!$A$3:$E$25,2,0),"")</f>
        <v>O2R1</v>
      </c>
      <c r="I21" t="str">
        <f>IFERROR(VLOOKUP(WTG_BD[[#This Row],[Affected WTG]],'Basic Data'!$A$3:$E$25,3,0),"")</f>
        <v>KSIPL</v>
      </c>
      <c r="J21" s="355">
        <f>IFERROR(VLOOKUP(WTG_BD[[#This Row],[Affected WTG]],'Basic Data'!$A$3:$E$25,5,0),"")</f>
        <v>4.3478260869565223E-2</v>
      </c>
      <c r="K21" s="10">
        <v>3273</v>
      </c>
      <c r="L21" t="str">
        <f>IFERROR(VLOOKUP(WTG_BD[[#This Row],[Error Code]],'Basic Data'!S:T,2,0),"Incorrect Error Code")</f>
        <v>YawUntwistCCW: Code__,_______°</v>
      </c>
      <c r="M21" t="s">
        <v>1963</v>
      </c>
      <c r="O21" s="270">
        <v>0.39027777777777778</v>
      </c>
      <c r="P21" s="270">
        <v>0.39027777777777778</v>
      </c>
      <c r="Q21" s="270">
        <v>0.40416666666666667</v>
      </c>
      <c r="R21" s="356">
        <f>(WTG_BD[[#This Row],[Work Start TimeStamp]]-WTG_BD[[#This Row],[Fault Start TimeStamp]])*24</f>
        <v>0</v>
      </c>
      <c r="S21" s="34">
        <f>(WTG_BD[[#This Row],[Fault Clearance time]]-WTG_BD[[#This Row],[Work Start TimeStamp]])*24</f>
        <v>0.33333333333333348</v>
      </c>
      <c r="T21" s="34">
        <f>(WTG_BD[[#This Row],[Fault Clearance time]]-WTG_BD[[#This Row],[Fault Start TimeStamp]])*24</f>
        <v>0.33333333333333348</v>
      </c>
      <c r="U21" t="s">
        <v>4323</v>
      </c>
      <c r="V21" s="234" t="s">
        <v>255</v>
      </c>
      <c r="W21" s="50">
        <f>IFERROR(IF(N21="ROW",0,(WTG_BD[[#This Row],[Breakdown Time]]*WTG_BD[[#This Row],[Plant Equivalent Weightage]])),"")</f>
        <v>1.4492753623188415E-2</v>
      </c>
      <c r="X21" s="50"/>
      <c r="Y21" s="205">
        <v>1</v>
      </c>
      <c r="Z21" s="205"/>
      <c r="AA21" s="4">
        <v>2E-3</v>
      </c>
      <c r="AC21" s="4"/>
    </row>
    <row r="22" spans="1:29">
      <c r="A22" s="10">
        <f t="shared" si="0"/>
        <v>21</v>
      </c>
      <c r="B22" s="43">
        <f>YEAR(WTG_BD[[#This Row],[Date]])+IF(MONTH(WTG_BD[[#This Row],[Date]])&gt;=4,1,0)</f>
        <v>2026</v>
      </c>
      <c r="C22" s="10">
        <v>2025</v>
      </c>
      <c r="D22" s="10" t="s">
        <v>4478</v>
      </c>
      <c r="E22" s="309">
        <f>WTG_BD[[#This Row],[Date]]-DAY(WTG_BD[[#This Row],[Date]])+1</f>
        <v>45748</v>
      </c>
      <c r="F22" s="32">
        <v>45748</v>
      </c>
      <c r="G22" t="s">
        <v>95</v>
      </c>
      <c r="H22" t="str">
        <f>IFERROR(VLOOKUP(WTG_BD[[#This Row],[Affected WTG]],'Basic Data'!$A$3:$E$25,2,0),"")</f>
        <v>O2R1</v>
      </c>
      <c r="I22" t="str">
        <f>IFERROR(VLOOKUP(WTG_BD[[#This Row],[Affected WTG]],'Basic Data'!$A$3:$E$25,3,0),"")</f>
        <v>KSIPL</v>
      </c>
      <c r="J22" s="355">
        <f>IFERROR(VLOOKUP(WTG_BD[[#This Row],[Affected WTG]],'Basic Data'!$A$3:$E$25,5,0),"")</f>
        <v>4.3478260869565223E-2</v>
      </c>
      <c r="K22" s="10">
        <v>3273</v>
      </c>
      <c r="L22" t="str">
        <f>IFERROR(VLOOKUP(WTG_BD[[#This Row],[Error Code]],'Basic Data'!S:T,2,0),"Incorrect Error Code")</f>
        <v>YawUntwistCCW: Code__,_______°</v>
      </c>
      <c r="M22" t="s">
        <v>1963</v>
      </c>
      <c r="O22" s="270">
        <v>0.37569444444444444</v>
      </c>
      <c r="P22" s="270">
        <v>0.37569444444444444</v>
      </c>
      <c r="Q22" s="270">
        <v>0.39027777777777778</v>
      </c>
      <c r="R22" s="356">
        <f>(WTG_BD[[#This Row],[Work Start TimeStamp]]-WTG_BD[[#This Row],[Fault Start TimeStamp]])*24</f>
        <v>0</v>
      </c>
      <c r="S22" s="34">
        <f>(WTG_BD[[#This Row],[Fault Clearance time]]-WTG_BD[[#This Row],[Work Start TimeStamp]])*24</f>
        <v>0.35000000000000009</v>
      </c>
      <c r="T22" s="34">
        <f>(WTG_BD[[#This Row],[Fault Clearance time]]-WTG_BD[[#This Row],[Fault Start TimeStamp]])*24</f>
        <v>0.35000000000000009</v>
      </c>
      <c r="U22" t="s">
        <v>4323</v>
      </c>
      <c r="V22" s="234" t="s">
        <v>255</v>
      </c>
      <c r="W22" s="50">
        <f>IFERROR(IF(N22="ROW",0,(WTG_BD[[#This Row],[Breakdown Time]]*WTG_BD[[#This Row],[Plant Equivalent Weightage]])),"")</f>
        <v>1.5217391304347832E-2</v>
      </c>
      <c r="X22" s="50"/>
      <c r="Y22" s="205">
        <v>1</v>
      </c>
      <c r="Z22" s="205"/>
      <c r="AA22" s="4">
        <v>2E-3</v>
      </c>
      <c r="AC22" s="4"/>
    </row>
    <row r="23" spans="1:29">
      <c r="A23" s="10">
        <f t="shared" si="0"/>
        <v>22</v>
      </c>
      <c r="B23" s="43">
        <f>YEAR(WTG_BD[[#This Row],[Date]])+IF(MONTH(WTG_BD[[#This Row],[Date]])&gt;=4,1,0)</f>
        <v>2026</v>
      </c>
      <c r="C23" s="10">
        <v>2025</v>
      </c>
      <c r="D23" s="10" t="s">
        <v>4478</v>
      </c>
      <c r="E23" s="309">
        <f>WTG_BD[[#This Row],[Date]]-DAY(WTG_BD[[#This Row],[Date]])+1</f>
        <v>45748</v>
      </c>
      <c r="F23" s="32">
        <v>45748</v>
      </c>
      <c r="G23" t="s">
        <v>92</v>
      </c>
      <c r="H23" t="str">
        <f>IFERROR(VLOOKUP(WTG_BD[[#This Row],[Affected WTG]],'Basic Data'!$A$3:$E$25,2,0),"")</f>
        <v>O2R2</v>
      </c>
      <c r="I23" t="str">
        <f>IFERROR(VLOOKUP(WTG_BD[[#This Row],[Affected WTG]],'Basic Data'!$A$3:$E$25,3,0),"")</f>
        <v>SIL</v>
      </c>
      <c r="J23" s="355">
        <f>IFERROR(VLOOKUP(WTG_BD[[#This Row],[Affected WTG]],'Basic Data'!$A$3:$E$25,5,0),"")</f>
        <v>4.3478260869565223E-2</v>
      </c>
      <c r="K23" s="10">
        <v>3273</v>
      </c>
      <c r="L23" t="str">
        <f>IFERROR(VLOOKUP(WTG_BD[[#This Row],[Error Code]],'Basic Data'!S:T,2,0),"Incorrect Error Code")</f>
        <v>YawUntwistCCW: Code__,_______°</v>
      </c>
      <c r="M23" t="s">
        <v>1963</v>
      </c>
      <c r="O23" s="270">
        <v>0.50208333333333333</v>
      </c>
      <c r="P23" s="270">
        <v>0.50208333333333333</v>
      </c>
      <c r="Q23" s="270">
        <v>0.51597222222222228</v>
      </c>
      <c r="R23" s="356">
        <f>(WTG_BD[[#This Row],[Work Start TimeStamp]]-WTG_BD[[#This Row],[Fault Start TimeStamp]])*24</f>
        <v>0</v>
      </c>
      <c r="S23" s="34">
        <f>(WTG_BD[[#This Row],[Fault Clearance time]]-WTG_BD[[#This Row],[Work Start TimeStamp]])*24</f>
        <v>0.33333333333333481</v>
      </c>
      <c r="T23" s="34">
        <f>(WTG_BD[[#This Row],[Fault Clearance time]]-WTG_BD[[#This Row],[Fault Start TimeStamp]])*24</f>
        <v>0.33333333333333481</v>
      </c>
      <c r="U23" t="s">
        <v>4323</v>
      </c>
      <c r="V23" s="234" t="s">
        <v>255</v>
      </c>
      <c r="W23" s="50">
        <f>IFERROR(IF(N23="ROW",0,(WTG_BD[[#This Row],[Breakdown Time]]*WTG_BD[[#This Row],[Plant Equivalent Weightage]])),"")</f>
        <v>1.4492753623188472E-2</v>
      </c>
      <c r="X23" s="50"/>
      <c r="Y23" s="205">
        <v>1</v>
      </c>
      <c r="Z23" s="205"/>
      <c r="AA23" s="4">
        <v>1E-3</v>
      </c>
      <c r="AC23" s="4"/>
    </row>
    <row r="24" spans="1:29">
      <c r="A24" s="10">
        <f t="shared" si="0"/>
        <v>23</v>
      </c>
      <c r="B24" s="43">
        <f>YEAR(WTG_BD[[#This Row],[Date]])+IF(MONTH(WTG_BD[[#This Row],[Date]])&gt;=4,1,0)</f>
        <v>2026</v>
      </c>
      <c r="C24" s="10">
        <v>2025</v>
      </c>
      <c r="D24" s="10" t="s">
        <v>4478</v>
      </c>
      <c r="E24" s="309">
        <f>WTG_BD[[#This Row],[Date]]-DAY(WTG_BD[[#This Row],[Date]])+1</f>
        <v>45748</v>
      </c>
      <c r="F24" s="32">
        <v>45748</v>
      </c>
      <c r="G24" t="s">
        <v>93</v>
      </c>
      <c r="H24" t="str">
        <f>IFERROR(VLOOKUP(WTG_BD[[#This Row],[Affected WTG]],'Basic Data'!$A$3:$E$25,2,0),"")</f>
        <v>O2R4</v>
      </c>
      <c r="I24" t="str">
        <f>IFERROR(VLOOKUP(WTG_BD[[#This Row],[Affected WTG]],'Basic Data'!$A$3:$E$25,3,0),"")</f>
        <v>SGDCIPL</v>
      </c>
      <c r="J24" s="355">
        <f>IFERROR(VLOOKUP(WTG_BD[[#This Row],[Affected WTG]],'Basic Data'!$A$3:$E$25,5,0),"")</f>
        <v>4.3478260869565223E-2</v>
      </c>
      <c r="K24" s="10">
        <v>3273</v>
      </c>
      <c r="L24" t="str">
        <f>IFERROR(VLOOKUP(WTG_BD[[#This Row],[Error Code]],'Basic Data'!S:T,2,0),"Incorrect Error Code")</f>
        <v>YawUntwistCCW: Code__,_______°</v>
      </c>
      <c r="M24" t="s">
        <v>1963</v>
      </c>
      <c r="O24" s="270">
        <v>0.40833333333333333</v>
      </c>
      <c r="P24" s="270">
        <v>0.54374999999999996</v>
      </c>
      <c r="Q24" s="270">
        <v>0.55763888888888902</v>
      </c>
      <c r="R24" s="356">
        <f>(WTG_BD[[#This Row],[Work Start TimeStamp]]-WTG_BD[[#This Row],[Fault Start TimeStamp]])*24</f>
        <v>3.2499999999999991</v>
      </c>
      <c r="S24" s="34">
        <f>(WTG_BD[[#This Row],[Fault Clearance time]]-WTG_BD[[#This Row],[Work Start TimeStamp]])*24</f>
        <v>0.33333333333333748</v>
      </c>
      <c r="T24" s="34">
        <f>(WTG_BD[[#This Row],[Fault Clearance time]]-WTG_BD[[#This Row],[Fault Start TimeStamp]])*24</f>
        <v>3.5833333333333366</v>
      </c>
      <c r="U24" t="s">
        <v>4323</v>
      </c>
      <c r="V24" s="234" t="s">
        <v>255</v>
      </c>
      <c r="W24" s="50">
        <f>IFERROR(IF(N24="ROW",0,(WTG_BD[[#This Row],[Breakdown Time]]*WTG_BD[[#This Row],[Plant Equivalent Weightage]])),"")</f>
        <v>0.15579710144927553</v>
      </c>
      <c r="X24" s="50"/>
      <c r="Y24" s="205">
        <v>1</v>
      </c>
      <c r="Z24" s="205"/>
      <c r="AA24" s="4">
        <v>1E-3</v>
      </c>
      <c r="AC24" s="4"/>
    </row>
    <row r="25" spans="1:29">
      <c r="A25" s="10">
        <f t="shared" si="0"/>
        <v>24</v>
      </c>
      <c r="B25" s="43">
        <f>YEAR(WTG_BD[[#This Row],[Date]])+IF(MONTH(WTG_BD[[#This Row],[Date]])&gt;=4,1,0)</f>
        <v>2026</v>
      </c>
      <c r="C25" s="10">
        <v>2025</v>
      </c>
      <c r="D25" s="10" t="s">
        <v>4478</v>
      </c>
      <c r="E25" s="309">
        <f>WTG_BD[[#This Row],[Date]]-DAY(WTG_BD[[#This Row],[Date]])+1</f>
        <v>45748</v>
      </c>
      <c r="F25" s="32">
        <v>45748</v>
      </c>
      <c r="G25" t="s">
        <v>97</v>
      </c>
      <c r="H25" t="str">
        <f>IFERROR(VLOOKUP(WTG_BD[[#This Row],[Affected WTG]],'Basic Data'!$A$3:$E$25,2,0),"")</f>
        <v>O2R3</v>
      </c>
      <c r="I25" t="str">
        <f>IFERROR(VLOOKUP(WTG_BD[[#This Row],[Affected WTG]],'Basic Data'!$A$3:$E$25,3,0),"")</f>
        <v>JK</v>
      </c>
      <c r="J25" s="355">
        <f>IFERROR(VLOOKUP(WTG_BD[[#This Row],[Affected WTG]],'Basic Data'!$A$3:$E$25,5,0),"")</f>
        <v>4.3478260869565223E-2</v>
      </c>
      <c r="K25" s="10">
        <v>3273</v>
      </c>
      <c r="L25" t="str">
        <f>IFERROR(VLOOKUP(WTG_BD[[#This Row],[Error Code]],'Basic Data'!S:T,2,0),"Incorrect Error Code")</f>
        <v>YawUntwistCCW: Code__,_______°</v>
      </c>
      <c r="M25" t="s">
        <v>1963</v>
      </c>
      <c r="O25" s="270">
        <v>0.45</v>
      </c>
      <c r="P25" s="270">
        <v>0.58541666666666703</v>
      </c>
      <c r="Q25" s="270">
        <v>0.59930555555555598</v>
      </c>
      <c r="R25" s="356">
        <f>(WTG_BD[[#This Row],[Work Start TimeStamp]]-WTG_BD[[#This Row],[Fault Start TimeStamp]])*24</f>
        <v>3.2500000000000084</v>
      </c>
      <c r="S25" s="34">
        <f>(WTG_BD[[#This Row],[Fault Clearance time]]-WTG_BD[[#This Row],[Work Start TimeStamp]])*24</f>
        <v>0.33333333333333481</v>
      </c>
      <c r="T25" s="34">
        <f>(WTG_BD[[#This Row],[Fault Clearance time]]-WTG_BD[[#This Row],[Fault Start TimeStamp]])*24</f>
        <v>3.5833333333333433</v>
      </c>
      <c r="U25" t="s">
        <v>4323</v>
      </c>
      <c r="V25" s="234" t="s">
        <v>255</v>
      </c>
      <c r="W25" s="50">
        <f>IFERROR(IF(N25="ROW",0,(WTG_BD[[#This Row],[Breakdown Time]]*WTG_BD[[#This Row],[Plant Equivalent Weightage]])),"")</f>
        <v>0.1557971014492758</v>
      </c>
      <c r="X25" s="50"/>
      <c r="Y25" s="205">
        <v>1</v>
      </c>
      <c r="Z25" s="205"/>
      <c r="AA25" s="4">
        <v>0.16500000000000001</v>
      </c>
      <c r="AC25" s="4"/>
    </row>
    <row r="26" spans="1:29">
      <c r="A26" s="10">
        <f t="shared" ref="A26:A89" si="2">A25+1</f>
        <v>25</v>
      </c>
      <c r="B26" s="43">
        <f>YEAR(WTG_BD[[#This Row],[Date]])+IF(MONTH(WTG_BD[[#This Row],[Date]])&gt;=4,1,0)</f>
        <v>2026</v>
      </c>
      <c r="C26" s="10">
        <v>2025</v>
      </c>
      <c r="D26" s="10" t="s">
        <v>4478</v>
      </c>
      <c r="E26" s="309">
        <f>WTG_BD[[#This Row],[Date]]-DAY(WTG_BD[[#This Row],[Date]])+1</f>
        <v>45748</v>
      </c>
      <c r="F26" s="32">
        <v>45749</v>
      </c>
      <c r="G26" t="s">
        <v>79</v>
      </c>
      <c r="H26" t="str">
        <f>IFERROR(VLOOKUP(WTG_BD[[#This Row],[Affected WTG]],'Basic Data'!$A$3:$E$25,2,0),"")</f>
        <v>O2R3</v>
      </c>
      <c r="I26" t="str">
        <f>IFERROR(VLOOKUP(WTG_BD[[#This Row],[Affected WTG]],'Basic Data'!$A$3:$E$25,3,0),"")</f>
        <v>JK</v>
      </c>
      <c r="J26" s="355">
        <f>IFERROR(VLOOKUP(WTG_BD[[#This Row],[Affected WTG]],'Basic Data'!$A$3:$E$25,5,0),"")</f>
        <v>4.3478260869565223E-2</v>
      </c>
      <c r="K26" s="10">
        <v>3487</v>
      </c>
      <c r="L26" t="str">
        <f>IFERROR(VLOOKUP(WTG_BD[[#This Row],[Error Code]],'Basic Data'!S:T,2,0),"Incorrect Error Code")</f>
        <v>Gear HSBearA Temp:___°C</v>
      </c>
      <c r="M26" t="s">
        <v>2114</v>
      </c>
      <c r="O26" s="270">
        <v>9.8611111111111108E-2</v>
      </c>
      <c r="P26" s="270">
        <v>9.8611111111111108E-2</v>
      </c>
      <c r="Q26" s="270">
        <v>0.11458333333333333</v>
      </c>
      <c r="R26" s="356">
        <f>(WTG_BD[[#This Row],[Work Start TimeStamp]]-WTG_BD[[#This Row],[Fault Start TimeStamp]])*24</f>
        <v>0</v>
      </c>
      <c r="S26" s="34">
        <f>(WTG_BD[[#This Row],[Fault Clearance time]]-WTG_BD[[#This Row],[Work Start TimeStamp]])*24</f>
        <v>0.3833333333333333</v>
      </c>
      <c r="T26" s="34">
        <f>(WTG_BD[[#This Row],[Fault Clearance time]]-WTG_BD[[#This Row],[Fault Start TimeStamp]])*24</f>
        <v>0.3833333333333333</v>
      </c>
      <c r="U26" t="s">
        <v>262</v>
      </c>
      <c r="V26" s="234" t="s">
        <v>255</v>
      </c>
      <c r="W26" s="50">
        <f>IFERROR(IF(N26="ROW",0,(WTG_BD[[#This Row],[Breakdown Time]]*WTG_BD[[#This Row],[Plant Equivalent Weightage]])),"")</f>
        <v>1.6666666666666666E-2</v>
      </c>
      <c r="X26" s="50"/>
      <c r="Y26" s="205">
        <v>1</v>
      </c>
      <c r="Z26" s="205"/>
      <c r="AC26" s="4"/>
    </row>
    <row r="27" spans="1:29">
      <c r="A27" s="10">
        <f t="shared" si="2"/>
        <v>26</v>
      </c>
      <c r="B27" s="43">
        <f>YEAR(WTG_BD[[#This Row],[Date]])+IF(MONTH(WTG_BD[[#This Row],[Date]])&gt;=4,1,0)</f>
        <v>2026</v>
      </c>
      <c r="C27" s="10">
        <v>2025</v>
      </c>
      <c r="D27" s="10" t="s">
        <v>4478</v>
      </c>
      <c r="E27" s="309">
        <f>WTG_BD[[#This Row],[Date]]-DAY(WTG_BD[[#This Row],[Date]])+1</f>
        <v>45748</v>
      </c>
      <c r="F27" s="32">
        <v>45749</v>
      </c>
      <c r="G27" t="s">
        <v>79</v>
      </c>
      <c r="H27" t="str">
        <f>IFERROR(VLOOKUP(WTG_BD[[#This Row],[Affected WTG]],'Basic Data'!$A$3:$E$25,2,0),"")</f>
        <v>O2R3</v>
      </c>
      <c r="I27" t="str">
        <f>IFERROR(VLOOKUP(WTG_BD[[#This Row],[Affected WTG]],'Basic Data'!$A$3:$E$25,3,0),"")</f>
        <v>JK</v>
      </c>
      <c r="J27" s="355">
        <f>IFERROR(VLOOKUP(WTG_BD[[#This Row],[Affected WTG]],'Basic Data'!$A$3:$E$25,5,0),"")</f>
        <v>4.3478260869565223E-2</v>
      </c>
      <c r="K27" s="10">
        <v>3487</v>
      </c>
      <c r="L27" t="str">
        <f>IFERROR(VLOOKUP(WTG_BD[[#This Row],[Error Code]],'Basic Data'!S:T,2,0),"Incorrect Error Code")</f>
        <v>Gear HSBearA Temp:___°C</v>
      </c>
      <c r="M27" t="s">
        <v>2114</v>
      </c>
      <c r="O27" s="270">
        <v>0.32083333333333336</v>
      </c>
      <c r="P27" s="270">
        <v>0.32083333333333336</v>
      </c>
      <c r="Q27" s="270">
        <v>0.38819444444444445</v>
      </c>
      <c r="R27" s="356">
        <f>(WTG_BD[[#This Row],[Work Start TimeStamp]]-WTG_BD[[#This Row],[Fault Start TimeStamp]])*24</f>
        <v>0</v>
      </c>
      <c r="S27" s="34">
        <f>(WTG_BD[[#This Row],[Fault Clearance time]]-WTG_BD[[#This Row],[Work Start TimeStamp]])*24</f>
        <v>1.6166666666666663</v>
      </c>
      <c r="T27" s="34">
        <f>(WTG_BD[[#This Row],[Fault Clearance time]]-WTG_BD[[#This Row],[Fault Start TimeStamp]])*24</f>
        <v>1.6166666666666663</v>
      </c>
      <c r="U27" t="s">
        <v>4469</v>
      </c>
      <c r="V27" s="234" t="s">
        <v>255</v>
      </c>
      <c r="W27" s="50">
        <f>IFERROR(IF(N27="ROW",0,(WTG_BD[[#This Row],[Breakdown Time]]*WTG_BD[[#This Row],[Plant Equivalent Weightage]])),"")</f>
        <v>7.0289855072463756E-2</v>
      </c>
      <c r="X27" s="50"/>
      <c r="Y27" s="205">
        <v>1</v>
      </c>
      <c r="Z27" s="205"/>
      <c r="AC27" s="4"/>
    </row>
    <row r="28" spans="1:29">
      <c r="A28" s="10">
        <f t="shared" si="2"/>
        <v>27</v>
      </c>
      <c r="B28" s="43">
        <f>YEAR(WTG_BD[[#This Row],[Date]])+IF(MONTH(WTG_BD[[#This Row],[Date]])&gt;=4,1,0)</f>
        <v>2026</v>
      </c>
      <c r="C28" s="10">
        <v>2025</v>
      </c>
      <c r="D28" s="10" t="s">
        <v>4478</v>
      </c>
      <c r="E28" s="309">
        <f>WTG_BD[[#This Row],[Date]]-DAY(WTG_BD[[#This Row],[Date]])+1</f>
        <v>45748</v>
      </c>
      <c r="F28" s="32">
        <v>45749</v>
      </c>
      <c r="G28" t="s">
        <v>82</v>
      </c>
      <c r="H28" t="str">
        <f>IFERROR(VLOOKUP(WTG_BD[[#This Row],[Affected WTG]],'Basic Data'!$A$3:$E$25,2,0),"")</f>
        <v>O2R3</v>
      </c>
      <c r="I28" t="str">
        <f>IFERROR(VLOOKUP(WTG_BD[[#This Row],[Affected WTG]],'Basic Data'!$A$3:$E$25,3,0),"")</f>
        <v>JK</v>
      </c>
      <c r="J28" s="355">
        <f>IFERROR(VLOOKUP(WTG_BD[[#This Row],[Affected WTG]],'Basic Data'!$A$3:$E$25,5,0),"")</f>
        <v>4.3478260869565223E-2</v>
      </c>
      <c r="K28" s="10">
        <v>309</v>
      </c>
      <c r="L28" t="str">
        <f>IFERROR(VLOOKUP(WTG_BD[[#This Row],[Error Code]],'Basic Data'!S:T,2,0),"Incorrect Error Code")</f>
        <v>Pause over RCS __0</v>
      </c>
      <c r="M28" t="s">
        <v>871</v>
      </c>
      <c r="O28" s="270">
        <v>0.41875000000000001</v>
      </c>
      <c r="P28" s="270">
        <v>0.41875000000000001</v>
      </c>
      <c r="Q28" s="270">
        <v>0.74722222222222223</v>
      </c>
      <c r="R28" s="356">
        <f>(WTG_BD[[#This Row],[Work Start TimeStamp]]-WTG_BD[[#This Row],[Fault Start TimeStamp]])*24</f>
        <v>0</v>
      </c>
      <c r="S28" s="34">
        <f>(WTG_BD[[#This Row],[Fault Clearance time]]-WTG_BD[[#This Row],[Work Start TimeStamp]])*24</f>
        <v>7.8833333333333329</v>
      </c>
      <c r="T28" s="34">
        <f>(WTG_BD[[#This Row],[Fault Clearance time]]-WTG_BD[[#This Row],[Fault Start TimeStamp]])*24</f>
        <v>7.8833333333333329</v>
      </c>
      <c r="U28" t="s">
        <v>4464</v>
      </c>
      <c r="V28" s="234" t="s">
        <v>255</v>
      </c>
      <c r="W28" s="50">
        <f>IFERROR(IF(N28="ROW",0,(WTG_BD[[#This Row],[Breakdown Time]]*WTG_BD[[#This Row],[Plant Equivalent Weightage]])),"")</f>
        <v>0.3427536231884058</v>
      </c>
      <c r="X28" s="50"/>
      <c r="Y28" s="205">
        <v>1</v>
      </c>
      <c r="Z28" s="205"/>
      <c r="AC28" s="4"/>
    </row>
    <row r="29" spans="1:29">
      <c r="A29" s="10">
        <f t="shared" si="2"/>
        <v>28</v>
      </c>
      <c r="B29" s="43">
        <f>YEAR(WTG_BD[[#This Row],[Date]])+IF(MONTH(WTG_BD[[#This Row],[Date]])&gt;=4,1,0)</f>
        <v>2026</v>
      </c>
      <c r="C29" s="10">
        <v>2025</v>
      </c>
      <c r="D29" s="10" t="s">
        <v>4478</v>
      </c>
      <c r="E29" s="309">
        <f>WTG_BD[[#This Row],[Date]]-DAY(WTG_BD[[#This Row],[Date]])+1</f>
        <v>45748</v>
      </c>
      <c r="F29" s="32">
        <v>45749</v>
      </c>
      <c r="G29" t="s">
        <v>92</v>
      </c>
      <c r="H29" t="str">
        <f>IFERROR(VLOOKUP(WTG_BD[[#This Row],[Affected WTG]],'Basic Data'!$A$3:$E$25,2,0),"")</f>
        <v>O2R2</v>
      </c>
      <c r="I29" t="str">
        <f>IFERROR(VLOOKUP(WTG_BD[[#This Row],[Affected WTG]],'Basic Data'!$A$3:$E$25,3,0),"")</f>
        <v>SIL</v>
      </c>
      <c r="J29" s="355">
        <f>IFERROR(VLOOKUP(WTG_BD[[#This Row],[Affected WTG]],'Basic Data'!$A$3:$E$25,5,0),"")</f>
        <v>4.3478260869565223E-2</v>
      </c>
      <c r="K29" s="10">
        <v>3483</v>
      </c>
      <c r="L29" t="str">
        <f>IFERROR(VLOOKUP(WTG_BD[[#This Row],[Error Code]],'Basic Data'!S:T,2,0),"Incorrect Error Code")</f>
        <v>GearOilTempLow ___°C</v>
      </c>
      <c r="M29" t="s">
        <v>2111</v>
      </c>
      <c r="O29" s="270">
        <v>0.25</v>
      </c>
      <c r="P29" s="270">
        <v>0.25</v>
      </c>
      <c r="Q29" s="270">
        <v>0.35902777777777778</v>
      </c>
      <c r="R29" s="356">
        <f>(WTG_BD[[#This Row],[Work Start TimeStamp]]-WTG_BD[[#This Row],[Fault Start TimeStamp]])*24</f>
        <v>0</v>
      </c>
      <c r="S29" s="34">
        <f>(WTG_BD[[#This Row],[Fault Clearance time]]-WTG_BD[[#This Row],[Work Start TimeStamp]])*24</f>
        <v>2.6166666666666667</v>
      </c>
      <c r="T29" s="34">
        <f>(WTG_BD[[#This Row],[Fault Clearance time]]-WTG_BD[[#This Row],[Fault Start TimeStamp]])*24</f>
        <v>2.6166666666666667</v>
      </c>
      <c r="U29" t="s">
        <v>4470</v>
      </c>
      <c r="V29" s="234" t="s">
        <v>255</v>
      </c>
      <c r="W29" s="50">
        <f>IFERROR(IF(N29="ROW",0,(WTG_BD[[#This Row],[Breakdown Time]]*WTG_BD[[#This Row],[Plant Equivalent Weightage]])),"")</f>
        <v>0.113768115942029</v>
      </c>
      <c r="X29" s="50"/>
      <c r="Y29" s="205">
        <v>1</v>
      </c>
      <c r="Z29" s="205"/>
      <c r="AC29" s="4"/>
    </row>
    <row r="30" spans="1:29">
      <c r="A30" s="10">
        <f t="shared" si="2"/>
        <v>29</v>
      </c>
      <c r="B30" s="43">
        <f>YEAR(WTG_BD[[#This Row],[Date]])+IF(MONTH(WTG_BD[[#This Row],[Date]])&gt;=4,1,0)</f>
        <v>2026</v>
      </c>
      <c r="C30" s="10">
        <v>2025</v>
      </c>
      <c r="D30" s="10" t="s">
        <v>4478</v>
      </c>
      <c r="E30" s="309">
        <f>WTG_BD[[#This Row],[Date]]-DAY(WTG_BD[[#This Row],[Date]])+1</f>
        <v>45748</v>
      </c>
      <c r="F30" s="32">
        <v>45750</v>
      </c>
      <c r="G30" t="s">
        <v>76</v>
      </c>
      <c r="H30" t="str">
        <f>IFERROR(VLOOKUP(WTG_BD[[#This Row],[Affected WTG]],'Basic Data'!$A$3:$E$25,2,0),"")</f>
        <v>O2R1</v>
      </c>
      <c r="I30" t="str">
        <f>IFERROR(VLOOKUP(WTG_BD[[#This Row],[Affected WTG]],'Basic Data'!$A$3:$E$25,3,0),"")</f>
        <v>KSIPL</v>
      </c>
      <c r="J30" s="355">
        <f>IFERROR(VLOOKUP(WTG_BD[[#This Row],[Affected WTG]],'Basic Data'!$A$3:$E$25,5,0),"")</f>
        <v>4.3478260869565223E-2</v>
      </c>
      <c r="K30" s="10">
        <v>3273</v>
      </c>
      <c r="L30" t="str">
        <f>IFERROR(VLOOKUP(WTG_BD[[#This Row],[Error Code]],'Basic Data'!S:T,2,0),"Incorrect Error Code")</f>
        <v>YawUntwistCCW: Code__,_______°</v>
      </c>
      <c r="M30" t="s">
        <v>302</v>
      </c>
      <c r="O30" s="270">
        <v>0.20972222222222223</v>
      </c>
      <c r="P30" s="270">
        <v>0.20972222222222223</v>
      </c>
      <c r="Q30" s="270">
        <v>0.22361111111111112</v>
      </c>
      <c r="R30" s="356">
        <f>(WTG_BD[[#This Row],[Work Start TimeStamp]]-WTG_BD[[#This Row],[Fault Start TimeStamp]])*24</f>
        <v>0</v>
      </c>
      <c r="S30" s="34">
        <f>(WTG_BD[[#This Row],[Fault Clearance time]]-WTG_BD[[#This Row],[Work Start TimeStamp]])*24</f>
        <v>0.33333333333333348</v>
      </c>
      <c r="T30" s="34">
        <f>(WTG_BD[[#This Row],[Fault Clearance time]]-WTG_BD[[#This Row],[Fault Start TimeStamp]])*24</f>
        <v>0.33333333333333348</v>
      </c>
      <c r="U30" t="s">
        <v>4323</v>
      </c>
      <c r="V30" s="234" t="s">
        <v>255</v>
      </c>
      <c r="W30" s="50">
        <f>IFERROR(IF(N30="ROW",0,(WTG_BD[[#This Row],[Breakdown Time]]*WTG_BD[[#This Row],[Plant Equivalent Weightage]])),"")</f>
        <v>1.4492753623188415E-2</v>
      </c>
      <c r="X30" s="50"/>
      <c r="Y30" s="205">
        <v>1</v>
      </c>
      <c r="Z30" s="205"/>
      <c r="AC30" s="4"/>
    </row>
    <row r="31" spans="1:29">
      <c r="A31" s="10">
        <f t="shared" si="2"/>
        <v>30</v>
      </c>
      <c r="B31" s="43">
        <f>YEAR(WTG_BD[[#This Row],[Date]])+IF(MONTH(WTG_BD[[#This Row],[Date]])&gt;=4,1,0)</f>
        <v>2026</v>
      </c>
      <c r="C31" s="10">
        <v>2025</v>
      </c>
      <c r="D31" s="10" t="s">
        <v>4478</v>
      </c>
      <c r="E31" s="309">
        <f>WTG_BD[[#This Row],[Date]]-DAY(WTG_BD[[#This Row],[Date]])+1</f>
        <v>45748</v>
      </c>
      <c r="F31" s="32">
        <v>45750</v>
      </c>
      <c r="G31" t="s">
        <v>77</v>
      </c>
      <c r="H31" t="str">
        <f>IFERROR(VLOOKUP(WTG_BD[[#This Row],[Affected WTG]],'Basic Data'!$A$3:$E$25,2,0),"")</f>
        <v>O2R3</v>
      </c>
      <c r="I31" t="str">
        <f>IFERROR(VLOOKUP(WTG_BD[[#This Row],[Affected WTG]],'Basic Data'!$A$3:$E$25,3,0),"")</f>
        <v>JK</v>
      </c>
      <c r="J31" s="355">
        <f>IFERROR(VLOOKUP(WTG_BD[[#This Row],[Affected WTG]],'Basic Data'!$A$3:$E$25,5,0),"")</f>
        <v>4.3478260869565223E-2</v>
      </c>
      <c r="K31" s="10">
        <v>3273</v>
      </c>
      <c r="L31" t="str">
        <f>IFERROR(VLOOKUP(WTG_BD[[#This Row],[Error Code]],'Basic Data'!S:T,2,0),"Incorrect Error Code")</f>
        <v>YawUntwistCCW: Code__,_______°</v>
      </c>
      <c r="M31" t="s">
        <v>4471</v>
      </c>
      <c r="O31" s="270">
        <v>0.84305555555555556</v>
      </c>
      <c r="P31" s="270">
        <v>0.84305555555555556</v>
      </c>
      <c r="Q31" s="270">
        <v>0.86319444444444449</v>
      </c>
      <c r="R31" s="356">
        <f>(WTG_BD[[#This Row],[Work Start TimeStamp]]-WTG_BD[[#This Row],[Fault Start TimeStamp]])*24</f>
        <v>0</v>
      </c>
      <c r="S31" s="34">
        <f>(WTG_BD[[#This Row],[Fault Clearance time]]-WTG_BD[[#This Row],[Work Start TimeStamp]])*24</f>
        <v>0.48333333333333428</v>
      </c>
      <c r="T31" s="34">
        <f>(WTG_BD[[#This Row],[Fault Clearance time]]-WTG_BD[[#This Row],[Fault Start TimeStamp]])*24</f>
        <v>0.48333333333333428</v>
      </c>
      <c r="U31" t="s">
        <v>4323</v>
      </c>
      <c r="V31" s="234" t="s">
        <v>255</v>
      </c>
      <c r="W31" s="50">
        <f>IFERROR(IF(N31="ROW",0,(WTG_BD[[#This Row],[Breakdown Time]]*WTG_BD[[#This Row],[Plant Equivalent Weightage]])),"")</f>
        <v>2.1014492753623232E-2</v>
      </c>
      <c r="X31" s="50"/>
      <c r="Y31" s="205">
        <v>1</v>
      </c>
      <c r="Z31" s="205"/>
      <c r="AC31" s="4"/>
    </row>
    <row r="32" spans="1:29">
      <c r="A32" s="10">
        <f t="shared" si="2"/>
        <v>31</v>
      </c>
      <c r="B32" s="43">
        <f>YEAR(WTG_BD[[#This Row],[Date]])+IF(MONTH(WTG_BD[[#This Row],[Date]])&gt;=4,1,0)</f>
        <v>2026</v>
      </c>
      <c r="C32" s="10">
        <v>2025</v>
      </c>
      <c r="D32" s="10" t="s">
        <v>4478</v>
      </c>
      <c r="E32" s="309">
        <f>WTG_BD[[#This Row],[Date]]-DAY(WTG_BD[[#This Row],[Date]])+1</f>
        <v>45748</v>
      </c>
      <c r="F32" s="32">
        <v>45750</v>
      </c>
      <c r="G32" t="s">
        <v>80</v>
      </c>
      <c r="H32" t="str">
        <f>IFERROR(VLOOKUP(WTG_BD[[#This Row],[Affected WTG]],'Basic Data'!$A$3:$E$25,2,0),"")</f>
        <v>O2R3</v>
      </c>
      <c r="I32" t="str">
        <f>IFERROR(VLOOKUP(WTG_BD[[#This Row],[Affected WTG]],'Basic Data'!$A$3:$E$25,3,0),"")</f>
        <v>JK</v>
      </c>
      <c r="J32" s="355">
        <f>IFERROR(VLOOKUP(WTG_BD[[#This Row],[Affected WTG]],'Basic Data'!$A$3:$E$25,5,0),"")</f>
        <v>4.3478260869565223E-2</v>
      </c>
      <c r="K32" s="10">
        <v>3273</v>
      </c>
      <c r="L32" t="str">
        <f>IFERROR(VLOOKUP(WTG_BD[[#This Row],[Error Code]],'Basic Data'!S:T,2,0),"Incorrect Error Code")</f>
        <v>YawUntwistCCW: Code__,_______°</v>
      </c>
      <c r="M32" t="s">
        <v>318</v>
      </c>
      <c r="O32" s="270">
        <v>0.15069444444444444</v>
      </c>
      <c r="P32" s="270">
        <v>0.15069444444444444</v>
      </c>
      <c r="Q32" s="270">
        <v>0.16527777777777777</v>
      </c>
      <c r="R32" s="356">
        <f>(WTG_BD[[#This Row],[Work Start TimeStamp]]-WTG_BD[[#This Row],[Fault Start TimeStamp]])*24</f>
        <v>0</v>
      </c>
      <c r="S32" s="34">
        <f>(WTG_BD[[#This Row],[Fault Clearance time]]-WTG_BD[[#This Row],[Work Start TimeStamp]])*24</f>
        <v>0.35000000000000009</v>
      </c>
      <c r="T32" s="34">
        <f>(WTG_BD[[#This Row],[Fault Clearance time]]-WTG_BD[[#This Row],[Fault Start TimeStamp]])*24</f>
        <v>0.35000000000000009</v>
      </c>
      <c r="U32" t="s">
        <v>4323</v>
      </c>
      <c r="V32" s="234" t="s">
        <v>255</v>
      </c>
      <c r="W32" s="50">
        <f>IFERROR(IF(N32="ROW",0,(WTG_BD[[#This Row],[Breakdown Time]]*WTG_BD[[#This Row],[Plant Equivalent Weightage]])),"")</f>
        <v>1.5217391304347832E-2</v>
      </c>
      <c r="X32" s="50"/>
      <c r="Y32" s="205">
        <v>1</v>
      </c>
      <c r="Z32" s="205"/>
      <c r="AC32" s="4"/>
    </row>
    <row r="33" spans="1:29">
      <c r="A33" s="10">
        <f t="shared" si="2"/>
        <v>32</v>
      </c>
      <c r="B33" s="43">
        <f>YEAR(WTG_BD[[#This Row],[Date]])+IF(MONTH(WTG_BD[[#This Row],[Date]])&gt;=4,1,0)</f>
        <v>2026</v>
      </c>
      <c r="C33" s="10">
        <v>2025</v>
      </c>
      <c r="D33" s="10" t="s">
        <v>4478</v>
      </c>
      <c r="E33" s="309">
        <f>WTG_BD[[#This Row],[Date]]-DAY(WTG_BD[[#This Row],[Date]])+1</f>
        <v>45748</v>
      </c>
      <c r="F33" s="32">
        <v>45750</v>
      </c>
      <c r="G33" t="s">
        <v>80</v>
      </c>
      <c r="H33" t="str">
        <f>IFERROR(VLOOKUP(WTG_BD[[#This Row],[Affected WTG]],'Basic Data'!$A$3:$E$25,2,0),"")</f>
        <v>O2R3</v>
      </c>
      <c r="I33" t="str">
        <f>IFERROR(VLOOKUP(WTG_BD[[#This Row],[Affected WTG]],'Basic Data'!$A$3:$E$25,3,0),"")</f>
        <v>JK</v>
      </c>
      <c r="J33" s="355">
        <f>IFERROR(VLOOKUP(WTG_BD[[#This Row],[Affected WTG]],'Basic Data'!$A$3:$E$25,5,0),"")</f>
        <v>4.3478260869565223E-2</v>
      </c>
      <c r="K33" s="10">
        <v>158</v>
      </c>
      <c r="L33" t="str">
        <f>IFERROR(VLOOKUP(WTG_BD[[#This Row],[Error Code]],'Basic Data'!S:T,2,0),"Incorrect Error Code")</f>
        <v>Rotor:__._RPM, Gen.:____._ RPM</v>
      </c>
      <c r="M33" t="s">
        <v>4472</v>
      </c>
      <c r="N33" t="s">
        <v>113</v>
      </c>
      <c r="O33" s="270">
        <v>0.83125000000000004</v>
      </c>
      <c r="P33" s="270">
        <v>0.83125000000000004</v>
      </c>
      <c r="Q33" s="270">
        <v>0.8354166666666667</v>
      </c>
      <c r="R33" s="356">
        <f>(WTG_BD[[#This Row],[Work Start TimeStamp]]-WTG_BD[[#This Row],[Fault Start TimeStamp]])*24</f>
        <v>0</v>
      </c>
      <c r="S33" s="34">
        <f>(WTG_BD[[#This Row],[Fault Clearance time]]-WTG_BD[[#This Row],[Work Start TimeStamp]])*24</f>
        <v>9.9999999999999645E-2</v>
      </c>
      <c r="T33" s="34">
        <f>(WTG_BD[[#This Row],[Fault Clearance time]]-WTG_BD[[#This Row],[Fault Start TimeStamp]])*24</f>
        <v>9.9999999999999645E-2</v>
      </c>
      <c r="U33" t="s">
        <v>262</v>
      </c>
      <c r="V33" s="234" t="s">
        <v>255</v>
      </c>
      <c r="W33" s="50">
        <f>IFERROR(IF(N33="ROW",0,(WTG_BD[[#This Row],[Breakdown Time]]*WTG_BD[[#This Row],[Plant Equivalent Weightage]])),"")</f>
        <v>4.347826086956507E-3</v>
      </c>
      <c r="X33" s="50"/>
      <c r="Y33" s="205">
        <v>1</v>
      </c>
      <c r="Z33" s="205"/>
      <c r="AC33" s="4"/>
    </row>
    <row r="34" spans="1:29">
      <c r="A34" s="10">
        <f t="shared" si="2"/>
        <v>33</v>
      </c>
      <c r="B34" s="43">
        <f>YEAR(WTG_BD[[#This Row],[Date]])+IF(MONTH(WTG_BD[[#This Row],[Date]])&gt;=4,1,0)</f>
        <v>2026</v>
      </c>
      <c r="C34" s="10">
        <v>2025</v>
      </c>
      <c r="D34" s="10" t="s">
        <v>4478</v>
      </c>
      <c r="E34" s="309">
        <f>WTG_BD[[#This Row],[Date]]-DAY(WTG_BD[[#This Row],[Date]])+1</f>
        <v>45748</v>
      </c>
      <c r="F34" s="32">
        <v>45750</v>
      </c>
      <c r="G34" t="s">
        <v>80</v>
      </c>
      <c r="H34" t="str">
        <f>IFERROR(VLOOKUP(WTG_BD[[#This Row],[Affected WTG]],'Basic Data'!$A$3:$E$25,2,0),"")</f>
        <v>O2R3</v>
      </c>
      <c r="I34" t="str">
        <f>IFERROR(VLOOKUP(WTG_BD[[#This Row],[Affected WTG]],'Basic Data'!$A$3:$E$25,3,0),"")</f>
        <v>JK</v>
      </c>
      <c r="J34" s="355">
        <f>IFERROR(VLOOKUP(WTG_BD[[#This Row],[Affected WTG]],'Basic Data'!$A$3:$E$25,5,0),"")</f>
        <v>4.3478260869565223E-2</v>
      </c>
      <c r="K34" s="10">
        <v>3273</v>
      </c>
      <c r="L34" t="str">
        <f>IFERROR(VLOOKUP(WTG_BD[[#This Row],[Error Code]],'Basic Data'!S:T,2,0),"Incorrect Error Code")</f>
        <v>YawUntwistCCW: Code__,_______°</v>
      </c>
      <c r="M34" t="s">
        <v>318</v>
      </c>
      <c r="O34" s="270">
        <v>0.87847222222222221</v>
      </c>
      <c r="P34" s="270">
        <v>0.87847222222222221</v>
      </c>
      <c r="Q34" s="270">
        <v>0.89375000000000004</v>
      </c>
      <c r="R34" s="356">
        <f>(WTG_BD[[#This Row],[Work Start TimeStamp]]-WTG_BD[[#This Row],[Fault Start TimeStamp]])*24</f>
        <v>0</v>
      </c>
      <c r="S34" s="34">
        <f>(WTG_BD[[#This Row],[Fault Clearance time]]-WTG_BD[[#This Row],[Work Start TimeStamp]])*24</f>
        <v>0.36666666666666803</v>
      </c>
      <c r="T34" s="34">
        <f>(WTG_BD[[#This Row],[Fault Clearance time]]-WTG_BD[[#This Row],[Fault Start TimeStamp]])*24</f>
        <v>0.36666666666666803</v>
      </c>
      <c r="U34" t="s">
        <v>4323</v>
      </c>
      <c r="V34" s="234" t="s">
        <v>255</v>
      </c>
      <c r="W34" s="50">
        <f>IFERROR(IF(N34="ROW",0,(WTG_BD[[#This Row],[Breakdown Time]]*WTG_BD[[#This Row],[Plant Equivalent Weightage]])),"")</f>
        <v>1.5942028985507308E-2</v>
      </c>
      <c r="X34" s="50"/>
      <c r="Y34" s="205">
        <v>1</v>
      </c>
      <c r="Z34" s="205"/>
      <c r="AC34" s="4"/>
    </row>
    <row r="35" spans="1:29">
      <c r="A35" s="10">
        <f t="shared" si="2"/>
        <v>34</v>
      </c>
      <c r="B35" s="43">
        <f>YEAR(WTG_BD[[#This Row],[Date]])+IF(MONTH(WTG_BD[[#This Row],[Date]])&gt;=4,1,0)</f>
        <v>2026</v>
      </c>
      <c r="C35" s="10">
        <v>2025</v>
      </c>
      <c r="D35" s="10" t="s">
        <v>4478</v>
      </c>
      <c r="E35" s="309">
        <f>WTG_BD[[#This Row],[Date]]-DAY(WTG_BD[[#This Row],[Date]])+1</f>
        <v>45748</v>
      </c>
      <c r="F35" s="32">
        <v>45750</v>
      </c>
      <c r="G35" t="s">
        <v>82</v>
      </c>
      <c r="H35" t="str">
        <f>IFERROR(VLOOKUP(WTG_BD[[#This Row],[Affected WTG]],'Basic Data'!$A$3:$E$25,2,0),"")</f>
        <v>O2R3</v>
      </c>
      <c r="I35" t="str">
        <f>IFERROR(VLOOKUP(WTG_BD[[#This Row],[Affected WTG]],'Basic Data'!$A$3:$E$25,3,0),"")</f>
        <v>JK</v>
      </c>
      <c r="J35" s="355">
        <f>IFERROR(VLOOKUP(WTG_BD[[#This Row],[Affected WTG]],'Basic Data'!$A$3:$E$25,5,0),"")</f>
        <v>4.3478260869565223E-2</v>
      </c>
      <c r="K35" s="10">
        <v>309</v>
      </c>
      <c r="L35" t="str">
        <f>IFERROR(VLOOKUP(WTG_BD[[#This Row],[Error Code]],'Basic Data'!S:T,2,0),"Incorrect Error Code")</f>
        <v>Pause over RCS __0</v>
      </c>
      <c r="M35" t="s">
        <v>871</v>
      </c>
      <c r="N35" t="s">
        <v>257</v>
      </c>
      <c r="O35" s="270">
        <v>0.43541666666666667</v>
      </c>
      <c r="P35" s="270">
        <v>0.43541666666666667</v>
      </c>
      <c r="Q35" s="270">
        <v>0.67152777777777772</v>
      </c>
      <c r="R35" s="356">
        <f>(WTG_BD[[#This Row],[Work Start TimeStamp]]-WTG_BD[[#This Row],[Fault Start TimeStamp]])*24</f>
        <v>0</v>
      </c>
      <c r="S35" s="34">
        <f>(WTG_BD[[#This Row],[Fault Clearance time]]-WTG_BD[[#This Row],[Work Start TimeStamp]])*24</f>
        <v>5.6666666666666652</v>
      </c>
      <c r="T35" s="34">
        <f>(WTG_BD[[#This Row],[Fault Clearance time]]-WTG_BD[[#This Row],[Fault Start TimeStamp]])*24</f>
        <v>5.6666666666666652</v>
      </c>
      <c r="U35" t="s">
        <v>4339</v>
      </c>
      <c r="V35" s="234" t="s">
        <v>255</v>
      </c>
      <c r="W35" s="50">
        <f>IFERROR(IF(N35="ROW",0,(WTG_BD[[#This Row],[Breakdown Time]]*WTG_BD[[#This Row],[Plant Equivalent Weightage]])),"")</f>
        <v>0.24637681159420285</v>
      </c>
      <c r="X35" s="50"/>
      <c r="Y35" s="205">
        <v>1</v>
      </c>
      <c r="Z35" s="205"/>
      <c r="AC35" s="4"/>
    </row>
    <row r="36" spans="1:29">
      <c r="A36" s="10">
        <f t="shared" si="2"/>
        <v>35</v>
      </c>
      <c r="B36" s="43">
        <f>YEAR(WTG_BD[[#This Row],[Date]])+IF(MONTH(WTG_BD[[#This Row],[Date]])&gt;=4,1,0)</f>
        <v>2026</v>
      </c>
      <c r="C36" s="10">
        <v>2025</v>
      </c>
      <c r="D36" s="10" t="s">
        <v>4478</v>
      </c>
      <c r="E36" s="309">
        <f>WTG_BD[[#This Row],[Date]]-DAY(WTG_BD[[#This Row],[Date]])+1</f>
        <v>45748</v>
      </c>
      <c r="F36" s="32">
        <v>45750</v>
      </c>
      <c r="G36" t="s">
        <v>84</v>
      </c>
      <c r="H36" t="str">
        <f>IFERROR(VLOOKUP(WTG_BD[[#This Row],[Affected WTG]],'Basic Data'!$A$3:$E$25,2,0),"")</f>
        <v>O2R3</v>
      </c>
      <c r="I36" t="str">
        <f>IFERROR(VLOOKUP(WTG_BD[[#This Row],[Affected WTG]],'Basic Data'!$A$3:$E$25,3,0),"")</f>
        <v>JK</v>
      </c>
      <c r="J36" s="355">
        <f>IFERROR(VLOOKUP(WTG_BD[[#This Row],[Affected WTG]],'Basic Data'!$A$3:$E$25,5,0),"")</f>
        <v>4.3478260869565223E-2</v>
      </c>
      <c r="K36" s="10">
        <v>3273</v>
      </c>
      <c r="L36" t="str">
        <f>IFERROR(VLOOKUP(WTG_BD[[#This Row],[Error Code]],'Basic Data'!S:T,2,0),"Incorrect Error Code")</f>
        <v>YawUntwistCCW: Code__,_______°</v>
      </c>
      <c r="M36" t="s">
        <v>318</v>
      </c>
      <c r="O36" s="270">
        <v>0.28333333333333333</v>
      </c>
      <c r="P36" s="270">
        <v>0.28333333333333333</v>
      </c>
      <c r="Q36" s="270">
        <v>0.29722222222222222</v>
      </c>
      <c r="R36" s="356">
        <f>(WTG_BD[[#This Row],[Work Start TimeStamp]]-WTG_BD[[#This Row],[Fault Start TimeStamp]])*24</f>
        <v>0</v>
      </c>
      <c r="S36" s="34">
        <f>(WTG_BD[[#This Row],[Fault Clearance time]]-WTG_BD[[#This Row],[Work Start TimeStamp]])*24</f>
        <v>0.33333333333333348</v>
      </c>
      <c r="T36" s="34">
        <f>(WTG_BD[[#This Row],[Fault Clearance time]]-WTG_BD[[#This Row],[Fault Start TimeStamp]])*24</f>
        <v>0.33333333333333348</v>
      </c>
      <c r="U36" t="s">
        <v>4323</v>
      </c>
      <c r="V36" s="234" t="s">
        <v>255</v>
      </c>
      <c r="W36" s="50">
        <f>IFERROR(IF(N36="ROW",0,(WTG_BD[[#This Row],[Breakdown Time]]*WTG_BD[[#This Row],[Plant Equivalent Weightage]])),"")</f>
        <v>1.4492753623188415E-2</v>
      </c>
      <c r="X36" s="50"/>
      <c r="Y36" s="205">
        <v>1</v>
      </c>
      <c r="Z36" s="205"/>
      <c r="AC36" s="4"/>
    </row>
    <row r="37" spans="1:29">
      <c r="A37" s="10">
        <f t="shared" si="2"/>
        <v>36</v>
      </c>
      <c r="B37" s="43">
        <f>YEAR(WTG_BD[[#This Row],[Date]])+IF(MONTH(WTG_BD[[#This Row],[Date]])&gt;=4,1,0)</f>
        <v>2026</v>
      </c>
      <c r="C37" s="10">
        <v>2025</v>
      </c>
      <c r="D37" s="10" t="s">
        <v>4478</v>
      </c>
      <c r="E37" s="309">
        <f>WTG_BD[[#This Row],[Date]]-DAY(WTG_BD[[#This Row],[Date]])+1</f>
        <v>45748</v>
      </c>
      <c r="F37" s="32">
        <v>45750</v>
      </c>
      <c r="G37" t="s">
        <v>85</v>
      </c>
      <c r="H37" t="str">
        <f>IFERROR(VLOOKUP(WTG_BD[[#This Row],[Affected WTG]],'Basic Data'!$A$3:$E$25,2,0),"")</f>
        <v>O2R1</v>
      </c>
      <c r="I37" t="str">
        <f>IFERROR(VLOOKUP(WTG_BD[[#This Row],[Affected WTG]],'Basic Data'!$A$3:$E$25,3,0),"")</f>
        <v>KSIPL</v>
      </c>
      <c r="J37" s="355">
        <f>IFERROR(VLOOKUP(WTG_BD[[#This Row],[Affected WTG]],'Basic Data'!$A$3:$E$25,5,0),"")</f>
        <v>4.3478260869565223E-2</v>
      </c>
      <c r="K37" s="10">
        <v>3273</v>
      </c>
      <c r="L37" t="str">
        <f>IFERROR(VLOOKUP(WTG_BD[[#This Row],[Error Code]],'Basic Data'!S:T,2,0),"Incorrect Error Code")</f>
        <v>YawUntwistCCW: Code__,_______°</v>
      </c>
      <c r="M37" t="s">
        <v>4312</v>
      </c>
      <c r="O37" s="270">
        <v>0.84652777777777777</v>
      </c>
      <c r="P37" s="270">
        <v>0.84652777777777777</v>
      </c>
      <c r="Q37" s="270">
        <v>0.86527777777777781</v>
      </c>
      <c r="R37" s="356">
        <f>(WTG_BD[[#This Row],[Work Start TimeStamp]]-WTG_BD[[#This Row],[Fault Start TimeStamp]])*24</f>
        <v>0</v>
      </c>
      <c r="S37" s="34">
        <f>(WTG_BD[[#This Row],[Fault Clearance time]]-WTG_BD[[#This Row],[Work Start TimeStamp]])*24</f>
        <v>0.45000000000000107</v>
      </c>
      <c r="T37" s="34">
        <f>(WTG_BD[[#This Row],[Fault Clearance time]]-WTG_BD[[#This Row],[Fault Start TimeStamp]])*24</f>
        <v>0.45000000000000107</v>
      </c>
      <c r="U37" t="s">
        <v>4323</v>
      </c>
      <c r="V37" s="234" t="s">
        <v>255</v>
      </c>
      <c r="W37" s="50">
        <f>IFERROR(IF(N37="ROW",0,(WTG_BD[[#This Row],[Breakdown Time]]*WTG_BD[[#This Row],[Plant Equivalent Weightage]])),"")</f>
        <v>1.9565217391304398E-2</v>
      </c>
      <c r="X37" s="50"/>
      <c r="Y37" s="205">
        <v>1</v>
      </c>
      <c r="Z37" s="205"/>
      <c r="AC37" s="4"/>
    </row>
    <row r="38" spans="1:29">
      <c r="A38" s="10">
        <f t="shared" si="2"/>
        <v>37</v>
      </c>
      <c r="B38" s="43">
        <f>YEAR(WTG_BD[[#This Row],[Date]])+IF(MONTH(WTG_BD[[#This Row],[Date]])&gt;=4,1,0)</f>
        <v>2026</v>
      </c>
      <c r="C38" s="10">
        <v>2025</v>
      </c>
      <c r="D38" s="10" t="s">
        <v>4478</v>
      </c>
      <c r="E38" s="309">
        <f>WTG_BD[[#This Row],[Date]]-DAY(WTG_BD[[#This Row],[Date]])+1</f>
        <v>45748</v>
      </c>
      <c r="F38" s="32">
        <v>45750</v>
      </c>
      <c r="G38" t="s">
        <v>86</v>
      </c>
      <c r="H38" t="str">
        <f>IFERROR(VLOOKUP(WTG_BD[[#This Row],[Affected WTG]],'Basic Data'!$A$3:$E$25,2,0),"")</f>
        <v>O2R1</v>
      </c>
      <c r="I38" t="str">
        <f>IFERROR(VLOOKUP(WTG_BD[[#This Row],[Affected WTG]],'Basic Data'!$A$3:$E$25,3,0),"")</f>
        <v>KSIPL</v>
      </c>
      <c r="J38" s="355">
        <f>IFERROR(VLOOKUP(WTG_BD[[#This Row],[Affected WTG]],'Basic Data'!$A$3:$E$25,5,0),"")</f>
        <v>4.3478260869565223E-2</v>
      </c>
      <c r="K38" s="10">
        <v>3273</v>
      </c>
      <c r="L38" t="str">
        <f>IFERROR(VLOOKUP(WTG_BD[[#This Row],[Error Code]],'Basic Data'!S:T,2,0),"Incorrect Error Code")</f>
        <v>YawUntwistCCW: Code__,_______°</v>
      </c>
      <c r="M38" t="s">
        <v>313</v>
      </c>
      <c r="O38" s="270">
        <v>0.21249999999999999</v>
      </c>
      <c r="P38" s="270">
        <v>0.21249999999999999</v>
      </c>
      <c r="Q38" s="270">
        <v>0.22708333333333333</v>
      </c>
      <c r="R38" s="356">
        <f>(WTG_BD[[#This Row],[Work Start TimeStamp]]-WTG_BD[[#This Row],[Fault Start TimeStamp]])*24</f>
        <v>0</v>
      </c>
      <c r="S38" s="34">
        <f>(WTG_BD[[#This Row],[Fault Clearance time]]-WTG_BD[[#This Row],[Work Start TimeStamp]])*24</f>
        <v>0.35000000000000009</v>
      </c>
      <c r="T38" s="34">
        <f>(WTG_BD[[#This Row],[Fault Clearance time]]-WTG_BD[[#This Row],[Fault Start TimeStamp]])*24</f>
        <v>0.35000000000000009</v>
      </c>
      <c r="U38" t="s">
        <v>4323</v>
      </c>
      <c r="V38" s="234" t="s">
        <v>255</v>
      </c>
      <c r="W38" s="50">
        <f>IFERROR(IF(N38="ROW",0,(WTG_BD[[#This Row],[Breakdown Time]]*WTG_BD[[#This Row],[Plant Equivalent Weightage]])),"")</f>
        <v>1.5217391304347832E-2</v>
      </c>
      <c r="X38" s="50"/>
      <c r="Y38" s="205">
        <v>1</v>
      </c>
      <c r="Z38" s="205"/>
      <c r="AC38" s="4"/>
    </row>
    <row r="39" spans="1:29">
      <c r="A39" s="10">
        <f t="shared" si="2"/>
        <v>38</v>
      </c>
      <c r="B39" s="43">
        <f>YEAR(WTG_BD[[#This Row],[Date]])+IF(MONTH(WTG_BD[[#This Row],[Date]])&gt;=4,1,0)</f>
        <v>2026</v>
      </c>
      <c r="C39" s="10">
        <v>2025</v>
      </c>
      <c r="D39" s="10" t="s">
        <v>4478</v>
      </c>
      <c r="E39" s="309">
        <f>WTG_BD[[#This Row],[Date]]-DAY(WTG_BD[[#This Row],[Date]])+1</f>
        <v>45748</v>
      </c>
      <c r="F39" s="32">
        <v>45750</v>
      </c>
      <c r="G39" t="s">
        <v>87</v>
      </c>
      <c r="H39" t="str">
        <f>IFERROR(VLOOKUP(WTG_BD[[#This Row],[Affected WTG]],'Basic Data'!$A$3:$E$25,2,0),"")</f>
        <v>O2R1</v>
      </c>
      <c r="I39" t="str">
        <f>IFERROR(VLOOKUP(WTG_BD[[#This Row],[Affected WTG]],'Basic Data'!$A$3:$E$25,3,0),"")</f>
        <v>KSIPL</v>
      </c>
      <c r="J39" s="355">
        <f>IFERROR(VLOOKUP(WTG_BD[[#This Row],[Affected WTG]],'Basic Data'!$A$3:$E$25,5,0),"")</f>
        <v>4.3478260869565223E-2</v>
      </c>
      <c r="K39" s="10">
        <v>3273</v>
      </c>
      <c r="L39" t="str">
        <f>IFERROR(VLOOKUP(WTG_BD[[#This Row],[Error Code]],'Basic Data'!S:T,2,0),"Incorrect Error Code")</f>
        <v>YawUntwistCCW: Code__,_______°</v>
      </c>
      <c r="M39" t="s">
        <v>4311</v>
      </c>
      <c r="O39" s="270">
        <v>0.85069444444444442</v>
      </c>
      <c r="P39" s="270">
        <v>0.85069444444444442</v>
      </c>
      <c r="Q39" s="270">
        <v>0.86944444444444446</v>
      </c>
      <c r="R39" s="356">
        <f>(WTG_BD[[#This Row],[Work Start TimeStamp]]-WTG_BD[[#This Row],[Fault Start TimeStamp]])*24</f>
        <v>0</v>
      </c>
      <c r="S39" s="34">
        <f>(WTG_BD[[#This Row],[Fault Clearance time]]-WTG_BD[[#This Row],[Work Start TimeStamp]])*24</f>
        <v>0.45000000000000107</v>
      </c>
      <c r="T39" s="34">
        <f>(WTG_BD[[#This Row],[Fault Clearance time]]-WTG_BD[[#This Row],[Fault Start TimeStamp]])*24</f>
        <v>0.45000000000000107</v>
      </c>
      <c r="U39" t="s">
        <v>4323</v>
      </c>
      <c r="V39" s="234" t="s">
        <v>255</v>
      </c>
      <c r="W39" s="50">
        <f>IFERROR(IF(N39="ROW",0,(WTG_BD[[#This Row],[Breakdown Time]]*WTG_BD[[#This Row],[Plant Equivalent Weightage]])),"")</f>
        <v>1.9565217391304398E-2</v>
      </c>
      <c r="X39" s="50"/>
      <c r="Y39" s="205">
        <v>1</v>
      </c>
      <c r="Z39" s="205"/>
      <c r="AC39" s="4"/>
    </row>
    <row r="40" spans="1:29">
      <c r="A40" s="10">
        <f t="shared" si="2"/>
        <v>39</v>
      </c>
      <c r="B40" s="43">
        <f>YEAR(WTG_BD[[#This Row],[Date]])+IF(MONTH(WTG_BD[[#This Row],[Date]])&gt;=4,1,0)</f>
        <v>2026</v>
      </c>
      <c r="C40" s="10">
        <v>2025</v>
      </c>
      <c r="D40" s="10" t="s">
        <v>4478</v>
      </c>
      <c r="E40" s="309">
        <f>WTG_BD[[#This Row],[Date]]-DAY(WTG_BD[[#This Row],[Date]])+1</f>
        <v>45748</v>
      </c>
      <c r="F40" s="32">
        <v>45750</v>
      </c>
      <c r="G40" t="s">
        <v>88</v>
      </c>
      <c r="H40" t="str">
        <f>IFERROR(VLOOKUP(WTG_BD[[#This Row],[Affected WTG]],'Basic Data'!$A$3:$E$25,2,0),"")</f>
        <v>O2R1</v>
      </c>
      <c r="I40" t="str">
        <f>IFERROR(VLOOKUP(WTG_BD[[#This Row],[Affected WTG]],'Basic Data'!$A$3:$E$25,3,0),"")</f>
        <v>KSIPL</v>
      </c>
      <c r="J40" s="355">
        <f>IFERROR(VLOOKUP(WTG_BD[[#This Row],[Affected WTG]],'Basic Data'!$A$3:$E$25,5,0),"")</f>
        <v>4.3478260869565223E-2</v>
      </c>
      <c r="K40" s="10">
        <v>5069</v>
      </c>
      <c r="L40" t="str">
        <f>IFERROR(VLOOKUP(WTG_BD[[#This Row],[Error Code]],'Basic Data'!S:T,2,0),"Incorrect Error Code")</f>
        <v>Pitch pos C meas. signal fault</v>
      </c>
      <c r="M40" t="s">
        <v>365</v>
      </c>
      <c r="N40" t="s">
        <v>113</v>
      </c>
      <c r="O40" s="270">
        <v>0.52847222222222223</v>
      </c>
      <c r="P40" s="270">
        <v>0.52847222222222223</v>
      </c>
      <c r="Q40" s="270">
        <v>0.65208333333333335</v>
      </c>
      <c r="R40" s="356">
        <f>(WTG_BD[[#This Row],[Work Start TimeStamp]]-WTG_BD[[#This Row],[Fault Start TimeStamp]])*24</f>
        <v>0</v>
      </c>
      <c r="S40" s="34">
        <f>(WTG_BD[[#This Row],[Fault Clearance time]]-WTG_BD[[#This Row],[Work Start TimeStamp]])*24</f>
        <v>2.9666666666666668</v>
      </c>
      <c r="T40" s="34">
        <f>(WTG_BD[[#This Row],[Fault Clearance time]]-WTG_BD[[#This Row],[Fault Start TimeStamp]])*24</f>
        <v>2.9666666666666668</v>
      </c>
      <c r="U40" t="s">
        <v>4469</v>
      </c>
      <c r="V40" s="234" t="s">
        <v>255</v>
      </c>
      <c r="W40" s="50">
        <f>IFERROR(IF(N40="ROW",0,(WTG_BD[[#This Row],[Breakdown Time]]*WTG_BD[[#This Row],[Plant Equivalent Weightage]])),"")</f>
        <v>0.12898550724637683</v>
      </c>
      <c r="X40" s="50"/>
      <c r="Y40" s="205">
        <v>1</v>
      </c>
      <c r="Z40" s="205"/>
      <c r="AC40" s="4"/>
    </row>
    <row r="41" spans="1:29">
      <c r="A41" s="10">
        <f t="shared" si="2"/>
        <v>40</v>
      </c>
      <c r="B41" s="43">
        <f>YEAR(WTG_BD[[#This Row],[Date]])+IF(MONTH(WTG_BD[[#This Row],[Date]])&gt;=4,1,0)</f>
        <v>2026</v>
      </c>
      <c r="C41" s="10">
        <v>2025</v>
      </c>
      <c r="D41" s="10" t="s">
        <v>4478</v>
      </c>
      <c r="E41" s="309">
        <f>WTG_BD[[#This Row],[Date]]-DAY(WTG_BD[[#This Row],[Date]])+1</f>
        <v>45748</v>
      </c>
      <c r="F41" s="32">
        <v>45750</v>
      </c>
      <c r="G41" t="s">
        <v>88</v>
      </c>
      <c r="H41" t="str">
        <f>IFERROR(VLOOKUP(WTG_BD[[#This Row],[Affected WTG]],'Basic Data'!$A$3:$E$25,2,0),"")</f>
        <v>O2R1</v>
      </c>
      <c r="I41" t="str">
        <f>IFERROR(VLOOKUP(WTG_BD[[#This Row],[Affected WTG]],'Basic Data'!$A$3:$E$25,3,0),"")</f>
        <v>KSIPL</v>
      </c>
      <c r="J41" s="355">
        <f>IFERROR(VLOOKUP(WTG_BD[[#This Row],[Affected WTG]],'Basic Data'!$A$3:$E$25,5,0),"")</f>
        <v>4.3478260869565223E-2</v>
      </c>
      <c r="K41" s="10">
        <v>3273</v>
      </c>
      <c r="L41" t="str">
        <f>IFERROR(VLOOKUP(WTG_BD[[#This Row],[Error Code]],'Basic Data'!S:T,2,0),"Incorrect Error Code")</f>
        <v>YawUntwistCCW: Code__,_______°</v>
      </c>
      <c r="M41" t="s">
        <v>308</v>
      </c>
      <c r="O41" s="270">
        <v>0.84861111111111109</v>
      </c>
      <c r="P41" s="270">
        <v>0.84861111111111109</v>
      </c>
      <c r="Q41" s="270">
        <v>0.86736111111111114</v>
      </c>
      <c r="R41" s="356">
        <f>(WTG_BD[[#This Row],[Work Start TimeStamp]]-WTG_BD[[#This Row],[Fault Start TimeStamp]])*24</f>
        <v>0</v>
      </c>
      <c r="S41" s="34">
        <f>(WTG_BD[[#This Row],[Fault Clearance time]]-WTG_BD[[#This Row],[Work Start TimeStamp]])*24</f>
        <v>0.45000000000000107</v>
      </c>
      <c r="T41" s="34">
        <f>(WTG_BD[[#This Row],[Fault Clearance time]]-WTG_BD[[#This Row],[Fault Start TimeStamp]])*24</f>
        <v>0.45000000000000107</v>
      </c>
      <c r="U41" t="s">
        <v>4323</v>
      </c>
      <c r="V41" s="234" t="s">
        <v>255</v>
      </c>
      <c r="W41" s="50">
        <f>IFERROR(IF(N41="ROW",0,(WTG_BD[[#This Row],[Breakdown Time]]*WTG_BD[[#This Row],[Plant Equivalent Weightage]])),"")</f>
        <v>1.9565217391304398E-2</v>
      </c>
      <c r="X41" s="50"/>
      <c r="Y41" s="205">
        <v>1</v>
      </c>
      <c r="Z41" s="205"/>
      <c r="AC41" s="4"/>
    </row>
    <row r="42" spans="1:29">
      <c r="A42" s="10">
        <f t="shared" si="2"/>
        <v>41</v>
      </c>
      <c r="B42" s="43">
        <f>YEAR(WTG_BD[[#This Row],[Date]])+IF(MONTH(WTG_BD[[#This Row],[Date]])&gt;=4,1,0)</f>
        <v>2026</v>
      </c>
      <c r="C42" s="10">
        <v>2025</v>
      </c>
      <c r="D42" s="10" t="s">
        <v>4478</v>
      </c>
      <c r="E42" s="309">
        <f>WTG_BD[[#This Row],[Date]]-DAY(WTG_BD[[#This Row],[Date]])+1</f>
        <v>45748</v>
      </c>
      <c r="F42" s="32">
        <v>45750</v>
      </c>
      <c r="G42" t="s">
        <v>89</v>
      </c>
      <c r="H42" t="str">
        <f>IFERROR(VLOOKUP(WTG_BD[[#This Row],[Affected WTG]],'Basic Data'!$A$3:$E$25,2,0),"")</f>
        <v>O2R1</v>
      </c>
      <c r="I42" t="str">
        <f>IFERROR(VLOOKUP(WTG_BD[[#This Row],[Affected WTG]],'Basic Data'!$A$3:$E$25,3,0),"")</f>
        <v>KSIPL</v>
      </c>
      <c r="J42" s="355">
        <f>IFERROR(VLOOKUP(WTG_BD[[#This Row],[Affected WTG]],'Basic Data'!$A$3:$E$25,5,0),"")</f>
        <v>4.3478260869565223E-2</v>
      </c>
      <c r="K42" s="10">
        <v>3273</v>
      </c>
      <c r="L42" t="str">
        <f>IFERROR(VLOOKUP(WTG_BD[[#This Row],[Error Code]],'Basic Data'!S:T,2,0),"Incorrect Error Code")</f>
        <v>YawUntwistCCW: Code__,_______°</v>
      </c>
      <c r="M42" t="s">
        <v>4473</v>
      </c>
      <c r="O42" s="270">
        <v>0.86388888888888893</v>
      </c>
      <c r="P42" s="270">
        <v>0.86388888888888893</v>
      </c>
      <c r="Q42" s="270">
        <v>0.87986111111111109</v>
      </c>
      <c r="R42" s="356">
        <f>(WTG_BD[[#This Row],[Work Start TimeStamp]]-WTG_BD[[#This Row],[Fault Start TimeStamp]])*24</f>
        <v>0</v>
      </c>
      <c r="S42" s="34">
        <f>(WTG_BD[[#This Row],[Fault Clearance time]]-WTG_BD[[#This Row],[Work Start TimeStamp]])*24</f>
        <v>0.38333333333333197</v>
      </c>
      <c r="T42" s="34">
        <f>(WTG_BD[[#This Row],[Fault Clearance time]]-WTG_BD[[#This Row],[Fault Start TimeStamp]])*24</f>
        <v>0.38333333333333197</v>
      </c>
      <c r="U42" t="s">
        <v>4323</v>
      </c>
      <c r="V42" s="234" t="s">
        <v>255</v>
      </c>
      <c r="W42" s="50">
        <f>IFERROR(IF(N42="ROW",0,(WTG_BD[[#This Row],[Breakdown Time]]*WTG_BD[[#This Row],[Plant Equivalent Weightage]])),"")</f>
        <v>1.6666666666666611E-2</v>
      </c>
      <c r="X42" s="50"/>
      <c r="Y42" s="205">
        <v>1</v>
      </c>
      <c r="Z42" s="205"/>
      <c r="AC42" s="4"/>
    </row>
    <row r="43" spans="1:29">
      <c r="A43" s="10">
        <f t="shared" si="2"/>
        <v>42</v>
      </c>
      <c r="B43" s="43">
        <f>YEAR(WTG_BD[[#This Row],[Date]])+IF(MONTH(WTG_BD[[#This Row],[Date]])&gt;=4,1,0)</f>
        <v>2026</v>
      </c>
      <c r="C43" s="10">
        <v>2025</v>
      </c>
      <c r="D43" s="10" t="s">
        <v>4478</v>
      </c>
      <c r="E43" s="309">
        <f>WTG_BD[[#This Row],[Date]]-DAY(WTG_BD[[#This Row],[Date]])+1</f>
        <v>45748</v>
      </c>
      <c r="F43" s="32">
        <v>45750</v>
      </c>
      <c r="G43" t="s">
        <v>92</v>
      </c>
      <c r="H43" t="str">
        <f>IFERROR(VLOOKUP(WTG_BD[[#This Row],[Affected WTG]],'Basic Data'!$A$3:$E$25,2,0),"")</f>
        <v>O2R2</v>
      </c>
      <c r="I43" t="str">
        <f>IFERROR(VLOOKUP(WTG_BD[[#This Row],[Affected WTG]],'Basic Data'!$A$3:$E$25,3,0),"")</f>
        <v>SIL</v>
      </c>
      <c r="J43" s="355">
        <f>IFERROR(VLOOKUP(WTG_BD[[#This Row],[Affected WTG]],'Basic Data'!$A$3:$E$25,5,0),"")</f>
        <v>4.3478260869565223E-2</v>
      </c>
      <c r="K43" s="10">
        <v>3273</v>
      </c>
      <c r="L43" t="str">
        <f>IFERROR(VLOOKUP(WTG_BD[[#This Row],[Error Code]],'Basic Data'!S:T,2,0),"Incorrect Error Code")</f>
        <v>YawUntwistCCW: Code__,_______°</v>
      </c>
      <c r="M43" t="s">
        <v>4474</v>
      </c>
      <c r="O43" s="270">
        <v>0.84236111111111112</v>
      </c>
      <c r="P43" s="270">
        <v>0.84236111111111112</v>
      </c>
      <c r="Q43" s="270">
        <v>0.86250000000000004</v>
      </c>
      <c r="R43" s="356">
        <f>(WTG_BD[[#This Row],[Work Start TimeStamp]]-WTG_BD[[#This Row],[Fault Start TimeStamp]])*24</f>
        <v>0</v>
      </c>
      <c r="S43" s="34">
        <f>(WTG_BD[[#This Row],[Fault Clearance time]]-WTG_BD[[#This Row],[Work Start TimeStamp]])*24</f>
        <v>0.48333333333333428</v>
      </c>
      <c r="T43" s="34">
        <f>(WTG_BD[[#This Row],[Fault Clearance time]]-WTG_BD[[#This Row],[Fault Start TimeStamp]])*24</f>
        <v>0.48333333333333428</v>
      </c>
      <c r="U43" t="s">
        <v>4323</v>
      </c>
      <c r="V43" s="234" t="s">
        <v>255</v>
      </c>
      <c r="W43" s="50">
        <f>IFERROR(IF(N43="ROW",0,(WTG_BD[[#This Row],[Breakdown Time]]*WTG_BD[[#This Row],[Plant Equivalent Weightage]])),"")</f>
        <v>2.1014492753623232E-2</v>
      </c>
      <c r="X43" s="50"/>
      <c r="Y43" s="205">
        <v>1</v>
      </c>
      <c r="Z43" s="205"/>
      <c r="AC43" s="4"/>
    </row>
    <row r="44" spans="1:29">
      <c r="A44" s="10">
        <f t="shared" si="2"/>
        <v>43</v>
      </c>
      <c r="B44" s="43">
        <f>YEAR(WTG_BD[[#This Row],[Date]])+IF(MONTH(WTG_BD[[#This Row],[Date]])&gt;=4,1,0)</f>
        <v>2026</v>
      </c>
      <c r="C44" s="10">
        <v>2025</v>
      </c>
      <c r="D44" s="10" t="s">
        <v>4478</v>
      </c>
      <c r="E44" s="309">
        <f>WTG_BD[[#This Row],[Date]]-DAY(WTG_BD[[#This Row],[Date]])+1</f>
        <v>45748</v>
      </c>
      <c r="F44" s="32">
        <v>45750</v>
      </c>
      <c r="G44" t="s">
        <v>94</v>
      </c>
      <c r="H44" t="str">
        <f>IFERROR(VLOOKUP(WTG_BD[[#This Row],[Affected WTG]],'Basic Data'!$A$3:$E$25,2,0),"")</f>
        <v>O2R1</v>
      </c>
      <c r="I44" t="str">
        <f>IFERROR(VLOOKUP(WTG_BD[[#This Row],[Affected WTG]],'Basic Data'!$A$3:$E$25,3,0),"")</f>
        <v>KSIPL</v>
      </c>
      <c r="J44" s="355">
        <f>IFERROR(VLOOKUP(WTG_BD[[#This Row],[Affected WTG]],'Basic Data'!$A$3:$E$25,5,0),"")</f>
        <v>4.3478260869565223E-2</v>
      </c>
      <c r="K44" s="10">
        <v>2676</v>
      </c>
      <c r="L44" t="str">
        <f>IFERROR(VLOOKUP(WTG_BD[[#This Row],[Error Code]],'Basic Data'!S:T,2,0),"Incorrect Error Code")</f>
        <v>UPS Error</v>
      </c>
      <c r="M44" t="s">
        <v>140</v>
      </c>
      <c r="N44" t="s">
        <v>113</v>
      </c>
      <c r="O44" s="270">
        <v>0.5229166666666667</v>
      </c>
      <c r="P44" s="270">
        <v>0.5229166666666667</v>
      </c>
      <c r="Q44" s="270">
        <v>0.6479166666666667</v>
      </c>
      <c r="R44" s="356">
        <f>(WTG_BD[[#This Row],[Work Start TimeStamp]]-WTG_BD[[#This Row],[Fault Start TimeStamp]])*24</f>
        <v>0</v>
      </c>
      <c r="S44" s="34">
        <f>(WTG_BD[[#This Row],[Fault Clearance time]]-WTG_BD[[#This Row],[Work Start TimeStamp]])*24</f>
        <v>3</v>
      </c>
      <c r="T44" s="34">
        <f>(WTG_BD[[#This Row],[Fault Clearance time]]-WTG_BD[[#This Row],[Fault Start TimeStamp]])*24</f>
        <v>3</v>
      </c>
      <c r="U44" t="s">
        <v>4469</v>
      </c>
      <c r="V44" s="234" t="s">
        <v>255</v>
      </c>
      <c r="W44" s="50">
        <f>IFERROR(IF(N44="ROW",0,(WTG_BD[[#This Row],[Breakdown Time]]*WTG_BD[[#This Row],[Plant Equivalent Weightage]])),"")</f>
        <v>0.13043478260869568</v>
      </c>
      <c r="X44" s="50"/>
      <c r="Y44" s="205">
        <v>1</v>
      </c>
      <c r="Z44" s="205"/>
      <c r="AC44" s="4"/>
    </row>
    <row r="45" spans="1:29">
      <c r="A45" s="10">
        <f t="shared" si="2"/>
        <v>44</v>
      </c>
      <c r="B45" s="43">
        <f>YEAR(WTG_BD[[#This Row],[Date]])+IF(MONTH(WTG_BD[[#This Row],[Date]])&gt;=4,1,0)</f>
        <v>2026</v>
      </c>
      <c r="C45" s="10">
        <v>2025</v>
      </c>
      <c r="D45" s="10" t="s">
        <v>4478</v>
      </c>
      <c r="E45" s="309">
        <f>WTG_BD[[#This Row],[Date]]-DAY(WTG_BD[[#This Row],[Date]])+1</f>
        <v>45748</v>
      </c>
      <c r="F45" s="32">
        <v>45750</v>
      </c>
      <c r="G45" t="s">
        <v>94</v>
      </c>
      <c r="H45" t="str">
        <f>IFERROR(VLOOKUP(WTG_BD[[#This Row],[Affected WTG]],'Basic Data'!$A$3:$E$25,2,0),"")</f>
        <v>O2R1</v>
      </c>
      <c r="I45" t="str">
        <f>IFERROR(VLOOKUP(WTG_BD[[#This Row],[Affected WTG]],'Basic Data'!$A$3:$E$25,3,0),"")</f>
        <v>KSIPL</v>
      </c>
      <c r="J45" s="355">
        <f>IFERROR(VLOOKUP(WTG_BD[[#This Row],[Affected WTG]],'Basic Data'!$A$3:$E$25,5,0),"")</f>
        <v>4.3478260869565223E-2</v>
      </c>
      <c r="K45" s="10">
        <v>3273</v>
      </c>
      <c r="L45" t="str">
        <f>IFERROR(VLOOKUP(WTG_BD[[#This Row],[Error Code]],'Basic Data'!S:T,2,0),"Incorrect Error Code")</f>
        <v>YawUntwistCCW: Code__,_______°</v>
      </c>
      <c r="M45" t="s">
        <v>4475</v>
      </c>
      <c r="O45" s="270">
        <v>0.84305555555555556</v>
      </c>
      <c r="P45" s="270">
        <v>0.84305555555555556</v>
      </c>
      <c r="Q45" s="270">
        <v>0.86250000000000004</v>
      </c>
      <c r="R45" s="356">
        <f>(WTG_BD[[#This Row],[Work Start TimeStamp]]-WTG_BD[[#This Row],[Fault Start TimeStamp]])*24</f>
        <v>0</v>
      </c>
      <c r="S45" s="34">
        <f>(WTG_BD[[#This Row],[Fault Clearance time]]-WTG_BD[[#This Row],[Work Start TimeStamp]])*24</f>
        <v>0.46666666666666767</v>
      </c>
      <c r="T45" s="34">
        <f>(WTG_BD[[#This Row],[Fault Clearance time]]-WTG_BD[[#This Row],[Fault Start TimeStamp]])*24</f>
        <v>0.46666666666666767</v>
      </c>
      <c r="U45" t="s">
        <v>4323</v>
      </c>
      <c r="V45" s="234" t="s">
        <v>255</v>
      </c>
      <c r="W45" s="50">
        <f>IFERROR(IF(N45="ROW",0,(WTG_BD[[#This Row],[Breakdown Time]]*WTG_BD[[#This Row],[Plant Equivalent Weightage]])),"")</f>
        <v>2.0289855072463815E-2</v>
      </c>
      <c r="X45" s="50"/>
      <c r="Y45" s="205">
        <v>1</v>
      </c>
      <c r="Z45" s="205"/>
      <c r="AC45" s="4"/>
    </row>
    <row r="46" spans="1:29">
      <c r="A46" s="10">
        <f t="shared" si="2"/>
        <v>45</v>
      </c>
      <c r="B46" s="43">
        <f>YEAR(WTG_BD[[#This Row],[Date]])+IF(MONTH(WTG_BD[[#This Row],[Date]])&gt;=4,1,0)</f>
        <v>2026</v>
      </c>
      <c r="C46" s="10">
        <v>2025</v>
      </c>
      <c r="D46" s="10" t="s">
        <v>4478</v>
      </c>
      <c r="E46" s="309">
        <f>WTG_BD[[#This Row],[Date]]-DAY(WTG_BD[[#This Row],[Date]])+1</f>
        <v>45748</v>
      </c>
      <c r="F46" s="32">
        <v>45750</v>
      </c>
      <c r="G46" t="s">
        <v>96</v>
      </c>
      <c r="H46" t="str">
        <f>IFERROR(VLOOKUP(WTG_BD[[#This Row],[Affected WTG]],'Basic Data'!$A$3:$E$25,2,0),"")</f>
        <v>O2R3</v>
      </c>
      <c r="I46" t="str">
        <f>IFERROR(VLOOKUP(WTG_BD[[#This Row],[Affected WTG]],'Basic Data'!$A$3:$E$25,3,0),"")</f>
        <v>JK</v>
      </c>
      <c r="J46" s="355">
        <f>IFERROR(VLOOKUP(WTG_BD[[#This Row],[Affected WTG]],'Basic Data'!$A$3:$E$25,5,0),"")</f>
        <v>4.3478260869565223E-2</v>
      </c>
      <c r="K46" s="10">
        <v>158</v>
      </c>
      <c r="L46" t="str">
        <f>IFERROR(VLOOKUP(WTG_BD[[#This Row],[Error Code]],'Basic Data'!S:T,2,0),"Incorrect Error Code")</f>
        <v>Rotor:__._RPM, Gen.:____._ RPM</v>
      </c>
      <c r="M46" t="s">
        <v>4476</v>
      </c>
      <c r="N46" t="s">
        <v>113</v>
      </c>
      <c r="O46" s="270">
        <v>0.82708333333333328</v>
      </c>
      <c r="P46" s="270">
        <v>0.82708333333333328</v>
      </c>
      <c r="Q46" s="270">
        <v>0.83194444444444449</v>
      </c>
      <c r="R46" s="356">
        <f>(WTG_BD[[#This Row],[Work Start TimeStamp]]-WTG_BD[[#This Row],[Fault Start TimeStamp]])*24</f>
        <v>0</v>
      </c>
      <c r="S46" s="34">
        <f>(WTG_BD[[#This Row],[Fault Clearance time]]-WTG_BD[[#This Row],[Work Start TimeStamp]])*24</f>
        <v>0.11666666666666892</v>
      </c>
      <c r="T46" s="34">
        <f>(WTG_BD[[#This Row],[Fault Clearance time]]-WTG_BD[[#This Row],[Fault Start TimeStamp]])*24</f>
        <v>0.11666666666666892</v>
      </c>
      <c r="U46" t="s">
        <v>262</v>
      </c>
      <c r="V46" s="234" t="s">
        <v>255</v>
      </c>
      <c r="W46" s="50">
        <f>IFERROR(IF(N46="ROW",0,(WTG_BD[[#This Row],[Breakdown Time]]*WTG_BD[[#This Row],[Plant Equivalent Weightage]])),"")</f>
        <v>5.0724637681160405E-3</v>
      </c>
      <c r="X46" s="50"/>
      <c r="Y46" s="205">
        <v>1</v>
      </c>
      <c r="Z46" s="205"/>
      <c r="AC46" s="4"/>
    </row>
    <row r="47" spans="1:29">
      <c r="A47" s="10">
        <f t="shared" si="2"/>
        <v>46</v>
      </c>
      <c r="B47" s="43">
        <f>YEAR(WTG_BD[[#This Row],[Date]])+IF(MONTH(WTG_BD[[#This Row],[Date]])&gt;=4,1,0)</f>
        <v>2026</v>
      </c>
      <c r="C47" s="10">
        <v>2025</v>
      </c>
      <c r="D47" s="10" t="s">
        <v>4478</v>
      </c>
      <c r="E47" s="309">
        <f>WTG_BD[[#This Row],[Date]]-DAY(WTG_BD[[#This Row],[Date]])+1</f>
        <v>45748</v>
      </c>
      <c r="F47" s="32">
        <v>45750</v>
      </c>
      <c r="G47" t="s">
        <v>97</v>
      </c>
      <c r="H47" t="str">
        <f>IFERROR(VLOOKUP(WTG_BD[[#This Row],[Affected WTG]],'Basic Data'!$A$3:$E$25,2,0),"")</f>
        <v>O2R3</v>
      </c>
      <c r="I47" t="str">
        <f>IFERROR(VLOOKUP(WTG_BD[[#This Row],[Affected WTG]],'Basic Data'!$A$3:$E$25,3,0),"")</f>
        <v>JK</v>
      </c>
      <c r="J47" s="355">
        <f>IFERROR(VLOOKUP(WTG_BD[[#This Row],[Affected WTG]],'Basic Data'!$A$3:$E$25,5,0),"")</f>
        <v>4.3478260869565223E-2</v>
      </c>
      <c r="K47" s="10">
        <v>3273</v>
      </c>
      <c r="L47" t="str">
        <f>IFERROR(VLOOKUP(WTG_BD[[#This Row],[Error Code]],'Basic Data'!S:T,2,0),"Incorrect Error Code")</f>
        <v>YawUntwistCCW: Code__,_______°</v>
      </c>
      <c r="M47" t="s">
        <v>306</v>
      </c>
      <c r="O47" s="270">
        <v>0.19444444444444445</v>
      </c>
      <c r="P47" s="270">
        <v>0.19444444444444445</v>
      </c>
      <c r="Q47" s="270">
        <v>0.21041666666666667</v>
      </c>
      <c r="R47" s="356">
        <f>(WTG_BD[[#This Row],[Work Start TimeStamp]]-WTG_BD[[#This Row],[Fault Start TimeStamp]])*24</f>
        <v>0</v>
      </c>
      <c r="S47" s="34">
        <f>(WTG_BD[[#This Row],[Fault Clearance time]]-WTG_BD[[#This Row],[Work Start TimeStamp]])*24</f>
        <v>0.3833333333333333</v>
      </c>
      <c r="T47" s="34">
        <f>(WTG_BD[[#This Row],[Fault Clearance time]]-WTG_BD[[#This Row],[Fault Start TimeStamp]])*24</f>
        <v>0.3833333333333333</v>
      </c>
      <c r="U47" t="s">
        <v>4323</v>
      </c>
      <c r="V47" s="234" t="s">
        <v>255</v>
      </c>
      <c r="W47" s="50">
        <f>IFERROR(IF(N47="ROW",0,(WTG_BD[[#This Row],[Breakdown Time]]*WTG_BD[[#This Row],[Plant Equivalent Weightage]])),"")</f>
        <v>1.6666666666666666E-2</v>
      </c>
      <c r="X47" s="50"/>
      <c r="Y47" s="205">
        <v>1</v>
      </c>
      <c r="Z47" s="205"/>
      <c r="AC47" s="4"/>
    </row>
    <row r="48" spans="1:29">
      <c r="A48" s="10">
        <f t="shared" si="2"/>
        <v>47</v>
      </c>
      <c r="B48" s="43">
        <f>YEAR(WTG_BD[[#This Row],[Date]])+IF(MONTH(WTG_BD[[#This Row],[Date]])&gt;=4,1,0)</f>
        <v>2026</v>
      </c>
      <c r="C48" s="10">
        <v>2025</v>
      </c>
      <c r="D48" s="10" t="s">
        <v>4478</v>
      </c>
      <c r="E48" s="309">
        <f>WTG_BD[[#This Row],[Date]]-DAY(WTG_BD[[#This Row],[Date]])+1</f>
        <v>45748</v>
      </c>
      <c r="F48" s="32">
        <v>45751</v>
      </c>
      <c r="G48" t="s">
        <v>87</v>
      </c>
      <c r="H48" t="str">
        <f>IFERROR(VLOOKUP(WTG_BD[[#This Row],[Affected WTG]],'Basic Data'!$A$3:$E$25,2,0),"")</f>
        <v>O2R1</v>
      </c>
      <c r="I48" t="str">
        <f>IFERROR(VLOOKUP(WTG_BD[[#This Row],[Affected WTG]],'Basic Data'!$A$3:$E$25,3,0),"")</f>
        <v>KSIPL</v>
      </c>
      <c r="J48" s="355">
        <f>IFERROR(VLOOKUP(WTG_BD[[#This Row],[Affected WTG]],'Basic Data'!$A$3:$E$25,5,0),"")</f>
        <v>4.3478260869565223E-2</v>
      </c>
      <c r="K48" s="10">
        <v>4560</v>
      </c>
      <c r="L48" t="str">
        <f>IFERROR(VLOOKUP(WTG_BD[[#This Row],[Error Code]],'Basic Data'!S:T,2,0),"Incorrect Error Code")</f>
        <v>BladeCEdgePeakLoad: ___.__ kNm</v>
      </c>
      <c r="M48" t="s">
        <v>3042</v>
      </c>
      <c r="N48" t="s">
        <v>113</v>
      </c>
      <c r="O48" s="270">
        <v>0.68055555555555558</v>
      </c>
      <c r="P48" s="270">
        <v>0.68055555555555558</v>
      </c>
      <c r="Q48" s="270">
        <v>0.70902777777777781</v>
      </c>
      <c r="R48" s="356">
        <f>(WTG_BD[[#This Row],[Work Start TimeStamp]]-WTG_BD[[#This Row],[Fault Start TimeStamp]])*24</f>
        <v>0</v>
      </c>
      <c r="S48" s="34">
        <f>(WTG_BD[[#This Row],[Fault Clearance time]]-WTG_BD[[#This Row],[Work Start TimeStamp]])*24</f>
        <v>0.68333333333333357</v>
      </c>
      <c r="T48" s="34">
        <f>(WTG_BD[[#This Row],[Fault Clearance time]]-WTG_BD[[#This Row],[Fault Start TimeStamp]])*24</f>
        <v>0.68333333333333357</v>
      </c>
      <c r="U48" t="s">
        <v>4331</v>
      </c>
      <c r="V48" s="234" t="s">
        <v>255</v>
      </c>
      <c r="W48" s="50">
        <f>IFERROR(IF(N48="ROW",0,(WTG_BD[[#This Row],[Breakdown Time]]*WTG_BD[[#This Row],[Plant Equivalent Weightage]])),"")</f>
        <v>2.9710144927536247E-2</v>
      </c>
      <c r="X48" s="50"/>
      <c r="Y48" s="205">
        <v>1</v>
      </c>
      <c r="Z48" s="205"/>
      <c r="AC48" s="4"/>
    </row>
    <row r="49" spans="1:29">
      <c r="A49" s="10">
        <f t="shared" si="2"/>
        <v>48</v>
      </c>
      <c r="B49" s="43">
        <f>YEAR(WTG_BD[[#This Row],[Date]])+IF(MONTH(WTG_BD[[#This Row],[Date]])&gt;=4,1,0)</f>
        <v>2026</v>
      </c>
      <c r="C49" s="10">
        <v>2025</v>
      </c>
      <c r="D49" s="10" t="s">
        <v>4478</v>
      </c>
      <c r="E49" s="309">
        <f>WTG_BD[[#This Row],[Date]]-DAY(WTG_BD[[#This Row],[Date]])+1</f>
        <v>45748</v>
      </c>
      <c r="F49" s="32">
        <v>45751</v>
      </c>
      <c r="G49" t="s">
        <v>88</v>
      </c>
      <c r="H49" t="str">
        <f>IFERROR(VLOOKUP(WTG_BD[[#This Row],[Affected WTG]],'Basic Data'!$A$3:$E$25,2,0),"")</f>
        <v>O2R1</v>
      </c>
      <c r="I49" t="str">
        <f>IFERROR(VLOOKUP(WTG_BD[[#This Row],[Affected WTG]],'Basic Data'!$A$3:$E$25,3,0),"")</f>
        <v>KSIPL</v>
      </c>
      <c r="J49" s="355">
        <f>IFERROR(VLOOKUP(WTG_BD[[#This Row],[Affected WTG]],'Basic Data'!$A$3:$E$25,5,0),"")</f>
        <v>4.3478260869565223E-2</v>
      </c>
      <c r="K49" s="10">
        <v>4500</v>
      </c>
      <c r="L49" t="str">
        <f>IFERROR(VLOOKUP(WTG_BD[[#This Row],[Error Code]],'Basic Data'!S:T,2,0),"Incorrect Error Code")</f>
        <v>Pitch C too low: __._° &lt; __._°</v>
      </c>
      <c r="M49" t="s">
        <v>2990</v>
      </c>
      <c r="N49" t="s">
        <v>113</v>
      </c>
      <c r="O49" s="270">
        <v>0.25</v>
      </c>
      <c r="P49" s="270">
        <v>0.25</v>
      </c>
      <c r="Q49" s="270">
        <v>0.3125</v>
      </c>
      <c r="R49" s="356">
        <f>(WTG_BD[[#This Row],[Work Start TimeStamp]]-WTG_BD[[#This Row],[Fault Start TimeStamp]])*24</f>
        <v>0</v>
      </c>
      <c r="S49" s="34">
        <f>(WTG_BD[[#This Row],[Fault Clearance time]]-WTG_BD[[#This Row],[Work Start TimeStamp]])*24</f>
        <v>1.5</v>
      </c>
      <c r="T49" s="34">
        <f>(WTG_BD[[#This Row],[Fault Clearance time]]-WTG_BD[[#This Row],[Fault Start TimeStamp]])*24</f>
        <v>1.5</v>
      </c>
      <c r="U49" t="s">
        <v>4479</v>
      </c>
      <c r="V49" s="234" t="s">
        <v>255</v>
      </c>
      <c r="W49" s="50">
        <f>IFERROR(IF(N49="ROW",0,(WTG_BD[[#This Row],[Breakdown Time]]*WTG_BD[[#This Row],[Plant Equivalent Weightage]])),"")</f>
        <v>6.5217391304347838E-2</v>
      </c>
      <c r="X49" s="50"/>
      <c r="Y49" s="205">
        <v>1</v>
      </c>
      <c r="Z49" s="205"/>
      <c r="AC49" s="4"/>
    </row>
    <row r="50" spans="1:29">
      <c r="A50" s="10">
        <f t="shared" si="2"/>
        <v>49</v>
      </c>
      <c r="B50" s="43">
        <f>YEAR(WTG_BD[[#This Row],[Date]])+IF(MONTH(WTG_BD[[#This Row],[Date]])&gt;=4,1,0)</f>
        <v>2026</v>
      </c>
      <c r="C50" s="10">
        <v>2025</v>
      </c>
      <c r="D50" s="10" t="s">
        <v>4478</v>
      </c>
      <c r="E50" s="309">
        <f>WTG_BD[[#This Row],[Date]]-DAY(WTG_BD[[#This Row],[Date]])+1</f>
        <v>45748</v>
      </c>
      <c r="F50" s="32">
        <v>45751</v>
      </c>
      <c r="G50" t="s">
        <v>88</v>
      </c>
      <c r="H50" t="str">
        <f>IFERROR(VLOOKUP(WTG_BD[[#This Row],[Affected WTG]],'Basic Data'!$A$3:$E$25,2,0),"")</f>
        <v>O2R1</v>
      </c>
      <c r="I50" t="str">
        <f>IFERROR(VLOOKUP(WTG_BD[[#This Row],[Affected WTG]],'Basic Data'!$A$3:$E$25,3,0),"")</f>
        <v>KSIPL</v>
      </c>
      <c r="J50" s="355">
        <f>IFERROR(VLOOKUP(WTG_BD[[#This Row],[Affected WTG]],'Basic Data'!$A$3:$E$25,5,0),"")</f>
        <v>4.3478260869565223E-2</v>
      </c>
      <c r="K50" s="10">
        <v>309</v>
      </c>
      <c r="L50" t="str">
        <f>IFERROR(VLOOKUP(WTG_BD[[#This Row],[Error Code]],'Basic Data'!S:T,2,0),"Incorrect Error Code")</f>
        <v>Pause over RCS __0</v>
      </c>
      <c r="M50" t="s">
        <v>871</v>
      </c>
      <c r="N50" t="s">
        <v>257</v>
      </c>
      <c r="O50" s="270">
        <v>0.40972222222222221</v>
      </c>
      <c r="P50" s="270">
        <v>0.40972222222222221</v>
      </c>
      <c r="Q50" s="270">
        <v>0.71527777777777779</v>
      </c>
      <c r="R50" s="356">
        <f>(WTG_BD[[#This Row],[Work Start TimeStamp]]-WTG_BD[[#This Row],[Fault Start TimeStamp]])*24</f>
        <v>0</v>
      </c>
      <c r="S50" s="34">
        <f>(WTG_BD[[#This Row],[Fault Clearance time]]-WTG_BD[[#This Row],[Work Start TimeStamp]])*24</f>
        <v>7.3333333333333339</v>
      </c>
      <c r="T50" s="34">
        <f>(WTG_BD[[#This Row],[Fault Clearance time]]-WTG_BD[[#This Row],[Fault Start TimeStamp]])*24</f>
        <v>7.3333333333333339</v>
      </c>
      <c r="U50" t="s">
        <v>4480</v>
      </c>
      <c r="V50" s="234" t="s">
        <v>255</v>
      </c>
      <c r="W50" s="50">
        <f>IFERROR(IF(N50="ROW",0,(WTG_BD[[#This Row],[Breakdown Time]]*WTG_BD[[#This Row],[Plant Equivalent Weightage]])),"")</f>
        <v>0.31884057971014501</v>
      </c>
      <c r="X50" s="50"/>
      <c r="Y50" s="205">
        <v>1</v>
      </c>
      <c r="Z50" s="205"/>
      <c r="AC50" s="4"/>
    </row>
    <row r="51" spans="1:29">
      <c r="A51" s="10">
        <f t="shared" si="2"/>
        <v>50</v>
      </c>
      <c r="B51" s="43">
        <f>YEAR(WTG_BD[[#This Row],[Date]])+IF(MONTH(WTG_BD[[#This Row],[Date]])&gt;=4,1,0)</f>
        <v>2026</v>
      </c>
      <c r="C51" s="10">
        <v>2025</v>
      </c>
      <c r="D51" s="10" t="s">
        <v>4478</v>
      </c>
      <c r="E51" s="309">
        <f>WTG_BD[[#This Row],[Date]]-DAY(WTG_BD[[#This Row],[Date]])+1</f>
        <v>45748</v>
      </c>
      <c r="F51" s="32">
        <v>45751</v>
      </c>
      <c r="G51" t="s">
        <v>92</v>
      </c>
      <c r="H51" t="str">
        <f>IFERROR(VLOOKUP(WTG_BD[[#This Row],[Affected WTG]],'Basic Data'!$A$3:$E$25,2,0),"")</f>
        <v>O2R2</v>
      </c>
      <c r="I51" t="str">
        <f>IFERROR(VLOOKUP(WTG_BD[[#This Row],[Affected WTG]],'Basic Data'!$A$3:$E$25,3,0),"")</f>
        <v>SIL</v>
      </c>
      <c r="J51" s="355">
        <f>IFERROR(VLOOKUP(WTG_BD[[#This Row],[Affected WTG]],'Basic Data'!$A$3:$E$25,5,0),"")</f>
        <v>4.3478260869565223E-2</v>
      </c>
      <c r="K51" s="10">
        <v>2676</v>
      </c>
      <c r="L51" t="str">
        <f>IFERROR(VLOOKUP(WTG_BD[[#This Row],[Error Code]],'Basic Data'!S:T,2,0),"Incorrect Error Code")</f>
        <v>UPS Error</v>
      </c>
      <c r="M51" t="s">
        <v>140</v>
      </c>
      <c r="N51" t="s">
        <v>113</v>
      </c>
      <c r="O51" s="270">
        <v>0.64583333333333337</v>
      </c>
      <c r="P51" s="270">
        <v>0.64583333333333337</v>
      </c>
      <c r="Q51" s="270">
        <v>0.6875</v>
      </c>
      <c r="R51" s="356">
        <f>(WTG_BD[[#This Row],[Work Start TimeStamp]]-WTG_BD[[#This Row],[Fault Start TimeStamp]])*24</f>
        <v>0</v>
      </c>
      <c r="S51" s="34">
        <f>(WTG_BD[[#This Row],[Fault Clearance time]]-WTG_BD[[#This Row],[Work Start TimeStamp]])*24</f>
        <v>0.99999999999999911</v>
      </c>
      <c r="T51" s="34">
        <f>(WTG_BD[[#This Row],[Fault Clearance time]]-WTG_BD[[#This Row],[Fault Start TimeStamp]])*24</f>
        <v>0.99999999999999911</v>
      </c>
      <c r="U51" t="s">
        <v>4313</v>
      </c>
      <c r="V51" s="234" t="s">
        <v>255</v>
      </c>
      <c r="W51" s="50">
        <f>IFERROR(IF(N51="ROW",0,(WTG_BD[[#This Row],[Breakdown Time]]*WTG_BD[[#This Row],[Plant Equivalent Weightage]])),"")</f>
        <v>4.3478260869565181E-2</v>
      </c>
      <c r="X51" s="50"/>
      <c r="Y51" s="205">
        <v>1</v>
      </c>
      <c r="Z51" s="205"/>
      <c r="AC51" s="4"/>
    </row>
    <row r="52" spans="1:29">
      <c r="A52" s="10">
        <f t="shared" si="2"/>
        <v>51</v>
      </c>
      <c r="B52" s="43">
        <f>YEAR(WTG_BD[[#This Row],[Date]])+IF(MONTH(WTG_BD[[#This Row],[Date]])&gt;=4,1,0)</f>
        <v>2026</v>
      </c>
      <c r="C52" s="10">
        <v>2025</v>
      </c>
      <c r="D52" s="10" t="s">
        <v>4478</v>
      </c>
      <c r="E52" s="309">
        <f>WTG_BD[[#This Row],[Date]]-DAY(WTG_BD[[#This Row],[Date]])+1</f>
        <v>45748</v>
      </c>
      <c r="F52" s="32">
        <v>45751</v>
      </c>
      <c r="G52" t="s">
        <v>96</v>
      </c>
      <c r="H52" t="str">
        <f>IFERROR(VLOOKUP(WTG_BD[[#This Row],[Affected WTG]],'Basic Data'!$A$3:$E$25,2,0),"")</f>
        <v>O2R3</v>
      </c>
      <c r="I52" t="str">
        <f>IFERROR(VLOOKUP(WTG_BD[[#This Row],[Affected WTG]],'Basic Data'!$A$3:$E$25,3,0),"")</f>
        <v>JK</v>
      </c>
      <c r="J52" s="355">
        <f>IFERROR(VLOOKUP(WTG_BD[[#This Row],[Affected WTG]],'Basic Data'!$A$3:$E$25,5,0),"")</f>
        <v>4.3478260869565223E-2</v>
      </c>
      <c r="K52" s="10">
        <v>315</v>
      </c>
      <c r="L52" t="str">
        <f>IFERROR(VLOOKUP(WTG_BD[[#This Row],[Error Code]],'Basic Data'!S:T,2,0),"Incorrect Error Code")</f>
        <v>ExEx low voltage L_: ___V</v>
      </c>
      <c r="M52" t="s">
        <v>141</v>
      </c>
      <c r="N52" t="s">
        <v>113</v>
      </c>
      <c r="O52" s="270">
        <v>0.64583333333333337</v>
      </c>
      <c r="P52" s="270">
        <v>0.64583333333333337</v>
      </c>
      <c r="Q52" s="270">
        <v>0.68055555555555558</v>
      </c>
      <c r="R52" s="356">
        <f>(WTG_BD[[#This Row],[Work Start TimeStamp]]-WTG_BD[[#This Row],[Fault Start TimeStamp]])*24</f>
        <v>0</v>
      </c>
      <c r="S52" s="34">
        <f>(WTG_BD[[#This Row],[Fault Clearance time]]-WTG_BD[[#This Row],[Work Start TimeStamp]])*24</f>
        <v>0.83333333333333304</v>
      </c>
      <c r="T52" s="34">
        <f>(WTG_BD[[#This Row],[Fault Clearance time]]-WTG_BD[[#This Row],[Fault Start TimeStamp]])*24</f>
        <v>0.83333333333333304</v>
      </c>
      <c r="U52" t="s">
        <v>4325</v>
      </c>
      <c r="V52" s="234" t="s">
        <v>255</v>
      </c>
      <c r="W52" s="50">
        <f>IFERROR(IF(N52="ROW",0,(WTG_BD[[#This Row],[Breakdown Time]]*WTG_BD[[#This Row],[Plant Equivalent Weightage]])),"")</f>
        <v>3.6231884057971009E-2</v>
      </c>
      <c r="X52" s="50"/>
      <c r="Y52" s="205">
        <v>1</v>
      </c>
      <c r="Z52" s="205"/>
      <c r="AC52" s="4"/>
    </row>
    <row r="53" spans="1:29">
      <c r="A53" s="10">
        <f t="shared" si="2"/>
        <v>52</v>
      </c>
      <c r="B53" s="43">
        <f>YEAR(WTG_BD[[#This Row],[Date]])+IF(MONTH(WTG_BD[[#This Row],[Date]])&gt;=4,1,0)</f>
        <v>2026</v>
      </c>
      <c r="C53" s="10">
        <v>2025</v>
      </c>
      <c r="D53" s="10" t="s">
        <v>4478</v>
      </c>
      <c r="E53" s="309">
        <f>WTG_BD[[#This Row],[Date]]-DAY(WTG_BD[[#This Row],[Date]])+1</f>
        <v>45748</v>
      </c>
      <c r="F53" s="32">
        <v>45752</v>
      </c>
      <c r="G53" t="s">
        <v>78</v>
      </c>
      <c r="H53" t="str">
        <f>IFERROR(VLOOKUP(WTG_BD[[#This Row],[Affected WTG]],'Basic Data'!$A$3:$E$25,2,0),"")</f>
        <v>O2R1</v>
      </c>
      <c r="I53" t="str">
        <f>IFERROR(VLOOKUP(WTG_BD[[#This Row],[Affected WTG]],'Basic Data'!$A$3:$E$25,3,0),"")</f>
        <v>KSIPL</v>
      </c>
      <c r="J53" s="355">
        <f>IFERROR(VLOOKUP(WTG_BD[[#This Row],[Affected WTG]],'Basic Data'!$A$3:$E$25,5,0),"")</f>
        <v>4.3478260869565223E-2</v>
      </c>
      <c r="K53" s="10">
        <v>3273</v>
      </c>
      <c r="L53" t="str">
        <f>IFERROR(VLOOKUP(WTG_BD[[#This Row],[Error Code]],'Basic Data'!S:T,2,0),"Incorrect Error Code")</f>
        <v>YawUntwistCCW: Code__,_______°</v>
      </c>
      <c r="M53" t="s">
        <v>1963</v>
      </c>
      <c r="O53" s="270">
        <v>0.32569444444444445</v>
      </c>
      <c r="P53" s="270">
        <v>0.32569444444444445</v>
      </c>
      <c r="Q53" s="270">
        <v>0.33958333333333335</v>
      </c>
      <c r="R53" s="356">
        <f>(WTG_BD[[#This Row],[Work Start TimeStamp]]-WTG_BD[[#This Row],[Fault Start TimeStamp]])*24</f>
        <v>0</v>
      </c>
      <c r="S53" s="34">
        <f>(WTG_BD[[#This Row],[Fault Clearance time]]-WTG_BD[[#This Row],[Work Start TimeStamp]])*24</f>
        <v>0.33333333333333348</v>
      </c>
      <c r="T53" s="34">
        <f>(WTG_BD[[#This Row],[Fault Clearance time]]-WTG_BD[[#This Row],[Fault Start TimeStamp]])*24</f>
        <v>0.33333333333333348</v>
      </c>
      <c r="U53" t="s">
        <v>4323</v>
      </c>
      <c r="V53" s="234" t="s">
        <v>255</v>
      </c>
      <c r="W53" s="50">
        <f>IFERROR(IF(N53="ROW",0,(WTG_BD[[#This Row],[Breakdown Time]]*WTG_BD[[#This Row],[Plant Equivalent Weightage]])),"")</f>
        <v>1.4492753623188415E-2</v>
      </c>
      <c r="X53" s="50"/>
      <c r="Y53" s="205">
        <v>1</v>
      </c>
      <c r="Z53" s="205"/>
      <c r="AC53" s="4"/>
    </row>
    <row r="54" spans="1:29">
      <c r="A54" s="10">
        <f t="shared" si="2"/>
        <v>53</v>
      </c>
      <c r="B54" s="43">
        <f>YEAR(WTG_BD[[#This Row],[Date]])+IF(MONTH(WTG_BD[[#This Row],[Date]])&gt;=4,1,0)</f>
        <v>2026</v>
      </c>
      <c r="C54" s="10">
        <v>2025</v>
      </c>
      <c r="D54" s="10" t="s">
        <v>4478</v>
      </c>
      <c r="E54" s="309">
        <f>WTG_BD[[#This Row],[Date]]-DAY(WTG_BD[[#This Row],[Date]])+1</f>
        <v>45748</v>
      </c>
      <c r="F54" s="32">
        <v>45752</v>
      </c>
      <c r="G54" t="s">
        <v>88</v>
      </c>
      <c r="H54" t="str">
        <f>IFERROR(VLOOKUP(WTG_BD[[#This Row],[Affected WTG]],'Basic Data'!$A$3:$E$25,2,0),"")</f>
        <v>O2R1</v>
      </c>
      <c r="I54" t="str">
        <f>IFERROR(VLOOKUP(WTG_BD[[#This Row],[Affected WTG]],'Basic Data'!$A$3:$E$25,3,0),"")</f>
        <v>KSIPL</v>
      </c>
      <c r="J54" s="355">
        <f>IFERROR(VLOOKUP(WTG_BD[[#This Row],[Affected WTG]],'Basic Data'!$A$3:$E$25,5,0),"")</f>
        <v>4.3478260869565223E-2</v>
      </c>
      <c r="K54" s="10">
        <v>309</v>
      </c>
      <c r="L54" t="str">
        <f>IFERROR(VLOOKUP(WTG_BD[[#This Row],[Error Code]],'Basic Data'!S:T,2,0),"Incorrect Error Code")</f>
        <v>Pause over RCS __0</v>
      </c>
      <c r="M54" t="s">
        <v>871</v>
      </c>
      <c r="N54" t="s">
        <v>257</v>
      </c>
      <c r="O54" s="270">
        <v>0.41388888888888886</v>
      </c>
      <c r="P54" s="270">
        <v>0.41388888888888886</v>
      </c>
      <c r="Q54" s="270">
        <v>0.66041666666666665</v>
      </c>
      <c r="R54" s="356">
        <f>(WTG_BD[[#This Row],[Work Start TimeStamp]]-WTG_BD[[#This Row],[Fault Start TimeStamp]])*24</f>
        <v>0</v>
      </c>
      <c r="S54" s="34">
        <f>(WTG_BD[[#This Row],[Fault Clearance time]]-WTG_BD[[#This Row],[Work Start TimeStamp]])*24</f>
        <v>5.916666666666667</v>
      </c>
      <c r="T54" s="34">
        <f>(WTG_BD[[#This Row],[Fault Clearance time]]-WTG_BD[[#This Row],[Fault Start TimeStamp]])*24</f>
        <v>5.916666666666667</v>
      </c>
      <c r="U54" t="s">
        <v>4485</v>
      </c>
      <c r="V54" s="234" t="s">
        <v>255</v>
      </c>
      <c r="W54" s="50">
        <f>IFERROR(IF(N54="ROW",0,(WTG_BD[[#This Row],[Breakdown Time]]*WTG_BD[[#This Row],[Plant Equivalent Weightage]])),"")</f>
        <v>0.25724637681159424</v>
      </c>
      <c r="X54" s="50"/>
      <c r="Y54" s="205">
        <v>1</v>
      </c>
      <c r="Z54" s="205"/>
      <c r="AC54" s="4"/>
    </row>
    <row r="55" spans="1:29">
      <c r="A55" s="10">
        <f t="shared" si="2"/>
        <v>54</v>
      </c>
      <c r="B55" s="43">
        <f>YEAR(WTG_BD[[#This Row],[Date]])+IF(MONTH(WTG_BD[[#This Row],[Date]])&gt;=4,1,0)</f>
        <v>2026</v>
      </c>
      <c r="C55" s="10">
        <v>2025</v>
      </c>
      <c r="D55" s="10" t="s">
        <v>4478</v>
      </c>
      <c r="E55" s="309">
        <f>WTG_BD[[#This Row],[Date]]-DAY(WTG_BD[[#This Row],[Date]])+1</f>
        <v>45748</v>
      </c>
      <c r="F55" s="32">
        <v>45752</v>
      </c>
      <c r="G55" t="s">
        <v>79</v>
      </c>
      <c r="H55" t="str">
        <f>IFERROR(VLOOKUP(WTG_BD[[#This Row],[Affected WTG]],'Basic Data'!$A$3:$E$25,2,0),"")</f>
        <v>O2R3</v>
      </c>
      <c r="I55" t="str">
        <f>IFERROR(VLOOKUP(WTG_BD[[#This Row],[Affected WTG]],'Basic Data'!$A$3:$E$25,3,0),"")</f>
        <v>JK</v>
      </c>
      <c r="J55" s="355">
        <f>IFERROR(VLOOKUP(WTG_BD[[#This Row],[Affected WTG]],'Basic Data'!$A$3:$E$25,5,0),"")</f>
        <v>4.3478260869565223E-2</v>
      </c>
      <c r="K55" s="10">
        <v>3273</v>
      </c>
      <c r="L55" t="str">
        <f>IFERROR(VLOOKUP(WTG_BD[[#This Row],[Error Code]],'Basic Data'!S:T,2,0),"Incorrect Error Code")</f>
        <v>YawUntwistCCW: Code__,_______°</v>
      </c>
      <c r="M55" t="s">
        <v>1963</v>
      </c>
      <c r="O55" s="270">
        <v>0.31458333333333333</v>
      </c>
      <c r="P55" s="270">
        <v>0.31458333333333333</v>
      </c>
      <c r="Q55" s="270">
        <v>0.33541666666666664</v>
      </c>
      <c r="R55" s="356">
        <f>(WTG_BD[[#This Row],[Work Start TimeStamp]]-WTG_BD[[#This Row],[Fault Start TimeStamp]])*24</f>
        <v>0</v>
      </c>
      <c r="S55" s="34">
        <f>(WTG_BD[[#This Row],[Fault Clearance time]]-WTG_BD[[#This Row],[Work Start TimeStamp]])*24</f>
        <v>0.49999999999999956</v>
      </c>
      <c r="T55" s="34">
        <f>(WTG_BD[[#This Row],[Fault Clearance time]]-WTG_BD[[#This Row],[Fault Start TimeStamp]])*24</f>
        <v>0.49999999999999956</v>
      </c>
      <c r="U55" t="s">
        <v>4323</v>
      </c>
      <c r="V55" s="234" t="s">
        <v>255</v>
      </c>
      <c r="W55" s="50">
        <f>IFERROR(IF(N55="ROW",0,(WTG_BD[[#This Row],[Breakdown Time]]*WTG_BD[[#This Row],[Plant Equivalent Weightage]])),"")</f>
        <v>2.1739130434782591E-2</v>
      </c>
      <c r="X55" s="50"/>
      <c r="Y55" s="205">
        <v>1</v>
      </c>
      <c r="Z55" s="205"/>
      <c r="AC55" s="4"/>
    </row>
    <row r="56" spans="1:29">
      <c r="A56" s="10">
        <f t="shared" si="2"/>
        <v>55</v>
      </c>
      <c r="B56" s="43">
        <f>YEAR(WTG_BD[[#This Row],[Date]])+IF(MONTH(WTG_BD[[#This Row],[Date]])&gt;=4,1,0)</f>
        <v>2026</v>
      </c>
      <c r="C56" s="10">
        <v>2025</v>
      </c>
      <c r="D56" s="10" t="s">
        <v>4478</v>
      </c>
      <c r="E56" s="309">
        <f>WTG_BD[[#This Row],[Date]]-DAY(WTG_BD[[#This Row],[Date]])+1</f>
        <v>45748</v>
      </c>
      <c r="F56" s="32">
        <v>45752</v>
      </c>
      <c r="G56" t="s">
        <v>91</v>
      </c>
      <c r="H56" t="str">
        <f>IFERROR(VLOOKUP(WTG_BD[[#This Row],[Affected WTG]],'Basic Data'!$A$3:$E$25,2,0),"")</f>
        <v>O2R2</v>
      </c>
      <c r="I56" t="str">
        <f>IFERROR(VLOOKUP(WTG_BD[[#This Row],[Affected WTG]],'Basic Data'!$A$3:$E$25,3,0),"")</f>
        <v>SIL</v>
      </c>
      <c r="J56" s="355">
        <f>IFERROR(VLOOKUP(WTG_BD[[#This Row],[Affected WTG]],'Basic Data'!$A$3:$E$25,5,0),"")</f>
        <v>4.3478260869565223E-2</v>
      </c>
      <c r="K56" s="10">
        <v>3807</v>
      </c>
      <c r="L56" t="str">
        <f>IFERROR(VLOOKUP(WTG_BD[[#This Row],[Error Code]],'Basic Data'!S:T,2,0),"Incorrect Error Code")</f>
        <v>HubSafetySystem Batt.Level Err</v>
      </c>
      <c r="M56" t="s">
        <v>2378</v>
      </c>
      <c r="N56" t="s">
        <v>107</v>
      </c>
      <c r="O56" s="270">
        <v>0.50416666666666665</v>
      </c>
      <c r="P56" s="270">
        <v>0.50416666666666665</v>
      </c>
      <c r="Q56" s="270">
        <v>0.59722222222222221</v>
      </c>
      <c r="R56" s="356">
        <f>(WTG_BD[[#This Row],[Work Start TimeStamp]]-WTG_BD[[#This Row],[Fault Start TimeStamp]])*24</f>
        <v>0</v>
      </c>
      <c r="S56" s="34">
        <f>(WTG_BD[[#This Row],[Fault Clearance time]]-WTG_BD[[#This Row],[Work Start TimeStamp]])*24</f>
        <v>2.2333333333333334</v>
      </c>
      <c r="T56" s="34">
        <f>(WTG_BD[[#This Row],[Fault Clearance time]]-WTG_BD[[#This Row],[Fault Start TimeStamp]])*24</f>
        <v>2.2333333333333334</v>
      </c>
      <c r="U56" t="s">
        <v>4486</v>
      </c>
      <c r="V56" s="234" t="s">
        <v>255</v>
      </c>
      <c r="W56" s="50">
        <f>IFERROR(IF(N56="ROW",0,(WTG_BD[[#This Row],[Breakdown Time]]*WTG_BD[[#This Row],[Plant Equivalent Weightage]])),"")</f>
        <v>0</v>
      </c>
      <c r="X56" s="50"/>
      <c r="Y56" s="205">
        <v>1</v>
      </c>
      <c r="Z56" s="205"/>
      <c r="AC56" s="4"/>
    </row>
    <row r="57" spans="1:29">
      <c r="A57" s="10">
        <f t="shared" si="2"/>
        <v>56</v>
      </c>
      <c r="B57" s="43">
        <f>YEAR(WTG_BD[[#This Row],[Date]])+IF(MONTH(WTG_BD[[#This Row],[Date]])&gt;=4,1,0)</f>
        <v>2026</v>
      </c>
      <c r="C57" s="10">
        <v>2025</v>
      </c>
      <c r="D57" s="10" t="s">
        <v>4478</v>
      </c>
      <c r="E57" s="309">
        <f>WTG_BD[[#This Row],[Date]]-DAY(WTG_BD[[#This Row],[Date]])+1</f>
        <v>45748</v>
      </c>
      <c r="F57" s="32">
        <v>45752</v>
      </c>
      <c r="G57" t="s">
        <v>91</v>
      </c>
      <c r="H57" t="str">
        <f>IFERROR(VLOOKUP(WTG_BD[[#This Row],[Affected WTG]],'Basic Data'!$A$3:$E$25,2,0),"")</f>
        <v>O2R2</v>
      </c>
      <c r="I57" t="str">
        <f>IFERROR(VLOOKUP(WTG_BD[[#This Row],[Affected WTG]],'Basic Data'!$A$3:$E$25,3,0),"")</f>
        <v>SIL</v>
      </c>
      <c r="J57" s="355">
        <f>IFERROR(VLOOKUP(WTG_BD[[#This Row],[Affected WTG]],'Basic Data'!$A$3:$E$25,5,0),"")</f>
        <v>4.3478260869565223E-2</v>
      </c>
      <c r="K57" s="10">
        <v>3807</v>
      </c>
      <c r="L57" t="str">
        <f>IFERROR(VLOOKUP(WTG_BD[[#This Row],[Error Code]],'Basic Data'!S:T,2,0),"Incorrect Error Code")</f>
        <v>HubSafetySystem Batt.Level Err</v>
      </c>
      <c r="M57" t="s">
        <v>2378</v>
      </c>
      <c r="N57" t="s">
        <v>113</v>
      </c>
      <c r="O57" s="270">
        <v>0.59722222222222221</v>
      </c>
      <c r="P57" s="270">
        <v>0.59722222222222221</v>
      </c>
      <c r="Q57" s="270">
        <v>0.63263888888888886</v>
      </c>
      <c r="R57" s="356">
        <f>(WTG_BD[[#This Row],[Work Start TimeStamp]]-WTG_BD[[#This Row],[Fault Start TimeStamp]])*24</f>
        <v>0</v>
      </c>
      <c r="S57" s="34">
        <f>(WTG_BD[[#This Row],[Fault Clearance time]]-WTG_BD[[#This Row],[Work Start TimeStamp]])*24</f>
        <v>0.84999999999999964</v>
      </c>
      <c r="T57" s="34">
        <f>(WTG_BD[[#This Row],[Fault Clearance time]]-WTG_BD[[#This Row],[Fault Start TimeStamp]])*24</f>
        <v>0.84999999999999964</v>
      </c>
      <c r="U57" t="s">
        <v>4487</v>
      </c>
      <c r="V57" s="234" t="s">
        <v>255</v>
      </c>
      <c r="W57" s="50">
        <f>IFERROR(IF(N57="ROW",0,(WTG_BD[[#This Row],[Breakdown Time]]*WTG_BD[[#This Row],[Plant Equivalent Weightage]])),"")</f>
        <v>3.6956521739130423E-2</v>
      </c>
      <c r="X57" s="50"/>
      <c r="Y57" s="205">
        <v>1</v>
      </c>
      <c r="Z57" s="205"/>
      <c r="AC57" s="4"/>
    </row>
    <row r="58" spans="1:29">
      <c r="A58" s="10">
        <f t="shared" si="2"/>
        <v>57</v>
      </c>
      <c r="B58" s="43">
        <f>YEAR(WTG_BD[[#This Row],[Date]])+IF(MONTH(WTG_BD[[#This Row],[Date]])&gt;=4,1,0)</f>
        <v>2026</v>
      </c>
      <c r="C58" s="10">
        <v>2025</v>
      </c>
      <c r="D58" s="10" t="s">
        <v>4478</v>
      </c>
      <c r="E58" s="309">
        <f>WTG_BD[[#This Row],[Date]]-DAY(WTG_BD[[#This Row],[Date]])+1</f>
        <v>45748</v>
      </c>
      <c r="F58" s="32">
        <v>45752</v>
      </c>
      <c r="G58" t="s">
        <v>92</v>
      </c>
      <c r="H58" t="str">
        <f>IFERROR(VLOOKUP(WTG_BD[[#This Row],[Affected WTG]],'Basic Data'!$A$3:$E$25,2,0),"")</f>
        <v>O2R2</v>
      </c>
      <c r="I58" t="str">
        <f>IFERROR(VLOOKUP(WTG_BD[[#This Row],[Affected WTG]],'Basic Data'!$A$3:$E$25,3,0),"")</f>
        <v>SIL</v>
      </c>
      <c r="J58" s="355">
        <f>IFERROR(VLOOKUP(WTG_BD[[#This Row],[Affected WTG]],'Basic Data'!$A$3:$E$25,5,0),"")</f>
        <v>4.3478260869565223E-2</v>
      </c>
      <c r="K58" s="10">
        <v>3273</v>
      </c>
      <c r="L58" t="str">
        <f>IFERROR(VLOOKUP(WTG_BD[[#This Row],[Error Code]],'Basic Data'!S:T,2,0),"Incorrect Error Code")</f>
        <v>YawUntwistCCW: Code__,_______°</v>
      </c>
      <c r="M58" t="s">
        <v>1963</v>
      </c>
      <c r="O58" s="270">
        <v>0.33263888888888887</v>
      </c>
      <c r="P58" s="270">
        <v>0.33263888888888887</v>
      </c>
      <c r="Q58" s="270">
        <v>0.3527777777777778</v>
      </c>
      <c r="R58" s="356">
        <f>(WTG_BD[[#This Row],[Work Start TimeStamp]]-WTG_BD[[#This Row],[Fault Start TimeStamp]])*24</f>
        <v>0</v>
      </c>
      <c r="S58" s="34">
        <f>(WTG_BD[[#This Row],[Fault Clearance time]]-WTG_BD[[#This Row],[Work Start TimeStamp]])*24</f>
        <v>0.48333333333333428</v>
      </c>
      <c r="T58" s="34">
        <f>(WTG_BD[[#This Row],[Fault Clearance time]]-WTG_BD[[#This Row],[Fault Start TimeStamp]])*24</f>
        <v>0.48333333333333428</v>
      </c>
      <c r="U58" t="s">
        <v>4323</v>
      </c>
      <c r="V58" s="234" t="s">
        <v>255</v>
      </c>
      <c r="W58" s="50">
        <f>IFERROR(IF(N58="ROW",0,(WTG_BD[[#This Row],[Breakdown Time]]*WTG_BD[[#This Row],[Plant Equivalent Weightage]])),"")</f>
        <v>2.1014492753623232E-2</v>
      </c>
      <c r="X58" s="50"/>
      <c r="Y58" s="205">
        <v>1</v>
      </c>
      <c r="Z58" s="205"/>
      <c r="AC58" s="4"/>
    </row>
    <row r="59" spans="1:29">
      <c r="A59" s="10">
        <f t="shared" si="2"/>
        <v>58</v>
      </c>
      <c r="B59" s="43">
        <f>YEAR(WTG_BD[[#This Row],[Date]])+IF(MONTH(WTG_BD[[#This Row],[Date]])&gt;=4,1,0)</f>
        <v>2026</v>
      </c>
      <c r="C59" s="10">
        <v>2025</v>
      </c>
      <c r="D59" s="10" t="s">
        <v>4478</v>
      </c>
      <c r="E59" s="309">
        <f>WTG_BD[[#This Row],[Date]]-DAY(WTG_BD[[#This Row],[Date]])+1</f>
        <v>45748</v>
      </c>
      <c r="F59" s="32">
        <v>45753</v>
      </c>
      <c r="G59" t="s">
        <v>76</v>
      </c>
      <c r="H59" t="str">
        <f>IFERROR(VLOOKUP(WTG_BD[[#This Row],[Affected WTG]],'Basic Data'!$A$3:$E$25,2,0),"")</f>
        <v>O2R1</v>
      </c>
      <c r="I59" t="str">
        <f>IFERROR(VLOOKUP(WTG_BD[[#This Row],[Affected WTG]],'Basic Data'!$A$3:$E$25,3,0),"")</f>
        <v>KSIPL</v>
      </c>
      <c r="J59" s="355">
        <f>IFERROR(VLOOKUP(WTG_BD[[#This Row],[Affected WTG]],'Basic Data'!$A$3:$E$25,5,0),"")</f>
        <v>4.3478260869565223E-2</v>
      </c>
      <c r="K59" s="10">
        <v>3273</v>
      </c>
      <c r="L59" t="str">
        <f>IFERROR(VLOOKUP(WTG_BD[[#This Row],[Error Code]],'Basic Data'!S:T,2,0),"Incorrect Error Code")</f>
        <v>YawUntwistCCW: Code__,_______°</v>
      </c>
      <c r="M59" t="s">
        <v>1963</v>
      </c>
      <c r="N59" s="276"/>
      <c r="O59" s="270">
        <v>0.42582175925925925</v>
      </c>
      <c r="P59" s="270">
        <v>0.42582175925925925</v>
      </c>
      <c r="Q59" s="270">
        <v>0.43971064814814814</v>
      </c>
      <c r="R59" s="356">
        <f>(WTG_BD[[#This Row],[Work Start TimeStamp]]-WTG_BD[[#This Row],[Fault Start TimeStamp]])*24</f>
        <v>0</v>
      </c>
      <c r="S59" s="34">
        <f>(WTG_BD[[#This Row],[Fault Clearance time]]-WTG_BD[[#This Row],[Work Start TimeStamp]])*24</f>
        <v>0.33333333333333348</v>
      </c>
      <c r="T59" s="34">
        <f>(WTG_BD[[#This Row],[Fault Clearance time]]-WTG_BD[[#This Row],[Fault Start TimeStamp]])*24</f>
        <v>0.33333333333333348</v>
      </c>
      <c r="U59" t="s">
        <v>4323</v>
      </c>
      <c r="V59" s="234" t="s">
        <v>255</v>
      </c>
      <c r="W59" s="50">
        <f>IFERROR(IF(N59="ROW",0,(WTG_BD[[#This Row],[Breakdown Time]]*WTG_BD[[#This Row],[Plant Equivalent Weightage]])),"")</f>
        <v>1.4492753623188415E-2</v>
      </c>
      <c r="X59" s="50"/>
      <c r="Y59" s="205">
        <v>1</v>
      </c>
      <c r="Z59" s="205"/>
      <c r="AA59" s="4">
        <v>4.0000000000000001E-3</v>
      </c>
      <c r="AC59" s="4"/>
    </row>
    <row r="60" spans="1:29">
      <c r="A60" s="10">
        <f t="shared" si="2"/>
        <v>59</v>
      </c>
      <c r="B60" s="43">
        <f>YEAR(WTG_BD[[#This Row],[Date]])+IF(MONTH(WTG_BD[[#This Row],[Date]])&gt;=4,1,0)</f>
        <v>2026</v>
      </c>
      <c r="C60" s="10">
        <v>2025</v>
      </c>
      <c r="D60" s="10" t="s">
        <v>4478</v>
      </c>
      <c r="E60" s="309">
        <f>WTG_BD[[#This Row],[Date]]-DAY(WTG_BD[[#This Row],[Date]])+1</f>
        <v>45748</v>
      </c>
      <c r="F60" s="32">
        <v>45753</v>
      </c>
      <c r="G60" t="s">
        <v>78</v>
      </c>
      <c r="H60" t="str">
        <f>IFERROR(VLOOKUP(WTG_BD[[#This Row],[Affected WTG]],'Basic Data'!$A$3:$E$25,2,0),"")</f>
        <v>O2R1</v>
      </c>
      <c r="I60" t="str">
        <f>IFERROR(VLOOKUP(WTG_BD[[#This Row],[Affected WTG]],'Basic Data'!$A$3:$E$25,3,0),"")</f>
        <v>KSIPL</v>
      </c>
      <c r="J60" s="355">
        <f>IFERROR(VLOOKUP(WTG_BD[[#This Row],[Affected WTG]],'Basic Data'!$A$3:$E$25,5,0),"")</f>
        <v>4.3478260869565223E-2</v>
      </c>
      <c r="K60" s="10">
        <v>3273</v>
      </c>
      <c r="L60" t="str">
        <f>IFERROR(VLOOKUP(WTG_BD[[#This Row],[Error Code]],'Basic Data'!S:T,2,0),"Incorrect Error Code")</f>
        <v>YawUntwistCCW: Code__,_______°</v>
      </c>
      <c r="M60" t="s">
        <v>1963</v>
      </c>
      <c r="O60" s="270">
        <v>0.33890046296296295</v>
      </c>
      <c r="P60" s="270">
        <v>0.33890046296296295</v>
      </c>
      <c r="Q60" s="270">
        <v>0.35373842592592591</v>
      </c>
      <c r="R60" s="356">
        <f>(WTG_BD[[#This Row],[Work Start TimeStamp]]-WTG_BD[[#This Row],[Fault Start TimeStamp]])*24</f>
        <v>0</v>
      </c>
      <c r="S60" s="34">
        <f>(WTG_BD[[#This Row],[Fault Clearance time]]-WTG_BD[[#This Row],[Work Start TimeStamp]])*24</f>
        <v>0.35611111111111127</v>
      </c>
      <c r="T60" s="34">
        <f>(WTG_BD[[#This Row],[Fault Clearance time]]-WTG_BD[[#This Row],[Fault Start TimeStamp]])*24</f>
        <v>0.35611111111111127</v>
      </c>
      <c r="U60" t="s">
        <v>4323</v>
      </c>
      <c r="V60" s="234" t="s">
        <v>255</v>
      </c>
      <c r="W60" s="50">
        <f>IFERROR(IF(N60="ROW",0,(WTG_BD[[#This Row],[Breakdown Time]]*WTG_BD[[#This Row],[Plant Equivalent Weightage]])),"")</f>
        <v>1.5483091787439623E-2</v>
      </c>
      <c r="X60" s="50"/>
      <c r="Y60" s="205">
        <v>1</v>
      </c>
      <c r="Z60" s="205"/>
      <c r="AA60" s="4">
        <v>1E-3</v>
      </c>
      <c r="AC60" s="4"/>
    </row>
    <row r="61" spans="1:29">
      <c r="A61" s="10">
        <f t="shared" si="2"/>
        <v>60</v>
      </c>
      <c r="B61" s="43">
        <f>YEAR(WTG_BD[[#This Row],[Date]])+IF(MONTH(WTG_BD[[#This Row],[Date]])&gt;=4,1,0)</f>
        <v>2026</v>
      </c>
      <c r="C61" s="10">
        <v>2025</v>
      </c>
      <c r="D61" s="10" t="s">
        <v>4478</v>
      </c>
      <c r="E61" s="309">
        <f>WTG_BD[[#This Row],[Date]]-DAY(WTG_BD[[#This Row],[Date]])+1</f>
        <v>45748</v>
      </c>
      <c r="F61" s="32">
        <v>45753</v>
      </c>
      <c r="G61" t="s">
        <v>83</v>
      </c>
      <c r="H61" t="str">
        <f>IFERROR(VLOOKUP(WTG_BD[[#This Row],[Affected WTG]],'Basic Data'!$A$3:$E$25,2,0),"")</f>
        <v>O2R3</v>
      </c>
      <c r="I61" t="str">
        <f>IFERROR(VLOOKUP(WTG_BD[[#This Row],[Affected WTG]],'Basic Data'!$A$3:$E$25,3,0),"")</f>
        <v>JK</v>
      </c>
      <c r="J61" s="355">
        <f>IFERROR(VLOOKUP(WTG_BD[[#This Row],[Affected WTG]],'Basic Data'!$A$3:$E$25,5,0),"")</f>
        <v>4.3478260869565223E-2</v>
      </c>
      <c r="K61" s="10">
        <v>3273</v>
      </c>
      <c r="L61" t="str">
        <f>IFERROR(VLOOKUP(WTG_BD[[#This Row],[Error Code]],'Basic Data'!S:T,2,0),"Incorrect Error Code")</f>
        <v>YawUntwistCCW: Code__,_______°</v>
      </c>
      <c r="M61" t="s">
        <v>1963</v>
      </c>
      <c r="N61" s="276"/>
      <c r="O61" s="270">
        <v>0.72313657407407406</v>
      </c>
      <c r="P61" s="270">
        <v>0.72313657407407406</v>
      </c>
      <c r="Q61" s="270">
        <v>0.74065972222222221</v>
      </c>
      <c r="R61" s="356">
        <f>(WTG_BD[[#This Row],[Work Start TimeStamp]]-WTG_BD[[#This Row],[Fault Start TimeStamp]])*24</f>
        <v>0</v>
      </c>
      <c r="S61" s="34">
        <f>(WTG_BD[[#This Row],[Fault Clearance time]]-WTG_BD[[#This Row],[Work Start TimeStamp]])*24</f>
        <v>0.42055555555555557</v>
      </c>
      <c r="T61" s="34">
        <f>(WTG_BD[[#This Row],[Fault Clearance time]]-WTG_BD[[#This Row],[Fault Start TimeStamp]])*24</f>
        <v>0.42055555555555557</v>
      </c>
      <c r="U61" t="s">
        <v>4323</v>
      </c>
      <c r="V61" s="234" t="s">
        <v>255</v>
      </c>
      <c r="W61" s="50">
        <f>IFERROR(IF(N61="ROW",0,(WTG_BD[[#This Row],[Breakdown Time]]*WTG_BD[[#This Row],[Plant Equivalent Weightage]])),"")</f>
        <v>1.8285024154589376E-2</v>
      </c>
      <c r="X61" s="50"/>
      <c r="Y61" s="205">
        <v>1</v>
      </c>
      <c r="Z61" s="205"/>
      <c r="AA61" s="4">
        <v>2E-3</v>
      </c>
      <c r="AC61" s="4"/>
    </row>
    <row r="62" spans="1:29">
      <c r="A62" s="10">
        <f t="shared" si="2"/>
        <v>61</v>
      </c>
      <c r="B62" s="43">
        <f>YEAR(WTG_BD[[#This Row],[Date]])+IF(MONTH(WTG_BD[[#This Row],[Date]])&gt;=4,1,0)</f>
        <v>2026</v>
      </c>
      <c r="C62" s="10">
        <v>2025</v>
      </c>
      <c r="D62" s="10" t="s">
        <v>4478</v>
      </c>
      <c r="E62" s="309">
        <f>WTG_BD[[#This Row],[Date]]-DAY(WTG_BD[[#This Row],[Date]])+1</f>
        <v>45748</v>
      </c>
      <c r="F62" s="32">
        <v>45753</v>
      </c>
      <c r="G62" t="s">
        <v>85</v>
      </c>
      <c r="H62" t="str">
        <f>IFERROR(VLOOKUP(WTG_BD[[#This Row],[Affected WTG]],'Basic Data'!$A$3:$E$25,2,0),"")</f>
        <v>O2R1</v>
      </c>
      <c r="I62" t="str">
        <f>IFERROR(VLOOKUP(WTG_BD[[#This Row],[Affected WTG]],'Basic Data'!$A$3:$E$25,3,0),"")</f>
        <v>KSIPL</v>
      </c>
      <c r="J62" s="355">
        <f>IFERROR(VLOOKUP(WTG_BD[[#This Row],[Affected WTG]],'Basic Data'!$A$3:$E$25,5,0),"")</f>
        <v>4.3478260869565223E-2</v>
      </c>
      <c r="K62" s="10">
        <v>3273</v>
      </c>
      <c r="L62" t="str">
        <f>IFERROR(VLOOKUP(WTG_BD[[#This Row],[Error Code]],'Basic Data'!S:T,2,0),"Incorrect Error Code")</f>
        <v>YawUntwistCCW: Code__,_______°</v>
      </c>
      <c r="M62" t="s">
        <v>1963</v>
      </c>
      <c r="O62" s="270">
        <v>0.28685185185185186</v>
      </c>
      <c r="P62" s="270">
        <v>0.28685185185185186</v>
      </c>
      <c r="Q62" s="270">
        <v>0.30238425925925927</v>
      </c>
      <c r="R62" s="356">
        <f>(WTG_BD[[#This Row],[Work Start TimeStamp]]-WTG_BD[[#This Row],[Fault Start TimeStamp]])*24</f>
        <v>0</v>
      </c>
      <c r="S62" s="34">
        <f>(WTG_BD[[#This Row],[Fault Clearance time]]-WTG_BD[[#This Row],[Work Start TimeStamp]])*24</f>
        <v>0.37277777777777787</v>
      </c>
      <c r="T62" s="34">
        <f>(WTG_BD[[#This Row],[Fault Clearance time]]-WTG_BD[[#This Row],[Fault Start TimeStamp]])*24</f>
        <v>0.37277777777777787</v>
      </c>
      <c r="U62" t="s">
        <v>4323</v>
      </c>
      <c r="V62" s="234" t="s">
        <v>255</v>
      </c>
      <c r="W62" s="50">
        <f>IFERROR(IF(N62="ROW",0,(WTG_BD[[#This Row],[Breakdown Time]]*WTG_BD[[#This Row],[Plant Equivalent Weightage]])),"")</f>
        <v>1.6207729468599039E-2</v>
      </c>
      <c r="X62" s="50"/>
      <c r="Y62" s="205">
        <v>1</v>
      </c>
      <c r="Z62" s="205"/>
      <c r="AA62" s="4">
        <v>4.1000000000000002E-2</v>
      </c>
      <c r="AC62" s="4"/>
    </row>
    <row r="63" spans="1:29">
      <c r="A63" s="10">
        <f t="shared" si="2"/>
        <v>62</v>
      </c>
      <c r="B63" s="43">
        <f>YEAR(WTG_BD[[#This Row],[Date]])+IF(MONTH(WTG_BD[[#This Row],[Date]])&gt;=4,1,0)</f>
        <v>2026</v>
      </c>
      <c r="C63" s="10">
        <v>2025</v>
      </c>
      <c r="D63" s="10" t="s">
        <v>4478</v>
      </c>
      <c r="E63" s="309">
        <f>WTG_BD[[#This Row],[Date]]-DAY(WTG_BD[[#This Row],[Date]])+1</f>
        <v>45748</v>
      </c>
      <c r="F63" s="32">
        <v>45753</v>
      </c>
      <c r="G63" t="s">
        <v>86</v>
      </c>
      <c r="H63" t="str">
        <f>IFERROR(VLOOKUP(WTG_BD[[#This Row],[Affected WTG]],'Basic Data'!$A$3:$E$25,2,0),"")</f>
        <v>O2R1</v>
      </c>
      <c r="I63" t="str">
        <f>IFERROR(VLOOKUP(WTG_BD[[#This Row],[Affected WTG]],'Basic Data'!$A$3:$E$25,3,0),"")</f>
        <v>KSIPL</v>
      </c>
      <c r="J63" s="355">
        <f>IFERROR(VLOOKUP(WTG_BD[[#This Row],[Affected WTG]],'Basic Data'!$A$3:$E$25,5,0),"")</f>
        <v>4.3478260869565223E-2</v>
      </c>
      <c r="K63" s="10">
        <v>3273</v>
      </c>
      <c r="L63" t="str">
        <f>IFERROR(VLOOKUP(WTG_BD[[#This Row],[Error Code]],'Basic Data'!S:T,2,0),"Incorrect Error Code")</f>
        <v>YawUntwistCCW: Code__,_______°</v>
      </c>
      <c r="M63" t="s">
        <v>1963</v>
      </c>
      <c r="N63" s="276"/>
      <c r="O63" s="270">
        <v>0.29230324074074077</v>
      </c>
      <c r="P63" s="270">
        <v>0.29230324074074077</v>
      </c>
      <c r="Q63" s="270">
        <v>0.30922453703703706</v>
      </c>
      <c r="R63" s="356">
        <f>(WTG_BD[[#This Row],[Work Start TimeStamp]]-WTG_BD[[#This Row],[Fault Start TimeStamp]])*24</f>
        <v>0</v>
      </c>
      <c r="S63" s="34">
        <f>(WTG_BD[[#This Row],[Fault Clearance time]]-WTG_BD[[#This Row],[Work Start TimeStamp]])*24</f>
        <v>0.40611111111111109</v>
      </c>
      <c r="T63" s="34">
        <f>(WTG_BD[[#This Row],[Fault Clearance time]]-WTG_BD[[#This Row],[Fault Start TimeStamp]])*24</f>
        <v>0.40611111111111109</v>
      </c>
      <c r="U63" t="s">
        <v>4323</v>
      </c>
      <c r="V63" s="234" t="s">
        <v>255</v>
      </c>
      <c r="W63" s="50">
        <f>IFERROR(IF(N63="ROW",0,(WTG_BD[[#This Row],[Breakdown Time]]*WTG_BD[[#This Row],[Plant Equivalent Weightage]])),"")</f>
        <v>1.7657004830917877E-2</v>
      </c>
      <c r="X63" s="50"/>
      <c r="Y63" s="205">
        <v>1</v>
      </c>
      <c r="Z63" s="205"/>
      <c r="AA63" s="4">
        <v>3.5000000000000003E-2</v>
      </c>
      <c r="AC63" s="4"/>
    </row>
    <row r="64" spans="1:29">
      <c r="A64" s="10">
        <f t="shared" si="2"/>
        <v>63</v>
      </c>
      <c r="B64" s="43">
        <f>YEAR(WTG_BD[[#This Row],[Date]])+IF(MONTH(WTG_BD[[#This Row],[Date]])&gt;=4,1,0)</f>
        <v>2026</v>
      </c>
      <c r="C64" s="10">
        <v>2025</v>
      </c>
      <c r="D64" s="10" t="s">
        <v>4478</v>
      </c>
      <c r="E64" s="309">
        <f>WTG_BD[[#This Row],[Date]]-DAY(WTG_BD[[#This Row],[Date]])+1</f>
        <v>45748</v>
      </c>
      <c r="F64" s="32">
        <v>45753</v>
      </c>
      <c r="G64" t="s">
        <v>87</v>
      </c>
      <c r="H64" t="str">
        <f>IFERROR(VLOOKUP(WTG_BD[[#This Row],[Affected WTG]],'Basic Data'!$A$3:$E$25,2,0),"")</f>
        <v>O2R1</v>
      </c>
      <c r="I64" t="str">
        <f>IFERROR(VLOOKUP(WTG_BD[[#This Row],[Affected WTG]],'Basic Data'!$A$3:$E$25,3,0),"")</f>
        <v>KSIPL</v>
      </c>
      <c r="J64" s="355">
        <f>IFERROR(VLOOKUP(WTG_BD[[#This Row],[Affected WTG]],'Basic Data'!$A$3:$E$25,5,0),"")</f>
        <v>4.3478260869565223E-2</v>
      </c>
      <c r="K64" s="10">
        <v>3273</v>
      </c>
      <c r="L64" t="str">
        <f>IFERROR(VLOOKUP(WTG_BD[[#This Row],[Error Code]],'Basic Data'!S:T,2,0),"Incorrect Error Code")</f>
        <v>YawUntwistCCW: Code__,_______°</v>
      </c>
      <c r="M64" t="s">
        <v>1963</v>
      </c>
      <c r="O64" s="270">
        <v>0.32484953703703706</v>
      </c>
      <c r="P64" s="270">
        <v>0.32484953703703706</v>
      </c>
      <c r="Q64" s="270">
        <v>0.33878472222222222</v>
      </c>
      <c r="R64" s="356">
        <f>(WTG_BD[[#This Row],[Work Start TimeStamp]]-WTG_BD[[#This Row],[Fault Start TimeStamp]])*24</f>
        <v>0</v>
      </c>
      <c r="S64" s="34">
        <f>(WTG_BD[[#This Row],[Fault Clearance time]]-WTG_BD[[#This Row],[Work Start TimeStamp]])*24</f>
        <v>0.33444444444444388</v>
      </c>
      <c r="T64" s="34">
        <f>(WTG_BD[[#This Row],[Fault Clearance time]]-WTG_BD[[#This Row],[Fault Start TimeStamp]])*24</f>
        <v>0.33444444444444388</v>
      </c>
      <c r="U64" t="s">
        <v>4323</v>
      </c>
      <c r="V64" s="234" t="s">
        <v>255</v>
      </c>
      <c r="W64" s="50">
        <f>IFERROR(IF(N64="ROW",0,(WTG_BD[[#This Row],[Breakdown Time]]*WTG_BD[[#This Row],[Plant Equivalent Weightage]])),"")</f>
        <v>1.4541062801932344E-2</v>
      </c>
      <c r="X64" s="50"/>
      <c r="Y64" s="205">
        <v>1</v>
      </c>
      <c r="Z64" s="205"/>
      <c r="AA64" s="4">
        <v>1.9E-2</v>
      </c>
      <c r="AC64" s="4"/>
    </row>
    <row r="65" spans="1:29">
      <c r="A65" s="10">
        <f t="shared" si="2"/>
        <v>64</v>
      </c>
      <c r="B65" s="43">
        <f>YEAR(WTG_BD[[#This Row],[Date]])+IF(MONTH(WTG_BD[[#This Row],[Date]])&gt;=4,1,0)</f>
        <v>2026</v>
      </c>
      <c r="C65" s="10">
        <v>2025</v>
      </c>
      <c r="D65" s="10" t="s">
        <v>4478</v>
      </c>
      <c r="E65" s="309">
        <f>WTG_BD[[#This Row],[Date]]-DAY(WTG_BD[[#This Row],[Date]])+1</f>
        <v>45748</v>
      </c>
      <c r="F65" s="32">
        <v>45753</v>
      </c>
      <c r="G65" t="s">
        <v>88</v>
      </c>
      <c r="H65" t="str">
        <f>IFERROR(VLOOKUP(WTG_BD[[#This Row],[Affected WTG]],'Basic Data'!$A$3:$E$25,2,0),"")</f>
        <v>O2R1</v>
      </c>
      <c r="I65" t="str">
        <f>IFERROR(VLOOKUP(WTG_BD[[#This Row],[Affected WTG]],'Basic Data'!$A$3:$E$25,3,0),"")</f>
        <v>KSIPL</v>
      </c>
      <c r="J65" s="355">
        <f>IFERROR(VLOOKUP(WTG_BD[[#This Row],[Affected WTG]],'Basic Data'!$A$3:$E$25,5,0),"")</f>
        <v>4.3478260869565223E-2</v>
      </c>
      <c r="K65" s="10">
        <v>3273</v>
      </c>
      <c r="L65" t="str">
        <f>IFERROR(VLOOKUP(WTG_BD[[#This Row],[Error Code]],'Basic Data'!S:T,2,0),"Incorrect Error Code")</f>
        <v>YawUntwistCCW: Code__,_______°</v>
      </c>
      <c r="M65" t="s">
        <v>1963</v>
      </c>
      <c r="N65" s="276"/>
      <c r="O65" s="270">
        <v>0.34407407407407409</v>
      </c>
      <c r="P65" s="270">
        <v>0.34407407407407409</v>
      </c>
      <c r="Q65" s="270">
        <v>0.35922453703703705</v>
      </c>
      <c r="R65" s="356">
        <f>(WTG_BD[[#This Row],[Work Start TimeStamp]]-WTG_BD[[#This Row],[Fault Start TimeStamp]])*24</f>
        <v>0</v>
      </c>
      <c r="S65" s="34">
        <f>(WTG_BD[[#This Row],[Fault Clearance time]]-WTG_BD[[#This Row],[Work Start TimeStamp]])*24</f>
        <v>0.36361111111111111</v>
      </c>
      <c r="T65" s="34">
        <f>(WTG_BD[[#This Row],[Fault Clearance time]]-WTG_BD[[#This Row],[Fault Start TimeStamp]])*24</f>
        <v>0.36361111111111111</v>
      </c>
      <c r="U65" t="s">
        <v>4323</v>
      </c>
      <c r="V65" s="234" t="s">
        <v>255</v>
      </c>
      <c r="W65" s="50">
        <f>IFERROR(IF(N65="ROW",0,(WTG_BD[[#This Row],[Breakdown Time]]*WTG_BD[[#This Row],[Plant Equivalent Weightage]])),"")</f>
        <v>1.5809178743961354E-2</v>
      </c>
      <c r="X65" s="50"/>
      <c r="Y65" s="205">
        <v>1</v>
      </c>
      <c r="Z65" s="205"/>
      <c r="AA65" s="4">
        <v>1E-3</v>
      </c>
      <c r="AC65" s="4"/>
    </row>
    <row r="66" spans="1:29">
      <c r="A66" s="10">
        <f t="shared" si="2"/>
        <v>65</v>
      </c>
      <c r="B66" s="43">
        <f>YEAR(WTG_BD[[#This Row],[Date]])+IF(MONTH(WTG_BD[[#This Row],[Date]])&gt;=4,1,0)</f>
        <v>2026</v>
      </c>
      <c r="C66" s="10">
        <v>2025</v>
      </c>
      <c r="D66" s="10" t="s">
        <v>4478</v>
      </c>
      <c r="E66" s="309">
        <f>WTG_BD[[#This Row],[Date]]-DAY(WTG_BD[[#This Row],[Date]])+1</f>
        <v>45748</v>
      </c>
      <c r="F66" s="32">
        <v>45753</v>
      </c>
      <c r="G66" t="s">
        <v>89</v>
      </c>
      <c r="H66" t="str">
        <f>IFERROR(VLOOKUP(WTG_BD[[#This Row],[Affected WTG]],'Basic Data'!$A$3:$E$25,2,0),"")</f>
        <v>O2R1</v>
      </c>
      <c r="I66" t="str">
        <f>IFERROR(VLOOKUP(WTG_BD[[#This Row],[Affected WTG]],'Basic Data'!$A$3:$E$25,3,0),"")</f>
        <v>KSIPL</v>
      </c>
      <c r="J66" s="355">
        <f>IFERROR(VLOOKUP(WTG_BD[[#This Row],[Affected WTG]],'Basic Data'!$A$3:$E$25,5,0),"")</f>
        <v>4.3478260869565223E-2</v>
      </c>
      <c r="K66" s="10">
        <v>3273</v>
      </c>
      <c r="L66" t="str">
        <f>IFERROR(VLOOKUP(WTG_BD[[#This Row],[Error Code]],'Basic Data'!S:T,2,0),"Incorrect Error Code")</f>
        <v>YawUntwistCCW: Code__,_______°</v>
      </c>
      <c r="M66" t="s">
        <v>1963</v>
      </c>
      <c r="O66" s="270">
        <v>0.34629629629629627</v>
      </c>
      <c r="P66" s="270">
        <v>0.34629629629629627</v>
      </c>
      <c r="Q66" s="270">
        <v>0.36145833333333333</v>
      </c>
      <c r="R66" s="356">
        <f>(WTG_BD[[#This Row],[Work Start TimeStamp]]-WTG_BD[[#This Row],[Fault Start TimeStamp]])*24</f>
        <v>0</v>
      </c>
      <c r="S66" s="34">
        <f>(WTG_BD[[#This Row],[Fault Clearance time]]-WTG_BD[[#This Row],[Work Start TimeStamp]])*24</f>
        <v>0.36388888888888937</v>
      </c>
      <c r="T66" s="34">
        <f>(WTG_BD[[#This Row],[Fault Clearance time]]-WTG_BD[[#This Row],[Fault Start TimeStamp]])*24</f>
        <v>0.36388888888888937</v>
      </c>
      <c r="U66" t="s">
        <v>4323</v>
      </c>
      <c r="V66" s="234" t="s">
        <v>255</v>
      </c>
      <c r="W66" s="50">
        <f>IFERROR(IF(N66="ROW",0,(WTG_BD[[#This Row],[Breakdown Time]]*WTG_BD[[#This Row],[Plant Equivalent Weightage]])),"")</f>
        <v>1.5821256038647365E-2</v>
      </c>
      <c r="X66" s="50"/>
      <c r="Y66" s="205">
        <v>1</v>
      </c>
      <c r="Z66" s="205"/>
      <c r="AA66" s="4">
        <v>1E-3</v>
      </c>
      <c r="AC66" s="4"/>
    </row>
    <row r="67" spans="1:29">
      <c r="A67" s="10">
        <f t="shared" si="2"/>
        <v>66</v>
      </c>
      <c r="B67" s="43">
        <f>YEAR(WTG_BD[[#This Row],[Date]])+IF(MONTH(WTG_BD[[#This Row],[Date]])&gt;=4,1,0)</f>
        <v>2026</v>
      </c>
      <c r="C67" s="10">
        <v>2025</v>
      </c>
      <c r="D67" s="10" t="s">
        <v>4478</v>
      </c>
      <c r="E67" s="309">
        <f>WTG_BD[[#This Row],[Date]]-DAY(WTG_BD[[#This Row],[Date]])+1</f>
        <v>45748</v>
      </c>
      <c r="F67" s="32">
        <v>45753</v>
      </c>
      <c r="G67" t="s">
        <v>94</v>
      </c>
      <c r="H67" t="str">
        <f>IFERROR(VLOOKUP(WTG_BD[[#This Row],[Affected WTG]],'Basic Data'!$A$3:$E$25,2,0),"")</f>
        <v>O2R1</v>
      </c>
      <c r="I67" t="str">
        <f>IFERROR(VLOOKUP(WTG_BD[[#This Row],[Affected WTG]],'Basic Data'!$A$3:$E$25,3,0),"")</f>
        <v>KSIPL</v>
      </c>
      <c r="J67" s="355">
        <f>IFERROR(VLOOKUP(WTG_BD[[#This Row],[Affected WTG]],'Basic Data'!$A$3:$E$25,5,0),"")</f>
        <v>4.3478260869565223E-2</v>
      </c>
      <c r="K67" s="10">
        <v>3273</v>
      </c>
      <c r="L67" t="str">
        <f>IFERROR(VLOOKUP(WTG_BD[[#This Row],[Error Code]],'Basic Data'!S:T,2,0),"Incorrect Error Code")</f>
        <v>YawUntwistCCW: Code__,_______°</v>
      </c>
      <c r="M67" t="s">
        <v>1963</v>
      </c>
      <c r="N67" s="276"/>
      <c r="O67" s="270">
        <v>0.71049768518518519</v>
      </c>
      <c r="P67" s="270">
        <v>0.71049768518518519</v>
      </c>
      <c r="Q67" s="270">
        <v>0.72752314814814811</v>
      </c>
      <c r="R67" s="356">
        <f>(WTG_BD[[#This Row],[Work Start TimeStamp]]-WTG_BD[[#This Row],[Fault Start TimeStamp]])*24</f>
        <v>0</v>
      </c>
      <c r="S67" s="34">
        <f>(WTG_BD[[#This Row],[Fault Clearance time]]-WTG_BD[[#This Row],[Work Start TimeStamp]])*24</f>
        <v>0.40861111111111015</v>
      </c>
      <c r="T67" s="34">
        <f>(WTG_BD[[#This Row],[Fault Clearance time]]-WTG_BD[[#This Row],[Fault Start TimeStamp]])*24</f>
        <v>0.40861111111111015</v>
      </c>
      <c r="U67" t="s">
        <v>4323</v>
      </c>
      <c r="V67" s="234" t="s">
        <v>255</v>
      </c>
      <c r="W67" s="50">
        <f>IFERROR(IF(N67="ROW",0,(WTG_BD[[#This Row],[Breakdown Time]]*WTG_BD[[#This Row],[Plant Equivalent Weightage]])),"")</f>
        <v>1.7765700483091749E-2</v>
      </c>
      <c r="X67" s="50"/>
      <c r="Y67" s="205">
        <v>1</v>
      </c>
      <c r="Z67" s="205"/>
      <c r="AA67" s="4">
        <v>1E-3</v>
      </c>
      <c r="AC67" s="4"/>
    </row>
    <row r="68" spans="1:29">
      <c r="A68" s="10">
        <f t="shared" si="2"/>
        <v>67</v>
      </c>
      <c r="B68" s="43">
        <f>YEAR(WTG_BD[[#This Row],[Date]])+IF(MONTH(WTG_BD[[#This Row],[Date]])&gt;=4,1,0)</f>
        <v>2026</v>
      </c>
      <c r="C68" s="10">
        <v>2025</v>
      </c>
      <c r="D68" s="10" t="s">
        <v>4478</v>
      </c>
      <c r="E68" s="309">
        <f>WTG_BD[[#This Row],[Date]]-DAY(WTG_BD[[#This Row],[Date]])+1</f>
        <v>45748</v>
      </c>
      <c r="F68" s="32">
        <v>45753</v>
      </c>
      <c r="G68" t="s">
        <v>95</v>
      </c>
      <c r="H68" t="str">
        <f>IFERROR(VLOOKUP(WTG_BD[[#This Row],[Affected WTG]],'Basic Data'!$A$3:$E$25,2,0),"")</f>
        <v>O2R1</v>
      </c>
      <c r="I68" t="str">
        <f>IFERROR(VLOOKUP(WTG_BD[[#This Row],[Affected WTG]],'Basic Data'!$A$3:$E$25,3,0),"")</f>
        <v>KSIPL</v>
      </c>
      <c r="J68" s="355">
        <f>IFERROR(VLOOKUP(WTG_BD[[#This Row],[Affected WTG]],'Basic Data'!$A$3:$E$25,5,0),"")</f>
        <v>4.3478260869565223E-2</v>
      </c>
      <c r="K68" s="10">
        <v>3273</v>
      </c>
      <c r="L68" t="str">
        <f>IFERROR(VLOOKUP(WTG_BD[[#This Row],[Error Code]],'Basic Data'!S:T,2,0),"Incorrect Error Code")</f>
        <v>YawUntwistCCW: Code__,_______°</v>
      </c>
      <c r="M68" t="s">
        <v>1963</v>
      </c>
      <c r="O68" s="270">
        <v>0.32745370370370369</v>
      </c>
      <c r="P68" s="270">
        <v>0.32745370370370369</v>
      </c>
      <c r="Q68" s="270">
        <v>0.34543981481481484</v>
      </c>
      <c r="R68" s="356">
        <f>(WTG_BD[[#This Row],[Work Start TimeStamp]]-WTG_BD[[#This Row],[Fault Start TimeStamp]])*24</f>
        <v>0</v>
      </c>
      <c r="S68" s="34">
        <f>(WTG_BD[[#This Row],[Fault Clearance time]]-WTG_BD[[#This Row],[Work Start TimeStamp]])*24</f>
        <v>0.43166666666666753</v>
      </c>
      <c r="T68" s="34">
        <f>(WTG_BD[[#This Row],[Fault Clearance time]]-WTG_BD[[#This Row],[Fault Start TimeStamp]])*24</f>
        <v>0.43166666666666753</v>
      </c>
      <c r="U68" t="s">
        <v>4323</v>
      </c>
      <c r="V68" s="234" t="s">
        <v>255</v>
      </c>
      <c r="W68" s="50">
        <f>IFERROR(IF(N68="ROW",0,(WTG_BD[[#This Row],[Breakdown Time]]*WTG_BD[[#This Row],[Plant Equivalent Weightage]])),"")</f>
        <v>1.8768115942029026E-2</v>
      </c>
      <c r="X68" s="50"/>
      <c r="Y68" s="205">
        <v>1</v>
      </c>
      <c r="Z68" s="205"/>
      <c r="AA68" s="4">
        <v>1E-3</v>
      </c>
      <c r="AC68" s="4"/>
    </row>
    <row r="69" spans="1:29">
      <c r="A69" s="10">
        <f t="shared" si="2"/>
        <v>68</v>
      </c>
      <c r="B69" s="43">
        <f>YEAR(WTG_BD[[#This Row],[Date]])+IF(MONTH(WTG_BD[[#This Row],[Date]])&gt;=4,1,0)</f>
        <v>2026</v>
      </c>
      <c r="C69" s="10">
        <v>2025</v>
      </c>
      <c r="D69" s="10" t="s">
        <v>4478</v>
      </c>
      <c r="E69" s="309">
        <f>WTG_BD[[#This Row],[Date]]-DAY(WTG_BD[[#This Row],[Date]])+1</f>
        <v>45748</v>
      </c>
      <c r="F69" s="32">
        <v>45753</v>
      </c>
      <c r="G69" t="s">
        <v>77</v>
      </c>
      <c r="H69" t="str">
        <f>IFERROR(VLOOKUP(WTG_BD[[#This Row],[Affected WTG]],'Basic Data'!$A$3:$E$25,2,0),"")</f>
        <v>O2R3</v>
      </c>
      <c r="I69" t="str">
        <f>IFERROR(VLOOKUP(WTG_BD[[#This Row],[Affected WTG]],'Basic Data'!$A$3:$E$25,3,0),"")</f>
        <v>JK</v>
      </c>
      <c r="J69" s="355">
        <f>IFERROR(VLOOKUP(WTG_BD[[#This Row],[Affected WTG]],'Basic Data'!$A$3:$E$25,5,0),"")</f>
        <v>4.3478260869565223E-2</v>
      </c>
      <c r="K69" s="10">
        <v>3273</v>
      </c>
      <c r="L69" t="str">
        <f>IFERROR(VLOOKUP(WTG_BD[[#This Row],[Error Code]],'Basic Data'!S:T,2,0),"Incorrect Error Code")</f>
        <v>YawUntwistCCW: Code__,_______°</v>
      </c>
      <c r="M69" t="s">
        <v>1963</v>
      </c>
      <c r="N69" s="276"/>
      <c r="O69" s="270">
        <v>0.32855324074074072</v>
      </c>
      <c r="P69" s="270">
        <v>0.32855324074074072</v>
      </c>
      <c r="Q69" s="270">
        <v>0.34243055555555557</v>
      </c>
      <c r="R69" s="356">
        <f>(WTG_BD[[#This Row],[Work Start TimeStamp]]-WTG_BD[[#This Row],[Fault Start TimeStamp]])*24</f>
        <v>0</v>
      </c>
      <c r="S69" s="34">
        <f>(WTG_BD[[#This Row],[Fault Clearance time]]-WTG_BD[[#This Row],[Work Start TimeStamp]])*24</f>
        <v>0.33305555555555655</v>
      </c>
      <c r="T69" s="34">
        <f>(WTG_BD[[#This Row],[Fault Clearance time]]-WTG_BD[[#This Row],[Fault Start TimeStamp]])*24</f>
        <v>0.33305555555555655</v>
      </c>
      <c r="U69" t="s">
        <v>4323</v>
      </c>
      <c r="V69" s="234" t="s">
        <v>255</v>
      </c>
      <c r="W69" s="50">
        <f>IFERROR(IF(N69="ROW",0,(WTG_BD[[#This Row],[Breakdown Time]]*WTG_BD[[#This Row],[Plant Equivalent Weightage]])),"")</f>
        <v>1.4480676328502461E-2</v>
      </c>
      <c r="X69" s="50"/>
      <c r="Y69" s="205">
        <v>1</v>
      </c>
      <c r="Z69" s="205"/>
      <c r="AA69" s="4">
        <v>1E-3</v>
      </c>
      <c r="AC69" s="4"/>
    </row>
    <row r="70" spans="1:29">
      <c r="A70" s="10">
        <f t="shared" si="2"/>
        <v>69</v>
      </c>
      <c r="B70" s="43">
        <f>YEAR(WTG_BD[[#This Row],[Date]])+IF(MONTH(WTG_BD[[#This Row],[Date]])&gt;=4,1,0)</f>
        <v>2026</v>
      </c>
      <c r="C70" s="10">
        <v>2025</v>
      </c>
      <c r="D70" s="10" t="s">
        <v>4478</v>
      </c>
      <c r="E70" s="309">
        <f>WTG_BD[[#This Row],[Date]]-DAY(WTG_BD[[#This Row],[Date]])+1</f>
        <v>45748</v>
      </c>
      <c r="F70" s="32">
        <v>45753</v>
      </c>
      <c r="G70" t="s">
        <v>77</v>
      </c>
      <c r="H70" t="str">
        <f>IFERROR(VLOOKUP(WTG_BD[[#This Row],[Affected WTG]],'Basic Data'!$A$3:$E$25,2,0),"")</f>
        <v>O2R3</v>
      </c>
      <c r="I70" t="str">
        <f>IFERROR(VLOOKUP(WTG_BD[[#This Row],[Affected WTG]],'Basic Data'!$A$3:$E$25,3,0),"")</f>
        <v>JK</v>
      </c>
      <c r="J70" s="355">
        <f>IFERROR(VLOOKUP(WTG_BD[[#This Row],[Affected WTG]],'Basic Data'!$A$3:$E$25,5,0),"")</f>
        <v>4.3478260869565223E-2</v>
      </c>
      <c r="K70" s="10">
        <v>3273</v>
      </c>
      <c r="L70" t="str">
        <f>IFERROR(VLOOKUP(WTG_BD[[#This Row],[Error Code]],'Basic Data'!S:T,2,0),"Incorrect Error Code")</f>
        <v>YawUntwistCCW: Code__,_______°</v>
      </c>
      <c r="M70" t="s">
        <v>1963</v>
      </c>
      <c r="O70" s="270">
        <v>0.74156250000000001</v>
      </c>
      <c r="P70" s="270">
        <v>0.74156250000000001</v>
      </c>
      <c r="Q70" s="270">
        <v>0.76333333333333331</v>
      </c>
      <c r="R70" s="356">
        <f>(WTG_BD[[#This Row],[Work Start TimeStamp]]-WTG_BD[[#This Row],[Fault Start TimeStamp]])*24</f>
        <v>0</v>
      </c>
      <c r="S70" s="34">
        <f>(WTG_BD[[#This Row],[Fault Clearance time]]-WTG_BD[[#This Row],[Work Start TimeStamp]])*24</f>
        <v>0.52249999999999908</v>
      </c>
      <c r="T70" s="34">
        <f>(WTG_BD[[#This Row],[Fault Clearance time]]-WTG_BD[[#This Row],[Fault Start TimeStamp]])*24</f>
        <v>0.52249999999999908</v>
      </c>
      <c r="U70" t="s">
        <v>4323</v>
      </c>
      <c r="V70" s="234" t="s">
        <v>255</v>
      </c>
      <c r="W70" s="50">
        <f>IFERROR(IF(N70="ROW",0,(WTG_BD[[#This Row],[Breakdown Time]]*WTG_BD[[#This Row],[Plant Equivalent Weightage]])),"")</f>
        <v>2.271739130434779E-2</v>
      </c>
      <c r="X70" s="50"/>
      <c r="Y70" s="205">
        <v>1</v>
      </c>
      <c r="Z70" s="205"/>
      <c r="AA70" s="4">
        <v>0.432</v>
      </c>
      <c r="AC70" s="4"/>
    </row>
    <row r="71" spans="1:29">
      <c r="A71" s="10">
        <f t="shared" si="2"/>
        <v>70</v>
      </c>
      <c r="B71" s="43">
        <f>YEAR(WTG_BD[[#This Row],[Date]])+IF(MONTH(WTG_BD[[#This Row],[Date]])&gt;=4,1,0)</f>
        <v>2026</v>
      </c>
      <c r="C71" s="10">
        <v>2025</v>
      </c>
      <c r="D71" s="10" t="s">
        <v>4478</v>
      </c>
      <c r="E71" s="309">
        <f>WTG_BD[[#This Row],[Date]]-DAY(WTG_BD[[#This Row],[Date]])+1</f>
        <v>45748</v>
      </c>
      <c r="F71" s="32">
        <v>45753</v>
      </c>
      <c r="G71" t="s">
        <v>79</v>
      </c>
      <c r="H71" t="str">
        <f>IFERROR(VLOOKUP(WTG_BD[[#This Row],[Affected WTG]],'Basic Data'!$A$3:$E$25,2,0),"")</f>
        <v>O2R3</v>
      </c>
      <c r="I71" t="str">
        <f>IFERROR(VLOOKUP(WTG_BD[[#This Row],[Affected WTG]],'Basic Data'!$A$3:$E$25,3,0),"")</f>
        <v>JK</v>
      </c>
      <c r="J71" s="355">
        <f>IFERROR(VLOOKUP(WTG_BD[[#This Row],[Affected WTG]],'Basic Data'!$A$3:$E$25,5,0),"")</f>
        <v>4.3478260869565223E-2</v>
      </c>
      <c r="K71" s="10">
        <v>3273</v>
      </c>
      <c r="L71" t="str">
        <f>IFERROR(VLOOKUP(WTG_BD[[#This Row],[Error Code]],'Basic Data'!S:T,2,0),"Incorrect Error Code")</f>
        <v>YawUntwistCCW: Code__,_______°</v>
      </c>
      <c r="M71" t="s">
        <v>1963</v>
      </c>
      <c r="N71" s="276"/>
      <c r="O71" s="270">
        <v>0.66011574074074075</v>
      </c>
      <c r="P71" s="270">
        <v>0.66011574074074075</v>
      </c>
      <c r="Q71" s="270">
        <v>0.67855324074074075</v>
      </c>
      <c r="R71" s="356">
        <f>(WTG_BD[[#This Row],[Work Start TimeStamp]]-WTG_BD[[#This Row],[Fault Start TimeStamp]])*24</f>
        <v>0</v>
      </c>
      <c r="S71" s="34">
        <f>(WTG_BD[[#This Row],[Fault Clearance time]]-WTG_BD[[#This Row],[Work Start TimeStamp]])*24</f>
        <v>0.44249999999999989</v>
      </c>
      <c r="T71" s="34">
        <f>(WTG_BD[[#This Row],[Fault Clearance time]]-WTG_BD[[#This Row],[Fault Start TimeStamp]])*24</f>
        <v>0.44249999999999989</v>
      </c>
      <c r="U71" t="s">
        <v>4323</v>
      </c>
      <c r="V71" s="234" t="s">
        <v>255</v>
      </c>
      <c r="W71" s="50">
        <f>IFERROR(IF(N71="ROW",0,(WTG_BD[[#This Row],[Breakdown Time]]*WTG_BD[[#This Row],[Plant Equivalent Weightage]])),"")</f>
        <v>1.9239130434782606E-2</v>
      </c>
      <c r="X71" s="50"/>
      <c r="Y71" s="205">
        <v>1</v>
      </c>
      <c r="Z71" s="205"/>
      <c r="AA71" s="4">
        <v>0.187</v>
      </c>
      <c r="AC71" s="4"/>
    </row>
    <row r="72" spans="1:29">
      <c r="A72" s="10">
        <f t="shared" si="2"/>
        <v>71</v>
      </c>
      <c r="B72" s="43">
        <f>YEAR(WTG_BD[[#This Row],[Date]])+IF(MONTH(WTG_BD[[#This Row],[Date]])&gt;=4,1,0)</f>
        <v>2026</v>
      </c>
      <c r="C72" s="10">
        <v>2025</v>
      </c>
      <c r="D72" s="10" t="s">
        <v>4478</v>
      </c>
      <c r="E72" s="309">
        <f>WTG_BD[[#This Row],[Date]]-DAY(WTG_BD[[#This Row],[Date]])+1</f>
        <v>45748</v>
      </c>
      <c r="F72" s="32">
        <v>45753</v>
      </c>
      <c r="G72" t="s">
        <v>80</v>
      </c>
      <c r="H72" t="str">
        <f>IFERROR(VLOOKUP(WTG_BD[[#This Row],[Affected WTG]],'Basic Data'!$A$3:$E$25,2,0),"")</f>
        <v>O2R3</v>
      </c>
      <c r="I72" t="str">
        <f>IFERROR(VLOOKUP(WTG_BD[[#This Row],[Affected WTG]],'Basic Data'!$A$3:$E$25,3,0),"")</f>
        <v>JK</v>
      </c>
      <c r="J72" s="355">
        <f>IFERROR(VLOOKUP(WTG_BD[[#This Row],[Affected WTG]],'Basic Data'!$A$3:$E$25,5,0),"")</f>
        <v>4.3478260869565223E-2</v>
      </c>
      <c r="K72" s="10">
        <v>3273</v>
      </c>
      <c r="L72" t="str">
        <f>IFERROR(VLOOKUP(WTG_BD[[#This Row],[Error Code]],'Basic Data'!S:T,2,0),"Incorrect Error Code")</f>
        <v>YawUntwistCCW: Code__,_______°</v>
      </c>
      <c r="M72" t="s">
        <v>1963</v>
      </c>
      <c r="O72" s="270">
        <v>0.43783564814814813</v>
      </c>
      <c r="P72" s="270">
        <v>0.43783564814814813</v>
      </c>
      <c r="Q72" s="270">
        <v>0.4518287037037037</v>
      </c>
      <c r="R72" s="356">
        <f>(WTG_BD[[#This Row],[Work Start TimeStamp]]-WTG_BD[[#This Row],[Fault Start TimeStamp]])*24</f>
        <v>0</v>
      </c>
      <c r="S72" s="34">
        <f>(WTG_BD[[#This Row],[Fault Clearance time]]-WTG_BD[[#This Row],[Work Start TimeStamp]])*24</f>
        <v>0.33583333333333387</v>
      </c>
      <c r="T72" s="34">
        <f>(WTG_BD[[#This Row],[Fault Clearance time]]-WTG_BD[[#This Row],[Fault Start TimeStamp]])*24</f>
        <v>0.33583333333333387</v>
      </c>
      <c r="U72" t="s">
        <v>4323</v>
      </c>
      <c r="V72" s="234" t="s">
        <v>255</v>
      </c>
      <c r="W72" s="50">
        <f>IFERROR(IF(N72="ROW",0,(WTG_BD[[#This Row],[Breakdown Time]]*WTG_BD[[#This Row],[Plant Equivalent Weightage]])),"")</f>
        <v>1.4601449275362345E-2</v>
      </c>
      <c r="X72" s="50"/>
      <c r="Y72" s="205">
        <v>1</v>
      </c>
      <c r="Z72" s="205"/>
      <c r="AA72" s="4">
        <v>6.0999999999999999E-2</v>
      </c>
      <c r="AC72" s="4"/>
    </row>
    <row r="73" spans="1:29">
      <c r="A73" s="10">
        <f t="shared" si="2"/>
        <v>72</v>
      </c>
      <c r="B73" s="43">
        <f>YEAR(WTG_BD[[#This Row],[Date]])+IF(MONTH(WTG_BD[[#This Row],[Date]])&gt;=4,1,0)</f>
        <v>2026</v>
      </c>
      <c r="C73" s="10">
        <v>2025</v>
      </c>
      <c r="D73" s="10" t="s">
        <v>4478</v>
      </c>
      <c r="E73" s="309">
        <f>WTG_BD[[#This Row],[Date]]-DAY(WTG_BD[[#This Row],[Date]])+1</f>
        <v>45748</v>
      </c>
      <c r="F73" s="32">
        <v>45753</v>
      </c>
      <c r="G73" t="s">
        <v>81</v>
      </c>
      <c r="H73" t="str">
        <f>IFERROR(VLOOKUP(WTG_BD[[#This Row],[Affected WTG]],'Basic Data'!$A$3:$E$25,2,0),"")</f>
        <v>O2R3</v>
      </c>
      <c r="I73" t="str">
        <f>IFERROR(VLOOKUP(WTG_BD[[#This Row],[Affected WTG]],'Basic Data'!$A$3:$E$25,3,0),"")</f>
        <v>JK</v>
      </c>
      <c r="J73" s="355">
        <f>IFERROR(VLOOKUP(WTG_BD[[#This Row],[Affected WTG]],'Basic Data'!$A$3:$E$25,5,0),"")</f>
        <v>4.3478260869565223E-2</v>
      </c>
      <c r="K73" s="10">
        <v>3273</v>
      </c>
      <c r="L73" t="str">
        <f>IFERROR(VLOOKUP(WTG_BD[[#This Row],[Error Code]],'Basic Data'!S:T,2,0),"Incorrect Error Code")</f>
        <v>YawUntwistCCW: Code__,_______°</v>
      </c>
      <c r="M73" t="s">
        <v>1963</v>
      </c>
      <c r="N73" s="276"/>
      <c r="O73" s="270">
        <v>0.2852777777777778</v>
      </c>
      <c r="P73" s="270">
        <v>0.2852777777777778</v>
      </c>
      <c r="Q73" s="270">
        <v>0.30267361111111113</v>
      </c>
      <c r="R73" s="356">
        <f>(WTG_BD[[#This Row],[Work Start TimeStamp]]-WTG_BD[[#This Row],[Fault Start TimeStamp]])*24</f>
        <v>0</v>
      </c>
      <c r="S73" s="34">
        <f>(WTG_BD[[#This Row],[Fault Clearance time]]-WTG_BD[[#This Row],[Work Start TimeStamp]])*24</f>
        <v>0.41749999999999998</v>
      </c>
      <c r="T73" s="34">
        <f>(WTG_BD[[#This Row],[Fault Clearance time]]-WTG_BD[[#This Row],[Fault Start TimeStamp]])*24</f>
        <v>0.41749999999999998</v>
      </c>
      <c r="U73" t="s">
        <v>4323</v>
      </c>
      <c r="V73" s="234" t="s">
        <v>255</v>
      </c>
      <c r="W73" s="50">
        <f>IFERROR(IF(N73="ROW",0,(WTG_BD[[#This Row],[Breakdown Time]]*WTG_BD[[#This Row],[Plant Equivalent Weightage]])),"")</f>
        <v>1.8152173913043478E-2</v>
      </c>
      <c r="X73" s="50"/>
      <c r="Y73" s="205">
        <v>1</v>
      </c>
      <c r="Z73" s="205"/>
      <c r="AA73" s="4">
        <v>2E-3</v>
      </c>
      <c r="AC73" s="4"/>
    </row>
    <row r="74" spans="1:29">
      <c r="A74" s="10">
        <f t="shared" si="2"/>
        <v>73</v>
      </c>
      <c r="B74" s="43">
        <f>YEAR(WTG_BD[[#This Row],[Date]])+IF(MONTH(WTG_BD[[#This Row],[Date]])&gt;=4,1,0)</f>
        <v>2026</v>
      </c>
      <c r="C74" s="10">
        <v>2025</v>
      </c>
      <c r="D74" s="10" t="s">
        <v>4478</v>
      </c>
      <c r="E74" s="309">
        <f>WTG_BD[[#This Row],[Date]]-DAY(WTG_BD[[#This Row],[Date]])+1</f>
        <v>45748</v>
      </c>
      <c r="F74" s="32">
        <v>45753</v>
      </c>
      <c r="G74" t="s">
        <v>82</v>
      </c>
      <c r="H74" t="str">
        <f>IFERROR(VLOOKUP(WTG_BD[[#This Row],[Affected WTG]],'Basic Data'!$A$3:$E$25,2,0),"")</f>
        <v>O2R3</v>
      </c>
      <c r="I74" t="str">
        <f>IFERROR(VLOOKUP(WTG_BD[[#This Row],[Affected WTG]],'Basic Data'!$A$3:$E$25,3,0),"")</f>
        <v>JK</v>
      </c>
      <c r="J74" s="355">
        <f>IFERROR(VLOOKUP(WTG_BD[[#This Row],[Affected WTG]],'Basic Data'!$A$3:$E$25,5,0),"")</f>
        <v>4.3478260869565223E-2</v>
      </c>
      <c r="K74" s="10">
        <v>3273</v>
      </c>
      <c r="L74" t="str">
        <f>IFERROR(VLOOKUP(WTG_BD[[#This Row],[Error Code]],'Basic Data'!S:T,2,0),"Incorrect Error Code")</f>
        <v>YawUntwistCCW: Code__,_______°</v>
      </c>
      <c r="M74" t="s">
        <v>1963</v>
      </c>
      <c r="O74" s="270">
        <v>0.71912037037037035</v>
      </c>
      <c r="P74" s="270">
        <v>0.71912037037037035</v>
      </c>
      <c r="Q74" s="270">
        <v>0.73738425925925921</v>
      </c>
      <c r="R74" s="356">
        <f>(WTG_BD[[#This Row],[Work Start TimeStamp]]-WTG_BD[[#This Row],[Fault Start TimeStamp]])*24</f>
        <v>0</v>
      </c>
      <c r="S74" s="34">
        <f>(WTG_BD[[#This Row],[Fault Clearance time]]-WTG_BD[[#This Row],[Work Start TimeStamp]])*24</f>
        <v>0.43833333333333258</v>
      </c>
      <c r="T74" s="34">
        <f>(WTG_BD[[#This Row],[Fault Clearance time]]-WTG_BD[[#This Row],[Fault Start TimeStamp]])*24</f>
        <v>0.43833333333333258</v>
      </c>
      <c r="U74" t="s">
        <v>4323</v>
      </c>
      <c r="V74" s="234" t="s">
        <v>255</v>
      </c>
      <c r="W74" s="50">
        <f>IFERROR(IF(N74="ROW",0,(WTG_BD[[#This Row],[Breakdown Time]]*WTG_BD[[#This Row],[Plant Equivalent Weightage]])),"")</f>
        <v>1.9057971014492723E-2</v>
      </c>
      <c r="X74" s="50"/>
      <c r="Y74" s="205">
        <v>1</v>
      </c>
      <c r="Z74" s="205"/>
      <c r="AA74" s="4">
        <v>4.2000000000000003E-2</v>
      </c>
      <c r="AC74" s="4"/>
    </row>
    <row r="75" spans="1:29">
      <c r="A75" s="10">
        <f t="shared" si="2"/>
        <v>74</v>
      </c>
      <c r="B75" s="43">
        <f>YEAR(WTG_BD[[#This Row],[Date]])+IF(MONTH(WTG_BD[[#This Row],[Date]])&gt;=4,1,0)</f>
        <v>2026</v>
      </c>
      <c r="C75" s="10">
        <v>2025</v>
      </c>
      <c r="D75" s="10" t="s">
        <v>4478</v>
      </c>
      <c r="E75" s="309">
        <f>WTG_BD[[#This Row],[Date]]-DAY(WTG_BD[[#This Row],[Date]])+1</f>
        <v>45748</v>
      </c>
      <c r="F75" s="32">
        <v>45753</v>
      </c>
      <c r="G75" t="s">
        <v>84</v>
      </c>
      <c r="H75" t="str">
        <f>IFERROR(VLOOKUP(WTG_BD[[#This Row],[Affected WTG]],'Basic Data'!$A$3:$E$25,2,0),"")</f>
        <v>O2R3</v>
      </c>
      <c r="I75" t="str">
        <f>IFERROR(VLOOKUP(WTG_BD[[#This Row],[Affected WTG]],'Basic Data'!$A$3:$E$25,3,0),"")</f>
        <v>JK</v>
      </c>
      <c r="J75" s="355">
        <f>IFERROR(VLOOKUP(WTG_BD[[#This Row],[Affected WTG]],'Basic Data'!$A$3:$E$25,5,0),"")</f>
        <v>4.3478260869565223E-2</v>
      </c>
      <c r="K75" s="10">
        <v>3273</v>
      </c>
      <c r="L75" t="str">
        <f>IFERROR(VLOOKUP(WTG_BD[[#This Row],[Error Code]],'Basic Data'!S:T,2,0),"Incorrect Error Code")</f>
        <v>YawUntwistCCW: Code__,_______°</v>
      </c>
      <c r="M75" t="s">
        <v>1963</v>
      </c>
      <c r="N75" s="276"/>
      <c r="O75" s="270">
        <v>0.32431712962962961</v>
      </c>
      <c r="P75" s="270">
        <v>0.32431712962962961</v>
      </c>
      <c r="Q75" s="270">
        <v>0.33812500000000001</v>
      </c>
      <c r="R75" s="356">
        <f>(WTG_BD[[#This Row],[Work Start TimeStamp]]-WTG_BD[[#This Row],[Fault Start TimeStamp]])*24</f>
        <v>0</v>
      </c>
      <c r="S75" s="34">
        <f>(WTG_BD[[#This Row],[Fault Clearance time]]-WTG_BD[[#This Row],[Work Start TimeStamp]])*24</f>
        <v>0.33138888888888962</v>
      </c>
      <c r="T75" s="34">
        <f>(WTG_BD[[#This Row],[Fault Clearance time]]-WTG_BD[[#This Row],[Fault Start TimeStamp]])*24</f>
        <v>0.33138888888888962</v>
      </c>
      <c r="U75" t="s">
        <v>4323</v>
      </c>
      <c r="V75" s="234" t="s">
        <v>255</v>
      </c>
      <c r="W75" s="50">
        <f>IFERROR(IF(N75="ROW",0,(WTG_BD[[#This Row],[Breakdown Time]]*WTG_BD[[#This Row],[Plant Equivalent Weightage]])),"")</f>
        <v>1.4408212560386506E-2</v>
      </c>
      <c r="X75" s="50"/>
      <c r="Y75" s="205">
        <v>1</v>
      </c>
      <c r="Z75" s="205"/>
      <c r="AA75" s="4">
        <v>1E-3</v>
      </c>
      <c r="AC75" s="4"/>
    </row>
    <row r="76" spans="1:29">
      <c r="A76" s="10">
        <f t="shared" si="2"/>
        <v>75</v>
      </c>
      <c r="B76" s="43">
        <f>YEAR(WTG_BD[[#This Row],[Date]])+IF(MONTH(WTG_BD[[#This Row],[Date]])&gt;=4,1,0)</f>
        <v>2026</v>
      </c>
      <c r="C76" s="10">
        <v>2025</v>
      </c>
      <c r="D76" s="10" t="s">
        <v>4478</v>
      </c>
      <c r="E76" s="309">
        <f>WTG_BD[[#This Row],[Date]]-DAY(WTG_BD[[#This Row],[Date]])+1</f>
        <v>45748</v>
      </c>
      <c r="F76" s="32">
        <v>45753</v>
      </c>
      <c r="G76" t="s">
        <v>84</v>
      </c>
      <c r="H76" t="str">
        <f>IFERROR(VLOOKUP(WTG_BD[[#This Row],[Affected WTG]],'Basic Data'!$A$3:$E$25,2,0),"")</f>
        <v>O2R3</v>
      </c>
      <c r="I76" t="str">
        <f>IFERROR(VLOOKUP(WTG_BD[[#This Row],[Affected WTG]],'Basic Data'!$A$3:$E$25,3,0),"")</f>
        <v>JK</v>
      </c>
      <c r="J76" s="355">
        <f>IFERROR(VLOOKUP(WTG_BD[[#This Row],[Affected WTG]],'Basic Data'!$A$3:$E$25,5,0),"")</f>
        <v>4.3478260869565223E-2</v>
      </c>
      <c r="K76" s="10">
        <v>3273</v>
      </c>
      <c r="L76" t="str">
        <f>IFERROR(VLOOKUP(WTG_BD[[#This Row],[Error Code]],'Basic Data'!S:T,2,0),"Incorrect Error Code")</f>
        <v>YawUntwistCCW: Code__,_______°</v>
      </c>
      <c r="M76" t="s">
        <v>1963</v>
      </c>
      <c r="O76" s="270">
        <v>0.71403935185185186</v>
      </c>
      <c r="P76" s="270">
        <v>0.71403935185185186</v>
      </c>
      <c r="Q76" s="270">
        <v>0.73071759259259261</v>
      </c>
      <c r="R76" s="356">
        <f>(WTG_BD[[#This Row],[Work Start TimeStamp]]-WTG_BD[[#This Row],[Fault Start TimeStamp]])*24</f>
        <v>0</v>
      </c>
      <c r="S76" s="34">
        <f>(WTG_BD[[#This Row],[Fault Clearance time]]-WTG_BD[[#This Row],[Work Start TimeStamp]])*24</f>
        <v>0.40027777777777818</v>
      </c>
      <c r="T76" s="34">
        <f>(WTG_BD[[#This Row],[Fault Clearance time]]-WTG_BD[[#This Row],[Fault Start TimeStamp]])*24</f>
        <v>0.40027777777777818</v>
      </c>
      <c r="U76" t="s">
        <v>4323</v>
      </c>
      <c r="V76" s="234" t="s">
        <v>255</v>
      </c>
      <c r="W76" s="50">
        <f>IFERROR(IF(N76="ROW",0,(WTG_BD[[#This Row],[Breakdown Time]]*WTG_BD[[#This Row],[Plant Equivalent Weightage]])),"")</f>
        <v>1.7403381642512098E-2</v>
      </c>
      <c r="X76" s="50"/>
      <c r="Y76" s="205">
        <v>1</v>
      </c>
      <c r="Z76" s="205"/>
      <c r="AA76" s="4">
        <v>3.0000000000000001E-3</v>
      </c>
      <c r="AC76" s="4"/>
    </row>
    <row r="77" spans="1:29">
      <c r="A77" s="10">
        <f t="shared" si="2"/>
        <v>76</v>
      </c>
      <c r="B77" s="43">
        <f>YEAR(WTG_BD[[#This Row],[Date]])+IF(MONTH(WTG_BD[[#This Row],[Date]])&gt;=4,1,0)</f>
        <v>2026</v>
      </c>
      <c r="C77" s="10">
        <v>2025</v>
      </c>
      <c r="D77" s="10" t="s">
        <v>4478</v>
      </c>
      <c r="E77" s="309">
        <f>WTG_BD[[#This Row],[Date]]-DAY(WTG_BD[[#This Row],[Date]])+1</f>
        <v>45748</v>
      </c>
      <c r="F77" s="32">
        <v>45753</v>
      </c>
      <c r="G77" t="s">
        <v>91</v>
      </c>
      <c r="H77" t="str">
        <f>IFERROR(VLOOKUP(WTG_BD[[#This Row],[Affected WTG]],'Basic Data'!$A$3:$E$25,2,0),"")</f>
        <v>O2R2</v>
      </c>
      <c r="I77" t="str">
        <f>IFERROR(VLOOKUP(WTG_BD[[#This Row],[Affected WTG]],'Basic Data'!$A$3:$E$25,3,0),"")</f>
        <v>SIL</v>
      </c>
      <c r="J77" s="355">
        <f>IFERROR(VLOOKUP(WTG_BD[[#This Row],[Affected WTG]],'Basic Data'!$A$3:$E$25,5,0),"")</f>
        <v>4.3478260869565223E-2</v>
      </c>
      <c r="K77" s="10">
        <v>3273</v>
      </c>
      <c r="L77" t="str">
        <f>IFERROR(VLOOKUP(WTG_BD[[#This Row],[Error Code]],'Basic Data'!S:T,2,0),"Incorrect Error Code")</f>
        <v>YawUntwistCCW: Code__,_______°</v>
      </c>
      <c r="M77" t="s">
        <v>1963</v>
      </c>
      <c r="N77" s="276"/>
      <c r="O77" s="270">
        <v>0.73730324074074072</v>
      </c>
      <c r="P77" s="270">
        <v>0.73730324074074072</v>
      </c>
      <c r="Q77" s="270">
        <v>0.75792824074074072</v>
      </c>
      <c r="R77" s="356">
        <f>(WTG_BD[[#This Row],[Work Start TimeStamp]]-WTG_BD[[#This Row],[Fault Start TimeStamp]])*24</f>
        <v>0</v>
      </c>
      <c r="S77" s="34">
        <f>(WTG_BD[[#This Row],[Fault Clearance time]]-WTG_BD[[#This Row],[Work Start TimeStamp]])*24</f>
        <v>0.49500000000000011</v>
      </c>
      <c r="T77" s="34">
        <f>(WTG_BD[[#This Row],[Fault Clearance time]]-WTG_BD[[#This Row],[Fault Start TimeStamp]])*24</f>
        <v>0.49500000000000011</v>
      </c>
      <c r="U77" t="s">
        <v>4323</v>
      </c>
      <c r="V77" s="234" t="s">
        <v>255</v>
      </c>
      <c r="W77" s="50">
        <f>IFERROR(IF(N77="ROW",0,(WTG_BD[[#This Row],[Breakdown Time]]*WTG_BD[[#This Row],[Plant Equivalent Weightage]])),"")</f>
        <v>2.152173913043479E-2</v>
      </c>
      <c r="X77" s="50"/>
      <c r="Y77" s="205">
        <v>1</v>
      </c>
      <c r="Z77" s="205"/>
      <c r="AA77" s="4">
        <v>0.40600000000000003</v>
      </c>
      <c r="AC77" s="4"/>
    </row>
    <row r="78" spans="1:29">
      <c r="A78" s="10">
        <f t="shared" si="2"/>
        <v>77</v>
      </c>
      <c r="B78" s="43">
        <f>YEAR(WTG_BD[[#This Row],[Date]])+IF(MONTH(WTG_BD[[#This Row],[Date]])&gt;=4,1,0)</f>
        <v>2026</v>
      </c>
      <c r="C78" s="10">
        <v>2025</v>
      </c>
      <c r="D78" s="10" t="s">
        <v>4478</v>
      </c>
      <c r="E78" s="309">
        <f>WTG_BD[[#This Row],[Date]]-DAY(WTG_BD[[#This Row],[Date]])+1</f>
        <v>45748</v>
      </c>
      <c r="F78" s="32">
        <v>45753</v>
      </c>
      <c r="G78" t="s">
        <v>93</v>
      </c>
      <c r="H78" t="str">
        <f>IFERROR(VLOOKUP(WTG_BD[[#This Row],[Affected WTG]],'Basic Data'!$A$3:$E$25,2,0),"")</f>
        <v>O2R4</v>
      </c>
      <c r="I78" t="str">
        <f>IFERROR(VLOOKUP(WTG_BD[[#This Row],[Affected WTG]],'Basic Data'!$A$3:$E$25,3,0),"")</f>
        <v>SGDCIPL</v>
      </c>
      <c r="J78" s="355">
        <f>IFERROR(VLOOKUP(WTG_BD[[#This Row],[Affected WTG]],'Basic Data'!$A$3:$E$25,5,0),"")</f>
        <v>4.3478260869565223E-2</v>
      </c>
      <c r="K78" s="10">
        <v>3273</v>
      </c>
      <c r="L78" t="str">
        <f>IFERROR(VLOOKUP(WTG_BD[[#This Row],[Error Code]],'Basic Data'!S:T,2,0),"Incorrect Error Code")</f>
        <v>YawUntwistCCW: Code__,_______°</v>
      </c>
      <c r="M78" t="s">
        <v>1963</v>
      </c>
      <c r="O78" s="270">
        <v>0.333125</v>
      </c>
      <c r="P78" s="270">
        <v>0.333125</v>
      </c>
      <c r="Q78" s="270">
        <v>0.34722222222222221</v>
      </c>
      <c r="R78" s="356">
        <f>(WTG_BD[[#This Row],[Work Start TimeStamp]]-WTG_BD[[#This Row],[Fault Start TimeStamp]])*24</f>
        <v>0</v>
      </c>
      <c r="S78" s="34">
        <f>(WTG_BD[[#This Row],[Fault Clearance time]]-WTG_BD[[#This Row],[Work Start TimeStamp]])*24</f>
        <v>0.33833333333333293</v>
      </c>
      <c r="T78" s="34">
        <f>(WTG_BD[[#This Row],[Fault Clearance time]]-WTG_BD[[#This Row],[Fault Start TimeStamp]])*24</f>
        <v>0.33833333333333293</v>
      </c>
      <c r="U78" t="s">
        <v>4323</v>
      </c>
      <c r="V78" s="234" t="s">
        <v>255</v>
      </c>
      <c r="W78" s="50">
        <f>IFERROR(IF(N78="ROW",0,(WTG_BD[[#This Row],[Breakdown Time]]*WTG_BD[[#This Row],[Plant Equivalent Weightage]])),"")</f>
        <v>1.4710144927536216E-2</v>
      </c>
      <c r="X78" s="50"/>
      <c r="Y78" s="205">
        <v>1</v>
      </c>
      <c r="Z78" s="205"/>
      <c r="AA78" s="4">
        <v>5.0000000000000001E-3</v>
      </c>
      <c r="AC78" s="4"/>
    </row>
    <row r="79" spans="1:29">
      <c r="A79" s="10">
        <f t="shared" si="2"/>
        <v>78</v>
      </c>
      <c r="B79" s="43">
        <f>YEAR(WTG_BD[[#This Row],[Date]])+IF(MONTH(WTG_BD[[#This Row],[Date]])&gt;=4,1,0)</f>
        <v>2026</v>
      </c>
      <c r="C79" s="10">
        <v>2025</v>
      </c>
      <c r="D79" s="10" t="s">
        <v>4478</v>
      </c>
      <c r="E79" s="309">
        <f>WTG_BD[[#This Row],[Date]]-DAY(WTG_BD[[#This Row],[Date]])+1</f>
        <v>45748</v>
      </c>
      <c r="F79" s="32">
        <v>45753</v>
      </c>
      <c r="G79" t="s">
        <v>96</v>
      </c>
      <c r="H79" t="str">
        <f>IFERROR(VLOOKUP(WTG_BD[[#This Row],[Affected WTG]],'Basic Data'!$A$3:$E$25,2,0),"")</f>
        <v>O2R3</v>
      </c>
      <c r="I79" t="str">
        <f>IFERROR(VLOOKUP(WTG_BD[[#This Row],[Affected WTG]],'Basic Data'!$A$3:$E$25,3,0),"")</f>
        <v>JK</v>
      </c>
      <c r="J79" s="355">
        <f>IFERROR(VLOOKUP(WTG_BD[[#This Row],[Affected WTG]],'Basic Data'!$A$3:$E$25,5,0),"")</f>
        <v>4.3478260869565223E-2</v>
      </c>
      <c r="K79" s="10">
        <v>3273</v>
      </c>
      <c r="L79" t="str">
        <f>IFERROR(VLOOKUP(WTG_BD[[#This Row],[Error Code]],'Basic Data'!S:T,2,0),"Incorrect Error Code")</f>
        <v>YawUntwistCCW: Code__,_______°</v>
      </c>
      <c r="M79" t="s">
        <v>1963</v>
      </c>
      <c r="N79" s="276"/>
      <c r="O79" s="270">
        <v>0.32336805555555553</v>
      </c>
      <c r="P79" s="270">
        <v>0.32336805555555553</v>
      </c>
      <c r="Q79" s="270">
        <v>0.33739583333333334</v>
      </c>
      <c r="R79" s="356">
        <f>(WTG_BD[[#This Row],[Work Start TimeStamp]]-WTG_BD[[#This Row],[Fault Start TimeStamp]])*24</f>
        <v>0</v>
      </c>
      <c r="S79" s="34">
        <f>(WTG_BD[[#This Row],[Fault Clearance time]]-WTG_BD[[#This Row],[Work Start TimeStamp]])*24</f>
        <v>0.33666666666666734</v>
      </c>
      <c r="T79" s="34">
        <f>(WTG_BD[[#This Row],[Fault Clearance time]]-WTG_BD[[#This Row],[Fault Start TimeStamp]])*24</f>
        <v>0.33666666666666734</v>
      </c>
      <c r="U79" t="s">
        <v>4323</v>
      </c>
      <c r="V79" s="234" t="s">
        <v>255</v>
      </c>
      <c r="W79" s="50">
        <f>IFERROR(IF(N79="ROW",0,(WTG_BD[[#This Row],[Breakdown Time]]*WTG_BD[[#This Row],[Plant Equivalent Weightage]])),"")</f>
        <v>1.463768115942032E-2</v>
      </c>
      <c r="X79" s="50"/>
      <c r="Y79" s="205">
        <v>1</v>
      </c>
      <c r="Z79" s="205"/>
      <c r="AA79" s="4">
        <v>1E-3</v>
      </c>
      <c r="AC79" s="4"/>
    </row>
    <row r="80" spans="1:29">
      <c r="A80" s="10">
        <f t="shared" si="2"/>
        <v>79</v>
      </c>
      <c r="B80" s="43">
        <f>YEAR(WTG_BD[[#This Row],[Date]])+IF(MONTH(WTG_BD[[#This Row],[Date]])&gt;=4,1,0)</f>
        <v>2026</v>
      </c>
      <c r="C80" s="10">
        <v>2025</v>
      </c>
      <c r="D80" s="10" t="s">
        <v>4478</v>
      </c>
      <c r="E80" s="309">
        <f>WTG_BD[[#This Row],[Date]]-DAY(WTG_BD[[#This Row],[Date]])+1</f>
        <v>45748</v>
      </c>
      <c r="F80" s="32">
        <v>45753</v>
      </c>
      <c r="G80" t="s">
        <v>96</v>
      </c>
      <c r="H80" t="str">
        <f>IFERROR(VLOOKUP(WTG_BD[[#This Row],[Affected WTG]],'Basic Data'!$A$3:$E$25,2,0),"")</f>
        <v>O2R3</v>
      </c>
      <c r="I80" t="str">
        <f>IFERROR(VLOOKUP(WTG_BD[[#This Row],[Affected WTG]],'Basic Data'!$A$3:$E$25,3,0),"")</f>
        <v>JK</v>
      </c>
      <c r="J80" s="355">
        <f>IFERROR(VLOOKUP(WTG_BD[[#This Row],[Affected WTG]],'Basic Data'!$A$3:$E$25,5,0),"")</f>
        <v>4.3478260869565223E-2</v>
      </c>
      <c r="K80" s="10">
        <v>3273</v>
      </c>
      <c r="L80" t="str">
        <f>IFERROR(VLOOKUP(WTG_BD[[#This Row],[Error Code]],'Basic Data'!S:T,2,0),"Incorrect Error Code")</f>
        <v>YawUntwistCCW: Code__,_______°</v>
      </c>
      <c r="M80" t="s">
        <v>1963</v>
      </c>
      <c r="O80" s="270">
        <v>0.744537037037037</v>
      </c>
      <c r="P80" s="270">
        <v>0.744537037037037</v>
      </c>
      <c r="Q80" s="270">
        <v>0.76515046296296296</v>
      </c>
      <c r="R80" s="356">
        <f>(WTG_BD[[#This Row],[Work Start TimeStamp]]-WTG_BD[[#This Row],[Fault Start TimeStamp]])*24</f>
        <v>0</v>
      </c>
      <c r="S80" s="34">
        <f>(WTG_BD[[#This Row],[Fault Clearance time]]-WTG_BD[[#This Row],[Work Start TimeStamp]])*24</f>
        <v>0.49472222222222317</v>
      </c>
      <c r="T80" s="34">
        <f>(WTG_BD[[#This Row],[Fault Clearance time]]-WTG_BD[[#This Row],[Fault Start TimeStamp]])*24</f>
        <v>0.49472222222222317</v>
      </c>
      <c r="U80" t="s">
        <v>4323</v>
      </c>
      <c r="V80" s="234" t="s">
        <v>255</v>
      </c>
      <c r="W80" s="50">
        <f>IFERROR(IF(N80="ROW",0,(WTG_BD[[#This Row],[Breakdown Time]]*WTG_BD[[#This Row],[Plant Equivalent Weightage]])),"")</f>
        <v>2.1509661835748838E-2</v>
      </c>
      <c r="X80" s="50"/>
      <c r="Y80" s="205">
        <v>1</v>
      </c>
      <c r="Z80" s="205"/>
      <c r="AA80" s="4">
        <v>0.42499999999999999</v>
      </c>
      <c r="AC80" s="4"/>
    </row>
    <row r="81" spans="1:29">
      <c r="A81" s="10">
        <f t="shared" si="2"/>
        <v>80</v>
      </c>
      <c r="B81" s="43">
        <f>YEAR(WTG_BD[[#This Row],[Date]])+IF(MONTH(WTG_BD[[#This Row],[Date]])&gt;=4,1,0)</f>
        <v>2026</v>
      </c>
      <c r="C81" s="10">
        <v>2025</v>
      </c>
      <c r="D81" s="10" t="s">
        <v>4478</v>
      </c>
      <c r="E81" s="309">
        <f>WTG_BD[[#This Row],[Date]]-DAY(WTG_BD[[#This Row],[Date]])+1</f>
        <v>45748</v>
      </c>
      <c r="F81" s="32">
        <v>45753</v>
      </c>
      <c r="G81" t="s">
        <v>97</v>
      </c>
      <c r="H81" t="str">
        <f>IFERROR(VLOOKUP(WTG_BD[[#This Row],[Affected WTG]],'Basic Data'!$A$3:$E$25,2,0),"")</f>
        <v>O2R3</v>
      </c>
      <c r="I81" t="str">
        <f>IFERROR(VLOOKUP(WTG_BD[[#This Row],[Affected WTG]],'Basic Data'!$A$3:$E$25,3,0),"")</f>
        <v>JK</v>
      </c>
      <c r="J81" s="355">
        <f>IFERROR(VLOOKUP(WTG_BD[[#This Row],[Affected WTG]],'Basic Data'!$A$3:$E$25,5,0),"")</f>
        <v>4.3478260869565223E-2</v>
      </c>
      <c r="K81" s="10">
        <v>3273</v>
      </c>
      <c r="L81" t="str">
        <f>IFERROR(VLOOKUP(WTG_BD[[#This Row],[Error Code]],'Basic Data'!S:T,2,0),"Incorrect Error Code")</f>
        <v>YawUntwistCCW: Code__,_______°</v>
      </c>
      <c r="M81" t="s">
        <v>1963</v>
      </c>
      <c r="N81" s="276"/>
      <c r="O81" s="270">
        <v>0.30333333333333334</v>
      </c>
      <c r="P81" s="270">
        <v>0.30333333333333334</v>
      </c>
      <c r="Q81" s="270">
        <v>0.32135416666666666</v>
      </c>
      <c r="R81" s="356">
        <f>(WTG_BD[[#This Row],[Work Start TimeStamp]]-WTG_BD[[#This Row],[Fault Start TimeStamp]])*24</f>
        <v>0</v>
      </c>
      <c r="S81" s="34">
        <f>(WTG_BD[[#This Row],[Fault Clearance time]]-WTG_BD[[#This Row],[Work Start TimeStamp]])*24</f>
        <v>0.43249999999999966</v>
      </c>
      <c r="T81" s="34">
        <f>(WTG_BD[[#This Row],[Fault Clearance time]]-WTG_BD[[#This Row],[Fault Start TimeStamp]])*24</f>
        <v>0.43249999999999966</v>
      </c>
      <c r="U81" t="s">
        <v>4323</v>
      </c>
      <c r="V81" s="234" t="s">
        <v>255</v>
      </c>
      <c r="W81" s="50">
        <f>IFERROR(IF(N81="ROW",0,(WTG_BD[[#This Row],[Breakdown Time]]*WTG_BD[[#This Row],[Plant Equivalent Weightage]])),"")</f>
        <v>1.8804347826086944E-2</v>
      </c>
      <c r="X81" s="50"/>
      <c r="Y81" s="205">
        <v>1</v>
      </c>
      <c r="Z81" s="205"/>
      <c r="AA81" s="4">
        <v>2E-3</v>
      </c>
      <c r="AC81" s="4"/>
    </row>
    <row r="82" spans="1:29">
      <c r="A82" s="10">
        <f t="shared" si="2"/>
        <v>81</v>
      </c>
      <c r="B82" s="43">
        <f>YEAR(WTG_BD[[#This Row],[Date]])+IF(MONTH(WTG_BD[[#This Row],[Date]])&gt;=4,1,0)</f>
        <v>2026</v>
      </c>
      <c r="C82" s="10">
        <v>2025</v>
      </c>
      <c r="D82" s="10" t="s">
        <v>4478</v>
      </c>
      <c r="E82" s="309">
        <f>WTG_BD[[#This Row],[Date]]-DAY(WTG_BD[[#This Row],[Date]])+1</f>
        <v>45748</v>
      </c>
      <c r="F82" s="32">
        <v>45753</v>
      </c>
      <c r="G82" t="s">
        <v>98</v>
      </c>
      <c r="H82" t="str">
        <f>IFERROR(VLOOKUP(WTG_BD[[#This Row],[Affected WTG]],'Basic Data'!$A$3:$E$25,2,0),"")</f>
        <v>O2R3</v>
      </c>
      <c r="I82" t="str">
        <f>IFERROR(VLOOKUP(WTG_BD[[#This Row],[Affected WTG]],'Basic Data'!$A$3:$E$25,3,0),"")</f>
        <v>JK</v>
      </c>
      <c r="J82" s="355">
        <f>IFERROR(VLOOKUP(WTG_BD[[#This Row],[Affected WTG]],'Basic Data'!$A$3:$E$25,5,0),"")</f>
        <v>4.3478260869565223E-2</v>
      </c>
      <c r="K82" s="10">
        <v>3273</v>
      </c>
      <c r="L82" t="str">
        <f>IFERROR(VLOOKUP(WTG_BD[[#This Row],[Error Code]],'Basic Data'!S:T,2,0),"Incorrect Error Code")</f>
        <v>YawUntwistCCW: Code__,_______°</v>
      </c>
      <c r="M82" t="s">
        <v>1963</v>
      </c>
      <c r="O82" s="270">
        <v>0.29869212962962965</v>
      </c>
      <c r="P82" s="270">
        <v>0.29869212962962965</v>
      </c>
      <c r="Q82" s="270">
        <v>0.31634259259259262</v>
      </c>
      <c r="R82" s="356">
        <f>(WTG_BD[[#This Row],[Work Start TimeStamp]]-WTG_BD[[#This Row],[Fault Start TimeStamp]])*24</f>
        <v>0</v>
      </c>
      <c r="S82" s="34">
        <f>(WTG_BD[[#This Row],[Fault Clearance time]]-WTG_BD[[#This Row],[Work Start TimeStamp]])*24</f>
        <v>0.42361111111111116</v>
      </c>
      <c r="T82" s="34">
        <f>(WTG_BD[[#This Row],[Fault Clearance time]]-WTG_BD[[#This Row],[Fault Start TimeStamp]])*24</f>
        <v>0.42361111111111116</v>
      </c>
      <c r="U82" t="s">
        <v>4323</v>
      </c>
      <c r="V82" s="234" t="s">
        <v>255</v>
      </c>
      <c r="W82" s="50">
        <f>IFERROR(IF(N82="ROW",0,(WTG_BD[[#This Row],[Breakdown Time]]*WTG_BD[[#This Row],[Plant Equivalent Weightage]])),"")</f>
        <v>1.8417874396135271E-2</v>
      </c>
      <c r="X82" s="50"/>
      <c r="Y82" s="205">
        <v>1</v>
      </c>
      <c r="Z82" s="205"/>
      <c r="AA82" s="4">
        <v>2E-3</v>
      </c>
      <c r="AC82" s="4"/>
    </row>
    <row r="83" spans="1:29">
      <c r="A83" s="10">
        <f t="shared" si="2"/>
        <v>82</v>
      </c>
      <c r="B83" s="43">
        <f>YEAR(WTG_BD[[#This Row],[Date]])+IF(MONTH(WTG_BD[[#This Row],[Date]])&gt;=4,1,0)</f>
        <v>2026</v>
      </c>
      <c r="C83" s="10">
        <v>2025</v>
      </c>
      <c r="D83" s="10" t="s">
        <v>4478</v>
      </c>
      <c r="E83" s="309">
        <f>WTG_BD[[#This Row],[Date]]-DAY(WTG_BD[[#This Row],[Date]])+1</f>
        <v>45748</v>
      </c>
      <c r="F83" s="32">
        <v>45754</v>
      </c>
      <c r="G83" t="s">
        <v>78</v>
      </c>
      <c r="H83" t="str">
        <f>IFERROR(VLOOKUP(WTG_BD[[#This Row],[Affected WTG]],'Basic Data'!$A$3:$E$25,2,0),"")</f>
        <v>O2R1</v>
      </c>
      <c r="I83" t="str">
        <f>IFERROR(VLOOKUP(WTG_BD[[#This Row],[Affected WTG]],'Basic Data'!$A$3:$E$25,3,0),"")</f>
        <v>KSIPL</v>
      </c>
      <c r="J83" s="355">
        <f>IFERROR(VLOOKUP(WTG_BD[[#This Row],[Affected WTG]],'Basic Data'!$A$3:$E$25,5,0),"")</f>
        <v>4.3478260869565223E-2</v>
      </c>
      <c r="K83" s="10">
        <v>3273</v>
      </c>
      <c r="L83" t="str">
        <f>IFERROR(VLOOKUP(WTG_BD[[#This Row],[Error Code]],'Basic Data'!S:T,2,0),"Incorrect Error Code")</f>
        <v>YawUntwistCCW: Code__,_______°</v>
      </c>
      <c r="M83" t="s">
        <v>1963</v>
      </c>
      <c r="O83" s="270">
        <v>0.60277777777777775</v>
      </c>
      <c r="P83" s="270">
        <v>0.60277777777777775</v>
      </c>
      <c r="Q83" s="270">
        <v>0.61736111111111114</v>
      </c>
      <c r="R83" s="356">
        <f>(WTG_BD[[#This Row],[Work Start TimeStamp]]-WTG_BD[[#This Row],[Fault Start TimeStamp]])*24</f>
        <v>0</v>
      </c>
      <c r="S83" s="34">
        <f>(WTG_BD[[#This Row],[Fault Clearance time]]-WTG_BD[[#This Row],[Work Start TimeStamp]])*24</f>
        <v>0.35000000000000142</v>
      </c>
      <c r="T83" s="34">
        <f>(WTG_BD[[#This Row],[Fault Clearance time]]-WTG_BD[[#This Row],[Fault Start TimeStamp]])*24</f>
        <v>0.35000000000000142</v>
      </c>
      <c r="U83" s="281" t="s">
        <v>4323</v>
      </c>
      <c r="V83" s="234" t="s">
        <v>255</v>
      </c>
      <c r="W83" s="50">
        <f>IFERROR(IF(N83="ROW",0,(WTG_BD[[#This Row],[Breakdown Time]]*WTG_BD[[#This Row],[Plant Equivalent Weightage]])),"")</f>
        <v>1.5217391304347889E-2</v>
      </c>
      <c r="X83" s="50"/>
      <c r="Y83" s="205">
        <v>1</v>
      </c>
      <c r="Z83" s="205"/>
      <c r="AA83" s="4">
        <v>2E-3</v>
      </c>
      <c r="AC83" s="4"/>
    </row>
    <row r="84" spans="1:29">
      <c r="A84" s="10">
        <f t="shared" si="2"/>
        <v>83</v>
      </c>
      <c r="B84" s="43">
        <f>YEAR(WTG_BD[[#This Row],[Date]])+IF(MONTH(WTG_BD[[#This Row],[Date]])&gt;=4,1,0)</f>
        <v>2026</v>
      </c>
      <c r="C84" s="10">
        <v>2025</v>
      </c>
      <c r="D84" s="10" t="s">
        <v>4478</v>
      </c>
      <c r="E84" s="309">
        <f>WTG_BD[[#This Row],[Date]]-DAY(WTG_BD[[#This Row],[Date]])+1</f>
        <v>45748</v>
      </c>
      <c r="F84" s="32">
        <v>45754</v>
      </c>
      <c r="G84" t="s">
        <v>83</v>
      </c>
      <c r="H84" t="str">
        <f>IFERROR(VLOOKUP(WTG_BD[[#This Row],[Affected WTG]],'Basic Data'!$A$3:$E$25,2,0),"")</f>
        <v>O2R3</v>
      </c>
      <c r="I84" t="str">
        <f>IFERROR(VLOOKUP(WTG_BD[[#This Row],[Affected WTG]],'Basic Data'!$A$3:$E$25,3,0),"")</f>
        <v>JK</v>
      </c>
      <c r="J84" s="355">
        <f>IFERROR(VLOOKUP(WTG_BD[[#This Row],[Affected WTG]],'Basic Data'!$A$3:$E$25,5,0),"")</f>
        <v>4.3478260869565223E-2</v>
      </c>
      <c r="K84" s="10">
        <v>309</v>
      </c>
      <c r="L84" t="str">
        <f>IFERROR(VLOOKUP(WTG_BD[[#This Row],[Error Code]],'Basic Data'!S:T,2,0),"Incorrect Error Code")</f>
        <v>Pause over RCS __0</v>
      </c>
      <c r="M84" t="s">
        <v>871</v>
      </c>
      <c r="N84" t="s">
        <v>257</v>
      </c>
      <c r="O84" s="270">
        <v>0.41597222222222224</v>
      </c>
      <c r="P84" s="270">
        <v>0.41597222222222224</v>
      </c>
      <c r="Q84" s="270">
        <v>0.77361111111111114</v>
      </c>
      <c r="R84" s="356">
        <f>(WTG_BD[[#This Row],[Work Start TimeStamp]]-WTG_BD[[#This Row],[Fault Start TimeStamp]])*24</f>
        <v>0</v>
      </c>
      <c r="S84" s="34">
        <f>(WTG_BD[[#This Row],[Fault Clearance time]]-WTG_BD[[#This Row],[Work Start TimeStamp]])*24</f>
        <v>8.5833333333333339</v>
      </c>
      <c r="T84" s="34">
        <f>(WTG_BD[[#This Row],[Fault Clearance time]]-WTG_BD[[#This Row],[Fault Start TimeStamp]])*24</f>
        <v>8.5833333333333339</v>
      </c>
      <c r="U84" t="s">
        <v>4480</v>
      </c>
      <c r="V84" s="234" t="s">
        <v>255</v>
      </c>
      <c r="W84" s="50">
        <f>IFERROR(IF(N84="ROW",0,(WTG_BD[[#This Row],[Breakdown Time]]*WTG_BD[[#This Row],[Plant Equivalent Weightage]])),"")</f>
        <v>0.3731884057971015</v>
      </c>
      <c r="X84" s="50"/>
      <c r="Y84" s="205">
        <v>1</v>
      </c>
      <c r="Z84" s="205"/>
      <c r="AA84" s="4">
        <v>0.85199999999999998</v>
      </c>
      <c r="AC84" s="4"/>
    </row>
    <row r="85" spans="1:29">
      <c r="A85" s="10">
        <f t="shared" si="2"/>
        <v>84</v>
      </c>
      <c r="B85" s="43">
        <f>YEAR(WTG_BD[[#This Row],[Date]])+IF(MONTH(WTG_BD[[#This Row],[Date]])&gt;=4,1,0)</f>
        <v>2026</v>
      </c>
      <c r="C85" s="10">
        <v>2025</v>
      </c>
      <c r="D85" s="10" t="s">
        <v>4478</v>
      </c>
      <c r="E85" s="309">
        <f>WTG_BD[[#This Row],[Date]]-DAY(WTG_BD[[#This Row],[Date]])+1</f>
        <v>45748</v>
      </c>
      <c r="F85" s="32">
        <v>45754</v>
      </c>
      <c r="G85" t="s">
        <v>85</v>
      </c>
      <c r="H85" t="str">
        <f>IFERROR(VLOOKUP(WTG_BD[[#This Row],[Affected WTG]],'Basic Data'!$A$3:$E$25,2,0),"")</f>
        <v>O2R1</v>
      </c>
      <c r="I85" t="str">
        <f>IFERROR(VLOOKUP(WTG_BD[[#This Row],[Affected WTG]],'Basic Data'!$A$3:$E$25,3,0),"")</f>
        <v>KSIPL</v>
      </c>
      <c r="J85" s="355">
        <f>IFERROR(VLOOKUP(WTG_BD[[#This Row],[Affected WTG]],'Basic Data'!$A$3:$E$25,5,0),"")</f>
        <v>4.3478260869565223E-2</v>
      </c>
      <c r="K85" s="10">
        <v>3273</v>
      </c>
      <c r="L85" t="str">
        <f>IFERROR(VLOOKUP(WTG_BD[[#This Row],[Error Code]],'Basic Data'!S:T,2,0),"Incorrect Error Code")</f>
        <v>YawUntwistCCW: Code__,_______°</v>
      </c>
      <c r="M85" t="s">
        <v>1963</v>
      </c>
      <c r="O85" s="270">
        <v>0.49305555555555558</v>
      </c>
      <c r="P85" s="270">
        <v>0.49305555555555558</v>
      </c>
      <c r="Q85" s="270">
        <v>0.50694444444444442</v>
      </c>
      <c r="R85" s="356">
        <f>(WTG_BD[[#This Row],[Work Start TimeStamp]]-WTG_BD[[#This Row],[Fault Start TimeStamp]])*24</f>
        <v>0</v>
      </c>
      <c r="S85" s="34">
        <f>(WTG_BD[[#This Row],[Fault Clearance time]]-WTG_BD[[#This Row],[Work Start TimeStamp]])*24</f>
        <v>0.33333333333333215</v>
      </c>
      <c r="T85" s="34">
        <f>(WTG_BD[[#This Row],[Fault Clearance time]]-WTG_BD[[#This Row],[Fault Start TimeStamp]])*24</f>
        <v>0.33333333333333215</v>
      </c>
      <c r="U85" t="s">
        <v>4323</v>
      </c>
      <c r="V85" s="234" t="s">
        <v>255</v>
      </c>
      <c r="W85" s="50">
        <f>IFERROR(IF(N85="ROW",0,(WTG_BD[[#This Row],[Breakdown Time]]*WTG_BD[[#This Row],[Plant Equivalent Weightage]])),"")</f>
        <v>1.4492753623188356E-2</v>
      </c>
      <c r="X85" s="50"/>
      <c r="Y85" s="205">
        <v>1</v>
      </c>
      <c r="Z85" s="205"/>
      <c r="AA85" s="4">
        <v>1E-3</v>
      </c>
      <c r="AC85" s="4"/>
    </row>
    <row r="86" spans="1:29">
      <c r="A86" s="10">
        <f t="shared" si="2"/>
        <v>85</v>
      </c>
      <c r="B86" s="43">
        <f>YEAR(WTG_BD[[#This Row],[Date]])+IF(MONTH(WTG_BD[[#This Row],[Date]])&gt;=4,1,0)</f>
        <v>2026</v>
      </c>
      <c r="C86" s="10">
        <v>2025</v>
      </c>
      <c r="D86" s="10" t="s">
        <v>4478</v>
      </c>
      <c r="E86" s="309">
        <f>WTG_BD[[#This Row],[Date]]-DAY(WTG_BD[[#This Row],[Date]])+1</f>
        <v>45748</v>
      </c>
      <c r="F86" s="32">
        <v>45754</v>
      </c>
      <c r="G86" t="s">
        <v>87</v>
      </c>
      <c r="H86" t="str">
        <f>IFERROR(VLOOKUP(WTG_BD[[#This Row],[Affected WTG]],'Basic Data'!$A$3:$E$25,2,0),"")</f>
        <v>O2R1</v>
      </c>
      <c r="I86" t="str">
        <f>IFERROR(VLOOKUP(WTG_BD[[#This Row],[Affected WTG]],'Basic Data'!$A$3:$E$25,3,0),"")</f>
        <v>KSIPL</v>
      </c>
      <c r="J86" s="355">
        <f>IFERROR(VLOOKUP(WTG_BD[[#This Row],[Affected WTG]],'Basic Data'!$A$3:$E$25,5,0),"")</f>
        <v>4.3478260869565223E-2</v>
      </c>
      <c r="K86" s="10">
        <v>3273</v>
      </c>
      <c r="L86" t="str">
        <f>IFERROR(VLOOKUP(WTG_BD[[#This Row],[Error Code]],'Basic Data'!S:T,2,0),"Incorrect Error Code")</f>
        <v>YawUntwistCCW: Code__,_______°</v>
      </c>
      <c r="M86" t="s">
        <v>1963</v>
      </c>
      <c r="O86" s="270">
        <v>0.71458333333333335</v>
      </c>
      <c r="P86" s="270">
        <v>0.71458333333333335</v>
      </c>
      <c r="Q86" s="270">
        <v>0.73055555555555551</v>
      </c>
      <c r="R86" s="356">
        <f>(WTG_BD[[#This Row],[Work Start TimeStamp]]-WTG_BD[[#This Row],[Fault Start TimeStamp]])*24</f>
        <v>0</v>
      </c>
      <c r="S86" s="34">
        <f>(WTG_BD[[#This Row],[Fault Clearance time]]-WTG_BD[[#This Row],[Work Start TimeStamp]])*24</f>
        <v>0.38333333333333197</v>
      </c>
      <c r="T86" s="34">
        <f>(WTG_BD[[#This Row],[Fault Clearance time]]-WTG_BD[[#This Row],[Fault Start TimeStamp]])*24</f>
        <v>0.38333333333333197</v>
      </c>
      <c r="U86" t="s">
        <v>4323</v>
      </c>
      <c r="V86" s="234" t="s">
        <v>255</v>
      </c>
      <c r="W86" s="50">
        <f>IFERROR(IF(N86="ROW",0,(WTG_BD[[#This Row],[Breakdown Time]]*WTG_BD[[#This Row],[Plant Equivalent Weightage]])),"")</f>
        <v>1.6666666666666611E-2</v>
      </c>
      <c r="X86" s="50"/>
      <c r="Y86" s="205">
        <v>1</v>
      </c>
      <c r="Z86" s="205"/>
      <c r="AA86" s="4">
        <v>0.153</v>
      </c>
      <c r="AC86" s="4"/>
    </row>
    <row r="87" spans="1:29">
      <c r="A87" s="10">
        <f t="shared" si="2"/>
        <v>86</v>
      </c>
      <c r="B87" s="43">
        <f>YEAR(WTG_BD[[#This Row],[Date]])+IF(MONTH(WTG_BD[[#This Row],[Date]])&gt;=4,1,0)</f>
        <v>2026</v>
      </c>
      <c r="C87" s="10">
        <v>2025</v>
      </c>
      <c r="D87" s="10" t="s">
        <v>4478</v>
      </c>
      <c r="E87" s="309">
        <f>WTG_BD[[#This Row],[Date]]-DAY(WTG_BD[[#This Row],[Date]])+1</f>
        <v>45748</v>
      </c>
      <c r="F87" s="32">
        <v>45754</v>
      </c>
      <c r="G87" t="s">
        <v>88</v>
      </c>
      <c r="H87" t="str">
        <f>IFERROR(VLOOKUP(WTG_BD[[#This Row],[Affected WTG]],'Basic Data'!$A$3:$E$25,2,0),"")</f>
        <v>O2R1</v>
      </c>
      <c r="I87" t="str">
        <f>IFERROR(VLOOKUP(WTG_BD[[#This Row],[Affected WTG]],'Basic Data'!$A$3:$E$25,3,0),"")</f>
        <v>KSIPL</v>
      </c>
      <c r="J87" s="355">
        <f>IFERROR(VLOOKUP(WTG_BD[[#This Row],[Affected WTG]],'Basic Data'!$A$3:$E$25,5,0),"")</f>
        <v>4.3478260869565223E-2</v>
      </c>
      <c r="K87" s="10">
        <v>3273</v>
      </c>
      <c r="L87" t="str">
        <f>IFERROR(VLOOKUP(WTG_BD[[#This Row],[Error Code]],'Basic Data'!S:T,2,0),"Incorrect Error Code")</f>
        <v>YawUntwistCCW: Code__,_______°</v>
      </c>
      <c r="M87" t="s">
        <v>1963</v>
      </c>
      <c r="O87" s="270">
        <v>0.57638888888888884</v>
      </c>
      <c r="P87" s="270">
        <v>0.57638888888888884</v>
      </c>
      <c r="Q87" s="270">
        <v>0.59166666666666667</v>
      </c>
      <c r="R87" s="356">
        <f>(WTG_BD[[#This Row],[Work Start TimeStamp]]-WTG_BD[[#This Row],[Fault Start TimeStamp]])*24</f>
        <v>0</v>
      </c>
      <c r="S87" s="34">
        <f>(WTG_BD[[#This Row],[Fault Clearance time]]-WTG_BD[[#This Row],[Work Start TimeStamp]])*24</f>
        <v>0.36666666666666803</v>
      </c>
      <c r="T87" s="34">
        <f>(WTG_BD[[#This Row],[Fault Clearance time]]-WTG_BD[[#This Row],[Fault Start TimeStamp]])*24</f>
        <v>0.36666666666666803</v>
      </c>
      <c r="U87" t="s">
        <v>4323</v>
      </c>
      <c r="V87" s="234" t="s">
        <v>255</v>
      </c>
      <c r="W87" s="50">
        <f>IFERROR(IF(N87="ROW",0,(WTG_BD[[#This Row],[Breakdown Time]]*WTG_BD[[#This Row],[Plant Equivalent Weightage]])),"")</f>
        <v>1.5942028985507308E-2</v>
      </c>
      <c r="X87" s="50"/>
      <c r="Y87" s="205">
        <v>1</v>
      </c>
      <c r="Z87" s="205"/>
      <c r="AA87" s="4">
        <v>1E-3</v>
      </c>
      <c r="AC87" s="4"/>
    </row>
    <row r="88" spans="1:29">
      <c r="A88" s="10">
        <f t="shared" si="2"/>
        <v>87</v>
      </c>
      <c r="B88" s="43">
        <f>YEAR(WTG_BD[[#This Row],[Date]])+IF(MONTH(WTG_BD[[#This Row],[Date]])&gt;=4,1,0)</f>
        <v>2026</v>
      </c>
      <c r="C88" s="10">
        <v>2025</v>
      </c>
      <c r="D88" s="10" t="s">
        <v>4478</v>
      </c>
      <c r="E88" s="309">
        <f>WTG_BD[[#This Row],[Date]]-DAY(WTG_BD[[#This Row],[Date]])+1</f>
        <v>45748</v>
      </c>
      <c r="F88" s="32">
        <v>45754</v>
      </c>
      <c r="G88" t="s">
        <v>90</v>
      </c>
      <c r="H88" t="str">
        <f>IFERROR(VLOOKUP(WTG_BD[[#This Row],[Affected WTG]],'Basic Data'!$A$3:$E$25,2,0),"")</f>
        <v>O2R1</v>
      </c>
      <c r="I88" t="str">
        <f>IFERROR(VLOOKUP(WTG_BD[[#This Row],[Affected WTG]],'Basic Data'!$A$3:$E$25,3,0),"")</f>
        <v>KSIPL</v>
      </c>
      <c r="J88" s="355">
        <f>IFERROR(VLOOKUP(WTG_BD[[#This Row],[Affected WTG]],'Basic Data'!$A$3:$E$25,5,0),"")</f>
        <v>4.3478260869565223E-2</v>
      </c>
      <c r="K88" s="10">
        <v>3273</v>
      </c>
      <c r="L88" t="str">
        <f>IFERROR(VLOOKUP(WTG_BD[[#This Row],[Error Code]],'Basic Data'!S:T,2,0),"Incorrect Error Code")</f>
        <v>YawUntwistCCW: Code__,_______°</v>
      </c>
      <c r="M88" t="s">
        <v>1963</v>
      </c>
      <c r="O88" s="270">
        <v>0.10972222222222222</v>
      </c>
      <c r="P88" s="270">
        <v>0.10972222222222222</v>
      </c>
      <c r="Q88" s="270">
        <v>0.12638888888888888</v>
      </c>
      <c r="R88" s="356">
        <f>(WTG_BD[[#This Row],[Work Start TimeStamp]]-WTG_BD[[#This Row],[Fault Start TimeStamp]])*24</f>
        <v>0</v>
      </c>
      <c r="S88" s="34">
        <f>(WTG_BD[[#This Row],[Fault Clearance time]]-WTG_BD[[#This Row],[Work Start TimeStamp]])*24</f>
        <v>0.39999999999999991</v>
      </c>
      <c r="T88" s="34">
        <f>(WTG_BD[[#This Row],[Fault Clearance time]]-WTG_BD[[#This Row],[Fault Start TimeStamp]])*24</f>
        <v>0.39999999999999991</v>
      </c>
      <c r="U88" t="s">
        <v>4323</v>
      </c>
      <c r="V88" s="234" t="s">
        <v>255</v>
      </c>
      <c r="W88" s="50">
        <f>IFERROR(IF(N88="ROW",0,(WTG_BD[[#This Row],[Breakdown Time]]*WTG_BD[[#This Row],[Plant Equivalent Weightage]])),"")</f>
        <v>1.7391304347826084E-2</v>
      </c>
      <c r="X88" s="50"/>
      <c r="Y88" s="205">
        <v>1</v>
      </c>
      <c r="Z88" s="205"/>
      <c r="AA88" s="4">
        <v>3.5000000000000003E-2</v>
      </c>
      <c r="AC88" s="4"/>
    </row>
    <row r="89" spans="1:29">
      <c r="A89" s="10">
        <f t="shared" si="2"/>
        <v>88</v>
      </c>
      <c r="B89" s="43">
        <f>YEAR(WTG_BD[[#This Row],[Date]])+IF(MONTH(WTG_BD[[#This Row],[Date]])&gt;=4,1,0)</f>
        <v>2026</v>
      </c>
      <c r="C89" s="10">
        <v>2025</v>
      </c>
      <c r="D89" s="10" t="s">
        <v>4478</v>
      </c>
      <c r="E89" s="309">
        <f>WTG_BD[[#This Row],[Date]]-DAY(WTG_BD[[#This Row],[Date]])+1</f>
        <v>45748</v>
      </c>
      <c r="F89" s="32">
        <v>45754</v>
      </c>
      <c r="G89" t="s">
        <v>95</v>
      </c>
      <c r="H89" t="str">
        <f>IFERROR(VLOOKUP(WTG_BD[[#This Row],[Affected WTG]],'Basic Data'!$A$3:$E$25,2,0),"")</f>
        <v>O2R1</v>
      </c>
      <c r="I89" t="str">
        <f>IFERROR(VLOOKUP(WTG_BD[[#This Row],[Affected WTG]],'Basic Data'!$A$3:$E$25,3,0),"")</f>
        <v>KSIPL</v>
      </c>
      <c r="J89" s="355">
        <f>IFERROR(VLOOKUP(WTG_BD[[#This Row],[Affected WTG]],'Basic Data'!$A$3:$E$25,5,0),"")</f>
        <v>4.3478260869565223E-2</v>
      </c>
      <c r="K89" s="10">
        <v>3273</v>
      </c>
      <c r="L89" t="str">
        <f>IFERROR(VLOOKUP(WTG_BD[[#This Row],[Error Code]],'Basic Data'!S:T,2,0),"Incorrect Error Code")</f>
        <v>YawUntwistCCW: Code__,_______°</v>
      </c>
      <c r="M89" t="s">
        <v>1963</v>
      </c>
      <c r="O89" s="270">
        <v>0.29583333333333334</v>
      </c>
      <c r="P89" s="270">
        <v>0.29583333333333334</v>
      </c>
      <c r="Q89" s="270">
        <v>0.31111111111111112</v>
      </c>
      <c r="R89" s="356">
        <f>(WTG_BD[[#This Row],[Work Start TimeStamp]]-WTG_BD[[#This Row],[Fault Start TimeStamp]])*24</f>
        <v>0</v>
      </c>
      <c r="S89" s="34">
        <f>(WTG_BD[[#This Row],[Fault Clearance time]]-WTG_BD[[#This Row],[Work Start TimeStamp]])*24</f>
        <v>0.3666666666666667</v>
      </c>
      <c r="T89" s="34">
        <f>(WTG_BD[[#This Row],[Fault Clearance time]]-WTG_BD[[#This Row],[Fault Start TimeStamp]])*24</f>
        <v>0.3666666666666667</v>
      </c>
      <c r="U89" t="s">
        <v>4323</v>
      </c>
      <c r="V89" s="234" t="s">
        <v>255</v>
      </c>
      <c r="W89" s="50">
        <f>IFERROR(IF(N89="ROW",0,(WTG_BD[[#This Row],[Breakdown Time]]*WTG_BD[[#This Row],[Plant Equivalent Weightage]])),"")</f>
        <v>1.5942028985507249E-2</v>
      </c>
      <c r="X89" s="50"/>
      <c r="Y89" s="205">
        <v>1</v>
      </c>
      <c r="Z89" s="205"/>
      <c r="AA89" s="4">
        <v>2E-3</v>
      </c>
      <c r="AC89" s="4"/>
    </row>
    <row r="90" spans="1:29">
      <c r="A90" s="10">
        <f t="shared" ref="A90:A153" si="3">A89+1</f>
        <v>89</v>
      </c>
      <c r="B90" s="43">
        <f>YEAR(WTG_BD[[#This Row],[Date]])+IF(MONTH(WTG_BD[[#This Row],[Date]])&gt;=4,1,0)</f>
        <v>2026</v>
      </c>
      <c r="C90" s="10">
        <v>2025</v>
      </c>
      <c r="D90" s="10" t="s">
        <v>4478</v>
      </c>
      <c r="E90" s="309">
        <f>WTG_BD[[#This Row],[Date]]-DAY(WTG_BD[[#This Row],[Date]])+1</f>
        <v>45748</v>
      </c>
      <c r="F90" s="32">
        <v>45754</v>
      </c>
      <c r="G90" t="s">
        <v>79</v>
      </c>
      <c r="H90" t="str">
        <f>IFERROR(VLOOKUP(WTG_BD[[#This Row],[Affected WTG]],'Basic Data'!$A$3:$E$25,2,0),"")</f>
        <v>O2R3</v>
      </c>
      <c r="I90" t="str">
        <f>IFERROR(VLOOKUP(WTG_BD[[#This Row],[Affected WTG]],'Basic Data'!$A$3:$E$25,3,0),"")</f>
        <v>JK</v>
      </c>
      <c r="J90" s="355">
        <f>IFERROR(VLOOKUP(WTG_BD[[#This Row],[Affected WTG]],'Basic Data'!$A$3:$E$25,5,0),"")</f>
        <v>4.3478260869565223E-2</v>
      </c>
      <c r="K90" s="10">
        <v>3273</v>
      </c>
      <c r="L90" t="str">
        <f>IFERROR(VLOOKUP(WTG_BD[[#This Row],[Error Code]],'Basic Data'!S:T,2,0),"Incorrect Error Code")</f>
        <v>YawUntwistCCW: Code__,_______°</v>
      </c>
      <c r="M90" t="s">
        <v>1963</v>
      </c>
      <c r="O90" s="270">
        <v>0.66041666666666665</v>
      </c>
      <c r="P90" s="270">
        <v>0.66041666666666665</v>
      </c>
      <c r="Q90" s="270">
        <v>0.67500000000000004</v>
      </c>
      <c r="R90" s="356">
        <f>(WTG_BD[[#This Row],[Work Start TimeStamp]]-WTG_BD[[#This Row],[Fault Start TimeStamp]])*24</f>
        <v>0</v>
      </c>
      <c r="S90" s="34">
        <f>(WTG_BD[[#This Row],[Fault Clearance time]]-WTG_BD[[#This Row],[Work Start TimeStamp]])*24</f>
        <v>0.35000000000000142</v>
      </c>
      <c r="T90" s="34">
        <f>(WTG_BD[[#This Row],[Fault Clearance time]]-WTG_BD[[#This Row],[Fault Start TimeStamp]])*24</f>
        <v>0.35000000000000142</v>
      </c>
      <c r="U90" s="33" t="s">
        <v>4323</v>
      </c>
      <c r="V90" s="234" t="s">
        <v>255</v>
      </c>
      <c r="W90" s="50">
        <f>IFERROR(IF(N90="ROW",0,(WTG_BD[[#This Row],[Breakdown Time]]*WTG_BD[[#This Row],[Plant Equivalent Weightage]])),"")</f>
        <v>1.5217391304347889E-2</v>
      </c>
      <c r="X90" s="50"/>
      <c r="Y90" s="205">
        <v>1</v>
      </c>
      <c r="Z90" s="205"/>
      <c r="AA90" s="4">
        <v>0.14399999999999999</v>
      </c>
      <c r="AC90" s="4"/>
    </row>
    <row r="91" spans="1:29">
      <c r="A91" s="10">
        <f t="shared" si="3"/>
        <v>90</v>
      </c>
      <c r="B91" s="43">
        <f>YEAR(WTG_BD[[#This Row],[Date]])+IF(MONTH(WTG_BD[[#This Row],[Date]])&gt;=4,1,0)</f>
        <v>2026</v>
      </c>
      <c r="C91" s="10">
        <v>2025</v>
      </c>
      <c r="D91" s="10" t="s">
        <v>4478</v>
      </c>
      <c r="E91" s="309">
        <f>WTG_BD[[#This Row],[Date]]-DAY(WTG_BD[[#This Row],[Date]])+1</f>
        <v>45748</v>
      </c>
      <c r="F91" s="32">
        <v>45754</v>
      </c>
      <c r="G91" t="s">
        <v>80</v>
      </c>
      <c r="H91" t="str">
        <f>IFERROR(VLOOKUP(WTG_BD[[#This Row],[Affected WTG]],'Basic Data'!$A$3:$E$25,2,0),"")</f>
        <v>O2R3</v>
      </c>
      <c r="I91" t="str">
        <f>IFERROR(VLOOKUP(WTG_BD[[#This Row],[Affected WTG]],'Basic Data'!$A$3:$E$25,3,0),"")</f>
        <v>JK</v>
      </c>
      <c r="J91" s="355">
        <f>IFERROR(VLOOKUP(WTG_BD[[#This Row],[Affected WTG]],'Basic Data'!$A$3:$E$25,5,0),"")</f>
        <v>4.3478260869565223E-2</v>
      </c>
      <c r="K91" s="10">
        <v>3273</v>
      </c>
      <c r="L91" t="str">
        <f>IFERROR(VLOOKUP(WTG_BD[[#This Row],[Error Code]],'Basic Data'!S:T,2,0),"Incorrect Error Code")</f>
        <v>YawUntwistCCW: Code__,_______°</v>
      </c>
      <c r="M91" t="s">
        <v>1963</v>
      </c>
      <c r="O91" s="270">
        <v>0.17152777777777778</v>
      </c>
      <c r="P91" s="270">
        <v>0.17152777777777778</v>
      </c>
      <c r="Q91" s="270">
        <v>0.18541666666666667</v>
      </c>
      <c r="R91" s="356">
        <f>(WTG_BD[[#This Row],[Work Start TimeStamp]]-WTG_BD[[#This Row],[Fault Start TimeStamp]])*24</f>
        <v>0</v>
      </c>
      <c r="S91" s="34">
        <f>(WTG_BD[[#This Row],[Fault Clearance time]]-WTG_BD[[#This Row],[Work Start TimeStamp]])*24</f>
        <v>0.33333333333333348</v>
      </c>
      <c r="T91" s="34">
        <f>(WTG_BD[[#This Row],[Fault Clearance time]]-WTG_BD[[#This Row],[Fault Start TimeStamp]])*24</f>
        <v>0.33333333333333348</v>
      </c>
      <c r="U91" s="33" t="s">
        <v>4323</v>
      </c>
      <c r="V91" s="234" t="s">
        <v>255</v>
      </c>
      <c r="W91" s="50">
        <f>IFERROR(IF(N91="ROW",0,(WTG_BD[[#This Row],[Breakdown Time]]*WTG_BD[[#This Row],[Plant Equivalent Weightage]])),"")</f>
        <v>1.4492753623188415E-2</v>
      </c>
      <c r="X91" s="50"/>
      <c r="Y91" s="205">
        <v>1</v>
      </c>
      <c r="Z91" s="205"/>
      <c r="AA91" s="4">
        <v>1E-3</v>
      </c>
      <c r="AC91" s="4"/>
    </row>
    <row r="92" spans="1:29">
      <c r="A92" s="10">
        <f t="shared" si="3"/>
        <v>91</v>
      </c>
      <c r="B92" s="43">
        <f>YEAR(WTG_BD[[#This Row],[Date]])+IF(MONTH(WTG_BD[[#This Row],[Date]])&gt;=4,1,0)</f>
        <v>2026</v>
      </c>
      <c r="C92" s="10">
        <v>2025</v>
      </c>
      <c r="D92" s="10" t="s">
        <v>4478</v>
      </c>
      <c r="E92" s="309">
        <f>WTG_BD[[#This Row],[Date]]-DAY(WTG_BD[[#This Row],[Date]])+1</f>
        <v>45748</v>
      </c>
      <c r="F92" s="32">
        <v>45754</v>
      </c>
      <c r="G92" t="s">
        <v>81</v>
      </c>
      <c r="H92" t="str">
        <f>IFERROR(VLOOKUP(WTG_BD[[#This Row],[Affected WTG]],'Basic Data'!$A$3:$E$25,2,0),"")</f>
        <v>O2R3</v>
      </c>
      <c r="I92" t="str">
        <f>IFERROR(VLOOKUP(WTG_BD[[#This Row],[Affected WTG]],'Basic Data'!$A$3:$E$25,3,0),"")</f>
        <v>JK</v>
      </c>
      <c r="J92" s="355">
        <f>IFERROR(VLOOKUP(WTG_BD[[#This Row],[Affected WTG]],'Basic Data'!$A$3:$E$25,5,0),"")</f>
        <v>4.3478260869565223E-2</v>
      </c>
      <c r="K92" s="10">
        <v>3273</v>
      </c>
      <c r="L92" t="str">
        <f>IFERROR(VLOOKUP(WTG_BD[[#This Row],[Error Code]],'Basic Data'!S:T,2,0),"Incorrect Error Code")</f>
        <v>YawUntwistCCW: Code__,_______°</v>
      </c>
      <c r="M92" t="s">
        <v>1963</v>
      </c>
      <c r="O92" s="270">
        <v>0.20902777777777778</v>
      </c>
      <c r="P92" s="270">
        <v>0.20902777777777778</v>
      </c>
      <c r="Q92" s="270">
        <v>0.22291666666666668</v>
      </c>
      <c r="R92" s="356">
        <f>(WTG_BD[[#This Row],[Work Start TimeStamp]]-WTG_BD[[#This Row],[Fault Start TimeStamp]])*24</f>
        <v>0</v>
      </c>
      <c r="S92" s="34">
        <f>(WTG_BD[[#This Row],[Fault Clearance time]]-WTG_BD[[#This Row],[Work Start TimeStamp]])*24</f>
        <v>0.33333333333333348</v>
      </c>
      <c r="T92" s="34">
        <f>(WTG_BD[[#This Row],[Fault Clearance time]]-WTG_BD[[#This Row],[Fault Start TimeStamp]])*24</f>
        <v>0.33333333333333348</v>
      </c>
      <c r="U92" s="33" t="s">
        <v>4323</v>
      </c>
      <c r="V92" s="234" t="s">
        <v>255</v>
      </c>
      <c r="W92" s="50">
        <f>IFERROR(IF(N92="ROW",0,(WTG_BD[[#This Row],[Breakdown Time]]*WTG_BD[[#This Row],[Plant Equivalent Weightage]])),"")</f>
        <v>1.4492753623188415E-2</v>
      </c>
      <c r="X92" s="50"/>
      <c r="Y92" s="205">
        <v>1</v>
      </c>
      <c r="Z92" s="205"/>
      <c r="AA92" s="4">
        <v>0</v>
      </c>
      <c r="AC92" s="4"/>
    </row>
    <row r="93" spans="1:29">
      <c r="A93" s="10">
        <f t="shared" si="3"/>
        <v>92</v>
      </c>
      <c r="B93" s="43">
        <f>YEAR(WTG_BD[[#This Row],[Date]])+IF(MONTH(WTG_BD[[#This Row],[Date]])&gt;=4,1,0)</f>
        <v>2026</v>
      </c>
      <c r="C93" s="10">
        <v>2025</v>
      </c>
      <c r="D93" s="10" t="s">
        <v>4478</v>
      </c>
      <c r="E93" s="309">
        <f>WTG_BD[[#This Row],[Date]]-DAY(WTG_BD[[#This Row],[Date]])+1</f>
        <v>45748</v>
      </c>
      <c r="F93" s="32">
        <v>45754</v>
      </c>
      <c r="G93" t="s">
        <v>82</v>
      </c>
      <c r="H93" t="str">
        <f>IFERROR(VLOOKUP(WTG_BD[[#This Row],[Affected WTG]],'Basic Data'!$A$3:$E$25,2,0),"")</f>
        <v>O2R3</v>
      </c>
      <c r="I93" t="str">
        <f>IFERROR(VLOOKUP(WTG_BD[[#This Row],[Affected WTG]],'Basic Data'!$A$3:$E$25,3,0),"")</f>
        <v>JK</v>
      </c>
      <c r="J93" s="355">
        <f>IFERROR(VLOOKUP(WTG_BD[[#This Row],[Affected WTG]],'Basic Data'!$A$3:$E$25,5,0),"")</f>
        <v>4.3478260869565223E-2</v>
      </c>
      <c r="K93" s="10">
        <v>3273</v>
      </c>
      <c r="L93" t="str">
        <f>IFERROR(VLOOKUP(WTG_BD[[#This Row],[Error Code]],'Basic Data'!S:T,2,0),"Incorrect Error Code")</f>
        <v>YawUntwistCCW: Code__,_______°</v>
      </c>
      <c r="M93" t="s">
        <v>1963</v>
      </c>
      <c r="O93" s="270">
        <v>0.52222222222222225</v>
      </c>
      <c r="P93" s="270">
        <v>0.52222222222222225</v>
      </c>
      <c r="Q93" s="270">
        <v>0.53680555555555554</v>
      </c>
      <c r="R93" s="356">
        <f>(WTG_BD[[#This Row],[Work Start TimeStamp]]-WTG_BD[[#This Row],[Fault Start TimeStamp]])*24</f>
        <v>0</v>
      </c>
      <c r="S93" s="34">
        <f>(WTG_BD[[#This Row],[Fault Clearance time]]-WTG_BD[[#This Row],[Work Start TimeStamp]])*24</f>
        <v>0.34999999999999876</v>
      </c>
      <c r="T93" s="34">
        <f>(WTG_BD[[#This Row],[Fault Clearance time]]-WTG_BD[[#This Row],[Fault Start TimeStamp]])*24</f>
        <v>0.34999999999999876</v>
      </c>
      <c r="U93" s="33" t="s">
        <v>4323</v>
      </c>
      <c r="V93" s="234" t="s">
        <v>255</v>
      </c>
      <c r="W93" s="50">
        <f>IFERROR(IF(N93="ROW",0,(WTG_BD[[#This Row],[Breakdown Time]]*WTG_BD[[#This Row],[Plant Equivalent Weightage]])),"")</f>
        <v>1.5217391304347775E-2</v>
      </c>
      <c r="X93" s="50"/>
      <c r="Y93" s="205">
        <v>1</v>
      </c>
      <c r="Z93" s="205"/>
      <c r="AA93" s="4">
        <v>1E-3</v>
      </c>
      <c r="AC93" s="4"/>
    </row>
    <row r="94" spans="1:29">
      <c r="A94" s="10">
        <f t="shared" si="3"/>
        <v>93</v>
      </c>
      <c r="B94" s="43">
        <f>YEAR(WTG_BD[[#This Row],[Date]])+IF(MONTH(WTG_BD[[#This Row],[Date]])&gt;=4,1,0)</f>
        <v>2026</v>
      </c>
      <c r="C94" s="10">
        <v>2025</v>
      </c>
      <c r="D94" s="10" t="s">
        <v>4478</v>
      </c>
      <c r="E94" s="309">
        <f>WTG_BD[[#This Row],[Date]]-DAY(WTG_BD[[#This Row],[Date]])+1</f>
        <v>45748</v>
      </c>
      <c r="F94" s="32">
        <v>45754</v>
      </c>
      <c r="G94" t="s">
        <v>92</v>
      </c>
      <c r="H94" t="str">
        <f>IFERROR(VLOOKUP(WTG_BD[[#This Row],[Affected WTG]],'Basic Data'!$A$3:$E$25,2,0),"")</f>
        <v>O2R2</v>
      </c>
      <c r="I94" t="str">
        <f>IFERROR(VLOOKUP(WTG_BD[[#This Row],[Affected WTG]],'Basic Data'!$A$3:$E$25,3,0),"")</f>
        <v>SIL</v>
      </c>
      <c r="J94" s="355">
        <f>IFERROR(VLOOKUP(WTG_BD[[#This Row],[Affected WTG]],'Basic Data'!$A$3:$E$25,5,0),"")</f>
        <v>4.3478260869565223E-2</v>
      </c>
      <c r="K94" s="10">
        <v>3273</v>
      </c>
      <c r="L94" t="str">
        <f>IFERROR(VLOOKUP(WTG_BD[[#This Row],[Error Code]],'Basic Data'!S:T,2,0),"Incorrect Error Code")</f>
        <v>YawUntwistCCW: Code__,_______°</v>
      </c>
      <c r="M94" t="s">
        <v>1963</v>
      </c>
      <c r="O94" s="270">
        <v>0.1111111111111111</v>
      </c>
      <c r="P94" s="270">
        <v>0.1111111111111111</v>
      </c>
      <c r="Q94" s="270">
        <v>0.12847222222222221</v>
      </c>
      <c r="R94" s="356">
        <f>(WTG_BD[[#This Row],[Work Start TimeStamp]]-WTG_BD[[#This Row],[Fault Start TimeStamp]])*24</f>
        <v>0</v>
      </c>
      <c r="S94" s="34">
        <f>(WTG_BD[[#This Row],[Fault Clearance time]]-WTG_BD[[#This Row],[Work Start TimeStamp]])*24</f>
        <v>0.41666666666666652</v>
      </c>
      <c r="T94" s="34">
        <f>(WTG_BD[[#This Row],[Fault Clearance time]]-WTG_BD[[#This Row],[Fault Start TimeStamp]])*24</f>
        <v>0.41666666666666652</v>
      </c>
      <c r="U94" s="33" t="s">
        <v>4323</v>
      </c>
      <c r="V94" s="234" t="s">
        <v>255</v>
      </c>
      <c r="W94" s="50">
        <f>IFERROR(IF(N94="ROW",0,(WTG_BD[[#This Row],[Breakdown Time]]*WTG_BD[[#This Row],[Plant Equivalent Weightage]])),"")</f>
        <v>1.8115942028985504E-2</v>
      </c>
      <c r="X94" s="50"/>
      <c r="Y94" s="205">
        <v>1</v>
      </c>
      <c r="Z94" s="205"/>
      <c r="AA94" s="4">
        <v>0</v>
      </c>
      <c r="AC94" s="4"/>
    </row>
    <row r="95" spans="1:29">
      <c r="A95" s="10">
        <f t="shared" si="3"/>
        <v>94</v>
      </c>
      <c r="B95" s="43">
        <f>YEAR(WTG_BD[[#This Row],[Date]])+IF(MONTH(WTG_BD[[#This Row],[Date]])&gt;=4,1,0)</f>
        <v>2026</v>
      </c>
      <c r="C95" s="10">
        <v>2025</v>
      </c>
      <c r="D95" s="10" t="s">
        <v>4478</v>
      </c>
      <c r="E95" s="309">
        <f>WTG_BD[[#This Row],[Date]]-DAY(WTG_BD[[#This Row],[Date]])+1</f>
        <v>45748</v>
      </c>
      <c r="F95" s="32">
        <v>45754</v>
      </c>
      <c r="G95" t="s">
        <v>97</v>
      </c>
      <c r="H95" t="str">
        <f>IFERROR(VLOOKUP(WTG_BD[[#This Row],[Affected WTG]],'Basic Data'!$A$3:$E$25,2,0),"")</f>
        <v>O2R3</v>
      </c>
      <c r="I95" t="str">
        <f>IFERROR(VLOOKUP(WTG_BD[[#This Row],[Affected WTG]],'Basic Data'!$A$3:$E$25,3,0),"")</f>
        <v>JK</v>
      </c>
      <c r="J95" s="355">
        <f>IFERROR(VLOOKUP(WTG_BD[[#This Row],[Affected WTG]],'Basic Data'!$A$3:$E$25,5,0),"")</f>
        <v>4.3478260869565223E-2</v>
      </c>
      <c r="K95" s="10">
        <v>3273</v>
      </c>
      <c r="L95" t="str">
        <f>IFERROR(VLOOKUP(WTG_BD[[#This Row],[Error Code]],'Basic Data'!S:T,2,0),"Incorrect Error Code")</f>
        <v>YawUntwistCCW: Code__,_______°</v>
      </c>
      <c r="M95" t="s">
        <v>1963</v>
      </c>
      <c r="O95" s="270">
        <v>0.16805555555555557</v>
      </c>
      <c r="P95" s="270">
        <v>0.16805555555555557</v>
      </c>
      <c r="Q95" s="270">
        <v>0.18263888888888888</v>
      </c>
      <c r="R95" s="356">
        <f>(WTG_BD[[#This Row],[Work Start TimeStamp]]-WTG_BD[[#This Row],[Fault Start TimeStamp]])*24</f>
        <v>0</v>
      </c>
      <c r="S95" s="34">
        <f>(WTG_BD[[#This Row],[Fault Clearance time]]-WTG_BD[[#This Row],[Work Start TimeStamp]])*24</f>
        <v>0.34999999999999942</v>
      </c>
      <c r="T95" s="34">
        <f>(WTG_BD[[#This Row],[Fault Clearance time]]-WTG_BD[[#This Row],[Fault Start TimeStamp]])*24</f>
        <v>0.34999999999999942</v>
      </c>
      <c r="U95" s="33" t="s">
        <v>4323</v>
      </c>
      <c r="V95" s="234" t="s">
        <v>255</v>
      </c>
      <c r="W95" s="50">
        <f>IFERROR(IF(N95="ROW",0,(WTG_BD[[#This Row],[Breakdown Time]]*WTG_BD[[#This Row],[Plant Equivalent Weightage]])),"")</f>
        <v>1.5217391304347802E-2</v>
      </c>
      <c r="X95" s="50"/>
      <c r="Y95" s="205">
        <v>1</v>
      </c>
      <c r="Z95" s="205"/>
      <c r="AA95" s="4">
        <v>6.0000000000000001E-3</v>
      </c>
      <c r="AC95" s="4"/>
    </row>
    <row r="96" spans="1:29">
      <c r="A96" s="10">
        <f t="shared" si="3"/>
        <v>95</v>
      </c>
      <c r="B96" s="43">
        <f>YEAR(WTG_BD[[#This Row],[Date]])+IF(MONTH(WTG_BD[[#This Row],[Date]])&gt;=4,1,0)</f>
        <v>2026</v>
      </c>
      <c r="C96" s="10">
        <v>2025</v>
      </c>
      <c r="D96" s="10" t="s">
        <v>4478</v>
      </c>
      <c r="E96" s="309">
        <f>WTG_BD[[#This Row],[Date]]-DAY(WTG_BD[[#This Row],[Date]])+1</f>
        <v>45748</v>
      </c>
      <c r="F96" s="32">
        <v>45754</v>
      </c>
      <c r="G96" t="s">
        <v>98</v>
      </c>
      <c r="H96" t="str">
        <f>IFERROR(VLOOKUP(WTG_BD[[#This Row],[Affected WTG]],'Basic Data'!$A$3:$E$25,2,0),"")</f>
        <v>O2R3</v>
      </c>
      <c r="I96" t="str">
        <f>IFERROR(VLOOKUP(WTG_BD[[#This Row],[Affected WTG]],'Basic Data'!$A$3:$E$25,3,0),"")</f>
        <v>JK</v>
      </c>
      <c r="J96" s="355">
        <f>IFERROR(VLOOKUP(WTG_BD[[#This Row],[Affected WTG]],'Basic Data'!$A$3:$E$25,5,0),"")</f>
        <v>4.3478260869565223E-2</v>
      </c>
      <c r="K96" s="10">
        <v>3273</v>
      </c>
      <c r="L96" t="str">
        <f>IFERROR(VLOOKUP(WTG_BD[[#This Row],[Error Code]],'Basic Data'!S:T,2,0),"Incorrect Error Code")</f>
        <v>YawUntwistCCW: Code__,_______°</v>
      </c>
      <c r="M96" t="s">
        <v>1963</v>
      </c>
      <c r="O96" s="270">
        <v>0.20416666666666666</v>
      </c>
      <c r="P96" s="270">
        <v>0.20416666666666666</v>
      </c>
      <c r="Q96" s="270">
        <v>0.21875</v>
      </c>
      <c r="R96" s="356">
        <f>(WTG_BD[[#This Row],[Work Start TimeStamp]]-WTG_BD[[#This Row],[Fault Start TimeStamp]])*24</f>
        <v>0</v>
      </c>
      <c r="S96" s="34">
        <f>(WTG_BD[[#This Row],[Fault Clearance time]]-WTG_BD[[#This Row],[Work Start TimeStamp]])*24</f>
        <v>0.35000000000000009</v>
      </c>
      <c r="T96" s="34">
        <f>(WTG_BD[[#This Row],[Fault Clearance time]]-WTG_BD[[#This Row],[Fault Start TimeStamp]])*24</f>
        <v>0.35000000000000009</v>
      </c>
      <c r="U96" s="33" t="s">
        <v>4323</v>
      </c>
      <c r="V96" s="234" t="s">
        <v>255</v>
      </c>
      <c r="W96" s="50">
        <f>IFERROR(IF(N96="ROW",0,(WTG_BD[[#This Row],[Breakdown Time]]*WTG_BD[[#This Row],[Plant Equivalent Weightage]])),"")</f>
        <v>1.5217391304347832E-2</v>
      </c>
      <c r="X96" s="50"/>
      <c r="Y96" s="205">
        <v>1</v>
      </c>
      <c r="Z96" s="205"/>
      <c r="AA96" s="4">
        <v>5.0000000000000001E-3</v>
      </c>
      <c r="AC96" s="4"/>
    </row>
    <row r="97" spans="1:29">
      <c r="A97" s="10">
        <f t="shared" si="3"/>
        <v>96</v>
      </c>
      <c r="B97" s="43">
        <f>YEAR(WTG_BD[[#This Row],[Date]])+IF(MONTH(WTG_BD[[#This Row],[Date]])&gt;=4,1,0)</f>
        <v>2026</v>
      </c>
      <c r="C97" s="10">
        <v>2025</v>
      </c>
      <c r="D97" s="10" t="s">
        <v>4478</v>
      </c>
      <c r="E97" s="309">
        <f>WTG_BD[[#This Row],[Date]]-DAY(WTG_BD[[#This Row],[Date]])+1</f>
        <v>45748</v>
      </c>
      <c r="F97" s="32">
        <v>45755</v>
      </c>
      <c r="G97" t="s">
        <v>83</v>
      </c>
      <c r="H97" t="str">
        <f>IFERROR(VLOOKUP(WTG_BD[[#This Row],[Affected WTG]],'Basic Data'!$A$3:$E$25,2,0),"")</f>
        <v>O2R3</v>
      </c>
      <c r="I97" t="str">
        <f>IFERROR(VLOOKUP(WTG_BD[[#This Row],[Affected WTG]],'Basic Data'!$A$3:$E$25,3,0),"")</f>
        <v>JK</v>
      </c>
      <c r="J97" s="355">
        <f>IFERROR(VLOOKUP(WTG_BD[[#This Row],[Affected WTG]],'Basic Data'!$A$3:$E$25,5,0),"")</f>
        <v>4.3478260869565223E-2</v>
      </c>
      <c r="K97" s="10">
        <v>309</v>
      </c>
      <c r="L97" t="str">
        <f>IFERROR(VLOOKUP(WTG_BD[[#This Row],[Error Code]],'Basic Data'!S:T,2,0),"Incorrect Error Code")</f>
        <v>Pause over RCS __0</v>
      </c>
      <c r="M97" t="s">
        <v>871</v>
      </c>
      <c r="N97" t="s">
        <v>257</v>
      </c>
      <c r="O97" s="270">
        <v>0.43333333333333335</v>
      </c>
      <c r="P97" s="270">
        <v>0.43333333333333335</v>
      </c>
      <c r="Q97" s="270">
        <v>0.72847222222222219</v>
      </c>
      <c r="R97" s="356">
        <f>(WTG_BD[[#This Row],[Work Start TimeStamp]]-WTG_BD[[#This Row],[Fault Start TimeStamp]])*24</f>
        <v>0</v>
      </c>
      <c r="S97" s="34">
        <f>(WTG_BD[[#This Row],[Fault Clearance time]]-WTG_BD[[#This Row],[Work Start TimeStamp]])*24</f>
        <v>7.0833333333333321</v>
      </c>
      <c r="T97" s="34">
        <f>(WTG_BD[[#This Row],[Fault Clearance time]]-WTG_BD[[#This Row],[Fault Start TimeStamp]])*24</f>
        <v>7.0833333333333321</v>
      </c>
      <c r="U97" t="s">
        <v>4485</v>
      </c>
      <c r="V97" s="234" t="s">
        <v>255</v>
      </c>
      <c r="W97" s="50">
        <f>IFERROR(IF(N97="ROW",0,(WTG_BD[[#This Row],[Breakdown Time]]*WTG_BD[[#This Row],[Plant Equivalent Weightage]])),"")</f>
        <v>0.3079710144927536</v>
      </c>
      <c r="X97" s="50"/>
      <c r="Y97" s="205">
        <v>1</v>
      </c>
      <c r="Z97" s="205"/>
      <c r="AA97" s="4">
        <v>5.1999999999999998E-2</v>
      </c>
      <c r="AC97" s="4"/>
    </row>
    <row r="98" spans="1:29">
      <c r="A98" s="10">
        <f t="shared" si="3"/>
        <v>97</v>
      </c>
      <c r="B98" s="43">
        <f>YEAR(WTG_BD[[#This Row],[Date]])+IF(MONTH(WTG_BD[[#This Row],[Date]])&gt;=4,1,0)</f>
        <v>2026</v>
      </c>
      <c r="C98" s="10">
        <v>2025</v>
      </c>
      <c r="D98" s="10" t="s">
        <v>4478</v>
      </c>
      <c r="E98" s="309">
        <f>WTG_BD[[#This Row],[Date]]-DAY(WTG_BD[[#This Row],[Date]])+1</f>
        <v>45748</v>
      </c>
      <c r="F98" s="32">
        <v>45756</v>
      </c>
      <c r="G98" t="s">
        <v>78</v>
      </c>
      <c r="H98" t="str">
        <f>IFERROR(VLOOKUP(WTG_BD[[#This Row],[Affected WTG]],'Basic Data'!$A$3:$E$25,2,0),"")</f>
        <v>O2R1</v>
      </c>
      <c r="I98" t="str">
        <f>IFERROR(VLOOKUP(WTG_BD[[#This Row],[Affected WTG]],'Basic Data'!$A$3:$E$25,3,0),"")</f>
        <v>KSIPL</v>
      </c>
      <c r="J98" s="355">
        <f>IFERROR(VLOOKUP(WTG_BD[[#This Row],[Affected WTG]],'Basic Data'!$A$3:$E$25,5,0),"")</f>
        <v>4.3478260869565223E-2</v>
      </c>
      <c r="K98" s="10">
        <v>3273</v>
      </c>
      <c r="L98" t="str">
        <f>IFERROR(VLOOKUP(WTG_BD[[#This Row],[Error Code]],'Basic Data'!S:T,2,0),"Incorrect Error Code")</f>
        <v>YawUntwistCCW: Code__,_______°</v>
      </c>
      <c r="M98" t="s">
        <v>1963</v>
      </c>
      <c r="O98" s="270">
        <v>0.15416666666666667</v>
      </c>
      <c r="P98" s="270">
        <v>0.15416666666666667</v>
      </c>
      <c r="Q98" s="270">
        <v>0.17291666666666666</v>
      </c>
      <c r="R98" s="356">
        <f>(WTG_BD[[#This Row],[Work Start TimeStamp]]-WTG_BD[[#This Row],[Fault Start TimeStamp]])*24</f>
        <v>0</v>
      </c>
      <c r="S98" s="34">
        <f>(WTG_BD[[#This Row],[Fault Clearance time]]-WTG_BD[[#This Row],[Work Start TimeStamp]])*24</f>
        <v>0.44999999999999973</v>
      </c>
      <c r="T98" s="34">
        <f>(WTG_BD[[#This Row],[Fault Clearance time]]-WTG_BD[[#This Row],[Fault Start TimeStamp]])*24</f>
        <v>0.44999999999999973</v>
      </c>
      <c r="U98" t="s">
        <v>4323</v>
      </c>
      <c r="V98" s="234" t="s">
        <v>255</v>
      </c>
      <c r="W98" s="50">
        <f>IFERROR(IF(N98="ROW",0,(WTG_BD[[#This Row],[Breakdown Time]]*WTG_BD[[#This Row],[Plant Equivalent Weightage]])),"")</f>
        <v>1.9565217391304339E-2</v>
      </c>
      <c r="X98" s="50"/>
      <c r="Y98" s="205">
        <v>1</v>
      </c>
      <c r="Z98" s="205"/>
      <c r="AA98" s="4">
        <v>2.1999999999999999E-2</v>
      </c>
      <c r="AC98" s="4"/>
    </row>
    <row r="99" spans="1:29">
      <c r="A99" s="10">
        <f t="shared" si="3"/>
        <v>98</v>
      </c>
      <c r="B99" s="43">
        <f>YEAR(WTG_BD[[#This Row],[Date]])+IF(MONTH(WTG_BD[[#This Row],[Date]])&gt;=4,1,0)</f>
        <v>2026</v>
      </c>
      <c r="C99" s="10">
        <v>2025</v>
      </c>
      <c r="D99" s="10" t="s">
        <v>4478</v>
      </c>
      <c r="E99" s="309">
        <f>WTG_BD[[#This Row],[Date]]-DAY(WTG_BD[[#This Row],[Date]])+1</f>
        <v>45748</v>
      </c>
      <c r="F99" s="32">
        <v>45756</v>
      </c>
      <c r="G99" t="s">
        <v>86</v>
      </c>
      <c r="H99" t="str">
        <f>IFERROR(VLOOKUP(WTG_BD[[#This Row],[Affected WTG]],'Basic Data'!$A$3:$E$25,2,0),"")</f>
        <v>O2R1</v>
      </c>
      <c r="I99" t="str">
        <f>IFERROR(VLOOKUP(WTG_BD[[#This Row],[Affected WTG]],'Basic Data'!$A$3:$E$25,3,0),"")</f>
        <v>KSIPL</v>
      </c>
      <c r="J99" s="355">
        <f>IFERROR(VLOOKUP(WTG_BD[[#This Row],[Affected WTG]],'Basic Data'!$A$3:$E$25,5,0),"")</f>
        <v>4.3478260869565223E-2</v>
      </c>
      <c r="K99" s="10">
        <v>3273</v>
      </c>
      <c r="L99" t="str">
        <f>IFERROR(VLOOKUP(WTG_BD[[#This Row],[Error Code]],'Basic Data'!S:T,2,0),"Incorrect Error Code")</f>
        <v>YawUntwistCCW: Code__,_______°</v>
      </c>
      <c r="M99" t="s">
        <v>1963</v>
      </c>
      <c r="O99" s="270">
        <v>0.5541666666666667</v>
      </c>
      <c r="P99" s="270">
        <v>0.5541666666666667</v>
      </c>
      <c r="Q99" s="270">
        <v>0.56805555555555554</v>
      </c>
      <c r="R99" s="356">
        <f>(WTG_BD[[#This Row],[Work Start TimeStamp]]-WTG_BD[[#This Row],[Fault Start TimeStamp]])*24</f>
        <v>0</v>
      </c>
      <c r="S99" s="34">
        <f>(WTG_BD[[#This Row],[Fault Clearance time]]-WTG_BD[[#This Row],[Work Start TimeStamp]])*24</f>
        <v>0.33333333333333215</v>
      </c>
      <c r="T99" s="34">
        <f>(WTG_BD[[#This Row],[Fault Clearance time]]-WTG_BD[[#This Row],[Fault Start TimeStamp]])*24</f>
        <v>0.33333333333333215</v>
      </c>
      <c r="U99" t="s">
        <v>4323</v>
      </c>
      <c r="V99" s="234" t="s">
        <v>255</v>
      </c>
      <c r="W99" s="50">
        <f>IFERROR(IF(N99="ROW",0,(WTG_BD[[#This Row],[Breakdown Time]]*WTG_BD[[#This Row],[Plant Equivalent Weightage]])),"")</f>
        <v>1.4492753623188356E-2</v>
      </c>
      <c r="X99" s="50"/>
      <c r="Y99" s="205">
        <v>1</v>
      </c>
      <c r="Z99" s="205"/>
      <c r="AA99" s="4">
        <v>1.2999999999999999E-2</v>
      </c>
      <c r="AC99" s="4"/>
    </row>
    <row r="100" spans="1:29">
      <c r="A100" s="10">
        <f t="shared" si="3"/>
        <v>99</v>
      </c>
      <c r="B100" s="43">
        <f>YEAR(WTG_BD[[#This Row],[Date]])+IF(MONTH(WTG_BD[[#This Row],[Date]])&gt;=4,1,0)</f>
        <v>2026</v>
      </c>
      <c r="C100" s="10">
        <v>2025</v>
      </c>
      <c r="D100" s="10" t="s">
        <v>4478</v>
      </c>
      <c r="E100" s="309">
        <f>WTG_BD[[#This Row],[Date]]-DAY(WTG_BD[[#This Row],[Date]])+1</f>
        <v>45748</v>
      </c>
      <c r="F100" s="32">
        <v>45756</v>
      </c>
      <c r="G100" t="s">
        <v>89</v>
      </c>
      <c r="H100" t="str">
        <f>IFERROR(VLOOKUP(WTG_BD[[#This Row],[Affected WTG]],'Basic Data'!$A$3:$E$25,2,0),"")</f>
        <v>O2R1</v>
      </c>
      <c r="I100" t="str">
        <f>IFERROR(VLOOKUP(WTG_BD[[#This Row],[Affected WTG]],'Basic Data'!$A$3:$E$25,3,0),"")</f>
        <v>KSIPL</v>
      </c>
      <c r="J100" s="355">
        <f>IFERROR(VLOOKUP(WTG_BD[[#This Row],[Affected WTG]],'Basic Data'!$A$3:$E$25,5,0),"")</f>
        <v>4.3478260869565223E-2</v>
      </c>
      <c r="K100" s="10">
        <v>3273</v>
      </c>
      <c r="L100" t="str">
        <f>IFERROR(VLOOKUP(WTG_BD[[#This Row],[Error Code]],'Basic Data'!S:T,2,0),"Incorrect Error Code")</f>
        <v>YawUntwistCCW: Code__,_______°</v>
      </c>
      <c r="M100" t="s">
        <v>1963</v>
      </c>
      <c r="O100" s="270">
        <v>0.63402777777777775</v>
      </c>
      <c r="P100" s="270">
        <v>0.63402777777777775</v>
      </c>
      <c r="Q100" s="270">
        <v>0.65208333333333335</v>
      </c>
      <c r="R100" s="356">
        <f>(WTG_BD[[#This Row],[Work Start TimeStamp]]-WTG_BD[[#This Row],[Fault Start TimeStamp]])*24</f>
        <v>0</v>
      </c>
      <c r="S100" s="34">
        <f>(WTG_BD[[#This Row],[Fault Clearance time]]-WTG_BD[[#This Row],[Work Start TimeStamp]])*24</f>
        <v>0.43333333333333446</v>
      </c>
      <c r="T100" s="34">
        <f>(WTG_BD[[#This Row],[Fault Clearance time]]-WTG_BD[[#This Row],[Fault Start TimeStamp]])*24</f>
        <v>0.43333333333333446</v>
      </c>
      <c r="U100" t="s">
        <v>4323</v>
      </c>
      <c r="V100" s="234" t="s">
        <v>255</v>
      </c>
      <c r="W100" s="50">
        <f>IFERROR(IF(N100="ROW",0,(WTG_BD[[#This Row],[Breakdown Time]]*WTG_BD[[#This Row],[Plant Equivalent Weightage]])),"")</f>
        <v>1.8840579710144977E-2</v>
      </c>
      <c r="X100" s="50"/>
      <c r="Y100" s="205">
        <v>1</v>
      </c>
      <c r="Z100" s="205"/>
      <c r="AA100" s="4">
        <v>8.9999999999999993E-3</v>
      </c>
      <c r="AC100" s="4"/>
    </row>
    <row r="101" spans="1:29">
      <c r="A101" s="10">
        <f t="shared" si="3"/>
        <v>100</v>
      </c>
      <c r="B101" s="43">
        <f>YEAR(WTG_BD[[#This Row],[Date]])+IF(MONTH(WTG_BD[[#This Row],[Date]])&gt;=4,1,0)</f>
        <v>2026</v>
      </c>
      <c r="C101" s="10">
        <v>2025</v>
      </c>
      <c r="D101" s="10" t="s">
        <v>4478</v>
      </c>
      <c r="E101" s="309">
        <f>WTG_BD[[#This Row],[Date]]-DAY(WTG_BD[[#This Row],[Date]])+1</f>
        <v>45748</v>
      </c>
      <c r="F101" s="32">
        <v>45756</v>
      </c>
      <c r="G101" t="s">
        <v>80</v>
      </c>
      <c r="H101" t="str">
        <f>IFERROR(VLOOKUP(WTG_BD[[#This Row],[Affected WTG]],'Basic Data'!$A$3:$E$25,2,0),"")</f>
        <v>O2R3</v>
      </c>
      <c r="I101" t="str">
        <f>IFERROR(VLOOKUP(WTG_BD[[#This Row],[Affected WTG]],'Basic Data'!$A$3:$E$25,3,0),"")</f>
        <v>JK</v>
      </c>
      <c r="J101" s="355">
        <f>IFERROR(VLOOKUP(WTG_BD[[#This Row],[Affected WTG]],'Basic Data'!$A$3:$E$25,5,0),"")</f>
        <v>4.3478260869565223E-2</v>
      </c>
      <c r="K101" s="10">
        <v>309</v>
      </c>
      <c r="L101" t="str">
        <f>IFERROR(VLOOKUP(WTG_BD[[#This Row],[Error Code]],'Basic Data'!S:T,2,0),"Incorrect Error Code")</f>
        <v>Pause over RCS __0</v>
      </c>
      <c r="M101" t="s">
        <v>871</v>
      </c>
      <c r="N101" t="s">
        <v>257</v>
      </c>
      <c r="O101" s="270">
        <v>0.42152777777777778</v>
      </c>
      <c r="P101" s="270">
        <v>0.42152777777777778</v>
      </c>
      <c r="Q101" s="270">
        <v>0.72847222222222219</v>
      </c>
      <c r="R101" s="356">
        <f>(WTG_BD[[#This Row],[Work Start TimeStamp]]-WTG_BD[[#This Row],[Fault Start TimeStamp]])*24</f>
        <v>0</v>
      </c>
      <c r="S101" s="34">
        <f>(WTG_BD[[#This Row],[Fault Clearance time]]-WTG_BD[[#This Row],[Work Start TimeStamp]])*24</f>
        <v>7.3666666666666654</v>
      </c>
      <c r="T101" s="34">
        <f>(WTG_BD[[#This Row],[Fault Clearance time]]-WTG_BD[[#This Row],[Fault Start TimeStamp]])*24</f>
        <v>7.3666666666666654</v>
      </c>
      <c r="U101" t="s">
        <v>4493</v>
      </c>
      <c r="V101" s="234" t="s">
        <v>255</v>
      </c>
      <c r="W101" s="50">
        <f>IFERROR(IF(N101="ROW",0,(WTG_BD[[#This Row],[Breakdown Time]]*WTG_BD[[#This Row],[Plant Equivalent Weightage]])),"")</f>
        <v>0.32028985507246377</v>
      </c>
      <c r="X101" s="50"/>
      <c r="Y101" s="205">
        <v>1</v>
      </c>
      <c r="Z101" s="205"/>
      <c r="AA101" s="4">
        <v>6.9000000000000006E-2</v>
      </c>
      <c r="AC101" s="4"/>
    </row>
    <row r="102" spans="1:29">
      <c r="A102" s="10">
        <f t="shared" si="3"/>
        <v>101</v>
      </c>
      <c r="B102" s="43">
        <f>YEAR(WTG_BD[[#This Row],[Date]])+IF(MONTH(WTG_BD[[#This Row],[Date]])&gt;=4,1,0)</f>
        <v>2026</v>
      </c>
      <c r="C102" s="10">
        <v>2025</v>
      </c>
      <c r="D102" s="10" t="s">
        <v>4478</v>
      </c>
      <c r="E102" s="309">
        <f>WTG_BD[[#This Row],[Date]]-DAY(WTG_BD[[#This Row],[Date]])+1</f>
        <v>45748</v>
      </c>
      <c r="F102" s="32">
        <v>45756</v>
      </c>
      <c r="G102" t="s">
        <v>82</v>
      </c>
      <c r="H102" t="str">
        <f>IFERROR(VLOOKUP(WTG_BD[[#This Row],[Affected WTG]],'Basic Data'!$A$3:$E$25,2,0),"")</f>
        <v>O2R3</v>
      </c>
      <c r="I102" t="str">
        <f>IFERROR(VLOOKUP(WTG_BD[[#This Row],[Affected WTG]],'Basic Data'!$A$3:$E$25,3,0),"")</f>
        <v>JK</v>
      </c>
      <c r="J102" s="355">
        <f>IFERROR(VLOOKUP(WTG_BD[[#This Row],[Affected WTG]],'Basic Data'!$A$3:$E$25,5,0),"")</f>
        <v>4.3478260869565223E-2</v>
      </c>
      <c r="K102" s="10">
        <v>3273</v>
      </c>
      <c r="L102" t="str">
        <f>IFERROR(VLOOKUP(WTG_BD[[#This Row],[Error Code]],'Basic Data'!S:T,2,0),"Incorrect Error Code")</f>
        <v>YawUntwistCCW: Code__,_______°</v>
      </c>
      <c r="M102" t="s">
        <v>1963</v>
      </c>
      <c r="O102" s="270">
        <v>0.14444444444444443</v>
      </c>
      <c r="P102" s="270">
        <v>0.14444444444444443</v>
      </c>
      <c r="Q102" s="270">
        <v>0.15902777777777777</v>
      </c>
      <c r="R102" s="356">
        <f>(WTG_BD[[#This Row],[Work Start TimeStamp]]-WTG_BD[[#This Row],[Fault Start TimeStamp]])*24</f>
        <v>0</v>
      </c>
      <c r="S102" s="34">
        <f>(WTG_BD[[#This Row],[Fault Clearance time]]-WTG_BD[[#This Row],[Work Start TimeStamp]])*24</f>
        <v>0.35000000000000009</v>
      </c>
      <c r="T102" s="34">
        <f>(WTG_BD[[#This Row],[Fault Clearance time]]-WTG_BD[[#This Row],[Fault Start TimeStamp]])*24</f>
        <v>0.35000000000000009</v>
      </c>
      <c r="U102" t="s">
        <v>4323</v>
      </c>
      <c r="V102" s="234" t="s">
        <v>255</v>
      </c>
      <c r="W102" s="50">
        <f>IFERROR(IF(N102="ROW",0,(WTG_BD[[#This Row],[Breakdown Time]]*WTG_BD[[#This Row],[Plant Equivalent Weightage]])),"")</f>
        <v>1.5217391304347832E-2</v>
      </c>
      <c r="X102" s="50"/>
      <c r="Y102" s="205">
        <v>1</v>
      </c>
      <c r="Z102" s="205"/>
      <c r="AA102" s="4">
        <v>1E-3</v>
      </c>
      <c r="AC102" s="4"/>
    </row>
    <row r="103" spans="1:29">
      <c r="A103" s="10">
        <f t="shared" si="3"/>
        <v>102</v>
      </c>
      <c r="B103" s="43">
        <f>YEAR(WTG_BD[[#This Row],[Date]])+IF(MONTH(WTG_BD[[#This Row],[Date]])&gt;=4,1,0)</f>
        <v>2026</v>
      </c>
      <c r="C103" s="10">
        <v>2025</v>
      </c>
      <c r="D103" s="10" t="s">
        <v>4478</v>
      </c>
      <c r="E103" s="309">
        <f>WTG_BD[[#This Row],[Date]]-DAY(WTG_BD[[#This Row],[Date]])+1</f>
        <v>45748</v>
      </c>
      <c r="F103" s="32">
        <v>45756</v>
      </c>
      <c r="G103" t="s">
        <v>82</v>
      </c>
      <c r="H103" t="str">
        <f>IFERROR(VLOOKUP(WTG_BD[[#This Row],[Affected WTG]],'Basic Data'!$A$3:$E$25,2,0),"")</f>
        <v>O2R3</v>
      </c>
      <c r="I103" t="str">
        <f>IFERROR(VLOOKUP(WTG_BD[[#This Row],[Affected WTG]],'Basic Data'!$A$3:$E$25,3,0),"")</f>
        <v>JK</v>
      </c>
      <c r="J103" s="355">
        <f>IFERROR(VLOOKUP(WTG_BD[[#This Row],[Affected WTG]],'Basic Data'!$A$3:$E$25,5,0),"")</f>
        <v>4.3478260869565223E-2</v>
      </c>
      <c r="K103" s="10">
        <v>3272</v>
      </c>
      <c r="L103" t="str">
        <f>IFERROR(VLOOKUP(WTG_BD[[#This Row],[Error Code]],'Basic Data'!S:T,2,0),"Incorrect Error Code")</f>
        <v>YawUntwistCW: Code__,_______°</v>
      </c>
      <c r="M103" t="s">
        <v>378</v>
      </c>
      <c r="O103" s="270">
        <v>0.52638888888888891</v>
      </c>
      <c r="P103" s="270">
        <v>0.52638888888888891</v>
      </c>
      <c r="Q103" s="270">
        <v>0.54166666666666663</v>
      </c>
      <c r="R103" s="356">
        <f>(WTG_BD[[#This Row],[Work Start TimeStamp]]-WTG_BD[[#This Row],[Fault Start TimeStamp]])*24</f>
        <v>0</v>
      </c>
      <c r="S103" s="34">
        <f>(WTG_BD[[#This Row],[Fault Clearance time]]-WTG_BD[[#This Row],[Work Start TimeStamp]])*24</f>
        <v>0.36666666666666536</v>
      </c>
      <c r="T103" s="34">
        <f>(WTG_BD[[#This Row],[Fault Clearance time]]-WTG_BD[[#This Row],[Fault Start TimeStamp]])*24</f>
        <v>0.36666666666666536</v>
      </c>
      <c r="U103" t="s">
        <v>4323</v>
      </c>
      <c r="V103" s="234" t="s">
        <v>255</v>
      </c>
      <c r="W103" s="50">
        <f>IFERROR(IF(N103="ROW",0,(WTG_BD[[#This Row],[Breakdown Time]]*WTG_BD[[#This Row],[Plant Equivalent Weightage]])),"")</f>
        <v>1.594202898550719E-2</v>
      </c>
      <c r="X103" s="50"/>
      <c r="Y103" s="205">
        <v>1</v>
      </c>
      <c r="Z103" s="205"/>
      <c r="AA103" s="4">
        <v>0</v>
      </c>
      <c r="AC103" s="4"/>
    </row>
    <row r="104" spans="1:29">
      <c r="A104" s="10">
        <f t="shared" si="3"/>
        <v>103</v>
      </c>
      <c r="B104" s="43">
        <f>YEAR(WTG_BD[[#This Row],[Date]])+IF(MONTH(WTG_BD[[#This Row],[Date]])&gt;=4,1,0)</f>
        <v>2026</v>
      </c>
      <c r="C104" s="10">
        <v>2025</v>
      </c>
      <c r="D104" s="10" t="s">
        <v>4478</v>
      </c>
      <c r="E104" s="309">
        <f>WTG_BD[[#This Row],[Date]]-DAY(WTG_BD[[#This Row],[Date]])+1</f>
        <v>45748</v>
      </c>
      <c r="F104" s="32">
        <v>45756</v>
      </c>
      <c r="G104" t="s">
        <v>82</v>
      </c>
      <c r="H104" t="str">
        <f>IFERROR(VLOOKUP(WTG_BD[[#This Row],[Affected WTG]],'Basic Data'!$A$3:$E$25,2,0),"")</f>
        <v>O2R3</v>
      </c>
      <c r="I104" t="str">
        <f>IFERROR(VLOOKUP(WTG_BD[[#This Row],[Affected WTG]],'Basic Data'!$A$3:$E$25,3,0),"")</f>
        <v>JK</v>
      </c>
      <c r="J104" s="355">
        <f>IFERROR(VLOOKUP(WTG_BD[[#This Row],[Affected WTG]],'Basic Data'!$A$3:$E$25,5,0),"")</f>
        <v>4.3478260869565223E-2</v>
      </c>
      <c r="K104" s="10">
        <v>3273</v>
      </c>
      <c r="L104" t="str">
        <f>IFERROR(VLOOKUP(WTG_BD[[#This Row],[Error Code]],'Basic Data'!S:T,2,0),"Incorrect Error Code")</f>
        <v>YawUntwistCCW: Code__,_______°</v>
      </c>
      <c r="M104" t="s">
        <v>1963</v>
      </c>
      <c r="O104" s="270">
        <v>0.65069444444444446</v>
      </c>
      <c r="P104" s="270">
        <v>0.65069444444444446</v>
      </c>
      <c r="Q104" s="270">
        <v>0.66666666666666663</v>
      </c>
      <c r="R104" s="356">
        <f>(WTG_BD[[#This Row],[Work Start TimeStamp]]-WTG_BD[[#This Row],[Fault Start TimeStamp]])*24</f>
        <v>0</v>
      </c>
      <c r="S104" s="34">
        <f>(WTG_BD[[#This Row],[Fault Clearance time]]-WTG_BD[[#This Row],[Work Start TimeStamp]])*24</f>
        <v>0.38333333333333197</v>
      </c>
      <c r="T104" s="34">
        <f>(WTG_BD[[#This Row],[Fault Clearance time]]-WTG_BD[[#This Row],[Fault Start TimeStamp]])*24</f>
        <v>0.38333333333333197</v>
      </c>
      <c r="U104" t="s">
        <v>4323</v>
      </c>
      <c r="V104" s="234" t="s">
        <v>255</v>
      </c>
      <c r="W104" s="50">
        <f>IFERROR(IF(N104="ROW",0,(WTG_BD[[#This Row],[Breakdown Time]]*WTG_BD[[#This Row],[Plant Equivalent Weightage]])),"")</f>
        <v>1.6666666666666611E-2</v>
      </c>
      <c r="X104" s="50"/>
      <c r="Y104" s="205">
        <v>1</v>
      </c>
      <c r="Z104" s="205"/>
      <c r="AA104" s="4">
        <v>2.1000000000000001E-2</v>
      </c>
      <c r="AC104" s="4"/>
    </row>
    <row r="105" spans="1:29">
      <c r="A105" s="10">
        <f t="shared" si="3"/>
        <v>104</v>
      </c>
      <c r="B105" s="43">
        <f>YEAR(WTG_BD[[#This Row],[Date]])+IF(MONTH(WTG_BD[[#This Row],[Date]])&gt;=4,1,0)</f>
        <v>2026</v>
      </c>
      <c r="C105" s="10">
        <v>2025</v>
      </c>
      <c r="D105" s="10" t="s">
        <v>4478</v>
      </c>
      <c r="E105" s="309">
        <f>WTG_BD[[#This Row],[Date]]-DAY(WTG_BD[[#This Row],[Date]])+1</f>
        <v>45748</v>
      </c>
      <c r="F105" s="32">
        <v>45756</v>
      </c>
      <c r="G105" t="s">
        <v>91</v>
      </c>
      <c r="H105" t="str">
        <f>IFERROR(VLOOKUP(WTG_BD[[#This Row],[Affected WTG]],'Basic Data'!$A$3:$E$25,2,0),"")</f>
        <v>O2R2</v>
      </c>
      <c r="I105" t="str">
        <f>IFERROR(VLOOKUP(WTG_BD[[#This Row],[Affected WTG]],'Basic Data'!$A$3:$E$25,3,0),"")</f>
        <v>SIL</v>
      </c>
      <c r="J105" s="355">
        <f>IFERROR(VLOOKUP(WTG_BD[[#This Row],[Affected WTG]],'Basic Data'!$A$3:$E$25,5,0),"")</f>
        <v>4.3478260869565223E-2</v>
      </c>
      <c r="K105" s="10">
        <v>3273</v>
      </c>
      <c r="L105" t="str">
        <f>IFERROR(VLOOKUP(WTG_BD[[#This Row],[Error Code]],'Basic Data'!S:T,2,0),"Incorrect Error Code")</f>
        <v>YawUntwistCCW: Code__,_______°</v>
      </c>
      <c r="M105" t="s">
        <v>1963</v>
      </c>
      <c r="O105" s="270">
        <v>0.50416666666666665</v>
      </c>
      <c r="P105" s="270">
        <v>0.50416666666666665</v>
      </c>
      <c r="Q105" s="270">
        <v>0.52152777777777781</v>
      </c>
      <c r="R105" s="356">
        <f>(WTG_BD[[#This Row],[Work Start TimeStamp]]-WTG_BD[[#This Row],[Fault Start TimeStamp]])*24</f>
        <v>0</v>
      </c>
      <c r="S105" s="34">
        <f>(WTG_BD[[#This Row],[Fault Clearance time]]-WTG_BD[[#This Row],[Work Start TimeStamp]])*24</f>
        <v>0.41666666666666785</v>
      </c>
      <c r="T105" s="34">
        <f>(WTG_BD[[#This Row],[Fault Clearance time]]-WTG_BD[[#This Row],[Fault Start TimeStamp]])*24</f>
        <v>0.41666666666666785</v>
      </c>
      <c r="U105" t="s">
        <v>4323</v>
      </c>
      <c r="V105" s="234" t="s">
        <v>255</v>
      </c>
      <c r="W105" s="50">
        <f>IFERROR(IF(N105="ROW",0,(WTG_BD[[#This Row],[Breakdown Time]]*WTG_BD[[#This Row],[Plant Equivalent Weightage]])),"")</f>
        <v>1.811594202898556E-2</v>
      </c>
      <c r="X105" s="50"/>
      <c r="Y105" s="205">
        <v>1</v>
      </c>
      <c r="Z105" s="205"/>
      <c r="AA105" s="4">
        <v>1.0999999999999999E-2</v>
      </c>
      <c r="AC105" s="4"/>
    </row>
    <row r="106" spans="1:29">
      <c r="A106" s="10">
        <f t="shared" si="3"/>
        <v>105</v>
      </c>
      <c r="B106" s="43">
        <f>YEAR(WTG_BD[[#This Row],[Date]])+IF(MONTH(WTG_BD[[#This Row],[Date]])&gt;=4,1,0)</f>
        <v>2026</v>
      </c>
      <c r="C106" s="10">
        <v>2025</v>
      </c>
      <c r="D106" s="10" t="s">
        <v>4478</v>
      </c>
      <c r="E106" s="309">
        <f>WTG_BD[[#This Row],[Date]]-DAY(WTG_BD[[#This Row],[Date]])+1</f>
        <v>45748</v>
      </c>
      <c r="F106" s="32">
        <v>45756</v>
      </c>
      <c r="G106" t="s">
        <v>96</v>
      </c>
      <c r="H106" t="str">
        <f>IFERROR(VLOOKUP(WTG_BD[[#This Row],[Affected WTG]],'Basic Data'!$A$3:$E$25,2,0),"")</f>
        <v>O2R3</v>
      </c>
      <c r="I106" t="str">
        <f>IFERROR(VLOOKUP(WTG_BD[[#This Row],[Affected WTG]],'Basic Data'!$A$3:$E$25,3,0),"")</f>
        <v>JK</v>
      </c>
      <c r="J106" s="355">
        <f>IFERROR(VLOOKUP(WTG_BD[[#This Row],[Affected WTG]],'Basic Data'!$A$3:$E$25,5,0),"")</f>
        <v>4.3478260869565223E-2</v>
      </c>
      <c r="K106" s="10">
        <v>3273</v>
      </c>
      <c r="L106" t="str">
        <f>IFERROR(VLOOKUP(WTG_BD[[#This Row],[Error Code]],'Basic Data'!S:T,2,0),"Incorrect Error Code")</f>
        <v>YawUntwistCCW: Code__,_______°</v>
      </c>
      <c r="M106" t="s">
        <v>1963</v>
      </c>
      <c r="O106" s="270">
        <v>0.13819444444444445</v>
      </c>
      <c r="P106" s="270">
        <v>0.13819444444444445</v>
      </c>
      <c r="Q106" s="270">
        <v>0.15347222222222223</v>
      </c>
      <c r="R106" s="356">
        <f>(WTG_BD[[#This Row],[Work Start TimeStamp]]-WTG_BD[[#This Row],[Fault Start TimeStamp]])*24</f>
        <v>0</v>
      </c>
      <c r="S106" s="34">
        <f>(WTG_BD[[#This Row],[Fault Clearance time]]-WTG_BD[[#This Row],[Work Start TimeStamp]])*24</f>
        <v>0.3666666666666667</v>
      </c>
      <c r="T106" s="34">
        <f>(WTG_BD[[#This Row],[Fault Clearance time]]-WTG_BD[[#This Row],[Fault Start TimeStamp]])*24</f>
        <v>0.3666666666666667</v>
      </c>
      <c r="U106" t="s">
        <v>4323</v>
      </c>
      <c r="V106" s="234" t="s">
        <v>255</v>
      </c>
      <c r="W106" s="50">
        <f>IFERROR(IF(N106="ROW",0,(WTG_BD[[#This Row],[Breakdown Time]]*WTG_BD[[#This Row],[Plant Equivalent Weightage]])),"")</f>
        <v>1.5942028985507249E-2</v>
      </c>
      <c r="X106" s="50"/>
      <c r="Y106" s="205">
        <v>1</v>
      </c>
      <c r="Z106" s="205"/>
      <c r="AA106" s="4">
        <v>1.4999999999999999E-2</v>
      </c>
      <c r="AC106" s="4"/>
    </row>
    <row r="107" spans="1:29">
      <c r="A107" s="10">
        <f t="shared" si="3"/>
        <v>106</v>
      </c>
      <c r="B107" s="43">
        <f>YEAR(WTG_BD[[#This Row],[Date]])+IF(MONTH(WTG_BD[[#This Row],[Date]])&gt;=4,1,0)</f>
        <v>2026</v>
      </c>
      <c r="C107" s="10">
        <v>2025</v>
      </c>
      <c r="D107" s="10" t="s">
        <v>4478</v>
      </c>
      <c r="E107" s="309">
        <f>WTG_BD[[#This Row],[Date]]-DAY(WTG_BD[[#This Row],[Date]])+1</f>
        <v>45748</v>
      </c>
      <c r="F107" s="32">
        <v>45757</v>
      </c>
      <c r="G107" t="s">
        <v>77</v>
      </c>
      <c r="H107" t="str">
        <f>IFERROR(VLOOKUP(WTG_BD[[#This Row],[Affected WTG]],'Basic Data'!$A$3:$E$25,2,0),"")</f>
        <v>O2R3</v>
      </c>
      <c r="I107" t="str">
        <f>IFERROR(VLOOKUP(WTG_BD[[#This Row],[Affected WTG]],'Basic Data'!$A$3:$E$25,3,0),"")</f>
        <v>JK</v>
      </c>
      <c r="J107" s="355">
        <f>IFERROR(VLOOKUP(WTG_BD[[#This Row],[Affected WTG]],'Basic Data'!$A$3:$E$25,5,0),"")</f>
        <v>4.3478260869565223E-2</v>
      </c>
      <c r="K107" s="10">
        <v>704</v>
      </c>
      <c r="L107" t="str">
        <f>IFERROR(VLOOKUP(WTG_BD[[#This Row],[Error Code]],'Basic Data'!S:T,2,0),"Incorrect Error Code")</f>
        <v>Ch High res. load C_ Load:___%</v>
      </c>
      <c r="M107" t="s">
        <v>4333</v>
      </c>
      <c r="N107" t="s">
        <v>113</v>
      </c>
      <c r="O107" s="270">
        <v>0.95347222222222228</v>
      </c>
      <c r="P107" s="270">
        <v>0.95347222222222228</v>
      </c>
      <c r="Q107" s="270">
        <v>0.97499999999999998</v>
      </c>
      <c r="R107" s="356">
        <f>(WTG_BD[[#This Row],[Work Start TimeStamp]]-WTG_BD[[#This Row],[Fault Start TimeStamp]])*24</f>
        <v>0</v>
      </c>
      <c r="S107" s="34">
        <f>(WTG_BD[[#This Row],[Fault Clearance time]]-WTG_BD[[#This Row],[Work Start TimeStamp]])*24</f>
        <v>0.51666666666666483</v>
      </c>
      <c r="T107" s="34">
        <f>(WTG_BD[[#This Row],[Fault Clearance time]]-WTG_BD[[#This Row],[Fault Start TimeStamp]])*24</f>
        <v>0.51666666666666483</v>
      </c>
      <c r="U107" t="s">
        <v>4268</v>
      </c>
      <c r="V107" s="234" t="s">
        <v>255</v>
      </c>
      <c r="W107" s="50">
        <f>IFERROR(IF(N107="ROW",0,(WTG_BD[[#This Row],[Breakdown Time]]*WTG_BD[[#This Row],[Plant Equivalent Weightage]])),"")</f>
        <v>2.2463768115941952E-2</v>
      </c>
      <c r="X107" s="50"/>
      <c r="Y107" s="205">
        <v>1</v>
      </c>
      <c r="Z107" s="205"/>
      <c r="AC107" s="4"/>
    </row>
    <row r="108" spans="1:29">
      <c r="A108" s="10">
        <f t="shared" si="3"/>
        <v>107</v>
      </c>
      <c r="B108" s="43">
        <f>YEAR(WTG_BD[[#This Row],[Date]])+IF(MONTH(WTG_BD[[#This Row],[Date]])&gt;=4,1,0)</f>
        <v>2026</v>
      </c>
      <c r="C108" s="10">
        <v>2025</v>
      </c>
      <c r="D108" s="10" t="s">
        <v>4478</v>
      </c>
      <c r="E108" s="309">
        <f>WTG_BD[[#This Row],[Date]]-DAY(WTG_BD[[#This Row],[Date]])+1</f>
        <v>45748</v>
      </c>
      <c r="F108" s="32">
        <v>45757</v>
      </c>
      <c r="G108" t="s">
        <v>80</v>
      </c>
      <c r="H108" t="str">
        <f>IFERROR(VLOOKUP(WTG_BD[[#This Row],[Affected WTG]],'Basic Data'!$A$3:$E$25,2,0),"")</f>
        <v>O2R3</v>
      </c>
      <c r="I108" t="str">
        <f>IFERROR(VLOOKUP(WTG_BD[[#This Row],[Affected WTG]],'Basic Data'!$A$3:$E$25,3,0),"")</f>
        <v>JK</v>
      </c>
      <c r="J108" s="355">
        <f>IFERROR(VLOOKUP(WTG_BD[[#This Row],[Affected WTG]],'Basic Data'!$A$3:$E$25,5,0),"")</f>
        <v>4.3478260869565223E-2</v>
      </c>
      <c r="K108" s="10">
        <v>309</v>
      </c>
      <c r="L108" t="str">
        <f>IFERROR(VLOOKUP(WTG_BD[[#This Row],[Error Code]],'Basic Data'!S:T,2,0),"Incorrect Error Code")</f>
        <v>Pause over RCS __0</v>
      </c>
      <c r="M108" t="s">
        <v>871</v>
      </c>
      <c r="N108" t="s">
        <v>257</v>
      </c>
      <c r="O108" s="270">
        <v>0.44374999999999998</v>
      </c>
      <c r="P108" s="270">
        <v>0.44374999999999998</v>
      </c>
      <c r="Q108" s="270">
        <v>0.59375</v>
      </c>
      <c r="R108" s="356">
        <f>(WTG_BD[[#This Row],[Work Start TimeStamp]]-WTG_BD[[#This Row],[Fault Start TimeStamp]])*24</f>
        <v>0</v>
      </c>
      <c r="S108" s="34">
        <f>(WTG_BD[[#This Row],[Fault Clearance time]]-WTG_BD[[#This Row],[Work Start TimeStamp]])*24</f>
        <v>3.6000000000000005</v>
      </c>
      <c r="T108" s="34">
        <f>(WTG_BD[[#This Row],[Fault Clearance time]]-WTG_BD[[#This Row],[Fault Start TimeStamp]])*24</f>
        <v>3.6000000000000005</v>
      </c>
      <c r="U108" t="s">
        <v>4494</v>
      </c>
      <c r="V108" s="234" t="s">
        <v>255</v>
      </c>
      <c r="W108" s="50">
        <f>IFERROR(IF(N108="ROW",0,(WTG_BD[[#This Row],[Breakdown Time]]*WTG_BD[[#This Row],[Plant Equivalent Weightage]])),"")</f>
        <v>0.15652173913043482</v>
      </c>
      <c r="X108" s="50"/>
      <c r="Y108" s="205">
        <v>1</v>
      </c>
      <c r="Z108" s="205"/>
      <c r="AC108" s="4"/>
    </row>
    <row r="109" spans="1:29">
      <c r="A109" s="10">
        <f t="shared" si="3"/>
        <v>108</v>
      </c>
      <c r="B109" s="43">
        <f>YEAR(WTG_BD[[#This Row],[Date]])+IF(MONTH(WTG_BD[[#This Row],[Date]])&gt;=4,1,0)</f>
        <v>2026</v>
      </c>
      <c r="C109" s="10">
        <v>2025</v>
      </c>
      <c r="D109" s="10" t="s">
        <v>4478</v>
      </c>
      <c r="E109" s="309">
        <f>WTG_BD[[#This Row],[Date]]-DAY(WTG_BD[[#This Row],[Date]])+1</f>
        <v>45748</v>
      </c>
      <c r="F109" s="32">
        <v>45757</v>
      </c>
      <c r="G109" t="s">
        <v>82</v>
      </c>
      <c r="H109" t="str">
        <f>IFERROR(VLOOKUP(WTG_BD[[#This Row],[Affected WTG]],'Basic Data'!$A$3:$E$25,2,0),"")</f>
        <v>O2R3</v>
      </c>
      <c r="I109" t="str">
        <f>IFERROR(VLOOKUP(WTG_BD[[#This Row],[Affected WTG]],'Basic Data'!$A$3:$E$25,3,0),"")</f>
        <v>JK</v>
      </c>
      <c r="J109" s="355">
        <f>IFERROR(VLOOKUP(WTG_BD[[#This Row],[Affected WTG]],'Basic Data'!$A$3:$E$25,5,0),"")</f>
        <v>4.3478260869565223E-2</v>
      </c>
      <c r="K109" s="10">
        <v>2676</v>
      </c>
      <c r="L109" t="str">
        <f>IFERROR(VLOOKUP(WTG_BD[[#This Row],[Error Code]],'Basic Data'!S:T,2,0),"Incorrect Error Code")</f>
        <v>UPS Error</v>
      </c>
      <c r="M109" t="s">
        <v>140</v>
      </c>
      <c r="N109" t="s">
        <v>113</v>
      </c>
      <c r="O109" s="270">
        <v>0.86944444444444446</v>
      </c>
      <c r="P109" s="270">
        <v>0.86944444444444446</v>
      </c>
      <c r="Q109" s="270">
        <v>0.87013888888888891</v>
      </c>
      <c r="R109" s="356">
        <f>(WTG_BD[[#This Row],[Work Start TimeStamp]]-WTG_BD[[#This Row],[Fault Start TimeStamp]])*24</f>
        <v>0</v>
      </c>
      <c r="S109" s="34">
        <f>(WTG_BD[[#This Row],[Fault Clearance time]]-WTG_BD[[#This Row],[Work Start TimeStamp]])*24</f>
        <v>1.6666666666666607E-2</v>
      </c>
      <c r="T109" s="34">
        <f>(WTG_BD[[#This Row],[Fault Clearance time]]-WTG_BD[[#This Row],[Fault Start TimeStamp]])*24</f>
        <v>1.6666666666666607E-2</v>
      </c>
      <c r="U109" t="s">
        <v>4313</v>
      </c>
      <c r="V109" s="234" t="s">
        <v>255</v>
      </c>
      <c r="W109" s="50">
        <f>IFERROR(IF(N109="ROW",0,(WTG_BD[[#This Row],[Breakdown Time]]*WTG_BD[[#This Row],[Plant Equivalent Weightage]])),"")</f>
        <v>7.246376811594178E-4</v>
      </c>
      <c r="X109" s="50"/>
      <c r="Y109" s="205">
        <v>1</v>
      </c>
      <c r="Z109" s="205"/>
      <c r="AC109" s="4"/>
    </row>
    <row r="110" spans="1:29">
      <c r="A110" s="10">
        <f t="shared" si="3"/>
        <v>109</v>
      </c>
      <c r="B110" s="43">
        <f>YEAR(WTG_BD[[#This Row],[Date]])+IF(MONTH(WTG_BD[[#This Row],[Date]])&gt;=4,1,0)</f>
        <v>2026</v>
      </c>
      <c r="C110" s="10">
        <v>2025</v>
      </c>
      <c r="D110" s="10" t="s">
        <v>4478</v>
      </c>
      <c r="E110" s="309">
        <f>WTG_BD[[#This Row],[Date]]-DAY(WTG_BD[[#This Row],[Date]])+1</f>
        <v>45748</v>
      </c>
      <c r="F110" s="32">
        <v>45757</v>
      </c>
      <c r="G110" t="s">
        <v>85</v>
      </c>
      <c r="H110" t="str">
        <f>IFERROR(VLOOKUP(WTG_BD[[#This Row],[Affected WTG]],'Basic Data'!$A$3:$E$25,2,0),"")</f>
        <v>O2R1</v>
      </c>
      <c r="I110" t="str">
        <f>IFERROR(VLOOKUP(WTG_BD[[#This Row],[Affected WTG]],'Basic Data'!$A$3:$E$25,3,0),"")</f>
        <v>KSIPL</v>
      </c>
      <c r="J110" s="355">
        <f>IFERROR(VLOOKUP(WTG_BD[[#This Row],[Affected WTG]],'Basic Data'!$A$3:$E$25,5,0),"")</f>
        <v>4.3478260869565223E-2</v>
      </c>
      <c r="K110" s="10">
        <v>3806</v>
      </c>
      <c r="L110" t="str">
        <f>IFERROR(VLOOKUP(WTG_BD[[#This Row],[Error Code]],'Basic Data'!S:T,2,0),"Incorrect Error Code")</f>
        <v>HubSafetySystem Batt.Charg.Err</v>
      </c>
      <c r="M110" t="s">
        <v>381</v>
      </c>
      <c r="N110" t="s">
        <v>113</v>
      </c>
      <c r="O110" s="270">
        <v>0.81944444444444442</v>
      </c>
      <c r="P110" s="270">
        <v>0.81944444444444442</v>
      </c>
      <c r="Q110" s="270">
        <v>0.82986111111111116</v>
      </c>
      <c r="R110" s="356">
        <f>(WTG_BD[[#This Row],[Work Start TimeStamp]]-WTG_BD[[#This Row],[Fault Start TimeStamp]])*24</f>
        <v>0</v>
      </c>
      <c r="S110" s="34">
        <f>(WTG_BD[[#This Row],[Fault Clearance time]]-WTG_BD[[#This Row],[Work Start TimeStamp]])*24</f>
        <v>0.25000000000000178</v>
      </c>
      <c r="T110" s="34">
        <f>(WTG_BD[[#This Row],[Fault Clearance time]]-WTG_BD[[#This Row],[Fault Start TimeStamp]])*24</f>
        <v>0.25000000000000178</v>
      </c>
      <c r="U110" t="s">
        <v>262</v>
      </c>
      <c r="V110" s="234" t="s">
        <v>255</v>
      </c>
      <c r="W110" s="50">
        <f>IFERROR(IF(N110="ROW",0,(WTG_BD[[#This Row],[Breakdown Time]]*WTG_BD[[#This Row],[Plant Equivalent Weightage]])),"")</f>
        <v>1.0869565217391384E-2</v>
      </c>
      <c r="X110" s="50"/>
      <c r="Y110" s="205">
        <v>1</v>
      </c>
      <c r="Z110" s="205"/>
      <c r="AC110" s="4"/>
    </row>
    <row r="111" spans="1:29">
      <c r="A111" s="10">
        <f t="shared" si="3"/>
        <v>110</v>
      </c>
      <c r="B111" s="43">
        <f>YEAR(WTG_BD[[#This Row],[Date]])+IF(MONTH(WTG_BD[[#This Row],[Date]])&gt;=4,1,0)</f>
        <v>2026</v>
      </c>
      <c r="C111" s="10">
        <v>2025</v>
      </c>
      <c r="D111" s="10" t="s">
        <v>4478</v>
      </c>
      <c r="E111" s="309">
        <f>WTG_BD[[#This Row],[Date]]-DAY(WTG_BD[[#This Row],[Date]])+1</f>
        <v>45748</v>
      </c>
      <c r="F111" s="32">
        <v>45757</v>
      </c>
      <c r="G111" t="s">
        <v>86</v>
      </c>
      <c r="H111" t="str">
        <f>IFERROR(VLOOKUP(WTG_BD[[#This Row],[Affected WTG]],'Basic Data'!$A$3:$E$25,2,0),"")</f>
        <v>O2R1</v>
      </c>
      <c r="I111" t="str">
        <f>IFERROR(VLOOKUP(WTG_BD[[#This Row],[Affected WTG]],'Basic Data'!$A$3:$E$25,3,0),"")</f>
        <v>KSIPL</v>
      </c>
      <c r="J111" s="355">
        <f>IFERROR(VLOOKUP(WTG_BD[[#This Row],[Affected WTG]],'Basic Data'!$A$3:$E$25,5,0),"")</f>
        <v>4.3478260869565223E-2</v>
      </c>
      <c r="K111" s="10">
        <v>3298</v>
      </c>
      <c r="L111" t="str">
        <f>IFERROR(VLOOKUP(WTG_BD[[#This Row],[Error Code]],'Basic Data'!S:T,2,0),"Incorrect Error Code")</f>
        <v>Yaw To Cable Twist Reset</v>
      </c>
      <c r="M111" t="s">
        <v>301</v>
      </c>
      <c r="N111" t="s">
        <v>113</v>
      </c>
      <c r="O111" s="270">
        <v>0.85972222222222228</v>
      </c>
      <c r="P111" s="270">
        <v>0.85972222222222228</v>
      </c>
      <c r="Q111" s="270">
        <v>0.87569444444444444</v>
      </c>
      <c r="R111" s="356">
        <f>(WTG_BD[[#This Row],[Work Start TimeStamp]]-WTG_BD[[#This Row],[Fault Start TimeStamp]])*24</f>
        <v>0</v>
      </c>
      <c r="S111" s="34">
        <f>(WTG_BD[[#This Row],[Fault Clearance time]]-WTG_BD[[#This Row],[Work Start TimeStamp]])*24</f>
        <v>0.38333333333333197</v>
      </c>
      <c r="T111" s="34">
        <f>(WTG_BD[[#This Row],[Fault Clearance time]]-WTG_BD[[#This Row],[Fault Start TimeStamp]])*24</f>
        <v>0.38333333333333197</v>
      </c>
      <c r="U111" t="s">
        <v>4268</v>
      </c>
      <c r="V111" s="234" t="s">
        <v>255</v>
      </c>
      <c r="W111" s="50">
        <f>IFERROR(IF(N111="ROW",0,(WTG_BD[[#This Row],[Breakdown Time]]*WTG_BD[[#This Row],[Plant Equivalent Weightage]])),"")</f>
        <v>1.6666666666666611E-2</v>
      </c>
      <c r="X111" s="50"/>
      <c r="Y111" s="205">
        <v>1</v>
      </c>
      <c r="Z111" s="205"/>
      <c r="AC111" s="4"/>
    </row>
    <row r="112" spans="1:29">
      <c r="A112" s="10">
        <f t="shared" si="3"/>
        <v>111</v>
      </c>
      <c r="B112" s="43">
        <f>YEAR(WTG_BD[[#This Row],[Date]])+IF(MONTH(WTG_BD[[#This Row],[Date]])&gt;=4,1,0)</f>
        <v>2026</v>
      </c>
      <c r="C112" s="10">
        <v>2025</v>
      </c>
      <c r="D112" s="10" t="s">
        <v>4478</v>
      </c>
      <c r="E112" s="309">
        <f>WTG_BD[[#This Row],[Date]]-DAY(WTG_BD[[#This Row],[Date]])+1</f>
        <v>45748</v>
      </c>
      <c r="F112" s="32">
        <v>45757</v>
      </c>
      <c r="G112" t="s">
        <v>87</v>
      </c>
      <c r="H112" t="str">
        <f>IFERROR(VLOOKUP(WTG_BD[[#This Row],[Affected WTG]],'Basic Data'!$A$3:$E$25,2,0),"")</f>
        <v>O2R1</v>
      </c>
      <c r="I112" t="str">
        <f>IFERROR(VLOOKUP(WTG_BD[[#This Row],[Affected WTG]],'Basic Data'!$A$3:$E$25,3,0),"")</f>
        <v>KSIPL</v>
      </c>
      <c r="J112" s="355">
        <f>IFERROR(VLOOKUP(WTG_BD[[#This Row],[Affected WTG]],'Basic Data'!$A$3:$E$25,5,0),"")</f>
        <v>4.3478260869565223E-2</v>
      </c>
      <c r="K112" s="10">
        <v>704</v>
      </c>
      <c r="L112" t="str">
        <f>IFERROR(VLOOKUP(WTG_BD[[#This Row],[Error Code]],'Basic Data'!S:T,2,0),"Incorrect Error Code")</f>
        <v>Ch High res. load C_ Load:___%</v>
      </c>
      <c r="M112" t="s">
        <v>4333</v>
      </c>
      <c r="N112" t="s">
        <v>113</v>
      </c>
      <c r="O112" s="270">
        <v>0.88263888888888886</v>
      </c>
      <c r="P112" s="270">
        <v>0.88263888888888886</v>
      </c>
      <c r="Q112" s="270">
        <v>0.88888888888888884</v>
      </c>
      <c r="R112" s="356">
        <f>(WTG_BD[[#This Row],[Work Start TimeStamp]]-WTG_BD[[#This Row],[Fault Start TimeStamp]])*24</f>
        <v>0</v>
      </c>
      <c r="S112" s="34">
        <f>(WTG_BD[[#This Row],[Fault Clearance time]]-WTG_BD[[#This Row],[Work Start TimeStamp]])*24</f>
        <v>0.14999999999999947</v>
      </c>
      <c r="T112" s="34">
        <f>(WTG_BD[[#This Row],[Fault Clearance time]]-WTG_BD[[#This Row],[Fault Start TimeStamp]])*24</f>
        <v>0.14999999999999947</v>
      </c>
      <c r="U112" t="s">
        <v>4268</v>
      </c>
      <c r="V112" s="234" t="s">
        <v>255</v>
      </c>
      <c r="W112" s="50">
        <f>IFERROR(IF(N112="ROW",0,(WTG_BD[[#This Row],[Breakdown Time]]*WTG_BD[[#This Row],[Plant Equivalent Weightage]])),"")</f>
        <v>6.5217391304347606E-3</v>
      </c>
      <c r="X112" s="50"/>
      <c r="Y112" s="205">
        <v>1</v>
      </c>
      <c r="Z112" s="205"/>
      <c r="AC112" s="4"/>
    </row>
    <row r="113" spans="1:29">
      <c r="A113" s="10">
        <f t="shared" si="3"/>
        <v>112</v>
      </c>
      <c r="B113" s="43">
        <f>YEAR(WTG_BD[[#This Row],[Date]])+IF(MONTH(WTG_BD[[#This Row],[Date]])&gt;=4,1,0)</f>
        <v>2026</v>
      </c>
      <c r="C113" s="10">
        <v>2025</v>
      </c>
      <c r="D113" s="10" t="s">
        <v>4478</v>
      </c>
      <c r="E113" s="309">
        <f>WTG_BD[[#This Row],[Date]]-DAY(WTG_BD[[#This Row],[Date]])+1</f>
        <v>45748</v>
      </c>
      <c r="F113" s="32">
        <v>45757</v>
      </c>
      <c r="G113" t="s">
        <v>92</v>
      </c>
      <c r="H113" t="str">
        <f>IFERROR(VLOOKUP(WTG_BD[[#This Row],[Affected WTG]],'Basic Data'!$A$3:$E$25,2,0),"")</f>
        <v>O2R2</v>
      </c>
      <c r="I113" t="str">
        <f>IFERROR(VLOOKUP(WTG_BD[[#This Row],[Affected WTG]],'Basic Data'!$A$3:$E$25,3,0),"")</f>
        <v>SIL</v>
      </c>
      <c r="J113" s="355">
        <f>IFERROR(VLOOKUP(WTG_BD[[#This Row],[Affected WTG]],'Basic Data'!$A$3:$E$25,5,0),"")</f>
        <v>4.3478260869565223E-2</v>
      </c>
      <c r="K113" s="10">
        <v>2676</v>
      </c>
      <c r="L113" t="str">
        <f>IFERROR(VLOOKUP(WTG_BD[[#This Row],[Error Code]],'Basic Data'!S:T,2,0),"Incorrect Error Code")</f>
        <v>UPS Error</v>
      </c>
      <c r="M113" t="s">
        <v>140</v>
      </c>
      <c r="N113" t="s">
        <v>113</v>
      </c>
      <c r="O113" s="270">
        <v>0.87569444444444444</v>
      </c>
      <c r="P113" s="270">
        <v>0.87569444444444444</v>
      </c>
      <c r="Q113" s="270">
        <v>0.87847222222222221</v>
      </c>
      <c r="R113" s="356">
        <f>(WTG_BD[[#This Row],[Work Start TimeStamp]]-WTG_BD[[#This Row],[Fault Start TimeStamp]])*24</f>
        <v>0</v>
      </c>
      <c r="S113" s="34">
        <f>(WTG_BD[[#This Row],[Fault Clearance time]]-WTG_BD[[#This Row],[Work Start TimeStamp]])*24</f>
        <v>6.666666666666643E-2</v>
      </c>
      <c r="T113" s="34">
        <f>(WTG_BD[[#This Row],[Fault Clearance time]]-WTG_BD[[#This Row],[Fault Start TimeStamp]])*24</f>
        <v>6.666666666666643E-2</v>
      </c>
      <c r="U113" t="s">
        <v>4313</v>
      </c>
      <c r="V113" s="234" t="s">
        <v>255</v>
      </c>
      <c r="W113" s="50">
        <f>IFERROR(IF(N113="ROW",0,(WTG_BD[[#This Row],[Breakdown Time]]*WTG_BD[[#This Row],[Plant Equivalent Weightage]])),"")</f>
        <v>2.8985507246376712E-3</v>
      </c>
      <c r="X113" s="50"/>
      <c r="Y113" s="205">
        <v>1</v>
      </c>
      <c r="Z113" s="205"/>
      <c r="AC113" s="4"/>
    </row>
    <row r="114" spans="1:29">
      <c r="A114" s="10">
        <f t="shared" si="3"/>
        <v>113</v>
      </c>
      <c r="B114" s="43">
        <f>YEAR(WTG_BD[[#This Row],[Date]])+IF(MONTH(WTG_BD[[#This Row],[Date]])&gt;=4,1,0)</f>
        <v>2026</v>
      </c>
      <c r="C114" s="10">
        <v>2025</v>
      </c>
      <c r="D114" s="10" t="s">
        <v>4478</v>
      </c>
      <c r="E114" s="309">
        <f>WTG_BD[[#This Row],[Date]]-DAY(WTG_BD[[#This Row],[Date]])+1</f>
        <v>45748</v>
      </c>
      <c r="F114" s="32">
        <v>45757</v>
      </c>
      <c r="G114" t="s">
        <v>96</v>
      </c>
      <c r="H114" t="str">
        <f>IFERROR(VLOOKUP(WTG_BD[[#This Row],[Affected WTG]],'Basic Data'!$A$3:$E$25,2,0),"")</f>
        <v>O2R3</v>
      </c>
      <c r="I114" t="str">
        <f>IFERROR(VLOOKUP(WTG_BD[[#This Row],[Affected WTG]],'Basic Data'!$A$3:$E$25,3,0),"")</f>
        <v>JK</v>
      </c>
      <c r="J114" s="355">
        <f>IFERROR(VLOOKUP(WTG_BD[[#This Row],[Affected WTG]],'Basic Data'!$A$3:$E$25,5,0),"")</f>
        <v>4.3478260869565223E-2</v>
      </c>
      <c r="K114" s="10">
        <v>704</v>
      </c>
      <c r="L114" t="str">
        <f>IFERROR(VLOOKUP(WTG_BD[[#This Row],[Error Code]],'Basic Data'!S:T,2,0),"Incorrect Error Code")</f>
        <v>Ch High res. load C_ Load:___%</v>
      </c>
      <c r="M114" t="s">
        <v>4317</v>
      </c>
      <c r="N114" t="s">
        <v>113</v>
      </c>
      <c r="O114" s="270">
        <v>0.94305555555555554</v>
      </c>
      <c r="P114" s="270">
        <v>0.94305555555555554</v>
      </c>
      <c r="Q114" s="270">
        <v>0.97222222222222221</v>
      </c>
      <c r="R114" s="356">
        <f>(WTG_BD[[#This Row],[Work Start TimeStamp]]-WTG_BD[[#This Row],[Fault Start TimeStamp]])*24</f>
        <v>0</v>
      </c>
      <c r="S114" s="34">
        <f>(WTG_BD[[#This Row],[Fault Clearance time]]-WTG_BD[[#This Row],[Work Start TimeStamp]])*24</f>
        <v>0.70000000000000018</v>
      </c>
      <c r="T114" s="34">
        <f>(WTG_BD[[#This Row],[Fault Clearance time]]-WTG_BD[[#This Row],[Fault Start TimeStamp]])*24</f>
        <v>0.70000000000000018</v>
      </c>
      <c r="U114" t="s">
        <v>4268</v>
      </c>
      <c r="V114" s="234" t="s">
        <v>255</v>
      </c>
      <c r="W114" s="50">
        <f>IFERROR(IF(N114="ROW",0,(WTG_BD[[#This Row],[Breakdown Time]]*WTG_BD[[#This Row],[Plant Equivalent Weightage]])),"")</f>
        <v>3.0434782608695664E-2</v>
      </c>
      <c r="X114" s="50"/>
      <c r="Y114" s="205">
        <v>1</v>
      </c>
      <c r="Z114" s="205"/>
      <c r="AC114" s="4"/>
    </row>
    <row r="115" spans="1:29">
      <c r="A115" s="10">
        <f t="shared" si="3"/>
        <v>114</v>
      </c>
      <c r="B115" s="43">
        <f>YEAR(WTG_BD[[#This Row],[Date]])+IF(MONTH(WTG_BD[[#This Row],[Date]])&gt;=4,1,0)</f>
        <v>2026</v>
      </c>
      <c r="C115" s="10">
        <v>2025</v>
      </c>
      <c r="D115" s="10" t="s">
        <v>4478</v>
      </c>
      <c r="E115" s="309">
        <f>WTG_BD[[#This Row],[Date]]-DAY(WTG_BD[[#This Row],[Date]])+1</f>
        <v>45748</v>
      </c>
      <c r="F115" s="32">
        <v>45757</v>
      </c>
      <c r="G115" t="s">
        <v>97</v>
      </c>
      <c r="H115" t="str">
        <f>IFERROR(VLOOKUP(WTG_BD[[#This Row],[Affected WTG]],'Basic Data'!$A$3:$E$25,2,0),"")</f>
        <v>O2R3</v>
      </c>
      <c r="I115" t="str">
        <f>IFERROR(VLOOKUP(WTG_BD[[#This Row],[Affected WTG]],'Basic Data'!$A$3:$E$25,3,0),"")</f>
        <v>JK</v>
      </c>
      <c r="J115" s="355">
        <f>IFERROR(VLOOKUP(WTG_BD[[#This Row],[Affected WTG]],'Basic Data'!$A$3:$E$25,5,0),"")</f>
        <v>4.3478260869565223E-2</v>
      </c>
      <c r="K115" s="10">
        <v>931</v>
      </c>
      <c r="L115" t="str">
        <f>IFERROR(VLOOKUP(WTG_BD[[#This Row],[Error Code]],'Basic Data'!S:T,2,0),"Incorrect Error Code")</f>
        <v>Arc light detected</v>
      </c>
      <c r="M115" t="s">
        <v>1472</v>
      </c>
      <c r="N115" t="s">
        <v>113</v>
      </c>
      <c r="O115" s="270">
        <v>0.8</v>
      </c>
      <c r="P115" s="270">
        <v>0.8</v>
      </c>
      <c r="Q115" s="270">
        <v>0.99930555555555556</v>
      </c>
      <c r="R115" s="356">
        <f>(WTG_BD[[#This Row],[Work Start TimeStamp]]-WTG_BD[[#This Row],[Fault Start TimeStamp]])*24</f>
        <v>0</v>
      </c>
      <c r="S115" s="34">
        <f>(WTG_BD[[#This Row],[Fault Clearance time]]-WTG_BD[[#This Row],[Work Start TimeStamp]])*24</f>
        <v>4.7833333333333323</v>
      </c>
      <c r="T115" s="34">
        <f>(WTG_BD[[#This Row],[Fault Clearance time]]-WTG_BD[[#This Row],[Fault Start TimeStamp]])*24</f>
        <v>4.7833333333333323</v>
      </c>
      <c r="U115" t="s">
        <v>4495</v>
      </c>
      <c r="V115" s="234" t="s">
        <v>270</v>
      </c>
      <c r="W115" s="50">
        <f>IFERROR(IF(N115="ROW",0,(WTG_BD[[#This Row],[Breakdown Time]]*WTG_BD[[#This Row],[Plant Equivalent Weightage]])),"")</f>
        <v>0.2079710144927536</v>
      </c>
      <c r="X115" s="50"/>
      <c r="Y115" s="205">
        <v>1</v>
      </c>
      <c r="Z115" s="205"/>
      <c r="AC115" s="4"/>
    </row>
    <row r="116" spans="1:29">
      <c r="A116" s="10">
        <f t="shared" si="3"/>
        <v>115</v>
      </c>
      <c r="B116" s="43">
        <f>YEAR(WTG_BD[[#This Row],[Date]])+IF(MONTH(WTG_BD[[#This Row],[Date]])&gt;=4,1,0)</f>
        <v>2026</v>
      </c>
      <c r="C116" s="10">
        <v>2025</v>
      </c>
      <c r="D116" s="10" t="s">
        <v>4478</v>
      </c>
      <c r="E116" s="309">
        <f>WTG_BD[[#This Row],[Date]]-DAY(WTG_BD[[#This Row],[Date]])+1</f>
        <v>45748</v>
      </c>
      <c r="F116" s="32">
        <v>45757</v>
      </c>
      <c r="G116" t="s">
        <v>97</v>
      </c>
      <c r="H116" t="str">
        <f>IFERROR(VLOOKUP(WTG_BD[[#This Row],[Affected WTG]],'Basic Data'!$A$3:$E$25,2,0),"")</f>
        <v>O2R3</v>
      </c>
      <c r="I116" t="str">
        <f>IFERROR(VLOOKUP(WTG_BD[[#This Row],[Affected WTG]],'Basic Data'!$A$3:$E$25,3,0),"")</f>
        <v>JK</v>
      </c>
      <c r="J116" s="355">
        <f>IFERROR(VLOOKUP(WTG_BD[[#This Row],[Affected WTG]],'Basic Data'!$A$3:$E$25,5,0),"")</f>
        <v>4.3478260869565223E-2</v>
      </c>
      <c r="K116" s="10">
        <v>2676</v>
      </c>
      <c r="L116" t="str">
        <f>IFERROR(VLOOKUP(WTG_BD[[#This Row],[Error Code]],'Basic Data'!S:T,2,0),"Incorrect Error Code")</f>
        <v>UPS Error</v>
      </c>
      <c r="M116" t="s">
        <v>140</v>
      </c>
      <c r="N116" t="s">
        <v>113</v>
      </c>
      <c r="O116" s="270">
        <v>0.83680555555555558</v>
      </c>
      <c r="P116" s="270">
        <v>0.83680555555555558</v>
      </c>
      <c r="Q116" s="270">
        <v>0.84791666666666665</v>
      </c>
      <c r="R116" s="356">
        <f>(WTG_BD[[#This Row],[Work Start TimeStamp]]-WTG_BD[[#This Row],[Fault Start TimeStamp]])*24</f>
        <v>0</v>
      </c>
      <c r="S116" s="34">
        <f>(WTG_BD[[#This Row],[Fault Clearance time]]-WTG_BD[[#This Row],[Work Start TimeStamp]])*24</f>
        <v>0.26666666666666572</v>
      </c>
      <c r="T116" s="34">
        <f>(WTG_BD[[#This Row],[Fault Clearance time]]-WTG_BD[[#This Row],[Fault Start TimeStamp]])*24</f>
        <v>0.26666666666666572</v>
      </c>
      <c r="U116" t="s">
        <v>4313</v>
      </c>
      <c r="V116" s="234" t="s">
        <v>255</v>
      </c>
      <c r="W116" s="50">
        <f>IFERROR(IF(N116="ROW",0,(WTG_BD[[#This Row],[Breakdown Time]]*WTG_BD[[#This Row],[Plant Equivalent Weightage]])),"")</f>
        <v>1.1594202898550685E-2</v>
      </c>
      <c r="X116" s="50"/>
      <c r="Y116" s="205">
        <v>1</v>
      </c>
      <c r="Z116" s="205"/>
      <c r="AC116" s="4"/>
    </row>
    <row r="117" spans="1:29">
      <c r="A117" s="10">
        <f t="shared" si="3"/>
        <v>116</v>
      </c>
      <c r="B117" s="43">
        <f>YEAR(WTG_BD[[#This Row],[Date]])+IF(MONTH(WTG_BD[[#This Row],[Date]])&gt;=4,1,0)</f>
        <v>2026</v>
      </c>
      <c r="C117" s="10">
        <v>2025</v>
      </c>
      <c r="D117" s="10" t="s">
        <v>4478</v>
      </c>
      <c r="E117" s="309">
        <f>WTG_BD[[#This Row],[Date]]-DAY(WTG_BD[[#This Row],[Date]])+1</f>
        <v>45748</v>
      </c>
      <c r="F117" s="32">
        <v>45758</v>
      </c>
      <c r="G117" t="s">
        <v>76</v>
      </c>
      <c r="H117" t="str">
        <f>IFERROR(VLOOKUP(WTG_BD[[#This Row],[Affected WTG]],'Basic Data'!$A$3:$E$25,2,0),"")</f>
        <v>O2R1</v>
      </c>
      <c r="I117" t="str">
        <f>IFERROR(VLOOKUP(WTG_BD[[#This Row],[Affected WTG]],'Basic Data'!$A$3:$E$25,3,0),"")</f>
        <v>KSIPL</v>
      </c>
      <c r="J117" s="355">
        <f>IFERROR(VLOOKUP(WTG_BD[[#This Row],[Affected WTG]],'Basic Data'!$A$3:$E$25,5,0),"")</f>
        <v>4.3478260869565223E-2</v>
      </c>
      <c r="K117" s="10">
        <v>3273</v>
      </c>
      <c r="L117" t="str">
        <f>IFERROR(VLOOKUP(WTG_BD[[#This Row],[Error Code]],'Basic Data'!S:T,2,0),"Incorrect Error Code")</f>
        <v>YawUntwistCCW: Code__,_______°</v>
      </c>
      <c r="M117" t="s">
        <v>1963</v>
      </c>
      <c r="O117" s="168">
        <v>6.0416666666666667E-2</v>
      </c>
      <c r="P117" s="168">
        <v>6.0416666666666667E-2</v>
      </c>
      <c r="Q117" s="168">
        <v>8.1250000000000003E-2</v>
      </c>
      <c r="R117" s="356">
        <f>(WTG_BD[[#This Row],[Work Start TimeStamp]]-WTG_BD[[#This Row],[Fault Start TimeStamp]])*24</f>
        <v>0</v>
      </c>
      <c r="S117" s="34">
        <f>(WTG_BD[[#This Row],[Fault Clearance time]]-WTG_BD[[#This Row],[Work Start TimeStamp]])*24</f>
        <v>0.5</v>
      </c>
      <c r="T117" s="34">
        <f>(WTG_BD[[#This Row],[Fault Clearance time]]-WTG_BD[[#This Row],[Fault Start TimeStamp]])*24</f>
        <v>0.5</v>
      </c>
      <c r="U117" t="s">
        <v>4323</v>
      </c>
      <c r="V117" s="234" t="s">
        <v>255</v>
      </c>
      <c r="W117" s="50">
        <f>IFERROR(IF(N117="ROW",0,(WTG_BD[[#This Row],[Breakdown Time]]*WTG_BD[[#This Row],[Plant Equivalent Weightage]])),"")</f>
        <v>2.1739130434782612E-2</v>
      </c>
      <c r="X117" s="50"/>
      <c r="Y117" s="205">
        <v>1</v>
      </c>
      <c r="Z117" s="205"/>
      <c r="AA117" s="4">
        <v>1.7000000000000001E-2</v>
      </c>
      <c r="AC117" s="4"/>
    </row>
    <row r="118" spans="1:29">
      <c r="A118" s="10">
        <f t="shared" si="3"/>
        <v>117</v>
      </c>
      <c r="B118" s="43">
        <f>YEAR(WTG_BD[[#This Row],[Date]])+IF(MONTH(WTG_BD[[#This Row],[Date]])&gt;=4,1,0)</f>
        <v>2026</v>
      </c>
      <c r="C118" s="10">
        <v>2025</v>
      </c>
      <c r="D118" s="10" t="s">
        <v>4478</v>
      </c>
      <c r="E118" s="309">
        <f>WTG_BD[[#This Row],[Date]]-DAY(WTG_BD[[#This Row],[Date]])+1</f>
        <v>45748</v>
      </c>
      <c r="F118" s="32">
        <v>45758</v>
      </c>
      <c r="G118" t="s">
        <v>83</v>
      </c>
      <c r="H118" t="str">
        <f>IFERROR(VLOOKUP(WTG_BD[[#This Row],[Affected WTG]],'Basic Data'!$A$3:$E$25,2,0),"")</f>
        <v>O2R3</v>
      </c>
      <c r="I118" t="str">
        <f>IFERROR(VLOOKUP(WTG_BD[[#This Row],[Affected WTG]],'Basic Data'!$A$3:$E$25,3,0),"")</f>
        <v>JK</v>
      </c>
      <c r="J118" s="355">
        <f>IFERROR(VLOOKUP(WTG_BD[[#This Row],[Affected WTG]],'Basic Data'!$A$3:$E$25,5,0),"")</f>
        <v>4.3478260869565223E-2</v>
      </c>
      <c r="K118" s="10">
        <v>3273</v>
      </c>
      <c r="L118" t="str">
        <f>IFERROR(VLOOKUP(WTG_BD[[#This Row],[Error Code]],'Basic Data'!S:T,2,0),"Incorrect Error Code")</f>
        <v>YawUntwistCCW: Code__,_______°</v>
      </c>
      <c r="M118" t="s">
        <v>1963</v>
      </c>
      <c r="O118" s="168">
        <v>8.5416666666666669E-2</v>
      </c>
      <c r="P118" s="168">
        <v>8.5416666666666669E-2</v>
      </c>
      <c r="Q118" s="168">
        <v>9.930555555555555E-2</v>
      </c>
      <c r="R118" s="356">
        <f>(WTG_BD[[#This Row],[Work Start TimeStamp]]-WTG_BD[[#This Row],[Fault Start TimeStamp]])*24</f>
        <v>0</v>
      </c>
      <c r="S118" s="34">
        <f>(WTG_BD[[#This Row],[Fault Clearance time]]-WTG_BD[[#This Row],[Work Start TimeStamp]])*24</f>
        <v>0.33333333333333315</v>
      </c>
      <c r="T118" s="34">
        <f>(WTG_BD[[#This Row],[Fault Clearance time]]-WTG_BD[[#This Row],[Fault Start TimeStamp]])*24</f>
        <v>0.33333333333333315</v>
      </c>
      <c r="U118" t="s">
        <v>4323</v>
      </c>
      <c r="V118" s="234" t="s">
        <v>255</v>
      </c>
      <c r="W118" s="50">
        <f>IFERROR(IF(N118="ROW",0,(WTG_BD[[#This Row],[Breakdown Time]]*WTG_BD[[#This Row],[Plant Equivalent Weightage]])),"")</f>
        <v>1.4492753623188399E-2</v>
      </c>
      <c r="X118" s="50"/>
      <c r="Y118" s="205">
        <v>1</v>
      </c>
      <c r="Z118" s="205"/>
      <c r="AA118" s="4">
        <v>0.02</v>
      </c>
      <c r="AC118" s="4"/>
    </row>
    <row r="119" spans="1:29">
      <c r="A119" s="10">
        <f t="shared" si="3"/>
        <v>118</v>
      </c>
      <c r="B119" s="43">
        <f>YEAR(WTG_BD[[#This Row],[Date]])+IF(MONTH(WTG_BD[[#This Row],[Date]])&gt;=4,1,0)</f>
        <v>2026</v>
      </c>
      <c r="C119" s="10">
        <v>2025</v>
      </c>
      <c r="D119" s="10" t="s">
        <v>4478</v>
      </c>
      <c r="E119" s="309">
        <f>WTG_BD[[#This Row],[Date]]-DAY(WTG_BD[[#This Row],[Date]])+1</f>
        <v>45748</v>
      </c>
      <c r="F119" s="32">
        <v>45758</v>
      </c>
      <c r="G119" t="s">
        <v>79</v>
      </c>
      <c r="H119" t="str">
        <f>IFERROR(VLOOKUP(WTG_BD[[#This Row],[Affected WTG]],'Basic Data'!$A$3:$E$25,2,0),"")</f>
        <v>O2R3</v>
      </c>
      <c r="I119" t="str">
        <f>IFERROR(VLOOKUP(WTG_BD[[#This Row],[Affected WTG]],'Basic Data'!$A$3:$E$25,3,0),"")</f>
        <v>JK</v>
      </c>
      <c r="J119" s="355">
        <f>IFERROR(VLOOKUP(WTG_BD[[#This Row],[Affected WTG]],'Basic Data'!$A$3:$E$25,5,0),"")</f>
        <v>4.3478260869565223E-2</v>
      </c>
      <c r="K119" s="10">
        <v>3273</v>
      </c>
      <c r="L119" t="str">
        <f>IFERROR(VLOOKUP(WTG_BD[[#This Row],[Error Code]],'Basic Data'!S:T,2,0),"Incorrect Error Code")</f>
        <v>YawUntwistCCW: Code__,_______°</v>
      </c>
      <c r="M119" t="s">
        <v>1963</v>
      </c>
      <c r="O119" s="168">
        <v>7.7083333333333337E-2</v>
      </c>
      <c r="P119" s="168">
        <v>7.7083333333333337E-2</v>
      </c>
      <c r="Q119" s="168">
        <v>9.0972222222222218E-2</v>
      </c>
      <c r="R119" s="356">
        <f>(WTG_BD[[#This Row],[Work Start TimeStamp]]-WTG_BD[[#This Row],[Fault Start TimeStamp]])*24</f>
        <v>0</v>
      </c>
      <c r="S119" s="34">
        <f>(WTG_BD[[#This Row],[Fault Clearance time]]-WTG_BD[[#This Row],[Work Start TimeStamp]])*24</f>
        <v>0.33333333333333315</v>
      </c>
      <c r="T119" s="34">
        <f>(WTG_BD[[#This Row],[Fault Clearance time]]-WTG_BD[[#This Row],[Fault Start TimeStamp]])*24</f>
        <v>0.33333333333333315</v>
      </c>
      <c r="U119" t="s">
        <v>4323</v>
      </c>
      <c r="V119" s="234" t="s">
        <v>255</v>
      </c>
      <c r="W119" s="50">
        <f>IFERROR(IF(N119="ROW",0,(WTG_BD[[#This Row],[Breakdown Time]]*WTG_BD[[#This Row],[Plant Equivalent Weightage]])),"")</f>
        <v>1.4492753623188399E-2</v>
      </c>
      <c r="X119" s="50"/>
      <c r="Y119" s="205">
        <v>1</v>
      </c>
      <c r="Z119" s="205"/>
      <c r="AA119" s="4">
        <v>1.7000000000000001E-2</v>
      </c>
      <c r="AC119" s="4"/>
    </row>
    <row r="120" spans="1:29">
      <c r="A120" s="10">
        <f t="shared" si="3"/>
        <v>119</v>
      </c>
      <c r="B120" s="43">
        <f>YEAR(WTG_BD[[#This Row],[Date]])+IF(MONTH(WTG_BD[[#This Row],[Date]])&gt;=4,1,0)</f>
        <v>2026</v>
      </c>
      <c r="C120" s="10">
        <v>2025</v>
      </c>
      <c r="D120" s="10" t="s">
        <v>4478</v>
      </c>
      <c r="E120" s="309">
        <f>WTG_BD[[#This Row],[Date]]-DAY(WTG_BD[[#This Row],[Date]])+1</f>
        <v>45748</v>
      </c>
      <c r="F120" s="32">
        <v>45758</v>
      </c>
      <c r="G120" t="s">
        <v>91</v>
      </c>
      <c r="H120" t="str">
        <f>IFERROR(VLOOKUP(WTG_BD[[#This Row],[Affected WTG]],'Basic Data'!$A$3:$E$25,2,0),"")</f>
        <v>O2R2</v>
      </c>
      <c r="I120" t="str">
        <f>IFERROR(VLOOKUP(WTG_BD[[#This Row],[Affected WTG]],'Basic Data'!$A$3:$E$25,3,0),"")</f>
        <v>SIL</v>
      </c>
      <c r="J120" s="355">
        <f>IFERROR(VLOOKUP(WTG_BD[[#This Row],[Affected WTG]],'Basic Data'!$A$3:$E$25,5,0),"")</f>
        <v>4.3478260869565223E-2</v>
      </c>
      <c r="K120" s="10">
        <v>3273</v>
      </c>
      <c r="L120" t="str">
        <f>IFERROR(VLOOKUP(WTG_BD[[#This Row],[Error Code]],'Basic Data'!S:T,2,0),"Incorrect Error Code")</f>
        <v>YawUntwistCCW: Code__,_______°</v>
      </c>
      <c r="M120" t="s">
        <v>1963</v>
      </c>
      <c r="O120" s="168">
        <v>7.013888888888889E-2</v>
      </c>
      <c r="P120" s="168">
        <v>7.013888888888889E-2</v>
      </c>
      <c r="Q120" s="168">
        <v>8.4027777777777785E-2</v>
      </c>
      <c r="R120" s="356">
        <f>(WTG_BD[[#This Row],[Work Start TimeStamp]]-WTG_BD[[#This Row],[Fault Start TimeStamp]])*24</f>
        <v>0</v>
      </c>
      <c r="S120" s="34">
        <f>(WTG_BD[[#This Row],[Fault Clearance time]]-WTG_BD[[#This Row],[Work Start TimeStamp]])*24</f>
        <v>0.33333333333333348</v>
      </c>
      <c r="T120" s="34">
        <f>(WTG_BD[[#This Row],[Fault Clearance time]]-WTG_BD[[#This Row],[Fault Start TimeStamp]])*24</f>
        <v>0.33333333333333348</v>
      </c>
      <c r="U120" t="s">
        <v>4323</v>
      </c>
      <c r="V120" s="234" t="s">
        <v>255</v>
      </c>
      <c r="W120" s="50">
        <f>IFERROR(IF(N120="ROW",0,(WTG_BD[[#This Row],[Breakdown Time]]*WTG_BD[[#This Row],[Plant Equivalent Weightage]])),"")</f>
        <v>1.4492753623188415E-2</v>
      </c>
      <c r="X120" s="50"/>
      <c r="Y120" s="205">
        <v>1</v>
      </c>
      <c r="Z120" s="205"/>
      <c r="AA120" s="4">
        <v>1E-3</v>
      </c>
      <c r="AC120" s="4"/>
    </row>
    <row r="121" spans="1:29">
      <c r="A121" s="10">
        <f t="shared" si="3"/>
        <v>120</v>
      </c>
      <c r="B121" s="43">
        <f>YEAR(WTG_BD[[#This Row],[Date]])+IF(MONTH(WTG_BD[[#This Row],[Date]])&gt;=4,1,0)</f>
        <v>2026</v>
      </c>
      <c r="C121" s="10">
        <v>2025</v>
      </c>
      <c r="D121" s="10" t="s">
        <v>4478</v>
      </c>
      <c r="E121" s="309">
        <f>WTG_BD[[#This Row],[Date]]-DAY(WTG_BD[[#This Row],[Date]])+1</f>
        <v>45748</v>
      </c>
      <c r="F121" s="32">
        <v>45758</v>
      </c>
      <c r="G121" t="s">
        <v>92</v>
      </c>
      <c r="H121" t="str">
        <f>IFERROR(VLOOKUP(WTG_BD[[#This Row],[Affected WTG]],'Basic Data'!$A$3:$E$25,2,0),"")</f>
        <v>O2R2</v>
      </c>
      <c r="I121" t="str">
        <f>IFERROR(VLOOKUP(WTG_BD[[#This Row],[Affected WTG]],'Basic Data'!$A$3:$E$25,3,0),"")</f>
        <v>SIL</v>
      </c>
      <c r="J121" s="355">
        <f>IFERROR(VLOOKUP(WTG_BD[[#This Row],[Affected WTG]],'Basic Data'!$A$3:$E$25,5,0),"")</f>
        <v>4.3478260869565223E-2</v>
      </c>
      <c r="K121" s="10">
        <v>3483</v>
      </c>
      <c r="L121" t="str">
        <f>IFERROR(VLOOKUP(WTG_BD[[#This Row],[Error Code]],'Basic Data'!S:T,2,0),"Incorrect Error Code")</f>
        <v>GearOilTempLow ___°C</v>
      </c>
      <c r="M121" t="s">
        <v>2111</v>
      </c>
      <c r="N121" t="s">
        <v>113</v>
      </c>
      <c r="O121" s="168">
        <v>0.7319444444444444</v>
      </c>
      <c r="P121" s="168">
        <v>0.7319444444444444</v>
      </c>
      <c r="Q121" s="168">
        <v>0.82916666666666672</v>
      </c>
      <c r="R121" s="356">
        <f>(WTG_BD[[#This Row],[Work Start TimeStamp]]-WTG_BD[[#This Row],[Fault Start TimeStamp]])*24</f>
        <v>0</v>
      </c>
      <c r="S121" s="34">
        <f>(WTG_BD[[#This Row],[Fault Clearance time]]-WTG_BD[[#This Row],[Work Start TimeStamp]])*24</f>
        <v>2.3333333333333357</v>
      </c>
      <c r="T121" s="34">
        <f>(WTG_BD[[#This Row],[Fault Clearance time]]-WTG_BD[[#This Row],[Fault Start TimeStamp]])*24</f>
        <v>2.3333333333333357</v>
      </c>
      <c r="U121" t="s">
        <v>4497</v>
      </c>
      <c r="V121" s="234" t="s">
        <v>255</v>
      </c>
      <c r="W121" s="50">
        <f>IFERROR(IF(N121="ROW",0,(WTG_BD[[#This Row],[Breakdown Time]]*WTG_BD[[#This Row],[Plant Equivalent Weightage]])),"")</f>
        <v>0.10144927536231896</v>
      </c>
      <c r="X121" s="50"/>
      <c r="Y121" s="205">
        <v>1</v>
      </c>
      <c r="Z121" s="205"/>
      <c r="AA121" s="4">
        <v>2.1739999999999999</v>
      </c>
      <c r="AC121" s="4"/>
    </row>
    <row r="122" spans="1:29">
      <c r="A122" s="10">
        <f t="shared" si="3"/>
        <v>121</v>
      </c>
      <c r="B122" s="43">
        <f>YEAR(WTG_BD[[#This Row],[Date]])+IF(MONTH(WTG_BD[[#This Row],[Date]])&gt;=4,1,0)</f>
        <v>2026</v>
      </c>
      <c r="C122" s="10">
        <v>2025</v>
      </c>
      <c r="D122" s="10" t="s">
        <v>4478</v>
      </c>
      <c r="E122" s="309">
        <f>WTG_BD[[#This Row],[Date]]-DAY(WTG_BD[[#This Row],[Date]])+1</f>
        <v>45748</v>
      </c>
      <c r="F122" s="32">
        <v>45758</v>
      </c>
      <c r="G122" t="s">
        <v>93</v>
      </c>
      <c r="H122" t="str">
        <f>IFERROR(VLOOKUP(WTG_BD[[#This Row],[Affected WTG]],'Basic Data'!$A$3:$E$25,2,0),"")</f>
        <v>O2R4</v>
      </c>
      <c r="I122" t="str">
        <f>IFERROR(VLOOKUP(WTG_BD[[#This Row],[Affected WTG]],'Basic Data'!$A$3:$E$25,3,0),"")</f>
        <v>SGDCIPL</v>
      </c>
      <c r="J122" s="355">
        <f>IFERROR(VLOOKUP(WTG_BD[[#This Row],[Affected WTG]],'Basic Data'!$A$3:$E$25,5,0),"")</f>
        <v>4.3478260869565223E-2</v>
      </c>
      <c r="K122" s="10">
        <v>3273</v>
      </c>
      <c r="L122" t="str">
        <f>IFERROR(VLOOKUP(WTG_BD[[#This Row],[Error Code]],'Basic Data'!S:T,2,0),"Incorrect Error Code")</f>
        <v>YawUntwistCCW: Code__,_______°</v>
      </c>
      <c r="M122" t="s">
        <v>1963</v>
      </c>
      <c r="O122" s="168">
        <v>7.0833333333333331E-2</v>
      </c>
      <c r="P122" s="168">
        <v>7.0833333333333331E-2</v>
      </c>
      <c r="Q122" s="168">
        <v>8.611111111111111E-2</v>
      </c>
      <c r="R122" s="356">
        <f>(WTG_BD[[#This Row],[Work Start TimeStamp]]-WTG_BD[[#This Row],[Fault Start TimeStamp]])*24</f>
        <v>0</v>
      </c>
      <c r="S122" s="34">
        <f>(WTG_BD[[#This Row],[Fault Clearance time]]-WTG_BD[[#This Row],[Work Start TimeStamp]])*24</f>
        <v>0.3666666666666667</v>
      </c>
      <c r="T122" s="34">
        <f>(WTG_BD[[#This Row],[Fault Clearance time]]-WTG_BD[[#This Row],[Fault Start TimeStamp]])*24</f>
        <v>0.3666666666666667</v>
      </c>
      <c r="U122" t="s">
        <v>4323</v>
      </c>
      <c r="V122" s="234" t="s">
        <v>255</v>
      </c>
      <c r="W122" s="50">
        <f>IFERROR(IF(N122="ROW",0,(WTG_BD[[#This Row],[Breakdown Time]]*WTG_BD[[#This Row],[Plant Equivalent Weightage]])),"")</f>
        <v>1.5942028985507249E-2</v>
      </c>
      <c r="X122" s="50"/>
      <c r="Y122" s="205">
        <v>1</v>
      </c>
      <c r="Z122" s="205"/>
      <c r="AA122" s="4">
        <v>1.0999999999999999E-2</v>
      </c>
      <c r="AC122" s="4"/>
    </row>
    <row r="123" spans="1:29">
      <c r="A123" s="10">
        <f t="shared" si="3"/>
        <v>122</v>
      </c>
      <c r="B123" s="43">
        <f>YEAR(WTG_BD[[#This Row],[Date]])+IF(MONTH(WTG_BD[[#This Row],[Date]])&gt;=4,1,0)</f>
        <v>2026</v>
      </c>
      <c r="C123" s="10">
        <v>2025</v>
      </c>
      <c r="D123" s="10" t="s">
        <v>4478</v>
      </c>
      <c r="E123" s="309">
        <f>WTG_BD[[#This Row],[Date]]-DAY(WTG_BD[[#This Row],[Date]])+1</f>
        <v>45748</v>
      </c>
      <c r="F123" s="32">
        <v>45758</v>
      </c>
      <c r="G123" t="s">
        <v>96</v>
      </c>
      <c r="H123" t="str">
        <f>IFERROR(VLOOKUP(WTG_BD[[#This Row],[Affected WTG]],'Basic Data'!$A$3:$E$25,2,0),"")</f>
        <v>O2R3</v>
      </c>
      <c r="I123" t="str">
        <f>IFERROR(VLOOKUP(WTG_BD[[#This Row],[Affected WTG]],'Basic Data'!$A$3:$E$25,3,0),"")</f>
        <v>JK</v>
      </c>
      <c r="J123" s="355">
        <f>IFERROR(VLOOKUP(WTG_BD[[#This Row],[Affected WTG]],'Basic Data'!$A$3:$E$25,5,0),"")</f>
        <v>4.3478260869565223E-2</v>
      </c>
      <c r="K123" s="10">
        <v>3273</v>
      </c>
      <c r="L123" t="str">
        <f>IFERROR(VLOOKUP(WTG_BD[[#This Row],[Error Code]],'Basic Data'!S:T,2,0),"Incorrect Error Code")</f>
        <v>YawUntwistCCW: Code__,_______°</v>
      </c>
      <c r="M123" t="s">
        <v>1963</v>
      </c>
      <c r="O123" s="168">
        <v>6.25E-2</v>
      </c>
      <c r="P123" s="168">
        <v>6.25E-2</v>
      </c>
      <c r="Q123" s="168">
        <v>7.4999999999999997E-2</v>
      </c>
      <c r="R123" s="356">
        <f>(WTG_BD[[#This Row],[Work Start TimeStamp]]-WTG_BD[[#This Row],[Fault Start TimeStamp]])*24</f>
        <v>0</v>
      </c>
      <c r="S123" s="34">
        <f>(WTG_BD[[#This Row],[Fault Clearance time]]-WTG_BD[[#This Row],[Work Start TimeStamp]])*24</f>
        <v>0.29999999999999993</v>
      </c>
      <c r="T123" s="34">
        <f>(WTG_BD[[#This Row],[Fault Clearance time]]-WTG_BD[[#This Row],[Fault Start TimeStamp]])*24</f>
        <v>0.29999999999999993</v>
      </c>
      <c r="U123" t="s">
        <v>4323</v>
      </c>
      <c r="V123" s="234" t="s">
        <v>255</v>
      </c>
      <c r="W123" s="50">
        <f>IFERROR(IF(N123="ROW",0,(WTG_BD[[#This Row],[Breakdown Time]]*WTG_BD[[#This Row],[Plant Equivalent Weightage]])),"")</f>
        <v>1.3043478260869565E-2</v>
      </c>
      <c r="X123" s="50"/>
      <c r="Y123" s="205">
        <v>1</v>
      </c>
      <c r="Z123" s="205"/>
      <c r="AA123" s="4">
        <v>3.6999999999999998E-2</v>
      </c>
      <c r="AC123" s="4"/>
    </row>
    <row r="124" spans="1:29">
      <c r="A124" s="10">
        <f t="shared" si="3"/>
        <v>123</v>
      </c>
      <c r="B124" s="43">
        <f>YEAR(WTG_BD[[#This Row],[Date]])+IF(MONTH(WTG_BD[[#This Row],[Date]])&gt;=4,1,0)</f>
        <v>2026</v>
      </c>
      <c r="C124" s="10">
        <v>2025</v>
      </c>
      <c r="D124" s="10" t="s">
        <v>4478</v>
      </c>
      <c r="E124" s="309">
        <f>WTG_BD[[#This Row],[Date]]-DAY(WTG_BD[[#This Row],[Date]])+1</f>
        <v>45748</v>
      </c>
      <c r="F124" s="32">
        <v>45758</v>
      </c>
      <c r="G124" t="s">
        <v>97</v>
      </c>
      <c r="H124" t="str">
        <f>IFERROR(VLOOKUP(WTG_BD[[#This Row],[Affected WTG]],'Basic Data'!$A$3:$E$25,2,0),"")</f>
        <v>O2R3</v>
      </c>
      <c r="I124" t="str">
        <f>IFERROR(VLOOKUP(WTG_BD[[#This Row],[Affected WTG]],'Basic Data'!$A$3:$E$25,3,0),"")</f>
        <v>JK</v>
      </c>
      <c r="J124" s="355">
        <f>IFERROR(VLOOKUP(WTG_BD[[#This Row],[Affected WTG]],'Basic Data'!$A$3:$E$25,5,0),"")</f>
        <v>4.3478260869565223E-2</v>
      </c>
      <c r="K124" s="10">
        <v>931</v>
      </c>
      <c r="L124" t="str">
        <f>IFERROR(VLOOKUP(WTG_BD[[#This Row],[Error Code]],'Basic Data'!S:T,2,0),"Incorrect Error Code")</f>
        <v>Arc light detected</v>
      </c>
      <c r="M124" t="s">
        <v>1472</v>
      </c>
      <c r="N124" t="s">
        <v>113</v>
      </c>
      <c r="O124" s="168">
        <v>0</v>
      </c>
      <c r="P124" s="168">
        <v>0</v>
      </c>
      <c r="Q124" s="168">
        <v>0.14583333333333334</v>
      </c>
      <c r="R124" s="356">
        <f>(WTG_BD[[#This Row],[Work Start TimeStamp]]-WTG_BD[[#This Row],[Fault Start TimeStamp]])*24</f>
        <v>0</v>
      </c>
      <c r="S124" s="34">
        <f>(WTG_BD[[#This Row],[Fault Clearance time]]-WTG_BD[[#This Row],[Work Start TimeStamp]])*24</f>
        <v>3.5</v>
      </c>
      <c r="T124" s="34">
        <f>(WTG_BD[[#This Row],[Fault Clearance time]]-WTG_BD[[#This Row],[Fault Start TimeStamp]])*24</f>
        <v>3.5</v>
      </c>
      <c r="U124" t="s">
        <v>4498</v>
      </c>
      <c r="V124" s="234" t="s">
        <v>255</v>
      </c>
      <c r="W124" s="50">
        <f>IFERROR(IF(N124="ROW",0,(WTG_BD[[#This Row],[Breakdown Time]]*WTG_BD[[#This Row],[Plant Equivalent Weightage]])),"")</f>
        <v>0.15217391304347827</v>
      </c>
      <c r="X124" s="50"/>
      <c r="Y124" s="205">
        <v>1</v>
      </c>
      <c r="Z124" s="205"/>
      <c r="AA124" s="4">
        <v>0.90500000000000003</v>
      </c>
      <c r="AC124" s="4"/>
    </row>
    <row r="125" spans="1:29">
      <c r="A125" s="10">
        <f t="shared" si="3"/>
        <v>124</v>
      </c>
      <c r="B125" s="43">
        <f>YEAR(WTG_BD[[#This Row],[Date]])+IF(MONTH(WTG_BD[[#This Row],[Date]])&gt;=4,1,0)</f>
        <v>2026</v>
      </c>
      <c r="C125" s="10">
        <v>2025</v>
      </c>
      <c r="D125" s="10" t="s">
        <v>4478</v>
      </c>
      <c r="E125" s="309">
        <f>WTG_BD[[#This Row],[Date]]-DAY(WTG_BD[[#This Row],[Date]])+1</f>
        <v>45748</v>
      </c>
      <c r="F125" s="32">
        <v>45758</v>
      </c>
      <c r="G125" t="s">
        <v>97</v>
      </c>
      <c r="H125" t="str">
        <f>IFERROR(VLOOKUP(WTG_BD[[#This Row],[Affected WTG]],'Basic Data'!$A$3:$E$25,2,0),"")</f>
        <v>O2R3</v>
      </c>
      <c r="I125" t="str">
        <f>IFERROR(VLOOKUP(WTG_BD[[#This Row],[Affected WTG]],'Basic Data'!$A$3:$E$25,3,0),"")</f>
        <v>JK</v>
      </c>
      <c r="J125" s="355">
        <f>IFERROR(VLOOKUP(WTG_BD[[#This Row],[Affected WTG]],'Basic Data'!$A$3:$E$25,5,0),"")</f>
        <v>4.3478260869565223E-2</v>
      </c>
      <c r="K125" s="10">
        <v>5067</v>
      </c>
      <c r="L125" t="str">
        <f>IFERROR(VLOOKUP(WTG_BD[[#This Row],[Error Code]],'Basic Data'!S:T,2,0),"Incorrect Error Code")</f>
        <v>Pitch pos A meas. signal fault</v>
      </c>
      <c r="M125" t="s">
        <v>357</v>
      </c>
      <c r="N125" t="s">
        <v>113</v>
      </c>
      <c r="O125" s="168">
        <v>0.14583333333333334</v>
      </c>
      <c r="P125" s="168">
        <v>0.14583333333333334</v>
      </c>
      <c r="Q125" s="168">
        <v>0.29652777777777778</v>
      </c>
      <c r="R125" s="356">
        <f>(WTG_BD[[#This Row],[Work Start TimeStamp]]-WTG_BD[[#This Row],[Fault Start TimeStamp]])*24</f>
        <v>0</v>
      </c>
      <c r="S125" s="34">
        <f>(WTG_BD[[#This Row],[Fault Clearance time]]-WTG_BD[[#This Row],[Work Start TimeStamp]])*24</f>
        <v>3.6166666666666663</v>
      </c>
      <c r="T125" s="34">
        <f>(WTG_BD[[#This Row],[Fault Clearance time]]-WTG_BD[[#This Row],[Fault Start TimeStamp]])*24</f>
        <v>3.6166666666666663</v>
      </c>
      <c r="U125" t="s">
        <v>4499</v>
      </c>
      <c r="V125" s="234" t="s">
        <v>255</v>
      </c>
      <c r="W125" s="50">
        <f>IFERROR(IF(N125="ROW",0,(WTG_BD[[#This Row],[Breakdown Time]]*WTG_BD[[#This Row],[Plant Equivalent Weightage]])),"")</f>
        <v>0.1572463768115942</v>
      </c>
      <c r="X125" s="50"/>
      <c r="Y125" s="205">
        <v>1</v>
      </c>
      <c r="Z125" s="205"/>
      <c r="AA125" s="4">
        <v>2.2730000000000001</v>
      </c>
      <c r="AC125" s="4"/>
    </row>
    <row r="126" spans="1:29">
      <c r="A126" s="10">
        <f t="shared" si="3"/>
        <v>125</v>
      </c>
      <c r="B126" s="43">
        <f>YEAR(WTG_BD[[#This Row],[Date]])+IF(MONTH(WTG_BD[[#This Row],[Date]])&gt;=4,1,0)</f>
        <v>2026</v>
      </c>
      <c r="C126" s="10">
        <v>2025</v>
      </c>
      <c r="D126" s="10" t="s">
        <v>4478</v>
      </c>
      <c r="E126" s="309">
        <f>WTG_BD[[#This Row],[Date]]-DAY(WTG_BD[[#This Row],[Date]])+1</f>
        <v>45748</v>
      </c>
      <c r="F126" s="32">
        <v>45759</v>
      </c>
      <c r="G126" t="s">
        <v>78</v>
      </c>
      <c r="H126" t="str">
        <f>IFERROR(VLOOKUP(WTG_BD[[#This Row],[Affected WTG]],'Basic Data'!$A$3:$E$25,2,0),"")</f>
        <v>O2R1</v>
      </c>
      <c r="I126" t="str">
        <f>IFERROR(VLOOKUP(WTG_BD[[#This Row],[Affected WTG]],'Basic Data'!$A$3:$E$25,3,0),"")</f>
        <v>KSIPL</v>
      </c>
      <c r="J126" s="355">
        <f>IFERROR(VLOOKUP(WTG_BD[[#This Row],[Affected WTG]],'Basic Data'!$A$3:$E$25,5,0),"")</f>
        <v>4.3478260869565223E-2</v>
      </c>
      <c r="K126" s="10">
        <v>3273</v>
      </c>
      <c r="L126" t="str">
        <f>IFERROR(VLOOKUP(WTG_BD[[#This Row],[Error Code]],'Basic Data'!S:T,2,0),"Incorrect Error Code")</f>
        <v>YawUntwistCCW: Code__,_______°</v>
      </c>
      <c r="M126" t="s">
        <v>1963</v>
      </c>
      <c r="O126" s="168">
        <v>0.47638888888888886</v>
      </c>
      <c r="P126" s="168">
        <v>0.47638888888888886</v>
      </c>
      <c r="Q126" s="168">
        <v>0.49652777777777779</v>
      </c>
      <c r="R126" s="356">
        <f>(WTG_BD[[#This Row],[Work Start TimeStamp]]-WTG_BD[[#This Row],[Fault Start TimeStamp]])*24</f>
        <v>0</v>
      </c>
      <c r="S126" s="34">
        <f>(WTG_BD[[#This Row],[Fault Clearance time]]-WTG_BD[[#This Row],[Work Start TimeStamp]])*24</f>
        <v>0.48333333333333428</v>
      </c>
      <c r="T126" s="34">
        <f>(WTG_BD[[#This Row],[Fault Clearance time]]-WTG_BD[[#This Row],[Fault Start TimeStamp]])*24</f>
        <v>0.48333333333333428</v>
      </c>
      <c r="U126" t="s">
        <v>4323</v>
      </c>
      <c r="V126" s="234" t="s">
        <v>255</v>
      </c>
      <c r="W126" s="50">
        <f>IFERROR(IF(N126="ROW",0,(WTG_BD[[#This Row],[Breakdown Time]]*WTG_BD[[#This Row],[Plant Equivalent Weightage]])),"")</f>
        <v>2.1014492753623232E-2</v>
      </c>
      <c r="X126" s="50"/>
      <c r="Y126" s="205">
        <v>1</v>
      </c>
      <c r="Z126" s="205"/>
      <c r="AA126" s="4">
        <v>0.13100000000000001</v>
      </c>
      <c r="AC126" s="4"/>
    </row>
    <row r="127" spans="1:29">
      <c r="A127" s="10">
        <f t="shared" si="3"/>
        <v>126</v>
      </c>
      <c r="B127" s="43">
        <f>YEAR(WTG_BD[[#This Row],[Date]])+IF(MONTH(WTG_BD[[#This Row],[Date]])&gt;=4,1,0)</f>
        <v>2026</v>
      </c>
      <c r="C127" s="10">
        <v>2025</v>
      </c>
      <c r="D127" s="10" t="s">
        <v>4478</v>
      </c>
      <c r="E127" s="309">
        <f>WTG_BD[[#This Row],[Date]]-DAY(WTG_BD[[#This Row],[Date]])+1</f>
        <v>45748</v>
      </c>
      <c r="F127" s="32">
        <v>45759</v>
      </c>
      <c r="G127" t="s">
        <v>88</v>
      </c>
      <c r="H127" t="str">
        <f>IFERROR(VLOOKUP(WTG_BD[[#This Row],[Affected WTG]],'Basic Data'!$A$3:$E$25,2,0),"")</f>
        <v>O2R1</v>
      </c>
      <c r="I127" t="str">
        <f>IFERROR(VLOOKUP(WTG_BD[[#This Row],[Affected WTG]],'Basic Data'!$A$3:$E$25,3,0),"")</f>
        <v>KSIPL</v>
      </c>
      <c r="J127" s="355">
        <f>IFERROR(VLOOKUP(WTG_BD[[#This Row],[Affected WTG]],'Basic Data'!$A$3:$E$25,5,0),"")</f>
        <v>4.3478260869565223E-2</v>
      </c>
      <c r="K127" s="10">
        <v>3273</v>
      </c>
      <c r="L127" t="str">
        <f>IFERROR(VLOOKUP(WTG_BD[[#This Row],[Error Code]],'Basic Data'!S:T,2,0),"Incorrect Error Code")</f>
        <v>YawUntwistCCW: Code__,_______°</v>
      </c>
      <c r="M127" t="s">
        <v>1963</v>
      </c>
      <c r="O127" s="168">
        <v>0.70972222222222225</v>
      </c>
      <c r="P127" s="168">
        <v>0.70972222222222225</v>
      </c>
      <c r="Q127" s="168">
        <v>0.72916666666666663</v>
      </c>
      <c r="R127" s="356">
        <f>(WTG_BD[[#This Row],[Work Start TimeStamp]]-WTG_BD[[#This Row],[Fault Start TimeStamp]])*24</f>
        <v>0</v>
      </c>
      <c r="S127" s="34">
        <f>(WTG_BD[[#This Row],[Fault Clearance time]]-WTG_BD[[#This Row],[Work Start TimeStamp]])*24</f>
        <v>0.46666666666666501</v>
      </c>
      <c r="T127" s="34">
        <f>(WTG_BD[[#This Row],[Fault Clearance time]]-WTG_BD[[#This Row],[Fault Start TimeStamp]])*24</f>
        <v>0.46666666666666501</v>
      </c>
      <c r="U127" t="s">
        <v>4323</v>
      </c>
      <c r="V127" s="234" t="s">
        <v>255</v>
      </c>
      <c r="W127" s="50">
        <f>IFERROR(IF(N127="ROW",0,(WTG_BD[[#This Row],[Breakdown Time]]*WTG_BD[[#This Row],[Plant Equivalent Weightage]])),"")</f>
        <v>2.0289855072463697E-2</v>
      </c>
      <c r="X127" s="50"/>
      <c r="Y127" s="205">
        <v>1</v>
      </c>
      <c r="Z127" s="205"/>
      <c r="AA127" s="4">
        <v>0.59</v>
      </c>
      <c r="AC127" s="4"/>
    </row>
    <row r="128" spans="1:29">
      <c r="A128" s="10">
        <f t="shared" si="3"/>
        <v>127</v>
      </c>
      <c r="B128" s="43">
        <f>YEAR(WTG_BD[[#This Row],[Date]])+IF(MONTH(WTG_BD[[#This Row],[Date]])&gt;=4,1,0)</f>
        <v>2026</v>
      </c>
      <c r="C128" s="10">
        <v>2025</v>
      </c>
      <c r="D128" s="10" t="s">
        <v>4478</v>
      </c>
      <c r="E128" s="309">
        <f>WTG_BD[[#This Row],[Date]]-DAY(WTG_BD[[#This Row],[Date]])+1</f>
        <v>45748</v>
      </c>
      <c r="F128" s="32">
        <v>45759</v>
      </c>
      <c r="G128" t="s">
        <v>89</v>
      </c>
      <c r="H128" t="str">
        <f>IFERROR(VLOOKUP(WTG_BD[[#This Row],[Affected WTG]],'Basic Data'!$A$3:$E$25,2,0),"")</f>
        <v>O2R1</v>
      </c>
      <c r="I128" t="str">
        <f>IFERROR(VLOOKUP(WTG_BD[[#This Row],[Affected WTG]],'Basic Data'!$A$3:$E$25,3,0),"")</f>
        <v>KSIPL</v>
      </c>
      <c r="J128" s="355">
        <f>IFERROR(VLOOKUP(WTG_BD[[#This Row],[Affected WTG]],'Basic Data'!$A$3:$E$25,5,0),"")</f>
        <v>4.3478260869565223E-2</v>
      </c>
      <c r="K128" s="10">
        <v>3273</v>
      </c>
      <c r="L128" t="str">
        <f>IFERROR(VLOOKUP(WTG_BD[[#This Row],[Error Code]],'Basic Data'!S:T,2,0),"Incorrect Error Code")</f>
        <v>YawUntwistCCW: Code__,_______°</v>
      </c>
      <c r="M128" t="s">
        <v>1963</v>
      </c>
      <c r="O128" s="168">
        <v>0.66805555555555551</v>
      </c>
      <c r="P128" s="168">
        <v>0.66805555555555551</v>
      </c>
      <c r="Q128" s="168">
        <v>0.68888888888888888</v>
      </c>
      <c r="R128" s="356">
        <f>(WTG_BD[[#This Row],[Work Start TimeStamp]]-WTG_BD[[#This Row],[Fault Start TimeStamp]])*24</f>
        <v>0</v>
      </c>
      <c r="S128" s="34">
        <f>(WTG_BD[[#This Row],[Fault Clearance time]]-WTG_BD[[#This Row],[Work Start TimeStamp]])*24</f>
        <v>0.50000000000000089</v>
      </c>
      <c r="T128" s="34">
        <f>(WTG_BD[[#This Row],[Fault Clearance time]]-WTG_BD[[#This Row],[Fault Start TimeStamp]])*24</f>
        <v>0.50000000000000089</v>
      </c>
      <c r="U128" t="s">
        <v>4323</v>
      </c>
      <c r="V128" s="234" t="s">
        <v>255</v>
      </c>
      <c r="W128" s="50">
        <f>IFERROR(IF(N128="ROW",0,(WTG_BD[[#This Row],[Breakdown Time]]*WTG_BD[[#This Row],[Plant Equivalent Weightage]])),"")</f>
        <v>2.173913043478265E-2</v>
      </c>
      <c r="X128" s="50"/>
      <c r="Y128" s="205">
        <v>1</v>
      </c>
      <c r="Z128" s="205"/>
      <c r="AA128" s="4">
        <v>8.1000000000000003E-2</v>
      </c>
      <c r="AC128" s="4"/>
    </row>
    <row r="129" spans="1:29">
      <c r="A129" s="10">
        <f t="shared" si="3"/>
        <v>128</v>
      </c>
      <c r="B129" s="43">
        <f>YEAR(WTG_BD[[#This Row],[Date]])+IF(MONTH(WTG_BD[[#This Row],[Date]])&gt;=4,1,0)</f>
        <v>2026</v>
      </c>
      <c r="C129" s="10">
        <v>2025</v>
      </c>
      <c r="D129" s="10" t="s">
        <v>4478</v>
      </c>
      <c r="E129" s="309">
        <f>WTG_BD[[#This Row],[Date]]-DAY(WTG_BD[[#This Row],[Date]])+1</f>
        <v>45748</v>
      </c>
      <c r="F129" s="32">
        <v>45759</v>
      </c>
      <c r="G129" t="s">
        <v>90</v>
      </c>
      <c r="H129" t="str">
        <f>IFERROR(VLOOKUP(WTG_BD[[#This Row],[Affected WTG]],'Basic Data'!$A$3:$E$25,2,0),"")</f>
        <v>O2R1</v>
      </c>
      <c r="I129" t="str">
        <f>IFERROR(VLOOKUP(WTG_BD[[#This Row],[Affected WTG]],'Basic Data'!$A$3:$E$25,3,0),"")</f>
        <v>KSIPL</v>
      </c>
      <c r="J129" s="355">
        <f>IFERROR(VLOOKUP(WTG_BD[[#This Row],[Affected WTG]],'Basic Data'!$A$3:$E$25,5,0),"")</f>
        <v>4.3478260869565223E-2</v>
      </c>
      <c r="K129" s="10">
        <v>309</v>
      </c>
      <c r="L129" t="str">
        <f>IFERROR(VLOOKUP(WTG_BD[[#This Row],[Error Code]],'Basic Data'!S:T,2,0),"Incorrect Error Code")</f>
        <v>Pause over RCS __0</v>
      </c>
      <c r="M129" t="s">
        <v>871</v>
      </c>
      <c r="N129" t="s">
        <v>257</v>
      </c>
      <c r="O129" s="168">
        <v>0.45069444444444445</v>
      </c>
      <c r="P129" s="168">
        <v>0.45069444444444445</v>
      </c>
      <c r="Q129" s="168">
        <v>0.7680555555555556</v>
      </c>
      <c r="R129" s="356">
        <f>(WTG_BD[[#This Row],[Work Start TimeStamp]]-WTG_BD[[#This Row],[Fault Start TimeStamp]])*24</f>
        <v>0</v>
      </c>
      <c r="S129" s="34">
        <f>(WTG_BD[[#This Row],[Fault Clearance time]]-WTG_BD[[#This Row],[Work Start TimeStamp]])*24</f>
        <v>7.6166666666666671</v>
      </c>
      <c r="T129" s="34">
        <f>(WTG_BD[[#This Row],[Fault Clearance time]]-WTG_BD[[#This Row],[Fault Start TimeStamp]])*24</f>
        <v>7.6166666666666671</v>
      </c>
      <c r="U129" t="s">
        <v>4493</v>
      </c>
      <c r="V129" s="234" t="s">
        <v>255</v>
      </c>
      <c r="W129" s="50">
        <f>IFERROR(IF(N129="ROW",0,(WTG_BD[[#This Row],[Breakdown Time]]*WTG_BD[[#This Row],[Plant Equivalent Weightage]])),"")</f>
        <v>0.33115942028985512</v>
      </c>
      <c r="X129" s="50"/>
      <c r="Y129" s="205">
        <v>1</v>
      </c>
      <c r="Z129" s="205"/>
      <c r="AA129" s="4">
        <v>3.7559999999999998</v>
      </c>
      <c r="AC129" s="4"/>
    </row>
    <row r="130" spans="1:29">
      <c r="A130" s="10">
        <f t="shared" si="3"/>
        <v>129</v>
      </c>
      <c r="B130" s="43">
        <f>YEAR(WTG_BD[[#This Row],[Date]])+IF(MONTH(WTG_BD[[#This Row],[Date]])&gt;=4,1,0)</f>
        <v>2026</v>
      </c>
      <c r="C130" s="10">
        <v>2025</v>
      </c>
      <c r="D130" s="10" t="s">
        <v>4478</v>
      </c>
      <c r="E130" s="309">
        <f>WTG_BD[[#This Row],[Date]]-DAY(WTG_BD[[#This Row],[Date]])+1</f>
        <v>45748</v>
      </c>
      <c r="F130" s="32">
        <v>45759</v>
      </c>
      <c r="G130" t="s">
        <v>82</v>
      </c>
      <c r="H130" t="str">
        <f>IFERROR(VLOOKUP(WTG_BD[[#This Row],[Affected WTG]],'Basic Data'!$A$3:$E$25,2,0),"")</f>
        <v>O2R3</v>
      </c>
      <c r="I130" t="str">
        <f>IFERROR(VLOOKUP(WTG_BD[[#This Row],[Affected WTG]],'Basic Data'!$A$3:$E$25,3,0),"")</f>
        <v>JK</v>
      </c>
      <c r="J130" s="355">
        <f>IFERROR(VLOOKUP(WTG_BD[[#This Row],[Affected WTG]],'Basic Data'!$A$3:$E$25,5,0),"")</f>
        <v>4.3478260869565223E-2</v>
      </c>
      <c r="K130" s="10">
        <v>3273</v>
      </c>
      <c r="L130" t="str">
        <f>IFERROR(VLOOKUP(WTG_BD[[#This Row],[Error Code]],'Basic Data'!S:T,2,0),"Incorrect Error Code")</f>
        <v>YawUntwistCCW: Code__,_______°</v>
      </c>
      <c r="M130" t="s">
        <v>1963</v>
      </c>
      <c r="O130" s="168">
        <v>0.71388888888888891</v>
      </c>
      <c r="P130" s="168">
        <v>0.71388888888888891</v>
      </c>
      <c r="Q130" s="168">
        <v>0.72847222222222219</v>
      </c>
      <c r="R130" s="356">
        <f>(WTG_BD[[#This Row],[Work Start TimeStamp]]-WTG_BD[[#This Row],[Fault Start TimeStamp]])*24</f>
        <v>0</v>
      </c>
      <c r="S130" s="34">
        <f>(WTG_BD[[#This Row],[Fault Clearance time]]-WTG_BD[[#This Row],[Work Start TimeStamp]])*24</f>
        <v>0.34999999999999876</v>
      </c>
      <c r="T130" s="34">
        <f>(WTG_BD[[#This Row],[Fault Clearance time]]-WTG_BD[[#This Row],[Fault Start TimeStamp]])*24</f>
        <v>0.34999999999999876</v>
      </c>
      <c r="U130" t="s">
        <v>4323</v>
      </c>
      <c r="V130" s="234" t="s">
        <v>255</v>
      </c>
      <c r="W130" s="50">
        <f>IFERROR(IF(N130="ROW",0,(WTG_BD[[#This Row],[Breakdown Time]]*WTG_BD[[#This Row],[Plant Equivalent Weightage]])),"")</f>
        <v>1.5217391304347775E-2</v>
      </c>
      <c r="X130" s="50"/>
      <c r="Y130" s="205">
        <v>1</v>
      </c>
      <c r="Z130" s="205"/>
      <c r="AA130" s="4">
        <v>0.13700000000000001</v>
      </c>
      <c r="AC130" s="4"/>
    </row>
    <row r="131" spans="1:29">
      <c r="A131" s="10">
        <f t="shared" si="3"/>
        <v>130</v>
      </c>
      <c r="B131" s="43">
        <f>YEAR(WTG_BD[[#This Row],[Date]])+IF(MONTH(WTG_BD[[#This Row],[Date]])&gt;=4,1,0)</f>
        <v>2026</v>
      </c>
      <c r="C131" s="10">
        <v>2025</v>
      </c>
      <c r="D131" s="10" t="s">
        <v>4478</v>
      </c>
      <c r="E131" s="309">
        <f>WTG_BD[[#This Row],[Date]]-DAY(WTG_BD[[#This Row],[Date]])+1</f>
        <v>45748</v>
      </c>
      <c r="F131" s="32">
        <v>45759</v>
      </c>
      <c r="G131" t="s">
        <v>93</v>
      </c>
      <c r="H131" t="str">
        <f>IFERROR(VLOOKUP(WTG_BD[[#This Row],[Affected WTG]],'Basic Data'!$A$3:$E$25,2,0),"")</f>
        <v>O2R4</v>
      </c>
      <c r="I131" t="str">
        <f>IFERROR(VLOOKUP(WTG_BD[[#This Row],[Affected WTG]],'Basic Data'!$A$3:$E$25,3,0),"")</f>
        <v>SGDCIPL</v>
      </c>
      <c r="J131" s="355">
        <f>IFERROR(VLOOKUP(WTG_BD[[#This Row],[Affected WTG]],'Basic Data'!$A$3:$E$25,5,0),"")</f>
        <v>4.3478260869565223E-2</v>
      </c>
      <c r="K131" s="10">
        <v>3273</v>
      </c>
      <c r="L131" t="str">
        <f>IFERROR(VLOOKUP(WTG_BD[[#This Row],[Error Code]],'Basic Data'!S:T,2,0),"Incorrect Error Code")</f>
        <v>YawUntwistCCW: Code__,_______°</v>
      </c>
      <c r="M131" t="s">
        <v>1963</v>
      </c>
      <c r="O131" s="168">
        <v>0.49375000000000002</v>
      </c>
      <c r="P131" s="168">
        <v>0.49375000000000002</v>
      </c>
      <c r="Q131" s="168">
        <v>0.51458333333333328</v>
      </c>
      <c r="R131" s="356">
        <f>(WTG_BD[[#This Row],[Work Start TimeStamp]]-WTG_BD[[#This Row],[Fault Start TimeStamp]])*24</f>
        <v>0</v>
      </c>
      <c r="S131" s="34">
        <f>(WTG_BD[[#This Row],[Fault Clearance time]]-WTG_BD[[#This Row],[Work Start TimeStamp]])*24</f>
        <v>0.49999999999999822</v>
      </c>
      <c r="T131" s="34">
        <f>(WTG_BD[[#This Row],[Fault Clearance time]]-WTG_BD[[#This Row],[Fault Start TimeStamp]])*24</f>
        <v>0.49999999999999822</v>
      </c>
      <c r="U131" t="s">
        <v>4323</v>
      </c>
      <c r="V131" s="234" t="s">
        <v>255</v>
      </c>
      <c r="W131" s="50">
        <f>IFERROR(IF(N131="ROW",0,(WTG_BD[[#This Row],[Breakdown Time]]*WTG_BD[[#This Row],[Plant Equivalent Weightage]])),"")</f>
        <v>2.1739130434782535E-2</v>
      </c>
      <c r="X131" s="50"/>
      <c r="Y131" s="205">
        <v>1</v>
      </c>
      <c r="Z131" s="205"/>
      <c r="AA131" s="4">
        <v>0.13700000000000001</v>
      </c>
      <c r="AC131" s="4"/>
    </row>
    <row r="132" spans="1:29">
      <c r="A132" s="10">
        <f t="shared" si="3"/>
        <v>131</v>
      </c>
      <c r="B132" s="43">
        <f>YEAR(WTG_BD[[#This Row],[Date]])+IF(MONTH(WTG_BD[[#This Row],[Date]])&gt;=4,1,0)</f>
        <v>2026</v>
      </c>
      <c r="C132" s="10">
        <v>2025</v>
      </c>
      <c r="D132" s="10" t="s">
        <v>4478</v>
      </c>
      <c r="E132" s="309">
        <f>WTG_BD[[#This Row],[Date]]-DAY(WTG_BD[[#This Row],[Date]])+1</f>
        <v>45748</v>
      </c>
      <c r="F132" s="32">
        <v>45759</v>
      </c>
      <c r="G132" t="s">
        <v>97</v>
      </c>
      <c r="H132" t="str">
        <f>IFERROR(VLOOKUP(WTG_BD[[#This Row],[Affected WTG]],'Basic Data'!$A$3:$E$25,2,0),"")</f>
        <v>O2R3</v>
      </c>
      <c r="I132" t="str">
        <f>IFERROR(VLOOKUP(WTG_BD[[#This Row],[Affected WTG]],'Basic Data'!$A$3:$E$25,3,0),"")</f>
        <v>JK</v>
      </c>
      <c r="J132" s="355">
        <f>IFERROR(VLOOKUP(WTG_BD[[#This Row],[Affected WTG]],'Basic Data'!$A$3:$E$25,5,0),"")</f>
        <v>4.3478260869565223E-2</v>
      </c>
      <c r="K132" s="10">
        <v>3273</v>
      </c>
      <c r="L132" t="str">
        <f>IFERROR(VLOOKUP(WTG_BD[[#This Row],[Error Code]],'Basic Data'!S:T,2,0),"Incorrect Error Code")</f>
        <v>YawUntwistCCW: Code__,_______°</v>
      </c>
      <c r="M132" t="s">
        <v>1963</v>
      </c>
      <c r="O132" s="168">
        <v>0.6791666666666667</v>
      </c>
      <c r="P132" s="168">
        <v>0.6791666666666667</v>
      </c>
      <c r="Q132" s="168">
        <v>0.69444444444444442</v>
      </c>
      <c r="R132" s="356">
        <f>(WTG_BD[[#This Row],[Work Start TimeStamp]]-WTG_BD[[#This Row],[Fault Start TimeStamp]])*24</f>
        <v>0</v>
      </c>
      <c r="S132" s="34">
        <f>(WTG_BD[[#This Row],[Fault Clearance time]]-WTG_BD[[#This Row],[Work Start TimeStamp]])*24</f>
        <v>0.36666666666666536</v>
      </c>
      <c r="T132" s="34">
        <f>(WTG_BD[[#This Row],[Fault Clearance time]]-WTG_BD[[#This Row],[Fault Start TimeStamp]])*24</f>
        <v>0.36666666666666536</v>
      </c>
      <c r="U132" t="s">
        <v>4323</v>
      </c>
      <c r="V132" s="234" t="s">
        <v>255</v>
      </c>
      <c r="W132" s="50">
        <f>IFERROR(IF(N132="ROW",0,(WTG_BD[[#This Row],[Breakdown Time]]*WTG_BD[[#This Row],[Plant Equivalent Weightage]])),"")</f>
        <v>1.594202898550719E-2</v>
      </c>
      <c r="X132" s="50"/>
      <c r="Y132" s="205">
        <v>1</v>
      </c>
      <c r="Z132" s="205"/>
      <c r="AA132" s="4">
        <v>0.13200000000000001</v>
      </c>
      <c r="AC132" s="4"/>
    </row>
    <row r="133" spans="1:29">
      <c r="A133" s="10">
        <f t="shared" si="3"/>
        <v>132</v>
      </c>
      <c r="B133" s="43">
        <f>YEAR(WTG_BD[[#This Row],[Date]])+IF(MONTH(WTG_BD[[#This Row],[Date]])&gt;=4,1,0)</f>
        <v>2026</v>
      </c>
      <c r="C133" s="10">
        <v>2025</v>
      </c>
      <c r="D133" s="10" t="s">
        <v>4478</v>
      </c>
      <c r="E133" s="309">
        <f>WTG_BD[[#This Row],[Date]]-DAY(WTG_BD[[#This Row],[Date]])+1</f>
        <v>45748</v>
      </c>
      <c r="F133" s="32">
        <v>45759</v>
      </c>
      <c r="G133" t="s">
        <v>98</v>
      </c>
      <c r="H133" t="str">
        <f>IFERROR(VLOOKUP(WTG_BD[[#This Row],[Affected WTG]],'Basic Data'!$A$3:$E$25,2,0),"")</f>
        <v>O2R3</v>
      </c>
      <c r="I133" t="str">
        <f>IFERROR(VLOOKUP(WTG_BD[[#This Row],[Affected WTG]],'Basic Data'!$A$3:$E$25,3,0),"")</f>
        <v>JK</v>
      </c>
      <c r="J133" s="355">
        <f>IFERROR(VLOOKUP(WTG_BD[[#This Row],[Affected WTG]],'Basic Data'!$A$3:$E$25,5,0),"")</f>
        <v>4.3478260869565223E-2</v>
      </c>
      <c r="K133" s="10">
        <v>3273</v>
      </c>
      <c r="L133" t="str">
        <f>IFERROR(VLOOKUP(WTG_BD[[#This Row],[Error Code]],'Basic Data'!S:T,2,0),"Incorrect Error Code")</f>
        <v>YawUntwistCCW: Code__,_______°</v>
      </c>
      <c r="M133" t="s">
        <v>1963</v>
      </c>
      <c r="O133" s="168">
        <v>0.6791666666666667</v>
      </c>
      <c r="P133" s="168">
        <v>0.6791666666666667</v>
      </c>
      <c r="Q133" s="168">
        <v>0.69444444444444442</v>
      </c>
      <c r="R133" s="356">
        <f>(WTG_BD[[#This Row],[Work Start TimeStamp]]-WTG_BD[[#This Row],[Fault Start TimeStamp]])*24</f>
        <v>0</v>
      </c>
      <c r="S133" s="34">
        <f>(WTG_BD[[#This Row],[Fault Clearance time]]-WTG_BD[[#This Row],[Work Start TimeStamp]])*24</f>
        <v>0.36666666666666536</v>
      </c>
      <c r="T133" s="34">
        <f>(WTG_BD[[#This Row],[Fault Clearance time]]-WTG_BD[[#This Row],[Fault Start TimeStamp]])*24</f>
        <v>0.36666666666666536</v>
      </c>
      <c r="U133" t="s">
        <v>4323</v>
      </c>
      <c r="V133" s="234" t="s">
        <v>255</v>
      </c>
      <c r="W133" s="50">
        <f>IFERROR(IF(N133="ROW",0,(WTG_BD[[#This Row],[Breakdown Time]]*WTG_BD[[#This Row],[Plant Equivalent Weightage]])),"")</f>
        <v>1.594202898550719E-2</v>
      </c>
      <c r="X133" s="50"/>
      <c r="Y133" s="205">
        <v>1</v>
      </c>
      <c r="Z133" s="205"/>
      <c r="AA133" s="4">
        <v>8.3000000000000004E-2</v>
      </c>
      <c r="AC133" s="4"/>
    </row>
    <row r="134" spans="1:29">
      <c r="A134" s="10">
        <f t="shared" si="3"/>
        <v>133</v>
      </c>
      <c r="B134" s="43">
        <f>YEAR(WTG_BD[[#This Row],[Date]])+IF(MONTH(WTG_BD[[#This Row],[Date]])&gt;=4,1,0)</f>
        <v>2026</v>
      </c>
      <c r="C134" s="10">
        <v>2025</v>
      </c>
      <c r="D134" s="10" t="s">
        <v>4478</v>
      </c>
      <c r="E134" s="309">
        <f>WTG_BD[[#This Row],[Date]]-DAY(WTG_BD[[#This Row],[Date]])+1</f>
        <v>45748</v>
      </c>
      <c r="F134" s="32">
        <v>45760</v>
      </c>
      <c r="G134" t="s">
        <v>76</v>
      </c>
      <c r="H134" t="str">
        <f>IFERROR(VLOOKUP(WTG_BD[[#This Row],[Affected WTG]],'Basic Data'!$A$3:$E$25,2,0),"")</f>
        <v>O2R1</v>
      </c>
      <c r="I134" t="str">
        <f>IFERROR(VLOOKUP(WTG_BD[[#This Row],[Affected WTG]],'Basic Data'!$A$3:$E$25,3,0),"")</f>
        <v>KSIPL</v>
      </c>
      <c r="J134" s="355">
        <f>IFERROR(VLOOKUP(WTG_BD[[#This Row],[Affected WTG]],'Basic Data'!$A$3:$E$25,5,0),"")</f>
        <v>4.3478260869565223E-2</v>
      </c>
      <c r="K134" s="10">
        <v>3273</v>
      </c>
      <c r="L134" t="str">
        <f>IFERROR(VLOOKUP(WTG_BD[[#This Row],[Error Code]],'Basic Data'!S:T,2,0),"Incorrect Error Code")</f>
        <v>YawUntwistCCW: Code__,_______°</v>
      </c>
      <c r="M134" t="s">
        <v>1963</v>
      </c>
      <c r="O134" s="168">
        <v>0.66180555555555554</v>
      </c>
      <c r="P134" s="168">
        <v>0.66180555555555554</v>
      </c>
      <c r="Q134" s="168">
        <v>0.67708333333333337</v>
      </c>
      <c r="R134" s="356">
        <f>(WTG_BD[[#This Row],[Work Start TimeStamp]]-WTG_BD[[#This Row],[Fault Start TimeStamp]])*24</f>
        <v>0</v>
      </c>
      <c r="S134" s="34">
        <f>(WTG_BD[[#This Row],[Fault Clearance time]]-WTG_BD[[#This Row],[Work Start TimeStamp]])*24</f>
        <v>0.36666666666666803</v>
      </c>
      <c r="T134" s="34">
        <f>(WTG_BD[[#This Row],[Fault Clearance time]]-WTG_BD[[#This Row],[Fault Start TimeStamp]])*24</f>
        <v>0.36666666666666803</v>
      </c>
      <c r="U134" t="s">
        <v>4323</v>
      </c>
      <c r="V134" s="234" t="s">
        <v>255</v>
      </c>
      <c r="W134" s="50">
        <f>IFERROR(IF(N134="ROW",0,(WTG_BD[[#This Row],[Breakdown Time]]*WTG_BD[[#This Row],[Plant Equivalent Weightage]])),"")</f>
        <v>1.5942028985507308E-2</v>
      </c>
      <c r="X134" s="50"/>
      <c r="Y134" s="205">
        <v>1</v>
      </c>
      <c r="Z134" s="205"/>
      <c r="AA134" s="4">
        <v>1.4999999999999999E-2</v>
      </c>
      <c r="AC134" s="4"/>
    </row>
    <row r="135" spans="1:29">
      <c r="A135" s="10">
        <f t="shared" si="3"/>
        <v>134</v>
      </c>
      <c r="B135" s="43">
        <f>YEAR(WTG_BD[[#This Row],[Date]])+IF(MONTH(WTG_BD[[#This Row],[Date]])&gt;=4,1,0)</f>
        <v>2026</v>
      </c>
      <c r="C135" s="10">
        <v>2025</v>
      </c>
      <c r="D135" s="10" t="s">
        <v>4478</v>
      </c>
      <c r="E135" s="309">
        <f>WTG_BD[[#This Row],[Date]]-DAY(WTG_BD[[#This Row],[Date]])+1</f>
        <v>45748</v>
      </c>
      <c r="F135" s="32">
        <v>45760</v>
      </c>
      <c r="G135" t="s">
        <v>83</v>
      </c>
      <c r="H135" t="str">
        <f>IFERROR(VLOOKUP(WTG_BD[[#This Row],[Affected WTG]],'Basic Data'!$A$3:$E$25,2,0),"")</f>
        <v>O2R3</v>
      </c>
      <c r="I135" t="str">
        <f>IFERROR(VLOOKUP(WTG_BD[[#This Row],[Affected WTG]],'Basic Data'!$A$3:$E$25,3,0),"")</f>
        <v>JK</v>
      </c>
      <c r="J135" s="355">
        <f>IFERROR(VLOOKUP(WTG_BD[[#This Row],[Affected WTG]],'Basic Data'!$A$3:$E$25,5,0),"")</f>
        <v>4.3478260869565223E-2</v>
      </c>
      <c r="K135" s="10">
        <v>3273</v>
      </c>
      <c r="L135" t="str">
        <f>IFERROR(VLOOKUP(WTG_BD[[#This Row],[Error Code]],'Basic Data'!S:T,2,0),"Incorrect Error Code")</f>
        <v>YawUntwistCCW: Code__,_______°</v>
      </c>
      <c r="M135" t="s">
        <v>1963</v>
      </c>
      <c r="O135" s="168">
        <v>0.84166666666666667</v>
      </c>
      <c r="P135" s="168">
        <v>0.84166666666666667</v>
      </c>
      <c r="Q135" s="168">
        <v>0.85763888888888884</v>
      </c>
      <c r="R135" s="356">
        <f>(WTG_BD[[#This Row],[Work Start TimeStamp]]-WTG_BD[[#This Row],[Fault Start TimeStamp]])*24</f>
        <v>0</v>
      </c>
      <c r="S135" s="34">
        <f>(WTG_BD[[#This Row],[Fault Clearance time]]-WTG_BD[[#This Row],[Work Start TimeStamp]])*24</f>
        <v>0.38333333333333197</v>
      </c>
      <c r="T135" s="34">
        <f>(WTG_BD[[#This Row],[Fault Clearance time]]-WTG_BD[[#This Row],[Fault Start TimeStamp]])*24</f>
        <v>0.38333333333333197</v>
      </c>
      <c r="U135" t="s">
        <v>4323</v>
      </c>
      <c r="V135" s="234" t="s">
        <v>255</v>
      </c>
      <c r="W135" s="50">
        <f>IFERROR(IF(N135="ROW",0,(WTG_BD[[#This Row],[Breakdown Time]]*WTG_BD[[#This Row],[Plant Equivalent Weightage]])),"")</f>
        <v>1.6666666666666611E-2</v>
      </c>
      <c r="X135" s="50"/>
      <c r="Y135" s="205">
        <v>1</v>
      </c>
      <c r="Z135" s="205"/>
      <c r="AA135" s="4">
        <v>0</v>
      </c>
      <c r="AC135" s="4"/>
    </row>
    <row r="136" spans="1:29">
      <c r="A136" s="10">
        <f t="shared" si="3"/>
        <v>135</v>
      </c>
      <c r="B136" s="43">
        <f>YEAR(WTG_BD[[#This Row],[Date]])+IF(MONTH(WTG_BD[[#This Row],[Date]])&gt;=4,1,0)</f>
        <v>2026</v>
      </c>
      <c r="C136" s="10">
        <v>2025</v>
      </c>
      <c r="D136" s="10" t="s">
        <v>4478</v>
      </c>
      <c r="E136" s="309">
        <f>WTG_BD[[#This Row],[Date]]-DAY(WTG_BD[[#This Row],[Date]])+1</f>
        <v>45748</v>
      </c>
      <c r="F136" s="32">
        <v>45760</v>
      </c>
      <c r="G136" t="s">
        <v>85</v>
      </c>
      <c r="H136" t="str">
        <f>IFERROR(VLOOKUP(WTG_BD[[#This Row],[Affected WTG]],'Basic Data'!$A$3:$E$25,2,0),"")</f>
        <v>O2R1</v>
      </c>
      <c r="I136" t="str">
        <f>IFERROR(VLOOKUP(WTG_BD[[#This Row],[Affected WTG]],'Basic Data'!$A$3:$E$25,3,0),"")</f>
        <v>KSIPL</v>
      </c>
      <c r="J136" s="355">
        <f>IFERROR(VLOOKUP(WTG_BD[[#This Row],[Affected WTG]],'Basic Data'!$A$3:$E$25,5,0),"")</f>
        <v>4.3478260869565223E-2</v>
      </c>
      <c r="K136" s="10">
        <v>3273</v>
      </c>
      <c r="L136" t="str">
        <f>IFERROR(VLOOKUP(WTG_BD[[#This Row],[Error Code]],'Basic Data'!S:T,2,0),"Incorrect Error Code")</f>
        <v>YawUntwistCCW: Code__,_______°</v>
      </c>
      <c r="M136" t="s">
        <v>1963</v>
      </c>
      <c r="O136" s="168">
        <v>0.84236111111111112</v>
      </c>
      <c r="P136" s="168">
        <v>0.84236111111111112</v>
      </c>
      <c r="Q136" s="168">
        <v>0.85624999999999996</v>
      </c>
      <c r="R136" s="356">
        <f>(WTG_BD[[#This Row],[Work Start TimeStamp]]-WTG_BD[[#This Row],[Fault Start TimeStamp]])*24</f>
        <v>0</v>
      </c>
      <c r="S136" s="34">
        <f>(WTG_BD[[#This Row],[Fault Clearance time]]-WTG_BD[[#This Row],[Work Start TimeStamp]])*24</f>
        <v>0.33333333333333215</v>
      </c>
      <c r="T136" s="34">
        <f>(WTG_BD[[#This Row],[Fault Clearance time]]-WTG_BD[[#This Row],[Fault Start TimeStamp]])*24</f>
        <v>0.33333333333333215</v>
      </c>
      <c r="U136" t="s">
        <v>4323</v>
      </c>
      <c r="V136" s="234" t="s">
        <v>255</v>
      </c>
      <c r="W136" s="50">
        <f>IFERROR(IF(N136="ROW",0,(WTG_BD[[#This Row],[Breakdown Time]]*WTG_BD[[#This Row],[Plant Equivalent Weightage]])),"")</f>
        <v>1.4492753623188356E-2</v>
      </c>
      <c r="X136" s="50"/>
      <c r="Y136" s="205">
        <v>1</v>
      </c>
      <c r="Z136" s="205"/>
      <c r="AA136" s="4">
        <v>0</v>
      </c>
      <c r="AC136" s="4"/>
    </row>
    <row r="137" spans="1:29">
      <c r="A137" s="10">
        <f t="shared" si="3"/>
        <v>136</v>
      </c>
      <c r="B137" s="43">
        <f>YEAR(WTG_BD[[#This Row],[Date]])+IF(MONTH(WTG_BD[[#This Row],[Date]])&gt;=4,1,0)</f>
        <v>2026</v>
      </c>
      <c r="C137" s="10">
        <v>2025</v>
      </c>
      <c r="D137" s="10" t="s">
        <v>4478</v>
      </c>
      <c r="E137" s="309">
        <f>WTG_BD[[#This Row],[Date]]-DAY(WTG_BD[[#This Row],[Date]])+1</f>
        <v>45748</v>
      </c>
      <c r="F137" s="32">
        <v>45760</v>
      </c>
      <c r="G137" t="s">
        <v>86</v>
      </c>
      <c r="H137" t="str">
        <f>IFERROR(VLOOKUP(WTG_BD[[#This Row],[Affected WTG]],'Basic Data'!$A$3:$E$25,2,0),"")</f>
        <v>O2R1</v>
      </c>
      <c r="I137" t="str">
        <f>IFERROR(VLOOKUP(WTG_BD[[#This Row],[Affected WTG]],'Basic Data'!$A$3:$E$25,3,0),"")</f>
        <v>KSIPL</v>
      </c>
      <c r="J137" s="355">
        <f>IFERROR(VLOOKUP(WTG_BD[[#This Row],[Affected WTG]],'Basic Data'!$A$3:$E$25,5,0),"")</f>
        <v>4.3478260869565223E-2</v>
      </c>
      <c r="K137" s="10">
        <v>3273</v>
      </c>
      <c r="L137" t="str">
        <f>IFERROR(VLOOKUP(WTG_BD[[#This Row],[Error Code]],'Basic Data'!S:T,2,0),"Incorrect Error Code")</f>
        <v>YawUntwistCCW: Code__,_______°</v>
      </c>
      <c r="M137" t="s">
        <v>1963</v>
      </c>
      <c r="O137" s="168">
        <v>6.9444444444444441E-3</v>
      </c>
      <c r="P137" s="168">
        <v>6.9444444444444441E-3</v>
      </c>
      <c r="Q137" s="168">
        <v>2.7777777777777776E-2</v>
      </c>
      <c r="R137" s="356">
        <f>(WTG_BD[[#This Row],[Work Start TimeStamp]]-WTG_BD[[#This Row],[Fault Start TimeStamp]])*24</f>
        <v>0</v>
      </c>
      <c r="S137" s="34">
        <f>(WTG_BD[[#This Row],[Fault Clearance time]]-WTG_BD[[#This Row],[Work Start TimeStamp]])*24</f>
        <v>0.5</v>
      </c>
      <c r="T137" s="34">
        <f>(WTG_BD[[#This Row],[Fault Clearance time]]-WTG_BD[[#This Row],[Fault Start TimeStamp]])*24</f>
        <v>0.5</v>
      </c>
      <c r="U137" t="s">
        <v>4323</v>
      </c>
      <c r="V137" s="234" t="s">
        <v>255</v>
      </c>
      <c r="W137" s="50">
        <f>IFERROR(IF(N137="ROW",0,(WTG_BD[[#This Row],[Breakdown Time]]*WTG_BD[[#This Row],[Plant Equivalent Weightage]])),"")</f>
        <v>2.1739130434782612E-2</v>
      </c>
      <c r="X137" s="50"/>
      <c r="Y137" s="205">
        <v>1</v>
      </c>
      <c r="Z137" s="205"/>
      <c r="AA137" s="4">
        <v>0.11799999999999999</v>
      </c>
      <c r="AC137" s="4"/>
    </row>
    <row r="138" spans="1:29">
      <c r="A138" s="10">
        <f t="shared" si="3"/>
        <v>137</v>
      </c>
      <c r="B138" s="43">
        <f>YEAR(WTG_BD[[#This Row],[Date]])+IF(MONTH(WTG_BD[[#This Row],[Date]])&gt;=4,1,0)</f>
        <v>2026</v>
      </c>
      <c r="C138" s="10">
        <v>2025</v>
      </c>
      <c r="D138" s="10" t="s">
        <v>4478</v>
      </c>
      <c r="E138" s="309">
        <f>WTG_BD[[#This Row],[Date]]-DAY(WTG_BD[[#This Row],[Date]])+1</f>
        <v>45748</v>
      </c>
      <c r="F138" s="32">
        <v>45760</v>
      </c>
      <c r="G138" t="s">
        <v>87</v>
      </c>
      <c r="H138" t="str">
        <f>IFERROR(VLOOKUP(WTG_BD[[#This Row],[Affected WTG]],'Basic Data'!$A$3:$E$25,2,0),"")</f>
        <v>O2R1</v>
      </c>
      <c r="I138" t="str">
        <f>IFERROR(VLOOKUP(WTG_BD[[#This Row],[Affected WTG]],'Basic Data'!$A$3:$E$25,3,0),"")</f>
        <v>KSIPL</v>
      </c>
      <c r="J138" s="355">
        <f>IFERROR(VLOOKUP(WTG_BD[[#This Row],[Affected WTG]],'Basic Data'!$A$3:$E$25,5,0),"")</f>
        <v>4.3478260869565223E-2</v>
      </c>
      <c r="K138" s="10">
        <v>3273</v>
      </c>
      <c r="L138" t="str">
        <f>IFERROR(VLOOKUP(WTG_BD[[#This Row],[Error Code]],'Basic Data'!S:T,2,0),"Incorrect Error Code")</f>
        <v>YawUntwistCCW: Code__,_______°</v>
      </c>
      <c r="M138" t="s">
        <v>1963</v>
      </c>
      <c r="O138" s="168">
        <v>0.18680555555555556</v>
      </c>
      <c r="P138" s="168">
        <v>0.18680555555555556</v>
      </c>
      <c r="Q138" s="168">
        <v>0.20902777777777778</v>
      </c>
      <c r="R138" s="356">
        <f>(WTG_BD[[#This Row],[Work Start TimeStamp]]-WTG_BD[[#This Row],[Fault Start TimeStamp]])*24</f>
        <v>0</v>
      </c>
      <c r="S138" s="34">
        <f>(WTG_BD[[#This Row],[Fault Clearance time]]-WTG_BD[[#This Row],[Work Start TimeStamp]])*24</f>
        <v>0.53333333333333344</v>
      </c>
      <c r="T138" s="34">
        <f>(WTG_BD[[#This Row],[Fault Clearance time]]-WTG_BD[[#This Row],[Fault Start TimeStamp]])*24</f>
        <v>0.53333333333333344</v>
      </c>
      <c r="U138" t="s">
        <v>4323</v>
      </c>
      <c r="V138" s="234" t="s">
        <v>255</v>
      </c>
      <c r="W138" s="50">
        <f>IFERROR(IF(N138="ROW",0,(WTG_BD[[#This Row],[Breakdown Time]]*WTG_BD[[#This Row],[Plant Equivalent Weightage]])),"")</f>
        <v>2.3188405797101456E-2</v>
      </c>
      <c r="X138" s="50"/>
      <c r="Y138" s="205">
        <v>1</v>
      </c>
      <c r="Z138" s="205"/>
      <c r="AA138" s="4">
        <v>0.23400000000000001</v>
      </c>
      <c r="AC138" s="4"/>
    </row>
    <row r="139" spans="1:29">
      <c r="A139" s="10">
        <f t="shared" si="3"/>
        <v>138</v>
      </c>
      <c r="B139" s="43">
        <f>YEAR(WTG_BD[[#This Row],[Date]])+IF(MONTH(WTG_BD[[#This Row],[Date]])&gt;=4,1,0)</f>
        <v>2026</v>
      </c>
      <c r="C139" s="10">
        <v>2025</v>
      </c>
      <c r="D139" s="10" t="s">
        <v>4478</v>
      </c>
      <c r="E139" s="309">
        <f>WTG_BD[[#This Row],[Date]]-DAY(WTG_BD[[#This Row],[Date]])+1</f>
        <v>45748</v>
      </c>
      <c r="F139" s="32">
        <v>45760</v>
      </c>
      <c r="G139" t="s">
        <v>90</v>
      </c>
      <c r="H139" t="str">
        <f>IFERROR(VLOOKUP(WTG_BD[[#This Row],[Affected WTG]],'Basic Data'!$A$3:$E$25,2,0),"")</f>
        <v>O2R1</v>
      </c>
      <c r="I139" t="str">
        <f>IFERROR(VLOOKUP(WTG_BD[[#This Row],[Affected WTG]],'Basic Data'!$A$3:$E$25,3,0),"")</f>
        <v>KSIPL</v>
      </c>
      <c r="J139" s="355">
        <f>IFERROR(VLOOKUP(WTG_BD[[#This Row],[Affected WTG]],'Basic Data'!$A$3:$E$25,5,0),"")</f>
        <v>4.3478260869565223E-2</v>
      </c>
      <c r="K139" s="10">
        <v>3273</v>
      </c>
      <c r="L139" t="str">
        <f>IFERROR(VLOOKUP(WTG_BD[[#This Row],[Error Code]],'Basic Data'!S:T,2,0),"Incorrect Error Code")</f>
        <v>YawUntwistCCW: Code__,_______°</v>
      </c>
      <c r="M139" t="s">
        <v>1963</v>
      </c>
      <c r="O139" s="168">
        <v>0.66805555555555551</v>
      </c>
      <c r="P139" s="168">
        <v>0.66805555555555551</v>
      </c>
      <c r="Q139" s="168">
        <v>0.68194444444444446</v>
      </c>
      <c r="R139" s="356">
        <f>(WTG_BD[[#This Row],[Work Start TimeStamp]]-WTG_BD[[#This Row],[Fault Start TimeStamp]])*24</f>
        <v>0</v>
      </c>
      <c r="S139" s="34">
        <f>(WTG_BD[[#This Row],[Fault Clearance time]]-WTG_BD[[#This Row],[Work Start TimeStamp]])*24</f>
        <v>0.33333333333333481</v>
      </c>
      <c r="T139" s="34">
        <f>(WTG_BD[[#This Row],[Fault Clearance time]]-WTG_BD[[#This Row],[Fault Start TimeStamp]])*24</f>
        <v>0.33333333333333481</v>
      </c>
      <c r="U139" t="s">
        <v>4323</v>
      </c>
      <c r="V139" s="234" t="s">
        <v>255</v>
      </c>
      <c r="W139" s="50">
        <f>IFERROR(IF(N139="ROW",0,(WTG_BD[[#This Row],[Breakdown Time]]*WTG_BD[[#This Row],[Plant Equivalent Weightage]])),"")</f>
        <v>1.4492753623188472E-2</v>
      </c>
      <c r="X139" s="50"/>
      <c r="Y139" s="205">
        <v>1</v>
      </c>
      <c r="Z139" s="205"/>
      <c r="AA139" s="4">
        <v>0.02</v>
      </c>
      <c r="AC139" s="4"/>
    </row>
    <row r="140" spans="1:29">
      <c r="A140" s="10">
        <f t="shared" si="3"/>
        <v>139</v>
      </c>
      <c r="B140" s="43">
        <f>YEAR(WTG_BD[[#This Row],[Date]])+IF(MONTH(WTG_BD[[#This Row],[Date]])&gt;=4,1,0)</f>
        <v>2026</v>
      </c>
      <c r="C140" s="10">
        <v>2025</v>
      </c>
      <c r="D140" s="10" t="s">
        <v>4478</v>
      </c>
      <c r="E140" s="309">
        <f>WTG_BD[[#This Row],[Date]]-DAY(WTG_BD[[#This Row],[Date]])+1</f>
        <v>45748</v>
      </c>
      <c r="F140" s="32">
        <v>45760</v>
      </c>
      <c r="G140" t="s">
        <v>94</v>
      </c>
      <c r="H140" t="str">
        <f>IFERROR(VLOOKUP(WTG_BD[[#This Row],[Affected WTG]],'Basic Data'!$A$3:$E$25,2,0),"")</f>
        <v>O2R1</v>
      </c>
      <c r="I140" t="str">
        <f>IFERROR(VLOOKUP(WTG_BD[[#This Row],[Affected WTG]],'Basic Data'!$A$3:$E$25,3,0),"")</f>
        <v>KSIPL</v>
      </c>
      <c r="J140" s="355">
        <f>IFERROR(VLOOKUP(WTG_BD[[#This Row],[Affected WTG]],'Basic Data'!$A$3:$E$25,5,0),"")</f>
        <v>4.3478260869565223E-2</v>
      </c>
      <c r="K140" s="10">
        <v>3273</v>
      </c>
      <c r="L140" t="str">
        <f>IFERROR(VLOOKUP(WTG_BD[[#This Row],[Error Code]],'Basic Data'!S:T,2,0),"Incorrect Error Code")</f>
        <v>YawUntwistCCW: Code__,_______°</v>
      </c>
      <c r="M140" t="s">
        <v>1963</v>
      </c>
      <c r="O140" s="168">
        <v>0.18124999999999999</v>
      </c>
      <c r="P140" s="168">
        <v>0.18124999999999999</v>
      </c>
      <c r="Q140" s="168">
        <v>0.20555555555555555</v>
      </c>
      <c r="R140" s="356">
        <f>(WTG_BD[[#This Row],[Work Start TimeStamp]]-WTG_BD[[#This Row],[Fault Start TimeStamp]])*24</f>
        <v>0</v>
      </c>
      <c r="S140" s="34">
        <f>(WTG_BD[[#This Row],[Fault Clearance time]]-WTG_BD[[#This Row],[Work Start TimeStamp]])*24</f>
        <v>0.58333333333333326</v>
      </c>
      <c r="T140" s="34">
        <f>(WTG_BD[[#This Row],[Fault Clearance time]]-WTG_BD[[#This Row],[Fault Start TimeStamp]])*24</f>
        <v>0.58333333333333326</v>
      </c>
      <c r="U140" t="s">
        <v>4323</v>
      </c>
      <c r="V140" s="234" t="s">
        <v>255</v>
      </c>
      <c r="W140" s="50">
        <f>IFERROR(IF(N140="ROW",0,(WTG_BD[[#This Row],[Breakdown Time]]*WTG_BD[[#This Row],[Plant Equivalent Weightage]])),"")</f>
        <v>2.5362318840579712E-2</v>
      </c>
      <c r="X140" s="50"/>
      <c r="Y140" s="205">
        <v>1</v>
      </c>
      <c r="Z140" s="205"/>
      <c r="AA140" s="4">
        <v>0.22600000000000001</v>
      </c>
      <c r="AC140" s="4"/>
    </row>
    <row r="141" spans="1:29">
      <c r="A141" s="10">
        <f t="shared" si="3"/>
        <v>140</v>
      </c>
      <c r="B141" s="43">
        <f>YEAR(WTG_BD[[#This Row],[Date]])+IF(MONTH(WTG_BD[[#This Row],[Date]])&gt;=4,1,0)</f>
        <v>2026</v>
      </c>
      <c r="C141" s="10">
        <v>2025</v>
      </c>
      <c r="D141" s="10" t="s">
        <v>4478</v>
      </c>
      <c r="E141" s="309">
        <f>WTG_BD[[#This Row],[Date]]-DAY(WTG_BD[[#This Row],[Date]])+1</f>
        <v>45748</v>
      </c>
      <c r="F141" s="32">
        <v>45760</v>
      </c>
      <c r="G141" t="s">
        <v>95</v>
      </c>
      <c r="H141" t="str">
        <f>IFERROR(VLOOKUP(WTG_BD[[#This Row],[Affected WTG]],'Basic Data'!$A$3:$E$25,2,0),"")</f>
        <v>O2R1</v>
      </c>
      <c r="I141" t="str">
        <f>IFERROR(VLOOKUP(WTG_BD[[#This Row],[Affected WTG]],'Basic Data'!$A$3:$E$25,3,0),"")</f>
        <v>KSIPL</v>
      </c>
      <c r="J141" s="355">
        <f>IFERROR(VLOOKUP(WTG_BD[[#This Row],[Affected WTG]],'Basic Data'!$A$3:$E$25,5,0),"")</f>
        <v>4.3478260869565223E-2</v>
      </c>
      <c r="K141" s="10">
        <v>3273</v>
      </c>
      <c r="L141" t="str">
        <f>IFERROR(VLOOKUP(WTG_BD[[#This Row],[Error Code]],'Basic Data'!S:T,2,0),"Incorrect Error Code")</f>
        <v>YawUntwistCCW: Code__,_______°</v>
      </c>
      <c r="M141" t="s">
        <v>1963</v>
      </c>
      <c r="O141" s="168">
        <v>0.18541666666666667</v>
      </c>
      <c r="P141" s="168">
        <v>0.18541666666666667</v>
      </c>
      <c r="Q141" s="168">
        <v>0.2076388888888889</v>
      </c>
      <c r="R141" s="356">
        <f>(WTG_BD[[#This Row],[Work Start TimeStamp]]-WTG_BD[[#This Row],[Fault Start TimeStamp]])*24</f>
        <v>0</v>
      </c>
      <c r="S141" s="34">
        <f>(WTG_BD[[#This Row],[Fault Clearance time]]-WTG_BD[[#This Row],[Work Start TimeStamp]])*24</f>
        <v>0.53333333333333344</v>
      </c>
      <c r="T141" s="34">
        <f>(WTG_BD[[#This Row],[Fault Clearance time]]-WTG_BD[[#This Row],[Fault Start TimeStamp]])*24</f>
        <v>0.53333333333333344</v>
      </c>
      <c r="U141" t="s">
        <v>4323</v>
      </c>
      <c r="V141" s="234" t="s">
        <v>255</v>
      </c>
      <c r="W141" s="50">
        <f>IFERROR(IF(N141="ROW",0,(WTG_BD[[#This Row],[Breakdown Time]]*WTG_BD[[#This Row],[Plant Equivalent Weightage]])),"")</f>
        <v>2.3188405797101456E-2</v>
      </c>
      <c r="X141" s="50"/>
      <c r="Y141" s="205">
        <v>1</v>
      </c>
      <c r="Z141" s="205"/>
      <c r="AA141" s="4">
        <v>0.26600000000000001</v>
      </c>
      <c r="AC141" s="4"/>
    </row>
    <row r="142" spans="1:29">
      <c r="A142" s="10">
        <f t="shared" si="3"/>
        <v>141</v>
      </c>
      <c r="B142" s="43">
        <f>YEAR(WTG_BD[[#This Row],[Date]])+IF(MONTH(WTG_BD[[#This Row],[Date]])&gt;=4,1,0)</f>
        <v>2026</v>
      </c>
      <c r="C142" s="10">
        <v>2025</v>
      </c>
      <c r="D142" s="10" t="s">
        <v>4478</v>
      </c>
      <c r="E142" s="309">
        <f>WTG_BD[[#This Row],[Date]]-DAY(WTG_BD[[#This Row],[Date]])+1</f>
        <v>45748</v>
      </c>
      <c r="F142" s="32">
        <v>45760</v>
      </c>
      <c r="G142" t="s">
        <v>77</v>
      </c>
      <c r="H142" t="str">
        <f>IFERROR(VLOOKUP(WTG_BD[[#This Row],[Affected WTG]],'Basic Data'!$A$3:$E$25,2,0),"")</f>
        <v>O2R3</v>
      </c>
      <c r="I142" t="str">
        <f>IFERROR(VLOOKUP(WTG_BD[[#This Row],[Affected WTG]],'Basic Data'!$A$3:$E$25,3,0),"")</f>
        <v>JK</v>
      </c>
      <c r="J142" s="355">
        <f>IFERROR(VLOOKUP(WTG_BD[[#This Row],[Affected WTG]],'Basic Data'!$A$3:$E$25,5,0),"")</f>
        <v>4.3478260869565223E-2</v>
      </c>
      <c r="K142" s="10">
        <v>3273</v>
      </c>
      <c r="L142" t="str">
        <f>IFERROR(VLOOKUP(WTG_BD[[#This Row],[Error Code]],'Basic Data'!S:T,2,0),"Incorrect Error Code")</f>
        <v>YawUntwistCCW: Code__,_______°</v>
      </c>
      <c r="M142" t="s">
        <v>1963</v>
      </c>
      <c r="O142" s="168">
        <v>0.17916666666666667</v>
      </c>
      <c r="P142" s="168">
        <v>0.17916666666666667</v>
      </c>
      <c r="Q142" s="168">
        <v>0.20416666666666666</v>
      </c>
      <c r="R142" s="356">
        <f>(WTG_BD[[#This Row],[Work Start TimeStamp]]-WTG_BD[[#This Row],[Fault Start TimeStamp]])*24</f>
        <v>0</v>
      </c>
      <c r="S142" s="34">
        <f>(WTG_BD[[#This Row],[Fault Clearance time]]-WTG_BD[[#This Row],[Work Start TimeStamp]])*24</f>
        <v>0.59999999999999987</v>
      </c>
      <c r="T142" s="34">
        <f>(WTG_BD[[#This Row],[Fault Clearance time]]-WTG_BD[[#This Row],[Fault Start TimeStamp]])*24</f>
        <v>0.59999999999999987</v>
      </c>
      <c r="U142" t="s">
        <v>4323</v>
      </c>
      <c r="V142" s="234" t="s">
        <v>255</v>
      </c>
      <c r="W142" s="50">
        <f>IFERROR(IF(N142="ROW",0,(WTG_BD[[#This Row],[Breakdown Time]]*WTG_BD[[#This Row],[Plant Equivalent Weightage]])),"")</f>
        <v>2.6086956521739129E-2</v>
      </c>
      <c r="X142" s="50"/>
      <c r="Y142" s="205">
        <v>1</v>
      </c>
      <c r="Z142" s="205"/>
      <c r="AA142" s="4">
        <v>0.16900000000000001</v>
      </c>
      <c r="AC142" s="4"/>
    </row>
    <row r="143" spans="1:29">
      <c r="A143" s="10">
        <f t="shared" si="3"/>
        <v>142</v>
      </c>
      <c r="B143" s="43">
        <f>YEAR(WTG_BD[[#This Row],[Date]])+IF(MONTH(WTG_BD[[#This Row],[Date]])&gt;=4,1,0)</f>
        <v>2026</v>
      </c>
      <c r="C143" s="10">
        <v>2025</v>
      </c>
      <c r="D143" s="10" t="s">
        <v>4478</v>
      </c>
      <c r="E143" s="309">
        <f>WTG_BD[[#This Row],[Date]]-DAY(WTG_BD[[#This Row],[Date]])+1</f>
        <v>45748</v>
      </c>
      <c r="F143" s="32">
        <v>45760</v>
      </c>
      <c r="G143" t="s">
        <v>79</v>
      </c>
      <c r="H143" t="str">
        <f>IFERROR(VLOOKUP(WTG_BD[[#This Row],[Affected WTG]],'Basic Data'!$A$3:$E$25,2,0),"")</f>
        <v>O2R3</v>
      </c>
      <c r="I143" t="str">
        <f>IFERROR(VLOOKUP(WTG_BD[[#This Row],[Affected WTG]],'Basic Data'!$A$3:$E$25,3,0),"")</f>
        <v>JK</v>
      </c>
      <c r="J143" s="355">
        <f>IFERROR(VLOOKUP(WTG_BD[[#This Row],[Affected WTG]],'Basic Data'!$A$3:$E$25,5,0),"")</f>
        <v>4.3478260869565223E-2</v>
      </c>
      <c r="K143" s="10">
        <v>3273</v>
      </c>
      <c r="L143" t="str">
        <f>IFERROR(VLOOKUP(WTG_BD[[#This Row],[Error Code]],'Basic Data'!S:T,2,0),"Incorrect Error Code")</f>
        <v>YawUntwistCCW: Code__,_______°</v>
      </c>
      <c r="M143" t="s">
        <v>1963</v>
      </c>
      <c r="O143" s="168">
        <v>0.3215277777777778</v>
      </c>
      <c r="P143" s="168">
        <v>0.3215277777777778</v>
      </c>
      <c r="Q143" s="168">
        <v>0.34305555555555556</v>
      </c>
      <c r="R143" s="356">
        <f>(WTG_BD[[#This Row],[Work Start TimeStamp]]-WTG_BD[[#This Row],[Fault Start TimeStamp]])*24</f>
        <v>0</v>
      </c>
      <c r="S143" s="34">
        <f>(WTG_BD[[#This Row],[Fault Clearance time]]-WTG_BD[[#This Row],[Work Start TimeStamp]])*24</f>
        <v>0.51666666666666616</v>
      </c>
      <c r="T143" s="34">
        <f>(WTG_BD[[#This Row],[Fault Clearance time]]-WTG_BD[[#This Row],[Fault Start TimeStamp]])*24</f>
        <v>0.51666666666666616</v>
      </c>
      <c r="U143" t="s">
        <v>4323</v>
      </c>
      <c r="V143" s="234" t="s">
        <v>255</v>
      </c>
      <c r="W143" s="50">
        <f>IFERROR(IF(N143="ROW",0,(WTG_BD[[#This Row],[Breakdown Time]]*WTG_BD[[#This Row],[Plant Equivalent Weightage]])),"")</f>
        <v>2.2463768115942011E-2</v>
      </c>
      <c r="X143" s="50"/>
      <c r="Y143" s="205">
        <v>1</v>
      </c>
      <c r="Z143" s="205"/>
      <c r="AA143" s="4">
        <v>-1E-3</v>
      </c>
      <c r="AC143" s="4"/>
    </row>
    <row r="144" spans="1:29">
      <c r="A144" s="10">
        <f t="shared" si="3"/>
        <v>143</v>
      </c>
      <c r="B144" s="43">
        <f>YEAR(WTG_BD[[#This Row],[Date]])+IF(MONTH(WTG_BD[[#This Row],[Date]])&gt;=4,1,0)</f>
        <v>2026</v>
      </c>
      <c r="C144" s="10">
        <v>2025</v>
      </c>
      <c r="D144" s="10" t="s">
        <v>4478</v>
      </c>
      <c r="E144" s="309">
        <f>WTG_BD[[#This Row],[Date]]-DAY(WTG_BD[[#This Row],[Date]])+1</f>
        <v>45748</v>
      </c>
      <c r="F144" s="32">
        <v>45760</v>
      </c>
      <c r="G144" t="s">
        <v>80</v>
      </c>
      <c r="H144" t="str">
        <f>IFERROR(VLOOKUP(WTG_BD[[#This Row],[Affected WTG]],'Basic Data'!$A$3:$E$25,2,0),"")</f>
        <v>O2R3</v>
      </c>
      <c r="I144" t="str">
        <f>IFERROR(VLOOKUP(WTG_BD[[#This Row],[Affected WTG]],'Basic Data'!$A$3:$E$25,3,0),"")</f>
        <v>JK</v>
      </c>
      <c r="J144" s="355">
        <f>IFERROR(VLOOKUP(WTG_BD[[#This Row],[Affected WTG]],'Basic Data'!$A$3:$E$25,5,0),"")</f>
        <v>4.3478260869565223E-2</v>
      </c>
      <c r="K144" s="10">
        <v>3273</v>
      </c>
      <c r="L144" t="str">
        <f>IFERROR(VLOOKUP(WTG_BD[[#This Row],[Error Code]],'Basic Data'!S:T,2,0),"Incorrect Error Code")</f>
        <v>YawUntwistCCW: Code__,_______°</v>
      </c>
      <c r="M144" t="s">
        <v>1963</v>
      </c>
      <c r="O144" s="168">
        <v>0.18124999999999999</v>
      </c>
      <c r="P144" s="168">
        <v>0.18124999999999999</v>
      </c>
      <c r="Q144" s="168">
        <v>0.19652777777777777</v>
      </c>
      <c r="R144" s="356">
        <f>(WTG_BD[[#This Row],[Work Start TimeStamp]]-WTG_BD[[#This Row],[Fault Start TimeStamp]])*24</f>
        <v>0</v>
      </c>
      <c r="S144" s="34">
        <f>(WTG_BD[[#This Row],[Fault Clearance time]]-WTG_BD[[#This Row],[Work Start TimeStamp]])*24</f>
        <v>0.3666666666666667</v>
      </c>
      <c r="T144" s="34">
        <f>(WTG_BD[[#This Row],[Fault Clearance time]]-WTG_BD[[#This Row],[Fault Start TimeStamp]])*24</f>
        <v>0.3666666666666667</v>
      </c>
      <c r="U144" t="s">
        <v>4323</v>
      </c>
      <c r="V144" s="234" t="s">
        <v>255</v>
      </c>
      <c r="W144" s="50">
        <f>IFERROR(IF(N144="ROW",0,(WTG_BD[[#This Row],[Breakdown Time]]*WTG_BD[[#This Row],[Plant Equivalent Weightage]])),"")</f>
        <v>1.5942028985507249E-2</v>
      </c>
      <c r="X144" s="50"/>
      <c r="Y144" s="205">
        <v>1</v>
      </c>
      <c r="Z144" s="205"/>
      <c r="AA144" s="4">
        <v>7.3999999999999996E-2</v>
      </c>
      <c r="AC144" s="4"/>
    </row>
    <row r="145" spans="1:29">
      <c r="A145" s="10">
        <f t="shared" si="3"/>
        <v>144</v>
      </c>
      <c r="B145" s="43">
        <f>YEAR(WTG_BD[[#This Row],[Date]])+IF(MONTH(WTG_BD[[#This Row],[Date]])&gt;=4,1,0)</f>
        <v>2026</v>
      </c>
      <c r="C145" s="10">
        <v>2025</v>
      </c>
      <c r="D145" s="10" t="s">
        <v>4478</v>
      </c>
      <c r="E145" s="309">
        <f>WTG_BD[[#This Row],[Date]]-DAY(WTG_BD[[#This Row],[Date]])+1</f>
        <v>45748</v>
      </c>
      <c r="F145" s="32">
        <v>45760</v>
      </c>
      <c r="G145" t="s">
        <v>81</v>
      </c>
      <c r="H145" t="str">
        <f>IFERROR(VLOOKUP(WTG_BD[[#This Row],[Affected WTG]],'Basic Data'!$A$3:$E$25,2,0),"")</f>
        <v>O2R3</v>
      </c>
      <c r="I145" t="str">
        <f>IFERROR(VLOOKUP(WTG_BD[[#This Row],[Affected WTG]],'Basic Data'!$A$3:$E$25,3,0),"")</f>
        <v>JK</v>
      </c>
      <c r="J145" s="355">
        <f>IFERROR(VLOOKUP(WTG_BD[[#This Row],[Affected WTG]],'Basic Data'!$A$3:$E$25,5,0),"")</f>
        <v>4.3478260869565223E-2</v>
      </c>
      <c r="K145" s="10">
        <v>3273</v>
      </c>
      <c r="L145" t="str">
        <f>IFERROR(VLOOKUP(WTG_BD[[#This Row],[Error Code]],'Basic Data'!S:T,2,0),"Incorrect Error Code")</f>
        <v>YawUntwistCCW: Code__,_______°</v>
      </c>
      <c r="M145" t="s">
        <v>1963</v>
      </c>
      <c r="O145" s="168">
        <v>0.51249999999999996</v>
      </c>
      <c r="P145" s="168">
        <v>0.51249999999999996</v>
      </c>
      <c r="Q145" s="168">
        <v>0.52638888888888891</v>
      </c>
      <c r="R145" s="356">
        <f>(WTG_BD[[#This Row],[Work Start TimeStamp]]-WTG_BD[[#This Row],[Fault Start TimeStamp]])*24</f>
        <v>0</v>
      </c>
      <c r="S145" s="34">
        <f>(WTG_BD[[#This Row],[Fault Clearance time]]-WTG_BD[[#This Row],[Work Start TimeStamp]])*24</f>
        <v>0.33333333333333481</v>
      </c>
      <c r="T145" s="34">
        <f>(WTG_BD[[#This Row],[Fault Clearance time]]-WTG_BD[[#This Row],[Fault Start TimeStamp]])*24</f>
        <v>0.33333333333333481</v>
      </c>
      <c r="U145" t="s">
        <v>4323</v>
      </c>
      <c r="V145" s="234" t="s">
        <v>255</v>
      </c>
      <c r="W145" s="50">
        <f>IFERROR(IF(N145="ROW",0,(WTG_BD[[#This Row],[Breakdown Time]]*WTG_BD[[#This Row],[Plant Equivalent Weightage]])),"")</f>
        <v>1.4492753623188472E-2</v>
      </c>
      <c r="X145" s="50"/>
      <c r="Y145" s="205">
        <v>1</v>
      </c>
      <c r="Z145" s="205"/>
      <c r="AA145" s="4">
        <v>2.4E-2</v>
      </c>
      <c r="AC145" s="4"/>
    </row>
    <row r="146" spans="1:29">
      <c r="A146" s="10">
        <f t="shared" si="3"/>
        <v>145</v>
      </c>
      <c r="B146" s="43">
        <f>YEAR(WTG_BD[[#This Row],[Date]])+IF(MONTH(WTG_BD[[#This Row],[Date]])&gt;=4,1,0)</f>
        <v>2026</v>
      </c>
      <c r="C146" s="10">
        <v>2025</v>
      </c>
      <c r="D146" s="10" t="s">
        <v>4478</v>
      </c>
      <c r="E146" s="309">
        <f>WTG_BD[[#This Row],[Date]]-DAY(WTG_BD[[#This Row],[Date]])+1</f>
        <v>45748</v>
      </c>
      <c r="F146" s="32">
        <v>45760</v>
      </c>
      <c r="G146" t="s">
        <v>82</v>
      </c>
      <c r="H146" t="str">
        <f>IFERROR(VLOOKUP(WTG_BD[[#This Row],[Affected WTG]],'Basic Data'!$A$3:$E$25,2,0),"")</f>
        <v>O2R3</v>
      </c>
      <c r="I146" t="str">
        <f>IFERROR(VLOOKUP(WTG_BD[[#This Row],[Affected WTG]],'Basic Data'!$A$3:$E$25,3,0),"")</f>
        <v>JK</v>
      </c>
      <c r="J146" s="355">
        <f>IFERROR(VLOOKUP(WTG_BD[[#This Row],[Affected WTG]],'Basic Data'!$A$3:$E$25,5,0),"")</f>
        <v>4.3478260869565223E-2</v>
      </c>
      <c r="K146" s="10">
        <v>3273</v>
      </c>
      <c r="L146" t="str">
        <f>IFERROR(VLOOKUP(WTG_BD[[#This Row],[Error Code]],'Basic Data'!S:T,2,0),"Incorrect Error Code")</f>
        <v>YawUntwistCCW: Code__,_______°</v>
      </c>
      <c r="M146" t="s">
        <v>1963</v>
      </c>
      <c r="O146" s="168">
        <v>0.67152777777777772</v>
      </c>
      <c r="P146" s="168">
        <v>0.67152777777777772</v>
      </c>
      <c r="Q146" s="168">
        <v>0.68541666666666667</v>
      </c>
      <c r="R146" s="356">
        <f>(WTG_BD[[#This Row],[Work Start TimeStamp]]-WTG_BD[[#This Row],[Fault Start TimeStamp]])*24</f>
        <v>0</v>
      </c>
      <c r="S146" s="34">
        <f>(WTG_BD[[#This Row],[Fault Clearance time]]-WTG_BD[[#This Row],[Work Start TimeStamp]])*24</f>
        <v>0.33333333333333481</v>
      </c>
      <c r="T146" s="34">
        <f>(WTG_BD[[#This Row],[Fault Clearance time]]-WTG_BD[[#This Row],[Fault Start TimeStamp]])*24</f>
        <v>0.33333333333333481</v>
      </c>
      <c r="U146" t="s">
        <v>4323</v>
      </c>
      <c r="V146" s="234" t="s">
        <v>255</v>
      </c>
      <c r="W146" s="50">
        <f>IFERROR(IF(N146="ROW",0,(WTG_BD[[#This Row],[Breakdown Time]]*WTG_BD[[#This Row],[Plant Equivalent Weightage]])),"")</f>
        <v>1.4492753623188472E-2</v>
      </c>
      <c r="X146" s="50"/>
      <c r="Y146" s="205">
        <v>1</v>
      </c>
      <c r="Z146" s="205"/>
      <c r="AA146" s="4">
        <v>1.7000000000000001E-2</v>
      </c>
      <c r="AC146" s="4"/>
    </row>
    <row r="147" spans="1:29">
      <c r="A147" s="10">
        <f t="shared" si="3"/>
        <v>146</v>
      </c>
      <c r="B147" s="43">
        <f>YEAR(WTG_BD[[#This Row],[Date]])+IF(MONTH(WTG_BD[[#This Row],[Date]])&gt;=4,1,0)</f>
        <v>2026</v>
      </c>
      <c r="C147" s="10">
        <v>2025</v>
      </c>
      <c r="D147" s="10" t="s">
        <v>4478</v>
      </c>
      <c r="E147" s="309">
        <f>WTG_BD[[#This Row],[Date]]-DAY(WTG_BD[[#This Row],[Date]])+1</f>
        <v>45748</v>
      </c>
      <c r="F147" s="32">
        <v>45760</v>
      </c>
      <c r="G147" t="s">
        <v>84</v>
      </c>
      <c r="H147" t="str">
        <f>IFERROR(VLOOKUP(WTG_BD[[#This Row],[Affected WTG]],'Basic Data'!$A$3:$E$25,2,0),"")</f>
        <v>O2R3</v>
      </c>
      <c r="I147" t="str">
        <f>IFERROR(VLOOKUP(WTG_BD[[#This Row],[Affected WTG]],'Basic Data'!$A$3:$E$25,3,0),"")</f>
        <v>JK</v>
      </c>
      <c r="J147" s="355">
        <f>IFERROR(VLOOKUP(WTG_BD[[#This Row],[Affected WTG]],'Basic Data'!$A$3:$E$25,5,0),"")</f>
        <v>4.3478260869565223E-2</v>
      </c>
      <c r="K147" s="10">
        <v>3273</v>
      </c>
      <c r="L147" t="str">
        <f>IFERROR(VLOOKUP(WTG_BD[[#This Row],[Error Code]],'Basic Data'!S:T,2,0),"Incorrect Error Code")</f>
        <v>YawUntwistCCW: Code__,_______°</v>
      </c>
      <c r="M147" t="s">
        <v>1963</v>
      </c>
      <c r="O147" s="168">
        <v>0.84930555555555554</v>
      </c>
      <c r="P147" s="168">
        <v>0.84930555555555554</v>
      </c>
      <c r="Q147" s="168">
        <v>0.86319444444444449</v>
      </c>
      <c r="R147" s="356">
        <f>(WTG_BD[[#This Row],[Work Start TimeStamp]]-WTG_BD[[#This Row],[Fault Start TimeStamp]])*24</f>
        <v>0</v>
      </c>
      <c r="S147" s="34">
        <f>(WTG_BD[[#This Row],[Fault Clearance time]]-WTG_BD[[#This Row],[Work Start TimeStamp]])*24</f>
        <v>0.33333333333333481</v>
      </c>
      <c r="T147" s="34">
        <f>(WTG_BD[[#This Row],[Fault Clearance time]]-WTG_BD[[#This Row],[Fault Start TimeStamp]])*24</f>
        <v>0.33333333333333481</v>
      </c>
      <c r="U147" t="s">
        <v>4323</v>
      </c>
      <c r="V147" s="234" t="s">
        <v>255</v>
      </c>
      <c r="W147" s="50">
        <f>IFERROR(IF(N147="ROW",0,(WTG_BD[[#This Row],[Breakdown Time]]*WTG_BD[[#This Row],[Plant Equivalent Weightage]])),"")</f>
        <v>1.4492753623188472E-2</v>
      </c>
      <c r="X147" s="50"/>
      <c r="Y147" s="205">
        <v>1</v>
      </c>
      <c r="Z147" s="205"/>
      <c r="AA147" s="4">
        <v>2E-3</v>
      </c>
      <c r="AC147" s="4"/>
    </row>
    <row r="148" spans="1:29">
      <c r="A148" s="10">
        <f t="shared" si="3"/>
        <v>147</v>
      </c>
      <c r="B148" s="43">
        <f>YEAR(WTG_BD[[#This Row],[Date]])+IF(MONTH(WTG_BD[[#This Row],[Date]])&gt;=4,1,0)</f>
        <v>2026</v>
      </c>
      <c r="C148" s="10">
        <v>2025</v>
      </c>
      <c r="D148" s="10" t="s">
        <v>4478</v>
      </c>
      <c r="E148" s="309">
        <f>WTG_BD[[#This Row],[Date]]-DAY(WTG_BD[[#This Row],[Date]])+1</f>
        <v>45748</v>
      </c>
      <c r="F148" s="32">
        <v>45760</v>
      </c>
      <c r="G148" t="s">
        <v>91</v>
      </c>
      <c r="H148" t="str">
        <f>IFERROR(VLOOKUP(WTG_BD[[#This Row],[Affected WTG]],'Basic Data'!$A$3:$E$25,2,0),"")</f>
        <v>O2R2</v>
      </c>
      <c r="I148" t="str">
        <f>IFERROR(VLOOKUP(WTG_BD[[#This Row],[Affected WTG]],'Basic Data'!$A$3:$E$25,3,0),"")</f>
        <v>SIL</v>
      </c>
      <c r="J148" s="355">
        <f>IFERROR(VLOOKUP(WTG_BD[[#This Row],[Affected WTG]],'Basic Data'!$A$3:$E$25,5,0),"")</f>
        <v>4.3478260869565223E-2</v>
      </c>
      <c r="K148" s="10">
        <v>3273</v>
      </c>
      <c r="L148" t="str">
        <f>IFERROR(VLOOKUP(WTG_BD[[#This Row],[Error Code]],'Basic Data'!S:T,2,0),"Incorrect Error Code")</f>
        <v>YawUntwistCCW: Code__,_______°</v>
      </c>
      <c r="M148" t="s">
        <v>1963</v>
      </c>
      <c r="O148" s="168">
        <v>0.17777777777777778</v>
      </c>
      <c r="P148" s="168">
        <v>0.17777777777777778</v>
      </c>
      <c r="Q148" s="168">
        <v>0.20277777777777778</v>
      </c>
      <c r="R148" s="356">
        <f>(WTG_BD[[#This Row],[Work Start TimeStamp]]-WTG_BD[[#This Row],[Fault Start TimeStamp]])*24</f>
        <v>0</v>
      </c>
      <c r="S148" s="34">
        <f>(WTG_BD[[#This Row],[Fault Clearance time]]-WTG_BD[[#This Row],[Work Start TimeStamp]])*24</f>
        <v>0.59999999999999987</v>
      </c>
      <c r="T148" s="34">
        <f>(WTG_BD[[#This Row],[Fault Clearance time]]-WTG_BD[[#This Row],[Fault Start TimeStamp]])*24</f>
        <v>0.59999999999999987</v>
      </c>
      <c r="U148" t="s">
        <v>4323</v>
      </c>
      <c r="V148" s="234" t="s">
        <v>255</v>
      </c>
      <c r="W148" s="50">
        <f>IFERROR(IF(N148="ROW",0,(WTG_BD[[#This Row],[Breakdown Time]]*WTG_BD[[#This Row],[Plant Equivalent Weightage]])),"")</f>
        <v>2.6086956521739129E-2</v>
      </c>
      <c r="X148" s="50"/>
      <c r="Y148" s="205">
        <v>1</v>
      </c>
      <c r="Z148" s="205"/>
      <c r="AA148" s="4">
        <v>0.21</v>
      </c>
      <c r="AC148" s="4"/>
    </row>
    <row r="149" spans="1:29">
      <c r="A149" s="10">
        <f t="shared" si="3"/>
        <v>148</v>
      </c>
      <c r="B149" s="43">
        <f>YEAR(WTG_BD[[#This Row],[Date]])+IF(MONTH(WTG_BD[[#This Row],[Date]])&gt;=4,1,0)</f>
        <v>2026</v>
      </c>
      <c r="C149" s="10">
        <v>2025</v>
      </c>
      <c r="D149" s="10" t="s">
        <v>4478</v>
      </c>
      <c r="E149" s="309">
        <f>WTG_BD[[#This Row],[Date]]-DAY(WTG_BD[[#This Row],[Date]])+1</f>
        <v>45748</v>
      </c>
      <c r="F149" s="32">
        <v>45760</v>
      </c>
      <c r="G149" t="s">
        <v>92</v>
      </c>
      <c r="H149" t="str">
        <f>IFERROR(VLOOKUP(WTG_BD[[#This Row],[Affected WTG]],'Basic Data'!$A$3:$E$25,2,0),"")</f>
        <v>O2R2</v>
      </c>
      <c r="I149" t="str">
        <f>IFERROR(VLOOKUP(WTG_BD[[#This Row],[Affected WTG]],'Basic Data'!$A$3:$E$25,3,0),"")</f>
        <v>SIL</v>
      </c>
      <c r="J149" s="355">
        <f>IFERROR(VLOOKUP(WTG_BD[[#This Row],[Affected WTG]],'Basic Data'!$A$3:$E$25,5,0),"")</f>
        <v>4.3478260869565223E-2</v>
      </c>
      <c r="K149" s="10">
        <v>3273</v>
      </c>
      <c r="L149" t="str">
        <f>IFERROR(VLOOKUP(WTG_BD[[#This Row],[Error Code]],'Basic Data'!S:T,2,0),"Incorrect Error Code")</f>
        <v>YawUntwistCCW: Code__,_______°</v>
      </c>
      <c r="M149" t="s">
        <v>1963</v>
      </c>
      <c r="O149" s="168">
        <v>0.17986111111111111</v>
      </c>
      <c r="P149" s="168">
        <v>0.17986111111111111</v>
      </c>
      <c r="Q149" s="168">
        <v>0.20416666666666666</v>
      </c>
      <c r="R149" s="356">
        <f>(WTG_BD[[#This Row],[Work Start TimeStamp]]-WTG_BD[[#This Row],[Fault Start TimeStamp]])*24</f>
        <v>0</v>
      </c>
      <c r="S149" s="34">
        <f>(WTG_BD[[#This Row],[Fault Clearance time]]-WTG_BD[[#This Row],[Work Start TimeStamp]])*24</f>
        <v>0.58333333333333326</v>
      </c>
      <c r="T149" s="34">
        <f>(WTG_BD[[#This Row],[Fault Clearance time]]-WTG_BD[[#This Row],[Fault Start TimeStamp]])*24</f>
        <v>0.58333333333333326</v>
      </c>
      <c r="U149" t="s">
        <v>4323</v>
      </c>
      <c r="V149" s="234" t="s">
        <v>255</v>
      </c>
      <c r="W149" s="50">
        <f>IFERROR(IF(N149="ROW",0,(WTG_BD[[#This Row],[Breakdown Time]]*WTG_BD[[#This Row],[Plant Equivalent Weightage]])),"")</f>
        <v>2.5362318840579712E-2</v>
      </c>
      <c r="X149" s="50"/>
      <c r="Y149" s="205">
        <v>1</v>
      </c>
      <c r="Z149" s="205"/>
      <c r="AA149" s="4">
        <v>0.157</v>
      </c>
      <c r="AC149" s="4"/>
    </row>
    <row r="150" spans="1:29">
      <c r="A150" s="10">
        <f t="shared" si="3"/>
        <v>149</v>
      </c>
      <c r="B150" s="43">
        <f>YEAR(WTG_BD[[#This Row],[Date]])+IF(MONTH(WTG_BD[[#This Row],[Date]])&gt;=4,1,0)</f>
        <v>2026</v>
      </c>
      <c r="C150" s="10">
        <v>2025</v>
      </c>
      <c r="D150" s="10" t="s">
        <v>4478</v>
      </c>
      <c r="E150" s="309">
        <f>WTG_BD[[#This Row],[Date]]-DAY(WTG_BD[[#This Row],[Date]])+1</f>
        <v>45748</v>
      </c>
      <c r="F150" s="32">
        <v>45760</v>
      </c>
      <c r="G150" t="s">
        <v>93</v>
      </c>
      <c r="H150" t="str">
        <f>IFERROR(VLOOKUP(WTG_BD[[#This Row],[Affected WTG]],'Basic Data'!$A$3:$E$25,2,0),"")</f>
        <v>O2R4</v>
      </c>
      <c r="I150" t="str">
        <f>IFERROR(VLOOKUP(WTG_BD[[#This Row],[Affected WTG]],'Basic Data'!$A$3:$E$25,3,0),"")</f>
        <v>SGDCIPL</v>
      </c>
      <c r="J150" s="355">
        <f>IFERROR(VLOOKUP(WTG_BD[[#This Row],[Affected WTG]],'Basic Data'!$A$3:$E$25,5,0),"")</f>
        <v>4.3478260869565223E-2</v>
      </c>
      <c r="K150" s="10">
        <v>3273</v>
      </c>
      <c r="L150" t="str">
        <f>IFERROR(VLOOKUP(WTG_BD[[#This Row],[Error Code]],'Basic Data'!S:T,2,0),"Incorrect Error Code")</f>
        <v>YawUntwistCCW: Code__,_______°</v>
      </c>
      <c r="M150" t="s">
        <v>1963</v>
      </c>
      <c r="O150" s="168">
        <v>0.81666666666666665</v>
      </c>
      <c r="P150" s="168">
        <v>0.81666666666666665</v>
      </c>
      <c r="Q150" s="168">
        <v>0.8305555555555556</v>
      </c>
      <c r="R150" s="356">
        <f>(WTG_BD[[#This Row],[Work Start TimeStamp]]-WTG_BD[[#This Row],[Fault Start TimeStamp]])*24</f>
        <v>0</v>
      </c>
      <c r="S150" s="34">
        <f>(WTG_BD[[#This Row],[Fault Clearance time]]-WTG_BD[[#This Row],[Work Start TimeStamp]])*24</f>
        <v>0.33333333333333481</v>
      </c>
      <c r="T150" s="34">
        <f>(WTG_BD[[#This Row],[Fault Clearance time]]-WTG_BD[[#This Row],[Fault Start TimeStamp]])*24</f>
        <v>0.33333333333333481</v>
      </c>
      <c r="U150" t="s">
        <v>4323</v>
      </c>
      <c r="V150" s="234" t="s">
        <v>255</v>
      </c>
      <c r="W150" s="50">
        <f>IFERROR(IF(N150="ROW",0,(WTG_BD[[#This Row],[Breakdown Time]]*WTG_BD[[#This Row],[Plant Equivalent Weightage]])),"")</f>
        <v>1.4492753623188472E-2</v>
      </c>
      <c r="X150" s="50"/>
      <c r="Y150" s="205">
        <v>1</v>
      </c>
      <c r="Z150" s="205"/>
      <c r="AA150" s="4">
        <v>2E-3</v>
      </c>
      <c r="AC150" s="4"/>
    </row>
    <row r="151" spans="1:29">
      <c r="A151" s="10">
        <f t="shared" si="3"/>
        <v>150</v>
      </c>
      <c r="B151" s="43">
        <f>YEAR(WTG_BD[[#This Row],[Date]])+IF(MONTH(WTG_BD[[#This Row],[Date]])&gt;=4,1,0)</f>
        <v>2026</v>
      </c>
      <c r="C151" s="10">
        <v>2025</v>
      </c>
      <c r="D151" s="10" t="s">
        <v>4478</v>
      </c>
      <c r="E151" s="309">
        <f>WTG_BD[[#This Row],[Date]]-DAY(WTG_BD[[#This Row],[Date]])+1</f>
        <v>45748</v>
      </c>
      <c r="F151" s="32">
        <v>45760</v>
      </c>
      <c r="G151" t="s">
        <v>96</v>
      </c>
      <c r="H151" t="str">
        <f>IFERROR(VLOOKUP(WTG_BD[[#This Row],[Affected WTG]],'Basic Data'!$A$3:$E$25,2,0),"")</f>
        <v>O2R3</v>
      </c>
      <c r="I151" t="str">
        <f>IFERROR(VLOOKUP(WTG_BD[[#This Row],[Affected WTG]],'Basic Data'!$A$3:$E$25,3,0),"")</f>
        <v>JK</v>
      </c>
      <c r="J151" s="355">
        <f>IFERROR(VLOOKUP(WTG_BD[[#This Row],[Affected WTG]],'Basic Data'!$A$3:$E$25,5,0),"")</f>
        <v>4.3478260869565223E-2</v>
      </c>
      <c r="K151" s="10">
        <v>3273</v>
      </c>
      <c r="L151" t="str">
        <f>IFERROR(VLOOKUP(WTG_BD[[#This Row],[Error Code]],'Basic Data'!S:T,2,0),"Incorrect Error Code")</f>
        <v>YawUntwistCCW: Code__,_______°</v>
      </c>
      <c r="M151" t="s">
        <v>1963</v>
      </c>
      <c r="O151" s="168">
        <v>0.17847222222222223</v>
      </c>
      <c r="P151" s="168">
        <v>0.17847222222222223</v>
      </c>
      <c r="Q151" s="168">
        <v>0.20347222222222222</v>
      </c>
      <c r="R151" s="356">
        <f>(WTG_BD[[#This Row],[Work Start TimeStamp]]-WTG_BD[[#This Row],[Fault Start TimeStamp]])*24</f>
        <v>0</v>
      </c>
      <c r="S151" s="34">
        <f>(WTG_BD[[#This Row],[Fault Clearance time]]-WTG_BD[[#This Row],[Work Start TimeStamp]])*24</f>
        <v>0.59999999999999987</v>
      </c>
      <c r="T151" s="34">
        <f>(WTG_BD[[#This Row],[Fault Clearance time]]-WTG_BD[[#This Row],[Fault Start TimeStamp]])*24</f>
        <v>0.59999999999999987</v>
      </c>
      <c r="U151" t="s">
        <v>4323</v>
      </c>
      <c r="V151" s="234" t="s">
        <v>255</v>
      </c>
      <c r="W151" s="50">
        <f>IFERROR(IF(N151="ROW",0,(WTG_BD[[#This Row],[Breakdown Time]]*WTG_BD[[#This Row],[Plant Equivalent Weightage]])),"")</f>
        <v>2.6086956521739129E-2</v>
      </c>
      <c r="X151" s="50"/>
      <c r="Y151" s="205">
        <v>1</v>
      </c>
      <c r="Z151" s="205"/>
      <c r="AA151" s="4">
        <v>0.20499999999999999</v>
      </c>
      <c r="AC151" s="4"/>
    </row>
    <row r="152" spans="1:29">
      <c r="A152" s="10">
        <f t="shared" si="3"/>
        <v>151</v>
      </c>
      <c r="B152" s="43">
        <f>YEAR(WTG_BD[[#This Row],[Date]])+IF(MONTH(WTG_BD[[#This Row],[Date]])&gt;=4,1,0)</f>
        <v>2026</v>
      </c>
      <c r="C152" s="10">
        <v>2025</v>
      </c>
      <c r="D152" s="10" t="s">
        <v>4478</v>
      </c>
      <c r="E152" s="309">
        <f>WTG_BD[[#This Row],[Date]]-DAY(WTG_BD[[#This Row],[Date]])+1</f>
        <v>45748</v>
      </c>
      <c r="F152" s="32">
        <v>45760</v>
      </c>
      <c r="G152" t="s">
        <v>97</v>
      </c>
      <c r="H152" t="str">
        <f>IFERROR(VLOOKUP(WTG_BD[[#This Row],[Affected WTG]],'Basic Data'!$A$3:$E$25,2,0),"")</f>
        <v>O2R3</v>
      </c>
      <c r="I152" t="str">
        <f>IFERROR(VLOOKUP(WTG_BD[[#This Row],[Affected WTG]],'Basic Data'!$A$3:$E$25,3,0),"")</f>
        <v>JK</v>
      </c>
      <c r="J152" s="355">
        <f>IFERROR(VLOOKUP(WTG_BD[[#This Row],[Affected WTG]],'Basic Data'!$A$3:$E$25,5,0),"")</f>
        <v>4.3478260869565223E-2</v>
      </c>
      <c r="K152" s="10">
        <v>3273</v>
      </c>
      <c r="L152" t="str">
        <f>IFERROR(VLOOKUP(WTG_BD[[#This Row],[Error Code]],'Basic Data'!S:T,2,0),"Incorrect Error Code")</f>
        <v>YawUntwistCCW: Code__,_______°</v>
      </c>
      <c r="M152" t="s">
        <v>1963</v>
      </c>
      <c r="O152" s="168">
        <v>0.52916666666666667</v>
      </c>
      <c r="P152" s="168">
        <v>0.52916666666666667</v>
      </c>
      <c r="Q152" s="168">
        <v>0.55000000000000004</v>
      </c>
      <c r="R152" s="356">
        <f>(WTG_BD[[#This Row],[Work Start TimeStamp]]-WTG_BD[[#This Row],[Fault Start TimeStamp]])*24</f>
        <v>0</v>
      </c>
      <c r="S152" s="34">
        <f>(WTG_BD[[#This Row],[Fault Clearance time]]-WTG_BD[[#This Row],[Work Start TimeStamp]])*24</f>
        <v>0.50000000000000089</v>
      </c>
      <c r="T152" s="34">
        <f>(WTG_BD[[#This Row],[Fault Clearance time]]-WTG_BD[[#This Row],[Fault Start TimeStamp]])*24</f>
        <v>0.50000000000000089</v>
      </c>
      <c r="U152" t="s">
        <v>4323</v>
      </c>
      <c r="V152" s="234" t="s">
        <v>255</v>
      </c>
      <c r="W152" s="50">
        <f>IFERROR(IF(N152="ROW",0,(WTG_BD[[#This Row],[Breakdown Time]]*WTG_BD[[#This Row],[Plant Equivalent Weightage]])),"")</f>
        <v>2.173913043478265E-2</v>
      </c>
      <c r="X152" s="50"/>
      <c r="Y152" s="205">
        <v>1</v>
      </c>
      <c r="Z152" s="205"/>
      <c r="AA152" s="4">
        <v>6.8000000000000005E-2</v>
      </c>
      <c r="AC152" s="4"/>
    </row>
    <row r="153" spans="1:29">
      <c r="A153" s="10">
        <f t="shared" si="3"/>
        <v>152</v>
      </c>
      <c r="B153" s="43">
        <f>YEAR(WTG_BD[[#This Row],[Date]])+IF(MONTH(WTG_BD[[#This Row],[Date]])&gt;=4,1,0)</f>
        <v>2026</v>
      </c>
      <c r="C153" s="10">
        <v>2025</v>
      </c>
      <c r="D153" s="10" t="s">
        <v>4478</v>
      </c>
      <c r="E153" s="309">
        <f>WTG_BD[[#This Row],[Date]]-DAY(WTG_BD[[#This Row],[Date]])+1</f>
        <v>45748</v>
      </c>
      <c r="F153" s="32">
        <v>45761</v>
      </c>
      <c r="G153" t="s">
        <v>76</v>
      </c>
      <c r="H153" t="str">
        <f>IFERROR(VLOOKUP(WTG_BD[[#This Row],[Affected WTG]],'Basic Data'!$A$3:$E$25,2,0),"")</f>
        <v>O2R1</v>
      </c>
      <c r="I153" t="str">
        <f>IFERROR(VLOOKUP(WTG_BD[[#This Row],[Affected WTG]],'Basic Data'!$A$3:$E$25,3,0),"")</f>
        <v>KSIPL</v>
      </c>
      <c r="J153" s="355">
        <f>IFERROR(VLOOKUP(WTG_BD[[#This Row],[Affected WTG]],'Basic Data'!$A$3:$E$25,5,0),"")</f>
        <v>4.3478260869565223E-2</v>
      </c>
      <c r="K153" s="10">
        <v>3273</v>
      </c>
      <c r="L153" t="str">
        <f>IFERROR(VLOOKUP(WTG_BD[[#This Row],[Error Code]],'Basic Data'!S:T,2,0),"Incorrect Error Code")</f>
        <v>YawUntwistCCW: Code__,_______°</v>
      </c>
      <c r="M153" t="s">
        <v>1963</v>
      </c>
      <c r="O153" s="168">
        <v>0.52638888888888891</v>
      </c>
      <c r="P153" s="168">
        <v>0.52638888888888891</v>
      </c>
      <c r="Q153" s="168">
        <v>0.54027777777777775</v>
      </c>
      <c r="R153" s="356">
        <f>(WTG_BD[[#This Row],[Work Start TimeStamp]]-WTG_BD[[#This Row],[Fault Start TimeStamp]])*24</f>
        <v>0</v>
      </c>
      <c r="S153" s="34">
        <f>(WTG_BD[[#This Row],[Fault Clearance time]]-WTG_BD[[#This Row],[Work Start TimeStamp]])*24</f>
        <v>0.33333333333333215</v>
      </c>
      <c r="T153" s="34">
        <f>(WTG_BD[[#This Row],[Fault Clearance time]]-WTG_BD[[#This Row],[Fault Start TimeStamp]])*24</f>
        <v>0.33333333333333215</v>
      </c>
      <c r="U153" t="s">
        <v>4323</v>
      </c>
      <c r="V153" s="234" t="s">
        <v>255</v>
      </c>
      <c r="W153" s="50">
        <f>IFERROR(IF(N153="ROW",0,(WTG_BD[[#This Row],[Breakdown Time]]*WTG_BD[[#This Row],[Plant Equivalent Weightage]])),"")</f>
        <v>1.4492753623188356E-2</v>
      </c>
      <c r="X153" s="50"/>
      <c r="Y153" s="205">
        <v>1</v>
      </c>
      <c r="Z153" s="205"/>
      <c r="AA153" s="4">
        <v>1E-3</v>
      </c>
      <c r="AC153" s="4"/>
    </row>
    <row r="154" spans="1:29">
      <c r="A154" s="10">
        <f t="shared" ref="A154:A217" si="4">A153+1</f>
        <v>153</v>
      </c>
      <c r="B154" s="43">
        <f>YEAR(WTG_BD[[#This Row],[Date]])+IF(MONTH(WTG_BD[[#This Row],[Date]])&gt;=4,1,0)</f>
        <v>2026</v>
      </c>
      <c r="C154" s="10">
        <v>2025</v>
      </c>
      <c r="D154" s="10" t="s">
        <v>4478</v>
      </c>
      <c r="E154" s="309">
        <f>WTG_BD[[#This Row],[Date]]-DAY(WTG_BD[[#This Row],[Date]])+1</f>
        <v>45748</v>
      </c>
      <c r="F154" s="32">
        <v>45761</v>
      </c>
      <c r="G154" t="s">
        <v>78</v>
      </c>
      <c r="H154" t="str">
        <f>IFERROR(VLOOKUP(WTG_BD[[#This Row],[Affected WTG]],'Basic Data'!$A$3:$E$25,2,0),"")</f>
        <v>O2R1</v>
      </c>
      <c r="I154" t="str">
        <f>IFERROR(VLOOKUP(WTG_BD[[#This Row],[Affected WTG]],'Basic Data'!$A$3:$E$25,3,0),"")</f>
        <v>KSIPL</v>
      </c>
      <c r="J154" s="355">
        <f>IFERROR(VLOOKUP(WTG_BD[[#This Row],[Affected WTG]],'Basic Data'!$A$3:$E$25,5,0),"")</f>
        <v>4.3478260869565223E-2</v>
      </c>
      <c r="K154" s="10">
        <v>3273</v>
      </c>
      <c r="L154" t="str">
        <f>IFERROR(VLOOKUP(WTG_BD[[#This Row],[Error Code]],'Basic Data'!S:T,2,0),"Incorrect Error Code")</f>
        <v>YawUntwistCCW: Code__,_______°</v>
      </c>
      <c r="M154" t="s">
        <v>1963</v>
      </c>
      <c r="O154" s="168">
        <v>0.34652777777777777</v>
      </c>
      <c r="P154" s="168">
        <v>0.34652777777777777</v>
      </c>
      <c r="Q154" s="168">
        <v>0.36388888888888887</v>
      </c>
      <c r="R154" s="356">
        <f>(WTG_BD[[#This Row],[Work Start TimeStamp]]-WTG_BD[[#This Row],[Fault Start TimeStamp]])*24</f>
        <v>0</v>
      </c>
      <c r="S154" s="34">
        <f>(WTG_BD[[#This Row],[Fault Clearance time]]-WTG_BD[[#This Row],[Work Start TimeStamp]])*24</f>
        <v>0.41666666666666652</v>
      </c>
      <c r="T154" s="34">
        <f>(WTG_BD[[#This Row],[Fault Clearance time]]-WTG_BD[[#This Row],[Fault Start TimeStamp]])*24</f>
        <v>0.41666666666666652</v>
      </c>
      <c r="U154" t="s">
        <v>4323</v>
      </c>
      <c r="V154" s="234" t="s">
        <v>255</v>
      </c>
      <c r="W154" s="50">
        <f>IFERROR(IF(N154="ROW",0,(WTG_BD[[#This Row],[Breakdown Time]]*WTG_BD[[#This Row],[Plant Equivalent Weightage]])),"")</f>
        <v>1.8115942028985504E-2</v>
      </c>
      <c r="X154" s="50"/>
      <c r="Y154" s="205">
        <v>1</v>
      </c>
      <c r="Z154" s="205"/>
      <c r="AA154" s="4">
        <v>0</v>
      </c>
      <c r="AC154" s="4"/>
    </row>
    <row r="155" spans="1:29">
      <c r="A155" s="10">
        <f t="shared" si="4"/>
        <v>154</v>
      </c>
      <c r="B155" s="43">
        <f>YEAR(WTG_BD[[#This Row],[Date]])+IF(MONTH(WTG_BD[[#This Row],[Date]])&gt;=4,1,0)</f>
        <v>2026</v>
      </c>
      <c r="C155" s="10">
        <v>2025</v>
      </c>
      <c r="D155" s="10" t="s">
        <v>4478</v>
      </c>
      <c r="E155" s="309">
        <f>WTG_BD[[#This Row],[Date]]-DAY(WTG_BD[[#This Row],[Date]])+1</f>
        <v>45748</v>
      </c>
      <c r="F155" s="32">
        <v>45761</v>
      </c>
      <c r="G155" t="s">
        <v>85</v>
      </c>
      <c r="H155" t="str">
        <f>IFERROR(VLOOKUP(WTG_BD[[#This Row],[Affected WTG]],'Basic Data'!$A$3:$E$25,2,0),"")</f>
        <v>O2R1</v>
      </c>
      <c r="I155" t="str">
        <f>IFERROR(VLOOKUP(WTG_BD[[#This Row],[Affected WTG]],'Basic Data'!$A$3:$E$25,3,0),"")</f>
        <v>KSIPL</v>
      </c>
      <c r="J155" s="355">
        <f>IFERROR(VLOOKUP(WTG_BD[[#This Row],[Affected WTG]],'Basic Data'!$A$3:$E$25,5,0),"")</f>
        <v>4.3478260869565223E-2</v>
      </c>
      <c r="K155" s="10">
        <v>3273</v>
      </c>
      <c r="L155" t="str">
        <f>IFERROR(VLOOKUP(WTG_BD[[#This Row],[Error Code]],'Basic Data'!S:T,2,0),"Incorrect Error Code")</f>
        <v>YawUntwistCCW: Code__,_______°</v>
      </c>
      <c r="M155" t="s">
        <v>1963</v>
      </c>
      <c r="O155" s="168">
        <v>0.6430555555555556</v>
      </c>
      <c r="P155" s="168">
        <v>0.6430555555555556</v>
      </c>
      <c r="Q155" s="168">
        <v>0.65555555555555556</v>
      </c>
      <c r="R155" s="356">
        <f>(WTG_BD[[#This Row],[Work Start TimeStamp]]-WTG_BD[[#This Row],[Fault Start TimeStamp]])*24</f>
        <v>0</v>
      </c>
      <c r="S155" s="34">
        <f>(WTG_BD[[#This Row],[Fault Clearance time]]-WTG_BD[[#This Row],[Work Start TimeStamp]])*24</f>
        <v>0.29999999999999893</v>
      </c>
      <c r="T155" s="34">
        <f>(WTG_BD[[#This Row],[Fault Clearance time]]-WTG_BD[[#This Row],[Fault Start TimeStamp]])*24</f>
        <v>0.29999999999999893</v>
      </c>
      <c r="U155" t="s">
        <v>4323</v>
      </c>
      <c r="V155" s="234" t="s">
        <v>255</v>
      </c>
      <c r="W155" s="50">
        <f>IFERROR(IF(N155="ROW",0,(WTG_BD[[#This Row],[Breakdown Time]]*WTG_BD[[#This Row],[Plant Equivalent Weightage]])),"")</f>
        <v>1.3043478260869521E-2</v>
      </c>
      <c r="X155" s="50"/>
      <c r="Y155" s="205">
        <v>1</v>
      </c>
      <c r="Z155" s="205"/>
      <c r="AA155" s="4">
        <v>3.2000000000000001E-2</v>
      </c>
      <c r="AC155" s="4"/>
    </row>
    <row r="156" spans="1:29">
      <c r="A156" s="10">
        <f t="shared" si="4"/>
        <v>155</v>
      </c>
      <c r="B156" s="43">
        <f>YEAR(WTG_BD[[#This Row],[Date]])+IF(MONTH(WTG_BD[[#This Row],[Date]])&gt;=4,1,0)</f>
        <v>2026</v>
      </c>
      <c r="C156" s="10">
        <v>2025</v>
      </c>
      <c r="D156" s="10" t="s">
        <v>4478</v>
      </c>
      <c r="E156" s="309">
        <f>WTG_BD[[#This Row],[Date]]-DAY(WTG_BD[[#This Row],[Date]])+1</f>
        <v>45748</v>
      </c>
      <c r="F156" s="32">
        <v>45761</v>
      </c>
      <c r="G156" t="s">
        <v>86</v>
      </c>
      <c r="H156" t="str">
        <f>IFERROR(VLOOKUP(WTG_BD[[#This Row],[Affected WTG]],'Basic Data'!$A$3:$E$25,2,0),"")</f>
        <v>O2R1</v>
      </c>
      <c r="I156" t="str">
        <f>IFERROR(VLOOKUP(WTG_BD[[#This Row],[Affected WTG]],'Basic Data'!$A$3:$E$25,3,0),"")</f>
        <v>KSIPL</v>
      </c>
      <c r="J156" s="355">
        <f>IFERROR(VLOOKUP(WTG_BD[[#This Row],[Affected WTG]],'Basic Data'!$A$3:$E$25,5,0),"")</f>
        <v>4.3478260869565223E-2</v>
      </c>
      <c r="K156" s="10">
        <v>3273</v>
      </c>
      <c r="L156" t="str">
        <f>IFERROR(VLOOKUP(WTG_BD[[#This Row],[Error Code]],'Basic Data'!S:T,2,0),"Incorrect Error Code")</f>
        <v>YawUntwistCCW: Code__,_______°</v>
      </c>
      <c r="M156" t="s">
        <v>1963</v>
      </c>
      <c r="O156" s="168">
        <v>0.61805555555555558</v>
      </c>
      <c r="P156" s="168">
        <v>0.61805555555555558</v>
      </c>
      <c r="Q156" s="168">
        <v>0.63749999999999996</v>
      </c>
      <c r="R156" s="356">
        <f>(WTG_BD[[#This Row],[Work Start TimeStamp]]-WTG_BD[[#This Row],[Fault Start TimeStamp]])*24</f>
        <v>0</v>
      </c>
      <c r="S156" s="34">
        <f>(WTG_BD[[#This Row],[Fault Clearance time]]-WTG_BD[[#This Row],[Work Start TimeStamp]])*24</f>
        <v>0.46666666666666501</v>
      </c>
      <c r="T156" s="34">
        <f>(WTG_BD[[#This Row],[Fault Clearance time]]-WTG_BD[[#This Row],[Fault Start TimeStamp]])*24</f>
        <v>0.46666666666666501</v>
      </c>
      <c r="U156" t="s">
        <v>4323</v>
      </c>
      <c r="V156" s="234" t="s">
        <v>255</v>
      </c>
      <c r="W156" s="50">
        <f>IFERROR(IF(N156="ROW",0,(WTG_BD[[#This Row],[Breakdown Time]]*WTG_BD[[#This Row],[Plant Equivalent Weightage]])),"")</f>
        <v>2.0289855072463697E-2</v>
      </c>
      <c r="X156" s="50"/>
      <c r="Y156" s="205">
        <v>1</v>
      </c>
      <c r="Z156" s="205"/>
      <c r="AA156" s="4">
        <v>6.0000000000000001E-3</v>
      </c>
      <c r="AC156" s="4"/>
    </row>
    <row r="157" spans="1:29">
      <c r="A157" s="10">
        <f t="shared" si="4"/>
        <v>156</v>
      </c>
      <c r="B157" s="43">
        <f>YEAR(WTG_BD[[#This Row],[Date]])+IF(MONTH(WTG_BD[[#This Row],[Date]])&gt;=4,1,0)</f>
        <v>2026</v>
      </c>
      <c r="C157" s="10">
        <v>2025</v>
      </c>
      <c r="D157" s="10" t="s">
        <v>4478</v>
      </c>
      <c r="E157" s="309">
        <f>WTG_BD[[#This Row],[Date]]-DAY(WTG_BD[[#This Row],[Date]])+1</f>
        <v>45748</v>
      </c>
      <c r="F157" s="32">
        <v>45761</v>
      </c>
      <c r="G157" t="s">
        <v>87</v>
      </c>
      <c r="H157" t="str">
        <f>IFERROR(VLOOKUP(WTG_BD[[#This Row],[Affected WTG]],'Basic Data'!$A$3:$E$25,2,0),"")</f>
        <v>O2R1</v>
      </c>
      <c r="I157" t="str">
        <f>IFERROR(VLOOKUP(WTG_BD[[#This Row],[Affected WTG]],'Basic Data'!$A$3:$E$25,3,0),"")</f>
        <v>KSIPL</v>
      </c>
      <c r="J157" s="355">
        <f>IFERROR(VLOOKUP(WTG_BD[[#This Row],[Affected WTG]],'Basic Data'!$A$3:$E$25,5,0),"")</f>
        <v>4.3478260869565223E-2</v>
      </c>
      <c r="K157" s="10">
        <v>309</v>
      </c>
      <c r="L157" t="str">
        <f>IFERROR(VLOOKUP(WTG_BD[[#This Row],[Error Code]],'Basic Data'!S:T,2,0),"Incorrect Error Code")</f>
        <v>Pause over RCS __0</v>
      </c>
      <c r="M157" t="s">
        <v>871</v>
      </c>
      <c r="O157" s="168">
        <v>0.43055555555555558</v>
      </c>
      <c r="P157" s="168">
        <v>0.43055555555555558</v>
      </c>
      <c r="Q157" s="168">
        <v>0.63888888888888884</v>
      </c>
      <c r="R157" s="356">
        <f>(WTG_BD[[#This Row],[Work Start TimeStamp]]-WTG_BD[[#This Row],[Fault Start TimeStamp]])*24</f>
        <v>0</v>
      </c>
      <c r="S157" s="34">
        <f>(WTG_BD[[#This Row],[Fault Clearance time]]-WTG_BD[[#This Row],[Work Start TimeStamp]])*24</f>
        <v>4.9999999999999982</v>
      </c>
      <c r="T157" s="34">
        <f>(WTG_BD[[#This Row],[Fault Clearance time]]-WTG_BD[[#This Row],[Fault Start TimeStamp]])*24</f>
        <v>4.9999999999999982</v>
      </c>
      <c r="U157" t="s">
        <v>4329</v>
      </c>
      <c r="V157" s="234" t="s">
        <v>255</v>
      </c>
      <c r="W157" s="50">
        <f>IFERROR(IF(N157="ROW",0,(WTG_BD[[#This Row],[Breakdown Time]]*WTG_BD[[#This Row],[Plant Equivalent Weightage]])),"")</f>
        <v>0.21739130434782603</v>
      </c>
      <c r="X157" s="50"/>
      <c r="Y157" s="205">
        <v>1</v>
      </c>
      <c r="Z157" s="205"/>
      <c r="AA157" s="4">
        <v>0.372</v>
      </c>
      <c r="AC157" s="4"/>
    </row>
    <row r="158" spans="1:29">
      <c r="A158" s="10">
        <f t="shared" si="4"/>
        <v>157</v>
      </c>
      <c r="B158" s="43">
        <f>YEAR(WTG_BD[[#This Row],[Date]])+IF(MONTH(WTG_BD[[#This Row],[Date]])&gt;=4,1,0)</f>
        <v>2026</v>
      </c>
      <c r="C158" s="10">
        <v>2025</v>
      </c>
      <c r="D158" s="10" t="s">
        <v>4478</v>
      </c>
      <c r="E158" s="309">
        <f>WTG_BD[[#This Row],[Date]]-DAY(WTG_BD[[#This Row],[Date]])+1</f>
        <v>45748</v>
      </c>
      <c r="F158" s="32">
        <v>45761</v>
      </c>
      <c r="G158" t="s">
        <v>87</v>
      </c>
      <c r="H158" t="str">
        <f>IFERROR(VLOOKUP(WTG_BD[[#This Row],[Affected WTG]],'Basic Data'!$A$3:$E$25,2,0),"")</f>
        <v>O2R1</v>
      </c>
      <c r="I158" t="str">
        <f>IFERROR(VLOOKUP(WTG_BD[[#This Row],[Affected WTG]],'Basic Data'!$A$3:$E$25,3,0),"")</f>
        <v>KSIPL</v>
      </c>
      <c r="J158" s="355">
        <f>IFERROR(VLOOKUP(WTG_BD[[#This Row],[Affected WTG]],'Basic Data'!$A$3:$E$25,5,0),"")</f>
        <v>4.3478260869565223E-2</v>
      </c>
      <c r="K158" s="10">
        <v>3273</v>
      </c>
      <c r="L158" t="str">
        <f>IFERROR(VLOOKUP(WTG_BD[[#This Row],[Error Code]],'Basic Data'!S:T,2,0),"Incorrect Error Code")</f>
        <v>YawUntwistCCW: Code__,_______°</v>
      </c>
      <c r="M158" t="s">
        <v>1963</v>
      </c>
      <c r="O158" s="168">
        <v>0.63888888888888884</v>
      </c>
      <c r="P158" s="168">
        <v>0.63888888888888884</v>
      </c>
      <c r="Q158" s="168">
        <v>0.64930555555555558</v>
      </c>
      <c r="R158" s="356">
        <f>(WTG_BD[[#This Row],[Work Start TimeStamp]]-WTG_BD[[#This Row],[Fault Start TimeStamp]])*24</f>
        <v>0</v>
      </c>
      <c r="S158" s="34">
        <f>(WTG_BD[[#This Row],[Fault Clearance time]]-WTG_BD[[#This Row],[Work Start TimeStamp]])*24</f>
        <v>0.25000000000000178</v>
      </c>
      <c r="T158" s="34">
        <f>(WTG_BD[[#This Row],[Fault Clearance time]]-WTG_BD[[#This Row],[Fault Start TimeStamp]])*24</f>
        <v>0.25000000000000178</v>
      </c>
      <c r="U158" t="s">
        <v>4323</v>
      </c>
      <c r="V158" s="234" t="s">
        <v>255</v>
      </c>
      <c r="W158" s="50">
        <f>IFERROR(IF(N158="ROW",0,(WTG_BD[[#This Row],[Breakdown Time]]*WTG_BD[[#This Row],[Plant Equivalent Weightage]])),"")</f>
        <v>1.0869565217391384E-2</v>
      </c>
      <c r="X158" s="50"/>
      <c r="Y158" s="205">
        <v>1</v>
      </c>
      <c r="Z158" s="205"/>
      <c r="AA158" s="4">
        <v>3.5999999999999997E-2</v>
      </c>
      <c r="AC158" s="4"/>
    </row>
    <row r="159" spans="1:29">
      <c r="A159" s="10">
        <f t="shared" si="4"/>
        <v>158</v>
      </c>
      <c r="B159" s="43">
        <f>YEAR(WTG_BD[[#This Row],[Date]])+IF(MONTH(WTG_BD[[#This Row],[Date]])&gt;=4,1,0)</f>
        <v>2026</v>
      </c>
      <c r="C159" s="10">
        <v>2025</v>
      </c>
      <c r="D159" s="10" t="s">
        <v>4478</v>
      </c>
      <c r="E159" s="309">
        <f>WTG_BD[[#This Row],[Date]]-DAY(WTG_BD[[#This Row],[Date]])+1</f>
        <v>45748</v>
      </c>
      <c r="F159" s="32">
        <v>45761</v>
      </c>
      <c r="G159" t="s">
        <v>88</v>
      </c>
      <c r="H159" t="str">
        <f>IFERROR(VLOOKUP(WTG_BD[[#This Row],[Affected WTG]],'Basic Data'!$A$3:$E$25,2,0),"")</f>
        <v>O2R1</v>
      </c>
      <c r="I159" t="str">
        <f>IFERROR(VLOOKUP(WTG_BD[[#This Row],[Affected WTG]],'Basic Data'!$A$3:$E$25,3,0),"")</f>
        <v>KSIPL</v>
      </c>
      <c r="J159" s="355">
        <f>IFERROR(VLOOKUP(WTG_BD[[#This Row],[Affected WTG]],'Basic Data'!$A$3:$E$25,5,0),"")</f>
        <v>4.3478260869565223E-2</v>
      </c>
      <c r="K159" s="10">
        <v>3273</v>
      </c>
      <c r="L159" t="str">
        <f>IFERROR(VLOOKUP(WTG_BD[[#This Row],[Error Code]],'Basic Data'!S:T,2,0),"Incorrect Error Code")</f>
        <v>YawUntwistCCW: Code__,_______°</v>
      </c>
      <c r="M159" t="s">
        <v>1963</v>
      </c>
      <c r="O159" s="168">
        <v>0.31736111111111109</v>
      </c>
      <c r="P159" s="168">
        <v>0.31736111111111109</v>
      </c>
      <c r="Q159" s="168">
        <v>0.33819444444444446</v>
      </c>
      <c r="R159" s="356">
        <f>(WTG_BD[[#This Row],[Work Start TimeStamp]]-WTG_BD[[#This Row],[Fault Start TimeStamp]])*24</f>
        <v>0</v>
      </c>
      <c r="S159" s="34">
        <f>(WTG_BD[[#This Row],[Fault Clearance time]]-WTG_BD[[#This Row],[Work Start TimeStamp]])*24</f>
        <v>0.50000000000000089</v>
      </c>
      <c r="T159" s="34">
        <f>(WTG_BD[[#This Row],[Fault Clearance time]]-WTG_BD[[#This Row],[Fault Start TimeStamp]])*24</f>
        <v>0.50000000000000089</v>
      </c>
      <c r="U159" t="s">
        <v>4323</v>
      </c>
      <c r="V159" s="234" t="s">
        <v>255</v>
      </c>
      <c r="W159" s="50">
        <f>IFERROR(IF(N159="ROW",0,(WTG_BD[[#This Row],[Breakdown Time]]*WTG_BD[[#This Row],[Plant Equivalent Weightage]])),"")</f>
        <v>2.173913043478265E-2</v>
      </c>
      <c r="X159" s="50"/>
      <c r="Y159" s="205">
        <v>1</v>
      </c>
      <c r="Z159" s="205"/>
      <c r="AA159" s="4">
        <v>-1E-3</v>
      </c>
      <c r="AC159" s="4"/>
    </row>
    <row r="160" spans="1:29">
      <c r="A160" s="10">
        <f t="shared" si="4"/>
        <v>159</v>
      </c>
      <c r="B160" s="43">
        <f>YEAR(WTG_BD[[#This Row],[Date]])+IF(MONTH(WTG_BD[[#This Row],[Date]])&gt;=4,1,0)</f>
        <v>2026</v>
      </c>
      <c r="C160" s="10">
        <v>2025</v>
      </c>
      <c r="D160" s="10" t="s">
        <v>4478</v>
      </c>
      <c r="E160" s="309">
        <f>WTG_BD[[#This Row],[Date]]-DAY(WTG_BD[[#This Row],[Date]])+1</f>
        <v>45748</v>
      </c>
      <c r="F160" s="32">
        <v>45761</v>
      </c>
      <c r="G160" t="s">
        <v>89</v>
      </c>
      <c r="H160" t="str">
        <f>IFERROR(VLOOKUP(WTG_BD[[#This Row],[Affected WTG]],'Basic Data'!$A$3:$E$25,2,0),"")</f>
        <v>O2R1</v>
      </c>
      <c r="I160" t="str">
        <f>IFERROR(VLOOKUP(WTG_BD[[#This Row],[Affected WTG]],'Basic Data'!$A$3:$E$25,3,0),"")</f>
        <v>KSIPL</v>
      </c>
      <c r="J160" s="355">
        <f>IFERROR(VLOOKUP(WTG_BD[[#This Row],[Affected WTG]],'Basic Data'!$A$3:$E$25,5,0),"")</f>
        <v>4.3478260869565223E-2</v>
      </c>
      <c r="K160" s="10">
        <v>3273</v>
      </c>
      <c r="L160" t="str">
        <f>IFERROR(VLOOKUP(WTG_BD[[#This Row],[Error Code]],'Basic Data'!S:T,2,0),"Incorrect Error Code")</f>
        <v>YawUntwistCCW: Code__,_______°</v>
      </c>
      <c r="M160" t="s">
        <v>1963</v>
      </c>
      <c r="O160" s="168">
        <v>0.31597222222222221</v>
      </c>
      <c r="P160" s="168">
        <v>0.31597222222222221</v>
      </c>
      <c r="Q160" s="168">
        <v>0.33680555555555558</v>
      </c>
      <c r="R160" s="356">
        <f>(WTG_BD[[#This Row],[Work Start TimeStamp]]-WTG_BD[[#This Row],[Fault Start TimeStamp]])*24</f>
        <v>0</v>
      </c>
      <c r="S160" s="34">
        <f>(WTG_BD[[#This Row],[Fault Clearance time]]-WTG_BD[[#This Row],[Work Start TimeStamp]])*24</f>
        <v>0.50000000000000089</v>
      </c>
      <c r="T160" s="34">
        <f>(WTG_BD[[#This Row],[Fault Clearance time]]-WTG_BD[[#This Row],[Fault Start TimeStamp]])*24</f>
        <v>0.50000000000000089</v>
      </c>
      <c r="U160" t="s">
        <v>4323</v>
      </c>
      <c r="V160" s="234" t="s">
        <v>255</v>
      </c>
      <c r="W160" s="50">
        <f>IFERROR(IF(N160="ROW",0,(WTG_BD[[#This Row],[Breakdown Time]]*WTG_BD[[#This Row],[Plant Equivalent Weightage]])),"")</f>
        <v>2.173913043478265E-2</v>
      </c>
      <c r="X160" s="50"/>
      <c r="Y160" s="205">
        <v>1</v>
      </c>
      <c r="Z160" s="205"/>
      <c r="AA160" s="4">
        <v>0</v>
      </c>
      <c r="AC160" s="4"/>
    </row>
    <row r="161" spans="1:29">
      <c r="A161" s="10">
        <f t="shared" si="4"/>
        <v>160</v>
      </c>
      <c r="B161" s="43">
        <f>YEAR(WTG_BD[[#This Row],[Date]])+IF(MONTH(WTG_BD[[#This Row],[Date]])&gt;=4,1,0)</f>
        <v>2026</v>
      </c>
      <c r="C161" s="10">
        <v>2025</v>
      </c>
      <c r="D161" s="10" t="s">
        <v>4478</v>
      </c>
      <c r="E161" s="309">
        <f>WTG_BD[[#This Row],[Date]]-DAY(WTG_BD[[#This Row],[Date]])+1</f>
        <v>45748</v>
      </c>
      <c r="F161" s="32">
        <v>45761</v>
      </c>
      <c r="G161" t="s">
        <v>90</v>
      </c>
      <c r="H161" t="str">
        <f>IFERROR(VLOOKUP(WTG_BD[[#This Row],[Affected WTG]],'Basic Data'!$A$3:$E$25,2,0),"")</f>
        <v>O2R1</v>
      </c>
      <c r="I161" t="str">
        <f>IFERROR(VLOOKUP(WTG_BD[[#This Row],[Affected WTG]],'Basic Data'!$A$3:$E$25,3,0),"")</f>
        <v>KSIPL</v>
      </c>
      <c r="J161" s="355">
        <f>IFERROR(VLOOKUP(WTG_BD[[#This Row],[Affected WTG]],'Basic Data'!$A$3:$E$25,5,0),"")</f>
        <v>4.3478260869565223E-2</v>
      </c>
      <c r="K161" s="10">
        <v>3273</v>
      </c>
      <c r="L161" t="str">
        <f>IFERROR(VLOOKUP(WTG_BD[[#This Row],[Error Code]],'Basic Data'!S:T,2,0),"Incorrect Error Code")</f>
        <v>YawUntwistCCW: Code__,_______°</v>
      </c>
      <c r="M161" t="s">
        <v>1963</v>
      </c>
      <c r="O161" s="168">
        <v>0.64097222222222228</v>
      </c>
      <c r="P161" s="168">
        <v>0.64097222222222228</v>
      </c>
      <c r="Q161" s="168">
        <v>0.65486111111111112</v>
      </c>
      <c r="R161" s="356">
        <f>(WTG_BD[[#This Row],[Work Start TimeStamp]]-WTG_BD[[#This Row],[Fault Start TimeStamp]])*24</f>
        <v>0</v>
      </c>
      <c r="S161" s="34">
        <f>(WTG_BD[[#This Row],[Fault Clearance time]]-WTG_BD[[#This Row],[Work Start TimeStamp]])*24</f>
        <v>0.33333333333333215</v>
      </c>
      <c r="T161" s="34">
        <f>(WTG_BD[[#This Row],[Fault Clearance time]]-WTG_BD[[#This Row],[Fault Start TimeStamp]])*24</f>
        <v>0.33333333333333215</v>
      </c>
      <c r="U161" t="s">
        <v>4323</v>
      </c>
      <c r="V161" s="234" t="s">
        <v>255</v>
      </c>
      <c r="W161" s="50">
        <f>IFERROR(IF(N161="ROW",0,(WTG_BD[[#This Row],[Breakdown Time]]*WTG_BD[[#This Row],[Plant Equivalent Weightage]])),"")</f>
        <v>1.4492753623188356E-2</v>
      </c>
      <c r="X161" s="50"/>
      <c r="Y161" s="205">
        <v>1</v>
      </c>
      <c r="Z161" s="205"/>
      <c r="AA161" s="4">
        <v>4.4999999999999998E-2</v>
      </c>
      <c r="AC161" s="4"/>
    </row>
    <row r="162" spans="1:29">
      <c r="A162" s="10">
        <f t="shared" si="4"/>
        <v>161</v>
      </c>
      <c r="B162" s="43">
        <f>YEAR(WTG_BD[[#This Row],[Date]])+IF(MONTH(WTG_BD[[#This Row],[Date]])&gt;=4,1,0)</f>
        <v>2026</v>
      </c>
      <c r="C162" s="10">
        <v>2025</v>
      </c>
      <c r="D162" s="10" t="s">
        <v>4478</v>
      </c>
      <c r="E162" s="309">
        <f>WTG_BD[[#This Row],[Date]]-DAY(WTG_BD[[#This Row],[Date]])+1</f>
        <v>45748</v>
      </c>
      <c r="F162" s="32">
        <v>45761</v>
      </c>
      <c r="G162" t="s">
        <v>94</v>
      </c>
      <c r="H162" t="str">
        <f>IFERROR(VLOOKUP(WTG_BD[[#This Row],[Affected WTG]],'Basic Data'!$A$3:$E$25,2,0),"")</f>
        <v>O2R1</v>
      </c>
      <c r="I162" t="str">
        <f>IFERROR(VLOOKUP(WTG_BD[[#This Row],[Affected WTG]],'Basic Data'!$A$3:$E$25,3,0),"")</f>
        <v>KSIPL</v>
      </c>
      <c r="J162" s="355">
        <f>IFERROR(VLOOKUP(WTG_BD[[#This Row],[Affected WTG]],'Basic Data'!$A$3:$E$25,5,0),"")</f>
        <v>4.3478260869565223E-2</v>
      </c>
      <c r="K162" s="10">
        <v>2676</v>
      </c>
      <c r="L162" t="str">
        <f>IFERROR(VLOOKUP(WTG_BD[[#This Row],[Error Code]],'Basic Data'!S:T,2,0),"Incorrect Error Code")</f>
        <v>UPS Error</v>
      </c>
      <c r="M162" t="s">
        <v>140</v>
      </c>
      <c r="O162" s="168">
        <v>0.4236111111111111</v>
      </c>
      <c r="P162" s="168">
        <v>0.4236111111111111</v>
      </c>
      <c r="Q162" s="168">
        <v>0.45833333333333331</v>
      </c>
      <c r="R162" s="356">
        <f>(WTG_BD[[#This Row],[Work Start TimeStamp]]-WTG_BD[[#This Row],[Fault Start TimeStamp]])*24</f>
        <v>0</v>
      </c>
      <c r="S162" s="34">
        <f>(WTG_BD[[#This Row],[Fault Clearance time]]-WTG_BD[[#This Row],[Work Start TimeStamp]])*24</f>
        <v>0.83333333333333304</v>
      </c>
      <c r="T162" s="34">
        <f>(WTG_BD[[#This Row],[Fault Clearance time]]-WTG_BD[[#This Row],[Fault Start TimeStamp]])*24</f>
        <v>0.83333333333333304</v>
      </c>
      <c r="U162" t="s">
        <v>4313</v>
      </c>
      <c r="V162" s="234" t="s">
        <v>255</v>
      </c>
      <c r="W162" s="50">
        <f>IFERROR(IF(N162="ROW",0,(WTG_BD[[#This Row],[Breakdown Time]]*WTG_BD[[#This Row],[Plant Equivalent Weightage]])),"")</f>
        <v>3.6231884057971009E-2</v>
      </c>
      <c r="X162" s="50"/>
      <c r="Y162" s="205">
        <v>1</v>
      </c>
      <c r="Z162" s="205"/>
      <c r="AA162" s="4">
        <v>-2E-3</v>
      </c>
      <c r="AC162" s="4"/>
    </row>
    <row r="163" spans="1:29">
      <c r="A163" s="10">
        <f t="shared" si="4"/>
        <v>162</v>
      </c>
      <c r="B163" s="43">
        <f>YEAR(WTG_BD[[#This Row],[Date]])+IF(MONTH(WTG_BD[[#This Row],[Date]])&gt;=4,1,0)</f>
        <v>2026</v>
      </c>
      <c r="C163" s="10">
        <v>2025</v>
      </c>
      <c r="D163" s="10" t="s">
        <v>4478</v>
      </c>
      <c r="E163" s="309">
        <f>WTG_BD[[#This Row],[Date]]-DAY(WTG_BD[[#This Row],[Date]])+1</f>
        <v>45748</v>
      </c>
      <c r="F163" s="32">
        <v>45761</v>
      </c>
      <c r="G163" t="s">
        <v>94</v>
      </c>
      <c r="H163" t="str">
        <f>IFERROR(VLOOKUP(WTG_BD[[#This Row],[Affected WTG]],'Basic Data'!$A$3:$E$25,2,0),"")</f>
        <v>O2R1</v>
      </c>
      <c r="I163" t="str">
        <f>IFERROR(VLOOKUP(WTG_BD[[#This Row],[Affected WTG]],'Basic Data'!$A$3:$E$25,3,0),"")</f>
        <v>KSIPL</v>
      </c>
      <c r="J163" s="355">
        <f>IFERROR(VLOOKUP(WTG_BD[[#This Row],[Affected WTG]],'Basic Data'!$A$3:$E$25,5,0),"")</f>
        <v>4.3478260869565223E-2</v>
      </c>
      <c r="K163" s="10">
        <v>3273</v>
      </c>
      <c r="L163" t="str">
        <f>IFERROR(VLOOKUP(WTG_BD[[#This Row],[Error Code]],'Basic Data'!S:T,2,0),"Incorrect Error Code")</f>
        <v>YawUntwistCCW: Code__,_______°</v>
      </c>
      <c r="M163" t="s">
        <v>1963</v>
      </c>
      <c r="O163" s="168">
        <v>0.65902777777777777</v>
      </c>
      <c r="P163" s="168">
        <v>0.65902777777777777</v>
      </c>
      <c r="Q163" s="168">
        <v>0.67361111111111116</v>
      </c>
      <c r="R163" s="356">
        <f>(WTG_BD[[#This Row],[Work Start TimeStamp]]-WTG_BD[[#This Row],[Fault Start TimeStamp]])*24</f>
        <v>0</v>
      </c>
      <c r="S163" s="34">
        <f>(WTG_BD[[#This Row],[Fault Clearance time]]-WTG_BD[[#This Row],[Work Start TimeStamp]])*24</f>
        <v>0.35000000000000142</v>
      </c>
      <c r="T163" s="34">
        <f>(WTG_BD[[#This Row],[Fault Clearance time]]-WTG_BD[[#This Row],[Fault Start TimeStamp]])*24</f>
        <v>0.35000000000000142</v>
      </c>
      <c r="U163" t="s">
        <v>4323</v>
      </c>
      <c r="V163" s="234" t="s">
        <v>255</v>
      </c>
      <c r="W163" s="50">
        <f>IFERROR(IF(N163="ROW",0,(WTG_BD[[#This Row],[Breakdown Time]]*WTG_BD[[#This Row],[Plant Equivalent Weightage]])),"")</f>
        <v>1.5217391304347889E-2</v>
      </c>
      <c r="X163" s="50"/>
      <c r="Y163" s="205">
        <v>1</v>
      </c>
      <c r="Z163" s="205"/>
      <c r="AA163" s="4">
        <v>2.9000000000000001E-2</v>
      </c>
      <c r="AC163" s="4"/>
    </row>
    <row r="164" spans="1:29">
      <c r="A164" s="10">
        <f t="shared" si="4"/>
        <v>163</v>
      </c>
      <c r="B164" s="43">
        <f>YEAR(WTG_BD[[#This Row],[Date]])+IF(MONTH(WTG_BD[[#This Row],[Date]])&gt;=4,1,0)</f>
        <v>2026</v>
      </c>
      <c r="C164" s="10">
        <v>2025</v>
      </c>
      <c r="D164" s="10" t="s">
        <v>4478</v>
      </c>
      <c r="E164" s="309">
        <f>WTG_BD[[#This Row],[Date]]-DAY(WTG_BD[[#This Row],[Date]])+1</f>
        <v>45748</v>
      </c>
      <c r="F164" s="32">
        <v>45761</v>
      </c>
      <c r="G164" t="s">
        <v>95</v>
      </c>
      <c r="H164" t="str">
        <f>IFERROR(VLOOKUP(WTG_BD[[#This Row],[Affected WTG]],'Basic Data'!$A$3:$E$25,2,0),"")</f>
        <v>O2R1</v>
      </c>
      <c r="I164" t="str">
        <f>IFERROR(VLOOKUP(WTG_BD[[#This Row],[Affected WTG]],'Basic Data'!$A$3:$E$25,3,0),"")</f>
        <v>KSIPL</v>
      </c>
      <c r="J164" s="355">
        <f>IFERROR(VLOOKUP(WTG_BD[[#This Row],[Affected WTG]],'Basic Data'!$A$3:$E$25,5,0),"")</f>
        <v>4.3478260869565223E-2</v>
      </c>
      <c r="K164" s="10">
        <v>3273</v>
      </c>
      <c r="L164" t="str">
        <f>IFERROR(VLOOKUP(WTG_BD[[#This Row],[Error Code]],'Basic Data'!S:T,2,0),"Incorrect Error Code")</f>
        <v>YawUntwistCCW: Code__,_______°</v>
      </c>
      <c r="M164" t="s">
        <v>1963</v>
      </c>
      <c r="O164" s="168">
        <v>0.63124999999999998</v>
      </c>
      <c r="P164" s="168">
        <v>0.63124999999999998</v>
      </c>
      <c r="Q164" s="168">
        <v>0.64513888888888893</v>
      </c>
      <c r="R164" s="356">
        <f>(WTG_BD[[#This Row],[Work Start TimeStamp]]-WTG_BD[[#This Row],[Fault Start TimeStamp]])*24</f>
        <v>0</v>
      </c>
      <c r="S164" s="34">
        <f>(WTG_BD[[#This Row],[Fault Clearance time]]-WTG_BD[[#This Row],[Work Start TimeStamp]])*24</f>
        <v>0.33333333333333481</v>
      </c>
      <c r="T164" s="34">
        <f>(WTG_BD[[#This Row],[Fault Clearance time]]-WTG_BD[[#This Row],[Fault Start TimeStamp]])*24</f>
        <v>0.33333333333333481</v>
      </c>
      <c r="U164" t="s">
        <v>4323</v>
      </c>
      <c r="V164" s="234" t="s">
        <v>255</v>
      </c>
      <c r="W164" s="50">
        <f>IFERROR(IF(N164="ROW",0,(WTG_BD[[#This Row],[Breakdown Time]]*WTG_BD[[#This Row],[Plant Equivalent Weightage]])),"")</f>
        <v>1.4492753623188472E-2</v>
      </c>
      <c r="X164" s="50"/>
      <c r="Y164" s="205">
        <v>1</v>
      </c>
      <c r="Z164" s="205"/>
      <c r="AA164" s="4">
        <v>6.0000000000000001E-3</v>
      </c>
      <c r="AC164" s="4"/>
    </row>
    <row r="165" spans="1:29">
      <c r="A165" s="10">
        <f t="shared" si="4"/>
        <v>164</v>
      </c>
      <c r="B165" s="43">
        <f>YEAR(WTG_BD[[#This Row],[Date]])+IF(MONTH(WTG_BD[[#This Row],[Date]])&gt;=4,1,0)</f>
        <v>2026</v>
      </c>
      <c r="C165" s="10">
        <v>2025</v>
      </c>
      <c r="D165" s="10" t="s">
        <v>4478</v>
      </c>
      <c r="E165" s="309">
        <f>WTG_BD[[#This Row],[Date]]-DAY(WTG_BD[[#This Row],[Date]])+1</f>
        <v>45748</v>
      </c>
      <c r="F165" s="32">
        <v>45761</v>
      </c>
      <c r="G165" t="s">
        <v>95</v>
      </c>
      <c r="H165" t="str">
        <f>IFERROR(VLOOKUP(WTG_BD[[#This Row],[Affected WTG]],'Basic Data'!$A$3:$E$25,2,0),"")</f>
        <v>O2R1</v>
      </c>
      <c r="I165" t="str">
        <f>IFERROR(VLOOKUP(WTG_BD[[#This Row],[Affected WTG]],'Basic Data'!$A$3:$E$25,3,0),"")</f>
        <v>KSIPL</v>
      </c>
      <c r="J165" s="355">
        <f>IFERROR(VLOOKUP(WTG_BD[[#This Row],[Affected WTG]],'Basic Data'!$A$3:$E$25,5,0),"")</f>
        <v>4.3478260869565223E-2</v>
      </c>
      <c r="K165" s="10">
        <v>5470</v>
      </c>
      <c r="L165" t="str">
        <f>IFERROR(VLOOKUP(WTG_BD[[#This Row],[Error Code]],'Basic Data'!S:T,2,0),"Incorrect Error Code")</f>
        <v>GeneratorBreakerFBResponse</v>
      </c>
      <c r="M165" t="s">
        <v>291</v>
      </c>
      <c r="O165" s="168">
        <v>0.76388888888888884</v>
      </c>
      <c r="P165" s="168">
        <v>0.76388888888888884</v>
      </c>
      <c r="Q165" s="168">
        <v>0.85555555555555551</v>
      </c>
      <c r="R165" s="356">
        <f>(WTG_BD[[#This Row],[Work Start TimeStamp]]-WTG_BD[[#This Row],[Fault Start TimeStamp]])*24</f>
        <v>0</v>
      </c>
      <c r="S165" s="34">
        <f>(WTG_BD[[#This Row],[Fault Clearance time]]-WTG_BD[[#This Row],[Work Start TimeStamp]])*24</f>
        <v>2.2000000000000002</v>
      </c>
      <c r="T165" s="34">
        <f>(WTG_BD[[#This Row],[Fault Clearance time]]-WTG_BD[[#This Row],[Fault Start TimeStamp]])*24</f>
        <v>2.2000000000000002</v>
      </c>
      <c r="U165" t="s">
        <v>4505</v>
      </c>
      <c r="V165" s="234" t="s">
        <v>255</v>
      </c>
      <c r="W165" s="50">
        <f>IFERROR(IF(N165="ROW",0,(WTG_BD[[#This Row],[Breakdown Time]]*WTG_BD[[#This Row],[Plant Equivalent Weightage]])),"")</f>
        <v>9.5652173913043495E-2</v>
      </c>
      <c r="X165" s="50"/>
      <c r="Y165" s="205">
        <v>1</v>
      </c>
      <c r="Z165" s="205"/>
      <c r="AA165" s="4">
        <v>0.186</v>
      </c>
      <c r="AC165" s="4"/>
    </row>
    <row r="166" spans="1:29">
      <c r="A166" s="10">
        <f t="shared" si="4"/>
        <v>165</v>
      </c>
      <c r="B166" s="43">
        <f>YEAR(WTG_BD[[#This Row],[Date]])+IF(MONTH(WTG_BD[[#This Row],[Date]])&gt;=4,1,0)</f>
        <v>2026</v>
      </c>
      <c r="C166" s="10">
        <v>2025</v>
      </c>
      <c r="D166" s="10" t="s">
        <v>4478</v>
      </c>
      <c r="E166" s="309">
        <f>WTG_BD[[#This Row],[Date]]-DAY(WTG_BD[[#This Row],[Date]])+1</f>
        <v>45748</v>
      </c>
      <c r="F166" s="32">
        <v>45761</v>
      </c>
      <c r="G166" t="s">
        <v>77</v>
      </c>
      <c r="H166" t="str">
        <f>IFERROR(VLOOKUP(WTG_BD[[#This Row],[Affected WTG]],'Basic Data'!$A$3:$E$25,2,0),"")</f>
        <v>O2R3</v>
      </c>
      <c r="I166" t="str">
        <f>IFERROR(VLOOKUP(WTG_BD[[#This Row],[Affected WTG]],'Basic Data'!$A$3:$E$25,3,0),"")</f>
        <v>JK</v>
      </c>
      <c r="J166" s="355">
        <f>IFERROR(VLOOKUP(WTG_BD[[#This Row],[Affected WTG]],'Basic Data'!$A$3:$E$25,5,0),"")</f>
        <v>4.3478260869565223E-2</v>
      </c>
      <c r="K166" s="10">
        <v>3273</v>
      </c>
      <c r="L166" t="str">
        <f>IFERROR(VLOOKUP(WTG_BD[[#This Row],[Error Code]],'Basic Data'!S:T,2,0),"Incorrect Error Code")</f>
        <v>YawUntwistCCW: Code__,_______°</v>
      </c>
      <c r="M166" t="s">
        <v>1963</v>
      </c>
      <c r="O166" s="168">
        <v>0.71111111111111114</v>
      </c>
      <c r="P166" s="168">
        <v>0.71111111111111114</v>
      </c>
      <c r="Q166" s="168">
        <v>0.72499999999999998</v>
      </c>
      <c r="R166" s="356">
        <f>(WTG_BD[[#This Row],[Work Start TimeStamp]]-WTG_BD[[#This Row],[Fault Start TimeStamp]])*24</f>
        <v>0</v>
      </c>
      <c r="S166" s="34">
        <f>(WTG_BD[[#This Row],[Fault Clearance time]]-WTG_BD[[#This Row],[Work Start TimeStamp]])*24</f>
        <v>0.33333333333333215</v>
      </c>
      <c r="T166" s="34">
        <f>(WTG_BD[[#This Row],[Fault Clearance time]]-WTG_BD[[#This Row],[Fault Start TimeStamp]])*24</f>
        <v>0.33333333333333215</v>
      </c>
      <c r="U166" t="s">
        <v>4323</v>
      </c>
      <c r="V166" s="234" t="s">
        <v>255</v>
      </c>
      <c r="W166" s="50">
        <f>IFERROR(IF(N166="ROW",0,(WTG_BD[[#This Row],[Breakdown Time]]*WTG_BD[[#This Row],[Plant Equivalent Weightage]])),"")</f>
        <v>1.4492753623188356E-2</v>
      </c>
      <c r="X166" s="50"/>
      <c r="Y166" s="205">
        <v>1</v>
      </c>
      <c r="Z166" s="205"/>
      <c r="AA166" s="4">
        <v>0.04</v>
      </c>
      <c r="AC166" s="4"/>
    </row>
    <row r="167" spans="1:29">
      <c r="A167" s="10">
        <f t="shared" si="4"/>
        <v>166</v>
      </c>
      <c r="B167" s="43">
        <f>YEAR(WTG_BD[[#This Row],[Date]])+IF(MONTH(WTG_BD[[#This Row],[Date]])&gt;=4,1,0)</f>
        <v>2026</v>
      </c>
      <c r="C167" s="10">
        <v>2025</v>
      </c>
      <c r="D167" s="10" t="s">
        <v>4478</v>
      </c>
      <c r="E167" s="309">
        <f>WTG_BD[[#This Row],[Date]]-DAY(WTG_BD[[#This Row],[Date]])+1</f>
        <v>45748</v>
      </c>
      <c r="F167" s="32">
        <v>45761</v>
      </c>
      <c r="G167" t="s">
        <v>79</v>
      </c>
      <c r="H167" t="str">
        <f>IFERROR(VLOOKUP(WTG_BD[[#This Row],[Affected WTG]],'Basic Data'!$A$3:$E$25,2,0),"")</f>
        <v>O2R3</v>
      </c>
      <c r="I167" t="str">
        <f>IFERROR(VLOOKUP(WTG_BD[[#This Row],[Affected WTG]],'Basic Data'!$A$3:$E$25,3,0),"")</f>
        <v>JK</v>
      </c>
      <c r="J167" s="355">
        <f>IFERROR(VLOOKUP(WTG_BD[[#This Row],[Affected WTG]],'Basic Data'!$A$3:$E$25,5,0),"")</f>
        <v>4.3478260869565223E-2</v>
      </c>
      <c r="K167" s="10">
        <v>3273</v>
      </c>
      <c r="L167" t="str">
        <f>IFERROR(VLOOKUP(WTG_BD[[#This Row],[Error Code]],'Basic Data'!S:T,2,0),"Incorrect Error Code")</f>
        <v>YawUntwistCCW: Code__,_______°</v>
      </c>
      <c r="M167" t="s">
        <v>1963</v>
      </c>
      <c r="O167" s="168">
        <v>0.62986111111111109</v>
      </c>
      <c r="P167" s="168">
        <v>0.62986111111111109</v>
      </c>
      <c r="Q167" s="168">
        <v>0.64513888888888893</v>
      </c>
      <c r="R167" s="356">
        <f>(WTG_BD[[#This Row],[Work Start TimeStamp]]-WTG_BD[[#This Row],[Fault Start TimeStamp]])*24</f>
        <v>0</v>
      </c>
      <c r="S167" s="34">
        <f>(WTG_BD[[#This Row],[Fault Clearance time]]-WTG_BD[[#This Row],[Work Start TimeStamp]])*24</f>
        <v>0.36666666666666803</v>
      </c>
      <c r="T167" s="34">
        <f>(WTG_BD[[#This Row],[Fault Clearance time]]-WTG_BD[[#This Row],[Fault Start TimeStamp]])*24</f>
        <v>0.36666666666666803</v>
      </c>
      <c r="U167" t="s">
        <v>4323</v>
      </c>
      <c r="V167" s="234" t="s">
        <v>255</v>
      </c>
      <c r="W167" s="50">
        <f>IFERROR(IF(N167="ROW",0,(WTG_BD[[#This Row],[Breakdown Time]]*WTG_BD[[#This Row],[Plant Equivalent Weightage]])),"")</f>
        <v>1.5942028985507308E-2</v>
      </c>
      <c r="X167" s="50"/>
      <c r="Y167" s="205">
        <v>1</v>
      </c>
      <c r="Z167" s="205"/>
      <c r="AA167" s="4">
        <v>8.0000000000000002E-3</v>
      </c>
      <c r="AC167" s="4"/>
    </row>
    <row r="168" spans="1:29">
      <c r="A168" s="10">
        <f t="shared" si="4"/>
        <v>167</v>
      </c>
      <c r="B168" s="43">
        <f>YEAR(WTG_BD[[#This Row],[Date]])+IF(MONTH(WTG_BD[[#This Row],[Date]])&gt;=4,1,0)</f>
        <v>2026</v>
      </c>
      <c r="C168" s="10">
        <v>2025</v>
      </c>
      <c r="D168" s="10" t="s">
        <v>4478</v>
      </c>
      <c r="E168" s="309">
        <f>WTG_BD[[#This Row],[Date]]-DAY(WTG_BD[[#This Row],[Date]])+1</f>
        <v>45748</v>
      </c>
      <c r="F168" s="32">
        <v>45761</v>
      </c>
      <c r="G168" t="s">
        <v>80</v>
      </c>
      <c r="H168" t="str">
        <f>IFERROR(VLOOKUP(WTG_BD[[#This Row],[Affected WTG]],'Basic Data'!$A$3:$E$25,2,0),"")</f>
        <v>O2R3</v>
      </c>
      <c r="I168" t="str">
        <f>IFERROR(VLOOKUP(WTG_BD[[#This Row],[Affected WTG]],'Basic Data'!$A$3:$E$25,3,0),"")</f>
        <v>JK</v>
      </c>
      <c r="J168" s="355">
        <f>IFERROR(VLOOKUP(WTG_BD[[#This Row],[Affected WTG]],'Basic Data'!$A$3:$E$25,5,0),"")</f>
        <v>4.3478260869565223E-2</v>
      </c>
      <c r="K168" s="10">
        <v>3273</v>
      </c>
      <c r="L168" t="str">
        <f>IFERROR(VLOOKUP(WTG_BD[[#This Row],[Error Code]],'Basic Data'!S:T,2,0),"Incorrect Error Code")</f>
        <v>YawUntwistCCW: Code__,_______°</v>
      </c>
      <c r="M168" t="s">
        <v>1963</v>
      </c>
      <c r="O168" s="168">
        <v>0.36041666666666666</v>
      </c>
      <c r="P168" s="168">
        <v>0.36041666666666666</v>
      </c>
      <c r="Q168" s="168">
        <v>0.37430555555555556</v>
      </c>
      <c r="R168" s="356">
        <f>(WTG_BD[[#This Row],[Work Start TimeStamp]]-WTG_BD[[#This Row],[Fault Start TimeStamp]])*24</f>
        <v>0</v>
      </c>
      <c r="S168" s="34">
        <f>(WTG_BD[[#This Row],[Fault Clearance time]]-WTG_BD[[#This Row],[Work Start TimeStamp]])*24</f>
        <v>0.33333333333333348</v>
      </c>
      <c r="T168" s="34">
        <f>(WTG_BD[[#This Row],[Fault Clearance time]]-WTG_BD[[#This Row],[Fault Start TimeStamp]])*24</f>
        <v>0.33333333333333348</v>
      </c>
      <c r="U168" t="s">
        <v>4323</v>
      </c>
      <c r="V168" s="234" t="s">
        <v>255</v>
      </c>
      <c r="W168" s="50">
        <f>IFERROR(IF(N168="ROW",0,(WTG_BD[[#This Row],[Breakdown Time]]*WTG_BD[[#This Row],[Plant Equivalent Weightage]])),"")</f>
        <v>1.4492753623188415E-2</v>
      </c>
      <c r="X168" s="50"/>
      <c r="Y168" s="205">
        <v>1</v>
      </c>
      <c r="Z168" s="205"/>
      <c r="AA168" s="4">
        <v>0</v>
      </c>
      <c r="AC168" s="4"/>
    </row>
    <row r="169" spans="1:29">
      <c r="A169" s="10">
        <f t="shared" si="4"/>
        <v>168</v>
      </c>
      <c r="B169" s="43">
        <f>YEAR(WTG_BD[[#This Row],[Date]])+IF(MONTH(WTG_BD[[#This Row],[Date]])&gt;=4,1,0)</f>
        <v>2026</v>
      </c>
      <c r="C169" s="10">
        <v>2025</v>
      </c>
      <c r="D169" s="10" t="s">
        <v>4478</v>
      </c>
      <c r="E169" s="309">
        <f>WTG_BD[[#This Row],[Date]]-DAY(WTG_BD[[#This Row],[Date]])+1</f>
        <v>45748</v>
      </c>
      <c r="F169" s="32">
        <v>45761</v>
      </c>
      <c r="G169" t="s">
        <v>81</v>
      </c>
      <c r="H169" t="str">
        <f>IFERROR(VLOOKUP(WTG_BD[[#This Row],[Affected WTG]],'Basic Data'!$A$3:$E$25,2,0),"")</f>
        <v>O2R3</v>
      </c>
      <c r="I169" t="str">
        <f>IFERROR(VLOOKUP(WTG_BD[[#This Row],[Affected WTG]],'Basic Data'!$A$3:$E$25,3,0),"")</f>
        <v>JK</v>
      </c>
      <c r="J169" s="355">
        <f>IFERROR(VLOOKUP(WTG_BD[[#This Row],[Affected WTG]],'Basic Data'!$A$3:$E$25,5,0),"")</f>
        <v>4.3478260869565223E-2</v>
      </c>
      <c r="K169" s="10">
        <v>3273</v>
      </c>
      <c r="L169" t="str">
        <f>IFERROR(VLOOKUP(WTG_BD[[#This Row],[Error Code]],'Basic Data'!S:T,2,0),"Incorrect Error Code")</f>
        <v>YawUntwistCCW: Code__,_______°</v>
      </c>
      <c r="M169" t="s">
        <v>1963</v>
      </c>
      <c r="O169" s="168">
        <v>0.42291666666666666</v>
      </c>
      <c r="P169" s="168">
        <v>0.42291666666666666</v>
      </c>
      <c r="Q169" s="168">
        <v>0.43819444444444444</v>
      </c>
      <c r="R169" s="356">
        <f>(WTG_BD[[#This Row],[Work Start TimeStamp]]-WTG_BD[[#This Row],[Fault Start TimeStamp]])*24</f>
        <v>0</v>
      </c>
      <c r="S169" s="34">
        <f>(WTG_BD[[#This Row],[Fault Clearance time]]-WTG_BD[[#This Row],[Work Start TimeStamp]])*24</f>
        <v>0.3666666666666667</v>
      </c>
      <c r="T169" s="34">
        <f>(WTG_BD[[#This Row],[Fault Clearance time]]-WTG_BD[[#This Row],[Fault Start TimeStamp]])*24</f>
        <v>0.3666666666666667</v>
      </c>
      <c r="U169" t="s">
        <v>4323</v>
      </c>
      <c r="V169" s="234" t="s">
        <v>255</v>
      </c>
      <c r="W169" s="50">
        <f>IFERROR(IF(N169="ROW",0,(WTG_BD[[#This Row],[Breakdown Time]]*WTG_BD[[#This Row],[Plant Equivalent Weightage]])),"")</f>
        <v>1.5942028985507249E-2</v>
      </c>
      <c r="X169" s="50"/>
      <c r="Y169" s="205">
        <v>1</v>
      </c>
      <c r="Z169" s="205"/>
      <c r="AA169" s="4">
        <v>1E-3</v>
      </c>
      <c r="AC169" s="4"/>
    </row>
    <row r="170" spans="1:29">
      <c r="A170" s="10">
        <f t="shared" si="4"/>
        <v>169</v>
      </c>
      <c r="B170" s="43">
        <f>YEAR(WTG_BD[[#This Row],[Date]])+IF(MONTH(WTG_BD[[#This Row],[Date]])&gt;=4,1,0)</f>
        <v>2026</v>
      </c>
      <c r="C170" s="10">
        <v>2025</v>
      </c>
      <c r="D170" s="10" t="s">
        <v>4478</v>
      </c>
      <c r="E170" s="309">
        <f>WTG_BD[[#This Row],[Date]]-DAY(WTG_BD[[#This Row],[Date]])+1</f>
        <v>45748</v>
      </c>
      <c r="F170" s="32">
        <v>45761</v>
      </c>
      <c r="G170" t="s">
        <v>82</v>
      </c>
      <c r="H170" t="str">
        <f>IFERROR(VLOOKUP(WTG_BD[[#This Row],[Affected WTG]],'Basic Data'!$A$3:$E$25,2,0),"")</f>
        <v>O2R3</v>
      </c>
      <c r="I170" t="str">
        <f>IFERROR(VLOOKUP(WTG_BD[[#This Row],[Affected WTG]],'Basic Data'!$A$3:$E$25,3,0),"")</f>
        <v>JK</v>
      </c>
      <c r="J170" s="355">
        <f>IFERROR(VLOOKUP(WTG_BD[[#This Row],[Affected WTG]],'Basic Data'!$A$3:$E$25,5,0),"")</f>
        <v>4.3478260869565223E-2</v>
      </c>
      <c r="K170" s="10">
        <v>3273</v>
      </c>
      <c r="L170" t="str">
        <f>IFERROR(VLOOKUP(WTG_BD[[#This Row],[Error Code]],'Basic Data'!S:T,2,0),"Incorrect Error Code")</f>
        <v>YawUntwistCCW: Code__,_______°</v>
      </c>
      <c r="M170" t="s">
        <v>1963</v>
      </c>
      <c r="O170" s="168">
        <v>0.48125000000000001</v>
      </c>
      <c r="P170" s="168">
        <v>0.48125000000000001</v>
      </c>
      <c r="Q170" s="168">
        <v>0.49652777777777779</v>
      </c>
      <c r="R170" s="356">
        <f>(WTG_BD[[#This Row],[Work Start TimeStamp]]-WTG_BD[[#This Row],[Fault Start TimeStamp]])*24</f>
        <v>0</v>
      </c>
      <c r="S170" s="34">
        <f>(WTG_BD[[#This Row],[Fault Clearance time]]-WTG_BD[[#This Row],[Work Start TimeStamp]])*24</f>
        <v>0.3666666666666667</v>
      </c>
      <c r="T170" s="34">
        <f>(WTG_BD[[#This Row],[Fault Clearance time]]-WTG_BD[[#This Row],[Fault Start TimeStamp]])*24</f>
        <v>0.3666666666666667</v>
      </c>
      <c r="U170" t="s">
        <v>4323</v>
      </c>
      <c r="V170" s="234" t="s">
        <v>255</v>
      </c>
      <c r="W170" s="50">
        <f>IFERROR(IF(N170="ROW",0,(WTG_BD[[#This Row],[Breakdown Time]]*WTG_BD[[#This Row],[Plant Equivalent Weightage]])),"")</f>
        <v>1.5942028985507249E-2</v>
      </c>
      <c r="X170" s="50"/>
      <c r="Y170" s="205">
        <v>1</v>
      </c>
      <c r="Z170" s="205"/>
      <c r="AA170" s="4">
        <v>5.0000000000000001E-3</v>
      </c>
      <c r="AC170" s="4"/>
    </row>
    <row r="171" spans="1:29">
      <c r="A171" s="10">
        <f t="shared" si="4"/>
        <v>170</v>
      </c>
      <c r="B171" s="43">
        <f>YEAR(WTG_BD[[#This Row],[Date]])+IF(MONTH(WTG_BD[[#This Row],[Date]])&gt;=4,1,0)</f>
        <v>2026</v>
      </c>
      <c r="C171" s="10">
        <v>2025</v>
      </c>
      <c r="D171" s="10" t="s">
        <v>4478</v>
      </c>
      <c r="E171" s="309">
        <f>WTG_BD[[#This Row],[Date]]-DAY(WTG_BD[[#This Row],[Date]])+1</f>
        <v>45748</v>
      </c>
      <c r="F171" s="32">
        <v>45761</v>
      </c>
      <c r="G171" t="s">
        <v>84</v>
      </c>
      <c r="H171" t="str">
        <f>IFERROR(VLOOKUP(WTG_BD[[#This Row],[Affected WTG]],'Basic Data'!$A$3:$E$25,2,0),"")</f>
        <v>O2R3</v>
      </c>
      <c r="I171" t="str">
        <f>IFERROR(VLOOKUP(WTG_BD[[#This Row],[Affected WTG]],'Basic Data'!$A$3:$E$25,3,0),"")</f>
        <v>JK</v>
      </c>
      <c r="J171" s="355">
        <f>IFERROR(VLOOKUP(WTG_BD[[#This Row],[Affected WTG]],'Basic Data'!$A$3:$E$25,5,0),"")</f>
        <v>4.3478260869565223E-2</v>
      </c>
      <c r="K171" s="10">
        <v>3273</v>
      </c>
      <c r="L171" t="str">
        <f>IFERROR(VLOOKUP(WTG_BD[[#This Row],[Error Code]],'Basic Data'!S:T,2,0),"Incorrect Error Code")</f>
        <v>YawUntwistCCW: Code__,_______°</v>
      </c>
      <c r="M171" t="s">
        <v>1963</v>
      </c>
      <c r="O171" s="168">
        <v>0.56597222222222221</v>
      </c>
      <c r="P171" s="168">
        <v>0.56597222222222221</v>
      </c>
      <c r="Q171" s="168">
        <v>0.57986111111111116</v>
      </c>
      <c r="R171" s="356">
        <f>(WTG_BD[[#This Row],[Work Start TimeStamp]]-WTG_BD[[#This Row],[Fault Start TimeStamp]])*24</f>
        <v>0</v>
      </c>
      <c r="S171" s="34">
        <f>(WTG_BD[[#This Row],[Fault Clearance time]]-WTG_BD[[#This Row],[Work Start TimeStamp]])*24</f>
        <v>0.33333333333333481</v>
      </c>
      <c r="T171" s="34">
        <f>(WTG_BD[[#This Row],[Fault Clearance time]]-WTG_BD[[#This Row],[Fault Start TimeStamp]])*24</f>
        <v>0.33333333333333481</v>
      </c>
      <c r="U171" t="s">
        <v>4323</v>
      </c>
      <c r="V171" s="234" t="s">
        <v>255</v>
      </c>
      <c r="W171" s="50">
        <f>IFERROR(IF(N171="ROW",0,(WTG_BD[[#This Row],[Breakdown Time]]*WTG_BD[[#This Row],[Plant Equivalent Weightage]])),"")</f>
        <v>1.4492753623188472E-2</v>
      </c>
      <c r="X171" s="50"/>
      <c r="Y171" s="205">
        <v>1</v>
      </c>
      <c r="Z171" s="205"/>
      <c r="AA171" s="4">
        <v>0.02</v>
      </c>
      <c r="AC171" s="4"/>
    </row>
    <row r="172" spans="1:29">
      <c r="A172" s="10">
        <f t="shared" si="4"/>
        <v>171</v>
      </c>
      <c r="B172" s="43">
        <f>YEAR(WTG_BD[[#This Row],[Date]])+IF(MONTH(WTG_BD[[#This Row],[Date]])&gt;=4,1,0)</f>
        <v>2026</v>
      </c>
      <c r="C172" s="10">
        <v>2025</v>
      </c>
      <c r="D172" s="10" t="s">
        <v>4478</v>
      </c>
      <c r="E172" s="309">
        <f>WTG_BD[[#This Row],[Date]]-DAY(WTG_BD[[#This Row],[Date]])+1</f>
        <v>45748</v>
      </c>
      <c r="F172" s="32">
        <v>45761</v>
      </c>
      <c r="G172" t="s">
        <v>91</v>
      </c>
      <c r="H172" t="str">
        <f>IFERROR(VLOOKUP(WTG_BD[[#This Row],[Affected WTG]],'Basic Data'!$A$3:$E$25,2,0),"")</f>
        <v>O2R2</v>
      </c>
      <c r="I172" t="str">
        <f>IFERROR(VLOOKUP(WTG_BD[[#This Row],[Affected WTG]],'Basic Data'!$A$3:$E$25,3,0),"")</f>
        <v>SIL</v>
      </c>
      <c r="J172" s="355">
        <f>IFERROR(VLOOKUP(WTG_BD[[#This Row],[Affected WTG]],'Basic Data'!$A$3:$E$25,5,0),"")</f>
        <v>4.3478260869565223E-2</v>
      </c>
      <c r="K172" s="10">
        <v>3273</v>
      </c>
      <c r="L172" t="str">
        <f>IFERROR(VLOOKUP(WTG_BD[[#This Row],[Error Code]],'Basic Data'!S:T,2,0),"Incorrect Error Code")</f>
        <v>YawUntwistCCW: Code__,_______°</v>
      </c>
      <c r="M172" t="s">
        <v>1963</v>
      </c>
      <c r="O172" s="168">
        <v>0.65</v>
      </c>
      <c r="P172" s="168">
        <v>0.65</v>
      </c>
      <c r="Q172" s="168">
        <v>0.6645833333333333</v>
      </c>
      <c r="R172" s="356">
        <f>(WTG_BD[[#This Row],[Work Start TimeStamp]]-WTG_BD[[#This Row],[Fault Start TimeStamp]])*24</f>
        <v>0</v>
      </c>
      <c r="S172" s="34">
        <f>(WTG_BD[[#This Row],[Fault Clearance time]]-WTG_BD[[#This Row],[Work Start TimeStamp]])*24</f>
        <v>0.34999999999999876</v>
      </c>
      <c r="T172" s="34">
        <f>(WTG_BD[[#This Row],[Fault Clearance time]]-WTG_BD[[#This Row],[Fault Start TimeStamp]])*24</f>
        <v>0.34999999999999876</v>
      </c>
      <c r="U172" t="s">
        <v>4323</v>
      </c>
      <c r="V172" s="234" t="s">
        <v>255</v>
      </c>
      <c r="W172" s="50">
        <f>IFERROR(IF(N172="ROW",0,(WTG_BD[[#This Row],[Breakdown Time]]*WTG_BD[[#This Row],[Plant Equivalent Weightage]])),"")</f>
        <v>1.5217391304347775E-2</v>
      </c>
      <c r="X172" s="50"/>
      <c r="Y172" s="205">
        <v>1</v>
      </c>
      <c r="Z172" s="205"/>
      <c r="AA172" s="4">
        <v>4.2000000000000003E-2</v>
      </c>
      <c r="AC172" s="4"/>
    </row>
    <row r="173" spans="1:29">
      <c r="A173" s="10">
        <f t="shared" si="4"/>
        <v>172</v>
      </c>
      <c r="B173" s="43">
        <f>YEAR(WTG_BD[[#This Row],[Date]])+IF(MONTH(WTG_BD[[#This Row],[Date]])&gt;=4,1,0)</f>
        <v>2026</v>
      </c>
      <c r="C173" s="10">
        <v>2025</v>
      </c>
      <c r="D173" s="10" t="s">
        <v>4478</v>
      </c>
      <c r="E173" s="309">
        <f>WTG_BD[[#This Row],[Date]]-DAY(WTG_BD[[#This Row],[Date]])+1</f>
        <v>45748</v>
      </c>
      <c r="F173" s="32">
        <v>45761</v>
      </c>
      <c r="G173" t="s">
        <v>92</v>
      </c>
      <c r="H173" t="str">
        <f>IFERROR(VLOOKUP(WTG_BD[[#This Row],[Affected WTG]],'Basic Data'!$A$3:$E$25,2,0),"")</f>
        <v>O2R2</v>
      </c>
      <c r="I173" t="str">
        <f>IFERROR(VLOOKUP(WTG_BD[[#This Row],[Affected WTG]],'Basic Data'!$A$3:$E$25,3,0),"")</f>
        <v>SIL</v>
      </c>
      <c r="J173" s="355">
        <f>IFERROR(VLOOKUP(WTG_BD[[#This Row],[Affected WTG]],'Basic Data'!$A$3:$E$25,5,0),"")</f>
        <v>4.3478260869565223E-2</v>
      </c>
      <c r="K173" s="10">
        <v>3273</v>
      </c>
      <c r="L173" t="str">
        <f>IFERROR(VLOOKUP(WTG_BD[[#This Row],[Error Code]],'Basic Data'!S:T,2,0),"Incorrect Error Code")</f>
        <v>YawUntwistCCW: Code__,_______°</v>
      </c>
      <c r="M173" t="s">
        <v>1963</v>
      </c>
      <c r="O173" s="168">
        <v>0.66249999999999998</v>
      </c>
      <c r="P173" s="168">
        <v>0.66249999999999998</v>
      </c>
      <c r="Q173" s="168">
        <v>0.67847222222222225</v>
      </c>
      <c r="R173" s="356">
        <f>(WTG_BD[[#This Row],[Work Start TimeStamp]]-WTG_BD[[#This Row],[Fault Start TimeStamp]])*24</f>
        <v>0</v>
      </c>
      <c r="S173" s="34">
        <f>(WTG_BD[[#This Row],[Fault Clearance time]]-WTG_BD[[#This Row],[Work Start TimeStamp]])*24</f>
        <v>0.38333333333333464</v>
      </c>
      <c r="T173" s="34">
        <f>(WTG_BD[[#This Row],[Fault Clearance time]]-WTG_BD[[#This Row],[Fault Start TimeStamp]])*24</f>
        <v>0.38333333333333464</v>
      </c>
      <c r="U173" t="s">
        <v>4323</v>
      </c>
      <c r="V173" s="234" t="s">
        <v>255</v>
      </c>
      <c r="W173" s="50">
        <f>IFERROR(IF(N173="ROW",0,(WTG_BD[[#This Row],[Breakdown Time]]*WTG_BD[[#This Row],[Plant Equivalent Weightage]])),"")</f>
        <v>1.6666666666666725E-2</v>
      </c>
      <c r="X173" s="50"/>
      <c r="Y173" s="205">
        <v>1</v>
      </c>
      <c r="Z173" s="205"/>
      <c r="AA173" s="4">
        <v>3.5999999999999997E-2</v>
      </c>
      <c r="AC173" s="4"/>
    </row>
    <row r="174" spans="1:29">
      <c r="A174" s="10">
        <f t="shared" si="4"/>
        <v>173</v>
      </c>
      <c r="B174" s="43">
        <f>YEAR(WTG_BD[[#This Row],[Date]])+IF(MONTH(WTG_BD[[#This Row],[Date]])&gt;=4,1,0)</f>
        <v>2026</v>
      </c>
      <c r="C174" s="10">
        <v>2025</v>
      </c>
      <c r="D174" s="10" t="s">
        <v>4478</v>
      </c>
      <c r="E174" s="309">
        <f>WTG_BD[[#This Row],[Date]]-DAY(WTG_BD[[#This Row],[Date]])+1</f>
        <v>45748</v>
      </c>
      <c r="F174" s="32">
        <v>45761</v>
      </c>
      <c r="G174" t="s">
        <v>92</v>
      </c>
      <c r="H174" t="str">
        <f>IFERROR(VLOOKUP(WTG_BD[[#This Row],[Affected WTG]],'Basic Data'!$A$3:$E$25,2,0),"")</f>
        <v>O2R2</v>
      </c>
      <c r="I174" t="str">
        <f>IFERROR(VLOOKUP(WTG_BD[[#This Row],[Affected WTG]],'Basic Data'!$A$3:$E$25,3,0),"")</f>
        <v>SIL</v>
      </c>
      <c r="J174" s="355">
        <f>IFERROR(VLOOKUP(WTG_BD[[#This Row],[Affected WTG]],'Basic Data'!$A$3:$E$25,5,0),"")</f>
        <v>4.3478260869565223E-2</v>
      </c>
      <c r="K174" s="10">
        <v>309</v>
      </c>
      <c r="L174" t="str">
        <f>IFERROR(VLOOKUP(WTG_BD[[#This Row],[Error Code]],'Basic Data'!S:T,2,0),"Incorrect Error Code")</f>
        <v>Pause over RCS __0</v>
      </c>
      <c r="M174" t="s">
        <v>871</v>
      </c>
      <c r="O174" s="168">
        <v>0.68125000000000002</v>
      </c>
      <c r="P174" s="168">
        <v>0.68125000000000002</v>
      </c>
      <c r="Q174" s="168">
        <v>0.81666666666666665</v>
      </c>
      <c r="R174" s="356">
        <f>(WTG_BD[[#This Row],[Work Start TimeStamp]]-WTG_BD[[#This Row],[Fault Start TimeStamp]])*24</f>
        <v>0</v>
      </c>
      <c r="S174" s="34">
        <f>(WTG_BD[[#This Row],[Fault Clearance time]]-WTG_BD[[#This Row],[Work Start TimeStamp]])*24</f>
        <v>3.2499999999999991</v>
      </c>
      <c r="T174" s="34">
        <f>(WTG_BD[[#This Row],[Fault Clearance time]]-WTG_BD[[#This Row],[Fault Start TimeStamp]])*24</f>
        <v>3.2499999999999991</v>
      </c>
      <c r="U174" t="s">
        <v>4329</v>
      </c>
      <c r="V174" s="234" t="s">
        <v>255</v>
      </c>
      <c r="W174" s="50">
        <f>IFERROR(IF(N174="ROW",0,(WTG_BD[[#This Row],[Breakdown Time]]*WTG_BD[[#This Row],[Plant Equivalent Weightage]])),"")</f>
        <v>0.14130434782608695</v>
      </c>
      <c r="X174" s="50"/>
      <c r="Y174" s="205">
        <v>1</v>
      </c>
      <c r="Z174" s="205"/>
      <c r="AA174" s="4">
        <v>0.69799999999999995</v>
      </c>
      <c r="AC174" s="4"/>
    </row>
    <row r="175" spans="1:29">
      <c r="A175" s="10">
        <f t="shared" si="4"/>
        <v>174</v>
      </c>
      <c r="B175" s="43">
        <f>YEAR(WTG_BD[[#This Row],[Date]])+IF(MONTH(WTG_BD[[#This Row],[Date]])&gt;=4,1,0)</f>
        <v>2026</v>
      </c>
      <c r="C175" s="10">
        <v>2025</v>
      </c>
      <c r="D175" s="10" t="s">
        <v>4478</v>
      </c>
      <c r="E175" s="309">
        <f>WTG_BD[[#This Row],[Date]]-DAY(WTG_BD[[#This Row],[Date]])+1</f>
        <v>45748</v>
      </c>
      <c r="F175" s="32">
        <v>45761</v>
      </c>
      <c r="G175" t="s">
        <v>93</v>
      </c>
      <c r="H175" t="str">
        <f>IFERROR(VLOOKUP(WTG_BD[[#This Row],[Affected WTG]],'Basic Data'!$A$3:$E$25,2,0),"")</f>
        <v>O2R4</v>
      </c>
      <c r="I175" t="str">
        <f>IFERROR(VLOOKUP(WTG_BD[[#This Row],[Affected WTG]],'Basic Data'!$A$3:$E$25,3,0),"")</f>
        <v>SGDCIPL</v>
      </c>
      <c r="J175" s="355">
        <f>IFERROR(VLOOKUP(WTG_BD[[#This Row],[Affected WTG]],'Basic Data'!$A$3:$E$25,5,0),"")</f>
        <v>4.3478260869565223E-2</v>
      </c>
      <c r="K175" s="10">
        <v>3273</v>
      </c>
      <c r="L175" t="str">
        <f>IFERROR(VLOOKUP(WTG_BD[[#This Row],[Error Code]],'Basic Data'!S:T,2,0),"Incorrect Error Code")</f>
        <v>YawUntwistCCW: Code__,_______°</v>
      </c>
      <c r="M175" t="s">
        <v>1963</v>
      </c>
      <c r="O175" s="168">
        <v>0.83750000000000002</v>
      </c>
      <c r="P175" s="168">
        <v>0.83750000000000002</v>
      </c>
      <c r="Q175" s="168">
        <v>0.85486111111111107</v>
      </c>
      <c r="R175" s="356">
        <f>(WTG_BD[[#This Row],[Work Start TimeStamp]]-WTG_BD[[#This Row],[Fault Start TimeStamp]])*24</f>
        <v>0</v>
      </c>
      <c r="S175" s="34">
        <f>(WTG_BD[[#This Row],[Fault Clearance time]]-WTG_BD[[#This Row],[Work Start TimeStamp]])*24</f>
        <v>0.41666666666666519</v>
      </c>
      <c r="T175" s="34">
        <f>(WTG_BD[[#This Row],[Fault Clearance time]]-WTG_BD[[#This Row],[Fault Start TimeStamp]])*24</f>
        <v>0.41666666666666519</v>
      </c>
      <c r="U175" t="s">
        <v>4323</v>
      </c>
      <c r="V175" s="234" t="s">
        <v>255</v>
      </c>
      <c r="W175" s="50">
        <f>IFERROR(IF(N175="ROW",0,(WTG_BD[[#This Row],[Breakdown Time]]*WTG_BD[[#This Row],[Plant Equivalent Weightage]])),"")</f>
        <v>1.8115942028985445E-2</v>
      </c>
      <c r="X175" s="50"/>
      <c r="Y175" s="205">
        <v>1</v>
      </c>
      <c r="Z175" s="205"/>
      <c r="AA175" s="4">
        <v>0.156</v>
      </c>
      <c r="AC175" s="4"/>
    </row>
    <row r="176" spans="1:29">
      <c r="A176" s="10">
        <f t="shared" si="4"/>
        <v>175</v>
      </c>
      <c r="B176" s="43">
        <f>YEAR(WTG_BD[[#This Row],[Date]])+IF(MONTH(WTG_BD[[#This Row],[Date]])&gt;=4,1,0)</f>
        <v>2026</v>
      </c>
      <c r="C176" s="10">
        <v>2025</v>
      </c>
      <c r="D176" s="10" t="s">
        <v>4478</v>
      </c>
      <c r="E176" s="309">
        <f>WTG_BD[[#This Row],[Date]]-DAY(WTG_BD[[#This Row],[Date]])+1</f>
        <v>45748</v>
      </c>
      <c r="F176" s="32">
        <v>45761</v>
      </c>
      <c r="G176" t="s">
        <v>96</v>
      </c>
      <c r="H176" t="str">
        <f>IFERROR(VLOOKUP(WTG_BD[[#This Row],[Affected WTG]],'Basic Data'!$A$3:$E$25,2,0),"")</f>
        <v>O2R3</v>
      </c>
      <c r="I176" t="str">
        <f>IFERROR(VLOOKUP(WTG_BD[[#This Row],[Affected WTG]],'Basic Data'!$A$3:$E$25,3,0),"")</f>
        <v>JK</v>
      </c>
      <c r="J176" s="355">
        <f>IFERROR(VLOOKUP(WTG_BD[[#This Row],[Affected WTG]],'Basic Data'!$A$3:$E$25,5,0),"")</f>
        <v>4.3478260869565223E-2</v>
      </c>
      <c r="K176" s="10">
        <v>3273</v>
      </c>
      <c r="L176" t="str">
        <f>IFERROR(VLOOKUP(WTG_BD[[#This Row],[Error Code]],'Basic Data'!S:T,2,0),"Incorrect Error Code")</f>
        <v>YawUntwistCCW: Code__,_______°</v>
      </c>
      <c r="M176" t="s">
        <v>1963</v>
      </c>
      <c r="O176" s="168">
        <v>0.62986111111111109</v>
      </c>
      <c r="P176" s="168">
        <v>0.62986111111111109</v>
      </c>
      <c r="Q176" s="168">
        <v>0.64444444444444449</v>
      </c>
      <c r="R176" s="356">
        <f>(WTG_BD[[#This Row],[Work Start TimeStamp]]-WTG_BD[[#This Row],[Fault Start TimeStamp]])*24</f>
        <v>0</v>
      </c>
      <c r="S176" s="34">
        <f>(WTG_BD[[#This Row],[Fault Clearance time]]-WTG_BD[[#This Row],[Work Start TimeStamp]])*24</f>
        <v>0.35000000000000142</v>
      </c>
      <c r="T176" s="34">
        <f>(WTG_BD[[#This Row],[Fault Clearance time]]-WTG_BD[[#This Row],[Fault Start TimeStamp]])*24</f>
        <v>0.35000000000000142</v>
      </c>
      <c r="U176" t="s">
        <v>4323</v>
      </c>
      <c r="V176" s="234" t="s">
        <v>255</v>
      </c>
      <c r="W176" s="50">
        <f>IFERROR(IF(N176="ROW",0,(WTG_BD[[#This Row],[Breakdown Time]]*WTG_BD[[#This Row],[Plant Equivalent Weightage]])),"")</f>
        <v>1.5217391304347889E-2</v>
      </c>
      <c r="X176" s="50"/>
      <c r="Y176" s="205">
        <v>1</v>
      </c>
      <c r="Z176" s="205"/>
      <c r="AA176" s="4">
        <v>6.0000000000000001E-3</v>
      </c>
      <c r="AC176" s="4"/>
    </row>
    <row r="177" spans="1:29">
      <c r="A177" s="10">
        <f t="shared" si="4"/>
        <v>176</v>
      </c>
      <c r="B177" s="43">
        <f>YEAR(WTG_BD[[#This Row],[Date]])+IF(MONTH(WTG_BD[[#This Row],[Date]])&gt;=4,1,0)</f>
        <v>2026</v>
      </c>
      <c r="C177" s="10">
        <v>2025</v>
      </c>
      <c r="D177" s="10" t="s">
        <v>4478</v>
      </c>
      <c r="E177" s="309">
        <f>WTG_BD[[#This Row],[Date]]-DAY(WTG_BD[[#This Row],[Date]])+1</f>
        <v>45748</v>
      </c>
      <c r="F177" s="32">
        <v>45761</v>
      </c>
      <c r="G177" t="s">
        <v>96</v>
      </c>
      <c r="H177" t="str">
        <f>IFERROR(VLOOKUP(WTG_BD[[#This Row],[Affected WTG]],'Basic Data'!$A$3:$E$25,2,0),"")</f>
        <v>O2R3</v>
      </c>
      <c r="I177" t="str">
        <f>IFERROR(VLOOKUP(WTG_BD[[#This Row],[Affected WTG]],'Basic Data'!$A$3:$E$25,3,0),"")</f>
        <v>JK</v>
      </c>
      <c r="J177" s="355">
        <f>IFERROR(VLOOKUP(WTG_BD[[#This Row],[Affected WTG]],'Basic Data'!$A$3:$E$25,5,0),"")</f>
        <v>4.3478260869565223E-2</v>
      </c>
      <c r="K177" s="10">
        <v>3273</v>
      </c>
      <c r="L177" t="str">
        <f>IFERROR(VLOOKUP(WTG_BD[[#This Row],[Error Code]],'Basic Data'!S:T,2,0),"Incorrect Error Code")</f>
        <v>YawUntwistCCW: Code__,_______°</v>
      </c>
      <c r="M177" t="s">
        <v>1963</v>
      </c>
      <c r="O177" s="168">
        <v>0.91041666666666665</v>
      </c>
      <c r="P177" s="168">
        <v>0.91041666666666665</v>
      </c>
      <c r="Q177" s="168">
        <v>0.92638888888888893</v>
      </c>
      <c r="R177" s="356">
        <f>(WTG_BD[[#This Row],[Work Start TimeStamp]]-WTG_BD[[#This Row],[Fault Start TimeStamp]])*24</f>
        <v>0</v>
      </c>
      <c r="S177" s="34">
        <f>(WTG_BD[[#This Row],[Fault Clearance time]]-WTG_BD[[#This Row],[Work Start TimeStamp]])*24</f>
        <v>0.38333333333333464</v>
      </c>
      <c r="T177" s="34">
        <f>(WTG_BD[[#This Row],[Fault Clearance time]]-WTG_BD[[#This Row],[Fault Start TimeStamp]])*24</f>
        <v>0.38333333333333464</v>
      </c>
      <c r="U177" t="s">
        <v>4323</v>
      </c>
      <c r="V177" s="234" t="s">
        <v>255</v>
      </c>
      <c r="W177" s="50">
        <f>IFERROR(IF(N177="ROW",0,(WTG_BD[[#This Row],[Breakdown Time]]*WTG_BD[[#This Row],[Plant Equivalent Weightage]])),"")</f>
        <v>1.6666666666666725E-2</v>
      </c>
      <c r="X177" s="50"/>
      <c r="Y177" s="205">
        <v>1</v>
      </c>
      <c r="Z177" s="205"/>
      <c r="AA177" s="4">
        <v>3.2000000000000001E-2</v>
      </c>
      <c r="AC177" s="4"/>
    </row>
    <row r="178" spans="1:29">
      <c r="A178" s="10">
        <f t="shared" si="4"/>
        <v>177</v>
      </c>
      <c r="B178" s="43">
        <f>YEAR(WTG_BD[[#This Row],[Date]])+IF(MONTH(WTG_BD[[#This Row],[Date]])&gt;=4,1,0)</f>
        <v>2026</v>
      </c>
      <c r="C178" s="10">
        <v>2025</v>
      </c>
      <c r="D178" s="10" t="s">
        <v>4478</v>
      </c>
      <c r="E178" s="309">
        <f>WTG_BD[[#This Row],[Date]]-DAY(WTG_BD[[#This Row],[Date]])+1</f>
        <v>45748</v>
      </c>
      <c r="F178" s="32">
        <v>45761</v>
      </c>
      <c r="G178" t="s">
        <v>97</v>
      </c>
      <c r="H178" t="str">
        <f>IFERROR(VLOOKUP(WTG_BD[[#This Row],[Affected WTG]],'Basic Data'!$A$3:$E$25,2,0),"")</f>
        <v>O2R3</v>
      </c>
      <c r="I178" t="str">
        <f>IFERROR(VLOOKUP(WTG_BD[[#This Row],[Affected WTG]],'Basic Data'!$A$3:$E$25,3,0),"")</f>
        <v>JK</v>
      </c>
      <c r="J178" s="355">
        <f>IFERROR(VLOOKUP(WTG_BD[[#This Row],[Affected WTG]],'Basic Data'!$A$3:$E$25,5,0),"")</f>
        <v>4.3478260869565223E-2</v>
      </c>
      <c r="K178" s="10">
        <v>3273</v>
      </c>
      <c r="L178" t="str">
        <f>IFERROR(VLOOKUP(WTG_BD[[#This Row],[Error Code]],'Basic Data'!S:T,2,0),"Incorrect Error Code")</f>
        <v>YawUntwistCCW: Code__,_______°</v>
      </c>
      <c r="M178" t="s">
        <v>1963</v>
      </c>
      <c r="O178" s="168">
        <v>0.50277777777777777</v>
      </c>
      <c r="P178" s="168">
        <v>0.50277777777777777</v>
      </c>
      <c r="Q178" s="168">
        <v>0.51666666666666672</v>
      </c>
      <c r="R178" s="356">
        <f>(WTG_BD[[#This Row],[Work Start TimeStamp]]-WTG_BD[[#This Row],[Fault Start TimeStamp]])*24</f>
        <v>0</v>
      </c>
      <c r="S178" s="34">
        <f>(WTG_BD[[#This Row],[Fault Clearance time]]-WTG_BD[[#This Row],[Work Start TimeStamp]])*24</f>
        <v>0.33333333333333481</v>
      </c>
      <c r="T178" s="34">
        <f>(WTG_BD[[#This Row],[Fault Clearance time]]-WTG_BD[[#This Row],[Fault Start TimeStamp]])*24</f>
        <v>0.33333333333333481</v>
      </c>
      <c r="U178" t="s">
        <v>4323</v>
      </c>
      <c r="V178" s="234" t="s">
        <v>255</v>
      </c>
      <c r="W178" s="50">
        <f>IFERROR(IF(N178="ROW",0,(WTG_BD[[#This Row],[Breakdown Time]]*WTG_BD[[#This Row],[Plant Equivalent Weightage]])),"")</f>
        <v>1.4492753623188472E-2</v>
      </c>
      <c r="X178" s="50"/>
      <c r="Y178" s="205">
        <v>1</v>
      </c>
      <c r="Z178" s="205"/>
      <c r="AA178" s="4">
        <v>5.0000000000000001E-3</v>
      </c>
      <c r="AC178" s="4"/>
    </row>
    <row r="179" spans="1:29">
      <c r="A179" s="10">
        <f t="shared" si="4"/>
        <v>178</v>
      </c>
      <c r="B179" s="43">
        <f>YEAR(WTG_BD[[#This Row],[Date]])+IF(MONTH(WTG_BD[[#This Row],[Date]])&gt;=4,1,0)</f>
        <v>2026</v>
      </c>
      <c r="C179" s="10">
        <v>2025</v>
      </c>
      <c r="D179" s="10" t="s">
        <v>4478</v>
      </c>
      <c r="E179" s="309">
        <f>WTG_BD[[#This Row],[Date]]-DAY(WTG_BD[[#This Row],[Date]])+1</f>
        <v>45748</v>
      </c>
      <c r="F179" s="32">
        <v>45761</v>
      </c>
      <c r="G179" t="s">
        <v>97</v>
      </c>
      <c r="H179" t="str">
        <f>IFERROR(VLOOKUP(WTG_BD[[#This Row],[Affected WTG]],'Basic Data'!$A$3:$E$25,2,0),"")</f>
        <v>O2R3</v>
      </c>
      <c r="I179" t="str">
        <f>IFERROR(VLOOKUP(WTG_BD[[#This Row],[Affected WTG]],'Basic Data'!$A$3:$E$25,3,0),"")</f>
        <v>JK</v>
      </c>
      <c r="J179" s="355">
        <f>IFERROR(VLOOKUP(WTG_BD[[#This Row],[Affected WTG]],'Basic Data'!$A$3:$E$25,5,0),"")</f>
        <v>4.3478260869565223E-2</v>
      </c>
      <c r="K179" s="10">
        <v>3273</v>
      </c>
      <c r="L179" t="str">
        <f>IFERROR(VLOOKUP(WTG_BD[[#This Row],[Error Code]],'Basic Data'!S:T,2,0),"Incorrect Error Code")</f>
        <v>YawUntwistCCW: Code__,_______°</v>
      </c>
      <c r="M179" t="s">
        <v>1963</v>
      </c>
      <c r="O179" s="168">
        <v>0.9194444444444444</v>
      </c>
      <c r="P179" s="168">
        <v>0.9194444444444444</v>
      </c>
      <c r="Q179" s="168">
        <v>0.93819444444444444</v>
      </c>
      <c r="R179" s="356">
        <f>(WTG_BD[[#This Row],[Work Start TimeStamp]]-WTG_BD[[#This Row],[Fault Start TimeStamp]])*24</f>
        <v>0</v>
      </c>
      <c r="S179" s="34">
        <f>(WTG_BD[[#This Row],[Fault Clearance time]]-WTG_BD[[#This Row],[Work Start TimeStamp]])*24</f>
        <v>0.45000000000000107</v>
      </c>
      <c r="T179" s="34">
        <f>(WTG_BD[[#This Row],[Fault Clearance time]]-WTG_BD[[#This Row],[Fault Start TimeStamp]])*24</f>
        <v>0.45000000000000107</v>
      </c>
      <c r="U179" t="s">
        <v>4323</v>
      </c>
      <c r="V179" s="234" t="s">
        <v>255</v>
      </c>
      <c r="W179" s="50">
        <f>IFERROR(IF(N179="ROW",0,(WTG_BD[[#This Row],[Breakdown Time]]*WTG_BD[[#This Row],[Plant Equivalent Weightage]])),"")</f>
        <v>1.9565217391304398E-2</v>
      </c>
      <c r="X179" s="50"/>
      <c r="Y179" s="205">
        <v>1</v>
      </c>
      <c r="Z179" s="205"/>
      <c r="AA179" s="4">
        <v>0.74099999999999999</v>
      </c>
      <c r="AC179" s="4"/>
    </row>
    <row r="180" spans="1:29">
      <c r="A180" s="10">
        <f t="shared" si="4"/>
        <v>179</v>
      </c>
      <c r="B180" s="43">
        <f>YEAR(WTG_BD[[#This Row],[Date]])+IF(MONTH(WTG_BD[[#This Row],[Date]])&gt;=4,1,0)</f>
        <v>2026</v>
      </c>
      <c r="C180" s="10">
        <v>2025</v>
      </c>
      <c r="D180" s="10" t="s">
        <v>4478</v>
      </c>
      <c r="E180" s="309">
        <f>WTG_BD[[#This Row],[Date]]-DAY(WTG_BD[[#This Row],[Date]])+1</f>
        <v>45748</v>
      </c>
      <c r="F180" s="32">
        <v>45761</v>
      </c>
      <c r="G180" t="s">
        <v>98</v>
      </c>
      <c r="H180" t="str">
        <f>IFERROR(VLOOKUP(WTG_BD[[#This Row],[Affected WTG]],'Basic Data'!$A$3:$E$25,2,0),"")</f>
        <v>O2R3</v>
      </c>
      <c r="I180" t="str">
        <f>IFERROR(VLOOKUP(WTG_BD[[#This Row],[Affected WTG]],'Basic Data'!$A$3:$E$25,3,0),"")</f>
        <v>JK</v>
      </c>
      <c r="J180" s="355">
        <f>IFERROR(VLOOKUP(WTG_BD[[#This Row],[Affected WTG]],'Basic Data'!$A$3:$E$25,5,0),"")</f>
        <v>4.3478260869565223E-2</v>
      </c>
      <c r="K180" s="10">
        <v>3273</v>
      </c>
      <c r="L180" t="str">
        <f>IFERROR(VLOOKUP(WTG_BD[[#This Row],[Error Code]],'Basic Data'!S:T,2,0),"Incorrect Error Code")</f>
        <v>YawUntwistCCW: Code__,_______°</v>
      </c>
      <c r="M180" t="s">
        <v>1963</v>
      </c>
      <c r="O180" s="168">
        <v>0.37083333333333335</v>
      </c>
      <c r="P180" s="168">
        <v>0.37083333333333335</v>
      </c>
      <c r="Q180" s="168">
        <v>0.38472222222222224</v>
      </c>
      <c r="R180" s="356">
        <f>(WTG_BD[[#This Row],[Work Start TimeStamp]]-WTG_BD[[#This Row],[Fault Start TimeStamp]])*24</f>
        <v>0</v>
      </c>
      <c r="S180" s="34">
        <f>(WTG_BD[[#This Row],[Fault Clearance time]]-WTG_BD[[#This Row],[Work Start TimeStamp]])*24</f>
        <v>0.33333333333333348</v>
      </c>
      <c r="T180" s="34">
        <f>(WTG_BD[[#This Row],[Fault Clearance time]]-WTG_BD[[#This Row],[Fault Start TimeStamp]])*24</f>
        <v>0.33333333333333348</v>
      </c>
      <c r="U180" t="s">
        <v>4323</v>
      </c>
      <c r="V180" s="234" t="s">
        <v>255</v>
      </c>
      <c r="W180" s="50">
        <f>IFERROR(IF(N180="ROW",0,(WTG_BD[[#This Row],[Breakdown Time]]*WTG_BD[[#This Row],[Plant Equivalent Weightage]])),"")</f>
        <v>1.4492753623188415E-2</v>
      </c>
      <c r="X180" s="50"/>
      <c r="Y180" s="205">
        <v>1</v>
      </c>
      <c r="Z180" s="205"/>
      <c r="AA180" s="4">
        <v>1E-3</v>
      </c>
      <c r="AC180" s="4"/>
    </row>
    <row r="181" spans="1:29">
      <c r="A181" s="10">
        <f t="shared" si="4"/>
        <v>180</v>
      </c>
      <c r="B181" s="43">
        <f>YEAR(WTG_BD[[#This Row],[Date]])+IF(MONTH(WTG_BD[[#This Row],[Date]])&gt;=4,1,0)</f>
        <v>2026</v>
      </c>
      <c r="C181" s="10">
        <v>2025</v>
      </c>
      <c r="D181" s="10" t="s">
        <v>4478</v>
      </c>
      <c r="E181" s="309">
        <f>WTG_BD[[#This Row],[Date]]-DAY(WTG_BD[[#This Row],[Date]])+1</f>
        <v>45748</v>
      </c>
      <c r="F181" s="32">
        <v>45761</v>
      </c>
      <c r="G181" t="s">
        <v>98</v>
      </c>
      <c r="H181" t="str">
        <f>IFERROR(VLOOKUP(WTG_BD[[#This Row],[Affected WTG]],'Basic Data'!$A$3:$E$25,2,0),"")</f>
        <v>O2R3</v>
      </c>
      <c r="I181" t="str">
        <f>IFERROR(VLOOKUP(WTG_BD[[#This Row],[Affected WTG]],'Basic Data'!$A$3:$E$25,3,0),"")</f>
        <v>JK</v>
      </c>
      <c r="J181" s="355">
        <f>IFERROR(VLOOKUP(WTG_BD[[#This Row],[Affected WTG]],'Basic Data'!$A$3:$E$25,5,0),"")</f>
        <v>4.3478260869565223E-2</v>
      </c>
      <c r="K181" s="10">
        <v>3273</v>
      </c>
      <c r="L181" t="str">
        <f>IFERROR(VLOOKUP(WTG_BD[[#This Row],[Error Code]],'Basic Data'!S:T,2,0),"Incorrect Error Code")</f>
        <v>YawUntwistCCW: Code__,_______°</v>
      </c>
      <c r="M181" t="s">
        <v>1963</v>
      </c>
      <c r="O181" s="168">
        <v>0.91874999999999996</v>
      </c>
      <c r="P181" s="168">
        <v>0.91874999999999996</v>
      </c>
      <c r="Q181" s="168">
        <v>0.93819444444444444</v>
      </c>
      <c r="R181" s="356">
        <f>(WTG_BD[[#This Row],[Work Start TimeStamp]]-WTG_BD[[#This Row],[Fault Start TimeStamp]])*24</f>
        <v>0</v>
      </c>
      <c r="S181" s="34">
        <f>(WTG_BD[[#This Row],[Fault Clearance time]]-WTG_BD[[#This Row],[Work Start TimeStamp]])*24</f>
        <v>0.46666666666666767</v>
      </c>
      <c r="T181" s="34">
        <f>(WTG_BD[[#This Row],[Fault Clearance time]]-WTG_BD[[#This Row],[Fault Start TimeStamp]])*24</f>
        <v>0.46666666666666767</v>
      </c>
      <c r="U181" t="s">
        <v>4323</v>
      </c>
      <c r="V181" s="234" t="s">
        <v>255</v>
      </c>
      <c r="W181" s="50">
        <f>IFERROR(IF(N181="ROW",0,(WTG_BD[[#This Row],[Breakdown Time]]*WTG_BD[[#This Row],[Plant Equivalent Weightage]])),"")</f>
        <v>2.0289855072463815E-2</v>
      </c>
      <c r="X181" s="50"/>
      <c r="Y181" s="205">
        <v>1</v>
      </c>
      <c r="Z181" s="205"/>
      <c r="AA181" s="4">
        <v>0.17599999999999999</v>
      </c>
      <c r="AC181" s="4"/>
    </row>
    <row r="182" spans="1:29">
      <c r="A182" s="10">
        <f t="shared" si="4"/>
        <v>181</v>
      </c>
      <c r="B182" s="43">
        <f>YEAR(WTG_BD[[#This Row],[Date]])+IF(MONTH(WTG_BD[[#This Row],[Date]])&gt;=4,1,0)</f>
        <v>2026</v>
      </c>
      <c r="C182" s="10">
        <v>2025</v>
      </c>
      <c r="D182" s="10" t="s">
        <v>4478</v>
      </c>
      <c r="E182" s="309">
        <f>WTG_BD[[#This Row],[Date]]-DAY(WTG_BD[[#This Row],[Date]])+1</f>
        <v>45748</v>
      </c>
      <c r="F182" s="32">
        <v>45762</v>
      </c>
      <c r="G182" t="s">
        <v>89</v>
      </c>
      <c r="H182" t="str">
        <f>IFERROR(VLOOKUP(WTG_BD[[#This Row],[Affected WTG]],'Basic Data'!$A$3:$E$25,2,0),"")</f>
        <v>O2R1</v>
      </c>
      <c r="I182" t="str">
        <f>IFERROR(VLOOKUP(WTG_BD[[#This Row],[Affected WTG]],'Basic Data'!$A$3:$E$25,3,0),"")</f>
        <v>KSIPL</v>
      </c>
      <c r="J182" s="355">
        <f>IFERROR(VLOOKUP(WTG_BD[[#This Row],[Affected WTG]],'Basic Data'!$A$3:$E$25,5,0),"")</f>
        <v>4.3478260869565223E-2</v>
      </c>
      <c r="K182" s="10">
        <v>3273</v>
      </c>
      <c r="L182" t="str">
        <f>IFERROR(VLOOKUP(WTG_BD[[#This Row],[Error Code]],'Basic Data'!S:T,2,0),"Incorrect Error Code")</f>
        <v>YawUntwistCCW: Code__,_______°</v>
      </c>
      <c r="M182" t="s">
        <v>1963</v>
      </c>
      <c r="O182" s="168">
        <v>0.72222222222222221</v>
      </c>
      <c r="P182" s="168">
        <v>0.72222222222222221</v>
      </c>
      <c r="Q182" s="168">
        <v>0.73541666666666672</v>
      </c>
      <c r="R182" s="356">
        <f>(WTG_BD[[#This Row],[Work Start TimeStamp]]-WTG_BD[[#This Row],[Fault Start TimeStamp]])*24</f>
        <v>0</v>
      </c>
      <c r="S182" s="34">
        <f>(WTG_BD[[#This Row],[Fault Clearance time]]-WTG_BD[[#This Row],[Work Start TimeStamp]])*24</f>
        <v>0.31666666666666821</v>
      </c>
      <c r="T182" s="34">
        <f>(WTG_BD[[#This Row],[Fault Clearance time]]-WTG_BD[[#This Row],[Fault Start TimeStamp]])*24</f>
        <v>0.31666666666666821</v>
      </c>
      <c r="U182" t="s">
        <v>4323</v>
      </c>
      <c r="V182" s="234" t="s">
        <v>255</v>
      </c>
      <c r="W182" s="50">
        <f>IFERROR(IF(N182="ROW",0,(WTG_BD[[#This Row],[Breakdown Time]]*WTG_BD[[#This Row],[Plant Equivalent Weightage]])),"")</f>
        <v>1.3768115942029055E-2</v>
      </c>
      <c r="X182" s="50"/>
      <c r="Y182" s="205">
        <v>1</v>
      </c>
      <c r="Z182" s="205"/>
      <c r="AA182" s="4">
        <v>7.4999999999999997E-2</v>
      </c>
      <c r="AC182" s="4"/>
    </row>
    <row r="183" spans="1:29">
      <c r="A183" s="10">
        <f t="shared" si="4"/>
        <v>182</v>
      </c>
      <c r="B183" s="43">
        <f>YEAR(WTG_BD[[#This Row],[Date]])+IF(MONTH(WTG_BD[[#This Row],[Date]])&gt;=4,1,0)</f>
        <v>2026</v>
      </c>
      <c r="C183" s="10">
        <v>2025</v>
      </c>
      <c r="D183" s="10" t="s">
        <v>4478</v>
      </c>
      <c r="E183" s="309">
        <f>WTG_BD[[#This Row],[Date]]-DAY(WTG_BD[[#This Row],[Date]])+1</f>
        <v>45748</v>
      </c>
      <c r="F183" s="32">
        <v>45762</v>
      </c>
      <c r="G183" t="s">
        <v>90</v>
      </c>
      <c r="H183" t="str">
        <f>IFERROR(VLOOKUP(WTG_BD[[#This Row],[Affected WTG]],'Basic Data'!$A$3:$E$25,2,0),"")</f>
        <v>O2R1</v>
      </c>
      <c r="I183" t="str">
        <f>IFERROR(VLOOKUP(WTG_BD[[#This Row],[Affected WTG]],'Basic Data'!$A$3:$E$25,3,0),"")</f>
        <v>KSIPL</v>
      </c>
      <c r="J183" s="355">
        <f>IFERROR(VLOOKUP(WTG_BD[[#This Row],[Affected WTG]],'Basic Data'!$A$3:$E$25,5,0),"")</f>
        <v>4.3478260869565223E-2</v>
      </c>
      <c r="K183" s="10">
        <v>309</v>
      </c>
      <c r="L183" t="str">
        <f>IFERROR(VLOOKUP(WTG_BD[[#This Row],[Error Code]],'Basic Data'!S:T,2,0),"Incorrect Error Code")</f>
        <v>Pause over RCS __0</v>
      </c>
      <c r="M183" t="s">
        <v>871</v>
      </c>
      <c r="O183" s="168">
        <v>0.72222222222222221</v>
      </c>
      <c r="P183" s="168">
        <v>0.72222222222222221</v>
      </c>
      <c r="Q183" s="168">
        <v>0.79097222222222219</v>
      </c>
      <c r="R183" s="356">
        <f>(WTG_BD[[#This Row],[Work Start TimeStamp]]-WTG_BD[[#This Row],[Fault Start TimeStamp]])*24</f>
        <v>0</v>
      </c>
      <c r="S183" s="34">
        <f>(WTG_BD[[#This Row],[Fault Clearance time]]-WTG_BD[[#This Row],[Work Start TimeStamp]])*24</f>
        <v>1.6499999999999995</v>
      </c>
      <c r="T183" s="34">
        <f>(WTG_BD[[#This Row],[Fault Clearance time]]-WTG_BD[[#This Row],[Fault Start TimeStamp]])*24</f>
        <v>1.6499999999999995</v>
      </c>
      <c r="U183" t="s">
        <v>4494</v>
      </c>
      <c r="V183" s="234" t="s">
        <v>255</v>
      </c>
      <c r="W183" s="50">
        <f>IFERROR(IF(N183="ROW",0,(WTG_BD[[#This Row],[Breakdown Time]]*WTG_BD[[#This Row],[Plant Equivalent Weightage]])),"")</f>
        <v>7.1739130434782597E-2</v>
      </c>
      <c r="X183" s="50"/>
      <c r="Y183" s="205">
        <v>1</v>
      </c>
      <c r="Z183" s="205"/>
      <c r="AA183" s="4">
        <v>4.4999999999999998E-2</v>
      </c>
      <c r="AC183" s="4"/>
    </row>
    <row r="184" spans="1:29">
      <c r="A184" s="10">
        <f t="shared" si="4"/>
        <v>183</v>
      </c>
      <c r="B184" s="43">
        <f>YEAR(WTG_BD[[#This Row],[Date]])+IF(MONTH(WTG_BD[[#This Row],[Date]])&gt;=4,1,0)</f>
        <v>2026</v>
      </c>
      <c r="C184" s="10">
        <v>2025</v>
      </c>
      <c r="D184" s="10" t="s">
        <v>4478</v>
      </c>
      <c r="E184" s="309">
        <f>WTG_BD[[#This Row],[Date]]-DAY(WTG_BD[[#This Row],[Date]])+1</f>
        <v>45748</v>
      </c>
      <c r="F184" s="32">
        <v>45762</v>
      </c>
      <c r="G184" t="s">
        <v>90</v>
      </c>
      <c r="H184" t="str">
        <f>IFERROR(VLOOKUP(WTG_BD[[#This Row],[Affected WTG]],'Basic Data'!$A$3:$E$25,2,0),"")</f>
        <v>O2R1</v>
      </c>
      <c r="I184" t="str">
        <f>IFERROR(VLOOKUP(WTG_BD[[#This Row],[Affected WTG]],'Basic Data'!$A$3:$E$25,3,0),"")</f>
        <v>KSIPL</v>
      </c>
      <c r="J184" s="355">
        <f>IFERROR(VLOOKUP(WTG_BD[[#This Row],[Affected WTG]],'Basic Data'!$A$3:$E$25,5,0),"")</f>
        <v>4.3478260869565223E-2</v>
      </c>
      <c r="K184" s="10">
        <v>309</v>
      </c>
      <c r="L184" t="str">
        <f>IFERROR(VLOOKUP(WTG_BD[[#This Row],[Error Code]],'Basic Data'!S:T,2,0),"Incorrect Error Code")</f>
        <v>Pause over RCS __0</v>
      </c>
      <c r="M184" t="s">
        <v>871</v>
      </c>
      <c r="O184" s="168">
        <v>0.60763888888888884</v>
      </c>
      <c r="P184" s="168">
        <v>0.60763888888888884</v>
      </c>
      <c r="Q184" s="168">
        <v>0.68194444444444446</v>
      </c>
      <c r="R184" s="356">
        <f>(WTG_BD[[#This Row],[Work Start TimeStamp]]-WTG_BD[[#This Row],[Fault Start TimeStamp]])*24</f>
        <v>0</v>
      </c>
      <c r="S184" s="34">
        <f>(WTG_BD[[#This Row],[Fault Clearance time]]-WTG_BD[[#This Row],[Work Start TimeStamp]])*24</f>
        <v>1.783333333333335</v>
      </c>
      <c r="T184" s="34">
        <f>(WTG_BD[[#This Row],[Fault Clearance time]]-WTG_BD[[#This Row],[Fault Start TimeStamp]])*24</f>
        <v>1.783333333333335</v>
      </c>
      <c r="U184" t="s">
        <v>4494</v>
      </c>
      <c r="V184" s="234" t="s">
        <v>255</v>
      </c>
      <c r="W184" s="50">
        <f>IFERROR(IF(N184="ROW",0,(WTG_BD[[#This Row],[Breakdown Time]]*WTG_BD[[#This Row],[Plant Equivalent Weightage]])),"")</f>
        <v>7.753623188405806E-2</v>
      </c>
      <c r="X184" s="50"/>
      <c r="Y184" s="205">
        <v>1</v>
      </c>
      <c r="Z184" s="205"/>
      <c r="AA184" s="4">
        <v>0.16200000000000001</v>
      </c>
      <c r="AC184" s="4"/>
    </row>
    <row r="185" spans="1:29">
      <c r="A185" s="10">
        <f t="shared" si="4"/>
        <v>184</v>
      </c>
      <c r="B185" s="43">
        <f>YEAR(WTG_BD[[#This Row],[Date]])+IF(MONTH(WTG_BD[[#This Row],[Date]])&gt;=4,1,0)</f>
        <v>2026</v>
      </c>
      <c r="C185" s="10">
        <v>2025</v>
      </c>
      <c r="D185" s="10" t="s">
        <v>4478</v>
      </c>
      <c r="E185" s="309">
        <f>WTG_BD[[#This Row],[Date]]-DAY(WTG_BD[[#This Row],[Date]])+1</f>
        <v>45748</v>
      </c>
      <c r="F185" s="32">
        <v>45762</v>
      </c>
      <c r="G185" t="s">
        <v>94</v>
      </c>
      <c r="H185" t="str">
        <f>IFERROR(VLOOKUP(WTG_BD[[#This Row],[Affected WTG]],'Basic Data'!$A$3:$E$25,2,0),"")</f>
        <v>O2R1</v>
      </c>
      <c r="I185" t="str">
        <f>IFERROR(VLOOKUP(WTG_BD[[#This Row],[Affected WTG]],'Basic Data'!$A$3:$E$25,3,0),"")</f>
        <v>KSIPL</v>
      </c>
      <c r="J185" s="355">
        <f>IFERROR(VLOOKUP(WTG_BD[[#This Row],[Affected WTG]],'Basic Data'!$A$3:$E$25,5,0),"")</f>
        <v>4.3478260869565223E-2</v>
      </c>
      <c r="K185" s="10">
        <v>309</v>
      </c>
      <c r="L185" t="str">
        <f>IFERROR(VLOOKUP(WTG_BD[[#This Row],[Error Code]],'Basic Data'!S:T,2,0),"Incorrect Error Code")</f>
        <v>Pause over RCS __0</v>
      </c>
      <c r="M185" t="s">
        <v>871</v>
      </c>
      <c r="O185" s="168">
        <v>0.43055555555555558</v>
      </c>
      <c r="P185" s="168">
        <v>0.43055555555555558</v>
      </c>
      <c r="Q185" s="168">
        <v>0.74305555555555558</v>
      </c>
      <c r="R185" s="356">
        <f>(WTG_BD[[#This Row],[Work Start TimeStamp]]-WTG_BD[[#This Row],[Fault Start TimeStamp]])*24</f>
        <v>0</v>
      </c>
      <c r="S185" s="34">
        <f>(WTG_BD[[#This Row],[Fault Clearance time]]-WTG_BD[[#This Row],[Work Start TimeStamp]])*24</f>
        <v>7.5</v>
      </c>
      <c r="T185" s="34">
        <f>(WTG_BD[[#This Row],[Fault Clearance time]]-WTG_BD[[#This Row],[Fault Start TimeStamp]])*24</f>
        <v>7.5</v>
      </c>
      <c r="U185" t="s">
        <v>4329</v>
      </c>
      <c r="V185" s="234" t="s">
        <v>255</v>
      </c>
      <c r="W185" s="50">
        <f>IFERROR(IF(N185="ROW",0,(WTG_BD[[#This Row],[Breakdown Time]]*WTG_BD[[#This Row],[Plant Equivalent Weightage]])),"")</f>
        <v>0.32608695652173919</v>
      </c>
      <c r="X185" s="50"/>
      <c r="Y185" s="205">
        <v>1</v>
      </c>
      <c r="Z185" s="205"/>
      <c r="AA185" s="4">
        <v>0.27600000000000002</v>
      </c>
      <c r="AC185" s="4"/>
    </row>
    <row r="186" spans="1:29">
      <c r="A186" s="10">
        <f t="shared" si="4"/>
        <v>185</v>
      </c>
      <c r="B186" s="43">
        <f>YEAR(WTG_BD[[#This Row],[Date]])+IF(MONTH(WTG_BD[[#This Row],[Date]])&gt;=4,1,0)</f>
        <v>2026</v>
      </c>
      <c r="C186" s="10">
        <v>2025</v>
      </c>
      <c r="D186" s="10" t="s">
        <v>4478</v>
      </c>
      <c r="E186" s="309">
        <f>WTG_BD[[#This Row],[Date]]-DAY(WTG_BD[[#This Row],[Date]])+1</f>
        <v>45748</v>
      </c>
      <c r="F186" s="32">
        <v>45762</v>
      </c>
      <c r="G186" t="s">
        <v>77</v>
      </c>
      <c r="H186" t="str">
        <f>IFERROR(VLOOKUP(WTG_BD[[#This Row],[Affected WTG]],'Basic Data'!$A$3:$E$25,2,0),"")</f>
        <v>O2R3</v>
      </c>
      <c r="I186" t="str">
        <f>IFERROR(VLOOKUP(WTG_BD[[#This Row],[Affected WTG]],'Basic Data'!$A$3:$E$25,3,0),"")</f>
        <v>JK</v>
      </c>
      <c r="J186" s="355">
        <f>IFERROR(VLOOKUP(WTG_BD[[#This Row],[Affected WTG]],'Basic Data'!$A$3:$E$25,5,0),"")</f>
        <v>4.3478260869565223E-2</v>
      </c>
      <c r="K186" s="10">
        <v>3273</v>
      </c>
      <c r="L186" t="str">
        <f>IFERROR(VLOOKUP(WTG_BD[[#This Row],[Error Code]],'Basic Data'!S:T,2,0),"Incorrect Error Code")</f>
        <v>YawUntwistCCW: Code__,_______°</v>
      </c>
      <c r="M186" t="s">
        <v>1963</v>
      </c>
      <c r="O186" s="168">
        <v>0.70347222222222228</v>
      </c>
      <c r="P186" s="168">
        <v>0.70347222222222228</v>
      </c>
      <c r="Q186" s="168">
        <v>0.72013888888888888</v>
      </c>
      <c r="R186" s="356">
        <f>(WTG_BD[[#This Row],[Work Start TimeStamp]]-WTG_BD[[#This Row],[Fault Start TimeStamp]])*24</f>
        <v>0</v>
      </c>
      <c r="S186" s="34">
        <f>(WTG_BD[[#This Row],[Fault Clearance time]]-WTG_BD[[#This Row],[Work Start TimeStamp]])*24</f>
        <v>0.39999999999999858</v>
      </c>
      <c r="T186" s="34">
        <f>(WTG_BD[[#This Row],[Fault Clearance time]]-WTG_BD[[#This Row],[Fault Start TimeStamp]])*24</f>
        <v>0.39999999999999858</v>
      </c>
      <c r="U186" t="s">
        <v>4323</v>
      </c>
      <c r="V186" s="234" t="s">
        <v>255</v>
      </c>
      <c r="W186" s="50">
        <f>IFERROR(IF(N186="ROW",0,(WTG_BD[[#This Row],[Breakdown Time]]*WTG_BD[[#This Row],[Plant Equivalent Weightage]])),"")</f>
        <v>1.7391304347826028E-2</v>
      </c>
      <c r="X186" s="50"/>
      <c r="Y186" s="205">
        <v>1</v>
      </c>
      <c r="Z186" s="205"/>
      <c r="AA186" s="4">
        <v>2E-3</v>
      </c>
      <c r="AC186" s="4"/>
    </row>
    <row r="187" spans="1:29">
      <c r="A187" s="10">
        <f t="shared" si="4"/>
        <v>186</v>
      </c>
      <c r="B187" s="43">
        <f>YEAR(WTG_BD[[#This Row],[Date]])+IF(MONTH(WTG_BD[[#This Row],[Date]])&gt;=4,1,0)</f>
        <v>2026</v>
      </c>
      <c r="C187" s="10">
        <v>2025</v>
      </c>
      <c r="D187" s="10" t="s">
        <v>4478</v>
      </c>
      <c r="E187" s="309">
        <f>WTG_BD[[#This Row],[Date]]-DAY(WTG_BD[[#This Row],[Date]])+1</f>
        <v>45748</v>
      </c>
      <c r="F187" s="32">
        <v>45762</v>
      </c>
      <c r="G187" t="s">
        <v>79</v>
      </c>
      <c r="H187" t="str">
        <f>IFERROR(VLOOKUP(WTG_BD[[#This Row],[Affected WTG]],'Basic Data'!$A$3:$E$25,2,0),"")</f>
        <v>O2R3</v>
      </c>
      <c r="I187" t="str">
        <f>IFERROR(VLOOKUP(WTG_BD[[#This Row],[Affected WTG]],'Basic Data'!$A$3:$E$25,3,0),"")</f>
        <v>JK</v>
      </c>
      <c r="J187" s="355">
        <f>IFERROR(VLOOKUP(WTG_BD[[#This Row],[Affected WTG]],'Basic Data'!$A$3:$E$25,5,0),"")</f>
        <v>4.3478260869565223E-2</v>
      </c>
      <c r="K187" s="10">
        <v>3273</v>
      </c>
      <c r="L187" t="str">
        <f>IFERROR(VLOOKUP(WTG_BD[[#This Row],[Error Code]],'Basic Data'!S:T,2,0),"Incorrect Error Code")</f>
        <v>YawUntwistCCW: Code__,_______°</v>
      </c>
      <c r="M187" t="s">
        <v>1963</v>
      </c>
      <c r="O187" s="168">
        <v>0.71805555555555556</v>
      </c>
      <c r="P187" s="168">
        <v>0.71805555555555556</v>
      </c>
      <c r="Q187" s="168">
        <v>0.73750000000000004</v>
      </c>
      <c r="R187" s="356">
        <f>(WTG_BD[[#This Row],[Work Start TimeStamp]]-WTG_BD[[#This Row],[Fault Start TimeStamp]])*24</f>
        <v>0</v>
      </c>
      <c r="S187" s="34">
        <f>(WTG_BD[[#This Row],[Fault Clearance time]]-WTG_BD[[#This Row],[Work Start TimeStamp]])*24</f>
        <v>0.46666666666666767</v>
      </c>
      <c r="T187" s="34">
        <f>(WTG_BD[[#This Row],[Fault Clearance time]]-WTG_BD[[#This Row],[Fault Start TimeStamp]])*24</f>
        <v>0.46666666666666767</v>
      </c>
      <c r="U187" t="s">
        <v>4323</v>
      </c>
      <c r="V187" s="234" t="s">
        <v>255</v>
      </c>
      <c r="W187" s="50">
        <f>IFERROR(IF(N187="ROW",0,(WTG_BD[[#This Row],[Breakdown Time]]*WTG_BD[[#This Row],[Plant Equivalent Weightage]])),"")</f>
        <v>2.0289855072463815E-2</v>
      </c>
      <c r="X187" s="50"/>
      <c r="Y187" s="205">
        <v>1</v>
      </c>
      <c r="Z187" s="205"/>
      <c r="AA187" s="4">
        <v>2.5999999999999999E-2</v>
      </c>
      <c r="AC187" s="4"/>
    </row>
    <row r="188" spans="1:29">
      <c r="A188" s="10">
        <f t="shared" si="4"/>
        <v>187</v>
      </c>
      <c r="B188" s="43">
        <f>YEAR(WTG_BD[[#This Row],[Date]])+IF(MONTH(WTG_BD[[#This Row],[Date]])&gt;=4,1,0)</f>
        <v>2026</v>
      </c>
      <c r="C188" s="10">
        <v>2025</v>
      </c>
      <c r="D188" s="10" t="s">
        <v>4478</v>
      </c>
      <c r="E188" s="309">
        <f>WTG_BD[[#This Row],[Date]]-DAY(WTG_BD[[#This Row],[Date]])+1</f>
        <v>45748</v>
      </c>
      <c r="F188" s="32">
        <v>45762</v>
      </c>
      <c r="G188" t="s">
        <v>80</v>
      </c>
      <c r="H188" t="str">
        <f>IFERROR(VLOOKUP(WTG_BD[[#This Row],[Affected WTG]],'Basic Data'!$A$3:$E$25,2,0),"")</f>
        <v>O2R3</v>
      </c>
      <c r="I188" t="str">
        <f>IFERROR(VLOOKUP(WTG_BD[[#This Row],[Affected WTG]],'Basic Data'!$A$3:$E$25,3,0),"")</f>
        <v>JK</v>
      </c>
      <c r="J188" s="355">
        <f>IFERROR(VLOOKUP(WTG_BD[[#This Row],[Affected WTG]],'Basic Data'!$A$3:$E$25,5,0),"")</f>
        <v>4.3478260869565223E-2</v>
      </c>
      <c r="K188" s="10">
        <v>3273</v>
      </c>
      <c r="L188" t="str">
        <f>IFERROR(VLOOKUP(WTG_BD[[#This Row],[Error Code]],'Basic Data'!S:T,2,0),"Incorrect Error Code")</f>
        <v>YawUntwistCCW: Code__,_______°</v>
      </c>
      <c r="M188" t="s">
        <v>1963</v>
      </c>
      <c r="O188" s="168">
        <v>0.52569444444444446</v>
      </c>
      <c r="P188" s="168">
        <v>0.52569444444444446</v>
      </c>
      <c r="Q188" s="168">
        <v>0.5395833333333333</v>
      </c>
      <c r="R188" s="356">
        <f>(WTG_BD[[#This Row],[Work Start TimeStamp]]-WTG_BD[[#This Row],[Fault Start TimeStamp]])*24</f>
        <v>0</v>
      </c>
      <c r="S188" s="34">
        <f>(WTG_BD[[#This Row],[Fault Clearance time]]-WTG_BD[[#This Row],[Work Start TimeStamp]])*24</f>
        <v>0.33333333333333215</v>
      </c>
      <c r="T188" s="34">
        <f>(WTG_BD[[#This Row],[Fault Clearance time]]-WTG_BD[[#This Row],[Fault Start TimeStamp]])*24</f>
        <v>0.33333333333333215</v>
      </c>
      <c r="U188" t="s">
        <v>4323</v>
      </c>
      <c r="V188" s="234" t="s">
        <v>255</v>
      </c>
      <c r="W188" s="50">
        <f>IFERROR(IF(N188="ROW",0,(WTG_BD[[#This Row],[Breakdown Time]]*WTG_BD[[#This Row],[Plant Equivalent Weightage]])),"")</f>
        <v>1.4492753623188356E-2</v>
      </c>
      <c r="X188" s="50"/>
      <c r="Y188" s="205">
        <v>1</v>
      </c>
      <c r="Z188" s="205"/>
      <c r="AA188" s="4">
        <v>1.2999999999999999E-2</v>
      </c>
      <c r="AC188" s="4"/>
    </row>
    <row r="189" spans="1:29">
      <c r="A189" s="10">
        <f t="shared" si="4"/>
        <v>188</v>
      </c>
      <c r="B189" s="43">
        <f>YEAR(WTG_BD[[#This Row],[Date]])+IF(MONTH(WTG_BD[[#This Row],[Date]])&gt;=4,1,0)</f>
        <v>2026</v>
      </c>
      <c r="C189" s="10">
        <v>2025</v>
      </c>
      <c r="D189" s="10" t="s">
        <v>4478</v>
      </c>
      <c r="E189" s="309">
        <f>WTG_BD[[#This Row],[Date]]-DAY(WTG_BD[[#This Row],[Date]])+1</f>
        <v>45748</v>
      </c>
      <c r="F189" s="32">
        <v>45762</v>
      </c>
      <c r="G189" t="s">
        <v>80</v>
      </c>
      <c r="H189" t="str">
        <f>IFERROR(VLOOKUP(WTG_BD[[#This Row],[Affected WTG]],'Basic Data'!$A$3:$E$25,2,0),"")</f>
        <v>O2R3</v>
      </c>
      <c r="I189" t="str">
        <f>IFERROR(VLOOKUP(WTG_BD[[#This Row],[Affected WTG]],'Basic Data'!$A$3:$E$25,3,0),"")</f>
        <v>JK</v>
      </c>
      <c r="J189" s="355">
        <f>IFERROR(VLOOKUP(WTG_BD[[#This Row],[Affected WTG]],'Basic Data'!$A$3:$E$25,5,0),"")</f>
        <v>4.3478260869565223E-2</v>
      </c>
      <c r="K189" s="10">
        <v>3273</v>
      </c>
      <c r="L189" t="str">
        <f>IFERROR(VLOOKUP(WTG_BD[[#This Row],[Error Code]],'Basic Data'!S:T,2,0),"Incorrect Error Code")</f>
        <v>YawUntwistCCW: Code__,_______°</v>
      </c>
      <c r="M189" t="s">
        <v>1963</v>
      </c>
      <c r="O189" s="168">
        <v>0.79513888888888884</v>
      </c>
      <c r="P189" s="168">
        <v>0.79513888888888884</v>
      </c>
      <c r="Q189" s="168">
        <v>0.81041666666666667</v>
      </c>
      <c r="R189" s="356">
        <f>(WTG_BD[[#This Row],[Work Start TimeStamp]]-WTG_BD[[#This Row],[Fault Start TimeStamp]])*24</f>
        <v>0</v>
      </c>
      <c r="S189" s="34">
        <f>(WTG_BD[[#This Row],[Fault Clearance time]]-WTG_BD[[#This Row],[Work Start TimeStamp]])*24</f>
        <v>0.36666666666666803</v>
      </c>
      <c r="T189" s="34">
        <f>(WTG_BD[[#This Row],[Fault Clearance time]]-WTG_BD[[#This Row],[Fault Start TimeStamp]])*24</f>
        <v>0.36666666666666803</v>
      </c>
      <c r="U189" t="s">
        <v>4323</v>
      </c>
      <c r="V189" s="234" t="s">
        <v>255</v>
      </c>
      <c r="W189" s="50">
        <f>IFERROR(IF(N189="ROW",0,(WTG_BD[[#This Row],[Breakdown Time]]*WTG_BD[[#This Row],[Plant Equivalent Weightage]])),"")</f>
        <v>1.5942028985507308E-2</v>
      </c>
      <c r="X189" s="50"/>
      <c r="Y189" s="205">
        <v>1</v>
      </c>
      <c r="Z189" s="205"/>
      <c r="AA189" s="4">
        <v>5.8999999999999997E-2</v>
      </c>
      <c r="AC189" s="4"/>
    </row>
    <row r="190" spans="1:29">
      <c r="A190" s="10">
        <f t="shared" si="4"/>
        <v>189</v>
      </c>
      <c r="B190" s="43">
        <f>YEAR(WTG_BD[[#This Row],[Date]])+IF(MONTH(WTG_BD[[#This Row],[Date]])&gt;=4,1,0)</f>
        <v>2026</v>
      </c>
      <c r="C190" s="10">
        <v>2025</v>
      </c>
      <c r="D190" s="10" t="s">
        <v>4478</v>
      </c>
      <c r="E190" s="309">
        <f>WTG_BD[[#This Row],[Date]]-DAY(WTG_BD[[#This Row],[Date]])+1</f>
        <v>45748</v>
      </c>
      <c r="F190" s="32">
        <v>45762</v>
      </c>
      <c r="G190" t="s">
        <v>81</v>
      </c>
      <c r="H190" t="str">
        <f>IFERROR(VLOOKUP(WTG_BD[[#This Row],[Affected WTG]],'Basic Data'!$A$3:$E$25,2,0),"")</f>
        <v>O2R3</v>
      </c>
      <c r="I190" t="str">
        <f>IFERROR(VLOOKUP(WTG_BD[[#This Row],[Affected WTG]],'Basic Data'!$A$3:$E$25,3,0),"")</f>
        <v>JK</v>
      </c>
      <c r="J190" s="355">
        <f>IFERROR(VLOOKUP(WTG_BD[[#This Row],[Affected WTG]],'Basic Data'!$A$3:$E$25,5,0),"")</f>
        <v>4.3478260869565223E-2</v>
      </c>
      <c r="K190" s="10">
        <v>3273</v>
      </c>
      <c r="L190" t="str">
        <f>IFERROR(VLOOKUP(WTG_BD[[#This Row],[Error Code]],'Basic Data'!S:T,2,0),"Incorrect Error Code")</f>
        <v>YawUntwistCCW: Code__,_______°</v>
      </c>
      <c r="M190" t="s">
        <v>1963</v>
      </c>
      <c r="O190" s="168">
        <v>0.69652777777777775</v>
      </c>
      <c r="P190" s="168">
        <v>0.69652777777777775</v>
      </c>
      <c r="Q190" s="168">
        <v>0.71527777777777779</v>
      </c>
      <c r="R190" s="356">
        <f>(WTG_BD[[#This Row],[Work Start TimeStamp]]-WTG_BD[[#This Row],[Fault Start TimeStamp]])*24</f>
        <v>0</v>
      </c>
      <c r="S190" s="34">
        <f>(WTG_BD[[#This Row],[Fault Clearance time]]-WTG_BD[[#This Row],[Work Start TimeStamp]])*24</f>
        <v>0.45000000000000107</v>
      </c>
      <c r="T190" s="34">
        <f>(WTG_BD[[#This Row],[Fault Clearance time]]-WTG_BD[[#This Row],[Fault Start TimeStamp]])*24</f>
        <v>0.45000000000000107</v>
      </c>
      <c r="U190" t="s">
        <v>4323</v>
      </c>
      <c r="V190" s="234" t="s">
        <v>255</v>
      </c>
      <c r="W190" s="50">
        <f>IFERROR(IF(N190="ROW",0,(WTG_BD[[#This Row],[Breakdown Time]]*WTG_BD[[#This Row],[Plant Equivalent Weightage]])),"")</f>
        <v>1.9565217391304398E-2</v>
      </c>
      <c r="X190" s="50"/>
      <c r="Y190" s="205">
        <v>1</v>
      </c>
      <c r="Z190" s="205"/>
      <c r="AA190" s="4">
        <v>3.6999999999999998E-2</v>
      </c>
      <c r="AC190" s="4"/>
    </row>
    <row r="191" spans="1:29">
      <c r="A191" s="10">
        <f t="shared" si="4"/>
        <v>190</v>
      </c>
      <c r="B191" s="43">
        <f>YEAR(WTG_BD[[#This Row],[Date]])+IF(MONTH(WTG_BD[[#This Row],[Date]])&gt;=4,1,0)</f>
        <v>2026</v>
      </c>
      <c r="C191" s="10">
        <v>2025</v>
      </c>
      <c r="D191" s="10" t="s">
        <v>4478</v>
      </c>
      <c r="E191" s="309">
        <f>WTG_BD[[#This Row],[Date]]-DAY(WTG_BD[[#This Row],[Date]])+1</f>
        <v>45748</v>
      </c>
      <c r="F191" s="32">
        <v>45762</v>
      </c>
      <c r="G191" t="s">
        <v>84</v>
      </c>
      <c r="H191" t="str">
        <f>IFERROR(VLOOKUP(WTG_BD[[#This Row],[Affected WTG]],'Basic Data'!$A$3:$E$25,2,0),"")</f>
        <v>O2R3</v>
      </c>
      <c r="I191" t="str">
        <f>IFERROR(VLOOKUP(WTG_BD[[#This Row],[Affected WTG]],'Basic Data'!$A$3:$E$25,3,0),"")</f>
        <v>JK</v>
      </c>
      <c r="J191" s="355">
        <f>IFERROR(VLOOKUP(WTG_BD[[#This Row],[Affected WTG]],'Basic Data'!$A$3:$E$25,5,0),"")</f>
        <v>4.3478260869565223E-2</v>
      </c>
      <c r="K191" s="10">
        <v>3273</v>
      </c>
      <c r="L191" t="str">
        <f>IFERROR(VLOOKUP(WTG_BD[[#This Row],[Error Code]],'Basic Data'!S:T,2,0),"Incorrect Error Code")</f>
        <v>YawUntwistCCW: Code__,_______°</v>
      </c>
      <c r="M191" t="s">
        <v>1963</v>
      </c>
      <c r="O191" s="168">
        <v>0.71388888888888891</v>
      </c>
      <c r="P191" s="168">
        <v>0.71388888888888891</v>
      </c>
      <c r="Q191" s="168">
        <v>0.73402777777777772</v>
      </c>
      <c r="R191" s="356">
        <f>(WTG_BD[[#This Row],[Work Start TimeStamp]]-WTG_BD[[#This Row],[Fault Start TimeStamp]])*24</f>
        <v>0</v>
      </c>
      <c r="S191" s="34">
        <f>(WTG_BD[[#This Row],[Fault Clearance time]]-WTG_BD[[#This Row],[Work Start TimeStamp]])*24</f>
        <v>0.48333333333333162</v>
      </c>
      <c r="T191" s="34">
        <f>(WTG_BD[[#This Row],[Fault Clearance time]]-WTG_BD[[#This Row],[Fault Start TimeStamp]])*24</f>
        <v>0.48333333333333162</v>
      </c>
      <c r="U191" t="s">
        <v>4323</v>
      </c>
      <c r="V191" s="234" t="s">
        <v>255</v>
      </c>
      <c r="W191" s="50">
        <f>IFERROR(IF(N191="ROW",0,(WTG_BD[[#This Row],[Breakdown Time]]*WTG_BD[[#This Row],[Plant Equivalent Weightage]])),"")</f>
        <v>2.1014492753623118E-2</v>
      </c>
      <c r="X191" s="50"/>
      <c r="Y191" s="205">
        <v>1</v>
      </c>
      <c r="Z191" s="205"/>
      <c r="AA191" s="4">
        <v>1.2999999999999999E-2</v>
      </c>
      <c r="AC191" s="4"/>
    </row>
    <row r="192" spans="1:29">
      <c r="A192" s="10">
        <f t="shared" si="4"/>
        <v>191</v>
      </c>
      <c r="B192" s="43">
        <f>YEAR(WTG_BD[[#This Row],[Date]])+IF(MONTH(WTG_BD[[#This Row],[Date]])&gt;=4,1,0)</f>
        <v>2026</v>
      </c>
      <c r="C192" s="10">
        <v>2025</v>
      </c>
      <c r="D192" s="10" t="s">
        <v>4478</v>
      </c>
      <c r="E192" s="309">
        <f>WTG_BD[[#This Row],[Date]]-DAY(WTG_BD[[#This Row],[Date]])+1</f>
        <v>45748</v>
      </c>
      <c r="F192" s="32">
        <v>45762</v>
      </c>
      <c r="G192" t="s">
        <v>91</v>
      </c>
      <c r="H192" t="str">
        <f>IFERROR(VLOOKUP(WTG_BD[[#This Row],[Affected WTG]],'Basic Data'!$A$3:$E$25,2,0),"")</f>
        <v>O2R2</v>
      </c>
      <c r="I192" t="str">
        <f>IFERROR(VLOOKUP(WTG_BD[[#This Row],[Affected WTG]],'Basic Data'!$A$3:$E$25,3,0),"")</f>
        <v>SIL</v>
      </c>
      <c r="J192" s="355">
        <f>IFERROR(VLOOKUP(WTG_BD[[#This Row],[Affected WTG]],'Basic Data'!$A$3:$E$25,5,0),"")</f>
        <v>4.3478260869565223E-2</v>
      </c>
      <c r="K192" s="10">
        <v>3273</v>
      </c>
      <c r="L192" t="str">
        <f>IFERROR(VLOOKUP(WTG_BD[[#This Row],[Error Code]],'Basic Data'!S:T,2,0),"Incorrect Error Code")</f>
        <v>YawUntwistCCW: Code__,_______°</v>
      </c>
      <c r="M192" t="s">
        <v>1963</v>
      </c>
      <c r="O192" s="168">
        <v>0.67569444444444449</v>
      </c>
      <c r="P192" s="168">
        <v>0.67569444444444449</v>
      </c>
      <c r="Q192" s="168">
        <v>0.69027777777777777</v>
      </c>
      <c r="R192" s="356">
        <f>(WTG_BD[[#This Row],[Work Start TimeStamp]]-WTG_BD[[#This Row],[Fault Start TimeStamp]])*24</f>
        <v>0</v>
      </c>
      <c r="S192" s="34">
        <f>(WTG_BD[[#This Row],[Fault Clearance time]]-WTG_BD[[#This Row],[Work Start TimeStamp]])*24</f>
        <v>0.34999999999999876</v>
      </c>
      <c r="T192" s="34">
        <f>(WTG_BD[[#This Row],[Fault Clearance time]]-WTG_BD[[#This Row],[Fault Start TimeStamp]])*24</f>
        <v>0.34999999999999876</v>
      </c>
      <c r="U192" t="s">
        <v>4323</v>
      </c>
      <c r="V192" s="234" t="s">
        <v>255</v>
      </c>
      <c r="W192" s="50">
        <f>IFERROR(IF(N192="ROW",0,(WTG_BD[[#This Row],[Breakdown Time]]*WTG_BD[[#This Row],[Plant Equivalent Weightage]])),"")</f>
        <v>1.5217391304347775E-2</v>
      </c>
      <c r="X192" s="50"/>
      <c r="Y192" s="205">
        <v>1</v>
      </c>
      <c r="Z192" s="205"/>
      <c r="AA192" s="4">
        <v>7.2999999999999995E-2</v>
      </c>
      <c r="AC192" s="4"/>
    </row>
    <row r="193" spans="1:29">
      <c r="A193" s="10">
        <f t="shared" si="4"/>
        <v>192</v>
      </c>
      <c r="B193" s="43">
        <f>YEAR(WTG_BD[[#This Row],[Date]])+IF(MONTH(WTG_BD[[#This Row],[Date]])&gt;=4,1,0)</f>
        <v>2026</v>
      </c>
      <c r="C193" s="10">
        <v>2025</v>
      </c>
      <c r="D193" s="10" t="s">
        <v>4478</v>
      </c>
      <c r="E193" s="309">
        <f>WTG_BD[[#This Row],[Date]]-DAY(WTG_BD[[#This Row],[Date]])+1</f>
        <v>45748</v>
      </c>
      <c r="F193" s="32">
        <v>45762</v>
      </c>
      <c r="G193" t="s">
        <v>92</v>
      </c>
      <c r="H193" t="str">
        <f>IFERROR(VLOOKUP(WTG_BD[[#This Row],[Affected WTG]],'Basic Data'!$A$3:$E$25,2,0),"")</f>
        <v>O2R2</v>
      </c>
      <c r="I193" t="str">
        <f>IFERROR(VLOOKUP(WTG_BD[[#This Row],[Affected WTG]],'Basic Data'!$A$3:$E$25,3,0),"")</f>
        <v>SIL</v>
      </c>
      <c r="J193" s="355">
        <f>IFERROR(VLOOKUP(WTG_BD[[#This Row],[Affected WTG]],'Basic Data'!$A$3:$E$25,5,0),"")</f>
        <v>4.3478260869565223E-2</v>
      </c>
      <c r="K193" s="10">
        <v>3273</v>
      </c>
      <c r="L193" t="str">
        <f>IFERROR(VLOOKUP(WTG_BD[[#This Row],[Error Code]],'Basic Data'!S:T,2,0),"Incorrect Error Code")</f>
        <v>YawUntwistCCW: Code__,_______°</v>
      </c>
      <c r="M193" t="s">
        <v>1963</v>
      </c>
      <c r="O193" s="168">
        <v>0.70416666666666672</v>
      </c>
      <c r="P193" s="168">
        <v>0.70416666666666672</v>
      </c>
      <c r="Q193" s="168">
        <v>0.71944444444444444</v>
      </c>
      <c r="R193" s="356">
        <f>(WTG_BD[[#This Row],[Work Start TimeStamp]]-WTG_BD[[#This Row],[Fault Start TimeStamp]])*24</f>
        <v>0</v>
      </c>
      <c r="S193" s="34">
        <f>(WTG_BD[[#This Row],[Fault Clearance time]]-WTG_BD[[#This Row],[Work Start TimeStamp]])*24</f>
        <v>0.36666666666666536</v>
      </c>
      <c r="T193" s="34">
        <f>(WTG_BD[[#This Row],[Fault Clearance time]]-WTG_BD[[#This Row],[Fault Start TimeStamp]])*24</f>
        <v>0.36666666666666536</v>
      </c>
      <c r="U193" t="s">
        <v>4323</v>
      </c>
      <c r="V193" s="234" t="s">
        <v>255</v>
      </c>
      <c r="W193" s="50">
        <f>IFERROR(IF(N193="ROW",0,(WTG_BD[[#This Row],[Breakdown Time]]*WTG_BD[[#This Row],[Plant Equivalent Weightage]])),"")</f>
        <v>1.594202898550719E-2</v>
      </c>
      <c r="X193" s="50"/>
      <c r="Y193" s="205">
        <v>1</v>
      </c>
      <c r="Z193" s="205"/>
      <c r="AA193" s="4">
        <v>8.0000000000000002E-3</v>
      </c>
      <c r="AC193" s="4"/>
    </row>
    <row r="194" spans="1:29">
      <c r="A194" s="10">
        <f t="shared" si="4"/>
        <v>193</v>
      </c>
      <c r="B194" s="43">
        <f>YEAR(WTG_BD[[#This Row],[Date]])+IF(MONTH(WTG_BD[[#This Row],[Date]])&gt;=4,1,0)</f>
        <v>2026</v>
      </c>
      <c r="C194" s="10">
        <v>2025</v>
      </c>
      <c r="D194" s="10" t="s">
        <v>4478</v>
      </c>
      <c r="E194" s="309">
        <f>WTG_BD[[#This Row],[Date]]-DAY(WTG_BD[[#This Row],[Date]])+1</f>
        <v>45748</v>
      </c>
      <c r="F194" s="32">
        <v>45762</v>
      </c>
      <c r="G194" t="s">
        <v>93</v>
      </c>
      <c r="H194" t="str">
        <f>IFERROR(VLOOKUP(WTG_BD[[#This Row],[Affected WTG]],'Basic Data'!$A$3:$E$25,2,0),"")</f>
        <v>O2R4</v>
      </c>
      <c r="I194" t="str">
        <f>IFERROR(VLOOKUP(WTG_BD[[#This Row],[Affected WTG]],'Basic Data'!$A$3:$E$25,3,0),"")</f>
        <v>SGDCIPL</v>
      </c>
      <c r="J194" s="355">
        <f>IFERROR(VLOOKUP(WTG_BD[[#This Row],[Affected WTG]],'Basic Data'!$A$3:$E$25,5,0),"")</f>
        <v>4.3478260869565223E-2</v>
      </c>
      <c r="K194" s="10">
        <v>3273</v>
      </c>
      <c r="L194" t="str">
        <f>IFERROR(VLOOKUP(WTG_BD[[#This Row],[Error Code]],'Basic Data'!S:T,2,0),"Incorrect Error Code")</f>
        <v>YawUntwistCCW: Code__,_______°</v>
      </c>
      <c r="M194" t="s">
        <v>1963</v>
      </c>
      <c r="O194" s="168">
        <v>0.70694444444444449</v>
      </c>
      <c r="P194" s="168">
        <v>0.70694444444444449</v>
      </c>
      <c r="Q194" s="168">
        <v>0.72430555555555554</v>
      </c>
      <c r="R194" s="356">
        <f>(WTG_BD[[#This Row],[Work Start TimeStamp]]-WTG_BD[[#This Row],[Fault Start TimeStamp]])*24</f>
        <v>0</v>
      </c>
      <c r="S194" s="34">
        <f>(WTG_BD[[#This Row],[Fault Clearance time]]-WTG_BD[[#This Row],[Work Start TimeStamp]])*24</f>
        <v>0.41666666666666519</v>
      </c>
      <c r="T194" s="34">
        <f>(WTG_BD[[#This Row],[Fault Clearance time]]-WTG_BD[[#This Row],[Fault Start TimeStamp]])*24</f>
        <v>0.41666666666666519</v>
      </c>
      <c r="U194" t="s">
        <v>4323</v>
      </c>
      <c r="V194" s="234" t="s">
        <v>255</v>
      </c>
      <c r="W194" s="50">
        <f>IFERROR(IF(N194="ROW",0,(WTG_BD[[#This Row],[Breakdown Time]]*WTG_BD[[#This Row],[Plant Equivalent Weightage]])),"")</f>
        <v>1.8115942028985445E-2</v>
      </c>
      <c r="X194" s="50"/>
      <c r="Y194" s="205">
        <v>1</v>
      </c>
      <c r="Z194" s="205"/>
      <c r="AA194" s="4">
        <v>6.0000000000000001E-3</v>
      </c>
      <c r="AC194" s="4"/>
    </row>
    <row r="195" spans="1:29">
      <c r="A195" s="10">
        <f t="shared" si="4"/>
        <v>194</v>
      </c>
      <c r="B195" s="43">
        <f>YEAR(WTG_BD[[#This Row],[Date]])+IF(MONTH(WTG_BD[[#This Row],[Date]])&gt;=4,1,0)</f>
        <v>2026</v>
      </c>
      <c r="C195" s="10">
        <v>2025</v>
      </c>
      <c r="D195" s="10" t="s">
        <v>4478</v>
      </c>
      <c r="E195" s="309">
        <f>WTG_BD[[#This Row],[Date]]-DAY(WTG_BD[[#This Row],[Date]])+1</f>
        <v>45748</v>
      </c>
      <c r="F195" s="32">
        <v>45762</v>
      </c>
      <c r="G195" t="s">
        <v>97</v>
      </c>
      <c r="H195" t="str">
        <f>IFERROR(VLOOKUP(WTG_BD[[#This Row],[Affected WTG]],'Basic Data'!$A$3:$E$25,2,0),"")</f>
        <v>O2R3</v>
      </c>
      <c r="I195" t="str">
        <f>IFERROR(VLOOKUP(WTG_BD[[#This Row],[Affected WTG]],'Basic Data'!$A$3:$E$25,3,0),"")</f>
        <v>JK</v>
      </c>
      <c r="J195" s="355">
        <f>IFERROR(VLOOKUP(WTG_BD[[#This Row],[Affected WTG]],'Basic Data'!$A$3:$E$25,5,0),"")</f>
        <v>4.3478260869565223E-2</v>
      </c>
      <c r="K195" s="10">
        <v>3273</v>
      </c>
      <c r="L195" t="str">
        <f>IFERROR(VLOOKUP(WTG_BD[[#This Row],[Error Code]],'Basic Data'!S:T,2,0),"Incorrect Error Code")</f>
        <v>YawUntwistCCW: Code__,_______°</v>
      </c>
      <c r="M195" t="s">
        <v>1963</v>
      </c>
      <c r="O195" s="168">
        <v>0.74375000000000002</v>
      </c>
      <c r="P195" s="168">
        <v>0.74375000000000002</v>
      </c>
      <c r="Q195" s="168">
        <v>0.75902777777777775</v>
      </c>
      <c r="R195" s="356">
        <f>(WTG_BD[[#This Row],[Work Start TimeStamp]]-WTG_BD[[#This Row],[Fault Start TimeStamp]])*24</f>
        <v>0</v>
      </c>
      <c r="S195" s="34">
        <f>(WTG_BD[[#This Row],[Fault Clearance time]]-WTG_BD[[#This Row],[Work Start TimeStamp]])*24</f>
        <v>0.36666666666666536</v>
      </c>
      <c r="T195" s="34">
        <f>(WTG_BD[[#This Row],[Fault Clearance time]]-WTG_BD[[#This Row],[Fault Start TimeStamp]])*24</f>
        <v>0.36666666666666536</v>
      </c>
      <c r="U195" t="s">
        <v>4323</v>
      </c>
      <c r="V195" s="234" t="s">
        <v>255</v>
      </c>
      <c r="W195" s="50">
        <f>IFERROR(IF(N195="ROW",0,(WTG_BD[[#This Row],[Breakdown Time]]*WTG_BD[[#This Row],[Plant Equivalent Weightage]])),"")</f>
        <v>1.594202898550719E-2</v>
      </c>
      <c r="X195" s="50"/>
      <c r="Y195" s="205">
        <v>1</v>
      </c>
      <c r="Z195" s="205"/>
      <c r="AA195" s="4">
        <v>1.2E-2</v>
      </c>
      <c r="AC195" s="4"/>
    </row>
    <row r="196" spans="1:29">
      <c r="A196" s="10">
        <f t="shared" si="4"/>
        <v>195</v>
      </c>
      <c r="B196" s="43">
        <f>YEAR(WTG_BD[[#This Row],[Date]])+IF(MONTH(WTG_BD[[#This Row],[Date]])&gt;=4,1,0)</f>
        <v>2026</v>
      </c>
      <c r="C196" s="10">
        <v>2025</v>
      </c>
      <c r="D196" s="10" t="s">
        <v>4478</v>
      </c>
      <c r="E196" s="309">
        <f>WTG_BD[[#This Row],[Date]]-DAY(WTG_BD[[#This Row],[Date]])+1</f>
        <v>45748</v>
      </c>
      <c r="F196" s="32">
        <v>45762</v>
      </c>
      <c r="G196" t="s">
        <v>98</v>
      </c>
      <c r="H196" t="str">
        <f>IFERROR(VLOOKUP(WTG_BD[[#This Row],[Affected WTG]],'Basic Data'!$A$3:$E$25,2,0),"")</f>
        <v>O2R3</v>
      </c>
      <c r="I196" t="str">
        <f>IFERROR(VLOOKUP(WTG_BD[[#This Row],[Affected WTG]],'Basic Data'!$A$3:$E$25,3,0),"")</f>
        <v>JK</v>
      </c>
      <c r="J196" s="355">
        <f>IFERROR(VLOOKUP(WTG_BD[[#This Row],[Affected WTG]],'Basic Data'!$A$3:$E$25,5,0),"")</f>
        <v>4.3478260869565223E-2</v>
      </c>
      <c r="K196" s="10">
        <v>3273</v>
      </c>
      <c r="L196" t="str">
        <f>IFERROR(VLOOKUP(WTG_BD[[#This Row],[Error Code]],'Basic Data'!S:T,2,0),"Incorrect Error Code")</f>
        <v>YawUntwistCCW: Code__,_______°</v>
      </c>
      <c r="M196" t="s">
        <v>1963</v>
      </c>
      <c r="O196" s="168">
        <v>0.72986111111111107</v>
      </c>
      <c r="P196" s="168">
        <v>0.72986111111111107</v>
      </c>
      <c r="Q196" s="168">
        <v>0.74444444444444446</v>
      </c>
      <c r="R196" s="356">
        <f>(WTG_BD[[#This Row],[Work Start TimeStamp]]-WTG_BD[[#This Row],[Fault Start TimeStamp]])*24</f>
        <v>0</v>
      </c>
      <c r="S196" s="34">
        <f>(WTG_BD[[#This Row],[Fault Clearance time]]-WTG_BD[[#This Row],[Work Start TimeStamp]])*24</f>
        <v>0.35000000000000142</v>
      </c>
      <c r="T196" s="34">
        <f>(WTG_BD[[#This Row],[Fault Clearance time]]-WTG_BD[[#This Row],[Fault Start TimeStamp]])*24</f>
        <v>0.35000000000000142</v>
      </c>
      <c r="U196" t="s">
        <v>4323</v>
      </c>
      <c r="V196" s="234" t="s">
        <v>255</v>
      </c>
      <c r="W196" s="50">
        <f>IFERROR(IF(N196="ROW",0,(WTG_BD[[#This Row],[Breakdown Time]]*WTG_BD[[#This Row],[Plant Equivalent Weightage]])),"")</f>
        <v>1.5217391304347889E-2</v>
      </c>
      <c r="X196" s="50"/>
      <c r="Y196" s="205">
        <v>1</v>
      </c>
      <c r="Z196" s="205"/>
      <c r="AA196" s="4">
        <v>4.5999999999999999E-2</v>
      </c>
      <c r="AC196" s="4"/>
    </row>
    <row r="197" spans="1:29">
      <c r="A197" s="10">
        <f t="shared" si="4"/>
        <v>196</v>
      </c>
      <c r="B197" s="43">
        <f>YEAR(WTG_BD[[#This Row],[Date]])+IF(MONTH(WTG_BD[[#This Row],[Date]])&gt;=4,1,0)</f>
        <v>2026</v>
      </c>
      <c r="C197" s="10">
        <v>2025</v>
      </c>
      <c r="D197" s="10" t="s">
        <v>4478</v>
      </c>
      <c r="E197" s="309">
        <f>WTG_BD[[#This Row],[Date]]-DAY(WTG_BD[[#This Row],[Date]])+1</f>
        <v>45748</v>
      </c>
      <c r="F197" s="32">
        <v>45763</v>
      </c>
      <c r="G197" t="s">
        <v>86</v>
      </c>
      <c r="H197" t="str">
        <f>IFERROR(VLOOKUP(WTG_BD[[#This Row],[Affected WTG]],'Basic Data'!$A$3:$E$25,2,0),"")</f>
        <v>O2R1</v>
      </c>
      <c r="I197" t="str">
        <f>IFERROR(VLOOKUP(WTG_BD[[#This Row],[Affected WTG]],'Basic Data'!$A$3:$E$25,3,0),"")</f>
        <v>KSIPL</v>
      </c>
      <c r="J197" s="355">
        <f>IFERROR(VLOOKUP(WTG_BD[[#This Row],[Affected WTG]],'Basic Data'!$A$3:$E$25,5,0),"")</f>
        <v>4.3478260869565223E-2</v>
      </c>
      <c r="K197" s="10">
        <v>315</v>
      </c>
      <c r="L197" t="str">
        <f>IFERROR(VLOOKUP(WTG_BD[[#This Row],[Error Code]],'Basic Data'!S:T,2,0),"Incorrect Error Code")</f>
        <v>ExEx low voltage L_: ___V</v>
      </c>
      <c r="M197" t="s">
        <v>141</v>
      </c>
      <c r="N197" t="s">
        <v>113</v>
      </c>
      <c r="O197" s="168">
        <v>0.2986111111111111</v>
      </c>
      <c r="P197" s="168">
        <v>0.2986111111111111</v>
      </c>
      <c r="Q197" s="168">
        <v>0.33333333333333331</v>
      </c>
      <c r="R197" s="356">
        <f>(WTG_BD[[#This Row],[Work Start TimeStamp]]-WTG_BD[[#This Row],[Fault Start TimeStamp]])*24</f>
        <v>0</v>
      </c>
      <c r="S197" s="34">
        <f>(WTG_BD[[#This Row],[Fault Clearance time]]-WTG_BD[[#This Row],[Work Start TimeStamp]])*24</f>
        <v>0.83333333333333304</v>
      </c>
      <c r="T197" s="34">
        <f>(WTG_BD[[#This Row],[Fault Clearance time]]-WTG_BD[[#This Row],[Fault Start TimeStamp]])*24</f>
        <v>0.83333333333333304</v>
      </c>
      <c r="U197" t="s">
        <v>4332</v>
      </c>
      <c r="V197" s="234" t="s">
        <v>255</v>
      </c>
      <c r="W197" s="50">
        <f>IFERROR(IF(N197="ROW",0,(WTG_BD[[#This Row],[Breakdown Time]]*WTG_BD[[#This Row],[Plant Equivalent Weightage]])),"")</f>
        <v>3.6231884057971009E-2</v>
      </c>
      <c r="X197" s="50"/>
      <c r="Y197" s="205">
        <v>1</v>
      </c>
      <c r="Z197" s="205"/>
      <c r="AA197" s="4">
        <v>0.06</v>
      </c>
      <c r="AC197" s="4"/>
    </row>
    <row r="198" spans="1:29">
      <c r="A198" s="10">
        <f t="shared" si="4"/>
        <v>197</v>
      </c>
      <c r="B198" s="43">
        <f>YEAR(WTG_BD[[#This Row],[Date]])+IF(MONTH(WTG_BD[[#This Row],[Date]])&gt;=4,1,0)</f>
        <v>2026</v>
      </c>
      <c r="C198" s="10">
        <v>2025</v>
      </c>
      <c r="D198" s="10" t="s">
        <v>4478</v>
      </c>
      <c r="E198" s="309">
        <f>WTG_BD[[#This Row],[Date]]-DAY(WTG_BD[[#This Row],[Date]])+1</f>
        <v>45748</v>
      </c>
      <c r="F198" s="32">
        <v>45763</v>
      </c>
      <c r="G198" t="s">
        <v>86</v>
      </c>
      <c r="H198" t="str">
        <f>IFERROR(VLOOKUP(WTG_BD[[#This Row],[Affected WTG]],'Basic Data'!$A$3:$E$25,2,0),"")</f>
        <v>O2R1</v>
      </c>
      <c r="I198" t="str">
        <f>IFERROR(VLOOKUP(WTG_BD[[#This Row],[Affected WTG]],'Basic Data'!$A$3:$E$25,3,0),"")</f>
        <v>KSIPL</v>
      </c>
      <c r="J198" s="355">
        <f>IFERROR(VLOOKUP(WTG_BD[[#This Row],[Affected WTG]],'Basic Data'!$A$3:$E$25,5,0),"")</f>
        <v>4.3478260869565223E-2</v>
      </c>
      <c r="K198" s="10">
        <v>309</v>
      </c>
      <c r="L198" t="str">
        <f>IFERROR(VLOOKUP(WTG_BD[[#This Row],[Error Code]],'Basic Data'!S:T,2,0),"Incorrect Error Code")</f>
        <v>Pause over RCS __0</v>
      </c>
      <c r="M198" t="s">
        <v>871</v>
      </c>
      <c r="N198" t="s">
        <v>257</v>
      </c>
      <c r="O198" s="168">
        <v>0.4236111111111111</v>
      </c>
      <c r="P198" s="168">
        <v>0.4236111111111111</v>
      </c>
      <c r="Q198" s="168">
        <v>0.75555555555555554</v>
      </c>
      <c r="R198" s="356">
        <f>(WTG_BD[[#This Row],[Work Start TimeStamp]]-WTG_BD[[#This Row],[Fault Start TimeStamp]])*24</f>
        <v>0</v>
      </c>
      <c r="S198" s="34">
        <f>(WTG_BD[[#This Row],[Fault Clearance time]]-WTG_BD[[#This Row],[Work Start TimeStamp]])*24</f>
        <v>7.9666666666666668</v>
      </c>
      <c r="T198" s="34">
        <f>(WTG_BD[[#This Row],[Fault Clearance time]]-WTG_BD[[#This Row],[Fault Start TimeStamp]])*24</f>
        <v>7.9666666666666668</v>
      </c>
      <c r="U198" t="s">
        <v>4493</v>
      </c>
      <c r="V198" s="234" t="s">
        <v>255</v>
      </c>
      <c r="W198" s="50">
        <f>IFERROR(IF(N198="ROW",0,(WTG_BD[[#This Row],[Breakdown Time]]*WTG_BD[[#This Row],[Plant Equivalent Weightage]])),"")</f>
        <v>0.34637681159420297</v>
      </c>
      <c r="X198" s="50"/>
      <c r="Y198" s="205">
        <v>1</v>
      </c>
      <c r="Z198" s="205"/>
      <c r="AA198" s="4">
        <v>2.4580000000000002</v>
      </c>
      <c r="AC198" s="4"/>
    </row>
    <row r="199" spans="1:29">
      <c r="A199" s="10">
        <f t="shared" si="4"/>
        <v>198</v>
      </c>
      <c r="B199" s="43">
        <f>YEAR(WTG_BD[[#This Row],[Date]])+IF(MONTH(WTG_BD[[#This Row],[Date]])&gt;=4,1,0)</f>
        <v>2026</v>
      </c>
      <c r="C199" s="10">
        <v>2025</v>
      </c>
      <c r="D199" s="10" t="s">
        <v>4478</v>
      </c>
      <c r="E199" s="309">
        <f>WTG_BD[[#This Row],[Date]]-DAY(WTG_BD[[#This Row],[Date]])+1</f>
        <v>45748</v>
      </c>
      <c r="F199" s="32">
        <v>45763</v>
      </c>
      <c r="G199" t="s">
        <v>87</v>
      </c>
      <c r="H199" t="str">
        <f>IFERROR(VLOOKUP(WTG_BD[[#This Row],[Affected WTG]],'Basic Data'!$A$3:$E$25,2,0),"")</f>
        <v>O2R1</v>
      </c>
      <c r="I199" t="str">
        <f>IFERROR(VLOOKUP(WTG_BD[[#This Row],[Affected WTG]],'Basic Data'!$A$3:$E$25,3,0),"")</f>
        <v>KSIPL</v>
      </c>
      <c r="J199" s="355">
        <f>IFERROR(VLOOKUP(WTG_BD[[#This Row],[Affected WTG]],'Basic Data'!$A$3:$E$25,5,0),"")</f>
        <v>4.3478260869565223E-2</v>
      </c>
      <c r="K199" s="10">
        <v>704</v>
      </c>
      <c r="L199" t="str">
        <f>IFERROR(VLOOKUP(WTG_BD[[#This Row],[Error Code]],'Basic Data'!S:T,2,0),"Incorrect Error Code")</f>
        <v>Ch High res. load C_ Load:___%</v>
      </c>
      <c r="M199" t="s">
        <v>372</v>
      </c>
      <c r="N199" t="s">
        <v>113</v>
      </c>
      <c r="O199" s="168">
        <v>0.12916666666666668</v>
      </c>
      <c r="P199" s="168">
        <v>0.12916666666666668</v>
      </c>
      <c r="Q199" s="168">
        <v>0.15208333333333332</v>
      </c>
      <c r="R199" s="356">
        <f>(WTG_BD[[#This Row],[Work Start TimeStamp]]-WTG_BD[[#This Row],[Fault Start TimeStamp]])*24</f>
        <v>0</v>
      </c>
      <c r="S199" s="34">
        <f>(WTG_BD[[#This Row],[Fault Clearance time]]-WTG_BD[[#This Row],[Work Start TimeStamp]])*24</f>
        <v>0.54999999999999938</v>
      </c>
      <c r="T199" s="34">
        <f>(WTG_BD[[#This Row],[Fault Clearance time]]-WTG_BD[[#This Row],[Fault Start TimeStamp]])*24</f>
        <v>0.54999999999999938</v>
      </c>
      <c r="U199" t="s">
        <v>4268</v>
      </c>
      <c r="V199" s="234" t="s">
        <v>255</v>
      </c>
      <c r="W199" s="50">
        <f>IFERROR(IF(N199="ROW",0,(WTG_BD[[#This Row],[Breakdown Time]]*WTG_BD[[#This Row],[Plant Equivalent Weightage]])),"")</f>
        <v>2.3913043478260846E-2</v>
      </c>
      <c r="X199" s="50"/>
      <c r="Y199" s="205">
        <v>1</v>
      </c>
      <c r="Z199" s="205"/>
      <c r="AA199" s="4">
        <v>0.254</v>
      </c>
      <c r="AC199" s="4"/>
    </row>
    <row r="200" spans="1:29">
      <c r="A200" s="10">
        <f t="shared" si="4"/>
        <v>199</v>
      </c>
      <c r="B200" s="43">
        <f>YEAR(WTG_BD[[#This Row],[Date]])+IF(MONTH(WTG_BD[[#This Row],[Date]])&gt;=4,1,0)</f>
        <v>2026</v>
      </c>
      <c r="C200" s="10">
        <v>2025</v>
      </c>
      <c r="D200" s="10" t="s">
        <v>4478</v>
      </c>
      <c r="E200" s="309">
        <f>WTG_BD[[#This Row],[Date]]-DAY(WTG_BD[[#This Row],[Date]])+1</f>
        <v>45748</v>
      </c>
      <c r="F200" s="32">
        <v>45763</v>
      </c>
      <c r="G200" t="s">
        <v>84</v>
      </c>
      <c r="H200" t="str">
        <f>IFERROR(VLOOKUP(WTG_BD[[#This Row],[Affected WTG]],'Basic Data'!$A$3:$E$25,2,0),"")</f>
        <v>O2R3</v>
      </c>
      <c r="I200" t="str">
        <f>IFERROR(VLOOKUP(WTG_BD[[#This Row],[Affected WTG]],'Basic Data'!$A$3:$E$25,3,0),"")</f>
        <v>JK</v>
      </c>
      <c r="J200" s="355">
        <f>IFERROR(VLOOKUP(WTG_BD[[#This Row],[Affected WTG]],'Basic Data'!$A$3:$E$25,5,0),"")</f>
        <v>4.3478260869565223E-2</v>
      </c>
      <c r="K200" s="10">
        <v>704</v>
      </c>
      <c r="L200" t="str">
        <f>IFERROR(VLOOKUP(WTG_BD[[#This Row],[Error Code]],'Basic Data'!S:T,2,0),"Incorrect Error Code")</f>
        <v>Ch High res. load C_ Load:___%</v>
      </c>
      <c r="M200" t="s">
        <v>372</v>
      </c>
      <c r="N200" t="s">
        <v>113</v>
      </c>
      <c r="O200" s="168">
        <v>0.14027777777777778</v>
      </c>
      <c r="P200" s="168">
        <v>0.14027777777777778</v>
      </c>
      <c r="Q200" s="168">
        <v>0.15208333333333332</v>
      </c>
      <c r="R200" s="356">
        <f>(WTG_BD[[#This Row],[Work Start TimeStamp]]-WTG_BD[[#This Row],[Fault Start TimeStamp]])*24</f>
        <v>0</v>
      </c>
      <c r="S200" s="34">
        <f>(WTG_BD[[#This Row],[Fault Clearance time]]-WTG_BD[[#This Row],[Work Start TimeStamp]])*24</f>
        <v>0.28333333333333299</v>
      </c>
      <c r="T200" s="34">
        <f>(WTG_BD[[#This Row],[Fault Clearance time]]-WTG_BD[[#This Row],[Fault Start TimeStamp]])*24</f>
        <v>0.28333333333333299</v>
      </c>
      <c r="U200" t="s">
        <v>4268</v>
      </c>
      <c r="V200" s="234" t="s">
        <v>255</v>
      </c>
      <c r="W200" s="50">
        <f>IFERROR(IF(N200="ROW",0,(WTG_BD[[#This Row],[Breakdown Time]]*WTG_BD[[#This Row],[Plant Equivalent Weightage]])),"")</f>
        <v>1.2318840579710132E-2</v>
      </c>
      <c r="X200" s="50"/>
      <c r="Y200" s="205">
        <v>1</v>
      </c>
      <c r="Z200" s="205"/>
      <c r="AA200" s="4">
        <v>0.11899999999999999</v>
      </c>
      <c r="AC200" s="4"/>
    </row>
    <row r="201" spans="1:29">
      <c r="A201" s="10">
        <f t="shared" si="4"/>
        <v>200</v>
      </c>
      <c r="B201" s="43">
        <f>YEAR(WTG_BD[[#This Row],[Date]])+IF(MONTH(WTG_BD[[#This Row],[Date]])&gt;=4,1,0)</f>
        <v>2026</v>
      </c>
      <c r="C201" s="10">
        <v>2025</v>
      </c>
      <c r="D201" s="10" t="s">
        <v>4478</v>
      </c>
      <c r="E201" s="309">
        <f>WTG_BD[[#This Row],[Date]]-DAY(WTG_BD[[#This Row],[Date]])+1</f>
        <v>45748</v>
      </c>
      <c r="F201" s="32">
        <v>45763</v>
      </c>
      <c r="G201" t="s">
        <v>92</v>
      </c>
      <c r="H201" t="str">
        <f>IFERROR(VLOOKUP(WTG_BD[[#This Row],[Affected WTG]],'Basic Data'!$A$3:$E$25,2,0),"")</f>
        <v>O2R2</v>
      </c>
      <c r="I201" t="str">
        <f>IFERROR(VLOOKUP(WTG_BD[[#This Row],[Affected WTG]],'Basic Data'!$A$3:$E$25,3,0),"")</f>
        <v>SIL</v>
      </c>
      <c r="J201" s="355">
        <f>IFERROR(VLOOKUP(WTG_BD[[#This Row],[Affected WTG]],'Basic Data'!$A$3:$E$25,5,0),"")</f>
        <v>4.3478260869565223E-2</v>
      </c>
      <c r="K201" s="10">
        <v>2676</v>
      </c>
      <c r="L201" t="str">
        <f>IFERROR(VLOOKUP(WTG_BD[[#This Row],[Error Code]],'Basic Data'!S:T,2,0),"Incorrect Error Code")</f>
        <v>UPS Error</v>
      </c>
      <c r="M201" t="s">
        <v>140</v>
      </c>
      <c r="N201" t="s">
        <v>113</v>
      </c>
      <c r="O201" s="168">
        <v>0.96527777777777779</v>
      </c>
      <c r="P201" s="168">
        <v>0.96527777777777779</v>
      </c>
      <c r="Q201" s="168">
        <v>0.98611111111111116</v>
      </c>
      <c r="R201" s="356">
        <f>(WTG_BD[[#This Row],[Work Start TimeStamp]]-WTG_BD[[#This Row],[Fault Start TimeStamp]])*24</f>
        <v>0</v>
      </c>
      <c r="S201" s="34">
        <f>(WTG_BD[[#This Row],[Fault Clearance time]]-WTG_BD[[#This Row],[Work Start TimeStamp]])*24</f>
        <v>0.50000000000000089</v>
      </c>
      <c r="T201" s="34">
        <f>(WTG_BD[[#This Row],[Fault Clearance time]]-WTG_BD[[#This Row],[Fault Start TimeStamp]])*24</f>
        <v>0.50000000000000089</v>
      </c>
      <c r="U201" t="s">
        <v>4332</v>
      </c>
      <c r="V201" s="234" t="s">
        <v>255</v>
      </c>
      <c r="W201" s="50">
        <f>IFERROR(IF(N201="ROW",0,(WTG_BD[[#This Row],[Breakdown Time]]*WTG_BD[[#This Row],[Plant Equivalent Weightage]])),"")</f>
        <v>2.173913043478265E-2</v>
      </c>
      <c r="X201" s="50"/>
      <c r="Y201" s="205">
        <v>1</v>
      </c>
      <c r="Z201" s="205"/>
      <c r="AA201" s="4">
        <v>0.22600000000000001</v>
      </c>
      <c r="AC201" s="4"/>
    </row>
    <row r="202" spans="1:29">
      <c r="A202" s="10">
        <f t="shared" si="4"/>
        <v>201</v>
      </c>
      <c r="B202" s="43">
        <f>YEAR(WTG_BD[[#This Row],[Date]])+IF(MONTH(WTG_BD[[#This Row],[Date]])&gt;=4,1,0)</f>
        <v>2026</v>
      </c>
      <c r="C202" s="10">
        <v>2025</v>
      </c>
      <c r="D202" s="10" t="s">
        <v>4478</v>
      </c>
      <c r="E202" s="309">
        <f>WTG_BD[[#This Row],[Date]]-DAY(WTG_BD[[#This Row],[Date]])+1</f>
        <v>45748</v>
      </c>
      <c r="F202" s="32">
        <v>45764</v>
      </c>
      <c r="G202" t="s">
        <v>76</v>
      </c>
      <c r="H202" t="str">
        <f>IFERROR(VLOOKUP(WTG_BD[[#This Row],[Affected WTG]],'Basic Data'!$A$3:$E$25,2,0),"")</f>
        <v>O2R1</v>
      </c>
      <c r="I202" t="str">
        <f>IFERROR(VLOOKUP(WTG_BD[[#This Row],[Affected WTG]],'Basic Data'!$A$3:$E$25,3,0),"")</f>
        <v>KSIPL</v>
      </c>
      <c r="J202" s="355">
        <f>IFERROR(VLOOKUP(WTG_BD[[#This Row],[Affected WTG]],'Basic Data'!$A$3:$E$25,5,0),"")</f>
        <v>4.3478260869565223E-2</v>
      </c>
      <c r="K202" s="10">
        <v>309</v>
      </c>
      <c r="L202" t="str">
        <f>IFERROR(VLOOKUP(WTG_BD[[#This Row],[Error Code]],'Basic Data'!S:T,2,0),"Incorrect Error Code")</f>
        <v>Pause over RCS __0</v>
      </c>
      <c r="M202" t="s">
        <v>871</v>
      </c>
      <c r="N202" t="s">
        <v>257</v>
      </c>
      <c r="O202" s="168">
        <v>0.47916666666666669</v>
      </c>
      <c r="P202" s="168">
        <v>0.47916666666666669</v>
      </c>
      <c r="Q202" s="168">
        <v>0.74097222222222225</v>
      </c>
      <c r="R202" s="356">
        <f>(WTG_BD[[#This Row],[Work Start TimeStamp]]-WTG_BD[[#This Row],[Fault Start TimeStamp]])*24</f>
        <v>0</v>
      </c>
      <c r="S202" s="34">
        <f>(WTG_BD[[#This Row],[Fault Clearance time]]-WTG_BD[[#This Row],[Work Start TimeStamp]])*24</f>
        <v>6.2833333333333332</v>
      </c>
      <c r="T202" s="34">
        <f>(WTG_BD[[#This Row],[Fault Clearance time]]-WTG_BD[[#This Row],[Fault Start TimeStamp]])*24</f>
        <v>6.2833333333333332</v>
      </c>
      <c r="U202" t="s">
        <v>4493</v>
      </c>
      <c r="V202" s="234" t="s">
        <v>255</v>
      </c>
      <c r="W202" s="50">
        <f>IFERROR(IF(N202="ROW",0,(WTG_BD[[#This Row],[Breakdown Time]]*WTG_BD[[#This Row],[Plant Equivalent Weightage]])),"")</f>
        <v>0.27318840579710146</v>
      </c>
      <c r="X202" s="50"/>
      <c r="Y202" s="205">
        <v>1</v>
      </c>
      <c r="Z202" s="205"/>
      <c r="AA202" s="4">
        <v>0.90500000000000003</v>
      </c>
      <c r="AC202" s="4"/>
    </row>
    <row r="203" spans="1:29">
      <c r="A203" s="10">
        <f t="shared" si="4"/>
        <v>202</v>
      </c>
      <c r="B203" s="43">
        <f>YEAR(WTG_BD[[#This Row],[Date]])+IF(MONTH(WTG_BD[[#This Row],[Date]])&gt;=4,1,0)</f>
        <v>2026</v>
      </c>
      <c r="C203" s="10">
        <v>2025</v>
      </c>
      <c r="D203" s="10" t="s">
        <v>4478</v>
      </c>
      <c r="E203" s="309">
        <f>WTG_BD[[#This Row],[Date]]-DAY(WTG_BD[[#This Row],[Date]])+1</f>
        <v>45748</v>
      </c>
      <c r="F203" s="32">
        <v>45764</v>
      </c>
      <c r="G203" t="s">
        <v>76</v>
      </c>
      <c r="H203" t="str">
        <f>IFERROR(VLOOKUP(WTG_BD[[#This Row],[Affected WTG]],'Basic Data'!$A$3:$E$25,2,0),"")</f>
        <v>O2R1</v>
      </c>
      <c r="I203" t="str">
        <f>IFERROR(VLOOKUP(WTG_BD[[#This Row],[Affected WTG]],'Basic Data'!$A$3:$E$25,3,0),"")</f>
        <v>KSIPL</v>
      </c>
      <c r="J203" s="355">
        <f>IFERROR(VLOOKUP(WTG_BD[[#This Row],[Affected WTG]],'Basic Data'!$A$3:$E$25,5,0),"")</f>
        <v>4.3478260869565223E-2</v>
      </c>
      <c r="K203" s="10">
        <v>309</v>
      </c>
      <c r="L203" t="str">
        <f>IFERROR(VLOOKUP(WTG_BD[[#This Row],[Error Code]],'Basic Data'!S:T,2,0),"Incorrect Error Code")</f>
        <v>Pause over RCS __0</v>
      </c>
      <c r="M203" t="s">
        <v>871</v>
      </c>
      <c r="N203" t="s">
        <v>257</v>
      </c>
      <c r="O203" s="168">
        <v>0.77083333333333337</v>
      </c>
      <c r="P203" s="168">
        <v>0.77083333333333337</v>
      </c>
      <c r="Q203" s="168">
        <v>0.81319444444444444</v>
      </c>
      <c r="R203" s="356">
        <f>(WTG_BD[[#This Row],[Work Start TimeStamp]]-WTG_BD[[#This Row],[Fault Start TimeStamp]])*24</f>
        <v>0</v>
      </c>
      <c r="S203" s="34">
        <f>(WTG_BD[[#This Row],[Fault Clearance time]]-WTG_BD[[#This Row],[Work Start TimeStamp]])*24</f>
        <v>1.0166666666666657</v>
      </c>
      <c r="T203" s="34">
        <f>(WTG_BD[[#This Row],[Fault Clearance time]]-WTG_BD[[#This Row],[Fault Start TimeStamp]])*24</f>
        <v>1.0166666666666657</v>
      </c>
      <c r="U203" t="s">
        <v>4493</v>
      </c>
      <c r="V203" s="234" t="s">
        <v>255</v>
      </c>
      <c r="W203" s="50">
        <f>IFERROR(IF(N203="ROW",0,(WTG_BD[[#This Row],[Breakdown Time]]*WTG_BD[[#This Row],[Plant Equivalent Weightage]])),"")</f>
        <v>4.4202898550724602E-2</v>
      </c>
      <c r="X203" s="50"/>
      <c r="Y203" s="205">
        <v>1</v>
      </c>
      <c r="Z203" s="205"/>
      <c r="AA203" s="4">
        <v>0.44700000000000001</v>
      </c>
      <c r="AC203" s="4"/>
    </row>
    <row r="204" spans="1:29">
      <c r="A204" s="10">
        <f t="shared" si="4"/>
        <v>203</v>
      </c>
      <c r="B204" s="43">
        <f>YEAR(WTG_BD[[#This Row],[Date]])+IF(MONTH(WTG_BD[[#This Row],[Date]])&gt;=4,1,0)</f>
        <v>2026</v>
      </c>
      <c r="C204" s="10">
        <v>2025</v>
      </c>
      <c r="D204" s="10" t="s">
        <v>4478</v>
      </c>
      <c r="E204" s="309">
        <f>WTG_BD[[#This Row],[Date]]-DAY(WTG_BD[[#This Row],[Date]])+1</f>
        <v>45748</v>
      </c>
      <c r="F204" s="32">
        <v>45764</v>
      </c>
      <c r="G204" t="s">
        <v>79</v>
      </c>
      <c r="H204" t="str">
        <f>IFERROR(VLOOKUP(WTG_BD[[#This Row],[Affected WTG]],'Basic Data'!$A$3:$E$25,2,0),"")</f>
        <v>O2R3</v>
      </c>
      <c r="I204" t="str">
        <f>IFERROR(VLOOKUP(WTG_BD[[#This Row],[Affected WTG]],'Basic Data'!$A$3:$E$25,3,0),"")</f>
        <v>JK</v>
      </c>
      <c r="J204" s="355">
        <f>IFERROR(VLOOKUP(WTG_BD[[#This Row],[Affected WTG]],'Basic Data'!$A$3:$E$25,5,0),"")</f>
        <v>4.3478260869565223E-2</v>
      </c>
      <c r="K204" s="10">
        <v>704</v>
      </c>
      <c r="L204" t="str">
        <f>IFERROR(VLOOKUP(WTG_BD[[#This Row],[Error Code]],'Basic Data'!S:T,2,0),"Incorrect Error Code")</f>
        <v>Ch High res. load C_ Load:___%</v>
      </c>
      <c r="M204" t="s">
        <v>372</v>
      </c>
      <c r="N204" t="s">
        <v>113</v>
      </c>
      <c r="O204" s="168">
        <v>0.19097222222222221</v>
      </c>
      <c r="P204" s="168">
        <v>0.19097222222222221</v>
      </c>
      <c r="Q204" s="168">
        <v>0.23541666666666666</v>
      </c>
      <c r="R204" s="356">
        <f>(WTG_BD[[#This Row],[Work Start TimeStamp]]-WTG_BD[[#This Row],[Fault Start TimeStamp]])*24</f>
        <v>0</v>
      </c>
      <c r="S204" s="34">
        <f>(WTG_BD[[#This Row],[Fault Clearance time]]-WTG_BD[[#This Row],[Work Start TimeStamp]])*24</f>
        <v>1.0666666666666669</v>
      </c>
      <c r="T204" s="34">
        <f>(WTG_BD[[#This Row],[Fault Clearance time]]-WTG_BD[[#This Row],[Fault Start TimeStamp]])*24</f>
        <v>1.0666666666666669</v>
      </c>
      <c r="U204" t="s">
        <v>4268</v>
      </c>
      <c r="V204" s="234" t="s">
        <v>255</v>
      </c>
      <c r="W204" s="50">
        <f>IFERROR(IF(N204="ROW",0,(WTG_BD[[#This Row],[Breakdown Time]]*WTG_BD[[#This Row],[Plant Equivalent Weightage]])),"")</f>
        <v>4.6376811594202913E-2</v>
      </c>
      <c r="X204" s="50"/>
      <c r="Y204" s="205">
        <v>1</v>
      </c>
      <c r="Z204" s="205"/>
      <c r="AA204" s="4">
        <v>0.21099999999999999</v>
      </c>
      <c r="AC204" s="4"/>
    </row>
    <row r="205" spans="1:29">
      <c r="A205" s="10">
        <f t="shared" si="4"/>
        <v>204</v>
      </c>
      <c r="B205" s="43">
        <f>YEAR(WTG_BD[[#This Row],[Date]])+IF(MONTH(WTG_BD[[#This Row],[Date]])&gt;=4,1,0)</f>
        <v>2026</v>
      </c>
      <c r="C205" s="10">
        <v>2025</v>
      </c>
      <c r="D205" s="10" t="s">
        <v>4478</v>
      </c>
      <c r="E205" s="309">
        <f>WTG_BD[[#This Row],[Date]]-DAY(WTG_BD[[#This Row],[Date]])+1</f>
        <v>45748</v>
      </c>
      <c r="F205" s="32">
        <v>45764</v>
      </c>
      <c r="G205" t="s">
        <v>80</v>
      </c>
      <c r="H205" t="str">
        <f>IFERROR(VLOOKUP(WTG_BD[[#This Row],[Affected WTG]],'Basic Data'!$A$3:$E$25,2,0),"")</f>
        <v>O2R3</v>
      </c>
      <c r="I205" t="str">
        <f>IFERROR(VLOOKUP(WTG_BD[[#This Row],[Affected WTG]],'Basic Data'!$A$3:$E$25,3,0),"")</f>
        <v>JK</v>
      </c>
      <c r="J205" s="355">
        <f>IFERROR(VLOOKUP(WTG_BD[[#This Row],[Affected WTG]],'Basic Data'!$A$3:$E$25,5,0),"")</f>
        <v>4.3478260869565223E-2</v>
      </c>
      <c r="K205" s="10">
        <v>704</v>
      </c>
      <c r="L205" t="str">
        <f>IFERROR(VLOOKUP(WTG_BD[[#This Row],[Error Code]],'Basic Data'!S:T,2,0),"Incorrect Error Code")</f>
        <v>Ch High res. load C_ Load:___%</v>
      </c>
      <c r="M205" t="s">
        <v>372</v>
      </c>
      <c r="N205" t="s">
        <v>113</v>
      </c>
      <c r="O205" s="168">
        <v>0.21458333333333332</v>
      </c>
      <c r="P205" s="168">
        <v>0.21458333333333332</v>
      </c>
      <c r="Q205" s="168">
        <v>0.25624999999999998</v>
      </c>
      <c r="R205" s="356">
        <f>(WTG_BD[[#This Row],[Work Start TimeStamp]]-WTG_BD[[#This Row],[Fault Start TimeStamp]])*24</f>
        <v>0</v>
      </c>
      <c r="S205" s="34">
        <f>(WTG_BD[[#This Row],[Fault Clearance time]]-WTG_BD[[#This Row],[Work Start TimeStamp]])*24</f>
        <v>0.99999999999999978</v>
      </c>
      <c r="T205" s="34">
        <f>(WTG_BD[[#This Row],[Fault Clearance time]]-WTG_BD[[#This Row],[Fault Start TimeStamp]])*24</f>
        <v>0.99999999999999978</v>
      </c>
      <c r="U205" t="s">
        <v>4268</v>
      </c>
      <c r="V205" s="234" t="s">
        <v>255</v>
      </c>
      <c r="W205" s="50">
        <f>IFERROR(IF(N205="ROW",0,(WTG_BD[[#This Row],[Breakdown Time]]*WTG_BD[[#This Row],[Plant Equivalent Weightage]])),"")</f>
        <v>4.3478260869565216E-2</v>
      </c>
      <c r="X205" s="50"/>
      <c r="Y205" s="205">
        <v>1</v>
      </c>
      <c r="Z205" s="205"/>
      <c r="AA205" s="4">
        <v>0.312</v>
      </c>
      <c r="AC205" s="4"/>
    </row>
    <row r="206" spans="1:29">
      <c r="A206" s="10">
        <f t="shared" si="4"/>
        <v>205</v>
      </c>
      <c r="B206" s="43">
        <f>YEAR(WTG_BD[[#This Row],[Date]])+IF(MONTH(WTG_BD[[#This Row],[Date]])&gt;=4,1,0)</f>
        <v>2026</v>
      </c>
      <c r="C206" s="10">
        <v>2025</v>
      </c>
      <c r="D206" s="10" t="s">
        <v>4478</v>
      </c>
      <c r="E206" s="309">
        <f>WTG_BD[[#This Row],[Date]]-DAY(WTG_BD[[#This Row],[Date]])+1</f>
        <v>45748</v>
      </c>
      <c r="F206" s="32">
        <v>45764</v>
      </c>
      <c r="G206" t="s">
        <v>81</v>
      </c>
      <c r="H206" t="str">
        <f>IFERROR(VLOOKUP(WTG_BD[[#This Row],[Affected WTG]],'Basic Data'!$A$3:$E$25,2,0),"")</f>
        <v>O2R3</v>
      </c>
      <c r="I206" t="str">
        <f>IFERROR(VLOOKUP(WTG_BD[[#This Row],[Affected WTG]],'Basic Data'!$A$3:$E$25,3,0),"")</f>
        <v>JK</v>
      </c>
      <c r="J206" s="355">
        <f>IFERROR(VLOOKUP(WTG_BD[[#This Row],[Affected WTG]],'Basic Data'!$A$3:$E$25,5,0),"")</f>
        <v>4.3478260869565223E-2</v>
      </c>
      <c r="K206" s="10">
        <v>3298</v>
      </c>
      <c r="L206" t="str">
        <f>IFERROR(VLOOKUP(WTG_BD[[#This Row],[Error Code]],'Basic Data'!S:T,2,0),"Incorrect Error Code")</f>
        <v>Yaw To Cable Twist Reset</v>
      </c>
      <c r="M206" t="s">
        <v>301</v>
      </c>
      <c r="O206" s="168">
        <v>0.80277777777777781</v>
      </c>
      <c r="P206" s="168">
        <v>0.80277777777777781</v>
      </c>
      <c r="Q206" s="168">
        <v>0.80625000000000002</v>
      </c>
      <c r="R206" s="356">
        <f>(WTG_BD[[#This Row],[Work Start TimeStamp]]-WTG_BD[[#This Row],[Fault Start TimeStamp]])*24</f>
        <v>0</v>
      </c>
      <c r="S206" s="34">
        <f>(WTG_BD[[#This Row],[Fault Clearance time]]-WTG_BD[[#This Row],[Work Start TimeStamp]])*24</f>
        <v>8.3333333333333037E-2</v>
      </c>
      <c r="T206" s="34">
        <f>(WTG_BD[[#This Row],[Fault Clearance time]]-WTG_BD[[#This Row],[Fault Start TimeStamp]])*24</f>
        <v>8.3333333333333037E-2</v>
      </c>
      <c r="U206" t="s">
        <v>4268</v>
      </c>
      <c r="V206" s="234" t="s">
        <v>255</v>
      </c>
      <c r="W206" s="50">
        <f>IFERROR(IF(N206="ROW",0,(WTG_BD[[#This Row],[Breakdown Time]]*WTG_BD[[#This Row],[Plant Equivalent Weightage]])),"")</f>
        <v>3.6231884057970889E-3</v>
      </c>
      <c r="X206" s="50"/>
      <c r="Y206" s="205">
        <v>1</v>
      </c>
      <c r="Z206" s="205"/>
      <c r="AA206" s="4">
        <v>4.3999999999999997E-2</v>
      </c>
      <c r="AC206" s="4"/>
    </row>
    <row r="207" spans="1:29">
      <c r="A207" s="10">
        <f t="shared" si="4"/>
        <v>206</v>
      </c>
      <c r="B207" s="43">
        <f>YEAR(WTG_BD[[#This Row],[Date]])+IF(MONTH(WTG_BD[[#This Row],[Date]])&gt;=4,1,0)</f>
        <v>2026</v>
      </c>
      <c r="C207" s="10">
        <v>2025</v>
      </c>
      <c r="D207" s="10" t="s">
        <v>4478</v>
      </c>
      <c r="E207" s="309">
        <f>WTG_BD[[#This Row],[Date]]-DAY(WTG_BD[[#This Row],[Date]])+1</f>
        <v>45748</v>
      </c>
      <c r="F207" s="32">
        <v>45764</v>
      </c>
      <c r="G207" t="s">
        <v>96</v>
      </c>
      <c r="H207" t="str">
        <f>IFERROR(VLOOKUP(WTG_BD[[#This Row],[Affected WTG]],'Basic Data'!$A$3:$E$25,2,0),"")</f>
        <v>O2R3</v>
      </c>
      <c r="I207" t="str">
        <f>IFERROR(VLOOKUP(WTG_BD[[#This Row],[Affected WTG]],'Basic Data'!$A$3:$E$25,3,0),"")</f>
        <v>JK</v>
      </c>
      <c r="J207" s="355">
        <f>IFERROR(VLOOKUP(WTG_BD[[#This Row],[Affected WTG]],'Basic Data'!$A$3:$E$25,5,0),"")</f>
        <v>4.3478260869565223E-2</v>
      </c>
      <c r="K207" s="10">
        <v>704</v>
      </c>
      <c r="L207" t="str">
        <f>IFERROR(VLOOKUP(WTG_BD[[#This Row],[Error Code]],'Basic Data'!S:T,2,0),"Incorrect Error Code")</f>
        <v>Ch High res. load C_ Load:___%</v>
      </c>
      <c r="M207" t="s">
        <v>372</v>
      </c>
      <c r="N207" t="s">
        <v>113</v>
      </c>
      <c r="O207" s="168">
        <v>0.19097222222222221</v>
      </c>
      <c r="P207" s="168">
        <v>0.19097222222222221</v>
      </c>
      <c r="Q207" s="168">
        <v>0.23541666666666666</v>
      </c>
      <c r="R207" s="356">
        <f>(WTG_BD[[#This Row],[Work Start TimeStamp]]-WTG_BD[[#This Row],[Fault Start TimeStamp]])*24</f>
        <v>0</v>
      </c>
      <c r="S207" s="34">
        <f>(WTG_BD[[#This Row],[Fault Clearance time]]-WTG_BD[[#This Row],[Work Start TimeStamp]])*24</f>
        <v>1.0666666666666669</v>
      </c>
      <c r="T207" s="34">
        <f>(WTG_BD[[#This Row],[Fault Clearance time]]-WTG_BD[[#This Row],[Fault Start TimeStamp]])*24</f>
        <v>1.0666666666666669</v>
      </c>
      <c r="U207" t="s">
        <v>4268</v>
      </c>
      <c r="V207" s="234" t="s">
        <v>255</v>
      </c>
      <c r="W207" s="50">
        <f>IFERROR(IF(N207="ROW",0,(WTG_BD[[#This Row],[Breakdown Time]]*WTG_BD[[#This Row],[Plant Equivalent Weightage]])),"")</f>
        <v>4.6376811594202913E-2</v>
      </c>
      <c r="X207" s="50"/>
      <c r="Y207" s="205">
        <v>1</v>
      </c>
      <c r="Z207" s="205"/>
      <c r="AA207" s="4">
        <v>0.30099999999999999</v>
      </c>
      <c r="AC207" s="4"/>
    </row>
    <row r="208" spans="1:29">
      <c r="A208" s="10">
        <f t="shared" si="4"/>
        <v>207</v>
      </c>
      <c r="B208" s="43">
        <f>YEAR(WTG_BD[[#This Row],[Date]])+IF(MONTH(WTG_BD[[#This Row],[Date]])&gt;=4,1,0)</f>
        <v>2026</v>
      </c>
      <c r="C208" s="10">
        <v>2025</v>
      </c>
      <c r="D208" s="10" t="s">
        <v>4478</v>
      </c>
      <c r="E208" s="309">
        <f>WTG_BD[[#This Row],[Date]]-DAY(WTG_BD[[#This Row],[Date]])+1</f>
        <v>45748</v>
      </c>
      <c r="F208" s="32">
        <v>45764</v>
      </c>
      <c r="G208" t="s">
        <v>98</v>
      </c>
      <c r="H208" t="str">
        <f>IFERROR(VLOOKUP(WTG_BD[[#This Row],[Affected WTG]],'Basic Data'!$A$3:$E$25,2,0),"")</f>
        <v>O2R3</v>
      </c>
      <c r="I208" t="str">
        <f>IFERROR(VLOOKUP(WTG_BD[[#This Row],[Affected WTG]],'Basic Data'!$A$3:$E$25,3,0),"")</f>
        <v>JK</v>
      </c>
      <c r="J208" s="355">
        <f>IFERROR(VLOOKUP(WTG_BD[[#This Row],[Affected WTG]],'Basic Data'!$A$3:$E$25,5,0),"")</f>
        <v>4.3478260869565223E-2</v>
      </c>
      <c r="K208" s="10">
        <v>704</v>
      </c>
      <c r="L208" t="str">
        <f>IFERROR(VLOOKUP(WTG_BD[[#This Row],[Error Code]],'Basic Data'!S:T,2,0),"Incorrect Error Code")</f>
        <v>Ch High res. load C_ Load:___%</v>
      </c>
      <c r="M208" t="s">
        <v>372</v>
      </c>
      <c r="N208" t="s">
        <v>113</v>
      </c>
      <c r="O208" s="168">
        <v>0.22569444444444445</v>
      </c>
      <c r="P208" s="168">
        <v>0.22569444444444445</v>
      </c>
      <c r="Q208" s="168">
        <v>0.25972222222222224</v>
      </c>
      <c r="R208" s="356">
        <f>(WTG_BD[[#This Row],[Work Start TimeStamp]]-WTG_BD[[#This Row],[Fault Start TimeStamp]])*24</f>
        <v>0</v>
      </c>
      <c r="S208" s="34">
        <f>(WTG_BD[[#This Row],[Fault Clearance time]]-WTG_BD[[#This Row],[Work Start TimeStamp]])*24</f>
        <v>0.8166666666666671</v>
      </c>
      <c r="T208" s="34">
        <f>(WTG_BD[[#This Row],[Fault Clearance time]]-WTG_BD[[#This Row],[Fault Start TimeStamp]])*24</f>
        <v>0.8166666666666671</v>
      </c>
      <c r="U208" t="s">
        <v>4268</v>
      </c>
      <c r="V208" s="234" t="s">
        <v>255</v>
      </c>
      <c r="W208" s="50">
        <f>IFERROR(IF(N208="ROW",0,(WTG_BD[[#This Row],[Breakdown Time]]*WTG_BD[[#This Row],[Plant Equivalent Weightage]])),"")</f>
        <v>3.5507246376811616E-2</v>
      </c>
      <c r="X208" s="50"/>
      <c r="Y208" s="205">
        <v>1</v>
      </c>
      <c r="Z208" s="205"/>
      <c r="AA208" s="4">
        <v>0.21299999999999999</v>
      </c>
      <c r="AC208" s="4"/>
    </row>
    <row r="209" spans="1:29">
      <c r="A209" s="10">
        <f t="shared" si="4"/>
        <v>208</v>
      </c>
      <c r="B209" s="43">
        <f>YEAR(WTG_BD[[#This Row],[Date]])+IF(MONTH(WTG_BD[[#This Row],[Date]])&gt;=4,1,0)</f>
        <v>2026</v>
      </c>
      <c r="C209" s="10">
        <v>2025</v>
      </c>
      <c r="D209" s="10" t="s">
        <v>4478</v>
      </c>
      <c r="E209" s="309">
        <f>WTG_BD[[#This Row],[Date]]-DAY(WTG_BD[[#This Row],[Date]])+1</f>
        <v>45748</v>
      </c>
      <c r="F209" s="32">
        <v>45765</v>
      </c>
      <c r="G209" t="s">
        <v>76</v>
      </c>
      <c r="H209" t="str">
        <f>IFERROR(VLOOKUP(WTG_BD[[#This Row],[Affected WTG]],'Basic Data'!$A$3:$E$25,2,0),"")</f>
        <v>O2R1</v>
      </c>
      <c r="I209" t="str">
        <f>IFERROR(VLOOKUP(WTG_BD[[#This Row],[Affected WTG]],'Basic Data'!$A$3:$E$25,3,0),"")</f>
        <v>KSIPL</v>
      </c>
      <c r="J209" s="355">
        <f>IFERROR(VLOOKUP(WTG_BD[[#This Row],[Affected WTG]],'Basic Data'!$A$3:$E$25,5,0),"")</f>
        <v>4.3478260869565223E-2</v>
      </c>
      <c r="K209" s="10">
        <v>450</v>
      </c>
      <c r="L209" t="str">
        <f>IFERROR(VLOOKUP(WTG_BD[[#This Row],[Error Code]],'Basic Data'!S:T,2,0),"Incorrect Error Code")</f>
        <v>Ext. High I sum Grd inv.</v>
      </c>
      <c r="M209" t="s">
        <v>368</v>
      </c>
      <c r="N209" t="s">
        <v>113</v>
      </c>
      <c r="O209" s="168">
        <v>0.56180555555555556</v>
      </c>
      <c r="P209" s="168">
        <v>0.56180555555555556</v>
      </c>
      <c r="Q209" s="168">
        <v>0.56458333333333333</v>
      </c>
      <c r="R209" s="356">
        <f>(WTG_BD[[#This Row],[Work Start TimeStamp]]-WTG_BD[[#This Row],[Fault Start TimeStamp]])*24</f>
        <v>0</v>
      </c>
      <c r="S209" s="34">
        <f>(WTG_BD[[#This Row],[Fault Clearance time]]-WTG_BD[[#This Row],[Work Start TimeStamp]])*24</f>
        <v>6.666666666666643E-2</v>
      </c>
      <c r="T209" s="34">
        <f>(WTG_BD[[#This Row],[Fault Clearance time]]-WTG_BD[[#This Row],[Fault Start TimeStamp]])*24</f>
        <v>6.666666666666643E-2</v>
      </c>
      <c r="U209" t="s">
        <v>262</v>
      </c>
      <c r="V209" s="234" t="s">
        <v>255</v>
      </c>
      <c r="W209" s="50">
        <f>IFERROR(IF(N209="ROW",0,(WTG_BD[[#This Row],[Breakdown Time]]*WTG_BD[[#This Row],[Plant Equivalent Weightage]])),"")</f>
        <v>2.8985507246376712E-3</v>
      </c>
      <c r="X209" s="50"/>
      <c r="Y209" s="205">
        <v>1</v>
      </c>
      <c r="Z209" s="205"/>
      <c r="AC209" s="4"/>
    </row>
    <row r="210" spans="1:29">
      <c r="A210" s="10">
        <f t="shared" si="4"/>
        <v>209</v>
      </c>
      <c r="B210" s="43">
        <f>YEAR(WTG_BD[[#This Row],[Date]])+IF(MONTH(WTG_BD[[#This Row],[Date]])&gt;=4,1,0)</f>
        <v>2026</v>
      </c>
      <c r="C210" s="10">
        <v>2025</v>
      </c>
      <c r="D210" s="10" t="s">
        <v>4478</v>
      </c>
      <c r="E210" s="309">
        <f>WTG_BD[[#This Row],[Date]]-DAY(WTG_BD[[#This Row],[Date]])+1</f>
        <v>45748</v>
      </c>
      <c r="F210" s="32">
        <v>45765</v>
      </c>
      <c r="G210" t="s">
        <v>79</v>
      </c>
      <c r="H210" t="str">
        <f>IFERROR(VLOOKUP(WTG_BD[[#This Row],[Affected WTG]],'Basic Data'!$A$3:$E$25,2,0),"")</f>
        <v>O2R3</v>
      </c>
      <c r="I210" t="str">
        <f>IFERROR(VLOOKUP(WTG_BD[[#This Row],[Affected WTG]],'Basic Data'!$A$3:$E$25,3,0),"")</f>
        <v>JK</v>
      </c>
      <c r="J210" s="355">
        <f>IFERROR(VLOOKUP(WTG_BD[[#This Row],[Affected WTG]],'Basic Data'!$A$3:$E$25,5,0),"")</f>
        <v>4.3478260869565223E-2</v>
      </c>
      <c r="K210" s="10">
        <v>704</v>
      </c>
      <c r="L210" t="str">
        <f>IFERROR(VLOOKUP(WTG_BD[[#This Row],[Error Code]],'Basic Data'!S:T,2,0),"Incorrect Error Code")</f>
        <v>Ch High res. load C_ Load:___%</v>
      </c>
      <c r="M210" t="s">
        <v>4317</v>
      </c>
      <c r="N210" t="s">
        <v>113</v>
      </c>
      <c r="O210" s="168">
        <v>3.0555555555555555E-2</v>
      </c>
      <c r="P210" s="168">
        <v>7.2222222222222202E-2</v>
      </c>
      <c r="Q210" s="168">
        <v>8.9583333333333334E-2</v>
      </c>
      <c r="R210" s="356">
        <f>(WTG_BD[[#This Row],[Work Start TimeStamp]]-WTG_BD[[#This Row],[Fault Start TimeStamp]])*24</f>
        <v>0.99999999999999944</v>
      </c>
      <c r="S210" s="34">
        <f>(WTG_BD[[#This Row],[Fault Clearance time]]-WTG_BD[[#This Row],[Work Start TimeStamp]])*24</f>
        <v>0.41666666666666718</v>
      </c>
      <c r="T210" s="34">
        <f>(WTG_BD[[#This Row],[Fault Clearance time]]-WTG_BD[[#This Row],[Fault Start TimeStamp]])*24</f>
        <v>1.4166666666666665</v>
      </c>
      <c r="U210" t="s">
        <v>4268</v>
      </c>
      <c r="V210" s="234" t="s">
        <v>255</v>
      </c>
      <c r="W210" s="50">
        <f>IFERROR(IF(N210="ROW",0,(WTG_BD[[#This Row],[Breakdown Time]]*WTG_BD[[#This Row],[Plant Equivalent Weightage]])),"")</f>
        <v>6.1594202898550728E-2</v>
      </c>
      <c r="X210" s="50"/>
      <c r="Y210" s="205">
        <v>1</v>
      </c>
      <c r="Z210" s="205"/>
      <c r="AC210" s="4"/>
    </row>
    <row r="211" spans="1:29">
      <c r="A211" s="10">
        <f t="shared" si="4"/>
        <v>210</v>
      </c>
      <c r="B211" s="43">
        <f>YEAR(WTG_BD[[#This Row],[Date]])+IF(MONTH(WTG_BD[[#This Row],[Date]])&gt;=4,1,0)</f>
        <v>2026</v>
      </c>
      <c r="C211" s="10">
        <v>2025</v>
      </c>
      <c r="D211" s="10" t="s">
        <v>4478</v>
      </c>
      <c r="E211" s="309">
        <f>WTG_BD[[#This Row],[Date]]-DAY(WTG_BD[[#This Row],[Date]])+1</f>
        <v>45748</v>
      </c>
      <c r="F211" s="32">
        <v>45765</v>
      </c>
      <c r="G211" t="s">
        <v>86</v>
      </c>
      <c r="H211" t="str">
        <f>IFERROR(VLOOKUP(WTG_BD[[#This Row],[Affected WTG]],'Basic Data'!$A$3:$E$25,2,0),"")</f>
        <v>O2R1</v>
      </c>
      <c r="I211" t="str">
        <f>IFERROR(VLOOKUP(WTG_BD[[#This Row],[Affected WTG]],'Basic Data'!$A$3:$E$25,3,0),"")</f>
        <v>KSIPL</v>
      </c>
      <c r="J211" s="355">
        <f>IFERROR(VLOOKUP(WTG_BD[[#This Row],[Affected WTG]],'Basic Data'!$A$3:$E$25,5,0),"")</f>
        <v>4.3478260869565223E-2</v>
      </c>
      <c r="K211" s="10">
        <v>450</v>
      </c>
      <c r="L211" t="str">
        <f>IFERROR(VLOOKUP(WTG_BD[[#This Row],[Error Code]],'Basic Data'!S:T,2,0),"Incorrect Error Code")</f>
        <v>Ext. High I sum Grd inv.</v>
      </c>
      <c r="M211" t="s">
        <v>368</v>
      </c>
      <c r="N211" t="s">
        <v>113</v>
      </c>
      <c r="O211" s="168">
        <v>0.80972222222222223</v>
      </c>
      <c r="P211" s="168">
        <v>0.80972222222222223</v>
      </c>
      <c r="Q211" s="168">
        <v>0.81319444444444444</v>
      </c>
      <c r="R211" s="356">
        <f>(WTG_BD[[#This Row],[Work Start TimeStamp]]-WTG_BD[[#This Row],[Fault Start TimeStamp]])*24</f>
        <v>0</v>
      </c>
      <c r="S211" s="34">
        <f>(WTG_BD[[#This Row],[Fault Clearance time]]-WTG_BD[[#This Row],[Work Start TimeStamp]])*24</f>
        <v>8.3333333333333037E-2</v>
      </c>
      <c r="T211" s="34">
        <f>(WTG_BD[[#This Row],[Fault Clearance time]]-WTG_BD[[#This Row],[Fault Start TimeStamp]])*24</f>
        <v>8.3333333333333037E-2</v>
      </c>
      <c r="U211" t="s">
        <v>262</v>
      </c>
      <c r="V211" s="234" t="s">
        <v>255</v>
      </c>
      <c r="W211" s="50">
        <f>IFERROR(IF(N211="ROW",0,(WTG_BD[[#This Row],[Breakdown Time]]*WTG_BD[[#This Row],[Plant Equivalent Weightage]])),"")</f>
        <v>3.6231884057970889E-3</v>
      </c>
      <c r="X211" s="50"/>
      <c r="Y211" s="205">
        <v>1</v>
      </c>
      <c r="Z211" s="205"/>
      <c r="AC211" s="4"/>
    </row>
    <row r="212" spans="1:29">
      <c r="A212" s="10">
        <f t="shared" si="4"/>
        <v>211</v>
      </c>
      <c r="B212" s="43">
        <f>YEAR(WTG_BD[[#This Row],[Date]])+IF(MONTH(WTG_BD[[#This Row],[Date]])&gt;=4,1,0)</f>
        <v>2026</v>
      </c>
      <c r="C212" s="10">
        <v>2025</v>
      </c>
      <c r="D212" s="10" t="s">
        <v>4478</v>
      </c>
      <c r="E212" s="309">
        <f>WTG_BD[[#This Row],[Date]]-DAY(WTG_BD[[#This Row],[Date]])+1</f>
        <v>45748</v>
      </c>
      <c r="F212" s="32">
        <v>45766</v>
      </c>
      <c r="G212" t="s">
        <v>86</v>
      </c>
      <c r="H212" t="str">
        <f>IFERROR(VLOOKUP(WTG_BD[[#This Row],[Affected WTG]],'Basic Data'!$A$3:$E$25,2,0),"")</f>
        <v>O2R1</v>
      </c>
      <c r="I212" t="str">
        <f>IFERROR(VLOOKUP(WTG_BD[[#This Row],[Affected WTG]],'Basic Data'!$A$3:$E$25,3,0),"")</f>
        <v>KSIPL</v>
      </c>
      <c r="J212" s="355">
        <f>IFERROR(VLOOKUP(WTG_BD[[#This Row],[Affected WTG]],'Basic Data'!$A$3:$E$25,5,0),"")</f>
        <v>4.3478260869565223E-2</v>
      </c>
      <c r="K212" s="10">
        <v>309</v>
      </c>
      <c r="L212" t="str">
        <f>IFERROR(VLOOKUP(WTG_BD[[#This Row],[Error Code]],'Basic Data'!S:T,2,0),"Incorrect Error Code")</f>
        <v>Pause over RCS __0</v>
      </c>
      <c r="M212" t="s">
        <v>871</v>
      </c>
      <c r="N212" t="s">
        <v>257</v>
      </c>
      <c r="O212" s="168">
        <v>0.44444444444444442</v>
      </c>
      <c r="P212" s="168">
        <v>0.44444444444444442</v>
      </c>
      <c r="Q212" s="168">
        <v>0.67152777777777772</v>
      </c>
      <c r="R212" s="356">
        <f>(WTG_BD[[#This Row],[Work Start TimeStamp]]-WTG_BD[[#This Row],[Fault Start TimeStamp]])*24</f>
        <v>0</v>
      </c>
      <c r="S212" s="34">
        <f>(WTG_BD[[#This Row],[Fault Clearance time]]-WTG_BD[[#This Row],[Work Start TimeStamp]])*24</f>
        <v>5.4499999999999993</v>
      </c>
      <c r="T212" s="34">
        <f>(WTG_BD[[#This Row],[Fault Clearance time]]-WTG_BD[[#This Row],[Fault Start TimeStamp]])*24</f>
        <v>5.4499999999999993</v>
      </c>
      <c r="U212" t="s">
        <v>4494</v>
      </c>
      <c r="V212" s="234" t="s">
        <v>255</v>
      </c>
      <c r="W212" s="50">
        <f>IFERROR(IF(N212="ROW",0,(WTG_BD[[#This Row],[Breakdown Time]]*WTG_BD[[#This Row],[Plant Equivalent Weightage]])),"")</f>
        <v>0.23695652173913043</v>
      </c>
      <c r="X212" s="50"/>
      <c r="Y212" s="205">
        <v>1</v>
      </c>
      <c r="Z212" s="205"/>
      <c r="AA212" s="4">
        <v>0.5</v>
      </c>
      <c r="AC212" s="4"/>
    </row>
    <row r="213" spans="1:29">
      <c r="A213" s="10">
        <f t="shared" si="4"/>
        <v>212</v>
      </c>
      <c r="B213" s="43">
        <f>YEAR(WTG_BD[[#This Row],[Date]])+IF(MONTH(WTG_BD[[#This Row],[Date]])&gt;=4,1,0)</f>
        <v>2026</v>
      </c>
      <c r="C213" s="10">
        <v>2025</v>
      </c>
      <c r="D213" s="10" t="s">
        <v>4478</v>
      </c>
      <c r="E213" s="309">
        <f>WTG_BD[[#This Row],[Date]]-DAY(WTG_BD[[#This Row],[Date]])+1</f>
        <v>45748</v>
      </c>
      <c r="F213" s="32">
        <v>45766</v>
      </c>
      <c r="G213" t="s">
        <v>86</v>
      </c>
      <c r="H213" t="str">
        <f>IFERROR(VLOOKUP(WTG_BD[[#This Row],[Affected WTG]],'Basic Data'!$A$3:$E$25,2,0),"")</f>
        <v>O2R1</v>
      </c>
      <c r="I213" t="str">
        <f>IFERROR(VLOOKUP(WTG_BD[[#This Row],[Affected WTG]],'Basic Data'!$A$3:$E$25,3,0),"")</f>
        <v>KSIPL</v>
      </c>
      <c r="J213" s="355">
        <f>IFERROR(VLOOKUP(WTG_BD[[#This Row],[Affected WTG]],'Basic Data'!$A$3:$E$25,5,0),"")</f>
        <v>4.3478260869565223E-2</v>
      </c>
      <c r="K213" s="10">
        <v>309</v>
      </c>
      <c r="L213" t="str">
        <f>IFERROR(VLOOKUP(WTG_BD[[#This Row],[Error Code]],'Basic Data'!S:T,2,0),"Incorrect Error Code")</f>
        <v>Pause over RCS __0</v>
      </c>
      <c r="M213" t="s">
        <v>871</v>
      </c>
      <c r="N213" t="s">
        <v>257</v>
      </c>
      <c r="O213" s="168">
        <v>0.70833333333333337</v>
      </c>
      <c r="P213" s="168">
        <v>0.70833333333333337</v>
      </c>
      <c r="Q213" s="168">
        <v>0.72916666666666663</v>
      </c>
      <c r="R213" s="356">
        <f>(WTG_BD[[#This Row],[Work Start TimeStamp]]-WTG_BD[[#This Row],[Fault Start TimeStamp]])*24</f>
        <v>0</v>
      </c>
      <c r="S213" s="34">
        <f>(WTG_BD[[#This Row],[Fault Clearance time]]-WTG_BD[[#This Row],[Work Start TimeStamp]])*24</f>
        <v>0.49999999999999822</v>
      </c>
      <c r="T213" s="34">
        <f>(WTG_BD[[#This Row],[Fault Clearance time]]-WTG_BD[[#This Row],[Fault Start TimeStamp]])*24</f>
        <v>0.49999999999999822</v>
      </c>
      <c r="U213" t="s">
        <v>4494</v>
      </c>
      <c r="V213" s="234" t="s">
        <v>255</v>
      </c>
      <c r="W213" s="50">
        <f>IFERROR(IF(N213="ROW",0,(WTG_BD[[#This Row],[Breakdown Time]]*WTG_BD[[#This Row],[Plant Equivalent Weightage]])),"")</f>
        <v>2.1739130434782535E-2</v>
      </c>
      <c r="X213" s="50"/>
      <c r="Y213" s="205">
        <v>1</v>
      </c>
      <c r="Z213" s="205"/>
      <c r="AA213" s="4">
        <v>0.05</v>
      </c>
      <c r="AC213" s="4"/>
    </row>
    <row r="214" spans="1:29">
      <c r="A214" s="10">
        <f t="shared" si="4"/>
        <v>213</v>
      </c>
      <c r="B214" s="43">
        <f>YEAR(WTG_BD[[#This Row],[Date]])+IF(MONTH(WTG_BD[[#This Row],[Date]])&gt;=4,1,0)</f>
        <v>2026</v>
      </c>
      <c r="C214" s="10">
        <v>2025</v>
      </c>
      <c r="D214" s="10" t="s">
        <v>4478</v>
      </c>
      <c r="E214" s="309">
        <f>WTG_BD[[#This Row],[Date]]-DAY(WTG_BD[[#This Row],[Date]])+1</f>
        <v>45748</v>
      </c>
      <c r="F214" s="32">
        <v>45767</v>
      </c>
      <c r="G214" t="s">
        <v>76</v>
      </c>
      <c r="H214" t="str">
        <f>IFERROR(VLOOKUP(WTG_BD[[#This Row],[Affected WTG]],'Basic Data'!$A$3:$E$25,2,0),"")</f>
        <v>O2R1</v>
      </c>
      <c r="I214" t="str">
        <f>IFERROR(VLOOKUP(WTG_BD[[#This Row],[Affected WTG]],'Basic Data'!$A$3:$E$25,3,0),"")</f>
        <v>KSIPL</v>
      </c>
      <c r="J214" s="355">
        <f>IFERROR(VLOOKUP(WTG_BD[[#This Row],[Affected WTG]],'Basic Data'!$A$3:$E$25,5,0),"")</f>
        <v>4.3478260869565223E-2</v>
      </c>
      <c r="K214" s="10">
        <v>309</v>
      </c>
      <c r="L214" t="str">
        <f>IFERROR(VLOOKUP(WTG_BD[[#This Row],[Error Code]],'Basic Data'!S:T,2,0),"Incorrect Error Code")</f>
        <v>Pause over RCS __0</v>
      </c>
      <c r="M214" t="s">
        <v>871</v>
      </c>
      <c r="N214" t="s">
        <v>257</v>
      </c>
      <c r="O214" s="168">
        <v>0.42291666666666666</v>
      </c>
      <c r="P214" s="168">
        <v>0.42291666666666666</v>
      </c>
      <c r="Q214" s="168">
        <v>0.81874999999999998</v>
      </c>
      <c r="R214" s="356">
        <f>(WTG_BD[[#This Row],[Work Start TimeStamp]]-WTG_BD[[#This Row],[Fault Start TimeStamp]])*24</f>
        <v>0</v>
      </c>
      <c r="S214" s="34">
        <f>(WTG_BD[[#This Row],[Fault Clearance time]]-WTG_BD[[#This Row],[Work Start TimeStamp]])*24</f>
        <v>9.5</v>
      </c>
      <c r="T214" s="34">
        <f>(WTG_BD[[#This Row],[Fault Clearance time]]-WTG_BD[[#This Row],[Fault Start TimeStamp]])*24</f>
        <v>9.5</v>
      </c>
      <c r="U214" t="s">
        <v>4518</v>
      </c>
      <c r="V214" s="234" t="s">
        <v>255</v>
      </c>
      <c r="W214" s="50">
        <f>IFERROR(IF(N214="ROW",0,(WTG_BD[[#This Row],[Breakdown Time]]*WTG_BD[[#This Row],[Plant Equivalent Weightage]])),"")</f>
        <v>0.41304347826086962</v>
      </c>
      <c r="X214" s="50"/>
      <c r="Y214" s="205">
        <v>1</v>
      </c>
      <c r="Z214" s="205"/>
      <c r="AA214" s="4">
        <v>3.6280000000000001</v>
      </c>
      <c r="AC214" s="4"/>
    </row>
    <row r="215" spans="1:29">
      <c r="A215" s="10">
        <f t="shared" si="4"/>
        <v>214</v>
      </c>
      <c r="B215" s="43">
        <f>YEAR(WTG_BD[[#This Row],[Date]])+IF(MONTH(WTG_BD[[#This Row],[Date]])&gt;=4,1,0)</f>
        <v>2026</v>
      </c>
      <c r="C215" s="10">
        <v>2025</v>
      </c>
      <c r="D215" s="10" t="s">
        <v>4478</v>
      </c>
      <c r="E215" s="309">
        <f>WTG_BD[[#This Row],[Date]]-DAY(WTG_BD[[#This Row],[Date]])+1</f>
        <v>45748</v>
      </c>
      <c r="F215" s="32">
        <v>45767</v>
      </c>
      <c r="G215" t="s">
        <v>83</v>
      </c>
      <c r="H215" t="str">
        <f>IFERROR(VLOOKUP(WTG_BD[[#This Row],[Affected WTG]],'Basic Data'!$A$3:$E$25,2,0),"")</f>
        <v>O2R3</v>
      </c>
      <c r="I215" t="str">
        <f>IFERROR(VLOOKUP(WTG_BD[[#This Row],[Affected WTG]],'Basic Data'!$A$3:$E$25,3,0),"")</f>
        <v>JK</v>
      </c>
      <c r="J215" s="355">
        <f>IFERROR(VLOOKUP(WTG_BD[[#This Row],[Affected WTG]],'Basic Data'!$A$3:$E$25,5,0),"")</f>
        <v>4.3478260869565223E-2</v>
      </c>
      <c r="K215" s="10">
        <v>3273</v>
      </c>
      <c r="L215" t="str">
        <f>IFERROR(VLOOKUP(WTG_BD[[#This Row],[Error Code]],'Basic Data'!S:T,2,0),"Incorrect Error Code")</f>
        <v>YawUntwistCCW: Code__,_______°</v>
      </c>
      <c r="M215" t="s">
        <v>1963</v>
      </c>
      <c r="O215" s="168">
        <v>0.73472222222222228</v>
      </c>
      <c r="P215" s="168">
        <v>0.73472222222222228</v>
      </c>
      <c r="Q215" s="168">
        <v>0.75208333333333333</v>
      </c>
      <c r="R215" s="356">
        <f>(WTG_BD[[#This Row],[Work Start TimeStamp]]-WTG_BD[[#This Row],[Fault Start TimeStamp]])*24</f>
        <v>0</v>
      </c>
      <c r="S215" s="34">
        <f>(WTG_BD[[#This Row],[Fault Clearance time]]-WTG_BD[[#This Row],[Work Start TimeStamp]])*24</f>
        <v>0.41666666666666519</v>
      </c>
      <c r="T215" s="34">
        <f>(WTG_BD[[#This Row],[Fault Clearance time]]-WTG_BD[[#This Row],[Fault Start TimeStamp]])*24</f>
        <v>0.41666666666666519</v>
      </c>
      <c r="U215" t="s">
        <v>262</v>
      </c>
      <c r="V215" s="234" t="s">
        <v>255</v>
      </c>
      <c r="W215" s="50">
        <f>IFERROR(IF(N215="ROW",0,(WTG_BD[[#This Row],[Breakdown Time]]*WTG_BD[[#This Row],[Plant Equivalent Weightage]])),"")</f>
        <v>1.8115942028985445E-2</v>
      </c>
      <c r="X215" s="50"/>
      <c r="Y215" s="205">
        <v>1</v>
      </c>
      <c r="Z215" s="205"/>
      <c r="AA215" s="4">
        <v>3.2000000000000001E-2</v>
      </c>
      <c r="AC215" s="4"/>
    </row>
    <row r="216" spans="1:29">
      <c r="A216" s="10">
        <f t="shared" si="4"/>
        <v>215</v>
      </c>
      <c r="B216" s="43">
        <f>YEAR(WTG_BD[[#This Row],[Date]])+IF(MONTH(WTG_BD[[#This Row],[Date]])&gt;=4,1,0)</f>
        <v>2026</v>
      </c>
      <c r="C216" s="10">
        <v>2025</v>
      </c>
      <c r="D216" s="10" t="s">
        <v>4478</v>
      </c>
      <c r="E216" s="309">
        <f>WTG_BD[[#This Row],[Date]]-DAY(WTG_BD[[#This Row],[Date]])+1</f>
        <v>45748</v>
      </c>
      <c r="F216" s="32">
        <v>45767</v>
      </c>
      <c r="G216" t="s">
        <v>87</v>
      </c>
      <c r="H216" t="str">
        <f>IFERROR(VLOOKUP(WTG_BD[[#This Row],[Affected WTG]],'Basic Data'!$A$3:$E$25,2,0),"")</f>
        <v>O2R1</v>
      </c>
      <c r="I216" t="str">
        <f>IFERROR(VLOOKUP(WTG_BD[[#This Row],[Affected WTG]],'Basic Data'!$A$3:$E$25,3,0),"")</f>
        <v>KSIPL</v>
      </c>
      <c r="J216" s="355">
        <f>IFERROR(VLOOKUP(WTG_BD[[#This Row],[Affected WTG]],'Basic Data'!$A$3:$E$25,5,0),"")</f>
        <v>4.3478260869565223E-2</v>
      </c>
      <c r="K216" s="10">
        <v>3273</v>
      </c>
      <c r="L216" t="str">
        <f>IFERROR(VLOOKUP(WTG_BD[[#This Row],[Error Code]],'Basic Data'!S:T,2,0),"Incorrect Error Code")</f>
        <v>YawUntwistCCW: Code__,_______°</v>
      </c>
      <c r="M216" t="s">
        <v>1963</v>
      </c>
      <c r="O216" s="168">
        <v>0.87361111111111112</v>
      </c>
      <c r="P216" s="168">
        <v>0.87361111111111112</v>
      </c>
      <c r="Q216" s="168">
        <v>0.89027777777777772</v>
      </c>
      <c r="R216" s="356">
        <f>(WTG_BD[[#This Row],[Work Start TimeStamp]]-WTG_BD[[#This Row],[Fault Start TimeStamp]])*24</f>
        <v>0</v>
      </c>
      <c r="S216" s="34">
        <f>(WTG_BD[[#This Row],[Fault Clearance time]]-WTG_BD[[#This Row],[Work Start TimeStamp]])*24</f>
        <v>0.39999999999999858</v>
      </c>
      <c r="T216" s="34">
        <f>(WTG_BD[[#This Row],[Fault Clearance time]]-WTG_BD[[#This Row],[Fault Start TimeStamp]])*24</f>
        <v>0.39999999999999858</v>
      </c>
      <c r="U216" t="s">
        <v>262</v>
      </c>
      <c r="V216" s="234" t="s">
        <v>255</v>
      </c>
      <c r="W216" s="50">
        <f>IFERROR(IF(N216="ROW",0,(WTG_BD[[#This Row],[Breakdown Time]]*WTG_BD[[#This Row],[Plant Equivalent Weightage]])),"")</f>
        <v>1.7391304347826028E-2</v>
      </c>
      <c r="X216" s="50"/>
      <c r="Y216" s="205">
        <v>1</v>
      </c>
      <c r="Z216" s="205"/>
      <c r="AA216" s="4">
        <v>0.23200000000000001</v>
      </c>
      <c r="AC216" s="4"/>
    </row>
    <row r="217" spans="1:29">
      <c r="A217" s="10">
        <f t="shared" si="4"/>
        <v>216</v>
      </c>
      <c r="B217" s="43">
        <f>YEAR(WTG_BD[[#This Row],[Date]])+IF(MONTH(WTG_BD[[#This Row],[Date]])&gt;=4,1,0)</f>
        <v>2026</v>
      </c>
      <c r="C217" s="10">
        <v>2025</v>
      </c>
      <c r="D217" s="10" t="s">
        <v>4478</v>
      </c>
      <c r="E217" s="309">
        <f>WTG_BD[[#This Row],[Date]]-DAY(WTG_BD[[#This Row],[Date]])+1</f>
        <v>45748</v>
      </c>
      <c r="F217" s="32">
        <v>45767</v>
      </c>
      <c r="G217" t="s">
        <v>90</v>
      </c>
      <c r="H217" t="str">
        <f>IFERROR(VLOOKUP(WTG_BD[[#This Row],[Affected WTG]],'Basic Data'!$A$3:$E$25,2,0),"")</f>
        <v>O2R1</v>
      </c>
      <c r="I217" t="str">
        <f>IFERROR(VLOOKUP(WTG_BD[[#This Row],[Affected WTG]],'Basic Data'!$A$3:$E$25,3,0),"")</f>
        <v>KSIPL</v>
      </c>
      <c r="J217" s="355">
        <f>IFERROR(VLOOKUP(WTG_BD[[#This Row],[Affected WTG]],'Basic Data'!$A$3:$E$25,5,0),"")</f>
        <v>4.3478260869565223E-2</v>
      </c>
      <c r="K217" s="10">
        <v>356</v>
      </c>
      <c r="L217" t="str">
        <f>IFERROR(VLOOKUP(WTG_BD[[#This Row],[Error Code]],'Basic Data'!S:T,2,0),"Incorrect Error Code")</f>
        <v>Extreme yawerror __._m/s___._°</v>
      </c>
      <c r="M217" t="s">
        <v>927</v>
      </c>
      <c r="O217" s="168">
        <v>0.86736111111111114</v>
      </c>
      <c r="P217" s="168">
        <v>0.86736111111111114</v>
      </c>
      <c r="Q217" s="168">
        <v>0.86875000000000002</v>
      </c>
      <c r="R217" s="356">
        <f>(WTG_BD[[#This Row],[Work Start TimeStamp]]-WTG_BD[[#This Row],[Fault Start TimeStamp]])*24</f>
        <v>0</v>
      </c>
      <c r="S217" s="34">
        <f>(WTG_BD[[#This Row],[Fault Clearance time]]-WTG_BD[[#This Row],[Work Start TimeStamp]])*24</f>
        <v>3.3333333333333215E-2</v>
      </c>
      <c r="T217" s="34">
        <f>(WTG_BD[[#This Row],[Fault Clearance time]]-WTG_BD[[#This Row],[Fault Start TimeStamp]])*24</f>
        <v>3.3333333333333215E-2</v>
      </c>
      <c r="U217" t="s">
        <v>262</v>
      </c>
      <c r="V217" s="234" t="s">
        <v>255</v>
      </c>
      <c r="W217" s="50">
        <f>IFERROR(IF(N217="ROW",0,(WTG_BD[[#This Row],[Breakdown Time]]*WTG_BD[[#This Row],[Plant Equivalent Weightage]])),"")</f>
        <v>1.4492753623188356E-3</v>
      </c>
      <c r="X217" s="50"/>
      <c r="Y217" s="205">
        <v>1</v>
      </c>
      <c r="Z217" s="205"/>
      <c r="AA217" s="4">
        <v>-2.9000000000000001E-2</v>
      </c>
      <c r="AC217" s="4"/>
    </row>
    <row r="218" spans="1:29">
      <c r="A218" s="10">
        <f t="shared" ref="A218:A281" si="5">A217+1</f>
        <v>217</v>
      </c>
      <c r="B218" s="43">
        <f>YEAR(WTG_BD[[#This Row],[Date]])+IF(MONTH(WTG_BD[[#This Row],[Date]])&gt;=4,1,0)</f>
        <v>2026</v>
      </c>
      <c r="C218" s="10">
        <v>2025</v>
      </c>
      <c r="D218" s="10" t="s">
        <v>4478</v>
      </c>
      <c r="E218" s="309">
        <f>WTG_BD[[#This Row],[Date]]-DAY(WTG_BD[[#This Row],[Date]])+1</f>
        <v>45748</v>
      </c>
      <c r="F218" s="32">
        <v>45767</v>
      </c>
      <c r="G218" t="s">
        <v>77</v>
      </c>
      <c r="H218" t="str">
        <f>IFERROR(VLOOKUP(WTG_BD[[#This Row],[Affected WTG]],'Basic Data'!$A$3:$E$25,2,0),"")</f>
        <v>O2R3</v>
      </c>
      <c r="I218" t="str">
        <f>IFERROR(VLOOKUP(WTG_BD[[#This Row],[Affected WTG]],'Basic Data'!$A$3:$E$25,3,0),"")</f>
        <v>JK</v>
      </c>
      <c r="J218" s="355">
        <f>IFERROR(VLOOKUP(WTG_BD[[#This Row],[Affected WTG]],'Basic Data'!$A$3:$E$25,5,0),"")</f>
        <v>4.3478260869565223E-2</v>
      </c>
      <c r="K218" s="10">
        <v>356</v>
      </c>
      <c r="L218" t="str">
        <f>IFERROR(VLOOKUP(WTG_BD[[#This Row],[Error Code]],'Basic Data'!S:T,2,0),"Incorrect Error Code")</f>
        <v>Extreme yawerror __._m/s___._°</v>
      </c>
      <c r="M218" t="s">
        <v>927</v>
      </c>
      <c r="O218" s="168">
        <v>0.86736111111111114</v>
      </c>
      <c r="P218" s="168">
        <v>0.86736111111111114</v>
      </c>
      <c r="Q218" s="168">
        <v>0.86875000000000002</v>
      </c>
      <c r="R218" s="356">
        <f>(WTG_BD[[#This Row],[Work Start TimeStamp]]-WTG_BD[[#This Row],[Fault Start TimeStamp]])*24</f>
        <v>0</v>
      </c>
      <c r="S218" s="34">
        <f>(WTG_BD[[#This Row],[Fault Clearance time]]-WTG_BD[[#This Row],[Work Start TimeStamp]])*24</f>
        <v>3.3333333333333215E-2</v>
      </c>
      <c r="T218" s="34">
        <f>(WTG_BD[[#This Row],[Fault Clearance time]]-WTG_BD[[#This Row],[Fault Start TimeStamp]])*24</f>
        <v>3.3333333333333215E-2</v>
      </c>
      <c r="U218" t="s">
        <v>262</v>
      </c>
      <c r="V218" s="234" t="s">
        <v>255</v>
      </c>
      <c r="W218" s="50">
        <f>IFERROR(IF(N218="ROW",0,(WTG_BD[[#This Row],[Breakdown Time]]*WTG_BD[[#This Row],[Plant Equivalent Weightage]])),"")</f>
        <v>1.4492753623188356E-3</v>
      </c>
      <c r="X218" s="50"/>
      <c r="Y218" s="205">
        <v>1</v>
      </c>
      <c r="Z218" s="205"/>
      <c r="AA218" s="4">
        <v>-1.9E-2</v>
      </c>
      <c r="AC218" s="4"/>
    </row>
    <row r="219" spans="1:29">
      <c r="A219" s="10">
        <f t="shared" si="5"/>
        <v>218</v>
      </c>
      <c r="B219" s="43">
        <f>YEAR(WTG_BD[[#This Row],[Date]])+IF(MONTH(WTG_BD[[#This Row],[Date]])&gt;=4,1,0)</f>
        <v>2026</v>
      </c>
      <c r="C219" s="10">
        <v>2025</v>
      </c>
      <c r="D219" s="10" t="s">
        <v>4478</v>
      </c>
      <c r="E219" s="309">
        <f>WTG_BD[[#This Row],[Date]]-DAY(WTG_BD[[#This Row],[Date]])+1</f>
        <v>45748</v>
      </c>
      <c r="F219" s="32">
        <v>45767</v>
      </c>
      <c r="G219" t="s">
        <v>82</v>
      </c>
      <c r="H219" t="str">
        <f>IFERROR(VLOOKUP(WTG_BD[[#This Row],[Affected WTG]],'Basic Data'!$A$3:$E$25,2,0),"")</f>
        <v>O2R3</v>
      </c>
      <c r="I219" t="str">
        <f>IFERROR(VLOOKUP(WTG_BD[[#This Row],[Affected WTG]],'Basic Data'!$A$3:$E$25,3,0),"")</f>
        <v>JK</v>
      </c>
      <c r="J219" s="355">
        <f>IFERROR(VLOOKUP(WTG_BD[[#This Row],[Affected WTG]],'Basic Data'!$A$3:$E$25,5,0),"")</f>
        <v>4.3478260869565223E-2</v>
      </c>
      <c r="K219" s="10">
        <v>3273</v>
      </c>
      <c r="L219" t="str">
        <f>IFERROR(VLOOKUP(WTG_BD[[#This Row],[Error Code]],'Basic Data'!S:T,2,0),"Incorrect Error Code")</f>
        <v>YawUntwistCCW: Code__,_______°</v>
      </c>
      <c r="M219" t="s">
        <v>1963</v>
      </c>
      <c r="O219" s="168">
        <v>0.74027777777777781</v>
      </c>
      <c r="P219" s="168">
        <v>0.74027777777777781</v>
      </c>
      <c r="Q219" s="168">
        <v>0.75902777777777775</v>
      </c>
      <c r="R219" s="356">
        <f>(WTG_BD[[#This Row],[Work Start TimeStamp]]-WTG_BD[[#This Row],[Fault Start TimeStamp]])*24</f>
        <v>0</v>
      </c>
      <c r="S219" s="34">
        <f>(WTG_BD[[#This Row],[Fault Clearance time]]-WTG_BD[[#This Row],[Work Start TimeStamp]])*24</f>
        <v>0.4499999999999984</v>
      </c>
      <c r="T219" s="34">
        <f>(WTG_BD[[#This Row],[Fault Clearance time]]-WTG_BD[[#This Row],[Fault Start TimeStamp]])*24</f>
        <v>0.4499999999999984</v>
      </c>
      <c r="U219" t="s">
        <v>262</v>
      </c>
      <c r="V219" s="234" t="s">
        <v>255</v>
      </c>
      <c r="W219" s="50">
        <f>IFERROR(IF(N219="ROW",0,(WTG_BD[[#This Row],[Breakdown Time]]*WTG_BD[[#This Row],[Plant Equivalent Weightage]])),"")</f>
        <v>1.956521739130428E-2</v>
      </c>
      <c r="X219" s="50"/>
      <c r="Y219" s="205">
        <v>1</v>
      </c>
      <c r="Z219" s="205"/>
      <c r="AA219" s="4">
        <v>1.7999999999999999E-2</v>
      </c>
      <c r="AC219" s="4"/>
    </row>
    <row r="220" spans="1:29">
      <c r="A220" s="10">
        <f t="shared" si="5"/>
        <v>219</v>
      </c>
      <c r="B220" s="43">
        <f>YEAR(WTG_BD[[#This Row],[Date]])+IF(MONTH(WTG_BD[[#This Row],[Date]])&gt;=4,1,0)</f>
        <v>2026</v>
      </c>
      <c r="C220" s="10">
        <v>2025</v>
      </c>
      <c r="D220" s="10" t="s">
        <v>4478</v>
      </c>
      <c r="E220" s="309">
        <f>WTG_BD[[#This Row],[Date]]-DAY(WTG_BD[[#This Row],[Date]])+1</f>
        <v>45748</v>
      </c>
      <c r="F220" s="32">
        <v>45767</v>
      </c>
      <c r="G220" t="s">
        <v>92</v>
      </c>
      <c r="H220" t="str">
        <f>IFERROR(VLOOKUP(WTG_BD[[#This Row],[Affected WTG]],'Basic Data'!$A$3:$E$25,2,0),"")</f>
        <v>O2R2</v>
      </c>
      <c r="I220" t="str">
        <f>IFERROR(VLOOKUP(WTG_BD[[#This Row],[Affected WTG]],'Basic Data'!$A$3:$E$25,3,0),"")</f>
        <v>SIL</v>
      </c>
      <c r="J220" s="355">
        <f>IFERROR(VLOOKUP(WTG_BD[[#This Row],[Affected WTG]],'Basic Data'!$A$3:$E$25,5,0),"")</f>
        <v>4.3478260869565223E-2</v>
      </c>
      <c r="K220" s="10">
        <v>931</v>
      </c>
      <c r="L220" t="str">
        <f>IFERROR(VLOOKUP(WTG_BD[[#This Row],[Error Code]],'Basic Data'!S:T,2,0),"Incorrect Error Code")</f>
        <v>Arc light detected</v>
      </c>
      <c r="M220" t="s">
        <v>1472</v>
      </c>
      <c r="N220" t="s">
        <v>113</v>
      </c>
      <c r="O220" s="168">
        <v>0.44444444444444442</v>
      </c>
      <c r="P220" s="168">
        <v>0.44444444444444442</v>
      </c>
      <c r="Q220" s="168">
        <v>0.5625</v>
      </c>
      <c r="R220" s="356">
        <f>(WTG_BD[[#This Row],[Work Start TimeStamp]]-WTG_BD[[#This Row],[Fault Start TimeStamp]])*24</f>
        <v>0</v>
      </c>
      <c r="S220" s="34">
        <f>(WTG_BD[[#This Row],[Fault Clearance time]]-WTG_BD[[#This Row],[Work Start TimeStamp]])*24</f>
        <v>2.8333333333333339</v>
      </c>
      <c r="T220" s="34">
        <f>(WTG_BD[[#This Row],[Fault Clearance time]]-WTG_BD[[#This Row],[Fault Start TimeStamp]])*24</f>
        <v>2.8333333333333339</v>
      </c>
      <c r="U220" t="s">
        <v>4519</v>
      </c>
      <c r="V220" s="234" t="s">
        <v>255</v>
      </c>
      <c r="W220" s="50">
        <f>IFERROR(IF(N220="ROW",0,(WTG_BD[[#This Row],[Breakdown Time]]*WTG_BD[[#This Row],[Plant Equivalent Weightage]])),"")</f>
        <v>0.1231884057971015</v>
      </c>
      <c r="X220" s="50"/>
      <c r="Y220" s="205">
        <v>1</v>
      </c>
      <c r="Z220" s="205"/>
      <c r="AA220" s="4">
        <v>0</v>
      </c>
      <c r="AC220" s="4"/>
    </row>
    <row r="221" spans="1:29">
      <c r="A221" s="10">
        <f t="shared" si="5"/>
        <v>220</v>
      </c>
      <c r="B221" s="43">
        <f>YEAR(WTG_BD[[#This Row],[Date]])+IF(MONTH(WTG_BD[[#This Row],[Date]])&gt;=4,1,0)</f>
        <v>2026</v>
      </c>
      <c r="C221" s="10">
        <v>2025</v>
      </c>
      <c r="D221" s="10" t="s">
        <v>4478</v>
      </c>
      <c r="E221" s="309">
        <f>WTG_BD[[#This Row],[Date]]-DAY(WTG_BD[[#This Row],[Date]])+1</f>
        <v>45748</v>
      </c>
      <c r="F221" s="32">
        <v>45767</v>
      </c>
      <c r="G221" t="s">
        <v>92</v>
      </c>
      <c r="H221" t="str">
        <f>IFERROR(VLOOKUP(WTG_BD[[#This Row],[Affected WTG]],'Basic Data'!$A$3:$E$25,2,0),"")</f>
        <v>O2R2</v>
      </c>
      <c r="I221" t="str">
        <f>IFERROR(VLOOKUP(WTG_BD[[#This Row],[Affected WTG]],'Basic Data'!$A$3:$E$25,3,0),"")</f>
        <v>SIL</v>
      </c>
      <c r="J221" s="355">
        <f>IFERROR(VLOOKUP(WTG_BD[[#This Row],[Affected WTG]],'Basic Data'!$A$3:$E$25,5,0),"")</f>
        <v>4.3478260869565223E-2</v>
      </c>
      <c r="K221" s="10">
        <v>931</v>
      </c>
      <c r="L221" t="str">
        <f>IFERROR(VLOOKUP(WTG_BD[[#This Row],[Error Code]],'Basic Data'!S:T,2,0),"Incorrect Error Code")</f>
        <v>Arc light detected</v>
      </c>
      <c r="M221" t="s">
        <v>1472</v>
      </c>
      <c r="N221" t="s">
        <v>113</v>
      </c>
      <c r="O221" s="168">
        <v>0.69444444444444442</v>
      </c>
      <c r="P221" s="168">
        <v>0.69444444444444442</v>
      </c>
      <c r="Q221" s="168">
        <v>0.72916666666666663</v>
      </c>
      <c r="R221" s="356">
        <f>(WTG_BD[[#This Row],[Work Start TimeStamp]]-WTG_BD[[#This Row],[Fault Start TimeStamp]])*24</f>
        <v>0</v>
      </c>
      <c r="S221" s="34">
        <f>(WTG_BD[[#This Row],[Fault Clearance time]]-WTG_BD[[#This Row],[Work Start TimeStamp]])*24</f>
        <v>0.83333333333333304</v>
      </c>
      <c r="T221" s="34">
        <f>(WTG_BD[[#This Row],[Fault Clearance time]]-WTG_BD[[#This Row],[Fault Start TimeStamp]])*24</f>
        <v>0.83333333333333304</v>
      </c>
      <c r="U221" t="s">
        <v>4519</v>
      </c>
      <c r="V221" s="234" t="s">
        <v>255</v>
      </c>
      <c r="W221" s="50">
        <f>IFERROR(IF(N221="ROW",0,(WTG_BD[[#This Row],[Breakdown Time]]*WTG_BD[[#This Row],[Plant Equivalent Weightage]])),"")</f>
        <v>3.6231884057971009E-2</v>
      </c>
      <c r="X221" s="50"/>
      <c r="Y221" s="205">
        <v>1</v>
      </c>
      <c r="Z221" s="205"/>
      <c r="AA221" s="4">
        <v>0</v>
      </c>
      <c r="AC221" s="4"/>
    </row>
    <row r="222" spans="1:29">
      <c r="A222" s="10">
        <f t="shared" si="5"/>
        <v>221</v>
      </c>
      <c r="B222" s="43">
        <f>YEAR(WTG_BD[[#This Row],[Date]])+IF(MONTH(WTG_BD[[#This Row],[Date]])&gt;=4,1,0)</f>
        <v>2026</v>
      </c>
      <c r="C222" s="10">
        <v>2025</v>
      </c>
      <c r="D222" s="10" t="s">
        <v>4478</v>
      </c>
      <c r="E222" s="309">
        <f>WTG_BD[[#This Row],[Date]]-DAY(WTG_BD[[#This Row],[Date]])+1</f>
        <v>45748</v>
      </c>
      <c r="F222" s="32">
        <v>45767</v>
      </c>
      <c r="G222" t="s">
        <v>93</v>
      </c>
      <c r="H222" t="str">
        <f>IFERROR(VLOOKUP(WTG_BD[[#This Row],[Affected WTG]],'Basic Data'!$A$3:$E$25,2,0),"")</f>
        <v>O2R4</v>
      </c>
      <c r="I222" t="str">
        <f>IFERROR(VLOOKUP(WTG_BD[[#This Row],[Affected WTG]],'Basic Data'!$A$3:$E$25,3,0),"")</f>
        <v>SGDCIPL</v>
      </c>
      <c r="J222" s="355">
        <f>IFERROR(VLOOKUP(WTG_BD[[#This Row],[Affected WTG]],'Basic Data'!$A$3:$E$25,5,0),"")</f>
        <v>4.3478260869565223E-2</v>
      </c>
      <c r="K222" s="10">
        <v>151</v>
      </c>
      <c r="L222" t="str">
        <f>IFERROR(VLOOKUP(WTG_BD[[#This Row],[Error Code]],'Basic Data'!S:T,2,0),"Incorrect Error Code")</f>
        <v>High temp. Gen bearing _:___°C</v>
      </c>
      <c r="M222" t="s">
        <v>720</v>
      </c>
      <c r="N222" t="s">
        <v>113</v>
      </c>
      <c r="O222" s="168">
        <v>0.80069444444444449</v>
      </c>
      <c r="P222" s="168">
        <v>0.80069444444444449</v>
      </c>
      <c r="Q222" s="168">
        <v>0.85</v>
      </c>
      <c r="R222" s="356">
        <f>(WTG_BD[[#This Row],[Work Start TimeStamp]]-WTG_BD[[#This Row],[Fault Start TimeStamp]])*24</f>
        <v>0</v>
      </c>
      <c r="S222" s="34">
        <f>(WTG_BD[[#This Row],[Fault Clearance time]]-WTG_BD[[#This Row],[Work Start TimeStamp]])*24</f>
        <v>1.1833333333333318</v>
      </c>
      <c r="T222" s="34">
        <f>(WTG_BD[[#This Row],[Fault Clearance time]]-WTG_BD[[#This Row],[Fault Start TimeStamp]])*24</f>
        <v>1.1833333333333318</v>
      </c>
      <c r="U222" t="s">
        <v>4520</v>
      </c>
      <c r="V222" s="234" t="s">
        <v>255</v>
      </c>
      <c r="W222" s="50">
        <f>IFERROR(IF(N222="ROW",0,(WTG_BD[[#This Row],[Breakdown Time]]*WTG_BD[[#This Row],[Plant Equivalent Weightage]])),"")</f>
        <v>5.1449275362318782E-2</v>
      </c>
      <c r="X222" s="50"/>
      <c r="Y222" s="205">
        <v>1</v>
      </c>
      <c r="Z222" s="205"/>
      <c r="AA222" s="4">
        <v>0.65500000000000003</v>
      </c>
      <c r="AC222" s="4"/>
    </row>
    <row r="223" spans="1:29">
      <c r="A223" s="10">
        <f t="shared" si="5"/>
        <v>222</v>
      </c>
      <c r="B223" s="43">
        <f>YEAR(WTG_BD[[#This Row],[Date]])+IF(MONTH(WTG_BD[[#This Row],[Date]])&gt;=4,1,0)</f>
        <v>2026</v>
      </c>
      <c r="C223" s="10">
        <v>2025</v>
      </c>
      <c r="D223" s="10" t="s">
        <v>4478</v>
      </c>
      <c r="E223" s="309">
        <f>WTG_BD[[#This Row],[Date]]-DAY(WTG_BD[[#This Row],[Date]])+1</f>
        <v>45748</v>
      </c>
      <c r="F223" s="32">
        <v>45767</v>
      </c>
      <c r="G223" t="s">
        <v>96</v>
      </c>
      <c r="H223" t="str">
        <f>IFERROR(VLOOKUP(WTG_BD[[#This Row],[Affected WTG]],'Basic Data'!$A$3:$E$25,2,0),"")</f>
        <v>O2R3</v>
      </c>
      <c r="I223" t="str">
        <f>IFERROR(VLOOKUP(WTG_BD[[#This Row],[Affected WTG]],'Basic Data'!$A$3:$E$25,3,0),"")</f>
        <v>JK</v>
      </c>
      <c r="J223" s="355">
        <f>IFERROR(VLOOKUP(WTG_BD[[#This Row],[Affected WTG]],'Basic Data'!$A$3:$E$25,5,0),"")</f>
        <v>4.3478260869565223E-2</v>
      </c>
      <c r="K223" s="10">
        <v>315</v>
      </c>
      <c r="L223" t="str">
        <f>IFERROR(VLOOKUP(WTG_BD[[#This Row],[Error Code]],'Basic Data'!S:T,2,0),"Incorrect Error Code")</f>
        <v>ExEx low voltage L_: ___V</v>
      </c>
      <c r="M223" t="s">
        <v>141</v>
      </c>
      <c r="N223" t="s">
        <v>113</v>
      </c>
      <c r="O223" s="168">
        <v>0.44444444444444442</v>
      </c>
      <c r="P223" s="168">
        <v>0.44444444444444442</v>
      </c>
      <c r="Q223" s="168">
        <v>0.46527777777777779</v>
      </c>
      <c r="R223" s="356">
        <f>(WTG_BD[[#This Row],[Work Start TimeStamp]]-WTG_BD[[#This Row],[Fault Start TimeStamp]])*24</f>
        <v>0</v>
      </c>
      <c r="S223" s="34">
        <f>(WTG_BD[[#This Row],[Fault Clearance time]]-WTG_BD[[#This Row],[Work Start TimeStamp]])*24</f>
        <v>0.50000000000000089</v>
      </c>
      <c r="T223" s="34">
        <f>(WTG_BD[[#This Row],[Fault Clearance time]]-WTG_BD[[#This Row],[Fault Start TimeStamp]])*24</f>
        <v>0.50000000000000089</v>
      </c>
      <c r="U223" t="s">
        <v>4521</v>
      </c>
      <c r="V223" s="234" t="s">
        <v>255</v>
      </c>
      <c r="W223" s="50">
        <f>IFERROR(IF(N223="ROW",0,(WTG_BD[[#This Row],[Breakdown Time]]*WTG_BD[[#This Row],[Plant Equivalent Weightage]])),"")</f>
        <v>2.173913043478265E-2</v>
      </c>
      <c r="X223" s="50"/>
      <c r="Y223" s="205">
        <v>1</v>
      </c>
      <c r="Z223" s="205"/>
      <c r="AA223" s="4">
        <v>6.5000000000000002E-2</v>
      </c>
      <c r="AC223" s="4"/>
    </row>
    <row r="224" spans="1:29">
      <c r="A224" s="10">
        <f t="shared" si="5"/>
        <v>223</v>
      </c>
      <c r="B224" s="43">
        <f>YEAR(WTG_BD[[#This Row],[Date]])+IF(MONTH(WTG_BD[[#This Row],[Date]])&gt;=4,1,0)</f>
        <v>2026</v>
      </c>
      <c r="C224" s="10">
        <v>2025</v>
      </c>
      <c r="D224" s="10" t="s">
        <v>4478</v>
      </c>
      <c r="E224" s="309">
        <f>WTG_BD[[#This Row],[Date]]-DAY(WTG_BD[[#This Row],[Date]])+1</f>
        <v>45748</v>
      </c>
      <c r="F224" s="32">
        <v>45767</v>
      </c>
      <c r="G224" t="s">
        <v>96</v>
      </c>
      <c r="H224" t="str">
        <f>IFERROR(VLOOKUP(WTG_BD[[#This Row],[Affected WTG]],'Basic Data'!$A$3:$E$25,2,0),"")</f>
        <v>O2R3</v>
      </c>
      <c r="I224" t="str">
        <f>IFERROR(VLOOKUP(WTG_BD[[#This Row],[Affected WTG]],'Basic Data'!$A$3:$E$25,3,0),"")</f>
        <v>JK</v>
      </c>
      <c r="J224" s="355">
        <f>IFERROR(VLOOKUP(WTG_BD[[#This Row],[Affected WTG]],'Basic Data'!$A$3:$E$25,5,0),"")</f>
        <v>4.3478260869565223E-2</v>
      </c>
      <c r="K224" s="10">
        <v>315</v>
      </c>
      <c r="L224" t="str">
        <f>IFERROR(VLOOKUP(WTG_BD[[#This Row],[Error Code]],'Basic Data'!S:T,2,0),"Incorrect Error Code")</f>
        <v>ExEx low voltage L_: ___V</v>
      </c>
      <c r="M224" t="s">
        <v>141</v>
      </c>
      <c r="N224" t="s">
        <v>113</v>
      </c>
      <c r="O224" s="168">
        <v>0.61111111111111116</v>
      </c>
      <c r="P224" s="168">
        <v>0.61111111111111116</v>
      </c>
      <c r="Q224" s="168">
        <v>0.65972222222222221</v>
      </c>
      <c r="R224" s="356">
        <f>(WTG_BD[[#This Row],[Work Start TimeStamp]]-WTG_BD[[#This Row],[Fault Start TimeStamp]])*24</f>
        <v>0</v>
      </c>
      <c r="S224" s="34">
        <f>(WTG_BD[[#This Row],[Fault Clearance time]]-WTG_BD[[#This Row],[Work Start TimeStamp]])*24</f>
        <v>1.1666666666666652</v>
      </c>
      <c r="T224" s="34">
        <f>(WTG_BD[[#This Row],[Fault Clearance time]]-WTG_BD[[#This Row],[Fault Start TimeStamp]])*24</f>
        <v>1.1666666666666652</v>
      </c>
      <c r="U224" t="s">
        <v>4522</v>
      </c>
      <c r="V224" s="234" t="s">
        <v>255</v>
      </c>
      <c r="W224" s="50">
        <f>IFERROR(IF(N224="ROW",0,(WTG_BD[[#This Row],[Breakdown Time]]*WTG_BD[[#This Row],[Plant Equivalent Weightage]])),"")</f>
        <v>5.0724637681159361E-2</v>
      </c>
      <c r="X224" s="50"/>
      <c r="Y224" s="205">
        <v>1</v>
      </c>
      <c r="Z224" s="205"/>
      <c r="AA224" s="4">
        <v>0.16600000000000001</v>
      </c>
      <c r="AC224" s="4"/>
    </row>
    <row r="225" spans="1:29">
      <c r="A225" s="10">
        <f t="shared" si="5"/>
        <v>224</v>
      </c>
      <c r="B225" s="43">
        <f>YEAR(WTG_BD[[#This Row],[Date]])+IF(MONTH(WTG_BD[[#This Row],[Date]])&gt;=4,1,0)</f>
        <v>2026</v>
      </c>
      <c r="C225" s="10">
        <v>2025</v>
      </c>
      <c r="D225" s="10" t="s">
        <v>4478</v>
      </c>
      <c r="E225" s="309">
        <f>WTG_BD[[#This Row],[Date]]-DAY(WTG_BD[[#This Row],[Date]])+1</f>
        <v>45748</v>
      </c>
      <c r="F225" s="32">
        <v>45768</v>
      </c>
      <c r="G225" t="s">
        <v>82</v>
      </c>
      <c r="H225" t="str">
        <f>IFERROR(VLOOKUP(WTG_BD[[#This Row],[Affected WTG]],'Basic Data'!$A$3:$E$25,2,0),"")</f>
        <v>O2R3</v>
      </c>
      <c r="I225" t="str">
        <f>IFERROR(VLOOKUP(WTG_BD[[#This Row],[Affected WTG]],'Basic Data'!$A$3:$E$25,3,0),"")</f>
        <v>JK</v>
      </c>
      <c r="J225" s="355">
        <f>IFERROR(VLOOKUP(WTG_BD[[#This Row],[Affected WTG]],'Basic Data'!$A$3:$E$25,5,0),"")</f>
        <v>4.3478260869565223E-2</v>
      </c>
      <c r="K225" s="10">
        <v>2676</v>
      </c>
      <c r="L225" t="str">
        <f>IFERROR(VLOOKUP(WTG_BD[[#This Row],[Error Code]],'Basic Data'!S:T,2,0),"Incorrect Error Code")</f>
        <v>UPS Error</v>
      </c>
      <c r="M225" t="s">
        <v>140</v>
      </c>
      <c r="N225" t="s">
        <v>113</v>
      </c>
      <c r="O225" s="168">
        <v>0.65902777777777777</v>
      </c>
      <c r="P225" s="168">
        <v>0.65902777777777777</v>
      </c>
      <c r="Q225" s="168">
        <v>0.6958333333333333</v>
      </c>
      <c r="R225" s="356">
        <f>(WTG_BD[[#This Row],[Work Start TimeStamp]]-WTG_BD[[#This Row],[Fault Start TimeStamp]])*24</f>
        <v>0</v>
      </c>
      <c r="S225" s="34">
        <f>(WTG_BD[[#This Row],[Fault Clearance time]]-WTG_BD[[#This Row],[Work Start TimeStamp]])*24</f>
        <v>0.88333333333333286</v>
      </c>
      <c r="T225" s="34">
        <f>(WTG_BD[[#This Row],[Fault Clearance time]]-WTG_BD[[#This Row],[Fault Start TimeStamp]])*24</f>
        <v>0.88333333333333286</v>
      </c>
      <c r="U225" t="s">
        <v>4332</v>
      </c>
      <c r="V225" s="234" t="s">
        <v>255</v>
      </c>
      <c r="W225" s="50">
        <f>IFERROR(IF(N225="ROW",0,(WTG_BD[[#This Row],[Breakdown Time]]*WTG_BD[[#This Row],[Plant Equivalent Weightage]])),"")</f>
        <v>3.8405797101449257E-2</v>
      </c>
      <c r="X225" s="50"/>
      <c r="Y225" s="205">
        <v>1</v>
      </c>
      <c r="Z225" s="205"/>
      <c r="AC225" s="4"/>
    </row>
    <row r="226" spans="1:29">
      <c r="A226" s="10">
        <f t="shared" si="5"/>
        <v>225</v>
      </c>
      <c r="B226" s="43">
        <f>YEAR(WTG_BD[[#This Row],[Date]])+IF(MONTH(WTG_BD[[#This Row],[Date]])&gt;=4,1,0)</f>
        <v>2026</v>
      </c>
      <c r="C226" s="10">
        <v>2025</v>
      </c>
      <c r="D226" s="10" t="s">
        <v>4478</v>
      </c>
      <c r="E226" s="309">
        <f>WTG_BD[[#This Row],[Date]]-DAY(WTG_BD[[#This Row],[Date]])+1</f>
        <v>45748</v>
      </c>
      <c r="F226" s="32">
        <v>45768</v>
      </c>
      <c r="G226" t="s">
        <v>83</v>
      </c>
      <c r="H226" t="str">
        <f>IFERROR(VLOOKUP(WTG_BD[[#This Row],[Affected WTG]],'Basic Data'!$A$3:$E$25,2,0),"")</f>
        <v>O2R3</v>
      </c>
      <c r="I226" t="str">
        <f>IFERROR(VLOOKUP(WTG_BD[[#This Row],[Affected WTG]],'Basic Data'!$A$3:$E$25,3,0),"")</f>
        <v>JK</v>
      </c>
      <c r="J226" s="355">
        <f>IFERROR(VLOOKUP(WTG_BD[[#This Row],[Affected WTG]],'Basic Data'!$A$3:$E$25,5,0),"")</f>
        <v>4.3478260869565223E-2</v>
      </c>
      <c r="K226" s="10">
        <v>3272</v>
      </c>
      <c r="L226" t="str">
        <f>IFERROR(VLOOKUP(WTG_BD[[#This Row],[Error Code]],'Basic Data'!S:T,2,0),"Incorrect Error Code")</f>
        <v>YawUntwistCW: Code__,_______°</v>
      </c>
      <c r="M226" t="s">
        <v>4301</v>
      </c>
      <c r="O226" s="168">
        <v>0.41041666666666665</v>
      </c>
      <c r="P226" s="168">
        <v>0.41041666666666665</v>
      </c>
      <c r="Q226" s="168">
        <v>0.42777777777777776</v>
      </c>
      <c r="R226" s="356">
        <f>(WTG_BD[[#This Row],[Work Start TimeStamp]]-WTG_BD[[#This Row],[Fault Start TimeStamp]])*24</f>
        <v>0</v>
      </c>
      <c r="S226" s="34">
        <f>(WTG_BD[[#This Row],[Fault Clearance time]]-WTG_BD[[#This Row],[Work Start TimeStamp]])*24</f>
        <v>0.41666666666666652</v>
      </c>
      <c r="T226" s="34">
        <f>(WTG_BD[[#This Row],[Fault Clearance time]]-WTG_BD[[#This Row],[Fault Start TimeStamp]])*24</f>
        <v>0.41666666666666652</v>
      </c>
      <c r="U226" t="s">
        <v>4323</v>
      </c>
      <c r="V226" s="234" t="s">
        <v>255</v>
      </c>
      <c r="W226" s="50">
        <f>IFERROR(IF(N226="ROW",0,(WTG_BD[[#This Row],[Breakdown Time]]*WTG_BD[[#This Row],[Plant Equivalent Weightage]])),"")</f>
        <v>1.8115942028985504E-2</v>
      </c>
      <c r="X226" s="50"/>
      <c r="Y226" s="205">
        <v>1</v>
      </c>
      <c r="Z226" s="205"/>
      <c r="AC226" s="4"/>
    </row>
    <row r="227" spans="1:29">
      <c r="A227" s="10">
        <f t="shared" si="5"/>
        <v>226</v>
      </c>
      <c r="B227" s="43">
        <f>YEAR(WTG_BD[[#This Row],[Date]])+IF(MONTH(WTG_BD[[#This Row],[Date]])&gt;=4,1,0)</f>
        <v>2026</v>
      </c>
      <c r="C227" s="10">
        <v>2025</v>
      </c>
      <c r="D227" s="10" t="s">
        <v>4478</v>
      </c>
      <c r="E227" s="309">
        <f>WTG_BD[[#This Row],[Date]]-DAY(WTG_BD[[#This Row],[Date]])+1</f>
        <v>45748</v>
      </c>
      <c r="F227" s="32">
        <v>45768</v>
      </c>
      <c r="G227" t="s">
        <v>85</v>
      </c>
      <c r="H227" t="str">
        <f>IFERROR(VLOOKUP(WTG_BD[[#This Row],[Affected WTG]],'Basic Data'!$A$3:$E$25,2,0),"")</f>
        <v>O2R1</v>
      </c>
      <c r="I227" t="str">
        <f>IFERROR(VLOOKUP(WTG_BD[[#This Row],[Affected WTG]],'Basic Data'!$A$3:$E$25,3,0),"")</f>
        <v>KSIPL</v>
      </c>
      <c r="J227" s="355">
        <f>IFERROR(VLOOKUP(WTG_BD[[#This Row],[Affected WTG]],'Basic Data'!$A$3:$E$25,5,0),"")</f>
        <v>4.3478260869565223E-2</v>
      </c>
      <c r="K227" s="10">
        <v>3298</v>
      </c>
      <c r="L227" t="str">
        <f>IFERROR(VLOOKUP(WTG_BD[[#This Row],[Error Code]],'Basic Data'!S:T,2,0),"Incorrect Error Code")</f>
        <v>Yaw To Cable Twist Reset</v>
      </c>
      <c r="M227" t="s">
        <v>301</v>
      </c>
      <c r="N227" t="s">
        <v>113</v>
      </c>
      <c r="O227" s="168">
        <v>9.0972222222222218E-2</v>
      </c>
      <c r="P227" s="168">
        <v>9.0972222222222218E-2</v>
      </c>
      <c r="Q227" s="168">
        <v>0.1111111111111111</v>
      </c>
      <c r="R227" s="356">
        <f>(WTG_BD[[#This Row],[Work Start TimeStamp]]-WTG_BD[[#This Row],[Fault Start TimeStamp]])*24</f>
        <v>0</v>
      </c>
      <c r="S227" s="34">
        <f>(WTG_BD[[#This Row],[Fault Clearance time]]-WTG_BD[[#This Row],[Work Start TimeStamp]])*24</f>
        <v>0.48333333333333328</v>
      </c>
      <c r="T227" s="34">
        <f>(WTG_BD[[#This Row],[Fault Clearance time]]-WTG_BD[[#This Row],[Fault Start TimeStamp]])*24</f>
        <v>0.48333333333333328</v>
      </c>
      <c r="U227" t="s">
        <v>4268</v>
      </c>
      <c r="V227" s="234" t="s">
        <v>255</v>
      </c>
      <c r="W227" s="50">
        <f>IFERROR(IF(N227="ROW",0,(WTG_BD[[#This Row],[Breakdown Time]]*WTG_BD[[#This Row],[Plant Equivalent Weightage]])),"")</f>
        <v>2.1014492753623187E-2</v>
      </c>
      <c r="X227" s="50"/>
      <c r="Y227" s="205">
        <v>1</v>
      </c>
      <c r="Z227" s="205"/>
      <c r="AC227" s="4"/>
    </row>
    <row r="228" spans="1:29">
      <c r="A228" s="10">
        <f t="shared" si="5"/>
        <v>227</v>
      </c>
      <c r="B228" s="43">
        <f>YEAR(WTG_BD[[#This Row],[Date]])+IF(MONTH(WTG_BD[[#This Row],[Date]])&gt;=4,1,0)</f>
        <v>2026</v>
      </c>
      <c r="C228" s="10">
        <v>2025</v>
      </c>
      <c r="D228" s="10" t="s">
        <v>4478</v>
      </c>
      <c r="E228" s="309">
        <f>WTG_BD[[#This Row],[Date]]-DAY(WTG_BD[[#This Row],[Date]])+1</f>
        <v>45748</v>
      </c>
      <c r="F228" s="32">
        <v>45768</v>
      </c>
      <c r="G228" t="s">
        <v>87</v>
      </c>
      <c r="H228" t="str">
        <f>IFERROR(VLOOKUP(WTG_BD[[#This Row],[Affected WTG]],'Basic Data'!$A$3:$E$25,2,0),"")</f>
        <v>O2R1</v>
      </c>
      <c r="I228" t="str">
        <f>IFERROR(VLOOKUP(WTG_BD[[#This Row],[Affected WTG]],'Basic Data'!$A$3:$E$25,3,0),"")</f>
        <v>KSIPL</v>
      </c>
      <c r="J228" s="355">
        <f>IFERROR(VLOOKUP(WTG_BD[[#This Row],[Affected WTG]],'Basic Data'!$A$3:$E$25,5,0),"")</f>
        <v>4.3478260869565223E-2</v>
      </c>
      <c r="K228" s="10">
        <v>3273</v>
      </c>
      <c r="L228" t="str">
        <f>IFERROR(VLOOKUP(WTG_BD[[#This Row],[Error Code]],'Basic Data'!S:T,2,0),"Incorrect Error Code")</f>
        <v>YawUntwistCCW: Code__,_______°</v>
      </c>
      <c r="M228" t="s">
        <v>318</v>
      </c>
      <c r="O228" s="168">
        <v>0.60138888888888886</v>
      </c>
      <c r="P228" s="168">
        <v>0.60138888888888886</v>
      </c>
      <c r="Q228" s="168">
        <v>0.61944444444444446</v>
      </c>
      <c r="R228" s="356">
        <f>(WTG_BD[[#This Row],[Work Start TimeStamp]]-WTG_BD[[#This Row],[Fault Start TimeStamp]])*24</f>
        <v>0</v>
      </c>
      <c r="S228" s="34">
        <f>(WTG_BD[[#This Row],[Fault Clearance time]]-WTG_BD[[#This Row],[Work Start TimeStamp]])*24</f>
        <v>0.43333333333333446</v>
      </c>
      <c r="T228" s="34">
        <f>(WTG_BD[[#This Row],[Fault Clearance time]]-WTG_BD[[#This Row],[Fault Start TimeStamp]])*24</f>
        <v>0.43333333333333446</v>
      </c>
      <c r="U228" t="s">
        <v>4323</v>
      </c>
      <c r="V228" s="234" t="s">
        <v>255</v>
      </c>
      <c r="W228" s="50">
        <f>IFERROR(IF(N228="ROW",0,(WTG_BD[[#This Row],[Breakdown Time]]*WTG_BD[[#This Row],[Plant Equivalent Weightage]])),"")</f>
        <v>1.8840579710144977E-2</v>
      </c>
      <c r="X228" s="50"/>
      <c r="Y228" s="205">
        <v>1</v>
      </c>
      <c r="Z228" s="205"/>
      <c r="AC228" s="4"/>
    </row>
    <row r="229" spans="1:29">
      <c r="A229" s="10">
        <f t="shared" si="5"/>
        <v>228</v>
      </c>
      <c r="B229" s="43">
        <f>YEAR(WTG_BD[[#This Row],[Date]])+IF(MONTH(WTG_BD[[#This Row],[Date]])&gt;=4,1,0)</f>
        <v>2026</v>
      </c>
      <c r="C229" s="10">
        <v>2025</v>
      </c>
      <c r="D229" s="10" t="s">
        <v>4478</v>
      </c>
      <c r="E229" s="309">
        <f>WTG_BD[[#This Row],[Date]]-DAY(WTG_BD[[#This Row],[Date]])+1</f>
        <v>45748</v>
      </c>
      <c r="F229" s="32">
        <v>45768</v>
      </c>
      <c r="G229" t="s">
        <v>88</v>
      </c>
      <c r="H229" t="str">
        <f>IFERROR(VLOOKUP(WTG_BD[[#This Row],[Affected WTG]],'Basic Data'!$A$3:$E$25,2,0),"")</f>
        <v>O2R1</v>
      </c>
      <c r="I229" t="str">
        <f>IFERROR(VLOOKUP(WTG_BD[[#This Row],[Affected WTG]],'Basic Data'!$A$3:$E$25,3,0),"")</f>
        <v>KSIPL</v>
      </c>
      <c r="J229" s="355">
        <f>IFERROR(VLOOKUP(WTG_BD[[#This Row],[Affected WTG]],'Basic Data'!$A$3:$E$25,5,0),"")</f>
        <v>4.3478260869565223E-2</v>
      </c>
      <c r="K229" s="10">
        <v>3273</v>
      </c>
      <c r="L229" t="str">
        <f>IFERROR(VLOOKUP(WTG_BD[[#This Row],[Error Code]],'Basic Data'!S:T,2,0),"Incorrect Error Code")</f>
        <v>YawUntwistCCW: Code__,_______°</v>
      </c>
      <c r="M229" t="s">
        <v>302</v>
      </c>
      <c r="O229" s="168">
        <v>0.52500000000000002</v>
      </c>
      <c r="P229" s="168">
        <v>0.52500000000000002</v>
      </c>
      <c r="Q229" s="168">
        <v>0.54374999999999996</v>
      </c>
      <c r="R229" s="356">
        <f>(WTG_BD[[#This Row],[Work Start TimeStamp]]-WTG_BD[[#This Row],[Fault Start TimeStamp]])*24</f>
        <v>0</v>
      </c>
      <c r="S229" s="34">
        <f>(WTG_BD[[#This Row],[Fault Clearance time]]-WTG_BD[[#This Row],[Work Start TimeStamp]])*24</f>
        <v>0.4499999999999984</v>
      </c>
      <c r="T229" s="34">
        <f>(WTG_BD[[#This Row],[Fault Clearance time]]-WTG_BD[[#This Row],[Fault Start TimeStamp]])*24</f>
        <v>0.4499999999999984</v>
      </c>
      <c r="U229" t="s">
        <v>4323</v>
      </c>
      <c r="V229" s="234" t="s">
        <v>255</v>
      </c>
      <c r="W229" s="50">
        <f>IFERROR(IF(N229="ROW",0,(WTG_BD[[#This Row],[Breakdown Time]]*WTG_BD[[#This Row],[Plant Equivalent Weightage]])),"")</f>
        <v>1.956521739130428E-2</v>
      </c>
      <c r="X229" s="50"/>
      <c r="Y229" s="205">
        <v>1</v>
      </c>
      <c r="Z229" s="205"/>
      <c r="AC229" s="4"/>
    </row>
    <row r="230" spans="1:29">
      <c r="A230" s="10">
        <f t="shared" si="5"/>
        <v>229</v>
      </c>
      <c r="B230" s="43">
        <f>YEAR(WTG_BD[[#This Row],[Date]])+IF(MONTH(WTG_BD[[#This Row],[Date]])&gt;=4,1,0)</f>
        <v>2026</v>
      </c>
      <c r="C230" s="10">
        <v>2025</v>
      </c>
      <c r="D230" s="10" t="s">
        <v>4478</v>
      </c>
      <c r="E230" s="309">
        <f>WTG_BD[[#This Row],[Date]]-DAY(WTG_BD[[#This Row],[Date]])+1</f>
        <v>45748</v>
      </c>
      <c r="F230" s="32">
        <v>45768</v>
      </c>
      <c r="G230" t="s">
        <v>90</v>
      </c>
      <c r="H230" t="str">
        <f>IFERROR(VLOOKUP(WTG_BD[[#This Row],[Affected WTG]],'Basic Data'!$A$3:$E$25,2,0),"")</f>
        <v>O2R1</v>
      </c>
      <c r="I230" t="str">
        <f>IFERROR(VLOOKUP(WTG_BD[[#This Row],[Affected WTG]],'Basic Data'!$A$3:$E$25,3,0),"")</f>
        <v>KSIPL</v>
      </c>
      <c r="J230" s="355">
        <f>IFERROR(VLOOKUP(WTG_BD[[#This Row],[Affected WTG]],'Basic Data'!$A$3:$E$25,5,0),"")</f>
        <v>4.3478260869565223E-2</v>
      </c>
      <c r="K230" s="10">
        <v>3298</v>
      </c>
      <c r="L230" t="str">
        <f>IFERROR(VLOOKUP(WTG_BD[[#This Row],[Error Code]],'Basic Data'!S:T,2,0),"Incorrect Error Code")</f>
        <v>Yaw To Cable Twist Reset</v>
      </c>
      <c r="M230" t="s">
        <v>301</v>
      </c>
      <c r="N230" t="s">
        <v>113</v>
      </c>
      <c r="O230" s="168">
        <v>9.166666666666666E-2</v>
      </c>
      <c r="P230" s="168">
        <v>9.166666666666666E-2</v>
      </c>
      <c r="Q230" s="168">
        <v>0.1125</v>
      </c>
      <c r="R230" s="356">
        <f>(WTG_BD[[#This Row],[Work Start TimeStamp]]-WTG_BD[[#This Row],[Fault Start TimeStamp]])*24</f>
        <v>0</v>
      </c>
      <c r="S230" s="34">
        <f>(WTG_BD[[#This Row],[Fault Clearance time]]-WTG_BD[[#This Row],[Work Start TimeStamp]])*24</f>
        <v>0.50000000000000022</v>
      </c>
      <c r="T230" s="34">
        <f>(WTG_BD[[#This Row],[Fault Clearance time]]-WTG_BD[[#This Row],[Fault Start TimeStamp]])*24</f>
        <v>0.50000000000000022</v>
      </c>
      <c r="U230" t="s">
        <v>4268</v>
      </c>
      <c r="V230" s="234" t="s">
        <v>255</v>
      </c>
      <c r="W230" s="50">
        <f>IFERROR(IF(N230="ROW",0,(WTG_BD[[#This Row],[Breakdown Time]]*WTG_BD[[#This Row],[Plant Equivalent Weightage]])),"")</f>
        <v>2.1739130434782622E-2</v>
      </c>
      <c r="X230" s="50"/>
      <c r="Y230" s="205">
        <v>1</v>
      </c>
      <c r="Z230" s="205"/>
      <c r="AC230" s="4"/>
    </row>
    <row r="231" spans="1:29">
      <c r="A231" s="10">
        <f t="shared" si="5"/>
        <v>230</v>
      </c>
      <c r="B231" s="43">
        <f>YEAR(WTG_BD[[#This Row],[Date]])+IF(MONTH(WTG_BD[[#This Row],[Date]])&gt;=4,1,0)</f>
        <v>2026</v>
      </c>
      <c r="C231" s="10">
        <v>2025</v>
      </c>
      <c r="D231" s="10" t="s">
        <v>4531</v>
      </c>
      <c r="E231" s="309">
        <f>WTG_BD[[#This Row],[Date]]-DAY(WTG_BD[[#This Row],[Date]])+1</f>
        <v>45748</v>
      </c>
      <c r="F231" s="32">
        <v>45768</v>
      </c>
      <c r="G231" t="s">
        <v>82</v>
      </c>
      <c r="H231" t="str">
        <f>IFERROR(VLOOKUP(WTG_BD[[#This Row],[Affected WTG]],'Basic Data'!$A$3:$E$25,2,0),"")</f>
        <v>O2R3</v>
      </c>
      <c r="I231" t="str">
        <f>IFERROR(VLOOKUP(WTG_BD[[#This Row],[Affected WTG]],'Basic Data'!$A$3:$E$25,3,0),"")</f>
        <v>JK</v>
      </c>
      <c r="J231" s="355">
        <f>IFERROR(VLOOKUP(WTG_BD[[#This Row],[Affected WTG]],'Basic Data'!$A$3:$E$25,5,0),"")</f>
        <v>4.3478260869565223E-2</v>
      </c>
      <c r="K231" s="10">
        <v>2676</v>
      </c>
      <c r="L231" t="str">
        <f>IFERROR(VLOOKUP(WTG_BD[[#This Row],[Error Code]],'Basic Data'!S:T,2,0),"Incorrect Error Code")</f>
        <v>UPS Error</v>
      </c>
      <c r="M231" t="s">
        <v>140</v>
      </c>
      <c r="N231" t="s">
        <v>113</v>
      </c>
      <c r="O231" s="168">
        <v>4.8611111111111112E-2</v>
      </c>
      <c r="P231" s="168">
        <v>4.8611111111111112E-2</v>
      </c>
      <c r="Q231" s="168">
        <v>0.24652777777777779</v>
      </c>
      <c r="R231" s="356">
        <f>(WTG_BD[[#This Row],[Work Start TimeStamp]]-WTG_BD[[#This Row],[Fault Start TimeStamp]])*24</f>
        <v>0</v>
      </c>
      <c r="S231" s="34">
        <f>(WTG_BD[[#This Row],[Fault Clearance time]]-WTG_BD[[#This Row],[Work Start TimeStamp]])*24</f>
        <v>4.75</v>
      </c>
      <c r="T231" s="34">
        <f>(WTG_BD[[#This Row],[Fault Clearance time]]-WTG_BD[[#This Row],[Fault Start TimeStamp]])*24</f>
        <v>4.75</v>
      </c>
      <c r="U231" t="s">
        <v>4522</v>
      </c>
      <c r="V231" s="234" t="s">
        <v>255</v>
      </c>
      <c r="W231" s="50">
        <f>IFERROR(IF(N231="ROW",0,(WTG_BD[[#This Row],[Breakdown Time]]*WTG_BD[[#This Row],[Plant Equivalent Weightage]])),"")</f>
        <v>0.20652173913043481</v>
      </c>
      <c r="X231" s="50"/>
      <c r="Y231" s="205">
        <v>1</v>
      </c>
      <c r="Z231" s="205"/>
      <c r="AC231" s="4"/>
    </row>
    <row r="232" spans="1:29">
      <c r="A232" s="10">
        <f t="shared" si="5"/>
        <v>231</v>
      </c>
      <c r="B232" s="43">
        <f>YEAR(WTG_BD[[#This Row],[Date]])+IF(MONTH(WTG_BD[[#This Row],[Date]])&gt;=4,1,0)</f>
        <v>2026</v>
      </c>
      <c r="C232" s="10">
        <v>2025</v>
      </c>
      <c r="D232" s="10" t="s">
        <v>4478</v>
      </c>
      <c r="E232" s="309">
        <f>WTG_BD[[#This Row],[Date]]-DAY(WTG_BD[[#This Row],[Date]])+1</f>
        <v>45748</v>
      </c>
      <c r="F232" s="32">
        <v>45769</v>
      </c>
      <c r="G232" t="s">
        <v>76</v>
      </c>
      <c r="H232" t="str">
        <f>IFERROR(VLOOKUP(WTG_BD[[#This Row],[Affected WTG]],'Basic Data'!$A$3:$E$25,2,0),"")</f>
        <v>O2R1</v>
      </c>
      <c r="I232" t="str">
        <f>IFERROR(VLOOKUP(WTG_BD[[#This Row],[Affected WTG]],'Basic Data'!$A$3:$E$25,3,0),"")</f>
        <v>KSIPL</v>
      </c>
      <c r="J232" s="355">
        <f>IFERROR(VLOOKUP(WTG_BD[[#This Row],[Affected WTG]],'Basic Data'!$A$3:$E$25,5,0),"")</f>
        <v>4.3478260869565223E-2</v>
      </c>
      <c r="K232" s="10">
        <v>309</v>
      </c>
      <c r="L232" t="str">
        <f>IFERROR(VLOOKUP(WTG_BD[[#This Row],[Error Code]],'Basic Data'!S:T,2,0),"Incorrect Error Code")</f>
        <v>Pause over RCS __0</v>
      </c>
      <c r="M232" t="s">
        <v>871</v>
      </c>
      <c r="N232" t="s">
        <v>257</v>
      </c>
      <c r="O232" s="168">
        <v>0.46527777777777779</v>
      </c>
      <c r="P232" s="168">
        <v>0.46527777777777779</v>
      </c>
      <c r="Q232" s="168">
        <v>0.62638888888888888</v>
      </c>
      <c r="R232" s="356">
        <f>(WTG_BD[[#This Row],[Work Start TimeStamp]]-WTG_BD[[#This Row],[Fault Start TimeStamp]])*24</f>
        <v>0</v>
      </c>
      <c r="S232" s="34">
        <f>(WTG_BD[[#This Row],[Fault Clearance time]]-WTG_BD[[#This Row],[Work Start TimeStamp]])*24</f>
        <v>3.8666666666666663</v>
      </c>
      <c r="T232" s="34">
        <f>(WTG_BD[[#This Row],[Fault Clearance time]]-WTG_BD[[#This Row],[Fault Start TimeStamp]])*24</f>
        <v>3.8666666666666663</v>
      </c>
      <c r="U232" t="s">
        <v>4494</v>
      </c>
      <c r="V232" s="234" t="s">
        <v>255</v>
      </c>
      <c r="W232" s="50">
        <f>IFERROR(IF(N232="ROW",0,(WTG_BD[[#This Row],[Breakdown Time]]*WTG_BD[[#This Row],[Plant Equivalent Weightage]])),"")</f>
        <v>0.1681159420289855</v>
      </c>
      <c r="X232" s="50"/>
      <c r="Y232" s="205">
        <v>1</v>
      </c>
      <c r="Z232" s="205"/>
      <c r="AA232" s="4">
        <v>0.24299999999999999</v>
      </c>
      <c r="AC232" s="4"/>
    </row>
    <row r="233" spans="1:29">
      <c r="A233" s="10">
        <f t="shared" si="5"/>
        <v>232</v>
      </c>
      <c r="B233" s="43">
        <f>YEAR(WTG_BD[[#This Row],[Date]])+IF(MONTH(WTG_BD[[#This Row],[Date]])&gt;=4,1,0)</f>
        <v>2026</v>
      </c>
      <c r="C233" s="10">
        <v>2025</v>
      </c>
      <c r="D233" s="10" t="s">
        <v>4478</v>
      </c>
      <c r="E233" s="309">
        <f>WTG_BD[[#This Row],[Date]]-DAY(WTG_BD[[#This Row],[Date]])+1</f>
        <v>45748</v>
      </c>
      <c r="F233" s="32">
        <v>45769</v>
      </c>
      <c r="G233" t="s">
        <v>76</v>
      </c>
      <c r="H233" t="str">
        <f>IFERROR(VLOOKUP(WTG_BD[[#This Row],[Affected WTG]],'Basic Data'!$A$3:$E$25,2,0),"")</f>
        <v>O2R1</v>
      </c>
      <c r="I233" t="str">
        <f>IFERROR(VLOOKUP(WTG_BD[[#This Row],[Affected WTG]],'Basic Data'!$A$3:$E$25,3,0),"")</f>
        <v>KSIPL</v>
      </c>
      <c r="J233" s="355">
        <f>IFERROR(VLOOKUP(WTG_BD[[#This Row],[Affected WTG]],'Basic Data'!$A$3:$E$25,5,0),"")</f>
        <v>4.3478260869565223E-2</v>
      </c>
      <c r="K233" s="10">
        <v>309</v>
      </c>
      <c r="L233" t="str">
        <f>IFERROR(VLOOKUP(WTG_BD[[#This Row],[Error Code]],'Basic Data'!S:T,2,0),"Incorrect Error Code")</f>
        <v>Pause over RCS __0</v>
      </c>
      <c r="M233" t="s">
        <v>871</v>
      </c>
      <c r="N233" t="s">
        <v>257</v>
      </c>
      <c r="O233" s="168">
        <v>0.66666666666666663</v>
      </c>
      <c r="P233" s="168">
        <v>0.66666666666666663</v>
      </c>
      <c r="Q233" s="168">
        <v>0.71388888888888891</v>
      </c>
      <c r="R233" s="356">
        <f>(WTG_BD[[#This Row],[Work Start TimeStamp]]-WTG_BD[[#This Row],[Fault Start TimeStamp]])*24</f>
        <v>0</v>
      </c>
      <c r="S233" s="34">
        <f>(WTG_BD[[#This Row],[Fault Clearance time]]-WTG_BD[[#This Row],[Work Start TimeStamp]])*24</f>
        <v>1.1333333333333346</v>
      </c>
      <c r="T233" s="34">
        <f>(WTG_BD[[#This Row],[Fault Clearance time]]-WTG_BD[[#This Row],[Fault Start TimeStamp]])*24</f>
        <v>1.1333333333333346</v>
      </c>
      <c r="U233" t="s">
        <v>4494</v>
      </c>
      <c r="V233" s="234" t="s">
        <v>255</v>
      </c>
      <c r="W233" s="50">
        <f>IFERROR(IF(N233="ROW",0,(WTG_BD[[#This Row],[Breakdown Time]]*WTG_BD[[#This Row],[Plant Equivalent Weightage]])),"")</f>
        <v>4.9275362318840644E-2</v>
      </c>
      <c r="X233" s="50"/>
      <c r="Y233" s="205">
        <v>1</v>
      </c>
      <c r="Z233" s="205"/>
      <c r="AA233" s="4">
        <v>0</v>
      </c>
      <c r="AC233" s="4"/>
    </row>
    <row r="234" spans="1:29">
      <c r="A234" s="10">
        <f t="shared" si="5"/>
        <v>233</v>
      </c>
      <c r="B234" s="43">
        <f>YEAR(WTG_BD[[#This Row],[Date]])+IF(MONTH(WTG_BD[[#This Row],[Date]])&gt;=4,1,0)</f>
        <v>2026</v>
      </c>
      <c r="C234" s="10">
        <v>2025</v>
      </c>
      <c r="D234" s="10" t="s">
        <v>4478</v>
      </c>
      <c r="E234" s="309">
        <f>WTG_BD[[#This Row],[Date]]-DAY(WTG_BD[[#This Row],[Date]])+1</f>
        <v>45748</v>
      </c>
      <c r="F234" s="32">
        <v>45769</v>
      </c>
      <c r="G234" t="s">
        <v>76</v>
      </c>
      <c r="H234" t="str">
        <f>IFERROR(VLOOKUP(WTG_BD[[#This Row],[Affected WTG]],'Basic Data'!$A$3:$E$25,2,0),"")</f>
        <v>O2R1</v>
      </c>
      <c r="I234" t="str">
        <f>IFERROR(VLOOKUP(WTG_BD[[#This Row],[Affected WTG]],'Basic Data'!$A$3:$E$25,3,0),"")</f>
        <v>KSIPL</v>
      </c>
      <c r="J234" s="355">
        <f>IFERROR(VLOOKUP(WTG_BD[[#This Row],[Affected WTG]],'Basic Data'!$A$3:$E$25,5,0),"")</f>
        <v>4.3478260869565223E-2</v>
      </c>
      <c r="K234" s="10">
        <v>309</v>
      </c>
      <c r="L234" t="str">
        <f>IFERROR(VLOOKUP(WTG_BD[[#This Row],[Error Code]],'Basic Data'!S:T,2,0),"Incorrect Error Code")</f>
        <v>Pause over RCS __0</v>
      </c>
      <c r="M234" t="s">
        <v>871</v>
      </c>
      <c r="N234" t="s">
        <v>257</v>
      </c>
      <c r="O234" s="168">
        <v>0.75</v>
      </c>
      <c r="P234" s="168">
        <v>0.75</v>
      </c>
      <c r="Q234" s="168">
        <v>0.78472222222222221</v>
      </c>
      <c r="R234" s="356">
        <f>(WTG_BD[[#This Row],[Work Start TimeStamp]]-WTG_BD[[#This Row],[Fault Start TimeStamp]])*24</f>
        <v>0</v>
      </c>
      <c r="S234" s="34">
        <f>(WTG_BD[[#This Row],[Fault Clearance time]]-WTG_BD[[#This Row],[Work Start TimeStamp]])*24</f>
        <v>0.83333333333333304</v>
      </c>
      <c r="T234" s="34">
        <f>(WTG_BD[[#This Row],[Fault Clearance time]]-WTG_BD[[#This Row],[Fault Start TimeStamp]])*24</f>
        <v>0.83333333333333304</v>
      </c>
      <c r="U234" t="s">
        <v>4494</v>
      </c>
      <c r="V234" s="234" t="s">
        <v>255</v>
      </c>
      <c r="W234" s="50">
        <f>IFERROR(IF(N234="ROW",0,(WTG_BD[[#This Row],[Breakdown Time]]*WTG_BD[[#This Row],[Plant Equivalent Weightage]])),"")</f>
        <v>3.6231884057971009E-2</v>
      </c>
      <c r="X234" s="50"/>
      <c r="Y234" s="205">
        <v>1</v>
      </c>
      <c r="Z234" s="205"/>
      <c r="AA234" s="4">
        <v>-2E-3</v>
      </c>
      <c r="AC234" s="4"/>
    </row>
    <row r="235" spans="1:29">
      <c r="A235" s="10">
        <f t="shared" si="5"/>
        <v>234</v>
      </c>
      <c r="B235" s="43">
        <f>YEAR(WTG_BD[[#This Row],[Date]])+IF(MONTH(WTG_BD[[#This Row],[Date]])&gt;=4,1,0)</f>
        <v>2026</v>
      </c>
      <c r="C235" s="10">
        <v>2025</v>
      </c>
      <c r="D235" s="10" t="s">
        <v>4478</v>
      </c>
      <c r="E235" s="309">
        <f>WTG_BD[[#This Row],[Date]]-DAY(WTG_BD[[#This Row],[Date]])+1</f>
        <v>45748</v>
      </c>
      <c r="F235" s="32">
        <v>45769</v>
      </c>
      <c r="G235" t="s">
        <v>85</v>
      </c>
      <c r="H235" t="str">
        <f>IFERROR(VLOOKUP(WTG_BD[[#This Row],[Affected WTG]],'Basic Data'!$A$3:$E$25,2,0),"")</f>
        <v>O2R1</v>
      </c>
      <c r="I235" t="str">
        <f>IFERROR(VLOOKUP(WTG_BD[[#This Row],[Affected WTG]],'Basic Data'!$A$3:$E$25,3,0),"")</f>
        <v>KSIPL</v>
      </c>
      <c r="J235" s="355">
        <f>IFERROR(VLOOKUP(WTG_BD[[#This Row],[Affected WTG]],'Basic Data'!$A$3:$E$25,5,0),"")</f>
        <v>4.3478260869565223E-2</v>
      </c>
      <c r="K235" s="10">
        <v>3806</v>
      </c>
      <c r="L235" t="str">
        <f>IFERROR(VLOOKUP(WTG_BD[[#This Row],[Error Code]],'Basic Data'!S:T,2,0),"Incorrect Error Code")</f>
        <v>HubSafetySystem Batt.Charg.Err</v>
      </c>
      <c r="M235" t="s">
        <v>381</v>
      </c>
      <c r="N235" t="s">
        <v>113</v>
      </c>
      <c r="O235" s="168">
        <v>0.65972222222222221</v>
      </c>
      <c r="P235" s="168">
        <v>0.65972222222222221</v>
      </c>
      <c r="Q235" s="168">
        <v>0.67638888888888893</v>
      </c>
      <c r="R235" s="356">
        <f>(WTG_BD[[#This Row],[Work Start TimeStamp]]-WTG_BD[[#This Row],[Fault Start TimeStamp]])*24</f>
        <v>0</v>
      </c>
      <c r="S235" s="34">
        <f>(WTG_BD[[#This Row],[Fault Clearance time]]-WTG_BD[[#This Row],[Work Start TimeStamp]])*24</f>
        <v>0.40000000000000124</v>
      </c>
      <c r="T235" s="34">
        <f>(WTG_BD[[#This Row],[Fault Clearance time]]-WTG_BD[[#This Row],[Fault Start TimeStamp]])*24</f>
        <v>0.40000000000000124</v>
      </c>
      <c r="U235" t="s">
        <v>4322</v>
      </c>
      <c r="V235" s="234" t="s">
        <v>255</v>
      </c>
      <c r="W235" s="50">
        <f>IFERROR(IF(N235="ROW",0,(WTG_BD[[#This Row],[Breakdown Time]]*WTG_BD[[#This Row],[Plant Equivalent Weightage]])),"")</f>
        <v>1.7391304347826143E-2</v>
      </c>
      <c r="X235" s="50"/>
      <c r="Y235" s="205">
        <v>1</v>
      </c>
      <c r="Z235" s="205"/>
      <c r="AA235" s="4">
        <v>0.112</v>
      </c>
      <c r="AC235" s="4"/>
    </row>
    <row r="236" spans="1:29">
      <c r="A236" s="10">
        <f t="shared" si="5"/>
        <v>235</v>
      </c>
      <c r="B236" s="43">
        <f>YEAR(WTG_BD[[#This Row],[Date]])+IF(MONTH(WTG_BD[[#This Row],[Date]])&gt;=4,1,0)</f>
        <v>2026</v>
      </c>
      <c r="C236" s="10">
        <v>2025</v>
      </c>
      <c r="D236" s="10" t="s">
        <v>4478</v>
      </c>
      <c r="E236" s="309">
        <f>WTG_BD[[#This Row],[Date]]-DAY(WTG_BD[[#This Row],[Date]])+1</f>
        <v>45748</v>
      </c>
      <c r="F236" s="32">
        <v>45769</v>
      </c>
      <c r="G236" t="s">
        <v>85</v>
      </c>
      <c r="H236" t="str">
        <f>IFERROR(VLOOKUP(WTG_BD[[#This Row],[Affected WTG]],'Basic Data'!$A$3:$E$25,2,0),"")</f>
        <v>O2R1</v>
      </c>
      <c r="I236" t="str">
        <f>IFERROR(VLOOKUP(WTG_BD[[#This Row],[Affected WTG]],'Basic Data'!$A$3:$E$25,3,0),"")</f>
        <v>KSIPL</v>
      </c>
      <c r="J236" s="355">
        <f>IFERROR(VLOOKUP(WTG_BD[[#This Row],[Affected WTG]],'Basic Data'!$A$3:$E$25,5,0),"")</f>
        <v>4.3478260869565223E-2</v>
      </c>
      <c r="K236" s="10">
        <v>3806</v>
      </c>
      <c r="L236" t="str">
        <f>IFERROR(VLOOKUP(WTG_BD[[#This Row],[Error Code]],'Basic Data'!S:T,2,0),"Incorrect Error Code")</f>
        <v>HubSafetySystem Batt.Charg.Err</v>
      </c>
      <c r="M236" t="s">
        <v>381</v>
      </c>
      <c r="N236" t="s">
        <v>113</v>
      </c>
      <c r="O236" s="168">
        <v>0.75</v>
      </c>
      <c r="P236" s="168">
        <v>0.75</v>
      </c>
      <c r="Q236" s="168">
        <v>0.75763888888888886</v>
      </c>
      <c r="R236" s="356">
        <f>(WTG_BD[[#This Row],[Work Start TimeStamp]]-WTG_BD[[#This Row],[Fault Start TimeStamp]])*24</f>
        <v>0</v>
      </c>
      <c r="S236" s="34">
        <f>(WTG_BD[[#This Row],[Fault Clearance time]]-WTG_BD[[#This Row],[Work Start TimeStamp]])*24</f>
        <v>0.18333333333333268</v>
      </c>
      <c r="T236" s="34">
        <f>(WTG_BD[[#This Row],[Fault Clearance time]]-WTG_BD[[#This Row],[Fault Start TimeStamp]])*24</f>
        <v>0.18333333333333268</v>
      </c>
      <c r="U236" t="s">
        <v>4322</v>
      </c>
      <c r="V236" s="234" t="s">
        <v>255</v>
      </c>
      <c r="W236" s="50">
        <f>IFERROR(IF(N236="ROW",0,(WTG_BD[[#This Row],[Breakdown Time]]*WTG_BD[[#This Row],[Plant Equivalent Weightage]])),"")</f>
        <v>7.9710144927535951E-3</v>
      </c>
      <c r="X236" s="50"/>
      <c r="Y236" s="205">
        <v>1</v>
      </c>
      <c r="Z236" s="205"/>
      <c r="AA236" s="4">
        <v>3.5000000000000003E-2</v>
      </c>
      <c r="AC236" s="4"/>
    </row>
    <row r="237" spans="1:29">
      <c r="A237" s="10">
        <f t="shared" si="5"/>
        <v>236</v>
      </c>
      <c r="B237" s="43">
        <f>YEAR(WTG_BD[[#This Row],[Date]])+IF(MONTH(WTG_BD[[#This Row],[Date]])&gt;=4,1,0)</f>
        <v>2026</v>
      </c>
      <c r="C237" s="10">
        <v>2025</v>
      </c>
      <c r="D237" s="10" t="s">
        <v>4478</v>
      </c>
      <c r="E237" s="309">
        <f>WTG_BD[[#This Row],[Date]]-DAY(WTG_BD[[#This Row],[Date]])+1</f>
        <v>45748</v>
      </c>
      <c r="F237" s="32">
        <v>45769</v>
      </c>
      <c r="G237" t="s">
        <v>86</v>
      </c>
      <c r="H237" t="str">
        <f>IFERROR(VLOOKUP(WTG_BD[[#This Row],[Affected WTG]],'Basic Data'!$A$3:$E$25,2,0),"")</f>
        <v>O2R1</v>
      </c>
      <c r="I237" t="str">
        <f>IFERROR(VLOOKUP(WTG_BD[[#This Row],[Affected WTG]],'Basic Data'!$A$3:$E$25,3,0),"")</f>
        <v>KSIPL</v>
      </c>
      <c r="J237" s="355">
        <f>IFERROR(VLOOKUP(WTG_BD[[#This Row],[Affected WTG]],'Basic Data'!$A$3:$E$25,5,0),"")</f>
        <v>4.3478260869565223E-2</v>
      </c>
      <c r="K237" s="10">
        <v>704</v>
      </c>
      <c r="L237" t="str">
        <f>IFERROR(VLOOKUP(WTG_BD[[#This Row],[Error Code]],'Basic Data'!S:T,2,0),"Incorrect Error Code")</f>
        <v>Ch High res. load C_ Load:___%</v>
      </c>
      <c r="M237" t="s">
        <v>372</v>
      </c>
      <c r="N237" t="s">
        <v>113</v>
      </c>
      <c r="O237" s="168">
        <v>9.7222222222222224E-3</v>
      </c>
      <c r="P237" s="168">
        <v>9.7222222222222224E-3</v>
      </c>
      <c r="Q237" s="168">
        <v>4.583333333333333E-2</v>
      </c>
      <c r="R237" s="356">
        <f>(WTG_BD[[#This Row],[Work Start TimeStamp]]-WTG_BD[[#This Row],[Fault Start TimeStamp]])*24</f>
        <v>0</v>
      </c>
      <c r="S237" s="34">
        <f>(WTG_BD[[#This Row],[Fault Clearance time]]-WTG_BD[[#This Row],[Work Start TimeStamp]])*24</f>
        <v>0.86666666666666659</v>
      </c>
      <c r="T237" s="34">
        <f>(WTG_BD[[#This Row],[Fault Clearance time]]-WTG_BD[[#This Row],[Fault Start TimeStamp]])*24</f>
        <v>0.86666666666666659</v>
      </c>
      <c r="U237" t="s">
        <v>4268</v>
      </c>
      <c r="V237" s="234" t="s">
        <v>255</v>
      </c>
      <c r="W237" s="50">
        <f>IFERROR(IF(N237="ROW",0,(WTG_BD[[#This Row],[Breakdown Time]]*WTG_BD[[#This Row],[Plant Equivalent Weightage]])),"")</f>
        <v>3.7681159420289857E-2</v>
      </c>
      <c r="X237" s="50"/>
      <c r="Y237" s="205">
        <v>1</v>
      </c>
      <c r="Z237" s="205"/>
      <c r="AA237" s="4">
        <v>0.32100000000000001</v>
      </c>
      <c r="AC237" s="4"/>
    </row>
    <row r="238" spans="1:29">
      <c r="A238" s="10">
        <f t="shared" si="5"/>
        <v>237</v>
      </c>
      <c r="B238" s="43">
        <f>YEAR(WTG_BD[[#This Row],[Date]])+IF(MONTH(WTG_BD[[#This Row],[Date]])&gt;=4,1,0)</f>
        <v>2026</v>
      </c>
      <c r="C238" s="10">
        <v>2025</v>
      </c>
      <c r="D238" s="10" t="s">
        <v>4478</v>
      </c>
      <c r="E238" s="309">
        <f>WTG_BD[[#This Row],[Date]]-DAY(WTG_BD[[#This Row],[Date]])+1</f>
        <v>45748</v>
      </c>
      <c r="F238" s="32">
        <v>45769</v>
      </c>
      <c r="G238" t="s">
        <v>87</v>
      </c>
      <c r="H238" t="str">
        <f>IFERROR(VLOOKUP(WTG_BD[[#This Row],[Affected WTG]],'Basic Data'!$A$3:$E$25,2,0),"")</f>
        <v>O2R1</v>
      </c>
      <c r="I238" t="str">
        <f>IFERROR(VLOOKUP(WTG_BD[[#This Row],[Affected WTG]],'Basic Data'!$A$3:$E$25,3,0),"")</f>
        <v>KSIPL</v>
      </c>
      <c r="J238" s="355">
        <f>IFERROR(VLOOKUP(WTG_BD[[#This Row],[Affected WTG]],'Basic Data'!$A$3:$E$25,5,0),"")</f>
        <v>4.3478260869565223E-2</v>
      </c>
      <c r="K238" s="10">
        <v>704</v>
      </c>
      <c r="L238" t="str">
        <f>IFERROR(VLOOKUP(WTG_BD[[#This Row],[Error Code]],'Basic Data'!S:T,2,0),"Incorrect Error Code")</f>
        <v>Ch High res. load C_ Load:___%</v>
      </c>
      <c r="M238" t="s">
        <v>372</v>
      </c>
      <c r="N238" t="s">
        <v>113</v>
      </c>
      <c r="O238" s="168">
        <v>6.9444444444444441E-3</v>
      </c>
      <c r="P238" s="168">
        <v>6.9444444444444441E-3</v>
      </c>
      <c r="Q238" s="168">
        <v>4.5138888888888888E-2</v>
      </c>
      <c r="R238" s="356">
        <f>(WTG_BD[[#This Row],[Work Start TimeStamp]]-WTG_BD[[#This Row],[Fault Start TimeStamp]])*24</f>
        <v>0</v>
      </c>
      <c r="S238" s="34">
        <f>(WTG_BD[[#This Row],[Fault Clearance time]]-WTG_BD[[#This Row],[Work Start TimeStamp]])*24</f>
        <v>0.91666666666666674</v>
      </c>
      <c r="T238" s="34">
        <f>(WTG_BD[[#This Row],[Fault Clearance time]]-WTG_BD[[#This Row],[Fault Start TimeStamp]])*24</f>
        <v>0.91666666666666674</v>
      </c>
      <c r="U238" t="s">
        <v>4268</v>
      </c>
      <c r="V238" s="234" t="s">
        <v>255</v>
      </c>
      <c r="W238" s="50">
        <f>IFERROR(IF(N238="ROW",0,(WTG_BD[[#This Row],[Breakdown Time]]*WTG_BD[[#This Row],[Plant Equivalent Weightage]])),"")</f>
        <v>3.9855072463768126E-2</v>
      </c>
      <c r="X238" s="50"/>
      <c r="Y238" s="205">
        <v>1</v>
      </c>
      <c r="Z238" s="205"/>
      <c r="AA238" s="4">
        <v>0.28999999999999998</v>
      </c>
      <c r="AC238" s="4"/>
    </row>
    <row r="239" spans="1:29">
      <c r="A239" s="10">
        <f t="shared" si="5"/>
        <v>238</v>
      </c>
      <c r="B239" s="43">
        <f>YEAR(WTG_BD[[#This Row],[Date]])+IF(MONTH(WTG_BD[[#This Row],[Date]])&gt;=4,1,0)</f>
        <v>2026</v>
      </c>
      <c r="C239" s="10">
        <v>2025</v>
      </c>
      <c r="D239" s="10" t="s">
        <v>4478</v>
      </c>
      <c r="E239" s="309">
        <f>WTG_BD[[#This Row],[Date]]-DAY(WTG_BD[[#This Row],[Date]])+1</f>
        <v>45748</v>
      </c>
      <c r="F239" s="32">
        <v>45769</v>
      </c>
      <c r="G239" t="s">
        <v>88</v>
      </c>
      <c r="H239" t="str">
        <f>IFERROR(VLOOKUP(WTG_BD[[#This Row],[Affected WTG]],'Basic Data'!$A$3:$E$25,2,0),"")</f>
        <v>O2R1</v>
      </c>
      <c r="I239" t="str">
        <f>IFERROR(VLOOKUP(WTG_BD[[#This Row],[Affected WTG]],'Basic Data'!$A$3:$E$25,3,0),"")</f>
        <v>KSIPL</v>
      </c>
      <c r="J239" s="355">
        <f>IFERROR(VLOOKUP(WTG_BD[[#This Row],[Affected WTG]],'Basic Data'!$A$3:$E$25,5,0),"")</f>
        <v>4.3478260869565223E-2</v>
      </c>
      <c r="K239" s="10">
        <v>315</v>
      </c>
      <c r="L239" t="str">
        <f>IFERROR(VLOOKUP(WTG_BD[[#This Row],[Error Code]],'Basic Data'!S:T,2,0),"Incorrect Error Code")</f>
        <v>ExEx low voltage L_: ___V</v>
      </c>
      <c r="M239" t="s">
        <v>141</v>
      </c>
      <c r="N239" t="s">
        <v>113</v>
      </c>
      <c r="O239" s="168">
        <v>0.46527777777777779</v>
      </c>
      <c r="P239" s="168">
        <v>0.46527777777777779</v>
      </c>
      <c r="Q239" s="168">
        <v>0.50208333333333333</v>
      </c>
      <c r="R239" s="356">
        <f>(WTG_BD[[#This Row],[Work Start TimeStamp]]-WTG_BD[[#This Row],[Fault Start TimeStamp]])*24</f>
        <v>0</v>
      </c>
      <c r="S239" s="34">
        <f>(WTG_BD[[#This Row],[Fault Clearance time]]-WTG_BD[[#This Row],[Work Start TimeStamp]])*24</f>
        <v>0.88333333333333286</v>
      </c>
      <c r="T239" s="34">
        <f>(WTG_BD[[#This Row],[Fault Clearance time]]-WTG_BD[[#This Row],[Fault Start TimeStamp]])*24</f>
        <v>0.88333333333333286</v>
      </c>
      <c r="U239" t="s">
        <v>4328</v>
      </c>
      <c r="V239" s="234" t="s">
        <v>255</v>
      </c>
      <c r="W239" s="50">
        <f>IFERROR(IF(N239="ROW",0,(WTG_BD[[#This Row],[Breakdown Time]]*WTG_BD[[#This Row],[Plant Equivalent Weightage]])),"")</f>
        <v>3.8405797101449257E-2</v>
      </c>
      <c r="X239" s="50"/>
      <c r="Y239" s="205">
        <v>1</v>
      </c>
      <c r="Z239" s="205"/>
      <c r="AA239" s="4">
        <v>0.13100000000000001</v>
      </c>
      <c r="AC239" s="4"/>
    </row>
    <row r="240" spans="1:29">
      <c r="A240" s="10">
        <f t="shared" si="5"/>
        <v>239</v>
      </c>
      <c r="B240" s="43">
        <f>YEAR(WTG_BD[[#This Row],[Date]])+IF(MONTH(WTG_BD[[#This Row],[Date]])&gt;=4,1,0)</f>
        <v>2026</v>
      </c>
      <c r="C240" s="10">
        <v>2025</v>
      </c>
      <c r="D240" s="10" t="s">
        <v>4478</v>
      </c>
      <c r="E240" s="309">
        <f>WTG_BD[[#This Row],[Date]]-DAY(WTG_BD[[#This Row],[Date]])+1</f>
        <v>45748</v>
      </c>
      <c r="F240" s="32">
        <v>45769</v>
      </c>
      <c r="G240" t="s">
        <v>95</v>
      </c>
      <c r="H240" t="str">
        <f>IFERROR(VLOOKUP(WTG_BD[[#This Row],[Affected WTG]],'Basic Data'!$A$3:$E$25,2,0),"")</f>
        <v>O2R1</v>
      </c>
      <c r="I240" t="str">
        <f>IFERROR(VLOOKUP(WTG_BD[[#This Row],[Affected WTG]],'Basic Data'!$A$3:$E$25,3,0),"")</f>
        <v>KSIPL</v>
      </c>
      <c r="J240" s="355">
        <f>IFERROR(VLOOKUP(WTG_BD[[#This Row],[Affected WTG]],'Basic Data'!$A$3:$E$25,5,0),"")</f>
        <v>4.3478260869565223E-2</v>
      </c>
      <c r="K240" s="10">
        <v>3806</v>
      </c>
      <c r="L240" t="str">
        <f>IFERROR(VLOOKUP(WTG_BD[[#This Row],[Error Code]],'Basic Data'!S:T,2,0),"Incorrect Error Code")</f>
        <v>HubSafetySystem Batt.Charg.Err</v>
      </c>
      <c r="M240" t="s">
        <v>381</v>
      </c>
      <c r="N240" t="s">
        <v>113</v>
      </c>
      <c r="O240" s="168">
        <v>0.46527777777777779</v>
      </c>
      <c r="P240" s="168">
        <v>0.46527777777777779</v>
      </c>
      <c r="Q240" s="168">
        <v>0.47222222222222221</v>
      </c>
      <c r="R240" s="356">
        <f>(WTG_BD[[#This Row],[Work Start TimeStamp]]-WTG_BD[[#This Row],[Fault Start TimeStamp]])*24</f>
        <v>0</v>
      </c>
      <c r="S240" s="34">
        <f>(WTG_BD[[#This Row],[Fault Clearance time]]-WTG_BD[[#This Row],[Work Start TimeStamp]])*24</f>
        <v>0.16666666666666607</v>
      </c>
      <c r="T240" s="34">
        <f>(WTG_BD[[#This Row],[Fault Clearance time]]-WTG_BD[[#This Row],[Fault Start TimeStamp]])*24</f>
        <v>0.16666666666666607</v>
      </c>
      <c r="U240" t="s">
        <v>4322</v>
      </c>
      <c r="V240" s="234" t="s">
        <v>255</v>
      </c>
      <c r="W240" s="50">
        <f>IFERROR(IF(N240="ROW",0,(WTG_BD[[#This Row],[Breakdown Time]]*WTG_BD[[#This Row],[Plant Equivalent Weightage]])),"")</f>
        <v>7.2463768115941778E-3</v>
      </c>
      <c r="X240" s="50"/>
      <c r="Y240" s="205">
        <v>1</v>
      </c>
      <c r="Z240" s="205"/>
      <c r="AA240" s="4">
        <v>0.02</v>
      </c>
      <c r="AC240" s="4"/>
    </row>
    <row r="241" spans="1:29">
      <c r="A241" s="10">
        <f t="shared" si="5"/>
        <v>240</v>
      </c>
      <c r="B241" s="43">
        <f>YEAR(WTG_BD[[#This Row],[Date]])+IF(MONTH(WTG_BD[[#This Row],[Date]])&gt;=4,1,0)</f>
        <v>2026</v>
      </c>
      <c r="C241" s="10">
        <v>2025</v>
      </c>
      <c r="D241" s="10" t="s">
        <v>4478</v>
      </c>
      <c r="E241" s="309">
        <f>WTG_BD[[#This Row],[Date]]-DAY(WTG_BD[[#This Row],[Date]])+1</f>
        <v>45748</v>
      </c>
      <c r="F241" s="32">
        <v>45769</v>
      </c>
      <c r="G241" t="s">
        <v>95</v>
      </c>
      <c r="H241" t="str">
        <f>IFERROR(VLOOKUP(WTG_BD[[#This Row],[Affected WTG]],'Basic Data'!$A$3:$E$25,2,0),"")</f>
        <v>O2R1</v>
      </c>
      <c r="I241" t="str">
        <f>IFERROR(VLOOKUP(WTG_BD[[#This Row],[Affected WTG]],'Basic Data'!$A$3:$E$25,3,0),"")</f>
        <v>KSIPL</v>
      </c>
      <c r="J241" s="355">
        <f>IFERROR(VLOOKUP(WTG_BD[[#This Row],[Affected WTG]],'Basic Data'!$A$3:$E$25,5,0),"")</f>
        <v>4.3478260869565223E-2</v>
      </c>
      <c r="K241" s="10">
        <v>3806</v>
      </c>
      <c r="L241" t="str">
        <f>IFERROR(VLOOKUP(WTG_BD[[#This Row],[Error Code]],'Basic Data'!S:T,2,0),"Incorrect Error Code")</f>
        <v>HubSafetySystem Batt.Charg.Err</v>
      </c>
      <c r="M241" t="s">
        <v>381</v>
      </c>
      <c r="N241" t="s">
        <v>113</v>
      </c>
      <c r="O241" s="168">
        <v>0.66666666666666663</v>
      </c>
      <c r="P241" s="168">
        <v>0.66666666666666663</v>
      </c>
      <c r="Q241" s="168">
        <v>0.68125000000000002</v>
      </c>
      <c r="R241" s="356">
        <f>(WTG_BD[[#This Row],[Work Start TimeStamp]]-WTG_BD[[#This Row],[Fault Start TimeStamp]])*24</f>
        <v>0</v>
      </c>
      <c r="S241" s="34">
        <f>(WTG_BD[[#This Row],[Fault Clearance time]]-WTG_BD[[#This Row],[Work Start TimeStamp]])*24</f>
        <v>0.35000000000000142</v>
      </c>
      <c r="T241" s="34">
        <f>(WTG_BD[[#This Row],[Fault Clearance time]]-WTG_BD[[#This Row],[Fault Start TimeStamp]])*24</f>
        <v>0.35000000000000142</v>
      </c>
      <c r="U241" t="s">
        <v>4322</v>
      </c>
      <c r="V241" s="234" t="s">
        <v>255</v>
      </c>
      <c r="W241" s="50">
        <f>IFERROR(IF(N241="ROW",0,(WTG_BD[[#This Row],[Breakdown Time]]*WTG_BD[[#This Row],[Plant Equivalent Weightage]])),"")</f>
        <v>1.5217391304347889E-2</v>
      </c>
      <c r="X241" s="50"/>
      <c r="Y241" s="205">
        <v>1</v>
      </c>
      <c r="Z241" s="205"/>
      <c r="AA241" s="4">
        <v>0.191</v>
      </c>
      <c r="AC241" s="4"/>
    </row>
    <row r="242" spans="1:29">
      <c r="A242" s="10">
        <f t="shared" si="5"/>
        <v>241</v>
      </c>
      <c r="B242" s="43">
        <f>YEAR(WTG_BD[[#This Row],[Date]])+IF(MONTH(WTG_BD[[#This Row],[Date]])&gt;=4,1,0)</f>
        <v>2026</v>
      </c>
      <c r="C242" s="10">
        <v>2025</v>
      </c>
      <c r="D242" s="10" t="s">
        <v>4478</v>
      </c>
      <c r="E242" s="309">
        <f>WTG_BD[[#This Row],[Date]]-DAY(WTG_BD[[#This Row],[Date]])+1</f>
        <v>45748</v>
      </c>
      <c r="F242" s="32">
        <v>45769</v>
      </c>
      <c r="G242" t="s">
        <v>77</v>
      </c>
      <c r="H242" t="str">
        <f>IFERROR(VLOOKUP(WTG_BD[[#This Row],[Affected WTG]],'Basic Data'!$A$3:$E$25,2,0),"")</f>
        <v>O2R3</v>
      </c>
      <c r="I242" t="str">
        <f>IFERROR(VLOOKUP(WTG_BD[[#This Row],[Affected WTG]],'Basic Data'!$A$3:$E$25,3,0),"")</f>
        <v>JK</v>
      </c>
      <c r="J242" s="355">
        <f>IFERROR(VLOOKUP(WTG_BD[[#This Row],[Affected WTG]],'Basic Data'!$A$3:$E$25,5,0),"")</f>
        <v>4.3478260869565223E-2</v>
      </c>
      <c r="K242" s="10">
        <v>315</v>
      </c>
      <c r="L242" t="str">
        <f>IFERROR(VLOOKUP(WTG_BD[[#This Row],[Error Code]],'Basic Data'!S:T,2,0),"Incorrect Error Code")</f>
        <v>ExEx low voltage L_: ___V</v>
      </c>
      <c r="M242" t="s">
        <v>141</v>
      </c>
      <c r="N242" t="s">
        <v>113</v>
      </c>
      <c r="O242" s="168">
        <v>0.79166666666666663</v>
      </c>
      <c r="P242" s="168">
        <v>0.79166666666666663</v>
      </c>
      <c r="Q242" s="168">
        <v>0.99930555555555556</v>
      </c>
      <c r="R242" s="356">
        <f>(WTG_BD[[#This Row],[Work Start TimeStamp]]-WTG_BD[[#This Row],[Fault Start TimeStamp]])*24</f>
        <v>0</v>
      </c>
      <c r="S242" s="34">
        <f>(WTG_BD[[#This Row],[Fault Clearance time]]-WTG_BD[[#This Row],[Work Start TimeStamp]])*24</f>
        <v>4.9833333333333343</v>
      </c>
      <c r="T242" s="34">
        <f>(WTG_BD[[#This Row],[Fault Clearance time]]-WTG_BD[[#This Row],[Fault Start TimeStamp]])*24</f>
        <v>4.9833333333333343</v>
      </c>
      <c r="U242" t="s">
        <v>4532</v>
      </c>
      <c r="V242" s="234" t="s">
        <v>255</v>
      </c>
      <c r="W242" s="50">
        <f>IFERROR(IF(N242="ROW",0,(WTG_BD[[#This Row],[Breakdown Time]]*WTG_BD[[#This Row],[Plant Equivalent Weightage]])),"")</f>
        <v>0.21666666666666673</v>
      </c>
      <c r="X242" s="50"/>
      <c r="Y242" s="205">
        <v>1</v>
      </c>
      <c r="Z242" s="205"/>
      <c r="AA242" s="4">
        <v>0</v>
      </c>
      <c r="AC242" s="4"/>
    </row>
    <row r="243" spans="1:29">
      <c r="A243" s="10">
        <f t="shared" si="5"/>
        <v>242</v>
      </c>
      <c r="B243" s="43">
        <f>YEAR(WTG_BD[[#This Row],[Date]])+IF(MONTH(WTG_BD[[#This Row],[Date]])&gt;=4,1,0)</f>
        <v>2026</v>
      </c>
      <c r="C243" s="10">
        <v>2025</v>
      </c>
      <c r="D243" s="10" t="s">
        <v>4478</v>
      </c>
      <c r="E243" s="309">
        <f>WTG_BD[[#This Row],[Date]]-DAY(WTG_BD[[#This Row],[Date]])+1</f>
        <v>45748</v>
      </c>
      <c r="F243" s="32">
        <v>45769</v>
      </c>
      <c r="G243" t="s">
        <v>79</v>
      </c>
      <c r="H243" t="str">
        <f>IFERROR(VLOOKUP(WTG_BD[[#This Row],[Affected WTG]],'Basic Data'!$A$3:$E$25,2,0),"")</f>
        <v>O2R3</v>
      </c>
      <c r="I243" t="str">
        <f>IFERROR(VLOOKUP(WTG_BD[[#This Row],[Affected WTG]],'Basic Data'!$A$3:$E$25,3,0),"")</f>
        <v>JK</v>
      </c>
      <c r="J243" s="355">
        <f>IFERROR(VLOOKUP(WTG_BD[[#This Row],[Affected WTG]],'Basic Data'!$A$3:$E$25,5,0),"")</f>
        <v>4.3478260869565223E-2</v>
      </c>
      <c r="K243" s="10">
        <v>704</v>
      </c>
      <c r="L243" t="str">
        <f>IFERROR(VLOOKUP(WTG_BD[[#This Row],[Error Code]],'Basic Data'!S:T,2,0),"Incorrect Error Code")</f>
        <v>Ch High res. load C_ Load:___%</v>
      </c>
      <c r="M243" t="s">
        <v>372</v>
      </c>
      <c r="N243" t="s">
        <v>113</v>
      </c>
      <c r="O243" s="168">
        <v>4.5138888888888888E-2</v>
      </c>
      <c r="P243" s="168">
        <v>4.5138888888888888E-2</v>
      </c>
      <c r="Q243" s="168">
        <v>6.1111111111111109E-2</v>
      </c>
      <c r="R243" s="356">
        <f>(WTG_BD[[#This Row],[Work Start TimeStamp]]-WTG_BD[[#This Row],[Fault Start TimeStamp]])*24</f>
        <v>0</v>
      </c>
      <c r="S243" s="34">
        <f>(WTG_BD[[#This Row],[Fault Clearance time]]-WTG_BD[[#This Row],[Work Start TimeStamp]])*24</f>
        <v>0.3833333333333333</v>
      </c>
      <c r="T243" s="34">
        <f>(WTG_BD[[#This Row],[Fault Clearance time]]-WTG_BD[[#This Row],[Fault Start TimeStamp]])*24</f>
        <v>0.3833333333333333</v>
      </c>
      <c r="U243" t="s">
        <v>4268</v>
      </c>
      <c r="V243" s="234" t="s">
        <v>255</v>
      </c>
      <c r="W243" s="50">
        <f>IFERROR(IF(N243="ROW",0,(WTG_BD[[#This Row],[Breakdown Time]]*WTG_BD[[#This Row],[Plant Equivalent Weightage]])),"")</f>
        <v>1.6666666666666666E-2</v>
      </c>
      <c r="X243" s="50"/>
      <c r="Y243" s="205">
        <v>1</v>
      </c>
      <c r="Z243" s="205"/>
      <c r="AA243" s="4">
        <v>0.157</v>
      </c>
      <c r="AC243" s="4"/>
    </row>
    <row r="244" spans="1:29">
      <c r="A244" s="10">
        <f t="shared" si="5"/>
        <v>243</v>
      </c>
      <c r="B244" s="43">
        <f>YEAR(WTG_BD[[#This Row],[Date]])+IF(MONTH(WTG_BD[[#This Row],[Date]])&gt;=4,1,0)</f>
        <v>2026</v>
      </c>
      <c r="C244" s="10">
        <v>2025</v>
      </c>
      <c r="D244" s="10" t="s">
        <v>4478</v>
      </c>
      <c r="E244" s="309">
        <f>WTG_BD[[#This Row],[Date]]-DAY(WTG_BD[[#This Row],[Date]])+1</f>
        <v>45748</v>
      </c>
      <c r="F244" s="32">
        <v>45769</v>
      </c>
      <c r="G244" t="s">
        <v>79</v>
      </c>
      <c r="H244" t="str">
        <f>IFERROR(VLOOKUP(WTG_BD[[#This Row],[Affected WTG]],'Basic Data'!$A$3:$E$25,2,0),"")</f>
        <v>O2R3</v>
      </c>
      <c r="I244" t="str">
        <f>IFERROR(VLOOKUP(WTG_BD[[#This Row],[Affected WTG]],'Basic Data'!$A$3:$E$25,3,0),"")</f>
        <v>JK</v>
      </c>
      <c r="J244" s="355">
        <f>IFERROR(VLOOKUP(WTG_BD[[#This Row],[Affected WTG]],'Basic Data'!$A$3:$E$25,5,0),"")</f>
        <v>4.3478260869565223E-2</v>
      </c>
      <c r="K244" s="10">
        <v>704</v>
      </c>
      <c r="L244" t="str">
        <f>IFERROR(VLOOKUP(WTG_BD[[#This Row],[Error Code]],'Basic Data'!S:T,2,0),"Incorrect Error Code")</f>
        <v>Ch High res. load C_ Load:___%</v>
      </c>
      <c r="M244" t="s">
        <v>372</v>
      </c>
      <c r="N244" t="s">
        <v>113</v>
      </c>
      <c r="O244" s="168">
        <v>0.18402777777777779</v>
      </c>
      <c r="P244" s="168">
        <v>0.18402777777777779</v>
      </c>
      <c r="Q244" s="168">
        <v>0.22152777777777777</v>
      </c>
      <c r="R244" s="356">
        <f>(WTG_BD[[#This Row],[Work Start TimeStamp]]-WTG_BD[[#This Row],[Fault Start TimeStamp]])*24</f>
        <v>0</v>
      </c>
      <c r="S244" s="34">
        <f>(WTG_BD[[#This Row],[Fault Clearance time]]-WTG_BD[[#This Row],[Work Start TimeStamp]])*24</f>
        <v>0.89999999999999947</v>
      </c>
      <c r="T244" s="34">
        <f>(WTG_BD[[#This Row],[Fault Clearance time]]-WTG_BD[[#This Row],[Fault Start TimeStamp]])*24</f>
        <v>0.89999999999999947</v>
      </c>
      <c r="U244" t="s">
        <v>4268</v>
      </c>
      <c r="V244" s="234" t="s">
        <v>255</v>
      </c>
      <c r="W244" s="50">
        <f>IFERROR(IF(N244="ROW",0,(WTG_BD[[#This Row],[Breakdown Time]]*WTG_BD[[#This Row],[Plant Equivalent Weightage]])),"")</f>
        <v>3.9130434782608678E-2</v>
      </c>
      <c r="X244" s="50"/>
      <c r="Y244" s="205">
        <v>1</v>
      </c>
      <c r="Z244" s="205"/>
      <c r="AA244" s="4">
        <v>0.157</v>
      </c>
      <c r="AC244" s="4"/>
    </row>
    <row r="245" spans="1:29">
      <c r="A245" s="10">
        <f t="shared" si="5"/>
        <v>244</v>
      </c>
      <c r="B245" s="43">
        <f>YEAR(WTG_BD[[#This Row],[Date]])+IF(MONTH(WTG_BD[[#This Row],[Date]])&gt;=4,1,0)</f>
        <v>2026</v>
      </c>
      <c r="C245" s="10">
        <v>2025</v>
      </c>
      <c r="D245" s="10" t="s">
        <v>4478</v>
      </c>
      <c r="E245" s="309">
        <f>WTG_BD[[#This Row],[Date]]-DAY(WTG_BD[[#This Row],[Date]])+1</f>
        <v>45748</v>
      </c>
      <c r="F245" s="32">
        <v>45769</v>
      </c>
      <c r="G245" t="s">
        <v>79</v>
      </c>
      <c r="H245" t="str">
        <f>IFERROR(VLOOKUP(WTG_BD[[#This Row],[Affected WTG]],'Basic Data'!$A$3:$E$25,2,0),"")</f>
        <v>O2R3</v>
      </c>
      <c r="I245" t="str">
        <f>IFERROR(VLOOKUP(WTG_BD[[#This Row],[Affected WTG]],'Basic Data'!$A$3:$E$25,3,0),"")</f>
        <v>JK</v>
      </c>
      <c r="J245" s="355">
        <f>IFERROR(VLOOKUP(WTG_BD[[#This Row],[Affected WTG]],'Basic Data'!$A$3:$E$25,5,0),"")</f>
        <v>4.3478260869565223E-2</v>
      </c>
      <c r="K245" s="10">
        <v>704</v>
      </c>
      <c r="L245" t="str">
        <f>IFERROR(VLOOKUP(WTG_BD[[#This Row],[Error Code]],'Basic Data'!S:T,2,0),"Incorrect Error Code")</f>
        <v>Ch High res. load C_ Load:___%</v>
      </c>
      <c r="M245" t="s">
        <v>372</v>
      </c>
      <c r="N245" t="s">
        <v>113</v>
      </c>
      <c r="O245" s="168">
        <v>0.70416666666666672</v>
      </c>
      <c r="P245" s="168">
        <v>0.70416666666666672</v>
      </c>
      <c r="Q245" s="168">
        <v>0.72083333333333333</v>
      </c>
      <c r="R245" s="356">
        <f>(WTG_BD[[#This Row],[Work Start TimeStamp]]-WTG_BD[[#This Row],[Fault Start TimeStamp]])*24</f>
        <v>0</v>
      </c>
      <c r="S245" s="34">
        <f>(WTG_BD[[#This Row],[Fault Clearance time]]-WTG_BD[[#This Row],[Work Start TimeStamp]])*24</f>
        <v>0.39999999999999858</v>
      </c>
      <c r="T245" s="34">
        <f>(WTG_BD[[#This Row],[Fault Clearance time]]-WTG_BD[[#This Row],[Fault Start TimeStamp]])*24</f>
        <v>0.39999999999999858</v>
      </c>
      <c r="U245" t="s">
        <v>4268</v>
      </c>
      <c r="V245" s="234" t="s">
        <v>255</v>
      </c>
      <c r="W245" s="50">
        <f>IFERROR(IF(N245="ROW",0,(WTG_BD[[#This Row],[Breakdown Time]]*WTG_BD[[#This Row],[Plant Equivalent Weightage]])),"")</f>
        <v>1.7391304347826028E-2</v>
      </c>
      <c r="X245" s="50"/>
      <c r="Y245" s="205">
        <v>1</v>
      </c>
      <c r="Z245" s="205"/>
      <c r="AA245" s="4">
        <v>8.6999999999999994E-2</v>
      </c>
      <c r="AC245" s="4"/>
    </row>
    <row r="246" spans="1:29">
      <c r="A246" s="10">
        <f t="shared" si="5"/>
        <v>245</v>
      </c>
      <c r="B246" s="43">
        <f>YEAR(WTG_BD[[#This Row],[Date]])+IF(MONTH(WTG_BD[[#This Row],[Date]])&gt;=4,1,0)</f>
        <v>2026</v>
      </c>
      <c r="C246" s="10">
        <v>2025</v>
      </c>
      <c r="D246" s="10" t="s">
        <v>4478</v>
      </c>
      <c r="E246" s="309">
        <f>WTG_BD[[#This Row],[Date]]-DAY(WTG_BD[[#This Row],[Date]])+1</f>
        <v>45748</v>
      </c>
      <c r="F246" s="32">
        <v>45769</v>
      </c>
      <c r="G246" t="s">
        <v>95</v>
      </c>
      <c r="H246" t="str">
        <f>IFERROR(VLOOKUP(WTG_BD[[#This Row],[Affected WTG]],'Basic Data'!$A$3:$E$25,2,0),"")</f>
        <v>O2R1</v>
      </c>
      <c r="I246" t="str">
        <f>IFERROR(VLOOKUP(WTG_BD[[#This Row],[Affected WTG]],'Basic Data'!$A$3:$E$25,3,0),"")</f>
        <v>KSIPL</v>
      </c>
      <c r="J246" s="355">
        <f>IFERROR(VLOOKUP(WTG_BD[[#This Row],[Affected WTG]],'Basic Data'!$A$3:$E$25,5,0),"")</f>
        <v>4.3478260869565223E-2</v>
      </c>
      <c r="K246" s="10">
        <v>704</v>
      </c>
      <c r="L246" t="str">
        <f>IFERROR(VLOOKUP(WTG_BD[[#This Row],[Error Code]],'Basic Data'!S:T,2,0),"Incorrect Error Code")</f>
        <v>Ch High res. load C_ Load:___%</v>
      </c>
      <c r="M246" t="s">
        <v>372</v>
      </c>
      <c r="N246" t="s">
        <v>113</v>
      </c>
      <c r="O246" s="168">
        <v>0.99722222222222223</v>
      </c>
      <c r="P246" s="168">
        <v>0.99722222222222223</v>
      </c>
      <c r="Q246" s="168">
        <v>0.99930555555555556</v>
      </c>
      <c r="R246" s="356">
        <f>(WTG_BD[[#This Row],[Work Start TimeStamp]]-WTG_BD[[#This Row],[Fault Start TimeStamp]])*24</f>
        <v>0</v>
      </c>
      <c r="S246" s="34">
        <f>(WTG_BD[[#This Row],[Fault Clearance time]]-WTG_BD[[#This Row],[Work Start TimeStamp]])*24</f>
        <v>4.9999999999999822E-2</v>
      </c>
      <c r="T246" s="34">
        <f>(WTG_BD[[#This Row],[Fault Clearance time]]-WTG_BD[[#This Row],[Fault Start TimeStamp]])*24</f>
        <v>4.9999999999999822E-2</v>
      </c>
      <c r="U246" t="s">
        <v>4268</v>
      </c>
      <c r="V246" s="234" t="s">
        <v>255</v>
      </c>
      <c r="W246" s="50">
        <f>IFERROR(IF(N246="ROW",0,(WTG_BD[[#This Row],[Breakdown Time]]*WTG_BD[[#This Row],[Plant Equivalent Weightage]])),"")</f>
        <v>2.1739130434782535E-3</v>
      </c>
      <c r="X246" s="50"/>
      <c r="Y246" s="205">
        <v>1</v>
      </c>
      <c r="Z246" s="205"/>
      <c r="AA246" s="4">
        <v>2.3E-2</v>
      </c>
      <c r="AC246" s="4"/>
    </row>
    <row r="247" spans="1:29">
      <c r="A247" s="10">
        <f t="shared" si="5"/>
        <v>246</v>
      </c>
      <c r="B247" s="43">
        <f>YEAR(WTG_BD[[#This Row],[Date]])+IF(MONTH(WTG_BD[[#This Row],[Date]])&gt;=4,1,0)</f>
        <v>2026</v>
      </c>
      <c r="C247" s="10">
        <v>2025</v>
      </c>
      <c r="D247" s="10" t="s">
        <v>4478</v>
      </c>
      <c r="E247" s="309">
        <f>WTG_BD[[#This Row],[Date]]-DAY(WTG_BD[[#This Row],[Date]])+1</f>
        <v>45748</v>
      </c>
      <c r="F247" s="32">
        <v>45769</v>
      </c>
      <c r="G247" t="s">
        <v>92</v>
      </c>
      <c r="H247" t="str">
        <f>IFERROR(VLOOKUP(WTG_BD[[#This Row],[Affected WTG]],'Basic Data'!$A$3:$E$25,2,0),"")</f>
        <v>O2R2</v>
      </c>
      <c r="I247" t="str">
        <f>IFERROR(VLOOKUP(WTG_BD[[#This Row],[Affected WTG]],'Basic Data'!$A$3:$E$25,3,0),"")</f>
        <v>SIL</v>
      </c>
      <c r="J247" s="355">
        <f>IFERROR(VLOOKUP(WTG_BD[[#This Row],[Affected WTG]],'Basic Data'!$A$3:$E$25,5,0),"")</f>
        <v>4.3478260869565223E-2</v>
      </c>
      <c r="K247" s="10">
        <v>704</v>
      </c>
      <c r="L247" t="str">
        <f>IFERROR(VLOOKUP(WTG_BD[[#This Row],[Error Code]],'Basic Data'!S:T,2,0),"Incorrect Error Code")</f>
        <v>Ch High res. load C_ Load:___%</v>
      </c>
      <c r="M247" t="s">
        <v>372</v>
      </c>
      <c r="N247" t="s">
        <v>113</v>
      </c>
      <c r="O247" s="168">
        <v>7.6388888888888886E-3</v>
      </c>
      <c r="P247" s="168">
        <v>7.6388888888888886E-3</v>
      </c>
      <c r="Q247" s="168">
        <v>4.5138888888888888E-2</v>
      </c>
      <c r="R247" s="356">
        <f>(WTG_BD[[#This Row],[Work Start TimeStamp]]-WTG_BD[[#This Row],[Fault Start TimeStamp]])*24</f>
        <v>0</v>
      </c>
      <c r="S247" s="34">
        <f>(WTG_BD[[#This Row],[Fault Clearance time]]-WTG_BD[[#This Row],[Work Start TimeStamp]])*24</f>
        <v>0.89999999999999991</v>
      </c>
      <c r="T247" s="34">
        <f>(WTG_BD[[#This Row],[Fault Clearance time]]-WTG_BD[[#This Row],[Fault Start TimeStamp]])*24</f>
        <v>0.89999999999999991</v>
      </c>
      <c r="U247" t="s">
        <v>4268</v>
      </c>
      <c r="V247" s="234" t="s">
        <v>255</v>
      </c>
      <c r="W247" s="50">
        <f>IFERROR(IF(N247="ROW",0,(WTG_BD[[#This Row],[Breakdown Time]]*WTG_BD[[#This Row],[Plant Equivalent Weightage]])),"")</f>
        <v>3.9130434782608699E-2</v>
      </c>
      <c r="X247" s="50"/>
      <c r="Y247" s="205">
        <v>1</v>
      </c>
      <c r="Z247" s="205"/>
      <c r="AA247" s="4">
        <v>0.17899999999999999</v>
      </c>
      <c r="AC247" s="4"/>
    </row>
    <row r="248" spans="1:29">
      <c r="A248" s="10">
        <f t="shared" si="5"/>
        <v>247</v>
      </c>
      <c r="B248" s="43">
        <f>YEAR(WTG_BD[[#This Row],[Date]])+IF(MONTH(WTG_BD[[#This Row],[Date]])&gt;=4,1,0)</f>
        <v>2026</v>
      </c>
      <c r="C248" s="10">
        <v>2025</v>
      </c>
      <c r="D248" s="10" t="s">
        <v>4478</v>
      </c>
      <c r="E248" s="309">
        <f>WTG_BD[[#This Row],[Date]]-DAY(WTG_BD[[#This Row],[Date]])+1</f>
        <v>45748</v>
      </c>
      <c r="F248" s="32">
        <v>45769</v>
      </c>
      <c r="G248" t="s">
        <v>92</v>
      </c>
      <c r="H248" t="str">
        <f>IFERROR(VLOOKUP(WTG_BD[[#This Row],[Affected WTG]],'Basic Data'!$A$3:$E$25,2,0),"")</f>
        <v>O2R2</v>
      </c>
      <c r="I248" t="str">
        <f>IFERROR(VLOOKUP(WTG_BD[[#This Row],[Affected WTG]],'Basic Data'!$A$3:$E$25,3,0),"")</f>
        <v>SIL</v>
      </c>
      <c r="J248" s="355">
        <f>IFERROR(VLOOKUP(WTG_BD[[#This Row],[Affected WTG]],'Basic Data'!$A$3:$E$25,5,0),"")</f>
        <v>4.3478260869565223E-2</v>
      </c>
      <c r="K248" s="10">
        <v>3806</v>
      </c>
      <c r="L248" t="str">
        <f>IFERROR(VLOOKUP(WTG_BD[[#This Row],[Error Code]],'Basic Data'!S:T,2,0),"Incorrect Error Code")</f>
        <v>HubSafetySystem Batt.Charg.Err</v>
      </c>
      <c r="M248" t="s">
        <v>381</v>
      </c>
      <c r="N248" t="s">
        <v>113</v>
      </c>
      <c r="O248" s="168">
        <v>0.67222222222222228</v>
      </c>
      <c r="P248" s="168">
        <v>0.67222222222222228</v>
      </c>
      <c r="Q248" s="168">
        <v>0.67361111111111116</v>
      </c>
      <c r="R248" s="356">
        <f>(WTG_BD[[#This Row],[Work Start TimeStamp]]-WTG_BD[[#This Row],[Fault Start TimeStamp]])*24</f>
        <v>0</v>
      </c>
      <c r="S248" s="34">
        <f>(WTG_BD[[#This Row],[Fault Clearance time]]-WTG_BD[[#This Row],[Work Start TimeStamp]])*24</f>
        <v>3.3333333333333215E-2</v>
      </c>
      <c r="T248" s="34">
        <f>(WTG_BD[[#This Row],[Fault Clearance time]]-WTG_BD[[#This Row],[Fault Start TimeStamp]])*24</f>
        <v>3.3333333333333215E-2</v>
      </c>
      <c r="U248" t="s">
        <v>4322</v>
      </c>
      <c r="V248" s="234" t="s">
        <v>255</v>
      </c>
      <c r="W248" s="50">
        <f>IFERROR(IF(N248="ROW",0,(WTG_BD[[#This Row],[Breakdown Time]]*WTG_BD[[#This Row],[Plant Equivalent Weightage]])),"")</f>
        <v>1.4492753623188356E-3</v>
      </c>
      <c r="X248" s="50"/>
      <c r="Y248" s="205">
        <v>1</v>
      </c>
      <c r="Z248" s="205"/>
      <c r="AA248" s="4">
        <v>0.02</v>
      </c>
      <c r="AC248" s="4"/>
    </row>
    <row r="249" spans="1:29">
      <c r="A249" s="10">
        <f t="shared" si="5"/>
        <v>248</v>
      </c>
      <c r="B249" s="43">
        <f>YEAR(WTG_BD[[#This Row],[Date]])+IF(MONTH(WTG_BD[[#This Row],[Date]])&gt;=4,1,0)</f>
        <v>2026</v>
      </c>
      <c r="C249" s="10">
        <v>2025</v>
      </c>
      <c r="D249" s="10" t="s">
        <v>4478</v>
      </c>
      <c r="E249" s="309">
        <f>WTG_BD[[#This Row],[Date]]-DAY(WTG_BD[[#This Row],[Date]])+1</f>
        <v>45748</v>
      </c>
      <c r="F249" s="32">
        <v>45769</v>
      </c>
      <c r="G249" t="s">
        <v>93</v>
      </c>
      <c r="H249" t="str">
        <f>IFERROR(VLOOKUP(WTG_BD[[#This Row],[Affected WTG]],'Basic Data'!$A$3:$E$25,2,0),"")</f>
        <v>O2R4</v>
      </c>
      <c r="I249" t="str">
        <f>IFERROR(VLOOKUP(WTG_BD[[#This Row],[Affected WTG]],'Basic Data'!$A$3:$E$25,3,0),"")</f>
        <v>SGDCIPL</v>
      </c>
      <c r="J249" s="355">
        <f>IFERROR(VLOOKUP(WTG_BD[[#This Row],[Affected WTG]],'Basic Data'!$A$3:$E$25,5,0),"")</f>
        <v>4.3478260869565223E-2</v>
      </c>
      <c r="K249" s="10">
        <v>3273</v>
      </c>
      <c r="L249" t="str">
        <f>IFERROR(VLOOKUP(WTG_BD[[#This Row],[Error Code]],'Basic Data'!S:T,2,0),"Incorrect Error Code")</f>
        <v>YawUntwistCCW: Code__,_______°</v>
      </c>
      <c r="M249" t="s">
        <v>1963</v>
      </c>
      <c r="O249" s="168">
        <v>0.625</v>
      </c>
      <c r="P249" s="168">
        <v>0.625</v>
      </c>
      <c r="Q249" s="168">
        <v>0.63194444444444442</v>
      </c>
      <c r="R249" s="356">
        <f>(WTG_BD[[#This Row],[Work Start TimeStamp]]-WTG_BD[[#This Row],[Fault Start TimeStamp]])*24</f>
        <v>0</v>
      </c>
      <c r="S249" s="34">
        <f>(WTG_BD[[#This Row],[Fault Clearance time]]-WTG_BD[[#This Row],[Work Start TimeStamp]])*24</f>
        <v>0.16666666666666607</v>
      </c>
      <c r="T249" s="34">
        <f>(WTG_BD[[#This Row],[Fault Clearance time]]-WTG_BD[[#This Row],[Fault Start TimeStamp]])*24</f>
        <v>0.16666666666666607</v>
      </c>
      <c r="U249" t="s">
        <v>4323</v>
      </c>
      <c r="V249" s="234" t="s">
        <v>255</v>
      </c>
      <c r="W249" s="50">
        <f>IFERROR(IF(N249="ROW",0,(WTG_BD[[#This Row],[Breakdown Time]]*WTG_BD[[#This Row],[Plant Equivalent Weightage]])),"")</f>
        <v>7.2463768115941778E-3</v>
      </c>
      <c r="X249" s="50"/>
      <c r="Y249" s="205">
        <v>1</v>
      </c>
      <c r="Z249" s="205"/>
      <c r="AA249" s="4">
        <v>0</v>
      </c>
      <c r="AC249" s="4"/>
    </row>
    <row r="250" spans="1:29">
      <c r="A250" s="10">
        <f t="shared" si="5"/>
        <v>249</v>
      </c>
      <c r="B250" s="43">
        <f>YEAR(WTG_BD[[#This Row],[Date]])+IF(MONTH(WTG_BD[[#This Row],[Date]])&gt;=4,1,0)</f>
        <v>2026</v>
      </c>
      <c r="C250" s="10">
        <v>2025</v>
      </c>
      <c r="D250" s="10" t="s">
        <v>4478</v>
      </c>
      <c r="E250" s="309">
        <f>WTG_BD[[#This Row],[Date]]-DAY(WTG_BD[[#This Row],[Date]])+1</f>
        <v>45748</v>
      </c>
      <c r="F250" s="32">
        <v>45769</v>
      </c>
      <c r="G250" t="s">
        <v>96</v>
      </c>
      <c r="H250" t="str">
        <f>IFERROR(VLOOKUP(WTG_BD[[#This Row],[Affected WTG]],'Basic Data'!$A$3:$E$25,2,0),"")</f>
        <v>O2R3</v>
      </c>
      <c r="I250" t="str">
        <f>IFERROR(VLOOKUP(WTG_BD[[#This Row],[Affected WTG]],'Basic Data'!$A$3:$E$25,3,0),"")</f>
        <v>JK</v>
      </c>
      <c r="J250" s="355">
        <f>IFERROR(VLOOKUP(WTG_BD[[#This Row],[Affected WTG]],'Basic Data'!$A$3:$E$25,5,0),"")</f>
        <v>4.3478260869565223E-2</v>
      </c>
      <c r="K250" s="10">
        <v>704</v>
      </c>
      <c r="L250" t="str">
        <f>IFERROR(VLOOKUP(WTG_BD[[#This Row],[Error Code]],'Basic Data'!S:T,2,0),"Incorrect Error Code")</f>
        <v>Ch High res. load C_ Load:___%</v>
      </c>
      <c r="M250" t="s">
        <v>372</v>
      </c>
      <c r="N250" t="s">
        <v>113</v>
      </c>
      <c r="O250" s="168">
        <v>0.23055555555555557</v>
      </c>
      <c r="P250" s="168">
        <v>0.23055555555555557</v>
      </c>
      <c r="Q250" s="168">
        <v>0.27638888888888891</v>
      </c>
      <c r="R250" s="356">
        <f>(WTG_BD[[#This Row],[Work Start TimeStamp]]-WTG_BD[[#This Row],[Fault Start TimeStamp]])*24</f>
        <v>0</v>
      </c>
      <c r="S250" s="34">
        <f>(WTG_BD[[#This Row],[Fault Clearance time]]-WTG_BD[[#This Row],[Work Start TimeStamp]])*24</f>
        <v>1.1000000000000001</v>
      </c>
      <c r="T250" s="34">
        <f>(WTG_BD[[#This Row],[Fault Clearance time]]-WTG_BD[[#This Row],[Fault Start TimeStamp]])*24</f>
        <v>1.1000000000000001</v>
      </c>
      <c r="U250" t="s">
        <v>4268</v>
      </c>
      <c r="V250" s="234" t="s">
        <v>255</v>
      </c>
      <c r="W250" s="50">
        <f>IFERROR(IF(N250="ROW",0,(WTG_BD[[#This Row],[Breakdown Time]]*WTG_BD[[#This Row],[Plant Equivalent Weightage]])),"")</f>
        <v>4.7826086956521748E-2</v>
      </c>
      <c r="X250" s="50"/>
      <c r="Y250" s="205">
        <v>1</v>
      </c>
      <c r="Z250" s="205"/>
      <c r="AA250" s="4">
        <v>0.221</v>
      </c>
      <c r="AC250" s="4"/>
    </row>
    <row r="251" spans="1:29">
      <c r="A251" s="10">
        <f t="shared" si="5"/>
        <v>250</v>
      </c>
      <c r="B251" s="43">
        <f>YEAR(WTG_BD[[#This Row],[Date]])+IF(MONTH(WTG_BD[[#This Row],[Date]])&gt;=4,1,0)</f>
        <v>2026</v>
      </c>
      <c r="C251" s="10">
        <v>2025</v>
      </c>
      <c r="D251" s="10" t="s">
        <v>4478</v>
      </c>
      <c r="E251" s="309">
        <f>WTG_BD[[#This Row],[Date]]-DAY(WTG_BD[[#This Row],[Date]])+1</f>
        <v>45748</v>
      </c>
      <c r="F251" s="32">
        <v>45769</v>
      </c>
      <c r="G251" t="s">
        <v>96</v>
      </c>
      <c r="H251" t="str">
        <f>IFERROR(VLOOKUP(WTG_BD[[#This Row],[Affected WTG]],'Basic Data'!$A$3:$E$25,2,0),"")</f>
        <v>O2R3</v>
      </c>
      <c r="I251" t="str">
        <f>IFERROR(VLOOKUP(WTG_BD[[#This Row],[Affected WTG]],'Basic Data'!$A$3:$E$25,3,0),"")</f>
        <v>JK</v>
      </c>
      <c r="J251" s="355">
        <f>IFERROR(VLOOKUP(WTG_BD[[#This Row],[Affected WTG]],'Basic Data'!$A$3:$E$25,5,0),"")</f>
        <v>4.3478260869565223E-2</v>
      </c>
      <c r="K251" s="10">
        <v>3806</v>
      </c>
      <c r="L251" t="str">
        <f>IFERROR(VLOOKUP(WTG_BD[[#This Row],[Error Code]],'Basic Data'!S:T,2,0),"Incorrect Error Code")</f>
        <v>HubSafetySystem Batt.Charg.Err</v>
      </c>
      <c r="M251" t="s">
        <v>381</v>
      </c>
      <c r="N251" t="s">
        <v>113</v>
      </c>
      <c r="O251" s="168">
        <v>0.67083333333333328</v>
      </c>
      <c r="P251" s="168">
        <v>0.67083333333333328</v>
      </c>
      <c r="Q251" s="168">
        <v>0.67361111111111116</v>
      </c>
      <c r="R251" s="356">
        <f>(WTG_BD[[#This Row],[Work Start TimeStamp]]-WTG_BD[[#This Row],[Fault Start TimeStamp]])*24</f>
        <v>0</v>
      </c>
      <c r="S251" s="34">
        <f>(WTG_BD[[#This Row],[Fault Clearance time]]-WTG_BD[[#This Row],[Work Start TimeStamp]])*24</f>
        <v>6.6666666666669094E-2</v>
      </c>
      <c r="T251" s="34">
        <f>(WTG_BD[[#This Row],[Fault Clearance time]]-WTG_BD[[#This Row],[Fault Start TimeStamp]])*24</f>
        <v>6.6666666666669094E-2</v>
      </c>
      <c r="U251" t="s">
        <v>4322</v>
      </c>
      <c r="V251" s="234" t="s">
        <v>255</v>
      </c>
      <c r="W251" s="50">
        <f>IFERROR(IF(N251="ROW",0,(WTG_BD[[#This Row],[Breakdown Time]]*WTG_BD[[#This Row],[Plant Equivalent Weightage]])),"")</f>
        <v>2.898550724637787E-3</v>
      </c>
      <c r="X251" s="50"/>
      <c r="Y251" s="205">
        <v>1</v>
      </c>
      <c r="Z251" s="205"/>
      <c r="AA251" s="4">
        <v>0.112</v>
      </c>
      <c r="AC251" s="4"/>
    </row>
    <row r="252" spans="1:29">
      <c r="A252" s="10">
        <f t="shared" si="5"/>
        <v>251</v>
      </c>
      <c r="B252" s="43">
        <f>YEAR(WTG_BD[[#This Row],[Date]])+IF(MONTH(WTG_BD[[#This Row],[Date]])&gt;=4,1,0)</f>
        <v>2026</v>
      </c>
      <c r="C252" s="10">
        <v>2025</v>
      </c>
      <c r="D252" s="10" t="s">
        <v>4478</v>
      </c>
      <c r="E252" s="309">
        <f>WTG_BD[[#This Row],[Date]]-DAY(WTG_BD[[#This Row],[Date]])+1</f>
        <v>45748</v>
      </c>
      <c r="F252" s="32">
        <v>45769</v>
      </c>
      <c r="G252" t="s">
        <v>97</v>
      </c>
      <c r="H252" t="str">
        <f>IFERROR(VLOOKUP(WTG_BD[[#This Row],[Affected WTG]],'Basic Data'!$A$3:$E$25,2,0),"")</f>
        <v>O2R3</v>
      </c>
      <c r="I252" t="str">
        <f>IFERROR(VLOOKUP(WTG_BD[[#This Row],[Affected WTG]],'Basic Data'!$A$3:$E$25,3,0),"")</f>
        <v>JK</v>
      </c>
      <c r="J252" s="355">
        <f>IFERROR(VLOOKUP(WTG_BD[[#This Row],[Affected WTG]],'Basic Data'!$A$3:$E$25,5,0),"")</f>
        <v>4.3478260869565223E-2</v>
      </c>
      <c r="K252" s="10">
        <v>3273</v>
      </c>
      <c r="L252" t="str">
        <f>IFERROR(VLOOKUP(WTG_BD[[#This Row],[Error Code]],'Basic Data'!S:T,2,0),"Incorrect Error Code")</f>
        <v>YawUntwistCCW: Code__,_______°</v>
      </c>
      <c r="M252" t="s">
        <v>1963</v>
      </c>
      <c r="O252" s="168">
        <v>0.30763888888888891</v>
      </c>
      <c r="P252" s="168">
        <v>0.30763888888888891</v>
      </c>
      <c r="Q252" s="168">
        <v>0.32222222222222224</v>
      </c>
      <c r="R252" s="356">
        <f>(WTG_BD[[#This Row],[Work Start TimeStamp]]-WTG_BD[[#This Row],[Fault Start TimeStamp]])*24</f>
        <v>0</v>
      </c>
      <c r="S252" s="34">
        <f>(WTG_BD[[#This Row],[Fault Clearance time]]-WTG_BD[[#This Row],[Work Start TimeStamp]])*24</f>
        <v>0.35000000000000009</v>
      </c>
      <c r="T252" s="34">
        <f>(WTG_BD[[#This Row],[Fault Clearance time]]-WTG_BD[[#This Row],[Fault Start TimeStamp]])*24</f>
        <v>0.35000000000000009</v>
      </c>
      <c r="U252" t="s">
        <v>4323</v>
      </c>
      <c r="V252" s="234" t="s">
        <v>255</v>
      </c>
      <c r="W252" s="50">
        <f>IFERROR(IF(N252="ROW",0,(WTG_BD[[#This Row],[Breakdown Time]]*WTG_BD[[#This Row],[Plant Equivalent Weightage]])),"")</f>
        <v>1.5217391304347832E-2</v>
      </c>
      <c r="X252" s="50"/>
      <c r="Y252" s="205">
        <v>1</v>
      </c>
      <c r="Z252" s="205"/>
      <c r="AA252" s="4">
        <v>4.5999999999999999E-2</v>
      </c>
      <c r="AC252" s="4"/>
    </row>
    <row r="253" spans="1:29">
      <c r="A253" s="10">
        <f t="shared" si="5"/>
        <v>252</v>
      </c>
      <c r="B253" s="43">
        <f>YEAR(WTG_BD[[#This Row],[Date]])+IF(MONTH(WTG_BD[[#This Row],[Date]])&gt;=4,1,0)</f>
        <v>2026</v>
      </c>
      <c r="C253" s="10">
        <v>2025</v>
      </c>
      <c r="D253" s="10" t="s">
        <v>4478</v>
      </c>
      <c r="E253" s="309">
        <f>WTG_BD[[#This Row],[Date]]-DAY(WTG_BD[[#This Row],[Date]])+1</f>
        <v>45748</v>
      </c>
      <c r="F253" s="32">
        <v>45769</v>
      </c>
      <c r="G253" t="s">
        <v>97</v>
      </c>
      <c r="H253" t="str">
        <f>IFERROR(VLOOKUP(WTG_BD[[#This Row],[Affected WTG]],'Basic Data'!$A$3:$E$25,2,0),"")</f>
        <v>O2R3</v>
      </c>
      <c r="I253" t="str">
        <f>IFERROR(VLOOKUP(WTG_BD[[#This Row],[Affected WTG]],'Basic Data'!$A$3:$E$25,3,0),"")</f>
        <v>JK</v>
      </c>
      <c r="J253" s="355">
        <f>IFERROR(VLOOKUP(WTG_BD[[#This Row],[Affected WTG]],'Basic Data'!$A$3:$E$25,5,0),"")</f>
        <v>4.3478260869565223E-2</v>
      </c>
      <c r="K253" s="10">
        <v>3806</v>
      </c>
      <c r="L253" t="str">
        <f>IFERROR(VLOOKUP(WTG_BD[[#This Row],[Error Code]],'Basic Data'!S:T,2,0),"Incorrect Error Code")</f>
        <v>HubSafetySystem Batt.Charg.Err</v>
      </c>
      <c r="M253" t="s">
        <v>381</v>
      </c>
      <c r="N253" t="s">
        <v>113</v>
      </c>
      <c r="O253" s="168">
        <v>0.67013888888888884</v>
      </c>
      <c r="P253" s="168">
        <v>0.67013888888888884</v>
      </c>
      <c r="Q253" s="168">
        <v>0.67361111111111116</v>
      </c>
      <c r="R253" s="356">
        <f>(WTG_BD[[#This Row],[Work Start TimeStamp]]-WTG_BD[[#This Row],[Fault Start TimeStamp]])*24</f>
        <v>0</v>
      </c>
      <c r="S253" s="34">
        <f>(WTG_BD[[#This Row],[Fault Clearance time]]-WTG_BD[[#This Row],[Work Start TimeStamp]])*24</f>
        <v>8.3333333333335702E-2</v>
      </c>
      <c r="T253" s="34">
        <f>(WTG_BD[[#This Row],[Fault Clearance time]]-WTG_BD[[#This Row],[Fault Start TimeStamp]])*24</f>
        <v>8.3333333333335702E-2</v>
      </c>
      <c r="U253" t="s">
        <v>4322</v>
      </c>
      <c r="V253" s="234" t="s">
        <v>255</v>
      </c>
      <c r="W253" s="50">
        <f>IFERROR(IF(N253="ROW",0,(WTG_BD[[#This Row],[Breakdown Time]]*WTG_BD[[#This Row],[Plant Equivalent Weightage]])),"")</f>
        <v>3.6231884057972047E-3</v>
      </c>
      <c r="X253" s="50"/>
      <c r="Y253" s="205">
        <v>1</v>
      </c>
      <c r="Z253" s="205"/>
      <c r="AA253" s="4">
        <v>5.8000000000000003E-2</v>
      </c>
      <c r="AC253" s="4"/>
    </row>
    <row r="254" spans="1:29">
      <c r="A254" s="10">
        <f t="shared" si="5"/>
        <v>253</v>
      </c>
      <c r="B254" s="43">
        <f>YEAR(WTG_BD[[#This Row],[Date]])+IF(MONTH(WTG_BD[[#This Row],[Date]])&gt;=4,1,0)</f>
        <v>2026</v>
      </c>
      <c r="C254" s="10">
        <v>2025</v>
      </c>
      <c r="D254" s="10" t="s">
        <v>4478</v>
      </c>
      <c r="E254" s="309">
        <f>WTG_BD[[#This Row],[Date]]-DAY(WTG_BD[[#This Row],[Date]])+1</f>
        <v>45748</v>
      </c>
      <c r="F254" s="32">
        <v>45770</v>
      </c>
      <c r="G254" t="s">
        <v>85</v>
      </c>
      <c r="H254" t="str">
        <f>IFERROR(VLOOKUP(WTG_BD[[#This Row],[Affected WTG]],'Basic Data'!$A$3:$E$25,2,0),"")</f>
        <v>O2R1</v>
      </c>
      <c r="I254" t="str">
        <f>IFERROR(VLOOKUP(WTG_BD[[#This Row],[Affected WTG]],'Basic Data'!$A$3:$E$25,3,0),"")</f>
        <v>KSIPL</v>
      </c>
      <c r="J254" s="355">
        <f>IFERROR(VLOOKUP(WTG_BD[[#This Row],[Affected WTG]],'Basic Data'!$A$3:$E$25,5,0),"")</f>
        <v>4.3478260869565223E-2</v>
      </c>
      <c r="K254" s="10">
        <v>3806</v>
      </c>
      <c r="L254" t="str">
        <f>IFERROR(VLOOKUP(WTG_BD[[#This Row],[Error Code]],'Basic Data'!S:T,2,0),"Incorrect Error Code")</f>
        <v>HubSafetySystem Batt.Charg.Err</v>
      </c>
      <c r="M254" t="s">
        <v>381</v>
      </c>
      <c r="N254" t="s">
        <v>113</v>
      </c>
      <c r="O254" s="270">
        <v>0.72430555555555554</v>
      </c>
      <c r="P254" s="270">
        <v>0.72430555555555554</v>
      </c>
      <c r="Q254" s="270">
        <v>0.73611111111111116</v>
      </c>
      <c r="R254" s="356">
        <f>(WTG_BD[[#This Row],[Work Start TimeStamp]]-WTG_BD[[#This Row],[Fault Start TimeStamp]])*24</f>
        <v>0</v>
      </c>
      <c r="S254" s="34">
        <f>(WTG_BD[[#This Row],[Fault Clearance time]]-WTG_BD[[#This Row],[Work Start TimeStamp]])*24</f>
        <v>0.28333333333333499</v>
      </c>
      <c r="T254" s="34">
        <f>(WTG_BD[[#This Row],[Fault Clearance time]]-WTG_BD[[#This Row],[Fault Start TimeStamp]])*24</f>
        <v>0.28333333333333499</v>
      </c>
      <c r="U254" t="s">
        <v>4322</v>
      </c>
      <c r="V254" s="234" t="s">
        <v>255</v>
      </c>
      <c r="W254" s="50">
        <f>IFERROR(IF(N254="ROW",0,(WTG_BD[[#This Row],[Breakdown Time]]*WTG_BD[[#This Row],[Plant Equivalent Weightage]])),"")</f>
        <v>1.2318840579710218E-2</v>
      </c>
      <c r="X254" s="50"/>
      <c r="Y254" s="205">
        <v>1</v>
      </c>
      <c r="Z254" s="205"/>
      <c r="AA254" s="4">
        <v>1E-3</v>
      </c>
      <c r="AC254" s="4"/>
    </row>
    <row r="255" spans="1:29">
      <c r="A255" s="10">
        <f t="shared" si="5"/>
        <v>254</v>
      </c>
      <c r="B255" s="43">
        <f>YEAR(WTG_BD[[#This Row],[Date]])+IF(MONTH(WTG_BD[[#This Row],[Date]])&gt;=4,1,0)</f>
        <v>2026</v>
      </c>
      <c r="C255" s="10">
        <v>2025</v>
      </c>
      <c r="D255" s="10" t="s">
        <v>4478</v>
      </c>
      <c r="E255" s="309">
        <f>WTG_BD[[#This Row],[Date]]-DAY(WTG_BD[[#This Row],[Date]])+1</f>
        <v>45748</v>
      </c>
      <c r="F255" s="32">
        <v>45770</v>
      </c>
      <c r="G255" t="s">
        <v>86</v>
      </c>
      <c r="H255" t="str">
        <f>IFERROR(VLOOKUP(WTG_BD[[#This Row],[Affected WTG]],'Basic Data'!$A$3:$E$25,2,0),"")</f>
        <v>O2R1</v>
      </c>
      <c r="I255" t="str">
        <f>IFERROR(VLOOKUP(WTG_BD[[#This Row],[Affected WTG]],'Basic Data'!$A$3:$E$25,3,0),"")</f>
        <v>KSIPL</v>
      </c>
      <c r="J255" s="355">
        <f>IFERROR(VLOOKUP(WTG_BD[[#This Row],[Affected WTG]],'Basic Data'!$A$3:$E$25,5,0),"")</f>
        <v>4.3478260869565223E-2</v>
      </c>
      <c r="K255" s="10">
        <v>3806</v>
      </c>
      <c r="L255" t="str">
        <f>IFERROR(VLOOKUP(WTG_BD[[#This Row],[Error Code]],'Basic Data'!S:T,2,0),"Incorrect Error Code")</f>
        <v>HubSafetySystem Batt.Charg.Err</v>
      </c>
      <c r="M255" t="s">
        <v>381</v>
      </c>
      <c r="N255" t="s">
        <v>113</v>
      </c>
      <c r="O255" s="270">
        <v>0.73541666666666672</v>
      </c>
      <c r="P255" s="270">
        <v>0.73541666666666672</v>
      </c>
      <c r="Q255" s="270">
        <v>0.73611111111111116</v>
      </c>
      <c r="R255" s="356">
        <f>(WTG_BD[[#This Row],[Work Start TimeStamp]]-WTG_BD[[#This Row],[Fault Start TimeStamp]])*24</f>
        <v>0</v>
      </c>
      <c r="S255" s="34">
        <f>(WTG_BD[[#This Row],[Fault Clearance time]]-WTG_BD[[#This Row],[Work Start TimeStamp]])*24</f>
        <v>1.6666666666666607E-2</v>
      </c>
      <c r="T255" s="34">
        <f>(WTG_BD[[#This Row],[Fault Clearance time]]-WTG_BD[[#This Row],[Fault Start TimeStamp]])*24</f>
        <v>1.6666666666666607E-2</v>
      </c>
      <c r="U255" t="s">
        <v>4322</v>
      </c>
      <c r="V255" s="234" t="s">
        <v>255</v>
      </c>
      <c r="W255" s="50">
        <f>IFERROR(IF(N255="ROW",0,(WTG_BD[[#This Row],[Breakdown Time]]*WTG_BD[[#This Row],[Plant Equivalent Weightage]])),"")</f>
        <v>7.246376811594178E-4</v>
      </c>
      <c r="X255" s="50"/>
      <c r="Y255" s="205">
        <v>1</v>
      </c>
      <c r="Z255" s="205"/>
      <c r="AA255" s="4">
        <v>0</v>
      </c>
      <c r="AC255" s="4"/>
    </row>
    <row r="256" spans="1:29">
      <c r="A256" s="10">
        <f t="shared" si="5"/>
        <v>255</v>
      </c>
      <c r="B256" s="43">
        <f>YEAR(WTG_BD[[#This Row],[Date]])+IF(MONTH(WTG_BD[[#This Row],[Date]])&gt;=4,1,0)</f>
        <v>2026</v>
      </c>
      <c r="C256" s="10">
        <v>2025</v>
      </c>
      <c r="D256" s="10" t="s">
        <v>4478</v>
      </c>
      <c r="E256" s="309">
        <f>WTG_BD[[#This Row],[Date]]-DAY(WTG_BD[[#This Row],[Date]])+1</f>
        <v>45748</v>
      </c>
      <c r="F256" s="32">
        <v>45770</v>
      </c>
      <c r="G256" t="s">
        <v>87</v>
      </c>
      <c r="H256" t="str">
        <f>IFERROR(VLOOKUP(WTG_BD[[#This Row],[Affected WTG]],'Basic Data'!$A$3:$E$25,2,0),"")</f>
        <v>O2R1</v>
      </c>
      <c r="I256" t="str">
        <f>IFERROR(VLOOKUP(WTG_BD[[#This Row],[Affected WTG]],'Basic Data'!$A$3:$E$25,3,0),"")</f>
        <v>KSIPL</v>
      </c>
      <c r="J256" s="355">
        <f>IFERROR(VLOOKUP(WTG_BD[[#This Row],[Affected WTG]],'Basic Data'!$A$3:$E$25,5,0),"")</f>
        <v>4.3478260869565223E-2</v>
      </c>
      <c r="K256" s="10">
        <v>704</v>
      </c>
      <c r="L256" t="str">
        <f>IFERROR(VLOOKUP(WTG_BD[[#This Row],[Error Code]],'Basic Data'!S:T,2,0),"Incorrect Error Code")</f>
        <v>Ch High res. load C_ Load:___%</v>
      </c>
      <c r="M256" t="s">
        <v>372</v>
      </c>
      <c r="N256" t="s">
        <v>113</v>
      </c>
      <c r="O256" s="270">
        <v>6.3194444444444442E-2</v>
      </c>
      <c r="P256" s="270">
        <v>6.3194444444444442E-2</v>
      </c>
      <c r="Q256" s="270">
        <v>6.9444444444444448E-2</v>
      </c>
      <c r="R256" s="356">
        <f>(WTG_BD[[#This Row],[Work Start TimeStamp]]-WTG_BD[[#This Row],[Fault Start TimeStamp]])*24</f>
        <v>0</v>
      </c>
      <c r="S256" s="34">
        <f>(WTG_BD[[#This Row],[Fault Clearance time]]-WTG_BD[[#This Row],[Work Start TimeStamp]])*24</f>
        <v>0.15000000000000013</v>
      </c>
      <c r="T256" s="34">
        <f>(WTG_BD[[#This Row],[Fault Clearance time]]-WTG_BD[[#This Row],[Fault Start TimeStamp]])*24</f>
        <v>0.15000000000000013</v>
      </c>
      <c r="U256" t="s">
        <v>4268</v>
      </c>
      <c r="V256" s="234" t="s">
        <v>255</v>
      </c>
      <c r="W256" s="50">
        <f>IFERROR(IF(N256="ROW",0,(WTG_BD[[#This Row],[Breakdown Time]]*WTG_BD[[#This Row],[Plant Equivalent Weightage]])),"")</f>
        <v>6.5217391304347892E-3</v>
      </c>
      <c r="X256" s="50"/>
      <c r="Y256" s="205">
        <v>1</v>
      </c>
      <c r="Z256" s="205"/>
      <c r="AA256" s="4">
        <v>6.0999999999999999E-2</v>
      </c>
      <c r="AC256" s="4"/>
    </row>
    <row r="257" spans="1:29">
      <c r="A257" s="10">
        <f t="shared" si="5"/>
        <v>256</v>
      </c>
      <c r="B257" s="43">
        <f>YEAR(WTG_BD[[#This Row],[Date]])+IF(MONTH(WTG_BD[[#This Row],[Date]])&gt;=4,1,0)</f>
        <v>2026</v>
      </c>
      <c r="C257" s="10">
        <v>2025</v>
      </c>
      <c r="D257" s="10" t="s">
        <v>4478</v>
      </c>
      <c r="E257" s="309">
        <f>WTG_BD[[#This Row],[Date]]-DAY(WTG_BD[[#This Row],[Date]])+1</f>
        <v>45748</v>
      </c>
      <c r="F257" s="32">
        <v>45770</v>
      </c>
      <c r="G257" t="s">
        <v>87</v>
      </c>
      <c r="H257" t="str">
        <f>IFERROR(VLOOKUP(WTG_BD[[#This Row],[Affected WTG]],'Basic Data'!$A$3:$E$25,2,0),"")</f>
        <v>O2R1</v>
      </c>
      <c r="I257" t="str">
        <f>IFERROR(VLOOKUP(WTG_BD[[#This Row],[Affected WTG]],'Basic Data'!$A$3:$E$25,3,0),"")</f>
        <v>KSIPL</v>
      </c>
      <c r="J257" s="355">
        <f>IFERROR(VLOOKUP(WTG_BD[[#This Row],[Affected WTG]],'Basic Data'!$A$3:$E$25,5,0),"")</f>
        <v>4.3478260869565223E-2</v>
      </c>
      <c r="K257" s="10">
        <v>704</v>
      </c>
      <c r="L257" t="str">
        <f>IFERROR(VLOOKUP(WTG_BD[[#This Row],[Error Code]],'Basic Data'!S:T,2,0),"Incorrect Error Code")</f>
        <v>Ch High res. load C_ Load:___%</v>
      </c>
      <c r="M257" t="s">
        <v>372</v>
      </c>
      <c r="N257" t="s">
        <v>113</v>
      </c>
      <c r="O257" s="270">
        <v>7.6388888888888895E-2</v>
      </c>
      <c r="P257" s="270">
        <v>7.6388888888888895E-2</v>
      </c>
      <c r="Q257" s="270">
        <v>9.3055555555555558E-2</v>
      </c>
      <c r="R257" s="356">
        <f>(WTG_BD[[#This Row],[Work Start TimeStamp]]-WTG_BD[[#This Row],[Fault Start TimeStamp]])*24</f>
        <v>0</v>
      </c>
      <c r="S257" s="34">
        <f>(WTG_BD[[#This Row],[Fault Clearance time]]-WTG_BD[[#This Row],[Work Start TimeStamp]])*24</f>
        <v>0.39999999999999991</v>
      </c>
      <c r="T257" s="34">
        <f>(WTG_BD[[#This Row],[Fault Clearance time]]-WTG_BD[[#This Row],[Fault Start TimeStamp]])*24</f>
        <v>0.39999999999999991</v>
      </c>
      <c r="U257" t="s">
        <v>4268</v>
      </c>
      <c r="V257" s="234" t="s">
        <v>255</v>
      </c>
      <c r="W257" s="50">
        <f>IFERROR(IF(N257="ROW",0,(WTG_BD[[#This Row],[Breakdown Time]]*WTG_BD[[#This Row],[Plant Equivalent Weightage]])),"")</f>
        <v>1.7391304347826084E-2</v>
      </c>
      <c r="X257" s="50"/>
      <c r="Y257" s="205">
        <v>1</v>
      </c>
      <c r="Z257" s="205"/>
      <c r="AA257" s="4">
        <v>2.8000000000000001E-2</v>
      </c>
      <c r="AC257" s="4"/>
    </row>
    <row r="258" spans="1:29">
      <c r="A258" s="10">
        <f t="shared" si="5"/>
        <v>257</v>
      </c>
      <c r="B258" s="43">
        <f>YEAR(WTG_BD[[#This Row],[Date]])+IF(MONTH(WTG_BD[[#This Row],[Date]])&gt;=4,1,0)</f>
        <v>2026</v>
      </c>
      <c r="C258" s="10">
        <v>2025</v>
      </c>
      <c r="D258" s="10" t="s">
        <v>4478</v>
      </c>
      <c r="E258" s="309">
        <f>WTG_BD[[#This Row],[Date]]-DAY(WTG_BD[[#This Row],[Date]])+1</f>
        <v>45748</v>
      </c>
      <c r="F258" s="32">
        <v>45770</v>
      </c>
      <c r="G258" t="s">
        <v>95</v>
      </c>
      <c r="H258" t="str">
        <f>IFERROR(VLOOKUP(WTG_BD[[#This Row],[Affected WTG]],'Basic Data'!$A$3:$E$25,2,0),"")</f>
        <v>O2R1</v>
      </c>
      <c r="I258" t="str">
        <f>IFERROR(VLOOKUP(WTG_BD[[#This Row],[Affected WTG]],'Basic Data'!$A$3:$E$25,3,0),"")</f>
        <v>KSIPL</v>
      </c>
      <c r="J258" s="355">
        <f>IFERROR(VLOOKUP(WTG_BD[[#This Row],[Affected WTG]],'Basic Data'!$A$3:$E$25,5,0),"")</f>
        <v>4.3478260869565223E-2</v>
      </c>
      <c r="K258" s="10">
        <v>704</v>
      </c>
      <c r="L258" t="str">
        <f>IFERROR(VLOOKUP(WTG_BD[[#This Row],[Error Code]],'Basic Data'!S:T,2,0),"Incorrect Error Code")</f>
        <v>Ch High res. load C_ Load:___%</v>
      </c>
      <c r="M258" t="s">
        <v>372</v>
      </c>
      <c r="N258" t="s">
        <v>113</v>
      </c>
      <c r="O258" s="270">
        <v>7.0833333333333331E-2</v>
      </c>
      <c r="P258" s="270">
        <v>7.0833333333333331E-2</v>
      </c>
      <c r="Q258" s="270">
        <v>9.4444444444444442E-2</v>
      </c>
      <c r="R258" s="356">
        <f>(WTG_BD[[#This Row],[Work Start TimeStamp]]-WTG_BD[[#This Row],[Fault Start TimeStamp]])*24</f>
        <v>0</v>
      </c>
      <c r="S258" s="34">
        <f>(WTG_BD[[#This Row],[Fault Clearance time]]-WTG_BD[[#This Row],[Work Start TimeStamp]])*24</f>
        <v>0.56666666666666665</v>
      </c>
      <c r="T258" s="34">
        <f>(WTG_BD[[#This Row],[Fault Clearance time]]-WTG_BD[[#This Row],[Fault Start TimeStamp]])*24</f>
        <v>0.56666666666666665</v>
      </c>
      <c r="U258" t="s">
        <v>4268</v>
      </c>
      <c r="V258" s="234" t="s">
        <v>255</v>
      </c>
      <c r="W258" s="50">
        <f>IFERROR(IF(N258="ROW",0,(WTG_BD[[#This Row],[Breakdown Time]]*WTG_BD[[#This Row],[Plant Equivalent Weightage]])),"")</f>
        <v>2.4637681159420291E-2</v>
      </c>
      <c r="X258" s="50"/>
      <c r="Y258" s="205">
        <v>1</v>
      </c>
      <c r="Z258" s="205"/>
      <c r="AA258" s="4">
        <v>0.104</v>
      </c>
      <c r="AC258" s="4"/>
    </row>
    <row r="259" spans="1:29">
      <c r="A259" s="10">
        <f t="shared" si="5"/>
        <v>258</v>
      </c>
      <c r="B259" s="43">
        <f>YEAR(WTG_BD[[#This Row],[Date]])+IF(MONTH(WTG_BD[[#This Row],[Date]])&gt;=4,1,0)</f>
        <v>2026</v>
      </c>
      <c r="C259" s="10">
        <v>2025</v>
      </c>
      <c r="D259" s="10" t="s">
        <v>4478</v>
      </c>
      <c r="E259" s="309">
        <f>WTG_BD[[#This Row],[Date]]-DAY(WTG_BD[[#This Row],[Date]])+1</f>
        <v>45748</v>
      </c>
      <c r="F259" s="32">
        <v>45770</v>
      </c>
      <c r="G259" t="s">
        <v>95</v>
      </c>
      <c r="H259" t="str">
        <f>IFERROR(VLOOKUP(WTG_BD[[#This Row],[Affected WTG]],'Basic Data'!$A$3:$E$25,2,0),"")</f>
        <v>O2R1</v>
      </c>
      <c r="I259" t="str">
        <f>IFERROR(VLOOKUP(WTG_BD[[#This Row],[Affected WTG]],'Basic Data'!$A$3:$E$25,3,0),"")</f>
        <v>KSIPL</v>
      </c>
      <c r="J259" s="355">
        <f>IFERROR(VLOOKUP(WTG_BD[[#This Row],[Affected WTG]],'Basic Data'!$A$3:$E$25,5,0),"")</f>
        <v>4.3478260869565223E-2</v>
      </c>
      <c r="K259" s="10">
        <v>3806</v>
      </c>
      <c r="L259" t="str">
        <f>IFERROR(VLOOKUP(WTG_BD[[#This Row],[Error Code]],'Basic Data'!S:T,2,0),"Incorrect Error Code")</f>
        <v>HubSafetySystem Batt.Charg.Err</v>
      </c>
      <c r="M259" t="s">
        <v>381</v>
      </c>
      <c r="N259" t="s">
        <v>113</v>
      </c>
      <c r="O259" s="270">
        <v>0.44444444444444442</v>
      </c>
      <c r="P259" s="270">
        <v>0.44444444444444442</v>
      </c>
      <c r="Q259" s="270">
        <v>0.45347222222222222</v>
      </c>
      <c r="R259" s="356">
        <f>(WTG_BD[[#This Row],[Work Start TimeStamp]]-WTG_BD[[#This Row],[Fault Start TimeStamp]])*24</f>
        <v>0</v>
      </c>
      <c r="S259" s="34">
        <f>(WTG_BD[[#This Row],[Fault Clearance time]]-WTG_BD[[#This Row],[Work Start TimeStamp]])*24</f>
        <v>0.21666666666666723</v>
      </c>
      <c r="T259" s="34">
        <f>(WTG_BD[[#This Row],[Fault Clearance time]]-WTG_BD[[#This Row],[Fault Start TimeStamp]])*24</f>
        <v>0.21666666666666723</v>
      </c>
      <c r="U259" t="s">
        <v>4322</v>
      </c>
      <c r="V259" s="234" t="s">
        <v>255</v>
      </c>
      <c r="W259" s="50">
        <f>IFERROR(IF(N259="ROW",0,(WTG_BD[[#This Row],[Breakdown Time]]*WTG_BD[[#This Row],[Plant Equivalent Weightage]])),"")</f>
        <v>9.4202898550724886E-3</v>
      </c>
      <c r="X259" s="50"/>
      <c r="Y259" s="205">
        <v>1</v>
      </c>
      <c r="Z259" s="205"/>
      <c r="AA259" s="4">
        <v>1.2999999999999999E-2</v>
      </c>
      <c r="AC259" s="4"/>
    </row>
    <row r="260" spans="1:29">
      <c r="A260" s="10">
        <f t="shared" si="5"/>
        <v>259</v>
      </c>
      <c r="B260" s="43">
        <f>YEAR(WTG_BD[[#This Row],[Date]])+IF(MONTH(WTG_BD[[#This Row],[Date]])&gt;=4,1,0)</f>
        <v>2026</v>
      </c>
      <c r="C260" s="10">
        <v>2025</v>
      </c>
      <c r="D260" s="10" t="s">
        <v>4478</v>
      </c>
      <c r="E260" s="309">
        <f>WTG_BD[[#This Row],[Date]]-DAY(WTG_BD[[#This Row],[Date]])+1</f>
        <v>45748</v>
      </c>
      <c r="F260" s="32">
        <v>45770</v>
      </c>
      <c r="G260" t="s">
        <v>95</v>
      </c>
      <c r="H260" t="str">
        <f>IFERROR(VLOOKUP(WTG_BD[[#This Row],[Affected WTG]],'Basic Data'!$A$3:$E$25,2,0),"")</f>
        <v>O2R1</v>
      </c>
      <c r="I260" t="str">
        <f>IFERROR(VLOOKUP(WTG_BD[[#This Row],[Affected WTG]],'Basic Data'!$A$3:$E$25,3,0),"")</f>
        <v>KSIPL</v>
      </c>
      <c r="J260" s="355">
        <f>IFERROR(VLOOKUP(WTG_BD[[#This Row],[Affected WTG]],'Basic Data'!$A$3:$E$25,5,0),"")</f>
        <v>4.3478260869565223E-2</v>
      </c>
      <c r="K260" s="10">
        <v>3806</v>
      </c>
      <c r="L260" t="str">
        <f>IFERROR(VLOOKUP(WTG_BD[[#This Row],[Error Code]],'Basic Data'!S:T,2,0),"Incorrect Error Code")</f>
        <v>HubSafetySystem Batt.Charg.Err</v>
      </c>
      <c r="M260" t="s">
        <v>381</v>
      </c>
      <c r="N260" t="s">
        <v>113</v>
      </c>
      <c r="O260" s="270">
        <v>0.72916666666666663</v>
      </c>
      <c r="P260" s="270">
        <v>0.72916666666666663</v>
      </c>
      <c r="Q260" s="270">
        <v>0.73611111111111116</v>
      </c>
      <c r="R260" s="356">
        <f>(WTG_BD[[#This Row],[Work Start TimeStamp]]-WTG_BD[[#This Row],[Fault Start TimeStamp]])*24</f>
        <v>0</v>
      </c>
      <c r="S260" s="34">
        <f>(WTG_BD[[#This Row],[Fault Clearance time]]-WTG_BD[[#This Row],[Work Start TimeStamp]])*24</f>
        <v>0.16666666666666874</v>
      </c>
      <c r="T260" s="34">
        <f>(WTG_BD[[#This Row],[Fault Clearance time]]-WTG_BD[[#This Row],[Fault Start TimeStamp]])*24</f>
        <v>0.16666666666666874</v>
      </c>
      <c r="U260" t="s">
        <v>4322</v>
      </c>
      <c r="V260" s="234" t="s">
        <v>255</v>
      </c>
      <c r="W260" s="50">
        <f>IFERROR(IF(N260="ROW",0,(WTG_BD[[#This Row],[Breakdown Time]]*WTG_BD[[#This Row],[Plant Equivalent Weightage]])),"")</f>
        <v>7.2463768115942941E-3</v>
      </c>
      <c r="X260" s="50"/>
      <c r="Y260" s="205">
        <v>1</v>
      </c>
      <c r="Z260" s="205"/>
      <c r="AA260" s="4">
        <v>-1E-3</v>
      </c>
      <c r="AC260" s="4"/>
    </row>
    <row r="261" spans="1:29">
      <c r="A261" s="10">
        <f t="shared" si="5"/>
        <v>260</v>
      </c>
      <c r="B261" s="43">
        <f>YEAR(WTG_BD[[#This Row],[Date]])+IF(MONTH(WTG_BD[[#This Row],[Date]])&gt;=4,1,0)</f>
        <v>2026</v>
      </c>
      <c r="C261" s="10">
        <v>2025</v>
      </c>
      <c r="D261" s="10" t="s">
        <v>4478</v>
      </c>
      <c r="E261" s="309">
        <f>WTG_BD[[#This Row],[Date]]-DAY(WTG_BD[[#This Row],[Date]])+1</f>
        <v>45748</v>
      </c>
      <c r="F261" s="32">
        <v>45770</v>
      </c>
      <c r="G261" t="s">
        <v>77</v>
      </c>
      <c r="H261" t="str">
        <f>IFERROR(VLOOKUP(WTG_BD[[#This Row],[Affected WTG]],'Basic Data'!$A$3:$E$25,2,0),"")</f>
        <v>O2R3</v>
      </c>
      <c r="I261" t="str">
        <f>IFERROR(VLOOKUP(WTG_BD[[#This Row],[Affected WTG]],'Basic Data'!$A$3:$E$25,3,0),"")</f>
        <v>JK</v>
      </c>
      <c r="J261" s="355">
        <f>IFERROR(VLOOKUP(WTG_BD[[#This Row],[Affected WTG]],'Basic Data'!$A$3:$E$25,5,0),"")</f>
        <v>4.3478260869565223E-2</v>
      </c>
      <c r="K261" s="10">
        <v>315</v>
      </c>
      <c r="L261" t="str">
        <f>IFERROR(VLOOKUP(WTG_BD[[#This Row],[Error Code]],'Basic Data'!S:T,2,0),"Incorrect Error Code")</f>
        <v>ExEx low voltage L_: ___V</v>
      </c>
      <c r="M261" t="s">
        <v>141</v>
      </c>
      <c r="N261" t="s">
        <v>113</v>
      </c>
      <c r="O261" s="270">
        <v>0</v>
      </c>
      <c r="P261" s="270">
        <v>0</v>
      </c>
      <c r="Q261" s="270">
        <v>2.9861111111111113E-2</v>
      </c>
      <c r="R261" s="356">
        <f>(WTG_BD[[#This Row],[Work Start TimeStamp]]-WTG_BD[[#This Row],[Fault Start TimeStamp]])*24</f>
        <v>0</v>
      </c>
      <c r="S261" s="34">
        <f>(WTG_BD[[#This Row],[Fault Clearance time]]-WTG_BD[[#This Row],[Work Start TimeStamp]])*24</f>
        <v>0.71666666666666667</v>
      </c>
      <c r="T261" s="34">
        <f>(WTG_BD[[#This Row],[Fault Clearance time]]-WTG_BD[[#This Row],[Fault Start TimeStamp]])*24</f>
        <v>0.71666666666666667</v>
      </c>
      <c r="V261" s="234" t="s">
        <v>255</v>
      </c>
      <c r="W261" s="50">
        <f>IFERROR(IF(N261="ROW",0,(WTG_BD[[#This Row],[Breakdown Time]]*WTG_BD[[#This Row],[Plant Equivalent Weightage]])),"")</f>
        <v>3.1159420289855078E-2</v>
      </c>
      <c r="X261" s="50"/>
      <c r="Y261" s="205">
        <v>1</v>
      </c>
      <c r="Z261" s="205"/>
      <c r="AA261" s="4">
        <v>0.371</v>
      </c>
      <c r="AC261" s="4"/>
    </row>
    <row r="262" spans="1:29">
      <c r="A262" s="10">
        <f t="shared" si="5"/>
        <v>261</v>
      </c>
      <c r="B262" s="43">
        <f>YEAR(WTG_BD[[#This Row],[Date]])+IF(MONTH(WTG_BD[[#This Row],[Date]])&gt;=4,1,0)</f>
        <v>2026</v>
      </c>
      <c r="C262" s="10">
        <v>2025</v>
      </c>
      <c r="D262" s="10" t="s">
        <v>4478</v>
      </c>
      <c r="E262" s="309">
        <f>WTG_BD[[#This Row],[Date]]-DAY(WTG_BD[[#This Row],[Date]])+1</f>
        <v>45748</v>
      </c>
      <c r="F262" s="32">
        <v>45770</v>
      </c>
      <c r="G262" t="s">
        <v>79</v>
      </c>
      <c r="H262" t="str">
        <f>IFERROR(VLOOKUP(WTG_BD[[#This Row],[Affected WTG]],'Basic Data'!$A$3:$E$25,2,0),"")</f>
        <v>O2R3</v>
      </c>
      <c r="I262" t="str">
        <f>IFERROR(VLOOKUP(WTG_BD[[#This Row],[Affected WTG]],'Basic Data'!$A$3:$E$25,3,0),"")</f>
        <v>JK</v>
      </c>
      <c r="J262" s="355">
        <f>IFERROR(VLOOKUP(WTG_BD[[#This Row],[Affected WTG]],'Basic Data'!$A$3:$E$25,5,0),"")</f>
        <v>4.3478260869565223E-2</v>
      </c>
      <c r="K262" s="10">
        <v>704</v>
      </c>
      <c r="L262" t="str">
        <f>IFERROR(VLOOKUP(WTG_BD[[#This Row],[Error Code]],'Basic Data'!S:T,2,0),"Incorrect Error Code")</f>
        <v>Ch High res. load C_ Load:___%</v>
      </c>
      <c r="M262" t="s">
        <v>372</v>
      </c>
      <c r="N262" t="s">
        <v>113</v>
      </c>
      <c r="O262" s="270">
        <v>1.5277777777777777E-2</v>
      </c>
      <c r="P262" s="270">
        <v>1.5277777777777777E-2</v>
      </c>
      <c r="Q262" s="270">
        <v>3.4027777777777775E-2</v>
      </c>
      <c r="R262" s="356">
        <f>(WTG_BD[[#This Row],[Work Start TimeStamp]]-WTG_BD[[#This Row],[Fault Start TimeStamp]])*24</f>
        <v>0</v>
      </c>
      <c r="S262" s="34">
        <f>(WTG_BD[[#This Row],[Fault Clearance time]]-WTG_BD[[#This Row],[Work Start TimeStamp]])*24</f>
        <v>0.4499999999999999</v>
      </c>
      <c r="T262" s="34">
        <f>(WTG_BD[[#This Row],[Fault Clearance time]]-WTG_BD[[#This Row],[Fault Start TimeStamp]])*24</f>
        <v>0.4499999999999999</v>
      </c>
      <c r="U262" t="s">
        <v>4268</v>
      </c>
      <c r="V262" s="234" t="s">
        <v>255</v>
      </c>
      <c r="W262" s="50">
        <f>IFERROR(IF(N262="ROW",0,(WTG_BD[[#This Row],[Breakdown Time]]*WTG_BD[[#This Row],[Plant Equivalent Weightage]])),"")</f>
        <v>1.9565217391304346E-2</v>
      </c>
      <c r="X262" s="50"/>
      <c r="Y262" s="205">
        <v>1</v>
      </c>
      <c r="Z262" s="205"/>
      <c r="AA262" s="4">
        <v>0.193</v>
      </c>
      <c r="AC262" s="4"/>
    </row>
    <row r="263" spans="1:29">
      <c r="A263" s="10">
        <f t="shared" si="5"/>
        <v>262</v>
      </c>
      <c r="B263" s="43">
        <f>YEAR(WTG_BD[[#This Row],[Date]])+IF(MONTH(WTG_BD[[#This Row],[Date]])&gt;=4,1,0)</f>
        <v>2026</v>
      </c>
      <c r="C263" s="10">
        <v>2025</v>
      </c>
      <c r="D263" s="10" t="s">
        <v>4478</v>
      </c>
      <c r="E263" s="309">
        <f>WTG_BD[[#This Row],[Date]]-DAY(WTG_BD[[#This Row],[Date]])+1</f>
        <v>45748</v>
      </c>
      <c r="F263" s="32">
        <v>45770</v>
      </c>
      <c r="G263" t="s">
        <v>79</v>
      </c>
      <c r="H263" t="str">
        <f>IFERROR(VLOOKUP(WTG_BD[[#This Row],[Affected WTG]],'Basic Data'!$A$3:$E$25,2,0),"")</f>
        <v>O2R3</v>
      </c>
      <c r="I263" t="str">
        <f>IFERROR(VLOOKUP(WTG_BD[[#This Row],[Affected WTG]],'Basic Data'!$A$3:$E$25,3,0),"")</f>
        <v>JK</v>
      </c>
      <c r="J263" s="355">
        <f>IFERROR(VLOOKUP(WTG_BD[[#This Row],[Affected WTG]],'Basic Data'!$A$3:$E$25,5,0),"")</f>
        <v>4.3478260869565223E-2</v>
      </c>
      <c r="K263" s="10">
        <v>704</v>
      </c>
      <c r="L263" t="str">
        <f>IFERROR(VLOOKUP(WTG_BD[[#This Row],[Error Code]],'Basic Data'!S:T,2,0),"Incorrect Error Code")</f>
        <v>Ch High res. load C_ Load:___%</v>
      </c>
      <c r="M263" t="s">
        <v>372</v>
      </c>
      <c r="N263" t="s">
        <v>113</v>
      </c>
      <c r="O263" s="270">
        <v>5.8333333333333334E-2</v>
      </c>
      <c r="P263" s="270">
        <v>5.8333333333333334E-2</v>
      </c>
      <c r="Q263" s="270">
        <v>6.8750000000000006E-2</v>
      </c>
      <c r="R263" s="356">
        <f>(WTG_BD[[#This Row],[Work Start TimeStamp]]-WTG_BD[[#This Row],[Fault Start TimeStamp]])*24</f>
        <v>0</v>
      </c>
      <c r="S263" s="34">
        <f>(WTG_BD[[#This Row],[Fault Clearance time]]-WTG_BD[[#This Row],[Work Start TimeStamp]])*24</f>
        <v>0.25000000000000011</v>
      </c>
      <c r="T263" s="34">
        <f>(WTG_BD[[#This Row],[Fault Clearance time]]-WTG_BD[[#This Row],[Fault Start TimeStamp]])*24</f>
        <v>0.25000000000000011</v>
      </c>
      <c r="U263" t="s">
        <v>4268</v>
      </c>
      <c r="V263" s="234" t="s">
        <v>255</v>
      </c>
      <c r="W263" s="50">
        <f>IFERROR(IF(N263="ROW",0,(WTG_BD[[#This Row],[Breakdown Time]]*WTG_BD[[#This Row],[Plant Equivalent Weightage]])),"")</f>
        <v>1.0869565217391311E-2</v>
      </c>
      <c r="X263" s="50"/>
      <c r="Y263" s="205">
        <v>1</v>
      </c>
      <c r="Z263" s="205"/>
      <c r="AA263" s="4">
        <v>5.6000000000000001E-2</v>
      </c>
      <c r="AC263" s="4"/>
    </row>
    <row r="264" spans="1:29">
      <c r="A264" s="10">
        <f t="shared" si="5"/>
        <v>263</v>
      </c>
      <c r="B264" s="43">
        <f>YEAR(WTG_BD[[#This Row],[Date]])+IF(MONTH(WTG_BD[[#This Row],[Date]])&gt;=4,1,0)</f>
        <v>2026</v>
      </c>
      <c r="C264" s="10">
        <v>2025</v>
      </c>
      <c r="D264" s="10" t="s">
        <v>4478</v>
      </c>
      <c r="E264" s="309">
        <f>WTG_BD[[#This Row],[Date]]-DAY(WTG_BD[[#This Row],[Date]])+1</f>
        <v>45748</v>
      </c>
      <c r="F264" s="32">
        <v>45770</v>
      </c>
      <c r="G264" t="s">
        <v>79</v>
      </c>
      <c r="H264" t="str">
        <f>IFERROR(VLOOKUP(WTG_BD[[#This Row],[Affected WTG]],'Basic Data'!$A$3:$E$25,2,0),"")</f>
        <v>O2R3</v>
      </c>
      <c r="I264" t="str">
        <f>IFERROR(VLOOKUP(WTG_BD[[#This Row],[Affected WTG]],'Basic Data'!$A$3:$E$25,3,0),"")</f>
        <v>JK</v>
      </c>
      <c r="J264" s="355">
        <f>IFERROR(VLOOKUP(WTG_BD[[#This Row],[Affected WTG]],'Basic Data'!$A$3:$E$25,5,0),"")</f>
        <v>4.3478260869565223E-2</v>
      </c>
      <c r="K264" s="10">
        <v>704</v>
      </c>
      <c r="L264" t="str">
        <f>IFERROR(VLOOKUP(WTG_BD[[#This Row],[Error Code]],'Basic Data'!S:T,2,0),"Incorrect Error Code")</f>
        <v>Ch High res. load C_ Load:___%</v>
      </c>
      <c r="M264" t="s">
        <v>372</v>
      </c>
      <c r="N264" t="s">
        <v>113</v>
      </c>
      <c r="O264" s="270">
        <v>7.6388888888888895E-2</v>
      </c>
      <c r="P264" s="270">
        <v>7.6388888888888895E-2</v>
      </c>
      <c r="Q264" s="270">
        <v>9.375E-2</v>
      </c>
      <c r="R264" s="356">
        <f>(WTG_BD[[#This Row],[Work Start TimeStamp]]-WTG_BD[[#This Row],[Fault Start TimeStamp]])*24</f>
        <v>0</v>
      </c>
      <c r="S264" s="34">
        <f>(WTG_BD[[#This Row],[Fault Clearance time]]-WTG_BD[[#This Row],[Work Start TimeStamp]])*24</f>
        <v>0.41666666666666652</v>
      </c>
      <c r="T264" s="34">
        <f>(WTG_BD[[#This Row],[Fault Clearance time]]-WTG_BD[[#This Row],[Fault Start TimeStamp]])*24</f>
        <v>0.41666666666666652</v>
      </c>
      <c r="U264" t="s">
        <v>4268</v>
      </c>
      <c r="V264" s="234" t="s">
        <v>255</v>
      </c>
      <c r="W264" s="50">
        <f>IFERROR(IF(N264="ROW",0,(WTG_BD[[#This Row],[Breakdown Time]]*WTG_BD[[#This Row],[Plant Equivalent Weightage]])),"")</f>
        <v>1.8115942028985504E-2</v>
      </c>
      <c r="X264" s="50"/>
      <c r="Y264" s="205">
        <v>1</v>
      </c>
      <c r="Z264" s="205"/>
      <c r="AA264" s="4">
        <v>6.6000000000000003E-2</v>
      </c>
      <c r="AC264" s="4"/>
    </row>
    <row r="265" spans="1:29">
      <c r="A265" s="10">
        <f t="shared" si="5"/>
        <v>264</v>
      </c>
      <c r="B265" s="43">
        <f>YEAR(WTG_BD[[#This Row],[Date]])+IF(MONTH(WTG_BD[[#This Row],[Date]])&gt;=4,1,0)</f>
        <v>2026</v>
      </c>
      <c r="C265" s="10">
        <v>2025</v>
      </c>
      <c r="D265" s="10" t="s">
        <v>4478</v>
      </c>
      <c r="E265" s="309">
        <f>WTG_BD[[#This Row],[Date]]-DAY(WTG_BD[[#This Row],[Date]])+1</f>
        <v>45748</v>
      </c>
      <c r="F265" s="32">
        <v>45770</v>
      </c>
      <c r="G265" t="s">
        <v>79</v>
      </c>
      <c r="H265" t="str">
        <f>IFERROR(VLOOKUP(WTG_BD[[#This Row],[Affected WTG]],'Basic Data'!$A$3:$E$25,2,0),"")</f>
        <v>O2R3</v>
      </c>
      <c r="I265" t="str">
        <f>IFERROR(VLOOKUP(WTG_BD[[#This Row],[Affected WTG]],'Basic Data'!$A$3:$E$25,3,0),"")</f>
        <v>JK</v>
      </c>
      <c r="J265" s="355">
        <f>IFERROR(VLOOKUP(WTG_BD[[#This Row],[Affected WTG]],'Basic Data'!$A$3:$E$25,5,0),"")</f>
        <v>4.3478260869565223E-2</v>
      </c>
      <c r="K265" s="10">
        <v>704</v>
      </c>
      <c r="L265" t="str">
        <f>IFERROR(VLOOKUP(WTG_BD[[#This Row],[Error Code]],'Basic Data'!S:T,2,0),"Incorrect Error Code")</f>
        <v>Ch High res. load C_ Load:___%</v>
      </c>
      <c r="M265" t="s">
        <v>372</v>
      </c>
      <c r="N265" t="s">
        <v>113</v>
      </c>
      <c r="O265" s="270">
        <v>0.11388888888888889</v>
      </c>
      <c r="P265" s="270">
        <v>0.11388888888888889</v>
      </c>
      <c r="Q265" s="270">
        <v>0.11805555555555555</v>
      </c>
      <c r="R265" s="356">
        <f>(WTG_BD[[#This Row],[Work Start TimeStamp]]-WTG_BD[[#This Row],[Fault Start TimeStamp]])*24</f>
        <v>0</v>
      </c>
      <c r="S265" s="34">
        <f>(WTG_BD[[#This Row],[Fault Clearance time]]-WTG_BD[[#This Row],[Work Start TimeStamp]])*24</f>
        <v>9.9999999999999978E-2</v>
      </c>
      <c r="T265" s="34">
        <f>(WTG_BD[[#This Row],[Fault Clearance time]]-WTG_BD[[#This Row],[Fault Start TimeStamp]])*24</f>
        <v>9.9999999999999978E-2</v>
      </c>
      <c r="U265" t="s">
        <v>4268</v>
      </c>
      <c r="V265" s="234" t="s">
        <v>255</v>
      </c>
      <c r="W265" s="50">
        <f>IFERROR(IF(N265="ROW",0,(WTG_BD[[#This Row],[Breakdown Time]]*WTG_BD[[#This Row],[Plant Equivalent Weightage]])),"")</f>
        <v>4.3478260869565209E-3</v>
      </c>
      <c r="X265" s="50"/>
      <c r="Y265" s="205">
        <v>1</v>
      </c>
      <c r="Z265" s="205"/>
      <c r="AA265" s="4">
        <v>2.5000000000000001E-2</v>
      </c>
      <c r="AC265" s="4"/>
    </row>
    <row r="266" spans="1:29">
      <c r="A266" s="10">
        <f t="shared" si="5"/>
        <v>265</v>
      </c>
      <c r="B266" s="43">
        <f>YEAR(WTG_BD[[#This Row],[Date]])+IF(MONTH(WTG_BD[[#This Row],[Date]])&gt;=4,1,0)</f>
        <v>2026</v>
      </c>
      <c r="C266" s="10">
        <v>2025</v>
      </c>
      <c r="D266" s="10" t="s">
        <v>4478</v>
      </c>
      <c r="E266" s="309">
        <f>WTG_BD[[#This Row],[Date]]-DAY(WTG_BD[[#This Row],[Date]])+1</f>
        <v>45748</v>
      </c>
      <c r="F266" s="32">
        <v>45770</v>
      </c>
      <c r="G266" t="s">
        <v>79</v>
      </c>
      <c r="H266" t="str">
        <f>IFERROR(VLOOKUP(WTG_BD[[#This Row],[Affected WTG]],'Basic Data'!$A$3:$E$25,2,0),"")</f>
        <v>O2R3</v>
      </c>
      <c r="I266" t="str">
        <f>IFERROR(VLOOKUP(WTG_BD[[#This Row],[Affected WTG]],'Basic Data'!$A$3:$E$25,3,0),"")</f>
        <v>JK</v>
      </c>
      <c r="J266" s="355">
        <f>IFERROR(VLOOKUP(WTG_BD[[#This Row],[Affected WTG]],'Basic Data'!$A$3:$E$25,5,0),"")</f>
        <v>4.3478260869565223E-2</v>
      </c>
      <c r="K266" s="10">
        <v>704</v>
      </c>
      <c r="L266" t="str">
        <f>IFERROR(VLOOKUP(WTG_BD[[#This Row],[Error Code]],'Basic Data'!S:T,2,0),"Incorrect Error Code")</f>
        <v>Ch High res. load C_ Load:___%</v>
      </c>
      <c r="M266" t="s">
        <v>372</v>
      </c>
      <c r="N266" t="s">
        <v>113</v>
      </c>
      <c r="O266" s="270">
        <v>0.12986111111111112</v>
      </c>
      <c r="P266" s="270">
        <v>0.12986111111111112</v>
      </c>
      <c r="Q266" s="270">
        <v>0.16805555555555557</v>
      </c>
      <c r="R266" s="356">
        <f>(WTG_BD[[#This Row],[Work Start TimeStamp]]-WTG_BD[[#This Row],[Fault Start TimeStamp]])*24</f>
        <v>0</v>
      </c>
      <c r="S266" s="34">
        <f>(WTG_BD[[#This Row],[Fault Clearance time]]-WTG_BD[[#This Row],[Work Start TimeStamp]])*24</f>
        <v>0.91666666666666674</v>
      </c>
      <c r="T266" s="34">
        <f>(WTG_BD[[#This Row],[Fault Clearance time]]-WTG_BD[[#This Row],[Fault Start TimeStamp]])*24</f>
        <v>0.91666666666666674</v>
      </c>
      <c r="U266" t="s">
        <v>4268</v>
      </c>
      <c r="V266" s="234" t="s">
        <v>255</v>
      </c>
      <c r="W266" s="50">
        <f>IFERROR(IF(N266="ROW",0,(WTG_BD[[#This Row],[Breakdown Time]]*WTG_BD[[#This Row],[Plant Equivalent Weightage]])),"")</f>
        <v>3.9855072463768126E-2</v>
      </c>
      <c r="X266" s="50"/>
      <c r="Y266" s="205">
        <v>1</v>
      </c>
      <c r="Z266" s="205"/>
      <c r="AA266" s="4">
        <v>0.23</v>
      </c>
      <c r="AC266" s="4"/>
    </row>
    <row r="267" spans="1:29">
      <c r="A267" s="10">
        <f t="shared" si="5"/>
        <v>266</v>
      </c>
      <c r="B267" s="43">
        <f>YEAR(WTG_BD[[#This Row],[Date]])+IF(MONTH(WTG_BD[[#This Row],[Date]])&gt;=4,1,0)</f>
        <v>2026</v>
      </c>
      <c r="C267" s="10">
        <v>2025</v>
      </c>
      <c r="D267" s="10" t="s">
        <v>4478</v>
      </c>
      <c r="E267" s="309">
        <f>WTG_BD[[#This Row],[Date]]-DAY(WTG_BD[[#This Row],[Date]])+1</f>
        <v>45748</v>
      </c>
      <c r="F267" s="32">
        <v>45770</v>
      </c>
      <c r="G267" t="s">
        <v>92</v>
      </c>
      <c r="H267" t="str">
        <f>IFERROR(VLOOKUP(WTG_BD[[#This Row],[Affected WTG]],'Basic Data'!$A$3:$E$25,2,0),"")</f>
        <v>O2R2</v>
      </c>
      <c r="I267" t="str">
        <f>IFERROR(VLOOKUP(WTG_BD[[#This Row],[Affected WTG]],'Basic Data'!$A$3:$E$25,3,0),"")</f>
        <v>SIL</v>
      </c>
      <c r="J267" s="355">
        <f>IFERROR(VLOOKUP(WTG_BD[[#This Row],[Affected WTG]],'Basic Data'!$A$3:$E$25,5,0),"")</f>
        <v>4.3478260869565223E-2</v>
      </c>
      <c r="K267" s="10">
        <v>704</v>
      </c>
      <c r="L267" t="str">
        <f>IFERROR(VLOOKUP(WTG_BD[[#This Row],[Error Code]],'Basic Data'!S:T,2,0),"Incorrect Error Code")</f>
        <v>Ch High res. load C_ Load:___%</v>
      </c>
      <c r="M267" t="s">
        <v>372</v>
      </c>
      <c r="N267" t="s">
        <v>113</v>
      </c>
      <c r="O267" s="270">
        <v>0.14305555555555555</v>
      </c>
      <c r="P267" s="270">
        <v>0.14305555555555555</v>
      </c>
      <c r="Q267" s="270">
        <v>0.17291666666666666</v>
      </c>
      <c r="R267" s="356">
        <f>(WTG_BD[[#This Row],[Work Start TimeStamp]]-WTG_BD[[#This Row],[Fault Start TimeStamp]])*24</f>
        <v>0</v>
      </c>
      <c r="S267" s="34">
        <f>(WTG_BD[[#This Row],[Fault Clearance time]]-WTG_BD[[#This Row],[Work Start TimeStamp]])*24</f>
        <v>0.71666666666666679</v>
      </c>
      <c r="T267" s="34">
        <f>(WTG_BD[[#This Row],[Fault Clearance time]]-WTG_BD[[#This Row],[Fault Start TimeStamp]])*24</f>
        <v>0.71666666666666679</v>
      </c>
      <c r="U267" t="s">
        <v>4268</v>
      </c>
      <c r="V267" s="234" t="s">
        <v>255</v>
      </c>
      <c r="W267" s="50">
        <f>IFERROR(IF(N267="ROW",0,(WTG_BD[[#This Row],[Breakdown Time]]*WTG_BD[[#This Row],[Plant Equivalent Weightage]])),"")</f>
        <v>3.1159420289855081E-2</v>
      </c>
      <c r="X267" s="50"/>
      <c r="Y267" s="205">
        <v>1</v>
      </c>
      <c r="Z267" s="205"/>
      <c r="AA267" s="4">
        <v>0.30299999999999999</v>
      </c>
      <c r="AC267" s="4"/>
    </row>
    <row r="268" spans="1:29">
      <c r="A268" s="10">
        <f t="shared" si="5"/>
        <v>267</v>
      </c>
      <c r="B268" s="43">
        <f>YEAR(WTG_BD[[#This Row],[Date]])+IF(MONTH(WTG_BD[[#This Row],[Date]])&gt;=4,1,0)</f>
        <v>2026</v>
      </c>
      <c r="C268" s="10">
        <v>2025</v>
      </c>
      <c r="D268" s="10" t="s">
        <v>4478</v>
      </c>
      <c r="E268" s="309">
        <f>WTG_BD[[#This Row],[Date]]-DAY(WTG_BD[[#This Row],[Date]])+1</f>
        <v>45748</v>
      </c>
      <c r="F268" s="32">
        <v>45770</v>
      </c>
      <c r="G268" t="s">
        <v>96</v>
      </c>
      <c r="H268" t="str">
        <f>IFERROR(VLOOKUP(WTG_BD[[#This Row],[Affected WTG]],'Basic Data'!$A$3:$E$25,2,0),"")</f>
        <v>O2R3</v>
      </c>
      <c r="I268" t="str">
        <f>IFERROR(VLOOKUP(WTG_BD[[#This Row],[Affected WTG]],'Basic Data'!$A$3:$E$25,3,0),"")</f>
        <v>JK</v>
      </c>
      <c r="J268" s="355">
        <f>IFERROR(VLOOKUP(WTG_BD[[#This Row],[Affected WTG]],'Basic Data'!$A$3:$E$25,5,0),"")</f>
        <v>4.3478260869565223E-2</v>
      </c>
      <c r="K268" s="10">
        <v>704</v>
      </c>
      <c r="L268" t="str">
        <f>IFERROR(VLOOKUP(WTG_BD[[#This Row],[Error Code]],'Basic Data'!S:T,2,0),"Incorrect Error Code")</f>
        <v>Ch High res. load C_ Load:___%</v>
      </c>
      <c r="M268" t="s">
        <v>372</v>
      </c>
      <c r="N268" t="s">
        <v>113</v>
      </c>
      <c r="O268" s="270">
        <v>0.14374999999999999</v>
      </c>
      <c r="P268" s="270">
        <v>0.14374999999999999</v>
      </c>
      <c r="Q268" s="270">
        <v>0.17291666666666666</v>
      </c>
      <c r="R268" s="356">
        <f>(WTG_BD[[#This Row],[Work Start TimeStamp]]-WTG_BD[[#This Row],[Fault Start TimeStamp]])*24</f>
        <v>0</v>
      </c>
      <c r="S268" s="34">
        <f>(WTG_BD[[#This Row],[Fault Clearance time]]-WTG_BD[[#This Row],[Work Start TimeStamp]])*24</f>
        <v>0.70000000000000018</v>
      </c>
      <c r="T268" s="34">
        <f>(WTG_BD[[#This Row],[Fault Clearance time]]-WTG_BD[[#This Row],[Fault Start TimeStamp]])*24</f>
        <v>0.70000000000000018</v>
      </c>
      <c r="U268" t="s">
        <v>4268</v>
      </c>
      <c r="V268" s="234" t="s">
        <v>255</v>
      </c>
      <c r="W268" s="50">
        <f>IFERROR(IF(N268="ROW",0,(WTG_BD[[#This Row],[Breakdown Time]]*WTG_BD[[#This Row],[Plant Equivalent Weightage]])),"")</f>
        <v>3.0434782608695664E-2</v>
      </c>
      <c r="X268" s="50"/>
      <c r="Y268" s="205">
        <v>1</v>
      </c>
      <c r="Z268" s="205"/>
      <c r="AA268" s="4">
        <v>0.182</v>
      </c>
      <c r="AC268" s="4"/>
    </row>
    <row r="269" spans="1:29">
      <c r="A269" s="10">
        <f t="shared" si="5"/>
        <v>268</v>
      </c>
      <c r="B269" s="43">
        <f>YEAR(WTG_BD[[#This Row],[Date]])+IF(MONTH(WTG_BD[[#This Row],[Date]])&gt;=4,1,0)</f>
        <v>2026</v>
      </c>
      <c r="C269" s="10">
        <v>2025</v>
      </c>
      <c r="D269" s="10" t="s">
        <v>4478</v>
      </c>
      <c r="E269" s="309">
        <f>WTG_BD[[#This Row],[Date]]-DAY(WTG_BD[[#This Row],[Date]])+1</f>
        <v>45748</v>
      </c>
      <c r="F269" s="32">
        <v>45770</v>
      </c>
      <c r="G269" t="s">
        <v>96</v>
      </c>
      <c r="H269" t="str">
        <f>IFERROR(VLOOKUP(WTG_BD[[#This Row],[Affected WTG]],'Basic Data'!$A$3:$E$25,2,0),"")</f>
        <v>O2R3</v>
      </c>
      <c r="I269" t="str">
        <f>IFERROR(VLOOKUP(WTG_BD[[#This Row],[Affected WTG]],'Basic Data'!$A$3:$E$25,3,0),"")</f>
        <v>JK</v>
      </c>
      <c r="J269" s="355">
        <f>IFERROR(VLOOKUP(WTG_BD[[#This Row],[Affected WTG]],'Basic Data'!$A$3:$E$25,5,0),"")</f>
        <v>4.3478260869565223E-2</v>
      </c>
      <c r="K269" s="10">
        <v>704</v>
      </c>
      <c r="L269" t="str">
        <f>IFERROR(VLOOKUP(WTG_BD[[#This Row],[Error Code]],'Basic Data'!S:T,2,0),"Incorrect Error Code")</f>
        <v>Ch High res. load C_ Load:___%</v>
      </c>
      <c r="M269" t="s">
        <v>372</v>
      </c>
      <c r="N269" t="s">
        <v>113</v>
      </c>
      <c r="O269" s="270">
        <v>0.2</v>
      </c>
      <c r="P269" s="270">
        <v>0.2</v>
      </c>
      <c r="Q269" s="270">
        <v>0.21180555555555555</v>
      </c>
      <c r="R269" s="356">
        <f>(WTG_BD[[#This Row],[Work Start TimeStamp]]-WTG_BD[[#This Row],[Fault Start TimeStamp]])*24</f>
        <v>0</v>
      </c>
      <c r="S269" s="34">
        <f>(WTG_BD[[#This Row],[Fault Clearance time]]-WTG_BD[[#This Row],[Work Start TimeStamp]])*24</f>
        <v>0.28333333333333299</v>
      </c>
      <c r="T269" s="34">
        <f>(WTG_BD[[#This Row],[Fault Clearance time]]-WTG_BD[[#This Row],[Fault Start TimeStamp]])*24</f>
        <v>0.28333333333333299</v>
      </c>
      <c r="U269" t="s">
        <v>4268</v>
      </c>
      <c r="V269" s="234" t="s">
        <v>255</v>
      </c>
      <c r="W269" s="50">
        <f>IFERROR(IF(N269="ROW",0,(WTG_BD[[#This Row],[Breakdown Time]]*WTG_BD[[#This Row],[Plant Equivalent Weightage]])),"")</f>
        <v>1.2318840579710132E-2</v>
      </c>
      <c r="X269" s="50"/>
      <c r="Y269" s="205">
        <v>1</v>
      </c>
      <c r="Z269" s="205"/>
      <c r="AA269" s="4">
        <v>7.0000000000000007E-2</v>
      </c>
      <c r="AC269" s="4"/>
    </row>
    <row r="270" spans="1:29">
      <c r="A270" s="10">
        <f t="shared" si="5"/>
        <v>269</v>
      </c>
      <c r="B270" s="43">
        <f>YEAR(WTG_BD[[#This Row],[Date]])+IF(MONTH(WTG_BD[[#This Row],[Date]])&gt;=4,1,0)</f>
        <v>2026</v>
      </c>
      <c r="C270" s="10">
        <v>2025</v>
      </c>
      <c r="D270" s="10" t="s">
        <v>4478</v>
      </c>
      <c r="E270" s="309">
        <f>WTG_BD[[#This Row],[Date]]-DAY(WTG_BD[[#This Row],[Date]])+1</f>
        <v>45748</v>
      </c>
      <c r="F270" s="32">
        <v>45770</v>
      </c>
      <c r="G270" t="s">
        <v>97</v>
      </c>
      <c r="H270" t="str">
        <f>IFERROR(VLOOKUP(WTG_BD[[#This Row],[Affected WTG]],'Basic Data'!$A$3:$E$25,2,0),"")</f>
        <v>O2R3</v>
      </c>
      <c r="I270" t="str">
        <f>IFERROR(VLOOKUP(WTG_BD[[#This Row],[Affected WTG]],'Basic Data'!$A$3:$E$25,3,0),"")</f>
        <v>JK</v>
      </c>
      <c r="J270" s="355">
        <f>IFERROR(VLOOKUP(WTG_BD[[#This Row],[Affected WTG]],'Basic Data'!$A$3:$E$25,5,0),"")</f>
        <v>4.3478260869565223E-2</v>
      </c>
      <c r="K270" s="10">
        <v>704</v>
      </c>
      <c r="L270" t="str">
        <f>IFERROR(VLOOKUP(WTG_BD[[#This Row],[Error Code]],'Basic Data'!S:T,2,0),"Incorrect Error Code")</f>
        <v>Ch High res. load C_ Load:___%</v>
      </c>
      <c r="M270" t="s">
        <v>372</v>
      </c>
      <c r="N270" t="s">
        <v>113</v>
      </c>
      <c r="O270" s="270">
        <v>0.14861111111111111</v>
      </c>
      <c r="P270" s="270">
        <v>0.14861111111111111</v>
      </c>
      <c r="Q270" s="270">
        <v>0.17291666666666666</v>
      </c>
      <c r="R270" s="356">
        <f>(WTG_BD[[#This Row],[Work Start TimeStamp]]-WTG_BD[[#This Row],[Fault Start TimeStamp]])*24</f>
        <v>0</v>
      </c>
      <c r="S270" s="34">
        <f>(WTG_BD[[#This Row],[Fault Clearance time]]-WTG_BD[[#This Row],[Work Start TimeStamp]])*24</f>
        <v>0.58333333333333326</v>
      </c>
      <c r="T270" s="34">
        <f>(WTG_BD[[#This Row],[Fault Clearance time]]-WTG_BD[[#This Row],[Fault Start TimeStamp]])*24</f>
        <v>0.58333333333333326</v>
      </c>
      <c r="U270" t="s">
        <v>4268</v>
      </c>
      <c r="V270" s="234" t="s">
        <v>255</v>
      </c>
      <c r="W270" s="50">
        <f>IFERROR(IF(N270="ROW",0,(WTG_BD[[#This Row],[Breakdown Time]]*WTG_BD[[#This Row],[Plant Equivalent Weightage]])),"")</f>
        <v>2.5362318840579712E-2</v>
      </c>
      <c r="X270" s="50"/>
      <c r="Y270" s="205">
        <v>1</v>
      </c>
      <c r="Z270" s="205"/>
      <c r="AA270" s="4">
        <v>0.222</v>
      </c>
      <c r="AC270" s="4"/>
    </row>
    <row r="271" spans="1:29">
      <c r="A271" s="10">
        <f t="shared" si="5"/>
        <v>270</v>
      </c>
      <c r="B271" s="43">
        <f>YEAR(WTG_BD[[#This Row],[Date]])+IF(MONTH(WTG_BD[[#This Row],[Date]])&gt;=4,1,0)</f>
        <v>2026</v>
      </c>
      <c r="C271" s="10">
        <v>2025</v>
      </c>
      <c r="D271" s="10" t="s">
        <v>4478</v>
      </c>
      <c r="E271" s="309">
        <f>WTG_BD[[#This Row],[Date]]-DAY(WTG_BD[[#This Row],[Date]])+1</f>
        <v>45748</v>
      </c>
      <c r="F271" s="32">
        <v>45770</v>
      </c>
      <c r="G271" t="s">
        <v>87</v>
      </c>
      <c r="H271" t="str">
        <f>IFERROR(VLOOKUP(WTG_BD[[#This Row],[Affected WTG]],'Basic Data'!$A$3:$E$25,2,0),"")</f>
        <v>O2R1</v>
      </c>
      <c r="I271" t="str">
        <f>IFERROR(VLOOKUP(WTG_BD[[#This Row],[Affected WTG]],'Basic Data'!$A$3:$E$25,3,0),"")</f>
        <v>KSIPL</v>
      </c>
      <c r="J271" s="355">
        <f>IFERROR(VLOOKUP(WTG_BD[[#This Row],[Affected WTG]],'Basic Data'!$A$3:$E$25,5,0),"")</f>
        <v>4.3478260869565223E-2</v>
      </c>
      <c r="K271" s="10">
        <v>309</v>
      </c>
      <c r="L271" t="str">
        <f>IFERROR(VLOOKUP(WTG_BD[[#This Row],[Error Code]],'Basic Data'!S:T,2,0),"Incorrect Error Code")</f>
        <v>Pause over RCS __0</v>
      </c>
      <c r="M271" t="s">
        <v>871</v>
      </c>
      <c r="N271" t="s">
        <v>257</v>
      </c>
      <c r="O271" s="270">
        <v>0.44444444444444442</v>
      </c>
      <c r="P271" s="270">
        <v>0.44444444444444442</v>
      </c>
      <c r="Q271" s="270">
        <v>0.69722222222222219</v>
      </c>
      <c r="R271" s="356">
        <f>(WTG_BD[[#This Row],[Work Start TimeStamp]]-WTG_BD[[#This Row],[Fault Start TimeStamp]])*24</f>
        <v>0</v>
      </c>
      <c r="S271" s="34">
        <f>(WTG_BD[[#This Row],[Fault Clearance time]]-WTG_BD[[#This Row],[Work Start TimeStamp]])*24</f>
        <v>6.0666666666666664</v>
      </c>
      <c r="T271" s="34">
        <f>(WTG_BD[[#This Row],[Fault Clearance time]]-WTG_BD[[#This Row],[Fault Start TimeStamp]])*24</f>
        <v>6.0666666666666664</v>
      </c>
      <c r="U271" t="s">
        <v>4494</v>
      </c>
      <c r="V271" s="234" t="s">
        <v>255</v>
      </c>
      <c r="W271" s="50">
        <f>IFERROR(IF(N271="ROW",0,(WTG_BD[[#This Row],[Breakdown Time]]*WTG_BD[[#This Row],[Plant Equivalent Weightage]])),"")</f>
        <v>0.26376811594202904</v>
      </c>
      <c r="X271" s="50"/>
      <c r="Y271" s="205">
        <v>1</v>
      </c>
      <c r="Z271" s="205"/>
      <c r="AA271" s="4">
        <v>0.17299999999999999</v>
      </c>
      <c r="AC271" s="4"/>
    </row>
    <row r="272" spans="1:29">
      <c r="A272" s="10">
        <f t="shared" si="5"/>
        <v>271</v>
      </c>
      <c r="B272" s="43">
        <f>YEAR(WTG_BD[[#This Row],[Date]])+IF(MONTH(WTG_BD[[#This Row],[Date]])&gt;=4,1,0)</f>
        <v>2026</v>
      </c>
      <c r="C272" s="10">
        <v>2025</v>
      </c>
      <c r="D272" s="10" t="s">
        <v>4478</v>
      </c>
      <c r="E272" s="309">
        <f>WTG_BD[[#This Row],[Date]]-DAY(WTG_BD[[#This Row],[Date]])+1</f>
        <v>45748</v>
      </c>
      <c r="F272" s="32">
        <v>45770</v>
      </c>
      <c r="G272" t="s">
        <v>87</v>
      </c>
      <c r="H272" t="str">
        <f>IFERROR(VLOOKUP(WTG_BD[[#This Row],[Affected WTG]],'Basic Data'!$A$3:$E$25,2,0),"")</f>
        <v>O2R1</v>
      </c>
      <c r="I272" t="str">
        <f>IFERROR(VLOOKUP(WTG_BD[[#This Row],[Affected WTG]],'Basic Data'!$A$3:$E$25,3,0),"")</f>
        <v>KSIPL</v>
      </c>
      <c r="J272" s="355">
        <f>IFERROR(VLOOKUP(WTG_BD[[#This Row],[Affected WTG]],'Basic Data'!$A$3:$E$25,5,0),"")</f>
        <v>4.3478260869565223E-2</v>
      </c>
      <c r="K272" s="10">
        <v>309</v>
      </c>
      <c r="L272" t="str">
        <f>IFERROR(VLOOKUP(WTG_BD[[#This Row],[Error Code]],'Basic Data'!S:T,2,0),"Incorrect Error Code")</f>
        <v>Pause over RCS __0</v>
      </c>
      <c r="M272" t="s">
        <v>871</v>
      </c>
      <c r="N272" t="s">
        <v>257</v>
      </c>
      <c r="O272" s="270">
        <v>0.72916666666666663</v>
      </c>
      <c r="P272" s="270">
        <v>0.72916666666666663</v>
      </c>
      <c r="Q272" s="270">
        <v>0.74444444444444446</v>
      </c>
      <c r="R272" s="356">
        <f>(WTG_BD[[#This Row],[Work Start TimeStamp]]-WTG_BD[[#This Row],[Fault Start TimeStamp]])*24</f>
        <v>0</v>
      </c>
      <c r="S272" s="34">
        <f>(WTG_BD[[#This Row],[Fault Clearance time]]-WTG_BD[[#This Row],[Work Start TimeStamp]])*24</f>
        <v>0.36666666666666803</v>
      </c>
      <c r="T272" s="34">
        <f>(WTG_BD[[#This Row],[Fault Clearance time]]-WTG_BD[[#This Row],[Fault Start TimeStamp]])*24</f>
        <v>0.36666666666666803</v>
      </c>
      <c r="U272" t="s">
        <v>4494</v>
      </c>
      <c r="V272" s="234" t="s">
        <v>255</v>
      </c>
      <c r="W272" s="50">
        <f>IFERROR(IF(N272="ROW",0,(WTG_BD[[#This Row],[Breakdown Time]]*WTG_BD[[#This Row],[Plant Equivalent Weightage]])),"")</f>
        <v>1.5942028985507308E-2</v>
      </c>
      <c r="X272" s="50"/>
      <c r="Y272" s="205">
        <v>1</v>
      </c>
      <c r="Z272" s="205"/>
      <c r="AA272" s="4">
        <v>0.30199999999999999</v>
      </c>
      <c r="AC272" s="4"/>
    </row>
    <row r="273" spans="1:29">
      <c r="A273" s="10">
        <f t="shared" si="5"/>
        <v>272</v>
      </c>
      <c r="B273" s="43">
        <f>YEAR(WTG_BD[[#This Row],[Date]])+IF(MONTH(WTG_BD[[#This Row],[Date]])&gt;=4,1,0)</f>
        <v>2026</v>
      </c>
      <c r="C273" s="10">
        <v>2025</v>
      </c>
      <c r="D273" s="10" t="s">
        <v>4478</v>
      </c>
      <c r="E273" s="309">
        <f>WTG_BD[[#This Row],[Date]]-DAY(WTG_BD[[#This Row],[Date]])+1</f>
        <v>45748</v>
      </c>
      <c r="F273" s="32">
        <v>45771</v>
      </c>
      <c r="G273" t="s">
        <v>85</v>
      </c>
      <c r="H273" t="str">
        <f>IFERROR(VLOOKUP(WTG_BD[[#This Row],[Affected WTG]],'Basic Data'!$A$3:$E$25,2,0),"")</f>
        <v>O2R1</v>
      </c>
      <c r="I273" t="str">
        <f>IFERROR(VLOOKUP(WTG_BD[[#This Row],[Affected WTG]],'Basic Data'!$A$3:$E$25,3,0),"")</f>
        <v>KSIPL</v>
      </c>
      <c r="J273" s="355">
        <f>IFERROR(VLOOKUP(WTG_BD[[#This Row],[Affected WTG]],'Basic Data'!$A$3:$E$25,5,0),"")</f>
        <v>4.3478260869565223E-2</v>
      </c>
      <c r="K273" s="10">
        <v>3806</v>
      </c>
      <c r="L273" t="str">
        <f>IFERROR(VLOOKUP(WTG_BD[[#This Row],[Error Code]],'Basic Data'!S:T,2,0),"Incorrect Error Code")</f>
        <v>HubSafetySystem Batt.Charg.Err</v>
      </c>
      <c r="M273" t="s">
        <v>381</v>
      </c>
      <c r="N273" t="s">
        <v>113</v>
      </c>
      <c r="O273" s="168">
        <v>0.69027777777777777</v>
      </c>
      <c r="P273" s="168">
        <v>0.69027777777777777</v>
      </c>
      <c r="Q273" s="168">
        <v>0.7006944444444444</v>
      </c>
      <c r="R273" s="356">
        <f>(WTG_BD[[#This Row],[Work Start TimeStamp]]-WTG_BD[[#This Row],[Fault Start TimeStamp]])*24</f>
        <v>0</v>
      </c>
      <c r="S273" s="34">
        <f>(WTG_BD[[#This Row],[Fault Clearance time]]-WTG_BD[[#This Row],[Work Start TimeStamp]])*24</f>
        <v>0.24999999999999911</v>
      </c>
      <c r="T273" s="34">
        <f>(WTG_BD[[#This Row],[Fault Clearance time]]-WTG_BD[[#This Row],[Fault Start TimeStamp]])*24</f>
        <v>0.24999999999999911</v>
      </c>
      <c r="U273" t="s">
        <v>4322</v>
      </c>
      <c r="V273" s="234" t="s">
        <v>255</v>
      </c>
      <c r="W273" s="50">
        <f>IFERROR(IF(N273="ROW",0,(WTG_BD[[#This Row],[Breakdown Time]]*WTG_BD[[#This Row],[Plant Equivalent Weightage]])),"")</f>
        <v>1.0869565217391268E-2</v>
      </c>
      <c r="X273" s="50"/>
      <c r="Y273" s="205">
        <v>1</v>
      </c>
      <c r="Z273" s="205"/>
      <c r="AA273" s="4">
        <v>2.4E-2</v>
      </c>
      <c r="AC273" s="4"/>
    </row>
    <row r="274" spans="1:29">
      <c r="A274" s="10">
        <f t="shared" si="5"/>
        <v>273</v>
      </c>
      <c r="B274" s="43">
        <f>YEAR(WTG_BD[[#This Row],[Date]])+IF(MONTH(WTG_BD[[#This Row],[Date]])&gt;=4,1,0)</f>
        <v>2026</v>
      </c>
      <c r="C274" s="10">
        <v>2025</v>
      </c>
      <c r="D274" s="10" t="s">
        <v>4478</v>
      </c>
      <c r="E274" s="309">
        <f>WTG_BD[[#This Row],[Date]]-DAY(WTG_BD[[#This Row],[Date]])+1</f>
        <v>45748</v>
      </c>
      <c r="F274" s="32">
        <v>45771</v>
      </c>
      <c r="G274" t="s">
        <v>87</v>
      </c>
      <c r="H274" t="str">
        <f>IFERROR(VLOOKUP(WTG_BD[[#This Row],[Affected WTG]],'Basic Data'!$A$3:$E$25,2,0),"")</f>
        <v>O2R1</v>
      </c>
      <c r="I274" t="str">
        <f>IFERROR(VLOOKUP(WTG_BD[[#This Row],[Affected WTG]],'Basic Data'!$A$3:$E$25,3,0),"")</f>
        <v>KSIPL</v>
      </c>
      <c r="J274" s="355">
        <f>IFERROR(VLOOKUP(WTG_BD[[#This Row],[Affected WTG]],'Basic Data'!$A$3:$E$25,5,0),"")</f>
        <v>4.3478260869565223E-2</v>
      </c>
      <c r="K274" s="10">
        <v>309</v>
      </c>
      <c r="L274" t="str">
        <f>IFERROR(VLOOKUP(WTG_BD[[#This Row],[Error Code]],'Basic Data'!S:T,2,0),"Incorrect Error Code")</f>
        <v>Pause over RCS __0</v>
      </c>
      <c r="M274" t="s">
        <v>871</v>
      </c>
      <c r="N274" t="s">
        <v>257</v>
      </c>
      <c r="O274" s="168">
        <v>0.45833333333333331</v>
      </c>
      <c r="P274" s="168">
        <v>0.45833333333333331</v>
      </c>
      <c r="Q274" s="168">
        <v>0.65833333333333333</v>
      </c>
      <c r="R274" s="356">
        <f>(WTG_BD[[#This Row],[Work Start TimeStamp]]-WTG_BD[[#This Row],[Fault Start TimeStamp]])*24</f>
        <v>0</v>
      </c>
      <c r="S274" s="34">
        <f>(WTG_BD[[#This Row],[Fault Clearance time]]-WTG_BD[[#This Row],[Work Start TimeStamp]])*24</f>
        <v>4.8000000000000007</v>
      </c>
      <c r="T274" s="34">
        <f>(WTG_BD[[#This Row],[Fault Clearance time]]-WTG_BD[[#This Row],[Fault Start TimeStamp]])*24</f>
        <v>4.8000000000000007</v>
      </c>
      <c r="U274" t="s">
        <v>4493</v>
      </c>
      <c r="V274" s="234" t="s">
        <v>255</v>
      </c>
      <c r="W274" s="50">
        <f>IFERROR(IF(N274="ROW",0,(WTG_BD[[#This Row],[Breakdown Time]]*WTG_BD[[#This Row],[Plant Equivalent Weightage]])),"")</f>
        <v>0.20869565217391312</v>
      </c>
      <c r="X274" s="50"/>
      <c r="Y274" s="205">
        <v>1</v>
      </c>
      <c r="Z274" s="205"/>
      <c r="AA274" s="4">
        <v>7.3999999999999996E-2</v>
      </c>
      <c r="AC274" s="4"/>
    </row>
    <row r="275" spans="1:29">
      <c r="A275" s="10">
        <f t="shared" si="5"/>
        <v>274</v>
      </c>
      <c r="B275" s="43">
        <f>YEAR(WTG_BD[[#This Row],[Date]])+IF(MONTH(WTG_BD[[#This Row],[Date]])&gt;=4,1,0)</f>
        <v>2026</v>
      </c>
      <c r="C275" s="10">
        <v>2025</v>
      </c>
      <c r="D275" s="10" t="s">
        <v>4478</v>
      </c>
      <c r="E275" s="309">
        <f>WTG_BD[[#This Row],[Date]]-DAY(WTG_BD[[#This Row],[Date]])+1</f>
        <v>45748</v>
      </c>
      <c r="F275" s="32">
        <v>45771</v>
      </c>
      <c r="G275" t="s">
        <v>87</v>
      </c>
      <c r="H275" t="str">
        <f>IFERROR(VLOOKUP(WTG_BD[[#This Row],[Affected WTG]],'Basic Data'!$A$3:$E$25,2,0),"")</f>
        <v>O2R1</v>
      </c>
      <c r="I275" t="str">
        <f>IFERROR(VLOOKUP(WTG_BD[[#This Row],[Affected WTG]],'Basic Data'!$A$3:$E$25,3,0),"")</f>
        <v>KSIPL</v>
      </c>
      <c r="J275" s="355">
        <f>IFERROR(VLOOKUP(WTG_BD[[#This Row],[Affected WTG]],'Basic Data'!$A$3:$E$25,5,0),"")</f>
        <v>4.3478260869565223E-2</v>
      </c>
      <c r="K275" s="10">
        <v>309</v>
      </c>
      <c r="L275" t="str">
        <f>IFERROR(VLOOKUP(WTG_BD[[#This Row],[Error Code]],'Basic Data'!S:T,2,0),"Incorrect Error Code")</f>
        <v>Pause over RCS __0</v>
      </c>
      <c r="M275" t="s">
        <v>871</v>
      </c>
      <c r="N275" t="s">
        <v>257</v>
      </c>
      <c r="O275" s="168">
        <v>0.7</v>
      </c>
      <c r="P275" s="168">
        <v>0.7</v>
      </c>
      <c r="Q275" s="168">
        <v>0.73402777777777772</v>
      </c>
      <c r="R275" s="356">
        <f>(WTG_BD[[#This Row],[Work Start TimeStamp]]-WTG_BD[[#This Row],[Fault Start TimeStamp]])*24</f>
        <v>0</v>
      </c>
      <c r="S275" s="34">
        <f>(WTG_BD[[#This Row],[Fault Clearance time]]-WTG_BD[[#This Row],[Work Start TimeStamp]])*24</f>
        <v>0.81666666666666643</v>
      </c>
      <c r="T275" s="34">
        <f>(WTG_BD[[#This Row],[Fault Clearance time]]-WTG_BD[[#This Row],[Fault Start TimeStamp]])*24</f>
        <v>0.81666666666666643</v>
      </c>
      <c r="U275" t="s">
        <v>4493</v>
      </c>
      <c r="V275" s="234" t="s">
        <v>255</v>
      </c>
      <c r="W275" s="50">
        <f>IFERROR(IF(N275="ROW",0,(WTG_BD[[#This Row],[Breakdown Time]]*WTG_BD[[#This Row],[Plant Equivalent Weightage]])),"")</f>
        <v>3.5507246376811588E-2</v>
      </c>
      <c r="X275" s="50"/>
      <c r="Y275" s="205">
        <v>1</v>
      </c>
      <c r="Z275" s="205"/>
      <c r="AA275" s="4">
        <v>0.217</v>
      </c>
      <c r="AC275" s="4"/>
    </row>
    <row r="276" spans="1:29">
      <c r="A276" s="10">
        <f t="shared" si="5"/>
        <v>275</v>
      </c>
      <c r="B276" s="43">
        <f>YEAR(WTG_BD[[#This Row],[Date]])+IF(MONTH(WTG_BD[[#This Row],[Date]])&gt;=4,1,0)</f>
        <v>2026</v>
      </c>
      <c r="C276" s="10">
        <v>2025</v>
      </c>
      <c r="D276" s="10" t="s">
        <v>4478</v>
      </c>
      <c r="E276" s="309">
        <f>WTG_BD[[#This Row],[Date]]-DAY(WTG_BD[[#This Row],[Date]])+1</f>
        <v>45748</v>
      </c>
      <c r="F276" s="32">
        <v>45771</v>
      </c>
      <c r="G276" t="s">
        <v>90</v>
      </c>
      <c r="H276" t="str">
        <f>IFERROR(VLOOKUP(WTG_BD[[#This Row],[Affected WTG]],'Basic Data'!$A$3:$E$25,2,0),"")</f>
        <v>O2R1</v>
      </c>
      <c r="I276" t="str">
        <f>IFERROR(VLOOKUP(WTG_BD[[#This Row],[Affected WTG]],'Basic Data'!$A$3:$E$25,3,0),"")</f>
        <v>KSIPL</v>
      </c>
      <c r="J276" s="355">
        <f>IFERROR(VLOOKUP(WTG_BD[[#This Row],[Affected WTG]],'Basic Data'!$A$3:$E$25,5,0),"")</f>
        <v>4.3478260869565223E-2</v>
      </c>
      <c r="K276" s="10">
        <v>3273</v>
      </c>
      <c r="L276" t="str">
        <f>IFERROR(VLOOKUP(WTG_BD[[#This Row],[Error Code]],'Basic Data'!S:T,2,0),"Incorrect Error Code")</f>
        <v>YawUntwistCCW: Code__,_______°</v>
      </c>
      <c r="M276" t="s">
        <v>1963</v>
      </c>
      <c r="O276" s="168">
        <v>0.70138888888888884</v>
      </c>
      <c r="P276" s="168">
        <v>0.70138888888888884</v>
      </c>
      <c r="Q276" s="168">
        <v>0.71875</v>
      </c>
      <c r="R276" s="356">
        <f>(WTG_BD[[#This Row],[Work Start TimeStamp]]-WTG_BD[[#This Row],[Fault Start TimeStamp]])*24</f>
        <v>0</v>
      </c>
      <c r="S276" s="34">
        <f>(WTG_BD[[#This Row],[Fault Clearance time]]-WTG_BD[[#This Row],[Work Start TimeStamp]])*24</f>
        <v>0.41666666666666785</v>
      </c>
      <c r="T276" s="34">
        <f>(WTG_BD[[#This Row],[Fault Clearance time]]-WTG_BD[[#This Row],[Fault Start TimeStamp]])*24</f>
        <v>0.41666666666666785</v>
      </c>
      <c r="U276" t="s">
        <v>4323</v>
      </c>
      <c r="V276" s="234" t="s">
        <v>255</v>
      </c>
      <c r="W276" s="50">
        <f>IFERROR(IF(N276="ROW",0,(WTG_BD[[#This Row],[Breakdown Time]]*WTG_BD[[#This Row],[Plant Equivalent Weightage]])),"")</f>
        <v>1.811594202898556E-2</v>
      </c>
      <c r="X276" s="50"/>
      <c r="Y276" s="205">
        <v>1</v>
      </c>
      <c r="Z276" s="205"/>
      <c r="AA276" s="4">
        <v>0.05</v>
      </c>
      <c r="AC276" s="4"/>
    </row>
    <row r="277" spans="1:29">
      <c r="A277" s="10">
        <f t="shared" si="5"/>
        <v>276</v>
      </c>
      <c r="B277" s="43">
        <f>YEAR(WTG_BD[[#This Row],[Date]])+IF(MONTH(WTG_BD[[#This Row],[Date]])&gt;=4,1,0)</f>
        <v>2026</v>
      </c>
      <c r="C277" s="10">
        <v>2025</v>
      </c>
      <c r="D277" s="10" t="s">
        <v>4478</v>
      </c>
      <c r="E277" s="309">
        <f>WTG_BD[[#This Row],[Date]]-DAY(WTG_BD[[#This Row],[Date]])+1</f>
        <v>45748</v>
      </c>
      <c r="F277" s="32">
        <v>45771</v>
      </c>
      <c r="G277" t="s">
        <v>94</v>
      </c>
      <c r="H277" t="str">
        <f>IFERROR(VLOOKUP(WTG_BD[[#This Row],[Affected WTG]],'Basic Data'!$A$3:$E$25,2,0),"")</f>
        <v>O2R1</v>
      </c>
      <c r="I277" t="str">
        <f>IFERROR(VLOOKUP(WTG_BD[[#This Row],[Affected WTG]],'Basic Data'!$A$3:$E$25,3,0),"")</f>
        <v>KSIPL</v>
      </c>
      <c r="J277" s="355">
        <f>IFERROR(VLOOKUP(WTG_BD[[#This Row],[Affected WTG]],'Basic Data'!$A$3:$E$25,5,0),"")</f>
        <v>4.3478260869565223E-2</v>
      </c>
      <c r="K277" s="10">
        <v>165</v>
      </c>
      <c r="L277" t="str">
        <f>IFERROR(VLOOKUP(WTG_BD[[#This Row],[Error Code]],'Basic Data'!S:T,2,0),"Incorrect Error Code")</f>
        <v>Low oil-level, hydraulic</v>
      </c>
      <c r="M277" t="s">
        <v>347</v>
      </c>
      <c r="N277" t="s">
        <v>113</v>
      </c>
      <c r="O277" s="168">
        <v>0.82777777777777772</v>
      </c>
      <c r="P277" s="168">
        <v>0.82777777777777772</v>
      </c>
      <c r="Q277" s="168">
        <v>0.99930555555555556</v>
      </c>
      <c r="R277" s="356">
        <f>(WTG_BD[[#This Row],[Work Start TimeStamp]]-WTG_BD[[#This Row],[Fault Start TimeStamp]])*24</f>
        <v>0</v>
      </c>
      <c r="S277" s="34">
        <f>(WTG_BD[[#This Row],[Fault Clearance time]]-WTG_BD[[#This Row],[Work Start TimeStamp]])*24</f>
        <v>4.116666666666668</v>
      </c>
      <c r="T277" s="34">
        <f>(WTG_BD[[#This Row],[Fault Clearance time]]-WTG_BD[[#This Row],[Fault Start TimeStamp]])*24</f>
        <v>4.116666666666668</v>
      </c>
      <c r="U277" t="s">
        <v>4321</v>
      </c>
      <c r="V277" s="234" t="s">
        <v>270</v>
      </c>
      <c r="W277" s="50">
        <f>IFERROR(IF(N277="ROW",0,(WTG_BD[[#This Row],[Breakdown Time]]*WTG_BD[[#This Row],[Plant Equivalent Weightage]])),"")</f>
        <v>0.17898550724637691</v>
      </c>
      <c r="X277" s="50"/>
      <c r="Y277" s="205">
        <v>1</v>
      </c>
      <c r="Z277" s="205"/>
      <c r="AA277" s="4">
        <v>-2E-3</v>
      </c>
      <c r="AC277" s="4"/>
    </row>
    <row r="278" spans="1:29">
      <c r="A278" s="10">
        <f t="shared" si="5"/>
        <v>277</v>
      </c>
      <c r="B278" s="43">
        <f>YEAR(WTG_BD[[#This Row],[Date]])+IF(MONTH(WTG_BD[[#This Row],[Date]])&gt;=4,1,0)</f>
        <v>2026</v>
      </c>
      <c r="C278" s="10">
        <v>2025</v>
      </c>
      <c r="D278" s="10" t="s">
        <v>4478</v>
      </c>
      <c r="E278" s="309">
        <f>WTG_BD[[#This Row],[Date]]-DAY(WTG_BD[[#This Row],[Date]])+1</f>
        <v>45748</v>
      </c>
      <c r="F278" s="32">
        <v>45771</v>
      </c>
      <c r="G278" t="s">
        <v>95</v>
      </c>
      <c r="H278" t="str">
        <f>IFERROR(VLOOKUP(WTG_BD[[#This Row],[Affected WTG]],'Basic Data'!$A$3:$E$25,2,0),"")</f>
        <v>O2R1</v>
      </c>
      <c r="I278" t="str">
        <f>IFERROR(VLOOKUP(WTG_BD[[#This Row],[Affected WTG]],'Basic Data'!$A$3:$E$25,3,0),"")</f>
        <v>KSIPL</v>
      </c>
      <c r="J278" s="355">
        <f>IFERROR(VLOOKUP(WTG_BD[[#This Row],[Affected WTG]],'Basic Data'!$A$3:$E$25,5,0),"")</f>
        <v>4.3478260869565223E-2</v>
      </c>
      <c r="K278" s="10">
        <v>3806</v>
      </c>
      <c r="L278" t="str">
        <f>IFERROR(VLOOKUP(WTG_BD[[#This Row],[Error Code]],'Basic Data'!S:T,2,0),"Incorrect Error Code")</f>
        <v>HubSafetySystem Batt.Charg.Err</v>
      </c>
      <c r="M278" t="s">
        <v>381</v>
      </c>
      <c r="N278" t="s">
        <v>113</v>
      </c>
      <c r="O278" s="168">
        <v>0.46458333333333335</v>
      </c>
      <c r="P278" s="168">
        <v>0.46458333333333335</v>
      </c>
      <c r="Q278" s="168">
        <v>0.46527777777777779</v>
      </c>
      <c r="R278" s="356">
        <f>(WTG_BD[[#This Row],[Work Start TimeStamp]]-WTG_BD[[#This Row],[Fault Start TimeStamp]])*24</f>
        <v>0</v>
      </c>
      <c r="S278" s="34">
        <f>(WTG_BD[[#This Row],[Fault Clearance time]]-WTG_BD[[#This Row],[Work Start TimeStamp]])*24</f>
        <v>1.6666666666666607E-2</v>
      </c>
      <c r="T278" s="34">
        <f>(WTG_BD[[#This Row],[Fault Clearance time]]-WTG_BD[[#This Row],[Fault Start TimeStamp]])*24</f>
        <v>1.6666666666666607E-2</v>
      </c>
      <c r="U278" t="s">
        <v>4322</v>
      </c>
      <c r="V278" s="234" t="s">
        <v>255</v>
      </c>
      <c r="W278" s="50">
        <f>IFERROR(IF(N278="ROW",0,(WTG_BD[[#This Row],[Breakdown Time]]*WTG_BD[[#This Row],[Plant Equivalent Weightage]])),"")</f>
        <v>7.246376811594178E-4</v>
      </c>
      <c r="X278" s="50"/>
      <c r="Y278" s="205">
        <v>1</v>
      </c>
      <c r="Z278" s="205"/>
      <c r="AA278" s="4">
        <v>1.4999999999999999E-2</v>
      </c>
      <c r="AC278" s="4"/>
    </row>
    <row r="279" spans="1:29">
      <c r="A279" s="10">
        <f t="shared" si="5"/>
        <v>278</v>
      </c>
      <c r="B279" s="43">
        <f>YEAR(WTG_BD[[#This Row],[Date]])+IF(MONTH(WTG_BD[[#This Row],[Date]])&gt;=4,1,0)</f>
        <v>2026</v>
      </c>
      <c r="C279" s="10">
        <v>2025</v>
      </c>
      <c r="D279" s="10" t="s">
        <v>4478</v>
      </c>
      <c r="E279" s="309">
        <f>WTG_BD[[#This Row],[Date]]-DAY(WTG_BD[[#This Row],[Date]])+1</f>
        <v>45748</v>
      </c>
      <c r="F279" s="32">
        <v>45771</v>
      </c>
      <c r="G279" t="s">
        <v>95</v>
      </c>
      <c r="H279" t="str">
        <f>IFERROR(VLOOKUP(WTG_BD[[#This Row],[Affected WTG]],'Basic Data'!$A$3:$E$25,2,0),"")</f>
        <v>O2R1</v>
      </c>
      <c r="I279" t="str">
        <f>IFERROR(VLOOKUP(WTG_BD[[#This Row],[Affected WTG]],'Basic Data'!$A$3:$E$25,3,0),"")</f>
        <v>KSIPL</v>
      </c>
      <c r="J279" s="355">
        <f>IFERROR(VLOOKUP(WTG_BD[[#This Row],[Affected WTG]],'Basic Data'!$A$3:$E$25,5,0),"")</f>
        <v>4.3478260869565223E-2</v>
      </c>
      <c r="K279" s="10">
        <v>3806</v>
      </c>
      <c r="L279" t="str">
        <f>IFERROR(VLOOKUP(WTG_BD[[#This Row],[Error Code]],'Basic Data'!S:T,2,0),"Incorrect Error Code")</f>
        <v>HubSafetySystem Batt.Charg.Err</v>
      </c>
      <c r="M279" t="s">
        <v>381</v>
      </c>
      <c r="N279" t="s">
        <v>113</v>
      </c>
      <c r="O279" s="168">
        <v>0.69444444444444442</v>
      </c>
      <c r="P279" s="168">
        <v>0.69444444444444442</v>
      </c>
      <c r="Q279" s="168">
        <v>0.71527777777777779</v>
      </c>
      <c r="R279" s="356">
        <f>(WTG_BD[[#This Row],[Work Start TimeStamp]]-WTG_BD[[#This Row],[Fault Start TimeStamp]])*24</f>
        <v>0</v>
      </c>
      <c r="S279" s="34">
        <f>(WTG_BD[[#This Row],[Fault Clearance time]]-WTG_BD[[#This Row],[Work Start TimeStamp]])*24</f>
        <v>0.50000000000000089</v>
      </c>
      <c r="T279" s="34">
        <f>(WTG_BD[[#This Row],[Fault Clearance time]]-WTG_BD[[#This Row],[Fault Start TimeStamp]])*24</f>
        <v>0.50000000000000089</v>
      </c>
      <c r="U279" t="s">
        <v>4322</v>
      </c>
      <c r="V279" s="234" t="s">
        <v>255</v>
      </c>
      <c r="W279" s="50">
        <f>IFERROR(IF(N279="ROW",0,(WTG_BD[[#This Row],[Breakdown Time]]*WTG_BD[[#This Row],[Plant Equivalent Weightage]])),"")</f>
        <v>2.173913043478265E-2</v>
      </c>
      <c r="X279" s="50"/>
      <c r="Y279" s="205">
        <v>1</v>
      </c>
      <c r="Z279" s="205"/>
      <c r="AA279" s="4">
        <v>0.04</v>
      </c>
      <c r="AC279" s="4"/>
    </row>
    <row r="280" spans="1:29">
      <c r="A280" s="10">
        <f t="shared" si="5"/>
        <v>279</v>
      </c>
      <c r="B280" s="43">
        <f>YEAR(WTG_BD[[#This Row],[Date]])+IF(MONTH(WTG_BD[[#This Row],[Date]])&gt;=4,1,0)</f>
        <v>2026</v>
      </c>
      <c r="C280" s="10">
        <v>2025</v>
      </c>
      <c r="D280" s="10" t="s">
        <v>4478</v>
      </c>
      <c r="E280" s="309">
        <f>WTG_BD[[#This Row],[Date]]-DAY(WTG_BD[[#This Row],[Date]])+1</f>
        <v>45748</v>
      </c>
      <c r="F280" s="32">
        <v>45771</v>
      </c>
      <c r="G280" t="s">
        <v>82</v>
      </c>
      <c r="H280" t="str">
        <f>IFERROR(VLOOKUP(WTG_BD[[#This Row],[Affected WTG]],'Basic Data'!$A$3:$E$25,2,0),"")</f>
        <v>O2R3</v>
      </c>
      <c r="I280" t="str">
        <f>IFERROR(VLOOKUP(WTG_BD[[#This Row],[Affected WTG]],'Basic Data'!$A$3:$E$25,3,0),"")</f>
        <v>JK</v>
      </c>
      <c r="J280" s="355">
        <f>IFERROR(VLOOKUP(WTG_BD[[#This Row],[Affected WTG]],'Basic Data'!$A$3:$E$25,5,0),"")</f>
        <v>4.3478260869565223E-2</v>
      </c>
      <c r="K280" s="10">
        <v>3272</v>
      </c>
      <c r="L280" t="str">
        <f>IFERROR(VLOOKUP(WTG_BD[[#This Row],[Error Code]],'Basic Data'!S:T,2,0),"Incorrect Error Code")</f>
        <v>YawUntwistCW: Code__,_______°</v>
      </c>
      <c r="M280" t="s">
        <v>378</v>
      </c>
      <c r="O280" s="168">
        <v>0.65416666666666667</v>
      </c>
      <c r="P280" s="168">
        <v>0.65416666666666667</v>
      </c>
      <c r="Q280" s="168">
        <v>0.66874999999999996</v>
      </c>
      <c r="R280" s="356">
        <f>(WTG_BD[[#This Row],[Work Start TimeStamp]]-WTG_BD[[#This Row],[Fault Start TimeStamp]])*24</f>
        <v>0</v>
      </c>
      <c r="S280" s="34">
        <f>(WTG_BD[[#This Row],[Fault Clearance time]]-WTG_BD[[#This Row],[Work Start TimeStamp]])*24</f>
        <v>0.34999999999999876</v>
      </c>
      <c r="T280" s="34">
        <f>(WTG_BD[[#This Row],[Fault Clearance time]]-WTG_BD[[#This Row],[Fault Start TimeStamp]])*24</f>
        <v>0.34999999999999876</v>
      </c>
      <c r="U280" t="s">
        <v>4323</v>
      </c>
      <c r="V280" s="234" t="s">
        <v>255</v>
      </c>
      <c r="W280" s="50">
        <f>IFERROR(IF(N280="ROW",0,(WTG_BD[[#This Row],[Breakdown Time]]*WTG_BD[[#This Row],[Plant Equivalent Weightage]])),"")</f>
        <v>1.5217391304347775E-2</v>
      </c>
      <c r="X280" s="50"/>
      <c r="Y280" s="205">
        <v>1</v>
      </c>
      <c r="Z280" s="205"/>
      <c r="AA280" s="4">
        <v>1E-3</v>
      </c>
      <c r="AC280" s="4"/>
    </row>
    <row r="281" spans="1:29">
      <c r="A281" s="10">
        <f t="shared" si="5"/>
        <v>280</v>
      </c>
      <c r="B281" s="43">
        <f>YEAR(WTG_BD[[#This Row],[Date]])+IF(MONTH(WTG_BD[[#This Row],[Date]])&gt;=4,1,0)</f>
        <v>2026</v>
      </c>
      <c r="C281" s="10">
        <v>2025</v>
      </c>
      <c r="D281" s="10" t="s">
        <v>4478</v>
      </c>
      <c r="E281" s="309">
        <f>WTG_BD[[#This Row],[Date]]-DAY(WTG_BD[[#This Row],[Date]])+1</f>
        <v>45748</v>
      </c>
      <c r="F281" s="32">
        <v>45772</v>
      </c>
      <c r="G281" t="s">
        <v>76</v>
      </c>
      <c r="H281" t="str">
        <f>IFERROR(VLOOKUP(WTG_BD[[#This Row],[Affected WTG]],'Basic Data'!$A$3:$E$25,2,0),"")</f>
        <v>O2R1</v>
      </c>
      <c r="I281" t="str">
        <f>IFERROR(VLOOKUP(WTG_BD[[#This Row],[Affected WTG]],'Basic Data'!$A$3:$E$25,3,0),"")</f>
        <v>KSIPL</v>
      </c>
      <c r="J281" s="355">
        <f>IFERROR(VLOOKUP(WTG_BD[[#This Row],[Affected WTG]],'Basic Data'!$A$3:$E$25,5,0),"")</f>
        <v>4.3478260869565223E-2</v>
      </c>
      <c r="K281" s="10">
        <v>450</v>
      </c>
      <c r="L281" t="str">
        <f>IFERROR(VLOOKUP(WTG_BD[[#This Row],[Error Code]],'Basic Data'!S:T,2,0),"Incorrect Error Code")</f>
        <v>Ext. High I sum Grd inv.</v>
      </c>
      <c r="M281" t="s">
        <v>368</v>
      </c>
      <c r="N281" t="s">
        <v>113</v>
      </c>
      <c r="O281" s="168">
        <v>0.2986111111111111</v>
      </c>
      <c r="P281" s="168">
        <v>0.2986111111111111</v>
      </c>
      <c r="Q281" s="168">
        <v>0.30138888888888887</v>
      </c>
      <c r="R281" s="356">
        <f>(WTG_BD[[#This Row],[Work Start TimeStamp]]-WTG_BD[[#This Row],[Fault Start TimeStamp]])*24</f>
        <v>0</v>
      </c>
      <c r="S281" s="34">
        <f>(WTG_BD[[#This Row],[Fault Clearance time]]-WTG_BD[[#This Row],[Work Start TimeStamp]])*24</f>
        <v>6.666666666666643E-2</v>
      </c>
      <c r="T281" s="34">
        <f>(WTG_BD[[#This Row],[Fault Clearance time]]-WTG_BD[[#This Row],[Fault Start TimeStamp]])*24</f>
        <v>6.666666666666643E-2</v>
      </c>
      <c r="U281" t="s">
        <v>262</v>
      </c>
      <c r="V281" s="234" t="s">
        <v>255</v>
      </c>
      <c r="W281" s="50">
        <f>IFERROR(IF(N281="ROW",0,(WTG_BD[[#This Row],[Breakdown Time]]*WTG_BD[[#This Row],[Plant Equivalent Weightage]])),"")</f>
        <v>2.8985507246376712E-3</v>
      </c>
      <c r="X281" s="50"/>
      <c r="Y281" s="205">
        <v>1</v>
      </c>
      <c r="Z281" s="205"/>
      <c r="AC281" s="4"/>
    </row>
    <row r="282" spans="1:29">
      <c r="A282" s="10">
        <f t="shared" ref="A282:A347" si="6">A281+1</f>
        <v>281</v>
      </c>
      <c r="B282" s="43">
        <f>YEAR(WTG_BD[[#This Row],[Date]])+IF(MONTH(WTG_BD[[#This Row],[Date]])&gt;=4,1,0)</f>
        <v>2026</v>
      </c>
      <c r="C282" s="10">
        <v>2025</v>
      </c>
      <c r="D282" s="10" t="s">
        <v>4478</v>
      </c>
      <c r="E282" s="309">
        <f>WTG_BD[[#This Row],[Date]]-DAY(WTG_BD[[#This Row],[Date]])+1</f>
        <v>45748</v>
      </c>
      <c r="F282" s="32">
        <v>45772</v>
      </c>
      <c r="G282" t="s">
        <v>79</v>
      </c>
      <c r="H282" t="str">
        <f>IFERROR(VLOOKUP(WTG_BD[[#This Row],[Affected WTG]],'Basic Data'!$A$3:$E$25,2,0),"")</f>
        <v>O2R3</v>
      </c>
      <c r="I282" t="str">
        <f>IFERROR(VLOOKUP(WTG_BD[[#This Row],[Affected WTG]],'Basic Data'!$A$3:$E$25,3,0),"")</f>
        <v>JK</v>
      </c>
      <c r="J282" s="355">
        <f>IFERROR(VLOOKUP(WTG_BD[[#This Row],[Affected WTG]],'Basic Data'!$A$3:$E$25,5,0),"")</f>
        <v>4.3478260869565223E-2</v>
      </c>
      <c r="K282" s="10">
        <v>704</v>
      </c>
      <c r="L282" t="str">
        <f>IFERROR(VLOOKUP(WTG_BD[[#This Row],[Error Code]],'Basic Data'!S:T,2,0),"Incorrect Error Code")</f>
        <v>Ch High res. load C_ Load:___%</v>
      </c>
      <c r="M282" t="s">
        <v>372</v>
      </c>
      <c r="N282" t="s">
        <v>113</v>
      </c>
      <c r="O282" s="168">
        <v>0.22916666666666666</v>
      </c>
      <c r="P282" s="168">
        <v>0.22916666666666666</v>
      </c>
      <c r="Q282" s="168">
        <v>0.27708333333333335</v>
      </c>
      <c r="R282" s="356">
        <f>(WTG_BD[[#This Row],[Work Start TimeStamp]]-WTG_BD[[#This Row],[Fault Start TimeStamp]])*24</f>
        <v>0</v>
      </c>
      <c r="S282" s="34">
        <f>(WTG_BD[[#This Row],[Fault Clearance time]]-WTG_BD[[#This Row],[Work Start TimeStamp]])*24</f>
        <v>1.1500000000000006</v>
      </c>
      <c r="T282" s="34">
        <f>(WTG_BD[[#This Row],[Fault Clearance time]]-WTG_BD[[#This Row],[Fault Start TimeStamp]])*24</f>
        <v>1.1500000000000006</v>
      </c>
      <c r="U282" t="s">
        <v>4268</v>
      </c>
      <c r="V282" s="234" t="s">
        <v>255</v>
      </c>
      <c r="W282" s="50">
        <f>IFERROR(IF(N282="ROW",0,(WTG_BD[[#This Row],[Breakdown Time]]*WTG_BD[[#This Row],[Plant Equivalent Weightage]])),"")</f>
        <v>5.0000000000000031E-2</v>
      </c>
      <c r="X282" s="50"/>
      <c r="Y282" s="205">
        <v>1</v>
      </c>
      <c r="Z282" s="205"/>
      <c r="AC282" s="4"/>
    </row>
    <row r="283" spans="1:29">
      <c r="A283" s="10">
        <f t="shared" si="6"/>
        <v>282</v>
      </c>
      <c r="B283" s="43">
        <f>YEAR(WTG_BD[[#This Row],[Date]])+IF(MONTH(WTG_BD[[#This Row],[Date]])&gt;=4,1,0)</f>
        <v>2026</v>
      </c>
      <c r="C283" s="10">
        <v>2025</v>
      </c>
      <c r="D283" s="10" t="s">
        <v>4478</v>
      </c>
      <c r="E283" s="309">
        <f>WTG_BD[[#This Row],[Date]]-DAY(WTG_BD[[#This Row],[Date]])+1</f>
        <v>45748</v>
      </c>
      <c r="F283" s="32">
        <v>45772</v>
      </c>
      <c r="G283" t="s">
        <v>78</v>
      </c>
      <c r="H283" t="str">
        <f>IFERROR(VLOOKUP(WTG_BD[[#This Row],[Affected WTG]],'Basic Data'!$A$3:$E$25,2,0),"")</f>
        <v>O2R1</v>
      </c>
      <c r="I283" t="str">
        <f>IFERROR(VLOOKUP(WTG_BD[[#This Row],[Affected WTG]],'Basic Data'!$A$3:$E$25,3,0),"")</f>
        <v>KSIPL</v>
      </c>
      <c r="J283" s="355">
        <f>IFERROR(VLOOKUP(WTG_BD[[#This Row],[Affected WTG]],'Basic Data'!$A$3:$E$25,5,0),"")</f>
        <v>4.3478260869565223E-2</v>
      </c>
      <c r="K283" s="10">
        <v>3272</v>
      </c>
      <c r="L283" t="str">
        <f>IFERROR(VLOOKUP(WTG_BD[[#This Row],[Error Code]],'Basic Data'!S:T,2,0),"Incorrect Error Code")</f>
        <v>YawUntwistCW: Code__,_______°</v>
      </c>
      <c r="M283" t="s">
        <v>378</v>
      </c>
      <c r="O283" s="168">
        <v>0.68055555555555558</v>
      </c>
      <c r="P283" s="168">
        <v>0.68055555555555558</v>
      </c>
      <c r="Q283" s="168">
        <v>0.69444444444444442</v>
      </c>
      <c r="R283" s="356">
        <f>(WTG_BD[[#This Row],[Work Start TimeStamp]]-WTG_BD[[#This Row],[Fault Start TimeStamp]])*24</f>
        <v>0</v>
      </c>
      <c r="S283" s="34">
        <f>(WTG_BD[[#This Row],[Fault Clearance time]]-WTG_BD[[#This Row],[Work Start TimeStamp]])*24</f>
        <v>0.33333333333333215</v>
      </c>
      <c r="T283" s="34">
        <f>(WTG_BD[[#This Row],[Fault Clearance time]]-WTG_BD[[#This Row],[Fault Start TimeStamp]])*24</f>
        <v>0.33333333333333215</v>
      </c>
      <c r="U283" t="s">
        <v>4323</v>
      </c>
      <c r="V283" s="234" t="s">
        <v>255</v>
      </c>
      <c r="W283" s="50">
        <f>IFERROR(IF(N283="ROW",0,(WTG_BD[[#This Row],[Breakdown Time]]*WTG_BD[[#This Row],[Plant Equivalent Weightage]])),"")</f>
        <v>1.4492753623188356E-2</v>
      </c>
      <c r="X283" s="50"/>
      <c r="Y283" s="205">
        <v>1</v>
      </c>
      <c r="Z283" s="205"/>
      <c r="AC283" s="4"/>
    </row>
    <row r="284" spans="1:29">
      <c r="A284" s="10">
        <f t="shared" si="6"/>
        <v>283</v>
      </c>
      <c r="B284" s="43">
        <f>YEAR(WTG_BD[[#This Row],[Date]])+IF(MONTH(WTG_BD[[#This Row],[Date]])&gt;=4,1,0)</f>
        <v>2026</v>
      </c>
      <c r="C284" s="10">
        <v>2025</v>
      </c>
      <c r="D284" s="10" t="s">
        <v>4478</v>
      </c>
      <c r="E284" s="309">
        <f>WTG_BD[[#This Row],[Date]]-DAY(WTG_BD[[#This Row],[Date]])+1</f>
        <v>45748</v>
      </c>
      <c r="F284" s="32">
        <v>45772</v>
      </c>
      <c r="G284" t="s">
        <v>81</v>
      </c>
      <c r="H284" t="str">
        <f>IFERROR(VLOOKUP(WTG_BD[[#This Row],[Affected WTG]],'Basic Data'!$A$3:$E$25,2,0),"")</f>
        <v>O2R3</v>
      </c>
      <c r="I284" t="str">
        <f>IFERROR(VLOOKUP(WTG_BD[[#This Row],[Affected WTG]],'Basic Data'!$A$3:$E$25,3,0),"")</f>
        <v>JK</v>
      </c>
      <c r="J284" s="355">
        <f>IFERROR(VLOOKUP(WTG_BD[[#This Row],[Affected WTG]],'Basic Data'!$A$3:$E$25,5,0),"")</f>
        <v>4.3478260869565223E-2</v>
      </c>
      <c r="K284" s="10">
        <v>3272</v>
      </c>
      <c r="L284" t="str">
        <f>IFERROR(VLOOKUP(WTG_BD[[#This Row],[Error Code]],'Basic Data'!S:T,2,0),"Incorrect Error Code")</f>
        <v>YawUntwistCW: Code__,_______°</v>
      </c>
      <c r="M284" t="s">
        <v>378</v>
      </c>
      <c r="O284" s="168">
        <v>0.52986111111111112</v>
      </c>
      <c r="P284" s="168">
        <v>0.52986111111111112</v>
      </c>
      <c r="Q284" s="168">
        <v>0.54861111111111116</v>
      </c>
      <c r="R284" s="356">
        <f>(WTG_BD[[#This Row],[Work Start TimeStamp]]-WTG_BD[[#This Row],[Fault Start TimeStamp]])*24</f>
        <v>0</v>
      </c>
      <c r="S284" s="34">
        <f>(WTG_BD[[#This Row],[Fault Clearance time]]-WTG_BD[[#This Row],[Work Start TimeStamp]])*24</f>
        <v>0.45000000000000107</v>
      </c>
      <c r="T284" s="34">
        <f>(WTG_BD[[#This Row],[Fault Clearance time]]-WTG_BD[[#This Row],[Fault Start TimeStamp]])*24</f>
        <v>0.45000000000000107</v>
      </c>
      <c r="U284" t="s">
        <v>4323</v>
      </c>
      <c r="V284" s="234" t="s">
        <v>255</v>
      </c>
      <c r="W284" s="50">
        <f>IFERROR(IF(N284="ROW",0,(WTG_BD[[#This Row],[Breakdown Time]]*WTG_BD[[#This Row],[Plant Equivalent Weightage]])),"")</f>
        <v>1.9565217391304398E-2</v>
      </c>
      <c r="X284" s="50"/>
      <c r="Y284" s="205">
        <v>1</v>
      </c>
      <c r="Z284" s="205"/>
      <c r="AC284" s="4"/>
    </row>
    <row r="285" spans="1:29">
      <c r="A285" s="10">
        <f t="shared" si="6"/>
        <v>284</v>
      </c>
      <c r="B285" s="43">
        <f>YEAR(WTG_BD[[#This Row],[Date]])+IF(MONTH(WTG_BD[[#This Row],[Date]])&gt;=4,1,0)</f>
        <v>2026</v>
      </c>
      <c r="C285" s="10">
        <v>2025</v>
      </c>
      <c r="D285" s="10" t="s">
        <v>4478</v>
      </c>
      <c r="E285" s="309">
        <f>WTG_BD[[#This Row],[Date]]-DAY(WTG_BD[[#This Row],[Date]])+1</f>
        <v>45748</v>
      </c>
      <c r="F285" s="32">
        <v>45772</v>
      </c>
      <c r="G285" t="s">
        <v>85</v>
      </c>
      <c r="H285" t="str">
        <f>IFERROR(VLOOKUP(WTG_BD[[#This Row],[Affected WTG]],'Basic Data'!$A$3:$E$25,2,0),"")</f>
        <v>O2R1</v>
      </c>
      <c r="I285" t="str">
        <f>IFERROR(VLOOKUP(WTG_BD[[#This Row],[Affected WTG]],'Basic Data'!$A$3:$E$25,3,0),"")</f>
        <v>KSIPL</v>
      </c>
      <c r="J285" s="355">
        <f>IFERROR(VLOOKUP(WTG_BD[[#This Row],[Affected WTG]],'Basic Data'!$A$3:$E$25,5,0),"")</f>
        <v>4.3478260869565223E-2</v>
      </c>
      <c r="K285" s="10">
        <v>2676</v>
      </c>
      <c r="L285" t="str">
        <f>IFERROR(VLOOKUP(WTG_BD[[#This Row],[Error Code]],'Basic Data'!S:T,2,0),"Incorrect Error Code")</f>
        <v>UPS Error</v>
      </c>
      <c r="M285" t="s">
        <v>140</v>
      </c>
      <c r="N285" t="s">
        <v>113</v>
      </c>
      <c r="O285" s="168">
        <v>0.65138888888888891</v>
      </c>
      <c r="P285" s="168">
        <v>0.65138888888888891</v>
      </c>
      <c r="Q285" s="168">
        <v>0.71180555555555558</v>
      </c>
      <c r="R285" s="356">
        <f>(WTG_BD[[#This Row],[Work Start TimeStamp]]-WTG_BD[[#This Row],[Fault Start TimeStamp]])*24</f>
        <v>0</v>
      </c>
      <c r="S285" s="34">
        <f>(WTG_BD[[#This Row],[Fault Clearance time]]-WTG_BD[[#This Row],[Work Start TimeStamp]])*24</f>
        <v>1.4500000000000002</v>
      </c>
      <c r="T285" s="34">
        <f>(WTG_BD[[#This Row],[Fault Clearance time]]-WTG_BD[[#This Row],[Fault Start TimeStamp]])*24</f>
        <v>1.4500000000000002</v>
      </c>
      <c r="U285" t="s">
        <v>4541</v>
      </c>
      <c r="V285" s="234" t="s">
        <v>255</v>
      </c>
      <c r="W285" s="50">
        <f>IFERROR(IF(N285="ROW",0,(WTG_BD[[#This Row],[Breakdown Time]]*WTG_BD[[#This Row],[Plant Equivalent Weightage]])),"")</f>
        <v>6.3043478260869576E-2</v>
      </c>
      <c r="X285" s="50"/>
      <c r="Y285" s="205">
        <v>1</v>
      </c>
      <c r="Z285" s="205"/>
      <c r="AC285" s="4"/>
    </row>
    <row r="286" spans="1:29">
      <c r="A286" s="10">
        <f t="shared" si="6"/>
        <v>285</v>
      </c>
      <c r="B286" s="43">
        <f>YEAR(WTG_BD[[#This Row],[Date]])+IF(MONTH(WTG_BD[[#This Row],[Date]])&gt;=4,1,0)</f>
        <v>2026</v>
      </c>
      <c r="C286" s="10">
        <v>2025</v>
      </c>
      <c r="D286" s="10" t="s">
        <v>4478</v>
      </c>
      <c r="E286" s="309">
        <f>WTG_BD[[#This Row],[Date]]-DAY(WTG_BD[[#This Row],[Date]])+1</f>
        <v>45748</v>
      </c>
      <c r="F286" s="32">
        <v>45772</v>
      </c>
      <c r="G286" t="s">
        <v>86</v>
      </c>
      <c r="H286" t="str">
        <f>IFERROR(VLOOKUP(WTG_BD[[#This Row],[Affected WTG]],'Basic Data'!$A$3:$E$25,2,0),"")</f>
        <v>O2R1</v>
      </c>
      <c r="I286" t="str">
        <f>IFERROR(VLOOKUP(WTG_BD[[#This Row],[Affected WTG]],'Basic Data'!$A$3:$E$25,3,0),"")</f>
        <v>KSIPL</v>
      </c>
      <c r="J286" s="355">
        <f>IFERROR(VLOOKUP(WTG_BD[[#This Row],[Affected WTG]],'Basic Data'!$A$3:$E$25,5,0),"")</f>
        <v>4.3478260869565223E-2</v>
      </c>
      <c r="K286" s="10">
        <v>3272</v>
      </c>
      <c r="L286" t="str">
        <f>IFERROR(VLOOKUP(WTG_BD[[#This Row],[Error Code]],'Basic Data'!S:T,2,0),"Incorrect Error Code")</f>
        <v>YawUntwistCW: Code__,_______°</v>
      </c>
      <c r="M286" t="s">
        <v>378</v>
      </c>
      <c r="O286" s="168">
        <v>0.43055555555555558</v>
      </c>
      <c r="P286" s="168">
        <v>0.43055555555555558</v>
      </c>
      <c r="Q286" s="168">
        <v>0.45208333333333334</v>
      </c>
      <c r="R286" s="356">
        <f>(WTG_BD[[#This Row],[Work Start TimeStamp]]-WTG_BD[[#This Row],[Fault Start TimeStamp]])*24</f>
        <v>0</v>
      </c>
      <c r="S286" s="34">
        <f>(WTG_BD[[#This Row],[Fault Clearance time]]-WTG_BD[[#This Row],[Work Start TimeStamp]])*24</f>
        <v>0.51666666666666616</v>
      </c>
      <c r="T286" s="34">
        <f>(WTG_BD[[#This Row],[Fault Clearance time]]-WTG_BD[[#This Row],[Fault Start TimeStamp]])*24</f>
        <v>0.51666666666666616</v>
      </c>
      <c r="U286" t="s">
        <v>4323</v>
      </c>
      <c r="V286" s="234" t="s">
        <v>255</v>
      </c>
      <c r="W286" s="50">
        <f>IFERROR(IF(N286="ROW",0,(WTG_BD[[#This Row],[Breakdown Time]]*WTG_BD[[#This Row],[Plant Equivalent Weightage]])),"")</f>
        <v>2.2463768115942011E-2</v>
      </c>
      <c r="X286" s="50"/>
      <c r="Y286" s="205">
        <v>1</v>
      </c>
      <c r="Z286" s="205"/>
      <c r="AC286" s="4"/>
    </row>
    <row r="287" spans="1:29">
      <c r="A287" s="10">
        <f t="shared" si="6"/>
        <v>286</v>
      </c>
      <c r="B287" s="43">
        <f>YEAR(WTG_BD[[#This Row],[Date]])+IF(MONTH(WTG_BD[[#This Row],[Date]])&gt;=4,1,0)</f>
        <v>2026</v>
      </c>
      <c r="C287" s="10">
        <v>2025</v>
      </c>
      <c r="D287" s="10" t="s">
        <v>4478</v>
      </c>
      <c r="E287" s="309">
        <f>WTG_BD[[#This Row],[Date]]-DAY(WTG_BD[[#This Row],[Date]])+1</f>
        <v>45748</v>
      </c>
      <c r="F287" s="32">
        <v>45772</v>
      </c>
      <c r="G287" t="s">
        <v>91</v>
      </c>
      <c r="H287" t="str">
        <f>IFERROR(VLOOKUP(WTG_BD[[#This Row],[Affected WTG]],'Basic Data'!$A$3:$E$25,2,0),"")</f>
        <v>O2R2</v>
      </c>
      <c r="I287" t="str">
        <f>IFERROR(VLOOKUP(WTG_BD[[#This Row],[Affected WTG]],'Basic Data'!$A$3:$E$25,3,0),"")</f>
        <v>SIL</v>
      </c>
      <c r="J287" s="355">
        <f>IFERROR(VLOOKUP(WTG_BD[[#This Row],[Affected WTG]],'Basic Data'!$A$3:$E$25,5,0),"")</f>
        <v>4.3478260869565223E-2</v>
      </c>
      <c r="K287" s="10">
        <v>3273</v>
      </c>
      <c r="L287" t="str">
        <f>IFERROR(VLOOKUP(WTG_BD[[#This Row],[Error Code]],'Basic Data'!S:T,2,0),"Incorrect Error Code")</f>
        <v>YawUntwistCCW: Code__,_______°</v>
      </c>
      <c r="M287" t="s">
        <v>1963</v>
      </c>
      <c r="O287" s="168">
        <v>0.71875</v>
      </c>
      <c r="P287" s="168">
        <v>0.71875</v>
      </c>
      <c r="Q287" s="168">
        <v>0.73472222222222228</v>
      </c>
      <c r="R287" s="356">
        <f>(WTG_BD[[#This Row],[Work Start TimeStamp]]-WTG_BD[[#This Row],[Fault Start TimeStamp]])*24</f>
        <v>0</v>
      </c>
      <c r="S287" s="34">
        <f>(WTG_BD[[#This Row],[Fault Clearance time]]-WTG_BD[[#This Row],[Work Start TimeStamp]])*24</f>
        <v>0.38333333333333464</v>
      </c>
      <c r="T287" s="34">
        <f>(WTG_BD[[#This Row],[Fault Clearance time]]-WTG_BD[[#This Row],[Fault Start TimeStamp]])*24</f>
        <v>0.38333333333333464</v>
      </c>
      <c r="U287" t="s">
        <v>4323</v>
      </c>
      <c r="V287" s="234" t="s">
        <v>255</v>
      </c>
      <c r="W287" s="50">
        <f>IFERROR(IF(N287="ROW",0,(WTG_BD[[#This Row],[Breakdown Time]]*WTG_BD[[#This Row],[Plant Equivalent Weightage]])),"")</f>
        <v>1.6666666666666725E-2</v>
      </c>
      <c r="X287" s="50"/>
      <c r="Y287" s="205">
        <v>1</v>
      </c>
      <c r="Z287" s="205"/>
      <c r="AC287" s="4"/>
    </row>
    <row r="288" spans="1:29">
      <c r="A288" s="10">
        <f t="shared" si="6"/>
        <v>287</v>
      </c>
      <c r="B288" s="43">
        <f>YEAR(WTG_BD[[#This Row],[Date]])+IF(MONTH(WTG_BD[[#This Row],[Date]])&gt;=4,1,0)</f>
        <v>2026</v>
      </c>
      <c r="C288" s="10">
        <v>2025</v>
      </c>
      <c r="D288" s="10" t="s">
        <v>4478</v>
      </c>
      <c r="E288" s="309">
        <f>WTG_BD[[#This Row],[Date]]-DAY(WTG_BD[[#This Row],[Date]])+1</f>
        <v>45748</v>
      </c>
      <c r="F288" s="32">
        <v>45772</v>
      </c>
      <c r="G288" t="s">
        <v>94</v>
      </c>
      <c r="H288" t="str">
        <f>IFERROR(VLOOKUP(WTG_BD[[#This Row],[Affected WTG]],'Basic Data'!$A$3:$E$25,2,0),"")</f>
        <v>O2R1</v>
      </c>
      <c r="I288" t="str">
        <f>IFERROR(VLOOKUP(WTG_BD[[#This Row],[Affected WTG]],'Basic Data'!$A$3:$E$25,3,0),"")</f>
        <v>KSIPL</v>
      </c>
      <c r="J288" s="355">
        <f>IFERROR(VLOOKUP(WTG_BD[[#This Row],[Affected WTG]],'Basic Data'!$A$3:$E$25,5,0),"")</f>
        <v>4.3478260869565223E-2</v>
      </c>
      <c r="K288" s="10">
        <v>165</v>
      </c>
      <c r="L288" t="str">
        <f>IFERROR(VLOOKUP(WTG_BD[[#This Row],[Error Code]],'Basic Data'!S:T,2,0),"Incorrect Error Code")</f>
        <v>Low oil-level, hydraulic</v>
      </c>
      <c r="M288" t="s">
        <v>347</v>
      </c>
      <c r="N288" t="s">
        <v>113</v>
      </c>
      <c r="O288" s="168">
        <v>0</v>
      </c>
      <c r="P288" s="168">
        <v>0</v>
      </c>
      <c r="Q288" s="168">
        <v>8.3333333333333329E-2</v>
      </c>
      <c r="R288" s="356">
        <f>(WTG_BD[[#This Row],[Work Start TimeStamp]]-WTG_BD[[#This Row],[Fault Start TimeStamp]])*24</f>
        <v>0</v>
      </c>
      <c r="S288" s="34">
        <f>(WTG_BD[[#This Row],[Fault Clearance time]]-WTG_BD[[#This Row],[Work Start TimeStamp]])*24</f>
        <v>2</v>
      </c>
      <c r="T288" s="34">
        <f>(WTG_BD[[#This Row],[Fault Clearance time]]-WTG_BD[[#This Row],[Fault Start TimeStamp]])*24</f>
        <v>2</v>
      </c>
      <c r="U288" t="s">
        <v>4542</v>
      </c>
      <c r="V288" s="234" t="s">
        <v>255</v>
      </c>
      <c r="W288" s="50">
        <f>IFERROR(IF(N288="ROW",0,(WTG_BD[[#This Row],[Breakdown Time]]*WTG_BD[[#This Row],[Plant Equivalent Weightage]])),"")</f>
        <v>8.6956521739130446E-2</v>
      </c>
      <c r="X288" s="50"/>
      <c r="Y288" s="205">
        <v>1</v>
      </c>
      <c r="Z288" s="205"/>
      <c r="AC288" s="4"/>
    </row>
    <row r="289" spans="1:29">
      <c r="A289" s="10">
        <f t="shared" si="6"/>
        <v>288</v>
      </c>
      <c r="B289" s="43">
        <f>YEAR(WTG_BD[[#This Row],[Date]])+IF(MONTH(WTG_BD[[#This Row],[Date]])&gt;=4,1,0)</f>
        <v>2026</v>
      </c>
      <c r="C289" s="10">
        <v>2025</v>
      </c>
      <c r="D289" s="10" t="s">
        <v>4478</v>
      </c>
      <c r="E289" s="309">
        <f>WTG_BD[[#This Row],[Date]]-DAY(WTG_BD[[#This Row],[Date]])+1</f>
        <v>45748</v>
      </c>
      <c r="F289" s="32">
        <v>45772</v>
      </c>
      <c r="G289" t="s">
        <v>94</v>
      </c>
      <c r="H289" t="str">
        <f>IFERROR(VLOOKUP(WTG_BD[[#This Row],[Affected WTG]],'Basic Data'!$A$3:$E$25,2,0),"")</f>
        <v>O2R1</v>
      </c>
      <c r="I289" t="str">
        <f>IFERROR(VLOOKUP(WTG_BD[[#This Row],[Affected WTG]],'Basic Data'!$A$3:$E$25,3,0),"")</f>
        <v>KSIPL</v>
      </c>
      <c r="J289" s="355">
        <f>IFERROR(VLOOKUP(WTG_BD[[#This Row],[Affected WTG]],'Basic Data'!$A$3:$E$25,5,0),"")</f>
        <v>4.3478260869565223E-2</v>
      </c>
      <c r="K289" s="10">
        <v>3024</v>
      </c>
      <c r="L289" t="str">
        <f>IFERROR(VLOOKUP(WTG_BD[[#This Row],[Error Code]],'Basic Data'!S:T,2,0),"Incorrect Error Code")</f>
        <v>ArcNetReconfigMaxLimit________</v>
      </c>
      <c r="M289" t="s">
        <v>1739</v>
      </c>
      <c r="N289" t="s">
        <v>113</v>
      </c>
      <c r="O289" s="168">
        <v>0.43611111111111112</v>
      </c>
      <c r="P289" s="168">
        <v>0.43611111111111112</v>
      </c>
      <c r="Q289" s="168">
        <v>0.46527777777777779</v>
      </c>
      <c r="R289" s="356">
        <f>(WTG_BD[[#This Row],[Work Start TimeStamp]]-WTG_BD[[#This Row],[Fault Start TimeStamp]])*24</f>
        <v>0</v>
      </c>
      <c r="S289" s="34">
        <f>(WTG_BD[[#This Row],[Fault Clearance time]]-WTG_BD[[#This Row],[Work Start TimeStamp]])*24</f>
        <v>0.70000000000000018</v>
      </c>
      <c r="T289" s="34">
        <f>(WTG_BD[[#This Row],[Fault Clearance time]]-WTG_BD[[#This Row],[Fault Start TimeStamp]])*24</f>
        <v>0.70000000000000018</v>
      </c>
      <c r="U289" t="s">
        <v>4268</v>
      </c>
      <c r="V289" s="234" t="s">
        <v>255</v>
      </c>
      <c r="W289" s="50">
        <f>IFERROR(IF(N289="ROW",0,(WTG_BD[[#This Row],[Breakdown Time]]*WTG_BD[[#This Row],[Plant Equivalent Weightage]])),"")</f>
        <v>3.0434782608695664E-2</v>
      </c>
      <c r="X289" s="50"/>
      <c r="Y289" s="205">
        <v>1</v>
      </c>
      <c r="Z289" s="205"/>
      <c r="AC289" s="4"/>
    </row>
    <row r="290" spans="1:29">
      <c r="A290" s="10">
        <f t="shared" si="6"/>
        <v>289</v>
      </c>
      <c r="B290" s="43">
        <f>YEAR(WTG_BD[[#This Row],[Date]])+IF(MONTH(WTG_BD[[#This Row],[Date]])&gt;=4,1,0)</f>
        <v>2026</v>
      </c>
      <c r="C290" s="10">
        <v>2025</v>
      </c>
      <c r="D290" s="10" t="s">
        <v>4478</v>
      </c>
      <c r="E290" s="309">
        <f>WTG_BD[[#This Row],[Date]]-DAY(WTG_BD[[#This Row],[Date]])+1</f>
        <v>45748</v>
      </c>
      <c r="F290" s="32">
        <v>45772</v>
      </c>
      <c r="G290" t="s">
        <v>95</v>
      </c>
      <c r="H290" t="str">
        <f>IFERROR(VLOOKUP(WTG_BD[[#This Row],[Affected WTG]],'Basic Data'!$A$3:$E$25,2,0),"")</f>
        <v>O2R1</v>
      </c>
      <c r="I290" t="str">
        <f>IFERROR(VLOOKUP(WTG_BD[[#This Row],[Affected WTG]],'Basic Data'!$A$3:$E$25,3,0),"")</f>
        <v>KSIPL</v>
      </c>
      <c r="J290" s="355">
        <f>IFERROR(VLOOKUP(WTG_BD[[#This Row],[Affected WTG]],'Basic Data'!$A$3:$E$25,5,0),"")</f>
        <v>4.3478260869565223E-2</v>
      </c>
      <c r="K290" s="10">
        <v>335</v>
      </c>
      <c r="L290" t="str">
        <f>IFERROR(VLOOKUP(WTG_BD[[#This Row],[Error Code]],'Basic Data'!S:T,2,0),"Incorrect Error Code")</f>
        <v>ExtHighIRotorInv phase: _</v>
      </c>
      <c r="M290" t="s">
        <v>907</v>
      </c>
      <c r="N290" t="s">
        <v>113</v>
      </c>
      <c r="O290" s="168">
        <v>0.33402777777777776</v>
      </c>
      <c r="P290" s="168">
        <v>0.33402777777777776</v>
      </c>
      <c r="Q290" s="168">
        <v>0.38333333333333336</v>
      </c>
      <c r="R290" s="356">
        <f>(WTG_BD[[#This Row],[Work Start TimeStamp]]-WTG_BD[[#This Row],[Fault Start TimeStamp]])*24</f>
        <v>0</v>
      </c>
      <c r="S290" s="34">
        <f>(WTG_BD[[#This Row],[Fault Clearance time]]-WTG_BD[[#This Row],[Work Start TimeStamp]])*24</f>
        <v>1.1833333333333345</v>
      </c>
      <c r="T290" s="34">
        <f>(WTG_BD[[#This Row],[Fault Clearance time]]-WTG_BD[[#This Row],[Fault Start TimeStamp]])*24</f>
        <v>1.1833333333333345</v>
      </c>
      <c r="U290" t="s">
        <v>4268</v>
      </c>
      <c r="V290" s="234" t="s">
        <v>255</v>
      </c>
      <c r="W290" s="50">
        <f>IFERROR(IF(N290="ROW",0,(WTG_BD[[#This Row],[Breakdown Time]]*WTG_BD[[#This Row],[Plant Equivalent Weightage]])),"")</f>
        <v>5.1449275362318893E-2</v>
      </c>
      <c r="X290" s="50"/>
      <c r="Y290" s="205">
        <v>1</v>
      </c>
      <c r="Z290" s="205"/>
      <c r="AC290" s="4"/>
    </row>
    <row r="291" spans="1:29">
      <c r="A291" s="10">
        <f t="shared" si="6"/>
        <v>290</v>
      </c>
      <c r="B291" s="43">
        <f>YEAR(WTG_BD[[#This Row],[Date]])+IF(MONTH(WTG_BD[[#This Row],[Date]])&gt;=4,1,0)</f>
        <v>2026</v>
      </c>
      <c r="C291" s="10">
        <v>2025</v>
      </c>
      <c r="D291" s="10" t="s">
        <v>4478</v>
      </c>
      <c r="E291" s="309">
        <f>WTG_BD[[#This Row],[Date]]-DAY(WTG_BD[[#This Row],[Date]])+1</f>
        <v>45748</v>
      </c>
      <c r="F291" s="32">
        <v>45773</v>
      </c>
      <c r="G291" t="s">
        <v>87</v>
      </c>
      <c r="H291" t="str">
        <f>IFERROR(VLOOKUP(WTG_BD[[#This Row],[Affected WTG]],'Basic Data'!$A$3:$E$25,2,0),"")</f>
        <v>O2R1</v>
      </c>
      <c r="I291" t="str">
        <f>IFERROR(VLOOKUP(WTG_BD[[#This Row],[Affected WTG]],'Basic Data'!$A$3:$E$25,3,0),"")</f>
        <v>KSIPL</v>
      </c>
      <c r="J291" s="355">
        <f>IFERROR(VLOOKUP(WTG_BD[[#This Row],[Affected WTG]],'Basic Data'!$A$3:$E$25,5,0),"")</f>
        <v>4.3478260869565223E-2</v>
      </c>
      <c r="K291" s="10">
        <v>3272</v>
      </c>
      <c r="L291" t="str">
        <f>IFERROR(VLOOKUP(WTG_BD[[#This Row],[Error Code]],'Basic Data'!S:T,2,0),"Incorrect Error Code")</f>
        <v>YawUntwistCW: Code__,_______°</v>
      </c>
      <c r="M291" t="s">
        <v>378</v>
      </c>
      <c r="O291" s="168">
        <v>0.63194444444444442</v>
      </c>
      <c r="P291" s="168">
        <v>0.63194444444444442</v>
      </c>
      <c r="Q291" s="168">
        <v>0.64583333333333337</v>
      </c>
      <c r="R291" s="356">
        <f>(WTG_BD[[#This Row],[Work Start TimeStamp]]-WTG_BD[[#This Row],[Fault Start TimeStamp]])*24</f>
        <v>0</v>
      </c>
      <c r="S291" s="34">
        <f>(WTG_BD[[#This Row],[Fault Clearance time]]-WTG_BD[[#This Row],[Work Start TimeStamp]])*24</f>
        <v>0.33333333333333481</v>
      </c>
      <c r="T291" s="34">
        <f>(WTG_BD[[#This Row],[Fault Clearance time]]-WTG_BD[[#This Row],[Fault Start TimeStamp]])*24</f>
        <v>0.33333333333333481</v>
      </c>
      <c r="U291" t="s">
        <v>4323</v>
      </c>
      <c r="V291" s="234" t="s">
        <v>255</v>
      </c>
      <c r="W291" s="50">
        <f>IFERROR(IF(N291="ROW",0,(WTG_BD[[#This Row],[Breakdown Time]]*WTG_BD[[#This Row],[Plant Equivalent Weightage]])),"")</f>
        <v>1.4492753623188472E-2</v>
      </c>
      <c r="X291" s="50"/>
      <c r="Y291" s="205">
        <v>1</v>
      </c>
      <c r="Z291" s="205"/>
      <c r="AA291" s="4">
        <v>0.104</v>
      </c>
      <c r="AC291" s="4"/>
    </row>
    <row r="292" spans="1:29">
      <c r="A292" s="10">
        <f t="shared" si="6"/>
        <v>291</v>
      </c>
      <c r="B292" s="43">
        <f>YEAR(WTG_BD[[#This Row],[Date]])+IF(MONTH(WTG_BD[[#This Row],[Date]])&gt;=4,1,0)</f>
        <v>2026</v>
      </c>
      <c r="C292" s="10">
        <v>2025</v>
      </c>
      <c r="D292" s="10" t="s">
        <v>4478</v>
      </c>
      <c r="E292" s="309">
        <f>WTG_BD[[#This Row],[Date]]-DAY(WTG_BD[[#This Row],[Date]])+1</f>
        <v>45748</v>
      </c>
      <c r="F292" s="32">
        <v>45773</v>
      </c>
      <c r="G292" t="s">
        <v>94</v>
      </c>
      <c r="H292" t="str">
        <f>IFERROR(VLOOKUP(WTG_BD[[#This Row],[Affected WTG]],'Basic Data'!$A$3:$E$25,2,0),"")</f>
        <v>O2R1</v>
      </c>
      <c r="I292" t="str">
        <f>IFERROR(VLOOKUP(WTG_BD[[#This Row],[Affected WTG]],'Basic Data'!$A$3:$E$25,3,0),"")</f>
        <v>KSIPL</v>
      </c>
      <c r="J292" s="355">
        <f>IFERROR(VLOOKUP(WTG_BD[[#This Row],[Affected WTG]],'Basic Data'!$A$3:$E$25,5,0),"")</f>
        <v>4.3478260869565223E-2</v>
      </c>
      <c r="K292" s="10">
        <v>3272</v>
      </c>
      <c r="L292" t="str">
        <f>IFERROR(VLOOKUP(WTG_BD[[#This Row],[Error Code]],'Basic Data'!S:T,2,0),"Incorrect Error Code")</f>
        <v>YawUntwistCW: Code__,_______°</v>
      </c>
      <c r="M292" t="s">
        <v>378</v>
      </c>
      <c r="O292" s="168">
        <v>0.45347222222222222</v>
      </c>
      <c r="P292" s="168">
        <v>0.45347222222222222</v>
      </c>
      <c r="Q292" s="168">
        <v>0.46805555555555556</v>
      </c>
      <c r="R292" s="356">
        <f>(WTG_BD[[#This Row],[Work Start TimeStamp]]-WTG_BD[[#This Row],[Fault Start TimeStamp]])*24</f>
        <v>0</v>
      </c>
      <c r="S292" s="34">
        <f>(WTG_BD[[#This Row],[Fault Clearance time]]-WTG_BD[[#This Row],[Work Start TimeStamp]])*24</f>
        <v>0.35000000000000009</v>
      </c>
      <c r="T292" s="34">
        <f>(WTG_BD[[#This Row],[Fault Clearance time]]-WTG_BD[[#This Row],[Fault Start TimeStamp]])*24</f>
        <v>0.35000000000000009</v>
      </c>
      <c r="U292" t="s">
        <v>4323</v>
      </c>
      <c r="V292" s="234" t="s">
        <v>255</v>
      </c>
      <c r="W292" s="50">
        <f>IFERROR(IF(N292="ROW",0,(WTG_BD[[#This Row],[Breakdown Time]]*WTG_BD[[#This Row],[Plant Equivalent Weightage]])),"")</f>
        <v>1.5217391304347832E-2</v>
      </c>
      <c r="X292" s="50"/>
      <c r="Y292" s="205">
        <v>1</v>
      </c>
      <c r="Z292" s="205"/>
      <c r="AA292" s="4">
        <v>0</v>
      </c>
      <c r="AC292" s="4"/>
    </row>
    <row r="293" spans="1:29">
      <c r="A293" s="10">
        <f t="shared" si="6"/>
        <v>292</v>
      </c>
      <c r="B293" s="43">
        <f>YEAR(WTG_BD[[#This Row],[Date]])+IF(MONTH(WTG_BD[[#This Row],[Date]])&gt;=4,1,0)</f>
        <v>2026</v>
      </c>
      <c r="C293" s="10">
        <v>2025</v>
      </c>
      <c r="D293" s="10" t="s">
        <v>4478</v>
      </c>
      <c r="E293" s="309">
        <f>WTG_BD[[#This Row],[Date]]-DAY(WTG_BD[[#This Row],[Date]])+1</f>
        <v>45748</v>
      </c>
      <c r="F293" s="32">
        <v>45773</v>
      </c>
      <c r="G293" t="s">
        <v>92</v>
      </c>
      <c r="H293" t="str">
        <f>IFERROR(VLOOKUP(WTG_BD[[#This Row],[Affected WTG]],'Basic Data'!$A$3:$E$25,2,0),"")</f>
        <v>O2R2</v>
      </c>
      <c r="I293" t="str">
        <f>IFERROR(VLOOKUP(WTG_BD[[#This Row],[Affected WTG]],'Basic Data'!$A$3:$E$25,3,0),"")</f>
        <v>SIL</v>
      </c>
      <c r="J293" s="355">
        <f>IFERROR(VLOOKUP(WTG_BD[[#This Row],[Affected WTG]],'Basic Data'!$A$3:$E$25,5,0),"")</f>
        <v>4.3478260869565223E-2</v>
      </c>
      <c r="K293" s="10">
        <v>309</v>
      </c>
      <c r="L293" t="str">
        <f>IFERROR(VLOOKUP(WTG_BD[[#This Row],[Error Code]],'Basic Data'!S:T,2,0),"Incorrect Error Code")</f>
        <v>Pause over RCS __0</v>
      </c>
      <c r="M293" t="s">
        <v>871</v>
      </c>
      <c r="N293" t="s">
        <v>257</v>
      </c>
      <c r="O293" s="168">
        <v>0.43819444444444444</v>
      </c>
      <c r="P293" s="168">
        <v>0.43819444444444444</v>
      </c>
      <c r="Q293" s="168">
        <v>0.49652777777777779</v>
      </c>
      <c r="R293" s="356">
        <f>(WTG_BD[[#This Row],[Work Start TimeStamp]]-WTG_BD[[#This Row],[Fault Start TimeStamp]])*24</f>
        <v>0</v>
      </c>
      <c r="S293" s="34">
        <f>(WTG_BD[[#This Row],[Fault Clearance time]]-WTG_BD[[#This Row],[Work Start TimeStamp]])*24</f>
        <v>1.4000000000000004</v>
      </c>
      <c r="T293" s="34">
        <f>(WTG_BD[[#This Row],[Fault Clearance time]]-WTG_BD[[#This Row],[Fault Start TimeStamp]])*24</f>
        <v>1.4000000000000004</v>
      </c>
      <c r="U293" t="s">
        <v>4493</v>
      </c>
      <c r="V293" s="234" t="s">
        <v>255</v>
      </c>
      <c r="W293" s="50">
        <f>IFERROR(IF(N293="ROW",0,(WTG_BD[[#This Row],[Breakdown Time]]*WTG_BD[[#This Row],[Plant Equivalent Weightage]])),"")</f>
        <v>6.0869565217391328E-2</v>
      </c>
      <c r="X293" s="50"/>
      <c r="Y293" s="205">
        <v>1</v>
      </c>
      <c r="Z293" s="205"/>
      <c r="AA293" s="4">
        <v>0.23</v>
      </c>
      <c r="AC293" s="4"/>
    </row>
    <row r="294" spans="1:29">
      <c r="A294" s="10">
        <f t="shared" si="6"/>
        <v>293</v>
      </c>
      <c r="B294" s="43">
        <f>YEAR(WTG_BD[[#This Row],[Date]])+IF(MONTH(WTG_BD[[#This Row],[Date]])&gt;=4,1,0)</f>
        <v>2026</v>
      </c>
      <c r="C294" s="10">
        <v>2025</v>
      </c>
      <c r="D294" s="10" t="s">
        <v>4478</v>
      </c>
      <c r="E294" s="309">
        <f>WTG_BD[[#This Row],[Date]]-DAY(WTG_BD[[#This Row],[Date]])+1</f>
        <v>45748</v>
      </c>
      <c r="F294" s="32">
        <v>45774</v>
      </c>
      <c r="G294" t="s">
        <v>78</v>
      </c>
      <c r="H294" t="str">
        <f>IFERROR(VLOOKUP(WTG_BD[[#This Row],[Affected WTG]],'Basic Data'!$A$3:$E$25,2,0),"")</f>
        <v>O2R1</v>
      </c>
      <c r="I294" t="str">
        <f>IFERROR(VLOOKUP(WTG_BD[[#This Row],[Affected WTG]],'Basic Data'!$A$3:$E$25,3,0),"")</f>
        <v>KSIPL</v>
      </c>
      <c r="J294" s="355">
        <f>IFERROR(VLOOKUP(WTG_BD[[#This Row],[Affected WTG]],'Basic Data'!$A$3:$E$25,5,0),"")</f>
        <v>4.3478260869565223E-2</v>
      </c>
      <c r="K294" s="10">
        <v>3272</v>
      </c>
      <c r="L294" t="str">
        <f>IFERROR(VLOOKUP(WTG_BD[[#This Row],[Error Code]],'Basic Data'!S:T,2,0),"Incorrect Error Code")</f>
        <v>YawUntwistCW: Code__,_______°</v>
      </c>
      <c r="M294" t="s">
        <v>378</v>
      </c>
      <c r="O294" s="168">
        <v>0.74791666666666667</v>
      </c>
      <c r="P294" s="168">
        <v>0.74791666666666667</v>
      </c>
      <c r="Q294" s="168">
        <v>0.76666666666666672</v>
      </c>
      <c r="R294" s="356">
        <f>(WTG_BD[[#This Row],[Work Start TimeStamp]]-WTG_BD[[#This Row],[Fault Start TimeStamp]])*24</f>
        <v>0</v>
      </c>
      <c r="S294" s="34">
        <f>(WTG_BD[[#This Row],[Fault Clearance time]]-WTG_BD[[#This Row],[Work Start TimeStamp]])*24</f>
        <v>0.45000000000000107</v>
      </c>
      <c r="T294" s="34">
        <f>(WTG_BD[[#This Row],[Fault Clearance time]]-WTG_BD[[#This Row],[Fault Start TimeStamp]])*24</f>
        <v>0.45000000000000107</v>
      </c>
      <c r="U294" t="s">
        <v>4323</v>
      </c>
      <c r="V294" s="234" t="s">
        <v>255</v>
      </c>
      <c r="W294" s="50">
        <f>IFERROR(IF(N294="ROW",0,(WTG_BD[[#This Row],[Breakdown Time]]*WTG_BD[[#This Row],[Plant Equivalent Weightage]])),"")</f>
        <v>1.9565217391304398E-2</v>
      </c>
      <c r="X294" s="50"/>
      <c r="Y294" s="205">
        <v>1</v>
      </c>
      <c r="Z294" s="205"/>
      <c r="AA294" s="4">
        <v>0.22500000000000001</v>
      </c>
      <c r="AC294" s="4"/>
    </row>
    <row r="295" spans="1:29">
      <c r="A295" s="10">
        <f t="shared" si="6"/>
        <v>294</v>
      </c>
      <c r="B295" s="43">
        <f>YEAR(WTG_BD[[#This Row],[Date]])+IF(MONTH(WTG_BD[[#This Row],[Date]])&gt;=4,1,0)</f>
        <v>2026</v>
      </c>
      <c r="C295" s="10">
        <v>2025</v>
      </c>
      <c r="D295" s="10" t="s">
        <v>4478</v>
      </c>
      <c r="E295" s="309">
        <f>WTG_BD[[#This Row],[Date]]-DAY(WTG_BD[[#This Row],[Date]])+1</f>
        <v>45748</v>
      </c>
      <c r="F295" s="32">
        <v>45774</v>
      </c>
      <c r="G295" t="s">
        <v>83</v>
      </c>
      <c r="H295" t="str">
        <f>IFERROR(VLOOKUP(WTG_BD[[#This Row],[Affected WTG]],'Basic Data'!$A$3:$E$25,2,0),"")</f>
        <v>O2R3</v>
      </c>
      <c r="I295" t="str">
        <f>IFERROR(VLOOKUP(WTG_BD[[#This Row],[Affected WTG]],'Basic Data'!$A$3:$E$25,3,0),"")</f>
        <v>JK</v>
      </c>
      <c r="J295" s="355">
        <f>IFERROR(VLOOKUP(WTG_BD[[#This Row],[Affected WTG]],'Basic Data'!$A$3:$E$25,5,0),"")</f>
        <v>4.3478260869565223E-2</v>
      </c>
      <c r="K295" s="10">
        <v>3272</v>
      </c>
      <c r="L295" t="str">
        <f>IFERROR(VLOOKUP(WTG_BD[[#This Row],[Error Code]],'Basic Data'!S:T,2,0),"Incorrect Error Code")</f>
        <v>YawUntwistCW: Code__,_______°</v>
      </c>
      <c r="M295" t="s">
        <v>378</v>
      </c>
      <c r="O295" s="168">
        <v>0.68055555555555558</v>
      </c>
      <c r="P295" s="168">
        <v>0.68055555555555558</v>
      </c>
      <c r="Q295" s="168">
        <v>0.69097222222222221</v>
      </c>
      <c r="R295" s="356">
        <f>(WTG_BD[[#This Row],[Work Start TimeStamp]]-WTG_BD[[#This Row],[Fault Start TimeStamp]])*24</f>
        <v>0</v>
      </c>
      <c r="S295" s="34">
        <f>(WTG_BD[[#This Row],[Fault Clearance time]]-WTG_BD[[#This Row],[Work Start TimeStamp]])*24</f>
        <v>0.24999999999999911</v>
      </c>
      <c r="T295" s="34">
        <f>(WTG_BD[[#This Row],[Fault Clearance time]]-WTG_BD[[#This Row],[Fault Start TimeStamp]])*24</f>
        <v>0.24999999999999911</v>
      </c>
      <c r="U295" t="s">
        <v>4323</v>
      </c>
      <c r="V295" s="234" t="s">
        <v>255</v>
      </c>
      <c r="W295" s="50">
        <f>IFERROR(IF(N295="ROW",0,(WTG_BD[[#This Row],[Breakdown Time]]*WTG_BD[[#This Row],[Plant Equivalent Weightage]])),"")</f>
        <v>1.0869565217391268E-2</v>
      </c>
      <c r="X295" s="50"/>
      <c r="Y295" s="205">
        <v>1</v>
      </c>
      <c r="Z295" s="205"/>
      <c r="AA295" s="4">
        <v>0.25</v>
      </c>
      <c r="AC295" s="4"/>
    </row>
    <row r="296" spans="1:29">
      <c r="A296" s="10">
        <f t="shared" si="6"/>
        <v>295</v>
      </c>
      <c r="B296" s="43">
        <f>YEAR(WTG_BD[[#This Row],[Date]])+IF(MONTH(WTG_BD[[#This Row],[Date]])&gt;=4,1,0)</f>
        <v>2026</v>
      </c>
      <c r="C296" s="10">
        <v>2025</v>
      </c>
      <c r="D296" s="10" t="s">
        <v>4478</v>
      </c>
      <c r="E296" s="309">
        <f>WTG_BD[[#This Row],[Date]]-DAY(WTG_BD[[#This Row],[Date]])+1</f>
        <v>45748</v>
      </c>
      <c r="F296" s="32">
        <v>45774</v>
      </c>
      <c r="G296" t="s">
        <v>86</v>
      </c>
      <c r="H296" t="str">
        <f>IFERROR(VLOOKUP(WTG_BD[[#This Row],[Affected WTG]],'Basic Data'!$A$3:$E$25,2,0),"")</f>
        <v>O2R1</v>
      </c>
      <c r="I296" t="str">
        <f>IFERROR(VLOOKUP(WTG_BD[[#This Row],[Affected WTG]],'Basic Data'!$A$3:$E$25,3,0),"")</f>
        <v>KSIPL</v>
      </c>
      <c r="J296" s="355">
        <f>IFERROR(VLOOKUP(WTG_BD[[#This Row],[Affected WTG]],'Basic Data'!$A$3:$E$25,5,0),"")</f>
        <v>4.3478260869565223E-2</v>
      </c>
      <c r="K296" s="10">
        <v>3272</v>
      </c>
      <c r="L296" t="str">
        <f>IFERROR(VLOOKUP(WTG_BD[[#This Row],[Error Code]],'Basic Data'!S:T,2,0),"Incorrect Error Code")</f>
        <v>YawUntwistCW: Code__,_______°</v>
      </c>
      <c r="M296" t="s">
        <v>378</v>
      </c>
      <c r="O296" s="168">
        <v>0.74375000000000002</v>
      </c>
      <c r="P296" s="168">
        <v>0.74375000000000002</v>
      </c>
      <c r="Q296" s="168">
        <v>0.76180555555555551</v>
      </c>
      <c r="R296" s="356">
        <f>(WTG_BD[[#This Row],[Work Start TimeStamp]]-WTG_BD[[#This Row],[Fault Start TimeStamp]])*24</f>
        <v>0</v>
      </c>
      <c r="S296" s="34">
        <f>(WTG_BD[[#This Row],[Fault Clearance time]]-WTG_BD[[#This Row],[Work Start TimeStamp]])*24</f>
        <v>0.43333333333333179</v>
      </c>
      <c r="T296" s="34">
        <f>(WTG_BD[[#This Row],[Fault Clearance time]]-WTG_BD[[#This Row],[Fault Start TimeStamp]])*24</f>
        <v>0.43333333333333179</v>
      </c>
      <c r="U296" t="s">
        <v>4323</v>
      </c>
      <c r="V296" s="234" t="s">
        <v>255</v>
      </c>
      <c r="W296" s="50">
        <f>IFERROR(IF(N296="ROW",0,(WTG_BD[[#This Row],[Breakdown Time]]*WTG_BD[[#This Row],[Plant Equivalent Weightage]])),"")</f>
        <v>1.8840579710144863E-2</v>
      </c>
      <c r="X296" s="50"/>
      <c r="Y296" s="205">
        <v>1</v>
      </c>
      <c r="Z296" s="205"/>
      <c r="AA296" s="4">
        <v>0.122</v>
      </c>
      <c r="AC296" s="4"/>
    </row>
    <row r="297" spans="1:29">
      <c r="A297" s="10">
        <f t="shared" si="6"/>
        <v>296</v>
      </c>
      <c r="B297" s="43">
        <f>YEAR(WTG_BD[[#This Row],[Date]])+IF(MONTH(WTG_BD[[#This Row],[Date]])&gt;=4,1,0)</f>
        <v>2026</v>
      </c>
      <c r="C297" s="10">
        <v>2025</v>
      </c>
      <c r="D297" s="10" t="s">
        <v>4478</v>
      </c>
      <c r="E297" s="309">
        <f>WTG_BD[[#This Row],[Date]]-DAY(WTG_BD[[#This Row],[Date]])+1</f>
        <v>45748</v>
      </c>
      <c r="F297" s="32">
        <v>45774</v>
      </c>
      <c r="G297" t="s">
        <v>87</v>
      </c>
      <c r="H297" t="str">
        <f>IFERROR(VLOOKUP(WTG_BD[[#This Row],[Affected WTG]],'Basic Data'!$A$3:$E$25,2,0),"")</f>
        <v>O2R1</v>
      </c>
      <c r="I297" t="str">
        <f>IFERROR(VLOOKUP(WTG_BD[[#This Row],[Affected WTG]],'Basic Data'!$A$3:$E$25,3,0),"")</f>
        <v>KSIPL</v>
      </c>
      <c r="J297" s="355">
        <f>IFERROR(VLOOKUP(WTG_BD[[#This Row],[Affected WTG]],'Basic Data'!$A$3:$E$25,5,0),"")</f>
        <v>4.3478260869565223E-2</v>
      </c>
      <c r="K297" s="10">
        <v>704</v>
      </c>
      <c r="L297" t="str">
        <f>IFERROR(VLOOKUP(WTG_BD[[#This Row],[Error Code]],'Basic Data'!S:T,2,0),"Incorrect Error Code")</f>
        <v>Ch High res. load C_ Load:___%</v>
      </c>
      <c r="M297" t="s">
        <v>372</v>
      </c>
      <c r="N297" t="s">
        <v>113</v>
      </c>
      <c r="O297" s="168">
        <v>0.94861111111111107</v>
      </c>
      <c r="P297" s="168">
        <v>0.94861111111111107</v>
      </c>
      <c r="Q297" s="168">
        <v>0.95138888888888884</v>
      </c>
      <c r="R297" s="356">
        <f>(WTG_BD[[#This Row],[Work Start TimeStamp]]-WTG_BD[[#This Row],[Fault Start TimeStamp]])*24</f>
        <v>0</v>
      </c>
      <c r="S297" s="34">
        <f>(WTG_BD[[#This Row],[Fault Clearance time]]-WTG_BD[[#This Row],[Work Start TimeStamp]])*24</f>
        <v>6.666666666666643E-2</v>
      </c>
      <c r="T297" s="34">
        <f>(WTG_BD[[#This Row],[Fault Clearance time]]-WTG_BD[[#This Row],[Fault Start TimeStamp]])*24</f>
        <v>6.666666666666643E-2</v>
      </c>
      <c r="U297" t="s">
        <v>262</v>
      </c>
      <c r="V297" s="234" t="s">
        <v>255</v>
      </c>
      <c r="W297" s="50">
        <f>IFERROR(IF(N297="ROW",0,(WTG_BD[[#This Row],[Breakdown Time]]*WTG_BD[[#This Row],[Plant Equivalent Weightage]])),"")</f>
        <v>2.8985507246376712E-3</v>
      </c>
      <c r="X297" s="50"/>
      <c r="Y297" s="205">
        <v>1</v>
      </c>
      <c r="Z297" s="205"/>
      <c r="AA297" s="4">
        <v>3.7999999999999999E-2</v>
      </c>
      <c r="AC297" s="4"/>
    </row>
    <row r="298" spans="1:29">
      <c r="A298" s="10">
        <f t="shared" si="6"/>
        <v>297</v>
      </c>
      <c r="B298" s="43">
        <f>YEAR(WTG_BD[[#This Row],[Date]])+IF(MONTH(WTG_BD[[#This Row],[Date]])&gt;=4,1,0)</f>
        <v>2026</v>
      </c>
      <c r="C298" s="10">
        <v>2025</v>
      </c>
      <c r="D298" s="10" t="s">
        <v>4478</v>
      </c>
      <c r="E298" s="309">
        <f>WTG_BD[[#This Row],[Date]]-DAY(WTG_BD[[#This Row],[Date]])+1</f>
        <v>45748</v>
      </c>
      <c r="F298" s="32">
        <v>45774</v>
      </c>
      <c r="G298" t="s">
        <v>87</v>
      </c>
      <c r="H298" t="str">
        <f>IFERROR(VLOOKUP(WTG_BD[[#This Row],[Affected WTG]],'Basic Data'!$A$3:$E$25,2,0),"")</f>
        <v>O2R1</v>
      </c>
      <c r="I298" t="str">
        <f>IFERROR(VLOOKUP(WTG_BD[[#This Row],[Affected WTG]],'Basic Data'!$A$3:$E$25,3,0),"")</f>
        <v>KSIPL</v>
      </c>
      <c r="J298" s="355">
        <f>IFERROR(VLOOKUP(WTG_BD[[#This Row],[Affected WTG]],'Basic Data'!$A$3:$E$25,5,0),"")</f>
        <v>4.3478260869565223E-2</v>
      </c>
      <c r="K298" s="10">
        <v>704</v>
      </c>
      <c r="L298" t="str">
        <f>IFERROR(VLOOKUP(WTG_BD[[#This Row],[Error Code]],'Basic Data'!S:T,2,0),"Incorrect Error Code")</f>
        <v>Ch High res. load C_ Load:___%</v>
      </c>
      <c r="M298" t="s">
        <v>372</v>
      </c>
      <c r="N298" t="s">
        <v>113</v>
      </c>
      <c r="O298" s="168">
        <v>0.95833333333333337</v>
      </c>
      <c r="P298" s="168">
        <v>0.95833333333333337</v>
      </c>
      <c r="Q298" s="168">
        <v>0.98472222222222228</v>
      </c>
      <c r="R298" s="356">
        <f>(WTG_BD[[#This Row],[Work Start TimeStamp]]-WTG_BD[[#This Row],[Fault Start TimeStamp]])*24</f>
        <v>0</v>
      </c>
      <c r="S298" s="34">
        <f>(WTG_BD[[#This Row],[Fault Clearance time]]-WTG_BD[[#This Row],[Work Start TimeStamp]])*24</f>
        <v>0.63333333333333375</v>
      </c>
      <c r="T298" s="34">
        <f>(WTG_BD[[#This Row],[Fault Clearance time]]-WTG_BD[[#This Row],[Fault Start TimeStamp]])*24</f>
        <v>0.63333333333333375</v>
      </c>
      <c r="U298" t="s">
        <v>262</v>
      </c>
      <c r="V298" s="234" t="s">
        <v>255</v>
      </c>
      <c r="W298" s="50">
        <f>IFERROR(IF(N298="ROW",0,(WTG_BD[[#This Row],[Breakdown Time]]*WTG_BD[[#This Row],[Plant Equivalent Weightage]])),"")</f>
        <v>2.7536231884057991E-2</v>
      </c>
      <c r="X298" s="50"/>
      <c r="Y298" s="205">
        <v>1</v>
      </c>
      <c r="Z298" s="205"/>
      <c r="AA298" s="4">
        <v>0.108</v>
      </c>
      <c r="AC298" s="4"/>
    </row>
    <row r="299" spans="1:29">
      <c r="A299" s="10">
        <f t="shared" si="6"/>
        <v>298</v>
      </c>
      <c r="B299" s="43">
        <f>YEAR(WTG_BD[[#This Row],[Date]])+IF(MONTH(WTG_BD[[#This Row],[Date]])&gt;=4,1,0)</f>
        <v>2026</v>
      </c>
      <c r="C299" s="10">
        <v>2025</v>
      </c>
      <c r="D299" s="10" t="s">
        <v>4478</v>
      </c>
      <c r="E299" s="309">
        <f>WTG_BD[[#This Row],[Date]]-DAY(WTG_BD[[#This Row],[Date]])+1</f>
        <v>45748</v>
      </c>
      <c r="F299" s="32">
        <v>45774</v>
      </c>
      <c r="G299" t="s">
        <v>89</v>
      </c>
      <c r="H299" t="str">
        <f>IFERROR(VLOOKUP(WTG_BD[[#This Row],[Affected WTG]],'Basic Data'!$A$3:$E$25,2,0),"")</f>
        <v>O2R1</v>
      </c>
      <c r="I299" t="str">
        <f>IFERROR(VLOOKUP(WTG_BD[[#This Row],[Affected WTG]],'Basic Data'!$A$3:$E$25,3,0),"")</f>
        <v>KSIPL</v>
      </c>
      <c r="J299" s="355">
        <f>IFERROR(VLOOKUP(WTG_BD[[#This Row],[Affected WTG]],'Basic Data'!$A$3:$E$25,5,0),"")</f>
        <v>4.3478260869565223E-2</v>
      </c>
      <c r="K299" s="10">
        <v>3272</v>
      </c>
      <c r="L299" t="str">
        <f>IFERROR(VLOOKUP(WTG_BD[[#This Row],[Error Code]],'Basic Data'!S:T,2,0),"Incorrect Error Code")</f>
        <v>YawUntwistCW: Code__,_______°</v>
      </c>
      <c r="M299" t="s">
        <v>378</v>
      </c>
      <c r="O299" s="168">
        <v>0.74652777777777779</v>
      </c>
      <c r="P299" s="168">
        <v>0.74652777777777779</v>
      </c>
      <c r="Q299" s="168">
        <v>0.76458333333333328</v>
      </c>
      <c r="R299" s="356">
        <f>(WTG_BD[[#This Row],[Work Start TimeStamp]]-WTG_BD[[#This Row],[Fault Start TimeStamp]])*24</f>
        <v>0</v>
      </c>
      <c r="S299" s="34">
        <f>(WTG_BD[[#This Row],[Fault Clearance time]]-WTG_BD[[#This Row],[Work Start TimeStamp]])*24</f>
        <v>0.43333333333333179</v>
      </c>
      <c r="T299" s="34">
        <f>(WTG_BD[[#This Row],[Fault Clearance time]]-WTG_BD[[#This Row],[Fault Start TimeStamp]])*24</f>
        <v>0.43333333333333179</v>
      </c>
      <c r="U299" t="s">
        <v>4323</v>
      </c>
      <c r="V299" s="234" t="s">
        <v>255</v>
      </c>
      <c r="W299" s="50">
        <f>IFERROR(IF(N299="ROW",0,(WTG_BD[[#This Row],[Breakdown Time]]*WTG_BD[[#This Row],[Plant Equivalent Weightage]])),"")</f>
        <v>1.8840579710144863E-2</v>
      </c>
      <c r="X299" s="50"/>
      <c r="Y299" s="205">
        <v>1</v>
      </c>
      <c r="Z299" s="205"/>
      <c r="AA299" s="4">
        <v>6.7000000000000004E-2</v>
      </c>
    </row>
    <row r="300" spans="1:29">
      <c r="A300" s="10">
        <f t="shared" si="6"/>
        <v>299</v>
      </c>
      <c r="B300" s="43">
        <f>YEAR(WTG_BD[[#This Row],[Date]])+IF(MONTH(WTG_BD[[#This Row],[Date]])&gt;=4,1,0)</f>
        <v>2026</v>
      </c>
      <c r="C300" s="10">
        <v>2025</v>
      </c>
      <c r="D300" s="10" t="s">
        <v>4478</v>
      </c>
      <c r="E300" s="309">
        <f>WTG_BD[[#This Row],[Date]]-DAY(WTG_BD[[#This Row],[Date]])+1</f>
        <v>45748</v>
      </c>
      <c r="F300" s="32">
        <v>45774</v>
      </c>
      <c r="G300" t="s">
        <v>90</v>
      </c>
      <c r="H300" t="str">
        <f>IFERROR(VLOOKUP(WTG_BD[[#This Row],[Affected WTG]],'Basic Data'!$A$3:$E$25,2,0),"")</f>
        <v>O2R1</v>
      </c>
      <c r="I300" t="str">
        <f>IFERROR(VLOOKUP(WTG_BD[[#This Row],[Affected WTG]],'Basic Data'!$A$3:$E$25,3,0),"")</f>
        <v>KSIPL</v>
      </c>
      <c r="J300" s="355">
        <f>IFERROR(VLOOKUP(WTG_BD[[#This Row],[Affected WTG]],'Basic Data'!$A$3:$E$25,5,0),"")</f>
        <v>4.3478260869565223E-2</v>
      </c>
      <c r="K300" s="10">
        <v>3272</v>
      </c>
      <c r="L300" t="str">
        <f>IFERROR(VLOOKUP(WTG_BD[[#This Row],[Error Code]],'Basic Data'!S:T,2,0),"Incorrect Error Code")</f>
        <v>YawUntwistCW: Code__,_______°</v>
      </c>
      <c r="M300" t="s">
        <v>378</v>
      </c>
      <c r="O300" s="168">
        <v>0.98124999999999996</v>
      </c>
      <c r="P300" s="168">
        <v>0.98124999999999996</v>
      </c>
      <c r="Q300" s="168">
        <v>0.99930555555555556</v>
      </c>
      <c r="R300" s="356">
        <f>(WTG_BD[[#This Row],[Work Start TimeStamp]]-WTG_BD[[#This Row],[Fault Start TimeStamp]])*24</f>
        <v>0</v>
      </c>
      <c r="S300" s="34">
        <f>(WTG_BD[[#This Row],[Fault Clearance time]]-WTG_BD[[#This Row],[Work Start TimeStamp]])*24</f>
        <v>0.43333333333333446</v>
      </c>
      <c r="T300" s="34">
        <f>(WTG_BD[[#This Row],[Fault Clearance time]]-WTG_BD[[#This Row],[Fault Start TimeStamp]])*24</f>
        <v>0.43333333333333446</v>
      </c>
      <c r="U300" t="s">
        <v>4323</v>
      </c>
      <c r="V300" s="234" t="s">
        <v>255</v>
      </c>
      <c r="W300" s="50">
        <f>IFERROR(IF(N300="ROW",0,(WTG_BD[[#This Row],[Breakdown Time]]*WTG_BD[[#This Row],[Plant Equivalent Weightage]])),"")</f>
        <v>1.8840579710144977E-2</v>
      </c>
      <c r="X300" s="50"/>
      <c r="Y300" s="205">
        <v>1</v>
      </c>
      <c r="Z300" s="205"/>
      <c r="AA300" s="4">
        <v>3.4000000000000002E-2</v>
      </c>
    </row>
    <row r="301" spans="1:29">
      <c r="A301" s="10">
        <f t="shared" si="6"/>
        <v>300</v>
      </c>
      <c r="B301" s="43">
        <f>YEAR(WTG_BD[[#This Row],[Date]])+IF(MONTH(WTG_BD[[#This Row],[Date]])&gt;=4,1,0)</f>
        <v>2026</v>
      </c>
      <c r="C301" s="10">
        <v>2025</v>
      </c>
      <c r="D301" s="10" t="s">
        <v>4478</v>
      </c>
      <c r="E301" s="309">
        <f>WTG_BD[[#This Row],[Date]]-DAY(WTG_BD[[#This Row],[Date]])+1</f>
        <v>45748</v>
      </c>
      <c r="F301" s="32">
        <v>45774</v>
      </c>
      <c r="G301" t="s">
        <v>95</v>
      </c>
      <c r="H301" t="str">
        <f>IFERROR(VLOOKUP(WTG_BD[[#This Row],[Affected WTG]],'Basic Data'!$A$3:$E$25,2,0),"")</f>
        <v>O2R1</v>
      </c>
      <c r="I301" t="str">
        <f>IFERROR(VLOOKUP(WTG_BD[[#This Row],[Affected WTG]],'Basic Data'!$A$3:$E$25,3,0),"")</f>
        <v>KSIPL</v>
      </c>
      <c r="J301" s="355">
        <f>IFERROR(VLOOKUP(WTG_BD[[#This Row],[Affected WTG]],'Basic Data'!$A$3:$E$25,5,0),"")</f>
        <v>4.3478260869565223E-2</v>
      </c>
      <c r="K301" s="10">
        <v>5470</v>
      </c>
      <c r="L301" t="str">
        <f>IFERROR(VLOOKUP(WTG_BD[[#This Row],[Error Code]],'Basic Data'!S:T,2,0),"Incorrect Error Code")</f>
        <v>GeneratorBreakerFBResponse</v>
      </c>
      <c r="M301" t="s">
        <v>291</v>
      </c>
      <c r="N301" t="s">
        <v>113</v>
      </c>
      <c r="O301" s="168">
        <v>0.68958333333333333</v>
      </c>
      <c r="P301" s="168">
        <v>0.68958333333333333</v>
      </c>
      <c r="Q301" s="168">
        <v>0.73541666666666672</v>
      </c>
      <c r="R301" s="356">
        <f>(WTG_BD[[#This Row],[Work Start TimeStamp]]-WTG_BD[[#This Row],[Fault Start TimeStamp]])*24</f>
        <v>0</v>
      </c>
      <c r="S301" s="34">
        <f>(WTG_BD[[#This Row],[Fault Clearance time]]-WTG_BD[[#This Row],[Work Start TimeStamp]])*24</f>
        <v>1.1000000000000014</v>
      </c>
      <c r="T301" s="34">
        <f>(WTG_BD[[#This Row],[Fault Clearance time]]-WTG_BD[[#This Row],[Fault Start TimeStamp]])*24</f>
        <v>1.1000000000000014</v>
      </c>
      <c r="U301" t="s">
        <v>4553</v>
      </c>
      <c r="V301" s="234" t="s">
        <v>255</v>
      </c>
      <c r="W301" s="50">
        <f>IFERROR(IF(N301="ROW",0,(WTG_BD[[#This Row],[Breakdown Time]]*WTG_BD[[#This Row],[Plant Equivalent Weightage]])),"")</f>
        <v>4.782608695652181E-2</v>
      </c>
      <c r="X301" s="50"/>
      <c r="Y301" s="205">
        <v>1</v>
      </c>
      <c r="Z301" s="205"/>
      <c r="AA301" s="4">
        <v>0.60799999999999998</v>
      </c>
    </row>
    <row r="302" spans="1:29">
      <c r="A302" s="10">
        <f t="shared" si="6"/>
        <v>301</v>
      </c>
      <c r="B302" s="43">
        <f>YEAR(WTG_BD[[#This Row],[Date]])+IF(MONTH(WTG_BD[[#This Row],[Date]])&gt;=4,1,0)</f>
        <v>2026</v>
      </c>
      <c r="C302" s="10">
        <v>2025</v>
      </c>
      <c r="D302" s="10" t="s">
        <v>4478</v>
      </c>
      <c r="E302" s="309">
        <f>WTG_BD[[#This Row],[Date]]-DAY(WTG_BD[[#This Row],[Date]])+1</f>
        <v>45748</v>
      </c>
      <c r="F302" s="32">
        <v>45774</v>
      </c>
      <c r="G302" t="s">
        <v>79</v>
      </c>
      <c r="H302" t="str">
        <f>IFERROR(VLOOKUP(WTG_BD[[#This Row],[Affected WTG]],'Basic Data'!$A$3:$E$25,2,0),"")</f>
        <v>O2R3</v>
      </c>
      <c r="I302" t="str">
        <f>IFERROR(VLOOKUP(WTG_BD[[#This Row],[Affected WTG]],'Basic Data'!$A$3:$E$25,3,0),"")</f>
        <v>JK</v>
      </c>
      <c r="J302" s="355">
        <f>IFERROR(VLOOKUP(WTG_BD[[#This Row],[Affected WTG]],'Basic Data'!$A$3:$E$25,5,0),"")</f>
        <v>4.3478260869565223E-2</v>
      </c>
      <c r="K302" s="10">
        <v>3272</v>
      </c>
      <c r="L302" t="str">
        <f>IFERROR(VLOOKUP(WTG_BD[[#This Row],[Error Code]],'Basic Data'!S:T,2,0),"Incorrect Error Code")</f>
        <v>YawUntwistCW: Code__,_______°</v>
      </c>
      <c r="M302" t="s">
        <v>378</v>
      </c>
      <c r="O302" s="168">
        <v>0.41041666666666665</v>
      </c>
      <c r="P302" s="168">
        <v>0.41041666666666665</v>
      </c>
      <c r="Q302" s="168">
        <v>0.42569444444444443</v>
      </c>
      <c r="R302" s="356">
        <f>(WTG_BD[[#This Row],[Work Start TimeStamp]]-WTG_BD[[#This Row],[Fault Start TimeStamp]])*24</f>
        <v>0</v>
      </c>
      <c r="S302" s="34">
        <f>(WTG_BD[[#This Row],[Fault Clearance time]]-WTG_BD[[#This Row],[Work Start TimeStamp]])*24</f>
        <v>0.3666666666666667</v>
      </c>
      <c r="T302" s="34">
        <f>(WTG_BD[[#This Row],[Fault Clearance time]]-WTG_BD[[#This Row],[Fault Start TimeStamp]])*24</f>
        <v>0.3666666666666667</v>
      </c>
      <c r="U302" t="s">
        <v>4323</v>
      </c>
      <c r="V302" s="234" t="s">
        <v>255</v>
      </c>
      <c r="W302" s="50">
        <f>IFERROR(IF(N302="ROW",0,(WTG_BD[[#This Row],[Breakdown Time]]*WTG_BD[[#This Row],[Plant Equivalent Weightage]])),"")</f>
        <v>1.5942028985507249E-2</v>
      </c>
      <c r="X302" s="50"/>
      <c r="Y302" s="205">
        <v>1</v>
      </c>
      <c r="Z302" s="205"/>
      <c r="AA302" s="4">
        <v>6.0000000000000001E-3</v>
      </c>
    </row>
    <row r="303" spans="1:29">
      <c r="A303" s="10">
        <f t="shared" si="6"/>
        <v>302</v>
      </c>
      <c r="B303" s="43">
        <f>YEAR(WTG_BD[[#This Row],[Date]])+IF(MONTH(WTG_BD[[#This Row],[Date]])&gt;=4,1,0)</f>
        <v>2026</v>
      </c>
      <c r="C303" s="10">
        <v>2025</v>
      </c>
      <c r="D303" s="10" t="s">
        <v>4478</v>
      </c>
      <c r="E303" s="309">
        <f>WTG_BD[[#This Row],[Date]]-DAY(WTG_BD[[#This Row],[Date]])+1</f>
        <v>45748</v>
      </c>
      <c r="F303" s="32">
        <v>45774</v>
      </c>
      <c r="G303" t="s">
        <v>80</v>
      </c>
      <c r="H303" t="str">
        <f>IFERROR(VLOOKUP(WTG_BD[[#This Row],[Affected WTG]],'Basic Data'!$A$3:$E$25,2,0),"")</f>
        <v>O2R3</v>
      </c>
      <c r="I303" t="str">
        <f>IFERROR(VLOOKUP(WTG_BD[[#This Row],[Affected WTG]],'Basic Data'!$A$3:$E$25,3,0),"")</f>
        <v>JK</v>
      </c>
      <c r="J303" s="355">
        <f>IFERROR(VLOOKUP(WTG_BD[[#This Row],[Affected WTG]],'Basic Data'!$A$3:$E$25,5,0),"")</f>
        <v>4.3478260869565223E-2</v>
      </c>
      <c r="K303" s="10">
        <v>3272</v>
      </c>
      <c r="L303" t="str">
        <f>IFERROR(VLOOKUP(WTG_BD[[#This Row],[Error Code]],'Basic Data'!S:T,2,0),"Incorrect Error Code")</f>
        <v>YawUntwistCW: Code__,_______°</v>
      </c>
      <c r="M303" t="s">
        <v>378</v>
      </c>
      <c r="O303" s="168">
        <v>0.49236111111111114</v>
      </c>
      <c r="P303" s="168">
        <v>0.49236111111111114</v>
      </c>
      <c r="Q303" s="168">
        <v>0.51111111111111107</v>
      </c>
      <c r="R303" s="356">
        <f>(WTG_BD[[#This Row],[Work Start TimeStamp]]-WTG_BD[[#This Row],[Fault Start TimeStamp]])*24</f>
        <v>0</v>
      </c>
      <c r="S303" s="34">
        <f>(WTG_BD[[#This Row],[Fault Clearance time]]-WTG_BD[[#This Row],[Work Start TimeStamp]])*24</f>
        <v>0.4499999999999984</v>
      </c>
      <c r="T303" s="34">
        <f>(WTG_BD[[#This Row],[Fault Clearance time]]-WTG_BD[[#This Row],[Fault Start TimeStamp]])*24</f>
        <v>0.4499999999999984</v>
      </c>
      <c r="U303" t="s">
        <v>4323</v>
      </c>
      <c r="V303" s="234" t="s">
        <v>255</v>
      </c>
      <c r="W303" s="50">
        <f>IFERROR(IF(N303="ROW",0,(WTG_BD[[#This Row],[Breakdown Time]]*WTG_BD[[#This Row],[Plant Equivalent Weightage]])),"")</f>
        <v>1.956521739130428E-2</v>
      </c>
      <c r="X303" s="50"/>
      <c r="Y303" s="205">
        <v>1</v>
      </c>
      <c r="Z303" s="205"/>
      <c r="AA303" s="4">
        <v>2E-3</v>
      </c>
    </row>
    <row r="304" spans="1:29">
      <c r="A304" s="10">
        <f t="shared" si="6"/>
        <v>303</v>
      </c>
      <c r="B304" s="43">
        <f>YEAR(WTG_BD[[#This Row],[Date]])+IF(MONTH(WTG_BD[[#This Row],[Date]])&gt;=4,1,0)</f>
        <v>2026</v>
      </c>
      <c r="C304" s="10">
        <v>2025</v>
      </c>
      <c r="D304" s="10" t="s">
        <v>4478</v>
      </c>
      <c r="E304" s="309">
        <f>WTG_BD[[#This Row],[Date]]-DAY(WTG_BD[[#This Row],[Date]])+1</f>
        <v>45748</v>
      </c>
      <c r="F304" s="32">
        <v>45774</v>
      </c>
      <c r="G304" t="s">
        <v>81</v>
      </c>
      <c r="H304" t="str">
        <f>IFERROR(VLOOKUP(WTG_BD[[#This Row],[Affected WTG]],'Basic Data'!$A$3:$E$25,2,0),"")</f>
        <v>O2R3</v>
      </c>
      <c r="I304" t="str">
        <f>IFERROR(VLOOKUP(WTG_BD[[#This Row],[Affected WTG]],'Basic Data'!$A$3:$E$25,3,0),"")</f>
        <v>JK</v>
      </c>
      <c r="J304" s="355">
        <f>IFERROR(VLOOKUP(WTG_BD[[#This Row],[Affected WTG]],'Basic Data'!$A$3:$E$25,5,0),"")</f>
        <v>4.3478260869565223E-2</v>
      </c>
      <c r="K304" s="10">
        <v>3272</v>
      </c>
      <c r="L304" t="str">
        <f>IFERROR(VLOOKUP(WTG_BD[[#This Row],[Error Code]],'Basic Data'!S:T,2,0),"Incorrect Error Code")</f>
        <v>YawUntwistCW: Code__,_______°</v>
      </c>
      <c r="M304" t="s">
        <v>378</v>
      </c>
      <c r="O304" s="168">
        <v>0.31388888888888888</v>
      </c>
      <c r="P304" s="168">
        <v>0.31388888888888888</v>
      </c>
      <c r="Q304" s="168">
        <v>0.33194444444444443</v>
      </c>
      <c r="R304" s="356">
        <f>(WTG_BD[[#This Row],[Work Start TimeStamp]]-WTG_BD[[#This Row],[Fault Start TimeStamp]])*24</f>
        <v>0</v>
      </c>
      <c r="S304" s="34">
        <f>(WTG_BD[[#This Row],[Fault Clearance time]]-WTG_BD[[#This Row],[Work Start TimeStamp]])*24</f>
        <v>0.43333333333333313</v>
      </c>
      <c r="T304" s="34">
        <f>(WTG_BD[[#This Row],[Fault Clearance time]]-WTG_BD[[#This Row],[Fault Start TimeStamp]])*24</f>
        <v>0.43333333333333313</v>
      </c>
      <c r="U304" t="s">
        <v>4323</v>
      </c>
      <c r="V304" s="234" t="s">
        <v>255</v>
      </c>
      <c r="W304" s="50">
        <f>IFERROR(IF(N304="ROW",0,(WTG_BD[[#This Row],[Breakdown Time]]*WTG_BD[[#This Row],[Plant Equivalent Weightage]])),"")</f>
        <v>1.8840579710144922E-2</v>
      </c>
      <c r="X304" s="50"/>
      <c r="Y304" s="205">
        <v>1</v>
      </c>
      <c r="Z304" s="205"/>
      <c r="AA304" s="4">
        <v>2E-3</v>
      </c>
    </row>
    <row r="305" spans="1:29">
      <c r="A305" s="10">
        <f t="shared" si="6"/>
        <v>304</v>
      </c>
      <c r="B305" s="43">
        <f>YEAR(WTG_BD[[#This Row],[Date]])+IF(MONTH(WTG_BD[[#This Row],[Date]])&gt;=4,1,0)</f>
        <v>2026</v>
      </c>
      <c r="C305" s="10">
        <v>2025</v>
      </c>
      <c r="D305" s="10" t="s">
        <v>4478</v>
      </c>
      <c r="E305" s="309">
        <f>WTG_BD[[#This Row],[Date]]-DAY(WTG_BD[[#This Row],[Date]])+1</f>
        <v>45748</v>
      </c>
      <c r="F305" s="32">
        <v>45774</v>
      </c>
      <c r="G305" t="s">
        <v>82</v>
      </c>
      <c r="H305" t="str">
        <f>IFERROR(VLOOKUP(WTG_BD[[#This Row],[Affected WTG]],'Basic Data'!$A$3:$E$25,2,0),"")</f>
        <v>O2R3</v>
      </c>
      <c r="I305" t="str">
        <f>IFERROR(VLOOKUP(WTG_BD[[#This Row],[Affected WTG]],'Basic Data'!$A$3:$E$25,3,0),"")</f>
        <v>JK</v>
      </c>
      <c r="J305" s="355">
        <f>IFERROR(VLOOKUP(WTG_BD[[#This Row],[Affected WTG]],'Basic Data'!$A$3:$E$25,5,0),"")</f>
        <v>4.3478260869565223E-2</v>
      </c>
      <c r="K305" s="10">
        <v>3272</v>
      </c>
      <c r="L305" t="str">
        <f>IFERROR(VLOOKUP(WTG_BD[[#This Row],[Error Code]],'Basic Data'!S:T,2,0),"Incorrect Error Code")</f>
        <v>YawUntwistCW: Code__,_______°</v>
      </c>
      <c r="M305" t="s">
        <v>378</v>
      </c>
      <c r="O305" s="168">
        <v>0.97152777777777777</v>
      </c>
      <c r="P305" s="168">
        <v>0.97152777777777777</v>
      </c>
      <c r="Q305" s="168">
        <v>0.99236111111111114</v>
      </c>
      <c r="R305" s="356">
        <f>(WTG_BD[[#This Row],[Work Start TimeStamp]]-WTG_BD[[#This Row],[Fault Start TimeStamp]])*24</f>
        <v>0</v>
      </c>
      <c r="S305" s="34">
        <f>(WTG_BD[[#This Row],[Fault Clearance time]]-WTG_BD[[#This Row],[Work Start TimeStamp]])*24</f>
        <v>0.50000000000000089</v>
      </c>
      <c r="T305" s="34">
        <f>(WTG_BD[[#This Row],[Fault Clearance time]]-WTG_BD[[#This Row],[Fault Start TimeStamp]])*24</f>
        <v>0.50000000000000089</v>
      </c>
      <c r="U305" t="s">
        <v>4323</v>
      </c>
      <c r="V305" s="234" t="s">
        <v>255</v>
      </c>
      <c r="W305" s="50">
        <f>IFERROR(IF(N305="ROW",0,(WTG_BD[[#This Row],[Breakdown Time]]*WTG_BD[[#This Row],[Plant Equivalent Weightage]])),"")</f>
        <v>2.173913043478265E-2</v>
      </c>
      <c r="X305" s="50"/>
      <c r="Y305" s="205">
        <v>1</v>
      </c>
      <c r="Z305" s="205"/>
      <c r="AA305" s="4">
        <v>-5.0000000000000001E-3</v>
      </c>
    </row>
    <row r="306" spans="1:29">
      <c r="A306" s="10">
        <f t="shared" si="6"/>
        <v>305</v>
      </c>
      <c r="B306" s="43">
        <f>YEAR(WTG_BD[[#This Row],[Date]])+IF(MONTH(WTG_BD[[#This Row],[Date]])&gt;=4,1,0)</f>
        <v>2026</v>
      </c>
      <c r="C306" s="10">
        <v>2025</v>
      </c>
      <c r="D306" s="10" t="s">
        <v>4478</v>
      </c>
      <c r="E306" s="309">
        <f>WTG_BD[[#This Row],[Date]]-DAY(WTG_BD[[#This Row],[Date]])+1</f>
        <v>45748</v>
      </c>
      <c r="F306" s="32">
        <v>45774</v>
      </c>
      <c r="G306" t="s">
        <v>92</v>
      </c>
      <c r="H306" t="str">
        <f>IFERROR(VLOOKUP(WTG_BD[[#This Row],[Affected WTG]],'Basic Data'!$A$3:$E$25,2,0),"")</f>
        <v>O2R2</v>
      </c>
      <c r="I306" t="str">
        <f>IFERROR(VLOOKUP(WTG_BD[[#This Row],[Affected WTG]],'Basic Data'!$A$3:$E$25,3,0),"")</f>
        <v>SIL</v>
      </c>
      <c r="J306" s="355">
        <f>IFERROR(VLOOKUP(WTG_BD[[#This Row],[Affected WTG]],'Basic Data'!$A$3:$E$25,5,0),"")</f>
        <v>4.3478260869565223E-2</v>
      </c>
      <c r="K306" s="10">
        <v>309</v>
      </c>
      <c r="L306" t="str">
        <f>IFERROR(VLOOKUP(WTG_BD[[#This Row],[Error Code]],'Basic Data'!S:T,2,0),"Incorrect Error Code")</f>
        <v>Pause over RCS __0</v>
      </c>
      <c r="M306" t="s">
        <v>871</v>
      </c>
      <c r="N306" t="s">
        <v>257</v>
      </c>
      <c r="O306" s="168">
        <v>0.43472222222222223</v>
      </c>
      <c r="P306" s="168">
        <v>0.43472222222222223</v>
      </c>
      <c r="Q306" s="168">
        <v>0.60277777777777775</v>
      </c>
      <c r="R306" s="356">
        <f>(WTG_BD[[#This Row],[Work Start TimeStamp]]-WTG_BD[[#This Row],[Fault Start TimeStamp]])*24</f>
        <v>0</v>
      </c>
      <c r="S306" s="34">
        <f>(WTG_BD[[#This Row],[Fault Clearance time]]-WTG_BD[[#This Row],[Work Start TimeStamp]])*24</f>
        <v>4.0333333333333323</v>
      </c>
      <c r="T306" s="34">
        <f>(WTG_BD[[#This Row],[Fault Clearance time]]-WTG_BD[[#This Row],[Fault Start TimeStamp]])*24</f>
        <v>4.0333333333333323</v>
      </c>
      <c r="U306" t="s">
        <v>4494</v>
      </c>
      <c r="V306" s="234" t="s">
        <v>255</v>
      </c>
      <c r="W306" s="50">
        <f>IFERROR(IF(N306="ROW",0,(WTG_BD[[#This Row],[Breakdown Time]]*WTG_BD[[#This Row],[Plant Equivalent Weightage]])),"")</f>
        <v>0.17536231884057968</v>
      </c>
      <c r="X306" s="50"/>
      <c r="Y306" s="205">
        <v>1</v>
      </c>
      <c r="Z306" s="205"/>
      <c r="AA306" s="4">
        <v>0.13700000000000001</v>
      </c>
    </row>
    <row r="307" spans="1:29">
      <c r="A307" s="10">
        <f t="shared" si="6"/>
        <v>306</v>
      </c>
      <c r="B307" s="43">
        <f>YEAR(WTG_BD[[#This Row],[Date]])+IF(MONTH(WTG_BD[[#This Row],[Date]])&gt;=4,1,0)</f>
        <v>2026</v>
      </c>
      <c r="C307" s="10">
        <v>2025</v>
      </c>
      <c r="D307" s="10" t="s">
        <v>4478</v>
      </c>
      <c r="E307" s="309">
        <f>WTG_BD[[#This Row],[Date]]-DAY(WTG_BD[[#This Row],[Date]])+1</f>
        <v>45748</v>
      </c>
      <c r="F307" s="32">
        <v>45774</v>
      </c>
      <c r="G307" t="s">
        <v>97</v>
      </c>
      <c r="H307" t="str">
        <f>IFERROR(VLOOKUP(WTG_BD[[#This Row],[Affected WTG]],'Basic Data'!$A$3:$E$25,2,0),"")</f>
        <v>O2R3</v>
      </c>
      <c r="I307" t="str">
        <f>IFERROR(VLOOKUP(WTG_BD[[#This Row],[Affected WTG]],'Basic Data'!$A$3:$E$25,3,0),"")</f>
        <v>JK</v>
      </c>
      <c r="J307" s="355">
        <f>IFERROR(VLOOKUP(WTG_BD[[#This Row],[Affected WTG]],'Basic Data'!$A$3:$E$25,5,0),"")</f>
        <v>4.3478260869565223E-2</v>
      </c>
      <c r="K307" s="10">
        <v>3272</v>
      </c>
      <c r="L307" t="str">
        <f>IFERROR(VLOOKUP(WTG_BD[[#This Row],[Error Code]],'Basic Data'!S:T,2,0),"Incorrect Error Code")</f>
        <v>YawUntwistCW: Code__,_______°</v>
      </c>
      <c r="M307" t="s">
        <v>378</v>
      </c>
      <c r="O307" s="168">
        <v>0.9770833333333333</v>
      </c>
      <c r="P307" s="168">
        <v>0.9770833333333333</v>
      </c>
      <c r="Q307" s="168">
        <v>0.99791666666666667</v>
      </c>
      <c r="R307" s="356">
        <f>(WTG_BD[[#This Row],[Work Start TimeStamp]]-WTG_BD[[#This Row],[Fault Start TimeStamp]])*24</f>
        <v>0</v>
      </c>
      <c r="S307" s="34">
        <f>(WTG_BD[[#This Row],[Fault Clearance time]]-WTG_BD[[#This Row],[Work Start TimeStamp]])*24</f>
        <v>0.50000000000000089</v>
      </c>
      <c r="T307" s="34">
        <f>(WTG_BD[[#This Row],[Fault Clearance time]]-WTG_BD[[#This Row],[Fault Start TimeStamp]])*24</f>
        <v>0.50000000000000089</v>
      </c>
      <c r="U307" t="s">
        <v>4323</v>
      </c>
      <c r="V307" s="234" t="s">
        <v>255</v>
      </c>
      <c r="W307" s="50">
        <f>IFERROR(IF(N307="ROW",0,(WTG_BD[[#This Row],[Breakdown Time]]*WTG_BD[[#This Row],[Plant Equivalent Weightage]])),"")</f>
        <v>2.173913043478265E-2</v>
      </c>
      <c r="X307" s="50"/>
      <c r="Y307" s="205">
        <v>1</v>
      </c>
      <c r="Z307" s="205"/>
      <c r="AA307" s="4">
        <v>7.5999999999999998E-2</v>
      </c>
    </row>
    <row r="308" spans="1:29">
      <c r="A308" s="10">
        <f t="shared" si="6"/>
        <v>307</v>
      </c>
      <c r="B308" s="43">
        <f>YEAR(WTG_BD[[#This Row],[Date]])+IF(MONTH(WTG_BD[[#This Row],[Date]])&gt;=4,1,0)</f>
        <v>2026</v>
      </c>
      <c r="C308" s="10">
        <v>2025</v>
      </c>
      <c r="D308" s="10" t="s">
        <v>4478</v>
      </c>
      <c r="E308" s="309">
        <f>WTG_BD[[#This Row],[Date]]-DAY(WTG_BD[[#This Row],[Date]])+1</f>
        <v>45748</v>
      </c>
      <c r="F308" s="32">
        <v>45775</v>
      </c>
      <c r="G308" t="s">
        <v>83</v>
      </c>
      <c r="H308" t="str">
        <f>IFERROR(VLOOKUP(WTG_BD[[#This Row],[Affected WTG]],'Basic Data'!$A$3:$E$25,2,0),"")</f>
        <v>O2R3</v>
      </c>
      <c r="I308" t="str">
        <f>IFERROR(VLOOKUP(WTG_BD[[#This Row],[Affected WTG]],'Basic Data'!$A$3:$E$25,3,0),"")</f>
        <v>JK</v>
      </c>
      <c r="J308" s="355">
        <f>IFERROR(VLOOKUP(WTG_BD[[#This Row],[Affected WTG]],'Basic Data'!$A$3:$E$25,5,0),"")</f>
        <v>4.3478260869565223E-2</v>
      </c>
      <c r="K308" s="10">
        <v>3272</v>
      </c>
      <c r="L308" t="str">
        <f>IFERROR(VLOOKUP(WTG_BD[[#This Row],[Error Code]],'Basic Data'!S:T,2,0),"Incorrect Error Code")</f>
        <v>YawUntwistCW: Code__,_______°</v>
      </c>
      <c r="M308" t="s">
        <v>378</v>
      </c>
      <c r="O308" s="168">
        <v>0.67986111111111114</v>
      </c>
      <c r="P308" s="168">
        <v>0.67986111111111114</v>
      </c>
      <c r="Q308" s="168">
        <v>0.6875</v>
      </c>
      <c r="R308" s="356">
        <f>(WTG_BD[[#This Row],[Work Start TimeStamp]]-WTG_BD[[#This Row],[Fault Start TimeStamp]])*24</f>
        <v>0</v>
      </c>
      <c r="S308" s="34">
        <f>(WTG_BD[[#This Row],[Fault Clearance time]]-WTG_BD[[#This Row],[Work Start TimeStamp]])*24</f>
        <v>0.18333333333333268</v>
      </c>
      <c r="T308" s="34">
        <f>(WTG_BD[[#This Row],[Fault Clearance time]]-WTG_BD[[#This Row],[Fault Start TimeStamp]])*24</f>
        <v>0.18333333333333268</v>
      </c>
      <c r="U308" t="s">
        <v>4323</v>
      </c>
      <c r="V308" s="234" t="s">
        <v>255</v>
      </c>
      <c r="W308" s="50">
        <f>IFERROR(IF(N308="ROW",0,(WTG_BD[[#This Row],[Breakdown Time]]*WTG_BD[[#This Row],[Plant Equivalent Weightage]])),"")</f>
        <v>7.9710144927535951E-3</v>
      </c>
      <c r="X308" s="50"/>
      <c r="Y308" s="205">
        <v>1</v>
      </c>
      <c r="Z308" s="205"/>
      <c r="AA308" s="4">
        <v>1E-3</v>
      </c>
      <c r="AC308" s="4"/>
    </row>
    <row r="309" spans="1:29">
      <c r="A309" s="10">
        <f t="shared" si="6"/>
        <v>308</v>
      </c>
      <c r="B309" s="43">
        <f>YEAR(WTG_BD[[#This Row],[Date]])+IF(MONTH(WTG_BD[[#This Row],[Date]])&gt;=4,1,0)</f>
        <v>2026</v>
      </c>
      <c r="C309" s="10">
        <v>2025</v>
      </c>
      <c r="D309" s="10" t="s">
        <v>4478</v>
      </c>
      <c r="E309" s="309">
        <f>WTG_BD[[#This Row],[Date]]-DAY(WTG_BD[[#This Row],[Date]])+1</f>
        <v>45748</v>
      </c>
      <c r="F309" s="32">
        <v>45775</v>
      </c>
      <c r="G309" t="s">
        <v>88</v>
      </c>
      <c r="H309" t="str">
        <f>IFERROR(VLOOKUP(WTG_BD[[#This Row],[Affected WTG]],'Basic Data'!$A$3:$E$25,2,0),"")</f>
        <v>O2R1</v>
      </c>
      <c r="I309" t="str">
        <f>IFERROR(VLOOKUP(WTG_BD[[#This Row],[Affected WTG]],'Basic Data'!$A$3:$E$25,3,0),"")</f>
        <v>KSIPL</v>
      </c>
      <c r="J309" s="355">
        <f>IFERROR(VLOOKUP(WTG_BD[[#This Row],[Affected WTG]],'Basic Data'!$A$3:$E$25,5,0),"")</f>
        <v>4.3478260869565223E-2</v>
      </c>
      <c r="K309" s="10">
        <v>3806</v>
      </c>
      <c r="L309" t="str">
        <f>IFERROR(VLOOKUP(WTG_BD[[#This Row],[Error Code]],'Basic Data'!S:T,2,0),"Incorrect Error Code")</f>
        <v>HubSafetySystem Batt.Charg.Err</v>
      </c>
      <c r="M309" t="s">
        <v>381</v>
      </c>
      <c r="N309" t="s">
        <v>113</v>
      </c>
      <c r="O309" s="168">
        <v>0.45</v>
      </c>
      <c r="P309" s="168">
        <v>0.45</v>
      </c>
      <c r="Q309" s="168">
        <v>0.4513888888888889</v>
      </c>
      <c r="R309" s="356">
        <f>(WTG_BD[[#This Row],[Work Start TimeStamp]]-WTG_BD[[#This Row],[Fault Start TimeStamp]])*24</f>
        <v>0</v>
      </c>
      <c r="S309" s="34">
        <f>(WTG_BD[[#This Row],[Fault Clearance time]]-WTG_BD[[#This Row],[Work Start TimeStamp]])*24</f>
        <v>3.3333333333333215E-2</v>
      </c>
      <c r="T309" s="34">
        <f>(WTG_BD[[#This Row],[Fault Clearance time]]-WTG_BD[[#This Row],[Fault Start TimeStamp]])*24</f>
        <v>3.3333333333333215E-2</v>
      </c>
      <c r="U309" t="s">
        <v>4322</v>
      </c>
      <c r="V309" s="234" t="s">
        <v>255</v>
      </c>
      <c r="W309" s="50">
        <f>IFERROR(IF(N309="ROW",0,(WTG_BD[[#This Row],[Breakdown Time]]*WTG_BD[[#This Row],[Plant Equivalent Weightage]])),"")</f>
        <v>1.4492753623188356E-3</v>
      </c>
      <c r="X309" s="50"/>
      <c r="Y309" s="205">
        <v>1</v>
      </c>
      <c r="Z309" s="205"/>
      <c r="AA309" s="4">
        <v>0</v>
      </c>
      <c r="AC309" s="4"/>
    </row>
    <row r="310" spans="1:29">
      <c r="A310" s="10">
        <f t="shared" si="6"/>
        <v>309</v>
      </c>
      <c r="B310" s="43">
        <f>YEAR(WTG_BD[[#This Row],[Date]])+IF(MONTH(WTG_BD[[#This Row],[Date]])&gt;=4,1,0)</f>
        <v>2026</v>
      </c>
      <c r="C310" s="10">
        <v>2025</v>
      </c>
      <c r="D310" s="10" t="s">
        <v>4478</v>
      </c>
      <c r="E310" s="309">
        <f>WTG_BD[[#This Row],[Date]]-DAY(WTG_BD[[#This Row],[Date]])+1</f>
        <v>45748</v>
      </c>
      <c r="F310" s="32">
        <v>45775</v>
      </c>
      <c r="G310" t="s">
        <v>88</v>
      </c>
      <c r="H310" t="str">
        <f>IFERROR(VLOOKUP(WTG_BD[[#This Row],[Affected WTG]],'Basic Data'!$A$3:$E$25,2,0),"")</f>
        <v>O2R1</v>
      </c>
      <c r="I310" t="str">
        <f>IFERROR(VLOOKUP(WTG_BD[[#This Row],[Affected WTG]],'Basic Data'!$A$3:$E$25,3,0),"")</f>
        <v>KSIPL</v>
      </c>
      <c r="J310" s="355">
        <f>IFERROR(VLOOKUP(WTG_BD[[#This Row],[Affected WTG]],'Basic Data'!$A$3:$E$25,5,0),"")</f>
        <v>4.3478260869565223E-2</v>
      </c>
      <c r="K310" s="10">
        <v>3272</v>
      </c>
      <c r="L310" t="str">
        <f>IFERROR(VLOOKUP(WTG_BD[[#This Row],[Error Code]],'Basic Data'!S:T,2,0),"Incorrect Error Code")</f>
        <v>YawUntwistCW: Code__,_______°</v>
      </c>
      <c r="M310" t="s">
        <v>378</v>
      </c>
      <c r="O310" s="168">
        <v>0.56874999999999998</v>
      </c>
      <c r="P310" s="168">
        <v>0.56874999999999998</v>
      </c>
      <c r="Q310" s="168">
        <v>0.58333333333333337</v>
      </c>
      <c r="R310" s="356">
        <f>(WTG_BD[[#This Row],[Work Start TimeStamp]]-WTG_BD[[#This Row],[Fault Start TimeStamp]])*24</f>
        <v>0</v>
      </c>
      <c r="S310" s="34">
        <f>(WTG_BD[[#This Row],[Fault Clearance time]]-WTG_BD[[#This Row],[Work Start TimeStamp]])*24</f>
        <v>0.35000000000000142</v>
      </c>
      <c r="T310" s="34">
        <f>(WTG_BD[[#This Row],[Fault Clearance time]]-WTG_BD[[#This Row],[Fault Start TimeStamp]])*24</f>
        <v>0.35000000000000142</v>
      </c>
      <c r="U310" t="s">
        <v>4323</v>
      </c>
      <c r="V310" s="234" t="s">
        <v>255</v>
      </c>
      <c r="W310" s="50">
        <f>IFERROR(IF(N310="ROW",0,(WTG_BD[[#This Row],[Breakdown Time]]*WTG_BD[[#This Row],[Plant Equivalent Weightage]])),"")</f>
        <v>1.5217391304347889E-2</v>
      </c>
      <c r="X310" s="50"/>
      <c r="Y310" s="205">
        <v>1</v>
      </c>
      <c r="Z310" s="205"/>
      <c r="AA310" s="4">
        <v>1.2E-2</v>
      </c>
      <c r="AC310" s="4"/>
    </row>
    <row r="311" spans="1:29">
      <c r="A311" s="10">
        <f t="shared" si="6"/>
        <v>310</v>
      </c>
      <c r="B311" s="43">
        <f>YEAR(WTG_BD[[#This Row],[Date]])+IF(MONTH(WTG_BD[[#This Row],[Date]])&gt;=4,1,0)</f>
        <v>2026</v>
      </c>
      <c r="C311" s="10">
        <v>2025</v>
      </c>
      <c r="D311" s="10" t="s">
        <v>4478</v>
      </c>
      <c r="E311" s="309">
        <f>WTG_BD[[#This Row],[Date]]-DAY(WTG_BD[[#This Row],[Date]])+1</f>
        <v>45748</v>
      </c>
      <c r="F311" s="32">
        <v>45775</v>
      </c>
      <c r="G311" t="s">
        <v>88</v>
      </c>
      <c r="H311" t="str">
        <f>IFERROR(VLOOKUP(WTG_BD[[#This Row],[Affected WTG]],'Basic Data'!$A$3:$E$25,2,0),"")</f>
        <v>O2R1</v>
      </c>
      <c r="I311" t="str">
        <f>IFERROR(VLOOKUP(WTG_BD[[#This Row],[Affected WTG]],'Basic Data'!$A$3:$E$25,3,0),"")</f>
        <v>KSIPL</v>
      </c>
      <c r="J311" s="355">
        <f>IFERROR(VLOOKUP(WTG_BD[[#This Row],[Affected WTG]],'Basic Data'!$A$3:$E$25,5,0),"")</f>
        <v>4.3478260869565223E-2</v>
      </c>
      <c r="K311" s="10">
        <v>3806</v>
      </c>
      <c r="L311" t="str">
        <f>IFERROR(VLOOKUP(WTG_BD[[#This Row],[Error Code]],'Basic Data'!S:T,2,0),"Incorrect Error Code")</f>
        <v>HubSafetySystem Batt.Charg.Err</v>
      </c>
      <c r="M311" t="s">
        <v>381</v>
      </c>
      <c r="N311" t="s">
        <v>113</v>
      </c>
      <c r="O311" s="168">
        <v>0.65625</v>
      </c>
      <c r="P311" s="168">
        <v>0.65625</v>
      </c>
      <c r="Q311" s="168">
        <v>0.65972222222222221</v>
      </c>
      <c r="R311" s="356">
        <f>(WTG_BD[[#This Row],[Work Start TimeStamp]]-WTG_BD[[#This Row],[Fault Start TimeStamp]])*24</f>
        <v>0</v>
      </c>
      <c r="S311" s="34">
        <f>(WTG_BD[[#This Row],[Fault Clearance time]]-WTG_BD[[#This Row],[Work Start TimeStamp]])*24</f>
        <v>8.3333333333333037E-2</v>
      </c>
      <c r="T311" s="34">
        <f>(WTG_BD[[#This Row],[Fault Clearance time]]-WTG_BD[[#This Row],[Fault Start TimeStamp]])*24</f>
        <v>8.3333333333333037E-2</v>
      </c>
      <c r="U311" t="s">
        <v>4322</v>
      </c>
      <c r="V311" s="234" t="s">
        <v>255</v>
      </c>
      <c r="W311" s="50">
        <f>IFERROR(IF(N311="ROW",0,(WTG_BD[[#This Row],[Breakdown Time]]*WTG_BD[[#This Row],[Plant Equivalent Weightage]])),"")</f>
        <v>3.6231884057970889E-3</v>
      </c>
      <c r="X311" s="50"/>
      <c r="Y311" s="205">
        <v>1</v>
      </c>
      <c r="Z311" s="205"/>
      <c r="AA311" s="4">
        <v>-1E-3</v>
      </c>
      <c r="AC311" s="4"/>
    </row>
    <row r="312" spans="1:29">
      <c r="A312" s="10">
        <f t="shared" si="6"/>
        <v>311</v>
      </c>
      <c r="B312" s="43">
        <f>YEAR(WTG_BD[[#This Row],[Date]])+IF(MONTH(WTG_BD[[#This Row],[Date]])&gt;=4,1,0)</f>
        <v>2026</v>
      </c>
      <c r="C312" s="10">
        <v>2025</v>
      </c>
      <c r="D312" s="10" t="s">
        <v>4478</v>
      </c>
      <c r="E312" s="309">
        <f>WTG_BD[[#This Row],[Date]]-DAY(WTG_BD[[#This Row],[Date]])+1</f>
        <v>45748</v>
      </c>
      <c r="F312" s="32">
        <v>45775</v>
      </c>
      <c r="G312" t="s">
        <v>88</v>
      </c>
      <c r="H312" t="str">
        <f>IFERROR(VLOOKUP(WTG_BD[[#This Row],[Affected WTG]],'Basic Data'!$A$3:$E$25,2,0),"")</f>
        <v>O2R1</v>
      </c>
      <c r="I312" t="str">
        <f>IFERROR(VLOOKUP(WTG_BD[[#This Row],[Affected WTG]],'Basic Data'!$A$3:$E$25,3,0),"")</f>
        <v>KSIPL</v>
      </c>
      <c r="J312" s="355">
        <f>IFERROR(VLOOKUP(WTG_BD[[#This Row],[Affected WTG]],'Basic Data'!$A$3:$E$25,5,0),"")</f>
        <v>4.3478260869565223E-2</v>
      </c>
      <c r="K312" s="10">
        <v>3806</v>
      </c>
      <c r="L312" t="str">
        <f>IFERROR(VLOOKUP(WTG_BD[[#This Row],[Error Code]],'Basic Data'!S:T,2,0),"Incorrect Error Code")</f>
        <v>HubSafetySystem Batt.Charg.Err</v>
      </c>
      <c r="M312" t="s">
        <v>381</v>
      </c>
      <c r="N312" t="s">
        <v>113</v>
      </c>
      <c r="O312" s="168">
        <v>0.74652777777777779</v>
      </c>
      <c r="P312" s="168">
        <v>0.74652777777777779</v>
      </c>
      <c r="Q312" s="168">
        <v>0.75</v>
      </c>
      <c r="R312" s="356">
        <f>(WTG_BD[[#This Row],[Work Start TimeStamp]]-WTG_BD[[#This Row],[Fault Start TimeStamp]])*24</f>
        <v>0</v>
      </c>
      <c r="S312" s="34">
        <f>(WTG_BD[[#This Row],[Fault Clearance time]]-WTG_BD[[#This Row],[Work Start TimeStamp]])*24</f>
        <v>8.3333333333333037E-2</v>
      </c>
      <c r="T312" s="34">
        <f>(WTG_BD[[#This Row],[Fault Clearance time]]-WTG_BD[[#This Row],[Fault Start TimeStamp]])*24</f>
        <v>8.3333333333333037E-2</v>
      </c>
      <c r="U312" t="s">
        <v>4322</v>
      </c>
      <c r="V312" s="234" t="s">
        <v>255</v>
      </c>
      <c r="W312" s="50">
        <f>IFERROR(IF(N312="ROW",0,(WTG_BD[[#This Row],[Breakdown Time]]*WTG_BD[[#This Row],[Plant Equivalent Weightage]])),"")</f>
        <v>3.6231884057970889E-3</v>
      </c>
      <c r="X312" s="50"/>
      <c r="Y312" s="205">
        <v>1</v>
      </c>
      <c r="Z312" s="205"/>
      <c r="AA312" s="4">
        <v>3.5000000000000003E-2</v>
      </c>
      <c r="AC312" s="4"/>
    </row>
    <row r="313" spans="1:29">
      <c r="A313" s="10">
        <f t="shared" si="6"/>
        <v>312</v>
      </c>
      <c r="B313" s="43">
        <f>YEAR(WTG_BD[[#This Row],[Date]])+IF(MONTH(WTG_BD[[#This Row],[Date]])&gt;=4,1,0)</f>
        <v>2026</v>
      </c>
      <c r="C313" s="10">
        <v>2025</v>
      </c>
      <c r="D313" s="10" t="s">
        <v>4478</v>
      </c>
      <c r="E313" s="309">
        <f>WTG_BD[[#This Row],[Date]]-DAY(WTG_BD[[#This Row],[Date]])+1</f>
        <v>45748</v>
      </c>
      <c r="F313" s="32">
        <v>45775</v>
      </c>
      <c r="G313" t="s">
        <v>94</v>
      </c>
      <c r="H313" t="str">
        <f>IFERROR(VLOOKUP(WTG_BD[[#This Row],[Affected WTG]],'Basic Data'!$A$3:$E$25,2,0),"")</f>
        <v>O2R1</v>
      </c>
      <c r="I313" t="str">
        <f>IFERROR(VLOOKUP(WTG_BD[[#This Row],[Affected WTG]],'Basic Data'!$A$3:$E$25,3,0),"")</f>
        <v>KSIPL</v>
      </c>
      <c r="J313" s="355">
        <f>IFERROR(VLOOKUP(WTG_BD[[#This Row],[Affected WTG]],'Basic Data'!$A$3:$E$25,5,0),"")</f>
        <v>4.3478260869565223E-2</v>
      </c>
      <c r="K313" s="10">
        <v>3272</v>
      </c>
      <c r="L313" t="str">
        <f>IFERROR(VLOOKUP(WTG_BD[[#This Row],[Error Code]],'Basic Data'!S:T,2,0),"Incorrect Error Code")</f>
        <v>YawUntwistCW: Code__,_______°</v>
      </c>
      <c r="M313" t="s">
        <v>378</v>
      </c>
      <c r="O313" s="168">
        <v>0.55277777777777781</v>
      </c>
      <c r="P313" s="168">
        <v>0.55277777777777781</v>
      </c>
      <c r="Q313" s="168">
        <v>0.56736111111111109</v>
      </c>
      <c r="R313" s="356">
        <f>(WTG_BD[[#This Row],[Work Start TimeStamp]]-WTG_BD[[#This Row],[Fault Start TimeStamp]])*24</f>
        <v>0</v>
      </c>
      <c r="S313" s="34">
        <f>(WTG_BD[[#This Row],[Fault Clearance time]]-WTG_BD[[#This Row],[Work Start TimeStamp]])*24</f>
        <v>0.34999999999999876</v>
      </c>
      <c r="T313" s="34">
        <f>(WTG_BD[[#This Row],[Fault Clearance time]]-WTG_BD[[#This Row],[Fault Start TimeStamp]])*24</f>
        <v>0.34999999999999876</v>
      </c>
      <c r="U313" t="s">
        <v>4323</v>
      </c>
      <c r="V313" s="234" t="s">
        <v>255</v>
      </c>
      <c r="W313" s="50">
        <f>IFERROR(IF(N313="ROW",0,(WTG_BD[[#This Row],[Breakdown Time]]*WTG_BD[[#This Row],[Plant Equivalent Weightage]])),"")</f>
        <v>1.5217391304347775E-2</v>
      </c>
      <c r="X313" s="50"/>
      <c r="Y313" s="205">
        <v>1</v>
      </c>
      <c r="Z313" s="205"/>
      <c r="AA313" s="4">
        <v>2E-3</v>
      </c>
      <c r="AC313" s="4"/>
    </row>
    <row r="314" spans="1:29">
      <c r="A314" s="10">
        <f t="shared" si="6"/>
        <v>313</v>
      </c>
      <c r="B314" s="43">
        <f>YEAR(WTG_BD[[#This Row],[Date]])+IF(MONTH(WTG_BD[[#This Row],[Date]])&gt;=4,1,0)</f>
        <v>2026</v>
      </c>
      <c r="C314" s="10">
        <v>2025</v>
      </c>
      <c r="D314" s="10" t="s">
        <v>4478</v>
      </c>
      <c r="E314" s="309">
        <f>WTG_BD[[#This Row],[Date]]-DAY(WTG_BD[[#This Row],[Date]])+1</f>
        <v>45748</v>
      </c>
      <c r="F314" s="32">
        <v>45775</v>
      </c>
      <c r="G314" t="s">
        <v>95</v>
      </c>
      <c r="H314" t="str">
        <f>IFERROR(VLOOKUP(WTG_BD[[#This Row],[Affected WTG]],'Basic Data'!$A$3:$E$25,2,0),"")</f>
        <v>O2R1</v>
      </c>
      <c r="I314" t="str">
        <f>IFERROR(VLOOKUP(WTG_BD[[#This Row],[Affected WTG]],'Basic Data'!$A$3:$E$25,3,0),"")</f>
        <v>KSIPL</v>
      </c>
      <c r="J314" s="355">
        <f>IFERROR(VLOOKUP(WTG_BD[[#This Row],[Affected WTG]],'Basic Data'!$A$3:$E$25,5,0),"")</f>
        <v>4.3478260869565223E-2</v>
      </c>
      <c r="K314" s="10">
        <v>3806</v>
      </c>
      <c r="L314" t="str">
        <f>IFERROR(VLOOKUP(WTG_BD[[#This Row],[Error Code]],'Basic Data'!S:T,2,0),"Incorrect Error Code")</f>
        <v>HubSafetySystem Batt.Charg.Err</v>
      </c>
      <c r="M314" t="s">
        <v>381</v>
      </c>
      <c r="N314" t="s">
        <v>113</v>
      </c>
      <c r="O314" s="168">
        <v>0.45</v>
      </c>
      <c r="P314" s="168">
        <v>0.45</v>
      </c>
      <c r="Q314" s="168">
        <v>0.4513888888888889</v>
      </c>
      <c r="R314" s="356">
        <f>(WTG_BD[[#This Row],[Work Start TimeStamp]]-WTG_BD[[#This Row],[Fault Start TimeStamp]])*24</f>
        <v>0</v>
      </c>
      <c r="S314" s="34">
        <f>(WTG_BD[[#This Row],[Fault Clearance time]]-WTG_BD[[#This Row],[Work Start TimeStamp]])*24</f>
        <v>3.3333333333333215E-2</v>
      </c>
      <c r="T314" s="34">
        <f>(WTG_BD[[#This Row],[Fault Clearance time]]-WTG_BD[[#This Row],[Fault Start TimeStamp]])*24</f>
        <v>3.3333333333333215E-2</v>
      </c>
      <c r="U314" t="s">
        <v>4322</v>
      </c>
      <c r="V314" s="234" t="s">
        <v>255</v>
      </c>
      <c r="W314" s="50">
        <f>IFERROR(IF(N314="ROW",0,(WTG_BD[[#This Row],[Breakdown Time]]*WTG_BD[[#This Row],[Plant Equivalent Weightage]])),"")</f>
        <v>1.4492753623188356E-3</v>
      </c>
      <c r="X314" s="50"/>
      <c r="Y314" s="205">
        <v>1</v>
      </c>
      <c r="Z314" s="205"/>
      <c r="AA314" s="4">
        <v>0</v>
      </c>
      <c r="AC314" s="4"/>
    </row>
    <row r="315" spans="1:29">
      <c r="A315" s="10">
        <f t="shared" si="6"/>
        <v>314</v>
      </c>
      <c r="B315" s="43">
        <f>YEAR(WTG_BD[[#This Row],[Date]])+IF(MONTH(WTG_BD[[#This Row],[Date]])&gt;=4,1,0)</f>
        <v>2026</v>
      </c>
      <c r="C315" s="10">
        <v>2025</v>
      </c>
      <c r="D315" s="10" t="s">
        <v>4478</v>
      </c>
      <c r="E315" s="309">
        <f>WTG_BD[[#This Row],[Date]]-DAY(WTG_BD[[#This Row],[Date]])+1</f>
        <v>45748</v>
      </c>
      <c r="F315" s="32">
        <v>45775</v>
      </c>
      <c r="G315" t="s">
        <v>95</v>
      </c>
      <c r="H315" t="str">
        <f>IFERROR(VLOOKUP(WTG_BD[[#This Row],[Affected WTG]],'Basic Data'!$A$3:$E$25,2,0),"")</f>
        <v>O2R1</v>
      </c>
      <c r="I315" t="str">
        <f>IFERROR(VLOOKUP(WTG_BD[[#This Row],[Affected WTG]],'Basic Data'!$A$3:$E$25,3,0),"")</f>
        <v>KSIPL</v>
      </c>
      <c r="J315" s="355">
        <f>IFERROR(VLOOKUP(WTG_BD[[#This Row],[Affected WTG]],'Basic Data'!$A$3:$E$25,5,0),"")</f>
        <v>4.3478260869565223E-2</v>
      </c>
      <c r="K315" s="10">
        <v>3806</v>
      </c>
      <c r="L315" t="str">
        <f>IFERROR(VLOOKUP(WTG_BD[[#This Row],[Error Code]],'Basic Data'!S:T,2,0),"Incorrect Error Code")</f>
        <v>HubSafetySystem Batt.Charg.Err</v>
      </c>
      <c r="M315" t="s">
        <v>381</v>
      </c>
      <c r="N315" t="s">
        <v>113</v>
      </c>
      <c r="O315" s="168">
        <v>0.73124999999999996</v>
      </c>
      <c r="P315" s="168">
        <v>0.73124999999999996</v>
      </c>
      <c r="Q315" s="168">
        <v>0.73611111111111116</v>
      </c>
      <c r="R315" s="356">
        <f>(WTG_BD[[#This Row],[Work Start TimeStamp]]-WTG_BD[[#This Row],[Fault Start TimeStamp]])*24</f>
        <v>0</v>
      </c>
      <c r="S315" s="34">
        <f>(WTG_BD[[#This Row],[Fault Clearance time]]-WTG_BD[[#This Row],[Work Start TimeStamp]])*24</f>
        <v>0.11666666666666892</v>
      </c>
      <c r="T315" s="34">
        <f>(WTG_BD[[#This Row],[Fault Clearance time]]-WTG_BD[[#This Row],[Fault Start TimeStamp]])*24</f>
        <v>0.11666666666666892</v>
      </c>
      <c r="U315" t="s">
        <v>4322</v>
      </c>
      <c r="V315" s="234" t="s">
        <v>255</v>
      </c>
      <c r="W315" s="50">
        <f>IFERROR(IF(N315="ROW",0,(WTG_BD[[#This Row],[Breakdown Time]]*WTG_BD[[#This Row],[Plant Equivalent Weightage]])),"")</f>
        <v>5.0724637681160405E-3</v>
      </c>
      <c r="X315" s="50"/>
      <c r="Y315" s="205">
        <v>1</v>
      </c>
      <c r="Z315" s="205"/>
      <c r="AA315" s="4">
        <v>0</v>
      </c>
      <c r="AC315" s="4"/>
    </row>
    <row r="316" spans="1:29">
      <c r="A316" s="10">
        <f t="shared" si="6"/>
        <v>315</v>
      </c>
      <c r="B316" s="43">
        <f>YEAR(WTG_BD[[#This Row],[Date]])+IF(MONTH(WTG_BD[[#This Row],[Date]])&gt;=4,1,0)</f>
        <v>2026</v>
      </c>
      <c r="C316" s="10">
        <v>2025</v>
      </c>
      <c r="D316" s="10" t="s">
        <v>4478</v>
      </c>
      <c r="E316" s="309">
        <f>WTG_BD[[#This Row],[Date]]-DAY(WTG_BD[[#This Row],[Date]])+1</f>
        <v>45748</v>
      </c>
      <c r="F316" s="32">
        <v>45775</v>
      </c>
      <c r="G316" t="s">
        <v>79</v>
      </c>
      <c r="H316" t="str">
        <f>IFERROR(VLOOKUP(WTG_BD[[#This Row],[Affected WTG]],'Basic Data'!$A$3:$E$25,2,0),"")</f>
        <v>O2R3</v>
      </c>
      <c r="I316" t="str">
        <f>IFERROR(VLOOKUP(WTG_BD[[#This Row],[Affected WTG]],'Basic Data'!$A$3:$E$25,3,0),"")</f>
        <v>JK</v>
      </c>
      <c r="J316" s="355">
        <f>IFERROR(VLOOKUP(WTG_BD[[#This Row],[Affected WTG]],'Basic Data'!$A$3:$E$25,5,0),"")</f>
        <v>4.3478260869565223E-2</v>
      </c>
      <c r="K316" s="10">
        <v>704</v>
      </c>
      <c r="L316" t="str">
        <f>IFERROR(VLOOKUP(WTG_BD[[#This Row],[Error Code]],'Basic Data'!S:T,2,0),"Incorrect Error Code")</f>
        <v>Ch High res. load C_ Load:___%</v>
      </c>
      <c r="M316" t="s">
        <v>372</v>
      </c>
      <c r="N316" t="s">
        <v>113</v>
      </c>
      <c r="O316" s="168">
        <v>0.97013888888888888</v>
      </c>
      <c r="P316" s="168">
        <v>0.97013888888888888</v>
      </c>
      <c r="Q316" s="168">
        <v>0.99930555555555556</v>
      </c>
      <c r="R316" s="356">
        <f>(WTG_BD[[#This Row],[Work Start TimeStamp]]-WTG_BD[[#This Row],[Fault Start TimeStamp]])*24</f>
        <v>0</v>
      </c>
      <c r="S316" s="34">
        <f>(WTG_BD[[#This Row],[Fault Clearance time]]-WTG_BD[[#This Row],[Work Start TimeStamp]])*24</f>
        <v>0.70000000000000018</v>
      </c>
      <c r="T316" s="34">
        <f>(WTG_BD[[#This Row],[Fault Clearance time]]-WTG_BD[[#This Row],[Fault Start TimeStamp]])*24</f>
        <v>0.70000000000000018</v>
      </c>
      <c r="U316" t="s">
        <v>4268</v>
      </c>
      <c r="V316" s="234" t="s">
        <v>255</v>
      </c>
      <c r="W316" s="50">
        <f>IFERROR(IF(N316="ROW",0,(WTG_BD[[#This Row],[Breakdown Time]]*WTG_BD[[#This Row],[Plant Equivalent Weightage]])),"")</f>
        <v>3.0434782608695664E-2</v>
      </c>
      <c r="X316" s="50"/>
      <c r="Y316" s="205">
        <v>1</v>
      </c>
      <c r="Z316" s="205"/>
      <c r="AA316" s="4">
        <v>0.15</v>
      </c>
      <c r="AC316" s="4"/>
    </row>
    <row r="317" spans="1:29">
      <c r="A317" s="10">
        <f t="shared" si="6"/>
        <v>316</v>
      </c>
      <c r="B317" s="43">
        <f>YEAR(WTG_BD[[#This Row],[Date]])+IF(MONTH(WTG_BD[[#This Row],[Date]])&gt;=4,1,0)</f>
        <v>2026</v>
      </c>
      <c r="C317" s="10">
        <v>2025</v>
      </c>
      <c r="D317" s="10" t="s">
        <v>4478</v>
      </c>
      <c r="E317" s="309">
        <f>WTG_BD[[#This Row],[Date]]-DAY(WTG_BD[[#This Row],[Date]])+1</f>
        <v>45748</v>
      </c>
      <c r="F317" s="32">
        <v>45775</v>
      </c>
      <c r="G317" t="s">
        <v>84</v>
      </c>
      <c r="H317" t="str">
        <f>IFERROR(VLOOKUP(WTG_BD[[#This Row],[Affected WTG]],'Basic Data'!$A$3:$E$25,2,0),"")</f>
        <v>O2R3</v>
      </c>
      <c r="I317" t="str">
        <f>IFERROR(VLOOKUP(WTG_BD[[#This Row],[Affected WTG]],'Basic Data'!$A$3:$E$25,3,0),"")</f>
        <v>JK</v>
      </c>
      <c r="J317" s="355">
        <f>IFERROR(VLOOKUP(WTG_BD[[#This Row],[Affected WTG]],'Basic Data'!$A$3:$E$25,5,0),"")</f>
        <v>4.3478260869565223E-2</v>
      </c>
      <c r="K317" s="10">
        <v>309</v>
      </c>
      <c r="L317" t="str">
        <f>IFERROR(VLOOKUP(WTG_BD[[#This Row],[Error Code]],'Basic Data'!S:T,2,0),"Incorrect Error Code")</f>
        <v>Pause over RCS __0</v>
      </c>
      <c r="M317" t="s">
        <v>871</v>
      </c>
      <c r="N317" t="s">
        <v>257</v>
      </c>
      <c r="O317" s="168">
        <v>0.40833333333333333</v>
      </c>
      <c r="P317" s="168">
        <v>0.40833333333333333</v>
      </c>
      <c r="Q317" s="168">
        <v>0.68125000000000002</v>
      </c>
      <c r="R317" s="356">
        <f>(WTG_BD[[#This Row],[Work Start TimeStamp]]-WTG_BD[[#This Row],[Fault Start TimeStamp]])*24</f>
        <v>0</v>
      </c>
      <c r="S317" s="34">
        <f>(WTG_BD[[#This Row],[Fault Clearance time]]-WTG_BD[[#This Row],[Work Start TimeStamp]])*24</f>
        <v>6.5500000000000007</v>
      </c>
      <c r="T317" s="34">
        <f>(WTG_BD[[#This Row],[Fault Clearance time]]-WTG_BD[[#This Row],[Fault Start TimeStamp]])*24</f>
        <v>6.5500000000000007</v>
      </c>
      <c r="U317" t="s">
        <v>4493</v>
      </c>
      <c r="V317" s="234" t="s">
        <v>255</v>
      </c>
      <c r="W317" s="50">
        <f>IFERROR(IF(N317="ROW",0,(WTG_BD[[#This Row],[Breakdown Time]]*WTG_BD[[#This Row],[Plant Equivalent Weightage]])),"")</f>
        <v>0.28478260869565225</v>
      </c>
      <c r="X317" s="50"/>
      <c r="Y317" s="205">
        <v>1</v>
      </c>
      <c r="Z317" s="205"/>
      <c r="AA317" s="4">
        <v>8.4000000000000005E-2</v>
      </c>
      <c r="AC317" s="4"/>
    </row>
    <row r="318" spans="1:29">
      <c r="A318" s="10">
        <f t="shared" si="6"/>
        <v>317</v>
      </c>
      <c r="B318" s="43">
        <f>YEAR(WTG_BD[[#This Row],[Date]])+IF(MONTH(WTG_BD[[#This Row],[Date]])&gt;=4,1,0)</f>
        <v>2026</v>
      </c>
      <c r="C318" s="10">
        <v>2025</v>
      </c>
      <c r="D318" s="10" t="s">
        <v>4478</v>
      </c>
      <c r="E318" s="309">
        <f>WTG_BD[[#This Row],[Date]]-DAY(WTG_BD[[#This Row],[Date]])+1</f>
        <v>45748</v>
      </c>
      <c r="F318" s="32">
        <v>45775</v>
      </c>
      <c r="G318" t="s">
        <v>84</v>
      </c>
      <c r="H318" t="str">
        <f>IFERROR(VLOOKUP(WTG_BD[[#This Row],[Affected WTG]],'Basic Data'!$A$3:$E$25,2,0),"")</f>
        <v>O2R3</v>
      </c>
      <c r="I318" t="str">
        <f>IFERROR(VLOOKUP(WTG_BD[[#This Row],[Affected WTG]],'Basic Data'!$A$3:$E$25,3,0),"")</f>
        <v>JK</v>
      </c>
      <c r="J318" s="355">
        <f>IFERROR(VLOOKUP(WTG_BD[[#This Row],[Affected WTG]],'Basic Data'!$A$3:$E$25,5,0),"")</f>
        <v>4.3478260869565223E-2</v>
      </c>
      <c r="K318" s="10">
        <v>3272</v>
      </c>
      <c r="L318" t="str">
        <f>IFERROR(VLOOKUP(WTG_BD[[#This Row],[Error Code]],'Basic Data'!S:T,2,0),"Incorrect Error Code")</f>
        <v>YawUntwistCW: Code__,_______°</v>
      </c>
      <c r="M318" t="s">
        <v>378</v>
      </c>
      <c r="O318" s="168">
        <v>0.77916666666666667</v>
      </c>
      <c r="P318" s="168">
        <v>0.77916666666666667</v>
      </c>
      <c r="Q318" s="168">
        <v>0.79374999999999996</v>
      </c>
      <c r="R318" s="356">
        <f>(WTG_BD[[#This Row],[Work Start TimeStamp]]-WTG_BD[[#This Row],[Fault Start TimeStamp]])*24</f>
        <v>0</v>
      </c>
      <c r="S318" s="34">
        <f>(WTG_BD[[#This Row],[Fault Clearance time]]-WTG_BD[[#This Row],[Work Start TimeStamp]])*24</f>
        <v>0.34999999999999876</v>
      </c>
      <c r="T318" s="34">
        <f>(WTG_BD[[#This Row],[Fault Clearance time]]-WTG_BD[[#This Row],[Fault Start TimeStamp]])*24</f>
        <v>0.34999999999999876</v>
      </c>
      <c r="U318" t="s">
        <v>4323</v>
      </c>
      <c r="V318" s="234" t="s">
        <v>255</v>
      </c>
      <c r="W318" s="50">
        <f>IFERROR(IF(N318="ROW",0,(WTG_BD[[#This Row],[Breakdown Time]]*WTG_BD[[#This Row],[Plant Equivalent Weightage]])),"")</f>
        <v>1.5217391304347775E-2</v>
      </c>
      <c r="X318" s="50"/>
      <c r="Y318" s="205">
        <v>1</v>
      </c>
      <c r="Z318" s="205"/>
      <c r="AA318" s="4">
        <v>1E-3</v>
      </c>
      <c r="AC318" s="4"/>
    </row>
    <row r="319" spans="1:29">
      <c r="A319" s="10">
        <f t="shared" si="6"/>
        <v>318</v>
      </c>
      <c r="B319" s="43">
        <f>YEAR(WTG_BD[[#This Row],[Date]])+IF(MONTH(WTG_BD[[#This Row],[Date]])&gt;=4,1,0)</f>
        <v>2026</v>
      </c>
      <c r="C319" s="10">
        <v>2025</v>
      </c>
      <c r="D319" s="10" t="s">
        <v>4478</v>
      </c>
      <c r="E319" s="309">
        <f>WTG_BD[[#This Row],[Date]]-DAY(WTG_BD[[#This Row],[Date]])+1</f>
        <v>45748</v>
      </c>
      <c r="F319" s="32">
        <v>45775</v>
      </c>
      <c r="G319" t="s">
        <v>93</v>
      </c>
      <c r="H319" t="str">
        <f>IFERROR(VLOOKUP(WTG_BD[[#This Row],[Affected WTG]],'Basic Data'!$A$3:$E$25,2,0),"")</f>
        <v>O2R4</v>
      </c>
      <c r="I319" t="str">
        <f>IFERROR(VLOOKUP(WTG_BD[[#This Row],[Affected WTG]],'Basic Data'!$A$3:$E$25,3,0),"")</f>
        <v>SGDCIPL</v>
      </c>
      <c r="J319" s="355">
        <f>IFERROR(VLOOKUP(WTG_BD[[#This Row],[Affected WTG]],'Basic Data'!$A$3:$E$25,5,0),"")</f>
        <v>4.3478260869565223E-2</v>
      </c>
      <c r="K319" s="10">
        <v>309</v>
      </c>
      <c r="L319" t="str">
        <f>IFERROR(VLOOKUP(WTG_BD[[#This Row],[Error Code]],'Basic Data'!S:T,2,0),"Incorrect Error Code")</f>
        <v>Pause over RCS __0</v>
      </c>
      <c r="M319" t="s">
        <v>871</v>
      </c>
      <c r="N319" t="s">
        <v>257</v>
      </c>
      <c r="O319" s="168">
        <v>0.34652777777777777</v>
      </c>
      <c r="P319" s="168">
        <v>0.34652777777777777</v>
      </c>
      <c r="Q319" s="168">
        <v>0.47361111111111109</v>
      </c>
      <c r="R319" s="356">
        <f>(WTG_BD[[#This Row],[Work Start TimeStamp]]-WTG_BD[[#This Row],[Fault Start TimeStamp]])*24</f>
        <v>0</v>
      </c>
      <c r="S319" s="34">
        <f>(WTG_BD[[#This Row],[Fault Clearance time]]-WTG_BD[[#This Row],[Work Start TimeStamp]])*24</f>
        <v>3.05</v>
      </c>
      <c r="T319" s="34">
        <f>(WTG_BD[[#This Row],[Fault Clearance time]]-WTG_BD[[#This Row],[Fault Start TimeStamp]])*24</f>
        <v>3.05</v>
      </c>
      <c r="U319" t="s">
        <v>4329</v>
      </c>
      <c r="V319" s="234" t="s">
        <v>255</v>
      </c>
      <c r="W319" s="50">
        <f>IFERROR(IF(N319="ROW",0,(WTG_BD[[#This Row],[Breakdown Time]]*WTG_BD[[#This Row],[Plant Equivalent Weightage]])),"")</f>
        <v>0.13260869565217392</v>
      </c>
      <c r="X319" s="50"/>
      <c r="Y319" s="205">
        <v>1</v>
      </c>
      <c r="Z319" s="205"/>
      <c r="AA319" s="4">
        <v>0</v>
      </c>
      <c r="AC319" s="4"/>
    </row>
    <row r="320" spans="1:29">
      <c r="A320" s="10">
        <f t="shared" si="6"/>
        <v>319</v>
      </c>
      <c r="B320" s="43">
        <f>YEAR(WTG_BD[[#This Row],[Date]])+IF(MONTH(WTG_BD[[#This Row],[Date]])&gt;=4,1,0)</f>
        <v>2026</v>
      </c>
      <c r="C320" s="10">
        <v>2025</v>
      </c>
      <c r="D320" s="10" t="s">
        <v>4478</v>
      </c>
      <c r="E320" s="309">
        <f>WTG_BD[[#This Row],[Date]]-DAY(WTG_BD[[#This Row],[Date]])+1</f>
        <v>45748</v>
      </c>
      <c r="F320" s="32">
        <v>45775</v>
      </c>
      <c r="G320" t="s">
        <v>93</v>
      </c>
      <c r="H320" t="str">
        <f>IFERROR(VLOOKUP(WTG_BD[[#This Row],[Affected WTG]],'Basic Data'!$A$3:$E$25,2,0),"")</f>
        <v>O2R4</v>
      </c>
      <c r="I320" t="str">
        <f>IFERROR(VLOOKUP(WTG_BD[[#This Row],[Affected WTG]],'Basic Data'!$A$3:$E$25,3,0),"")</f>
        <v>SGDCIPL</v>
      </c>
      <c r="J320" s="355">
        <f>IFERROR(VLOOKUP(WTG_BD[[#This Row],[Affected WTG]],'Basic Data'!$A$3:$E$25,5,0),"")</f>
        <v>4.3478260869565223E-2</v>
      </c>
      <c r="K320" s="10">
        <v>3272</v>
      </c>
      <c r="L320" t="str">
        <f>IFERROR(VLOOKUP(WTG_BD[[#This Row],[Error Code]],'Basic Data'!S:T,2,0),"Incorrect Error Code")</f>
        <v>YawUntwistCW: Code__,_______°</v>
      </c>
      <c r="M320" t="s">
        <v>378</v>
      </c>
      <c r="O320" s="168">
        <v>0.55625000000000002</v>
      </c>
      <c r="P320" s="168">
        <v>0.55625000000000002</v>
      </c>
      <c r="Q320" s="168">
        <v>0.57222222222222219</v>
      </c>
      <c r="R320" s="356">
        <f>(WTG_BD[[#This Row],[Work Start TimeStamp]]-WTG_BD[[#This Row],[Fault Start TimeStamp]])*24</f>
        <v>0</v>
      </c>
      <c r="S320" s="34">
        <f>(WTG_BD[[#This Row],[Fault Clearance time]]-WTG_BD[[#This Row],[Work Start TimeStamp]])*24</f>
        <v>0.38333333333333197</v>
      </c>
      <c r="T320" s="34">
        <f>(WTG_BD[[#This Row],[Fault Clearance time]]-WTG_BD[[#This Row],[Fault Start TimeStamp]])*24</f>
        <v>0.38333333333333197</v>
      </c>
      <c r="U320" t="s">
        <v>4323</v>
      </c>
      <c r="V320" s="234" t="s">
        <v>255</v>
      </c>
      <c r="W320" s="50">
        <f>IFERROR(IF(N320="ROW",0,(WTG_BD[[#This Row],[Breakdown Time]]*WTG_BD[[#This Row],[Plant Equivalent Weightage]])),"")</f>
        <v>1.6666666666666611E-2</v>
      </c>
      <c r="X320" s="50"/>
      <c r="Y320" s="205">
        <v>1</v>
      </c>
      <c r="Z320" s="205"/>
      <c r="AA320" s="4">
        <v>2.1000000000000001E-2</v>
      </c>
      <c r="AC320" s="4"/>
    </row>
    <row r="321" spans="1:29">
      <c r="A321" s="10">
        <f t="shared" si="6"/>
        <v>320</v>
      </c>
      <c r="B321" s="43">
        <f>YEAR(WTG_BD[[#This Row],[Date]])+IF(MONTH(WTG_BD[[#This Row],[Date]])&gt;=4,1,0)</f>
        <v>2026</v>
      </c>
      <c r="C321" s="10">
        <v>2025</v>
      </c>
      <c r="D321" s="10" t="s">
        <v>4478</v>
      </c>
      <c r="E321" s="309">
        <f>WTG_BD[[#This Row],[Date]]-DAY(WTG_BD[[#This Row],[Date]])+1</f>
        <v>45748</v>
      </c>
      <c r="F321" s="32">
        <v>45775</v>
      </c>
      <c r="G321" t="s">
        <v>96</v>
      </c>
      <c r="H321" t="str">
        <f>IFERROR(VLOOKUP(WTG_BD[[#This Row],[Affected WTG]],'Basic Data'!$A$3:$E$25,2,0),"")</f>
        <v>O2R3</v>
      </c>
      <c r="I321" t="str">
        <f>IFERROR(VLOOKUP(WTG_BD[[#This Row],[Affected WTG]],'Basic Data'!$A$3:$E$25,3,0),"")</f>
        <v>JK</v>
      </c>
      <c r="J321" s="355">
        <f>IFERROR(VLOOKUP(WTG_BD[[#This Row],[Affected WTG]],'Basic Data'!$A$3:$E$25,5,0),"")</f>
        <v>4.3478260869565223E-2</v>
      </c>
      <c r="K321" s="10">
        <v>3272</v>
      </c>
      <c r="L321" t="str">
        <f>IFERROR(VLOOKUP(WTG_BD[[#This Row],[Error Code]],'Basic Data'!S:T,2,0),"Incorrect Error Code")</f>
        <v>YawUntwistCW: Code__,_______°</v>
      </c>
      <c r="M321" t="s">
        <v>378</v>
      </c>
      <c r="O321" s="168">
        <v>0.55763888888888891</v>
      </c>
      <c r="P321" s="168">
        <v>0.55763888888888891</v>
      </c>
      <c r="Q321" s="168">
        <v>0.57222222222222219</v>
      </c>
      <c r="R321" s="356">
        <f>(WTG_BD[[#This Row],[Work Start TimeStamp]]-WTG_BD[[#This Row],[Fault Start TimeStamp]])*24</f>
        <v>0</v>
      </c>
      <c r="S321" s="34">
        <f>(WTG_BD[[#This Row],[Fault Clearance time]]-WTG_BD[[#This Row],[Work Start TimeStamp]])*24</f>
        <v>0.34999999999999876</v>
      </c>
      <c r="T321" s="34">
        <f>(WTG_BD[[#This Row],[Fault Clearance time]]-WTG_BD[[#This Row],[Fault Start TimeStamp]])*24</f>
        <v>0.34999999999999876</v>
      </c>
      <c r="U321" t="s">
        <v>4323</v>
      </c>
      <c r="V321" s="234" t="s">
        <v>255</v>
      </c>
      <c r="W321" s="50">
        <f>IFERROR(IF(N321="ROW",0,(WTG_BD[[#This Row],[Breakdown Time]]*WTG_BD[[#This Row],[Plant Equivalent Weightage]])),"")</f>
        <v>1.5217391304347775E-2</v>
      </c>
      <c r="X321" s="50"/>
      <c r="Y321" s="205">
        <v>1</v>
      </c>
      <c r="Z321" s="205"/>
      <c r="AA321" s="4">
        <v>1.2E-2</v>
      </c>
      <c r="AC321" s="4"/>
    </row>
    <row r="322" spans="1:29">
      <c r="A322" s="10">
        <f t="shared" si="6"/>
        <v>321</v>
      </c>
      <c r="B322" s="43">
        <f>YEAR(WTG_BD[[#This Row],[Date]])+IF(MONTH(WTG_BD[[#This Row],[Date]])&gt;=4,1,0)</f>
        <v>2026</v>
      </c>
      <c r="C322" s="10">
        <v>2025</v>
      </c>
      <c r="D322" s="10" t="s">
        <v>4478</v>
      </c>
      <c r="E322" s="309">
        <f>WTG_BD[[#This Row],[Date]]-DAY(WTG_BD[[#This Row],[Date]])+1</f>
        <v>45748</v>
      </c>
      <c r="F322" s="32">
        <v>45776</v>
      </c>
      <c r="G322" t="s">
        <v>76</v>
      </c>
      <c r="H322" t="str">
        <f>IFERROR(VLOOKUP(WTG_BD[[#This Row],[Affected WTG]],'Basic Data'!$A$3:$E$25,2,0),"")</f>
        <v>O2R1</v>
      </c>
      <c r="I322" t="str">
        <f>IFERROR(VLOOKUP(WTG_BD[[#This Row],[Affected WTG]],'Basic Data'!$A$3:$E$25,3,0),"")</f>
        <v>KSIPL</v>
      </c>
      <c r="J322" s="355">
        <f>IFERROR(VLOOKUP(WTG_BD[[#This Row],[Affected WTG]],'Basic Data'!$A$3:$E$25,5,0),"")</f>
        <v>4.3478260869565223E-2</v>
      </c>
      <c r="K322" s="10">
        <v>3806</v>
      </c>
      <c r="L322" t="str">
        <f>IFERROR(VLOOKUP(WTG_BD[[#This Row],[Error Code]],'Basic Data'!S:T,2,0),"Incorrect Error Code")</f>
        <v>HubSafetySystem Batt.Charg.Err</v>
      </c>
      <c r="M322" t="s">
        <v>381</v>
      </c>
      <c r="N322" t="s">
        <v>113</v>
      </c>
      <c r="O322" s="168">
        <v>0.46458333333333335</v>
      </c>
      <c r="P322" s="168">
        <v>0.46458333333333335</v>
      </c>
      <c r="Q322" s="168">
        <v>0.46527777777777779</v>
      </c>
      <c r="R322" s="356">
        <f>(WTG_BD[[#This Row],[Work Start TimeStamp]]-WTG_BD[[#This Row],[Fault Start TimeStamp]])*24</f>
        <v>0</v>
      </c>
      <c r="S322" s="34">
        <f>(WTG_BD[[#This Row],[Fault Clearance time]]-WTG_BD[[#This Row],[Work Start TimeStamp]])*24</f>
        <v>1.6666666666666607E-2</v>
      </c>
      <c r="T322" s="34">
        <f>(WTG_BD[[#This Row],[Fault Clearance time]]-WTG_BD[[#This Row],[Fault Start TimeStamp]])*24</f>
        <v>1.6666666666666607E-2</v>
      </c>
      <c r="U322" t="s">
        <v>4322</v>
      </c>
      <c r="V322" s="234" t="s">
        <v>255</v>
      </c>
      <c r="W322" s="50">
        <f>IFERROR(IF(N322="ROW",0,(WTG_BD[[#This Row],[Breakdown Time]]*WTG_BD[[#This Row],[Plant Equivalent Weightage]])),"")</f>
        <v>7.246376811594178E-4</v>
      </c>
      <c r="X322" s="50"/>
      <c r="Y322" s="205">
        <v>1</v>
      </c>
      <c r="Z322" s="205"/>
      <c r="AA322" s="4">
        <v>8.9999999999999993E-3</v>
      </c>
    </row>
    <row r="323" spans="1:29">
      <c r="A323" s="10">
        <f t="shared" si="6"/>
        <v>322</v>
      </c>
      <c r="B323" s="43">
        <f>YEAR(WTG_BD[[#This Row],[Date]])+IF(MONTH(WTG_BD[[#This Row],[Date]])&gt;=4,1,0)</f>
        <v>2026</v>
      </c>
      <c r="C323" s="10">
        <v>2025</v>
      </c>
      <c r="D323" s="10" t="s">
        <v>4478</v>
      </c>
      <c r="E323" s="309">
        <f>WTG_BD[[#This Row],[Date]]-DAY(WTG_BD[[#This Row],[Date]])+1</f>
        <v>45748</v>
      </c>
      <c r="F323" s="32">
        <v>45776</v>
      </c>
      <c r="G323" t="s">
        <v>85</v>
      </c>
      <c r="H323" t="str">
        <f>IFERROR(VLOOKUP(WTG_BD[[#This Row],[Affected WTG]],'Basic Data'!$A$3:$E$25,2,0),"")</f>
        <v>O2R1</v>
      </c>
      <c r="I323" t="str">
        <f>IFERROR(VLOOKUP(WTG_BD[[#This Row],[Affected WTG]],'Basic Data'!$A$3:$E$25,3,0),"")</f>
        <v>KSIPL</v>
      </c>
      <c r="J323" s="355">
        <f>IFERROR(VLOOKUP(WTG_BD[[#This Row],[Affected WTG]],'Basic Data'!$A$3:$E$25,5,0),"")</f>
        <v>4.3478260869565223E-2</v>
      </c>
      <c r="K323" s="10">
        <v>315</v>
      </c>
      <c r="L323" t="str">
        <f>IFERROR(VLOOKUP(WTG_BD[[#This Row],[Error Code]],'Basic Data'!S:T,2,0),"Incorrect Error Code")</f>
        <v>ExEx low voltage L_: ___V</v>
      </c>
      <c r="M323" t="s">
        <v>141</v>
      </c>
      <c r="N323" t="s">
        <v>113</v>
      </c>
      <c r="O323" s="168">
        <v>0.70138888888888884</v>
      </c>
      <c r="P323" s="168">
        <v>0.70138888888888884</v>
      </c>
      <c r="Q323" s="168">
        <v>0.75</v>
      </c>
      <c r="R323" s="356">
        <f>(WTG_BD[[#This Row],[Work Start TimeStamp]]-WTG_BD[[#This Row],[Fault Start TimeStamp]])*24</f>
        <v>0</v>
      </c>
      <c r="S323" s="34">
        <f>(WTG_BD[[#This Row],[Fault Clearance time]]-WTG_BD[[#This Row],[Work Start TimeStamp]])*24</f>
        <v>1.1666666666666679</v>
      </c>
      <c r="T323" s="34">
        <f>(WTG_BD[[#This Row],[Fault Clearance time]]-WTG_BD[[#This Row],[Fault Start TimeStamp]])*24</f>
        <v>1.1666666666666679</v>
      </c>
      <c r="U323" t="s">
        <v>4328</v>
      </c>
      <c r="V323" s="234" t="s">
        <v>255</v>
      </c>
      <c r="W323" s="50">
        <f>IFERROR(IF(N323="ROW",0,(WTG_BD[[#This Row],[Breakdown Time]]*WTG_BD[[#This Row],[Plant Equivalent Weightage]])),"")</f>
        <v>5.0724637681159479E-2</v>
      </c>
      <c r="X323" s="50"/>
      <c r="Y323" s="205">
        <v>1</v>
      </c>
      <c r="Z323" s="205"/>
      <c r="AA323" s="4">
        <v>0.49099999999999999</v>
      </c>
    </row>
    <row r="324" spans="1:29">
      <c r="A324" s="10">
        <f t="shared" si="6"/>
        <v>323</v>
      </c>
      <c r="B324" s="43">
        <f>YEAR(WTG_BD[[#This Row],[Date]])+IF(MONTH(WTG_BD[[#This Row],[Date]])&gt;=4,1,0)</f>
        <v>2026</v>
      </c>
      <c r="C324" s="10">
        <v>2025</v>
      </c>
      <c r="D324" s="10" t="s">
        <v>4478</v>
      </c>
      <c r="E324" s="309">
        <f>WTG_BD[[#This Row],[Date]]-DAY(WTG_BD[[#This Row],[Date]])+1</f>
        <v>45748</v>
      </c>
      <c r="F324" s="32">
        <v>45776</v>
      </c>
      <c r="G324" t="s">
        <v>79</v>
      </c>
      <c r="H324" t="str">
        <f>IFERROR(VLOOKUP(WTG_BD[[#This Row],[Affected WTG]],'Basic Data'!$A$3:$E$25,2,0),"")</f>
        <v>O2R3</v>
      </c>
      <c r="I324" t="str">
        <f>IFERROR(VLOOKUP(WTG_BD[[#This Row],[Affected WTG]],'Basic Data'!$A$3:$E$25,3,0),"")</f>
        <v>JK</v>
      </c>
      <c r="J324" s="355">
        <f>IFERROR(VLOOKUP(WTG_BD[[#This Row],[Affected WTG]],'Basic Data'!$A$3:$E$25,5,0),"")</f>
        <v>4.3478260869565223E-2</v>
      </c>
      <c r="K324" s="10">
        <v>704</v>
      </c>
      <c r="L324" t="str">
        <f>IFERROR(VLOOKUP(WTG_BD[[#This Row],[Error Code]],'Basic Data'!S:T,2,0),"Incorrect Error Code")</f>
        <v>Ch High res. load C_ Load:___%</v>
      </c>
      <c r="M324" t="s">
        <v>372</v>
      </c>
      <c r="N324" t="s">
        <v>113</v>
      </c>
      <c r="O324" s="168">
        <v>6.9444444444444441E-3</v>
      </c>
      <c r="P324" s="168">
        <v>6.9444444444444441E-3</v>
      </c>
      <c r="Q324" s="168">
        <v>1.3888888888888888E-2</v>
      </c>
      <c r="R324" s="356">
        <f>(WTG_BD[[#This Row],[Work Start TimeStamp]]-WTG_BD[[#This Row],[Fault Start TimeStamp]])*24</f>
        <v>0</v>
      </c>
      <c r="S324" s="34">
        <f>(WTG_BD[[#This Row],[Fault Clearance time]]-WTG_BD[[#This Row],[Work Start TimeStamp]])*24</f>
        <v>0.16666666666666666</v>
      </c>
      <c r="T324" s="34">
        <f>(WTG_BD[[#This Row],[Fault Clearance time]]-WTG_BD[[#This Row],[Fault Start TimeStamp]])*24</f>
        <v>0.16666666666666666</v>
      </c>
      <c r="U324" t="s">
        <v>4268</v>
      </c>
      <c r="V324" s="234" t="s">
        <v>255</v>
      </c>
      <c r="W324" s="50">
        <f>IFERROR(IF(N324="ROW",0,(WTG_BD[[#This Row],[Breakdown Time]]*WTG_BD[[#This Row],[Plant Equivalent Weightage]])),"")</f>
        <v>7.2463768115942039E-3</v>
      </c>
      <c r="X324" s="50"/>
      <c r="Y324" s="205">
        <v>1</v>
      </c>
      <c r="Z324" s="205"/>
      <c r="AA324" s="4">
        <v>0.16600000000000001</v>
      </c>
    </row>
    <row r="325" spans="1:29">
      <c r="A325" s="10">
        <f t="shared" si="6"/>
        <v>324</v>
      </c>
      <c r="B325" s="43">
        <f>YEAR(WTG_BD[[#This Row],[Date]])+IF(MONTH(WTG_BD[[#This Row],[Date]])&gt;=4,1,0)</f>
        <v>2026</v>
      </c>
      <c r="C325" s="10">
        <v>2025</v>
      </c>
      <c r="D325" s="10" t="s">
        <v>4478</v>
      </c>
      <c r="E325" s="309">
        <f>WTG_BD[[#This Row],[Date]]-DAY(WTG_BD[[#This Row],[Date]])+1</f>
        <v>45748</v>
      </c>
      <c r="F325" s="32">
        <v>45776</v>
      </c>
      <c r="G325" t="s">
        <v>79</v>
      </c>
      <c r="H325" t="str">
        <f>IFERROR(VLOOKUP(WTG_BD[[#This Row],[Affected WTG]],'Basic Data'!$A$3:$E$25,2,0),"")</f>
        <v>O2R3</v>
      </c>
      <c r="I325" t="str">
        <f>IFERROR(VLOOKUP(WTG_BD[[#This Row],[Affected WTG]],'Basic Data'!$A$3:$E$25,3,0),"")</f>
        <v>JK</v>
      </c>
      <c r="J325" s="355">
        <f>IFERROR(VLOOKUP(WTG_BD[[#This Row],[Affected WTG]],'Basic Data'!$A$3:$E$25,5,0),"")</f>
        <v>4.3478260869565223E-2</v>
      </c>
      <c r="K325" s="10">
        <v>704</v>
      </c>
      <c r="L325" t="str">
        <f>IFERROR(VLOOKUP(WTG_BD[[#This Row],[Error Code]],'Basic Data'!S:T,2,0),"Incorrect Error Code")</f>
        <v>Ch High res. load C_ Load:___%</v>
      </c>
      <c r="M325" t="s">
        <v>372</v>
      </c>
      <c r="N325" t="s">
        <v>113</v>
      </c>
      <c r="O325" s="168">
        <v>0.21875</v>
      </c>
      <c r="P325" s="168">
        <v>0.21875</v>
      </c>
      <c r="Q325" s="168">
        <v>0.26319444444444445</v>
      </c>
      <c r="R325" s="356">
        <f>(WTG_BD[[#This Row],[Work Start TimeStamp]]-WTG_BD[[#This Row],[Fault Start TimeStamp]])*24</f>
        <v>0</v>
      </c>
      <c r="S325" s="34">
        <f>(WTG_BD[[#This Row],[Fault Clearance time]]-WTG_BD[[#This Row],[Work Start TimeStamp]])*24</f>
        <v>1.0666666666666669</v>
      </c>
      <c r="T325" s="34">
        <f>(WTG_BD[[#This Row],[Fault Clearance time]]-WTG_BD[[#This Row],[Fault Start TimeStamp]])*24</f>
        <v>1.0666666666666669</v>
      </c>
      <c r="U325" t="s">
        <v>4268</v>
      </c>
      <c r="V325" s="234" t="s">
        <v>255</v>
      </c>
      <c r="W325" s="50">
        <f>IFERROR(IF(N325="ROW",0,(WTG_BD[[#This Row],[Breakdown Time]]*WTG_BD[[#This Row],[Plant Equivalent Weightage]])),"")</f>
        <v>4.6376811594202913E-2</v>
      </c>
      <c r="X325" s="50"/>
      <c r="Y325" s="205">
        <v>1</v>
      </c>
      <c r="Z325" s="205"/>
      <c r="AA325" s="4">
        <v>0.28000000000000003</v>
      </c>
    </row>
    <row r="326" spans="1:29">
      <c r="A326" s="10">
        <f t="shared" si="6"/>
        <v>325</v>
      </c>
      <c r="B326" s="43">
        <f>YEAR(WTG_BD[[#This Row],[Date]])+IF(MONTH(WTG_BD[[#This Row],[Date]])&gt;=4,1,0)</f>
        <v>2026</v>
      </c>
      <c r="C326" s="10">
        <v>2025</v>
      </c>
      <c r="D326" s="10" t="s">
        <v>4478</v>
      </c>
      <c r="E326" s="309">
        <f>WTG_BD[[#This Row],[Date]]-DAY(WTG_BD[[#This Row],[Date]])+1</f>
        <v>45748</v>
      </c>
      <c r="F326" s="32">
        <v>45776</v>
      </c>
      <c r="G326" t="s">
        <v>80</v>
      </c>
      <c r="H326" t="str">
        <f>IFERROR(VLOOKUP(WTG_BD[[#This Row],[Affected WTG]],'Basic Data'!$A$3:$E$25,2,0),"")</f>
        <v>O2R3</v>
      </c>
      <c r="I326" t="str">
        <f>IFERROR(VLOOKUP(WTG_BD[[#This Row],[Affected WTG]],'Basic Data'!$A$3:$E$25,3,0),"")</f>
        <v>JK</v>
      </c>
      <c r="J326" s="355">
        <f>IFERROR(VLOOKUP(WTG_BD[[#This Row],[Affected WTG]],'Basic Data'!$A$3:$E$25,5,0),"")</f>
        <v>4.3478260869565223E-2</v>
      </c>
      <c r="K326" s="10">
        <v>704</v>
      </c>
      <c r="L326" t="str">
        <f>IFERROR(VLOOKUP(WTG_BD[[#This Row],[Error Code]],'Basic Data'!S:T,2,0),"Incorrect Error Code")</f>
        <v>Ch High res. load C_ Load:___%</v>
      </c>
      <c r="M326" t="s">
        <v>372</v>
      </c>
      <c r="N326" t="s">
        <v>113</v>
      </c>
      <c r="O326" s="168">
        <v>0.97013888888888888</v>
      </c>
      <c r="P326" s="168">
        <v>0.97013888888888888</v>
      </c>
      <c r="Q326" s="168">
        <v>0.98541666666666672</v>
      </c>
      <c r="R326" s="356">
        <f>(WTG_BD[[#This Row],[Work Start TimeStamp]]-WTG_BD[[#This Row],[Fault Start TimeStamp]])*24</f>
        <v>0</v>
      </c>
      <c r="S326" s="34">
        <f>(WTG_BD[[#This Row],[Fault Clearance time]]-WTG_BD[[#This Row],[Work Start TimeStamp]])*24</f>
        <v>0.36666666666666803</v>
      </c>
      <c r="T326" s="34">
        <f>(WTG_BD[[#This Row],[Fault Clearance time]]-WTG_BD[[#This Row],[Fault Start TimeStamp]])*24</f>
        <v>0.36666666666666803</v>
      </c>
      <c r="U326" t="s">
        <v>4268</v>
      </c>
      <c r="V326" s="234" t="s">
        <v>255</v>
      </c>
      <c r="W326" s="50">
        <f>IFERROR(IF(N326="ROW",0,(WTG_BD[[#This Row],[Breakdown Time]]*WTG_BD[[#This Row],[Plant Equivalent Weightage]])),"")</f>
        <v>1.5942028985507308E-2</v>
      </c>
      <c r="X326" s="50"/>
      <c r="Y326" s="205">
        <v>1</v>
      </c>
      <c r="Z326" s="205"/>
      <c r="AA326" s="4">
        <v>0.14899999999999999</v>
      </c>
    </row>
    <row r="327" spans="1:29">
      <c r="A327" s="10">
        <f t="shared" si="6"/>
        <v>326</v>
      </c>
      <c r="B327" s="43">
        <f>YEAR(WTG_BD[[#This Row],[Date]])+IF(MONTH(WTG_BD[[#This Row],[Date]])&gt;=4,1,0)</f>
        <v>2026</v>
      </c>
      <c r="C327" s="10">
        <v>2025</v>
      </c>
      <c r="D327" s="10" t="s">
        <v>4478</v>
      </c>
      <c r="E327" s="309">
        <f>WTG_BD[[#This Row],[Date]]-DAY(WTG_BD[[#This Row],[Date]])+1</f>
        <v>45748</v>
      </c>
      <c r="F327" s="32">
        <v>45776</v>
      </c>
      <c r="G327" t="s">
        <v>84</v>
      </c>
      <c r="H327" t="str">
        <f>IFERROR(VLOOKUP(WTG_BD[[#This Row],[Affected WTG]],'Basic Data'!$A$3:$E$25,2,0),"")</f>
        <v>O2R3</v>
      </c>
      <c r="I327" t="str">
        <f>IFERROR(VLOOKUP(WTG_BD[[#This Row],[Affected WTG]],'Basic Data'!$A$3:$E$25,3,0),"")</f>
        <v>JK</v>
      </c>
      <c r="J327" s="355">
        <f>IFERROR(VLOOKUP(WTG_BD[[#This Row],[Affected WTG]],'Basic Data'!$A$3:$E$25,5,0),"")</f>
        <v>4.3478260869565223E-2</v>
      </c>
      <c r="K327" s="10">
        <v>309</v>
      </c>
      <c r="L327" t="str">
        <f>IFERROR(VLOOKUP(WTG_BD[[#This Row],[Error Code]],'Basic Data'!S:T,2,0),"Incorrect Error Code")</f>
        <v>Pause over RCS __0</v>
      </c>
      <c r="M327" t="s">
        <v>871</v>
      </c>
      <c r="N327" t="s">
        <v>257</v>
      </c>
      <c r="O327" s="168">
        <v>0.41319444444444442</v>
      </c>
      <c r="P327" s="168">
        <v>0.41319444444444442</v>
      </c>
      <c r="Q327" s="168">
        <v>0.69791666666666663</v>
      </c>
      <c r="R327" s="356">
        <f>(WTG_BD[[#This Row],[Work Start TimeStamp]]-WTG_BD[[#This Row],[Fault Start TimeStamp]])*24</f>
        <v>0</v>
      </c>
      <c r="S327" s="34">
        <f>(WTG_BD[[#This Row],[Fault Clearance time]]-WTG_BD[[#This Row],[Work Start TimeStamp]])*24</f>
        <v>6.833333333333333</v>
      </c>
      <c r="T327" s="34">
        <f>(WTG_BD[[#This Row],[Fault Clearance time]]-WTG_BD[[#This Row],[Fault Start TimeStamp]])*24</f>
        <v>6.833333333333333</v>
      </c>
      <c r="U327" t="s">
        <v>4494</v>
      </c>
      <c r="V327" s="234" t="s">
        <v>255</v>
      </c>
      <c r="W327" s="50">
        <f>IFERROR(IF(N327="ROW",0,(WTG_BD[[#This Row],[Breakdown Time]]*WTG_BD[[#This Row],[Plant Equivalent Weightage]])),"")</f>
        <v>0.29710144927536236</v>
      </c>
      <c r="X327" s="50"/>
      <c r="Y327" s="205">
        <v>1</v>
      </c>
      <c r="Z327" s="205"/>
      <c r="AA327" s="4">
        <v>0.107</v>
      </c>
    </row>
    <row r="328" spans="1:29">
      <c r="A328" s="10">
        <f t="shared" si="6"/>
        <v>327</v>
      </c>
      <c r="B328" s="43">
        <f>YEAR(WTG_BD[[#This Row],[Date]])+IF(MONTH(WTG_BD[[#This Row],[Date]])&gt;=4,1,0)</f>
        <v>2026</v>
      </c>
      <c r="C328" s="10">
        <v>2025</v>
      </c>
      <c r="D328" s="10" t="s">
        <v>4478</v>
      </c>
      <c r="E328" s="309">
        <f>WTG_BD[[#This Row],[Date]]-DAY(WTG_BD[[#This Row],[Date]])+1</f>
        <v>45748</v>
      </c>
      <c r="F328" s="32">
        <v>45777</v>
      </c>
      <c r="G328" t="s">
        <v>89</v>
      </c>
      <c r="H328" t="str">
        <f>IFERROR(VLOOKUP(WTG_BD[[#This Row],[Affected WTG]],'Basic Data'!$A$3:$E$25,2,0),"")</f>
        <v>O2R1</v>
      </c>
      <c r="I328" t="str">
        <f>IFERROR(VLOOKUP(WTG_BD[[#This Row],[Affected WTG]],'Basic Data'!$A$3:$E$25,3,0),"")</f>
        <v>KSIPL</v>
      </c>
      <c r="J328" s="355">
        <f>IFERROR(VLOOKUP(WTG_BD[[#This Row],[Affected WTG]],'Basic Data'!$A$3:$E$25,5,0),"")</f>
        <v>4.3478260869565223E-2</v>
      </c>
      <c r="K328" s="10">
        <v>309</v>
      </c>
      <c r="L328" t="str">
        <f>IFERROR(VLOOKUP(WTG_BD[[#This Row],[Error Code]],'Basic Data'!S:T,2,0),"Incorrect Error Code")</f>
        <v>Pause over RCS __0</v>
      </c>
      <c r="M328" t="s">
        <v>872</v>
      </c>
      <c r="N328" t="s">
        <v>257</v>
      </c>
      <c r="O328" s="168">
        <v>0.45208333333333334</v>
      </c>
      <c r="P328" s="168">
        <v>0.45208333333333334</v>
      </c>
      <c r="Q328" s="168">
        <v>0.72222222222222221</v>
      </c>
      <c r="R328" s="356">
        <f>(WTG_BD[[#This Row],[Work Start TimeStamp]]-WTG_BD[[#This Row],[Fault Start TimeStamp]])*24</f>
        <v>0</v>
      </c>
      <c r="S328" s="34">
        <f>(WTG_BD[[#This Row],[Fault Clearance time]]-WTG_BD[[#This Row],[Work Start TimeStamp]])*24</f>
        <v>6.4833333333333325</v>
      </c>
      <c r="T328" s="34">
        <f>(WTG_BD[[#This Row],[Fault Clearance time]]-WTG_BD[[#This Row],[Fault Start TimeStamp]])*24</f>
        <v>6.4833333333333325</v>
      </c>
      <c r="U328" t="s">
        <v>4493</v>
      </c>
      <c r="V328" s="234" t="s">
        <v>255</v>
      </c>
      <c r="W328" s="50">
        <f>IFERROR(IF(N328="ROW",0,(WTG_BD[[#This Row],[Breakdown Time]]*WTG_BD[[#This Row],[Plant Equivalent Weightage]])),"")</f>
        <v>0.28188405797101451</v>
      </c>
      <c r="X328" s="50"/>
      <c r="Y328" s="205">
        <v>1</v>
      </c>
      <c r="Z328" s="205"/>
      <c r="AA328" s="4">
        <v>2.2120000000000002</v>
      </c>
    </row>
    <row r="329" spans="1:29">
      <c r="A329" s="10">
        <f t="shared" si="6"/>
        <v>328</v>
      </c>
      <c r="B329" s="43">
        <f>YEAR(WTG_BD[[#This Row],[Date]])+IF(MONTH(WTG_BD[[#This Row],[Date]])&gt;=4,1,0)</f>
        <v>2026</v>
      </c>
      <c r="C329" s="10">
        <v>2025</v>
      </c>
      <c r="D329" s="10" t="s">
        <v>4478</v>
      </c>
      <c r="E329" s="309">
        <f>WTG_BD[[#This Row],[Date]]-DAY(WTG_BD[[#This Row],[Date]])+1</f>
        <v>45778</v>
      </c>
      <c r="F329" s="32">
        <v>45778</v>
      </c>
      <c r="G329" t="s">
        <v>76</v>
      </c>
      <c r="H329" t="str">
        <f>IFERROR(VLOOKUP(WTG_BD[[#This Row],[Affected WTG]],'Basic Data'!$A$3:$E$25,2,0),"")</f>
        <v>O2R1</v>
      </c>
      <c r="I329" t="str">
        <f>IFERROR(VLOOKUP(WTG_BD[[#This Row],[Affected WTG]],'Basic Data'!$A$3:$E$25,3,0),"")</f>
        <v>KSIPL</v>
      </c>
      <c r="J329" s="355">
        <f>IFERROR(VLOOKUP(WTG_BD[[#This Row],[Affected WTG]],'Basic Data'!$A$3:$E$25,5,0),"")</f>
        <v>4.3478260869565223E-2</v>
      </c>
      <c r="K329" s="10">
        <v>3273</v>
      </c>
      <c r="L329" t="str">
        <f>IFERROR(VLOOKUP(WTG_BD[[#This Row],[Error Code]],'Basic Data'!S:T,2,0),"Incorrect Error Code")</f>
        <v>YawUntwistCCW: Code__,_______°</v>
      </c>
      <c r="M329" t="s">
        <v>1963</v>
      </c>
      <c r="O329" s="168">
        <v>0.56180555555555556</v>
      </c>
      <c r="P329" s="168">
        <v>0.56180555555555556</v>
      </c>
      <c r="Q329" s="168">
        <v>0.5756944444444444</v>
      </c>
      <c r="R329" s="356">
        <f>(WTG_BD[[#This Row],[Work Start TimeStamp]]-WTG_BD[[#This Row],[Fault Start TimeStamp]])*24</f>
        <v>0</v>
      </c>
      <c r="S329" s="34">
        <f>(WTG_BD[[#This Row],[Fault Clearance time]]-WTG_BD[[#This Row],[Work Start TimeStamp]])*24</f>
        <v>0.33333333333333215</v>
      </c>
      <c r="T329" s="34">
        <f>(WTG_BD[[#This Row],[Fault Clearance time]]-WTG_BD[[#This Row],[Fault Start TimeStamp]])*24</f>
        <v>0.33333333333333215</v>
      </c>
      <c r="U329" t="s">
        <v>4323</v>
      </c>
      <c r="V329" s="234" t="s">
        <v>255</v>
      </c>
      <c r="W329" s="50">
        <f>IFERROR(IF(N329="ROW",0,(WTG_BD[[#This Row],[Breakdown Time]]*WTG_BD[[#This Row],[Plant Equivalent Weightage]])),"")</f>
        <v>1.4492753623188356E-2</v>
      </c>
      <c r="X329" s="50"/>
      <c r="Y329" s="205">
        <v>1</v>
      </c>
      <c r="Z329" s="205"/>
      <c r="AA329" s="4">
        <v>1.4999999999999999E-2</v>
      </c>
    </row>
    <row r="330" spans="1:29">
      <c r="A330" s="10">
        <f t="shared" si="6"/>
        <v>329</v>
      </c>
      <c r="B330" s="43">
        <f>YEAR(WTG_BD[[#This Row],[Date]])+IF(MONTH(WTG_BD[[#This Row],[Date]])&gt;=4,1,0)</f>
        <v>2026</v>
      </c>
      <c r="C330" s="10">
        <v>2025</v>
      </c>
      <c r="D330" s="10" t="s">
        <v>4478</v>
      </c>
      <c r="E330" s="309">
        <f>WTG_BD[[#This Row],[Date]]-DAY(WTG_BD[[#This Row],[Date]])+1</f>
        <v>45778</v>
      </c>
      <c r="F330" s="32">
        <v>45778</v>
      </c>
      <c r="G330" t="s">
        <v>90</v>
      </c>
      <c r="H330" t="str">
        <f>IFERROR(VLOOKUP(WTG_BD[[#This Row],[Affected WTG]],'Basic Data'!$A$3:$E$25,2,0),"")</f>
        <v>O2R1</v>
      </c>
      <c r="I330" t="str">
        <f>IFERROR(VLOOKUP(WTG_BD[[#This Row],[Affected WTG]],'Basic Data'!$A$3:$E$25,3,0),"")</f>
        <v>KSIPL</v>
      </c>
      <c r="J330" s="355">
        <f>IFERROR(VLOOKUP(WTG_BD[[#This Row],[Affected WTG]],'Basic Data'!$A$3:$E$25,5,0),"")</f>
        <v>4.3478260869565223E-2</v>
      </c>
      <c r="K330" s="10">
        <v>3273</v>
      </c>
      <c r="L330" t="str">
        <f>IFERROR(VLOOKUP(WTG_BD[[#This Row],[Error Code]],'Basic Data'!S:T,2,0),"Incorrect Error Code")</f>
        <v>YawUntwistCCW: Code__,_______°</v>
      </c>
      <c r="M330" t="s">
        <v>1963</v>
      </c>
      <c r="O330" s="168">
        <v>0.68055555555555558</v>
      </c>
      <c r="P330" s="168">
        <v>0.68055555555555558</v>
      </c>
      <c r="Q330" s="168">
        <v>0.69444444444444442</v>
      </c>
      <c r="R330" s="356">
        <f>(WTG_BD[[#This Row],[Work Start TimeStamp]]-WTG_BD[[#This Row],[Fault Start TimeStamp]])*24</f>
        <v>0</v>
      </c>
      <c r="S330" s="34">
        <f>(WTG_BD[[#This Row],[Fault Clearance time]]-WTG_BD[[#This Row],[Work Start TimeStamp]])*24</f>
        <v>0.33333333333333215</v>
      </c>
      <c r="T330" s="34">
        <f>(WTG_BD[[#This Row],[Fault Clearance time]]-WTG_BD[[#This Row],[Fault Start TimeStamp]])*24</f>
        <v>0.33333333333333215</v>
      </c>
      <c r="U330" t="s">
        <v>4323</v>
      </c>
      <c r="V330" s="234" t="s">
        <v>255</v>
      </c>
      <c r="W330" s="50">
        <f>IFERROR(IF(N330="ROW",0,(WTG_BD[[#This Row],[Breakdown Time]]*WTG_BD[[#This Row],[Plant Equivalent Weightage]])),"")</f>
        <v>1.4492753623188356E-2</v>
      </c>
      <c r="X330" s="50"/>
      <c r="Y330" s="205">
        <v>1</v>
      </c>
      <c r="Z330" s="205"/>
      <c r="AA330" s="4">
        <v>3.7999999999999999E-2</v>
      </c>
    </row>
    <row r="331" spans="1:29">
      <c r="A331" s="10">
        <f t="shared" si="6"/>
        <v>330</v>
      </c>
      <c r="B331" s="43">
        <f>YEAR(WTG_BD[[#This Row],[Date]])+IF(MONTH(WTG_BD[[#This Row],[Date]])&gt;=4,1,0)</f>
        <v>2026</v>
      </c>
      <c r="C331" s="10">
        <v>2025</v>
      </c>
      <c r="D331" s="10" t="s">
        <v>4478</v>
      </c>
      <c r="E331" s="309">
        <f>WTG_BD[[#This Row],[Date]]-DAY(WTG_BD[[#This Row],[Date]])+1</f>
        <v>45778</v>
      </c>
      <c r="F331" s="32">
        <v>45778</v>
      </c>
      <c r="G331" t="s">
        <v>95</v>
      </c>
      <c r="H331" t="str">
        <f>IFERROR(VLOOKUP(WTG_BD[[#This Row],[Affected WTG]],'Basic Data'!$A$3:$E$25,2,0),"")</f>
        <v>O2R1</v>
      </c>
      <c r="I331" t="str">
        <f>IFERROR(VLOOKUP(WTG_BD[[#This Row],[Affected WTG]],'Basic Data'!$A$3:$E$25,3,0),"")</f>
        <v>KSIPL</v>
      </c>
      <c r="J331" s="355">
        <f>IFERROR(VLOOKUP(WTG_BD[[#This Row],[Affected WTG]],'Basic Data'!$A$3:$E$25,5,0),"")</f>
        <v>4.3478260869565223E-2</v>
      </c>
      <c r="K331" s="10">
        <v>3273</v>
      </c>
      <c r="L331" t="str">
        <f>IFERROR(VLOOKUP(WTG_BD[[#This Row],[Error Code]],'Basic Data'!S:T,2,0),"Incorrect Error Code")</f>
        <v>YawUntwistCCW: Code__,_______°</v>
      </c>
      <c r="M331" t="s">
        <v>1963</v>
      </c>
      <c r="O331" s="168">
        <v>0.6020833333333333</v>
      </c>
      <c r="P331" s="168">
        <v>0.6020833333333333</v>
      </c>
      <c r="Q331" s="168">
        <v>0.6166666666666667</v>
      </c>
      <c r="R331" s="356">
        <f>(WTG_BD[[#This Row],[Work Start TimeStamp]]-WTG_BD[[#This Row],[Fault Start TimeStamp]])*24</f>
        <v>0</v>
      </c>
      <c r="S331" s="34">
        <f>(WTG_BD[[#This Row],[Fault Clearance time]]-WTG_BD[[#This Row],[Work Start TimeStamp]])*24</f>
        <v>0.35000000000000142</v>
      </c>
      <c r="T331" s="34">
        <f>(WTG_BD[[#This Row],[Fault Clearance time]]-WTG_BD[[#This Row],[Fault Start TimeStamp]])*24</f>
        <v>0.35000000000000142</v>
      </c>
      <c r="U331" t="s">
        <v>4323</v>
      </c>
      <c r="V331" s="234" t="s">
        <v>255</v>
      </c>
      <c r="W331" s="50">
        <f>IFERROR(IF(N331="ROW",0,(WTG_BD[[#This Row],[Breakdown Time]]*WTG_BD[[#This Row],[Plant Equivalent Weightage]])),"")</f>
        <v>1.5217391304347889E-2</v>
      </c>
      <c r="X331" s="50"/>
      <c r="Y331" s="205">
        <v>1</v>
      </c>
      <c r="Z331" s="205"/>
      <c r="AA331" s="4">
        <v>2.4E-2</v>
      </c>
    </row>
    <row r="332" spans="1:29">
      <c r="A332" s="10">
        <f t="shared" si="6"/>
        <v>331</v>
      </c>
      <c r="B332" s="43">
        <f>YEAR(WTG_BD[[#This Row],[Date]])+IF(MONTH(WTG_BD[[#This Row],[Date]])&gt;=4,1,0)</f>
        <v>2026</v>
      </c>
      <c r="C332" s="10">
        <v>2025</v>
      </c>
      <c r="D332" s="10" t="s">
        <v>4478</v>
      </c>
      <c r="E332" s="309">
        <f>WTG_BD[[#This Row],[Date]]-DAY(WTG_BD[[#This Row],[Date]])+1</f>
        <v>45778</v>
      </c>
      <c r="F332" s="32">
        <v>45778</v>
      </c>
      <c r="G332" t="s">
        <v>77</v>
      </c>
      <c r="H332" t="str">
        <f>IFERROR(VLOOKUP(WTG_BD[[#This Row],[Affected WTG]],'Basic Data'!$A$3:$E$25,2,0),"")</f>
        <v>O2R3</v>
      </c>
      <c r="I332" t="str">
        <f>IFERROR(VLOOKUP(WTG_BD[[#This Row],[Affected WTG]],'Basic Data'!$A$3:$E$25,3,0),"")</f>
        <v>JK</v>
      </c>
      <c r="J332" s="355">
        <f>IFERROR(VLOOKUP(WTG_BD[[#This Row],[Affected WTG]],'Basic Data'!$A$3:$E$25,5,0),"")</f>
        <v>4.3478260869565223E-2</v>
      </c>
      <c r="K332" s="10">
        <v>3273</v>
      </c>
      <c r="L332" t="str">
        <f>IFERROR(VLOOKUP(WTG_BD[[#This Row],[Error Code]],'Basic Data'!S:T,2,0),"Incorrect Error Code")</f>
        <v>YawUntwistCCW: Code__,_______°</v>
      </c>
      <c r="M332" t="s">
        <v>1963</v>
      </c>
      <c r="O332" s="168">
        <v>0.68680555555555556</v>
      </c>
      <c r="P332" s="168">
        <v>0.68680555555555556</v>
      </c>
      <c r="Q332" s="168">
        <v>0.70138888888888884</v>
      </c>
      <c r="R332" s="356">
        <f>(WTG_BD[[#This Row],[Work Start TimeStamp]]-WTG_BD[[#This Row],[Fault Start TimeStamp]])*24</f>
        <v>0</v>
      </c>
      <c r="S332" s="34">
        <f>(WTG_BD[[#This Row],[Fault Clearance time]]-WTG_BD[[#This Row],[Work Start TimeStamp]])*24</f>
        <v>0.34999999999999876</v>
      </c>
      <c r="T332" s="34">
        <f>(WTG_BD[[#This Row],[Fault Clearance time]]-WTG_BD[[#This Row],[Fault Start TimeStamp]])*24</f>
        <v>0.34999999999999876</v>
      </c>
      <c r="U332" t="s">
        <v>4323</v>
      </c>
      <c r="V332" s="234" t="s">
        <v>255</v>
      </c>
      <c r="W332" s="50">
        <f>IFERROR(IF(N332="ROW",0,(WTG_BD[[#This Row],[Breakdown Time]]*WTG_BD[[#This Row],[Plant Equivalent Weightage]])),"")</f>
        <v>1.5217391304347775E-2</v>
      </c>
      <c r="X332" s="50"/>
      <c r="Y332" s="205">
        <v>1</v>
      </c>
      <c r="Z332" s="205"/>
      <c r="AA332" s="4">
        <v>4.2999999999999997E-2</v>
      </c>
    </row>
    <row r="333" spans="1:29">
      <c r="A333" s="10">
        <f t="shared" si="6"/>
        <v>332</v>
      </c>
      <c r="B333" s="43">
        <f>YEAR(WTG_BD[[#This Row],[Date]])+IF(MONTH(WTG_BD[[#This Row],[Date]])&gt;=4,1,0)</f>
        <v>2026</v>
      </c>
      <c r="C333" s="10">
        <v>2025</v>
      </c>
      <c r="D333" s="10" t="s">
        <v>4478</v>
      </c>
      <c r="E333" s="309">
        <f>WTG_BD[[#This Row],[Date]]-DAY(WTG_BD[[#This Row],[Date]])+1</f>
        <v>45778</v>
      </c>
      <c r="F333" s="32">
        <v>45778</v>
      </c>
      <c r="G333" t="s">
        <v>79</v>
      </c>
      <c r="H333" t="str">
        <f>IFERROR(VLOOKUP(WTG_BD[[#This Row],[Affected WTG]],'Basic Data'!$A$3:$E$25,2,0),"")</f>
        <v>O2R3</v>
      </c>
      <c r="I333" t="str">
        <f>IFERROR(VLOOKUP(WTG_BD[[#This Row],[Affected WTG]],'Basic Data'!$A$3:$E$25,3,0),"")</f>
        <v>JK</v>
      </c>
      <c r="J333" s="355">
        <f>IFERROR(VLOOKUP(WTG_BD[[#This Row],[Affected WTG]],'Basic Data'!$A$3:$E$25,5,0),"")</f>
        <v>4.3478260869565223E-2</v>
      </c>
      <c r="K333" s="10">
        <v>79</v>
      </c>
      <c r="L333" t="str">
        <f>IFERROR(VLOOKUP(WTG_BD[[#This Row],[Error Code]],'Basic Data'!S:T,2,0),"Incorrect Error Code")</f>
        <v>Max. Yaw error: ___._°</v>
      </c>
      <c r="M333" t="s">
        <v>648</v>
      </c>
      <c r="O333" s="168">
        <v>0.19305555555555556</v>
      </c>
      <c r="P333" s="168">
        <v>0.19305555555555556</v>
      </c>
      <c r="Q333" s="168">
        <v>0.19444444444444445</v>
      </c>
      <c r="R333" s="356">
        <f>(WTG_BD[[#This Row],[Work Start TimeStamp]]-WTG_BD[[#This Row],[Fault Start TimeStamp]])*24</f>
        <v>0</v>
      </c>
      <c r="S333" s="34">
        <f>(WTG_BD[[#This Row],[Fault Clearance time]]-WTG_BD[[#This Row],[Work Start TimeStamp]])*24</f>
        <v>3.3333333333333215E-2</v>
      </c>
      <c r="T333" s="34">
        <f>(WTG_BD[[#This Row],[Fault Clearance time]]-WTG_BD[[#This Row],[Fault Start TimeStamp]])*24</f>
        <v>3.3333333333333215E-2</v>
      </c>
      <c r="U333" t="s">
        <v>262</v>
      </c>
      <c r="V333" s="234" t="s">
        <v>255</v>
      </c>
      <c r="W333" s="50">
        <f>IFERROR(IF(N333="ROW",0,(WTG_BD[[#This Row],[Breakdown Time]]*WTG_BD[[#This Row],[Plant Equivalent Weightage]])),"")</f>
        <v>1.4492753623188356E-3</v>
      </c>
      <c r="X333" s="50"/>
      <c r="Y333" s="205">
        <v>1</v>
      </c>
      <c r="Z333" s="205"/>
      <c r="AA333" s="4">
        <v>0.114</v>
      </c>
    </row>
    <row r="334" spans="1:29">
      <c r="A334" s="10">
        <f t="shared" si="6"/>
        <v>333</v>
      </c>
      <c r="B334" s="43">
        <f>YEAR(WTG_BD[[#This Row],[Date]])+IF(MONTH(WTG_BD[[#This Row],[Date]])&gt;=4,1,0)</f>
        <v>2026</v>
      </c>
      <c r="C334" s="10">
        <v>2025</v>
      </c>
      <c r="D334" s="10" t="s">
        <v>4478</v>
      </c>
      <c r="E334" s="309">
        <f>WTG_BD[[#This Row],[Date]]-DAY(WTG_BD[[#This Row],[Date]])+1</f>
        <v>45778</v>
      </c>
      <c r="F334" s="32">
        <v>45778</v>
      </c>
      <c r="G334" t="s">
        <v>79</v>
      </c>
      <c r="H334" t="str">
        <f>IFERROR(VLOOKUP(WTG_BD[[#This Row],[Affected WTG]],'Basic Data'!$A$3:$E$25,2,0),"")</f>
        <v>O2R3</v>
      </c>
      <c r="I334" t="str">
        <f>IFERROR(VLOOKUP(WTG_BD[[#This Row],[Affected WTG]],'Basic Data'!$A$3:$E$25,3,0),"")</f>
        <v>JK</v>
      </c>
      <c r="J334" s="355">
        <f>IFERROR(VLOOKUP(WTG_BD[[#This Row],[Affected WTG]],'Basic Data'!$A$3:$E$25,5,0),"")</f>
        <v>4.3478260869565223E-2</v>
      </c>
      <c r="K334" s="10">
        <v>704</v>
      </c>
      <c r="L334" t="str">
        <f>IFERROR(VLOOKUP(WTG_BD[[#This Row],[Error Code]],'Basic Data'!S:T,2,0),"Incorrect Error Code")</f>
        <v>Ch High res. load C_ Load:___%</v>
      </c>
      <c r="M334" t="s">
        <v>372</v>
      </c>
      <c r="N334" t="s">
        <v>113</v>
      </c>
      <c r="O334" s="168">
        <v>0.25</v>
      </c>
      <c r="P334" s="168">
        <v>0.25</v>
      </c>
      <c r="Q334" s="168">
        <v>0.28263888888888888</v>
      </c>
      <c r="R334" s="356">
        <f>(WTG_BD[[#This Row],[Work Start TimeStamp]]-WTG_BD[[#This Row],[Fault Start TimeStamp]])*24</f>
        <v>0</v>
      </c>
      <c r="S334" s="34">
        <f>(WTG_BD[[#This Row],[Fault Clearance time]]-WTG_BD[[#This Row],[Work Start TimeStamp]])*24</f>
        <v>0.78333333333333321</v>
      </c>
      <c r="T334" s="34">
        <f>(WTG_BD[[#This Row],[Fault Clearance time]]-WTG_BD[[#This Row],[Fault Start TimeStamp]])*24</f>
        <v>0.78333333333333321</v>
      </c>
      <c r="U334" t="s">
        <v>4268</v>
      </c>
      <c r="V334" s="234" t="s">
        <v>255</v>
      </c>
      <c r="W334" s="50">
        <f>IFERROR(IF(N334="ROW",0,(WTG_BD[[#This Row],[Breakdown Time]]*WTG_BD[[#This Row],[Plant Equivalent Weightage]])),"")</f>
        <v>3.4057971014492754E-2</v>
      </c>
      <c r="X334" s="50"/>
      <c r="Y334" s="205">
        <v>1</v>
      </c>
      <c r="Z334" s="205"/>
      <c r="AA334" s="4">
        <v>6.6000000000000003E-2</v>
      </c>
    </row>
    <row r="335" spans="1:29">
      <c r="A335" s="10">
        <f t="shared" si="6"/>
        <v>334</v>
      </c>
      <c r="B335" s="43">
        <f>YEAR(WTG_BD[[#This Row],[Date]])+IF(MONTH(WTG_BD[[#This Row],[Date]])&gt;=4,1,0)</f>
        <v>2026</v>
      </c>
      <c r="C335" s="10">
        <v>2025</v>
      </c>
      <c r="D335" s="10" t="s">
        <v>4478</v>
      </c>
      <c r="E335" s="309">
        <f>WTG_BD[[#This Row],[Date]]-DAY(WTG_BD[[#This Row],[Date]])+1</f>
        <v>45778</v>
      </c>
      <c r="F335" s="32">
        <v>45778</v>
      </c>
      <c r="G335" t="s">
        <v>97</v>
      </c>
      <c r="H335" t="str">
        <f>IFERROR(VLOOKUP(WTG_BD[[#This Row],[Affected WTG]],'Basic Data'!$A$3:$E$25,2,0),"")</f>
        <v>O2R3</v>
      </c>
      <c r="I335" t="str">
        <f>IFERROR(VLOOKUP(WTG_BD[[#This Row],[Affected WTG]],'Basic Data'!$A$3:$E$25,3,0),"")</f>
        <v>JK</v>
      </c>
      <c r="J335" s="355">
        <f>IFERROR(VLOOKUP(WTG_BD[[#This Row],[Affected WTG]],'Basic Data'!$A$3:$E$25,5,0),"")</f>
        <v>4.3478260869565223E-2</v>
      </c>
      <c r="K335" s="10">
        <v>3273</v>
      </c>
      <c r="L335" t="str">
        <f>IFERROR(VLOOKUP(WTG_BD[[#This Row],[Error Code]],'Basic Data'!S:T,2,0),"Incorrect Error Code")</f>
        <v>YawUntwistCCW: Code__,_______°</v>
      </c>
      <c r="M335" t="s">
        <v>1963</v>
      </c>
      <c r="O335" s="168">
        <v>0.5854166666666667</v>
      </c>
      <c r="P335" s="168">
        <v>0.5854166666666667</v>
      </c>
      <c r="Q335" s="168">
        <v>0.6020833333333333</v>
      </c>
      <c r="R335" s="356">
        <f>(WTG_BD[[#This Row],[Work Start TimeStamp]]-WTG_BD[[#This Row],[Fault Start TimeStamp]])*24</f>
        <v>0</v>
      </c>
      <c r="S335" s="34">
        <f>(WTG_BD[[#This Row],[Fault Clearance time]]-WTG_BD[[#This Row],[Work Start TimeStamp]])*24</f>
        <v>0.39999999999999858</v>
      </c>
      <c r="T335" s="34">
        <f>(WTG_BD[[#This Row],[Fault Clearance time]]-WTG_BD[[#This Row],[Fault Start TimeStamp]])*24</f>
        <v>0.39999999999999858</v>
      </c>
      <c r="U335" t="s">
        <v>4323</v>
      </c>
      <c r="V335" s="234" t="s">
        <v>255</v>
      </c>
      <c r="W335" s="50">
        <f>IFERROR(IF(N335="ROW",0,(WTG_BD[[#This Row],[Breakdown Time]]*WTG_BD[[#This Row],[Plant Equivalent Weightage]])),"")</f>
        <v>1.7391304347826028E-2</v>
      </c>
      <c r="X335" s="50"/>
      <c r="Y335" s="205">
        <v>1</v>
      </c>
      <c r="Z335" s="205"/>
      <c r="AA335" s="4">
        <v>1.7000000000000001E-2</v>
      </c>
    </row>
    <row r="336" spans="1:29">
      <c r="A336" s="10">
        <f t="shared" si="6"/>
        <v>335</v>
      </c>
      <c r="B336" s="43">
        <f>YEAR(WTG_BD[[#This Row],[Date]])+IF(MONTH(WTG_BD[[#This Row],[Date]])&gt;=4,1,0)</f>
        <v>2026</v>
      </c>
      <c r="C336" s="10">
        <v>2025</v>
      </c>
      <c r="D336" s="10" t="s">
        <v>4478</v>
      </c>
      <c r="E336" s="309">
        <f>WTG_BD[[#This Row],[Date]]-DAY(WTG_BD[[#This Row],[Date]])+1</f>
        <v>45778</v>
      </c>
      <c r="F336" s="32">
        <v>45778</v>
      </c>
      <c r="G336" t="s">
        <v>98</v>
      </c>
      <c r="H336" t="str">
        <f>IFERROR(VLOOKUP(WTG_BD[[#This Row],[Affected WTG]],'Basic Data'!$A$3:$E$25,2,0),"")</f>
        <v>O2R3</v>
      </c>
      <c r="I336" t="str">
        <f>IFERROR(VLOOKUP(WTG_BD[[#This Row],[Affected WTG]],'Basic Data'!$A$3:$E$25,3,0),"")</f>
        <v>JK</v>
      </c>
      <c r="J336" s="355">
        <f>IFERROR(VLOOKUP(WTG_BD[[#This Row],[Affected WTG]],'Basic Data'!$A$3:$E$25,5,0),"")</f>
        <v>4.3478260869565223E-2</v>
      </c>
      <c r="K336" s="10">
        <v>3273</v>
      </c>
      <c r="L336" t="str">
        <f>IFERROR(VLOOKUP(WTG_BD[[#This Row],[Error Code]],'Basic Data'!S:T,2,0),"Incorrect Error Code")</f>
        <v>YawUntwistCCW: Code__,_______°</v>
      </c>
      <c r="M336" t="s">
        <v>1963</v>
      </c>
      <c r="O336" s="168">
        <v>0.27638888888888891</v>
      </c>
      <c r="P336" s="168">
        <v>0.27638888888888891</v>
      </c>
      <c r="Q336" s="168">
        <v>0.2902777777777778</v>
      </c>
      <c r="R336" s="356">
        <f>(WTG_BD[[#This Row],[Work Start TimeStamp]]-WTG_BD[[#This Row],[Fault Start TimeStamp]])*24</f>
        <v>0</v>
      </c>
      <c r="S336" s="34">
        <f>(WTG_BD[[#This Row],[Fault Clearance time]]-WTG_BD[[#This Row],[Work Start TimeStamp]])*24</f>
        <v>0.33333333333333348</v>
      </c>
      <c r="T336" s="34">
        <f>(WTG_BD[[#This Row],[Fault Clearance time]]-WTG_BD[[#This Row],[Fault Start TimeStamp]])*24</f>
        <v>0.33333333333333348</v>
      </c>
      <c r="U336" t="s">
        <v>4323</v>
      </c>
      <c r="V336" s="234" t="s">
        <v>255</v>
      </c>
      <c r="W336" s="50">
        <f>IFERROR(IF(N336="ROW",0,(WTG_BD[[#This Row],[Breakdown Time]]*WTG_BD[[#This Row],[Plant Equivalent Weightage]])),"")</f>
        <v>1.4492753623188415E-2</v>
      </c>
      <c r="X336" s="50"/>
      <c r="Y336" s="205">
        <v>1</v>
      </c>
      <c r="Z336" s="205"/>
      <c r="AA336" s="4">
        <v>0.03</v>
      </c>
    </row>
    <row r="337" spans="1:27">
      <c r="A337" s="10">
        <f t="shared" si="6"/>
        <v>336</v>
      </c>
      <c r="B337" s="43">
        <f>YEAR(WTG_BD[[#This Row],[Date]])+IF(MONTH(WTG_BD[[#This Row],[Date]])&gt;=4,1,0)</f>
        <v>2026</v>
      </c>
      <c r="C337" s="10">
        <v>2025</v>
      </c>
      <c r="D337" s="10" t="s">
        <v>4478</v>
      </c>
      <c r="E337" s="309">
        <f>WTG_BD[[#This Row],[Date]]-DAY(WTG_BD[[#This Row],[Date]])+1</f>
        <v>45778</v>
      </c>
      <c r="F337" s="32">
        <v>45779</v>
      </c>
      <c r="G337" t="s">
        <v>85</v>
      </c>
      <c r="H337" t="str">
        <f>IFERROR(VLOOKUP(WTG_BD[[#This Row],[Affected WTG]],'Basic Data'!$A$3:$E$25,2,0),"")</f>
        <v>O2R1</v>
      </c>
      <c r="I337" t="str">
        <f>IFERROR(VLOOKUP(WTG_BD[[#This Row],[Affected WTG]],'Basic Data'!$A$3:$E$25,3,0),"")</f>
        <v>KSIPL</v>
      </c>
      <c r="J337" s="355">
        <f>IFERROR(VLOOKUP(WTG_BD[[#This Row],[Affected WTG]],'Basic Data'!$A$3:$E$25,5,0),"")</f>
        <v>4.3478260869565223E-2</v>
      </c>
      <c r="K337" s="10">
        <v>3273</v>
      </c>
      <c r="L337" t="str">
        <f>IFERROR(VLOOKUP(WTG_BD[[#This Row],[Error Code]],'Basic Data'!S:T,2,0),"Incorrect Error Code")</f>
        <v>YawUntwistCCW: Code__,_______°</v>
      </c>
      <c r="M337" t="s">
        <v>1963</v>
      </c>
      <c r="O337" s="168">
        <v>0.82430555555555551</v>
      </c>
      <c r="P337" s="168">
        <v>0.82430555555555551</v>
      </c>
      <c r="Q337" s="168">
        <v>0.83958333333333335</v>
      </c>
      <c r="R337" s="356">
        <f>(WTG_BD[[#This Row],[Work Start TimeStamp]]-WTG_BD[[#This Row],[Fault Start TimeStamp]])*24</f>
        <v>0</v>
      </c>
      <c r="S337" s="34">
        <f>(WTG_BD[[#This Row],[Fault Clearance time]]-WTG_BD[[#This Row],[Work Start TimeStamp]])*24</f>
        <v>0.36666666666666803</v>
      </c>
      <c r="T337" s="34">
        <f>(WTG_BD[[#This Row],[Fault Clearance time]]-WTG_BD[[#This Row],[Fault Start TimeStamp]])*24</f>
        <v>0.36666666666666803</v>
      </c>
      <c r="U337" t="s">
        <v>4323</v>
      </c>
      <c r="V337" s="234" t="s">
        <v>255</v>
      </c>
      <c r="W337" s="50">
        <f>IFERROR(IF(N337="ROW",0,(WTG_BD[[#This Row],[Breakdown Time]]*WTG_BD[[#This Row],[Plant Equivalent Weightage]])),"")</f>
        <v>1.5942028985507308E-2</v>
      </c>
      <c r="X337" s="50"/>
      <c r="Y337" s="205">
        <v>1</v>
      </c>
      <c r="Z337" s="205"/>
      <c r="AA337" s="4">
        <v>1E-3</v>
      </c>
    </row>
    <row r="338" spans="1:27">
      <c r="A338" s="10">
        <f t="shared" si="6"/>
        <v>337</v>
      </c>
      <c r="B338" s="43">
        <f>YEAR(WTG_BD[[#This Row],[Date]])+IF(MONTH(WTG_BD[[#This Row],[Date]])&gt;=4,1,0)</f>
        <v>2026</v>
      </c>
      <c r="C338" s="10">
        <v>2025</v>
      </c>
      <c r="D338" s="10" t="s">
        <v>4478</v>
      </c>
      <c r="E338" s="309">
        <f>WTG_BD[[#This Row],[Date]]-DAY(WTG_BD[[#This Row],[Date]])+1</f>
        <v>45778</v>
      </c>
      <c r="F338" s="32">
        <v>45779</v>
      </c>
      <c r="G338" t="s">
        <v>89</v>
      </c>
      <c r="H338" t="str">
        <f>IFERROR(VLOOKUP(WTG_BD[[#This Row],[Affected WTG]],'Basic Data'!$A$3:$E$25,2,0),"")</f>
        <v>O2R1</v>
      </c>
      <c r="I338" t="str">
        <f>IFERROR(VLOOKUP(WTG_BD[[#This Row],[Affected WTG]],'Basic Data'!$A$3:$E$25,3,0),"")</f>
        <v>KSIPL</v>
      </c>
      <c r="J338" s="355">
        <f>IFERROR(VLOOKUP(WTG_BD[[#This Row],[Affected WTG]],'Basic Data'!$A$3:$E$25,5,0),"")</f>
        <v>4.3478260869565223E-2</v>
      </c>
      <c r="K338" s="10">
        <v>309</v>
      </c>
      <c r="L338" t="str">
        <f>IFERROR(VLOOKUP(WTG_BD[[#This Row],[Error Code]],'Basic Data'!S:T,2,0),"Incorrect Error Code")</f>
        <v>Pause over RCS __0</v>
      </c>
      <c r="M338" t="s">
        <v>871</v>
      </c>
      <c r="N338" t="s">
        <v>257</v>
      </c>
      <c r="O338" s="168">
        <v>0.42986111111111114</v>
      </c>
      <c r="P338" s="168">
        <v>0.42986111111111114</v>
      </c>
      <c r="Q338" s="168">
        <v>0.68819444444444444</v>
      </c>
      <c r="R338" s="356">
        <f>(WTG_BD[[#This Row],[Work Start TimeStamp]]-WTG_BD[[#This Row],[Fault Start TimeStamp]])*24</f>
        <v>0</v>
      </c>
      <c r="S338" s="34">
        <f>(WTG_BD[[#This Row],[Fault Clearance time]]-WTG_BD[[#This Row],[Work Start TimeStamp]])*24</f>
        <v>6.1999999999999993</v>
      </c>
      <c r="T338" s="34">
        <f>(WTG_BD[[#This Row],[Fault Clearance time]]-WTG_BD[[#This Row],[Fault Start TimeStamp]])*24</f>
        <v>6.1999999999999993</v>
      </c>
      <c r="U338" t="s">
        <v>4494</v>
      </c>
      <c r="V338" s="234" t="s">
        <v>255</v>
      </c>
      <c r="W338" s="50">
        <f>IFERROR(IF(N338="ROW",0,(WTG_BD[[#This Row],[Breakdown Time]]*WTG_BD[[#This Row],[Plant Equivalent Weightage]])),"")</f>
        <v>0.26956521739130435</v>
      </c>
      <c r="X338" s="50"/>
      <c r="Y338" s="205">
        <v>1</v>
      </c>
      <c r="Z338" s="205"/>
      <c r="AA338" s="4">
        <v>0.17699999999999999</v>
      </c>
    </row>
    <row r="339" spans="1:27">
      <c r="A339" s="10">
        <f t="shared" si="6"/>
        <v>338</v>
      </c>
      <c r="B339" s="43">
        <f>YEAR(WTG_BD[[#This Row],[Date]])+IF(MONTH(WTG_BD[[#This Row],[Date]])&gt;=4,1,0)</f>
        <v>2026</v>
      </c>
      <c r="C339" s="10">
        <v>2025</v>
      </c>
      <c r="D339" s="10" t="s">
        <v>4478</v>
      </c>
      <c r="E339" s="309">
        <f>WTG_BD[[#This Row],[Date]]-DAY(WTG_BD[[#This Row],[Date]])+1</f>
        <v>45778</v>
      </c>
      <c r="F339" s="32">
        <v>45780</v>
      </c>
      <c r="G339" t="s">
        <v>78</v>
      </c>
      <c r="H339" t="str">
        <f>IFERROR(VLOOKUP(WTG_BD[[#This Row],[Affected WTG]],'Basic Data'!$A$3:$E$25,2,0),"")</f>
        <v>O2R1</v>
      </c>
      <c r="I339" t="str">
        <f>IFERROR(VLOOKUP(WTG_BD[[#This Row],[Affected WTG]],'Basic Data'!$A$3:$E$25,3,0),"")</f>
        <v>KSIPL</v>
      </c>
      <c r="J339" s="355">
        <f>IFERROR(VLOOKUP(WTG_BD[[#This Row],[Affected WTG]],'Basic Data'!$A$3:$E$25,5,0),"")</f>
        <v>4.3478260869565223E-2</v>
      </c>
      <c r="K339" s="10">
        <v>3273</v>
      </c>
      <c r="L339" t="str">
        <f>IFERROR(VLOOKUP(WTG_BD[[#This Row],[Error Code]],'Basic Data'!S:T,2,0),"Incorrect Error Code")</f>
        <v>YawUntwistCCW: Code__,_______°</v>
      </c>
      <c r="M339" t="s">
        <v>1963</v>
      </c>
      <c r="O339" s="168">
        <v>0.22222222222222221</v>
      </c>
      <c r="P339" s="168">
        <v>0.22222222222222221</v>
      </c>
      <c r="Q339" s="168">
        <v>0.24166666666666667</v>
      </c>
      <c r="R339" s="356">
        <f>(WTG_BD[[#This Row],[Work Start TimeStamp]]-WTG_BD[[#This Row],[Fault Start TimeStamp]])*24</f>
        <v>0</v>
      </c>
      <c r="S339" s="34">
        <f>(WTG_BD[[#This Row],[Fault Clearance time]]-WTG_BD[[#This Row],[Work Start TimeStamp]])*24</f>
        <v>0.46666666666666701</v>
      </c>
      <c r="T339" s="34">
        <f>(WTG_BD[[#This Row],[Fault Clearance time]]-WTG_BD[[#This Row],[Fault Start TimeStamp]])*24</f>
        <v>0.46666666666666701</v>
      </c>
      <c r="U339" t="s">
        <v>4323</v>
      </c>
      <c r="V339" s="234" t="s">
        <v>255</v>
      </c>
      <c r="W339" s="50">
        <f>IFERROR(IF(N339="ROW",0,(WTG_BD[[#This Row],[Breakdown Time]]*WTG_BD[[#This Row],[Plant Equivalent Weightage]])),"")</f>
        <v>2.0289855072463784E-2</v>
      </c>
      <c r="X339" s="50"/>
      <c r="Y339" s="205">
        <v>1</v>
      </c>
      <c r="Z339" s="205"/>
      <c r="AA339" s="4">
        <v>3.3000000000000002E-2</v>
      </c>
    </row>
    <row r="340" spans="1:27">
      <c r="A340" s="10">
        <f t="shared" si="6"/>
        <v>339</v>
      </c>
      <c r="B340" s="43">
        <f>YEAR(WTG_BD[[#This Row],[Date]])+IF(MONTH(WTG_BD[[#This Row],[Date]])&gt;=4,1,0)</f>
        <v>2026</v>
      </c>
      <c r="C340" s="10">
        <v>2025</v>
      </c>
      <c r="D340" s="10" t="s">
        <v>4478</v>
      </c>
      <c r="E340" s="309">
        <f>WTG_BD[[#This Row],[Date]]-DAY(WTG_BD[[#This Row],[Date]])+1</f>
        <v>45778</v>
      </c>
      <c r="F340" s="32">
        <v>45780</v>
      </c>
      <c r="G340" t="s">
        <v>83</v>
      </c>
      <c r="H340" t="str">
        <f>IFERROR(VLOOKUP(WTG_BD[[#This Row],[Affected WTG]],'Basic Data'!$A$3:$E$25,2,0),"")</f>
        <v>O2R3</v>
      </c>
      <c r="I340" t="str">
        <f>IFERROR(VLOOKUP(WTG_BD[[#This Row],[Affected WTG]],'Basic Data'!$A$3:$E$25,3,0),"")</f>
        <v>JK</v>
      </c>
      <c r="J340" s="355">
        <f>IFERROR(VLOOKUP(WTG_BD[[#This Row],[Affected WTG]],'Basic Data'!$A$3:$E$25,5,0),"")</f>
        <v>4.3478260869565223E-2</v>
      </c>
      <c r="K340" s="10">
        <v>3273</v>
      </c>
      <c r="L340" t="str">
        <f>IFERROR(VLOOKUP(WTG_BD[[#This Row],[Error Code]],'Basic Data'!S:T,2,0),"Incorrect Error Code")</f>
        <v>YawUntwistCCW: Code__,_______°</v>
      </c>
      <c r="M340" t="s">
        <v>1963</v>
      </c>
      <c r="O340" s="168">
        <v>7.9861111111111105E-2</v>
      </c>
      <c r="P340" s="168">
        <v>7.9861111111111105E-2</v>
      </c>
      <c r="Q340" s="168">
        <v>0.10069444444444445</v>
      </c>
      <c r="R340" s="356">
        <f>(WTG_BD[[#This Row],[Work Start TimeStamp]]-WTG_BD[[#This Row],[Fault Start TimeStamp]])*24</f>
        <v>0</v>
      </c>
      <c r="S340" s="34">
        <f>(WTG_BD[[#This Row],[Fault Clearance time]]-WTG_BD[[#This Row],[Work Start TimeStamp]])*24</f>
        <v>0.50000000000000022</v>
      </c>
      <c r="T340" s="34">
        <f>(WTG_BD[[#This Row],[Fault Clearance time]]-WTG_BD[[#This Row],[Fault Start TimeStamp]])*24</f>
        <v>0.50000000000000022</v>
      </c>
      <c r="U340" t="s">
        <v>4323</v>
      </c>
      <c r="V340" s="234" t="s">
        <v>255</v>
      </c>
      <c r="W340" s="50">
        <f>IFERROR(IF(N340="ROW",0,(WTG_BD[[#This Row],[Breakdown Time]]*WTG_BD[[#This Row],[Plant Equivalent Weightage]])),"")</f>
        <v>2.1739130434782622E-2</v>
      </c>
      <c r="X340" s="50"/>
      <c r="Y340" s="205">
        <v>1</v>
      </c>
      <c r="Z340" s="205"/>
      <c r="AA340" s="4">
        <v>0.34699999999999998</v>
      </c>
    </row>
    <row r="341" spans="1:27">
      <c r="A341" s="10">
        <f t="shared" si="6"/>
        <v>340</v>
      </c>
      <c r="B341" s="43">
        <f>YEAR(WTG_BD[[#This Row],[Date]])+IF(MONTH(WTG_BD[[#This Row],[Date]])&gt;=4,1,0)</f>
        <v>2026</v>
      </c>
      <c r="C341" s="10">
        <v>2025</v>
      </c>
      <c r="D341" s="10" t="s">
        <v>4478</v>
      </c>
      <c r="E341" s="309">
        <f>WTG_BD[[#This Row],[Date]]-DAY(WTG_BD[[#This Row],[Date]])+1</f>
        <v>45778</v>
      </c>
      <c r="F341" s="32">
        <v>45780</v>
      </c>
      <c r="G341" t="s">
        <v>86</v>
      </c>
      <c r="H341" t="str">
        <f>IFERROR(VLOOKUP(WTG_BD[[#This Row],[Affected WTG]],'Basic Data'!$A$3:$E$25,2,0),"")</f>
        <v>O2R1</v>
      </c>
      <c r="I341" t="str">
        <f>IFERROR(VLOOKUP(WTG_BD[[#This Row],[Affected WTG]],'Basic Data'!$A$3:$E$25,3,0),"")</f>
        <v>KSIPL</v>
      </c>
      <c r="J341" s="355">
        <f>IFERROR(VLOOKUP(WTG_BD[[#This Row],[Affected WTG]],'Basic Data'!$A$3:$E$25,5,0),"")</f>
        <v>4.3478260869565223E-2</v>
      </c>
      <c r="K341" s="10">
        <v>3273</v>
      </c>
      <c r="L341" t="str">
        <f>IFERROR(VLOOKUP(WTG_BD[[#This Row],[Error Code]],'Basic Data'!S:T,2,0),"Incorrect Error Code")</f>
        <v>YawUntwistCCW: Code__,_______°</v>
      </c>
      <c r="M341" t="s">
        <v>378</v>
      </c>
      <c r="O341" s="168">
        <v>0.34861111111111109</v>
      </c>
      <c r="P341" s="168">
        <v>0.34861111111111109</v>
      </c>
      <c r="Q341" s="168">
        <v>0.36249999999999999</v>
      </c>
      <c r="R341" s="356">
        <f>(WTG_BD[[#This Row],[Work Start TimeStamp]]-WTG_BD[[#This Row],[Fault Start TimeStamp]])*24</f>
        <v>0</v>
      </c>
      <c r="S341" s="34">
        <f>(WTG_BD[[#This Row],[Fault Clearance time]]-WTG_BD[[#This Row],[Work Start TimeStamp]])*24</f>
        <v>0.33333333333333348</v>
      </c>
      <c r="T341" s="34">
        <f>(WTG_BD[[#This Row],[Fault Clearance time]]-WTG_BD[[#This Row],[Fault Start TimeStamp]])*24</f>
        <v>0.33333333333333348</v>
      </c>
      <c r="U341" t="s">
        <v>4323</v>
      </c>
      <c r="V341" s="234" t="s">
        <v>255</v>
      </c>
      <c r="W341" s="50">
        <f>IFERROR(IF(N341="ROW",0,(WTG_BD[[#This Row],[Breakdown Time]]*WTG_BD[[#This Row],[Plant Equivalent Weightage]])),"")</f>
        <v>1.4492753623188415E-2</v>
      </c>
      <c r="X341" s="50"/>
      <c r="Y341" s="205">
        <v>1</v>
      </c>
      <c r="Z341" s="205"/>
      <c r="AA341" s="4">
        <v>3.3000000000000002E-2</v>
      </c>
    </row>
    <row r="342" spans="1:27">
      <c r="A342" s="10">
        <f t="shared" si="6"/>
        <v>341</v>
      </c>
      <c r="B342" s="43">
        <f>YEAR(WTG_BD[[#This Row],[Date]])+IF(MONTH(WTG_BD[[#This Row],[Date]])&gt;=4,1,0)</f>
        <v>2026</v>
      </c>
      <c r="C342" s="10">
        <v>2025</v>
      </c>
      <c r="D342" s="10" t="s">
        <v>4478</v>
      </c>
      <c r="E342" s="309">
        <f>WTG_BD[[#This Row],[Date]]-DAY(WTG_BD[[#This Row],[Date]])+1</f>
        <v>45778</v>
      </c>
      <c r="F342" s="32">
        <v>45780</v>
      </c>
      <c r="G342" t="s">
        <v>81</v>
      </c>
      <c r="H342" t="str">
        <f>IFERROR(VLOOKUP(WTG_BD[[#This Row],[Affected WTG]],'Basic Data'!$A$3:$E$25,2,0),"")</f>
        <v>O2R3</v>
      </c>
      <c r="I342" t="str">
        <f>IFERROR(VLOOKUP(WTG_BD[[#This Row],[Affected WTG]],'Basic Data'!$A$3:$E$25,3,0),"")</f>
        <v>JK</v>
      </c>
      <c r="J342" s="355">
        <f>IFERROR(VLOOKUP(WTG_BD[[#This Row],[Affected WTG]],'Basic Data'!$A$3:$E$25,5,0),"")</f>
        <v>4.3478260869565223E-2</v>
      </c>
      <c r="K342" s="10">
        <v>3272</v>
      </c>
      <c r="L342" t="str">
        <f>IFERROR(VLOOKUP(WTG_BD[[#This Row],[Error Code]],'Basic Data'!S:T,2,0),"Incorrect Error Code")</f>
        <v>YawUntwistCW: Code__,_______°</v>
      </c>
      <c r="M342" t="s">
        <v>378</v>
      </c>
      <c r="O342" s="168">
        <v>0.60972222222222228</v>
      </c>
      <c r="P342" s="168">
        <v>0.60972222222222228</v>
      </c>
      <c r="Q342" s="168">
        <v>0.63055555555555554</v>
      </c>
      <c r="R342" s="356">
        <f>(WTG_BD[[#This Row],[Work Start TimeStamp]]-WTG_BD[[#This Row],[Fault Start TimeStamp]])*24</f>
        <v>0</v>
      </c>
      <c r="S342" s="34">
        <f>(WTG_BD[[#This Row],[Fault Clearance time]]-WTG_BD[[#This Row],[Work Start TimeStamp]])*24</f>
        <v>0.49999999999999822</v>
      </c>
      <c r="T342" s="34">
        <f>(WTG_BD[[#This Row],[Fault Clearance time]]-WTG_BD[[#This Row],[Fault Start TimeStamp]])*24</f>
        <v>0.49999999999999822</v>
      </c>
      <c r="U342" t="s">
        <v>4323</v>
      </c>
      <c r="V342" s="234" t="s">
        <v>255</v>
      </c>
      <c r="W342" s="50">
        <f>IFERROR(IF(N342="ROW",0,(WTG_BD[[#This Row],[Breakdown Time]]*WTG_BD[[#This Row],[Plant Equivalent Weightage]])),"")</f>
        <v>2.1739130434782535E-2</v>
      </c>
      <c r="X342" s="50"/>
      <c r="Y342" s="205">
        <v>1</v>
      </c>
      <c r="Z342" s="205"/>
      <c r="AA342" s="4">
        <v>2.8000000000000001E-2</v>
      </c>
    </row>
    <row r="343" spans="1:27">
      <c r="A343" s="10">
        <f t="shared" si="6"/>
        <v>342</v>
      </c>
      <c r="B343" s="43">
        <f>YEAR(WTG_BD[[#This Row],[Date]])+IF(MONTH(WTG_BD[[#This Row],[Date]])&gt;=4,1,0)</f>
        <v>2026</v>
      </c>
      <c r="C343" s="10">
        <v>2025</v>
      </c>
      <c r="D343" s="10" t="s">
        <v>4478</v>
      </c>
      <c r="E343" s="309">
        <f>WTG_BD[[#This Row],[Date]]-DAY(WTG_BD[[#This Row],[Date]])+1</f>
        <v>45778</v>
      </c>
      <c r="F343" s="32">
        <v>45780</v>
      </c>
      <c r="G343" t="s">
        <v>97</v>
      </c>
      <c r="H343" t="str">
        <f>IFERROR(VLOOKUP(WTG_BD[[#This Row],[Affected WTG]],'Basic Data'!$A$3:$E$25,2,0),"")</f>
        <v>O2R3</v>
      </c>
      <c r="I343" t="str">
        <f>IFERROR(VLOOKUP(WTG_BD[[#This Row],[Affected WTG]],'Basic Data'!$A$3:$E$25,3,0),"")</f>
        <v>JK</v>
      </c>
      <c r="J343" s="355">
        <f>IFERROR(VLOOKUP(WTG_BD[[#This Row],[Affected WTG]],'Basic Data'!$A$3:$E$25,5,0),"")</f>
        <v>4.3478260869565223E-2</v>
      </c>
      <c r="K343" s="10">
        <v>3272</v>
      </c>
      <c r="L343" t="str">
        <f>IFERROR(VLOOKUP(WTG_BD[[#This Row],[Error Code]],'Basic Data'!S:T,2,0),"Incorrect Error Code")</f>
        <v>YawUntwistCW: Code__,_______°</v>
      </c>
      <c r="M343" t="s">
        <v>378</v>
      </c>
      <c r="O343" s="168">
        <v>0.22152777777777777</v>
      </c>
      <c r="P343" s="168">
        <v>0.22152777777777777</v>
      </c>
      <c r="Q343" s="168">
        <v>0.23819444444444443</v>
      </c>
      <c r="R343" s="356">
        <f>(WTG_BD[[#This Row],[Work Start TimeStamp]]-WTG_BD[[#This Row],[Fault Start TimeStamp]])*24</f>
        <v>0</v>
      </c>
      <c r="S343" s="34">
        <f>(WTG_BD[[#This Row],[Fault Clearance time]]-WTG_BD[[#This Row],[Work Start TimeStamp]])*24</f>
        <v>0.39999999999999991</v>
      </c>
      <c r="T343" s="34">
        <f>(WTG_BD[[#This Row],[Fault Clearance time]]-WTG_BD[[#This Row],[Fault Start TimeStamp]])*24</f>
        <v>0.39999999999999991</v>
      </c>
      <c r="U343" t="s">
        <v>4323</v>
      </c>
      <c r="V343" s="234" t="s">
        <v>255</v>
      </c>
      <c r="W343" s="50">
        <f>IFERROR(IF(N343="ROW",0,(WTG_BD[[#This Row],[Breakdown Time]]*WTG_BD[[#This Row],[Plant Equivalent Weightage]])),"")</f>
        <v>1.7391304347826084E-2</v>
      </c>
      <c r="X343" s="50"/>
      <c r="Y343" s="205">
        <v>1</v>
      </c>
      <c r="Z343" s="205"/>
      <c r="AA343" s="4">
        <v>0.02</v>
      </c>
    </row>
    <row r="344" spans="1:27">
      <c r="A344" s="10">
        <f t="shared" si="6"/>
        <v>343</v>
      </c>
      <c r="B344" s="43">
        <f>YEAR(WTG_BD[[#This Row],[Date]])+IF(MONTH(WTG_BD[[#This Row],[Date]])&gt;=4,1,0)</f>
        <v>2026</v>
      </c>
      <c r="C344" s="10">
        <v>2025</v>
      </c>
      <c r="D344" s="10" t="s">
        <v>4478</v>
      </c>
      <c r="E344" s="309">
        <f>WTG_BD[[#This Row],[Date]]-DAY(WTG_BD[[#This Row],[Date]])+1</f>
        <v>45778</v>
      </c>
      <c r="F344" s="32">
        <v>45781</v>
      </c>
      <c r="G344" t="s">
        <v>76</v>
      </c>
      <c r="H344" t="str">
        <f>IFERROR(VLOOKUP(WTG_BD[[#This Row],[Affected WTG]],'Basic Data'!$A$3:$E$25,2,0),"")</f>
        <v>O2R1</v>
      </c>
      <c r="I344" t="str">
        <f>IFERROR(VLOOKUP(WTG_BD[[#This Row],[Affected WTG]],'Basic Data'!$A$3:$E$25,3,0),"")</f>
        <v>KSIPL</v>
      </c>
      <c r="J344" s="355">
        <f>IFERROR(VLOOKUP(WTG_BD[[#This Row],[Affected WTG]],'Basic Data'!$A$3:$E$25,5,0),"")</f>
        <v>4.3478260869565223E-2</v>
      </c>
      <c r="K344" s="10">
        <v>315</v>
      </c>
      <c r="L344" t="str">
        <f>IFERROR(VLOOKUP(WTG_BD[[#This Row],[Error Code]],'Basic Data'!S:T,2,0),"Incorrect Error Code")</f>
        <v>ExEx low voltage L_: ___V</v>
      </c>
      <c r="M344" t="s">
        <v>141</v>
      </c>
      <c r="N344" t="s">
        <v>113</v>
      </c>
      <c r="O344" s="168">
        <v>0.59652777777777777</v>
      </c>
      <c r="P344" s="168">
        <v>0.59652777777777777</v>
      </c>
      <c r="Q344" s="168">
        <v>0.64930555555555558</v>
      </c>
      <c r="R344" s="356">
        <f>(WTG_BD[[#This Row],[Work Start TimeStamp]]-WTG_BD[[#This Row],[Fault Start TimeStamp]])*24</f>
        <v>0</v>
      </c>
      <c r="S344" s="34">
        <f>(WTG_BD[[#This Row],[Fault Clearance time]]-WTG_BD[[#This Row],[Work Start TimeStamp]])*24</f>
        <v>1.2666666666666675</v>
      </c>
      <c r="T344" s="34">
        <f>(WTG_BD[[#This Row],[Fault Clearance time]]-WTG_BD[[#This Row],[Fault Start TimeStamp]])*24</f>
        <v>1.2666666666666675</v>
      </c>
      <c r="U344" t="s">
        <v>4328</v>
      </c>
      <c r="V344" s="234" t="s">
        <v>255</v>
      </c>
      <c r="W344" s="50">
        <f>IFERROR(IF(N344="ROW",0,(WTG_BD[[#This Row],[Breakdown Time]]*WTG_BD[[#This Row],[Plant Equivalent Weightage]])),"")</f>
        <v>5.5072463768115983E-2</v>
      </c>
      <c r="X344" s="50"/>
      <c r="Y344" s="205">
        <v>1</v>
      </c>
      <c r="Z344" s="205"/>
      <c r="AA344" s="4">
        <v>0.50900000000000001</v>
      </c>
    </row>
    <row r="345" spans="1:27">
      <c r="A345" s="10">
        <f t="shared" si="6"/>
        <v>344</v>
      </c>
      <c r="B345" s="43">
        <f>YEAR(WTG_BD[[#This Row],[Date]])+IF(MONTH(WTG_BD[[#This Row],[Date]])&gt;=4,1,0)</f>
        <v>2026</v>
      </c>
      <c r="C345" s="10">
        <v>2025</v>
      </c>
      <c r="D345" s="10" t="s">
        <v>4478</v>
      </c>
      <c r="E345" s="309">
        <f>WTG_BD[[#This Row],[Date]]-DAY(WTG_BD[[#This Row],[Date]])+1</f>
        <v>45778</v>
      </c>
      <c r="F345" s="32">
        <v>45781</v>
      </c>
      <c r="G345" t="s">
        <v>90</v>
      </c>
      <c r="H345" t="str">
        <f>IFERROR(VLOOKUP(WTG_BD[[#This Row],[Affected WTG]],'Basic Data'!$A$3:$E$25,2,0),"")</f>
        <v>O2R1</v>
      </c>
      <c r="I345" t="str">
        <f>IFERROR(VLOOKUP(WTG_BD[[#This Row],[Affected WTG]],'Basic Data'!$A$3:$E$25,3,0),"")</f>
        <v>KSIPL</v>
      </c>
      <c r="J345" s="355">
        <f>IFERROR(VLOOKUP(WTG_BD[[#This Row],[Affected WTG]],'Basic Data'!$A$3:$E$25,5,0),"")</f>
        <v>4.3478260869565223E-2</v>
      </c>
      <c r="K345" s="10">
        <v>3805</v>
      </c>
      <c r="L345" t="str">
        <f>IFERROR(VLOOKUP(WTG_BD[[#This Row],[Error Code]],'Basic Data'!S:T,2,0),"Incorrect Error Code")</f>
        <v>HubSafetySystem DC Supply Err.</v>
      </c>
      <c r="M345" t="s">
        <v>2377</v>
      </c>
      <c r="N345" t="s">
        <v>107</v>
      </c>
      <c r="O345" s="168">
        <v>0.4152777777777778</v>
      </c>
      <c r="P345" s="168">
        <v>0.4152777777777778</v>
      </c>
      <c r="Q345" s="168">
        <v>0.99930555555555556</v>
      </c>
      <c r="R345" s="356">
        <f>(WTG_BD[[#This Row],[Work Start TimeStamp]]-WTG_BD[[#This Row],[Fault Start TimeStamp]])*24</f>
        <v>0</v>
      </c>
      <c r="S345" s="34">
        <f>(WTG_BD[[#This Row],[Fault Clearance time]]-WTG_BD[[#This Row],[Work Start TimeStamp]])*24</f>
        <v>14.016666666666667</v>
      </c>
      <c r="T345" s="34">
        <f>(WTG_BD[[#This Row],[Fault Clearance time]]-WTG_BD[[#This Row],[Fault Start TimeStamp]])*24</f>
        <v>14.016666666666667</v>
      </c>
      <c r="U345" t="s">
        <v>4563</v>
      </c>
      <c r="V345" s="234" t="s">
        <v>255</v>
      </c>
      <c r="W345" s="50">
        <f>IFERROR(IF(N345="ROW",0,(WTG_BD[[#This Row],[Breakdown Time]]*WTG_BD[[#This Row],[Plant Equivalent Weightage]])),"")</f>
        <v>0</v>
      </c>
      <c r="X345" s="50"/>
      <c r="Y345" s="205">
        <v>1</v>
      </c>
      <c r="Z345" s="205"/>
      <c r="AA345" s="4">
        <v>4.4400000000000004</v>
      </c>
    </row>
    <row r="346" spans="1:27">
      <c r="A346" s="10">
        <f t="shared" ref="A346:A409" si="7">A345+1</f>
        <v>345</v>
      </c>
      <c r="B346" s="43">
        <f>YEAR(WTG_BD[[#This Row],[Date]])+IF(MONTH(WTG_BD[[#This Row],[Date]])&gt;=4,1,0)</f>
        <v>2026</v>
      </c>
      <c r="C346" s="10">
        <v>2025</v>
      </c>
      <c r="D346" s="10" t="s">
        <v>4478</v>
      </c>
      <c r="E346" s="309">
        <f>WTG_BD[[#This Row],[Date]]-DAY(WTG_BD[[#This Row],[Date]])+1</f>
        <v>45778</v>
      </c>
      <c r="F346" s="32">
        <v>45781</v>
      </c>
      <c r="G346" t="s">
        <v>80</v>
      </c>
      <c r="H346" t="str">
        <f>IFERROR(VLOOKUP(WTG_BD[[#This Row],[Affected WTG]],'Basic Data'!$A$3:$E$25,2,0),"")</f>
        <v>O2R3</v>
      </c>
      <c r="I346" t="str">
        <f>IFERROR(VLOOKUP(WTG_BD[[#This Row],[Affected WTG]],'Basic Data'!$A$3:$E$25,3,0),"")</f>
        <v>JK</v>
      </c>
      <c r="J346" s="355">
        <f>IFERROR(VLOOKUP(WTG_BD[[#This Row],[Affected WTG]],'Basic Data'!$A$3:$E$25,5,0),"")</f>
        <v>4.3478260869565223E-2</v>
      </c>
      <c r="K346" s="10">
        <v>3273</v>
      </c>
      <c r="L346" t="str">
        <f>IFERROR(VLOOKUP(WTG_BD[[#This Row],[Error Code]],'Basic Data'!S:T,2,0),"Incorrect Error Code")</f>
        <v>YawUntwistCCW: Code__,_______°</v>
      </c>
      <c r="M346" t="s">
        <v>1963</v>
      </c>
      <c r="O346" s="168">
        <v>0.67361111111111116</v>
      </c>
      <c r="P346" s="168">
        <v>0.67361111111111116</v>
      </c>
      <c r="Q346" s="168">
        <v>0.68888888888888888</v>
      </c>
      <c r="R346" s="356">
        <f>(WTG_BD[[#This Row],[Work Start TimeStamp]]-WTG_BD[[#This Row],[Fault Start TimeStamp]])*24</f>
        <v>0</v>
      </c>
      <c r="S346" s="34">
        <f>(WTG_BD[[#This Row],[Fault Clearance time]]-WTG_BD[[#This Row],[Work Start TimeStamp]])*24</f>
        <v>0.36666666666666536</v>
      </c>
      <c r="T346" s="34">
        <f>(WTG_BD[[#This Row],[Fault Clearance time]]-WTG_BD[[#This Row],[Fault Start TimeStamp]])*24</f>
        <v>0.36666666666666536</v>
      </c>
      <c r="U346" t="s">
        <v>4323</v>
      </c>
      <c r="V346" s="234" t="s">
        <v>255</v>
      </c>
      <c r="W346" s="50">
        <f>IFERROR(IF(N346="ROW",0,(WTG_BD[[#This Row],[Breakdown Time]]*WTG_BD[[#This Row],[Plant Equivalent Weightage]])),"")</f>
        <v>1.594202898550719E-2</v>
      </c>
      <c r="X346" s="50"/>
      <c r="Y346" s="205">
        <v>1</v>
      </c>
      <c r="Z346" s="205"/>
      <c r="AA346" s="4">
        <v>0.112</v>
      </c>
    </row>
    <row r="347" spans="1:27">
      <c r="A347" s="10">
        <f t="shared" si="6"/>
        <v>346</v>
      </c>
      <c r="B347" s="43">
        <f>YEAR(WTG_BD[[#This Row],[Date]])+IF(MONTH(WTG_BD[[#This Row],[Date]])&gt;=4,1,0)</f>
        <v>2026</v>
      </c>
      <c r="C347" s="10">
        <v>2025</v>
      </c>
      <c r="D347" s="10" t="s">
        <v>4478</v>
      </c>
      <c r="E347" s="309">
        <f>WTG_BD[[#This Row],[Date]]-DAY(WTG_BD[[#This Row],[Date]])+1</f>
        <v>45778</v>
      </c>
      <c r="F347" s="32">
        <v>45782</v>
      </c>
      <c r="G347" t="s">
        <v>90</v>
      </c>
      <c r="H347" t="str">
        <f>IFERROR(VLOOKUP(WTG_BD[[#This Row],[Affected WTG]],'Basic Data'!$A$3:$E$25,2,0),"")</f>
        <v>O2R1</v>
      </c>
      <c r="I347" t="str">
        <f>IFERROR(VLOOKUP(WTG_BD[[#This Row],[Affected WTG]],'Basic Data'!$A$3:$E$25,3,0),"")</f>
        <v>KSIPL</v>
      </c>
      <c r="J347" s="355">
        <f>IFERROR(VLOOKUP(WTG_BD[[#This Row],[Affected WTG]],'Basic Data'!$A$3:$E$25,5,0),"")</f>
        <v>4.3478260869565223E-2</v>
      </c>
      <c r="K347" s="10">
        <v>3805</v>
      </c>
      <c r="L347" t="str">
        <f>IFERROR(VLOOKUP(WTG_BD[[#This Row],[Error Code]],'Basic Data'!S:T,2,0),"Incorrect Error Code")</f>
        <v>HubSafetySystem DC Supply Err.</v>
      </c>
      <c r="M347" t="s">
        <v>2377</v>
      </c>
      <c r="N347" t="s">
        <v>107</v>
      </c>
      <c r="O347" s="168">
        <v>0</v>
      </c>
      <c r="P347" s="168">
        <v>0</v>
      </c>
      <c r="Q347" s="168">
        <v>0.66666666666666663</v>
      </c>
      <c r="R347" s="356">
        <f>(WTG_BD[[#This Row],[Work Start TimeStamp]]-WTG_BD[[#This Row],[Fault Start TimeStamp]])*24</f>
        <v>0</v>
      </c>
      <c r="S347" s="34">
        <f>(WTG_BD[[#This Row],[Fault Clearance time]]-WTG_BD[[#This Row],[Work Start TimeStamp]])*24</f>
        <v>16</v>
      </c>
      <c r="T347" s="34">
        <f>(WTG_BD[[#This Row],[Fault Clearance time]]-WTG_BD[[#This Row],[Fault Start TimeStamp]])*24</f>
        <v>16</v>
      </c>
      <c r="U347" t="s">
        <v>4563</v>
      </c>
      <c r="V347" s="234" t="s">
        <v>255</v>
      </c>
      <c r="W347" s="50">
        <f>IFERROR(IF(N347="ROW",0,(WTG_BD[[#This Row],[Breakdown Time]]*WTG_BD[[#This Row],[Plant Equivalent Weightage]])),"")</f>
        <v>0</v>
      </c>
      <c r="X347" s="50"/>
      <c r="Y347" s="205">
        <v>1</v>
      </c>
      <c r="Z347" s="205"/>
      <c r="AA347" s="4">
        <v>0</v>
      </c>
    </row>
    <row r="348" spans="1:27">
      <c r="A348" s="10">
        <f t="shared" si="7"/>
        <v>347</v>
      </c>
      <c r="B348" s="43">
        <f>YEAR(WTG_BD[[#This Row],[Date]])+IF(MONTH(WTG_BD[[#This Row],[Date]])&gt;=4,1,0)</f>
        <v>2026</v>
      </c>
      <c r="C348" s="10">
        <v>2025</v>
      </c>
      <c r="D348" s="10" t="s">
        <v>4478</v>
      </c>
      <c r="E348" s="309">
        <f>WTG_BD[[#This Row],[Date]]-DAY(WTG_BD[[#This Row],[Date]])+1</f>
        <v>45778</v>
      </c>
      <c r="F348" s="32">
        <v>45782</v>
      </c>
      <c r="G348" t="s">
        <v>90</v>
      </c>
      <c r="H348" t="str">
        <f>IFERROR(VLOOKUP(WTG_BD[[#This Row],[Affected WTG]],'Basic Data'!$A$3:$E$25,2,0),"")</f>
        <v>O2R1</v>
      </c>
      <c r="I348" t="str">
        <f>IFERROR(VLOOKUP(WTG_BD[[#This Row],[Affected WTG]],'Basic Data'!$A$3:$E$25,3,0),"")</f>
        <v>KSIPL</v>
      </c>
      <c r="J348" s="355">
        <f>IFERROR(VLOOKUP(WTG_BD[[#This Row],[Affected WTG]],'Basic Data'!$A$3:$E$25,5,0),"")</f>
        <v>4.3478260869565223E-2</v>
      </c>
      <c r="K348" s="10">
        <v>3805</v>
      </c>
      <c r="L348" t="str">
        <f>IFERROR(VLOOKUP(WTG_BD[[#This Row],[Error Code]],'Basic Data'!S:T,2,0),"Incorrect Error Code")</f>
        <v>HubSafetySystem DC Supply Err.</v>
      </c>
      <c r="M348" t="s">
        <v>2377</v>
      </c>
      <c r="N348" t="s">
        <v>113</v>
      </c>
      <c r="O348" s="168">
        <v>0.66666666666666663</v>
      </c>
      <c r="P348" s="168">
        <v>0.66666666666666663</v>
      </c>
      <c r="Q348" s="168">
        <v>0.88472222222222219</v>
      </c>
      <c r="R348" s="356">
        <f>(WTG_BD[[#This Row],[Work Start TimeStamp]]-WTG_BD[[#This Row],[Fault Start TimeStamp]])*24</f>
        <v>0</v>
      </c>
      <c r="S348" s="34">
        <f>(WTG_BD[[#This Row],[Fault Clearance time]]-WTG_BD[[#This Row],[Work Start TimeStamp]])*24</f>
        <v>5.2333333333333334</v>
      </c>
      <c r="T348" s="34">
        <f>(WTG_BD[[#This Row],[Fault Clearance time]]-WTG_BD[[#This Row],[Fault Start TimeStamp]])*24</f>
        <v>5.2333333333333334</v>
      </c>
      <c r="U348" t="s">
        <v>4565</v>
      </c>
      <c r="V348" s="234" t="s">
        <v>255</v>
      </c>
      <c r="W348" s="50">
        <f>IFERROR(IF(N348="ROW",0,(WTG_BD[[#This Row],[Breakdown Time]]*WTG_BD[[#This Row],[Plant Equivalent Weightage]])),"")</f>
        <v>0.227536231884058</v>
      </c>
      <c r="X348" s="50"/>
      <c r="Y348" s="205">
        <v>1</v>
      </c>
      <c r="Z348" s="205"/>
      <c r="AA348" s="4">
        <v>1416</v>
      </c>
    </row>
    <row r="349" spans="1:27">
      <c r="A349" s="10">
        <f t="shared" si="7"/>
        <v>348</v>
      </c>
      <c r="B349" s="43">
        <f>YEAR(WTG_BD[[#This Row],[Date]])+IF(MONTH(WTG_BD[[#This Row],[Date]])&gt;=4,1,0)</f>
        <v>2026</v>
      </c>
      <c r="C349" s="10">
        <v>2025</v>
      </c>
      <c r="D349" s="10" t="s">
        <v>4478</v>
      </c>
      <c r="E349" s="309">
        <f>WTG_BD[[#This Row],[Date]]-DAY(WTG_BD[[#This Row],[Date]])+1</f>
        <v>45778</v>
      </c>
      <c r="F349" s="32">
        <v>45782</v>
      </c>
      <c r="G349" t="s">
        <v>95</v>
      </c>
      <c r="H349" t="str">
        <f>IFERROR(VLOOKUP(WTG_BD[[#This Row],[Affected WTG]],'Basic Data'!$A$3:$E$25,2,0),"")</f>
        <v>O2R1</v>
      </c>
      <c r="I349" t="str">
        <f>IFERROR(VLOOKUP(WTG_BD[[#This Row],[Affected WTG]],'Basic Data'!$A$3:$E$25,3,0),"")</f>
        <v>KSIPL</v>
      </c>
      <c r="J349" s="355">
        <f>IFERROR(VLOOKUP(WTG_BD[[#This Row],[Affected WTG]],'Basic Data'!$A$3:$E$25,5,0),"")</f>
        <v>4.3478260869565223E-2</v>
      </c>
      <c r="K349" s="10">
        <v>309</v>
      </c>
      <c r="L349" t="str">
        <f>IFERROR(VLOOKUP(WTG_BD[[#This Row],[Error Code]],'Basic Data'!S:T,2,0),"Incorrect Error Code")</f>
        <v>Pause over RCS __0</v>
      </c>
      <c r="M349" t="s">
        <v>871</v>
      </c>
      <c r="N349" t="s">
        <v>257</v>
      </c>
      <c r="O349" s="168">
        <v>0.43680555555555556</v>
      </c>
      <c r="P349" s="168">
        <v>0.43680555555555556</v>
      </c>
      <c r="Q349" s="168">
        <v>0.6381944444444444</v>
      </c>
      <c r="R349" s="356">
        <f>(WTG_BD[[#This Row],[Work Start TimeStamp]]-WTG_BD[[#This Row],[Fault Start TimeStamp]])*24</f>
        <v>0</v>
      </c>
      <c r="S349" s="34">
        <f>(WTG_BD[[#This Row],[Fault Clearance time]]-WTG_BD[[#This Row],[Work Start TimeStamp]])*24</f>
        <v>4.8333333333333321</v>
      </c>
      <c r="T349" s="34">
        <f>(WTG_BD[[#This Row],[Fault Clearance time]]-WTG_BD[[#This Row],[Fault Start TimeStamp]])*24</f>
        <v>4.8333333333333321</v>
      </c>
      <c r="U349" t="s">
        <v>4494</v>
      </c>
      <c r="V349" s="234" t="s">
        <v>255</v>
      </c>
      <c r="W349" s="50">
        <f>IFERROR(IF(N349="ROW",0,(WTG_BD[[#This Row],[Breakdown Time]]*WTG_BD[[#This Row],[Plant Equivalent Weightage]])),"")</f>
        <v>0.21014492753623187</v>
      </c>
      <c r="X349" s="50"/>
      <c r="Y349" s="205">
        <v>1</v>
      </c>
      <c r="Z349" s="205"/>
      <c r="AA349" s="4">
        <v>202</v>
      </c>
    </row>
    <row r="350" spans="1:27">
      <c r="A350" s="10">
        <f t="shared" si="7"/>
        <v>349</v>
      </c>
      <c r="B350" s="43">
        <f>YEAR(WTG_BD[[#This Row],[Date]])+IF(MONTH(WTG_BD[[#This Row],[Date]])&gt;=4,1,0)</f>
        <v>2026</v>
      </c>
      <c r="C350" s="10">
        <v>2025</v>
      </c>
      <c r="D350" s="10" t="s">
        <v>4478</v>
      </c>
      <c r="E350" s="309">
        <f>WTG_BD[[#This Row],[Date]]-DAY(WTG_BD[[#This Row],[Date]])+1</f>
        <v>45778</v>
      </c>
      <c r="F350" s="32">
        <v>45783</v>
      </c>
      <c r="G350" t="s">
        <v>83</v>
      </c>
      <c r="H350" t="str">
        <f>IFERROR(VLOOKUP(WTG_BD[[#This Row],[Affected WTG]],'Basic Data'!$A$3:$E$25,2,0),"")</f>
        <v>O2R3</v>
      </c>
      <c r="I350" t="str">
        <f>IFERROR(VLOOKUP(WTG_BD[[#This Row],[Affected WTG]],'Basic Data'!$A$3:$E$25,3,0),"")</f>
        <v>JK</v>
      </c>
      <c r="J350" s="355">
        <f>IFERROR(VLOOKUP(WTG_BD[[#This Row],[Affected WTG]],'Basic Data'!$A$3:$E$25,5,0),"")</f>
        <v>4.3478260869565223E-2</v>
      </c>
      <c r="K350" s="10">
        <v>3272</v>
      </c>
      <c r="L350" t="str">
        <f>IFERROR(VLOOKUP(WTG_BD[[#This Row],[Error Code]],'Basic Data'!S:T,2,0),"Incorrect Error Code")</f>
        <v>YawUntwistCW: Code__,_______°</v>
      </c>
      <c r="M350" t="s">
        <v>378</v>
      </c>
      <c r="O350" s="270">
        <v>0.85833333333333328</v>
      </c>
      <c r="P350" s="270">
        <v>0.85833333333333328</v>
      </c>
      <c r="Q350" s="270">
        <v>0.875</v>
      </c>
      <c r="R350" s="356">
        <f>(WTG_BD[[#This Row],[Work Start TimeStamp]]-WTG_BD[[#This Row],[Fault Start TimeStamp]])*24</f>
        <v>0</v>
      </c>
      <c r="S350" s="34">
        <f>(WTG_BD[[#This Row],[Fault Clearance time]]-WTG_BD[[#This Row],[Work Start TimeStamp]])*24</f>
        <v>0.40000000000000124</v>
      </c>
      <c r="T350" s="34">
        <f>(WTG_BD[[#This Row],[Fault Clearance time]]-WTG_BD[[#This Row],[Fault Start TimeStamp]])*24</f>
        <v>0.40000000000000124</v>
      </c>
      <c r="U350" t="s">
        <v>4323</v>
      </c>
      <c r="V350" s="234" t="s">
        <v>255</v>
      </c>
      <c r="W350" s="50">
        <f>IFERROR(IF(N350="ROW",0,(WTG_BD[[#This Row],[Breakdown Time]]*WTG_BD[[#This Row],[Plant Equivalent Weightage]])),"")</f>
        <v>1.7391304347826143E-2</v>
      </c>
      <c r="X350" s="50"/>
      <c r="Y350" s="205">
        <v>1</v>
      </c>
      <c r="Z350" s="205"/>
      <c r="AA350" s="4">
        <v>25</v>
      </c>
    </row>
    <row r="351" spans="1:27">
      <c r="A351" s="10">
        <f t="shared" si="7"/>
        <v>350</v>
      </c>
      <c r="B351" s="43">
        <f>YEAR(WTG_BD[[#This Row],[Date]])+IF(MONTH(WTG_BD[[#This Row],[Date]])&gt;=4,1,0)</f>
        <v>2026</v>
      </c>
      <c r="C351" s="10">
        <v>2025</v>
      </c>
      <c r="D351" s="10" t="s">
        <v>4478</v>
      </c>
      <c r="E351" s="309">
        <f>WTG_BD[[#This Row],[Date]]-DAY(WTG_BD[[#This Row],[Date]])+1</f>
        <v>45778</v>
      </c>
      <c r="F351" s="32">
        <v>45783</v>
      </c>
      <c r="G351" t="s">
        <v>82</v>
      </c>
      <c r="H351" t="str">
        <f>IFERROR(VLOOKUP(WTG_BD[[#This Row],[Affected WTG]],'Basic Data'!$A$3:$E$25,2,0),"")</f>
        <v>O2R3</v>
      </c>
      <c r="I351" t="str">
        <f>IFERROR(VLOOKUP(WTG_BD[[#This Row],[Affected WTG]],'Basic Data'!$A$3:$E$25,3,0),"")</f>
        <v>JK</v>
      </c>
      <c r="J351" s="355">
        <f>IFERROR(VLOOKUP(WTG_BD[[#This Row],[Affected WTG]],'Basic Data'!$A$3:$E$25,5,0),"")</f>
        <v>4.3478260869565223E-2</v>
      </c>
      <c r="K351" s="10">
        <v>3273</v>
      </c>
      <c r="L351" t="str">
        <f>IFERROR(VLOOKUP(WTG_BD[[#This Row],[Error Code]],'Basic Data'!S:T,2,0),"Incorrect Error Code")</f>
        <v>YawUntwistCCW: Code__,_______°</v>
      </c>
      <c r="M351" t="s">
        <v>1963</v>
      </c>
      <c r="O351" s="270">
        <v>0.56180555555555556</v>
      </c>
      <c r="P351" s="270">
        <v>0.56180555555555556</v>
      </c>
      <c r="Q351" s="270">
        <v>0.5756944444444444</v>
      </c>
      <c r="R351" s="356">
        <f>(WTG_BD[[#This Row],[Work Start TimeStamp]]-WTG_BD[[#This Row],[Fault Start TimeStamp]])*24</f>
        <v>0</v>
      </c>
      <c r="S351" s="34">
        <f>(WTG_BD[[#This Row],[Fault Clearance time]]-WTG_BD[[#This Row],[Work Start TimeStamp]])*24</f>
        <v>0.33333333333333215</v>
      </c>
      <c r="T351" s="34">
        <f>(WTG_BD[[#This Row],[Fault Clearance time]]-WTG_BD[[#This Row],[Fault Start TimeStamp]])*24</f>
        <v>0.33333333333333215</v>
      </c>
      <c r="U351" t="s">
        <v>4323</v>
      </c>
      <c r="V351" s="234" t="s">
        <v>255</v>
      </c>
      <c r="W351" s="50">
        <f>IFERROR(IF(N351="ROW",0,(WTG_BD[[#This Row],[Breakdown Time]]*WTG_BD[[#This Row],[Plant Equivalent Weightage]])),"")</f>
        <v>1.4492753623188356E-2</v>
      </c>
      <c r="X351" s="50"/>
      <c r="Y351" s="205">
        <v>1</v>
      </c>
      <c r="Z351" s="205"/>
      <c r="AA351" s="4">
        <v>24</v>
      </c>
    </row>
    <row r="352" spans="1:27">
      <c r="A352" s="10">
        <f t="shared" si="7"/>
        <v>351</v>
      </c>
      <c r="B352" s="43">
        <f>YEAR(WTG_BD[[#This Row],[Date]])+IF(MONTH(WTG_BD[[#This Row],[Date]])&gt;=4,1,0)</f>
        <v>2026</v>
      </c>
      <c r="C352" s="10">
        <v>2025</v>
      </c>
      <c r="D352" s="10" t="s">
        <v>4478</v>
      </c>
      <c r="E352" s="309">
        <f>WTG_BD[[#This Row],[Date]]-DAY(WTG_BD[[#This Row],[Date]])+1</f>
        <v>45778</v>
      </c>
      <c r="F352" s="32">
        <v>45783</v>
      </c>
      <c r="G352" t="s">
        <v>93</v>
      </c>
      <c r="H352" t="str">
        <f>IFERROR(VLOOKUP(WTG_BD[[#This Row],[Affected WTG]],'Basic Data'!$A$3:$E$25,2,0),"")</f>
        <v>O2R4</v>
      </c>
      <c r="I352" t="str">
        <f>IFERROR(VLOOKUP(WTG_BD[[#This Row],[Affected WTG]],'Basic Data'!$A$3:$E$25,3,0),"")</f>
        <v>SGDCIPL</v>
      </c>
      <c r="J352" s="355">
        <f>IFERROR(VLOOKUP(WTG_BD[[#This Row],[Affected WTG]],'Basic Data'!$A$3:$E$25,5,0),"")</f>
        <v>4.3478260869565223E-2</v>
      </c>
      <c r="K352" s="10">
        <v>309</v>
      </c>
      <c r="L352" t="str">
        <f>IFERROR(VLOOKUP(WTG_BD[[#This Row],[Error Code]],'Basic Data'!S:T,2,0),"Incorrect Error Code")</f>
        <v>Pause over RCS __0</v>
      </c>
      <c r="M352" t="s">
        <v>871</v>
      </c>
      <c r="N352" t="s">
        <v>257</v>
      </c>
      <c r="O352" s="270">
        <v>0.41041666666666665</v>
      </c>
      <c r="P352" s="270">
        <v>0.41041666666666665</v>
      </c>
      <c r="Q352" s="270">
        <v>0.7416666666666667</v>
      </c>
      <c r="R352" s="356">
        <f>(WTG_BD[[#This Row],[Work Start TimeStamp]]-WTG_BD[[#This Row],[Fault Start TimeStamp]])*24</f>
        <v>0</v>
      </c>
      <c r="S352" s="34">
        <f>(WTG_BD[[#This Row],[Fault Clearance time]]-WTG_BD[[#This Row],[Work Start TimeStamp]])*24</f>
        <v>7.9500000000000011</v>
      </c>
      <c r="T352" s="34">
        <f>(WTG_BD[[#This Row],[Fault Clearance time]]-WTG_BD[[#This Row],[Fault Start TimeStamp]])*24</f>
        <v>7.9500000000000011</v>
      </c>
      <c r="U352" t="s">
        <v>4493</v>
      </c>
      <c r="V352" s="234" t="s">
        <v>255</v>
      </c>
      <c r="W352" s="50">
        <f>IFERROR(IF(N352="ROW",0,(WTG_BD[[#This Row],[Breakdown Time]]*WTG_BD[[#This Row],[Plant Equivalent Weightage]])),"")</f>
        <v>0.34565217391304359</v>
      </c>
      <c r="X352" s="50"/>
      <c r="Y352" s="205">
        <v>1</v>
      </c>
      <c r="Z352" s="205"/>
      <c r="AA352" s="4">
        <v>931</v>
      </c>
    </row>
    <row r="353" spans="1:27">
      <c r="A353" s="10">
        <f t="shared" si="7"/>
        <v>352</v>
      </c>
      <c r="B353" s="43">
        <f>YEAR(WTG_BD[[#This Row],[Date]])+IF(MONTH(WTG_BD[[#This Row],[Date]])&gt;=4,1,0)</f>
        <v>2026</v>
      </c>
      <c r="C353" s="10">
        <v>2025</v>
      </c>
      <c r="D353" s="10" t="s">
        <v>4478</v>
      </c>
      <c r="E353" s="309">
        <f>WTG_BD[[#This Row],[Date]]-DAY(WTG_BD[[#This Row],[Date]])+1</f>
        <v>45778</v>
      </c>
      <c r="F353" s="32">
        <v>45784</v>
      </c>
      <c r="G353" t="s">
        <v>84</v>
      </c>
      <c r="H353" t="str">
        <f>IFERROR(VLOOKUP(WTG_BD[[#This Row],[Affected WTG]],'Basic Data'!$A$3:$E$25,2,0),"")</f>
        <v>O2R3</v>
      </c>
      <c r="I353" t="str">
        <f>IFERROR(VLOOKUP(WTG_BD[[#This Row],[Affected WTG]],'Basic Data'!$A$3:$E$25,3,0),"")</f>
        <v>JK</v>
      </c>
      <c r="J353" s="355">
        <f>IFERROR(VLOOKUP(WTG_BD[[#This Row],[Affected WTG]],'Basic Data'!$A$3:$E$25,5,0),"")</f>
        <v>4.3478260869565223E-2</v>
      </c>
      <c r="K353" s="10">
        <v>3273</v>
      </c>
      <c r="L353" t="str">
        <f>IFERROR(VLOOKUP(WTG_BD[[#This Row],[Error Code]],'Basic Data'!S:T,2,0),"Incorrect Error Code")</f>
        <v>YawUntwistCCW: Code__,_______°</v>
      </c>
      <c r="M353" t="s">
        <v>1963</v>
      </c>
      <c r="O353" s="168">
        <v>0.56527777777777777</v>
      </c>
      <c r="P353" s="168">
        <v>0.56527777777777777</v>
      </c>
      <c r="Q353" s="168">
        <v>0.57847222222222228</v>
      </c>
      <c r="R353" s="356">
        <f>(WTG_BD[[#This Row],[Work Start TimeStamp]]-WTG_BD[[#This Row],[Fault Start TimeStamp]])*24</f>
        <v>0</v>
      </c>
      <c r="S353" s="34">
        <f>(WTG_BD[[#This Row],[Fault Clearance time]]-WTG_BD[[#This Row],[Work Start TimeStamp]])*24</f>
        <v>0.31666666666666821</v>
      </c>
      <c r="T353" s="34">
        <f>(WTG_BD[[#This Row],[Fault Clearance time]]-WTG_BD[[#This Row],[Fault Start TimeStamp]])*24</f>
        <v>0.31666666666666821</v>
      </c>
      <c r="U353" t="s">
        <v>4323</v>
      </c>
      <c r="V353" s="234" t="s">
        <v>255</v>
      </c>
      <c r="W353" s="50">
        <f>IFERROR(IF(N353="ROW",0,(WTG_BD[[#This Row],[Breakdown Time]]*WTG_BD[[#This Row],[Plant Equivalent Weightage]])),"")</f>
        <v>1.3768115942029055E-2</v>
      </c>
      <c r="X353" s="50"/>
      <c r="Y353" s="205">
        <v>1</v>
      </c>
      <c r="Z353" s="205"/>
      <c r="AA353" s="4">
        <v>171</v>
      </c>
    </row>
    <row r="354" spans="1:27">
      <c r="A354" s="10">
        <f t="shared" si="7"/>
        <v>353</v>
      </c>
      <c r="B354" s="43">
        <f>YEAR(WTG_BD[[#This Row],[Date]])+IF(MONTH(WTG_BD[[#This Row],[Date]])&gt;=4,1,0)</f>
        <v>2026</v>
      </c>
      <c r="C354" s="10">
        <v>2025</v>
      </c>
      <c r="D354" s="10" t="s">
        <v>4478</v>
      </c>
      <c r="E354" s="309">
        <f>WTG_BD[[#This Row],[Date]]-DAY(WTG_BD[[#This Row],[Date]])+1</f>
        <v>45778</v>
      </c>
      <c r="F354" s="32">
        <v>45784</v>
      </c>
      <c r="G354" t="s">
        <v>85</v>
      </c>
      <c r="H354" t="str">
        <f>IFERROR(VLOOKUP(WTG_BD[[#This Row],[Affected WTG]],'Basic Data'!$A$3:$E$25,2,0),"")</f>
        <v>O2R1</v>
      </c>
      <c r="I354" t="str">
        <f>IFERROR(VLOOKUP(WTG_BD[[#This Row],[Affected WTG]],'Basic Data'!$A$3:$E$25,3,0),"")</f>
        <v>KSIPL</v>
      </c>
      <c r="J354" s="355">
        <f>IFERROR(VLOOKUP(WTG_BD[[#This Row],[Affected WTG]],'Basic Data'!$A$3:$E$25,5,0),"")</f>
        <v>4.3478260869565223E-2</v>
      </c>
      <c r="K354" s="10">
        <v>309</v>
      </c>
      <c r="L354" t="str">
        <f>IFERROR(VLOOKUP(WTG_BD[[#This Row],[Error Code]],'Basic Data'!S:T,2,0),"Incorrect Error Code")</f>
        <v>Pause over RCS __0</v>
      </c>
      <c r="M354" t="s">
        <v>871</v>
      </c>
      <c r="N354" t="s">
        <v>257</v>
      </c>
      <c r="O354" s="168">
        <v>0.40486111111111112</v>
      </c>
      <c r="P354" s="168">
        <v>0.40486111111111112</v>
      </c>
      <c r="Q354" s="168">
        <v>0.65138888888888891</v>
      </c>
      <c r="R354" s="356">
        <f>(WTG_BD[[#This Row],[Work Start TimeStamp]]-WTG_BD[[#This Row],[Fault Start TimeStamp]])*24</f>
        <v>0</v>
      </c>
      <c r="S354" s="34">
        <f>(WTG_BD[[#This Row],[Fault Clearance time]]-WTG_BD[[#This Row],[Work Start TimeStamp]])*24</f>
        <v>5.916666666666667</v>
      </c>
      <c r="T354" s="34">
        <f>(WTG_BD[[#This Row],[Fault Clearance time]]-WTG_BD[[#This Row],[Fault Start TimeStamp]])*24</f>
        <v>5.916666666666667</v>
      </c>
      <c r="U354" t="s">
        <v>4493</v>
      </c>
      <c r="V354" s="234" t="s">
        <v>255</v>
      </c>
      <c r="W354" s="50">
        <f>IFERROR(IF(N354="ROW",0,(WTG_BD[[#This Row],[Breakdown Time]]*WTG_BD[[#This Row],[Plant Equivalent Weightage]])),"")</f>
        <v>0.25724637681159424</v>
      </c>
      <c r="X354" s="50"/>
      <c r="Y354" s="205">
        <v>1</v>
      </c>
      <c r="Z354" s="205"/>
      <c r="AA354" s="4">
        <v>3203</v>
      </c>
    </row>
    <row r="355" spans="1:27">
      <c r="A355" s="10">
        <f t="shared" si="7"/>
        <v>354</v>
      </c>
      <c r="B355" s="43">
        <f>YEAR(WTG_BD[[#This Row],[Date]])+IF(MONTH(WTG_BD[[#This Row],[Date]])&gt;=4,1,0)</f>
        <v>2026</v>
      </c>
      <c r="C355" s="10">
        <v>2025</v>
      </c>
      <c r="D355" s="10" t="s">
        <v>4478</v>
      </c>
      <c r="E355" s="309">
        <f>WTG_BD[[#This Row],[Date]]-DAY(WTG_BD[[#This Row],[Date]])+1</f>
        <v>45778</v>
      </c>
      <c r="F355" s="32">
        <v>45784</v>
      </c>
      <c r="G355" t="s">
        <v>86</v>
      </c>
      <c r="H355" t="str">
        <f>IFERROR(VLOOKUP(WTG_BD[[#This Row],[Affected WTG]],'Basic Data'!$A$3:$E$25,2,0),"")</f>
        <v>O2R1</v>
      </c>
      <c r="I355" t="str">
        <f>IFERROR(VLOOKUP(WTG_BD[[#This Row],[Affected WTG]],'Basic Data'!$A$3:$E$25,3,0),"")</f>
        <v>KSIPL</v>
      </c>
      <c r="J355" s="355">
        <f>IFERROR(VLOOKUP(WTG_BD[[#This Row],[Affected WTG]],'Basic Data'!$A$3:$E$25,5,0),"")</f>
        <v>4.3478260869565223E-2</v>
      </c>
      <c r="K355" s="10">
        <v>3273</v>
      </c>
      <c r="L355" t="str">
        <f>IFERROR(VLOOKUP(WTG_BD[[#This Row],[Error Code]],'Basic Data'!S:T,2,0),"Incorrect Error Code")</f>
        <v>YawUntwistCCW: Code__,_______°</v>
      </c>
      <c r="M355" t="s">
        <v>1963</v>
      </c>
      <c r="O355" s="168">
        <v>0.66597222222222219</v>
      </c>
      <c r="P355" s="168">
        <v>0.66597222222222219</v>
      </c>
      <c r="Q355" s="168">
        <v>0.68263888888888891</v>
      </c>
      <c r="R355" s="356">
        <f>(WTG_BD[[#This Row],[Work Start TimeStamp]]-WTG_BD[[#This Row],[Fault Start TimeStamp]])*24</f>
        <v>0</v>
      </c>
      <c r="S355" s="34">
        <f>(WTG_BD[[#This Row],[Fault Clearance time]]-WTG_BD[[#This Row],[Work Start TimeStamp]])*24</f>
        <v>0.40000000000000124</v>
      </c>
      <c r="T355" s="34">
        <f>(WTG_BD[[#This Row],[Fault Clearance time]]-WTG_BD[[#This Row],[Fault Start TimeStamp]])*24</f>
        <v>0.40000000000000124</v>
      </c>
      <c r="U355" t="s">
        <v>4323</v>
      </c>
      <c r="V355" s="234" t="s">
        <v>255</v>
      </c>
      <c r="W355" s="50">
        <f>IFERROR(IF(N355="ROW",0,(WTG_BD[[#This Row],[Breakdown Time]]*WTG_BD[[#This Row],[Plant Equivalent Weightage]])),"")</f>
        <v>1.7391304347826143E-2</v>
      </c>
      <c r="X355" s="50"/>
      <c r="Y355" s="205">
        <v>1</v>
      </c>
      <c r="Z355" s="205"/>
      <c r="AA355" s="4">
        <v>217</v>
      </c>
    </row>
    <row r="356" spans="1:27">
      <c r="A356" s="10">
        <f t="shared" si="7"/>
        <v>355</v>
      </c>
      <c r="B356" s="43">
        <f>YEAR(WTG_BD[[#This Row],[Date]])+IF(MONTH(WTG_BD[[#This Row],[Date]])&gt;=4,1,0)</f>
        <v>2026</v>
      </c>
      <c r="C356" s="10">
        <v>2025</v>
      </c>
      <c r="D356" s="10" t="s">
        <v>4478</v>
      </c>
      <c r="E356" s="309">
        <f>WTG_BD[[#This Row],[Date]]-DAY(WTG_BD[[#This Row],[Date]])+1</f>
        <v>45778</v>
      </c>
      <c r="F356" s="32">
        <v>45784</v>
      </c>
      <c r="G356" t="s">
        <v>96</v>
      </c>
      <c r="H356" t="str">
        <f>IFERROR(VLOOKUP(WTG_BD[[#This Row],[Affected WTG]],'Basic Data'!$A$3:$E$25,2,0),"")</f>
        <v>O2R3</v>
      </c>
      <c r="I356" t="str">
        <f>IFERROR(VLOOKUP(WTG_BD[[#This Row],[Affected WTG]],'Basic Data'!$A$3:$E$25,3,0),"")</f>
        <v>JK</v>
      </c>
      <c r="J356" s="355">
        <f>IFERROR(VLOOKUP(WTG_BD[[#This Row],[Affected WTG]],'Basic Data'!$A$3:$E$25,5,0),"")</f>
        <v>4.3478260869565223E-2</v>
      </c>
      <c r="K356" s="10">
        <v>3273</v>
      </c>
      <c r="L356" t="str">
        <f>IFERROR(VLOOKUP(WTG_BD[[#This Row],[Error Code]],'Basic Data'!S:T,2,0),"Incorrect Error Code")</f>
        <v>YawUntwistCCW: Code__,_______°</v>
      </c>
      <c r="M356" t="s">
        <v>1963</v>
      </c>
      <c r="O356" s="168">
        <v>0.50555555555555554</v>
      </c>
      <c r="P356" s="168">
        <v>0.50555555555555554</v>
      </c>
      <c r="Q356" s="168">
        <v>0.52222222222222225</v>
      </c>
      <c r="R356" s="356">
        <f>(WTG_BD[[#This Row],[Work Start TimeStamp]]-WTG_BD[[#This Row],[Fault Start TimeStamp]])*24</f>
        <v>0</v>
      </c>
      <c r="S356" s="34">
        <f>(WTG_BD[[#This Row],[Fault Clearance time]]-WTG_BD[[#This Row],[Work Start TimeStamp]])*24</f>
        <v>0.40000000000000124</v>
      </c>
      <c r="T356" s="34">
        <f>(WTG_BD[[#This Row],[Fault Clearance time]]-WTG_BD[[#This Row],[Fault Start TimeStamp]])*24</f>
        <v>0.40000000000000124</v>
      </c>
      <c r="U356" t="s">
        <v>4323</v>
      </c>
      <c r="V356" s="234" t="s">
        <v>255</v>
      </c>
      <c r="W356" s="50">
        <f>IFERROR(IF(N356="ROW",0,(WTG_BD[[#This Row],[Breakdown Time]]*WTG_BD[[#This Row],[Plant Equivalent Weightage]])),"")</f>
        <v>1.7391304347826143E-2</v>
      </c>
      <c r="X356" s="50"/>
      <c r="Y356" s="205">
        <v>1</v>
      </c>
      <c r="Z356" s="205"/>
      <c r="AA356" s="4">
        <v>217</v>
      </c>
    </row>
    <row r="357" spans="1:27">
      <c r="A357" s="10">
        <f t="shared" si="7"/>
        <v>356</v>
      </c>
      <c r="B357" s="43">
        <f>YEAR(WTG_BD[[#This Row],[Date]])+IF(MONTH(WTG_BD[[#This Row],[Date]])&gt;=4,1,0)</f>
        <v>2026</v>
      </c>
      <c r="C357" s="10">
        <v>2025</v>
      </c>
      <c r="D357" s="10" t="s">
        <v>4478</v>
      </c>
      <c r="E357" s="309">
        <f>WTG_BD[[#This Row],[Date]]-DAY(WTG_BD[[#This Row],[Date]])+1</f>
        <v>45778</v>
      </c>
      <c r="F357" s="32">
        <v>45785</v>
      </c>
      <c r="G357" t="s">
        <v>85</v>
      </c>
      <c r="H357" t="str">
        <f>IFERROR(VLOOKUP(WTG_BD[[#This Row],[Affected WTG]],'Basic Data'!$A$3:$E$25,2,0),"")</f>
        <v>O2R1</v>
      </c>
      <c r="I357" t="str">
        <f>IFERROR(VLOOKUP(WTG_BD[[#This Row],[Affected WTG]],'Basic Data'!$A$3:$E$25,3,0),"")</f>
        <v>KSIPL</v>
      </c>
      <c r="J357" s="355">
        <f>IFERROR(VLOOKUP(WTG_BD[[#This Row],[Affected WTG]],'Basic Data'!$A$3:$E$25,5,0),"")</f>
        <v>4.3478260869565223E-2</v>
      </c>
      <c r="K357" s="10">
        <v>309</v>
      </c>
      <c r="L357" t="str">
        <f>IFERROR(VLOOKUP(WTG_BD[[#This Row],[Error Code]],'Basic Data'!S:T,2,0),"Incorrect Error Code")</f>
        <v>Pause over RCS __0</v>
      </c>
      <c r="M357" t="s">
        <v>871</v>
      </c>
      <c r="N357" t="s">
        <v>257</v>
      </c>
      <c r="O357" s="270">
        <v>0.43263888888888891</v>
      </c>
      <c r="P357" s="270">
        <v>0.43263888888888891</v>
      </c>
      <c r="Q357" s="270">
        <v>0.72499999999999998</v>
      </c>
      <c r="R357" s="356">
        <f>(WTG_BD[[#This Row],[Work Start TimeStamp]]-WTG_BD[[#This Row],[Fault Start TimeStamp]])*24</f>
        <v>0</v>
      </c>
      <c r="S357" s="34">
        <f>(WTG_BD[[#This Row],[Fault Clearance time]]-WTG_BD[[#This Row],[Work Start TimeStamp]])*24</f>
        <v>7.0166666666666657</v>
      </c>
      <c r="T357" s="34">
        <f>(WTG_BD[[#This Row],[Fault Clearance time]]-WTG_BD[[#This Row],[Fault Start TimeStamp]])*24</f>
        <v>7.0166666666666657</v>
      </c>
      <c r="U357" t="s">
        <v>4494</v>
      </c>
      <c r="V357" s="234" t="s">
        <v>255</v>
      </c>
      <c r="W357" s="50">
        <f>IFERROR(IF(N357="ROW",0,(WTG_BD[[#This Row],[Breakdown Time]]*WTG_BD[[#This Row],[Plant Equivalent Weightage]])),"")</f>
        <v>0.30507246376811592</v>
      </c>
      <c r="X357" s="50"/>
      <c r="Y357" s="205">
        <v>1</v>
      </c>
      <c r="Z357" s="205"/>
      <c r="AA357" s="4">
        <v>869</v>
      </c>
    </row>
    <row r="358" spans="1:27">
      <c r="A358" s="10">
        <f t="shared" si="7"/>
        <v>357</v>
      </c>
      <c r="B358" s="43">
        <f>YEAR(WTG_BD[[#This Row],[Date]])+IF(MONTH(WTG_BD[[#This Row],[Date]])&gt;=4,1,0)</f>
        <v>2026</v>
      </c>
      <c r="C358" s="10">
        <v>2025</v>
      </c>
      <c r="D358" s="10" t="s">
        <v>4478</v>
      </c>
      <c r="E358" s="309">
        <f>WTG_BD[[#This Row],[Date]]-DAY(WTG_BD[[#This Row],[Date]])+1</f>
        <v>45778</v>
      </c>
      <c r="F358" s="32">
        <v>45786</v>
      </c>
      <c r="G358" t="s">
        <v>90</v>
      </c>
      <c r="H358" t="str">
        <f>IFERROR(VLOOKUP(WTG_BD[[#This Row],[Affected WTG]],'Basic Data'!$A$3:$E$25,2,0),"")</f>
        <v>O2R1</v>
      </c>
      <c r="I358" t="str">
        <f>IFERROR(VLOOKUP(WTG_BD[[#This Row],[Affected WTG]],'Basic Data'!$A$3:$E$25,3,0),"")</f>
        <v>KSIPL</v>
      </c>
      <c r="J358" s="355">
        <f>IFERROR(VLOOKUP(WTG_BD[[#This Row],[Affected WTG]],'Basic Data'!$A$3:$E$25,5,0),"")</f>
        <v>4.3478260869565223E-2</v>
      </c>
      <c r="K358" s="10">
        <v>309</v>
      </c>
      <c r="L358" t="str">
        <f>IFERROR(VLOOKUP(WTG_BD[[#This Row],[Error Code]],'Basic Data'!S:T,2,0),"Incorrect Error Code")</f>
        <v>Pause over RCS __0</v>
      </c>
      <c r="M358" t="s">
        <v>871</v>
      </c>
      <c r="N358" t="s">
        <v>257</v>
      </c>
      <c r="O358" s="168">
        <v>0.53194444444444444</v>
      </c>
      <c r="P358" s="168">
        <v>0.53194444444444444</v>
      </c>
      <c r="Q358" s="168">
        <v>0.75277777777777777</v>
      </c>
      <c r="R358" s="356">
        <f>(WTG_BD[[#This Row],[Work Start TimeStamp]]-WTG_BD[[#This Row],[Fault Start TimeStamp]])*24</f>
        <v>0</v>
      </c>
      <c r="S358" s="34">
        <f>(WTG_BD[[#This Row],[Fault Clearance time]]-WTG_BD[[#This Row],[Work Start TimeStamp]])*24</f>
        <v>5.3</v>
      </c>
      <c r="T358" s="34">
        <f>(WTG_BD[[#This Row],[Fault Clearance time]]-WTG_BD[[#This Row],[Fault Start TimeStamp]])*24</f>
        <v>5.3</v>
      </c>
      <c r="U358" t="s">
        <v>4329</v>
      </c>
      <c r="V358" s="234" t="s">
        <v>255</v>
      </c>
      <c r="W358" s="50">
        <f>IFERROR(IF(N358="ROW",0,(WTG_BD[[#This Row],[Breakdown Time]]*WTG_BD[[#This Row],[Plant Equivalent Weightage]])),"")</f>
        <v>0.23043478260869568</v>
      </c>
      <c r="X358" s="50"/>
      <c r="Y358" s="205">
        <v>1</v>
      </c>
      <c r="Z358" s="205"/>
      <c r="AA358" s="4">
        <v>434</v>
      </c>
    </row>
    <row r="359" spans="1:27">
      <c r="A359" s="10">
        <f t="shared" si="7"/>
        <v>358</v>
      </c>
      <c r="B359" s="43">
        <f>YEAR(WTG_BD[[#This Row],[Date]])+IF(MONTH(WTG_BD[[#This Row],[Date]])&gt;=4,1,0)</f>
        <v>2026</v>
      </c>
      <c r="C359" s="10">
        <v>2025</v>
      </c>
      <c r="D359" s="10" t="s">
        <v>4478</v>
      </c>
      <c r="E359" s="309">
        <f>WTG_BD[[#This Row],[Date]]-DAY(WTG_BD[[#This Row],[Date]])+1</f>
        <v>45778</v>
      </c>
      <c r="F359" s="32">
        <v>45786</v>
      </c>
      <c r="G359" t="s">
        <v>93</v>
      </c>
      <c r="H359" t="str">
        <f>IFERROR(VLOOKUP(WTG_BD[[#This Row],[Affected WTG]],'Basic Data'!$A$3:$E$25,2,0),"")</f>
        <v>O2R4</v>
      </c>
      <c r="I359" t="str">
        <f>IFERROR(VLOOKUP(WTG_BD[[#This Row],[Affected WTG]],'Basic Data'!$A$3:$E$25,3,0),"")</f>
        <v>SGDCIPL</v>
      </c>
      <c r="J359" s="355">
        <f>IFERROR(VLOOKUP(WTG_BD[[#This Row],[Affected WTG]],'Basic Data'!$A$3:$E$25,5,0),"")</f>
        <v>4.3478260869565223E-2</v>
      </c>
      <c r="K359" s="10">
        <v>309</v>
      </c>
      <c r="L359" t="str">
        <f>IFERROR(VLOOKUP(WTG_BD[[#This Row],[Error Code]],'Basic Data'!S:T,2,0),"Incorrect Error Code")</f>
        <v>Pause over RCS __0</v>
      </c>
      <c r="M359" t="s">
        <v>871</v>
      </c>
      <c r="N359" t="s">
        <v>257</v>
      </c>
      <c r="O359" s="168">
        <v>0.41319444444444442</v>
      </c>
      <c r="P359" s="168">
        <v>0.41319444444444442</v>
      </c>
      <c r="Q359" s="168">
        <v>0.66666666666666663</v>
      </c>
      <c r="R359" s="356">
        <f>(WTG_BD[[#This Row],[Work Start TimeStamp]]-WTG_BD[[#This Row],[Fault Start TimeStamp]])*24</f>
        <v>0</v>
      </c>
      <c r="S359" s="34">
        <f>(WTG_BD[[#This Row],[Fault Clearance time]]-WTG_BD[[#This Row],[Work Start TimeStamp]])*24</f>
        <v>6.083333333333333</v>
      </c>
      <c r="T359" s="34">
        <f>(WTG_BD[[#This Row],[Fault Clearance time]]-WTG_BD[[#This Row],[Fault Start TimeStamp]])*24</f>
        <v>6.083333333333333</v>
      </c>
      <c r="U359" t="s">
        <v>4494</v>
      </c>
      <c r="V359" s="234" t="s">
        <v>255</v>
      </c>
      <c r="W359" s="50">
        <f>IFERROR(IF(N359="ROW",0,(WTG_BD[[#This Row],[Breakdown Time]]*WTG_BD[[#This Row],[Plant Equivalent Weightage]])),"")</f>
        <v>0.26449275362318841</v>
      </c>
      <c r="X359" s="50"/>
      <c r="Y359" s="205">
        <v>1</v>
      </c>
      <c r="Z359" s="205"/>
      <c r="AA359" s="4">
        <v>73</v>
      </c>
    </row>
    <row r="360" spans="1:27">
      <c r="A360" s="10">
        <f t="shared" si="7"/>
        <v>359</v>
      </c>
      <c r="B360" s="43">
        <f>YEAR(WTG_BD[[#This Row],[Date]])+IF(MONTH(WTG_BD[[#This Row],[Date]])&gt;=4,1,0)</f>
        <v>2026</v>
      </c>
      <c r="C360" s="10">
        <v>2025</v>
      </c>
      <c r="D360" s="10" t="s">
        <v>4478</v>
      </c>
      <c r="E360" s="309">
        <f>WTG_BD[[#This Row],[Date]]-DAY(WTG_BD[[#This Row],[Date]])+1</f>
        <v>45778</v>
      </c>
      <c r="F360" s="32">
        <v>45787</v>
      </c>
      <c r="G360" t="s">
        <v>76</v>
      </c>
      <c r="H360" t="str">
        <f>IFERROR(VLOOKUP(WTG_BD[[#This Row],[Affected WTG]],'Basic Data'!$A$3:$E$25,2,0),"")</f>
        <v>O2R1</v>
      </c>
      <c r="I360" t="str">
        <f>IFERROR(VLOOKUP(WTG_BD[[#This Row],[Affected WTG]],'Basic Data'!$A$3:$E$25,3,0),"")</f>
        <v>KSIPL</v>
      </c>
      <c r="J360" s="355">
        <f>IFERROR(VLOOKUP(WTG_BD[[#This Row],[Affected WTG]],'Basic Data'!$A$3:$E$25,5,0),"")</f>
        <v>4.3478260869565223E-2</v>
      </c>
      <c r="K360" s="10">
        <v>309</v>
      </c>
      <c r="L360" t="str">
        <f>IFERROR(VLOOKUP(WTG_BD[[#This Row],[Error Code]],'Basic Data'!S:T,2,0),"Incorrect Error Code")</f>
        <v>Pause over RCS __0</v>
      </c>
      <c r="M360" t="s">
        <v>871</v>
      </c>
      <c r="N360" t="s">
        <v>257</v>
      </c>
      <c r="O360" s="270">
        <v>0.50069444444444444</v>
      </c>
      <c r="P360" s="270">
        <v>0.50069444444444444</v>
      </c>
      <c r="Q360" s="270">
        <v>0.64861111111111114</v>
      </c>
      <c r="R360" s="356">
        <f>(WTG_BD[[#This Row],[Work Start TimeStamp]]-WTG_BD[[#This Row],[Fault Start TimeStamp]])*24</f>
        <v>0</v>
      </c>
      <c r="S360" s="34">
        <f>(WTG_BD[[#This Row],[Fault Clearance time]]-WTG_BD[[#This Row],[Work Start TimeStamp]])*24</f>
        <v>3.5500000000000007</v>
      </c>
      <c r="T360" s="34">
        <f>(WTG_BD[[#This Row],[Fault Clearance time]]-WTG_BD[[#This Row],[Fault Start TimeStamp]])*24</f>
        <v>3.5500000000000007</v>
      </c>
      <c r="U360" t="s">
        <v>4329</v>
      </c>
      <c r="V360" s="234" t="s">
        <v>255</v>
      </c>
      <c r="W360" s="50">
        <f>IFERROR(IF(N360="ROW",0,(WTG_BD[[#This Row],[Breakdown Time]]*WTG_BD[[#This Row],[Plant Equivalent Weightage]])),"")</f>
        <v>0.15434782608695657</v>
      </c>
      <c r="X360" s="50"/>
      <c r="Y360" s="205">
        <v>1</v>
      </c>
      <c r="Z360" s="205"/>
      <c r="AA360" s="4">
        <v>583</v>
      </c>
    </row>
    <row r="361" spans="1:27">
      <c r="A361" s="10">
        <f t="shared" si="7"/>
        <v>360</v>
      </c>
      <c r="B361" s="43">
        <f>YEAR(WTG_BD[[#This Row],[Date]])+IF(MONTH(WTG_BD[[#This Row],[Date]])&gt;=4,1,0)</f>
        <v>2026</v>
      </c>
      <c r="C361" s="10">
        <v>2025</v>
      </c>
      <c r="D361" s="10" t="s">
        <v>4478</v>
      </c>
      <c r="E361" s="309">
        <f>WTG_BD[[#This Row],[Date]]-DAY(WTG_BD[[#This Row],[Date]])+1</f>
        <v>45778</v>
      </c>
      <c r="F361" s="32">
        <v>45787</v>
      </c>
      <c r="G361" t="s">
        <v>96</v>
      </c>
      <c r="H361" t="str">
        <f>IFERROR(VLOOKUP(WTG_BD[[#This Row],[Affected WTG]],'Basic Data'!$A$3:$E$25,2,0),"")</f>
        <v>O2R3</v>
      </c>
      <c r="I361" t="str">
        <f>IFERROR(VLOOKUP(WTG_BD[[#This Row],[Affected WTG]],'Basic Data'!$A$3:$E$25,3,0),"")</f>
        <v>JK</v>
      </c>
      <c r="J361" s="355">
        <f>IFERROR(VLOOKUP(WTG_BD[[#This Row],[Affected WTG]],'Basic Data'!$A$3:$E$25,5,0),"")</f>
        <v>4.3478260869565223E-2</v>
      </c>
      <c r="K361" s="10">
        <v>309</v>
      </c>
      <c r="L361" t="str">
        <f>IFERROR(VLOOKUP(WTG_BD[[#This Row],[Error Code]],'Basic Data'!S:T,2,0),"Incorrect Error Code")</f>
        <v>Pause over RCS __0</v>
      </c>
      <c r="M361" t="s">
        <v>871</v>
      </c>
      <c r="N361" t="s">
        <v>257</v>
      </c>
      <c r="O361" s="270">
        <v>0.46180555555555558</v>
      </c>
      <c r="P361" s="270">
        <v>0.46180555555555558</v>
      </c>
      <c r="Q361" s="270">
        <v>0.72916666666666663</v>
      </c>
      <c r="R361" s="356">
        <f>(WTG_BD[[#This Row],[Work Start TimeStamp]]-WTG_BD[[#This Row],[Fault Start TimeStamp]])*24</f>
        <v>0</v>
      </c>
      <c r="S361" s="34">
        <f>(WTG_BD[[#This Row],[Fault Clearance time]]-WTG_BD[[#This Row],[Work Start TimeStamp]])*24</f>
        <v>6.4166666666666652</v>
      </c>
      <c r="T361" s="34">
        <f>(WTG_BD[[#This Row],[Fault Clearance time]]-WTG_BD[[#This Row],[Fault Start TimeStamp]])*24</f>
        <v>6.4166666666666652</v>
      </c>
      <c r="U361" t="s">
        <v>4494</v>
      </c>
      <c r="V361" s="234" t="s">
        <v>255</v>
      </c>
      <c r="W361" s="50">
        <f>IFERROR(IF(N361="ROW",0,(WTG_BD[[#This Row],[Breakdown Time]]*WTG_BD[[#This Row],[Plant Equivalent Weightage]])),"")</f>
        <v>0.27898550724637677</v>
      </c>
      <c r="X361" s="50"/>
      <c r="Y361" s="205">
        <v>1</v>
      </c>
      <c r="Z361" s="205"/>
      <c r="AA361" s="4">
        <v>897</v>
      </c>
    </row>
    <row r="362" spans="1:27">
      <c r="A362" s="10">
        <f t="shared" si="7"/>
        <v>361</v>
      </c>
      <c r="B362" s="43">
        <f>YEAR(WTG_BD[[#This Row],[Date]])+IF(MONTH(WTG_BD[[#This Row],[Date]])&gt;=4,1,0)</f>
        <v>2026</v>
      </c>
      <c r="C362" s="10">
        <v>2025</v>
      </c>
      <c r="D362" s="10" t="s">
        <v>4478</v>
      </c>
      <c r="E362" s="309">
        <f>WTG_BD[[#This Row],[Date]]-DAY(WTG_BD[[#This Row],[Date]])+1</f>
        <v>45778</v>
      </c>
      <c r="F362" s="32">
        <v>45788</v>
      </c>
      <c r="G362" t="s">
        <v>76</v>
      </c>
      <c r="H362" t="str">
        <f>IFERROR(VLOOKUP(WTG_BD[[#This Row],[Affected WTG]],'Basic Data'!$A$3:$E$25,2,0),"")</f>
        <v>O2R1</v>
      </c>
      <c r="I362" t="str">
        <f>IFERROR(VLOOKUP(WTG_BD[[#This Row],[Affected WTG]],'Basic Data'!$A$3:$E$25,3,0),"")</f>
        <v>KSIPL</v>
      </c>
      <c r="J362" s="355">
        <f>IFERROR(VLOOKUP(WTG_BD[[#This Row],[Affected WTG]],'Basic Data'!$A$3:$E$25,5,0),"")</f>
        <v>4.3478260869565223E-2</v>
      </c>
      <c r="K362" s="10">
        <v>704</v>
      </c>
      <c r="L362" t="str">
        <f>IFERROR(VLOOKUP(WTG_BD[[#This Row],[Error Code]],'Basic Data'!S:T,2,0),"Incorrect Error Code")</f>
        <v>Ch High res. load C_ Load:___%</v>
      </c>
      <c r="M362" t="s">
        <v>372</v>
      </c>
      <c r="N362" t="s">
        <v>113</v>
      </c>
      <c r="O362" s="168">
        <v>0.76597222222222228</v>
      </c>
      <c r="P362" s="168">
        <v>0.76597222222222228</v>
      </c>
      <c r="Q362" s="168">
        <v>0.77708333333333335</v>
      </c>
      <c r="R362" s="356">
        <f>(WTG_BD[[#This Row],[Work Start TimeStamp]]-WTG_BD[[#This Row],[Fault Start TimeStamp]])*24</f>
        <v>0</v>
      </c>
      <c r="S362" s="34">
        <f>(WTG_BD[[#This Row],[Fault Clearance time]]-WTG_BD[[#This Row],[Work Start TimeStamp]])*24</f>
        <v>0.26666666666666572</v>
      </c>
      <c r="T362" s="34">
        <f>(WTG_BD[[#This Row],[Fault Clearance time]]-WTG_BD[[#This Row],[Fault Start TimeStamp]])*24</f>
        <v>0.26666666666666572</v>
      </c>
      <c r="U362" t="s">
        <v>4268</v>
      </c>
      <c r="V362" s="234" t="s">
        <v>255</v>
      </c>
      <c r="W362" s="50">
        <f>IFERROR(IF(N362="ROW",0,(WTG_BD[[#This Row],[Breakdown Time]]*WTG_BD[[#This Row],[Plant Equivalent Weightage]])),"")</f>
        <v>1.1594202898550685E-2</v>
      </c>
      <c r="X362" s="50"/>
      <c r="Y362" s="205">
        <v>1</v>
      </c>
      <c r="Z362" s="205"/>
      <c r="AA362" s="4">
        <v>41</v>
      </c>
    </row>
    <row r="363" spans="1:27">
      <c r="A363" s="10">
        <f t="shared" si="7"/>
        <v>362</v>
      </c>
      <c r="B363" s="43">
        <f>YEAR(WTG_BD[[#This Row],[Date]])+IF(MONTH(WTG_BD[[#This Row],[Date]])&gt;=4,1,0)</f>
        <v>2026</v>
      </c>
      <c r="C363" s="10">
        <v>2025</v>
      </c>
      <c r="D363" s="10" t="s">
        <v>4478</v>
      </c>
      <c r="E363" s="309">
        <f>WTG_BD[[#This Row],[Date]]-DAY(WTG_BD[[#This Row],[Date]])+1</f>
        <v>45778</v>
      </c>
      <c r="F363" s="32">
        <v>45788</v>
      </c>
      <c r="G363" t="s">
        <v>76</v>
      </c>
      <c r="H363" t="str">
        <f>IFERROR(VLOOKUP(WTG_BD[[#This Row],[Affected WTG]],'Basic Data'!$A$3:$E$25,2,0),"")</f>
        <v>O2R1</v>
      </c>
      <c r="I363" t="str">
        <f>IFERROR(VLOOKUP(WTG_BD[[#This Row],[Affected WTG]],'Basic Data'!$A$3:$E$25,3,0),"")</f>
        <v>KSIPL</v>
      </c>
      <c r="J363" s="355">
        <f>IFERROR(VLOOKUP(WTG_BD[[#This Row],[Affected WTG]],'Basic Data'!$A$3:$E$25,5,0),"")</f>
        <v>4.3478260869565223E-2</v>
      </c>
      <c r="K363" s="10">
        <v>704</v>
      </c>
      <c r="L363" t="str">
        <f>IFERROR(VLOOKUP(WTG_BD[[#This Row],[Error Code]],'Basic Data'!S:T,2,0),"Incorrect Error Code")</f>
        <v>Ch High res. load C_ Load:___%</v>
      </c>
      <c r="M363" t="s">
        <v>372</v>
      </c>
      <c r="N363" t="s">
        <v>113</v>
      </c>
      <c r="O363" s="168">
        <v>0.78472222222222221</v>
      </c>
      <c r="P363" s="168">
        <v>0.78472222222222221</v>
      </c>
      <c r="Q363" s="168">
        <v>0.79583333333333328</v>
      </c>
      <c r="R363" s="356">
        <f>(WTG_BD[[#This Row],[Work Start TimeStamp]]-WTG_BD[[#This Row],[Fault Start TimeStamp]])*24</f>
        <v>0</v>
      </c>
      <c r="S363" s="34">
        <f>(WTG_BD[[#This Row],[Fault Clearance time]]-WTG_BD[[#This Row],[Work Start TimeStamp]])*24</f>
        <v>0.26666666666666572</v>
      </c>
      <c r="T363" s="34">
        <f>(WTG_BD[[#This Row],[Fault Clearance time]]-WTG_BD[[#This Row],[Fault Start TimeStamp]])*24</f>
        <v>0.26666666666666572</v>
      </c>
      <c r="U363" t="s">
        <v>4268</v>
      </c>
      <c r="V363" s="234" t="s">
        <v>255</v>
      </c>
      <c r="W363" s="50">
        <f>IFERROR(IF(N363="ROW",0,(WTG_BD[[#This Row],[Breakdown Time]]*WTG_BD[[#This Row],[Plant Equivalent Weightage]])),"")</f>
        <v>1.1594202898550685E-2</v>
      </c>
      <c r="X363" s="50"/>
      <c r="Y363" s="205">
        <v>1</v>
      </c>
      <c r="Z363" s="205"/>
      <c r="AA363" s="4">
        <v>258</v>
      </c>
    </row>
    <row r="364" spans="1:27">
      <c r="A364" s="10">
        <f t="shared" si="7"/>
        <v>363</v>
      </c>
      <c r="B364" s="43">
        <f>YEAR(WTG_BD[[#This Row],[Date]])+IF(MONTH(WTG_BD[[#This Row],[Date]])&gt;=4,1,0)</f>
        <v>2026</v>
      </c>
      <c r="C364" s="10">
        <v>2025</v>
      </c>
      <c r="D364" s="10" t="s">
        <v>4478</v>
      </c>
      <c r="E364" s="309">
        <f>WTG_BD[[#This Row],[Date]]-DAY(WTG_BD[[#This Row],[Date]])+1</f>
        <v>45778</v>
      </c>
      <c r="F364" s="32">
        <v>45788</v>
      </c>
      <c r="G364" t="s">
        <v>86</v>
      </c>
      <c r="H364" t="str">
        <f>IFERROR(VLOOKUP(WTG_BD[[#This Row],[Affected WTG]],'Basic Data'!$A$3:$E$25,2,0),"")</f>
        <v>O2R1</v>
      </c>
      <c r="I364" t="str">
        <f>IFERROR(VLOOKUP(WTG_BD[[#This Row],[Affected WTG]],'Basic Data'!$A$3:$E$25,3,0),"")</f>
        <v>KSIPL</v>
      </c>
      <c r="J364" s="355">
        <f>IFERROR(VLOOKUP(WTG_BD[[#This Row],[Affected WTG]],'Basic Data'!$A$3:$E$25,5,0),"")</f>
        <v>4.3478260869565223E-2</v>
      </c>
      <c r="K364" s="10">
        <v>328</v>
      </c>
      <c r="L364" t="str">
        <f>IFERROR(VLOOKUP(WTG_BD[[#This Row],[Error Code]],'Basic Data'!S:T,2,0),"Incorrect Error Code")</f>
        <v>Rotor inv. HW error L_</v>
      </c>
      <c r="M364" t="s">
        <v>900</v>
      </c>
      <c r="N364" t="s">
        <v>113</v>
      </c>
      <c r="O364" s="168">
        <v>0.19513888888888889</v>
      </c>
      <c r="P364" s="168">
        <v>0.19513888888888889</v>
      </c>
      <c r="Q364" s="168">
        <v>0.43888888888888888</v>
      </c>
      <c r="R364" s="356">
        <f>(WTG_BD[[#This Row],[Work Start TimeStamp]]-WTG_BD[[#This Row],[Fault Start TimeStamp]])*24</f>
        <v>0</v>
      </c>
      <c r="S364" s="34">
        <f>(WTG_BD[[#This Row],[Fault Clearance time]]-WTG_BD[[#This Row],[Work Start TimeStamp]])*24</f>
        <v>5.85</v>
      </c>
      <c r="T364" s="34">
        <f>(WTG_BD[[#This Row],[Fault Clearance time]]-WTG_BD[[#This Row],[Fault Start TimeStamp]])*24</f>
        <v>5.85</v>
      </c>
      <c r="U364" t="s">
        <v>4569</v>
      </c>
      <c r="V364" s="234" t="s">
        <v>255</v>
      </c>
      <c r="W364" s="50">
        <f>IFERROR(IF(N364="ROW",0,(WTG_BD[[#This Row],[Breakdown Time]]*WTG_BD[[#This Row],[Plant Equivalent Weightage]])),"")</f>
        <v>0.25434782608695655</v>
      </c>
      <c r="X364" s="50"/>
      <c r="Y364" s="205">
        <v>1</v>
      </c>
      <c r="Z364" s="205"/>
      <c r="AA364" s="4">
        <v>1702</v>
      </c>
    </row>
    <row r="365" spans="1:27">
      <c r="A365" s="10">
        <f t="shared" si="7"/>
        <v>364</v>
      </c>
      <c r="B365" s="43">
        <f>YEAR(WTG_BD[[#This Row],[Date]])+IF(MONTH(WTG_BD[[#This Row],[Date]])&gt;=4,1,0)</f>
        <v>2026</v>
      </c>
      <c r="C365" s="10">
        <v>2025</v>
      </c>
      <c r="D365" s="10" t="s">
        <v>4478</v>
      </c>
      <c r="E365" s="309">
        <f>WTG_BD[[#This Row],[Date]]-DAY(WTG_BD[[#This Row],[Date]])+1</f>
        <v>45778</v>
      </c>
      <c r="F365" s="32">
        <v>45788</v>
      </c>
      <c r="G365" t="s">
        <v>87</v>
      </c>
      <c r="H365" t="str">
        <f>IFERROR(VLOOKUP(WTG_BD[[#This Row],[Affected WTG]],'Basic Data'!$A$3:$E$25,2,0),"")</f>
        <v>O2R1</v>
      </c>
      <c r="I365" t="str">
        <f>IFERROR(VLOOKUP(WTG_BD[[#This Row],[Affected WTG]],'Basic Data'!$A$3:$E$25,3,0),"")</f>
        <v>KSIPL</v>
      </c>
      <c r="J365" s="355">
        <f>IFERROR(VLOOKUP(WTG_BD[[#This Row],[Affected WTG]],'Basic Data'!$A$3:$E$25,5,0),"")</f>
        <v>4.3478260869565223E-2</v>
      </c>
      <c r="K365" s="10">
        <v>704</v>
      </c>
      <c r="L365" t="str">
        <f>IFERROR(VLOOKUP(WTG_BD[[#This Row],[Error Code]],'Basic Data'!S:T,2,0),"Incorrect Error Code")</f>
        <v>Ch High res. load C_ Load:___%</v>
      </c>
      <c r="M365" t="s">
        <v>372</v>
      </c>
      <c r="N365" t="s">
        <v>113</v>
      </c>
      <c r="O365" s="168">
        <v>0.75555555555555554</v>
      </c>
      <c r="P365" s="168">
        <v>0.75555555555555554</v>
      </c>
      <c r="Q365" s="168">
        <v>0.77152777777777781</v>
      </c>
      <c r="R365" s="356">
        <f>(WTG_BD[[#This Row],[Work Start TimeStamp]]-WTG_BD[[#This Row],[Fault Start TimeStamp]])*24</f>
        <v>0</v>
      </c>
      <c r="S365" s="34">
        <f>(WTG_BD[[#This Row],[Fault Clearance time]]-WTG_BD[[#This Row],[Work Start TimeStamp]])*24</f>
        <v>0.38333333333333464</v>
      </c>
      <c r="T365" s="34">
        <f>(WTG_BD[[#This Row],[Fault Clearance time]]-WTG_BD[[#This Row],[Fault Start TimeStamp]])*24</f>
        <v>0.38333333333333464</v>
      </c>
      <c r="U365" t="s">
        <v>4268</v>
      </c>
      <c r="V365" s="234" t="s">
        <v>255</v>
      </c>
      <c r="W365" s="50">
        <f>IFERROR(IF(N365="ROW",0,(WTG_BD[[#This Row],[Breakdown Time]]*WTG_BD[[#This Row],[Plant Equivalent Weightage]])),"")</f>
        <v>1.6666666666666725E-2</v>
      </c>
      <c r="X365" s="50"/>
      <c r="Y365" s="205">
        <v>1</v>
      </c>
      <c r="Z365" s="205"/>
      <c r="AA365" s="4">
        <v>89</v>
      </c>
    </row>
    <row r="366" spans="1:27">
      <c r="A366" s="10">
        <f t="shared" si="7"/>
        <v>365</v>
      </c>
      <c r="B366" s="43">
        <f>YEAR(WTG_BD[[#This Row],[Date]])+IF(MONTH(WTG_BD[[#This Row],[Date]])&gt;=4,1,0)</f>
        <v>2026</v>
      </c>
      <c r="C366" s="10">
        <v>2025</v>
      </c>
      <c r="D366" s="10" t="s">
        <v>4478</v>
      </c>
      <c r="E366" s="309">
        <f>WTG_BD[[#This Row],[Date]]-DAY(WTG_BD[[#This Row],[Date]])+1</f>
        <v>45778</v>
      </c>
      <c r="F366" s="32">
        <v>45788</v>
      </c>
      <c r="G366" t="s">
        <v>89</v>
      </c>
      <c r="H366" t="str">
        <f>IFERROR(VLOOKUP(WTG_BD[[#This Row],[Affected WTG]],'Basic Data'!$A$3:$E$25,2,0),"")</f>
        <v>O2R1</v>
      </c>
      <c r="I366" t="str">
        <f>IFERROR(VLOOKUP(WTG_BD[[#This Row],[Affected WTG]],'Basic Data'!$A$3:$E$25,3,0),"")</f>
        <v>KSIPL</v>
      </c>
      <c r="J366" s="355">
        <f>IFERROR(VLOOKUP(WTG_BD[[#This Row],[Affected WTG]],'Basic Data'!$A$3:$E$25,5,0),"")</f>
        <v>4.3478260869565223E-2</v>
      </c>
      <c r="K366" s="10">
        <v>704</v>
      </c>
      <c r="L366" t="str">
        <f>IFERROR(VLOOKUP(WTG_BD[[#This Row],[Error Code]],'Basic Data'!S:T,2,0),"Incorrect Error Code")</f>
        <v>Ch High res. load C_ Load:___%</v>
      </c>
      <c r="M366" t="s">
        <v>372</v>
      </c>
      <c r="N366" t="s">
        <v>113</v>
      </c>
      <c r="O366" s="168">
        <v>2.0833333333333332E-2</v>
      </c>
      <c r="P366" s="168">
        <v>2.0833333333333332E-2</v>
      </c>
      <c r="Q366" s="168">
        <v>4.0972222222222222E-2</v>
      </c>
      <c r="R366" s="356">
        <f>(WTG_BD[[#This Row],[Work Start TimeStamp]]-WTG_BD[[#This Row],[Fault Start TimeStamp]])*24</f>
        <v>0</v>
      </c>
      <c r="S366" s="34">
        <f>(WTG_BD[[#This Row],[Fault Clearance time]]-WTG_BD[[#This Row],[Work Start TimeStamp]])*24</f>
        <v>0.48333333333333339</v>
      </c>
      <c r="T366" s="34">
        <f>(WTG_BD[[#This Row],[Fault Clearance time]]-WTG_BD[[#This Row],[Fault Start TimeStamp]])*24</f>
        <v>0.48333333333333339</v>
      </c>
      <c r="U366" t="s">
        <v>4268</v>
      </c>
      <c r="V366" s="234" t="s">
        <v>255</v>
      </c>
      <c r="W366" s="50">
        <f>IFERROR(IF(N366="ROW",0,(WTG_BD[[#This Row],[Breakdown Time]]*WTG_BD[[#This Row],[Plant Equivalent Weightage]])),"")</f>
        <v>2.1014492753623194E-2</v>
      </c>
      <c r="X366" s="50"/>
      <c r="Y366" s="205">
        <v>1</v>
      </c>
      <c r="Z366" s="205"/>
      <c r="AA366" s="4">
        <v>154</v>
      </c>
    </row>
    <row r="367" spans="1:27">
      <c r="A367" s="10">
        <f t="shared" si="7"/>
        <v>366</v>
      </c>
      <c r="B367" s="43">
        <f>YEAR(WTG_BD[[#This Row],[Date]])+IF(MONTH(WTG_BD[[#This Row],[Date]])&gt;=4,1,0)</f>
        <v>2026</v>
      </c>
      <c r="C367" s="10">
        <v>2025</v>
      </c>
      <c r="D367" s="10" t="s">
        <v>4478</v>
      </c>
      <c r="E367" s="309">
        <f>WTG_BD[[#This Row],[Date]]-DAY(WTG_BD[[#This Row],[Date]])+1</f>
        <v>45778</v>
      </c>
      <c r="F367" s="32">
        <v>45788</v>
      </c>
      <c r="G367" t="s">
        <v>89</v>
      </c>
      <c r="H367" t="str">
        <f>IFERROR(VLOOKUP(WTG_BD[[#This Row],[Affected WTG]],'Basic Data'!$A$3:$E$25,2,0),"")</f>
        <v>O2R1</v>
      </c>
      <c r="I367" t="str">
        <f>IFERROR(VLOOKUP(WTG_BD[[#This Row],[Affected WTG]],'Basic Data'!$A$3:$E$25,3,0),"")</f>
        <v>KSIPL</v>
      </c>
      <c r="J367" s="355">
        <f>IFERROR(VLOOKUP(WTG_BD[[#This Row],[Affected WTG]],'Basic Data'!$A$3:$E$25,5,0),"")</f>
        <v>4.3478260869565223E-2</v>
      </c>
      <c r="K367" s="10">
        <v>704</v>
      </c>
      <c r="L367" t="str">
        <f>IFERROR(VLOOKUP(WTG_BD[[#This Row],[Error Code]],'Basic Data'!S:T,2,0),"Incorrect Error Code")</f>
        <v>Ch High res. load C_ Load:___%</v>
      </c>
      <c r="M367" t="s">
        <v>372</v>
      </c>
      <c r="N367" t="s">
        <v>113</v>
      </c>
      <c r="O367" s="168">
        <v>0.15486111111111112</v>
      </c>
      <c r="P367" s="168">
        <v>0.15486111111111112</v>
      </c>
      <c r="Q367" s="168">
        <v>0.19375000000000001</v>
      </c>
      <c r="R367" s="356">
        <f>(WTG_BD[[#This Row],[Work Start TimeStamp]]-WTG_BD[[#This Row],[Fault Start TimeStamp]])*24</f>
        <v>0</v>
      </c>
      <c r="S367" s="34">
        <f>(WTG_BD[[#This Row],[Fault Clearance time]]-WTG_BD[[#This Row],[Work Start TimeStamp]])*24</f>
        <v>0.93333333333333335</v>
      </c>
      <c r="T367" s="34">
        <f>(WTG_BD[[#This Row],[Fault Clearance time]]-WTG_BD[[#This Row],[Fault Start TimeStamp]])*24</f>
        <v>0.93333333333333335</v>
      </c>
      <c r="U367" t="s">
        <v>4268</v>
      </c>
      <c r="V367" s="234" t="s">
        <v>255</v>
      </c>
      <c r="W367" s="50">
        <f>IFERROR(IF(N367="ROW",0,(WTG_BD[[#This Row],[Breakdown Time]]*WTG_BD[[#This Row],[Plant Equivalent Weightage]])),"")</f>
        <v>4.057971014492754E-2</v>
      </c>
      <c r="X367" s="50"/>
      <c r="Y367" s="205">
        <v>1</v>
      </c>
      <c r="Z367" s="205"/>
      <c r="AA367" s="4">
        <v>101</v>
      </c>
    </row>
    <row r="368" spans="1:27">
      <c r="A368" s="10">
        <f t="shared" si="7"/>
        <v>367</v>
      </c>
      <c r="B368" s="43">
        <f>YEAR(WTG_BD[[#This Row],[Date]])+IF(MONTH(WTG_BD[[#This Row],[Date]])&gt;=4,1,0)</f>
        <v>2026</v>
      </c>
      <c r="C368" s="10">
        <v>2025</v>
      </c>
      <c r="D368" s="10" t="s">
        <v>4478</v>
      </c>
      <c r="E368" s="309">
        <f>WTG_BD[[#This Row],[Date]]-DAY(WTG_BD[[#This Row],[Date]])+1</f>
        <v>45778</v>
      </c>
      <c r="F368" s="32">
        <v>45788</v>
      </c>
      <c r="G368" t="s">
        <v>89</v>
      </c>
      <c r="H368" t="str">
        <f>IFERROR(VLOOKUP(WTG_BD[[#This Row],[Affected WTG]],'Basic Data'!$A$3:$E$25,2,0),"")</f>
        <v>O2R1</v>
      </c>
      <c r="I368" t="str">
        <f>IFERROR(VLOOKUP(WTG_BD[[#This Row],[Affected WTG]],'Basic Data'!$A$3:$E$25,3,0),"")</f>
        <v>KSIPL</v>
      </c>
      <c r="J368" s="355">
        <f>IFERROR(VLOOKUP(WTG_BD[[#This Row],[Affected WTG]],'Basic Data'!$A$3:$E$25,5,0),"")</f>
        <v>4.3478260869565223E-2</v>
      </c>
      <c r="K368" s="10">
        <v>336</v>
      </c>
      <c r="L368" t="str">
        <f>IFERROR(VLOOKUP(WTG_BD[[#This Row],[Error Code]],'Basic Data'!S:T,2,0),"Incorrect Error Code")</f>
        <v>Ext. High cur. Grid inv. L_</v>
      </c>
      <c r="M368" t="s">
        <v>908</v>
      </c>
      <c r="N368" t="s">
        <v>113</v>
      </c>
      <c r="O368" s="168">
        <v>0.29375000000000001</v>
      </c>
      <c r="P368" s="168">
        <v>0.29375000000000001</v>
      </c>
      <c r="Q368" s="168">
        <v>0.57430555555555551</v>
      </c>
      <c r="R368" s="356">
        <f>(WTG_BD[[#This Row],[Work Start TimeStamp]]-WTG_BD[[#This Row],[Fault Start TimeStamp]])*24</f>
        <v>0</v>
      </c>
      <c r="S368" s="34">
        <f>(WTG_BD[[#This Row],[Fault Clearance time]]-WTG_BD[[#This Row],[Work Start TimeStamp]])*24</f>
        <v>6.7333333333333325</v>
      </c>
      <c r="T368" s="34">
        <f>(WTG_BD[[#This Row],[Fault Clearance time]]-WTG_BD[[#This Row],[Fault Start TimeStamp]])*24</f>
        <v>6.7333333333333325</v>
      </c>
      <c r="U368" t="s">
        <v>4570</v>
      </c>
      <c r="V368" s="234" t="s">
        <v>255</v>
      </c>
      <c r="W368" s="50">
        <f>IFERROR(IF(N368="ROW",0,(WTG_BD[[#This Row],[Breakdown Time]]*WTG_BD[[#This Row],[Plant Equivalent Weightage]])),"")</f>
        <v>0.29275362318840581</v>
      </c>
      <c r="X368" s="50"/>
      <c r="Y368" s="205">
        <v>1</v>
      </c>
      <c r="Z368" s="205"/>
      <c r="AA368" s="4">
        <v>804</v>
      </c>
    </row>
    <row r="369" spans="1:27">
      <c r="A369" s="10">
        <f t="shared" si="7"/>
        <v>368</v>
      </c>
      <c r="B369" s="43">
        <f>YEAR(WTG_BD[[#This Row],[Date]])+IF(MONTH(WTG_BD[[#This Row],[Date]])&gt;=4,1,0)</f>
        <v>2026</v>
      </c>
      <c r="C369" s="10">
        <v>2025</v>
      </c>
      <c r="D369" s="10" t="s">
        <v>4478</v>
      </c>
      <c r="E369" s="309">
        <f>WTG_BD[[#This Row],[Date]]-DAY(WTG_BD[[#This Row],[Date]])+1</f>
        <v>45778</v>
      </c>
      <c r="F369" s="32">
        <v>45788</v>
      </c>
      <c r="G369" t="s">
        <v>94</v>
      </c>
      <c r="H369" t="str">
        <f>IFERROR(VLOOKUP(WTG_BD[[#This Row],[Affected WTG]],'Basic Data'!$A$3:$E$25,2,0),"")</f>
        <v>O2R1</v>
      </c>
      <c r="I369" t="str">
        <f>IFERROR(VLOOKUP(WTG_BD[[#This Row],[Affected WTG]],'Basic Data'!$A$3:$E$25,3,0),"")</f>
        <v>KSIPL</v>
      </c>
      <c r="J369" s="355">
        <f>IFERROR(VLOOKUP(WTG_BD[[#This Row],[Affected WTG]],'Basic Data'!$A$3:$E$25,5,0),"")</f>
        <v>4.3478260869565223E-2</v>
      </c>
      <c r="K369" s="10">
        <v>704</v>
      </c>
      <c r="L369" t="str">
        <f>IFERROR(VLOOKUP(WTG_BD[[#This Row],[Error Code]],'Basic Data'!S:T,2,0),"Incorrect Error Code")</f>
        <v>Ch High res. load C_ Load:___%</v>
      </c>
      <c r="M369" t="s">
        <v>372</v>
      </c>
      <c r="N369" t="s">
        <v>113</v>
      </c>
      <c r="O369" s="168">
        <v>0.76041666666666663</v>
      </c>
      <c r="P369" s="168">
        <v>0.76041666666666663</v>
      </c>
      <c r="Q369" s="168">
        <v>0.76388888888888884</v>
      </c>
      <c r="R369" s="356">
        <f>(WTG_BD[[#This Row],[Work Start TimeStamp]]-WTG_BD[[#This Row],[Fault Start TimeStamp]])*24</f>
        <v>0</v>
      </c>
      <c r="S369" s="34">
        <f>(WTG_BD[[#This Row],[Fault Clearance time]]-WTG_BD[[#This Row],[Work Start TimeStamp]])*24</f>
        <v>8.3333333333333037E-2</v>
      </c>
      <c r="T369" s="34">
        <f>(WTG_BD[[#This Row],[Fault Clearance time]]-WTG_BD[[#This Row],[Fault Start TimeStamp]])*24</f>
        <v>8.3333333333333037E-2</v>
      </c>
      <c r="U369" t="s">
        <v>4268</v>
      </c>
      <c r="V369" s="234" t="s">
        <v>255</v>
      </c>
      <c r="W369" s="50">
        <f>IFERROR(IF(N369="ROW",0,(WTG_BD[[#This Row],[Breakdown Time]]*WTG_BD[[#This Row],[Plant Equivalent Weightage]])),"")</f>
        <v>3.6231884057970889E-3</v>
      </c>
      <c r="X369" s="50"/>
      <c r="Y369" s="205">
        <v>1</v>
      </c>
      <c r="Z369" s="205"/>
      <c r="AA369" s="4">
        <v>18</v>
      </c>
    </row>
    <row r="370" spans="1:27">
      <c r="A370" s="10">
        <f t="shared" si="7"/>
        <v>369</v>
      </c>
      <c r="B370" s="43">
        <f>YEAR(WTG_BD[[#This Row],[Date]])+IF(MONTH(WTG_BD[[#This Row],[Date]])&gt;=4,1,0)</f>
        <v>2026</v>
      </c>
      <c r="C370" s="10">
        <v>2025</v>
      </c>
      <c r="D370" s="10" t="s">
        <v>4478</v>
      </c>
      <c r="E370" s="309">
        <f>WTG_BD[[#This Row],[Date]]-DAY(WTG_BD[[#This Row],[Date]])+1</f>
        <v>45778</v>
      </c>
      <c r="F370" s="32">
        <v>45788</v>
      </c>
      <c r="G370" t="s">
        <v>94</v>
      </c>
      <c r="H370" t="str">
        <f>IFERROR(VLOOKUP(WTG_BD[[#This Row],[Affected WTG]],'Basic Data'!$A$3:$E$25,2,0),"")</f>
        <v>O2R1</v>
      </c>
      <c r="I370" t="str">
        <f>IFERROR(VLOOKUP(WTG_BD[[#This Row],[Affected WTG]],'Basic Data'!$A$3:$E$25,3,0),"")</f>
        <v>KSIPL</v>
      </c>
      <c r="J370" s="355">
        <f>IFERROR(VLOOKUP(WTG_BD[[#This Row],[Affected WTG]],'Basic Data'!$A$3:$E$25,5,0),"")</f>
        <v>4.3478260869565223E-2</v>
      </c>
      <c r="K370" s="10">
        <v>704</v>
      </c>
      <c r="L370" t="str">
        <f>IFERROR(VLOOKUP(WTG_BD[[#This Row],[Error Code]],'Basic Data'!S:T,2,0),"Incorrect Error Code")</f>
        <v>Ch High res. load C_ Load:___%</v>
      </c>
      <c r="M370" t="s">
        <v>372</v>
      </c>
      <c r="N370" t="s">
        <v>113</v>
      </c>
      <c r="O370" s="168">
        <v>0.78194444444444444</v>
      </c>
      <c r="P370" s="168">
        <v>0.78194444444444444</v>
      </c>
      <c r="Q370" s="168">
        <v>0.79791666666666672</v>
      </c>
      <c r="R370" s="356">
        <f>(WTG_BD[[#This Row],[Work Start TimeStamp]]-WTG_BD[[#This Row],[Fault Start TimeStamp]])*24</f>
        <v>0</v>
      </c>
      <c r="S370" s="34">
        <f>(WTG_BD[[#This Row],[Fault Clearance time]]-WTG_BD[[#This Row],[Work Start TimeStamp]])*24</f>
        <v>0.38333333333333464</v>
      </c>
      <c r="T370" s="34">
        <f>(WTG_BD[[#This Row],[Fault Clearance time]]-WTG_BD[[#This Row],[Fault Start TimeStamp]])*24</f>
        <v>0.38333333333333464</v>
      </c>
      <c r="U370" t="s">
        <v>4268</v>
      </c>
      <c r="V370" s="234" t="s">
        <v>255</v>
      </c>
      <c r="W370" s="50">
        <f>IFERROR(IF(N370="ROW",0,(WTG_BD[[#This Row],[Breakdown Time]]*WTG_BD[[#This Row],[Plant Equivalent Weightage]])),"")</f>
        <v>1.6666666666666725E-2</v>
      </c>
      <c r="X370" s="50"/>
      <c r="Y370" s="205">
        <v>1</v>
      </c>
      <c r="Z370" s="205"/>
      <c r="AA370" s="4">
        <v>291</v>
      </c>
    </row>
    <row r="371" spans="1:27">
      <c r="A371" s="10">
        <f t="shared" si="7"/>
        <v>370</v>
      </c>
      <c r="B371" s="43">
        <f>YEAR(WTG_BD[[#This Row],[Date]])+IF(MONTH(WTG_BD[[#This Row],[Date]])&gt;=4,1,0)</f>
        <v>2026</v>
      </c>
      <c r="C371" s="10">
        <v>2025</v>
      </c>
      <c r="D371" s="10" t="s">
        <v>4478</v>
      </c>
      <c r="E371" s="309">
        <f>WTG_BD[[#This Row],[Date]]-DAY(WTG_BD[[#This Row],[Date]])+1</f>
        <v>45778</v>
      </c>
      <c r="F371" s="32">
        <v>45788</v>
      </c>
      <c r="G371" t="s">
        <v>79</v>
      </c>
      <c r="H371" t="str">
        <f>IFERROR(VLOOKUP(WTG_BD[[#This Row],[Affected WTG]],'Basic Data'!$A$3:$E$25,2,0),"")</f>
        <v>O2R3</v>
      </c>
      <c r="I371" t="str">
        <f>IFERROR(VLOOKUP(WTG_BD[[#This Row],[Affected WTG]],'Basic Data'!$A$3:$E$25,3,0),"")</f>
        <v>JK</v>
      </c>
      <c r="J371" s="355">
        <f>IFERROR(VLOOKUP(WTG_BD[[#This Row],[Affected WTG]],'Basic Data'!$A$3:$E$25,5,0),"")</f>
        <v>4.3478260869565223E-2</v>
      </c>
      <c r="K371" s="10">
        <v>704</v>
      </c>
      <c r="L371" t="str">
        <f>IFERROR(VLOOKUP(WTG_BD[[#This Row],[Error Code]],'Basic Data'!S:T,2,0),"Incorrect Error Code")</f>
        <v>Ch High res. load C_ Load:___%</v>
      </c>
      <c r="M371" t="s">
        <v>372</v>
      </c>
      <c r="N371" t="s">
        <v>113</v>
      </c>
      <c r="O371" s="168">
        <v>6.0416666666666667E-2</v>
      </c>
      <c r="P371" s="168">
        <v>6.0416666666666667E-2</v>
      </c>
      <c r="Q371" s="168">
        <v>0.1111111111111111</v>
      </c>
      <c r="R371" s="356">
        <f>(WTG_BD[[#This Row],[Work Start TimeStamp]]-WTG_BD[[#This Row],[Fault Start TimeStamp]])*24</f>
        <v>0</v>
      </c>
      <c r="S371" s="34">
        <f>(WTG_BD[[#This Row],[Fault Clearance time]]-WTG_BD[[#This Row],[Work Start TimeStamp]])*24</f>
        <v>1.2166666666666666</v>
      </c>
      <c r="T371" s="34">
        <f>(WTG_BD[[#This Row],[Fault Clearance time]]-WTG_BD[[#This Row],[Fault Start TimeStamp]])*24</f>
        <v>1.2166666666666666</v>
      </c>
      <c r="U371" t="s">
        <v>4268</v>
      </c>
      <c r="V371" s="234" t="s">
        <v>255</v>
      </c>
      <c r="W371" s="50">
        <f>IFERROR(IF(N371="ROW",0,(WTG_BD[[#This Row],[Breakdown Time]]*WTG_BD[[#This Row],[Plant Equivalent Weightage]])),"")</f>
        <v>5.2898550724637686E-2</v>
      </c>
      <c r="X371" s="50"/>
      <c r="Y371" s="205">
        <v>1</v>
      </c>
      <c r="Z371" s="205"/>
      <c r="AA371" s="4">
        <v>581</v>
      </c>
    </row>
    <row r="372" spans="1:27">
      <c r="A372" s="10">
        <f t="shared" si="7"/>
        <v>371</v>
      </c>
      <c r="B372" s="43">
        <f>YEAR(WTG_BD[[#This Row],[Date]])+IF(MONTH(WTG_BD[[#This Row],[Date]])&gt;=4,1,0)</f>
        <v>2026</v>
      </c>
      <c r="C372" s="10">
        <v>2025</v>
      </c>
      <c r="D372" s="10" t="s">
        <v>4478</v>
      </c>
      <c r="E372" s="309">
        <f>WTG_BD[[#This Row],[Date]]-DAY(WTG_BD[[#This Row],[Date]])+1</f>
        <v>45778</v>
      </c>
      <c r="F372" s="32">
        <v>45788</v>
      </c>
      <c r="G372" t="s">
        <v>79</v>
      </c>
      <c r="H372" t="str">
        <f>IFERROR(VLOOKUP(WTG_BD[[#This Row],[Affected WTG]],'Basic Data'!$A$3:$E$25,2,0),"")</f>
        <v>O2R3</v>
      </c>
      <c r="I372" t="str">
        <f>IFERROR(VLOOKUP(WTG_BD[[#This Row],[Affected WTG]],'Basic Data'!$A$3:$E$25,3,0),"")</f>
        <v>JK</v>
      </c>
      <c r="J372" s="355">
        <f>IFERROR(VLOOKUP(WTG_BD[[#This Row],[Affected WTG]],'Basic Data'!$A$3:$E$25,5,0),"")</f>
        <v>4.3478260869565223E-2</v>
      </c>
      <c r="K372" s="10">
        <v>704</v>
      </c>
      <c r="L372" t="str">
        <f>IFERROR(VLOOKUP(WTG_BD[[#This Row],[Error Code]],'Basic Data'!S:T,2,0),"Incorrect Error Code")</f>
        <v>Ch High res. load C_ Load:___%</v>
      </c>
      <c r="M372" t="s">
        <v>372</v>
      </c>
      <c r="N372" t="s">
        <v>113</v>
      </c>
      <c r="O372" s="168">
        <v>0.17152777777777778</v>
      </c>
      <c r="P372" s="168">
        <v>0.17152777777777778</v>
      </c>
      <c r="Q372" s="168">
        <v>0.19375000000000001</v>
      </c>
      <c r="R372" s="356">
        <f>(WTG_BD[[#This Row],[Work Start TimeStamp]]-WTG_BD[[#This Row],[Fault Start TimeStamp]])*24</f>
        <v>0</v>
      </c>
      <c r="S372" s="34">
        <f>(WTG_BD[[#This Row],[Fault Clearance time]]-WTG_BD[[#This Row],[Work Start TimeStamp]])*24</f>
        <v>0.53333333333333344</v>
      </c>
      <c r="T372" s="34">
        <f>(WTG_BD[[#This Row],[Fault Clearance time]]-WTG_BD[[#This Row],[Fault Start TimeStamp]])*24</f>
        <v>0.53333333333333344</v>
      </c>
      <c r="U372" t="s">
        <v>4268</v>
      </c>
      <c r="V372" s="234" t="s">
        <v>255</v>
      </c>
      <c r="W372" s="50">
        <f>IFERROR(IF(N372="ROW",0,(WTG_BD[[#This Row],[Breakdown Time]]*WTG_BD[[#This Row],[Plant Equivalent Weightage]])),"")</f>
        <v>2.3188405797101456E-2</v>
      </c>
      <c r="X372" s="50"/>
      <c r="Y372" s="205">
        <v>1</v>
      </c>
      <c r="Z372" s="205"/>
      <c r="AA372" s="4">
        <v>27</v>
      </c>
    </row>
    <row r="373" spans="1:27">
      <c r="A373" s="10">
        <f t="shared" si="7"/>
        <v>372</v>
      </c>
      <c r="B373" s="43">
        <f>YEAR(WTG_BD[[#This Row],[Date]])+IF(MONTH(WTG_BD[[#This Row],[Date]])&gt;=4,1,0)</f>
        <v>2026</v>
      </c>
      <c r="C373" s="10">
        <v>2025</v>
      </c>
      <c r="D373" s="10" t="s">
        <v>4478</v>
      </c>
      <c r="E373" s="309">
        <f>WTG_BD[[#This Row],[Date]]-DAY(WTG_BD[[#This Row],[Date]])+1</f>
        <v>45778</v>
      </c>
      <c r="F373" s="32">
        <v>45788</v>
      </c>
      <c r="G373" t="s">
        <v>79</v>
      </c>
      <c r="H373" t="str">
        <f>IFERROR(VLOOKUP(WTG_BD[[#This Row],[Affected WTG]],'Basic Data'!$A$3:$E$25,2,0),"")</f>
        <v>O2R3</v>
      </c>
      <c r="I373" t="str">
        <f>IFERROR(VLOOKUP(WTG_BD[[#This Row],[Affected WTG]],'Basic Data'!$A$3:$E$25,3,0),"")</f>
        <v>JK</v>
      </c>
      <c r="J373" s="355">
        <f>IFERROR(VLOOKUP(WTG_BD[[#This Row],[Affected WTG]],'Basic Data'!$A$3:$E$25,5,0),"")</f>
        <v>4.3478260869565223E-2</v>
      </c>
      <c r="K373" s="10">
        <v>704</v>
      </c>
      <c r="L373" t="str">
        <f>IFERROR(VLOOKUP(WTG_BD[[#This Row],[Error Code]],'Basic Data'!S:T,2,0),"Incorrect Error Code")</f>
        <v>Ch High res. load C_ Load:___%</v>
      </c>
      <c r="M373" t="s">
        <v>372</v>
      </c>
      <c r="N373" t="s">
        <v>113</v>
      </c>
      <c r="O373" s="168">
        <v>0.21736111111111112</v>
      </c>
      <c r="P373" s="168">
        <v>0.21736111111111112</v>
      </c>
      <c r="Q373" s="168">
        <v>0.22222222222222221</v>
      </c>
      <c r="R373" s="356">
        <f>(WTG_BD[[#This Row],[Work Start TimeStamp]]-WTG_BD[[#This Row],[Fault Start TimeStamp]])*24</f>
        <v>0</v>
      </c>
      <c r="S373" s="34">
        <f>(WTG_BD[[#This Row],[Fault Clearance time]]-WTG_BD[[#This Row],[Work Start TimeStamp]])*24</f>
        <v>0.11666666666666625</v>
      </c>
      <c r="T373" s="34">
        <f>(WTG_BD[[#This Row],[Fault Clearance time]]-WTG_BD[[#This Row],[Fault Start TimeStamp]])*24</f>
        <v>0.11666666666666625</v>
      </c>
      <c r="U373" t="s">
        <v>4268</v>
      </c>
      <c r="V373" s="234" t="s">
        <v>255</v>
      </c>
      <c r="W373" s="50">
        <f>IFERROR(IF(N373="ROW",0,(WTG_BD[[#This Row],[Breakdown Time]]*WTG_BD[[#This Row],[Plant Equivalent Weightage]])),"")</f>
        <v>5.0724637681159243E-3</v>
      </c>
      <c r="X373" s="50"/>
      <c r="Y373" s="205">
        <v>1</v>
      </c>
      <c r="Z373" s="205"/>
      <c r="AA373" s="4">
        <v>39</v>
      </c>
    </row>
    <row r="374" spans="1:27">
      <c r="A374" s="10">
        <f t="shared" si="7"/>
        <v>373</v>
      </c>
      <c r="B374" s="43">
        <f>YEAR(WTG_BD[[#This Row],[Date]])+IF(MONTH(WTG_BD[[#This Row],[Date]])&gt;=4,1,0)</f>
        <v>2026</v>
      </c>
      <c r="C374" s="10">
        <v>2025</v>
      </c>
      <c r="D374" s="10" t="s">
        <v>4478</v>
      </c>
      <c r="E374" s="309">
        <f>WTG_BD[[#This Row],[Date]]-DAY(WTG_BD[[#This Row],[Date]])+1</f>
        <v>45778</v>
      </c>
      <c r="F374" s="32">
        <v>45788</v>
      </c>
      <c r="G374" t="s">
        <v>79</v>
      </c>
      <c r="H374" t="str">
        <f>IFERROR(VLOOKUP(WTG_BD[[#This Row],[Affected WTG]],'Basic Data'!$A$3:$E$25,2,0),"")</f>
        <v>O2R3</v>
      </c>
      <c r="I374" t="str">
        <f>IFERROR(VLOOKUP(WTG_BD[[#This Row],[Affected WTG]],'Basic Data'!$A$3:$E$25,3,0),"")</f>
        <v>JK</v>
      </c>
      <c r="J374" s="355">
        <f>IFERROR(VLOOKUP(WTG_BD[[#This Row],[Affected WTG]],'Basic Data'!$A$3:$E$25,5,0),"")</f>
        <v>4.3478260869565223E-2</v>
      </c>
      <c r="K374" s="10">
        <v>704</v>
      </c>
      <c r="L374" t="str">
        <f>IFERROR(VLOOKUP(WTG_BD[[#This Row],[Error Code]],'Basic Data'!S:T,2,0),"Incorrect Error Code")</f>
        <v>Ch High res. load C_ Load:___%</v>
      </c>
      <c r="M374" t="s">
        <v>372</v>
      </c>
      <c r="N374" t="s">
        <v>113</v>
      </c>
      <c r="O374" s="168">
        <v>0.74722222222222223</v>
      </c>
      <c r="P374" s="168">
        <v>0.74722222222222223</v>
      </c>
      <c r="Q374" s="168">
        <v>0.75</v>
      </c>
      <c r="R374" s="356">
        <f>(WTG_BD[[#This Row],[Work Start TimeStamp]]-WTG_BD[[#This Row],[Fault Start TimeStamp]])*24</f>
        <v>0</v>
      </c>
      <c r="S374" s="34">
        <f>(WTG_BD[[#This Row],[Fault Clearance time]]-WTG_BD[[#This Row],[Work Start TimeStamp]])*24</f>
        <v>6.666666666666643E-2</v>
      </c>
      <c r="T374" s="34">
        <f>(WTG_BD[[#This Row],[Fault Clearance time]]-WTG_BD[[#This Row],[Fault Start TimeStamp]])*24</f>
        <v>6.666666666666643E-2</v>
      </c>
      <c r="U374" t="s">
        <v>4268</v>
      </c>
      <c r="V374" s="234" t="s">
        <v>255</v>
      </c>
      <c r="W374" s="50">
        <f>IFERROR(IF(N374="ROW",0,(WTG_BD[[#This Row],[Breakdown Time]]*WTG_BD[[#This Row],[Plant Equivalent Weightage]])),"")</f>
        <v>2.8985507246376712E-3</v>
      </c>
      <c r="X374" s="50"/>
      <c r="Y374" s="205">
        <v>1</v>
      </c>
      <c r="Z374" s="205"/>
      <c r="AA374" s="4">
        <v>16</v>
      </c>
    </row>
    <row r="375" spans="1:27">
      <c r="A375" s="10">
        <f t="shared" si="7"/>
        <v>374</v>
      </c>
      <c r="B375" s="43">
        <f>YEAR(WTG_BD[[#This Row],[Date]])+IF(MONTH(WTG_BD[[#This Row],[Date]])&gt;=4,1,0)</f>
        <v>2026</v>
      </c>
      <c r="C375" s="10">
        <v>2025</v>
      </c>
      <c r="D375" s="10" t="s">
        <v>4478</v>
      </c>
      <c r="E375" s="309">
        <f>WTG_BD[[#This Row],[Date]]-DAY(WTG_BD[[#This Row],[Date]])+1</f>
        <v>45778</v>
      </c>
      <c r="F375" s="32">
        <v>45788</v>
      </c>
      <c r="G375" t="s">
        <v>79</v>
      </c>
      <c r="H375" t="str">
        <f>IFERROR(VLOOKUP(WTG_BD[[#This Row],[Affected WTG]],'Basic Data'!$A$3:$E$25,2,0),"")</f>
        <v>O2R3</v>
      </c>
      <c r="I375" t="str">
        <f>IFERROR(VLOOKUP(WTG_BD[[#This Row],[Affected WTG]],'Basic Data'!$A$3:$E$25,3,0),"")</f>
        <v>JK</v>
      </c>
      <c r="J375" s="355">
        <f>IFERROR(VLOOKUP(WTG_BD[[#This Row],[Affected WTG]],'Basic Data'!$A$3:$E$25,5,0),"")</f>
        <v>4.3478260869565223E-2</v>
      </c>
      <c r="K375" s="10">
        <v>704</v>
      </c>
      <c r="L375" t="str">
        <f>IFERROR(VLOOKUP(WTG_BD[[#This Row],[Error Code]],'Basic Data'!S:T,2,0),"Incorrect Error Code")</f>
        <v>Ch High res. load C_ Load:___%</v>
      </c>
      <c r="M375" t="s">
        <v>372</v>
      </c>
      <c r="N375" t="s">
        <v>113</v>
      </c>
      <c r="O375" s="168">
        <v>0.76111111111111107</v>
      </c>
      <c r="P375" s="168">
        <v>0.76111111111111107</v>
      </c>
      <c r="Q375" s="168">
        <v>0.76388888888888884</v>
      </c>
      <c r="R375" s="356">
        <f>(WTG_BD[[#This Row],[Work Start TimeStamp]]-WTG_BD[[#This Row],[Fault Start TimeStamp]])*24</f>
        <v>0</v>
      </c>
      <c r="S375" s="34">
        <f>(WTG_BD[[#This Row],[Fault Clearance time]]-WTG_BD[[#This Row],[Work Start TimeStamp]])*24</f>
        <v>6.666666666666643E-2</v>
      </c>
      <c r="T375" s="34">
        <f>(WTG_BD[[#This Row],[Fault Clearance time]]-WTG_BD[[#This Row],[Fault Start TimeStamp]])*24</f>
        <v>6.666666666666643E-2</v>
      </c>
      <c r="U375" t="s">
        <v>4268</v>
      </c>
      <c r="V375" s="234" t="s">
        <v>255</v>
      </c>
      <c r="W375" s="50">
        <f>IFERROR(IF(N375="ROW",0,(WTG_BD[[#This Row],[Breakdown Time]]*WTG_BD[[#This Row],[Plant Equivalent Weightage]])),"")</f>
        <v>2.8985507246376712E-3</v>
      </c>
      <c r="X375" s="50"/>
      <c r="Y375" s="205">
        <v>1</v>
      </c>
      <c r="Z375" s="205"/>
      <c r="AA375" s="4">
        <v>22</v>
      </c>
    </row>
    <row r="376" spans="1:27">
      <c r="A376" s="10">
        <f t="shared" si="7"/>
        <v>375</v>
      </c>
      <c r="B376" s="43">
        <f>YEAR(WTG_BD[[#This Row],[Date]])+IF(MONTH(WTG_BD[[#This Row],[Date]])&gt;=4,1,0)</f>
        <v>2026</v>
      </c>
      <c r="C376" s="10">
        <v>2025</v>
      </c>
      <c r="D376" s="10" t="s">
        <v>4478</v>
      </c>
      <c r="E376" s="309">
        <f>WTG_BD[[#This Row],[Date]]-DAY(WTG_BD[[#This Row],[Date]])+1</f>
        <v>45778</v>
      </c>
      <c r="F376" s="32">
        <v>45788</v>
      </c>
      <c r="G376" t="s">
        <v>80</v>
      </c>
      <c r="H376" t="str">
        <f>IFERROR(VLOOKUP(WTG_BD[[#This Row],[Affected WTG]],'Basic Data'!$A$3:$E$25,2,0),"")</f>
        <v>O2R3</v>
      </c>
      <c r="I376" t="str">
        <f>IFERROR(VLOOKUP(WTG_BD[[#This Row],[Affected WTG]],'Basic Data'!$A$3:$E$25,3,0),"")</f>
        <v>JK</v>
      </c>
      <c r="J376" s="355">
        <f>IFERROR(VLOOKUP(WTG_BD[[#This Row],[Affected WTG]],'Basic Data'!$A$3:$E$25,5,0),"")</f>
        <v>4.3478260869565223E-2</v>
      </c>
      <c r="K376" s="10">
        <v>704</v>
      </c>
      <c r="L376" t="str">
        <f>IFERROR(VLOOKUP(WTG_BD[[#This Row],[Error Code]],'Basic Data'!S:T,2,0),"Incorrect Error Code")</f>
        <v>Ch High res. load C_ Load:___%</v>
      </c>
      <c r="M376" t="s">
        <v>372</v>
      </c>
      <c r="N376" t="s">
        <v>113</v>
      </c>
      <c r="O376" s="168">
        <v>1.8055555555555554E-2</v>
      </c>
      <c r="P376" s="168">
        <v>1.8055555555555554E-2</v>
      </c>
      <c r="Q376" s="168">
        <v>4.0972222222222222E-2</v>
      </c>
      <c r="R376" s="356">
        <f>(WTG_BD[[#This Row],[Work Start TimeStamp]]-WTG_BD[[#This Row],[Fault Start TimeStamp]])*24</f>
        <v>0</v>
      </c>
      <c r="S376" s="34">
        <f>(WTG_BD[[#This Row],[Fault Clearance time]]-WTG_BD[[#This Row],[Work Start TimeStamp]])*24</f>
        <v>0.55000000000000004</v>
      </c>
      <c r="T376" s="34">
        <f>(WTG_BD[[#This Row],[Fault Clearance time]]-WTG_BD[[#This Row],[Fault Start TimeStamp]])*24</f>
        <v>0.55000000000000004</v>
      </c>
      <c r="U376" t="s">
        <v>4268</v>
      </c>
      <c r="V376" s="234" t="s">
        <v>255</v>
      </c>
      <c r="W376" s="50">
        <f>IFERROR(IF(N376="ROW",0,(WTG_BD[[#This Row],[Breakdown Time]]*WTG_BD[[#This Row],[Plant Equivalent Weightage]])),"")</f>
        <v>2.3913043478260874E-2</v>
      </c>
      <c r="X376" s="50"/>
      <c r="Y376" s="205">
        <v>1</v>
      </c>
      <c r="Z376" s="205"/>
      <c r="AA376" s="4">
        <v>288</v>
      </c>
    </row>
    <row r="377" spans="1:27">
      <c r="A377" s="10">
        <f t="shared" si="7"/>
        <v>376</v>
      </c>
      <c r="B377" s="43">
        <f>YEAR(WTG_BD[[#This Row],[Date]])+IF(MONTH(WTG_BD[[#This Row],[Date]])&gt;=4,1,0)</f>
        <v>2026</v>
      </c>
      <c r="C377" s="10">
        <v>2025</v>
      </c>
      <c r="D377" s="10" t="s">
        <v>4478</v>
      </c>
      <c r="E377" s="309">
        <f>WTG_BD[[#This Row],[Date]]-DAY(WTG_BD[[#This Row],[Date]])+1</f>
        <v>45778</v>
      </c>
      <c r="F377" s="32">
        <v>45788</v>
      </c>
      <c r="G377" t="s">
        <v>80</v>
      </c>
      <c r="H377" t="str">
        <f>IFERROR(VLOOKUP(WTG_BD[[#This Row],[Affected WTG]],'Basic Data'!$A$3:$E$25,2,0),"")</f>
        <v>O2R3</v>
      </c>
      <c r="I377" t="str">
        <f>IFERROR(VLOOKUP(WTG_BD[[#This Row],[Affected WTG]],'Basic Data'!$A$3:$E$25,3,0),"")</f>
        <v>JK</v>
      </c>
      <c r="J377" s="355">
        <f>IFERROR(VLOOKUP(WTG_BD[[#This Row],[Affected WTG]],'Basic Data'!$A$3:$E$25,5,0),"")</f>
        <v>4.3478260869565223E-2</v>
      </c>
      <c r="K377" s="10">
        <v>704</v>
      </c>
      <c r="L377" t="str">
        <f>IFERROR(VLOOKUP(WTG_BD[[#This Row],[Error Code]],'Basic Data'!S:T,2,0),"Incorrect Error Code")</f>
        <v>Ch High res. load C_ Load:___%</v>
      </c>
      <c r="M377" t="s">
        <v>372</v>
      </c>
      <c r="N377" t="s">
        <v>113</v>
      </c>
      <c r="O377" s="168">
        <v>0.15486111111111112</v>
      </c>
      <c r="P377" s="168">
        <v>0.15486111111111112</v>
      </c>
      <c r="Q377" s="168">
        <v>0.19375000000000001</v>
      </c>
      <c r="R377" s="356">
        <f>(WTG_BD[[#This Row],[Work Start TimeStamp]]-WTG_BD[[#This Row],[Fault Start TimeStamp]])*24</f>
        <v>0</v>
      </c>
      <c r="S377" s="34">
        <f>(WTG_BD[[#This Row],[Fault Clearance time]]-WTG_BD[[#This Row],[Work Start TimeStamp]])*24</f>
        <v>0.93333333333333335</v>
      </c>
      <c r="T377" s="34">
        <f>(WTG_BD[[#This Row],[Fault Clearance time]]-WTG_BD[[#This Row],[Fault Start TimeStamp]])*24</f>
        <v>0.93333333333333335</v>
      </c>
      <c r="U377" t="s">
        <v>4268</v>
      </c>
      <c r="V377" s="234" t="s">
        <v>255</v>
      </c>
      <c r="W377" s="50">
        <f>IFERROR(IF(N377="ROW",0,(WTG_BD[[#This Row],[Breakdown Time]]*WTG_BD[[#This Row],[Plant Equivalent Weightage]])),"")</f>
        <v>4.057971014492754E-2</v>
      </c>
      <c r="X377" s="50"/>
      <c r="Y377" s="205">
        <v>1</v>
      </c>
      <c r="Z377" s="205"/>
      <c r="AA377" s="4">
        <v>303</v>
      </c>
    </row>
    <row r="378" spans="1:27">
      <c r="A378" s="10">
        <f t="shared" si="7"/>
        <v>377</v>
      </c>
      <c r="B378" s="43">
        <f>YEAR(WTG_BD[[#This Row],[Date]])+IF(MONTH(WTG_BD[[#This Row],[Date]])&gt;=4,1,0)</f>
        <v>2026</v>
      </c>
      <c r="C378" s="10">
        <v>2025</v>
      </c>
      <c r="D378" s="10" t="s">
        <v>4478</v>
      </c>
      <c r="E378" s="309">
        <f>WTG_BD[[#This Row],[Date]]-DAY(WTG_BD[[#This Row],[Date]])+1</f>
        <v>45778</v>
      </c>
      <c r="F378" s="32">
        <v>45788</v>
      </c>
      <c r="G378" t="s">
        <v>80</v>
      </c>
      <c r="H378" t="str">
        <f>IFERROR(VLOOKUP(WTG_BD[[#This Row],[Affected WTG]],'Basic Data'!$A$3:$E$25,2,0),"")</f>
        <v>O2R3</v>
      </c>
      <c r="I378" t="str">
        <f>IFERROR(VLOOKUP(WTG_BD[[#This Row],[Affected WTG]],'Basic Data'!$A$3:$E$25,3,0),"")</f>
        <v>JK</v>
      </c>
      <c r="J378" s="355">
        <f>IFERROR(VLOOKUP(WTG_BD[[#This Row],[Affected WTG]],'Basic Data'!$A$3:$E$25,5,0),"")</f>
        <v>4.3478260869565223E-2</v>
      </c>
      <c r="K378" s="10">
        <v>704</v>
      </c>
      <c r="L378" t="str">
        <f>IFERROR(VLOOKUP(WTG_BD[[#This Row],[Error Code]],'Basic Data'!S:T,2,0),"Incorrect Error Code")</f>
        <v>Ch High res. load C_ Load:___%</v>
      </c>
      <c r="M378" t="s">
        <v>372</v>
      </c>
      <c r="N378" t="s">
        <v>113</v>
      </c>
      <c r="O378" s="168">
        <v>0.74861111111111112</v>
      </c>
      <c r="P378" s="168">
        <v>0.74861111111111112</v>
      </c>
      <c r="Q378" s="168">
        <v>0.76666666666666672</v>
      </c>
      <c r="R378" s="356">
        <f>(WTG_BD[[#This Row],[Work Start TimeStamp]]-WTG_BD[[#This Row],[Fault Start TimeStamp]])*24</f>
        <v>0</v>
      </c>
      <c r="S378" s="34">
        <f>(WTG_BD[[#This Row],[Fault Clearance time]]-WTG_BD[[#This Row],[Work Start TimeStamp]])*24</f>
        <v>0.43333333333333446</v>
      </c>
      <c r="T378" s="34">
        <f>(WTG_BD[[#This Row],[Fault Clearance time]]-WTG_BD[[#This Row],[Fault Start TimeStamp]])*24</f>
        <v>0.43333333333333446</v>
      </c>
      <c r="U378" t="s">
        <v>4268</v>
      </c>
      <c r="V378" s="234" t="s">
        <v>255</v>
      </c>
      <c r="W378" s="50">
        <f>IFERROR(IF(N378="ROW",0,(WTG_BD[[#This Row],[Breakdown Time]]*WTG_BD[[#This Row],[Plant Equivalent Weightage]])),"")</f>
        <v>1.8840579710144977E-2</v>
      </c>
      <c r="X378" s="50"/>
      <c r="Y378" s="205">
        <v>1</v>
      </c>
      <c r="Z378" s="205"/>
      <c r="AA378" s="4">
        <v>82</v>
      </c>
    </row>
    <row r="379" spans="1:27">
      <c r="A379" s="10">
        <f t="shared" si="7"/>
        <v>378</v>
      </c>
      <c r="B379" s="43">
        <f>YEAR(WTG_BD[[#This Row],[Date]])+IF(MONTH(WTG_BD[[#This Row],[Date]])&gt;=4,1,0)</f>
        <v>2026</v>
      </c>
      <c r="C379" s="10">
        <v>2025</v>
      </c>
      <c r="D379" s="10" t="s">
        <v>4478</v>
      </c>
      <c r="E379" s="309">
        <f>WTG_BD[[#This Row],[Date]]-DAY(WTG_BD[[#This Row],[Date]])+1</f>
        <v>45778</v>
      </c>
      <c r="F379" s="32">
        <v>45788</v>
      </c>
      <c r="G379" t="s">
        <v>80</v>
      </c>
      <c r="H379" t="str">
        <f>IFERROR(VLOOKUP(WTG_BD[[#This Row],[Affected WTG]],'Basic Data'!$A$3:$E$25,2,0),"")</f>
        <v>O2R3</v>
      </c>
      <c r="I379" t="str">
        <f>IFERROR(VLOOKUP(WTG_BD[[#This Row],[Affected WTG]],'Basic Data'!$A$3:$E$25,3,0),"")</f>
        <v>JK</v>
      </c>
      <c r="J379" s="355">
        <f>IFERROR(VLOOKUP(WTG_BD[[#This Row],[Affected WTG]],'Basic Data'!$A$3:$E$25,5,0),"")</f>
        <v>4.3478260869565223E-2</v>
      </c>
      <c r="K379" s="10">
        <v>704</v>
      </c>
      <c r="L379" t="str">
        <f>IFERROR(VLOOKUP(WTG_BD[[#This Row],[Error Code]],'Basic Data'!S:T,2,0),"Incorrect Error Code")</f>
        <v>Ch High res. load C_ Load:___%</v>
      </c>
      <c r="M379" t="s">
        <v>372</v>
      </c>
      <c r="N379" t="s">
        <v>113</v>
      </c>
      <c r="O379" s="168">
        <v>0.82847222222222228</v>
      </c>
      <c r="P379" s="168">
        <v>0.82847222222222228</v>
      </c>
      <c r="Q379" s="168">
        <v>0.83333333333333337</v>
      </c>
      <c r="R379" s="356">
        <f>(WTG_BD[[#This Row],[Work Start TimeStamp]]-WTG_BD[[#This Row],[Fault Start TimeStamp]])*24</f>
        <v>0</v>
      </c>
      <c r="S379" s="34">
        <f>(WTG_BD[[#This Row],[Fault Clearance time]]-WTG_BD[[#This Row],[Work Start TimeStamp]])*24</f>
        <v>0.11666666666666625</v>
      </c>
      <c r="T379" s="34">
        <f>(WTG_BD[[#This Row],[Fault Clearance time]]-WTG_BD[[#This Row],[Fault Start TimeStamp]])*24</f>
        <v>0.11666666666666625</v>
      </c>
      <c r="U379" t="s">
        <v>4268</v>
      </c>
      <c r="V379" s="234" t="s">
        <v>255</v>
      </c>
      <c r="W379" s="50">
        <f>IFERROR(IF(N379="ROW",0,(WTG_BD[[#This Row],[Breakdown Time]]*WTG_BD[[#This Row],[Plant Equivalent Weightage]])),"")</f>
        <v>5.0724637681159243E-3</v>
      </c>
      <c r="X379" s="50"/>
      <c r="Y379" s="205">
        <v>1</v>
      </c>
      <c r="Z379" s="205"/>
      <c r="AA379" s="4">
        <v>58</v>
      </c>
    </row>
    <row r="380" spans="1:27">
      <c r="A380" s="10">
        <f t="shared" si="7"/>
        <v>379</v>
      </c>
      <c r="B380" s="43">
        <f>YEAR(WTG_BD[[#This Row],[Date]])+IF(MONTH(WTG_BD[[#This Row],[Date]])&gt;=4,1,0)</f>
        <v>2026</v>
      </c>
      <c r="C380" s="10">
        <v>2025</v>
      </c>
      <c r="D380" s="10" t="s">
        <v>4478</v>
      </c>
      <c r="E380" s="309">
        <f>WTG_BD[[#This Row],[Date]]-DAY(WTG_BD[[#This Row],[Date]])+1</f>
        <v>45778</v>
      </c>
      <c r="F380" s="32">
        <v>45788</v>
      </c>
      <c r="G380" t="s">
        <v>80</v>
      </c>
      <c r="H380" t="str">
        <f>IFERROR(VLOOKUP(WTG_BD[[#This Row],[Affected WTG]],'Basic Data'!$A$3:$E$25,2,0),"")</f>
        <v>O2R3</v>
      </c>
      <c r="I380" t="str">
        <f>IFERROR(VLOOKUP(WTG_BD[[#This Row],[Affected WTG]],'Basic Data'!$A$3:$E$25,3,0),"")</f>
        <v>JK</v>
      </c>
      <c r="J380" s="355">
        <f>IFERROR(VLOOKUP(WTG_BD[[#This Row],[Affected WTG]],'Basic Data'!$A$3:$E$25,5,0),"")</f>
        <v>4.3478260869565223E-2</v>
      </c>
      <c r="K380" s="10">
        <v>704</v>
      </c>
      <c r="L380" t="str">
        <f>IFERROR(VLOOKUP(WTG_BD[[#This Row],[Error Code]],'Basic Data'!S:T,2,0),"Incorrect Error Code")</f>
        <v>Ch High res. load C_ Load:___%</v>
      </c>
      <c r="M380" t="s">
        <v>372</v>
      </c>
      <c r="N380" t="s">
        <v>113</v>
      </c>
      <c r="O380" s="168">
        <v>0.84027777777777779</v>
      </c>
      <c r="P380" s="168">
        <v>0.84027777777777779</v>
      </c>
      <c r="Q380" s="168">
        <v>0.85347222222222219</v>
      </c>
      <c r="R380" s="356">
        <f>(WTG_BD[[#This Row],[Work Start TimeStamp]]-WTG_BD[[#This Row],[Fault Start TimeStamp]])*24</f>
        <v>0</v>
      </c>
      <c r="S380" s="34">
        <f>(WTG_BD[[#This Row],[Fault Clearance time]]-WTG_BD[[#This Row],[Work Start TimeStamp]])*24</f>
        <v>0.31666666666666554</v>
      </c>
      <c r="T380" s="34">
        <f>(WTG_BD[[#This Row],[Fault Clearance time]]-WTG_BD[[#This Row],[Fault Start TimeStamp]])*24</f>
        <v>0.31666666666666554</v>
      </c>
      <c r="U380" t="s">
        <v>4268</v>
      </c>
      <c r="V380" s="234" t="s">
        <v>255</v>
      </c>
      <c r="W380" s="50">
        <f>IFERROR(IF(N380="ROW",0,(WTG_BD[[#This Row],[Breakdown Time]]*WTG_BD[[#This Row],[Plant Equivalent Weightage]])),"")</f>
        <v>1.3768115942028938E-2</v>
      </c>
      <c r="X380" s="50"/>
      <c r="Y380" s="205">
        <v>1</v>
      </c>
      <c r="Z380" s="205"/>
      <c r="AA380" s="4">
        <v>222</v>
      </c>
    </row>
    <row r="381" spans="1:27">
      <c r="A381" s="10">
        <f t="shared" si="7"/>
        <v>380</v>
      </c>
      <c r="B381" s="43">
        <f>YEAR(WTG_BD[[#This Row],[Date]])+IF(MONTH(WTG_BD[[#This Row],[Date]])&gt;=4,1,0)</f>
        <v>2026</v>
      </c>
      <c r="C381" s="10">
        <v>2025</v>
      </c>
      <c r="D381" s="10" t="s">
        <v>4478</v>
      </c>
      <c r="E381" s="309">
        <f>WTG_BD[[#This Row],[Date]]-DAY(WTG_BD[[#This Row],[Date]])+1</f>
        <v>45778</v>
      </c>
      <c r="F381" s="32">
        <v>45788</v>
      </c>
      <c r="G381" t="s">
        <v>84</v>
      </c>
      <c r="H381" t="str">
        <f>IFERROR(VLOOKUP(WTG_BD[[#This Row],[Affected WTG]],'Basic Data'!$A$3:$E$25,2,0),"")</f>
        <v>O2R3</v>
      </c>
      <c r="I381" t="str">
        <f>IFERROR(VLOOKUP(WTG_BD[[#This Row],[Affected WTG]],'Basic Data'!$A$3:$E$25,3,0),"")</f>
        <v>JK</v>
      </c>
      <c r="J381" s="355">
        <f>IFERROR(VLOOKUP(WTG_BD[[#This Row],[Affected WTG]],'Basic Data'!$A$3:$E$25,5,0),"")</f>
        <v>4.3478260869565223E-2</v>
      </c>
      <c r="K381" s="10">
        <v>704</v>
      </c>
      <c r="L381" t="str">
        <f>IFERROR(VLOOKUP(WTG_BD[[#This Row],[Error Code]],'Basic Data'!S:T,2,0),"Incorrect Error Code")</f>
        <v>Ch High res. load C_ Load:___%</v>
      </c>
      <c r="M381" t="s">
        <v>372</v>
      </c>
      <c r="N381" t="s">
        <v>113</v>
      </c>
      <c r="O381" s="168">
        <v>1.5277777777777777E-2</v>
      </c>
      <c r="P381" s="168">
        <v>1.5277777777777777E-2</v>
      </c>
      <c r="Q381" s="168">
        <v>3.9583333333333331E-2</v>
      </c>
      <c r="R381" s="356">
        <f>(WTG_BD[[#This Row],[Work Start TimeStamp]]-WTG_BD[[#This Row],[Fault Start TimeStamp]])*24</f>
        <v>0</v>
      </c>
      <c r="S381" s="34">
        <f>(WTG_BD[[#This Row],[Fault Clearance time]]-WTG_BD[[#This Row],[Work Start TimeStamp]])*24</f>
        <v>0.58333333333333326</v>
      </c>
      <c r="T381" s="34">
        <f>(WTG_BD[[#This Row],[Fault Clearance time]]-WTG_BD[[#This Row],[Fault Start TimeStamp]])*24</f>
        <v>0.58333333333333326</v>
      </c>
      <c r="U381" t="s">
        <v>4268</v>
      </c>
      <c r="V381" s="234" t="s">
        <v>255</v>
      </c>
      <c r="W381" s="50">
        <f>IFERROR(IF(N381="ROW",0,(WTG_BD[[#This Row],[Breakdown Time]]*WTG_BD[[#This Row],[Plant Equivalent Weightage]])),"")</f>
        <v>2.5362318840579712E-2</v>
      </c>
      <c r="X381" s="50"/>
      <c r="Y381" s="205">
        <v>1</v>
      </c>
      <c r="Z381" s="205"/>
      <c r="AA381" s="4">
        <v>270</v>
      </c>
    </row>
    <row r="382" spans="1:27">
      <c r="A382" s="10">
        <f t="shared" si="7"/>
        <v>381</v>
      </c>
      <c r="B382" s="43">
        <f>YEAR(WTG_BD[[#This Row],[Date]])+IF(MONTH(WTG_BD[[#This Row],[Date]])&gt;=4,1,0)</f>
        <v>2026</v>
      </c>
      <c r="C382" s="10">
        <v>2025</v>
      </c>
      <c r="D382" s="10" t="s">
        <v>4478</v>
      </c>
      <c r="E382" s="309">
        <f>WTG_BD[[#This Row],[Date]]-DAY(WTG_BD[[#This Row],[Date]])+1</f>
        <v>45778</v>
      </c>
      <c r="F382" s="32">
        <v>45788</v>
      </c>
      <c r="G382" t="s">
        <v>91</v>
      </c>
      <c r="H382" t="str">
        <f>IFERROR(VLOOKUP(WTG_BD[[#This Row],[Affected WTG]],'Basic Data'!$A$3:$E$25,2,0),"")</f>
        <v>O2R2</v>
      </c>
      <c r="I382" t="str">
        <f>IFERROR(VLOOKUP(WTG_BD[[#This Row],[Affected WTG]],'Basic Data'!$A$3:$E$25,3,0),"")</f>
        <v>SIL</v>
      </c>
      <c r="J382" s="355">
        <f>IFERROR(VLOOKUP(WTG_BD[[#This Row],[Affected WTG]],'Basic Data'!$A$3:$E$25,5,0),"")</f>
        <v>4.3478260869565223E-2</v>
      </c>
      <c r="K382" s="10">
        <v>704</v>
      </c>
      <c r="L382" t="str">
        <f>IFERROR(VLOOKUP(WTG_BD[[#This Row],[Error Code]],'Basic Data'!S:T,2,0),"Incorrect Error Code")</f>
        <v>Ch High res. load C_ Load:___%</v>
      </c>
      <c r="M382" t="s">
        <v>372</v>
      </c>
      <c r="N382" t="s">
        <v>113</v>
      </c>
      <c r="O382" s="168">
        <v>0.74583333333333335</v>
      </c>
      <c r="P382" s="168">
        <v>0.74583333333333335</v>
      </c>
      <c r="Q382" s="168">
        <v>0.7583333333333333</v>
      </c>
      <c r="R382" s="356">
        <f>(WTG_BD[[#This Row],[Work Start TimeStamp]]-WTG_BD[[#This Row],[Fault Start TimeStamp]])*24</f>
        <v>0</v>
      </c>
      <c r="S382" s="34">
        <f>(WTG_BD[[#This Row],[Fault Clearance time]]-WTG_BD[[#This Row],[Work Start TimeStamp]])*24</f>
        <v>0.29999999999999893</v>
      </c>
      <c r="T382" s="34">
        <f>(WTG_BD[[#This Row],[Fault Clearance time]]-WTG_BD[[#This Row],[Fault Start TimeStamp]])*24</f>
        <v>0.29999999999999893</v>
      </c>
      <c r="U382" t="s">
        <v>4268</v>
      </c>
      <c r="V382" s="234" t="s">
        <v>255</v>
      </c>
      <c r="W382" s="50">
        <f>IFERROR(IF(N382="ROW",0,(WTG_BD[[#This Row],[Breakdown Time]]*WTG_BD[[#This Row],[Plant Equivalent Weightage]])),"")</f>
        <v>1.3043478260869521E-2</v>
      </c>
      <c r="X382" s="50"/>
      <c r="Y382" s="205">
        <v>1</v>
      </c>
      <c r="Z382" s="205"/>
      <c r="AA382" s="4">
        <v>57</v>
      </c>
    </row>
    <row r="383" spans="1:27">
      <c r="A383" s="10">
        <f t="shared" si="7"/>
        <v>382</v>
      </c>
      <c r="B383" s="43">
        <f>YEAR(WTG_BD[[#This Row],[Date]])+IF(MONTH(WTG_BD[[#This Row],[Date]])&gt;=4,1,0)</f>
        <v>2026</v>
      </c>
      <c r="C383" s="10">
        <v>2025</v>
      </c>
      <c r="D383" s="10" t="s">
        <v>4478</v>
      </c>
      <c r="E383" s="309">
        <f>WTG_BD[[#This Row],[Date]]-DAY(WTG_BD[[#This Row],[Date]])+1</f>
        <v>45778</v>
      </c>
      <c r="F383" s="32">
        <v>45788</v>
      </c>
      <c r="G383" t="s">
        <v>91</v>
      </c>
      <c r="H383" t="str">
        <f>IFERROR(VLOOKUP(WTG_BD[[#This Row],[Affected WTG]],'Basic Data'!$A$3:$E$25,2,0),"")</f>
        <v>O2R2</v>
      </c>
      <c r="I383" t="str">
        <f>IFERROR(VLOOKUP(WTG_BD[[#This Row],[Affected WTG]],'Basic Data'!$A$3:$E$25,3,0),"")</f>
        <v>SIL</v>
      </c>
      <c r="J383" s="355">
        <f>IFERROR(VLOOKUP(WTG_BD[[#This Row],[Affected WTG]],'Basic Data'!$A$3:$E$25,5,0),"")</f>
        <v>4.3478260869565223E-2</v>
      </c>
      <c r="K383" s="10">
        <v>704</v>
      </c>
      <c r="L383" t="str">
        <f>IFERROR(VLOOKUP(WTG_BD[[#This Row],[Error Code]],'Basic Data'!S:T,2,0),"Incorrect Error Code")</f>
        <v>Ch High res. load C_ Load:___%</v>
      </c>
      <c r="M383" t="s">
        <v>372</v>
      </c>
      <c r="N383" t="s">
        <v>113</v>
      </c>
      <c r="O383" s="168">
        <v>0.78472222222222221</v>
      </c>
      <c r="P383" s="168">
        <v>0.78472222222222221</v>
      </c>
      <c r="Q383" s="168">
        <v>0.79722222222222228</v>
      </c>
      <c r="R383" s="356">
        <f>(WTG_BD[[#This Row],[Work Start TimeStamp]]-WTG_BD[[#This Row],[Fault Start TimeStamp]])*24</f>
        <v>0</v>
      </c>
      <c r="S383" s="34">
        <f>(WTG_BD[[#This Row],[Fault Clearance time]]-WTG_BD[[#This Row],[Work Start TimeStamp]])*24</f>
        <v>0.3000000000000016</v>
      </c>
      <c r="T383" s="34">
        <f>(WTG_BD[[#This Row],[Fault Clearance time]]-WTG_BD[[#This Row],[Fault Start TimeStamp]])*24</f>
        <v>0.3000000000000016</v>
      </c>
      <c r="U383" t="s">
        <v>4268</v>
      </c>
      <c r="V383" s="234" t="s">
        <v>255</v>
      </c>
      <c r="W383" s="50">
        <f>IFERROR(IF(N383="ROW",0,(WTG_BD[[#This Row],[Breakdown Time]]*WTG_BD[[#This Row],[Plant Equivalent Weightage]])),"")</f>
        <v>1.3043478260869636E-2</v>
      </c>
      <c r="X383" s="50"/>
      <c r="Y383" s="205">
        <v>1</v>
      </c>
      <c r="Z383" s="205"/>
      <c r="AA383" s="4">
        <v>357</v>
      </c>
    </row>
    <row r="384" spans="1:27">
      <c r="A384" s="10">
        <f t="shared" si="7"/>
        <v>383</v>
      </c>
      <c r="B384" s="43">
        <f>YEAR(WTG_BD[[#This Row],[Date]])+IF(MONTH(WTG_BD[[#This Row],[Date]])&gt;=4,1,0)</f>
        <v>2026</v>
      </c>
      <c r="C384" s="10">
        <v>2025</v>
      </c>
      <c r="D384" s="10" t="s">
        <v>4478</v>
      </c>
      <c r="E384" s="309">
        <f>WTG_BD[[#This Row],[Date]]-DAY(WTG_BD[[#This Row],[Date]])+1</f>
        <v>45778</v>
      </c>
      <c r="F384" s="32">
        <v>45788</v>
      </c>
      <c r="G384" t="s">
        <v>93</v>
      </c>
      <c r="H384" t="str">
        <f>IFERROR(VLOOKUP(WTG_BD[[#This Row],[Affected WTG]],'Basic Data'!$A$3:$E$25,2,0),"")</f>
        <v>O2R4</v>
      </c>
      <c r="I384" t="str">
        <f>IFERROR(VLOOKUP(WTG_BD[[#This Row],[Affected WTG]],'Basic Data'!$A$3:$E$25,3,0),"")</f>
        <v>SGDCIPL</v>
      </c>
      <c r="J384" s="355">
        <f>IFERROR(VLOOKUP(WTG_BD[[#This Row],[Affected WTG]],'Basic Data'!$A$3:$E$25,5,0),"")</f>
        <v>4.3478260869565223E-2</v>
      </c>
      <c r="K384" s="10">
        <v>704</v>
      </c>
      <c r="L384" t="str">
        <f>IFERROR(VLOOKUP(WTG_BD[[#This Row],[Error Code]],'Basic Data'!S:T,2,0),"Incorrect Error Code")</f>
        <v>Ch High res. load C_ Load:___%</v>
      </c>
      <c r="M384" t="s">
        <v>372</v>
      </c>
      <c r="N384" t="s">
        <v>113</v>
      </c>
      <c r="O384" s="168">
        <v>0.76180555555555551</v>
      </c>
      <c r="P384" s="168">
        <v>0.76180555555555551</v>
      </c>
      <c r="Q384" s="168">
        <v>0.76388888888888884</v>
      </c>
      <c r="R384" s="356">
        <f>(WTG_BD[[#This Row],[Work Start TimeStamp]]-WTG_BD[[#This Row],[Fault Start TimeStamp]])*24</f>
        <v>0</v>
      </c>
      <c r="S384" s="34">
        <f>(WTG_BD[[#This Row],[Fault Clearance time]]-WTG_BD[[#This Row],[Work Start TimeStamp]])*24</f>
        <v>4.9999999999999822E-2</v>
      </c>
      <c r="T384" s="34">
        <f>(WTG_BD[[#This Row],[Fault Clearance time]]-WTG_BD[[#This Row],[Fault Start TimeStamp]])*24</f>
        <v>4.9999999999999822E-2</v>
      </c>
      <c r="U384" t="s">
        <v>4268</v>
      </c>
      <c r="V384" s="234" t="s">
        <v>255</v>
      </c>
      <c r="W384" s="50">
        <f>IFERROR(IF(N384="ROW",0,(WTG_BD[[#This Row],[Breakdown Time]]*WTG_BD[[#This Row],[Plant Equivalent Weightage]])),"")</f>
        <v>2.1739130434782535E-3</v>
      </c>
      <c r="X384" s="50"/>
      <c r="Y384" s="205">
        <v>1</v>
      </c>
      <c r="Z384" s="205"/>
      <c r="AA384" s="4">
        <v>13</v>
      </c>
    </row>
    <row r="385" spans="1:27">
      <c r="A385" s="10">
        <f t="shared" si="7"/>
        <v>384</v>
      </c>
      <c r="B385" s="43">
        <f>YEAR(WTG_BD[[#This Row],[Date]])+IF(MONTH(WTG_BD[[#This Row],[Date]])&gt;=4,1,0)</f>
        <v>2026</v>
      </c>
      <c r="C385" s="10">
        <v>2025</v>
      </c>
      <c r="D385" s="10" t="s">
        <v>4478</v>
      </c>
      <c r="E385" s="309">
        <f>WTG_BD[[#This Row],[Date]]-DAY(WTG_BD[[#This Row],[Date]])+1</f>
        <v>45778</v>
      </c>
      <c r="F385" s="32">
        <v>45788</v>
      </c>
      <c r="G385" t="s">
        <v>93</v>
      </c>
      <c r="H385" t="str">
        <f>IFERROR(VLOOKUP(WTG_BD[[#This Row],[Affected WTG]],'Basic Data'!$A$3:$E$25,2,0),"")</f>
        <v>O2R4</v>
      </c>
      <c r="I385" t="str">
        <f>IFERROR(VLOOKUP(WTG_BD[[#This Row],[Affected WTG]],'Basic Data'!$A$3:$E$25,3,0),"")</f>
        <v>SGDCIPL</v>
      </c>
      <c r="J385" s="355">
        <f>IFERROR(VLOOKUP(WTG_BD[[#This Row],[Affected WTG]],'Basic Data'!$A$3:$E$25,5,0),"")</f>
        <v>4.3478260869565223E-2</v>
      </c>
      <c r="K385" s="10">
        <v>704</v>
      </c>
      <c r="L385" t="str">
        <f>IFERROR(VLOOKUP(WTG_BD[[#This Row],[Error Code]],'Basic Data'!S:T,2,0),"Incorrect Error Code")</f>
        <v>Ch High res. load C_ Load:___%</v>
      </c>
      <c r="M385" t="s">
        <v>372</v>
      </c>
      <c r="N385" t="s">
        <v>113</v>
      </c>
      <c r="O385" s="168">
        <v>0.77500000000000002</v>
      </c>
      <c r="P385" s="168">
        <v>0.77500000000000002</v>
      </c>
      <c r="Q385" s="168">
        <v>0.7944444444444444</v>
      </c>
      <c r="R385" s="356">
        <f>(WTG_BD[[#This Row],[Work Start TimeStamp]]-WTG_BD[[#This Row],[Fault Start TimeStamp]])*24</f>
        <v>0</v>
      </c>
      <c r="S385" s="34">
        <f>(WTG_BD[[#This Row],[Fault Clearance time]]-WTG_BD[[#This Row],[Work Start TimeStamp]])*24</f>
        <v>0.46666666666666501</v>
      </c>
      <c r="T385" s="34">
        <f>(WTG_BD[[#This Row],[Fault Clearance time]]-WTG_BD[[#This Row],[Fault Start TimeStamp]])*24</f>
        <v>0.46666666666666501</v>
      </c>
      <c r="U385" t="s">
        <v>4268</v>
      </c>
      <c r="V385" s="234" t="s">
        <v>255</v>
      </c>
      <c r="W385" s="50">
        <f>IFERROR(IF(N385="ROW",0,(WTG_BD[[#This Row],[Breakdown Time]]*WTG_BD[[#This Row],[Plant Equivalent Weightage]])),"")</f>
        <v>2.0289855072463697E-2</v>
      </c>
      <c r="X385" s="50"/>
      <c r="Y385" s="205">
        <v>1</v>
      </c>
      <c r="Z385" s="205"/>
      <c r="AA385" s="4">
        <v>323</v>
      </c>
    </row>
    <row r="386" spans="1:27">
      <c r="A386" s="10">
        <f t="shared" si="7"/>
        <v>385</v>
      </c>
      <c r="B386" s="43">
        <f>YEAR(WTG_BD[[#This Row],[Date]])+IF(MONTH(WTG_BD[[#This Row],[Date]])&gt;=4,1,0)</f>
        <v>2026</v>
      </c>
      <c r="C386" s="10">
        <v>2025</v>
      </c>
      <c r="D386" s="10" t="s">
        <v>4478</v>
      </c>
      <c r="E386" s="309">
        <f>WTG_BD[[#This Row],[Date]]-DAY(WTG_BD[[#This Row],[Date]])+1</f>
        <v>45778</v>
      </c>
      <c r="F386" s="32">
        <v>45789</v>
      </c>
      <c r="G386" t="s">
        <v>78</v>
      </c>
      <c r="H386" t="str">
        <f>IFERROR(VLOOKUP(WTG_BD[[#This Row],[Affected WTG]],'Basic Data'!$A$3:$E$25,2,0),"")</f>
        <v>O2R1</v>
      </c>
      <c r="I386" t="str">
        <f>IFERROR(VLOOKUP(WTG_BD[[#This Row],[Affected WTG]],'Basic Data'!$A$3:$E$25,3,0),"")</f>
        <v>KSIPL</v>
      </c>
      <c r="J386" s="355">
        <f>IFERROR(VLOOKUP(WTG_BD[[#This Row],[Affected WTG]],'Basic Data'!$A$3:$E$25,5,0),"")</f>
        <v>4.3478260869565223E-2</v>
      </c>
      <c r="K386" s="10">
        <v>704</v>
      </c>
      <c r="L386" t="str">
        <f>IFERROR(VLOOKUP(WTG_BD[[#This Row],[Error Code]],'Basic Data'!S:T,2,0),"Incorrect Error Code")</f>
        <v>Ch High res. load C_ Load:___%</v>
      </c>
      <c r="M386" t="s">
        <v>372</v>
      </c>
      <c r="N386" t="s">
        <v>113</v>
      </c>
      <c r="O386" s="168">
        <v>0.16250000000000001</v>
      </c>
      <c r="P386" s="168">
        <v>0.16250000000000001</v>
      </c>
      <c r="Q386" s="168">
        <v>0.19375000000000001</v>
      </c>
      <c r="R386" s="356">
        <f>(WTG_BD[[#This Row],[Work Start TimeStamp]]-WTG_BD[[#This Row],[Fault Start TimeStamp]])*24</f>
        <v>0</v>
      </c>
      <c r="S386" s="34">
        <f>(WTG_BD[[#This Row],[Fault Clearance time]]-WTG_BD[[#This Row],[Work Start TimeStamp]])*24</f>
        <v>0.75</v>
      </c>
      <c r="T386" s="34">
        <f>(WTG_BD[[#This Row],[Fault Clearance time]]-WTG_BD[[#This Row],[Fault Start TimeStamp]])*24</f>
        <v>0.75</v>
      </c>
      <c r="U386" t="s">
        <v>4268</v>
      </c>
      <c r="V386" s="234" t="s">
        <v>255</v>
      </c>
      <c r="W386" s="50">
        <f>IFERROR(IF(N386="ROW",0,(WTG_BD[[#This Row],[Breakdown Time]]*WTG_BD[[#This Row],[Plant Equivalent Weightage]])),"")</f>
        <v>3.2608695652173919E-2</v>
      </c>
      <c r="X386" s="50"/>
      <c r="Y386" s="205">
        <v>1</v>
      </c>
      <c r="Z386" s="205"/>
      <c r="AA386" s="4">
        <v>266</v>
      </c>
    </row>
    <row r="387" spans="1:27">
      <c r="A387" s="10">
        <f t="shared" si="7"/>
        <v>386</v>
      </c>
      <c r="B387" s="43">
        <f>YEAR(WTG_BD[[#This Row],[Date]])+IF(MONTH(WTG_BD[[#This Row],[Date]])&gt;=4,1,0)</f>
        <v>2026</v>
      </c>
      <c r="C387" s="10">
        <v>2025</v>
      </c>
      <c r="D387" s="10" t="s">
        <v>4478</v>
      </c>
      <c r="E387" s="309">
        <f>WTG_BD[[#This Row],[Date]]-DAY(WTG_BD[[#This Row],[Date]])+1</f>
        <v>45778</v>
      </c>
      <c r="F387" s="32">
        <v>45789</v>
      </c>
      <c r="G387" t="s">
        <v>87</v>
      </c>
      <c r="H387" t="str">
        <f>IFERROR(VLOOKUP(WTG_BD[[#This Row],[Affected WTG]],'Basic Data'!$A$3:$E$25,2,0),"")</f>
        <v>O2R1</v>
      </c>
      <c r="I387" t="str">
        <f>IFERROR(VLOOKUP(WTG_BD[[#This Row],[Affected WTG]],'Basic Data'!$A$3:$E$25,3,0),"")</f>
        <v>KSIPL</v>
      </c>
      <c r="J387" s="355">
        <f>IFERROR(VLOOKUP(WTG_BD[[#This Row],[Affected WTG]],'Basic Data'!$A$3:$E$25,5,0),"")</f>
        <v>4.3478260869565223E-2</v>
      </c>
      <c r="K387" s="10">
        <v>704</v>
      </c>
      <c r="L387" t="str">
        <f>IFERROR(VLOOKUP(WTG_BD[[#This Row],[Error Code]],'Basic Data'!S:T,2,0),"Incorrect Error Code")</f>
        <v>Ch High res. load C_ Load:___%</v>
      </c>
      <c r="M387" t="s">
        <v>372</v>
      </c>
      <c r="N387" t="s">
        <v>113</v>
      </c>
      <c r="O387" s="168">
        <v>7.9166666666666663E-2</v>
      </c>
      <c r="P387" s="168">
        <v>7.9166666666666663E-2</v>
      </c>
      <c r="Q387" s="168">
        <v>0.10347222222222222</v>
      </c>
      <c r="R387" s="356">
        <f>(WTG_BD[[#This Row],[Work Start TimeStamp]]-WTG_BD[[#This Row],[Fault Start TimeStamp]])*24</f>
        <v>0</v>
      </c>
      <c r="S387" s="34">
        <f>(WTG_BD[[#This Row],[Fault Clearance time]]-WTG_BD[[#This Row],[Work Start TimeStamp]])*24</f>
        <v>0.58333333333333326</v>
      </c>
      <c r="T387" s="34">
        <f>(WTG_BD[[#This Row],[Fault Clearance time]]-WTG_BD[[#This Row],[Fault Start TimeStamp]])*24</f>
        <v>0.58333333333333326</v>
      </c>
      <c r="U387" t="s">
        <v>4268</v>
      </c>
      <c r="V387" s="234" t="s">
        <v>255</v>
      </c>
      <c r="W387" s="50">
        <f>IFERROR(IF(N387="ROW",0,(WTG_BD[[#This Row],[Breakdown Time]]*WTG_BD[[#This Row],[Plant Equivalent Weightage]])),"")</f>
        <v>2.5362318840579712E-2</v>
      </c>
      <c r="X387" s="50"/>
      <c r="Y387" s="205">
        <v>1</v>
      </c>
      <c r="Z387" s="205"/>
      <c r="AA387" s="4">
        <v>498</v>
      </c>
    </row>
    <row r="388" spans="1:27">
      <c r="A388" s="10">
        <f t="shared" si="7"/>
        <v>387</v>
      </c>
      <c r="B388" s="43">
        <f>YEAR(WTG_BD[[#This Row],[Date]])+IF(MONTH(WTG_BD[[#This Row],[Date]])&gt;=4,1,0)</f>
        <v>2026</v>
      </c>
      <c r="C388" s="10">
        <v>2025</v>
      </c>
      <c r="D388" s="10" t="s">
        <v>4478</v>
      </c>
      <c r="E388" s="309">
        <f>WTG_BD[[#This Row],[Date]]-DAY(WTG_BD[[#This Row],[Date]])+1</f>
        <v>45778</v>
      </c>
      <c r="F388" s="32">
        <v>45789</v>
      </c>
      <c r="G388" t="s">
        <v>87</v>
      </c>
      <c r="H388" t="str">
        <f>IFERROR(VLOOKUP(WTG_BD[[#This Row],[Affected WTG]],'Basic Data'!$A$3:$E$25,2,0),"")</f>
        <v>O2R1</v>
      </c>
      <c r="I388" t="str">
        <f>IFERROR(VLOOKUP(WTG_BD[[#This Row],[Affected WTG]],'Basic Data'!$A$3:$E$25,3,0),"")</f>
        <v>KSIPL</v>
      </c>
      <c r="J388" s="355">
        <f>IFERROR(VLOOKUP(WTG_BD[[#This Row],[Affected WTG]],'Basic Data'!$A$3:$E$25,5,0),"")</f>
        <v>4.3478260869565223E-2</v>
      </c>
      <c r="K388" s="10">
        <v>704</v>
      </c>
      <c r="L388" t="str">
        <f>IFERROR(VLOOKUP(WTG_BD[[#This Row],[Error Code]],'Basic Data'!S:T,2,0),"Incorrect Error Code")</f>
        <v>Ch High res. load C_ Load:___%</v>
      </c>
      <c r="M388" t="s">
        <v>372</v>
      </c>
      <c r="N388" t="s">
        <v>113</v>
      </c>
      <c r="O388" s="168">
        <v>0.11319444444444444</v>
      </c>
      <c r="P388" s="168">
        <v>0.11319444444444444</v>
      </c>
      <c r="Q388" s="168">
        <v>0.15833333333333333</v>
      </c>
      <c r="R388" s="356">
        <f>(WTG_BD[[#This Row],[Work Start TimeStamp]]-WTG_BD[[#This Row],[Fault Start TimeStamp]])*24</f>
        <v>0</v>
      </c>
      <c r="S388" s="34">
        <f>(WTG_BD[[#This Row],[Fault Clearance time]]-WTG_BD[[#This Row],[Work Start TimeStamp]])*24</f>
        <v>1.083333333333333</v>
      </c>
      <c r="T388" s="34">
        <f>(WTG_BD[[#This Row],[Fault Clearance time]]-WTG_BD[[#This Row],[Fault Start TimeStamp]])*24</f>
        <v>1.083333333333333</v>
      </c>
      <c r="U388" t="s">
        <v>4268</v>
      </c>
      <c r="V388" s="234" t="s">
        <v>255</v>
      </c>
      <c r="W388" s="50">
        <f>IFERROR(IF(N388="ROW",0,(WTG_BD[[#This Row],[Breakdown Time]]*WTG_BD[[#This Row],[Plant Equivalent Weightage]])),"")</f>
        <v>4.7101449275362313E-2</v>
      </c>
      <c r="X388" s="50"/>
      <c r="Y388" s="205">
        <v>1</v>
      </c>
      <c r="Z388" s="205"/>
      <c r="AA388" s="4">
        <v>477</v>
      </c>
    </row>
    <row r="389" spans="1:27">
      <c r="A389" s="10">
        <f t="shared" si="7"/>
        <v>388</v>
      </c>
      <c r="B389" s="43">
        <f>YEAR(WTG_BD[[#This Row],[Date]])+IF(MONTH(WTG_BD[[#This Row],[Date]])&gt;=4,1,0)</f>
        <v>2026</v>
      </c>
      <c r="C389" s="10">
        <v>2025</v>
      </c>
      <c r="D389" s="10" t="s">
        <v>4478</v>
      </c>
      <c r="E389" s="309">
        <f>WTG_BD[[#This Row],[Date]]-DAY(WTG_BD[[#This Row],[Date]])+1</f>
        <v>45778</v>
      </c>
      <c r="F389" s="32">
        <v>45789</v>
      </c>
      <c r="G389" t="s">
        <v>89</v>
      </c>
      <c r="H389" t="str">
        <f>IFERROR(VLOOKUP(WTG_BD[[#This Row],[Affected WTG]],'Basic Data'!$A$3:$E$25,2,0),"")</f>
        <v>O2R1</v>
      </c>
      <c r="I389" t="str">
        <f>IFERROR(VLOOKUP(WTG_BD[[#This Row],[Affected WTG]],'Basic Data'!$A$3:$E$25,3,0),"")</f>
        <v>KSIPL</v>
      </c>
      <c r="J389" s="355">
        <f>IFERROR(VLOOKUP(WTG_BD[[#This Row],[Affected WTG]],'Basic Data'!$A$3:$E$25,5,0),"")</f>
        <v>4.3478260869565223E-2</v>
      </c>
      <c r="K389" s="10">
        <v>704</v>
      </c>
      <c r="L389" t="str">
        <f>IFERROR(VLOOKUP(WTG_BD[[#This Row],[Error Code]],'Basic Data'!S:T,2,0),"Incorrect Error Code")</f>
        <v>Ch High res. load C_ Load:___%</v>
      </c>
      <c r="M389" t="s">
        <v>372</v>
      </c>
      <c r="N389" t="s">
        <v>113</v>
      </c>
      <c r="O389" s="168">
        <v>2.2916666666666665E-2</v>
      </c>
      <c r="P389" s="168">
        <v>2.2916666666666665E-2</v>
      </c>
      <c r="Q389" s="168">
        <v>2.7777777777777776E-2</v>
      </c>
      <c r="R389" s="356">
        <f>(WTG_BD[[#This Row],[Work Start TimeStamp]]-WTG_BD[[#This Row],[Fault Start TimeStamp]])*24</f>
        <v>0</v>
      </c>
      <c r="S389" s="34">
        <f>(WTG_BD[[#This Row],[Fault Clearance time]]-WTG_BD[[#This Row],[Work Start TimeStamp]])*24</f>
        <v>0.11666666666666667</v>
      </c>
      <c r="T389" s="34">
        <f>(WTG_BD[[#This Row],[Fault Clearance time]]-WTG_BD[[#This Row],[Fault Start TimeStamp]])*24</f>
        <v>0.11666666666666667</v>
      </c>
      <c r="U389" t="s">
        <v>4268</v>
      </c>
      <c r="V389" s="234" t="s">
        <v>255</v>
      </c>
      <c r="W389" s="50">
        <f>IFERROR(IF(N389="ROW",0,(WTG_BD[[#This Row],[Breakdown Time]]*WTG_BD[[#This Row],[Plant Equivalent Weightage]])),"")</f>
        <v>5.0724637681159425E-3</v>
      </c>
      <c r="X389" s="50"/>
      <c r="Y389" s="205">
        <v>1</v>
      </c>
      <c r="Z389" s="205"/>
      <c r="AA389" s="4">
        <v>65</v>
      </c>
    </row>
    <row r="390" spans="1:27">
      <c r="A390" s="10">
        <f t="shared" si="7"/>
        <v>389</v>
      </c>
      <c r="B390" s="43">
        <f>YEAR(WTG_BD[[#This Row],[Date]])+IF(MONTH(WTG_BD[[#This Row],[Date]])&gt;=4,1,0)</f>
        <v>2026</v>
      </c>
      <c r="C390" s="10">
        <v>2025</v>
      </c>
      <c r="D390" s="10" t="s">
        <v>4478</v>
      </c>
      <c r="E390" s="309">
        <f>WTG_BD[[#This Row],[Date]]-DAY(WTG_BD[[#This Row],[Date]])+1</f>
        <v>45778</v>
      </c>
      <c r="F390" s="32">
        <v>45789</v>
      </c>
      <c r="G390" t="s">
        <v>91</v>
      </c>
      <c r="H390" t="str">
        <f>IFERROR(VLOOKUP(WTG_BD[[#This Row],[Affected WTG]],'Basic Data'!$A$3:$E$25,2,0),"")</f>
        <v>O2R2</v>
      </c>
      <c r="I390" t="str">
        <f>IFERROR(VLOOKUP(WTG_BD[[#This Row],[Affected WTG]],'Basic Data'!$A$3:$E$25,3,0),"")</f>
        <v>SIL</v>
      </c>
      <c r="J390" s="355">
        <f>IFERROR(VLOOKUP(WTG_BD[[#This Row],[Affected WTG]],'Basic Data'!$A$3:$E$25,5,0),"")</f>
        <v>4.3478260869565223E-2</v>
      </c>
      <c r="K390" s="10">
        <v>309</v>
      </c>
      <c r="L390" t="str">
        <f>IFERROR(VLOOKUP(WTG_BD[[#This Row],[Error Code]],'Basic Data'!S:T,2,0),"Incorrect Error Code")</f>
        <v>Pause over RCS __0</v>
      </c>
      <c r="M390" t="s">
        <v>871</v>
      </c>
      <c r="N390" t="s">
        <v>257</v>
      </c>
      <c r="O390" s="168">
        <v>0.42638888888888887</v>
      </c>
      <c r="P390" s="168">
        <v>0.42638888888888887</v>
      </c>
      <c r="Q390" s="168">
        <v>0.74930555555555556</v>
      </c>
      <c r="R390" s="356">
        <f>(WTG_BD[[#This Row],[Work Start TimeStamp]]-WTG_BD[[#This Row],[Fault Start TimeStamp]])*24</f>
        <v>0</v>
      </c>
      <c r="S390" s="34">
        <f>(WTG_BD[[#This Row],[Fault Clearance time]]-WTG_BD[[#This Row],[Work Start TimeStamp]])*24</f>
        <v>7.75</v>
      </c>
      <c r="T390" s="34">
        <f>(WTG_BD[[#This Row],[Fault Clearance time]]-WTG_BD[[#This Row],[Fault Start TimeStamp]])*24</f>
        <v>7.75</v>
      </c>
      <c r="U390" t="s">
        <v>4493</v>
      </c>
      <c r="V390" s="234" t="s">
        <v>255</v>
      </c>
      <c r="W390" s="50">
        <f>IFERROR(IF(N390="ROW",0,(WTG_BD[[#This Row],[Breakdown Time]]*WTG_BD[[#This Row],[Plant Equivalent Weightage]])),"")</f>
        <v>0.33695652173913049</v>
      </c>
      <c r="X390" s="50"/>
      <c r="Y390" s="205">
        <v>1</v>
      </c>
      <c r="Z390" s="205"/>
      <c r="AA390" s="4">
        <v>660</v>
      </c>
    </row>
    <row r="391" spans="1:27">
      <c r="A391" s="10">
        <f t="shared" si="7"/>
        <v>390</v>
      </c>
      <c r="B391" s="43">
        <f>YEAR(WTG_BD[[#This Row],[Date]])+IF(MONTH(WTG_BD[[#This Row],[Date]])&gt;=4,1,0)</f>
        <v>2026</v>
      </c>
      <c r="C391" s="10">
        <v>2025</v>
      </c>
      <c r="D391" s="10" t="s">
        <v>4478</v>
      </c>
      <c r="E391" s="309">
        <f>WTG_BD[[#This Row],[Date]]-DAY(WTG_BD[[#This Row],[Date]])+1</f>
        <v>45778</v>
      </c>
      <c r="F391" s="32">
        <v>45790</v>
      </c>
      <c r="G391" t="s">
        <v>91</v>
      </c>
      <c r="H391" t="str">
        <f>IFERROR(VLOOKUP(WTG_BD[[#This Row],[Affected WTG]],'Basic Data'!$A$3:$E$25,2,0),"")</f>
        <v>O2R2</v>
      </c>
      <c r="I391" t="str">
        <f>IFERROR(VLOOKUP(WTG_BD[[#This Row],[Affected WTG]],'Basic Data'!$A$3:$E$25,3,0),"")</f>
        <v>SIL</v>
      </c>
      <c r="J391" s="355">
        <f>IFERROR(VLOOKUP(WTG_BD[[#This Row],[Affected WTG]],'Basic Data'!$A$3:$E$25,5,0),"")</f>
        <v>4.3478260869565223E-2</v>
      </c>
      <c r="K391" s="10">
        <v>309</v>
      </c>
      <c r="L391" t="str">
        <f>IFERROR(VLOOKUP(WTG_BD[[#This Row],[Error Code]],'Basic Data'!S:T,2,0),"Incorrect Error Code")</f>
        <v>Pause over RCS __0</v>
      </c>
      <c r="M391" t="s">
        <v>871</v>
      </c>
      <c r="N391" t="s">
        <v>257</v>
      </c>
      <c r="O391" s="168">
        <v>0.43263888888888891</v>
      </c>
      <c r="P391" s="168">
        <v>0.43263888888888891</v>
      </c>
      <c r="Q391" s="168">
        <v>0.74861111111111112</v>
      </c>
      <c r="R391" s="356">
        <f>(WTG_BD[[#This Row],[Work Start TimeStamp]]-WTG_BD[[#This Row],[Fault Start TimeStamp]])*24</f>
        <v>0</v>
      </c>
      <c r="S391" s="34">
        <f>(WTG_BD[[#This Row],[Fault Clearance time]]-WTG_BD[[#This Row],[Work Start TimeStamp]])*24</f>
        <v>7.583333333333333</v>
      </c>
      <c r="T391" s="34">
        <f>(WTG_BD[[#This Row],[Fault Clearance time]]-WTG_BD[[#This Row],[Fault Start TimeStamp]])*24</f>
        <v>7.583333333333333</v>
      </c>
      <c r="U391" t="s">
        <v>4494</v>
      </c>
      <c r="V391" s="234" t="s">
        <v>255</v>
      </c>
      <c r="W391" s="50">
        <f>IFERROR(IF(N391="ROW",0,(WTG_BD[[#This Row],[Breakdown Time]]*WTG_BD[[#This Row],[Plant Equivalent Weightage]])),"")</f>
        <v>0.32971014492753625</v>
      </c>
      <c r="X391" s="50"/>
      <c r="Y391" s="205">
        <v>1</v>
      </c>
      <c r="Z391" s="205"/>
      <c r="AA391" s="4">
        <v>1234</v>
      </c>
    </row>
    <row r="392" spans="1:27">
      <c r="A392" s="10">
        <f t="shared" si="7"/>
        <v>391</v>
      </c>
      <c r="B392" s="43">
        <f>YEAR(WTG_BD[[#This Row],[Date]])+IF(MONTH(WTG_BD[[#This Row],[Date]])&gt;=4,1,0)</f>
        <v>2026</v>
      </c>
      <c r="C392" s="10">
        <v>2025</v>
      </c>
      <c r="D392" s="10" t="s">
        <v>4478</v>
      </c>
      <c r="E392" s="309">
        <f>WTG_BD[[#This Row],[Date]]-DAY(WTG_BD[[#This Row],[Date]])+1</f>
        <v>45778</v>
      </c>
      <c r="F392" s="32">
        <v>45790</v>
      </c>
      <c r="G392" t="s">
        <v>79</v>
      </c>
      <c r="H392" t="str">
        <f>IFERROR(VLOOKUP(WTG_BD[[#This Row],[Affected WTG]],'Basic Data'!$A$3:$E$25,2,0),"")</f>
        <v>O2R3</v>
      </c>
      <c r="I392" t="str">
        <f>IFERROR(VLOOKUP(WTG_BD[[#This Row],[Affected WTG]],'Basic Data'!$A$3:$E$25,3,0),"")</f>
        <v>JK</v>
      </c>
      <c r="J392" s="355">
        <f>IFERROR(VLOOKUP(WTG_BD[[#This Row],[Affected WTG]],'Basic Data'!$A$3:$E$25,5,0),"")</f>
        <v>4.3478260869565223E-2</v>
      </c>
      <c r="K392" s="10">
        <v>315</v>
      </c>
      <c r="L392" t="str">
        <f>IFERROR(VLOOKUP(WTG_BD[[#This Row],[Error Code]],'Basic Data'!S:T,2,0),"Incorrect Error Code")</f>
        <v>ExEx low voltage L_: ___V</v>
      </c>
      <c r="M392" t="s">
        <v>141</v>
      </c>
      <c r="N392" t="s">
        <v>113</v>
      </c>
      <c r="O392" s="168">
        <v>7.2916666666666671E-2</v>
      </c>
      <c r="P392" s="168">
        <v>7.2916666666666671E-2</v>
      </c>
      <c r="Q392" s="168">
        <v>0.11805555555555555</v>
      </c>
      <c r="R392" s="356">
        <f>(WTG_BD[[#This Row],[Work Start TimeStamp]]-WTG_BD[[#This Row],[Fault Start TimeStamp]])*24</f>
        <v>0</v>
      </c>
      <c r="S392" s="34">
        <f>(WTG_BD[[#This Row],[Fault Clearance time]]-WTG_BD[[#This Row],[Work Start TimeStamp]])*24</f>
        <v>1.083333333333333</v>
      </c>
      <c r="T392" s="34">
        <f>(WTG_BD[[#This Row],[Fault Clearance time]]-WTG_BD[[#This Row],[Fault Start TimeStamp]])*24</f>
        <v>1.083333333333333</v>
      </c>
      <c r="U392" t="s">
        <v>4328</v>
      </c>
      <c r="V392" s="234" t="s">
        <v>255</v>
      </c>
      <c r="W392" s="50">
        <f>IFERROR(IF(N392="ROW",0,(WTG_BD[[#This Row],[Breakdown Time]]*WTG_BD[[#This Row],[Plant Equivalent Weightage]])),"")</f>
        <v>4.7101449275362313E-2</v>
      </c>
      <c r="X392" s="50"/>
      <c r="Y392" s="205">
        <v>1</v>
      </c>
      <c r="Z392" s="205"/>
      <c r="AA392" s="4">
        <v>345</v>
      </c>
    </row>
    <row r="393" spans="1:27">
      <c r="A393" s="10">
        <f t="shared" si="7"/>
        <v>392</v>
      </c>
      <c r="B393" s="43">
        <f>YEAR(WTG_BD[[#This Row],[Date]])+IF(MONTH(WTG_BD[[#This Row],[Date]])&gt;=4,1,0)</f>
        <v>2026</v>
      </c>
      <c r="C393" s="10">
        <v>2025</v>
      </c>
      <c r="D393" s="10" t="s">
        <v>4478</v>
      </c>
      <c r="E393" s="309">
        <f>WTG_BD[[#This Row],[Date]]-DAY(WTG_BD[[#This Row],[Date]])+1</f>
        <v>45778</v>
      </c>
      <c r="F393" s="32">
        <v>45791</v>
      </c>
      <c r="G393" t="s">
        <v>83</v>
      </c>
      <c r="H393" t="str">
        <f>IFERROR(VLOOKUP(WTG_BD[[#This Row],[Affected WTG]],'Basic Data'!$A$3:$E$25,2,0),"")</f>
        <v>O2R3</v>
      </c>
      <c r="I393" t="str">
        <f>IFERROR(VLOOKUP(WTG_BD[[#This Row],[Affected WTG]],'Basic Data'!$A$3:$E$25,3,0),"")</f>
        <v>JK</v>
      </c>
      <c r="J393" s="355">
        <f>IFERROR(VLOOKUP(WTG_BD[[#This Row],[Affected WTG]],'Basic Data'!$A$3:$E$25,5,0),"")</f>
        <v>4.3478260869565223E-2</v>
      </c>
      <c r="K393" s="10">
        <v>3273</v>
      </c>
      <c r="L393" t="str">
        <f>IFERROR(VLOOKUP(WTG_BD[[#This Row],[Error Code]],'Basic Data'!S:T,2,0),"Incorrect Error Code")</f>
        <v>YawUntwistCCW: Code__,_______°</v>
      </c>
      <c r="M393" t="s">
        <v>1963</v>
      </c>
      <c r="N393" t="s">
        <v>113</v>
      </c>
      <c r="O393" s="168">
        <v>0.7</v>
      </c>
      <c r="P393" s="168">
        <v>0.7</v>
      </c>
      <c r="Q393" s="168">
        <v>0.71388888888888891</v>
      </c>
      <c r="R393" s="356">
        <f>(WTG_BD[[#This Row],[Work Start TimeStamp]]-WTG_BD[[#This Row],[Fault Start TimeStamp]])*24</f>
        <v>0</v>
      </c>
      <c r="S393" s="34">
        <f>(WTG_BD[[#This Row],[Fault Clearance time]]-WTG_BD[[#This Row],[Work Start TimeStamp]])*24</f>
        <v>0.33333333333333481</v>
      </c>
      <c r="T393" s="34">
        <f>(WTG_BD[[#This Row],[Fault Clearance time]]-WTG_BD[[#This Row],[Fault Start TimeStamp]])*24</f>
        <v>0.33333333333333481</v>
      </c>
      <c r="U393" t="s">
        <v>4268</v>
      </c>
      <c r="V393" s="234" t="s">
        <v>255</v>
      </c>
      <c r="W393" s="50">
        <f>IFERROR(IF(N393="ROW",0,(WTG_BD[[#This Row],[Breakdown Time]]*WTG_BD[[#This Row],[Plant Equivalent Weightage]])),"")</f>
        <v>1.4492753623188472E-2</v>
      </c>
      <c r="X393" s="50"/>
      <c r="Y393" s="205">
        <v>1</v>
      </c>
      <c r="Z393" s="205"/>
      <c r="AA393" s="4">
        <v>49</v>
      </c>
    </row>
    <row r="394" spans="1:27">
      <c r="A394" s="10">
        <f t="shared" si="7"/>
        <v>393</v>
      </c>
      <c r="B394" s="43">
        <f>YEAR(WTG_BD[[#This Row],[Date]])+IF(MONTH(WTG_BD[[#This Row],[Date]])&gt;=4,1,0)</f>
        <v>2026</v>
      </c>
      <c r="C394" s="10">
        <v>2025</v>
      </c>
      <c r="D394" s="10" t="s">
        <v>4478</v>
      </c>
      <c r="E394" s="309">
        <f>WTG_BD[[#This Row],[Date]]-DAY(WTG_BD[[#This Row],[Date]])+1</f>
        <v>45778</v>
      </c>
      <c r="F394" s="32">
        <v>45791</v>
      </c>
      <c r="G394" t="s">
        <v>87</v>
      </c>
      <c r="H394" t="str">
        <f>IFERROR(VLOOKUP(WTG_BD[[#This Row],[Affected WTG]],'Basic Data'!$A$3:$E$25,2,0),"")</f>
        <v>O2R1</v>
      </c>
      <c r="I394" t="str">
        <f>IFERROR(VLOOKUP(WTG_BD[[#This Row],[Affected WTG]],'Basic Data'!$A$3:$E$25,3,0),"")</f>
        <v>KSIPL</v>
      </c>
      <c r="J394" s="355">
        <f>IFERROR(VLOOKUP(WTG_BD[[#This Row],[Affected WTG]],'Basic Data'!$A$3:$E$25,5,0),"")</f>
        <v>4.3478260869565223E-2</v>
      </c>
      <c r="K394" s="10">
        <v>3272</v>
      </c>
      <c r="L394" t="str">
        <f>IFERROR(VLOOKUP(WTG_BD[[#This Row],[Error Code]],'Basic Data'!S:T,2,0),"Incorrect Error Code")</f>
        <v>YawUntwistCW: Code__,_______°</v>
      </c>
      <c r="M394" t="s">
        <v>378</v>
      </c>
      <c r="O394" s="168">
        <v>0.46041666666666664</v>
      </c>
      <c r="P394" s="168">
        <v>0.46041666666666664</v>
      </c>
      <c r="Q394" s="168">
        <v>0.47499999999999998</v>
      </c>
      <c r="R394" s="356">
        <f>(WTG_BD[[#This Row],[Work Start TimeStamp]]-WTG_BD[[#This Row],[Fault Start TimeStamp]])*24</f>
        <v>0</v>
      </c>
      <c r="S394" s="34">
        <f>(WTG_BD[[#This Row],[Fault Clearance time]]-WTG_BD[[#This Row],[Work Start TimeStamp]])*24</f>
        <v>0.35000000000000009</v>
      </c>
      <c r="T394" s="34">
        <f>(WTG_BD[[#This Row],[Fault Clearance time]]-WTG_BD[[#This Row],[Fault Start TimeStamp]])*24</f>
        <v>0.35000000000000009</v>
      </c>
      <c r="U394" t="s">
        <v>4323</v>
      </c>
      <c r="V394" s="234" t="s">
        <v>255</v>
      </c>
      <c r="W394" s="50">
        <f>IFERROR(IF(N394="ROW",0,(WTG_BD[[#This Row],[Breakdown Time]]*WTG_BD[[#This Row],[Plant Equivalent Weightage]])),"")</f>
        <v>1.5217391304347832E-2</v>
      </c>
      <c r="X394" s="50"/>
      <c r="Y394" s="205">
        <v>1</v>
      </c>
      <c r="Z394" s="205"/>
      <c r="AA394" s="4">
        <v>10</v>
      </c>
    </row>
    <row r="395" spans="1:27">
      <c r="A395" s="10">
        <f t="shared" si="7"/>
        <v>394</v>
      </c>
      <c r="B395" s="43">
        <f>YEAR(WTG_BD[[#This Row],[Date]])+IF(MONTH(WTG_BD[[#This Row],[Date]])&gt;=4,1,0)</f>
        <v>2026</v>
      </c>
      <c r="C395" s="10">
        <v>2025</v>
      </c>
      <c r="D395" s="10" t="s">
        <v>4478</v>
      </c>
      <c r="E395" s="309">
        <f>WTG_BD[[#This Row],[Date]]-DAY(WTG_BD[[#This Row],[Date]])+1</f>
        <v>45778</v>
      </c>
      <c r="F395" s="32">
        <v>45791</v>
      </c>
      <c r="G395" t="s">
        <v>94</v>
      </c>
      <c r="H395" t="str">
        <f>IFERROR(VLOOKUP(WTG_BD[[#This Row],[Affected WTG]],'Basic Data'!$A$3:$E$25,2,0),"")</f>
        <v>O2R1</v>
      </c>
      <c r="I395" t="str">
        <f>IFERROR(VLOOKUP(WTG_BD[[#This Row],[Affected WTG]],'Basic Data'!$A$3:$E$25,3,0),"")</f>
        <v>KSIPL</v>
      </c>
      <c r="J395" s="355">
        <f>IFERROR(VLOOKUP(WTG_BD[[#This Row],[Affected WTG]],'Basic Data'!$A$3:$E$25,5,0),"")</f>
        <v>4.3478260869565223E-2</v>
      </c>
      <c r="K395" s="10">
        <v>309</v>
      </c>
      <c r="L395" t="str">
        <f>IFERROR(VLOOKUP(WTG_BD[[#This Row],[Error Code]],'Basic Data'!S:T,2,0),"Incorrect Error Code")</f>
        <v>Pause over RCS __0</v>
      </c>
      <c r="M395" t="s">
        <v>871</v>
      </c>
      <c r="N395" t="s">
        <v>257</v>
      </c>
      <c r="O395" s="168">
        <v>0.42986111111111114</v>
      </c>
      <c r="P395" s="168">
        <v>0.42986111111111114</v>
      </c>
      <c r="Q395" s="168">
        <v>0.81805555555555554</v>
      </c>
      <c r="R395" s="356">
        <f>(WTG_BD[[#This Row],[Work Start TimeStamp]]-WTG_BD[[#This Row],[Fault Start TimeStamp]])*24</f>
        <v>0</v>
      </c>
      <c r="S395" s="34">
        <f>(WTG_BD[[#This Row],[Fault Clearance time]]-WTG_BD[[#This Row],[Work Start TimeStamp]])*24</f>
        <v>9.3166666666666664</v>
      </c>
      <c r="T395" s="34">
        <f>(WTG_BD[[#This Row],[Fault Clearance time]]-WTG_BD[[#This Row],[Fault Start TimeStamp]])*24</f>
        <v>9.3166666666666664</v>
      </c>
      <c r="U395" t="s">
        <v>4493</v>
      </c>
      <c r="V395" s="234" t="s">
        <v>255</v>
      </c>
      <c r="W395" s="50">
        <f>IFERROR(IF(N395="ROW",0,(WTG_BD[[#This Row],[Breakdown Time]]*WTG_BD[[#This Row],[Plant Equivalent Weightage]])),"")</f>
        <v>0.40507246376811601</v>
      </c>
      <c r="X395" s="50"/>
      <c r="Y395" s="205">
        <v>1</v>
      </c>
      <c r="Z395" s="205"/>
      <c r="AA395" s="4">
        <v>386</v>
      </c>
    </row>
    <row r="396" spans="1:27">
      <c r="A396" s="10">
        <f t="shared" si="7"/>
        <v>395</v>
      </c>
      <c r="B396" s="43">
        <f>YEAR(WTG_BD[[#This Row],[Date]])+IF(MONTH(WTG_BD[[#This Row],[Date]])&gt;=4,1,0)</f>
        <v>2026</v>
      </c>
      <c r="C396" s="10">
        <v>2025</v>
      </c>
      <c r="D396" s="10" t="s">
        <v>4478</v>
      </c>
      <c r="E396" s="309">
        <f>WTG_BD[[#This Row],[Date]]-DAY(WTG_BD[[#This Row],[Date]])+1</f>
        <v>45778</v>
      </c>
      <c r="F396" s="32">
        <v>45791</v>
      </c>
      <c r="G396" t="s">
        <v>82</v>
      </c>
      <c r="H396" t="str">
        <f>IFERROR(VLOOKUP(WTG_BD[[#This Row],[Affected WTG]],'Basic Data'!$A$3:$E$25,2,0),"")</f>
        <v>O2R3</v>
      </c>
      <c r="I396" t="str">
        <f>IFERROR(VLOOKUP(WTG_BD[[#This Row],[Affected WTG]],'Basic Data'!$A$3:$E$25,3,0),"")</f>
        <v>JK</v>
      </c>
      <c r="J396" s="355">
        <f>IFERROR(VLOOKUP(WTG_BD[[#This Row],[Affected WTG]],'Basic Data'!$A$3:$E$25,5,0),"")</f>
        <v>4.3478260869565223E-2</v>
      </c>
      <c r="K396" s="10">
        <v>3273</v>
      </c>
      <c r="L396" t="str">
        <f>IFERROR(VLOOKUP(WTG_BD[[#This Row],[Error Code]],'Basic Data'!S:T,2,0),"Incorrect Error Code")</f>
        <v>YawUntwistCCW: Code__,_______°</v>
      </c>
      <c r="M396" t="s">
        <v>1963</v>
      </c>
      <c r="O396" s="168">
        <v>0.68541666666666667</v>
      </c>
      <c r="P396" s="168">
        <v>0.68541666666666667</v>
      </c>
      <c r="Q396" s="168">
        <v>0.7</v>
      </c>
      <c r="R396" s="356">
        <f>(WTG_BD[[#This Row],[Work Start TimeStamp]]-WTG_BD[[#This Row],[Fault Start TimeStamp]])*24</f>
        <v>0</v>
      </c>
      <c r="S396" s="34">
        <f>(WTG_BD[[#This Row],[Fault Clearance time]]-WTG_BD[[#This Row],[Work Start TimeStamp]])*24</f>
        <v>0.34999999999999876</v>
      </c>
      <c r="T396" s="34">
        <f>(WTG_BD[[#This Row],[Fault Clearance time]]-WTG_BD[[#This Row],[Fault Start TimeStamp]])*24</f>
        <v>0.34999999999999876</v>
      </c>
      <c r="U396" t="s">
        <v>4323</v>
      </c>
      <c r="V396" s="234" t="s">
        <v>255</v>
      </c>
      <c r="W396" s="50">
        <f>IFERROR(IF(N396="ROW",0,(WTG_BD[[#This Row],[Breakdown Time]]*WTG_BD[[#This Row],[Plant Equivalent Weightage]])),"")</f>
        <v>1.5217391304347775E-2</v>
      </c>
      <c r="X396" s="50"/>
      <c r="Y396" s="205">
        <v>1</v>
      </c>
      <c r="Z396" s="205"/>
      <c r="AA396" s="4">
        <v>21</v>
      </c>
    </row>
    <row r="397" spans="1:27">
      <c r="A397" s="10">
        <f t="shared" si="7"/>
        <v>396</v>
      </c>
      <c r="B397" s="43">
        <f>YEAR(WTG_BD[[#This Row],[Date]])+IF(MONTH(WTG_BD[[#This Row],[Date]])&gt;=4,1,0)</f>
        <v>2026</v>
      </c>
      <c r="C397" s="10">
        <v>2025</v>
      </c>
      <c r="D397" s="10" t="s">
        <v>4478</v>
      </c>
      <c r="E397" s="309">
        <f>WTG_BD[[#This Row],[Date]]-DAY(WTG_BD[[#This Row],[Date]])+1</f>
        <v>45778</v>
      </c>
      <c r="F397" s="32">
        <v>45791</v>
      </c>
      <c r="G397" t="s">
        <v>84</v>
      </c>
      <c r="H397" t="str">
        <f>IFERROR(VLOOKUP(WTG_BD[[#This Row],[Affected WTG]],'Basic Data'!$A$3:$E$25,2,0),"")</f>
        <v>O2R3</v>
      </c>
      <c r="I397" t="str">
        <f>IFERROR(VLOOKUP(WTG_BD[[#This Row],[Affected WTG]],'Basic Data'!$A$3:$E$25,3,0),"")</f>
        <v>JK</v>
      </c>
      <c r="J397" s="355">
        <f>IFERROR(VLOOKUP(WTG_BD[[#This Row],[Affected WTG]],'Basic Data'!$A$3:$E$25,5,0),"")</f>
        <v>4.3478260869565223E-2</v>
      </c>
      <c r="K397" s="10">
        <v>704</v>
      </c>
      <c r="L397" t="str">
        <f>IFERROR(VLOOKUP(WTG_BD[[#This Row],[Error Code]],'Basic Data'!S:T,2,0),"Incorrect Error Code")</f>
        <v>Ch High res. load C_ Load:___%</v>
      </c>
      <c r="M397" t="s">
        <v>372</v>
      </c>
      <c r="N397" t="s">
        <v>113</v>
      </c>
      <c r="O397" s="168">
        <v>0.92222222222222228</v>
      </c>
      <c r="P397" s="168">
        <v>0.92222222222222228</v>
      </c>
      <c r="Q397" s="168">
        <v>0.93680555555555556</v>
      </c>
      <c r="R397" s="356">
        <f>(WTG_BD[[#This Row],[Work Start TimeStamp]]-WTG_BD[[#This Row],[Fault Start TimeStamp]])*24</f>
        <v>0</v>
      </c>
      <c r="S397" s="34">
        <f>(WTG_BD[[#This Row],[Fault Clearance time]]-WTG_BD[[#This Row],[Work Start TimeStamp]])*24</f>
        <v>0.34999999999999876</v>
      </c>
      <c r="T397" s="34">
        <f>(WTG_BD[[#This Row],[Fault Clearance time]]-WTG_BD[[#This Row],[Fault Start TimeStamp]])*24</f>
        <v>0.34999999999999876</v>
      </c>
      <c r="U397" t="s">
        <v>4268</v>
      </c>
      <c r="V397" s="234" t="s">
        <v>255</v>
      </c>
      <c r="W397" s="50">
        <f>IFERROR(IF(N397="ROW",0,(WTG_BD[[#This Row],[Breakdown Time]]*WTG_BD[[#This Row],[Plant Equivalent Weightage]])),"")</f>
        <v>1.5217391304347775E-2</v>
      </c>
      <c r="X397" s="50"/>
      <c r="Y397" s="205">
        <v>1</v>
      </c>
      <c r="Z397" s="205"/>
      <c r="AA397" s="4">
        <v>447</v>
      </c>
    </row>
    <row r="398" spans="1:27">
      <c r="A398" s="10">
        <f t="shared" si="7"/>
        <v>397</v>
      </c>
      <c r="B398" s="43">
        <f>YEAR(WTG_BD[[#This Row],[Date]])+IF(MONTH(WTG_BD[[#This Row],[Date]])&gt;=4,1,0)</f>
        <v>2026</v>
      </c>
      <c r="C398" s="10">
        <v>2025</v>
      </c>
      <c r="D398" s="10" t="s">
        <v>4478</v>
      </c>
      <c r="E398" s="309">
        <f>WTG_BD[[#This Row],[Date]]-DAY(WTG_BD[[#This Row],[Date]])+1</f>
        <v>45778</v>
      </c>
      <c r="F398" s="32">
        <v>45792</v>
      </c>
      <c r="G398" t="s">
        <v>77</v>
      </c>
      <c r="H398" t="str">
        <f>IFERROR(VLOOKUP(WTG_BD[[#This Row],[Affected WTG]],'Basic Data'!$A$3:$E$25,2,0),"")</f>
        <v>O2R3</v>
      </c>
      <c r="I398" t="str">
        <f>IFERROR(VLOOKUP(WTG_BD[[#This Row],[Affected WTG]],'Basic Data'!$A$3:$E$25,3,0),"")</f>
        <v>JK</v>
      </c>
      <c r="J398" s="355">
        <f>IFERROR(VLOOKUP(WTG_BD[[#This Row],[Affected WTG]],'Basic Data'!$A$3:$E$25,5,0),"")</f>
        <v>4.3478260869565223E-2</v>
      </c>
      <c r="K398" s="10">
        <v>3272</v>
      </c>
      <c r="L398" t="str">
        <f>IFERROR(VLOOKUP(WTG_BD[[#This Row],[Error Code]],'Basic Data'!S:T,2,0),"Incorrect Error Code")</f>
        <v>YawUntwistCW: Code__,_______°</v>
      </c>
      <c r="M398" t="s">
        <v>378</v>
      </c>
      <c r="O398" s="168">
        <v>0.35833333333333334</v>
      </c>
      <c r="P398" s="168">
        <v>0.35833333333333334</v>
      </c>
      <c r="Q398" s="168">
        <v>0.37708333333333333</v>
      </c>
      <c r="R398" s="356">
        <f>(WTG_BD[[#This Row],[Work Start TimeStamp]]-WTG_BD[[#This Row],[Fault Start TimeStamp]])*24</f>
        <v>0</v>
      </c>
      <c r="S398" s="34">
        <f>(WTG_BD[[#This Row],[Fault Clearance time]]-WTG_BD[[#This Row],[Work Start TimeStamp]])*24</f>
        <v>0.44999999999999973</v>
      </c>
      <c r="T398" s="34">
        <f>(WTG_BD[[#This Row],[Fault Clearance time]]-WTG_BD[[#This Row],[Fault Start TimeStamp]])*24</f>
        <v>0.44999999999999973</v>
      </c>
      <c r="U398" t="s">
        <v>262</v>
      </c>
      <c r="V398" s="234" t="s">
        <v>255</v>
      </c>
      <c r="W398" s="50">
        <f>IFERROR(IF(N398="ROW",0,(WTG_BD[[#This Row],[Breakdown Time]]*WTG_BD[[#This Row],[Plant Equivalent Weightage]])),"")</f>
        <v>1.9565217391304339E-2</v>
      </c>
      <c r="X398" s="50"/>
      <c r="Y398" s="205">
        <v>1</v>
      </c>
      <c r="Z398" s="205"/>
      <c r="AA398" s="4">
        <v>34</v>
      </c>
    </row>
    <row r="399" spans="1:27">
      <c r="A399" s="10">
        <f t="shared" si="7"/>
        <v>398</v>
      </c>
      <c r="B399" s="43">
        <f>YEAR(WTG_BD[[#This Row],[Date]])+IF(MONTH(WTG_BD[[#This Row],[Date]])&gt;=4,1,0)</f>
        <v>2026</v>
      </c>
      <c r="C399" s="10">
        <v>2025</v>
      </c>
      <c r="D399" s="10" t="s">
        <v>4478</v>
      </c>
      <c r="E399" s="309">
        <f>WTG_BD[[#This Row],[Date]]-DAY(WTG_BD[[#This Row],[Date]])+1</f>
        <v>45778</v>
      </c>
      <c r="F399" s="32">
        <v>45792</v>
      </c>
      <c r="G399" t="s">
        <v>79</v>
      </c>
      <c r="H399" t="str">
        <f>IFERROR(VLOOKUP(WTG_BD[[#This Row],[Affected WTG]],'Basic Data'!$A$3:$E$25,2,0),"")</f>
        <v>O2R3</v>
      </c>
      <c r="I399" t="str">
        <f>IFERROR(VLOOKUP(WTG_BD[[#This Row],[Affected WTG]],'Basic Data'!$A$3:$E$25,3,0),"")</f>
        <v>JK</v>
      </c>
      <c r="J399" s="355">
        <f>IFERROR(VLOOKUP(WTG_BD[[#This Row],[Affected WTG]],'Basic Data'!$A$3:$E$25,5,0),"")</f>
        <v>4.3478260869565223E-2</v>
      </c>
      <c r="K399" s="10">
        <v>704</v>
      </c>
      <c r="L399" t="str">
        <f>IFERROR(VLOOKUP(WTG_BD[[#This Row],[Error Code]],'Basic Data'!S:T,2,0),"Incorrect Error Code")</f>
        <v>Ch High res. load C_ Load:___%</v>
      </c>
      <c r="M399" t="s">
        <v>372</v>
      </c>
      <c r="N399" t="s">
        <v>113</v>
      </c>
      <c r="O399" s="168">
        <v>0.95972222222222225</v>
      </c>
      <c r="P399" s="168">
        <v>0.95972222222222225</v>
      </c>
      <c r="Q399" s="168">
        <v>0.97152777777777777</v>
      </c>
      <c r="R399" s="356">
        <f>(WTG_BD[[#This Row],[Work Start TimeStamp]]-WTG_BD[[#This Row],[Fault Start TimeStamp]])*24</f>
        <v>0</v>
      </c>
      <c r="S399" s="34">
        <f>(WTG_BD[[#This Row],[Fault Clearance time]]-WTG_BD[[#This Row],[Work Start TimeStamp]])*24</f>
        <v>0.28333333333333233</v>
      </c>
      <c r="T399" s="34">
        <f>(WTG_BD[[#This Row],[Fault Clearance time]]-WTG_BD[[#This Row],[Fault Start TimeStamp]])*24</f>
        <v>0.28333333333333233</v>
      </c>
      <c r="U399" t="s">
        <v>4268</v>
      </c>
      <c r="V399" s="234" t="s">
        <v>255</v>
      </c>
      <c r="W399" s="50">
        <f>IFERROR(IF(N399="ROW",0,(WTG_BD[[#This Row],[Breakdown Time]]*WTG_BD[[#This Row],[Plant Equivalent Weightage]])),"")</f>
        <v>1.2318840579710102E-2</v>
      </c>
      <c r="X399" s="50"/>
      <c r="Y399" s="205">
        <v>1</v>
      </c>
      <c r="Z399" s="205"/>
      <c r="AA399" s="4">
        <v>45</v>
      </c>
    </row>
    <row r="400" spans="1:27">
      <c r="A400" s="10">
        <f t="shared" si="7"/>
        <v>399</v>
      </c>
      <c r="B400" s="43">
        <f>YEAR(WTG_BD[[#This Row],[Date]])+IF(MONTH(WTG_BD[[#This Row],[Date]])&gt;=4,1,0)</f>
        <v>2026</v>
      </c>
      <c r="C400" s="10">
        <v>2025</v>
      </c>
      <c r="D400" s="10" t="s">
        <v>4478</v>
      </c>
      <c r="E400" s="309">
        <f>WTG_BD[[#This Row],[Date]]-DAY(WTG_BD[[#This Row],[Date]])+1</f>
        <v>45778</v>
      </c>
      <c r="F400" s="32">
        <v>45792</v>
      </c>
      <c r="G400" t="s">
        <v>79</v>
      </c>
      <c r="H400" t="str">
        <f>IFERROR(VLOOKUP(WTG_BD[[#This Row],[Affected WTG]],'Basic Data'!$A$3:$E$25,2,0),"")</f>
        <v>O2R3</v>
      </c>
      <c r="I400" t="str">
        <f>IFERROR(VLOOKUP(WTG_BD[[#This Row],[Affected WTG]],'Basic Data'!$A$3:$E$25,3,0),"")</f>
        <v>JK</v>
      </c>
      <c r="J400" s="355">
        <f>IFERROR(VLOOKUP(WTG_BD[[#This Row],[Affected WTG]],'Basic Data'!$A$3:$E$25,5,0),"")</f>
        <v>4.3478260869565223E-2</v>
      </c>
      <c r="K400" s="10">
        <v>704</v>
      </c>
      <c r="L400" t="str">
        <f>IFERROR(VLOOKUP(WTG_BD[[#This Row],[Error Code]],'Basic Data'!S:T,2,0),"Incorrect Error Code")</f>
        <v>Ch High res. load C_ Load:___%</v>
      </c>
      <c r="M400" t="s">
        <v>372</v>
      </c>
      <c r="N400" t="s">
        <v>113</v>
      </c>
      <c r="O400" s="168">
        <v>0.98263888888888884</v>
      </c>
      <c r="P400" s="168">
        <v>0.98263888888888884</v>
      </c>
      <c r="Q400" s="168">
        <v>0.99791666666666667</v>
      </c>
      <c r="R400" s="356">
        <f>(WTG_BD[[#This Row],[Work Start TimeStamp]]-WTG_BD[[#This Row],[Fault Start TimeStamp]])*24</f>
        <v>0</v>
      </c>
      <c r="S400" s="34">
        <f>(WTG_BD[[#This Row],[Fault Clearance time]]-WTG_BD[[#This Row],[Work Start TimeStamp]])*24</f>
        <v>0.36666666666666803</v>
      </c>
      <c r="T400" s="34">
        <f>(WTG_BD[[#This Row],[Fault Clearance time]]-WTG_BD[[#This Row],[Fault Start TimeStamp]])*24</f>
        <v>0.36666666666666803</v>
      </c>
      <c r="U400" t="s">
        <v>4268</v>
      </c>
      <c r="V400" s="234" t="s">
        <v>255</v>
      </c>
      <c r="W400" s="50">
        <f>IFERROR(IF(N400="ROW",0,(WTG_BD[[#This Row],[Breakdown Time]]*WTG_BD[[#This Row],[Plant Equivalent Weightage]])),"")</f>
        <v>1.5942028985507308E-2</v>
      </c>
      <c r="X400" s="50"/>
      <c r="Y400" s="205">
        <v>1</v>
      </c>
      <c r="Z400" s="205"/>
      <c r="AA400" s="4">
        <v>90</v>
      </c>
    </row>
    <row r="401" spans="1:27">
      <c r="A401" s="10">
        <f t="shared" si="7"/>
        <v>400</v>
      </c>
      <c r="B401" s="43">
        <f>YEAR(WTG_BD[[#This Row],[Date]])+IF(MONTH(WTG_BD[[#This Row],[Date]])&gt;=4,1,0)</f>
        <v>2026</v>
      </c>
      <c r="C401" s="10">
        <v>2025</v>
      </c>
      <c r="D401" s="10" t="s">
        <v>4478</v>
      </c>
      <c r="E401" s="309">
        <f>WTG_BD[[#This Row],[Date]]-DAY(WTG_BD[[#This Row],[Date]])+1</f>
        <v>45778</v>
      </c>
      <c r="F401" s="32">
        <v>45792</v>
      </c>
      <c r="G401" t="s">
        <v>80</v>
      </c>
      <c r="H401" t="str">
        <f>IFERROR(VLOOKUP(WTG_BD[[#This Row],[Affected WTG]],'Basic Data'!$A$3:$E$25,2,0),"")</f>
        <v>O2R3</v>
      </c>
      <c r="I401" t="str">
        <f>IFERROR(VLOOKUP(WTG_BD[[#This Row],[Affected WTG]],'Basic Data'!$A$3:$E$25,3,0),"")</f>
        <v>JK</v>
      </c>
      <c r="J401" s="355">
        <f>IFERROR(VLOOKUP(WTG_BD[[#This Row],[Affected WTG]],'Basic Data'!$A$3:$E$25,5,0),"")</f>
        <v>4.3478260869565223E-2</v>
      </c>
      <c r="K401" s="10">
        <v>3272</v>
      </c>
      <c r="L401" t="str">
        <f>IFERROR(VLOOKUP(WTG_BD[[#This Row],[Error Code]],'Basic Data'!S:T,2,0),"Incorrect Error Code")</f>
        <v>YawUntwistCW: Code__,_______°</v>
      </c>
      <c r="M401" t="s">
        <v>378</v>
      </c>
      <c r="O401" s="168">
        <v>0.58263888888888893</v>
      </c>
      <c r="P401" s="168">
        <v>0.58263888888888893</v>
      </c>
      <c r="Q401" s="168">
        <v>0.59791666666666665</v>
      </c>
      <c r="R401" s="356">
        <f>(WTG_BD[[#This Row],[Work Start TimeStamp]]-WTG_BD[[#This Row],[Fault Start TimeStamp]])*24</f>
        <v>0</v>
      </c>
      <c r="S401" s="34">
        <f>(WTG_BD[[#This Row],[Fault Clearance time]]-WTG_BD[[#This Row],[Work Start TimeStamp]])*24</f>
        <v>0.36666666666666536</v>
      </c>
      <c r="T401" s="34">
        <f>(WTG_BD[[#This Row],[Fault Clearance time]]-WTG_BD[[#This Row],[Fault Start TimeStamp]])*24</f>
        <v>0.36666666666666536</v>
      </c>
      <c r="U401" t="s">
        <v>262</v>
      </c>
      <c r="V401" s="234" t="s">
        <v>255</v>
      </c>
      <c r="W401" s="50">
        <f>IFERROR(IF(N401="ROW",0,(WTG_BD[[#This Row],[Breakdown Time]]*WTG_BD[[#This Row],[Plant Equivalent Weightage]])),"")</f>
        <v>1.594202898550719E-2</v>
      </c>
      <c r="X401" s="50"/>
      <c r="Y401" s="205">
        <v>1</v>
      </c>
      <c r="Z401" s="205"/>
      <c r="AA401" s="4">
        <v>25</v>
      </c>
    </row>
    <row r="402" spans="1:27">
      <c r="A402" s="10">
        <f t="shared" si="7"/>
        <v>401</v>
      </c>
      <c r="B402" s="43">
        <f>YEAR(WTG_BD[[#This Row],[Date]])+IF(MONTH(WTG_BD[[#This Row],[Date]])&gt;=4,1,0)</f>
        <v>2026</v>
      </c>
      <c r="C402" s="10">
        <v>2025</v>
      </c>
      <c r="D402" s="10" t="s">
        <v>4478</v>
      </c>
      <c r="E402" s="309">
        <f>WTG_BD[[#This Row],[Date]]-DAY(WTG_BD[[#This Row],[Date]])+1</f>
        <v>45778</v>
      </c>
      <c r="F402" s="32">
        <v>45792</v>
      </c>
      <c r="G402" t="s">
        <v>86</v>
      </c>
      <c r="H402" t="str">
        <f>IFERROR(VLOOKUP(WTG_BD[[#This Row],[Affected WTG]],'Basic Data'!$A$3:$E$25,2,0),"")</f>
        <v>O2R1</v>
      </c>
      <c r="I402" t="str">
        <f>IFERROR(VLOOKUP(WTG_BD[[#This Row],[Affected WTG]],'Basic Data'!$A$3:$E$25,3,0),"")</f>
        <v>KSIPL</v>
      </c>
      <c r="J402" s="355">
        <f>IFERROR(VLOOKUP(WTG_BD[[#This Row],[Affected WTG]],'Basic Data'!$A$3:$E$25,5,0),"")</f>
        <v>4.3478260869565223E-2</v>
      </c>
      <c r="K402" s="10">
        <v>3272</v>
      </c>
      <c r="L402" t="str">
        <f>IFERROR(VLOOKUP(WTG_BD[[#This Row],[Error Code]],'Basic Data'!S:T,2,0),"Incorrect Error Code")</f>
        <v>YawUntwistCW: Code__,_______°</v>
      </c>
      <c r="M402" t="s">
        <v>378</v>
      </c>
      <c r="O402" s="168">
        <v>0.37708333333333333</v>
      </c>
      <c r="P402" s="168">
        <v>0.37708333333333333</v>
      </c>
      <c r="Q402" s="168">
        <v>0.39097222222222222</v>
      </c>
      <c r="R402" s="356">
        <f>(WTG_BD[[#This Row],[Work Start TimeStamp]]-WTG_BD[[#This Row],[Fault Start TimeStamp]])*24</f>
        <v>0</v>
      </c>
      <c r="S402" s="34">
        <f>(WTG_BD[[#This Row],[Fault Clearance time]]-WTG_BD[[#This Row],[Work Start TimeStamp]])*24</f>
        <v>0.33333333333333348</v>
      </c>
      <c r="T402" s="34">
        <f>(WTG_BD[[#This Row],[Fault Clearance time]]-WTG_BD[[#This Row],[Fault Start TimeStamp]])*24</f>
        <v>0.33333333333333348</v>
      </c>
      <c r="U402" t="s">
        <v>262</v>
      </c>
      <c r="V402" s="234" t="s">
        <v>255</v>
      </c>
      <c r="W402" s="50">
        <f>IFERROR(IF(N402="ROW",0,(WTG_BD[[#This Row],[Breakdown Time]]*WTG_BD[[#This Row],[Plant Equivalent Weightage]])),"")</f>
        <v>1.4492753623188415E-2</v>
      </c>
      <c r="X402" s="50"/>
      <c r="Y402" s="205">
        <v>1</v>
      </c>
      <c r="Z402" s="205"/>
      <c r="AA402" s="4">
        <v>51</v>
      </c>
    </row>
    <row r="403" spans="1:27">
      <c r="A403" s="10">
        <f t="shared" si="7"/>
        <v>402</v>
      </c>
      <c r="B403" s="43">
        <f>YEAR(WTG_BD[[#This Row],[Date]])+IF(MONTH(WTG_BD[[#This Row],[Date]])&gt;=4,1,0)</f>
        <v>2026</v>
      </c>
      <c r="C403" s="10">
        <v>2025</v>
      </c>
      <c r="D403" s="10" t="s">
        <v>4478</v>
      </c>
      <c r="E403" s="309">
        <f>WTG_BD[[#This Row],[Date]]-DAY(WTG_BD[[#This Row],[Date]])+1</f>
        <v>45778</v>
      </c>
      <c r="F403" s="32">
        <v>45792</v>
      </c>
      <c r="G403" t="s">
        <v>92</v>
      </c>
      <c r="H403" t="str">
        <f>IFERROR(VLOOKUP(WTG_BD[[#This Row],[Affected WTG]],'Basic Data'!$A$3:$E$25,2,0),"")</f>
        <v>O2R2</v>
      </c>
      <c r="I403" t="str">
        <f>IFERROR(VLOOKUP(WTG_BD[[#This Row],[Affected WTG]],'Basic Data'!$A$3:$E$25,3,0),"")</f>
        <v>SIL</v>
      </c>
      <c r="J403" s="355">
        <f>IFERROR(VLOOKUP(WTG_BD[[#This Row],[Affected WTG]],'Basic Data'!$A$3:$E$25,5,0),"")</f>
        <v>4.3478260869565223E-2</v>
      </c>
      <c r="K403" s="10">
        <v>3272</v>
      </c>
      <c r="L403" t="str">
        <f>IFERROR(VLOOKUP(WTG_BD[[#This Row],[Error Code]],'Basic Data'!S:T,2,0),"Incorrect Error Code")</f>
        <v>YawUntwistCW: Code__,_______°</v>
      </c>
      <c r="M403" t="s">
        <v>378</v>
      </c>
      <c r="O403" s="168">
        <v>0.3576388888888889</v>
      </c>
      <c r="P403" s="168">
        <v>0.3576388888888889</v>
      </c>
      <c r="Q403" s="168">
        <v>0.37638888888888888</v>
      </c>
      <c r="R403" s="356">
        <f>(WTG_BD[[#This Row],[Work Start TimeStamp]]-WTG_BD[[#This Row],[Fault Start TimeStamp]])*24</f>
        <v>0</v>
      </c>
      <c r="S403" s="34">
        <f>(WTG_BD[[#This Row],[Fault Clearance time]]-WTG_BD[[#This Row],[Work Start TimeStamp]])*24</f>
        <v>0.44999999999999973</v>
      </c>
      <c r="T403" s="34">
        <f>(WTG_BD[[#This Row],[Fault Clearance time]]-WTG_BD[[#This Row],[Fault Start TimeStamp]])*24</f>
        <v>0.44999999999999973</v>
      </c>
      <c r="U403" t="s">
        <v>262</v>
      </c>
      <c r="V403" s="234" t="s">
        <v>255</v>
      </c>
      <c r="W403" s="50">
        <f>IFERROR(IF(N403="ROW",0,(WTG_BD[[#This Row],[Breakdown Time]]*WTG_BD[[#This Row],[Plant Equivalent Weightage]])),"")</f>
        <v>1.9565217391304339E-2</v>
      </c>
      <c r="X403" s="50"/>
      <c r="Y403" s="205">
        <v>1</v>
      </c>
      <c r="Z403" s="205"/>
      <c r="AA403" s="4">
        <v>20</v>
      </c>
    </row>
    <row r="404" spans="1:27">
      <c r="A404" s="10">
        <f t="shared" si="7"/>
        <v>403</v>
      </c>
      <c r="B404" s="43">
        <f>YEAR(WTG_BD[[#This Row],[Date]])+IF(MONTH(WTG_BD[[#This Row],[Date]])&gt;=4,1,0)</f>
        <v>2026</v>
      </c>
      <c r="C404" s="10">
        <v>2025</v>
      </c>
      <c r="D404" s="10" t="s">
        <v>4478</v>
      </c>
      <c r="E404" s="309">
        <f>WTG_BD[[#This Row],[Date]]-DAY(WTG_BD[[#This Row],[Date]])+1</f>
        <v>45778</v>
      </c>
      <c r="F404" s="32">
        <v>45792</v>
      </c>
      <c r="G404" t="s">
        <v>94</v>
      </c>
      <c r="H404" t="str">
        <f>IFERROR(VLOOKUP(WTG_BD[[#This Row],[Affected WTG]],'Basic Data'!$A$3:$E$25,2,0),"")</f>
        <v>O2R1</v>
      </c>
      <c r="I404" t="str">
        <f>IFERROR(VLOOKUP(WTG_BD[[#This Row],[Affected WTG]],'Basic Data'!$A$3:$E$25,3,0),"")</f>
        <v>KSIPL</v>
      </c>
      <c r="J404" s="355">
        <f>IFERROR(VLOOKUP(WTG_BD[[#This Row],[Affected WTG]],'Basic Data'!$A$3:$E$25,5,0),"")</f>
        <v>4.3478260869565223E-2</v>
      </c>
      <c r="K404" s="10">
        <v>5197</v>
      </c>
      <c r="L404" t="str">
        <f>IFERROR(VLOOKUP(WTG_BD[[#This Row],[Error Code]],'Basic Data'!S:T,2,0),"Incorrect Error Code")</f>
        <v>Prop Valve C Status Fault</v>
      </c>
      <c r="M404" t="s">
        <v>307</v>
      </c>
      <c r="N404" t="s">
        <v>113</v>
      </c>
      <c r="O404" s="168">
        <v>0.16944444444444445</v>
      </c>
      <c r="P404" s="168">
        <v>0.16944444444444445</v>
      </c>
      <c r="Q404" s="168">
        <v>0.1736111111111111</v>
      </c>
      <c r="R404" s="356">
        <f>(WTG_BD[[#This Row],[Work Start TimeStamp]]-WTG_BD[[#This Row],[Fault Start TimeStamp]])*24</f>
        <v>0</v>
      </c>
      <c r="S404" s="34">
        <f>(WTG_BD[[#This Row],[Fault Clearance time]]-WTG_BD[[#This Row],[Work Start TimeStamp]])*24</f>
        <v>9.9999999999999645E-2</v>
      </c>
      <c r="T404" s="34">
        <f>(WTG_BD[[#This Row],[Fault Clearance time]]-WTG_BD[[#This Row],[Fault Start TimeStamp]])*24</f>
        <v>9.9999999999999645E-2</v>
      </c>
      <c r="U404" t="s">
        <v>4268</v>
      </c>
      <c r="V404" s="234" t="s">
        <v>255</v>
      </c>
      <c r="W404" s="50">
        <f>IFERROR(IF(N404="ROW",0,(WTG_BD[[#This Row],[Breakdown Time]]*WTG_BD[[#This Row],[Plant Equivalent Weightage]])),"")</f>
        <v>4.347826086956507E-3</v>
      </c>
      <c r="X404" s="50"/>
      <c r="Y404" s="205">
        <v>1</v>
      </c>
      <c r="Z404" s="205"/>
      <c r="AA404" s="4">
        <v>43</v>
      </c>
    </row>
    <row r="405" spans="1:27">
      <c r="A405" s="10">
        <f t="shared" si="7"/>
        <v>404</v>
      </c>
      <c r="B405" s="43">
        <f>YEAR(WTG_BD[[#This Row],[Date]])+IF(MONTH(WTG_BD[[#This Row],[Date]])&gt;=4,1,0)</f>
        <v>2026</v>
      </c>
      <c r="C405" s="10">
        <v>2025</v>
      </c>
      <c r="D405" s="10" t="s">
        <v>4478</v>
      </c>
      <c r="E405" s="309">
        <f>WTG_BD[[#This Row],[Date]]-DAY(WTG_BD[[#This Row],[Date]])+1</f>
        <v>45778</v>
      </c>
      <c r="F405" s="32">
        <v>45792</v>
      </c>
      <c r="G405" t="s">
        <v>95</v>
      </c>
      <c r="H405" t="str">
        <f>IFERROR(VLOOKUP(WTG_BD[[#This Row],[Affected WTG]],'Basic Data'!$A$3:$E$25,2,0),"")</f>
        <v>O2R1</v>
      </c>
      <c r="I405" t="str">
        <f>IFERROR(VLOOKUP(WTG_BD[[#This Row],[Affected WTG]],'Basic Data'!$A$3:$E$25,3,0),"")</f>
        <v>KSIPL</v>
      </c>
      <c r="J405" s="355">
        <f>IFERROR(VLOOKUP(WTG_BD[[#This Row],[Affected WTG]],'Basic Data'!$A$3:$E$25,5,0),"")</f>
        <v>4.3478260869565223E-2</v>
      </c>
      <c r="K405" s="10">
        <v>309</v>
      </c>
      <c r="L405" t="str">
        <f>IFERROR(VLOOKUP(WTG_BD[[#This Row],[Error Code]],'Basic Data'!S:T,2,0),"Incorrect Error Code")</f>
        <v>Pause over RCS __0</v>
      </c>
      <c r="M405" t="s">
        <v>871</v>
      </c>
      <c r="N405" t="s">
        <v>257</v>
      </c>
      <c r="O405" s="168">
        <v>0.42569444444444443</v>
      </c>
      <c r="P405" s="168">
        <v>0.42569444444444443</v>
      </c>
      <c r="Q405" s="168">
        <v>0.78055555555555556</v>
      </c>
      <c r="R405" s="356">
        <f>(WTG_BD[[#This Row],[Work Start TimeStamp]]-WTG_BD[[#This Row],[Fault Start TimeStamp]])*24</f>
        <v>0</v>
      </c>
      <c r="S405" s="34">
        <f>(WTG_BD[[#This Row],[Fault Clearance time]]-WTG_BD[[#This Row],[Work Start TimeStamp]])*24</f>
        <v>8.5166666666666675</v>
      </c>
      <c r="T405" s="34">
        <f>(WTG_BD[[#This Row],[Fault Clearance time]]-WTG_BD[[#This Row],[Fault Start TimeStamp]])*24</f>
        <v>8.5166666666666675</v>
      </c>
      <c r="U405" t="s">
        <v>4493</v>
      </c>
      <c r="V405" s="234" t="s">
        <v>255</v>
      </c>
      <c r="W405" s="50">
        <f>IFERROR(IF(N405="ROW",0,(WTG_BD[[#This Row],[Breakdown Time]]*WTG_BD[[#This Row],[Plant Equivalent Weightage]])),"")</f>
        <v>0.37028985507246387</v>
      </c>
      <c r="X405" s="50"/>
      <c r="Y405" s="205">
        <v>1</v>
      </c>
      <c r="Z405" s="205"/>
      <c r="AA405" s="4">
        <v>512</v>
      </c>
    </row>
    <row r="406" spans="1:27">
      <c r="A406" s="10">
        <f t="shared" si="7"/>
        <v>405</v>
      </c>
      <c r="B406" s="43">
        <f>YEAR(WTG_BD[[#This Row],[Date]])+IF(MONTH(WTG_BD[[#This Row],[Date]])&gt;=4,1,0)</f>
        <v>2026</v>
      </c>
      <c r="C406" s="10">
        <v>2025</v>
      </c>
      <c r="D406" s="10" t="s">
        <v>4478</v>
      </c>
      <c r="E406" s="309">
        <f>WTG_BD[[#This Row],[Date]]-DAY(WTG_BD[[#This Row],[Date]])+1</f>
        <v>45778</v>
      </c>
      <c r="F406" s="32">
        <v>45792</v>
      </c>
      <c r="G406" t="s">
        <v>97</v>
      </c>
      <c r="H406" t="str">
        <f>IFERROR(VLOOKUP(WTG_BD[[#This Row],[Affected WTG]],'Basic Data'!$A$3:$E$25,2,0),"")</f>
        <v>O2R3</v>
      </c>
      <c r="I406" t="str">
        <f>IFERROR(VLOOKUP(WTG_BD[[#This Row],[Affected WTG]],'Basic Data'!$A$3:$E$25,3,0),"")</f>
        <v>JK</v>
      </c>
      <c r="J406" s="355">
        <f>IFERROR(VLOOKUP(WTG_BD[[#This Row],[Affected WTG]],'Basic Data'!$A$3:$E$25,5,0),"")</f>
        <v>4.3478260869565223E-2</v>
      </c>
      <c r="K406" s="10">
        <v>3272</v>
      </c>
      <c r="L406" t="str">
        <f>IFERROR(VLOOKUP(WTG_BD[[#This Row],[Error Code]],'Basic Data'!S:T,2,0),"Incorrect Error Code")</f>
        <v>YawUntwistCW: Code__,_______°</v>
      </c>
      <c r="M406" t="s">
        <v>378</v>
      </c>
      <c r="O406" s="168">
        <v>0.59444444444444444</v>
      </c>
      <c r="P406" s="168">
        <v>0.59444444444444444</v>
      </c>
      <c r="Q406" s="168">
        <v>0.60902777777777772</v>
      </c>
      <c r="R406" s="356">
        <f>(WTG_BD[[#This Row],[Work Start TimeStamp]]-WTG_BD[[#This Row],[Fault Start TimeStamp]])*24</f>
        <v>0</v>
      </c>
      <c r="S406" s="34">
        <f>(WTG_BD[[#This Row],[Fault Clearance time]]-WTG_BD[[#This Row],[Work Start TimeStamp]])*24</f>
        <v>0.34999999999999876</v>
      </c>
      <c r="T406" s="34">
        <f>(WTG_BD[[#This Row],[Fault Clearance time]]-WTG_BD[[#This Row],[Fault Start TimeStamp]])*24</f>
        <v>0.34999999999999876</v>
      </c>
      <c r="U406" t="s">
        <v>262</v>
      </c>
      <c r="V406" s="234" t="s">
        <v>255</v>
      </c>
      <c r="W406" s="50">
        <f>IFERROR(IF(N406="ROW",0,(WTG_BD[[#This Row],[Breakdown Time]]*WTG_BD[[#This Row],[Plant Equivalent Weightage]])),"")</f>
        <v>1.5217391304347775E-2</v>
      </c>
      <c r="X406" s="50"/>
      <c r="Y406" s="205">
        <v>1</v>
      </c>
      <c r="Z406" s="205"/>
      <c r="AA406" s="4">
        <v>15</v>
      </c>
    </row>
    <row r="407" spans="1:27">
      <c r="A407" s="10">
        <f t="shared" si="7"/>
        <v>406</v>
      </c>
      <c r="B407" s="43">
        <f>YEAR(WTG_BD[[#This Row],[Date]])+IF(MONTH(WTG_BD[[#This Row],[Date]])&gt;=4,1,0)</f>
        <v>2026</v>
      </c>
      <c r="C407" s="10">
        <v>2025</v>
      </c>
      <c r="D407" s="10" t="s">
        <v>4478</v>
      </c>
      <c r="E407" s="309">
        <f>WTG_BD[[#This Row],[Date]]-DAY(WTG_BD[[#This Row],[Date]])+1</f>
        <v>45778</v>
      </c>
      <c r="F407" s="32">
        <v>45793</v>
      </c>
      <c r="G407" t="s">
        <v>79</v>
      </c>
      <c r="H407" t="str">
        <f>IFERROR(VLOOKUP(WTG_BD[[#This Row],[Affected WTG]],'Basic Data'!$A$3:$E$25,2,0),"")</f>
        <v>O2R3</v>
      </c>
      <c r="I407" t="str">
        <f>IFERROR(VLOOKUP(WTG_BD[[#This Row],[Affected WTG]],'Basic Data'!$A$3:$E$25,3,0),"")</f>
        <v>JK</v>
      </c>
      <c r="J407" s="355">
        <f>IFERROR(VLOOKUP(WTG_BD[[#This Row],[Affected WTG]],'Basic Data'!$A$3:$E$25,5,0),"")</f>
        <v>4.3478260869565223E-2</v>
      </c>
      <c r="K407" s="10">
        <v>704</v>
      </c>
      <c r="L407" t="str">
        <f>IFERROR(VLOOKUP(WTG_BD[[#This Row],[Error Code]],'Basic Data'!S:T,2,0),"Incorrect Error Code")</f>
        <v>Ch High res. load C_ Load:___%</v>
      </c>
      <c r="M407" t="s">
        <v>372</v>
      </c>
      <c r="N407" t="s">
        <v>113</v>
      </c>
      <c r="O407" s="168">
        <v>0.32013888888888886</v>
      </c>
      <c r="P407" s="168">
        <v>0.32013888888888886</v>
      </c>
      <c r="Q407" s="168">
        <v>0.33958333333333335</v>
      </c>
      <c r="R407" s="356">
        <f>(WTG_BD[[#This Row],[Work Start TimeStamp]]-WTG_BD[[#This Row],[Fault Start TimeStamp]])*24</f>
        <v>0</v>
      </c>
      <c r="S407" s="34">
        <f>(WTG_BD[[#This Row],[Fault Clearance time]]-WTG_BD[[#This Row],[Work Start TimeStamp]])*24</f>
        <v>0.46666666666666767</v>
      </c>
      <c r="T407" s="34">
        <f>(WTG_BD[[#This Row],[Fault Clearance time]]-WTG_BD[[#This Row],[Fault Start TimeStamp]])*24</f>
        <v>0.46666666666666767</v>
      </c>
      <c r="U407" t="s">
        <v>4268</v>
      </c>
      <c r="V407" s="234" t="s">
        <v>255</v>
      </c>
      <c r="W407" s="50">
        <f>IFERROR(IF(N407="ROW",0,(WTG_BD[[#This Row],[Breakdown Time]]*WTG_BD[[#This Row],[Plant Equivalent Weightage]])),"")</f>
        <v>2.0289855072463815E-2</v>
      </c>
      <c r="X407" s="50"/>
      <c r="Y407" s="205">
        <v>1</v>
      </c>
      <c r="Z407" s="205"/>
      <c r="AA407" s="4">
        <v>105</v>
      </c>
    </row>
    <row r="408" spans="1:27">
      <c r="A408" s="10">
        <f t="shared" si="7"/>
        <v>407</v>
      </c>
      <c r="B408" s="43">
        <f>YEAR(WTG_BD[[#This Row],[Date]])+IF(MONTH(WTG_BD[[#This Row],[Date]])&gt;=4,1,0)</f>
        <v>2026</v>
      </c>
      <c r="C408" s="10">
        <v>2025</v>
      </c>
      <c r="D408" s="10" t="s">
        <v>4478</v>
      </c>
      <c r="E408" s="309">
        <f>WTG_BD[[#This Row],[Date]]-DAY(WTG_BD[[#This Row],[Date]])+1</f>
        <v>45778</v>
      </c>
      <c r="F408" s="32">
        <v>45793</v>
      </c>
      <c r="G408" t="s">
        <v>79</v>
      </c>
      <c r="H408" t="str">
        <f>IFERROR(VLOOKUP(WTG_BD[[#This Row],[Affected WTG]],'Basic Data'!$A$3:$E$25,2,0),"")</f>
        <v>O2R3</v>
      </c>
      <c r="I408" t="str">
        <f>IFERROR(VLOOKUP(WTG_BD[[#This Row],[Affected WTG]],'Basic Data'!$A$3:$E$25,3,0),"")</f>
        <v>JK</v>
      </c>
      <c r="J408" s="355">
        <f>IFERROR(VLOOKUP(WTG_BD[[#This Row],[Affected WTG]],'Basic Data'!$A$3:$E$25,5,0),"")</f>
        <v>4.3478260869565223E-2</v>
      </c>
      <c r="K408" s="10">
        <v>704</v>
      </c>
      <c r="L408" t="str">
        <f>IFERROR(VLOOKUP(WTG_BD[[#This Row],[Error Code]],'Basic Data'!S:T,2,0),"Incorrect Error Code")</f>
        <v>Ch High res. load C_ Load:___%</v>
      </c>
      <c r="M408" t="s">
        <v>372</v>
      </c>
      <c r="N408" t="s">
        <v>113</v>
      </c>
      <c r="O408" s="168">
        <v>0.82222222222222219</v>
      </c>
      <c r="P408" s="168">
        <v>0.82222222222222219</v>
      </c>
      <c r="Q408" s="168">
        <v>0.86736111111111114</v>
      </c>
      <c r="R408" s="356">
        <f>(WTG_BD[[#This Row],[Work Start TimeStamp]]-WTG_BD[[#This Row],[Fault Start TimeStamp]])*24</f>
        <v>0</v>
      </c>
      <c r="S408" s="34">
        <f>(WTG_BD[[#This Row],[Fault Clearance time]]-WTG_BD[[#This Row],[Work Start TimeStamp]])*24</f>
        <v>1.0833333333333348</v>
      </c>
      <c r="T408" s="34">
        <f>(WTG_BD[[#This Row],[Fault Clearance time]]-WTG_BD[[#This Row],[Fault Start TimeStamp]])*24</f>
        <v>1.0833333333333348</v>
      </c>
      <c r="U408" t="s">
        <v>4268</v>
      </c>
      <c r="V408" s="234" t="s">
        <v>255</v>
      </c>
      <c r="W408" s="50">
        <f>IFERROR(IF(N408="ROW",0,(WTG_BD[[#This Row],[Breakdown Time]]*WTG_BD[[#This Row],[Plant Equivalent Weightage]])),"")</f>
        <v>4.7101449275362389E-2</v>
      </c>
      <c r="X408" s="50"/>
      <c r="Y408" s="205">
        <v>1</v>
      </c>
      <c r="Z408" s="205"/>
      <c r="AA408" s="4">
        <v>151</v>
      </c>
    </row>
    <row r="409" spans="1:27">
      <c r="A409" s="10">
        <f t="shared" si="7"/>
        <v>408</v>
      </c>
      <c r="B409" s="43">
        <f>YEAR(WTG_BD[[#This Row],[Date]])+IF(MONTH(WTG_BD[[#This Row],[Date]])&gt;=4,1,0)</f>
        <v>2026</v>
      </c>
      <c r="C409" s="10">
        <v>2025</v>
      </c>
      <c r="D409" s="10" t="s">
        <v>4478</v>
      </c>
      <c r="E409" s="309">
        <f>WTG_BD[[#This Row],[Date]]-DAY(WTG_BD[[#This Row],[Date]])+1</f>
        <v>45778</v>
      </c>
      <c r="F409" s="32">
        <v>45793</v>
      </c>
      <c r="G409" t="s">
        <v>80</v>
      </c>
      <c r="H409" t="str">
        <f>IFERROR(VLOOKUP(WTG_BD[[#This Row],[Affected WTG]],'Basic Data'!$A$3:$E$25,2,0),"")</f>
        <v>O2R3</v>
      </c>
      <c r="I409" t="str">
        <f>IFERROR(VLOOKUP(WTG_BD[[#This Row],[Affected WTG]],'Basic Data'!$A$3:$E$25,3,0),"")</f>
        <v>JK</v>
      </c>
      <c r="J409" s="355">
        <f>IFERROR(VLOOKUP(WTG_BD[[#This Row],[Affected WTG]],'Basic Data'!$A$3:$E$25,5,0),"")</f>
        <v>4.3478260869565223E-2</v>
      </c>
      <c r="K409" s="10">
        <v>704</v>
      </c>
      <c r="L409" t="str">
        <f>IFERROR(VLOOKUP(WTG_BD[[#This Row],[Error Code]],'Basic Data'!S:T,2,0),"Incorrect Error Code")</f>
        <v>Ch High res. load C_ Load:___%</v>
      </c>
      <c r="M409" t="s">
        <v>372</v>
      </c>
      <c r="N409" t="s">
        <v>113</v>
      </c>
      <c r="O409" s="168">
        <v>0.30625000000000002</v>
      </c>
      <c r="P409" s="168">
        <v>0.30625000000000002</v>
      </c>
      <c r="Q409" s="168">
        <v>0.31805555555555554</v>
      </c>
      <c r="R409" s="356">
        <f>(WTG_BD[[#This Row],[Work Start TimeStamp]]-WTG_BD[[#This Row],[Fault Start TimeStamp]])*24</f>
        <v>0</v>
      </c>
      <c r="S409" s="34">
        <f>(WTG_BD[[#This Row],[Fault Clearance time]]-WTG_BD[[#This Row],[Work Start TimeStamp]])*24</f>
        <v>0.28333333333333233</v>
      </c>
      <c r="T409" s="34">
        <f>(WTG_BD[[#This Row],[Fault Clearance time]]-WTG_BD[[#This Row],[Fault Start TimeStamp]])*24</f>
        <v>0.28333333333333233</v>
      </c>
      <c r="U409" t="s">
        <v>4268</v>
      </c>
      <c r="V409" s="234" t="s">
        <v>255</v>
      </c>
      <c r="W409" s="50">
        <f>IFERROR(IF(N409="ROW",0,(WTG_BD[[#This Row],[Breakdown Time]]*WTG_BD[[#This Row],[Plant Equivalent Weightage]])),"")</f>
        <v>1.2318840579710102E-2</v>
      </c>
      <c r="X409" s="50"/>
      <c r="Y409" s="205">
        <v>1</v>
      </c>
      <c r="Z409" s="205"/>
      <c r="AA409" s="4">
        <v>89</v>
      </c>
    </row>
    <row r="410" spans="1:27">
      <c r="A410" s="10">
        <f t="shared" ref="A410:A478" si="8">A409+1</f>
        <v>409</v>
      </c>
      <c r="B410" s="43">
        <f>YEAR(WTG_BD[[#This Row],[Date]])+IF(MONTH(WTG_BD[[#This Row],[Date]])&gt;=4,1,0)</f>
        <v>2026</v>
      </c>
      <c r="C410" s="10">
        <v>2025</v>
      </c>
      <c r="D410" s="10" t="s">
        <v>4478</v>
      </c>
      <c r="E410" s="309">
        <f>WTG_BD[[#This Row],[Date]]-DAY(WTG_BD[[#This Row],[Date]])+1</f>
        <v>45778</v>
      </c>
      <c r="F410" s="32">
        <v>45793</v>
      </c>
      <c r="G410" t="s">
        <v>81</v>
      </c>
      <c r="H410" t="str">
        <f>IFERROR(VLOOKUP(WTG_BD[[#This Row],[Affected WTG]],'Basic Data'!$A$3:$E$25,2,0),"")</f>
        <v>O2R3</v>
      </c>
      <c r="I410" t="str">
        <f>IFERROR(VLOOKUP(WTG_BD[[#This Row],[Affected WTG]],'Basic Data'!$A$3:$E$25,3,0),"")</f>
        <v>JK</v>
      </c>
      <c r="J410" s="355">
        <f>IFERROR(VLOOKUP(WTG_BD[[#This Row],[Affected WTG]],'Basic Data'!$A$3:$E$25,5,0),"")</f>
        <v>4.3478260869565223E-2</v>
      </c>
      <c r="K410" s="10">
        <v>176</v>
      </c>
      <c r="L410" t="str">
        <f>IFERROR(VLOOKUP(WTG_BD[[#This Row],[Error Code]],'Basic Data'!S:T,2,0),"Incorrect Error Code")</f>
        <v>Error on all wind sensors</v>
      </c>
      <c r="M410" t="s">
        <v>376</v>
      </c>
      <c r="N410" t="s">
        <v>113</v>
      </c>
      <c r="O410" s="168">
        <v>0.58819444444444446</v>
      </c>
      <c r="P410" s="168">
        <v>0.58819444444444446</v>
      </c>
      <c r="Q410" s="168">
        <v>0.59722222222222221</v>
      </c>
      <c r="R410" s="356">
        <f>(WTG_BD[[#This Row],[Work Start TimeStamp]]-WTG_BD[[#This Row],[Fault Start TimeStamp]])*24</f>
        <v>0</v>
      </c>
      <c r="S410" s="34">
        <f>(WTG_BD[[#This Row],[Fault Clearance time]]-WTG_BD[[#This Row],[Work Start TimeStamp]])*24</f>
        <v>0.2166666666666659</v>
      </c>
      <c r="T410" s="34">
        <f>(WTG_BD[[#This Row],[Fault Clearance time]]-WTG_BD[[#This Row],[Fault Start TimeStamp]])*24</f>
        <v>0.2166666666666659</v>
      </c>
      <c r="U410" t="s">
        <v>4268</v>
      </c>
      <c r="V410" s="234" t="s">
        <v>255</v>
      </c>
      <c r="W410" s="50">
        <f>IFERROR(IF(N410="ROW",0,(WTG_BD[[#This Row],[Breakdown Time]]*WTG_BD[[#This Row],[Plant Equivalent Weightage]])),"")</f>
        <v>9.4202898550724314E-3</v>
      </c>
      <c r="X410" s="50"/>
      <c r="Y410" s="205">
        <v>1</v>
      </c>
      <c r="Z410" s="205"/>
      <c r="AA410" s="4">
        <v>483</v>
      </c>
    </row>
    <row r="411" spans="1:27">
      <c r="A411" s="10">
        <f t="shared" si="8"/>
        <v>410</v>
      </c>
      <c r="B411" s="43">
        <f>YEAR(WTG_BD[[#This Row],[Date]])+IF(MONTH(WTG_BD[[#This Row],[Date]])&gt;=4,1,0)</f>
        <v>2026</v>
      </c>
      <c r="C411" s="10">
        <v>2025</v>
      </c>
      <c r="D411" s="10" t="s">
        <v>4478</v>
      </c>
      <c r="E411" s="309">
        <f>WTG_BD[[#This Row],[Date]]-DAY(WTG_BD[[#This Row],[Date]])+1</f>
        <v>45778</v>
      </c>
      <c r="F411" s="32">
        <v>45793</v>
      </c>
      <c r="G411" t="s">
        <v>82</v>
      </c>
      <c r="H411" t="str">
        <f>IFERROR(VLOOKUP(WTG_BD[[#This Row],[Affected WTG]],'Basic Data'!$A$3:$E$25,2,0),"")</f>
        <v>O2R3</v>
      </c>
      <c r="I411" t="str">
        <f>IFERROR(VLOOKUP(WTG_BD[[#This Row],[Affected WTG]],'Basic Data'!$A$3:$E$25,3,0),"")</f>
        <v>JK</v>
      </c>
      <c r="J411" s="355">
        <f>IFERROR(VLOOKUP(WTG_BD[[#This Row],[Affected WTG]],'Basic Data'!$A$3:$E$25,5,0),"")</f>
        <v>4.3478260869565223E-2</v>
      </c>
      <c r="K411" s="10">
        <v>704</v>
      </c>
      <c r="L411" t="str">
        <f>IFERROR(VLOOKUP(WTG_BD[[#This Row],[Error Code]],'Basic Data'!S:T,2,0),"Incorrect Error Code")</f>
        <v>Ch High res. load C_ Load:___%</v>
      </c>
      <c r="M411" t="s">
        <v>372</v>
      </c>
      <c r="N411" t="s">
        <v>113</v>
      </c>
      <c r="O411" s="168">
        <v>0.82222222222222219</v>
      </c>
      <c r="P411" s="168">
        <v>0.82222222222222219</v>
      </c>
      <c r="Q411" s="168">
        <v>0.86736111111111114</v>
      </c>
      <c r="R411" s="356">
        <f>(WTG_BD[[#This Row],[Work Start TimeStamp]]-WTG_BD[[#This Row],[Fault Start TimeStamp]])*24</f>
        <v>0</v>
      </c>
      <c r="S411" s="34">
        <f>(WTG_BD[[#This Row],[Fault Clearance time]]-WTG_BD[[#This Row],[Work Start TimeStamp]])*24</f>
        <v>1.0833333333333348</v>
      </c>
      <c r="T411" s="34">
        <f>(WTG_BD[[#This Row],[Fault Clearance time]]-WTG_BD[[#This Row],[Fault Start TimeStamp]])*24</f>
        <v>1.0833333333333348</v>
      </c>
      <c r="U411" t="s">
        <v>4268</v>
      </c>
      <c r="V411" s="234" t="s">
        <v>255</v>
      </c>
      <c r="W411" s="50">
        <f>IFERROR(IF(N411="ROW",0,(WTG_BD[[#This Row],[Breakdown Time]]*WTG_BD[[#This Row],[Plant Equivalent Weightage]])),"")</f>
        <v>4.7101449275362389E-2</v>
      </c>
      <c r="X411" s="50"/>
      <c r="Y411" s="205">
        <v>1</v>
      </c>
      <c r="Z411" s="205"/>
      <c r="AA411" s="4">
        <v>248</v>
      </c>
    </row>
    <row r="412" spans="1:27">
      <c r="A412" s="10">
        <f t="shared" si="8"/>
        <v>411</v>
      </c>
      <c r="B412" s="43">
        <f>YEAR(WTG_BD[[#This Row],[Date]])+IF(MONTH(WTG_BD[[#This Row],[Date]])&gt;=4,1,0)</f>
        <v>2026</v>
      </c>
      <c r="C412" s="10">
        <v>2025</v>
      </c>
      <c r="D412" s="10" t="s">
        <v>4478</v>
      </c>
      <c r="E412" s="309">
        <f>WTG_BD[[#This Row],[Date]]-DAY(WTG_BD[[#This Row],[Date]])+1</f>
        <v>45778</v>
      </c>
      <c r="F412" s="32">
        <v>45793</v>
      </c>
      <c r="G412" t="s">
        <v>86</v>
      </c>
      <c r="H412" t="str">
        <f>IFERROR(VLOOKUP(WTG_BD[[#This Row],[Affected WTG]],'Basic Data'!$A$3:$E$25,2,0),"")</f>
        <v>O2R1</v>
      </c>
      <c r="I412" t="str">
        <f>IFERROR(VLOOKUP(WTG_BD[[#This Row],[Affected WTG]],'Basic Data'!$A$3:$E$25,3,0),"")</f>
        <v>KSIPL</v>
      </c>
      <c r="J412" s="355">
        <f>IFERROR(VLOOKUP(WTG_BD[[#This Row],[Affected WTG]],'Basic Data'!$A$3:$E$25,5,0),"")</f>
        <v>4.3478260869565223E-2</v>
      </c>
      <c r="K412" s="10">
        <v>704</v>
      </c>
      <c r="L412" t="str">
        <f>IFERROR(VLOOKUP(WTG_BD[[#This Row],[Error Code]],'Basic Data'!S:T,2,0),"Incorrect Error Code")</f>
        <v>Ch High res. load C_ Load:___%</v>
      </c>
      <c r="M412" t="s">
        <v>372</v>
      </c>
      <c r="N412" t="s">
        <v>113</v>
      </c>
      <c r="O412" s="168">
        <v>0.82847222222222228</v>
      </c>
      <c r="P412" s="168">
        <v>0.82847222222222228</v>
      </c>
      <c r="Q412" s="168">
        <v>0.87430555555555556</v>
      </c>
      <c r="R412" s="356">
        <f>(WTG_BD[[#This Row],[Work Start TimeStamp]]-WTG_BD[[#This Row],[Fault Start TimeStamp]])*24</f>
        <v>0</v>
      </c>
      <c r="S412" s="34">
        <f>(WTG_BD[[#This Row],[Fault Clearance time]]-WTG_BD[[#This Row],[Work Start TimeStamp]])*24</f>
        <v>1.0999999999999988</v>
      </c>
      <c r="T412" s="34">
        <f>(WTG_BD[[#This Row],[Fault Clearance time]]-WTG_BD[[#This Row],[Fault Start TimeStamp]])*24</f>
        <v>1.0999999999999988</v>
      </c>
      <c r="U412" t="s">
        <v>4268</v>
      </c>
      <c r="V412" s="234" t="s">
        <v>255</v>
      </c>
      <c r="W412" s="50">
        <f>IFERROR(IF(N412="ROW",0,(WTG_BD[[#This Row],[Breakdown Time]]*WTG_BD[[#This Row],[Plant Equivalent Weightage]])),"")</f>
        <v>4.7826086956521692E-2</v>
      </c>
      <c r="X412" s="50"/>
      <c r="Y412" s="205">
        <v>1</v>
      </c>
      <c r="Z412" s="205"/>
      <c r="AA412" s="4">
        <v>223</v>
      </c>
    </row>
    <row r="413" spans="1:27">
      <c r="A413" s="10">
        <f t="shared" si="8"/>
        <v>412</v>
      </c>
      <c r="B413" s="43">
        <f>YEAR(WTG_BD[[#This Row],[Date]])+IF(MONTH(WTG_BD[[#This Row],[Date]])&gt;=4,1,0)</f>
        <v>2026</v>
      </c>
      <c r="C413" s="10">
        <v>2025</v>
      </c>
      <c r="D413" s="10" t="s">
        <v>4478</v>
      </c>
      <c r="E413" s="309">
        <f>WTG_BD[[#This Row],[Date]]-DAY(WTG_BD[[#This Row],[Date]])+1</f>
        <v>45778</v>
      </c>
      <c r="F413" s="32">
        <v>45793</v>
      </c>
      <c r="G413" t="s">
        <v>91</v>
      </c>
      <c r="H413" t="str">
        <f>IFERROR(VLOOKUP(WTG_BD[[#This Row],[Affected WTG]],'Basic Data'!$A$3:$E$25,2,0),"")</f>
        <v>O2R2</v>
      </c>
      <c r="I413" t="str">
        <f>IFERROR(VLOOKUP(WTG_BD[[#This Row],[Affected WTG]],'Basic Data'!$A$3:$E$25,3,0),"")</f>
        <v>SIL</v>
      </c>
      <c r="J413" s="355">
        <f>IFERROR(VLOOKUP(WTG_BD[[#This Row],[Affected WTG]],'Basic Data'!$A$3:$E$25,5,0),"")</f>
        <v>4.3478260869565223E-2</v>
      </c>
      <c r="K413" s="10">
        <v>3272</v>
      </c>
      <c r="L413" t="str">
        <f>IFERROR(VLOOKUP(WTG_BD[[#This Row],[Error Code]],'Basic Data'!S:T,2,0),"Incorrect Error Code")</f>
        <v>YawUntwistCW: Code__,_______°</v>
      </c>
      <c r="M413" t="s">
        <v>378</v>
      </c>
      <c r="O413" s="168">
        <v>0.5854166666666667</v>
      </c>
      <c r="P413" s="168">
        <v>0.5854166666666667</v>
      </c>
      <c r="Q413" s="168">
        <v>0.60416666666666663</v>
      </c>
      <c r="R413" s="356">
        <f>(WTG_BD[[#This Row],[Work Start TimeStamp]]-WTG_BD[[#This Row],[Fault Start TimeStamp]])*24</f>
        <v>0</v>
      </c>
      <c r="S413" s="34">
        <f>(WTG_BD[[#This Row],[Fault Clearance time]]-WTG_BD[[#This Row],[Work Start TimeStamp]])*24</f>
        <v>0.4499999999999984</v>
      </c>
      <c r="T413" s="34">
        <f>(WTG_BD[[#This Row],[Fault Clearance time]]-WTG_BD[[#This Row],[Fault Start TimeStamp]])*24</f>
        <v>0.4499999999999984</v>
      </c>
      <c r="U413" t="s">
        <v>262</v>
      </c>
      <c r="V413" s="234" t="s">
        <v>255</v>
      </c>
      <c r="W413" s="50">
        <f>IFERROR(IF(N413="ROW",0,(WTG_BD[[#This Row],[Breakdown Time]]*WTG_BD[[#This Row],[Plant Equivalent Weightage]])),"")</f>
        <v>1.956521739130428E-2</v>
      </c>
      <c r="X413" s="50"/>
      <c r="Y413" s="205">
        <v>1</v>
      </c>
      <c r="Z413" s="205"/>
      <c r="AA413" s="4">
        <v>265</v>
      </c>
    </row>
    <row r="414" spans="1:27">
      <c r="A414" s="10">
        <f t="shared" si="8"/>
        <v>413</v>
      </c>
      <c r="B414" s="43">
        <f>YEAR(WTG_BD[[#This Row],[Date]])+IF(MONTH(WTG_BD[[#This Row],[Date]])&gt;=4,1,0)</f>
        <v>2026</v>
      </c>
      <c r="C414" s="10">
        <v>2025</v>
      </c>
      <c r="D414" s="10" t="s">
        <v>4478</v>
      </c>
      <c r="E414" s="309">
        <f>WTG_BD[[#This Row],[Date]]-DAY(WTG_BD[[#This Row],[Date]])+1</f>
        <v>45778</v>
      </c>
      <c r="F414" s="32">
        <v>45793</v>
      </c>
      <c r="G414" t="s">
        <v>96</v>
      </c>
      <c r="H414" t="str">
        <f>IFERROR(VLOOKUP(WTG_BD[[#This Row],[Affected WTG]],'Basic Data'!$A$3:$E$25,2,0),"")</f>
        <v>O2R3</v>
      </c>
      <c r="I414" t="str">
        <f>IFERROR(VLOOKUP(WTG_BD[[#This Row],[Affected WTG]],'Basic Data'!$A$3:$E$25,3,0),"")</f>
        <v>JK</v>
      </c>
      <c r="J414" s="355">
        <f>IFERROR(VLOOKUP(WTG_BD[[#This Row],[Affected WTG]],'Basic Data'!$A$3:$E$25,5,0),"")</f>
        <v>4.3478260869565223E-2</v>
      </c>
      <c r="K414" s="10">
        <v>309</v>
      </c>
      <c r="L414" t="str">
        <f>IFERROR(VLOOKUP(WTG_BD[[#This Row],[Error Code]],'Basic Data'!S:T,2,0),"Incorrect Error Code")</f>
        <v>Pause over RCS __0</v>
      </c>
      <c r="M414" t="s">
        <v>871</v>
      </c>
      <c r="N414" t="s">
        <v>257</v>
      </c>
      <c r="O414" s="168">
        <v>0.40138888888888891</v>
      </c>
      <c r="P414" s="168">
        <v>0.40138888888888891</v>
      </c>
      <c r="Q414" s="168">
        <v>0.70833333333333337</v>
      </c>
      <c r="R414" s="356">
        <f>(WTG_BD[[#This Row],[Work Start TimeStamp]]-WTG_BD[[#This Row],[Fault Start TimeStamp]])*24</f>
        <v>0</v>
      </c>
      <c r="S414" s="34">
        <f>(WTG_BD[[#This Row],[Fault Clearance time]]-WTG_BD[[#This Row],[Work Start TimeStamp]])*24</f>
        <v>7.3666666666666671</v>
      </c>
      <c r="T414" s="34">
        <f>(WTG_BD[[#This Row],[Fault Clearance time]]-WTG_BD[[#This Row],[Fault Start TimeStamp]])*24</f>
        <v>7.3666666666666671</v>
      </c>
      <c r="U414" t="s">
        <v>4493</v>
      </c>
      <c r="V414" s="234" t="s">
        <v>255</v>
      </c>
      <c r="W414" s="50">
        <f>IFERROR(IF(N414="ROW",0,(WTG_BD[[#This Row],[Breakdown Time]]*WTG_BD[[#This Row],[Plant Equivalent Weightage]])),"")</f>
        <v>0.32028985507246382</v>
      </c>
      <c r="X414" s="50"/>
      <c r="Y414" s="205">
        <v>1</v>
      </c>
      <c r="Z414" s="205"/>
      <c r="AA414" s="4">
        <v>610</v>
      </c>
    </row>
    <row r="415" spans="1:27">
      <c r="A415" s="10">
        <f t="shared" si="8"/>
        <v>414</v>
      </c>
      <c r="B415" s="43">
        <f>YEAR(WTG_BD[[#This Row],[Date]])+IF(MONTH(WTG_BD[[#This Row],[Date]])&gt;=4,1,0)</f>
        <v>2026</v>
      </c>
      <c r="C415" s="10">
        <v>2025</v>
      </c>
      <c r="D415" s="10" t="s">
        <v>4478</v>
      </c>
      <c r="E415" s="309">
        <f>WTG_BD[[#This Row],[Date]]-DAY(WTG_BD[[#This Row],[Date]])+1</f>
        <v>45778</v>
      </c>
      <c r="F415" s="32">
        <v>45794</v>
      </c>
      <c r="G415" t="s">
        <v>77</v>
      </c>
      <c r="H415" t="str">
        <f>IFERROR(VLOOKUP(WTG_BD[[#This Row],[Affected WTG]],'Basic Data'!$A$3:$E$25,2,0),"")</f>
        <v>O2R3</v>
      </c>
      <c r="I415" t="str">
        <f>IFERROR(VLOOKUP(WTG_BD[[#This Row],[Affected WTG]],'Basic Data'!$A$3:$E$25,3,0),"")</f>
        <v>JK</v>
      </c>
      <c r="J415" s="355">
        <f>IFERROR(VLOOKUP(WTG_BD[[#This Row],[Affected WTG]],'Basic Data'!$A$3:$E$25,5,0),"")</f>
        <v>4.3478260869565223E-2</v>
      </c>
      <c r="K415" s="10">
        <v>704</v>
      </c>
      <c r="L415" t="str">
        <f>IFERROR(VLOOKUP(WTG_BD[[#This Row],[Error Code]],'Basic Data'!S:T,2,0),"Incorrect Error Code")</f>
        <v>Ch High res. load C_ Load:___%</v>
      </c>
      <c r="M415" t="s">
        <v>372</v>
      </c>
      <c r="N415" t="s">
        <v>113</v>
      </c>
      <c r="O415" s="168">
        <v>0.74652777777777779</v>
      </c>
      <c r="P415" s="168">
        <v>0.74652777777777779</v>
      </c>
      <c r="Q415" s="168">
        <v>0.75624999999999998</v>
      </c>
      <c r="R415" s="356">
        <f>(WTG_BD[[#This Row],[Work Start TimeStamp]]-WTG_BD[[#This Row],[Fault Start TimeStamp]])*24</f>
        <v>0</v>
      </c>
      <c r="S415" s="34">
        <f>(WTG_BD[[#This Row],[Fault Clearance time]]-WTG_BD[[#This Row],[Work Start TimeStamp]])*24</f>
        <v>0.2333333333333325</v>
      </c>
      <c r="T415" s="34">
        <f>(WTG_BD[[#This Row],[Fault Clearance time]]-WTG_BD[[#This Row],[Fault Start TimeStamp]])*24</f>
        <v>0.2333333333333325</v>
      </c>
      <c r="U415" t="s">
        <v>4268</v>
      </c>
      <c r="V415" s="234" t="s">
        <v>255</v>
      </c>
      <c r="W415" s="50">
        <f>IFERROR(IF(N415="ROW",0,(WTG_BD[[#This Row],[Breakdown Time]]*WTG_BD[[#This Row],[Plant Equivalent Weightage]])),"")</f>
        <v>1.0144927536231849E-2</v>
      </c>
      <c r="X415" s="50"/>
      <c r="Y415" s="205">
        <v>1</v>
      </c>
      <c r="Z415" s="205"/>
      <c r="AA415" s="4">
        <v>127</v>
      </c>
    </row>
    <row r="416" spans="1:27">
      <c r="A416" s="10">
        <f t="shared" si="8"/>
        <v>415</v>
      </c>
      <c r="B416" s="43">
        <f>YEAR(WTG_BD[[#This Row],[Date]])+IF(MONTH(WTG_BD[[#This Row],[Date]])&gt;=4,1,0)</f>
        <v>2026</v>
      </c>
      <c r="C416" s="10">
        <v>2025</v>
      </c>
      <c r="D416" s="10" t="s">
        <v>4478</v>
      </c>
      <c r="E416" s="309">
        <f>WTG_BD[[#This Row],[Date]]-DAY(WTG_BD[[#This Row],[Date]])+1</f>
        <v>45778</v>
      </c>
      <c r="F416" s="32">
        <v>45794</v>
      </c>
      <c r="G416" t="s">
        <v>96</v>
      </c>
      <c r="H416" t="str">
        <f>IFERROR(VLOOKUP(WTG_BD[[#This Row],[Affected WTG]],'Basic Data'!$A$3:$E$25,2,0),"")</f>
        <v>O2R3</v>
      </c>
      <c r="I416" t="str">
        <f>IFERROR(VLOOKUP(WTG_BD[[#This Row],[Affected WTG]],'Basic Data'!$A$3:$E$25,3,0),"")</f>
        <v>JK</v>
      </c>
      <c r="J416" s="355">
        <f>IFERROR(VLOOKUP(WTG_BD[[#This Row],[Affected WTG]],'Basic Data'!$A$3:$E$25,5,0),"")</f>
        <v>4.3478260869565223E-2</v>
      </c>
      <c r="K416" s="10">
        <v>704</v>
      </c>
      <c r="L416" t="str">
        <f>IFERROR(VLOOKUP(WTG_BD[[#This Row],[Error Code]],'Basic Data'!S:T,2,0),"Incorrect Error Code")</f>
        <v>Ch High res. load C_ Load:___%</v>
      </c>
      <c r="M416" t="s">
        <v>372</v>
      </c>
      <c r="N416" t="s">
        <v>113</v>
      </c>
      <c r="O416" s="168">
        <v>0.74236111111111114</v>
      </c>
      <c r="P416" s="168">
        <v>0.74236111111111114</v>
      </c>
      <c r="Q416" s="168">
        <v>0.74861111111111112</v>
      </c>
      <c r="R416" s="356">
        <f>(WTG_BD[[#This Row],[Work Start TimeStamp]]-WTG_BD[[#This Row],[Fault Start TimeStamp]])*24</f>
        <v>0</v>
      </c>
      <c r="S416" s="34">
        <f>(WTG_BD[[#This Row],[Fault Clearance time]]-WTG_BD[[#This Row],[Work Start TimeStamp]])*24</f>
        <v>0.14999999999999947</v>
      </c>
      <c r="T416" s="34">
        <f>(WTG_BD[[#This Row],[Fault Clearance time]]-WTG_BD[[#This Row],[Fault Start TimeStamp]])*24</f>
        <v>0.14999999999999947</v>
      </c>
      <c r="U416" t="s">
        <v>4268</v>
      </c>
      <c r="V416" s="234" t="s">
        <v>255</v>
      </c>
      <c r="W416" s="50">
        <f>IFERROR(IF(N416="ROW",0,(WTG_BD[[#This Row],[Breakdown Time]]*WTG_BD[[#This Row],[Plant Equivalent Weightage]])),"")</f>
        <v>6.5217391304347606E-3</v>
      </c>
      <c r="X416" s="50"/>
      <c r="Y416" s="205">
        <v>1</v>
      </c>
      <c r="Z416" s="205"/>
      <c r="AA416" s="4">
        <v>26</v>
      </c>
    </row>
    <row r="417" spans="1:27">
      <c r="A417" s="10">
        <f t="shared" si="8"/>
        <v>416</v>
      </c>
      <c r="B417" s="43">
        <f>YEAR(WTG_BD[[#This Row],[Date]])+IF(MONTH(WTG_BD[[#This Row],[Date]])&gt;=4,1,0)</f>
        <v>2026</v>
      </c>
      <c r="C417" s="10">
        <v>2025</v>
      </c>
      <c r="D417" s="10" t="s">
        <v>4478</v>
      </c>
      <c r="E417" s="309">
        <f>WTG_BD[[#This Row],[Date]]-DAY(WTG_BD[[#This Row],[Date]])+1</f>
        <v>45778</v>
      </c>
      <c r="F417" s="32">
        <v>45794</v>
      </c>
      <c r="G417" t="s">
        <v>97</v>
      </c>
      <c r="H417" t="str">
        <f>IFERROR(VLOOKUP(WTG_BD[[#This Row],[Affected WTG]],'Basic Data'!$A$3:$E$25,2,0),"")</f>
        <v>O2R3</v>
      </c>
      <c r="I417" t="str">
        <f>IFERROR(VLOOKUP(WTG_BD[[#This Row],[Affected WTG]],'Basic Data'!$A$3:$E$25,3,0),"")</f>
        <v>JK</v>
      </c>
      <c r="J417" s="355">
        <f>IFERROR(VLOOKUP(WTG_BD[[#This Row],[Affected WTG]],'Basic Data'!$A$3:$E$25,5,0),"")</f>
        <v>4.3478260869565223E-2</v>
      </c>
      <c r="K417" s="10">
        <v>309</v>
      </c>
      <c r="L417" t="str">
        <f>IFERROR(VLOOKUP(WTG_BD[[#This Row],[Error Code]],'Basic Data'!S:T,2,0),"Incorrect Error Code")</f>
        <v>Pause over RCS __0</v>
      </c>
      <c r="M417" t="s">
        <v>871</v>
      </c>
      <c r="N417" t="s">
        <v>257</v>
      </c>
      <c r="O417" s="168">
        <v>0.58333333333333337</v>
      </c>
      <c r="P417" s="168">
        <v>0.58333333333333337</v>
      </c>
      <c r="Q417" s="168">
        <v>0.73402777777777772</v>
      </c>
      <c r="R417" s="356">
        <f>(WTG_BD[[#This Row],[Work Start TimeStamp]]-WTG_BD[[#This Row],[Fault Start TimeStamp]])*24</f>
        <v>0</v>
      </c>
      <c r="S417" s="34">
        <f>(WTG_BD[[#This Row],[Fault Clearance time]]-WTG_BD[[#This Row],[Work Start TimeStamp]])*24</f>
        <v>3.6166666666666645</v>
      </c>
      <c r="T417" s="34">
        <f>(WTG_BD[[#This Row],[Fault Clearance time]]-WTG_BD[[#This Row],[Fault Start TimeStamp]])*24</f>
        <v>3.6166666666666645</v>
      </c>
      <c r="U417" t="s">
        <v>4494</v>
      </c>
      <c r="V417" s="234" t="s">
        <v>255</v>
      </c>
      <c r="W417" s="50">
        <f>IFERROR(IF(N417="ROW",0,(WTG_BD[[#This Row],[Breakdown Time]]*WTG_BD[[#This Row],[Plant Equivalent Weightage]])),"")</f>
        <v>0.15724637681159412</v>
      </c>
      <c r="X417" s="50"/>
      <c r="Y417" s="205">
        <v>1</v>
      </c>
      <c r="Z417" s="205"/>
      <c r="AA417" s="4">
        <v>159</v>
      </c>
    </row>
    <row r="418" spans="1:27">
      <c r="A418" s="10">
        <f t="shared" si="8"/>
        <v>417</v>
      </c>
      <c r="B418" s="43">
        <f>YEAR(WTG_BD[[#This Row],[Date]])+IF(MONTH(WTG_BD[[#This Row],[Date]])&gt;=4,1,0)</f>
        <v>2026</v>
      </c>
      <c r="C418" s="10">
        <v>2025</v>
      </c>
      <c r="D418" s="10" t="s">
        <v>4478</v>
      </c>
      <c r="E418" s="309">
        <f>WTG_BD[[#This Row],[Date]]-DAY(WTG_BD[[#This Row],[Date]])+1</f>
        <v>45778</v>
      </c>
      <c r="F418" s="32">
        <v>45794</v>
      </c>
      <c r="G418" t="s">
        <v>98</v>
      </c>
      <c r="H418" t="str">
        <f>IFERROR(VLOOKUP(WTG_BD[[#This Row],[Affected WTG]],'Basic Data'!$A$3:$E$25,2,0),"")</f>
        <v>O2R3</v>
      </c>
      <c r="I418" t="str">
        <f>IFERROR(VLOOKUP(WTG_BD[[#This Row],[Affected WTG]],'Basic Data'!$A$3:$E$25,3,0),"")</f>
        <v>JK</v>
      </c>
      <c r="J418" s="355">
        <f>IFERROR(VLOOKUP(WTG_BD[[#This Row],[Affected WTG]],'Basic Data'!$A$3:$E$25,5,0),"")</f>
        <v>4.3478260869565223E-2</v>
      </c>
      <c r="K418" s="10">
        <v>309</v>
      </c>
      <c r="L418" t="str">
        <f>IFERROR(VLOOKUP(WTG_BD[[#This Row],[Error Code]],'Basic Data'!S:T,2,0),"Incorrect Error Code")</f>
        <v>Pause over RCS __0</v>
      </c>
      <c r="M418" t="s">
        <v>871</v>
      </c>
      <c r="N418" t="s">
        <v>257</v>
      </c>
      <c r="O418" s="168">
        <v>0.41805555555555557</v>
      </c>
      <c r="P418" s="168">
        <v>0.41805555555555557</v>
      </c>
      <c r="Q418" s="168">
        <v>0.53819444444444442</v>
      </c>
      <c r="R418" s="356">
        <f>(WTG_BD[[#This Row],[Work Start TimeStamp]]-WTG_BD[[#This Row],[Fault Start TimeStamp]])*24</f>
        <v>0</v>
      </c>
      <c r="S418" s="34">
        <f>(WTG_BD[[#This Row],[Fault Clearance time]]-WTG_BD[[#This Row],[Work Start TimeStamp]])*24</f>
        <v>2.8833333333333324</v>
      </c>
      <c r="T418" s="34">
        <f>(WTG_BD[[#This Row],[Fault Clearance time]]-WTG_BD[[#This Row],[Fault Start TimeStamp]])*24</f>
        <v>2.8833333333333324</v>
      </c>
      <c r="U418" t="s">
        <v>4494</v>
      </c>
      <c r="V418" s="234" t="s">
        <v>255</v>
      </c>
      <c r="W418" s="50">
        <f>IFERROR(IF(N418="ROW",0,(WTG_BD[[#This Row],[Breakdown Time]]*WTG_BD[[#This Row],[Plant Equivalent Weightage]])),"")</f>
        <v>0.12536231884057969</v>
      </c>
      <c r="X418" s="50"/>
      <c r="Y418" s="205">
        <v>1</v>
      </c>
      <c r="Z418" s="205"/>
      <c r="AA418" s="4">
        <v>39</v>
      </c>
    </row>
    <row r="419" spans="1:27">
      <c r="A419" s="10">
        <f t="shared" si="8"/>
        <v>418</v>
      </c>
      <c r="B419" s="43">
        <f>YEAR(WTG_BD[[#This Row],[Date]])+IF(MONTH(WTG_BD[[#This Row],[Date]])&gt;=4,1,0)</f>
        <v>2026</v>
      </c>
      <c r="C419" s="10">
        <v>2025</v>
      </c>
      <c r="D419" s="10" t="s">
        <v>4478</v>
      </c>
      <c r="E419" s="309">
        <f>WTG_BD[[#This Row],[Date]]-DAY(WTG_BD[[#This Row],[Date]])+1</f>
        <v>45778</v>
      </c>
      <c r="F419" s="32">
        <v>45795</v>
      </c>
      <c r="G419" t="s">
        <v>77</v>
      </c>
      <c r="H419" t="str">
        <f>IFERROR(VLOOKUP(WTG_BD[[#This Row],[Affected WTG]],'Basic Data'!$A$3:$E$25,2,0),"")</f>
        <v>O2R3</v>
      </c>
      <c r="I419" t="str">
        <f>IFERROR(VLOOKUP(WTG_BD[[#This Row],[Affected WTG]],'Basic Data'!$A$3:$E$25,3,0),"")</f>
        <v>JK</v>
      </c>
      <c r="J419" s="355">
        <f>IFERROR(VLOOKUP(WTG_BD[[#This Row],[Affected WTG]],'Basic Data'!$A$3:$E$25,5,0),"")</f>
        <v>4.3478260869565223E-2</v>
      </c>
      <c r="K419" s="10">
        <v>3273</v>
      </c>
      <c r="L419" t="str">
        <f>IFERROR(VLOOKUP(WTG_BD[[#This Row],[Error Code]],'Basic Data'!S:T,2,0),"Incorrect Error Code")</f>
        <v>YawUntwistCCW: Code__,_______°</v>
      </c>
      <c r="M419" t="s">
        <v>1963</v>
      </c>
      <c r="O419" s="168">
        <v>0.78263888888888888</v>
      </c>
      <c r="P419" s="168">
        <v>0.78263888888888888</v>
      </c>
      <c r="Q419" s="168">
        <v>0.7993055555555556</v>
      </c>
      <c r="R419" s="356">
        <f>(WTG_BD[[#This Row],[Work Start TimeStamp]]-WTG_BD[[#This Row],[Fault Start TimeStamp]])*24</f>
        <v>0</v>
      </c>
      <c r="S419" s="34">
        <f>(WTG_BD[[#This Row],[Fault Clearance time]]-WTG_BD[[#This Row],[Work Start TimeStamp]])*24</f>
        <v>0.40000000000000124</v>
      </c>
      <c r="T419" s="34">
        <f>(WTG_BD[[#This Row],[Fault Clearance time]]-WTG_BD[[#This Row],[Fault Start TimeStamp]])*24</f>
        <v>0.40000000000000124</v>
      </c>
      <c r="U419" t="s">
        <v>262</v>
      </c>
      <c r="V419" s="234" t="s">
        <v>255</v>
      </c>
      <c r="W419" s="50">
        <f>IFERROR(IF(N419="ROW",0,(WTG_BD[[#This Row],[Breakdown Time]]*WTG_BD[[#This Row],[Plant Equivalent Weightage]])),"")</f>
        <v>1.7391304347826143E-2</v>
      </c>
      <c r="X419" s="50"/>
      <c r="Y419" s="205">
        <v>1</v>
      </c>
      <c r="Z419" s="205"/>
      <c r="AA419" s="4">
        <v>4</v>
      </c>
    </row>
    <row r="420" spans="1:27">
      <c r="A420" s="10">
        <f t="shared" si="8"/>
        <v>419</v>
      </c>
      <c r="B420" s="43">
        <f>YEAR(WTG_BD[[#This Row],[Date]])+IF(MONTH(WTG_BD[[#This Row],[Date]])&gt;=4,1,0)</f>
        <v>2026</v>
      </c>
      <c r="C420" s="10">
        <v>2025</v>
      </c>
      <c r="D420" s="10" t="s">
        <v>4478</v>
      </c>
      <c r="E420" s="309">
        <f>WTG_BD[[#This Row],[Date]]-DAY(WTG_BD[[#This Row],[Date]])+1</f>
        <v>45778</v>
      </c>
      <c r="F420" s="32">
        <v>45795</v>
      </c>
      <c r="G420" t="s">
        <v>78</v>
      </c>
      <c r="H420" t="str">
        <f>IFERROR(VLOOKUP(WTG_BD[[#This Row],[Affected WTG]],'Basic Data'!$A$3:$E$25,2,0),"")</f>
        <v>O2R1</v>
      </c>
      <c r="I420" t="str">
        <f>IFERROR(VLOOKUP(WTG_BD[[#This Row],[Affected WTG]],'Basic Data'!$A$3:$E$25,3,0),"")</f>
        <v>KSIPL</v>
      </c>
      <c r="J420" s="355">
        <f>IFERROR(VLOOKUP(WTG_BD[[#This Row],[Affected WTG]],'Basic Data'!$A$3:$E$25,5,0),"")</f>
        <v>4.3478260869565223E-2</v>
      </c>
      <c r="K420" s="10">
        <v>3272</v>
      </c>
      <c r="L420" t="str">
        <f>IFERROR(VLOOKUP(WTG_BD[[#This Row],[Error Code]],'Basic Data'!S:T,2,0),"Incorrect Error Code")</f>
        <v>YawUntwistCW: Code__,_______°</v>
      </c>
      <c r="M420" t="s">
        <v>378</v>
      </c>
      <c r="O420" s="168">
        <v>5.1388888888888887E-2</v>
      </c>
      <c r="P420" s="168">
        <v>5.1388888888888887E-2</v>
      </c>
      <c r="Q420" s="168">
        <v>6.25E-2</v>
      </c>
      <c r="R420" s="356">
        <f>(WTG_BD[[#This Row],[Work Start TimeStamp]]-WTG_BD[[#This Row],[Fault Start TimeStamp]])*24</f>
        <v>0</v>
      </c>
      <c r="S420" s="34">
        <f>(WTG_BD[[#This Row],[Fault Clearance time]]-WTG_BD[[#This Row],[Work Start TimeStamp]])*24</f>
        <v>0.26666666666666672</v>
      </c>
      <c r="T420" s="34">
        <f>(WTG_BD[[#This Row],[Fault Clearance time]]-WTG_BD[[#This Row],[Fault Start TimeStamp]])*24</f>
        <v>0.26666666666666672</v>
      </c>
      <c r="U420" t="s">
        <v>262</v>
      </c>
      <c r="V420" s="234" t="s">
        <v>255</v>
      </c>
      <c r="W420" s="50">
        <f>IFERROR(IF(N420="ROW",0,(WTG_BD[[#This Row],[Breakdown Time]]*WTG_BD[[#This Row],[Plant Equivalent Weightage]])),"")</f>
        <v>1.1594202898550728E-2</v>
      </c>
      <c r="X420" s="50"/>
      <c r="Y420" s="205">
        <v>1</v>
      </c>
      <c r="Z420" s="205"/>
      <c r="AA420" s="4">
        <v>1</v>
      </c>
    </row>
    <row r="421" spans="1:27">
      <c r="A421" s="10">
        <f t="shared" si="8"/>
        <v>420</v>
      </c>
      <c r="B421" s="43">
        <f>YEAR(WTG_BD[[#This Row],[Date]])+IF(MONTH(WTG_BD[[#This Row],[Date]])&gt;=4,1,0)</f>
        <v>2026</v>
      </c>
      <c r="C421" s="10">
        <v>2025</v>
      </c>
      <c r="D421" s="10" t="s">
        <v>4478</v>
      </c>
      <c r="E421" s="309">
        <f>WTG_BD[[#This Row],[Date]]-DAY(WTG_BD[[#This Row],[Date]])+1</f>
        <v>45778</v>
      </c>
      <c r="F421" s="32">
        <v>45795</v>
      </c>
      <c r="G421" t="s">
        <v>78</v>
      </c>
      <c r="H421" t="str">
        <f>IFERROR(VLOOKUP(WTG_BD[[#This Row],[Affected WTG]],'Basic Data'!$A$3:$E$25,2,0),"")</f>
        <v>O2R1</v>
      </c>
      <c r="I421" t="str">
        <f>IFERROR(VLOOKUP(WTG_BD[[#This Row],[Affected WTG]],'Basic Data'!$A$3:$E$25,3,0),"")</f>
        <v>KSIPL</v>
      </c>
      <c r="J421" s="355">
        <f>IFERROR(VLOOKUP(WTG_BD[[#This Row],[Affected WTG]],'Basic Data'!$A$3:$E$25,5,0),"")</f>
        <v>4.3478260869565223E-2</v>
      </c>
      <c r="K421" s="10">
        <v>3272</v>
      </c>
      <c r="L421" t="str">
        <f>IFERROR(VLOOKUP(WTG_BD[[#This Row],[Error Code]],'Basic Data'!S:T,2,0),"Incorrect Error Code")</f>
        <v>YawUntwistCW: Code__,_______°</v>
      </c>
      <c r="M421" t="s">
        <v>378</v>
      </c>
      <c r="O421" s="168">
        <v>0.80972222222222223</v>
      </c>
      <c r="P421" s="168">
        <v>0.80972222222222223</v>
      </c>
      <c r="Q421" s="168">
        <v>0.82361111111111107</v>
      </c>
      <c r="R421" s="356">
        <f>(WTG_BD[[#This Row],[Work Start TimeStamp]]-WTG_BD[[#This Row],[Fault Start TimeStamp]])*24</f>
        <v>0</v>
      </c>
      <c r="S421" s="34">
        <f>(WTG_BD[[#This Row],[Fault Clearance time]]-WTG_BD[[#This Row],[Work Start TimeStamp]])*24</f>
        <v>0.33333333333333215</v>
      </c>
      <c r="T421" s="34">
        <f>(WTG_BD[[#This Row],[Fault Clearance time]]-WTG_BD[[#This Row],[Fault Start TimeStamp]])*24</f>
        <v>0.33333333333333215</v>
      </c>
      <c r="U421" t="s">
        <v>262</v>
      </c>
      <c r="V421" s="234" t="s">
        <v>255</v>
      </c>
      <c r="W421" s="50">
        <f>IFERROR(IF(N421="ROW",0,(WTG_BD[[#This Row],[Breakdown Time]]*WTG_BD[[#This Row],[Plant Equivalent Weightage]])),"")</f>
        <v>1.4492753623188356E-2</v>
      </c>
      <c r="X421" s="50"/>
      <c r="Y421" s="205">
        <v>1</v>
      </c>
      <c r="Z421" s="205"/>
      <c r="AA421" s="4">
        <v>35</v>
      </c>
    </row>
    <row r="422" spans="1:27">
      <c r="A422" s="10">
        <f t="shared" si="8"/>
        <v>421</v>
      </c>
      <c r="B422" s="43">
        <f>YEAR(WTG_BD[[#This Row],[Date]])+IF(MONTH(WTG_BD[[#This Row],[Date]])&gt;=4,1,0)</f>
        <v>2026</v>
      </c>
      <c r="C422" s="10">
        <v>2025</v>
      </c>
      <c r="D422" s="10" t="s">
        <v>4478</v>
      </c>
      <c r="E422" s="309">
        <f>WTG_BD[[#This Row],[Date]]-DAY(WTG_BD[[#This Row],[Date]])+1</f>
        <v>45778</v>
      </c>
      <c r="F422" s="32">
        <v>45795</v>
      </c>
      <c r="G422" t="s">
        <v>79</v>
      </c>
      <c r="H422" t="str">
        <f>IFERROR(VLOOKUP(WTG_BD[[#This Row],[Affected WTG]],'Basic Data'!$A$3:$E$25,2,0),"")</f>
        <v>O2R3</v>
      </c>
      <c r="I422" t="str">
        <f>IFERROR(VLOOKUP(WTG_BD[[#This Row],[Affected WTG]],'Basic Data'!$A$3:$E$25,3,0),"")</f>
        <v>JK</v>
      </c>
      <c r="J422" s="355">
        <f>IFERROR(VLOOKUP(WTG_BD[[#This Row],[Affected WTG]],'Basic Data'!$A$3:$E$25,5,0),"")</f>
        <v>4.3478260869565223E-2</v>
      </c>
      <c r="K422" s="10">
        <v>315</v>
      </c>
      <c r="L422" t="str">
        <f>IFERROR(VLOOKUP(WTG_BD[[#This Row],[Error Code]],'Basic Data'!S:T,2,0),"Incorrect Error Code")</f>
        <v>ExEx low voltage L_: ___V</v>
      </c>
      <c r="M422" t="s">
        <v>141</v>
      </c>
      <c r="N422" t="s">
        <v>113</v>
      </c>
      <c r="O422" s="168">
        <v>0.375</v>
      </c>
      <c r="P422" s="168">
        <v>0.375</v>
      </c>
      <c r="Q422" s="168">
        <v>0.44444444444444442</v>
      </c>
      <c r="R422" s="356">
        <f>(WTG_BD[[#This Row],[Work Start TimeStamp]]-WTG_BD[[#This Row],[Fault Start TimeStamp]])*24</f>
        <v>0</v>
      </c>
      <c r="S422" s="34">
        <f>(WTG_BD[[#This Row],[Fault Clearance time]]-WTG_BD[[#This Row],[Work Start TimeStamp]])*24</f>
        <v>1.6666666666666661</v>
      </c>
      <c r="T422" s="34">
        <f>(WTG_BD[[#This Row],[Fault Clearance time]]-WTG_BD[[#This Row],[Fault Start TimeStamp]])*24</f>
        <v>1.6666666666666661</v>
      </c>
      <c r="U422" t="s">
        <v>4328</v>
      </c>
      <c r="V422" s="234" t="s">
        <v>255</v>
      </c>
      <c r="W422" s="50">
        <f>IFERROR(IF(N422="ROW",0,(WTG_BD[[#This Row],[Breakdown Time]]*WTG_BD[[#This Row],[Plant Equivalent Weightage]])),"")</f>
        <v>7.2463768115942018E-2</v>
      </c>
      <c r="X422" s="50"/>
      <c r="Y422" s="205">
        <v>1</v>
      </c>
      <c r="Z422" s="205"/>
      <c r="AA422" s="4">
        <v>10</v>
      </c>
    </row>
    <row r="423" spans="1:27">
      <c r="A423" s="10">
        <f t="shared" si="8"/>
        <v>422</v>
      </c>
      <c r="B423" s="43">
        <f>YEAR(WTG_BD[[#This Row],[Date]])+IF(MONTH(WTG_BD[[#This Row],[Date]])&gt;=4,1,0)</f>
        <v>2026</v>
      </c>
      <c r="C423" s="10">
        <v>2025</v>
      </c>
      <c r="D423" s="10" t="s">
        <v>4478</v>
      </c>
      <c r="E423" s="309">
        <f>WTG_BD[[#This Row],[Date]]-DAY(WTG_BD[[#This Row],[Date]])+1</f>
        <v>45778</v>
      </c>
      <c r="F423" s="32">
        <v>45795</v>
      </c>
      <c r="G423" t="s">
        <v>80</v>
      </c>
      <c r="H423" t="str">
        <f>IFERROR(VLOOKUP(WTG_BD[[#This Row],[Affected WTG]],'Basic Data'!$A$3:$E$25,2,0),"")</f>
        <v>O2R3</v>
      </c>
      <c r="I423" t="str">
        <f>IFERROR(VLOOKUP(WTG_BD[[#This Row],[Affected WTG]],'Basic Data'!$A$3:$E$25,3,0),"")</f>
        <v>JK</v>
      </c>
      <c r="J423" s="355">
        <f>IFERROR(VLOOKUP(WTG_BD[[#This Row],[Affected WTG]],'Basic Data'!$A$3:$E$25,5,0),"")</f>
        <v>4.3478260869565223E-2</v>
      </c>
      <c r="K423" s="10">
        <v>3273</v>
      </c>
      <c r="L423" t="str">
        <f>IFERROR(VLOOKUP(WTG_BD[[#This Row],[Error Code]],'Basic Data'!S:T,2,0),"Incorrect Error Code")</f>
        <v>YawUntwistCCW: Code__,_______°</v>
      </c>
      <c r="M423" t="s">
        <v>1963</v>
      </c>
      <c r="O423" s="168">
        <v>0.97499999999999998</v>
      </c>
      <c r="P423" s="168">
        <v>0.97499999999999998</v>
      </c>
      <c r="Q423" s="168">
        <v>0.99305555555555558</v>
      </c>
      <c r="R423" s="356">
        <f>(WTG_BD[[#This Row],[Work Start TimeStamp]]-WTG_BD[[#This Row],[Fault Start TimeStamp]])*24</f>
        <v>0</v>
      </c>
      <c r="S423" s="34">
        <f>(WTG_BD[[#This Row],[Fault Clearance time]]-WTG_BD[[#This Row],[Work Start TimeStamp]])*24</f>
        <v>0.43333333333333446</v>
      </c>
      <c r="T423" s="34">
        <f>(WTG_BD[[#This Row],[Fault Clearance time]]-WTG_BD[[#This Row],[Fault Start TimeStamp]])*24</f>
        <v>0.43333333333333446</v>
      </c>
      <c r="U423" t="s">
        <v>262</v>
      </c>
      <c r="V423" s="234" t="s">
        <v>255</v>
      </c>
      <c r="W423" s="50">
        <f>IFERROR(IF(N423="ROW",0,(WTG_BD[[#This Row],[Breakdown Time]]*WTG_BD[[#This Row],[Plant Equivalent Weightage]])),"")</f>
        <v>1.8840579710144977E-2</v>
      </c>
      <c r="X423" s="50"/>
      <c r="Y423" s="205">
        <v>1</v>
      </c>
      <c r="Z423" s="205"/>
      <c r="AA423" s="4">
        <v>104</v>
      </c>
    </row>
    <row r="424" spans="1:27">
      <c r="A424" s="10">
        <f t="shared" si="8"/>
        <v>423</v>
      </c>
      <c r="B424" s="43">
        <f>YEAR(WTG_BD[[#This Row],[Date]])+IF(MONTH(WTG_BD[[#This Row],[Date]])&gt;=4,1,0)</f>
        <v>2026</v>
      </c>
      <c r="C424" s="10">
        <v>2025</v>
      </c>
      <c r="D424" s="10" t="s">
        <v>4478</v>
      </c>
      <c r="E424" s="309">
        <f>WTG_BD[[#This Row],[Date]]-DAY(WTG_BD[[#This Row],[Date]])+1</f>
        <v>45778</v>
      </c>
      <c r="F424" s="32">
        <v>45795</v>
      </c>
      <c r="G424" t="s">
        <v>81</v>
      </c>
      <c r="H424" t="str">
        <f>IFERROR(VLOOKUP(WTG_BD[[#This Row],[Affected WTG]],'Basic Data'!$A$3:$E$25,2,0),"")</f>
        <v>O2R3</v>
      </c>
      <c r="I424" t="str">
        <f>IFERROR(VLOOKUP(WTG_BD[[#This Row],[Affected WTG]],'Basic Data'!$A$3:$E$25,3,0),"")</f>
        <v>JK</v>
      </c>
      <c r="J424" s="355">
        <f>IFERROR(VLOOKUP(WTG_BD[[#This Row],[Affected WTG]],'Basic Data'!$A$3:$E$25,5,0),"")</f>
        <v>4.3478260869565223E-2</v>
      </c>
      <c r="K424" s="10">
        <v>3273</v>
      </c>
      <c r="L424" t="str">
        <f>IFERROR(VLOOKUP(WTG_BD[[#This Row],[Error Code]],'Basic Data'!S:T,2,0),"Incorrect Error Code")</f>
        <v>YawUntwistCCW: Code__,_______°</v>
      </c>
      <c r="M424" t="s">
        <v>1963</v>
      </c>
      <c r="O424" s="168">
        <v>0.99444444444444446</v>
      </c>
      <c r="P424" s="168">
        <v>0.99444444444444446</v>
      </c>
      <c r="Q424" s="168">
        <v>0.99930555555555556</v>
      </c>
      <c r="R424" s="356">
        <f>(WTG_BD[[#This Row],[Work Start TimeStamp]]-WTG_BD[[#This Row],[Fault Start TimeStamp]])*24</f>
        <v>0</v>
      </c>
      <c r="S424" s="34">
        <f>(WTG_BD[[#This Row],[Fault Clearance time]]-WTG_BD[[#This Row],[Work Start TimeStamp]])*24</f>
        <v>0.11666666666666625</v>
      </c>
      <c r="T424" s="34">
        <f>(WTG_BD[[#This Row],[Fault Clearance time]]-WTG_BD[[#This Row],[Fault Start TimeStamp]])*24</f>
        <v>0.11666666666666625</v>
      </c>
      <c r="U424" t="s">
        <v>262</v>
      </c>
      <c r="V424" s="234" t="s">
        <v>255</v>
      </c>
      <c r="W424" s="50">
        <f>IFERROR(IF(N424="ROW",0,(WTG_BD[[#This Row],[Breakdown Time]]*WTG_BD[[#This Row],[Plant Equivalent Weightage]])),"")</f>
        <v>5.0724637681159243E-3</v>
      </c>
      <c r="X424" s="50"/>
      <c r="Y424" s="205">
        <v>1</v>
      </c>
      <c r="Z424" s="205"/>
      <c r="AA424" s="4">
        <v>2</v>
      </c>
    </row>
    <row r="425" spans="1:27">
      <c r="A425" s="10">
        <f t="shared" si="8"/>
        <v>424</v>
      </c>
      <c r="B425" s="43">
        <f>YEAR(WTG_BD[[#This Row],[Date]])+IF(MONTH(WTG_BD[[#This Row],[Date]])&gt;=4,1,0)</f>
        <v>2026</v>
      </c>
      <c r="C425" s="10">
        <v>2025</v>
      </c>
      <c r="D425" s="10" t="s">
        <v>4478</v>
      </c>
      <c r="E425" s="309">
        <f>WTG_BD[[#This Row],[Date]]-DAY(WTG_BD[[#This Row],[Date]])+1</f>
        <v>45778</v>
      </c>
      <c r="F425" s="32">
        <v>45795</v>
      </c>
      <c r="G425" t="s">
        <v>84</v>
      </c>
      <c r="H425" t="str">
        <f>IFERROR(VLOOKUP(WTG_BD[[#This Row],[Affected WTG]],'Basic Data'!$A$3:$E$25,2,0),"")</f>
        <v>O2R3</v>
      </c>
      <c r="I425" t="str">
        <f>IFERROR(VLOOKUP(WTG_BD[[#This Row],[Affected WTG]],'Basic Data'!$A$3:$E$25,3,0),"")</f>
        <v>JK</v>
      </c>
      <c r="J425" s="355">
        <f>IFERROR(VLOOKUP(WTG_BD[[#This Row],[Affected WTG]],'Basic Data'!$A$3:$E$25,5,0),"")</f>
        <v>4.3478260869565223E-2</v>
      </c>
      <c r="K425" s="10">
        <v>3273</v>
      </c>
      <c r="L425" t="str">
        <f>IFERROR(VLOOKUP(WTG_BD[[#This Row],[Error Code]],'Basic Data'!S:T,2,0),"Incorrect Error Code")</f>
        <v>YawUntwistCCW: Code__,_______°</v>
      </c>
      <c r="M425" t="s">
        <v>1963</v>
      </c>
      <c r="O425" s="168">
        <v>0.97569444444444442</v>
      </c>
      <c r="P425" s="168">
        <v>0.97569444444444442</v>
      </c>
      <c r="Q425" s="168">
        <v>0.99375000000000002</v>
      </c>
      <c r="R425" s="356">
        <f>(WTG_BD[[#This Row],[Work Start TimeStamp]]-WTG_BD[[#This Row],[Fault Start TimeStamp]])*24</f>
        <v>0</v>
      </c>
      <c r="S425" s="34">
        <f>(WTG_BD[[#This Row],[Fault Clearance time]]-WTG_BD[[#This Row],[Work Start TimeStamp]])*24</f>
        <v>0.43333333333333446</v>
      </c>
      <c r="T425" s="34">
        <f>(WTG_BD[[#This Row],[Fault Clearance time]]-WTG_BD[[#This Row],[Fault Start TimeStamp]])*24</f>
        <v>0.43333333333333446</v>
      </c>
      <c r="U425" t="s">
        <v>262</v>
      </c>
      <c r="V425" s="234" t="s">
        <v>255</v>
      </c>
      <c r="W425" s="50">
        <f>IFERROR(IF(N425="ROW",0,(WTG_BD[[#This Row],[Breakdown Time]]*WTG_BD[[#This Row],[Plant Equivalent Weightage]])),"")</f>
        <v>1.8840579710144977E-2</v>
      </c>
      <c r="X425" s="50"/>
      <c r="Y425" s="205">
        <v>1</v>
      </c>
      <c r="Z425" s="205"/>
      <c r="AA425" s="4">
        <v>6</v>
      </c>
    </row>
    <row r="426" spans="1:27">
      <c r="A426" s="10">
        <f t="shared" si="8"/>
        <v>425</v>
      </c>
      <c r="B426" s="43">
        <f>YEAR(WTG_BD[[#This Row],[Date]])+IF(MONTH(WTG_BD[[#This Row],[Date]])&gt;=4,1,0)</f>
        <v>2026</v>
      </c>
      <c r="C426" s="10">
        <v>2025</v>
      </c>
      <c r="D426" s="10" t="s">
        <v>4478</v>
      </c>
      <c r="E426" s="309">
        <f>WTG_BD[[#This Row],[Date]]-DAY(WTG_BD[[#This Row],[Date]])+1</f>
        <v>45778</v>
      </c>
      <c r="F426" s="32">
        <v>45795</v>
      </c>
      <c r="G426" t="s">
        <v>89</v>
      </c>
      <c r="H426" t="str">
        <f>IFERROR(VLOOKUP(WTG_BD[[#This Row],[Affected WTG]],'Basic Data'!$A$3:$E$25,2,0),"")</f>
        <v>O2R1</v>
      </c>
      <c r="I426" t="str">
        <f>IFERROR(VLOOKUP(WTG_BD[[#This Row],[Affected WTG]],'Basic Data'!$A$3:$E$25,3,0),"")</f>
        <v>KSIPL</v>
      </c>
      <c r="J426" s="355">
        <f>IFERROR(VLOOKUP(WTG_BD[[#This Row],[Affected WTG]],'Basic Data'!$A$3:$E$25,5,0),"")</f>
        <v>4.3478260869565223E-2</v>
      </c>
      <c r="K426" s="10">
        <v>3273</v>
      </c>
      <c r="L426" t="str">
        <f>IFERROR(VLOOKUP(WTG_BD[[#This Row],[Error Code]],'Basic Data'!S:T,2,0),"Incorrect Error Code")</f>
        <v>YawUntwistCCW: Code__,_______°</v>
      </c>
      <c r="M426" t="s">
        <v>1963</v>
      </c>
      <c r="O426" s="168">
        <v>0.8125</v>
      </c>
      <c r="P426" s="168">
        <v>0.8125</v>
      </c>
      <c r="Q426" s="168">
        <v>0.82638888888888884</v>
      </c>
      <c r="R426" s="356">
        <f>(WTG_BD[[#This Row],[Work Start TimeStamp]]-WTG_BD[[#This Row],[Fault Start TimeStamp]])*24</f>
        <v>0</v>
      </c>
      <c r="S426" s="34">
        <f>(WTG_BD[[#This Row],[Fault Clearance time]]-WTG_BD[[#This Row],[Work Start TimeStamp]])*24</f>
        <v>0.33333333333333215</v>
      </c>
      <c r="T426" s="34">
        <f>(WTG_BD[[#This Row],[Fault Clearance time]]-WTG_BD[[#This Row],[Fault Start TimeStamp]])*24</f>
        <v>0.33333333333333215</v>
      </c>
      <c r="U426" t="s">
        <v>262</v>
      </c>
      <c r="V426" s="234" t="s">
        <v>255</v>
      </c>
      <c r="W426" s="50">
        <f>IFERROR(IF(N426="ROW",0,(WTG_BD[[#This Row],[Breakdown Time]]*WTG_BD[[#This Row],[Plant Equivalent Weightage]])),"")</f>
        <v>1.4492753623188356E-2</v>
      </c>
      <c r="X426" s="50"/>
      <c r="Y426" s="205">
        <v>1</v>
      </c>
      <c r="Z426" s="205"/>
      <c r="AA426" s="4">
        <v>27</v>
      </c>
    </row>
    <row r="427" spans="1:27">
      <c r="A427" s="10">
        <f t="shared" si="8"/>
        <v>426</v>
      </c>
      <c r="B427" s="43">
        <f>YEAR(WTG_BD[[#This Row],[Date]])+IF(MONTH(WTG_BD[[#This Row],[Date]])&gt;=4,1,0)</f>
        <v>2026</v>
      </c>
      <c r="C427" s="10">
        <v>2025</v>
      </c>
      <c r="D427" s="10" t="s">
        <v>4478</v>
      </c>
      <c r="E427" s="309">
        <f>WTG_BD[[#This Row],[Date]]-DAY(WTG_BD[[#This Row],[Date]])+1</f>
        <v>45778</v>
      </c>
      <c r="F427" s="32">
        <v>45795</v>
      </c>
      <c r="G427" t="s">
        <v>89</v>
      </c>
      <c r="H427" t="str">
        <f>IFERROR(VLOOKUP(WTG_BD[[#This Row],[Affected WTG]],'Basic Data'!$A$3:$E$25,2,0),"")</f>
        <v>O2R1</v>
      </c>
      <c r="I427" t="str">
        <f>IFERROR(VLOOKUP(WTG_BD[[#This Row],[Affected WTG]],'Basic Data'!$A$3:$E$25,3,0),"")</f>
        <v>KSIPL</v>
      </c>
      <c r="J427" s="355">
        <f>IFERROR(VLOOKUP(WTG_BD[[#This Row],[Affected WTG]],'Basic Data'!$A$3:$E$25,5,0),"")</f>
        <v>4.3478260869565223E-2</v>
      </c>
      <c r="K427" s="10">
        <v>3273</v>
      </c>
      <c r="L427" t="str">
        <f>IFERROR(VLOOKUP(WTG_BD[[#This Row],[Error Code]],'Basic Data'!S:T,2,0),"Incorrect Error Code")</f>
        <v>YawUntwistCCW: Code__,_______°</v>
      </c>
      <c r="M427" t="s">
        <v>1963</v>
      </c>
      <c r="O427" s="168">
        <v>0.97777777777777775</v>
      </c>
      <c r="P427" s="168">
        <v>0.97777777777777775</v>
      </c>
      <c r="Q427" s="168">
        <v>0.99583333333333335</v>
      </c>
      <c r="R427" s="356">
        <f>(WTG_BD[[#This Row],[Work Start TimeStamp]]-WTG_BD[[#This Row],[Fault Start TimeStamp]])*24</f>
        <v>0</v>
      </c>
      <c r="S427" s="34">
        <f>(WTG_BD[[#This Row],[Fault Clearance time]]-WTG_BD[[#This Row],[Work Start TimeStamp]])*24</f>
        <v>0.43333333333333446</v>
      </c>
      <c r="T427" s="34">
        <f>(WTG_BD[[#This Row],[Fault Clearance time]]-WTG_BD[[#This Row],[Fault Start TimeStamp]])*24</f>
        <v>0.43333333333333446</v>
      </c>
      <c r="U427" t="s">
        <v>262</v>
      </c>
      <c r="V427" s="234" t="s">
        <v>255</v>
      </c>
      <c r="W427" s="50">
        <f>IFERROR(IF(N427="ROW",0,(WTG_BD[[#This Row],[Breakdown Time]]*WTG_BD[[#This Row],[Plant Equivalent Weightage]])),"")</f>
        <v>1.8840579710144977E-2</v>
      </c>
      <c r="X427" s="50"/>
      <c r="Y427" s="205">
        <v>1</v>
      </c>
      <c r="Z427" s="205"/>
      <c r="AA427" s="4">
        <v>81</v>
      </c>
    </row>
    <row r="428" spans="1:27">
      <c r="A428" s="10">
        <f t="shared" si="8"/>
        <v>427</v>
      </c>
      <c r="B428" s="43">
        <f>YEAR(WTG_BD[[#This Row],[Date]])+IF(MONTH(WTG_BD[[#This Row],[Date]])&gt;=4,1,0)</f>
        <v>2026</v>
      </c>
      <c r="C428" s="10">
        <v>2025</v>
      </c>
      <c r="D428" s="10" t="s">
        <v>4478</v>
      </c>
      <c r="E428" s="309">
        <f>WTG_BD[[#This Row],[Date]]-DAY(WTG_BD[[#This Row],[Date]])+1</f>
        <v>45778</v>
      </c>
      <c r="F428" s="32">
        <v>45795</v>
      </c>
      <c r="G428" t="s">
        <v>94</v>
      </c>
      <c r="H428" t="str">
        <f>IFERROR(VLOOKUP(WTG_BD[[#This Row],[Affected WTG]],'Basic Data'!$A$3:$E$25,2,0),"")</f>
        <v>O2R1</v>
      </c>
      <c r="I428" t="str">
        <f>IFERROR(VLOOKUP(WTG_BD[[#This Row],[Affected WTG]],'Basic Data'!$A$3:$E$25,3,0),"")</f>
        <v>KSIPL</v>
      </c>
      <c r="J428" s="355">
        <f>IFERROR(VLOOKUP(WTG_BD[[#This Row],[Affected WTG]],'Basic Data'!$A$3:$E$25,5,0),"")</f>
        <v>4.3478260869565223E-2</v>
      </c>
      <c r="K428" s="10">
        <v>5196</v>
      </c>
      <c r="L428" t="str">
        <f>IFERROR(VLOOKUP(WTG_BD[[#This Row],[Error Code]],'Basic Data'!S:T,2,0),"Incorrect Error Code")</f>
        <v>Prop Valve B Status Fault</v>
      </c>
      <c r="M428" t="s">
        <v>364</v>
      </c>
      <c r="N428" t="s">
        <v>113</v>
      </c>
      <c r="O428" s="168">
        <v>0.375</v>
      </c>
      <c r="P428" s="168">
        <v>0.375</v>
      </c>
      <c r="Q428" s="168">
        <v>0.56874999999999998</v>
      </c>
      <c r="R428" s="356">
        <f>(WTG_BD[[#This Row],[Work Start TimeStamp]]-WTG_BD[[#This Row],[Fault Start TimeStamp]])*24</f>
        <v>0</v>
      </c>
      <c r="S428" s="34">
        <f>(WTG_BD[[#This Row],[Fault Clearance time]]-WTG_BD[[#This Row],[Work Start TimeStamp]])*24</f>
        <v>4.6499999999999995</v>
      </c>
      <c r="T428" s="34">
        <f>(WTG_BD[[#This Row],[Fault Clearance time]]-WTG_BD[[#This Row],[Fault Start TimeStamp]])*24</f>
        <v>4.6499999999999995</v>
      </c>
      <c r="U428" t="s">
        <v>4579</v>
      </c>
      <c r="V428" s="234" t="s">
        <v>255</v>
      </c>
      <c r="W428" s="50">
        <f>IFERROR(IF(N428="ROW",0,(WTG_BD[[#This Row],[Breakdown Time]]*WTG_BD[[#This Row],[Plant Equivalent Weightage]])),"")</f>
        <v>0.20217391304347826</v>
      </c>
      <c r="X428" s="50"/>
      <c r="Y428" s="205">
        <v>1</v>
      </c>
      <c r="Z428" s="205"/>
      <c r="AA428" s="4">
        <v>255</v>
      </c>
    </row>
    <row r="429" spans="1:27">
      <c r="A429" s="10">
        <f t="shared" si="8"/>
        <v>428</v>
      </c>
      <c r="B429" s="43">
        <f>YEAR(WTG_BD[[#This Row],[Date]])+IF(MONTH(WTG_BD[[#This Row],[Date]])&gt;=4,1,0)</f>
        <v>2026</v>
      </c>
      <c r="C429" s="10">
        <v>2025</v>
      </c>
      <c r="D429" s="10" t="s">
        <v>4478</v>
      </c>
      <c r="E429" s="309">
        <f>WTG_BD[[#This Row],[Date]]-DAY(WTG_BD[[#This Row],[Date]])+1</f>
        <v>45778</v>
      </c>
      <c r="F429" s="32">
        <v>45795</v>
      </c>
      <c r="G429" t="s">
        <v>94</v>
      </c>
      <c r="H429" t="str">
        <f>IFERROR(VLOOKUP(WTG_BD[[#This Row],[Affected WTG]],'Basic Data'!$A$3:$E$25,2,0),"")</f>
        <v>O2R1</v>
      </c>
      <c r="I429" t="str">
        <f>IFERROR(VLOOKUP(WTG_BD[[#This Row],[Affected WTG]],'Basic Data'!$A$3:$E$25,3,0),"")</f>
        <v>KSIPL</v>
      </c>
      <c r="J429" s="355">
        <f>IFERROR(VLOOKUP(WTG_BD[[#This Row],[Affected WTG]],'Basic Data'!$A$3:$E$25,5,0),"")</f>
        <v>4.3478260869565223E-2</v>
      </c>
      <c r="K429" s="10">
        <v>3273</v>
      </c>
      <c r="L429" t="str">
        <f>IFERROR(VLOOKUP(WTG_BD[[#This Row],[Error Code]],'Basic Data'!S:T,2,0),"Incorrect Error Code")</f>
        <v>YawUntwistCCW: Code__,_______°</v>
      </c>
      <c r="M429" t="s">
        <v>1963</v>
      </c>
      <c r="O429" s="168">
        <v>0.97430555555555554</v>
      </c>
      <c r="P429" s="168">
        <v>0.97430555555555554</v>
      </c>
      <c r="Q429" s="168">
        <v>0.98958333333333337</v>
      </c>
      <c r="R429" s="356">
        <f>(WTG_BD[[#This Row],[Work Start TimeStamp]]-WTG_BD[[#This Row],[Fault Start TimeStamp]])*24</f>
        <v>0</v>
      </c>
      <c r="S429" s="34">
        <f>(WTG_BD[[#This Row],[Fault Clearance time]]-WTG_BD[[#This Row],[Work Start TimeStamp]])*24</f>
        <v>0.36666666666666803</v>
      </c>
      <c r="T429" s="34">
        <f>(WTG_BD[[#This Row],[Fault Clearance time]]-WTG_BD[[#This Row],[Fault Start TimeStamp]])*24</f>
        <v>0.36666666666666803</v>
      </c>
      <c r="U429" t="s">
        <v>262</v>
      </c>
      <c r="V429" s="234" t="s">
        <v>255</v>
      </c>
      <c r="W429" s="50">
        <f>IFERROR(IF(N429="ROW",0,(WTG_BD[[#This Row],[Breakdown Time]]*WTG_BD[[#This Row],[Plant Equivalent Weightage]])),"")</f>
        <v>1.5942028985507308E-2</v>
      </c>
      <c r="X429" s="50"/>
      <c r="Y429" s="205">
        <v>1</v>
      </c>
      <c r="Z429" s="205"/>
      <c r="AA429" s="4">
        <v>103</v>
      </c>
    </row>
    <row r="430" spans="1:27">
      <c r="A430" s="10">
        <f t="shared" si="8"/>
        <v>429</v>
      </c>
      <c r="B430" s="43">
        <f>YEAR(WTG_BD[[#This Row],[Date]])+IF(MONTH(WTG_BD[[#This Row],[Date]])&gt;=4,1,0)</f>
        <v>2026</v>
      </c>
      <c r="C430" s="10">
        <v>2025</v>
      </c>
      <c r="D430" s="10" t="s">
        <v>4478</v>
      </c>
      <c r="E430" s="309">
        <f>WTG_BD[[#This Row],[Date]]-DAY(WTG_BD[[#This Row],[Date]])+1</f>
        <v>45778</v>
      </c>
      <c r="F430" s="32">
        <v>45795</v>
      </c>
      <c r="G430" t="s">
        <v>95</v>
      </c>
      <c r="H430" t="str">
        <f>IFERROR(VLOOKUP(WTG_BD[[#This Row],[Affected WTG]],'Basic Data'!$A$3:$E$25,2,0),"")</f>
        <v>O2R1</v>
      </c>
      <c r="I430" t="str">
        <f>IFERROR(VLOOKUP(WTG_BD[[#This Row],[Affected WTG]],'Basic Data'!$A$3:$E$25,3,0),"")</f>
        <v>KSIPL</v>
      </c>
      <c r="J430" s="355">
        <f>IFERROR(VLOOKUP(WTG_BD[[#This Row],[Affected WTG]],'Basic Data'!$A$3:$E$25,5,0),"")</f>
        <v>4.3478260869565223E-2</v>
      </c>
      <c r="K430" s="10">
        <v>3273</v>
      </c>
      <c r="L430" t="str">
        <f>IFERROR(VLOOKUP(WTG_BD[[#This Row],[Error Code]],'Basic Data'!S:T,2,0),"Incorrect Error Code")</f>
        <v>YawUntwistCCW: Code__,_______°</v>
      </c>
      <c r="M430" t="s">
        <v>1963</v>
      </c>
      <c r="O430" s="168">
        <v>0.77638888888888891</v>
      </c>
      <c r="P430" s="168">
        <v>0.77638888888888891</v>
      </c>
      <c r="Q430" s="168">
        <v>0.79166666666666663</v>
      </c>
      <c r="R430" s="356">
        <f>(WTG_BD[[#This Row],[Work Start TimeStamp]]-WTG_BD[[#This Row],[Fault Start TimeStamp]])*24</f>
        <v>0</v>
      </c>
      <c r="S430" s="34">
        <f>(WTG_BD[[#This Row],[Fault Clearance time]]-WTG_BD[[#This Row],[Work Start TimeStamp]])*24</f>
        <v>0.36666666666666536</v>
      </c>
      <c r="T430" s="34">
        <f>(WTG_BD[[#This Row],[Fault Clearance time]]-WTG_BD[[#This Row],[Fault Start TimeStamp]])*24</f>
        <v>0.36666666666666536</v>
      </c>
      <c r="U430" t="s">
        <v>262</v>
      </c>
      <c r="V430" s="234" t="s">
        <v>255</v>
      </c>
      <c r="W430" s="50">
        <f>IFERROR(IF(N430="ROW",0,(WTG_BD[[#This Row],[Breakdown Time]]*WTG_BD[[#This Row],[Plant Equivalent Weightage]])),"")</f>
        <v>1.594202898550719E-2</v>
      </c>
      <c r="X430" s="50"/>
      <c r="Y430" s="205">
        <v>1</v>
      </c>
      <c r="Z430" s="205"/>
      <c r="AA430" s="4">
        <v>9</v>
      </c>
    </row>
    <row r="431" spans="1:27">
      <c r="A431" s="10">
        <f t="shared" si="8"/>
        <v>430</v>
      </c>
      <c r="B431" s="43">
        <f>YEAR(WTG_BD[[#This Row],[Date]])+IF(MONTH(WTG_BD[[#This Row],[Date]])&gt;=4,1,0)</f>
        <v>2026</v>
      </c>
      <c r="C431" s="10">
        <v>2025</v>
      </c>
      <c r="D431" s="10" t="s">
        <v>4478</v>
      </c>
      <c r="E431" s="309">
        <f>WTG_BD[[#This Row],[Date]]-DAY(WTG_BD[[#This Row],[Date]])+1</f>
        <v>45778</v>
      </c>
      <c r="F431" s="32">
        <v>45795</v>
      </c>
      <c r="G431" t="s">
        <v>96</v>
      </c>
      <c r="H431" t="str">
        <f>IFERROR(VLOOKUP(WTG_BD[[#This Row],[Affected WTG]],'Basic Data'!$A$3:$E$25,2,0),"")</f>
        <v>O2R3</v>
      </c>
      <c r="I431" t="str">
        <f>IFERROR(VLOOKUP(WTG_BD[[#This Row],[Affected WTG]],'Basic Data'!$A$3:$E$25,3,0),"")</f>
        <v>JK</v>
      </c>
      <c r="J431" s="355">
        <f>IFERROR(VLOOKUP(WTG_BD[[#This Row],[Affected WTG]],'Basic Data'!$A$3:$E$25,5,0),"")</f>
        <v>4.3478260869565223E-2</v>
      </c>
      <c r="K431" s="10">
        <v>3273</v>
      </c>
      <c r="L431" t="str">
        <f>IFERROR(VLOOKUP(WTG_BD[[#This Row],[Error Code]],'Basic Data'!S:T,2,0),"Incorrect Error Code")</f>
        <v>YawUntwistCCW: Code__,_______°</v>
      </c>
      <c r="M431" t="s">
        <v>1963</v>
      </c>
      <c r="O431" s="168">
        <v>0.78263888888888888</v>
      </c>
      <c r="P431" s="168">
        <v>0.78263888888888888</v>
      </c>
      <c r="Q431" s="168">
        <v>0.79861111111111116</v>
      </c>
      <c r="R431" s="356">
        <f>(WTG_BD[[#This Row],[Work Start TimeStamp]]-WTG_BD[[#This Row],[Fault Start TimeStamp]])*24</f>
        <v>0</v>
      </c>
      <c r="S431" s="34">
        <f>(WTG_BD[[#This Row],[Fault Clearance time]]-WTG_BD[[#This Row],[Work Start TimeStamp]])*24</f>
        <v>0.38333333333333464</v>
      </c>
      <c r="T431" s="34">
        <f>(WTG_BD[[#This Row],[Fault Clearance time]]-WTG_BD[[#This Row],[Fault Start TimeStamp]])*24</f>
        <v>0.38333333333333464</v>
      </c>
      <c r="U431" t="s">
        <v>262</v>
      </c>
      <c r="V431" s="234" t="s">
        <v>255</v>
      </c>
      <c r="W431" s="50">
        <f>IFERROR(IF(N431="ROW",0,(WTG_BD[[#This Row],[Breakdown Time]]*WTG_BD[[#This Row],[Plant Equivalent Weightage]])),"")</f>
        <v>1.6666666666666725E-2</v>
      </c>
      <c r="X431" s="50"/>
      <c r="Y431" s="205">
        <v>1</v>
      </c>
      <c r="Z431" s="205"/>
      <c r="AA431" s="4">
        <v>16</v>
      </c>
    </row>
    <row r="432" spans="1:27">
      <c r="A432" s="10">
        <f t="shared" si="8"/>
        <v>431</v>
      </c>
      <c r="B432" s="43">
        <f>YEAR(WTG_BD[[#This Row],[Date]])+IF(MONTH(WTG_BD[[#This Row],[Date]])&gt;=4,1,0)</f>
        <v>2026</v>
      </c>
      <c r="C432" s="10">
        <v>2025</v>
      </c>
      <c r="D432" s="10" t="s">
        <v>4478</v>
      </c>
      <c r="E432" s="309">
        <f>WTG_BD[[#This Row],[Date]]-DAY(WTG_BD[[#This Row],[Date]])+1</f>
        <v>45778</v>
      </c>
      <c r="F432" s="32">
        <v>45795</v>
      </c>
      <c r="G432" t="s">
        <v>97</v>
      </c>
      <c r="H432" t="str">
        <f>IFERROR(VLOOKUP(WTG_BD[[#This Row],[Affected WTG]],'Basic Data'!$A$3:$E$25,2,0),"")</f>
        <v>O2R3</v>
      </c>
      <c r="I432" t="str">
        <f>IFERROR(VLOOKUP(WTG_BD[[#This Row],[Affected WTG]],'Basic Data'!$A$3:$E$25,3,0),"")</f>
        <v>JK</v>
      </c>
      <c r="J432" s="355">
        <f>IFERROR(VLOOKUP(WTG_BD[[#This Row],[Affected WTG]],'Basic Data'!$A$3:$E$25,5,0),"")</f>
        <v>4.3478260869565223E-2</v>
      </c>
      <c r="K432" s="10">
        <v>3273</v>
      </c>
      <c r="L432" t="str">
        <f>IFERROR(VLOOKUP(WTG_BD[[#This Row],[Error Code]],'Basic Data'!S:T,2,0),"Incorrect Error Code")</f>
        <v>YawUntwistCCW: Code__,_______°</v>
      </c>
      <c r="M432" t="s">
        <v>1963</v>
      </c>
      <c r="O432" s="168">
        <v>0.97430555555555554</v>
      </c>
      <c r="P432" s="168">
        <v>0.97430555555555554</v>
      </c>
      <c r="Q432" s="168">
        <v>0.9916666666666667</v>
      </c>
      <c r="R432" s="356">
        <f>(WTG_BD[[#This Row],[Work Start TimeStamp]]-WTG_BD[[#This Row],[Fault Start TimeStamp]])*24</f>
        <v>0</v>
      </c>
      <c r="S432" s="34">
        <f>(WTG_BD[[#This Row],[Fault Clearance time]]-WTG_BD[[#This Row],[Work Start TimeStamp]])*24</f>
        <v>0.41666666666666785</v>
      </c>
      <c r="T432" s="34">
        <f>(WTG_BD[[#This Row],[Fault Clearance time]]-WTG_BD[[#This Row],[Fault Start TimeStamp]])*24</f>
        <v>0.41666666666666785</v>
      </c>
      <c r="U432" t="s">
        <v>262</v>
      </c>
      <c r="V432" s="234" t="s">
        <v>255</v>
      </c>
      <c r="W432" s="50">
        <f>IFERROR(IF(N432="ROW",0,(WTG_BD[[#This Row],[Breakdown Time]]*WTG_BD[[#This Row],[Plant Equivalent Weightage]])),"")</f>
        <v>1.811594202898556E-2</v>
      </c>
      <c r="X432" s="50"/>
      <c r="Y432" s="205">
        <v>1</v>
      </c>
      <c r="Z432" s="205"/>
      <c r="AA432" s="4">
        <v>208</v>
      </c>
    </row>
    <row r="433" spans="1:27">
      <c r="A433" s="10">
        <f t="shared" si="8"/>
        <v>432</v>
      </c>
      <c r="B433" s="43">
        <f>YEAR(WTG_BD[[#This Row],[Date]])+IF(MONTH(WTG_BD[[#This Row],[Date]])&gt;=4,1,0)</f>
        <v>2026</v>
      </c>
      <c r="C433" s="10">
        <v>2025</v>
      </c>
      <c r="D433" s="10" t="s">
        <v>4478</v>
      </c>
      <c r="E433" s="309">
        <f>WTG_BD[[#This Row],[Date]]-DAY(WTG_BD[[#This Row],[Date]])+1</f>
        <v>45778</v>
      </c>
      <c r="F433" s="32">
        <v>45795</v>
      </c>
      <c r="G433" t="s">
        <v>98</v>
      </c>
      <c r="H433" t="str">
        <f>IFERROR(VLOOKUP(WTG_BD[[#This Row],[Affected WTG]],'Basic Data'!$A$3:$E$25,2,0),"")</f>
        <v>O2R3</v>
      </c>
      <c r="I433" t="str">
        <f>IFERROR(VLOOKUP(WTG_BD[[#This Row],[Affected WTG]],'Basic Data'!$A$3:$E$25,3,0),"")</f>
        <v>JK</v>
      </c>
      <c r="J433" s="355">
        <f>IFERROR(VLOOKUP(WTG_BD[[#This Row],[Affected WTG]],'Basic Data'!$A$3:$E$25,5,0),"")</f>
        <v>4.3478260869565223E-2</v>
      </c>
      <c r="K433" s="10">
        <v>3273</v>
      </c>
      <c r="L433" t="str">
        <f>IFERROR(VLOOKUP(WTG_BD[[#This Row],[Error Code]],'Basic Data'!S:T,2,0),"Incorrect Error Code")</f>
        <v>YawUntwistCCW: Code__,_______°</v>
      </c>
      <c r="M433" t="s">
        <v>1963</v>
      </c>
      <c r="O433" s="168">
        <v>0.97430555555555554</v>
      </c>
      <c r="P433" s="168">
        <v>0.97430555555555554</v>
      </c>
      <c r="Q433" s="168">
        <v>0.99097222222222225</v>
      </c>
      <c r="R433" s="356">
        <f>(WTG_BD[[#This Row],[Work Start TimeStamp]]-WTG_BD[[#This Row],[Fault Start TimeStamp]])*24</f>
        <v>0</v>
      </c>
      <c r="S433" s="34">
        <f>(WTG_BD[[#This Row],[Fault Clearance time]]-WTG_BD[[#This Row],[Work Start TimeStamp]])*24</f>
        <v>0.40000000000000124</v>
      </c>
      <c r="T433" s="34">
        <f>(WTG_BD[[#This Row],[Fault Clearance time]]-WTG_BD[[#This Row],[Fault Start TimeStamp]])*24</f>
        <v>0.40000000000000124</v>
      </c>
      <c r="U433" t="s">
        <v>262</v>
      </c>
      <c r="V433" s="234" t="s">
        <v>255</v>
      </c>
      <c r="W433" s="50">
        <f>IFERROR(IF(N433="ROW",0,(WTG_BD[[#This Row],[Breakdown Time]]*WTG_BD[[#This Row],[Plant Equivalent Weightage]])),"")</f>
        <v>1.7391304347826143E-2</v>
      </c>
      <c r="X433" s="50"/>
      <c r="Y433" s="205">
        <v>1</v>
      </c>
      <c r="Z433" s="205"/>
      <c r="AA433" s="4">
        <v>211</v>
      </c>
    </row>
    <row r="434" spans="1:27">
      <c r="A434" s="10">
        <f t="shared" si="8"/>
        <v>433</v>
      </c>
      <c r="B434" s="43">
        <f>YEAR(WTG_BD[[#This Row],[Date]])+IF(MONTH(WTG_BD[[#This Row],[Date]])&gt;=4,1,0)</f>
        <v>2026</v>
      </c>
      <c r="C434" s="10">
        <v>2025</v>
      </c>
      <c r="D434" s="10" t="s">
        <v>4478</v>
      </c>
      <c r="E434" s="309">
        <f>WTG_BD[[#This Row],[Date]]-DAY(WTG_BD[[#This Row],[Date]])+1</f>
        <v>45778</v>
      </c>
      <c r="F434" s="32">
        <v>45796</v>
      </c>
      <c r="G434" t="s">
        <v>76</v>
      </c>
      <c r="H434" t="str">
        <f>IFERROR(VLOOKUP(WTG_BD[[#This Row],[Affected WTG]],'Basic Data'!$A$3:$E$25,2,0),"")</f>
        <v>O2R1</v>
      </c>
      <c r="I434" t="str">
        <f>IFERROR(VLOOKUP(WTG_BD[[#This Row],[Affected WTG]],'Basic Data'!$A$3:$E$25,3,0),"")</f>
        <v>KSIPL</v>
      </c>
      <c r="J434" s="355">
        <f>IFERROR(VLOOKUP(WTG_BD[[#This Row],[Affected WTG]],'Basic Data'!$A$3:$E$25,5,0),"")</f>
        <v>4.3478260869565223E-2</v>
      </c>
      <c r="K434" s="10">
        <v>3273</v>
      </c>
      <c r="L434" t="str">
        <f>IFERROR(VLOOKUP(WTG_BD[[#This Row],[Error Code]],'Basic Data'!S:T,2,0),"Incorrect Error Code")</f>
        <v>YawUntwistCCW: Code__,_______°</v>
      </c>
      <c r="M434" t="s">
        <v>1963</v>
      </c>
      <c r="O434" s="168">
        <v>0.35</v>
      </c>
      <c r="P434" s="168">
        <v>0.35</v>
      </c>
      <c r="Q434" s="168">
        <v>0.36388888888888887</v>
      </c>
      <c r="R434" s="356">
        <f>(WTG_BD[[#This Row],[Work Start TimeStamp]]-WTG_BD[[#This Row],[Fault Start TimeStamp]])*24</f>
        <v>0</v>
      </c>
      <c r="S434" s="34">
        <f>(WTG_BD[[#This Row],[Fault Clearance time]]-WTG_BD[[#This Row],[Work Start TimeStamp]])*24</f>
        <v>0.33333333333333348</v>
      </c>
      <c r="T434" s="34">
        <f>(WTG_BD[[#This Row],[Fault Clearance time]]-WTG_BD[[#This Row],[Fault Start TimeStamp]])*24</f>
        <v>0.33333333333333348</v>
      </c>
      <c r="U434" t="s">
        <v>262</v>
      </c>
      <c r="V434" s="234" t="s">
        <v>255</v>
      </c>
      <c r="W434" s="50">
        <f>IFERROR(IF(N434="ROW",0,(WTG_BD[[#This Row],[Breakdown Time]]*WTG_BD[[#This Row],[Plant Equivalent Weightage]])),"")</f>
        <v>1.4492753623188415E-2</v>
      </c>
      <c r="X434" s="50"/>
      <c r="Y434" s="205">
        <v>1</v>
      </c>
      <c r="Z434" s="205"/>
      <c r="AA434" s="4">
        <v>1</v>
      </c>
    </row>
    <row r="435" spans="1:27">
      <c r="A435" s="10">
        <f t="shared" si="8"/>
        <v>434</v>
      </c>
      <c r="B435" s="43">
        <f>YEAR(WTG_BD[[#This Row],[Date]])+IF(MONTH(WTG_BD[[#This Row],[Date]])&gt;=4,1,0)</f>
        <v>2026</v>
      </c>
      <c r="C435" s="10">
        <v>2025</v>
      </c>
      <c r="D435" s="10" t="s">
        <v>4478</v>
      </c>
      <c r="E435" s="309">
        <f>WTG_BD[[#This Row],[Date]]-DAY(WTG_BD[[#This Row],[Date]])+1</f>
        <v>45778</v>
      </c>
      <c r="F435" s="32">
        <v>45796</v>
      </c>
      <c r="G435" t="s">
        <v>79</v>
      </c>
      <c r="H435" t="str">
        <f>IFERROR(VLOOKUP(WTG_BD[[#This Row],[Affected WTG]],'Basic Data'!$A$3:$E$25,2,0),"")</f>
        <v>O2R3</v>
      </c>
      <c r="I435" t="str">
        <f>IFERROR(VLOOKUP(WTG_BD[[#This Row],[Affected WTG]],'Basic Data'!$A$3:$E$25,3,0),"")</f>
        <v>JK</v>
      </c>
      <c r="J435" s="355">
        <f>IFERROR(VLOOKUP(WTG_BD[[#This Row],[Affected WTG]],'Basic Data'!$A$3:$E$25,5,0),"")</f>
        <v>4.3478260869565223E-2</v>
      </c>
      <c r="K435" s="10">
        <v>3273</v>
      </c>
      <c r="L435" t="str">
        <f>IFERROR(VLOOKUP(WTG_BD[[#This Row],[Error Code]],'Basic Data'!S:T,2,0),"Incorrect Error Code")</f>
        <v>YawUntwistCCW: Code__,_______°</v>
      </c>
      <c r="M435" t="s">
        <v>1963</v>
      </c>
      <c r="O435" s="168">
        <v>0.19444444444444445</v>
      </c>
      <c r="P435" s="168">
        <v>0.19444444444444445</v>
      </c>
      <c r="Q435" s="168">
        <v>0.21527777777777779</v>
      </c>
      <c r="R435" s="356">
        <f>(WTG_BD[[#This Row],[Work Start TimeStamp]]-WTG_BD[[#This Row],[Fault Start TimeStamp]])*24</f>
        <v>0</v>
      </c>
      <c r="S435" s="34">
        <f>(WTG_BD[[#This Row],[Fault Clearance time]]-WTG_BD[[#This Row],[Work Start TimeStamp]])*24</f>
        <v>0.50000000000000022</v>
      </c>
      <c r="T435" s="34">
        <f>(WTG_BD[[#This Row],[Fault Clearance time]]-WTG_BD[[#This Row],[Fault Start TimeStamp]])*24</f>
        <v>0.50000000000000022</v>
      </c>
      <c r="U435" t="s">
        <v>262</v>
      </c>
      <c r="V435" s="234" t="s">
        <v>255</v>
      </c>
      <c r="W435" s="50">
        <f>IFERROR(IF(N435="ROW",0,(WTG_BD[[#This Row],[Breakdown Time]]*WTG_BD[[#This Row],[Plant Equivalent Weightage]])),"")</f>
        <v>2.1739130434782622E-2</v>
      </c>
      <c r="X435" s="50"/>
      <c r="Y435" s="205">
        <v>1</v>
      </c>
      <c r="Z435" s="205"/>
      <c r="AA435" s="4">
        <v>31</v>
      </c>
    </row>
    <row r="436" spans="1:27">
      <c r="A436" s="10">
        <f t="shared" si="8"/>
        <v>435</v>
      </c>
      <c r="B436" s="43">
        <f>YEAR(WTG_BD[[#This Row],[Date]])+IF(MONTH(WTG_BD[[#This Row],[Date]])&gt;=4,1,0)</f>
        <v>2026</v>
      </c>
      <c r="C436" s="10">
        <v>2025</v>
      </c>
      <c r="D436" s="10" t="s">
        <v>4478</v>
      </c>
      <c r="E436" s="309">
        <f>WTG_BD[[#This Row],[Date]]-DAY(WTG_BD[[#This Row],[Date]])+1</f>
        <v>45778</v>
      </c>
      <c r="F436" s="32">
        <v>45796</v>
      </c>
      <c r="G436" t="s">
        <v>79</v>
      </c>
      <c r="H436" t="str">
        <f>IFERROR(VLOOKUP(WTG_BD[[#This Row],[Affected WTG]],'Basic Data'!$A$3:$E$25,2,0),"")</f>
        <v>O2R3</v>
      </c>
      <c r="I436" t="str">
        <f>IFERROR(VLOOKUP(WTG_BD[[#This Row],[Affected WTG]],'Basic Data'!$A$3:$E$25,3,0),"")</f>
        <v>JK</v>
      </c>
      <c r="J436" s="355">
        <f>IFERROR(VLOOKUP(WTG_BD[[#This Row],[Affected WTG]],'Basic Data'!$A$3:$E$25,5,0),"")</f>
        <v>4.3478260869565223E-2</v>
      </c>
      <c r="K436" s="10">
        <v>931</v>
      </c>
      <c r="L436" t="str">
        <f>IFERROR(VLOOKUP(WTG_BD[[#This Row],[Error Code]],'Basic Data'!S:T,2,0),"Incorrect Error Code")</f>
        <v>Arc light detected</v>
      </c>
      <c r="M436" t="s">
        <v>1472</v>
      </c>
      <c r="N436" t="s">
        <v>113</v>
      </c>
      <c r="O436" s="168">
        <v>0.70138888888888884</v>
      </c>
      <c r="P436" s="168">
        <v>0.70138888888888884</v>
      </c>
      <c r="Q436" s="168">
        <v>0.89375000000000004</v>
      </c>
      <c r="R436" s="356">
        <f>(WTG_BD[[#This Row],[Work Start TimeStamp]]-WTG_BD[[#This Row],[Fault Start TimeStamp]])*24</f>
        <v>0</v>
      </c>
      <c r="S436" s="34">
        <f>(WTG_BD[[#This Row],[Fault Clearance time]]-WTG_BD[[#This Row],[Work Start TimeStamp]])*24</f>
        <v>4.6166666666666689</v>
      </c>
      <c r="T436" s="34">
        <f>(WTG_BD[[#This Row],[Fault Clearance time]]-WTG_BD[[#This Row],[Fault Start TimeStamp]])*24</f>
        <v>4.6166666666666689</v>
      </c>
      <c r="U436" t="s">
        <v>4585</v>
      </c>
      <c r="V436" s="234" t="s">
        <v>255</v>
      </c>
      <c r="W436" s="50">
        <f>IFERROR(IF(N436="ROW",0,(WTG_BD[[#This Row],[Breakdown Time]]*WTG_BD[[#This Row],[Plant Equivalent Weightage]])),"")</f>
        <v>0.20072463768115956</v>
      </c>
      <c r="X436" s="50"/>
      <c r="Y436" s="205">
        <v>1</v>
      </c>
      <c r="Z436" s="205"/>
      <c r="AA436" s="4">
        <v>5</v>
      </c>
    </row>
    <row r="437" spans="1:27">
      <c r="A437" s="10">
        <f t="shared" si="8"/>
        <v>436</v>
      </c>
      <c r="B437" s="43">
        <f>YEAR(WTG_BD[[#This Row],[Date]])+IF(MONTH(WTG_BD[[#This Row],[Date]])&gt;=4,1,0)</f>
        <v>2026</v>
      </c>
      <c r="C437" s="10">
        <v>2025</v>
      </c>
      <c r="D437" s="10" t="s">
        <v>4478</v>
      </c>
      <c r="E437" s="309">
        <f>WTG_BD[[#This Row],[Date]]-DAY(WTG_BD[[#This Row],[Date]])+1</f>
        <v>45778</v>
      </c>
      <c r="F437" s="32">
        <v>45796</v>
      </c>
      <c r="G437" t="s">
        <v>81</v>
      </c>
      <c r="H437" t="str">
        <f>IFERROR(VLOOKUP(WTG_BD[[#This Row],[Affected WTG]],'Basic Data'!$A$3:$E$25,2,0),"")</f>
        <v>O2R3</v>
      </c>
      <c r="I437" t="str">
        <f>IFERROR(VLOOKUP(WTG_BD[[#This Row],[Affected WTG]],'Basic Data'!$A$3:$E$25,3,0),"")</f>
        <v>JK</v>
      </c>
      <c r="J437" s="355">
        <f>IFERROR(VLOOKUP(WTG_BD[[#This Row],[Affected WTG]],'Basic Data'!$A$3:$E$25,5,0),"")</f>
        <v>4.3478260869565223E-2</v>
      </c>
      <c r="K437" s="10">
        <v>3273</v>
      </c>
      <c r="L437" t="str">
        <f>IFERROR(VLOOKUP(WTG_BD[[#This Row],[Error Code]],'Basic Data'!S:T,2,0),"Incorrect Error Code")</f>
        <v>YawUntwistCCW: Code__,_______°</v>
      </c>
      <c r="M437" t="s">
        <v>1963</v>
      </c>
      <c r="O437" s="168">
        <v>6.9444444444444441E-3</v>
      </c>
      <c r="P437" s="168">
        <v>6.9444444444444441E-3</v>
      </c>
      <c r="Q437" s="168">
        <v>1.5972222222222221E-2</v>
      </c>
      <c r="R437" s="356">
        <f>(WTG_BD[[#This Row],[Work Start TimeStamp]]-WTG_BD[[#This Row],[Fault Start TimeStamp]])*24</f>
        <v>0</v>
      </c>
      <c r="S437" s="34">
        <f>(WTG_BD[[#This Row],[Fault Clearance time]]-WTG_BD[[#This Row],[Work Start TimeStamp]])*24</f>
        <v>0.21666666666666665</v>
      </c>
      <c r="T437" s="34">
        <f>(WTG_BD[[#This Row],[Fault Clearance time]]-WTG_BD[[#This Row],[Fault Start TimeStamp]])*24</f>
        <v>0.21666666666666665</v>
      </c>
      <c r="U437" t="s">
        <v>262</v>
      </c>
      <c r="V437" s="234" t="s">
        <v>255</v>
      </c>
      <c r="W437" s="50">
        <f>IFERROR(IF(N437="ROW",0,(WTG_BD[[#This Row],[Breakdown Time]]*WTG_BD[[#This Row],[Plant Equivalent Weightage]])),"")</f>
        <v>9.4202898550724643E-3</v>
      </c>
      <c r="X437" s="50"/>
      <c r="Y437" s="205">
        <v>1</v>
      </c>
      <c r="Z437" s="205"/>
      <c r="AA437" s="4">
        <v>45</v>
      </c>
    </row>
    <row r="438" spans="1:27">
      <c r="A438" s="10">
        <f t="shared" si="8"/>
        <v>437</v>
      </c>
      <c r="B438" s="43">
        <f>YEAR(WTG_BD[[#This Row],[Date]])+IF(MONTH(WTG_BD[[#This Row],[Date]])&gt;=4,1,0)</f>
        <v>2026</v>
      </c>
      <c r="C438" s="10">
        <v>2025</v>
      </c>
      <c r="D438" s="10" t="s">
        <v>4478</v>
      </c>
      <c r="E438" s="309">
        <f>WTG_BD[[#This Row],[Date]]-DAY(WTG_BD[[#This Row],[Date]])+1</f>
        <v>45778</v>
      </c>
      <c r="F438" s="32">
        <v>45796</v>
      </c>
      <c r="G438" t="s">
        <v>82</v>
      </c>
      <c r="H438" t="str">
        <f>IFERROR(VLOOKUP(WTG_BD[[#This Row],[Affected WTG]],'Basic Data'!$A$3:$E$25,2,0),"")</f>
        <v>O2R3</v>
      </c>
      <c r="I438" t="str">
        <f>IFERROR(VLOOKUP(WTG_BD[[#This Row],[Affected WTG]],'Basic Data'!$A$3:$E$25,3,0),"")</f>
        <v>JK</v>
      </c>
      <c r="J438" s="355">
        <f>IFERROR(VLOOKUP(WTG_BD[[#This Row],[Affected WTG]],'Basic Data'!$A$3:$E$25,5,0),"")</f>
        <v>4.3478260869565223E-2</v>
      </c>
      <c r="K438" s="10">
        <v>3273</v>
      </c>
      <c r="L438" t="str">
        <f>IFERROR(VLOOKUP(WTG_BD[[#This Row],[Error Code]],'Basic Data'!S:T,2,0),"Incorrect Error Code")</f>
        <v>YawUntwistCCW: Code__,_______°</v>
      </c>
      <c r="M438" t="s">
        <v>1963</v>
      </c>
      <c r="O438" s="168">
        <v>9.7222222222222224E-3</v>
      </c>
      <c r="P438" s="168">
        <v>9.7222222222222224E-3</v>
      </c>
      <c r="Q438" s="168">
        <v>3.125E-2</v>
      </c>
      <c r="R438" s="356">
        <f>(WTG_BD[[#This Row],[Work Start TimeStamp]]-WTG_BD[[#This Row],[Fault Start TimeStamp]])*24</f>
        <v>0</v>
      </c>
      <c r="S438" s="34">
        <f>(WTG_BD[[#This Row],[Fault Clearance time]]-WTG_BD[[#This Row],[Work Start TimeStamp]])*24</f>
        <v>0.51666666666666661</v>
      </c>
      <c r="T438" s="34">
        <f>(WTG_BD[[#This Row],[Fault Clearance time]]-WTG_BD[[#This Row],[Fault Start TimeStamp]])*24</f>
        <v>0.51666666666666661</v>
      </c>
      <c r="U438" t="s">
        <v>262</v>
      </c>
      <c r="V438" s="234" t="s">
        <v>255</v>
      </c>
      <c r="W438" s="50">
        <f>IFERROR(IF(N438="ROW",0,(WTG_BD[[#This Row],[Breakdown Time]]*WTG_BD[[#This Row],[Plant Equivalent Weightage]])),"")</f>
        <v>2.2463768115942029E-2</v>
      </c>
      <c r="X438" s="50"/>
      <c r="Y438" s="205">
        <v>1</v>
      </c>
      <c r="Z438" s="205"/>
      <c r="AA438" s="4">
        <v>98</v>
      </c>
    </row>
    <row r="439" spans="1:27">
      <c r="A439" s="10">
        <f t="shared" si="8"/>
        <v>438</v>
      </c>
      <c r="B439" s="43">
        <f>YEAR(WTG_BD[[#This Row],[Date]])+IF(MONTH(WTG_BD[[#This Row],[Date]])&gt;=4,1,0)</f>
        <v>2026</v>
      </c>
      <c r="C439" s="10">
        <v>2025</v>
      </c>
      <c r="D439" s="10" t="s">
        <v>4478</v>
      </c>
      <c r="E439" s="309">
        <f>WTG_BD[[#This Row],[Date]]-DAY(WTG_BD[[#This Row],[Date]])+1</f>
        <v>45778</v>
      </c>
      <c r="F439" s="32">
        <v>45796</v>
      </c>
      <c r="G439" t="s">
        <v>83</v>
      </c>
      <c r="H439" t="str">
        <f>IFERROR(VLOOKUP(WTG_BD[[#This Row],[Affected WTG]],'Basic Data'!$A$3:$E$25,2,0),"")</f>
        <v>O2R3</v>
      </c>
      <c r="I439" t="str">
        <f>IFERROR(VLOOKUP(WTG_BD[[#This Row],[Affected WTG]],'Basic Data'!$A$3:$E$25,3,0),"")</f>
        <v>JK</v>
      </c>
      <c r="J439" s="355">
        <f>IFERROR(VLOOKUP(WTG_BD[[#This Row],[Affected WTG]],'Basic Data'!$A$3:$E$25,5,0),"")</f>
        <v>4.3478260869565223E-2</v>
      </c>
      <c r="K439" s="10">
        <v>3273</v>
      </c>
      <c r="L439" t="str">
        <f>IFERROR(VLOOKUP(WTG_BD[[#This Row],[Error Code]],'Basic Data'!S:T,2,0),"Incorrect Error Code")</f>
        <v>YawUntwistCCW: Code__,_______°</v>
      </c>
      <c r="M439" t="s">
        <v>1963</v>
      </c>
      <c r="O439" s="168">
        <v>0.60555555555555551</v>
      </c>
      <c r="P439" s="168">
        <v>0.60555555555555551</v>
      </c>
      <c r="Q439" s="168">
        <v>0.61944444444444446</v>
      </c>
      <c r="R439" s="356">
        <f>(WTG_BD[[#This Row],[Work Start TimeStamp]]-WTG_BD[[#This Row],[Fault Start TimeStamp]])*24</f>
        <v>0</v>
      </c>
      <c r="S439" s="34">
        <f>(WTG_BD[[#This Row],[Fault Clearance time]]-WTG_BD[[#This Row],[Work Start TimeStamp]])*24</f>
        <v>0.33333333333333481</v>
      </c>
      <c r="T439" s="34">
        <f>(WTG_BD[[#This Row],[Fault Clearance time]]-WTG_BD[[#This Row],[Fault Start TimeStamp]])*24</f>
        <v>0.33333333333333481</v>
      </c>
      <c r="U439" t="s">
        <v>262</v>
      </c>
      <c r="V439" s="234" t="s">
        <v>255</v>
      </c>
      <c r="W439" s="50">
        <f>IFERROR(IF(N439="ROW",0,(WTG_BD[[#This Row],[Breakdown Time]]*WTG_BD[[#This Row],[Plant Equivalent Weightage]])),"")</f>
        <v>1.4492753623188472E-2</v>
      </c>
      <c r="X439" s="50"/>
      <c r="Y439" s="205">
        <v>1</v>
      </c>
      <c r="Z439" s="205"/>
      <c r="AA439" s="4">
        <v>14</v>
      </c>
    </row>
    <row r="440" spans="1:27">
      <c r="A440" s="10">
        <f t="shared" si="8"/>
        <v>439</v>
      </c>
      <c r="B440" s="43">
        <f>YEAR(WTG_BD[[#This Row],[Date]])+IF(MONTH(WTG_BD[[#This Row],[Date]])&gt;=4,1,0)</f>
        <v>2026</v>
      </c>
      <c r="C440" s="10">
        <v>2025</v>
      </c>
      <c r="D440" s="10" t="s">
        <v>4478</v>
      </c>
      <c r="E440" s="309">
        <f>WTG_BD[[#This Row],[Date]]-DAY(WTG_BD[[#This Row],[Date]])+1</f>
        <v>45778</v>
      </c>
      <c r="F440" s="32">
        <v>45796</v>
      </c>
      <c r="G440" t="s">
        <v>83</v>
      </c>
      <c r="H440" t="str">
        <f>IFERROR(VLOOKUP(WTG_BD[[#This Row],[Affected WTG]],'Basic Data'!$A$3:$E$25,2,0),"")</f>
        <v>O2R3</v>
      </c>
      <c r="I440" t="str">
        <f>IFERROR(VLOOKUP(WTG_BD[[#This Row],[Affected WTG]],'Basic Data'!$A$3:$E$25,3,0),"")</f>
        <v>JK</v>
      </c>
      <c r="J440" s="355">
        <f>IFERROR(VLOOKUP(WTG_BD[[#This Row],[Affected WTG]],'Basic Data'!$A$3:$E$25,5,0),"")</f>
        <v>4.3478260869565223E-2</v>
      </c>
      <c r="K440" s="10">
        <v>5197</v>
      </c>
      <c r="L440" t="str">
        <f>IFERROR(VLOOKUP(WTG_BD[[#This Row],[Error Code]],'Basic Data'!S:T,2,0),"Incorrect Error Code")</f>
        <v>Prop Valve C Status Fault</v>
      </c>
      <c r="M440" t="s">
        <v>307</v>
      </c>
      <c r="N440" t="s">
        <v>113</v>
      </c>
      <c r="O440" s="168">
        <v>0.98611111111111116</v>
      </c>
      <c r="P440" s="168">
        <v>0.98611111111111116</v>
      </c>
      <c r="Q440" s="168">
        <v>0.99930555555555556</v>
      </c>
      <c r="R440" s="356">
        <f>(WTG_BD[[#This Row],[Work Start TimeStamp]]-WTG_BD[[#This Row],[Fault Start TimeStamp]])*24</f>
        <v>0</v>
      </c>
      <c r="S440" s="34">
        <f>(WTG_BD[[#This Row],[Fault Clearance time]]-WTG_BD[[#This Row],[Work Start TimeStamp]])*24</f>
        <v>0.31666666666666554</v>
      </c>
      <c r="T440" s="34">
        <f>(WTG_BD[[#This Row],[Fault Clearance time]]-WTG_BD[[#This Row],[Fault Start TimeStamp]])*24</f>
        <v>0.31666666666666554</v>
      </c>
      <c r="U440" t="s">
        <v>4268</v>
      </c>
      <c r="V440" s="234" t="s">
        <v>255</v>
      </c>
      <c r="W440" s="50">
        <f>IFERROR(IF(N440="ROW",0,(WTG_BD[[#This Row],[Breakdown Time]]*WTG_BD[[#This Row],[Plant Equivalent Weightage]])),"")</f>
        <v>1.3768115942028938E-2</v>
      </c>
      <c r="X440" s="50"/>
      <c r="Y440" s="205">
        <v>1</v>
      </c>
      <c r="Z440" s="205"/>
      <c r="AA440" s="4">
        <v>35</v>
      </c>
    </row>
    <row r="441" spans="1:27">
      <c r="A441" s="10">
        <f t="shared" si="8"/>
        <v>440</v>
      </c>
      <c r="B441" s="43">
        <f>YEAR(WTG_BD[[#This Row],[Date]])+IF(MONTH(WTG_BD[[#This Row],[Date]])&gt;=4,1,0)</f>
        <v>2026</v>
      </c>
      <c r="C441" s="10">
        <v>2025</v>
      </c>
      <c r="D441" s="10" t="s">
        <v>4478</v>
      </c>
      <c r="E441" s="309">
        <f>WTG_BD[[#This Row],[Date]]-DAY(WTG_BD[[#This Row],[Date]])+1</f>
        <v>45778</v>
      </c>
      <c r="F441" s="32">
        <v>45796</v>
      </c>
      <c r="G441" t="s">
        <v>86</v>
      </c>
      <c r="H441" t="str">
        <f>IFERROR(VLOOKUP(WTG_BD[[#This Row],[Affected WTG]],'Basic Data'!$A$3:$E$25,2,0),"")</f>
        <v>O2R1</v>
      </c>
      <c r="I441" t="str">
        <f>IFERROR(VLOOKUP(WTG_BD[[#This Row],[Affected WTG]],'Basic Data'!$A$3:$E$25,3,0),"")</f>
        <v>KSIPL</v>
      </c>
      <c r="J441" s="355">
        <f>IFERROR(VLOOKUP(WTG_BD[[#This Row],[Affected WTG]],'Basic Data'!$A$3:$E$25,5,0),"")</f>
        <v>4.3478260869565223E-2</v>
      </c>
      <c r="K441" s="10">
        <v>3273</v>
      </c>
      <c r="L441" t="str">
        <f>IFERROR(VLOOKUP(WTG_BD[[#This Row],[Error Code]],'Basic Data'!S:T,2,0),"Incorrect Error Code")</f>
        <v>YawUntwistCCW: Code__,_______°</v>
      </c>
      <c r="M441" t="s">
        <v>1963</v>
      </c>
      <c r="O441" s="168">
        <v>0.5756944444444444</v>
      </c>
      <c r="P441" s="168">
        <v>0.5756944444444444</v>
      </c>
      <c r="Q441" s="168">
        <v>0.59027777777777779</v>
      </c>
      <c r="R441" s="356">
        <f>(WTG_BD[[#This Row],[Work Start TimeStamp]]-WTG_BD[[#This Row],[Fault Start TimeStamp]])*24</f>
        <v>0</v>
      </c>
      <c r="S441" s="34">
        <f>(WTG_BD[[#This Row],[Fault Clearance time]]-WTG_BD[[#This Row],[Work Start TimeStamp]])*24</f>
        <v>0.35000000000000142</v>
      </c>
      <c r="T441" s="34">
        <f>(WTG_BD[[#This Row],[Fault Clearance time]]-WTG_BD[[#This Row],[Fault Start TimeStamp]])*24</f>
        <v>0.35000000000000142</v>
      </c>
      <c r="U441" t="s">
        <v>262</v>
      </c>
      <c r="V441" s="234" t="s">
        <v>255</v>
      </c>
      <c r="W441" s="50">
        <f>IFERROR(IF(N441="ROW",0,(WTG_BD[[#This Row],[Breakdown Time]]*WTG_BD[[#This Row],[Plant Equivalent Weightage]])),"")</f>
        <v>1.5217391304347889E-2</v>
      </c>
      <c r="X441" s="50"/>
      <c r="Y441" s="205">
        <v>1</v>
      </c>
      <c r="Z441" s="205"/>
      <c r="AA441" s="4">
        <v>4</v>
      </c>
    </row>
    <row r="442" spans="1:27">
      <c r="A442" s="10">
        <f t="shared" si="8"/>
        <v>441</v>
      </c>
      <c r="B442" s="43">
        <f>YEAR(WTG_BD[[#This Row],[Date]])+IF(MONTH(WTG_BD[[#This Row],[Date]])&gt;=4,1,0)</f>
        <v>2026</v>
      </c>
      <c r="C442" s="10">
        <v>2025</v>
      </c>
      <c r="D442" s="10" t="s">
        <v>4478</v>
      </c>
      <c r="E442" s="309">
        <f>WTG_BD[[#This Row],[Date]]-DAY(WTG_BD[[#This Row],[Date]])+1</f>
        <v>45778</v>
      </c>
      <c r="F442" s="32">
        <v>45796</v>
      </c>
      <c r="G442" t="s">
        <v>91</v>
      </c>
      <c r="H442" t="str">
        <f>IFERROR(VLOOKUP(WTG_BD[[#This Row],[Affected WTG]],'Basic Data'!$A$3:$E$25,2,0),"")</f>
        <v>O2R2</v>
      </c>
      <c r="I442" t="str">
        <f>IFERROR(VLOOKUP(WTG_BD[[#This Row],[Affected WTG]],'Basic Data'!$A$3:$E$25,3,0),"")</f>
        <v>SIL</v>
      </c>
      <c r="J442" s="355">
        <f>IFERROR(VLOOKUP(WTG_BD[[#This Row],[Affected WTG]],'Basic Data'!$A$3:$E$25,5,0),"")</f>
        <v>4.3478260869565223E-2</v>
      </c>
      <c r="K442" s="10">
        <v>3273</v>
      </c>
      <c r="L442" t="str">
        <f>IFERROR(VLOOKUP(WTG_BD[[#This Row],[Error Code]],'Basic Data'!S:T,2,0),"Incorrect Error Code")</f>
        <v>YawUntwistCCW: Code__,_______°</v>
      </c>
      <c r="M442" t="s">
        <v>1963</v>
      </c>
      <c r="O442" s="168">
        <v>0.73611111111111116</v>
      </c>
      <c r="P442" s="168">
        <v>0.73611111111111116</v>
      </c>
      <c r="Q442" s="168">
        <v>0.75138888888888888</v>
      </c>
      <c r="R442" s="356">
        <f>(WTG_BD[[#This Row],[Work Start TimeStamp]]-WTG_BD[[#This Row],[Fault Start TimeStamp]])*24</f>
        <v>0</v>
      </c>
      <c r="S442" s="34">
        <f>(WTG_BD[[#This Row],[Fault Clearance time]]-WTG_BD[[#This Row],[Work Start TimeStamp]])*24</f>
        <v>0.36666666666666536</v>
      </c>
      <c r="T442" s="34">
        <f>(WTG_BD[[#This Row],[Fault Clearance time]]-WTG_BD[[#This Row],[Fault Start TimeStamp]])*24</f>
        <v>0.36666666666666536</v>
      </c>
      <c r="U442" t="s">
        <v>262</v>
      </c>
      <c r="V442" s="234" t="s">
        <v>255</v>
      </c>
      <c r="W442" s="50">
        <f>IFERROR(IF(N442="ROW",0,(WTG_BD[[#This Row],[Breakdown Time]]*WTG_BD[[#This Row],[Plant Equivalent Weightage]])),"")</f>
        <v>1.594202898550719E-2</v>
      </c>
      <c r="X442" s="50"/>
      <c r="Y442" s="205">
        <v>1</v>
      </c>
      <c r="Z442" s="205"/>
      <c r="AA442" s="4">
        <v>62</v>
      </c>
    </row>
    <row r="443" spans="1:27">
      <c r="A443" s="10">
        <f t="shared" si="8"/>
        <v>442</v>
      </c>
      <c r="B443" s="43">
        <f>YEAR(WTG_BD[[#This Row],[Date]])+IF(MONTH(WTG_BD[[#This Row],[Date]])&gt;=4,1,0)</f>
        <v>2026</v>
      </c>
      <c r="C443" s="10">
        <v>2025</v>
      </c>
      <c r="D443" s="10" t="s">
        <v>4478</v>
      </c>
      <c r="E443" s="309">
        <f>WTG_BD[[#This Row],[Date]]-DAY(WTG_BD[[#This Row],[Date]])+1</f>
        <v>45778</v>
      </c>
      <c r="F443" s="32">
        <v>45796</v>
      </c>
      <c r="G443" t="s">
        <v>92</v>
      </c>
      <c r="H443" t="str">
        <f>IFERROR(VLOOKUP(WTG_BD[[#This Row],[Affected WTG]],'Basic Data'!$A$3:$E$25,2,0),"")</f>
        <v>O2R2</v>
      </c>
      <c r="I443" t="str">
        <f>IFERROR(VLOOKUP(WTG_BD[[#This Row],[Affected WTG]],'Basic Data'!$A$3:$E$25,3,0),"")</f>
        <v>SIL</v>
      </c>
      <c r="J443" s="355">
        <f>IFERROR(VLOOKUP(WTG_BD[[#This Row],[Affected WTG]],'Basic Data'!$A$3:$E$25,5,0),"")</f>
        <v>4.3478260869565223E-2</v>
      </c>
      <c r="K443" s="10">
        <v>3273</v>
      </c>
      <c r="L443" t="str">
        <f>IFERROR(VLOOKUP(WTG_BD[[#This Row],[Error Code]],'Basic Data'!S:T,2,0),"Incorrect Error Code")</f>
        <v>YawUntwistCCW: Code__,_______°</v>
      </c>
      <c r="M443" t="s">
        <v>1963</v>
      </c>
      <c r="O443" s="168">
        <v>0.68055555555555558</v>
      </c>
      <c r="P443" s="168">
        <v>0.68055555555555558</v>
      </c>
      <c r="Q443" s="168">
        <v>0.69444444444444442</v>
      </c>
      <c r="R443" s="356">
        <f>(WTG_BD[[#This Row],[Work Start TimeStamp]]-WTG_BD[[#This Row],[Fault Start TimeStamp]])*24</f>
        <v>0</v>
      </c>
      <c r="S443" s="34">
        <f>(WTG_BD[[#This Row],[Fault Clearance time]]-WTG_BD[[#This Row],[Work Start TimeStamp]])*24</f>
        <v>0.33333333333333215</v>
      </c>
      <c r="T443" s="34">
        <f>(WTG_BD[[#This Row],[Fault Clearance time]]-WTG_BD[[#This Row],[Fault Start TimeStamp]])*24</f>
        <v>0.33333333333333215</v>
      </c>
      <c r="U443" t="s">
        <v>262</v>
      </c>
      <c r="V443" s="234" t="s">
        <v>255</v>
      </c>
      <c r="W443" s="50">
        <f>IFERROR(IF(N443="ROW",0,(WTG_BD[[#This Row],[Breakdown Time]]*WTG_BD[[#This Row],[Plant Equivalent Weightage]])),"")</f>
        <v>1.4492753623188356E-2</v>
      </c>
      <c r="X443" s="50"/>
      <c r="Y443" s="205">
        <v>1</v>
      </c>
      <c r="Z443" s="205"/>
      <c r="AA443" s="4">
        <v>2</v>
      </c>
    </row>
    <row r="444" spans="1:27">
      <c r="A444" s="10">
        <f t="shared" si="8"/>
        <v>443</v>
      </c>
      <c r="B444" s="43">
        <f>YEAR(WTG_BD[[#This Row],[Date]])+IF(MONTH(WTG_BD[[#This Row],[Date]])&gt;=4,1,0)</f>
        <v>2026</v>
      </c>
      <c r="C444" s="10">
        <v>2025</v>
      </c>
      <c r="D444" s="10" t="s">
        <v>4478</v>
      </c>
      <c r="E444" s="309">
        <f>WTG_BD[[#This Row],[Date]]-DAY(WTG_BD[[#This Row],[Date]])+1</f>
        <v>45778</v>
      </c>
      <c r="F444" s="32">
        <v>45796</v>
      </c>
      <c r="G444" t="s">
        <v>93</v>
      </c>
      <c r="H444" t="str">
        <f>IFERROR(VLOOKUP(WTG_BD[[#This Row],[Affected WTG]],'Basic Data'!$A$3:$E$25,2,0),"")</f>
        <v>O2R4</v>
      </c>
      <c r="I444" t="str">
        <f>IFERROR(VLOOKUP(WTG_BD[[#This Row],[Affected WTG]],'Basic Data'!$A$3:$E$25,3,0),"")</f>
        <v>SGDCIPL</v>
      </c>
      <c r="J444" s="355">
        <f>IFERROR(VLOOKUP(WTG_BD[[#This Row],[Affected WTG]],'Basic Data'!$A$3:$E$25,5,0),"")</f>
        <v>4.3478260869565223E-2</v>
      </c>
      <c r="K444" s="10">
        <v>3273</v>
      </c>
      <c r="L444" t="str">
        <f>IFERROR(VLOOKUP(WTG_BD[[#This Row],[Error Code]],'Basic Data'!S:T,2,0),"Incorrect Error Code")</f>
        <v>YawUntwistCCW: Code__,_______°</v>
      </c>
      <c r="M444" t="s">
        <v>1963</v>
      </c>
      <c r="O444" s="168">
        <v>0.73819444444444449</v>
      </c>
      <c r="P444" s="168">
        <v>0.73819444444444449</v>
      </c>
      <c r="Q444" s="168">
        <v>0.75763888888888886</v>
      </c>
      <c r="R444" s="356">
        <f>(WTG_BD[[#This Row],[Work Start TimeStamp]]-WTG_BD[[#This Row],[Fault Start TimeStamp]])*24</f>
        <v>0</v>
      </c>
      <c r="S444" s="34">
        <f>(WTG_BD[[#This Row],[Fault Clearance time]]-WTG_BD[[#This Row],[Work Start TimeStamp]])*24</f>
        <v>0.46666666666666501</v>
      </c>
      <c r="T444" s="34">
        <f>(WTG_BD[[#This Row],[Fault Clearance time]]-WTG_BD[[#This Row],[Fault Start TimeStamp]])*24</f>
        <v>0.46666666666666501</v>
      </c>
      <c r="U444" t="s">
        <v>262</v>
      </c>
      <c r="V444" s="234" t="s">
        <v>255</v>
      </c>
      <c r="W444" s="50">
        <f>IFERROR(IF(N444="ROW",0,(WTG_BD[[#This Row],[Breakdown Time]]*WTG_BD[[#This Row],[Plant Equivalent Weightage]])),"")</f>
        <v>2.0289855072463697E-2</v>
      </c>
      <c r="X444" s="50"/>
      <c r="Y444" s="205">
        <v>1</v>
      </c>
      <c r="Z444" s="205"/>
      <c r="AA444" s="4">
        <v>6</v>
      </c>
    </row>
    <row r="445" spans="1:27">
      <c r="A445" s="10">
        <f t="shared" si="8"/>
        <v>444</v>
      </c>
      <c r="B445" s="43">
        <f>YEAR(WTG_BD[[#This Row],[Date]])+IF(MONTH(WTG_BD[[#This Row],[Date]])&gt;=4,1,0)</f>
        <v>2026</v>
      </c>
      <c r="C445" s="10">
        <v>2025</v>
      </c>
      <c r="D445" s="10" t="s">
        <v>4478</v>
      </c>
      <c r="E445" s="309">
        <f>WTG_BD[[#This Row],[Date]]-DAY(WTG_BD[[#This Row],[Date]])+1</f>
        <v>45778</v>
      </c>
      <c r="F445" s="32">
        <v>45796</v>
      </c>
      <c r="G445" t="s">
        <v>97</v>
      </c>
      <c r="H445" t="str">
        <f>IFERROR(VLOOKUP(WTG_BD[[#This Row],[Affected WTG]],'Basic Data'!$A$3:$E$25,2,0),"")</f>
        <v>O2R3</v>
      </c>
      <c r="I445" t="str">
        <f>IFERROR(VLOOKUP(WTG_BD[[#This Row],[Affected WTG]],'Basic Data'!$A$3:$E$25,3,0),"")</f>
        <v>JK</v>
      </c>
      <c r="J445" s="355">
        <f>IFERROR(VLOOKUP(WTG_BD[[#This Row],[Affected WTG]],'Basic Data'!$A$3:$E$25,5,0),"")</f>
        <v>4.3478260869565223E-2</v>
      </c>
      <c r="K445" s="10">
        <v>3272</v>
      </c>
      <c r="L445" t="str">
        <f>IFERROR(VLOOKUP(WTG_BD[[#This Row],[Error Code]],'Basic Data'!S:T,2,0),"Incorrect Error Code")</f>
        <v>YawUntwistCW: Code__,_______°</v>
      </c>
      <c r="M445" t="s">
        <v>378</v>
      </c>
      <c r="O445" s="168">
        <v>0.77500000000000002</v>
      </c>
      <c r="P445" s="168">
        <v>0.77500000000000002</v>
      </c>
      <c r="Q445" s="168">
        <v>0.79027777777777775</v>
      </c>
      <c r="R445" s="356">
        <f>(WTG_BD[[#This Row],[Work Start TimeStamp]]-WTG_BD[[#This Row],[Fault Start TimeStamp]])*24</f>
        <v>0</v>
      </c>
      <c r="S445" s="34">
        <f>(WTG_BD[[#This Row],[Fault Clearance time]]-WTG_BD[[#This Row],[Work Start TimeStamp]])*24</f>
        <v>0.36666666666666536</v>
      </c>
      <c r="T445" s="34">
        <f>(WTG_BD[[#This Row],[Fault Clearance time]]-WTG_BD[[#This Row],[Fault Start TimeStamp]])*24</f>
        <v>0.36666666666666536</v>
      </c>
      <c r="U445" t="s">
        <v>262</v>
      </c>
      <c r="V445" s="234" t="s">
        <v>255</v>
      </c>
      <c r="W445" s="50">
        <f>IFERROR(IF(N445="ROW",0,(WTG_BD[[#This Row],[Breakdown Time]]*WTG_BD[[#This Row],[Plant Equivalent Weightage]])),"")</f>
        <v>1.594202898550719E-2</v>
      </c>
      <c r="X445" s="50"/>
      <c r="Y445" s="205">
        <v>1</v>
      </c>
      <c r="Z445" s="205"/>
      <c r="AA445" s="4">
        <v>0</v>
      </c>
    </row>
    <row r="446" spans="1:27">
      <c r="A446" s="10">
        <f t="shared" si="8"/>
        <v>445</v>
      </c>
      <c r="B446" s="43">
        <f>YEAR(WTG_BD[[#This Row],[Date]])+IF(MONTH(WTG_BD[[#This Row],[Date]])&gt;=4,1,0)</f>
        <v>2026</v>
      </c>
      <c r="C446" s="10">
        <v>2025</v>
      </c>
      <c r="D446" s="10" t="s">
        <v>4478</v>
      </c>
      <c r="E446" s="309">
        <f>WTG_BD[[#This Row],[Date]]-DAY(WTG_BD[[#This Row],[Date]])+1</f>
        <v>45778</v>
      </c>
      <c r="F446" s="32">
        <v>45796</v>
      </c>
      <c r="G446" t="s">
        <v>97</v>
      </c>
      <c r="H446" t="str">
        <f>IFERROR(VLOOKUP(WTG_BD[[#This Row],[Affected WTG]],'Basic Data'!$A$3:$E$25,2,0),"")</f>
        <v>O2R3</v>
      </c>
      <c r="I446" t="str">
        <f>IFERROR(VLOOKUP(WTG_BD[[#This Row],[Affected WTG]],'Basic Data'!$A$3:$E$25,3,0),"")</f>
        <v>JK</v>
      </c>
      <c r="J446" s="355">
        <f>IFERROR(VLOOKUP(WTG_BD[[#This Row],[Affected WTG]],'Basic Data'!$A$3:$E$25,5,0),"")</f>
        <v>4.3478260869565223E-2</v>
      </c>
      <c r="K446" s="10">
        <v>309</v>
      </c>
      <c r="L446" t="str">
        <f>IFERROR(VLOOKUP(WTG_BD[[#This Row],[Error Code]],'Basic Data'!S:T,2,0),"Incorrect Error Code")</f>
        <v>Pause over RCS __0</v>
      </c>
      <c r="M446" t="s">
        <v>871</v>
      </c>
      <c r="N446" t="s">
        <v>257</v>
      </c>
      <c r="O446" s="168">
        <v>0.42291666666666666</v>
      </c>
      <c r="P446" s="168">
        <v>0.42291666666666666</v>
      </c>
      <c r="Q446" s="168">
        <v>0.69166666666666665</v>
      </c>
      <c r="R446" s="356">
        <f>(WTG_BD[[#This Row],[Work Start TimeStamp]]-WTG_BD[[#This Row],[Fault Start TimeStamp]])*24</f>
        <v>0</v>
      </c>
      <c r="S446" s="34">
        <f>(WTG_BD[[#This Row],[Fault Clearance time]]-WTG_BD[[#This Row],[Work Start TimeStamp]])*24</f>
        <v>6.4499999999999993</v>
      </c>
      <c r="T446" s="34">
        <f>(WTG_BD[[#This Row],[Fault Clearance time]]-WTG_BD[[#This Row],[Fault Start TimeStamp]])*24</f>
        <v>6.4499999999999993</v>
      </c>
      <c r="U446" t="s">
        <v>4493</v>
      </c>
      <c r="V446" s="234" t="s">
        <v>255</v>
      </c>
      <c r="W446" s="50">
        <f>IFERROR(IF(N446="ROW",0,(WTG_BD[[#This Row],[Breakdown Time]]*WTG_BD[[#This Row],[Plant Equivalent Weightage]])),"")</f>
        <v>0.28043478260869564</v>
      </c>
      <c r="X446" s="50"/>
      <c r="Y446" s="205">
        <v>1</v>
      </c>
      <c r="Z446" s="205"/>
      <c r="AA446" s="4">
        <v>366</v>
      </c>
    </row>
    <row r="447" spans="1:27">
      <c r="A447" s="10">
        <f t="shared" si="8"/>
        <v>446</v>
      </c>
      <c r="B447" s="43">
        <f>YEAR(WTG_BD[[#This Row],[Date]])+IF(MONTH(WTG_BD[[#This Row],[Date]])&gt;=4,1,0)</f>
        <v>2026</v>
      </c>
      <c r="C447" s="10">
        <v>2025</v>
      </c>
      <c r="D447" s="10" t="s">
        <v>4478</v>
      </c>
      <c r="E447" s="309">
        <f>WTG_BD[[#This Row],[Date]]-DAY(WTG_BD[[#This Row],[Date]])+1</f>
        <v>45778</v>
      </c>
      <c r="F447" s="32">
        <v>45797</v>
      </c>
      <c r="G447" t="s">
        <v>76</v>
      </c>
      <c r="H447" t="str">
        <f>IFERROR(VLOOKUP(WTG_BD[[#This Row],[Affected WTG]],'Basic Data'!$A$3:$E$25,2,0),"")</f>
        <v>O2R1</v>
      </c>
      <c r="I447" t="str">
        <f>IFERROR(VLOOKUP(WTG_BD[[#This Row],[Affected WTG]],'Basic Data'!$A$3:$E$25,3,0),"")</f>
        <v>KSIPL</v>
      </c>
      <c r="J447" s="355">
        <f>IFERROR(VLOOKUP(WTG_BD[[#This Row],[Affected WTG]],'Basic Data'!$A$3:$E$25,5,0),"")</f>
        <v>4.3478260869565223E-2</v>
      </c>
      <c r="K447" s="10">
        <v>5471</v>
      </c>
      <c r="L447" t="str">
        <f>IFERROR(VLOOKUP(WTG_BD[[#This Row],[Error Code]],'Basic Data'!S:T,2,0),"Incorrect Error Code")</f>
        <v>GeneratorBreakerTripped</v>
      </c>
      <c r="M447" t="s">
        <v>370</v>
      </c>
      <c r="O447" s="168">
        <v>0.75694444444444442</v>
      </c>
      <c r="P447" s="168">
        <v>0.75694444444444442</v>
      </c>
      <c r="Q447" s="168">
        <v>0.81527777777777777</v>
      </c>
      <c r="R447" s="356">
        <f>(WTG_BD[[#This Row],[Work Start TimeStamp]]-WTG_BD[[#This Row],[Fault Start TimeStamp]])*24</f>
        <v>0</v>
      </c>
      <c r="S447" s="34">
        <f>(WTG_BD[[#This Row],[Fault Clearance time]]-WTG_BD[[#This Row],[Work Start TimeStamp]])*24</f>
        <v>1.4000000000000004</v>
      </c>
      <c r="T447" s="34">
        <f>(WTG_BD[[#This Row],[Fault Clearance time]]-WTG_BD[[#This Row],[Fault Start TimeStamp]])*24</f>
        <v>1.4000000000000004</v>
      </c>
      <c r="U447" t="s">
        <v>4591</v>
      </c>
      <c r="V447" s="234" t="s">
        <v>255</v>
      </c>
      <c r="W447" s="50">
        <f>IFERROR(IF(N447="ROW",0,(WTG_BD[[#This Row],[Breakdown Time]]*WTG_BD[[#This Row],[Plant Equivalent Weightage]])),"")</f>
        <v>6.0869565217391328E-2</v>
      </c>
      <c r="X447" s="50"/>
      <c r="Y447" s="205">
        <v>1</v>
      </c>
      <c r="Z447" s="205"/>
      <c r="AA447" s="4">
        <v>197</v>
      </c>
    </row>
    <row r="448" spans="1:27">
      <c r="A448" s="10">
        <f t="shared" si="8"/>
        <v>447</v>
      </c>
      <c r="B448" s="43">
        <f>YEAR(WTG_BD[[#This Row],[Date]])+IF(MONTH(WTG_BD[[#This Row],[Date]])&gt;=4,1,0)</f>
        <v>2026</v>
      </c>
      <c r="C448" s="10">
        <v>2025</v>
      </c>
      <c r="D448" s="10" t="s">
        <v>4478</v>
      </c>
      <c r="E448" s="309">
        <f>WTG_BD[[#This Row],[Date]]-DAY(WTG_BD[[#This Row],[Date]])+1</f>
        <v>45778</v>
      </c>
      <c r="F448" s="32">
        <v>45797</v>
      </c>
      <c r="G448" t="s">
        <v>77</v>
      </c>
      <c r="H448" t="str">
        <f>IFERROR(VLOOKUP(WTG_BD[[#This Row],[Affected WTG]],'Basic Data'!$A$3:$E$25,2,0),"")</f>
        <v>O2R3</v>
      </c>
      <c r="I448" t="str">
        <f>IFERROR(VLOOKUP(WTG_BD[[#This Row],[Affected WTG]],'Basic Data'!$A$3:$E$25,3,0),"")</f>
        <v>JK</v>
      </c>
      <c r="J448" s="355">
        <f>IFERROR(VLOOKUP(WTG_BD[[#This Row],[Affected WTG]],'Basic Data'!$A$3:$E$25,5,0),"")</f>
        <v>4.3478260869565223E-2</v>
      </c>
      <c r="K448" s="10">
        <v>3273</v>
      </c>
      <c r="L448" t="str">
        <f>IFERROR(VLOOKUP(WTG_BD[[#This Row],[Error Code]],'Basic Data'!S:T,2,0),"Incorrect Error Code")</f>
        <v>YawUntwistCCW: Code__,_______°</v>
      </c>
      <c r="M448" t="s">
        <v>1963</v>
      </c>
      <c r="O448" s="168">
        <v>0.43055555555555558</v>
      </c>
      <c r="P448" s="168">
        <v>0.43055555555555558</v>
      </c>
      <c r="Q448" s="168">
        <v>0.44444444444444442</v>
      </c>
      <c r="R448" s="356">
        <f>(WTG_BD[[#This Row],[Work Start TimeStamp]]-WTG_BD[[#This Row],[Fault Start TimeStamp]])*24</f>
        <v>0</v>
      </c>
      <c r="S448" s="34">
        <f>(WTG_BD[[#This Row],[Fault Clearance time]]-WTG_BD[[#This Row],[Work Start TimeStamp]])*24</f>
        <v>0.33333333333333215</v>
      </c>
      <c r="T448" s="34">
        <f>(WTG_BD[[#This Row],[Fault Clearance time]]-WTG_BD[[#This Row],[Fault Start TimeStamp]])*24</f>
        <v>0.33333333333333215</v>
      </c>
      <c r="U448" t="s">
        <v>262</v>
      </c>
      <c r="V448" s="234" t="s">
        <v>255</v>
      </c>
      <c r="W448" s="50">
        <f>IFERROR(IF(N448="ROW",0,(WTG_BD[[#This Row],[Breakdown Time]]*WTG_BD[[#This Row],[Plant Equivalent Weightage]])),"")</f>
        <v>1.4492753623188356E-2</v>
      </c>
      <c r="X448" s="50"/>
      <c r="Y448" s="205">
        <v>1</v>
      </c>
      <c r="Z448" s="205"/>
      <c r="AA448" s="4">
        <v>9</v>
      </c>
    </row>
    <row r="449" spans="1:27">
      <c r="A449" s="10">
        <f t="shared" si="8"/>
        <v>448</v>
      </c>
      <c r="B449" s="43">
        <f>YEAR(WTG_BD[[#This Row],[Date]])+IF(MONTH(WTG_BD[[#This Row],[Date]])&gt;=4,1,0)</f>
        <v>2026</v>
      </c>
      <c r="C449" s="10">
        <v>2025</v>
      </c>
      <c r="D449" s="10" t="s">
        <v>4478</v>
      </c>
      <c r="E449" s="309">
        <f>WTG_BD[[#This Row],[Date]]-DAY(WTG_BD[[#This Row],[Date]])+1</f>
        <v>45778</v>
      </c>
      <c r="F449" s="32">
        <v>45797</v>
      </c>
      <c r="G449" t="s">
        <v>78</v>
      </c>
      <c r="H449" t="str">
        <f>IFERROR(VLOOKUP(WTG_BD[[#This Row],[Affected WTG]],'Basic Data'!$A$3:$E$25,2,0),"")</f>
        <v>O2R1</v>
      </c>
      <c r="I449" t="str">
        <f>IFERROR(VLOOKUP(WTG_BD[[#This Row],[Affected WTG]],'Basic Data'!$A$3:$E$25,3,0),"")</f>
        <v>KSIPL</v>
      </c>
      <c r="J449" s="355">
        <f>IFERROR(VLOOKUP(WTG_BD[[#This Row],[Affected WTG]],'Basic Data'!$A$3:$E$25,5,0),"")</f>
        <v>4.3478260869565223E-2</v>
      </c>
      <c r="K449" s="10">
        <v>3273</v>
      </c>
      <c r="L449" t="str">
        <f>IFERROR(VLOOKUP(WTG_BD[[#This Row],[Error Code]],'Basic Data'!S:T,2,0),"Incorrect Error Code")</f>
        <v>YawUntwistCCW: Code__,_______°</v>
      </c>
      <c r="M449" t="s">
        <v>1963</v>
      </c>
      <c r="O449" s="168">
        <v>0.5625</v>
      </c>
      <c r="P449" s="168">
        <v>0.5625</v>
      </c>
      <c r="Q449" s="168">
        <v>0.57708333333333328</v>
      </c>
      <c r="R449" s="356">
        <f>(WTG_BD[[#This Row],[Work Start TimeStamp]]-WTG_BD[[#This Row],[Fault Start TimeStamp]])*24</f>
        <v>0</v>
      </c>
      <c r="S449" s="34">
        <f>(WTG_BD[[#This Row],[Fault Clearance time]]-WTG_BD[[#This Row],[Work Start TimeStamp]])*24</f>
        <v>0.34999999999999876</v>
      </c>
      <c r="T449" s="34">
        <f>(WTG_BD[[#This Row],[Fault Clearance time]]-WTG_BD[[#This Row],[Fault Start TimeStamp]])*24</f>
        <v>0.34999999999999876</v>
      </c>
      <c r="U449" t="s">
        <v>262</v>
      </c>
      <c r="V449" s="234" t="s">
        <v>255</v>
      </c>
      <c r="W449" s="50">
        <f>IFERROR(IF(N449="ROW",0,(WTG_BD[[#This Row],[Breakdown Time]]*WTG_BD[[#This Row],[Plant Equivalent Weightage]])),"")</f>
        <v>1.5217391304347775E-2</v>
      </c>
      <c r="X449" s="50"/>
      <c r="Y449" s="205">
        <v>1</v>
      </c>
      <c r="Z449" s="205"/>
      <c r="AA449" s="4">
        <v>43</v>
      </c>
    </row>
    <row r="450" spans="1:27">
      <c r="A450" s="10">
        <f t="shared" si="8"/>
        <v>449</v>
      </c>
      <c r="B450" s="43">
        <f>YEAR(WTG_BD[[#This Row],[Date]])+IF(MONTH(WTG_BD[[#This Row],[Date]])&gt;=4,1,0)</f>
        <v>2026</v>
      </c>
      <c r="C450" s="10">
        <v>2025</v>
      </c>
      <c r="D450" s="10" t="s">
        <v>4478</v>
      </c>
      <c r="E450" s="309">
        <f>WTG_BD[[#This Row],[Date]]-DAY(WTG_BD[[#This Row],[Date]])+1</f>
        <v>45778</v>
      </c>
      <c r="F450" s="32">
        <v>45797</v>
      </c>
      <c r="G450" t="s">
        <v>80</v>
      </c>
      <c r="H450" t="str">
        <f>IFERROR(VLOOKUP(WTG_BD[[#This Row],[Affected WTG]],'Basic Data'!$A$3:$E$25,2,0),"")</f>
        <v>O2R3</v>
      </c>
      <c r="I450" t="str">
        <f>IFERROR(VLOOKUP(WTG_BD[[#This Row],[Affected WTG]],'Basic Data'!$A$3:$E$25,3,0),"")</f>
        <v>JK</v>
      </c>
      <c r="J450" s="355">
        <f>IFERROR(VLOOKUP(WTG_BD[[#This Row],[Affected WTG]],'Basic Data'!$A$3:$E$25,5,0),"")</f>
        <v>4.3478260869565223E-2</v>
      </c>
      <c r="K450" s="10">
        <v>3273</v>
      </c>
      <c r="L450" t="str">
        <f>IFERROR(VLOOKUP(WTG_BD[[#This Row],[Error Code]],'Basic Data'!S:T,2,0),"Incorrect Error Code")</f>
        <v>YawUntwistCCW: Code__,_______°</v>
      </c>
      <c r="M450" t="s">
        <v>1963</v>
      </c>
      <c r="N450" t="s">
        <v>113</v>
      </c>
      <c r="O450" s="168">
        <v>0.71180555555555558</v>
      </c>
      <c r="P450" s="168">
        <v>0.71180555555555558</v>
      </c>
      <c r="Q450" s="168">
        <v>0.72638888888888886</v>
      </c>
      <c r="R450" s="356">
        <f>(WTG_BD[[#This Row],[Work Start TimeStamp]]-WTG_BD[[#This Row],[Fault Start TimeStamp]])*24</f>
        <v>0</v>
      </c>
      <c r="S450" s="34">
        <f>(WTG_BD[[#This Row],[Fault Clearance time]]-WTG_BD[[#This Row],[Work Start TimeStamp]])*24</f>
        <v>0.34999999999999876</v>
      </c>
      <c r="T450" s="34">
        <f>(WTG_BD[[#This Row],[Fault Clearance time]]-WTG_BD[[#This Row],[Fault Start TimeStamp]])*24</f>
        <v>0.34999999999999876</v>
      </c>
      <c r="U450" t="s">
        <v>262</v>
      </c>
      <c r="V450" s="234" t="s">
        <v>255</v>
      </c>
      <c r="W450" s="50">
        <f>IFERROR(IF(N450="ROW",0,(WTG_BD[[#This Row],[Breakdown Time]]*WTG_BD[[#This Row],[Plant Equivalent Weightage]])),"")</f>
        <v>1.5217391304347775E-2</v>
      </c>
      <c r="X450" s="50"/>
      <c r="Y450" s="205">
        <v>1</v>
      </c>
      <c r="Z450" s="205"/>
      <c r="AA450" s="4">
        <v>39</v>
      </c>
    </row>
    <row r="451" spans="1:27">
      <c r="A451" s="10">
        <f t="shared" si="8"/>
        <v>450</v>
      </c>
      <c r="B451" s="43">
        <f>YEAR(WTG_BD[[#This Row],[Date]])+IF(MONTH(WTG_BD[[#This Row],[Date]])&gt;=4,1,0)</f>
        <v>2026</v>
      </c>
      <c r="C451" s="10">
        <v>2025</v>
      </c>
      <c r="D451" s="10" t="s">
        <v>4478</v>
      </c>
      <c r="E451" s="309">
        <f>WTG_BD[[#This Row],[Date]]-DAY(WTG_BD[[#This Row],[Date]])+1</f>
        <v>45778</v>
      </c>
      <c r="F451" s="32">
        <v>45797</v>
      </c>
      <c r="G451" t="s">
        <v>81</v>
      </c>
      <c r="H451" t="str">
        <f>IFERROR(VLOOKUP(WTG_BD[[#This Row],[Affected WTG]],'Basic Data'!$A$3:$E$25,2,0),"")</f>
        <v>O2R3</v>
      </c>
      <c r="I451" t="str">
        <f>IFERROR(VLOOKUP(WTG_BD[[#This Row],[Affected WTG]],'Basic Data'!$A$3:$E$25,3,0),"")</f>
        <v>JK</v>
      </c>
      <c r="J451" s="355">
        <f>IFERROR(VLOOKUP(WTG_BD[[#This Row],[Affected WTG]],'Basic Data'!$A$3:$E$25,5,0),"")</f>
        <v>4.3478260869565223E-2</v>
      </c>
      <c r="K451" s="10">
        <v>181</v>
      </c>
      <c r="L451" t="str">
        <f>IFERROR(VLOOKUP(WTG_BD[[#This Row],[Error Code]],'Basic Data'!S:T,2,0),"Incorrect Error Code")</f>
        <v>Feedback = _, yawing CW _</v>
      </c>
      <c r="M451" t="s">
        <v>748</v>
      </c>
      <c r="N451" t="s">
        <v>257</v>
      </c>
      <c r="O451" s="168">
        <v>6.9444444444444441E-3</v>
      </c>
      <c r="P451" s="168">
        <v>6.9444444444444441E-3</v>
      </c>
      <c r="Q451" s="168">
        <v>3.4722222222222224E-2</v>
      </c>
      <c r="R451" s="356">
        <f>(WTG_BD[[#This Row],[Work Start TimeStamp]]-WTG_BD[[#This Row],[Fault Start TimeStamp]])*24</f>
        <v>0</v>
      </c>
      <c r="S451" s="34">
        <f>(WTG_BD[[#This Row],[Fault Clearance time]]-WTG_BD[[#This Row],[Work Start TimeStamp]])*24</f>
        <v>0.66666666666666674</v>
      </c>
      <c r="T451" s="34">
        <f>(WTG_BD[[#This Row],[Fault Clearance time]]-WTG_BD[[#This Row],[Fault Start TimeStamp]])*24</f>
        <v>0.66666666666666674</v>
      </c>
      <c r="U451" t="s">
        <v>4268</v>
      </c>
      <c r="V451" s="234" t="s">
        <v>255</v>
      </c>
      <c r="W451" s="50">
        <f>IFERROR(IF(N451="ROW",0,(WTG_BD[[#This Row],[Breakdown Time]]*WTG_BD[[#This Row],[Plant Equivalent Weightage]])),"")</f>
        <v>2.8985507246376819E-2</v>
      </c>
      <c r="X451" s="50"/>
      <c r="Y451" s="205">
        <v>1</v>
      </c>
      <c r="Z451" s="205"/>
      <c r="AA451" s="4">
        <v>2</v>
      </c>
    </row>
    <row r="452" spans="1:27">
      <c r="A452" s="10">
        <f t="shared" si="8"/>
        <v>451</v>
      </c>
      <c r="B452" s="43">
        <f>YEAR(WTG_BD[[#This Row],[Date]])+IF(MONTH(WTG_BD[[#This Row],[Date]])&gt;=4,1,0)</f>
        <v>2026</v>
      </c>
      <c r="C452" s="10">
        <v>2025</v>
      </c>
      <c r="D452" s="10" t="s">
        <v>4478</v>
      </c>
      <c r="E452" s="309">
        <f>WTG_BD[[#This Row],[Date]]-DAY(WTG_BD[[#This Row],[Date]])+1</f>
        <v>45778</v>
      </c>
      <c r="F452" s="32">
        <v>45797</v>
      </c>
      <c r="G452" t="s">
        <v>81</v>
      </c>
      <c r="H452" t="str">
        <f>IFERROR(VLOOKUP(WTG_BD[[#This Row],[Affected WTG]],'Basic Data'!$A$3:$E$25,2,0),"")</f>
        <v>O2R3</v>
      </c>
      <c r="I452" t="str">
        <f>IFERROR(VLOOKUP(WTG_BD[[#This Row],[Affected WTG]],'Basic Data'!$A$3:$E$25,3,0),"")</f>
        <v>JK</v>
      </c>
      <c r="J452" s="355">
        <f>IFERROR(VLOOKUP(WTG_BD[[#This Row],[Affected WTG]],'Basic Data'!$A$3:$E$25,5,0),"")</f>
        <v>4.3478260869565223E-2</v>
      </c>
      <c r="K452" s="10">
        <v>309</v>
      </c>
      <c r="L452" t="str">
        <f>IFERROR(VLOOKUP(WTG_BD[[#This Row],[Error Code]],'Basic Data'!S:T,2,0),"Incorrect Error Code")</f>
        <v>Pause over RCS __0</v>
      </c>
      <c r="M452" t="s">
        <v>871</v>
      </c>
      <c r="N452" t="s">
        <v>113</v>
      </c>
      <c r="O452" s="168">
        <v>0.57638888888888884</v>
      </c>
      <c r="P452" s="168">
        <v>0.57638888888888884</v>
      </c>
      <c r="Q452" s="168">
        <v>0.64583333333333337</v>
      </c>
      <c r="R452" s="356">
        <f>(WTG_BD[[#This Row],[Work Start TimeStamp]]-WTG_BD[[#This Row],[Fault Start TimeStamp]])*24</f>
        <v>0</v>
      </c>
      <c r="S452" s="34">
        <f>(WTG_BD[[#This Row],[Fault Clearance time]]-WTG_BD[[#This Row],[Work Start TimeStamp]])*24</f>
        <v>1.6666666666666687</v>
      </c>
      <c r="T452" s="34">
        <f>(WTG_BD[[#This Row],[Fault Clearance time]]-WTG_BD[[#This Row],[Fault Start TimeStamp]])*24</f>
        <v>1.6666666666666687</v>
      </c>
      <c r="U452" t="s">
        <v>4592</v>
      </c>
      <c r="V452" s="234" t="s">
        <v>255</v>
      </c>
      <c r="W452" s="50">
        <f>IFERROR(IF(N452="ROW",0,(WTG_BD[[#This Row],[Breakdown Time]]*WTG_BD[[#This Row],[Plant Equivalent Weightage]])),"")</f>
        <v>7.2463768115942129E-2</v>
      </c>
      <c r="X452" s="50"/>
      <c r="Y452" s="205">
        <v>1</v>
      </c>
      <c r="Z452" s="205"/>
      <c r="AA452" s="4">
        <v>29</v>
      </c>
    </row>
    <row r="453" spans="1:27">
      <c r="A453" s="10">
        <f t="shared" si="8"/>
        <v>452</v>
      </c>
      <c r="B453" s="43">
        <f>YEAR(WTG_BD[[#This Row],[Date]])+IF(MONTH(WTG_BD[[#This Row],[Date]])&gt;=4,1,0)</f>
        <v>2026</v>
      </c>
      <c r="C453" s="10">
        <v>2025</v>
      </c>
      <c r="D453" s="10" t="s">
        <v>4478</v>
      </c>
      <c r="E453" s="309">
        <f>WTG_BD[[#This Row],[Date]]-DAY(WTG_BD[[#This Row],[Date]])+1</f>
        <v>45778</v>
      </c>
      <c r="F453" s="32">
        <v>45797</v>
      </c>
      <c r="G453" t="s">
        <v>81</v>
      </c>
      <c r="H453" t="str">
        <f>IFERROR(VLOOKUP(WTG_BD[[#This Row],[Affected WTG]],'Basic Data'!$A$3:$E$25,2,0),"")</f>
        <v>O2R3</v>
      </c>
      <c r="I453" t="str">
        <f>IFERROR(VLOOKUP(WTG_BD[[#This Row],[Affected WTG]],'Basic Data'!$A$3:$E$25,3,0),"")</f>
        <v>JK</v>
      </c>
      <c r="J453" s="355">
        <f>IFERROR(VLOOKUP(WTG_BD[[#This Row],[Affected WTG]],'Basic Data'!$A$3:$E$25,5,0),"")</f>
        <v>4.3478260869565223E-2</v>
      </c>
      <c r="K453" s="10">
        <v>3298</v>
      </c>
      <c r="L453" t="str">
        <f>IFERROR(VLOOKUP(WTG_BD[[#This Row],[Error Code]],'Basic Data'!S:T,2,0),"Incorrect Error Code")</f>
        <v>Yaw To Cable Twist Reset</v>
      </c>
      <c r="M453" t="s">
        <v>301</v>
      </c>
      <c r="O453" s="168">
        <v>0.6791666666666667</v>
      </c>
      <c r="P453" s="168">
        <v>0.6791666666666667</v>
      </c>
      <c r="Q453" s="168">
        <v>0.69305555555555554</v>
      </c>
      <c r="R453" s="356">
        <f>(WTG_BD[[#This Row],[Work Start TimeStamp]]-WTG_BD[[#This Row],[Fault Start TimeStamp]])*24</f>
        <v>0</v>
      </c>
      <c r="S453" s="34">
        <f>(WTG_BD[[#This Row],[Fault Clearance time]]-WTG_BD[[#This Row],[Work Start TimeStamp]])*24</f>
        <v>0.33333333333333215</v>
      </c>
      <c r="T453" s="34">
        <f>(WTG_BD[[#This Row],[Fault Clearance time]]-WTG_BD[[#This Row],[Fault Start TimeStamp]])*24</f>
        <v>0.33333333333333215</v>
      </c>
      <c r="U453" t="s">
        <v>4593</v>
      </c>
      <c r="V453" s="234" t="s">
        <v>255</v>
      </c>
      <c r="W453" s="50">
        <f>IFERROR(IF(N453="ROW",0,(WTG_BD[[#This Row],[Breakdown Time]]*WTG_BD[[#This Row],[Plant Equivalent Weightage]])),"")</f>
        <v>1.4492753623188356E-2</v>
      </c>
      <c r="X453" s="50"/>
      <c r="Y453" s="205">
        <v>1</v>
      </c>
      <c r="Z453" s="205"/>
      <c r="AA453" s="4">
        <v>102</v>
      </c>
    </row>
    <row r="454" spans="1:27">
      <c r="A454" s="10">
        <f t="shared" si="8"/>
        <v>453</v>
      </c>
      <c r="B454" s="43">
        <f>YEAR(WTG_BD[[#This Row],[Date]])+IF(MONTH(WTG_BD[[#This Row],[Date]])&gt;=4,1,0)</f>
        <v>2026</v>
      </c>
      <c r="C454" s="10">
        <v>2025</v>
      </c>
      <c r="D454" s="10" t="s">
        <v>4478</v>
      </c>
      <c r="E454" s="309">
        <f>WTG_BD[[#This Row],[Date]]-DAY(WTG_BD[[#This Row],[Date]])+1</f>
        <v>45778</v>
      </c>
      <c r="F454" s="32">
        <v>45797</v>
      </c>
      <c r="G454" t="s">
        <v>82</v>
      </c>
      <c r="H454" t="str">
        <f>IFERROR(VLOOKUP(WTG_BD[[#This Row],[Affected WTG]],'Basic Data'!$A$3:$E$25,2,0),"")</f>
        <v>O2R3</v>
      </c>
      <c r="I454" t="str">
        <f>IFERROR(VLOOKUP(WTG_BD[[#This Row],[Affected WTG]],'Basic Data'!$A$3:$E$25,3,0),"")</f>
        <v>JK</v>
      </c>
      <c r="J454" s="355">
        <f>IFERROR(VLOOKUP(WTG_BD[[#This Row],[Affected WTG]],'Basic Data'!$A$3:$E$25,5,0),"")</f>
        <v>4.3478260869565223E-2</v>
      </c>
      <c r="K454" s="10">
        <v>3273</v>
      </c>
      <c r="L454" t="str">
        <f>IFERROR(VLOOKUP(WTG_BD[[#This Row],[Error Code]],'Basic Data'!S:T,2,0),"Incorrect Error Code")</f>
        <v>YawUntwistCCW: Code__,_______°</v>
      </c>
      <c r="M454" t="s">
        <v>1963</v>
      </c>
      <c r="N454" t="s">
        <v>113</v>
      </c>
      <c r="O454" s="168">
        <v>0.49236111111111114</v>
      </c>
      <c r="P454" s="168">
        <v>0.49236111111111114</v>
      </c>
      <c r="Q454" s="168">
        <v>0.51041666666666663</v>
      </c>
      <c r="R454" s="356">
        <f>(WTG_BD[[#This Row],[Work Start TimeStamp]]-WTG_BD[[#This Row],[Fault Start TimeStamp]])*24</f>
        <v>0</v>
      </c>
      <c r="S454" s="34">
        <f>(WTG_BD[[#This Row],[Fault Clearance time]]-WTG_BD[[#This Row],[Work Start TimeStamp]])*24</f>
        <v>0.43333333333333179</v>
      </c>
      <c r="T454" s="34">
        <f>(WTG_BD[[#This Row],[Fault Clearance time]]-WTG_BD[[#This Row],[Fault Start TimeStamp]])*24</f>
        <v>0.43333333333333179</v>
      </c>
      <c r="U454" t="s">
        <v>262</v>
      </c>
      <c r="V454" s="234" t="s">
        <v>255</v>
      </c>
      <c r="W454" s="50">
        <f>IFERROR(IF(N454="ROW",0,(WTG_BD[[#This Row],[Breakdown Time]]*WTG_BD[[#This Row],[Plant Equivalent Weightage]])),"")</f>
        <v>1.8840579710144863E-2</v>
      </c>
      <c r="X454" s="50"/>
      <c r="Y454" s="205">
        <v>1</v>
      </c>
      <c r="Z454" s="205"/>
      <c r="AA454" s="4">
        <v>52</v>
      </c>
    </row>
    <row r="455" spans="1:27">
      <c r="A455" s="10">
        <f t="shared" si="8"/>
        <v>454</v>
      </c>
      <c r="B455" s="43">
        <f>YEAR(WTG_BD[[#This Row],[Date]])+IF(MONTH(WTG_BD[[#This Row],[Date]])&gt;=4,1,0)</f>
        <v>2026</v>
      </c>
      <c r="C455" s="10">
        <v>2025</v>
      </c>
      <c r="D455" s="10" t="s">
        <v>4478</v>
      </c>
      <c r="E455" s="309">
        <f>WTG_BD[[#This Row],[Date]]-DAY(WTG_BD[[#This Row],[Date]])+1</f>
        <v>45778</v>
      </c>
      <c r="F455" s="32">
        <v>45797</v>
      </c>
      <c r="G455" t="s">
        <v>83</v>
      </c>
      <c r="H455" t="str">
        <f>IFERROR(VLOOKUP(WTG_BD[[#This Row],[Affected WTG]],'Basic Data'!$A$3:$E$25,2,0),"")</f>
        <v>O2R3</v>
      </c>
      <c r="I455" t="str">
        <f>IFERROR(VLOOKUP(WTG_BD[[#This Row],[Affected WTG]],'Basic Data'!$A$3:$E$25,3,0),"")</f>
        <v>JK</v>
      </c>
      <c r="J455" s="355">
        <f>IFERROR(VLOOKUP(WTG_BD[[#This Row],[Affected WTG]],'Basic Data'!$A$3:$E$25,5,0),"")</f>
        <v>4.3478260869565223E-2</v>
      </c>
      <c r="K455" s="10">
        <v>5197</v>
      </c>
      <c r="L455" t="str">
        <f>IFERROR(VLOOKUP(WTG_BD[[#This Row],[Error Code]],'Basic Data'!S:T,2,0),"Incorrect Error Code")</f>
        <v>Prop Valve C Status Fault</v>
      </c>
      <c r="M455" t="s">
        <v>307</v>
      </c>
      <c r="N455" t="s">
        <v>113</v>
      </c>
      <c r="O455" s="168">
        <v>6.9444444444444441E-3</v>
      </c>
      <c r="P455" s="168">
        <v>6.9444444444444441E-3</v>
      </c>
      <c r="Q455" s="168">
        <v>2.7083333333333334E-2</v>
      </c>
      <c r="R455" s="356">
        <f>(WTG_BD[[#This Row],[Work Start TimeStamp]]-WTG_BD[[#This Row],[Fault Start TimeStamp]])*24</f>
        <v>0</v>
      </c>
      <c r="S455" s="34">
        <f>(WTG_BD[[#This Row],[Fault Clearance time]]-WTG_BD[[#This Row],[Work Start TimeStamp]])*24</f>
        <v>0.48333333333333339</v>
      </c>
      <c r="T455" s="34">
        <f>(WTG_BD[[#This Row],[Fault Clearance time]]-WTG_BD[[#This Row],[Fault Start TimeStamp]])*24</f>
        <v>0.48333333333333339</v>
      </c>
      <c r="U455" t="s">
        <v>4268</v>
      </c>
      <c r="V455" s="234" t="s">
        <v>255</v>
      </c>
      <c r="W455" s="50">
        <f>IFERROR(IF(N455="ROW",0,(WTG_BD[[#This Row],[Breakdown Time]]*WTG_BD[[#This Row],[Plant Equivalent Weightage]])),"")</f>
        <v>2.1014492753623194E-2</v>
      </c>
      <c r="X455" s="50"/>
      <c r="Y455" s="205">
        <v>1</v>
      </c>
      <c r="Z455" s="205"/>
      <c r="AA455" s="4">
        <v>2</v>
      </c>
    </row>
    <row r="456" spans="1:27" ht="43.5">
      <c r="A456" s="10">
        <f t="shared" si="8"/>
        <v>455</v>
      </c>
      <c r="B456" s="43">
        <f>YEAR(WTG_BD[[#This Row],[Date]])+IF(MONTH(WTG_BD[[#This Row],[Date]])&gt;=4,1,0)</f>
        <v>2026</v>
      </c>
      <c r="C456" s="10">
        <v>2025</v>
      </c>
      <c r="D456" s="10" t="s">
        <v>4478</v>
      </c>
      <c r="E456" s="309">
        <f>WTG_BD[[#This Row],[Date]]-DAY(WTG_BD[[#This Row],[Date]])+1</f>
        <v>45778</v>
      </c>
      <c r="F456" s="32">
        <v>45797</v>
      </c>
      <c r="G456" t="s">
        <v>83</v>
      </c>
      <c r="H456" t="str">
        <f>IFERROR(VLOOKUP(WTG_BD[[#This Row],[Affected WTG]],'Basic Data'!$A$3:$E$25,2,0),"")</f>
        <v>O2R3</v>
      </c>
      <c r="I456" t="str">
        <f>IFERROR(VLOOKUP(WTG_BD[[#This Row],[Affected WTG]],'Basic Data'!$A$3:$E$25,3,0),"")</f>
        <v>JK</v>
      </c>
      <c r="J456" s="355">
        <f>IFERROR(VLOOKUP(WTG_BD[[#This Row],[Affected WTG]],'Basic Data'!$A$3:$E$25,5,0),"")</f>
        <v>4.3478260869565223E-2</v>
      </c>
      <c r="K456" s="10">
        <v>5197</v>
      </c>
      <c r="L456" t="str">
        <f>IFERROR(VLOOKUP(WTG_BD[[#This Row],[Error Code]],'Basic Data'!S:T,2,0),"Incorrect Error Code")</f>
        <v>Prop Valve C Status Fault</v>
      </c>
      <c r="M456" t="s">
        <v>307</v>
      </c>
      <c r="N456" t="s">
        <v>113</v>
      </c>
      <c r="O456" s="168">
        <v>0.3263888888888889</v>
      </c>
      <c r="P456" s="168">
        <v>0.3263888888888889</v>
      </c>
      <c r="Q456" s="168">
        <v>0.44722222222222224</v>
      </c>
      <c r="R456" s="356">
        <f>(WTG_BD[[#This Row],[Work Start TimeStamp]]-WTG_BD[[#This Row],[Fault Start TimeStamp]])*24</f>
        <v>0</v>
      </c>
      <c r="S456" s="34">
        <f>(WTG_BD[[#This Row],[Fault Clearance time]]-WTG_BD[[#This Row],[Work Start TimeStamp]])*24</f>
        <v>2.9000000000000004</v>
      </c>
      <c r="T456" s="34">
        <f>(WTG_BD[[#This Row],[Fault Clearance time]]-WTG_BD[[#This Row],[Fault Start TimeStamp]])*24</f>
        <v>2.9000000000000004</v>
      </c>
      <c r="U456" s="334" t="s">
        <v>4594</v>
      </c>
      <c r="V456" s="234" t="s">
        <v>255</v>
      </c>
      <c r="W456" s="50">
        <f>IFERROR(IF(N456="ROW",0,(WTG_BD[[#This Row],[Breakdown Time]]*WTG_BD[[#This Row],[Plant Equivalent Weightage]])),"")</f>
        <v>0.12608695652173915</v>
      </c>
      <c r="X456" s="50"/>
      <c r="Y456" s="205">
        <v>1</v>
      </c>
      <c r="Z456" s="205"/>
      <c r="AA456" s="4">
        <v>5</v>
      </c>
    </row>
    <row r="457" spans="1:27" ht="43.5">
      <c r="A457" s="10">
        <f t="shared" si="8"/>
        <v>456</v>
      </c>
      <c r="B457" s="43">
        <f>YEAR(WTG_BD[[#This Row],[Date]])+IF(MONTH(WTG_BD[[#This Row],[Date]])&gt;=4,1,0)</f>
        <v>2026</v>
      </c>
      <c r="C457" s="10">
        <v>2025</v>
      </c>
      <c r="D457" s="10" t="s">
        <v>4478</v>
      </c>
      <c r="E457" s="309">
        <f>WTG_BD[[#This Row],[Date]]-DAY(WTG_BD[[#This Row],[Date]])+1</f>
        <v>45778</v>
      </c>
      <c r="F457" s="32">
        <v>45797</v>
      </c>
      <c r="G457" t="s">
        <v>83</v>
      </c>
      <c r="H457" t="str">
        <f>IFERROR(VLOOKUP(WTG_BD[[#This Row],[Affected WTG]],'Basic Data'!$A$3:$E$25,2,0),"")</f>
        <v>O2R3</v>
      </c>
      <c r="I457" t="str">
        <f>IFERROR(VLOOKUP(WTG_BD[[#This Row],[Affected WTG]],'Basic Data'!$A$3:$E$25,3,0),"")</f>
        <v>JK</v>
      </c>
      <c r="J457" s="355">
        <f>IFERROR(VLOOKUP(WTG_BD[[#This Row],[Affected WTG]],'Basic Data'!$A$3:$E$25,5,0),"")</f>
        <v>4.3478260869565223E-2</v>
      </c>
      <c r="K457" s="10">
        <v>5197</v>
      </c>
      <c r="L457" t="str">
        <f>IFERROR(VLOOKUP(WTG_BD[[#This Row],[Error Code]],'Basic Data'!S:T,2,0),"Incorrect Error Code")</f>
        <v>Prop Valve C Status Fault</v>
      </c>
      <c r="M457" t="s">
        <v>307</v>
      </c>
      <c r="O457" s="168">
        <v>0.52777777777777779</v>
      </c>
      <c r="P457" s="168">
        <v>0.52777777777777779</v>
      </c>
      <c r="Q457" s="168">
        <v>0.57361111111111107</v>
      </c>
      <c r="R457" s="356">
        <f>(WTG_BD[[#This Row],[Work Start TimeStamp]]-WTG_BD[[#This Row],[Fault Start TimeStamp]])*24</f>
        <v>0</v>
      </c>
      <c r="S457" s="34">
        <f>(WTG_BD[[#This Row],[Fault Clearance time]]-WTG_BD[[#This Row],[Work Start TimeStamp]])*24</f>
        <v>1.0999999999999988</v>
      </c>
      <c r="T457" s="34">
        <f>(WTG_BD[[#This Row],[Fault Clearance time]]-WTG_BD[[#This Row],[Fault Start TimeStamp]])*24</f>
        <v>1.0999999999999988</v>
      </c>
      <c r="U457" s="334" t="s">
        <v>4594</v>
      </c>
      <c r="V457" s="234" t="s">
        <v>255</v>
      </c>
      <c r="W457" s="50">
        <f>IFERROR(IF(N457="ROW",0,(WTG_BD[[#This Row],[Breakdown Time]]*WTG_BD[[#This Row],[Plant Equivalent Weightage]])),"")</f>
        <v>4.7826086956521692E-2</v>
      </c>
      <c r="X457" s="50"/>
      <c r="Y457" s="205">
        <v>1</v>
      </c>
      <c r="Z457" s="205"/>
      <c r="AA457" s="4">
        <v>21</v>
      </c>
    </row>
    <row r="458" spans="1:27">
      <c r="A458" s="10">
        <f t="shared" si="8"/>
        <v>457</v>
      </c>
      <c r="B458" s="43">
        <f>YEAR(WTG_BD[[#This Row],[Date]])+IF(MONTH(WTG_BD[[#This Row],[Date]])&gt;=4,1,0)</f>
        <v>2026</v>
      </c>
      <c r="C458" s="10">
        <v>2025</v>
      </c>
      <c r="D458" s="10" t="s">
        <v>4478</v>
      </c>
      <c r="E458" s="309">
        <f>WTG_BD[[#This Row],[Date]]-DAY(WTG_BD[[#This Row],[Date]])+1</f>
        <v>45778</v>
      </c>
      <c r="F458" s="32">
        <v>45797</v>
      </c>
      <c r="G458" t="s">
        <v>87</v>
      </c>
      <c r="H458" t="str">
        <f>IFERROR(VLOOKUP(WTG_BD[[#This Row],[Affected WTG]],'Basic Data'!$A$3:$E$25,2,0),"")</f>
        <v>O2R1</v>
      </c>
      <c r="I458" t="str">
        <f>IFERROR(VLOOKUP(WTG_BD[[#This Row],[Affected WTG]],'Basic Data'!$A$3:$E$25,3,0),"")</f>
        <v>KSIPL</v>
      </c>
      <c r="J458" s="355">
        <f>IFERROR(VLOOKUP(WTG_BD[[#This Row],[Affected WTG]],'Basic Data'!$A$3:$E$25,5,0),"")</f>
        <v>4.3478260869565223E-2</v>
      </c>
      <c r="K458" s="10">
        <v>3273</v>
      </c>
      <c r="L458" t="str">
        <f>IFERROR(VLOOKUP(WTG_BD[[#This Row],[Error Code]],'Basic Data'!S:T,2,0),"Incorrect Error Code")</f>
        <v>YawUntwistCCW: Code__,_______°</v>
      </c>
      <c r="M458" t="s">
        <v>1963</v>
      </c>
      <c r="N458" t="s">
        <v>113</v>
      </c>
      <c r="O458" s="168">
        <v>0.52777777777777779</v>
      </c>
      <c r="P458" s="168">
        <v>0.52777777777777779</v>
      </c>
      <c r="Q458" s="168">
        <v>0.53472222222222221</v>
      </c>
      <c r="R458" s="356">
        <f>(WTG_BD[[#This Row],[Work Start TimeStamp]]-WTG_BD[[#This Row],[Fault Start TimeStamp]])*24</f>
        <v>0</v>
      </c>
      <c r="S458" s="34">
        <f>(WTG_BD[[#This Row],[Fault Clearance time]]-WTG_BD[[#This Row],[Work Start TimeStamp]])*24</f>
        <v>0.16666666666666607</v>
      </c>
      <c r="T458" s="34">
        <f>(WTG_BD[[#This Row],[Fault Clearance time]]-WTG_BD[[#This Row],[Fault Start TimeStamp]])*24</f>
        <v>0.16666666666666607</v>
      </c>
      <c r="U458" t="s">
        <v>262</v>
      </c>
      <c r="V458" s="234" t="s">
        <v>255</v>
      </c>
      <c r="W458" s="50">
        <f>IFERROR(IF(N458="ROW",0,(WTG_BD[[#This Row],[Breakdown Time]]*WTG_BD[[#This Row],[Plant Equivalent Weightage]])),"")</f>
        <v>7.2463768115941778E-3</v>
      </c>
      <c r="X458" s="50"/>
      <c r="Y458" s="205">
        <v>1</v>
      </c>
      <c r="Z458" s="205"/>
      <c r="AA458" s="4">
        <v>26</v>
      </c>
    </row>
    <row r="459" spans="1:27">
      <c r="A459" s="10">
        <f t="shared" si="8"/>
        <v>458</v>
      </c>
      <c r="B459" s="43">
        <f>YEAR(WTG_BD[[#This Row],[Date]])+IF(MONTH(WTG_BD[[#This Row],[Date]])&gt;=4,1,0)</f>
        <v>2026</v>
      </c>
      <c r="C459" s="10">
        <v>2025</v>
      </c>
      <c r="D459" s="10" t="s">
        <v>4478</v>
      </c>
      <c r="E459" s="309">
        <f>WTG_BD[[#This Row],[Date]]-DAY(WTG_BD[[#This Row],[Date]])+1</f>
        <v>45778</v>
      </c>
      <c r="F459" s="32">
        <v>45797</v>
      </c>
      <c r="G459" t="s">
        <v>88</v>
      </c>
      <c r="H459" t="str">
        <f>IFERROR(VLOOKUP(WTG_BD[[#This Row],[Affected WTG]],'Basic Data'!$A$3:$E$25,2,0),"")</f>
        <v>O2R1</v>
      </c>
      <c r="I459" t="str">
        <f>IFERROR(VLOOKUP(WTG_BD[[#This Row],[Affected WTG]],'Basic Data'!$A$3:$E$25,3,0),"")</f>
        <v>KSIPL</v>
      </c>
      <c r="J459" s="355">
        <f>IFERROR(VLOOKUP(WTG_BD[[#This Row],[Affected WTG]],'Basic Data'!$A$3:$E$25,5,0),"")</f>
        <v>4.3478260869565223E-2</v>
      </c>
      <c r="K459" s="10">
        <v>3298</v>
      </c>
      <c r="L459" t="str">
        <f>IFERROR(VLOOKUP(WTG_BD[[#This Row],[Error Code]],'Basic Data'!S:T,2,0),"Incorrect Error Code")</f>
        <v>Yaw To Cable Twist Reset</v>
      </c>
      <c r="M459" t="s">
        <v>301</v>
      </c>
      <c r="O459" s="168">
        <v>0.48055555555555557</v>
      </c>
      <c r="P459" s="168">
        <v>0.48055555555555557</v>
      </c>
      <c r="Q459" s="168">
        <v>0.49652777777777779</v>
      </c>
      <c r="R459" s="356">
        <f>(WTG_BD[[#This Row],[Work Start TimeStamp]]-WTG_BD[[#This Row],[Fault Start TimeStamp]])*24</f>
        <v>0</v>
      </c>
      <c r="S459" s="34">
        <f>(WTG_BD[[#This Row],[Fault Clearance time]]-WTG_BD[[#This Row],[Work Start TimeStamp]])*24</f>
        <v>0.3833333333333333</v>
      </c>
      <c r="T459" s="34">
        <f>(WTG_BD[[#This Row],[Fault Clearance time]]-WTG_BD[[#This Row],[Fault Start TimeStamp]])*24</f>
        <v>0.3833333333333333</v>
      </c>
      <c r="U459" t="s">
        <v>262</v>
      </c>
      <c r="V459" s="234" t="s">
        <v>255</v>
      </c>
      <c r="W459" s="50">
        <f>IFERROR(IF(N459="ROW",0,(WTG_BD[[#This Row],[Breakdown Time]]*WTG_BD[[#This Row],[Plant Equivalent Weightage]])),"")</f>
        <v>1.6666666666666666E-2</v>
      </c>
      <c r="X459" s="50"/>
      <c r="Y459" s="205">
        <v>1</v>
      </c>
      <c r="Z459" s="205"/>
      <c r="AA459" s="4">
        <v>71</v>
      </c>
    </row>
    <row r="460" spans="1:27">
      <c r="A460" s="10">
        <f t="shared" si="8"/>
        <v>459</v>
      </c>
      <c r="B460" s="43">
        <f>YEAR(WTG_BD[[#This Row],[Date]])+IF(MONTH(WTG_BD[[#This Row],[Date]])&gt;=4,1,0)</f>
        <v>2026</v>
      </c>
      <c r="C460" s="10">
        <v>2025</v>
      </c>
      <c r="D460" s="10" t="s">
        <v>4478</v>
      </c>
      <c r="E460" s="309">
        <f>WTG_BD[[#This Row],[Date]]-DAY(WTG_BD[[#This Row],[Date]])+1</f>
        <v>45778</v>
      </c>
      <c r="F460" s="32">
        <v>45797</v>
      </c>
      <c r="G460" t="s">
        <v>90</v>
      </c>
      <c r="H460" t="str">
        <f>IFERROR(VLOOKUP(WTG_BD[[#This Row],[Affected WTG]],'Basic Data'!$A$3:$E$25,2,0),"")</f>
        <v>O2R1</v>
      </c>
      <c r="I460" t="str">
        <f>IFERROR(VLOOKUP(WTG_BD[[#This Row],[Affected WTG]],'Basic Data'!$A$3:$E$25,3,0),"")</f>
        <v>KSIPL</v>
      </c>
      <c r="J460" s="355">
        <f>IFERROR(VLOOKUP(WTG_BD[[#This Row],[Affected WTG]],'Basic Data'!$A$3:$E$25,5,0),"")</f>
        <v>4.3478260869565223E-2</v>
      </c>
      <c r="K460" s="10">
        <v>3273</v>
      </c>
      <c r="L460" t="str">
        <f>IFERROR(VLOOKUP(WTG_BD[[#This Row],[Error Code]],'Basic Data'!S:T,2,0),"Incorrect Error Code")</f>
        <v>YawUntwistCCW: Code__,_______°</v>
      </c>
      <c r="M460" t="s">
        <v>1963</v>
      </c>
      <c r="N460" t="s">
        <v>113</v>
      </c>
      <c r="O460" s="168">
        <v>0.18888888888888888</v>
      </c>
      <c r="P460" s="168">
        <v>0.18888888888888888</v>
      </c>
      <c r="Q460" s="168">
        <v>0.20277777777777778</v>
      </c>
      <c r="R460" s="356">
        <f>(WTG_BD[[#This Row],[Work Start TimeStamp]]-WTG_BD[[#This Row],[Fault Start TimeStamp]])*24</f>
        <v>0</v>
      </c>
      <c r="S460" s="34">
        <f>(WTG_BD[[#This Row],[Fault Clearance time]]-WTG_BD[[#This Row],[Work Start TimeStamp]])*24</f>
        <v>0.33333333333333348</v>
      </c>
      <c r="T460" s="34">
        <f>(WTG_BD[[#This Row],[Fault Clearance time]]-WTG_BD[[#This Row],[Fault Start TimeStamp]])*24</f>
        <v>0.33333333333333348</v>
      </c>
      <c r="U460" t="s">
        <v>262</v>
      </c>
      <c r="V460" s="234" t="s">
        <v>255</v>
      </c>
      <c r="W460" s="50">
        <f>IFERROR(IF(N460="ROW",0,(WTG_BD[[#This Row],[Breakdown Time]]*WTG_BD[[#This Row],[Plant Equivalent Weightage]])),"")</f>
        <v>1.4492753623188415E-2</v>
      </c>
      <c r="X460" s="50"/>
      <c r="Y460" s="205">
        <v>1</v>
      </c>
      <c r="Z460" s="205"/>
      <c r="AA460" s="4">
        <v>2</v>
      </c>
    </row>
    <row r="461" spans="1:27">
      <c r="A461" s="10">
        <f t="shared" si="8"/>
        <v>460</v>
      </c>
      <c r="B461" s="43">
        <f>YEAR(WTG_BD[[#This Row],[Date]])+IF(MONTH(WTG_BD[[#This Row],[Date]])&gt;=4,1,0)</f>
        <v>2026</v>
      </c>
      <c r="C461" s="10">
        <v>2025</v>
      </c>
      <c r="D461" s="10" t="s">
        <v>4478</v>
      </c>
      <c r="E461" s="309">
        <f>WTG_BD[[#This Row],[Date]]-DAY(WTG_BD[[#This Row],[Date]])+1</f>
        <v>45778</v>
      </c>
      <c r="F461" s="32">
        <v>45797</v>
      </c>
      <c r="G461" t="s">
        <v>90</v>
      </c>
      <c r="H461" t="str">
        <f>IFERROR(VLOOKUP(WTG_BD[[#This Row],[Affected WTG]],'Basic Data'!$A$3:$E$25,2,0),"")</f>
        <v>O2R1</v>
      </c>
      <c r="I461" t="str">
        <f>IFERROR(VLOOKUP(WTG_BD[[#This Row],[Affected WTG]],'Basic Data'!$A$3:$E$25,3,0),"")</f>
        <v>KSIPL</v>
      </c>
      <c r="J461" s="355">
        <f>IFERROR(VLOOKUP(WTG_BD[[#This Row],[Affected WTG]],'Basic Data'!$A$3:$E$25,5,0),"")</f>
        <v>4.3478260869565223E-2</v>
      </c>
      <c r="K461" s="10">
        <v>3298</v>
      </c>
      <c r="L461" t="str">
        <f>IFERROR(VLOOKUP(WTG_BD[[#This Row],[Error Code]],'Basic Data'!S:T,2,0),"Incorrect Error Code")</f>
        <v>Yaw To Cable Twist Reset</v>
      </c>
      <c r="M461" t="s">
        <v>301</v>
      </c>
      <c r="O461" s="168">
        <v>0.52777777777777779</v>
      </c>
      <c r="P461" s="168">
        <v>0.52777777777777779</v>
      </c>
      <c r="Q461" s="168">
        <v>0.53541666666666665</v>
      </c>
      <c r="R461" s="356">
        <f>(WTG_BD[[#This Row],[Work Start TimeStamp]]-WTG_BD[[#This Row],[Fault Start TimeStamp]])*24</f>
        <v>0</v>
      </c>
      <c r="S461" s="34">
        <f>(WTG_BD[[#This Row],[Fault Clearance time]]-WTG_BD[[#This Row],[Work Start TimeStamp]])*24</f>
        <v>0.18333333333333268</v>
      </c>
      <c r="T461" s="34">
        <f>(WTG_BD[[#This Row],[Fault Clearance time]]-WTG_BD[[#This Row],[Fault Start TimeStamp]])*24</f>
        <v>0.18333333333333268</v>
      </c>
      <c r="U461" t="s">
        <v>262</v>
      </c>
      <c r="V461" s="234" t="s">
        <v>255</v>
      </c>
      <c r="W461" s="50">
        <f>IFERROR(IF(N461="ROW",0,(WTG_BD[[#This Row],[Breakdown Time]]*WTG_BD[[#This Row],[Plant Equivalent Weightage]])),"")</f>
        <v>7.9710144927535951E-3</v>
      </c>
      <c r="X461" s="50"/>
      <c r="Y461" s="205">
        <v>1</v>
      </c>
      <c r="Z461" s="205"/>
      <c r="AA461" s="4">
        <v>38</v>
      </c>
    </row>
    <row r="462" spans="1:27">
      <c r="A462" s="10">
        <f t="shared" si="8"/>
        <v>461</v>
      </c>
      <c r="B462" s="43">
        <f>YEAR(WTG_BD[[#This Row],[Date]])+IF(MONTH(WTG_BD[[#This Row],[Date]])&gt;=4,1,0)</f>
        <v>2026</v>
      </c>
      <c r="C462" s="10">
        <v>2025</v>
      </c>
      <c r="D462" s="10" t="s">
        <v>4478</v>
      </c>
      <c r="E462" s="309">
        <f>WTG_BD[[#This Row],[Date]]-DAY(WTG_BD[[#This Row],[Date]])+1</f>
        <v>45778</v>
      </c>
      <c r="F462" s="32">
        <v>45797</v>
      </c>
      <c r="G462" t="s">
        <v>95</v>
      </c>
      <c r="H462" t="str">
        <f>IFERROR(VLOOKUP(WTG_BD[[#This Row],[Affected WTG]],'Basic Data'!$A$3:$E$25,2,0),"")</f>
        <v>O2R1</v>
      </c>
      <c r="I462" t="str">
        <f>IFERROR(VLOOKUP(WTG_BD[[#This Row],[Affected WTG]],'Basic Data'!$A$3:$E$25,3,0),"")</f>
        <v>KSIPL</v>
      </c>
      <c r="J462" s="355">
        <f>IFERROR(VLOOKUP(WTG_BD[[#This Row],[Affected WTG]],'Basic Data'!$A$3:$E$25,5,0),"")</f>
        <v>4.3478260869565223E-2</v>
      </c>
      <c r="K462" s="10">
        <v>3273</v>
      </c>
      <c r="L462" t="str">
        <f>IFERROR(VLOOKUP(WTG_BD[[#This Row],[Error Code]],'Basic Data'!S:T,2,0),"Incorrect Error Code")</f>
        <v>YawUntwistCCW: Code__,_______°</v>
      </c>
      <c r="M462" t="s">
        <v>1963</v>
      </c>
      <c r="O462" s="168">
        <v>0.43333333333333335</v>
      </c>
      <c r="P462" s="168">
        <v>0.43333333333333335</v>
      </c>
      <c r="Q462" s="168">
        <v>0.4513888888888889</v>
      </c>
      <c r="R462" s="356">
        <f>(WTG_BD[[#This Row],[Work Start TimeStamp]]-WTG_BD[[#This Row],[Fault Start TimeStamp]])*24</f>
        <v>0</v>
      </c>
      <c r="S462" s="34">
        <f>(WTG_BD[[#This Row],[Fault Clearance time]]-WTG_BD[[#This Row],[Work Start TimeStamp]])*24</f>
        <v>0.43333333333333313</v>
      </c>
      <c r="T462" s="34">
        <f>(WTG_BD[[#This Row],[Fault Clearance time]]-WTG_BD[[#This Row],[Fault Start TimeStamp]])*24</f>
        <v>0.43333333333333313</v>
      </c>
      <c r="U462" t="s">
        <v>262</v>
      </c>
      <c r="V462" s="234" t="s">
        <v>255</v>
      </c>
      <c r="W462" s="50">
        <f>IFERROR(IF(N462="ROW",0,(WTG_BD[[#This Row],[Breakdown Time]]*WTG_BD[[#This Row],[Plant Equivalent Weightage]])),"")</f>
        <v>1.8840579710144922E-2</v>
      </c>
      <c r="X462" s="50"/>
      <c r="Y462" s="205">
        <v>1</v>
      </c>
      <c r="Z462" s="205"/>
      <c r="AA462" s="4">
        <v>303</v>
      </c>
    </row>
    <row r="463" spans="1:27">
      <c r="A463" s="10">
        <f t="shared" si="8"/>
        <v>462</v>
      </c>
      <c r="B463" s="43">
        <f>YEAR(WTG_BD[[#This Row],[Date]])+IF(MONTH(WTG_BD[[#This Row],[Date]])&gt;=4,1,0)</f>
        <v>2026</v>
      </c>
      <c r="C463" s="10">
        <v>2025</v>
      </c>
      <c r="D463" s="10" t="s">
        <v>4478</v>
      </c>
      <c r="E463" s="309">
        <f>WTG_BD[[#This Row],[Date]]-DAY(WTG_BD[[#This Row],[Date]])+1</f>
        <v>45778</v>
      </c>
      <c r="F463" s="32">
        <v>45797</v>
      </c>
      <c r="G463" t="s">
        <v>96</v>
      </c>
      <c r="H463" t="str">
        <f>IFERROR(VLOOKUP(WTG_BD[[#This Row],[Affected WTG]],'Basic Data'!$A$3:$E$25,2,0),"")</f>
        <v>O2R3</v>
      </c>
      <c r="I463" t="str">
        <f>IFERROR(VLOOKUP(WTG_BD[[#This Row],[Affected WTG]],'Basic Data'!$A$3:$E$25,3,0),"")</f>
        <v>JK</v>
      </c>
      <c r="J463" s="355">
        <f>IFERROR(VLOOKUP(WTG_BD[[#This Row],[Affected WTG]],'Basic Data'!$A$3:$E$25,5,0),"")</f>
        <v>4.3478260869565223E-2</v>
      </c>
      <c r="K463" s="10">
        <v>3273</v>
      </c>
      <c r="L463" t="str">
        <f>IFERROR(VLOOKUP(WTG_BD[[#This Row],[Error Code]],'Basic Data'!S:T,2,0),"Incorrect Error Code")</f>
        <v>YawUntwistCCW: Code__,_______°</v>
      </c>
      <c r="M463" t="s">
        <v>1963</v>
      </c>
      <c r="O463" s="168">
        <v>0.48819444444444443</v>
      </c>
      <c r="P463" s="168">
        <v>0.48819444444444443</v>
      </c>
      <c r="Q463" s="168">
        <v>0.49375000000000002</v>
      </c>
      <c r="R463" s="356">
        <f>(WTG_BD[[#This Row],[Work Start TimeStamp]]-WTG_BD[[#This Row],[Fault Start TimeStamp]])*24</f>
        <v>0</v>
      </c>
      <c r="S463" s="34">
        <f>(WTG_BD[[#This Row],[Fault Clearance time]]-WTG_BD[[#This Row],[Work Start TimeStamp]])*24</f>
        <v>0.13333333333333419</v>
      </c>
      <c r="T463" s="34">
        <f>(WTG_BD[[#This Row],[Fault Clearance time]]-WTG_BD[[#This Row],[Fault Start TimeStamp]])*24</f>
        <v>0.13333333333333419</v>
      </c>
      <c r="U463" t="s">
        <v>262</v>
      </c>
      <c r="V463" s="234" t="s">
        <v>255</v>
      </c>
      <c r="W463" s="50">
        <f>IFERROR(IF(N463="ROW",0,(WTG_BD[[#This Row],[Breakdown Time]]*WTG_BD[[#This Row],[Plant Equivalent Weightage]])),"")</f>
        <v>5.7971014492754006E-3</v>
      </c>
      <c r="X463" s="50"/>
      <c r="Y463" s="205">
        <v>1</v>
      </c>
      <c r="Z463" s="205"/>
      <c r="AA463" s="4">
        <v>4</v>
      </c>
    </row>
    <row r="464" spans="1:27">
      <c r="A464" s="10">
        <f t="shared" si="8"/>
        <v>463</v>
      </c>
      <c r="B464" s="43">
        <f>YEAR(WTG_BD[[#This Row],[Date]])+IF(MONTH(WTG_BD[[#This Row],[Date]])&gt;=4,1,0)</f>
        <v>2026</v>
      </c>
      <c r="C464" s="10">
        <v>2025</v>
      </c>
      <c r="D464" s="10" t="s">
        <v>4478</v>
      </c>
      <c r="E464" s="309">
        <f>WTG_BD[[#This Row],[Date]]-DAY(WTG_BD[[#This Row],[Date]])+1</f>
        <v>45778</v>
      </c>
      <c r="F464" s="32">
        <v>45798</v>
      </c>
      <c r="G464" t="s">
        <v>98</v>
      </c>
      <c r="H464" t="str">
        <f>IFERROR(VLOOKUP(WTG_BD[[#This Row],[Affected WTG]],'Basic Data'!$A$3:$E$25,2,0),"")</f>
        <v>O2R3</v>
      </c>
      <c r="I464" t="str">
        <f>IFERROR(VLOOKUP(WTG_BD[[#This Row],[Affected WTG]],'Basic Data'!$A$3:$E$25,3,0),"")</f>
        <v>JK</v>
      </c>
      <c r="J464" s="355">
        <f>IFERROR(VLOOKUP(WTG_BD[[#This Row],[Affected WTG]],'Basic Data'!$A$3:$E$25,5,0),"")</f>
        <v>4.3478260869565223E-2</v>
      </c>
      <c r="K464" s="10">
        <v>309</v>
      </c>
      <c r="L464" t="str">
        <f>IFERROR(VLOOKUP(WTG_BD[[#This Row],[Error Code]],'Basic Data'!S:T,2,0),"Incorrect Error Code")</f>
        <v>Pause over RCS __0</v>
      </c>
      <c r="M464" t="s">
        <v>871</v>
      </c>
      <c r="N464" t="s">
        <v>257</v>
      </c>
      <c r="O464" s="168">
        <v>0.44791666666666669</v>
      </c>
      <c r="P464" s="168">
        <v>0.44791666666666669</v>
      </c>
      <c r="Q464" s="168">
        <v>0.71319444444444446</v>
      </c>
      <c r="R464" s="356">
        <f>(WTG_BD[[#This Row],[Work Start TimeStamp]]-WTG_BD[[#This Row],[Fault Start TimeStamp]])*24</f>
        <v>0</v>
      </c>
      <c r="S464" s="34">
        <f>(WTG_BD[[#This Row],[Fault Clearance time]]-WTG_BD[[#This Row],[Work Start TimeStamp]])*24</f>
        <v>6.3666666666666671</v>
      </c>
      <c r="T464" s="34">
        <f>(WTG_BD[[#This Row],[Fault Clearance time]]-WTG_BD[[#This Row],[Fault Start TimeStamp]])*24</f>
        <v>6.3666666666666671</v>
      </c>
      <c r="U464" t="s">
        <v>4493</v>
      </c>
      <c r="V464" s="234" t="s">
        <v>255</v>
      </c>
      <c r="W464" s="50">
        <f>IFERROR(IF(N464="ROW",0,(WTG_BD[[#This Row],[Breakdown Time]]*WTG_BD[[#This Row],[Plant Equivalent Weightage]])),"")</f>
        <v>0.27681159420289858</v>
      </c>
      <c r="X464" s="50"/>
      <c r="Y464" s="205">
        <v>1</v>
      </c>
      <c r="Z464" s="205"/>
      <c r="AA464" s="4">
        <v>6349</v>
      </c>
    </row>
    <row r="465" spans="1:29">
      <c r="A465" s="10">
        <f t="shared" si="8"/>
        <v>464</v>
      </c>
      <c r="B465" s="43">
        <f>YEAR(WTG_BD[[#This Row],[Date]])+IF(MONTH(WTG_BD[[#This Row],[Date]])&gt;=4,1,0)</f>
        <v>2026</v>
      </c>
      <c r="C465" s="10">
        <v>2025</v>
      </c>
      <c r="D465" s="10" t="s">
        <v>4478</v>
      </c>
      <c r="E465" s="309">
        <f>WTG_BD[[#This Row],[Date]]-DAY(WTG_BD[[#This Row],[Date]])+1</f>
        <v>45778</v>
      </c>
      <c r="F465" s="32">
        <v>45800</v>
      </c>
      <c r="G465" t="s">
        <v>94</v>
      </c>
      <c r="H465" t="str">
        <f>IFERROR(VLOOKUP(WTG_BD[[#This Row],[Affected WTG]],'Basic Data'!$A$3:$E$25,2,0),"")</f>
        <v>O2R1</v>
      </c>
      <c r="I465" t="str">
        <f>IFERROR(VLOOKUP(WTG_BD[[#This Row],[Affected WTG]],'Basic Data'!$A$3:$E$25,3,0),"")</f>
        <v>KSIPL</v>
      </c>
      <c r="J465" s="355">
        <f>IFERROR(VLOOKUP(WTG_BD[[#This Row],[Affected WTG]],'Basic Data'!$A$3:$E$25,5,0),"")</f>
        <v>4.3478260869565223E-2</v>
      </c>
      <c r="K465" s="10">
        <v>309</v>
      </c>
      <c r="L465" t="str">
        <f>IFERROR(VLOOKUP(WTG_BD[[#This Row],[Error Code]],'Basic Data'!S:T,2,0),"Incorrect Error Code")</f>
        <v>Pause over RCS __0</v>
      </c>
      <c r="M465" t="s">
        <v>871</v>
      </c>
      <c r="N465" t="s">
        <v>257</v>
      </c>
      <c r="O465" s="168">
        <v>0.42708333333333331</v>
      </c>
      <c r="P465" s="168">
        <v>0.42708333333333331</v>
      </c>
      <c r="Q465" s="168">
        <v>0.46597222222222223</v>
      </c>
      <c r="R465" s="356">
        <f>(WTG_BD[[#This Row],[Work Start TimeStamp]]-WTG_BD[[#This Row],[Fault Start TimeStamp]])*24</f>
        <v>0</v>
      </c>
      <c r="S465" s="34">
        <f>(WTG_BD[[#This Row],[Fault Clearance time]]-WTG_BD[[#This Row],[Work Start TimeStamp]])*24</f>
        <v>0.93333333333333401</v>
      </c>
      <c r="T465" s="34">
        <f>(WTG_BD[[#This Row],[Fault Clearance time]]-WTG_BD[[#This Row],[Fault Start TimeStamp]])*24</f>
        <v>0.93333333333333401</v>
      </c>
      <c r="U465" t="s">
        <v>4494</v>
      </c>
      <c r="V465" s="234" t="s">
        <v>255</v>
      </c>
      <c r="W465" s="50">
        <f>IFERROR(IF(N465="ROW",0,(WTG_BD[[#This Row],[Breakdown Time]]*WTG_BD[[#This Row],[Plant Equivalent Weightage]])),"")</f>
        <v>4.0579710144927568E-2</v>
      </c>
      <c r="X465" s="50"/>
      <c r="Y465" s="205">
        <v>1</v>
      </c>
      <c r="Z465" s="205"/>
      <c r="AA465" s="343">
        <v>1495</v>
      </c>
      <c r="AB465" s="343"/>
      <c r="AC465" t="s">
        <v>4603</v>
      </c>
    </row>
    <row r="466" spans="1:29">
      <c r="A466" s="10">
        <f t="shared" si="8"/>
        <v>465</v>
      </c>
      <c r="B466" s="43">
        <f>YEAR(WTG_BD[[#This Row],[Date]])+IF(MONTH(WTG_BD[[#This Row],[Date]])&gt;=4,1,0)</f>
        <v>2026</v>
      </c>
      <c r="C466" s="10">
        <v>2025</v>
      </c>
      <c r="D466" s="10" t="s">
        <v>4478</v>
      </c>
      <c r="E466" s="309">
        <f>WTG_BD[[#This Row],[Date]]-DAY(WTG_BD[[#This Row],[Date]])+1</f>
        <v>45778</v>
      </c>
      <c r="F466" s="32">
        <v>45800</v>
      </c>
      <c r="G466" t="s">
        <v>94</v>
      </c>
      <c r="H466" t="str">
        <f>IFERROR(VLOOKUP(WTG_BD[[#This Row],[Affected WTG]],'Basic Data'!$A$3:$E$25,2,0),"")</f>
        <v>O2R1</v>
      </c>
      <c r="I466" t="str">
        <f>IFERROR(VLOOKUP(WTG_BD[[#This Row],[Affected WTG]],'Basic Data'!$A$3:$E$25,3,0),"")</f>
        <v>KSIPL</v>
      </c>
      <c r="J466" s="355">
        <f>IFERROR(VLOOKUP(WTG_BD[[#This Row],[Affected WTG]],'Basic Data'!$A$3:$E$25,5,0),"")</f>
        <v>4.3478260869565223E-2</v>
      </c>
      <c r="K466" s="10">
        <v>309</v>
      </c>
      <c r="L466" t="str">
        <f>IFERROR(VLOOKUP(WTG_BD[[#This Row],[Error Code]],'Basic Data'!S:T,2,0),"Incorrect Error Code")</f>
        <v>Pause over RCS __0</v>
      </c>
      <c r="M466" t="s">
        <v>871</v>
      </c>
      <c r="N466" t="s">
        <v>257</v>
      </c>
      <c r="O466" s="168">
        <v>0.58333333333333337</v>
      </c>
      <c r="P466" s="168">
        <v>0.58333333333333337</v>
      </c>
      <c r="Q466" s="168">
        <v>0.68402777777777779</v>
      </c>
      <c r="R466" s="356">
        <f>(WTG_BD[[#This Row],[Work Start TimeStamp]]-WTG_BD[[#This Row],[Fault Start TimeStamp]])*24</f>
        <v>0</v>
      </c>
      <c r="S466" s="34">
        <f>(WTG_BD[[#This Row],[Fault Clearance time]]-WTG_BD[[#This Row],[Work Start TimeStamp]])*24</f>
        <v>2.4166666666666661</v>
      </c>
      <c r="T466" s="34">
        <f>(WTG_BD[[#This Row],[Fault Clearance time]]-WTG_BD[[#This Row],[Fault Start TimeStamp]])*24</f>
        <v>2.4166666666666661</v>
      </c>
      <c r="U466" t="s">
        <v>4494</v>
      </c>
      <c r="V466" s="234" t="s">
        <v>255</v>
      </c>
      <c r="W466" s="50">
        <f>IFERROR(IF(N466="ROW",0,(WTG_BD[[#This Row],[Breakdown Time]]*WTG_BD[[#This Row],[Plant Equivalent Weightage]])),"")</f>
        <v>0.10507246376811594</v>
      </c>
      <c r="X466" s="50"/>
      <c r="Y466" s="205">
        <v>1</v>
      </c>
      <c r="Z466" s="205"/>
      <c r="AA466" s="343">
        <v>4416</v>
      </c>
      <c r="AB466" s="343"/>
      <c r="AC466" t="s">
        <v>4603</v>
      </c>
    </row>
    <row r="467" spans="1:29">
      <c r="A467" s="10">
        <f t="shared" si="8"/>
        <v>466</v>
      </c>
      <c r="B467" s="43">
        <f>YEAR(WTG_BD[[#This Row],[Date]])+IF(MONTH(WTG_BD[[#This Row],[Date]])&gt;=4,1,0)</f>
        <v>2026</v>
      </c>
      <c r="C467" s="10">
        <v>2025</v>
      </c>
      <c r="D467" s="10" t="s">
        <v>4478</v>
      </c>
      <c r="E467" s="309">
        <f>WTG_BD[[#This Row],[Date]]-DAY(WTG_BD[[#This Row],[Date]])+1</f>
        <v>45778</v>
      </c>
      <c r="F467" s="32">
        <v>45803</v>
      </c>
      <c r="G467" t="s">
        <v>76</v>
      </c>
      <c r="H467" t="str">
        <f>IFERROR(VLOOKUP(WTG_BD[[#This Row],[Affected WTG]],'Basic Data'!$A$3:$E$25,2,0),"")</f>
        <v>O2R1</v>
      </c>
      <c r="I467" t="str">
        <f>IFERROR(VLOOKUP(WTG_BD[[#This Row],[Affected WTG]],'Basic Data'!$A$3:$E$25,3,0),"")</f>
        <v>KSIPL</v>
      </c>
      <c r="J467" s="355">
        <f>IFERROR(VLOOKUP(WTG_BD[[#This Row],[Affected WTG]],'Basic Data'!$A$3:$E$25,5,0),"")</f>
        <v>4.3478260869565223E-2</v>
      </c>
      <c r="K467" s="10">
        <v>450</v>
      </c>
      <c r="L467" t="str">
        <f>IFERROR(VLOOKUP(WTG_BD[[#This Row],[Error Code]],'Basic Data'!S:T,2,0),"Incorrect Error Code")</f>
        <v>Ext. High I sum Grd inv.</v>
      </c>
      <c r="M467" t="s">
        <v>368</v>
      </c>
      <c r="N467" t="s">
        <v>113</v>
      </c>
      <c r="O467" s="168">
        <v>0.58611111111111114</v>
      </c>
      <c r="P467" s="168">
        <v>0.58611111111111114</v>
      </c>
      <c r="Q467" s="168">
        <v>0.59166666666666667</v>
      </c>
      <c r="R467" s="356">
        <f>(WTG_BD[[#This Row],[Work Start TimeStamp]]-WTG_BD[[#This Row],[Fault Start TimeStamp]])*24</f>
        <v>0</v>
      </c>
      <c r="S467" s="34">
        <f>(WTG_BD[[#This Row],[Fault Clearance time]]-WTG_BD[[#This Row],[Work Start TimeStamp]])*24</f>
        <v>0.13333333333333286</v>
      </c>
      <c r="T467" s="34">
        <f>(WTG_BD[[#This Row],[Fault Clearance time]]-WTG_BD[[#This Row],[Fault Start TimeStamp]])*24</f>
        <v>0.13333333333333286</v>
      </c>
      <c r="U467" t="s">
        <v>262</v>
      </c>
      <c r="V467" s="234" t="s">
        <v>255</v>
      </c>
      <c r="W467" s="50">
        <f>IFERROR(IF(N467="ROW",0,(WTG_BD[[#This Row],[Breakdown Time]]*WTG_BD[[#This Row],[Plant Equivalent Weightage]])),"")</f>
        <v>5.7971014492753424E-3</v>
      </c>
      <c r="X467" s="50"/>
      <c r="Y467" s="205">
        <v>1</v>
      </c>
      <c r="Z467" s="205"/>
      <c r="AA467" s="4">
        <v>1.9510000000000001</v>
      </c>
    </row>
    <row r="468" spans="1:29">
      <c r="A468" s="10">
        <f t="shared" si="8"/>
        <v>467</v>
      </c>
      <c r="B468" s="43">
        <f>YEAR(WTG_BD[[#This Row],[Date]])+IF(MONTH(WTG_BD[[#This Row],[Date]])&gt;=4,1,0)</f>
        <v>2026</v>
      </c>
      <c r="C468" s="10">
        <v>2025</v>
      </c>
      <c r="D468" s="10" t="s">
        <v>4478</v>
      </c>
      <c r="E468" s="309">
        <f>WTG_BD[[#This Row],[Date]]-DAY(WTG_BD[[#This Row],[Date]])+1</f>
        <v>45778</v>
      </c>
      <c r="F468" s="32">
        <v>45803</v>
      </c>
      <c r="G468" t="s">
        <v>86</v>
      </c>
      <c r="H468" t="str">
        <f>IFERROR(VLOOKUP(WTG_BD[[#This Row],[Affected WTG]],'Basic Data'!$A$3:$E$25,2,0),"")</f>
        <v>O2R1</v>
      </c>
      <c r="I468" t="str">
        <f>IFERROR(VLOOKUP(WTG_BD[[#This Row],[Affected WTG]],'Basic Data'!$A$3:$E$25,3,0),"")</f>
        <v>KSIPL</v>
      </c>
      <c r="J468" s="355">
        <f>IFERROR(VLOOKUP(WTG_BD[[#This Row],[Affected WTG]],'Basic Data'!$A$3:$E$25,5,0),"")</f>
        <v>4.3478260869565223E-2</v>
      </c>
      <c r="K468" s="10">
        <v>450</v>
      </c>
      <c r="L468" t="str">
        <f>IFERROR(VLOOKUP(WTG_BD[[#This Row],[Error Code]],'Basic Data'!S:T,2,0),"Incorrect Error Code")</f>
        <v>Ext. High I sum Grd inv.</v>
      </c>
      <c r="M468" t="s">
        <v>368</v>
      </c>
      <c r="N468" t="s">
        <v>113</v>
      </c>
      <c r="O468" s="168">
        <v>0.45</v>
      </c>
      <c r="P468" s="168">
        <v>0.45</v>
      </c>
      <c r="Q468" s="168">
        <v>0.45555555555555555</v>
      </c>
      <c r="R468" s="356">
        <f>(WTG_BD[[#This Row],[Work Start TimeStamp]]-WTG_BD[[#This Row],[Fault Start TimeStamp]])*24</f>
        <v>0</v>
      </c>
      <c r="S468" s="34">
        <f>(WTG_BD[[#This Row],[Fault Clearance time]]-WTG_BD[[#This Row],[Work Start TimeStamp]])*24</f>
        <v>0.13333333333333286</v>
      </c>
      <c r="T468" s="34">
        <f>(WTG_BD[[#This Row],[Fault Clearance time]]-WTG_BD[[#This Row],[Fault Start TimeStamp]])*24</f>
        <v>0.13333333333333286</v>
      </c>
      <c r="U468" t="s">
        <v>262</v>
      </c>
      <c r="V468" s="234" t="s">
        <v>255</v>
      </c>
      <c r="W468" s="50">
        <f>IFERROR(IF(N468="ROW",0,(WTG_BD[[#This Row],[Breakdown Time]]*WTG_BD[[#This Row],[Plant Equivalent Weightage]])),"")</f>
        <v>5.7971014492753424E-3</v>
      </c>
      <c r="X468" s="50"/>
      <c r="Y468" s="205">
        <v>1</v>
      </c>
      <c r="Z468" s="205"/>
      <c r="AA468" s="4">
        <v>2.851</v>
      </c>
    </row>
    <row r="469" spans="1:29">
      <c r="A469" s="10">
        <f t="shared" si="8"/>
        <v>468</v>
      </c>
      <c r="B469" s="43">
        <f>YEAR(WTG_BD[[#This Row],[Date]])+IF(MONTH(WTG_BD[[#This Row],[Date]])&gt;=4,1,0)</f>
        <v>2026</v>
      </c>
      <c r="C469" s="10">
        <v>2025</v>
      </c>
      <c r="D469" s="10" t="s">
        <v>4478</v>
      </c>
      <c r="E469" s="309">
        <f>WTG_BD[[#This Row],[Date]]-DAY(WTG_BD[[#This Row],[Date]])+1</f>
        <v>45778</v>
      </c>
      <c r="F469" s="32">
        <v>45804</v>
      </c>
      <c r="G469" t="s">
        <v>79</v>
      </c>
      <c r="H469" t="str">
        <f>IFERROR(VLOOKUP(WTG_BD[[#This Row],[Affected WTG]],'Basic Data'!$A$3:$E$25,2,0),"")</f>
        <v>O2R3</v>
      </c>
      <c r="I469" t="str">
        <f>IFERROR(VLOOKUP(WTG_BD[[#This Row],[Affected WTG]],'Basic Data'!$A$3:$E$25,3,0),"")</f>
        <v>JK</v>
      </c>
      <c r="J469" s="355">
        <f>IFERROR(VLOOKUP(WTG_BD[[#This Row],[Affected WTG]],'Basic Data'!$A$3:$E$25,5,0),"")</f>
        <v>4.3478260869565223E-2</v>
      </c>
      <c r="K469" s="10">
        <v>5470</v>
      </c>
      <c r="L469" t="str">
        <f>IFERROR(VLOOKUP(WTG_BD[[#This Row],[Error Code]],'Basic Data'!S:T,2,0),"Incorrect Error Code")</f>
        <v>GeneratorBreakerFBResponse</v>
      </c>
      <c r="M469" t="s">
        <v>291</v>
      </c>
      <c r="N469" t="s">
        <v>113</v>
      </c>
      <c r="O469" s="168">
        <v>0.93958333333333333</v>
      </c>
      <c r="P469" s="168">
        <v>0.93958333333333333</v>
      </c>
      <c r="Q469" s="168">
        <v>0.98611111111111116</v>
      </c>
      <c r="R469" s="356">
        <f>(WTG_BD[[#This Row],[Work Start TimeStamp]]-WTG_BD[[#This Row],[Fault Start TimeStamp]])*24</f>
        <v>0</v>
      </c>
      <c r="S469" s="34">
        <f>(WTG_BD[[#This Row],[Fault Clearance time]]-WTG_BD[[#This Row],[Work Start TimeStamp]])*24</f>
        <v>1.116666666666668</v>
      </c>
      <c r="T469" s="34">
        <f>(WTG_BD[[#This Row],[Fault Clearance time]]-WTG_BD[[#This Row],[Fault Start TimeStamp]])*24</f>
        <v>1.116666666666668</v>
      </c>
      <c r="U469" t="s">
        <v>4591</v>
      </c>
      <c r="V469" s="234" t="s">
        <v>255</v>
      </c>
      <c r="W469" s="50">
        <f>IFERROR(IF(N469="ROW",0,(WTG_BD[[#This Row],[Breakdown Time]]*WTG_BD[[#This Row],[Plant Equivalent Weightage]])),"")</f>
        <v>4.8550724637681224E-2</v>
      </c>
      <c r="X469" s="50"/>
      <c r="Y469" s="205">
        <v>1</v>
      </c>
      <c r="Z469" s="205"/>
      <c r="AA469" s="4">
        <v>6.6589999999999998</v>
      </c>
    </row>
    <row r="470" spans="1:29">
      <c r="A470" s="10">
        <f t="shared" si="8"/>
        <v>469</v>
      </c>
      <c r="B470" s="43">
        <f>YEAR(WTG_BD[[#This Row],[Date]])+IF(MONTH(WTG_BD[[#This Row],[Date]])&gt;=4,1,0)</f>
        <v>2026</v>
      </c>
      <c r="C470" s="10">
        <v>2025</v>
      </c>
      <c r="D470" s="10" t="s">
        <v>4478</v>
      </c>
      <c r="E470" s="309">
        <f>WTG_BD[[#This Row],[Date]]-DAY(WTG_BD[[#This Row],[Date]])+1</f>
        <v>45778</v>
      </c>
      <c r="F470" s="32">
        <v>45804</v>
      </c>
      <c r="G470" t="s">
        <v>91</v>
      </c>
      <c r="H470" t="str">
        <f>IFERROR(VLOOKUP(WTG_BD[[#This Row],[Affected WTG]],'Basic Data'!$A$3:$E$25,2,0),"")</f>
        <v>O2R2</v>
      </c>
      <c r="I470" t="str">
        <f>IFERROR(VLOOKUP(WTG_BD[[#This Row],[Affected WTG]],'Basic Data'!$A$3:$E$25,3,0),"")</f>
        <v>SIL</v>
      </c>
      <c r="J470" s="355">
        <f>IFERROR(VLOOKUP(WTG_BD[[#This Row],[Affected WTG]],'Basic Data'!$A$3:$E$25,5,0),"")</f>
        <v>4.3478260869565223E-2</v>
      </c>
      <c r="K470" s="10">
        <v>315</v>
      </c>
      <c r="L470" t="str">
        <f>IFERROR(VLOOKUP(WTG_BD[[#This Row],[Error Code]],'Basic Data'!S:T,2,0),"Incorrect Error Code")</f>
        <v>ExEx low voltage L_: ___V</v>
      </c>
      <c r="M470" t="s">
        <v>4604</v>
      </c>
      <c r="N470" t="s">
        <v>113</v>
      </c>
      <c r="O470" s="168">
        <v>0.93958333333333333</v>
      </c>
      <c r="P470" s="168">
        <v>0.93958333333333333</v>
      </c>
      <c r="Q470" s="168">
        <v>0.98958333333333337</v>
      </c>
      <c r="R470" s="356">
        <f>(WTG_BD[[#This Row],[Work Start TimeStamp]]-WTG_BD[[#This Row],[Fault Start TimeStamp]])*24</f>
        <v>0</v>
      </c>
      <c r="S470" s="34">
        <f>(WTG_BD[[#This Row],[Fault Clearance time]]-WTG_BD[[#This Row],[Work Start TimeStamp]])*24</f>
        <v>1.2000000000000011</v>
      </c>
      <c r="T470" s="34">
        <f>(WTG_BD[[#This Row],[Fault Clearance time]]-WTG_BD[[#This Row],[Fault Start TimeStamp]])*24</f>
        <v>1.2000000000000011</v>
      </c>
      <c r="U470" t="s">
        <v>4328</v>
      </c>
      <c r="V470" s="234" t="s">
        <v>255</v>
      </c>
      <c r="W470" s="50">
        <f>IFERROR(IF(N470="ROW",0,(WTG_BD[[#This Row],[Breakdown Time]]*WTG_BD[[#This Row],[Plant Equivalent Weightage]])),"")</f>
        <v>5.2173913043478314E-2</v>
      </c>
      <c r="X470" s="50"/>
      <c r="Y470" s="205">
        <v>1</v>
      </c>
      <c r="Z470" s="205"/>
      <c r="AA470" s="4">
        <v>6.569</v>
      </c>
    </row>
    <row r="471" spans="1:29">
      <c r="A471" s="10">
        <f t="shared" si="8"/>
        <v>470</v>
      </c>
      <c r="B471" s="43">
        <f>YEAR(WTG_BD[[#This Row],[Date]])+IF(MONTH(WTG_BD[[#This Row],[Date]])&gt;=4,1,0)</f>
        <v>2026</v>
      </c>
      <c r="C471" s="10">
        <v>2025</v>
      </c>
      <c r="D471" s="10" t="s">
        <v>4478</v>
      </c>
      <c r="E471" s="309">
        <f>WTG_BD[[#This Row],[Date]]-DAY(WTG_BD[[#This Row],[Date]])+1</f>
        <v>45778</v>
      </c>
      <c r="F471" s="32">
        <v>45805</v>
      </c>
      <c r="G471" t="s">
        <v>81</v>
      </c>
      <c r="H471" t="str">
        <f>IFERROR(VLOOKUP(WTG_BD[[#This Row],[Affected WTG]],'Basic Data'!$A$3:$E$25,2,0),"")</f>
        <v>O2R3</v>
      </c>
      <c r="I471" t="str">
        <f>IFERROR(VLOOKUP(WTG_BD[[#This Row],[Affected WTG]],'Basic Data'!$A$3:$E$25,3,0),"")</f>
        <v>JK</v>
      </c>
      <c r="J471" s="355">
        <f>IFERROR(VLOOKUP(WTG_BD[[#This Row],[Affected WTG]],'Basic Data'!$A$3:$E$25,5,0),"")</f>
        <v>4.3478260869565223E-2</v>
      </c>
      <c r="K471" s="10">
        <v>900</v>
      </c>
      <c r="L471" t="str">
        <f>IFERROR(VLOOKUP(WTG_BD[[#This Row],[Error Code]],'Basic Data'!S:T,2,0),"Incorrect Error Code")</f>
        <v>Pause pressed on keyboard</v>
      </c>
      <c r="M471" t="s">
        <v>137</v>
      </c>
      <c r="N471" t="s">
        <v>113</v>
      </c>
      <c r="O471" s="168">
        <v>0.6875</v>
      </c>
      <c r="P471" s="168">
        <v>0.6875</v>
      </c>
      <c r="Q471" s="168">
        <v>0.73750000000000004</v>
      </c>
      <c r="R471" s="356">
        <f>(WTG_BD[[#This Row],[Work Start TimeStamp]]-WTG_BD[[#This Row],[Fault Start TimeStamp]])*24</f>
        <v>0</v>
      </c>
      <c r="S471" s="34">
        <f>(WTG_BD[[#This Row],[Fault Clearance time]]-WTG_BD[[#This Row],[Work Start TimeStamp]])*24</f>
        <v>1.2000000000000011</v>
      </c>
      <c r="T471" s="34">
        <f>(WTG_BD[[#This Row],[Fault Clearance time]]-WTG_BD[[#This Row],[Fault Start TimeStamp]])*24</f>
        <v>1.2000000000000011</v>
      </c>
      <c r="U471" t="s">
        <v>4605</v>
      </c>
      <c r="V471" s="234" t="s">
        <v>255</v>
      </c>
      <c r="W471" s="50">
        <f>IFERROR(IF(N471="ROW",0,(WTG_BD[[#This Row],[Breakdown Time]]*WTG_BD[[#This Row],[Plant Equivalent Weightage]])),"")</f>
        <v>5.2173913043478314E-2</v>
      </c>
      <c r="X471" s="50"/>
      <c r="Y471" s="205">
        <v>1</v>
      </c>
      <c r="Z471" s="205"/>
      <c r="AA471" s="4">
        <v>815.2</v>
      </c>
    </row>
    <row r="472" spans="1:29">
      <c r="A472" s="10">
        <f t="shared" si="8"/>
        <v>471</v>
      </c>
      <c r="B472" s="43">
        <f>YEAR(WTG_BD[[#This Row],[Date]])+IF(MONTH(WTG_BD[[#This Row],[Date]])&gt;=4,1,0)</f>
        <v>2026</v>
      </c>
      <c r="C472" s="10">
        <v>2025</v>
      </c>
      <c r="D472" s="10" t="s">
        <v>4478</v>
      </c>
      <c r="E472" s="309">
        <f>WTG_BD[[#This Row],[Date]]-DAY(WTG_BD[[#This Row],[Date]])+1</f>
        <v>45778</v>
      </c>
      <c r="F472" s="32">
        <v>45805</v>
      </c>
      <c r="G472" t="s">
        <v>84</v>
      </c>
      <c r="H472" t="str">
        <f>IFERROR(VLOOKUP(WTG_BD[[#This Row],[Affected WTG]],'Basic Data'!$A$3:$E$25,2,0),"")</f>
        <v>O2R3</v>
      </c>
      <c r="I472" t="str">
        <f>IFERROR(VLOOKUP(WTG_BD[[#This Row],[Affected WTG]],'Basic Data'!$A$3:$E$25,3,0),"")</f>
        <v>JK</v>
      </c>
      <c r="J472" s="355">
        <f>IFERROR(VLOOKUP(WTG_BD[[#This Row],[Affected WTG]],'Basic Data'!$A$3:$E$25,5,0),"")</f>
        <v>4.3478260869565223E-2</v>
      </c>
      <c r="K472" s="10">
        <v>5470</v>
      </c>
      <c r="L472" t="str">
        <f>IFERROR(VLOOKUP(WTG_BD[[#This Row],[Error Code]],'Basic Data'!S:T,2,0),"Incorrect Error Code")</f>
        <v>GeneratorBreakerFBResponse</v>
      </c>
      <c r="M472" t="s">
        <v>291</v>
      </c>
      <c r="N472" t="s">
        <v>107</v>
      </c>
      <c r="O472" s="168">
        <v>0.49930555555555556</v>
      </c>
      <c r="P472" s="168">
        <v>0.49930555555555556</v>
      </c>
      <c r="Q472" s="168">
        <v>0.54861111111111116</v>
      </c>
      <c r="R472" s="356">
        <f>(WTG_BD[[#This Row],[Work Start TimeStamp]]-WTG_BD[[#This Row],[Fault Start TimeStamp]])*24</f>
        <v>0</v>
      </c>
      <c r="S472" s="34">
        <f>(WTG_BD[[#This Row],[Fault Clearance time]]-WTG_BD[[#This Row],[Work Start TimeStamp]])*24</f>
        <v>1.1833333333333345</v>
      </c>
      <c r="T472" s="34">
        <f>(WTG_BD[[#This Row],[Fault Clearance time]]-WTG_BD[[#This Row],[Fault Start TimeStamp]])*24</f>
        <v>1.1833333333333345</v>
      </c>
      <c r="U472" t="s">
        <v>4606</v>
      </c>
      <c r="V472" s="234" t="s">
        <v>255</v>
      </c>
      <c r="W472" s="50">
        <f>IFERROR(IF(N472="ROW",0,(WTG_BD[[#This Row],[Breakdown Time]]*WTG_BD[[#This Row],[Plant Equivalent Weightage]])),"")</f>
        <v>0</v>
      </c>
      <c r="X472" s="50"/>
      <c r="Y472" s="205">
        <v>1</v>
      </c>
      <c r="Z472" s="205"/>
      <c r="AA472" s="4">
        <v>6412.3</v>
      </c>
    </row>
    <row r="473" spans="1:29">
      <c r="A473" s="10">
        <f t="shared" si="8"/>
        <v>472</v>
      </c>
      <c r="B473" s="43">
        <f>YEAR(WTG_BD[[#This Row],[Date]])+IF(MONTH(WTG_BD[[#This Row],[Date]])&gt;=4,1,0)</f>
        <v>2026</v>
      </c>
      <c r="C473" s="10">
        <v>2025</v>
      </c>
      <c r="D473" s="10" t="s">
        <v>4478</v>
      </c>
      <c r="E473" s="309">
        <f>WTG_BD[[#This Row],[Date]]-DAY(WTG_BD[[#This Row],[Date]])+1</f>
        <v>45778</v>
      </c>
      <c r="F473" s="32">
        <v>45805</v>
      </c>
      <c r="G473" t="s">
        <v>84</v>
      </c>
      <c r="H473" t="str">
        <f>IFERROR(VLOOKUP(WTG_BD[[#This Row],[Affected WTG]],'Basic Data'!$A$3:$E$25,2,0),"")</f>
        <v>O2R3</v>
      </c>
      <c r="I473" t="str">
        <f>IFERROR(VLOOKUP(WTG_BD[[#This Row],[Affected WTG]],'Basic Data'!$A$3:$E$25,3,0),"")</f>
        <v>JK</v>
      </c>
      <c r="J473" s="355">
        <f>IFERROR(VLOOKUP(WTG_BD[[#This Row],[Affected WTG]],'Basic Data'!$A$3:$E$25,5,0),"")</f>
        <v>4.3478260869565223E-2</v>
      </c>
      <c r="K473" s="10">
        <v>5470</v>
      </c>
      <c r="L473" t="str">
        <f>IFERROR(VLOOKUP(WTG_BD[[#This Row],[Error Code]],'Basic Data'!S:T,2,0),"Incorrect Error Code")</f>
        <v>GeneratorBreakerFBResponse</v>
      </c>
      <c r="M473" t="s">
        <v>291</v>
      </c>
      <c r="N473" t="s">
        <v>113</v>
      </c>
      <c r="O473" s="168">
        <v>0.54861111111111116</v>
      </c>
      <c r="P473" s="168">
        <v>0.54861111111111116</v>
      </c>
      <c r="Q473" s="168">
        <v>0.59027777777777779</v>
      </c>
      <c r="R473" s="356">
        <f>(WTG_BD[[#This Row],[Work Start TimeStamp]]-WTG_BD[[#This Row],[Fault Start TimeStamp]])*24</f>
        <v>0</v>
      </c>
      <c r="S473" s="34">
        <f>(WTG_BD[[#This Row],[Fault Clearance time]]-WTG_BD[[#This Row],[Work Start TimeStamp]])*24</f>
        <v>0.99999999999999911</v>
      </c>
      <c r="T473" s="34">
        <f>(WTG_BD[[#This Row],[Fault Clearance time]]-WTG_BD[[#This Row],[Fault Start TimeStamp]])*24</f>
        <v>0.99999999999999911</v>
      </c>
      <c r="U473" t="s">
        <v>4607</v>
      </c>
      <c r="V473" s="234" t="s">
        <v>255</v>
      </c>
      <c r="W473" s="50">
        <f>IFERROR(IF(N473="ROW",0,(WTG_BD[[#This Row],[Breakdown Time]]*WTG_BD[[#This Row],[Plant Equivalent Weightage]])),"")</f>
        <v>4.3478260869565181E-2</v>
      </c>
      <c r="X473" s="50"/>
      <c r="Y473" s="205">
        <v>1</v>
      </c>
      <c r="Z473" s="205"/>
      <c r="AA473" s="4">
        <v>2092.6999999999998</v>
      </c>
    </row>
    <row r="474" spans="1:29">
      <c r="A474" s="10">
        <f t="shared" ref="A474" si="9">A473+1</f>
        <v>473</v>
      </c>
      <c r="B474" s="43">
        <f>YEAR(WTG_BD[[#This Row],[Date]])+IF(MONTH(WTG_BD[[#This Row],[Date]])&gt;=4,1,0)</f>
        <v>2026</v>
      </c>
      <c r="C474" s="10">
        <v>2025</v>
      </c>
      <c r="D474" s="10" t="s">
        <v>4478</v>
      </c>
      <c r="E474" s="309">
        <f>WTG_BD[[#This Row],[Date]]-DAY(WTG_BD[[#This Row],[Date]])+1</f>
        <v>45778</v>
      </c>
      <c r="F474" s="32">
        <v>45805</v>
      </c>
      <c r="G474" t="s">
        <v>86</v>
      </c>
      <c r="H474" t="str">
        <f>IFERROR(VLOOKUP(WTG_BD[[#This Row],[Affected WTG]],'Basic Data'!$A$3:$E$25,2,0),"")</f>
        <v>O2R1</v>
      </c>
      <c r="I474" t="str">
        <f>IFERROR(VLOOKUP(WTG_BD[[#This Row],[Affected WTG]],'Basic Data'!$A$3:$E$25,3,0),"")</f>
        <v>KSIPL</v>
      </c>
      <c r="J474" s="355">
        <f>IFERROR(VLOOKUP(WTG_BD[[#This Row],[Affected WTG]],'Basic Data'!$A$3:$E$25,5,0),"")</f>
        <v>4.3478260869565223E-2</v>
      </c>
      <c r="K474" s="10">
        <v>450</v>
      </c>
      <c r="L474" t="str">
        <f>IFERROR(VLOOKUP(WTG_BD[[#This Row],[Error Code]],'Basic Data'!S:T,2,0),"Incorrect Error Code")</f>
        <v>Ext. High I sum Grd inv.</v>
      </c>
      <c r="M474" t="s">
        <v>368</v>
      </c>
      <c r="N474" t="s">
        <v>113</v>
      </c>
      <c r="O474" s="168">
        <v>0.45833333333333331</v>
      </c>
      <c r="P474" s="168">
        <v>0.45833333333333331</v>
      </c>
      <c r="Q474" s="168">
        <v>0.46388888888888891</v>
      </c>
      <c r="R474" s="356">
        <f>(WTG_BD[[#This Row],[Work Start TimeStamp]]-WTG_BD[[#This Row],[Fault Start TimeStamp]])*24</f>
        <v>0</v>
      </c>
      <c r="S474" s="34">
        <f>(WTG_BD[[#This Row],[Fault Clearance time]]-WTG_BD[[#This Row],[Work Start TimeStamp]])*24</f>
        <v>0.13333333333333419</v>
      </c>
      <c r="T474" s="34">
        <f>(WTG_BD[[#This Row],[Fault Clearance time]]-WTG_BD[[#This Row],[Fault Start TimeStamp]])*24</f>
        <v>0.13333333333333419</v>
      </c>
      <c r="U474" t="s">
        <v>262</v>
      </c>
      <c r="V474" s="234" t="s">
        <v>255</v>
      </c>
      <c r="W474" s="50">
        <f>IFERROR(IF(N474="ROW",0,(WTG_BD[[#This Row],[Breakdown Time]]*WTG_BD[[#This Row],[Plant Equivalent Weightage]])),"")</f>
        <v>5.7971014492754006E-3</v>
      </c>
      <c r="X474" s="50"/>
      <c r="Y474" s="205">
        <v>1</v>
      </c>
      <c r="Z474" s="205"/>
      <c r="AA474" s="4">
        <v>2027.1</v>
      </c>
    </row>
    <row r="475" spans="1:29">
      <c r="A475" s="10">
        <f t="shared" si="8"/>
        <v>474</v>
      </c>
      <c r="B475" s="43">
        <f>YEAR(WTG_BD[[#This Row],[Date]])+IF(MONTH(WTG_BD[[#This Row],[Date]])&gt;=4,1,0)</f>
        <v>2026</v>
      </c>
      <c r="C475" s="10">
        <v>2025</v>
      </c>
      <c r="D475" s="10" t="s">
        <v>4478</v>
      </c>
      <c r="E475" s="309">
        <f>WTG_BD[[#This Row],[Date]]-DAY(WTG_BD[[#This Row],[Date]])+1</f>
        <v>45778</v>
      </c>
      <c r="F475" s="32">
        <v>45806</v>
      </c>
      <c r="G475" t="s">
        <v>77</v>
      </c>
      <c r="H475" t="str">
        <f>IFERROR(VLOOKUP(WTG_BD[[#This Row],[Affected WTG]],'Basic Data'!$A$3:$E$25,2,0),"")</f>
        <v>O2R3</v>
      </c>
      <c r="I475" t="str">
        <f>IFERROR(VLOOKUP(WTG_BD[[#This Row],[Affected WTG]],'Basic Data'!$A$3:$E$25,3,0),"")</f>
        <v>JK</v>
      </c>
      <c r="J475" s="355">
        <f>IFERROR(VLOOKUP(WTG_BD[[#This Row],[Affected WTG]],'Basic Data'!$A$3:$E$25,5,0),"")</f>
        <v>4.3478260869565223E-2</v>
      </c>
      <c r="K475" s="10">
        <v>900</v>
      </c>
      <c r="L475" t="str">
        <f>IFERROR(VLOOKUP(WTG_BD[[#This Row],[Error Code]],'Basic Data'!S:T,2,0),"Incorrect Error Code")</f>
        <v>Pause pressed on keyboard</v>
      </c>
      <c r="M475" t="s">
        <v>137</v>
      </c>
      <c r="N475" t="s">
        <v>257</v>
      </c>
      <c r="O475" s="168">
        <v>0.57152777777777775</v>
      </c>
      <c r="P475" s="168">
        <v>0.57152777777777775</v>
      </c>
      <c r="Q475" s="168">
        <v>0.62083333333333335</v>
      </c>
      <c r="R475" s="356">
        <f>(WTG_BD[[#This Row],[Work Start TimeStamp]]-WTG_BD[[#This Row],[Fault Start TimeStamp]])*24</f>
        <v>0</v>
      </c>
      <c r="S475" s="34">
        <f>(WTG_BD[[#This Row],[Fault Clearance time]]-WTG_BD[[#This Row],[Work Start TimeStamp]])*24</f>
        <v>1.1833333333333345</v>
      </c>
      <c r="T475" s="34">
        <f>(WTG_BD[[#This Row],[Fault Clearance time]]-WTG_BD[[#This Row],[Fault Start TimeStamp]])*24</f>
        <v>1.1833333333333345</v>
      </c>
      <c r="U475" t="s">
        <v>4609</v>
      </c>
      <c r="V475" s="234" t="s">
        <v>255</v>
      </c>
      <c r="W475" s="50">
        <f>IFERROR(IF(N475="ROW",0,(WTG_BD[[#This Row],[Breakdown Time]]*WTG_BD[[#This Row],[Plant Equivalent Weightage]])),"")</f>
        <v>5.1449275362318893E-2</v>
      </c>
      <c r="X475" s="50"/>
      <c r="Y475" s="205">
        <v>1</v>
      </c>
      <c r="Z475" s="205"/>
      <c r="AA475" s="4">
        <v>1664.8</v>
      </c>
    </row>
    <row r="476" spans="1:29">
      <c r="A476" s="10">
        <f t="shared" si="8"/>
        <v>475</v>
      </c>
      <c r="B476" s="43">
        <f>YEAR(WTG_BD[[#This Row],[Date]])+IF(MONTH(WTG_BD[[#This Row],[Date]])&gt;=4,1,0)</f>
        <v>2026</v>
      </c>
      <c r="C476" s="10">
        <v>2025</v>
      </c>
      <c r="D476" s="10" t="s">
        <v>4478</v>
      </c>
      <c r="E476" s="309">
        <f>WTG_BD[[#This Row],[Date]]-DAY(WTG_BD[[#This Row],[Date]])+1</f>
        <v>45778</v>
      </c>
      <c r="F476" s="32">
        <v>45807</v>
      </c>
      <c r="G476" t="s">
        <v>83</v>
      </c>
      <c r="H476" t="str">
        <f>IFERROR(VLOOKUP(WTG_BD[[#This Row],[Affected WTG]],'Basic Data'!$A$3:$E$25,2,0),"")</f>
        <v>O2R3</v>
      </c>
      <c r="I476" t="str">
        <f>IFERROR(VLOOKUP(WTG_BD[[#This Row],[Affected WTG]],'Basic Data'!$A$3:$E$25,3,0),"")</f>
        <v>JK</v>
      </c>
      <c r="J476" s="355">
        <f>IFERROR(VLOOKUP(WTG_BD[[#This Row],[Affected WTG]],'Basic Data'!$A$3:$E$25,5,0),"")</f>
        <v>4.3478260869565223E-2</v>
      </c>
      <c r="K476" s="10">
        <v>900</v>
      </c>
      <c r="L476" t="str">
        <f>IFERROR(VLOOKUP(WTG_BD[[#This Row],[Error Code]],'Basic Data'!S:T,2,0),"Incorrect Error Code")</f>
        <v>Pause pressed on keyboard</v>
      </c>
      <c r="M476" t="s">
        <v>137</v>
      </c>
      <c r="N476" t="s">
        <v>257</v>
      </c>
      <c r="O476" s="270">
        <v>0.58611111111111114</v>
      </c>
      <c r="P476" s="270">
        <v>0.58611111111111114</v>
      </c>
      <c r="Q476" s="270">
        <v>0.61388888888888893</v>
      </c>
      <c r="R476" s="356">
        <f>(WTG_BD[[#This Row],[Work Start TimeStamp]]-WTG_BD[[#This Row],[Fault Start TimeStamp]])*24</f>
        <v>0</v>
      </c>
      <c r="S476" s="34">
        <f>(WTG_BD[[#This Row],[Fault Clearance time]]-WTG_BD[[#This Row],[Work Start TimeStamp]])*24</f>
        <v>0.66666666666666696</v>
      </c>
      <c r="T476" s="34">
        <f>(WTG_BD[[#This Row],[Fault Clearance time]]-WTG_BD[[#This Row],[Fault Start TimeStamp]])*24</f>
        <v>0.66666666666666696</v>
      </c>
      <c r="U476" t="s">
        <v>4610</v>
      </c>
      <c r="V476" s="234" t="s">
        <v>255</v>
      </c>
      <c r="W476" s="50">
        <f>IFERROR(IF(N476="ROW",0,(WTG_BD[[#This Row],[Breakdown Time]]*WTG_BD[[#This Row],[Plant Equivalent Weightage]])),"")</f>
        <v>2.8985507246376829E-2</v>
      </c>
      <c r="X476" s="50"/>
      <c r="Y476" s="205">
        <v>1</v>
      </c>
      <c r="Z476" s="205"/>
      <c r="AA476" s="4">
        <v>2156</v>
      </c>
    </row>
    <row r="477" spans="1:29">
      <c r="A477" s="10">
        <f t="shared" si="8"/>
        <v>476</v>
      </c>
      <c r="B477" s="43">
        <f>YEAR(WTG_BD[[#This Row],[Date]])+IF(MONTH(WTG_BD[[#This Row],[Date]])&gt;=4,1,0)</f>
        <v>2026</v>
      </c>
      <c r="C477" s="10">
        <v>2025</v>
      </c>
      <c r="D477" s="10" t="s">
        <v>4478</v>
      </c>
      <c r="E477" s="309">
        <f>WTG_BD[[#This Row],[Date]]-DAY(WTG_BD[[#This Row],[Date]])+1</f>
        <v>45778</v>
      </c>
      <c r="F477" s="32">
        <v>45808</v>
      </c>
      <c r="G477" t="s">
        <v>85</v>
      </c>
      <c r="H477" t="str">
        <f>IFERROR(VLOOKUP(WTG_BD[[#This Row],[Affected WTG]],'Basic Data'!$A$3:$E$25,2,0),"")</f>
        <v>O2R1</v>
      </c>
      <c r="I477" t="str">
        <f>IFERROR(VLOOKUP(WTG_BD[[#This Row],[Affected WTG]],'Basic Data'!$A$3:$E$25,3,0),"")</f>
        <v>KSIPL</v>
      </c>
      <c r="J477" s="355">
        <f>IFERROR(VLOOKUP(WTG_BD[[#This Row],[Affected WTG]],'Basic Data'!$A$3:$E$25,5,0),"")</f>
        <v>4.3478260869565223E-2</v>
      </c>
      <c r="K477" s="10">
        <v>3805</v>
      </c>
      <c r="L477" t="str">
        <f>IFERROR(VLOOKUP(WTG_BD[[#This Row],[Error Code]],'Basic Data'!S:T,2,0),"Incorrect Error Code")</f>
        <v>HubSafetySystem DC Supply Err.</v>
      </c>
      <c r="M477" t="s">
        <v>2377</v>
      </c>
      <c r="N477" t="s">
        <v>113</v>
      </c>
      <c r="O477" s="168">
        <v>2.1527777777777778E-2</v>
      </c>
      <c r="P477" s="168">
        <v>2.1527777777777778E-2</v>
      </c>
      <c r="Q477" s="168">
        <v>0.11388888888888889</v>
      </c>
      <c r="R477" s="356">
        <f>(WTG_BD[[#This Row],[Work Start TimeStamp]]-WTG_BD[[#This Row],[Fault Start TimeStamp]])*24</f>
        <v>0</v>
      </c>
      <c r="S477" s="34">
        <f>(WTG_BD[[#This Row],[Fault Clearance time]]-WTG_BD[[#This Row],[Work Start TimeStamp]])*24</f>
        <v>2.2166666666666668</v>
      </c>
      <c r="T477" s="34">
        <f>(WTG_BD[[#This Row],[Fault Clearance time]]-WTG_BD[[#This Row],[Fault Start TimeStamp]])*24</f>
        <v>2.2166666666666668</v>
      </c>
      <c r="U477" t="s">
        <v>4611</v>
      </c>
      <c r="V477" s="234" t="s">
        <v>255</v>
      </c>
      <c r="W477" s="50">
        <f>IFERROR(IF(N477="ROW",0,(WTG_BD[[#This Row],[Breakdown Time]]*WTG_BD[[#This Row],[Plant Equivalent Weightage]])),"")</f>
        <v>9.6376811594202916E-2</v>
      </c>
      <c r="X477" s="50"/>
      <c r="Y477" s="205">
        <v>1</v>
      </c>
      <c r="Z477" s="205"/>
      <c r="AA477" s="4">
        <v>3618</v>
      </c>
    </row>
    <row r="478" spans="1:29">
      <c r="A478" s="10">
        <f t="shared" si="8"/>
        <v>477</v>
      </c>
      <c r="B478" s="43">
        <f>YEAR(WTG_BD[[#This Row],[Date]])+IF(MONTH(WTG_BD[[#This Row],[Date]])&gt;=4,1,0)</f>
        <v>2026</v>
      </c>
      <c r="C478" s="10">
        <v>2025</v>
      </c>
      <c r="D478" s="10" t="s">
        <v>4478</v>
      </c>
      <c r="E478" s="309">
        <f>WTG_BD[[#This Row],[Date]]-DAY(WTG_BD[[#This Row],[Date]])+1</f>
        <v>45809</v>
      </c>
      <c r="F478" s="32">
        <v>45810</v>
      </c>
      <c r="G478" t="s">
        <v>76</v>
      </c>
      <c r="H478" t="str">
        <f>IFERROR(VLOOKUP(WTG_BD[[#This Row],[Affected WTG]],'Basic Data'!$A$3:$E$25,2,0),"")</f>
        <v>O2R1</v>
      </c>
      <c r="I478" t="str">
        <f>IFERROR(VLOOKUP(WTG_BD[[#This Row],[Affected WTG]],'Basic Data'!$A$3:$E$25,3,0),"")</f>
        <v>KSIPL</v>
      </c>
      <c r="J478" s="355">
        <f>IFERROR(VLOOKUP(WTG_BD[[#This Row],[Affected WTG]],'Basic Data'!$A$3:$E$25,5,0),"")</f>
        <v>4.3478260869565223E-2</v>
      </c>
      <c r="K478" s="10">
        <v>450</v>
      </c>
      <c r="L478" t="str">
        <f>IFERROR(VLOOKUP(WTG_BD[[#This Row],[Error Code]],'Basic Data'!S:T,2,0),"Incorrect Error Code")</f>
        <v>Ext. High I sum Grd inv.</v>
      </c>
      <c r="M478" t="s">
        <v>368</v>
      </c>
      <c r="N478" t="s">
        <v>113</v>
      </c>
      <c r="O478" s="168">
        <v>0.78055555555555556</v>
      </c>
      <c r="P478" s="168">
        <v>0.78055555555555556</v>
      </c>
      <c r="Q478" s="168">
        <v>0.78472222222222221</v>
      </c>
      <c r="R478" s="356">
        <f>(WTG_BD[[#This Row],[Work Start TimeStamp]]-WTG_BD[[#This Row],[Fault Start TimeStamp]])*24</f>
        <v>0</v>
      </c>
      <c r="S478" s="34">
        <f>(WTG_BD[[#This Row],[Fault Clearance time]]-WTG_BD[[#This Row],[Work Start TimeStamp]])*24</f>
        <v>9.9999999999999645E-2</v>
      </c>
      <c r="T478" s="34">
        <f>(WTG_BD[[#This Row],[Fault Clearance time]]-WTG_BD[[#This Row],[Fault Start TimeStamp]])*24</f>
        <v>9.9999999999999645E-2</v>
      </c>
      <c r="U478" t="s">
        <v>262</v>
      </c>
      <c r="V478" s="234" t="s">
        <v>255</v>
      </c>
      <c r="W478" s="50">
        <f>IFERROR(IF(N478="ROW",0,(WTG_BD[[#This Row],[Breakdown Time]]*WTG_BD[[#This Row],[Plant Equivalent Weightage]])),"")</f>
        <v>4.347826086956507E-3</v>
      </c>
      <c r="X478" s="50"/>
      <c r="Y478" s="205">
        <v>1</v>
      </c>
      <c r="Z478" s="205"/>
      <c r="AA478" s="4">
        <v>173</v>
      </c>
    </row>
    <row r="479" spans="1:29">
      <c r="A479" s="10">
        <f t="shared" ref="A479:A542" si="10">A478+1</f>
        <v>478</v>
      </c>
      <c r="B479" s="43">
        <f>YEAR(WTG_BD[[#This Row],[Date]])+IF(MONTH(WTG_BD[[#This Row],[Date]])&gt;=4,1,0)</f>
        <v>2026</v>
      </c>
      <c r="C479" s="10">
        <v>2025</v>
      </c>
      <c r="D479" s="10" t="s">
        <v>4478</v>
      </c>
      <c r="E479" s="309">
        <f>WTG_BD[[#This Row],[Date]]-DAY(WTG_BD[[#This Row],[Date]])+1</f>
        <v>45809</v>
      </c>
      <c r="F479" s="32">
        <v>45810</v>
      </c>
      <c r="G479" t="s">
        <v>93</v>
      </c>
      <c r="H479" t="str">
        <f>IFERROR(VLOOKUP(WTG_BD[[#This Row],[Affected WTG]],'Basic Data'!$A$3:$E$25,2,0),"")</f>
        <v>O2R4</v>
      </c>
      <c r="I479" t="str">
        <f>IFERROR(VLOOKUP(WTG_BD[[#This Row],[Affected WTG]],'Basic Data'!$A$3:$E$25,3,0),"")</f>
        <v>SGDCIPL</v>
      </c>
      <c r="J479" s="355">
        <f>IFERROR(VLOOKUP(WTG_BD[[#This Row],[Affected WTG]],'Basic Data'!$A$3:$E$25,5,0),"")</f>
        <v>4.3478260869565223E-2</v>
      </c>
      <c r="K479" s="10">
        <v>704</v>
      </c>
      <c r="L479" t="str">
        <f>IFERROR(VLOOKUP(WTG_BD[[#This Row],[Error Code]],'Basic Data'!S:T,2,0),"Incorrect Error Code")</f>
        <v>Ch High res. load C_ Load:___%</v>
      </c>
      <c r="M479" t="s">
        <v>372</v>
      </c>
      <c r="N479" t="s">
        <v>113</v>
      </c>
      <c r="O479" s="168">
        <v>0.73541666666666672</v>
      </c>
      <c r="P479" s="168">
        <v>0.73541666666666672</v>
      </c>
      <c r="Q479" s="168">
        <v>0.74861111111111112</v>
      </c>
      <c r="R479" s="356">
        <f>(WTG_BD[[#This Row],[Work Start TimeStamp]]-WTG_BD[[#This Row],[Fault Start TimeStamp]])*24</f>
        <v>0</v>
      </c>
      <c r="S479" s="34">
        <f>(WTG_BD[[#This Row],[Fault Clearance time]]-WTG_BD[[#This Row],[Work Start TimeStamp]])*24</f>
        <v>0.31666666666666554</v>
      </c>
      <c r="T479" s="34">
        <f>(WTG_BD[[#This Row],[Fault Clearance time]]-WTG_BD[[#This Row],[Fault Start TimeStamp]])*24</f>
        <v>0.31666666666666554</v>
      </c>
      <c r="U479" t="s">
        <v>4268</v>
      </c>
      <c r="V479" s="234" t="s">
        <v>255</v>
      </c>
      <c r="W479" s="50">
        <f>IFERROR(IF(N479="ROW",0,(WTG_BD[[#This Row],[Breakdown Time]]*WTG_BD[[#This Row],[Plant Equivalent Weightage]])),"")</f>
        <v>1.3768115942028938E-2</v>
      </c>
      <c r="X479" s="50"/>
      <c r="Y479" s="205">
        <v>1</v>
      </c>
      <c r="Z479" s="205"/>
      <c r="AA479" s="4">
        <v>611</v>
      </c>
    </row>
    <row r="480" spans="1:29">
      <c r="A480" s="10">
        <f t="shared" si="10"/>
        <v>479</v>
      </c>
      <c r="B480" s="43">
        <f>YEAR(WTG_BD[[#This Row],[Date]])+IF(MONTH(WTG_BD[[#This Row],[Date]])&gt;=4,1,0)</f>
        <v>2026</v>
      </c>
      <c r="C480" s="10">
        <v>2025</v>
      </c>
      <c r="D480" s="10" t="s">
        <v>4478</v>
      </c>
      <c r="E480" s="309">
        <f>WTG_BD[[#This Row],[Date]]-DAY(WTG_BD[[#This Row],[Date]])+1</f>
        <v>45809</v>
      </c>
      <c r="F480" s="32">
        <v>45810</v>
      </c>
      <c r="G480" t="s">
        <v>97</v>
      </c>
      <c r="H480" t="str">
        <f>IFERROR(VLOOKUP(WTG_BD[[#This Row],[Affected WTG]],'Basic Data'!$A$3:$E$25,2,0),"")</f>
        <v>O2R3</v>
      </c>
      <c r="I480" t="str">
        <f>IFERROR(VLOOKUP(WTG_BD[[#This Row],[Affected WTG]],'Basic Data'!$A$3:$E$25,3,0),"")</f>
        <v>JK</v>
      </c>
      <c r="J480" s="355">
        <f>IFERROR(VLOOKUP(WTG_BD[[#This Row],[Affected WTG]],'Basic Data'!$A$3:$E$25,5,0),"")</f>
        <v>4.3478260869565223E-2</v>
      </c>
      <c r="K480" s="10">
        <v>704</v>
      </c>
      <c r="L480" t="str">
        <f>IFERROR(VLOOKUP(WTG_BD[[#This Row],[Error Code]],'Basic Data'!S:T,2,0),"Incorrect Error Code")</f>
        <v>Ch High res. load C_ Load:___%</v>
      </c>
      <c r="M480" t="s">
        <v>372</v>
      </c>
      <c r="N480" t="s">
        <v>113</v>
      </c>
      <c r="O480" s="168">
        <v>0.73263888888888884</v>
      </c>
      <c r="P480" s="168">
        <v>0.73263888888888884</v>
      </c>
      <c r="Q480" s="168">
        <v>0.73611111111111116</v>
      </c>
      <c r="R480" s="356">
        <f>(WTG_BD[[#This Row],[Work Start TimeStamp]]-WTG_BD[[#This Row],[Fault Start TimeStamp]])*24</f>
        <v>0</v>
      </c>
      <c r="S480" s="34">
        <f>(WTG_BD[[#This Row],[Fault Clearance time]]-WTG_BD[[#This Row],[Work Start TimeStamp]])*24</f>
        <v>8.3333333333335702E-2</v>
      </c>
      <c r="T480" s="34">
        <f>(WTG_BD[[#This Row],[Fault Clearance time]]-WTG_BD[[#This Row],[Fault Start TimeStamp]])*24</f>
        <v>8.3333333333335702E-2</v>
      </c>
      <c r="U480" t="s">
        <v>4268</v>
      </c>
      <c r="V480" s="234" t="s">
        <v>255</v>
      </c>
      <c r="W480" s="50">
        <f>IFERROR(IF(N480="ROW",0,(WTG_BD[[#This Row],[Breakdown Time]]*WTG_BD[[#This Row],[Plant Equivalent Weightage]])),"")</f>
        <v>3.6231884057972047E-3</v>
      </c>
      <c r="X480" s="50"/>
      <c r="Y480" s="205">
        <v>1</v>
      </c>
      <c r="Z480" s="205"/>
      <c r="AA480" s="4">
        <v>169</v>
      </c>
    </row>
    <row r="481" spans="1:27">
      <c r="A481" s="10">
        <f t="shared" si="10"/>
        <v>480</v>
      </c>
      <c r="B481" s="43">
        <f>YEAR(WTG_BD[[#This Row],[Date]])+IF(MONTH(WTG_BD[[#This Row],[Date]])&gt;=4,1,0)</f>
        <v>2026</v>
      </c>
      <c r="C481" s="10">
        <v>2025</v>
      </c>
      <c r="D481" s="10" t="s">
        <v>4478</v>
      </c>
      <c r="E481" s="309">
        <f>WTG_BD[[#This Row],[Date]]-DAY(WTG_BD[[#This Row],[Date]])+1</f>
        <v>45809</v>
      </c>
      <c r="F481" s="32">
        <v>45810</v>
      </c>
      <c r="G481" t="s">
        <v>82</v>
      </c>
      <c r="H481" t="str">
        <f>IFERROR(VLOOKUP(WTG_BD[[#This Row],[Affected WTG]],'Basic Data'!$A$3:$E$25,2,0),"")</f>
        <v>O2R3</v>
      </c>
      <c r="I481" t="str">
        <f>IFERROR(VLOOKUP(WTG_BD[[#This Row],[Affected WTG]],'Basic Data'!$A$3:$E$25,3,0),"")</f>
        <v>JK</v>
      </c>
      <c r="J481" s="355">
        <f>IFERROR(VLOOKUP(WTG_BD[[#This Row],[Affected WTG]],'Basic Data'!$A$3:$E$25,5,0),"")</f>
        <v>4.3478260869565223E-2</v>
      </c>
      <c r="K481" s="10">
        <v>900</v>
      </c>
      <c r="L481" t="str">
        <f>IFERROR(VLOOKUP(WTG_BD[[#This Row],[Error Code]],'Basic Data'!S:T,2,0),"Incorrect Error Code")</f>
        <v>Pause pressed on keyboard</v>
      </c>
      <c r="M481" t="s">
        <v>137</v>
      </c>
      <c r="N481" t="s">
        <v>257</v>
      </c>
      <c r="O481" s="168">
        <v>0.70416666666666672</v>
      </c>
      <c r="P481" s="168">
        <v>0.70416666666666672</v>
      </c>
      <c r="Q481" s="168">
        <v>0.74027777777777781</v>
      </c>
      <c r="R481" s="356">
        <f>(WTG_BD[[#This Row],[Work Start TimeStamp]]-WTG_BD[[#This Row],[Fault Start TimeStamp]])*24</f>
        <v>0</v>
      </c>
      <c r="S481" s="34">
        <f>(WTG_BD[[#This Row],[Fault Clearance time]]-WTG_BD[[#This Row],[Work Start TimeStamp]])*24</f>
        <v>0.86666666666666625</v>
      </c>
      <c r="T481" s="34">
        <f>(WTG_BD[[#This Row],[Fault Clearance time]]-WTG_BD[[#This Row],[Fault Start TimeStamp]])*24</f>
        <v>0.86666666666666625</v>
      </c>
      <c r="U481" t="s">
        <v>4614</v>
      </c>
      <c r="V481" s="234" t="s">
        <v>255</v>
      </c>
      <c r="W481" s="50">
        <f>IFERROR(IF(N481="ROW",0,(WTG_BD[[#This Row],[Breakdown Time]]*WTG_BD[[#This Row],[Plant Equivalent Weightage]])),"")</f>
        <v>3.7681159420289843E-2</v>
      </c>
      <c r="X481" s="50"/>
      <c r="Y481" s="205">
        <v>1</v>
      </c>
      <c r="Z481" s="205"/>
      <c r="AA481" s="4">
        <v>24</v>
      </c>
    </row>
    <row r="482" spans="1:27">
      <c r="A482" s="10">
        <f t="shared" si="10"/>
        <v>481</v>
      </c>
      <c r="B482" s="43">
        <f>YEAR(WTG_BD[[#This Row],[Date]])+IF(MONTH(WTG_BD[[#This Row],[Date]])&gt;=4,1,0)</f>
        <v>2026</v>
      </c>
      <c r="C482" s="10">
        <v>2025</v>
      </c>
      <c r="D482" s="10" t="s">
        <v>4478</v>
      </c>
      <c r="E482" s="309">
        <f>WTG_BD[[#This Row],[Date]]-DAY(WTG_BD[[#This Row],[Date]])+1</f>
        <v>45809</v>
      </c>
      <c r="F482" s="32">
        <v>45812</v>
      </c>
      <c r="G482" t="s">
        <v>86</v>
      </c>
      <c r="H482" t="str">
        <f>IFERROR(VLOOKUP(WTG_BD[[#This Row],[Affected WTG]],'Basic Data'!$A$3:$E$25,2,0),"")</f>
        <v>O2R1</v>
      </c>
      <c r="I482" t="str">
        <f>IFERROR(VLOOKUP(WTG_BD[[#This Row],[Affected WTG]],'Basic Data'!$A$3:$E$25,3,0),"")</f>
        <v>KSIPL</v>
      </c>
      <c r="J482" s="355">
        <f>IFERROR(VLOOKUP(WTG_BD[[#This Row],[Affected WTG]],'Basic Data'!$A$3:$E$25,5,0),"")</f>
        <v>4.3478260869565223E-2</v>
      </c>
      <c r="K482" s="10">
        <v>450</v>
      </c>
      <c r="L482" t="str">
        <f>IFERROR(VLOOKUP(WTG_BD[[#This Row],[Error Code]],'Basic Data'!S:T,2,0),"Incorrect Error Code")</f>
        <v>Ext. High I sum Grd inv.</v>
      </c>
      <c r="M482" t="s">
        <v>368</v>
      </c>
      <c r="N482" t="s">
        <v>113</v>
      </c>
      <c r="O482" s="168">
        <v>0.36944444444444446</v>
      </c>
      <c r="P482" s="168">
        <v>0.36944444444444446</v>
      </c>
      <c r="Q482" s="168">
        <v>0.375</v>
      </c>
      <c r="R482" s="356">
        <f>(WTG_BD[[#This Row],[Work Start TimeStamp]]-WTG_BD[[#This Row],[Fault Start TimeStamp]])*24</f>
        <v>0</v>
      </c>
      <c r="S482" s="34">
        <f>(WTG_BD[[#This Row],[Fault Clearance time]]-WTG_BD[[#This Row],[Work Start TimeStamp]])*24</f>
        <v>0.13333333333333286</v>
      </c>
      <c r="T482" s="34">
        <f>(WTG_BD[[#This Row],[Fault Clearance time]]-WTG_BD[[#This Row],[Fault Start TimeStamp]])*24</f>
        <v>0.13333333333333286</v>
      </c>
      <c r="U482" t="s">
        <v>4593</v>
      </c>
      <c r="V482" s="234" t="s">
        <v>255</v>
      </c>
      <c r="W482" s="50">
        <f>IFERROR(IF(N482="ROW",0,(WTG_BD[[#This Row],[Breakdown Time]]*WTG_BD[[#This Row],[Plant Equivalent Weightage]])),"")</f>
        <v>5.7971014492753424E-3</v>
      </c>
      <c r="X482" s="50"/>
      <c r="Y482" s="205">
        <v>1</v>
      </c>
      <c r="Z482" s="205"/>
      <c r="AA482" s="4">
        <v>133</v>
      </c>
    </row>
    <row r="483" spans="1:27">
      <c r="A483" s="10">
        <f t="shared" si="10"/>
        <v>482</v>
      </c>
      <c r="B483" s="43">
        <f>YEAR(WTG_BD[[#This Row],[Date]])+IF(MONTH(WTG_BD[[#This Row],[Date]])&gt;=4,1,0)</f>
        <v>2026</v>
      </c>
      <c r="C483" s="10">
        <v>2025</v>
      </c>
      <c r="D483" s="10" t="s">
        <v>4478</v>
      </c>
      <c r="E483" s="309">
        <f>WTG_BD[[#This Row],[Date]]-DAY(WTG_BD[[#This Row],[Date]])+1</f>
        <v>45809</v>
      </c>
      <c r="F483" s="32">
        <v>45812</v>
      </c>
      <c r="G483" t="s">
        <v>79</v>
      </c>
      <c r="H483" t="str">
        <f>IFERROR(VLOOKUP(WTG_BD[[#This Row],[Affected WTG]],'Basic Data'!$A$3:$E$25,2,0),"")</f>
        <v>O2R3</v>
      </c>
      <c r="I483" t="str">
        <f>IFERROR(VLOOKUP(WTG_BD[[#This Row],[Affected WTG]],'Basic Data'!$A$3:$E$25,3,0),"")</f>
        <v>JK</v>
      </c>
      <c r="J483" s="355">
        <f>IFERROR(VLOOKUP(WTG_BD[[#This Row],[Affected WTG]],'Basic Data'!$A$3:$E$25,5,0),"")</f>
        <v>4.3478260869565223E-2</v>
      </c>
      <c r="K483" s="10">
        <v>900</v>
      </c>
      <c r="L483" t="str">
        <f>IFERROR(VLOOKUP(WTG_BD[[#This Row],[Error Code]],'Basic Data'!S:T,2,0),"Incorrect Error Code")</f>
        <v>Pause pressed on keyboard</v>
      </c>
      <c r="M483" t="s">
        <v>137</v>
      </c>
      <c r="N483" t="s">
        <v>257</v>
      </c>
      <c r="O483" s="168">
        <v>0.4284722222222222</v>
      </c>
      <c r="P483" s="168">
        <v>0.4284722222222222</v>
      </c>
      <c r="Q483" s="168">
        <v>0.46319444444444446</v>
      </c>
      <c r="R483" s="356">
        <f>(WTG_BD[[#This Row],[Work Start TimeStamp]]-WTG_BD[[#This Row],[Fault Start TimeStamp]])*24</f>
        <v>0</v>
      </c>
      <c r="S483" s="34">
        <f>(WTG_BD[[#This Row],[Fault Clearance time]]-WTG_BD[[#This Row],[Work Start TimeStamp]])*24</f>
        <v>0.83333333333333437</v>
      </c>
      <c r="T483" s="34">
        <f>(WTG_BD[[#This Row],[Fault Clearance time]]-WTG_BD[[#This Row],[Fault Start TimeStamp]])*24</f>
        <v>0.83333333333333437</v>
      </c>
      <c r="U483" t="s">
        <v>4610</v>
      </c>
      <c r="V483" s="234" t="s">
        <v>255</v>
      </c>
      <c r="W483" s="50">
        <f>IFERROR(IF(N483="ROW",0,(WTG_BD[[#This Row],[Breakdown Time]]*WTG_BD[[#This Row],[Plant Equivalent Weightage]])),"")</f>
        <v>3.6231884057971064E-2</v>
      </c>
      <c r="X483" s="50"/>
      <c r="Y483" s="205">
        <v>1</v>
      </c>
      <c r="Z483" s="205"/>
      <c r="AA483" s="4">
        <v>1046</v>
      </c>
    </row>
    <row r="484" spans="1:27">
      <c r="A484" s="10">
        <f t="shared" si="10"/>
        <v>483</v>
      </c>
      <c r="B484" s="43">
        <f>YEAR(WTG_BD[[#This Row],[Date]])+IF(MONTH(WTG_BD[[#This Row],[Date]])&gt;=4,1,0)</f>
        <v>2026</v>
      </c>
      <c r="C484" s="10">
        <v>2025</v>
      </c>
      <c r="D484" s="10" t="s">
        <v>4478</v>
      </c>
      <c r="E484" s="309">
        <f>WTG_BD[[#This Row],[Date]]-DAY(WTG_BD[[#This Row],[Date]])+1</f>
        <v>45809</v>
      </c>
      <c r="F484" s="32">
        <v>45812</v>
      </c>
      <c r="G484" t="s">
        <v>95</v>
      </c>
      <c r="H484" t="str">
        <f>IFERROR(VLOOKUP(WTG_BD[[#This Row],[Affected WTG]],'Basic Data'!$A$3:$E$25,2,0),"")</f>
        <v>O2R1</v>
      </c>
      <c r="I484" t="str">
        <f>IFERROR(VLOOKUP(WTG_BD[[#This Row],[Affected WTG]],'Basic Data'!$A$3:$E$25,3,0),"")</f>
        <v>KSIPL</v>
      </c>
      <c r="J484" s="355">
        <f>IFERROR(VLOOKUP(WTG_BD[[#This Row],[Affected WTG]],'Basic Data'!$A$3:$E$25,5,0),"")</f>
        <v>4.3478260869565223E-2</v>
      </c>
      <c r="K484" s="10">
        <v>450</v>
      </c>
      <c r="L484" t="str">
        <f>IFERROR(VLOOKUP(WTG_BD[[#This Row],[Error Code]],'Basic Data'!S:T,2,0),"Incorrect Error Code")</f>
        <v>Ext. High I sum Grd inv.</v>
      </c>
      <c r="M484" t="s">
        <v>368</v>
      </c>
      <c r="N484" t="s">
        <v>113</v>
      </c>
      <c r="O484" s="168">
        <v>0.79652777777777772</v>
      </c>
      <c r="P484" s="168">
        <v>0.79652777777777772</v>
      </c>
      <c r="Q484" s="168">
        <v>0.79861111111111116</v>
      </c>
      <c r="R484" s="356">
        <f>(WTG_BD[[#This Row],[Work Start TimeStamp]]-WTG_BD[[#This Row],[Fault Start TimeStamp]])*24</f>
        <v>0</v>
      </c>
      <c r="S484" s="34">
        <f>(WTG_BD[[#This Row],[Fault Clearance time]]-WTG_BD[[#This Row],[Work Start TimeStamp]])*24</f>
        <v>5.0000000000002487E-2</v>
      </c>
      <c r="T484" s="34">
        <f>(WTG_BD[[#This Row],[Fault Clearance time]]-WTG_BD[[#This Row],[Fault Start TimeStamp]])*24</f>
        <v>5.0000000000002487E-2</v>
      </c>
      <c r="U484" t="s">
        <v>262</v>
      </c>
      <c r="V484" s="234" t="s">
        <v>255</v>
      </c>
      <c r="W484" s="50">
        <f>IFERROR(IF(N484="ROW",0,(WTG_BD[[#This Row],[Breakdown Time]]*WTG_BD[[#This Row],[Plant Equivalent Weightage]])),"")</f>
        <v>2.1739130434783693E-3</v>
      </c>
      <c r="X484" s="50"/>
      <c r="Y484" s="205">
        <v>1</v>
      </c>
      <c r="Z484" s="205"/>
      <c r="AA484" s="4">
        <v>19</v>
      </c>
    </row>
    <row r="485" spans="1:27">
      <c r="A485" s="10">
        <f t="shared" si="10"/>
        <v>484</v>
      </c>
      <c r="B485" s="43">
        <f>YEAR(WTG_BD[[#This Row],[Date]])+IF(MONTH(WTG_BD[[#This Row],[Date]])&gt;=4,1,0)</f>
        <v>2026</v>
      </c>
      <c r="C485" s="10">
        <v>2025</v>
      </c>
      <c r="D485" s="10" t="s">
        <v>4478</v>
      </c>
      <c r="E485" s="309">
        <f>WTG_BD[[#This Row],[Date]]-DAY(WTG_BD[[#This Row],[Date]])+1</f>
        <v>45809</v>
      </c>
      <c r="F485" s="32">
        <v>45812</v>
      </c>
      <c r="G485" t="s">
        <v>97</v>
      </c>
      <c r="H485" t="str">
        <f>IFERROR(VLOOKUP(WTG_BD[[#This Row],[Affected WTG]],'Basic Data'!$A$3:$E$25,2,0),"")</f>
        <v>O2R3</v>
      </c>
      <c r="I485" t="str">
        <f>IFERROR(VLOOKUP(WTG_BD[[#This Row],[Affected WTG]],'Basic Data'!$A$3:$E$25,3,0),"")</f>
        <v>JK</v>
      </c>
      <c r="J485" s="355">
        <f>IFERROR(VLOOKUP(WTG_BD[[#This Row],[Affected WTG]],'Basic Data'!$A$3:$E$25,5,0),"")</f>
        <v>4.3478260869565223E-2</v>
      </c>
      <c r="K485" s="10">
        <v>315</v>
      </c>
      <c r="L485" t="str">
        <f>IFERROR(VLOOKUP(WTG_BD[[#This Row],[Error Code]],'Basic Data'!S:T,2,0),"Incorrect Error Code")</f>
        <v>ExEx low voltage L_: ___V</v>
      </c>
      <c r="M485" t="s">
        <v>141</v>
      </c>
      <c r="N485" t="s">
        <v>113</v>
      </c>
      <c r="O485" s="168">
        <v>0.9375</v>
      </c>
      <c r="P485" s="168">
        <v>0.9375</v>
      </c>
      <c r="Q485" s="168">
        <v>0.99930555555555556</v>
      </c>
      <c r="R485" s="356">
        <f>(WTG_BD[[#This Row],[Work Start TimeStamp]]-WTG_BD[[#This Row],[Fault Start TimeStamp]])*24</f>
        <v>0</v>
      </c>
      <c r="S485" s="34">
        <f>(WTG_BD[[#This Row],[Fault Clearance time]]-WTG_BD[[#This Row],[Work Start TimeStamp]])*24</f>
        <v>1.4833333333333334</v>
      </c>
      <c r="T485" s="34">
        <f>(WTG_BD[[#This Row],[Fault Clearance time]]-WTG_BD[[#This Row],[Fault Start TimeStamp]])*24</f>
        <v>1.4833333333333334</v>
      </c>
      <c r="U485" t="s">
        <v>4632</v>
      </c>
      <c r="V485" s="234" t="s">
        <v>255</v>
      </c>
      <c r="W485" s="50">
        <f>IFERROR(IF(N485="ROW",0,(WTG_BD[[#This Row],[Breakdown Time]]*WTG_BD[[#This Row],[Plant Equivalent Weightage]])),"")</f>
        <v>6.4492753623188417E-2</v>
      </c>
      <c r="X485" s="50"/>
      <c r="Y485" s="205">
        <v>1</v>
      </c>
      <c r="Z485" s="205"/>
      <c r="AA485" s="4">
        <v>0</v>
      </c>
    </row>
    <row r="486" spans="1:27">
      <c r="A486" s="10">
        <f t="shared" si="10"/>
        <v>485</v>
      </c>
      <c r="B486" s="43">
        <f>YEAR(WTG_BD[[#This Row],[Date]])+IF(MONTH(WTG_BD[[#This Row],[Date]])&gt;=4,1,0)</f>
        <v>2026</v>
      </c>
      <c r="C486" s="10">
        <v>2025</v>
      </c>
      <c r="D486" s="10" t="s">
        <v>4478</v>
      </c>
      <c r="E486" s="309">
        <f>WTG_BD[[#This Row],[Date]]-DAY(WTG_BD[[#This Row],[Date]])+1</f>
        <v>45809</v>
      </c>
      <c r="F486" s="32">
        <v>45813</v>
      </c>
      <c r="G486" t="s">
        <v>85</v>
      </c>
      <c r="H486" t="str">
        <f>IFERROR(VLOOKUP(WTG_BD[[#This Row],[Affected WTG]],'Basic Data'!$A$3:$E$25,2,0),"")</f>
        <v>O2R1</v>
      </c>
      <c r="I486" t="str">
        <f>IFERROR(VLOOKUP(WTG_BD[[#This Row],[Affected WTG]],'Basic Data'!$A$3:$E$25,3,0),"")</f>
        <v>KSIPL</v>
      </c>
      <c r="J486" s="355">
        <f>IFERROR(VLOOKUP(WTG_BD[[#This Row],[Affected WTG]],'Basic Data'!$A$3:$E$25,5,0),"")</f>
        <v>4.3478260869565223E-2</v>
      </c>
      <c r="K486" s="10">
        <v>137</v>
      </c>
      <c r="L486" t="str">
        <f>IFERROR(VLOOKUP(WTG_BD[[#This Row],[Error Code]],'Basic Data'!S:T,2,0),"Incorrect Error Code")</f>
        <v>Asym.currL2:____A,Others:____A</v>
      </c>
      <c r="M486" t="s">
        <v>706</v>
      </c>
      <c r="N486" t="s">
        <v>113</v>
      </c>
      <c r="O486" s="168">
        <v>0.4201388888888889</v>
      </c>
      <c r="P486" s="168">
        <v>0.4201388888888889</v>
      </c>
      <c r="Q486" s="168">
        <v>0.4236111111111111</v>
      </c>
      <c r="R486" s="356">
        <f>(WTG_BD[[#This Row],[Work Start TimeStamp]]-WTG_BD[[#This Row],[Fault Start TimeStamp]])*24</f>
        <v>0</v>
      </c>
      <c r="S486" s="34">
        <f>(WTG_BD[[#This Row],[Fault Clearance time]]-WTG_BD[[#This Row],[Work Start TimeStamp]])*24</f>
        <v>8.3333333333333037E-2</v>
      </c>
      <c r="T486" s="34">
        <f>(WTG_BD[[#This Row],[Fault Clearance time]]-WTG_BD[[#This Row],[Fault Start TimeStamp]])*24</f>
        <v>8.3333333333333037E-2</v>
      </c>
      <c r="U486" t="s">
        <v>4593</v>
      </c>
      <c r="V486" s="234" t="s">
        <v>255</v>
      </c>
      <c r="W486" s="50">
        <f>IFERROR(IF(N486="ROW",0,(WTG_BD[[#This Row],[Breakdown Time]]*WTG_BD[[#This Row],[Plant Equivalent Weightage]])),"")</f>
        <v>3.6231884057970889E-3</v>
      </c>
      <c r="X486" s="50"/>
      <c r="Y486" s="205">
        <v>1</v>
      </c>
      <c r="Z486" s="205"/>
      <c r="AA486" s="4">
        <v>75</v>
      </c>
    </row>
    <row r="487" spans="1:27">
      <c r="A487" s="10">
        <f t="shared" si="10"/>
        <v>486</v>
      </c>
      <c r="B487" s="43">
        <f>YEAR(WTG_BD[[#This Row],[Date]])+IF(MONTH(WTG_BD[[#This Row],[Date]])&gt;=4,1,0)</f>
        <v>2026</v>
      </c>
      <c r="C487" s="10">
        <v>2025</v>
      </c>
      <c r="D487" s="10" t="s">
        <v>4478</v>
      </c>
      <c r="E487" s="309">
        <f>WTG_BD[[#This Row],[Date]]-DAY(WTG_BD[[#This Row],[Date]])+1</f>
        <v>45809</v>
      </c>
      <c r="F487" s="32">
        <v>45813</v>
      </c>
      <c r="G487" t="s">
        <v>88</v>
      </c>
      <c r="H487" t="str">
        <f>IFERROR(VLOOKUP(WTG_BD[[#This Row],[Affected WTG]],'Basic Data'!$A$3:$E$25,2,0),"")</f>
        <v>O2R1</v>
      </c>
      <c r="I487" t="str">
        <f>IFERROR(VLOOKUP(WTG_BD[[#This Row],[Affected WTG]],'Basic Data'!$A$3:$E$25,3,0),"")</f>
        <v>KSIPL</v>
      </c>
      <c r="J487" s="355">
        <f>IFERROR(VLOOKUP(WTG_BD[[#This Row],[Affected WTG]],'Basic Data'!$A$3:$E$25,5,0),"")</f>
        <v>4.3478260869565223E-2</v>
      </c>
      <c r="K487" s="10">
        <v>900</v>
      </c>
      <c r="L487" t="str">
        <f>IFERROR(VLOOKUP(WTG_BD[[#This Row],[Error Code]],'Basic Data'!S:T,2,0),"Incorrect Error Code")</f>
        <v>Pause pressed on keyboard</v>
      </c>
      <c r="M487" t="s">
        <v>137</v>
      </c>
      <c r="N487" t="s">
        <v>257</v>
      </c>
      <c r="O487" s="168">
        <v>0.65347222222222223</v>
      </c>
      <c r="P487" s="168">
        <v>0.65347222222222223</v>
      </c>
      <c r="Q487" s="168">
        <v>0.74027777777777781</v>
      </c>
      <c r="R487" s="356">
        <f>(WTG_BD[[#This Row],[Work Start TimeStamp]]-WTG_BD[[#This Row],[Fault Start TimeStamp]])*24</f>
        <v>0</v>
      </c>
      <c r="S487" s="34">
        <f>(WTG_BD[[#This Row],[Fault Clearance time]]-WTG_BD[[#This Row],[Work Start TimeStamp]])*24</f>
        <v>2.0833333333333339</v>
      </c>
      <c r="T487" s="34">
        <f>(WTG_BD[[#This Row],[Fault Clearance time]]-WTG_BD[[#This Row],[Fault Start TimeStamp]])*24</f>
        <v>2.0833333333333339</v>
      </c>
      <c r="U487" t="s">
        <v>4610</v>
      </c>
      <c r="V487" s="234" t="s">
        <v>255</v>
      </c>
      <c r="W487" s="50">
        <f>IFERROR(IF(N487="ROW",0,(WTG_BD[[#This Row],[Breakdown Time]]*WTG_BD[[#This Row],[Plant Equivalent Weightage]])),"")</f>
        <v>9.0579710144927578E-2</v>
      </c>
      <c r="X487" s="50"/>
      <c r="Y487" s="205">
        <v>1</v>
      </c>
      <c r="Z487" s="205"/>
      <c r="AA487" s="4">
        <v>9</v>
      </c>
    </row>
    <row r="488" spans="1:27">
      <c r="A488" s="10">
        <f t="shared" si="10"/>
        <v>487</v>
      </c>
      <c r="B488" s="43">
        <f>YEAR(WTG_BD[[#This Row],[Date]])+IF(MONTH(WTG_BD[[#This Row],[Date]])&gt;=4,1,0)</f>
        <v>2026</v>
      </c>
      <c r="C488" s="10">
        <v>2025</v>
      </c>
      <c r="D488" s="10" t="s">
        <v>4478</v>
      </c>
      <c r="E488" s="309">
        <f>WTG_BD[[#This Row],[Date]]-DAY(WTG_BD[[#This Row],[Date]])+1</f>
        <v>45809</v>
      </c>
      <c r="F488" s="32">
        <v>45813</v>
      </c>
      <c r="G488" t="s">
        <v>97</v>
      </c>
      <c r="H488" t="str">
        <f>IFERROR(VLOOKUP(WTG_BD[[#This Row],[Affected WTG]],'Basic Data'!$A$3:$E$25,2,0),"")</f>
        <v>O2R3</v>
      </c>
      <c r="I488" t="str">
        <f>IFERROR(VLOOKUP(WTG_BD[[#This Row],[Affected WTG]],'Basic Data'!$A$3:$E$25,3,0),"")</f>
        <v>JK</v>
      </c>
      <c r="J488" s="355">
        <f>IFERROR(VLOOKUP(WTG_BD[[#This Row],[Affected WTG]],'Basic Data'!$A$3:$E$25,5,0),"")</f>
        <v>4.3478260869565223E-2</v>
      </c>
      <c r="K488" s="10">
        <v>315</v>
      </c>
      <c r="L488" t="str">
        <f>IFERROR(VLOOKUP(WTG_BD[[#This Row],[Error Code]],'Basic Data'!S:T,2,0),"Incorrect Error Code")</f>
        <v>ExEx low voltage L_: ___V</v>
      </c>
      <c r="M488" t="s">
        <v>141</v>
      </c>
      <c r="N488" t="s">
        <v>113</v>
      </c>
      <c r="O488" s="168">
        <v>0</v>
      </c>
      <c r="P488" s="168">
        <v>0</v>
      </c>
      <c r="Q488" s="168">
        <v>7.2916666666666671E-2</v>
      </c>
      <c r="R488" s="356">
        <f>(WTG_BD[[#This Row],[Work Start TimeStamp]]-WTG_BD[[#This Row],[Fault Start TimeStamp]])*24</f>
        <v>0</v>
      </c>
      <c r="S488" s="34">
        <f>(WTG_BD[[#This Row],[Fault Clearance time]]-WTG_BD[[#This Row],[Work Start TimeStamp]])*24</f>
        <v>1.75</v>
      </c>
      <c r="T488" s="34">
        <f>(WTG_BD[[#This Row],[Fault Clearance time]]-WTG_BD[[#This Row],[Fault Start TimeStamp]])*24</f>
        <v>1.75</v>
      </c>
      <c r="U488" t="s">
        <v>4632</v>
      </c>
      <c r="V488" s="234" t="s">
        <v>255</v>
      </c>
      <c r="W488" s="50">
        <f>IFERROR(IF(N488="ROW",0,(WTG_BD[[#This Row],[Breakdown Time]]*WTG_BD[[#This Row],[Plant Equivalent Weightage]])),"")</f>
        <v>7.6086956521739135E-2</v>
      </c>
      <c r="X488" s="50"/>
      <c r="Y488" s="205">
        <v>1</v>
      </c>
      <c r="Z488" s="205"/>
      <c r="AA488" s="4">
        <v>528</v>
      </c>
    </row>
    <row r="489" spans="1:27">
      <c r="A489" s="10">
        <f t="shared" si="10"/>
        <v>488</v>
      </c>
      <c r="B489" s="43">
        <f>YEAR(WTG_BD[[#This Row],[Date]])+IF(MONTH(WTG_BD[[#This Row],[Date]])&gt;=4,1,0)</f>
        <v>2026</v>
      </c>
      <c r="C489" s="10">
        <v>2025</v>
      </c>
      <c r="D489" s="10" t="s">
        <v>4478</v>
      </c>
      <c r="E489" s="309">
        <f>WTG_BD[[#This Row],[Date]]-DAY(WTG_BD[[#This Row],[Date]])+1</f>
        <v>45809</v>
      </c>
      <c r="F489" s="32">
        <v>45814</v>
      </c>
      <c r="G489" t="s">
        <v>76</v>
      </c>
      <c r="H489" t="str">
        <f>IFERROR(VLOOKUP(WTG_BD[[#This Row],[Affected WTG]],'Basic Data'!$A$3:$E$25,2,0),"")</f>
        <v>O2R1</v>
      </c>
      <c r="I489" t="str">
        <f>IFERROR(VLOOKUP(WTG_BD[[#This Row],[Affected WTG]],'Basic Data'!$A$3:$E$25,3,0),"")</f>
        <v>KSIPL</v>
      </c>
      <c r="J489" s="355">
        <f>IFERROR(VLOOKUP(WTG_BD[[#This Row],[Affected WTG]],'Basic Data'!$A$3:$E$25,5,0),"")</f>
        <v>4.3478260869565223E-2</v>
      </c>
      <c r="K489" s="10">
        <v>335</v>
      </c>
      <c r="L489" t="str">
        <f>IFERROR(VLOOKUP(WTG_BD[[#This Row],[Error Code]],'Basic Data'!S:T,2,0),"Incorrect Error Code")</f>
        <v>ExtHighIRotorInv phase: _</v>
      </c>
      <c r="M489" t="s">
        <v>907</v>
      </c>
      <c r="N489" t="s">
        <v>113</v>
      </c>
      <c r="O489" s="168">
        <v>0.38333333333333336</v>
      </c>
      <c r="P489" s="168">
        <v>0.38333333333333336</v>
      </c>
      <c r="Q489" s="168">
        <v>0.3888888888888889</v>
      </c>
      <c r="R489" s="356">
        <f>(WTG_BD[[#This Row],[Work Start TimeStamp]]-WTG_BD[[#This Row],[Fault Start TimeStamp]])*24</f>
        <v>0</v>
      </c>
      <c r="S489" s="34">
        <f>(WTG_BD[[#This Row],[Fault Clearance time]]-WTG_BD[[#This Row],[Work Start TimeStamp]])*24</f>
        <v>0.13333333333333286</v>
      </c>
      <c r="T489" s="34">
        <f>(WTG_BD[[#This Row],[Fault Clearance time]]-WTG_BD[[#This Row],[Fault Start TimeStamp]])*24</f>
        <v>0.13333333333333286</v>
      </c>
      <c r="U489" t="s">
        <v>4593</v>
      </c>
      <c r="V489" s="234" t="s">
        <v>255</v>
      </c>
      <c r="W489" s="50">
        <f>IFERROR(IF(N489="ROW",0,(WTG_BD[[#This Row],[Breakdown Time]]*WTG_BD[[#This Row],[Plant Equivalent Weightage]])),"")</f>
        <v>5.7971014492753424E-3</v>
      </c>
      <c r="X489" s="50"/>
      <c r="Y489" s="205">
        <v>1</v>
      </c>
      <c r="Z489" s="205"/>
      <c r="AA489" s="4">
        <v>91</v>
      </c>
    </row>
    <row r="490" spans="1:27">
      <c r="A490" s="10">
        <f t="shared" si="10"/>
        <v>489</v>
      </c>
      <c r="B490" s="43">
        <f>YEAR(WTG_BD[[#This Row],[Date]])+IF(MONTH(WTG_BD[[#This Row],[Date]])&gt;=4,1,0)</f>
        <v>2026</v>
      </c>
      <c r="C490" s="10">
        <v>2025</v>
      </c>
      <c r="D490" s="10" t="s">
        <v>4478</v>
      </c>
      <c r="E490" s="309">
        <f>WTG_BD[[#This Row],[Date]]-DAY(WTG_BD[[#This Row],[Date]])+1</f>
        <v>45809</v>
      </c>
      <c r="F490" s="32">
        <v>45814</v>
      </c>
      <c r="G490" t="s">
        <v>76</v>
      </c>
      <c r="H490" t="str">
        <f>IFERROR(VLOOKUP(WTG_BD[[#This Row],[Affected WTG]],'Basic Data'!$A$3:$E$25,2,0),"")</f>
        <v>O2R1</v>
      </c>
      <c r="I490" t="str">
        <f>IFERROR(VLOOKUP(WTG_BD[[#This Row],[Affected WTG]],'Basic Data'!$A$3:$E$25,3,0),"")</f>
        <v>KSIPL</v>
      </c>
      <c r="J490" s="355">
        <f>IFERROR(VLOOKUP(WTG_BD[[#This Row],[Affected WTG]],'Basic Data'!$A$3:$E$25,5,0),"")</f>
        <v>4.3478260869565223E-2</v>
      </c>
      <c r="K490" s="10">
        <v>5471</v>
      </c>
      <c r="L490" t="str">
        <f>IFERROR(VLOOKUP(WTG_BD[[#This Row],[Error Code]],'Basic Data'!S:T,2,0),"Incorrect Error Code")</f>
        <v>GeneratorBreakerTripped</v>
      </c>
      <c r="M490" t="s">
        <v>370</v>
      </c>
      <c r="N490" t="s">
        <v>113</v>
      </c>
      <c r="O490" s="168">
        <v>0.3888888888888889</v>
      </c>
      <c r="P490" s="168">
        <v>0.3888888888888889</v>
      </c>
      <c r="Q490" s="168">
        <v>0.51666666666666672</v>
      </c>
      <c r="R490" s="356">
        <f>(WTG_BD[[#This Row],[Work Start TimeStamp]]-WTG_BD[[#This Row],[Fault Start TimeStamp]])*24</f>
        <v>0</v>
      </c>
      <c r="S490" s="34">
        <f>(WTG_BD[[#This Row],[Fault Clearance time]]-WTG_BD[[#This Row],[Work Start TimeStamp]])*24</f>
        <v>3.0666666666666678</v>
      </c>
      <c r="T490" s="34">
        <f>(WTG_BD[[#This Row],[Fault Clearance time]]-WTG_BD[[#This Row],[Fault Start TimeStamp]])*24</f>
        <v>3.0666666666666678</v>
      </c>
      <c r="U490" t="s">
        <v>4591</v>
      </c>
      <c r="V490" s="234" t="s">
        <v>255</v>
      </c>
      <c r="W490" s="50">
        <f>IFERROR(IF(N490="ROW",0,(WTG_BD[[#This Row],[Breakdown Time]]*WTG_BD[[#This Row],[Plant Equivalent Weightage]])),"")</f>
        <v>0.13333333333333339</v>
      </c>
      <c r="X490" s="50"/>
      <c r="Y490" s="205">
        <v>1</v>
      </c>
      <c r="Z490" s="205"/>
      <c r="AA490" s="4">
        <v>1244</v>
      </c>
    </row>
    <row r="491" spans="1:27">
      <c r="A491" s="10">
        <f t="shared" si="10"/>
        <v>490</v>
      </c>
      <c r="B491" s="43">
        <f>YEAR(WTG_BD[[#This Row],[Date]])+IF(MONTH(WTG_BD[[#This Row],[Date]])&gt;=4,1,0)</f>
        <v>2026</v>
      </c>
      <c r="C491" s="10">
        <v>2025</v>
      </c>
      <c r="D491" s="10" t="s">
        <v>4478</v>
      </c>
      <c r="E491" s="309">
        <f>WTG_BD[[#This Row],[Date]]-DAY(WTG_BD[[#This Row],[Date]])+1</f>
        <v>45809</v>
      </c>
      <c r="F491" s="32">
        <v>45814</v>
      </c>
      <c r="G491" t="s">
        <v>95</v>
      </c>
      <c r="H491" t="str">
        <f>IFERROR(VLOOKUP(WTG_BD[[#This Row],[Affected WTG]],'Basic Data'!$A$3:$E$25,2,0),"")</f>
        <v>O2R1</v>
      </c>
      <c r="I491" t="str">
        <f>IFERROR(VLOOKUP(WTG_BD[[#This Row],[Affected WTG]],'Basic Data'!$A$3:$E$25,3,0),"")</f>
        <v>KSIPL</v>
      </c>
      <c r="J491" s="355">
        <f>IFERROR(VLOOKUP(WTG_BD[[#This Row],[Affected WTG]],'Basic Data'!$A$3:$E$25,5,0),"")</f>
        <v>4.3478260869565223E-2</v>
      </c>
      <c r="K491" s="10">
        <v>900</v>
      </c>
      <c r="L491" t="str">
        <f>IFERROR(VLOOKUP(WTG_BD[[#This Row],[Error Code]],'Basic Data'!S:T,2,0),"Incorrect Error Code")</f>
        <v>Pause pressed on keyboard</v>
      </c>
      <c r="M491" t="s">
        <v>137</v>
      </c>
      <c r="N491" t="s">
        <v>257</v>
      </c>
      <c r="O491" s="168">
        <v>0.33680555555555558</v>
      </c>
      <c r="P491" s="168">
        <v>0.33680555555555558</v>
      </c>
      <c r="Q491" s="168">
        <v>0.65833333333333333</v>
      </c>
      <c r="R491" s="356">
        <f>(WTG_BD[[#This Row],[Work Start TimeStamp]]-WTG_BD[[#This Row],[Fault Start TimeStamp]])*24</f>
        <v>0</v>
      </c>
      <c r="S491" s="34">
        <f>(WTG_BD[[#This Row],[Fault Clearance time]]-WTG_BD[[#This Row],[Work Start TimeStamp]])*24</f>
        <v>7.7166666666666659</v>
      </c>
      <c r="T491" s="34">
        <f>(WTG_BD[[#This Row],[Fault Clearance time]]-WTG_BD[[#This Row],[Fault Start TimeStamp]])*24</f>
        <v>7.7166666666666659</v>
      </c>
      <c r="U491" t="s">
        <v>4635</v>
      </c>
      <c r="V491" s="234" t="s">
        <v>255</v>
      </c>
      <c r="W491" s="50">
        <f>IFERROR(IF(N491="ROW",0,(WTG_BD[[#This Row],[Breakdown Time]]*WTG_BD[[#This Row],[Plant Equivalent Weightage]])),"")</f>
        <v>0.33550724637681162</v>
      </c>
      <c r="X491" s="50"/>
      <c r="Y491" s="205">
        <v>1</v>
      </c>
      <c r="Z491" s="205"/>
      <c r="AA491" s="4">
        <v>3126</v>
      </c>
    </row>
    <row r="492" spans="1:27">
      <c r="A492" s="10">
        <f t="shared" si="10"/>
        <v>491</v>
      </c>
      <c r="B492" s="43">
        <f>YEAR(WTG_BD[[#This Row],[Date]])+IF(MONTH(WTG_BD[[#This Row],[Date]])&gt;=4,1,0)</f>
        <v>2026</v>
      </c>
      <c r="C492" s="10">
        <v>2025</v>
      </c>
      <c r="D492" s="10" t="s">
        <v>4478</v>
      </c>
      <c r="E492" s="309">
        <f>WTG_BD[[#This Row],[Date]]-DAY(WTG_BD[[#This Row],[Date]])+1</f>
        <v>45809</v>
      </c>
      <c r="F492" s="32">
        <v>45815</v>
      </c>
      <c r="G492" t="s">
        <v>76</v>
      </c>
      <c r="H492" t="str">
        <f>IFERROR(VLOOKUP(WTG_BD[[#This Row],[Affected WTG]],'Basic Data'!$A$3:$E$25,2,0),"")</f>
        <v>O2R1</v>
      </c>
      <c r="I492" t="str">
        <f>IFERROR(VLOOKUP(WTG_BD[[#This Row],[Affected WTG]],'Basic Data'!$A$3:$E$25,3,0),"")</f>
        <v>KSIPL</v>
      </c>
      <c r="J492" s="355">
        <f>IFERROR(VLOOKUP(WTG_BD[[#This Row],[Affected WTG]],'Basic Data'!$A$3:$E$25,5,0),"")</f>
        <v>4.3478260869565223E-2</v>
      </c>
      <c r="K492" s="10">
        <v>450</v>
      </c>
      <c r="L492" t="str">
        <f>IFERROR(VLOOKUP(WTG_BD[[#This Row],[Error Code]],'Basic Data'!S:T,2,0),"Incorrect Error Code")</f>
        <v>Ext. High I sum Grd inv.</v>
      </c>
      <c r="M492" t="s">
        <v>368</v>
      </c>
      <c r="N492" t="s">
        <v>113</v>
      </c>
      <c r="O492" s="168">
        <v>0.75972222222222219</v>
      </c>
      <c r="P492" s="168">
        <v>0.75972222222222219</v>
      </c>
      <c r="Q492" s="168">
        <v>0.76388888888888884</v>
      </c>
      <c r="R492" s="356">
        <f>(WTG_BD[[#This Row],[Work Start TimeStamp]]-WTG_BD[[#This Row],[Fault Start TimeStamp]])*24</f>
        <v>0</v>
      </c>
      <c r="S492" s="34">
        <f>(WTG_BD[[#This Row],[Fault Clearance time]]-WTG_BD[[#This Row],[Work Start TimeStamp]])*24</f>
        <v>9.9999999999999645E-2</v>
      </c>
      <c r="T492" s="34">
        <f>(WTG_BD[[#This Row],[Fault Clearance time]]-WTG_BD[[#This Row],[Fault Start TimeStamp]])*24</f>
        <v>9.9999999999999645E-2</v>
      </c>
      <c r="U492" t="s">
        <v>262</v>
      </c>
      <c r="V492" s="234" t="s">
        <v>255</v>
      </c>
      <c r="W492" s="50">
        <f>IFERROR(IF(N492="ROW",0,(WTG_BD[[#This Row],[Breakdown Time]]*WTG_BD[[#This Row],[Plant Equivalent Weightage]])),"")</f>
        <v>4.347826086956507E-3</v>
      </c>
      <c r="X492" s="50"/>
      <c r="Y492" s="205">
        <v>1</v>
      </c>
      <c r="Z492" s="205"/>
      <c r="AA492" s="4">
        <v>105</v>
      </c>
    </row>
    <row r="493" spans="1:27">
      <c r="A493" s="10">
        <f t="shared" si="10"/>
        <v>492</v>
      </c>
      <c r="B493" s="43">
        <f>YEAR(WTG_BD[[#This Row],[Date]])+IF(MONTH(WTG_BD[[#This Row],[Date]])&gt;=4,1,0)</f>
        <v>2026</v>
      </c>
      <c r="C493" s="10">
        <v>2025</v>
      </c>
      <c r="D493" s="10" t="s">
        <v>4478</v>
      </c>
      <c r="E493" s="309">
        <f>WTG_BD[[#This Row],[Date]]-DAY(WTG_BD[[#This Row],[Date]])+1</f>
        <v>45809</v>
      </c>
      <c r="F493" s="32">
        <v>45815</v>
      </c>
      <c r="G493" t="s">
        <v>77</v>
      </c>
      <c r="H493" t="str">
        <f>IFERROR(VLOOKUP(WTG_BD[[#This Row],[Affected WTG]],'Basic Data'!$A$3:$E$25,2,0),"")</f>
        <v>O2R3</v>
      </c>
      <c r="I493" t="str">
        <f>IFERROR(VLOOKUP(WTG_BD[[#This Row],[Affected WTG]],'Basic Data'!$A$3:$E$25,3,0),"")</f>
        <v>JK</v>
      </c>
      <c r="J493" s="355">
        <f>IFERROR(VLOOKUP(WTG_BD[[#This Row],[Affected WTG]],'Basic Data'!$A$3:$E$25,5,0),"")</f>
        <v>4.3478260869565223E-2</v>
      </c>
      <c r="K493" s="10">
        <v>900</v>
      </c>
      <c r="L493" t="str">
        <f>IFERROR(VLOOKUP(WTG_BD[[#This Row],[Error Code]],'Basic Data'!S:T,2,0),"Incorrect Error Code")</f>
        <v>Pause pressed on keyboard</v>
      </c>
      <c r="M493" t="s">
        <v>137</v>
      </c>
      <c r="N493" t="s">
        <v>257</v>
      </c>
      <c r="O493" s="168">
        <v>0.58263888888888893</v>
      </c>
      <c r="P493" s="168">
        <v>0.58263888888888893</v>
      </c>
      <c r="Q493" s="168">
        <v>0.67083333333333328</v>
      </c>
      <c r="R493" s="356">
        <f>(WTG_BD[[#This Row],[Work Start TimeStamp]]-WTG_BD[[#This Row],[Fault Start TimeStamp]])*24</f>
        <v>0</v>
      </c>
      <c r="S493" s="34">
        <f>(WTG_BD[[#This Row],[Fault Clearance time]]-WTG_BD[[#This Row],[Work Start TimeStamp]])*24</f>
        <v>2.1166666666666645</v>
      </c>
      <c r="T493" s="34">
        <f>(WTG_BD[[#This Row],[Fault Clearance time]]-WTG_BD[[#This Row],[Fault Start TimeStamp]])*24</f>
        <v>2.1166666666666645</v>
      </c>
      <c r="U493" t="s">
        <v>4610</v>
      </c>
      <c r="V493" s="234" t="s">
        <v>255</v>
      </c>
      <c r="W493" s="50">
        <f>IFERROR(IF(N493="ROW",0,(WTG_BD[[#This Row],[Breakdown Time]]*WTG_BD[[#This Row],[Plant Equivalent Weightage]])),"")</f>
        <v>9.2028985507246294E-2</v>
      </c>
      <c r="X493" s="50"/>
      <c r="Y493" s="205">
        <v>1</v>
      </c>
      <c r="Z493" s="205"/>
      <c r="AA493" s="4">
        <v>1173</v>
      </c>
    </row>
    <row r="494" spans="1:27">
      <c r="A494" s="10">
        <f t="shared" si="10"/>
        <v>493</v>
      </c>
      <c r="B494" s="43">
        <f>YEAR(WTG_BD[[#This Row],[Date]])+IF(MONTH(WTG_BD[[#This Row],[Date]])&gt;=4,1,0)</f>
        <v>2026</v>
      </c>
      <c r="C494" s="10">
        <v>2025</v>
      </c>
      <c r="D494" s="10" t="s">
        <v>4478</v>
      </c>
      <c r="E494" s="309">
        <f>WTG_BD[[#This Row],[Date]]-DAY(WTG_BD[[#This Row],[Date]])+1</f>
        <v>45809</v>
      </c>
      <c r="F494" s="32">
        <v>45815</v>
      </c>
      <c r="G494" t="s">
        <v>79</v>
      </c>
      <c r="H494" t="str">
        <f>IFERROR(VLOOKUP(WTG_BD[[#This Row],[Affected WTG]],'Basic Data'!$A$3:$E$25,2,0),"")</f>
        <v>O2R3</v>
      </c>
      <c r="I494" t="str">
        <f>IFERROR(VLOOKUP(WTG_BD[[#This Row],[Affected WTG]],'Basic Data'!$A$3:$E$25,3,0),"")</f>
        <v>JK</v>
      </c>
      <c r="J494" s="355">
        <f>IFERROR(VLOOKUP(WTG_BD[[#This Row],[Affected WTG]],'Basic Data'!$A$3:$E$25,5,0),"")</f>
        <v>4.3478260869565223E-2</v>
      </c>
      <c r="K494" s="10">
        <v>704</v>
      </c>
      <c r="L494" t="str">
        <f>IFERROR(VLOOKUP(WTG_BD[[#This Row],[Error Code]],'Basic Data'!S:T,2,0),"Incorrect Error Code")</f>
        <v>Ch High res. load C_ Load:___%</v>
      </c>
      <c r="M494" t="s">
        <v>372</v>
      </c>
      <c r="N494" t="s">
        <v>113</v>
      </c>
      <c r="O494" s="168">
        <v>0.91666666666666663</v>
      </c>
      <c r="P494" s="168">
        <v>0.91666666666666663</v>
      </c>
      <c r="Q494" s="168">
        <v>0.92986111111111114</v>
      </c>
      <c r="R494" s="356">
        <f>(WTG_BD[[#This Row],[Work Start TimeStamp]]-WTG_BD[[#This Row],[Fault Start TimeStamp]])*24</f>
        <v>0</v>
      </c>
      <c r="S494" s="34">
        <f>(WTG_BD[[#This Row],[Fault Clearance time]]-WTG_BD[[#This Row],[Work Start TimeStamp]])*24</f>
        <v>0.31666666666666821</v>
      </c>
      <c r="T494" s="34">
        <f>(WTG_BD[[#This Row],[Fault Clearance time]]-WTG_BD[[#This Row],[Fault Start TimeStamp]])*24</f>
        <v>0.31666666666666821</v>
      </c>
      <c r="U494" t="s">
        <v>4268</v>
      </c>
      <c r="V494" s="234" t="s">
        <v>255</v>
      </c>
      <c r="W494" s="50">
        <f>IFERROR(IF(N494="ROW",0,(WTG_BD[[#This Row],[Breakdown Time]]*WTG_BD[[#This Row],[Plant Equivalent Weightage]])),"")</f>
        <v>1.3768115942029055E-2</v>
      </c>
      <c r="X494" s="50"/>
      <c r="Y494" s="205">
        <v>1</v>
      </c>
      <c r="Z494" s="205"/>
      <c r="AA494" s="4">
        <v>87</v>
      </c>
    </row>
    <row r="495" spans="1:27">
      <c r="A495" s="10">
        <f t="shared" si="10"/>
        <v>494</v>
      </c>
      <c r="B495" s="43">
        <f>YEAR(WTG_BD[[#This Row],[Date]])+IF(MONTH(WTG_BD[[#This Row],[Date]])&gt;=4,1,0)</f>
        <v>2026</v>
      </c>
      <c r="C495" s="10">
        <v>2025</v>
      </c>
      <c r="D495" s="10" t="s">
        <v>4478</v>
      </c>
      <c r="E495" s="309">
        <f>WTG_BD[[#This Row],[Date]]-DAY(WTG_BD[[#This Row],[Date]])+1</f>
        <v>45809</v>
      </c>
      <c r="F495" s="32">
        <v>45815</v>
      </c>
      <c r="G495" t="s">
        <v>79</v>
      </c>
      <c r="H495" t="str">
        <f>IFERROR(VLOOKUP(WTG_BD[[#This Row],[Affected WTG]],'Basic Data'!$A$3:$E$25,2,0),"")</f>
        <v>O2R3</v>
      </c>
      <c r="I495" t="str">
        <f>IFERROR(VLOOKUP(WTG_BD[[#This Row],[Affected WTG]],'Basic Data'!$A$3:$E$25,3,0),"")</f>
        <v>JK</v>
      </c>
      <c r="J495" s="355">
        <f>IFERROR(VLOOKUP(WTG_BD[[#This Row],[Affected WTG]],'Basic Data'!$A$3:$E$25,5,0),"")</f>
        <v>4.3478260869565223E-2</v>
      </c>
      <c r="K495" s="10">
        <v>704</v>
      </c>
      <c r="L495" t="str">
        <f>IFERROR(VLOOKUP(WTG_BD[[#This Row],[Error Code]],'Basic Data'!S:T,2,0),"Incorrect Error Code")</f>
        <v>Ch High res. load C_ Load:___%</v>
      </c>
      <c r="M495" t="s">
        <v>372</v>
      </c>
      <c r="N495" t="s">
        <v>113</v>
      </c>
      <c r="O495" s="168">
        <v>0.94236111111111109</v>
      </c>
      <c r="P495" s="168">
        <v>0.94236111111111109</v>
      </c>
      <c r="Q495" s="168">
        <v>0.95625000000000004</v>
      </c>
      <c r="R495" s="356">
        <f>(WTG_BD[[#This Row],[Work Start TimeStamp]]-WTG_BD[[#This Row],[Fault Start TimeStamp]])*24</f>
        <v>0</v>
      </c>
      <c r="S495" s="34">
        <f>(WTG_BD[[#This Row],[Fault Clearance time]]-WTG_BD[[#This Row],[Work Start TimeStamp]])*24</f>
        <v>0.33333333333333481</v>
      </c>
      <c r="T495" s="34">
        <f>(WTG_BD[[#This Row],[Fault Clearance time]]-WTG_BD[[#This Row],[Fault Start TimeStamp]])*24</f>
        <v>0.33333333333333481</v>
      </c>
      <c r="U495" t="s">
        <v>4268</v>
      </c>
      <c r="V495" s="234" t="s">
        <v>255</v>
      </c>
      <c r="W495" s="50">
        <f>IFERROR(IF(N495="ROW",0,(WTG_BD[[#This Row],[Breakdown Time]]*WTG_BD[[#This Row],[Plant Equivalent Weightage]])),"")</f>
        <v>1.4492753623188472E-2</v>
      </c>
      <c r="X495" s="50"/>
      <c r="Y495" s="205">
        <v>1</v>
      </c>
      <c r="Z495" s="205"/>
      <c r="AA495" s="4">
        <v>134</v>
      </c>
    </row>
    <row r="496" spans="1:27">
      <c r="A496" s="10">
        <f t="shared" si="10"/>
        <v>495</v>
      </c>
      <c r="B496" s="43">
        <f>YEAR(WTG_BD[[#This Row],[Date]])+IF(MONTH(WTG_BD[[#This Row],[Date]])&gt;=4,1,0)</f>
        <v>2026</v>
      </c>
      <c r="C496" s="10">
        <v>2025</v>
      </c>
      <c r="D496" s="10" t="s">
        <v>4478</v>
      </c>
      <c r="E496" s="309">
        <f>WTG_BD[[#This Row],[Date]]-DAY(WTG_BD[[#This Row],[Date]])+1</f>
        <v>45809</v>
      </c>
      <c r="F496" s="32">
        <v>45815</v>
      </c>
      <c r="G496" t="s">
        <v>79</v>
      </c>
      <c r="H496" t="str">
        <f>IFERROR(VLOOKUP(WTG_BD[[#This Row],[Affected WTG]],'Basic Data'!$A$3:$E$25,2,0),"")</f>
        <v>O2R3</v>
      </c>
      <c r="I496" t="str">
        <f>IFERROR(VLOOKUP(WTG_BD[[#This Row],[Affected WTG]],'Basic Data'!$A$3:$E$25,3,0),"")</f>
        <v>JK</v>
      </c>
      <c r="J496" s="355">
        <f>IFERROR(VLOOKUP(WTG_BD[[#This Row],[Affected WTG]],'Basic Data'!$A$3:$E$25,5,0),"")</f>
        <v>4.3478260869565223E-2</v>
      </c>
      <c r="K496" s="10">
        <v>704</v>
      </c>
      <c r="L496" t="str">
        <f>IFERROR(VLOOKUP(WTG_BD[[#This Row],[Error Code]],'Basic Data'!S:T,2,0),"Incorrect Error Code")</f>
        <v>Ch High res. load C_ Load:___%</v>
      </c>
      <c r="M496" t="s">
        <v>372</v>
      </c>
      <c r="N496" t="s">
        <v>113</v>
      </c>
      <c r="O496" s="168">
        <v>0.97916666666666663</v>
      </c>
      <c r="P496" s="168">
        <v>0.97916666666666663</v>
      </c>
      <c r="Q496" s="168">
        <v>0.99930555555555556</v>
      </c>
      <c r="R496" s="356">
        <f>(WTG_BD[[#This Row],[Work Start TimeStamp]]-WTG_BD[[#This Row],[Fault Start TimeStamp]])*24</f>
        <v>0</v>
      </c>
      <c r="S496" s="34">
        <f>(WTG_BD[[#This Row],[Fault Clearance time]]-WTG_BD[[#This Row],[Work Start TimeStamp]])*24</f>
        <v>0.48333333333333428</v>
      </c>
      <c r="T496" s="34">
        <f>(WTG_BD[[#This Row],[Fault Clearance time]]-WTG_BD[[#This Row],[Fault Start TimeStamp]])*24</f>
        <v>0.48333333333333428</v>
      </c>
      <c r="U496" t="s">
        <v>4268</v>
      </c>
      <c r="V496" s="234" t="s">
        <v>255</v>
      </c>
      <c r="W496" s="50">
        <f>IFERROR(IF(N496="ROW",0,(WTG_BD[[#This Row],[Breakdown Time]]*WTG_BD[[#This Row],[Plant Equivalent Weightage]])),"")</f>
        <v>2.1014492753623232E-2</v>
      </c>
      <c r="X496" s="50"/>
      <c r="Y496" s="205">
        <v>1</v>
      </c>
      <c r="Z496" s="205"/>
      <c r="AA496" s="4">
        <v>113</v>
      </c>
    </row>
    <row r="497" spans="1:27">
      <c r="A497" s="10">
        <f t="shared" si="10"/>
        <v>496</v>
      </c>
      <c r="B497" s="43">
        <f>YEAR(WTG_BD[[#This Row],[Date]])+IF(MONTH(WTG_BD[[#This Row],[Date]])&gt;=4,1,0)</f>
        <v>2026</v>
      </c>
      <c r="C497" s="10">
        <v>2025</v>
      </c>
      <c r="D497" s="10" t="s">
        <v>4478</v>
      </c>
      <c r="E497" s="309">
        <f>WTG_BD[[#This Row],[Date]]-DAY(WTG_BD[[#This Row],[Date]])+1</f>
        <v>45809</v>
      </c>
      <c r="F497" s="32">
        <v>45815</v>
      </c>
      <c r="G497" t="s">
        <v>79</v>
      </c>
      <c r="H497" t="str">
        <f>IFERROR(VLOOKUP(WTG_BD[[#This Row],[Affected WTG]],'Basic Data'!$A$3:$E$25,2,0),"")</f>
        <v>O2R3</v>
      </c>
      <c r="I497" t="str">
        <f>IFERROR(VLOOKUP(WTG_BD[[#This Row],[Affected WTG]],'Basic Data'!$A$3:$E$25,3,0),"")</f>
        <v>JK</v>
      </c>
      <c r="J497" s="355">
        <f>IFERROR(VLOOKUP(WTG_BD[[#This Row],[Affected WTG]],'Basic Data'!$A$3:$E$25,5,0),"")</f>
        <v>4.3478260869565223E-2</v>
      </c>
      <c r="K497" s="10">
        <v>6290</v>
      </c>
      <c r="L497" t="str">
        <f>IFERROR(VLOOKUP(WTG_BD[[#This Row],[Error Code]],'Basic Data'!S:T,2,0),"Incorrect Error Code")</f>
        <v>Pitch Accu. Test active</v>
      </c>
      <c r="M497" t="s">
        <v>4304</v>
      </c>
      <c r="N497" t="s">
        <v>113</v>
      </c>
      <c r="O497" s="168">
        <v>0.93472222222222223</v>
      </c>
      <c r="P497" s="168">
        <v>0.93472222222222223</v>
      </c>
      <c r="Q497" s="168">
        <v>0.9375</v>
      </c>
      <c r="R497" s="356">
        <f>(WTG_BD[[#This Row],[Work Start TimeStamp]]-WTG_BD[[#This Row],[Fault Start TimeStamp]])*24</f>
        <v>0</v>
      </c>
      <c r="S497" s="34">
        <f>(WTG_BD[[#This Row],[Fault Clearance time]]-WTG_BD[[#This Row],[Work Start TimeStamp]])*24</f>
        <v>6.666666666666643E-2</v>
      </c>
      <c r="T497" s="34">
        <f>(WTG_BD[[#This Row],[Fault Clearance time]]-WTG_BD[[#This Row],[Fault Start TimeStamp]])*24</f>
        <v>6.666666666666643E-2</v>
      </c>
      <c r="U497" t="s">
        <v>262</v>
      </c>
      <c r="V497" s="234" t="s">
        <v>255</v>
      </c>
      <c r="W497" s="50">
        <f>IFERROR(IF(N497="ROW",0,(WTG_BD[[#This Row],[Breakdown Time]]*WTG_BD[[#This Row],[Plant Equivalent Weightage]])),"")</f>
        <v>2.8985507246376712E-3</v>
      </c>
      <c r="X497" s="50"/>
      <c r="Y497" s="205">
        <v>1</v>
      </c>
      <c r="Z497" s="205"/>
      <c r="AA497" s="4">
        <v>24</v>
      </c>
    </row>
    <row r="498" spans="1:27">
      <c r="A498" s="10">
        <f t="shared" si="10"/>
        <v>497</v>
      </c>
      <c r="B498" s="43">
        <f>YEAR(WTG_BD[[#This Row],[Date]])+IF(MONTH(WTG_BD[[#This Row],[Date]])&gt;=4,1,0)</f>
        <v>2026</v>
      </c>
      <c r="C498" s="10">
        <v>2025</v>
      </c>
      <c r="D498" s="10" t="s">
        <v>4478</v>
      </c>
      <c r="E498" s="309">
        <f>WTG_BD[[#This Row],[Date]]-DAY(WTG_BD[[#This Row],[Date]])+1</f>
        <v>45809</v>
      </c>
      <c r="F498" s="32">
        <v>45815</v>
      </c>
      <c r="G498" t="s">
        <v>80</v>
      </c>
      <c r="H498" t="str">
        <f>IFERROR(VLOOKUP(WTG_BD[[#This Row],[Affected WTG]],'Basic Data'!$A$3:$E$25,2,0),"")</f>
        <v>O2R3</v>
      </c>
      <c r="I498" t="str">
        <f>IFERROR(VLOOKUP(WTG_BD[[#This Row],[Affected WTG]],'Basic Data'!$A$3:$E$25,3,0),"")</f>
        <v>JK</v>
      </c>
      <c r="J498" s="355">
        <f>IFERROR(VLOOKUP(WTG_BD[[#This Row],[Affected WTG]],'Basic Data'!$A$3:$E$25,5,0),"")</f>
        <v>4.3478260869565223E-2</v>
      </c>
      <c r="K498" s="10">
        <v>900</v>
      </c>
      <c r="L498" t="str">
        <f>IFERROR(VLOOKUP(WTG_BD[[#This Row],[Error Code]],'Basic Data'!S:T,2,0),"Incorrect Error Code")</f>
        <v>Pause pressed on keyboard</v>
      </c>
      <c r="M498" t="s">
        <v>137</v>
      </c>
      <c r="N498" t="s">
        <v>257</v>
      </c>
      <c r="O498" s="168">
        <v>0.74097222222222225</v>
      </c>
      <c r="P498" s="168">
        <v>0.74097222222222225</v>
      </c>
      <c r="Q498" s="168">
        <v>0.76944444444444449</v>
      </c>
      <c r="R498" s="356">
        <f>(WTG_BD[[#This Row],[Work Start TimeStamp]]-WTG_BD[[#This Row],[Fault Start TimeStamp]])*24</f>
        <v>0</v>
      </c>
      <c r="S498" s="34">
        <f>(WTG_BD[[#This Row],[Fault Clearance time]]-WTG_BD[[#This Row],[Work Start TimeStamp]])*24</f>
        <v>0.68333333333333357</v>
      </c>
      <c r="T498" s="34">
        <f>(WTG_BD[[#This Row],[Fault Clearance time]]-WTG_BD[[#This Row],[Fault Start TimeStamp]])*24</f>
        <v>0.68333333333333357</v>
      </c>
      <c r="U498" t="s">
        <v>4610</v>
      </c>
      <c r="V498" s="234" t="s">
        <v>255</v>
      </c>
      <c r="W498" s="50">
        <f>IFERROR(IF(N498="ROW",0,(WTG_BD[[#This Row],[Breakdown Time]]*WTG_BD[[#This Row],[Plant Equivalent Weightage]])),"")</f>
        <v>2.9710144927536247E-2</v>
      </c>
      <c r="X498" s="50"/>
      <c r="Y498" s="205">
        <v>1</v>
      </c>
      <c r="Z498" s="205"/>
      <c r="AA498" s="4">
        <v>589</v>
      </c>
    </row>
    <row r="499" spans="1:27">
      <c r="A499" s="10">
        <f t="shared" si="10"/>
        <v>498</v>
      </c>
      <c r="B499" s="43">
        <f>YEAR(WTG_BD[[#This Row],[Date]])+IF(MONTH(WTG_BD[[#This Row],[Date]])&gt;=4,1,0)</f>
        <v>2026</v>
      </c>
      <c r="C499" s="10">
        <v>2025</v>
      </c>
      <c r="D499" s="10" t="s">
        <v>4478</v>
      </c>
      <c r="E499" s="309">
        <f>WTG_BD[[#This Row],[Date]]-DAY(WTG_BD[[#This Row],[Date]])+1</f>
        <v>45809</v>
      </c>
      <c r="F499" s="32">
        <v>45815</v>
      </c>
      <c r="G499" t="s">
        <v>80</v>
      </c>
      <c r="H499" t="str">
        <f>IFERROR(VLOOKUP(WTG_BD[[#This Row],[Affected WTG]],'Basic Data'!$A$3:$E$25,2,0),"")</f>
        <v>O2R3</v>
      </c>
      <c r="I499" t="str">
        <f>IFERROR(VLOOKUP(WTG_BD[[#This Row],[Affected WTG]],'Basic Data'!$A$3:$E$25,3,0),"")</f>
        <v>JK</v>
      </c>
      <c r="J499" s="355">
        <f>IFERROR(VLOOKUP(WTG_BD[[#This Row],[Affected WTG]],'Basic Data'!$A$3:$E$25,5,0),"")</f>
        <v>4.3478260869565223E-2</v>
      </c>
      <c r="K499" s="10">
        <v>704</v>
      </c>
      <c r="L499" t="str">
        <f>IFERROR(VLOOKUP(WTG_BD[[#This Row],[Error Code]],'Basic Data'!S:T,2,0),"Incorrect Error Code")</f>
        <v>Ch High res. load C_ Load:___%</v>
      </c>
      <c r="M499" t="s">
        <v>372</v>
      </c>
      <c r="N499" t="s">
        <v>113</v>
      </c>
      <c r="O499" s="168">
        <v>0.95</v>
      </c>
      <c r="P499" s="168">
        <v>0.95</v>
      </c>
      <c r="Q499" s="168">
        <v>0.95138888888888884</v>
      </c>
      <c r="R499" s="356">
        <f>(WTG_BD[[#This Row],[Work Start TimeStamp]]-WTG_BD[[#This Row],[Fault Start TimeStamp]])*24</f>
        <v>0</v>
      </c>
      <c r="S499" s="34">
        <f>(WTG_BD[[#This Row],[Fault Clearance time]]-WTG_BD[[#This Row],[Work Start TimeStamp]])*24</f>
        <v>3.3333333333333215E-2</v>
      </c>
      <c r="T499" s="34">
        <f>(WTG_BD[[#This Row],[Fault Clearance time]]-WTG_BD[[#This Row],[Fault Start TimeStamp]])*24</f>
        <v>3.3333333333333215E-2</v>
      </c>
      <c r="U499" t="s">
        <v>4268</v>
      </c>
      <c r="V499" s="234" t="s">
        <v>255</v>
      </c>
      <c r="W499" s="50">
        <f>IFERROR(IF(N499="ROW",0,(WTG_BD[[#This Row],[Breakdown Time]]*WTG_BD[[#This Row],[Plant Equivalent Weightage]])),"")</f>
        <v>1.4492753623188356E-3</v>
      </c>
      <c r="X499" s="50"/>
      <c r="Y499" s="205">
        <v>1</v>
      </c>
      <c r="Z499" s="205"/>
      <c r="AA499" s="4">
        <v>14</v>
      </c>
    </row>
    <row r="500" spans="1:27">
      <c r="A500" s="10">
        <f t="shared" si="10"/>
        <v>499</v>
      </c>
      <c r="B500" s="43">
        <f>YEAR(WTG_BD[[#This Row],[Date]])+IF(MONTH(WTG_BD[[#This Row],[Date]])&gt;=4,1,0)</f>
        <v>2026</v>
      </c>
      <c r="C500" s="10">
        <v>2025</v>
      </c>
      <c r="D500" s="10" t="s">
        <v>4478</v>
      </c>
      <c r="E500" s="309">
        <f>WTG_BD[[#This Row],[Date]]-DAY(WTG_BD[[#This Row],[Date]])+1</f>
        <v>45809</v>
      </c>
      <c r="F500" s="32">
        <v>45815</v>
      </c>
      <c r="G500" t="s">
        <v>80</v>
      </c>
      <c r="H500" t="str">
        <f>IFERROR(VLOOKUP(WTG_BD[[#This Row],[Affected WTG]],'Basic Data'!$A$3:$E$25,2,0),"")</f>
        <v>O2R3</v>
      </c>
      <c r="I500" t="str">
        <f>IFERROR(VLOOKUP(WTG_BD[[#This Row],[Affected WTG]],'Basic Data'!$A$3:$E$25,3,0),"")</f>
        <v>JK</v>
      </c>
      <c r="J500" s="355">
        <f>IFERROR(VLOOKUP(WTG_BD[[#This Row],[Affected WTG]],'Basic Data'!$A$3:$E$25,5,0),"")</f>
        <v>4.3478260869565223E-2</v>
      </c>
      <c r="K500" s="10">
        <v>6293</v>
      </c>
      <c r="L500" t="str">
        <f>IFERROR(VLOOKUP(WTG_BD[[#This Row],[Error Code]],'Basic Data'!S:T,2,0),"Incorrect Error Code")</f>
        <v>Pitch valves test acitve</v>
      </c>
      <c r="M500" t="s">
        <v>4303</v>
      </c>
      <c r="N500" t="s">
        <v>113</v>
      </c>
      <c r="O500" s="168">
        <v>0.95486111111111116</v>
      </c>
      <c r="P500" s="168">
        <v>0.95486111111111116</v>
      </c>
      <c r="Q500" s="168">
        <v>0.95833333333333337</v>
      </c>
      <c r="R500" s="356">
        <f>(WTG_BD[[#This Row],[Work Start TimeStamp]]-WTG_BD[[#This Row],[Fault Start TimeStamp]])*24</f>
        <v>0</v>
      </c>
      <c r="S500" s="34">
        <f>(WTG_BD[[#This Row],[Fault Clearance time]]-WTG_BD[[#This Row],[Work Start TimeStamp]])*24</f>
        <v>8.3333333333333037E-2</v>
      </c>
      <c r="T500" s="34">
        <f>(WTG_BD[[#This Row],[Fault Clearance time]]-WTG_BD[[#This Row],[Fault Start TimeStamp]])*24</f>
        <v>8.3333333333333037E-2</v>
      </c>
      <c r="U500" t="s">
        <v>262</v>
      </c>
      <c r="V500" s="234" t="s">
        <v>255</v>
      </c>
      <c r="W500" s="50">
        <f>IFERROR(IF(N500="ROW",0,(WTG_BD[[#This Row],[Breakdown Time]]*WTG_BD[[#This Row],[Plant Equivalent Weightage]])),"")</f>
        <v>3.6231884057970889E-3</v>
      </c>
      <c r="X500" s="50"/>
      <c r="Y500" s="205">
        <v>1</v>
      </c>
      <c r="Z500" s="205"/>
      <c r="AA500" s="4">
        <v>22</v>
      </c>
    </row>
    <row r="501" spans="1:27">
      <c r="A501" s="10">
        <f t="shared" si="10"/>
        <v>500</v>
      </c>
      <c r="B501" s="43">
        <f>YEAR(WTG_BD[[#This Row],[Date]])+IF(MONTH(WTG_BD[[#This Row],[Date]])&gt;=4,1,0)</f>
        <v>2026</v>
      </c>
      <c r="C501" s="10">
        <v>2025</v>
      </c>
      <c r="D501" s="10" t="s">
        <v>4478</v>
      </c>
      <c r="E501" s="309">
        <f>WTG_BD[[#This Row],[Date]]-DAY(WTG_BD[[#This Row],[Date]])+1</f>
        <v>45809</v>
      </c>
      <c r="F501" s="32">
        <v>45815</v>
      </c>
      <c r="G501" t="s">
        <v>83</v>
      </c>
      <c r="H501" t="str">
        <f>IFERROR(VLOOKUP(WTG_BD[[#This Row],[Affected WTG]],'Basic Data'!$A$3:$E$25,2,0),"")</f>
        <v>O2R3</v>
      </c>
      <c r="I501" t="str">
        <f>IFERROR(VLOOKUP(WTG_BD[[#This Row],[Affected WTG]],'Basic Data'!$A$3:$E$25,3,0),"")</f>
        <v>JK</v>
      </c>
      <c r="J501" s="355">
        <f>IFERROR(VLOOKUP(WTG_BD[[#This Row],[Affected WTG]],'Basic Data'!$A$3:$E$25,5,0),"")</f>
        <v>4.3478260869565223E-2</v>
      </c>
      <c r="K501" s="10">
        <v>137</v>
      </c>
      <c r="L501" t="str">
        <f>IFERROR(VLOOKUP(WTG_BD[[#This Row],[Error Code]],'Basic Data'!S:T,2,0),"Incorrect Error Code")</f>
        <v>Asym.currL2:____A,Others:____A</v>
      </c>
      <c r="M501" t="s">
        <v>706</v>
      </c>
      <c r="N501" t="s">
        <v>113</v>
      </c>
      <c r="O501" s="168">
        <v>0.49583333333333335</v>
      </c>
      <c r="P501" s="168">
        <v>0.49583333333333335</v>
      </c>
      <c r="Q501" s="168">
        <v>0.5</v>
      </c>
      <c r="R501" s="356">
        <f>(WTG_BD[[#This Row],[Work Start TimeStamp]]-WTG_BD[[#This Row],[Fault Start TimeStamp]])*24</f>
        <v>0</v>
      </c>
      <c r="S501" s="34">
        <f>(WTG_BD[[#This Row],[Fault Clearance time]]-WTG_BD[[#This Row],[Work Start TimeStamp]])*24</f>
        <v>9.9999999999999645E-2</v>
      </c>
      <c r="T501" s="34">
        <f>(WTG_BD[[#This Row],[Fault Clearance time]]-WTG_BD[[#This Row],[Fault Start TimeStamp]])*24</f>
        <v>9.9999999999999645E-2</v>
      </c>
      <c r="U501" t="s">
        <v>262</v>
      </c>
      <c r="V501" s="234" t="s">
        <v>255</v>
      </c>
      <c r="W501" s="50">
        <f>IFERROR(IF(N501="ROW",0,(WTG_BD[[#This Row],[Breakdown Time]]*WTG_BD[[#This Row],[Plant Equivalent Weightage]])),"")</f>
        <v>4.347826086956507E-3</v>
      </c>
      <c r="X501" s="50"/>
      <c r="Y501" s="205">
        <v>1</v>
      </c>
      <c r="Z501" s="205"/>
      <c r="AA501" s="4">
        <v>63</v>
      </c>
    </row>
    <row r="502" spans="1:27">
      <c r="A502" s="10">
        <f t="shared" si="10"/>
        <v>501</v>
      </c>
      <c r="B502" s="43">
        <f>YEAR(WTG_BD[[#This Row],[Date]])+IF(MONTH(WTG_BD[[#This Row],[Date]])&gt;=4,1,0)</f>
        <v>2026</v>
      </c>
      <c r="C502" s="10">
        <v>2025</v>
      </c>
      <c r="D502" s="10" t="s">
        <v>4478</v>
      </c>
      <c r="E502" s="309">
        <f>WTG_BD[[#This Row],[Date]]-DAY(WTG_BD[[#This Row],[Date]])+1</f>
        <v>45809</v>
      </c>
      <c r="F502" s="32">
        <v>45815</v>
      </c>
      <c r="G502" t="s">
        <v>86</v>
      </c>
      <c r="H502" t="str">
        <f>IFERROR(VLOOKUP(WTG_BD[[#This Row],[Affected WTG]],'Basic Data'!$A$3:$E$25,2,0),"")</f>
        <v>O2R1</v>
      </c>
      <c r="I502" t="str">
        <f>IFERROR(VLOOKUP(WTG_BD[[#This Row],[Affected WTG]],'Basic Data'!$A$3:$E$25,3,0),"")</f>
        <v>KSIPL</v>
      </c>
      <c r="J502" s="355">
        <f>IFERROR(VLOOKUP(WTG_BD[[#This Row],[Affected WTG]],'Basic Data'!$A$3:$E$25,5,0),"")</f>
        <v>4.3478260869565223E-2</v>
      </c>
      <c r="K502" s="10">
        <v>137</v>
      </c>
      <c r="L502" t="str">
        <f>IFERROR(VLOOKUP(WTG_BD[[#This Row],[Error Code]],'Basic Data'!S:T,2,0),"Incorrect Error Code")</f>
        <v>Asym.currL2:____A,Others:____A</v>
      </c>
      <c r="M502" t="s">
        <v>706</v>
      </c>
      <c r="N502" t="s">
        <v>113</v>
      </c>
      <c r="O502" s="168">
        <v>0.53263888888888888</v>
      </c>
      <c r="P502" s="168">
        <v>0.53263888888888888</v>
      </c>
      <c r="Q502" s="168">
        <v>0.53472222222222221</v>
      </c>
      <c r="R502" s="356">
        <f>(WTG_BD[[#This Row],[Work Start TimeStamp]]-WTG_BD[[#This Row],[Fault Start TimeStamp]])*24</f>
        <v>0</v>
      </c>
      <c r="S502" s="34">
        <f>(WTG_BD[[#This Row],[Fault Clearance time]]-WTG_BD[[#This Row],[Work Start TimeStamp]])*24</f>
        <v>4.9999999999999822E-2</v>
      </c>
      <c r="T502" s="34">
        <f>(WTG_BD[[#This Row],[Fault Clearance time]]-WTG_BD[[#This Row],[Fault Start TimeStamp]])*24</f>
        <v>4.9999999999999822E-2</v>
      </c>
      <c r="U502" t="s">
        <v>262</v>
      </c>
      <c r="V502" s="234" t="s">
        <v>255</v>
      </c>
      <c r="W502" s="50">
        <f>IFERROR(IF(N502="ROW",0,(WTG_BD[[#This Row],[Breakdown Time]]*WTG_BD[[#This Row],[Plant Equivalent Weightage]])),"")</f>
        <v>2.1739130434782535E-3</v>
      </c>
      <c r="X502" s="50"/>
      <c r="Y502" s="205">
        <v>1</v>
      </c>
      <c r="Z502" s="205"/>
      <c r="AA502" s="4">
        <v>69</v>
      </c>
    </row>
    <row r="503" spans="1:27">
      <c r="A503" s="10">
        <f t="shared" si="10"/>
        <v>502</v>
      </c>
      <c r="B503" s="43">
        <f>YEAR(WTG_BD[[#This Row],[Date]])+IF(MONTH(WTG_BD[[#This Row],[Date]])&gt;=4,1,0)</f>
        <v>2026</v>
      </c>
      <c r="C503" s="10">
        <v>2025</v>
      </c>
      <c r="D503" s="10" t="s">
        <v>4478</v>
      </c>
      <c r="E503" s="309">
        <f>WTG_BD[[#This Row],[Date]]-DAY(WTG_BD[[#This Row],[Date]])+1</f>
        <v>45809</v>
      </c>
      <c r="F503" s="32">
        <v>45815</v>
      </c>
      <c r="G503" t="s">
        <v>86</v>
      </c>
      <c r="H503" t="str">
        <f>IFERROR(VLOOKUP(WTG_BD[[#This Row],[Affected WTG]],'Basic Data'!$A$3:$E$25,2,0),"")</f>
        <v>O2R1</v>
      </c>
      <c r="I503" t="str">
        <f>IFERROR(VLOOKUP(WTG_BD[[#This Row],[Affected WTG]],'Basic Data'!$A$3:$E$25,3,0),"")</f>
        <v>KSIPL</v>
      </c>
      <c r="J503" s="355">
        <f>IFERROR(VLOOKUP(WTG_BD[[#This Row],[Affected WTG]],'Basic Data'!$A$3:$E$25,5,0),"")</f>
        <v>4.3478260869565223E-2</v>
      </c>
      <c r="K503" s="10">
        <v>6293</v>
      </c>
      <c r="L503" t="str">
        <f>IFERROR(VLOOKUP(WTG_BD[[#This Row],[Error Code]],'Basic Data'!S:T,2,0),"Incorrect Error Code")</f>
        <v>Pitch valves test acitve</v>
      </c>
      <c r="M503" t="s">
        <v>4303</v>
      </c>
      <c r="N503" t="s">
        <v>113</v>
      </c>
      <c r="O503" s="168">
        <v>0.53819444444444442</v>
      </c>
      <c r="P503" s="168">
        <v>0.53819444444444442</v>
      </c>
      <c r="Q503" s="168">
        <v>0.54166666666666663</v>
      </c>
      <c r="R503" s="356">
        <f>(WTG_BD[[#This Row],[Work Start TimeStamp]]-WTG_BD[[#This Row],[Fault Start TimeStamp]])*24</f>
        <v>0</v>
      </c>
      <c r="S503" s="34">
        <f>(WTG_BD[[#This Row],[Fault Clearance time]]-WTG_BD[[#This Row],[Work Start TimeStamp]])*24</f>
        <v>8.3333333333333037E-2</v>
      </c>
      <c r="T503" s="34">
        <f>(WTG_BD[[#This Row],[Fault Clearance time]]-WTG_BD[[#This Row],[Fault Start TimeStamp]])*24</f>
        <v>8.3333333333333037E-2</v>
      </c>
      <c r="U503" t="s">
        <v>262</v>
      </c>
      <c r="V503" s="234" t="s">
        <v>255</v>
      </c>
      <c r="W503" s="50">
        <f>IFERROR(IF(N503="ROW",0,(WTG_BD[[#This Row],[Breakdown Time]]*WTG_BD[[#This Row],[Plant Equivalent Weightage]])),"")</f>
        <v>3.6231884057970889E-3</v>
      </c>
      <c r="X503" s="50"/>
      <c r="Y503" s="205">
        <v>1</v>
      </c>
      <c r="Z503" s="205"/>
      <c r="AA503" s="4">
        <v>101</v>
      </c>
    </row>
    <row r="504" spans="1:27">
      <c r="A504" s="10">
        <f t="shared" si="10"/>
        <v>503</v>
      </c>
      <c r="B504" s="43">
        <f>YEAR(WTG_BD[[#This Row],[Date]])+IF(MONTH(WTG_BD[[#This Row],[Date]])&gt;=4,1,0)</f>
        <v>2026</v>
      </c>
      <c r="C504" s="10">
        <v>2025</v>
      </c>
      <c r="D504" s="10" t="s">
        <v>4478</v>
      </c>
      <c r="E504" s="309">
        <f>WTG_BD[[#This Row],[Date]]-DAY(WTG_BD[[#This Row],[Date]])+1</f>
        <v>45809</v>
      </c>
      <c r="F504" s="32">
        <v>45815</v>
      </c>
      <c r="G504" t="s">
        <v>86</v>
      </c>
      <c r="H504" t="str">
        <f>IFERROR(VLOOKUP(WTG_BD[[#This Row],[Affected WTG]],'Basic Data'!$A$3:$E$25,2,0),"")</f>
        <v>O2R1</v>
      </c>
      <c r="I504" t="str">
        <f>IFERROR(VLOOKUP(WTG_BD[[#This Row],[Affected WTG]],'Basic Data'!$A$3:$E$25,3,0),"")</f>
        <v>KSIPL</v>
      </c>
      <c r="J504" s="355">
        <f>IFERROR(VLOOKUP(WTG_BD[[#This Row],[Affected WTG]],'Basic Data'!$A$3:$E$25,5,0),"")</f>
        <v>4.3478260869565223E-2</v>
      </c>
      <c r="K504" s="10">
        <v>900</v>
      </c>
      <c r="L504" t="str">
        <f>IFERROR(VLOOKUP(WTG_BD[[#This Row],[Error Code]],'Basic Data'!S:T,2,0),"Incorrect Error Code")</f>
        <v>Pause pressed on keyboard</v>
      </c>
      <c r="M504" t="s">
        <v>137</v>
      </c>
      <c r="N504" t="s">
        <v>257</v>
      </c>
      <c r="O504" s="168">
        <v>0.6645833333333333</v>
      </c>
      <c r="P504" s="168">
        <v>0.6645833333333333</v>
      </c>
      <c r="Q504" s="168">
        <v>0.69930555555555551</v>
      </c>
      <c r="R504" s="356">
        <f>(WTG_BD[[#This Row],[Work Start TimeStamp]]-WTG_BD[[#This Row],[Fault Start TimeStamp]])*24</f>
        <v>0</v>
      </c>
      <c r="S504" s="34">
        <f>(WTG_BD[[#This Row],[Fault Clearance time]]-WTG_BD[[#This Row],[Work Start TimeStamp]])*24</f>
        <v>0.83333333333333304</v>
      </c>
      <c r="T504" s="34">
        <f>(WTG_BD[[#This Row],[Fault Clearance time]]-WTG_BD[[#This Row],[Fault Start TimeStamp]])*24</f>
        <v>0.83333333333333304</v>
      </c>
      <c r="U504" t="s">
        <v>4610</v>
      </c>
      <c r="V504" s="234" t="s">
        <v>255</v>
      </c>
      <c r="W504" s="50">
        <f>IFERROR(IF(N504="ROW",0,(WTG_BD[[#This Row],[Breakdown Time]]*WTG_BD[[#This Row],[Plant Equivalent Weightage]])),"")</f>
        <v>3.6231884057971009E-2</v>
      </c>
      <c r="X504" s="50"/>
      <c r="Y504" s="205">
        <v>1</v>
      </c>
      <c r="Z504" s="205"/>
      <c r="AA504" s="4">
        <v>457</v>
      </c>
    </row>
    <row r="505" spans="1:27">
      <c r="A505" s="10">
        <f t="shared" si="10"/>
        <v>504</v>
      </c>
      <c r="B505" s="43">
        <f>YEAR(WTG_BD[[#This Row],[Date]])+IF(MONTH(WTG_BD[[#This Row],[Date]])&gt;=4,1,0)</f>
        <v>2026</v>
      </c>
      <c r="C505" s="10">
        <v>2025</v>
      </c>
      <c r="D505" s="10" t="s">
        <v>4478</v>
      </c>
      <c r="E505" s="309">
        <f>WTG_BD[[#This Row],[Date]]-DAY(WTG_BD[[#This Row],[Date]])+1</f>
        <v>45809</v>
      </c>
      <c r="F505" s="32">
        <v>45815</v>
      </c>
      <c r="G505" t="s">
        <v>87</v>
      </c>
      <c r="H505" t="str">
        <f>IFERROR(VLOOKUP(WTG_BD[[#This Row],[Affected WTG]],'Basic Data'!$A$3:$E$25,2,0),"")</f>
        <v>O2R1</v>
      </c>
      <c r="I505" t="str">
        <f>IFERROR(VLOOKUP(WTG_BD[[#This Row],[Affected WTG]],'Basic Data'!$A$3:$E$25,3,0),"")</f>
        <v>KSIPL</v>
      </c>
      <c r="J505" s="355">
        <f>IFERROR(VLOOKUP(WTG_BD[[#This Row],[Affected WTG]],'Basic Data'!$A$3:$E$25,5,0),"")</f>
        <v>4.3478260869565223E-2</v>
      </c>
      <c r="K505" s="10">
        <v>704</v>
      </c>
      <c r="L505" t="str">
        <f>IFERROR(VLOOKUP(WTG_BD[[#This Row],[Error Code]],'Basic Data'!S:T,2,0),"Incorrect Error Code")</f>
        <v>Ch High res. load C_ Load:___%</v>
      </c>
      <c r="M505" t="s">
        <v>372</v>
      </c>
      <c r="N505" t="s">
        <v>113</v>
      </c>
      <c r="O505" s="168">
        <v>0.98055555555555551</v>
      </c>
      <c r="P505" s="168">
        <v>0.98055555555555551</v>
      </c>
      <c r="Q505" s="168">
        <v>0.98611111111111116</v>
      </c>
      <c r="R505" s="356">
        <f>(WTG_BD[[#This Row],[Work Start TimeStamp]]-WTG_BD[[#This Row],[Fault Start TimeStamp]])*24</f>
        <v>0</v>
      </c>
      <c r="S505" s="34">
        <f>(WTG_BD[[#This Row],[Fault Clearance time]]-WTG_BD[[#This Row],[Work Start TimeStamp]])*24</f>
        <v>0.13333333333333552</v>
      </c>
      <c r="T505" s="34">
        <f>(WTG_BD[[#This Row],[Fault Clearance time]]-WTG_BD[[#This Row],[Fault Start TimeStamp]])*24</f>
        <v>0.13333333333333552</v>
      </c>
      <c r="U505" t="s">
        <v>4268</v>
      </c>
      <c r="V505" s="234" t="s">
        <v>255</v>
      </c>
      <c r="W505" s="50">
        <f>IFERROR(IF(N505="ROW",0,(WTG_BD[[#This Row],[Breakdown Time]]*WTG_BD[[#This Row],[Plant Equivalent Weightage]])),"")</f>
        <v>5.7971014492754587E-3</v>
      </c>
      <c r="X505" s="50"/>
      <c r="Y505" s="205">
        <v>1</v>
      </c>
      <c r="Z505" s="205"/>
      <c r="AA505" s="4">
        <v>32</v>
      </c>
    </row>
    <row r="506" spans="1:27">
      <c r="A506" s="10">
        <f t="shared" si="10"/>
        <v>505</v>
      </c>
      <c r="B506" s="43">
        <f>YEAR(WTG_BD[[#This Row],[Date]])+IF(MONTH(WTG_BD[[#This Row],[Date]])&gt;=4,1,0)</f>
        <v>2026</v>
      </c>
      <c r="C506" s="10">
        <v>2025</v>
      </c>
      <c r="D506" s="10" t="s">
        <v>4478</v>
      </c>
      <c r="E506" s="309">
        <f>WTG_BD[[#This Row],[Date]]-DAY(WTG_BD[[#This Row],[Date]])+1</f>
        <v>45809</v>
      </c>
      <c r="F506" s="32">
        <v>45815</v>
      </c>
      <c r="G506" t="s">
        <v>87</v>
      </c>
      <c r="H506" t="str">
        <f>IFERROR(VLOOKUP(WTG_BD[[#This Row],[Affected WTG]],'Basic Data'!$A$3:$E$25,2,0),"")</f>
        <v>O2R1</v>
      </c>
      <c r="I506" t="str">
        <f>IFERROR(VLOOKUP(WTG_BD[[#This Row],[Affected WTG]],'Basic Data'!$A$3:$E$25,3,0),"")</f>
        <v>KSIPL</v>
      </c>
      <c r="J506" s="355">
        <f>IFERROR(VLOOKUP(WTG_BD[[#This Row],[Affected WTG]],'Basic Data'!$A$3:$E$25,5,0),"")</f>
        <v>4.3478260869565223E-2</v>
      </c>
      <c r="K506" s="10">
        <v>704</v>
      </c>
      <c r="L506" t="str">
        <f>IFERROR(VLOOKUP(WTG_BD[[#This Row],[Error Code]],'Basic Data'!S:T,2,0),"Incorrect Error Code")</f>
        <v>Ch High res. load C_ Load:___%</v>
      </c>
      <c r="M506" t="s">
        <v>372</v>
      </c>
      <c r="N506" t="s">
        <v>113</v>
      </c>
      <c r="O506" s="168">
        <v>0.99652777777777779</v>
      </c>
      <c r="P506" s="168">
        <v>0.99652777777777779</v>
      </c>
      <c r="Q506" s="168">
        <v>0.99930555555555556</v>
      </c>
      <c r="R506" s="356">
        <f>(WTG_BD[[#This Row],[Work Start TimeStamp]]-WTG_BD[[#This Row],[Fault Start TimeStamp]])*24</f>
        <v>0</v>
      </c>
      <c r="S506" s="34">
        <f>(WTG_BD[[#This Row],[Fault Clearance time]]-WTG_BD[[#This Row],[Work Start TimeStamp]])*24</f>
        <v>6.666666666666643E-2</v>
      </c>
      <c r="T506" s="34">
        <f>(WTG_BD[[#This Row],[Fault Clearance time]]-WTG_BD[[#This Row],[Fault Start TimeStamp]])*24</f>
        <v>6.666666666666643E-2</v>
      </c>
      <c r="U506" t="s">
        <v>4268</v>
      </c>
      <c r="V506" s="234" t="s">
        <v>255</v>
      </c>
      <c r="W506" s="50">
        <f>IFERROR(IF(N506="ROW",0,(WTG_BD[[#This Row],[Breakdown Time]]*WTG_BD[[#This Row],[Plant Equivalent Weightage]])),"")</f>
        <v>2.8985507246376712E-3</v>
      </c>
      <c r="X506" s="50"/>
      <c r="Y506" s="205">
        <v>1</v>
      </c>
      <c r="Z506" s="205"/>
      <c r="AA506" s="4">
        <v>47</v>
      </c>
    </row>
    <row r="507" spans="1:27">
      <c r="A507" s="10">
        <f t="shared" si="10"/>
        <v>506</v>
      </c>
      <c r="B507" s="43">
        <f>YEAR(WTG_BD[[#This Row],[Date]])+IF(MONTH(WTG_BD[[#This Row],[Date]])&gt;=4,1,0)</f>
        <v>2026</v>
      </c>
      <c r="C507" s="10">
        <v>2025</v>
      </c>
      <c r="D507" s="10" t="s">
        <v>4478</v>
      </c>
      <c r="E507" s="309">
        <f>WTG_BD[[#This Row],[Date]]-DAY(WTG_BD[[#This Row],[Date]])+1</f>
        <v>45809</v>
      </c>
      <c r="F507" s="32">
        <v>45815</v>
      </c>
      <c r="G507" t="s">
        <v>87</v>
      </c>
      <c r="H507" t="str">
        <f>IFERROR(VLOOKUP(WTG_BD[[#This Row],[Affected WTG]],'Basic Data'!$A$3:$E$25,2,0),"")</f>
        <v>O2R1</v>
      </c>
      <c r="I507" t="str">
        <f>IFERROR(VLOOKUP(WTG_BD[[#This Row],[Affected WTG]],'Basic Data'!$A$3:$E$25,3,0),"")</f>
        <v>KSIPL</v>
      </c>
      <c r="J507" s="355">
        <f>IFERROR(VLOOKUP(WTG_BD[[#This Row],[Affected WTG]],'Basic Data'!$A$3:$E$25,5,0),"")</f>
        <v>4.3478260869565223E-2</v>
      </c>
      <c r="K507" s="10">
        <v>6293</v>
      </c>
      <c r="L507" t="str">
        <f>IFERROR(VLOOKUP(WTG_BD[[#This Row],[Error Code]],'Basic Data'!S:T,2,0),"Incorrect Error Code")</f>
        <v>Pitch valves test acitve</v>
      </c>
      <c r="M507" t="s">
        <v>4303</v>
      </c>
      <c r="N507" t="s">
        <v>113</v>
      </c>
      <c r="O507" s="168">
        <v>0.98958333333333337</v>
      </c>
      <c r="P507" s="168">
        <v>0.98958333333333337</v>
      </c>
      <c r="Q507" s="168">
        <v>0.99305555555555558</v>
      </c>
      <c r="R507" s="356">
        <f>(WTG_BD[[#This Row],[Work Start TimeStamp]]-WTG_BD[[#This Row],[Fault Start TimeStamp]])*24</f>
        <v>0</v>
      </c>
      <c r="S507" s="34">
        <f>(WTG_BD[[#This Row],[Fault Clearance time]]-WTG_BD[[#This Row],[Work Start TimeStamp]])*24</f>
        <v>8.3333333333333037E-2</v>
      </c>
      <c r="T507" s="34">
        <f>(WTG_BD[[#This Row],[Fault Clearance time]]-WTG_BD[[#This Row],[Fault Start TimeStamp]])*24</f>
        <v>8.3333333333333037E-2</v>
      </c>
      <c r="U507" t="s">
        <v>262</v>
      </c>
      <c r="V507" s="234" t="s">
        <v>255</v>
      </c>
      <c r="W507" s="50">
        <f>IFERROR(IF(N507="ROW",0,(WTG_BD[[#This Row],[Breakdown Time]]*WTG_BD[[#This Row],[Plant Equivalent Weightage]])),"")</f>
        <v>3.6231884057970889E-3</v>
      </c>
      <c r="X507" s="50"/>
      <c r="Y507" s="205">
        <v>1</v>
      </c>
      <c r="Z507" s="205"/>
      <c r="AA507" s="4">
        <v>53</v>
      </c>
    </row>
    <row r="508" spans="1:27">
      <c r="A508" s="10">
        <f t="shared" si="10"/>
        <v>507</v>
      </c>
      <c r="B508" s="43">
        <f>YEAR(WTG_BD[[#This Row],[Date]])+IF(MONTH(WTG_BD[[#This Row],[Date]])&gt;=4,1,0)</f>
        <v>2026</v>
      </c>
      <c r="C508" s="10">
        <v>2025</v>
      </c>
      <c r="D508" s="10" t="s">
        <v>4478</v>
      </c>
      <c r="E508" s="309">
        <f>WTG_BD[[#This Row],[Date]]-DAY(WTG_BD[[#This Row],[Date]])+1</f>
        <v>45809</v>
      </c>
      <c r="F508" s="32">
        <v>45815</v>
      </c>
      <c r="G508" t="s">
        <v>97</v>
      </c>
      <c r="H508" t="str">
        <f>IFERROR(VLOOKUP(WTG_BD[[#This Row],[Affected WTG]],'Basic Data'!$A$3:$E$25,2,0),"")</f>
        <v>O2R3</v>
      </c>
      <c r="I508" t="str">
        <f>IFERROR(VLOOKUP(WTG_BD[[#This Row],[Affected WTG]],'Basic Data'!$A$3:$E$25,3,0),"")</f>
        <v>JK</v>
      </c>
      <c r="J508" s="355">
        <f>IFERROR(VLOOKUP(WTG_BD[[#This Row],[Affected WTG]],'Basic Data'!$A$3:$E$25,5,0),"")</f>
        <v>4.3478260869565223E-2</v>
      </c>
      <c r="K508" s="10">
        <v>704</v>
      </c>
      <c r="L508" t="str">
        <f>IFERROR(VLOOKUP(WTG_BD[[#This Row],[Error Code]],'Basic Data'!S:T,2,0),"Incorrect Error Code")</f>
        <v>Ch High res. load C_ Load:___%</v>
      </c>
      <c r="M508" t="s">
        <v>372</v>
      </c>
      <c r="N508" t="s">
        <v>113</v>
      </c>
      <c r="O508" s="168">
        <v>0.95</v>
      </c>
      <c r="P508" s="168">
        <v>0.95</v>
      </c>
      <c r="Q508" s="168">
        <v>0.95486111111111116</v>
      </c>
      <c r="R508" s="356">
        <f>(WTG_BD[[#This Row],[Work Start TimeStamp]]-WTG_BD[[#This Row],[Fault Start TimeStamp]])*24</f>
        <v>0</v>
      </c>
      <c r="S508" s="34">
        <f>(WTG_BD[[#This Row],[Fault Clearance time]]-WTG_BD[[#This Row],[Work Start TimeStamp]])*24</f>
        <v>0.11666666666666892</v>
      </c>
      <c r="T508" s="34">
        <f>(WTG_BD[[#This Row],[Fault Clearance time]]-WTG_BD[[#This Row],[Fault Start TimeStamp]])*24</f>
        <v>0.11666666666666892</v>
      </c>
      <c r="U508" t="s">
        <v>4268</v>
      </c>
      <c r="V508" s="234" t="s">
        <v>255</v>
      </c>
      <c r="W508" s="50">
        <f>IFERROR(IF(N508="ROW",0,(WTG_BD[[#This Row],[Breakdown Time]]*WTG_BD[[#This Row],[Plant Equivalent Weightage]])),"")</f>
        <v>5.0724637681160405E-3</v>
      </c>
      <c r="X508" s="50"/>
      <c r="Y508" s="205">
        <v>1</v>
      </c>
      <c r="Z508" s="205"/>
      <c r="AA508" s="4">
        <v>68</v>
      </c>
    </row>
    <row r="509" spans="1:27">
      <c r="A509" s="10">
        <f t="shared" si="10"/>
        <v>508</v>
      </c>
      <c r="B509" s="43">
        <f>YEAR(WTG_BD[[#This Row],[Date]])+IF(MONTH(WTG_BD[[#This Row],[Date]])&gt;=4,1,0)</f>
        <v>2026</v>
      </c>
      <c r="C509" s="10">
        <v>2025</v>
      </c>
      <c r="D509" s="10" t="s">
        <v>4478</v>
      </c>
      <c r="E509" s="309">
        <f>WTG_BD[[#This Row],[Date]]-DAY(WTG_BD[[#This Row],[Date]])+1</f>
        <v>45809</v>
      </c>
      <c r="F509" s="32">
        <v>45816</v>
      </c>
      <c r="G509" t="s">
        <v>78</v>
      </c>
      <c r="H509" t="str">
        <f>IFERROR(VLOOKUP(WTG_BD[[#This Row],[Affected WTG]],'Basic Data'!$A$3:$E$25,2,0),"")</f>
        <v>O2R1</v>
      </c>
      <c r="I509" t="str">
        <f>IFERROR(VLOOKUP(WTG_BD[[#This Row],[Affected WTG]],'Basic Data'!$A$3:$E$25,3,0),"")</f>
        <v>KSIPL</v>
      </c>
      <c r="J509" s="355">
        <f>IFERROR(VLOOKUP(WTG_BD[[#This Row],[Affected WTG]],'Basic Data'!$A$3:$E$25,5,0),"")</f>
        <v>4.3478260869565223E-2</v>
      </c>
      <c r="K509" s="10">
        <v>137</v>
      </c>
      <c r="L509" t="str">
        <f>IFERROR(VLOOKUP(WTG_BD[[#This Row],[Error Code]],'Basic Data'!S:T,2,0),"Incorrect Error Code")</f>
        <v>Asym.currL2:____A,Others:____A</v>
      </c>
      <c r="M509" t="s">
        <v>706</v>
      </c>
      <c r="N509" t="s">
        <v>113</v>
      </c>
      <c r="O509" s="168">
        <v>0.53194444444444444</v>
      </c>
      <c r="P509" s="168">
        <v>0.53194444444444444</v>
      </c>
      <c r="Q509" s="168">
        <v>0.53472222222222221</v>
      </c>
      <c r="R509" s="356">
        <f>(WTG_BD[[#This Row],[Work Start TimeStamp]]-WTG_BD[[#This Row],[Fault Start TimeStamp]])*24</f>
        <v>0</v>
      </c>
      <c r="S509" s="34">
        <f>(WTG_BD[[#This Row],[Fault Clearance time]]-WTG_BD[[#This Row],[Work Start TimeStamp]])*24</f>
        <v>6.666666666666643E-2</v>
      </c>
      <c r="T509" s="34">
        <f>(WTG_BD[[#This Row],[Fault Clearance time]]-WTG_BD[[#This Row],[Fault Start TimeStamp]])*24</f>
        <v>6.666666666666643E-2</v>
      </c>
      <c r="U509" t="s">
        <v>262</v>
      </c>
      <c r="V509" s="234" t="s">
        <v>255</v>
      </c>
      <c r="W509" s="50">
        <f>IFERROR(IF(N509="ROW",0,(WTG_BD[[#This Row],[Breakdown Time]]*WTG_BD[[#This Row],[Plant Equivalent Weightage]])),"")</f>
        <v>2.8985507246376712E-3</v>
      </c>
      <c r="X509" s="50"/>
      <c r="Y509" s="205">
        <v>1</v>
      </c>
      <c r="Z509" s="205"/>
      <c r="AA509" s="4">
        <v>120</v>
      </c>
    </row>
    <row r="510" spans="1:27">
      <c r="A510" s="10">
        <f t="shared" si="10"/>
        <v>509</v>
      </c>
      <c r="B510" s="43">
        <f>YEAR(WTG_BD[[#This Row],[Date]])+IF(MONTH(WTG_BD[[#This Row],[Date]])&gt;=4,1,0)</f>
        <v>2026</v>
      </c>
      <c r="C510" s="10">
        <v>2025</v>
      </c>
      <c r="D510" s="10" t="s">
        <v>4478</v>
      </c>
      <c r="E510" s="309">
        <f>WTG_BD[[#This Row],[Date]]-DAY(WTG_BD[[#This Row],[Date]])+1</f>
        <v>45809</v>
      </c>
      <c r="F510" s="32">
        <v>45816</v>
      </c>
      <c r="G510" t="s">
        <v>78</v>
      </c>
      <c r="H510" t="str">
        <f>IFERROR(VLOOKUP(WTG_BD[[#This Row],[Affected WTG]],'Basic Data'!$A$3:$E$25,2,0),"")</f>
        <v>O2R1</v>
      </c>
      <c r="I510" t="str">
        <f>IFERROR(VLOOKUP(WTG_BD[[#This Row],[Affected WTG]],'Basic Data'!$A$3:$E$25,3,0),"")</f>
        <v>KSIPL</v>
      </c>
      <c r="J510" s="355">
        <f>IFERROR(VLOOKUP(WTG_BD[[#This Row],[Affected WTG]],'Basic Data'!$A$3:$E$25,5,0),"")</f>
        <v>4.3478260869565223E-2</v>
      </c>
      <c r="K510" s="10">
        <v>6293</v>
      </c>
      <c r="L510" t="str">
        <f>IFERROR(VLOOKUP(WTG_BD[[#This Row],[Error Code]],'Basic Data'!S:T,2,0),"Incorrect Error Code")</f>
        <v>Pitch valves test acitve</v>
      </c>
      <c r="M510" t="s">
        <v>4303</v>
      </c>
      <c r="N510" t="s">
        <v>113</v>
      </c>
      <c r="O510" s="168">
        <v>0.53888888888888886</v>
      </c>
      <c r="P510" s="168">
        <v>0.53888888888888886</v>
      </c>
      <c r="Q510" s="168">
        <v>0.54166666666666663</v>
      </c>
      <c r="R510" s="356">
        <f>(WTG_BD[[#This Row],[Work Start TimeStamp]]-WTG_BD[[#This Row],[Fault Start TimeStamp]])*24</f>
        <v>0</v>
      </c>
      <c r="S510" s="34">
        <f>(WTG_BD[[#This Row],[Fault Clearance time]]-WTG_BD[[#This Row],[Work Start TimeStamp]])*24</f>
        <v>6.666666666666643E-2</v>
      </c>
      <c r="T510" s="34">
        <f>(WTG_BD[[#This Row],[Fault Clearance time]]-WTG_BD[[#This Row],[Fault Start TimeStamp]])*24</f>
        <v>6.666666666666643E-2</v>
      </c>
      <c r="U510" t="s">
        <v>262</v>
      </c>
      <c r="V510" s="234" t="s">
        <v>255</v>
      </c>
      <c r="W510" s="50">
        <f>IFERROR(IF(N510="ROW",0,(WTG_BD[[#This Row],[Breakdown Time]]*WTG_BD[[#This Row],[Plant Equivalent Weightage]])),"")</f>
        <v>2.8985507246376712E-3</v>
      </c>
      <c r="X510" s="50"/>
      <c r="Y510" s="205">
        <v>1</v>
      </c>
      <c r="Z510" s="205"/>
      <c r="AA510" s="4">
        <v>31</v>
      </c>
    </row>
    <row r="511" spans="1:27">
      <c r="A511" s="10">
        <f t="shared" si="10"/>
        <v>510</v>
      </c>
      <c r="B511" s="43">
        <f>YEAR(WTG_BD[[#This Row],[Date]])+IF(MONTH(WTG_BD[[#This Row],[Date]])&gt;=4,1,0)</f>
        <v>2026</v>
      </c>
      <c r="C511" s="10">
        <v>2025</v>
      </c>
      <c r="D511" s="10" t="s">
        <v>4478</v>
      </c>
      <c r="E511" s="309">
        <f>WTG_BD[[#This Row],[Date]]-DAY(WTG_BD[[#This Row],[Date]])+1</f>
        <v>45809</v>
      </c>
      <c r="F511" s="32">
        <v>45816</v>
      </c>
      <c r="G511" t="s">
        <v>86</v>
      </c>
      <c r="H511" t="str">
        <f>IFERROR(VLOOKUP(WTG_BD[[#This Row],[Affected WTG]],'Basic Data'!$A$3:$E$25,2,0),"")</f>
        <v>O2R1</v>
      </c>
      <c r="I511" t="str">
        <f>IFERROR(VLOOKUP(WTG_BD[[#This Row],[Affected WTG]],'Basic Data'!$A$3:$E$25,3,0),"")</f>
        <v>KSIPL</v>
      </c>
      <c r="J511" s="355">
        <f>IFERROR(VLOOKUP(WTG_BD[[#This Row],[Affected WTG]],'Basic Data'!$A$3:$E$25,5,0),"")</f>
        <v>4.3478260869565223E-2</v>
      </c>
      <c r="K511" s="10">
        <v>137</v>
      </c>
      <c r="L511" t="str">
        <f>IFERROR(VLOOKUP(WTG_BD[[#This Row],[Error Code]],'Basic Data'!S:T,2,0),"Incorrect Error Code")</f>
        <v>Asym.currL2:____A,Others:____A</v>
      </c>
      <c r="M511" t="s">
        <v>706</v>
      </c>
      <c r="N511" t="s">
        <v>113</v>
      </c>
      <c r="O511" s="168">
        <v>0.49722222222222223</v>
      </c>
      <c r="P511" s="168">
        <v>0.49722222222222223</v>
      </c>
      <c r="Q511" s="168">
        <v>0.5</v>
      </c>
      <c r="R511" s="356">
        <f>(WTG_BD[[#This Row],[Work Start TimeStamp]]-WTG_BD[[#This Row],[Fault Start TimeStamp]])*24</f>
        <v>0</v>
      </c>
      <c r="S511" s="34">
        <f>(WTG_BD[[#This Row],[Fault Clearance time]]-WTG_BD[[#This Row],[Work Start TimeStamp]])*24</f>
        <v>6.666666666666643E-2</v>
      </c>
      <c r="T511" s="34">
        <f>(WTG_BD[[#This Row],[Fault Clearance time]]-WTG_BD[[#This Row],[Fault Start TimeStamp]])*24</f>
        <v>6.666666666666643E-2</v>
      </c>
      <c r="U511" t="s">
        <v>262</v>
      </c>
      <c r="V511" s="234" t="s">
        <v>255</v>
      </c>
      <c r="W511" s="50">
        <f>IFERROR(IF(N511="ROW",0,(WTG_BD[[#This Row],[Breakdown Time]]*WTG_BD[[#This Row],[Plant Equivalent Weightage]])),"")</f>
        <v>2.8985507246376712E-3</v>
      </c>
      <c r="X511" s="50"/>
      <c r="Y511" s="205">
        <v>1</v>
      </c>
      <c r="Z511" s="205"/>
      <c r="AA511" s="4">
        <v>124</v>
      </c>
    </row>
    <row r="512" spans="1:27">
      <c r="A512" s="10">
        <f t="shared" si="10"/>
        <v>511</v>
      </c>
      <c r="B512" s="43">
        <f>YEAR(WTG_BD[[#This Row],[Date]])+IF(MONTH(WTG_BD[[#This Row],[Date]])&gt;=4,1,0)</f>
        <v>2026</v>
      </c>
      <c r="C512" s="10">
        <v>2025</v>
      </c>
      <c r="D512" s="10" t="s">
        <v>4478</v>
      </c>
      <c r="E512" s="309">
        <f>WTG_BD[[#This Row],[Date]]-DAY(WTG_BD[[#This Row],[Date]])+1</f>
        <v>45809</v>
      </c>
      <c r="F512" s="32">
        <v>45816</v>
      </c>
      <c r="G512" t="s">
        <v>86</v>
      </c>
      <c r="H512" t="str">
        <f>IFERROR(VLOOKUP(WTG_BD[[#This Row],[Affected WTG]],'Basic Data'!$A$3:$E$25,2,0),"")</f>
        <v>O2R1</v>
      </c>
      <c r="I512" t="str">
        <f>IFERROR(VLOOKUP(WTG_BD[[#This Row],[Affected WTG]],'Basic Data'!$A$3:$E$25,3,0),"")</f>
        <v>KSIPL</v>
      </c>
      <c r="J512" s="355">
        <f>IFERROR(VLOOKUP(WTG_BD[[#This Row],[Affected WTG]],'Basic Data'!$A$3:$E$25,5,0),"")</f>
        <v>4.3478260869565223E-2</v>
      </c>
      <c r="K512" s="10">
        <v>6293</v>
      </c>
      <c r="L512" t="str">
        <f>IFERROR(VLOOKUP(WTG_BD[[#This Row],[Error Code]],'Basic Data'!S:T,2,0),"Incorrect Error Code")</f>
        <v>Pitch valves test acitve</v>
      </c>
      <c r="M512" t="s">
        <v>4303</v>
      </c>
      <c r="N512" t="s">
        <v>113</v>
      </c>
      <c r="O512" s="168">
        <v>0.50416666666666665</v>
      </c>
      <c r="P512" s="168">
        <v>0.50416666666666665</v>
      </c>
      <c r="Q512" s="168">
        <v>0.50694444444444442</v>
      </c>
      <c r="R512" s="356">
        <f>(WTG_BD[[#This Row],[Work Start TimeStamp]]-WTG_BD[[#This Row],[Fault Start TimeStamp]])*24</f>
        <v>0</v>
      </c>
      <c r="S512" s="34">
        <f>(WTG_BD[[#This Row],[Fault Clearance time]]-WTG_BD[[#This Row],[Work Start TimeStamp]])*24</f>
        <v>6.666666666666643E-2</v>
      </c>
      <c r="T512" s="34">
        <f>(WTG_BD[[#This Row],[Fault Clearance time]]-WTG_BD[[#This Row],[Fault Start TimeStamp]])*24</f>
        <v>6.666666666666643E-2</v>
      </c>
      <c r="U512" t="s">
        <v>262</v>
      </c>
      <c r="V512" s="234" t="s">
        <v>255</v>
      </c>
      <c r="W512" s="50">
        <f>IFERROR(IF(N512="ROW",0,(WTG_BD[[#This Row],[Breakdown Time]]*WTG_BD[[#This Row],[Plant Equivalent Weightage]])),"")</f>
        <v>2.8985507246376712E-3</v>
      </c>
      <c r="X512" s="50"/>
      <c r="Y512" s="205">
        <v>1</v>
      </c>
      <c r="Z512" s="205"/>
      <c r="AA512" s="4">
        <v>32</v>
      </c>
    </row>
    <row r="513" spans="1:27">
      <c r="A513" s="10">
        <f t="shared" si="10"/>
        <v>512</v>
      </c>
      <c r="B513" s="43">
        <f>YEAR(WTG_BD[[#This Row],[Date]])+IF(MONTH(WTG_BD[[#This Row],[Date]])&gt;=4,1,0)</f>
        <v>2026</v>
      </c>
      <c r="C513" s="10">
        <v>2025</v>
      </c>
      <c r="D513" s="10" t="s">
        <v>4478</v>
      </c>
      <c r="E513" s="309">
        <f>WTG_BD[[#This Row],[Date]]-DAY(WTG_BD[[#This Row],[Date]])+1</f>
        <v>45809</v>
      </c>
      <c r="F513" s="32">
        <v>45816</v>
      </c>
      <c r="G513" t="s">
        <v>87</v>
      </c>
      <c r="H513" t="str">
        <f>IFERROR(VLOOKUP(WTG_BD[[#This Row],[Affected WTG]],'Basic Data'!$A$3:$E$25,2,0),"")</f>
        <v>O2R1</v>
      </c>
      <c r="I513" t="str">
        <f>IFERROR(VLOOKUP(WTG_BD[[#This Row],[Affected WTG]],'Basic Data'!$A$3:$E$25,3,0),"")</f>
        <v>KSIPL</v>
      </c>
      <c r="J513" s="355">
        <f>IFERROR(VLOOKUP(WTG_BD[[#This Row],[Affected WTG]],'Basic Data'!$A$3:$E$25,5,0),"")</f>
        <v>4.3478260869565223E-2</v>
      </c>
      <c r="K513" s="10">
        <v>704</v>
      </c>
      <c r="L513" t="str">
        <f>IFERROR(VLOOKUP(WTG_BD[[#This Row],[Error Code]],'Basic Data'!S:T,2,0),"Incorrect Error Code")</f>
        <v>Ch High res. load C_ Load:___%</v>
      </c>
      <c r="M513" t="s">
        <v>372</v>
      </c>
      <c r="N513" t="s">
        <v>113</v>
      </c>
      <c r="O513" s="168">
        <v>8.3333333333333332E-3</v>
      </c>
      <c r="P513" s="168">
        <v>8.3333333333333332E-3</v>
      </c>
      <c r="Q513" s="168">
        <v>1.3888888888888888E-2</v>
      </c>
      <c r="R513" s="356">
        <f>(WTG_BD[[#This Row],[Work Start TimeStamp]]-WTG_BD[[#This Row],[Fault Start TimeStamp]])*24</f>
        <v>0</v>
      </c>
      <c r="S513" s="34">
        <f>(WTG_BD[[#This Row],[Fault Clearance time]]-WTG_BD[[#This Row],[Work Start TimeStamp]])*24</f>
        <v>0.1333333333333333</v>
      </c>
      <c r="T513" s="34">
        <f>(WTG_BD[[#This Row],[Fault Clearance time]]-WTG_BD[[#This Row],[Fault Start TimeStamp]])*24</f>
        <v>0.1333333333333333</v>
      </c>
      <c r="U513" t="s">
        <v>4268</v>
      </c>
      <c r="V513" s="234" t="s">
        <v>255</v>
      </c>
      <c r="W513" s="50">
        <f>IFERROR(IF(N513="ROW",0,(WTG_BD[[#This Row],[Breakdown Time]]*WTG_BD[[#This Row],[Plant Equivalent Weightage]])),"")</f>
        <v>5.7971014492753615E-3</v>
      </c>
      <c r="X513" s="50"/>
      <c r="Y513" s="205">
        <v>1</v>
      </c>
      <c r="Z513" s="205"/>
      <c r="AA513" s="4">
        <v>77</v>
      </c>
    </row>
    <row r="514" spans="1:27">
      <c r="A514" s="10">
        <f t="shared" si="10"/>
        <v>513</v>
      </c>
      <c r="B514" s="43">
        <f>YEAR(WTG_BD[[#This Row],[Date]])+IF(MONTH(WTG_BD[[#This Row],[Date]])&gt;=4,1,0)</f>
        <v>2026</v>
      </c>
      <c r="C514" s="10">
        <v>2025</v>
      </c>
      <c r="D514" s="10" t="s">
        <v>4478</v>
      </c>
      <c r="E514" s="309">
        <f>WTG_BD[[#This Row],[Date]]-DAY(WTG_BD[[#This Row],[Date]])+1</f>
        <v>45809</v>
      </c>
      <c r="F514" s="32">
        <v>45816</v>
      </c>
      <c r="G514" t="s">
        <v>79</v>
      </c>
      <c r="H514" t="str">
        <f>IFERROR(VLOOKUP(WTG_BD[[#This Row],[Affected WTG]],'Basic Data'!$A$3:$E$25,2,0),"")</f>
        <v>O2R3</v>
      </c>
      <c r="I514" t="str">
        <f>IFERROR(VLOOKUP(WTG_BD[[#This Row],[Affected WTG]],'Basic Data'!$A$3:$E$25,3,0),"")</f>
        <v>JK</v>
      </c>
      <c r="J514" s="355">
        <f>IFERROR(VLOOKUP(WTG_BD[[#This Row],[Affected WTG]],'Basic Data'!$A$3:$E$25,5,0),"")</f>
        <v>4.3478260869565223E-2</v>
      </c>
      <c r="K514" s="10">
        <v>704</v>
      </c>
      <c r="L514" t="str">
        <f>IFERROR(VLOOKUP(WTG_BD[[#This Row],[Error Code]],'Basic Data'!S:T,2,0),"Incorrect Error Code")</f>
        <v>Ch High res. load C_ Load:___%</v>
      </c>
      <c r="M514" t="s">
        <v>372</v>
      </c>
      <c r="N514" t="s">
        <v>113</v>
      </c>
      <c r="O514" s="168">
        <v>9.0277777777777769E-3</v>
      </c>
      <c r="P514" s="168">
        <v>9.0277777777777769E-3</v>
      </c>
      <c r="Q514" s="168">
        <v>1.3888888888888888E-2</v>
      </c>
      <c r="R514" s="356">
        <f>(WTG_BD[[#This Row],[Work Start TimeStamp]]-WTG_BD[[#This Row],[Fault Start TimeStamp]])*24</f>
        <v>0</v>
      </c>
      <c r="S514" s="34">
        <f>(WTG_BD[[#This Row],[Fault Clearance time]]-WTG_BD[[#This Row],[Work Start TimeStamp]])*24</f>
        <v>0.11666666666666667</v>
      </c>
      <c r="T514" s="34">
        <f>(WTG_BD[[#This Row],[Fault Clearance time]]-WTG_BD[[#This Row],[Fault Start TimeStamp]])*24</f>
        <v>0.11666666666666667</v>
      </c>
      <c r="U514" t="s">
        <v>4268</v>
      </c>
      <c r="V514" s="234" t="s">
        <v>255</v>
      </c>
      <c r="W514" s="50">
        <f>IFERROR(IF(N514="ROW",0,(WTG_BD[[#This Row],[Breakdown Time]]*WTG_BD[[#This Row],[Plant Equivalent Weightage]])),"")</f>
        <v>5.0724637681159425E-3</v>
      </c>
      <c r="X514" s="50"/>
      <c r="Y514" s="205">
        <v>1</v>
      </c>
      <c r="Z514" s="205"/>
      <c r="AA514" s="4">
        <v>58</v>
      </c>
    </row>
    <row r="515" spans="1:27">
      <c r="A515" s="10">
        <f t="shared" si="10"/>
        <v>514</v>
      </c>
      <c r="B515" s="43">
        <f>YEAR(WTG_BD[[#This Row],[Date]])+IF(MONTH(WTG_BD[[#This Row],[Date]])&gt;=4,1,0)</f>
        <v>2026</v>
      </c>
      <c r="C515" s="10">
        <v>2025</v>
      </c>
      <c r="D515" s="10" t="s">
        <v>4478</v>
      </c>
      <c r="E515" s="309">
        <f>WTG_BD[[#This Row],[Date]]-DAY(WTG_BD[[#This Row],[Date]])+1</f>
        <v>45809</v>
      </c>
      <c r="F515" s="32">
        <v>45817</v>
      </c>
      <c r="G515" t="s">
        <v>76</v>
      </c>
      <c r="H515" t="str">
        <f>IFERROR(VLOOKUP(WTG_BD[[#This Row],[Affected WTG]],'Basic Data'!$A$3:$E$25,2,0),"")</f>
        <v>O2R1</v>
      </c>
      <c r="I515" t="str">
        <f>IFERROR(VLOOKUP(WTG_BD[[#This Row],[Affected WTG]],'Basic Data'!$A$3:$E$25,3,0),"")</f>
        <v>KSIPL</v>
      </c>
      <c r="J515" s="355">
        <f>IFERROR(VLOOKUP(WTG_BD[[#This Row],[Affected WTG]],'Basic Data'!$A$3:$E$25,5,0),"")</f>
        <v>4.3478260869565223E-2</v>
      </c>
      <c r="K515" s="10">
        <v>450</v>
      </c>
      <c r="L515" t="str">
        <f>IFERROR(VLOOKUP(WTG_BD[[#This Row],[Error Code]],'Basic Data'!S:T,2,0),"Incorrect Error Code")</f>
        <v>Ext. High I sum Grd inv.</v>
      </c>
      <c r="M515" t="s">
        <v>368</v>
      </c>
      <c r="N515" t="s">
        <v>113</v>
      </c>
      <c r="O515" s="168">
        <v>0.74097222222222225</v>
      </c>
      <c r="P515" s="168">
        <v>0.74097222222222225</v>
      </c>
      <c r="Q515" s="168">
        <v>0.74583333333333335</v>
      </c>
      <c r="R515" s="356">
        <f>(WTG_BD[[#This Row],[Work Start TimeStamp]]-WTG_BD[[#This Row],[Fault Start TimeStamp]])*24</f>
        <v>0</v>
      </c>
      <c r="S515" s="34">
        <f>(WTG_BD[[#This Row],[Fault Clearance time]]-WTG_BD[[#This Row],[Work Start TimeStamp]])*24</f>
        <v>0.11666666666666625</v>
      </c>
      <c r="T515" s="34">
        <f>(WTG_BD[[#This Row],[Fault Clearance time]]-WTG_BD[[#This Row],[Fault Start TimeStamp]])*24</f>
        <v>0.11666666666666625</v>
      </c>
      <c r="U515" t="s">
        <v>262</v>
      </c>
      <c r="V515" s="234" t="s">
        <v>255</v>
      </c>
      <c r="W515" s="50">
        <f>IFERROR(IF(N515="ROW",0,(WTG_BD[[#This Row],[Breakdown Time]]*WTG_BD[[#This Row],[Plant Equivalent Weightage]])),"")</f>
        <v>5.0724637681159243E-3</v>
      </c>
      <c r="X515" s="50"/>
      <c r="Y515" s="205">
        <v>1</v>
      </c>
      <c r="Z515" s="205"/>
      <c r="AA515" s="4">
        <v>1352.4</v>
      </c>
    </row>
    <row r="516" spans="1:27">
      <c r="A516" s="10">
        <f t="shared" si="10"/>
        <v>515</v>
      </c>
      <c r="B516" s="43">
        <f>YEAR(WTG_BD[[#This Row],[Date]])+IF(MONTH(WTG_BD[[#This Row],[Date]])&gt;=4,1,0)</f>
        <v>2026</v>
      </c>
      <c r="C516" s="10">
        <v>2025</v>
      </c>
      <c r="D516" s="10" t="s">
        <v>4478</v>
      </c>
      <c r="E516" s="309">
        <f>WTG_BD[[#This Row],[Date]]-DAY(WTG_BD[[#This Row],[Date]])+1</f>
        <v>45809</v>
      </c>
      <c r="F516" s="32">
        <v>45817</v>
      </c>
      <c r="G516" t="s">
        <v>77</v>
      </c>
      <c r="H516" t="str">
        <f>IFERROR(VLOOKUP(WTG_BD[[#This Row],[Affected WTG]],'Basic Data'!$A$3:$E$25,2,0),"")</f>
        <v>O2R3</v>
      </c>
      <c r="I516" t="str">
        <f>IFERROR(VLOOKUP(WTG_BD[[#This Row],[Affected WTG]],'Basic Data'!$A$3:$E$25,3,0),"")</f>
        <v>JK</v>
      </c>
      <c r="J516" s="355">
        <f>IFERROR(VLOOKUP(WTG_BD[[#This Row],[Affected WTG]],'Basic Data'!$A$3:$E$25,5,0),"")</f>
        <v>4.3478260869565223E-2</v>
      </c>
      <c r="K516" s="10">
        <v>557</v>
      </c>
      <c r="L516" t="str">
        <f>IFERROR(VLOOKUP(WTG_BD[[#This Row],[Error Code]],'Basic Data'!S:T,2,0),"Incorrect Error Code")</f>
        <v>RT activation no. exceeded:___</v>
      </c>
      <c r="M516" t="s">
        <v>4637</v>
      </c>
      <c r="N516" t="s">
        <v>113</v>
      </c>
      <c r="O516" s="168">
        <v>0.47847222222222224</v>
      </c>
      <c r="P516" s="168">
        <v>0.47847222222222224</v>
      </c>
      <c r="Q516" s="168">
        <v>0.48333333333333334</v>
      </c>
      <c r="R516" s="356">
        <f>(WTG_BD[[#This Row],[Work Start TimeStamp]]-WTG_BD[[#This Row],[Fault Start TimeStamp]])*24</f>
        <v>0</v>
      </c>
      <c r="S516" s="34">
        <f>(WTG_BD[[#This Row],[Fault Clearance time]]-WTG_BD[[#This Row],[Work Start TimeStamp]])*24</f>
        <v>0.11666666666666625</v>
      </c>
      <c r="T516" s="34">
        <f>(WTG_BD[[#This Row],[Fault Clearance time]]-WTG_BD[[#This Row],[Fault Start TimeStamp]])*24</f>
        <v>0.11666666666666625</v>
      </c>
      <c r="U516" t="s">
        <v>262</v>
      </c>
      <c r="V516" s="234" t="s">
        <v>255</v>
      </c>
      <c r="W516" s="50">
        <f>IFERROR(IF(N516="ROW",0,(WTG_BD[[#This Row],[Breakdown Time]]*WTG_BD[[#This Row],[Plant Equivalent Weightage]])),"")</f>
        <v>5.0724637681159243E-3</v>
      </c>
      <c r="X516" s="50"/>
      <c r="Y516" s="205">
        <v>1</v>
      </c>
      <c r="Z516" s="205"/>
      <c r="AA516" s="4">
        <v>374.9</v>
      </c>
    </row>
    <row r="517" spans="1:27">
      <c r="A517" s="10">
        <f t="shared" si="10"/>
        <v>516</v>
      </c>
      <c r="B517" s="43">
        <f>YEAR(WTG_BD[[#This Row],[Date]])+IF(MONTH(WTG_BD[[#This Row],[Date]])&gt;=4,1,0)</f>
        <v>2026</v>
      </c>
      <c r="C517" s="10">
        <v>2025</v>
      </c>
      <c r="D517" s="10" t="s">
        <v>4478</v>
      </c>
      <c r="E517" s="309">
        <f>WTG_BD[[#This Row],[Date]]-DAY(WTG_BD[[#This Row],[Date]])+1</f>
        <v>45809</v>
      </c>
      <c r="F517" s="32">
        <v>45817</v>
      </c>
      <c r="G517" t="s">
        <v>85</v>
      </c>
      <c r="H517" t="str">
        <f>IFERROR(VLOOKUP(WTG_BD[[#This Row],[Affected WTG]],'Basic Data'!$A$3:$E$25,2,0),"")</f>
        <v>O2R1</v>
      </c>
      <c r="I517" t="str">
        <f>IFERROR(VLOOKUP(WTG_BD[[#This Row],[Affected WTG]],'Basic Data'!$A$3:$E$25,3,0),"")</f>
        <v>KSIPL</v>
      </c>
      <c r="J517" s="355">
        <f>IFERROR(VLOOKUP(WTG_BD[[#This Row],[Affected WTG]],'Basic Data'!$A$3:$E$25,5,0),"")</f>
        <v>4.3478260869565223E-2</v>
      </c>
      <c r="K517" s="10">
        <v>3273</v>
      </c>
      <c r="L517" t="str">
        <f>IFERROR(VLOOKUP(WTG_BD[[#This Row],[Error Code]],'Basic Data'!S:T,2,0),"Incorrect Error Code")</f>
        <v>YawUntwistCCW: Code__,_______°</v>
      </c>
      <c r="M517" t="s">
        <v>4638</v>
      </c>
      <c r="O517" s="168">
        <v>4.4444444444444446E-2</v>
      </c>
      <c r="P517" s="168">
        <v>4.4444444444444446E-2</v>
      </c>
      <c r="Q517" s="168">
        <v>6.0416666666666667E-2</v>
      </c>
      <c r="R517" s="356">
        <f>(WTG_BD[[#This Row],[Work Start TimeStamp]]-WTG_BD[[#This Row],[Fault Start TimeStamp]])*24</f>
        <v>0</v>
      </c>
      <c r="S517" s="34">
        <f>(WTG_BD[[#This Row],[Fault Clearance time]]-WTG_BD[[#This Row],[Work Start TimeStamp]])*24</f>
        <v>0.3833333333333333</v>
      </c>
      <c r="T517" s="34">
        <f>(WTG_BD[[#This Row],[Fault Clearance time]]-WTG_BD[[#This Row],[Fault Start TimeStamp]])*24</f>
        <v>0.3833333333333333</v>
      </c>
      <c r="U517" t="s">
        <v>262</v>
      </c>
      <c r="V517" s="234" t="s">
        <v>255</v>
      </c>
      <c r="W517" s="50">
        <f>IFERROR(IF(N517="ROW",0,(WTG_BD[[#This Row],[Breakdown Time]]*WTG_BD[[#This Row],[Plant Equivalent Weightage]])),"")</f>
        <v>1.6666666666666666E-2</v>
      </c>
      <c r="X517" s="50"/>
      <c r="Y517" s="205">
        <v>1</v>
      </c>
      <c r="Z517" s="205"/>
      <c r="AA517" s="4">
        <v>870.8</v>
      </c>
    </row>
    <row r="518" spans="1:27">
      <c r="A518" s="10">
        <f t="shared" si="10"/>
        <v>517</v>
      </c>
      <c r="B518" s="43">
        <f>YEAR(WTG_BD[[#This Row],[Date]])+IF(MONTH(WTG_BD[[#This Row],[Date]])&gt;=4,1,0)</f>
        <v>2026</v>
      </c>
      <c r="C518" s="10">
        <v>2025</v>
      </c>
      <c r="D518" s="10" t="s">
        <v>4478</v>
      </c>
      <c r="E518" s="309">
        <f>WTG_BD[[#This Row],[Date]]-DAY(WTG_BD[[#This Row],[Date]])+1</f>
        <v>45809</v>
      </c>
      <c r="F518" s="32">
        <v>45817</v>
      </c>
      <c r="G518" t="s">
        <v>92</v>
      </c>
      <c r="H518" t="str">
        <f>IFERROR(VLOOKUP(WTG_BD[[#This Row],[Affected WTG]],'Basic Data'!$A$3:$E$25,2,0),"")</f>
        <v>O2R2</v>
      </c>
      <c r="I518" t="str">
        <f>IFERROR(VLOOKUP(WTG_BD[[#This Row],[Affected WTG]],'Basic Data'!$A$3:$E$25,3,0),"")</f>
        <v>SIL</v>
      </c>
      <c r="J518" s="355">
        <f>IFERROR(VLOOKUP(WTG_BD[[#This Row],[Affected WTG]],'Basic Data'!$A$3:$E$25,5,0),"")</f>
        <v>4.3478260869565223E-2</v>
      </c>
      <c r="K518" s="10">
        <v>3298</v>
      </c>
      <c r="L518" t="str">
        <f>IFERROR(VLOOKUP(WTG_BD[[#This Row],[Error Code]],'Basic Data'!S:T,2,0),"Incorrect Error Code")</f>
        <v>Yaw To Cable Twist Reset</v>
      </c>
      <c r="M518" t="s">
        <v>301</v>
      </c>
      <c r="N518" t="s">
        <v>113</v>
      </c>
      <c r="O518" s="168">
        <v>0.27847222222222223</v>
      </c>
      <c r="P518" s="168">
        <v>0.27847222222222223</v>
      </c>
      <c r="Q518" s="168">
        <v>0.28611111111111109</v>
      </c>
      <c r="R518" s="356">
        <f>(WTG_BD[[#This Row],[Work Start TimeStamp]]-WTG_BD[[#This Row],[Fault Start TimeStamp]])*24</f>
        <v>0</v>
      </c>
      <c r="S518" s="34">
        <f>(WTG_BD[[#This Row],[Fault Clearance time]]-WTG_BD[[#This Row],[Work Start TimeStamp]])*24</f>
        <v>0.18333333333333268</v>
      </c>
      <c r="T518" s="34">
        <f>(WTG_BD[[#This Row],[Fault Clearance time]]-WTG_BD[[#This Row],[Fault Start TimeStamp]])*24</f>
        <v>0.18333333333333268</v>
      </c>
      <c r="U518" t="s">
        <v>262</v>
      </c>
      <c r="V518" s="234" t="s">
        <v>255</v>
      </c>
      <c r="W518" s="50">
        <f>IFERROR(IF(N518="ROW",0,(WTG_BD[[#This Row],[Breakdown Time]]*WTG_BD[[#This Row],[Plant Equivalent Weightage]])),"")</f>
        <v>7.9710144927535951E-3</v>
      </c>
      <c r="X518" s="50"/>
      <c r="Y518" s="205">
        <v>1</v>
      </c>
      <c r="Z518" s="205"/>
      <c r="AA518" s="4">
        <v>1752</v>
      </c>
    </row>
    <row r="519" spans="1:27">
      <c r="A519" s="10">
        <f t="shared" si="10"/>
        <v>518</v>
      </c>
      <c r="B519" s="43">
        <f>YEAR(WTG_BD[[#This Row],[Date]])+IF(MONTH(WTG_BD[[#This Row],[Date]])&gt;=4,1,0)</f>
        <v>2026</v>
      </c>
      <c r="C519" s="10">
        <v>2025</v>
      </c>
      <c r="D519" s="10" t="s">
        <v>4478</v>
      </c>
      <c r="E519" s="309">
        <f>WTG_BD[[#This Row],[Date]]-DAY(WTG_BD[[#This Row],[Date]])+1</f>
        <v>45809</v>
      </c>
      <c r="F519" s="32">
        <v>45817</v>
      </c>
      <c r="G519" t="s">
        <v>93</v>
      </c>
      <c r="H519" t="str">
        <f>IFERROR(VLOOKUP(WTG_BD[[#This Row],[Affected WTG]],'Basic Data'!$A$3:$E$25,2,0),"")</f>
        <v>O2R4</v>
      </c>
      <c r="I519" t="str">
        <f>IFERROR(VLOOKUP(WTG_BD[[#This Row],[Affected WTG]],'Basic Data'!$A$3:$E$25,3,0),"")</f>
        <v>SGDCIPL</v>
      </c>
      <c r="J519" s="355">
        <f>IFERROR(VLOOKUP(WTG_BD[[#This Row],[Affected WTG]],'Basic Data'!$A$3:$E$25,5,0),"")</f>
        <v>4.3478260869565223E-2</v>
      </c>
      <c r="K519" s="10">
        <v>3298</v>
      </c>
      <c r="L519" t="str">
        <f>IFERROR(VLOOKUP(WTG_BD[[#This Row],[Error Code]],'Basic Data'!S:T,2,0),"Incorrect Error Code")</f>
        <v>Yaw To Cable Twist Reset</v>
      </c>
      <c r="M519" t="s">
        <v>301</v>
      </c>
      <c r="N519" t="s">
        <v>113</v>
      </c>
      <c r="O519" s="168">
        <v>0.27847222222222223</v>
      </c>
      <c r="P519" s="168">
        <v>0.27847222222222223</v>
      </c>
      <c r="Q519" s="168">
        <v>0.28541666666666665</v>
      </c>
      <c r="R519" s="356">
        <f>(WTG_BD[[#This Row],[Work Start TimeStamp]]-WTG_BD[[#This Row],[Fault Start TimeStamp]])*24</f>
        <v>0</v>
      </c>
      <c r="S519" s="34">
        <f>(WTG_BD[[#This Row],[Fault Clearance time]]-WTG_BD[[#This Row],[Work Start TimeStamp]])*24</f>
        <v>0.16666666666666607</v>
      </c>
      <c r="T519" s="34">
        <f>(WTG_BD[[#This Row],[Fault Clearance time]]-WTG_BD[[#This Row],[Fault Start TimeStamp]])*24</f>
        <v>0.16666666666666607</v>
      </c>
      <c r="U519" t="s">
        <v>262</v>
      </c>
      <c r="V519" s="234" t="s">
        <v>255</v>
      </c>
      <c r="W519" s="50">
        <f>IFERROR(IF(N519="ROW",0,(WTG_BD[[#This Row],[Breakdown Time]]*WTG_BD[[#This Row],[Plant Equivalent Weightage]])),"")</f>
        <v>7.2463768115941778E-3</v>
      </c>
      <c r="X519" s="50"/>
      <c r="Y519" s="205">
        <v>1</v>
      </c>
      <c r="Z519" s="205"/>
      <c r="AA519" s="4">
        <v>1255.7</v>
      </c>
    </row>
    <row r="520" spans="1:27">
      <c r="A520" s="10">
        <f t="shared" si="10"/>
        <v>519</v>
      </c>
      <c r="B520" s="43">
        <f>YEAR(WTG_BD[[#This Row],[Date]])+IF(MONTH(WTG_BD[[#This Row],[Date]])&gt;=4,1,0)</f>
        <v>2026</v>
      </c>
      <c r="C520" s="10">
        <v>2025</v>
      </c>
      <c r="D520" s="10" t="s">
        <v>4478</v>
      </c>
      <c r="E520" s="309">
        <f>WTG_BD[[#This Row],[Date]]-DAY(WTG_BD[[#This Row],[Date]])+1</f>
        <v>45809</v>
      </c>
      <c r="F520" s="32">
        <v>45817</v>
      </c>
      <c r="G520" t="s">
        <v>96</v>
      </c>
      <c r="H520" t="str">
        <f>IFERROR(VLOOKUP(WTG_BD[[#This Row],[Affected WTG]],'Basic Data'!$A$3:$E$25,2,0),"")</f>
        <v>O2R3</v>
      </c>
      <c r="I520" t="str">
        <f>IFERROR(VLOOKUP(WTG_BD[[#This Row],[Affected WTG]],'Basic Data'!$A$3:$E$25,3,0),"")</f>
        <v>JK</v>
      </c>
      <c r="J520" s="355">
        <f>IFERROR(VLOOKUP(WTG_BD[[#This Row],[Affected WTG]],'Basic Data'!$A$3:$E$25,5,0),"")</f>
        <v>4.3478260869565223E-2</v>
      </c>
      <c r="K520" s="10">
        <v>3298</v>
      </c>
      <c r="L520" t="str">
        <f>IFERROR(VLOOKUP(WTG_BD[[#This Row],[Error Code]],'Basic Data'!S:T,2,0),"Incorrect Error Code")</f>
        <v>Yaw To Cable Twist Reset</v>
      </c>
      <c r="M520" t="s">
        <v>301</v>
      </c>
      <c r="N520" t="s">
        <v>113</v>
      </c>
      <c r="O520" s="168">
        <v>0.27847222222222223</v>
      </c>
      <c r="P520" s="168">
        <v>0.27847222222222223</v>
      </c>
      <c r="Q520" s="168">
        <v>0.28680555555555554</v>
      </c>
      <c r="R520" s="356">
        <f>(WTG_BD[[#This Row],[Work Start TimeStamp]]-WTG_BD[[#This Row],[Fault Start TimeStamp]])*24</f>
        <v>0</v>
      </c>
      <c r="S520" s="34">
        <f>(WTG_BD[[#This Row],[Fault Clearance time]]-WTG_BD[[#This Row],[Work Start TimeStamp]])*24</f>
        <v>0.19999999999999929</v>
      </c>
      <c r="T520" s="34">
        <f>(WTG_BD[[#This Row],[Fault Clearance time]]-WTG_BD[[#This Row],[Fault Start TimeStamp]])*24</f>
        <v>0.19999999999999929</v>
      </c>
      <c r="U520" t="s">
        <v>262</v>
      </c>
      <c r="V520" s="234" t="s">
        <v>255</v>
      </c>
      <c r="W520" s="50">
        <f>IFERROR(IF(N520="ROW",0,(WTG_BD[[#This Row],[Breakdown Time]]*WTG_BD[[#This Row],[Plant Equivalent Weightage]])),"")</f>
        <v>8.6956521739130141E-3</v>
      </c>
      <c r="X520" s="50"/>
      <c r="Y520" s="205">
        <v>1</v>
      </c>
      <c r="Z520" s="205"/>
      <c r="AA520" s="4">
        <v>1060.8</v>
      </c>
    </row>
    <row r="521" spans="1:27">
      <c r="A521" s="10">
        <f t="shared" si="10"/>
        <v>520</v>
      </c>
      <c r="B521" s="43">
        <f>YEAR(WTG_BD[[#This Row],[Date]])+IF(MONTH(WTG_BD[[#This Row],[Date]])&gt;=4,1,0)</f>
        <v>2026</v>
      </c>
      <c r="C521" s="10">
        <v>2025</v>
      </c>
      <c r="D521" s="10" t="s">
        <v>4478</v>
      </c>
      <c r="E521" s="309">
        <f>WTG_BD[[#This Row],[Date]]-DAY(WTG_BD[[#This Row],[Date]])+1</f>
        <v>45809</v>
      </c>
      <c r="F521" s="32">
        <v>45817</v>
      </c>
      <c r="G521" t="s">
        <v>79</v>
      </c>
      <c r="H521" t="str">
        <f>IFERROR(VLOOKUP(WTG_BD[[#This Row],[Affected WTG]],'Basic Data'!$A$3:$E$25,2,0),"")</f>
        <v>O2R3</v>
      </c>
      <c r="I521" t="str">
        <f>IFERROR(VLOOKUP(WTG_BD[[#This Row],[Affected WTG]],'Basic Data'!$A$3:$E$25,3,0),"")</f>
        <v>JK</v>
      </c>
      <c r="J521" s="355">
        <f>IFERROR(VLOOKUP(WTG_BD[[#This Row],[Affected WTG]],'Basic Data'!$A$3:$E$25,5,0),"")</f>
        <v>4.3478260869565223E-2</v>
      </c>
      <c r="K521" s="10">
        <v>315</v>
      </c>
      <c r="L521" t="str">
        <f>IFERROR(VLOOKUP(WTG_BD[[#This Row],[Error Code]],'Basic Data'!S:T,2,0),"Incorrect Error Code")</f>
        <v>ExEx low voltage L_: ___V</v>
      </c>
      <c r="M521" t="s">
        <v>336</v>
      </c>
      <c r="N521" t="s">
        <v>113</v>
      </c>
      <c r="O521" s="168">
        <v>0.27847222222222223</v>
      </c>
      <c r="P521" s="168">
        <v>0.27847222222222223</v>
      </c>
      <c r="Q521" s="168">
        <v>0.32083333333333336</v>
      </c>
      <c r="R521" s="356">
        <f>(WTG_BD[[#This Row],[Work Start TimeStamp]]-WTG_BD[[#This Row],[Fault Start TimeStamp]])*24</f>
        <v>0</v>
      </c>
      <c r="S521" s="34">
        <f>(WTG_BD[[#This Row],[Fault Clearance time]]-WTG_BD[[#This Row],[Work Start TimeStamp]])*24</f>
        <v>1.0166666666666671</v>
      </c>
      <c r="T521" s="34">
        <f>(WTG_BD[[#This Row],[Fault Clearance time]]-WTG_BD[[#This Row],[Fault Start TimeStamp]])*24</f>
        <v>1.0166666666666671</v>
      </c>
      <c r="U521" t="s">
        <v>262</v>
      </c>
      <c r="V521" s="234" t="s">
        <v>255</v>
      </c>
      <c r="W521" s="50">
        <f>IFERROR(IF(N521="ROW",0,(WTG_BD[[#This Row],[Breakdown Time]]*WTG_BD[[#This Row],[Plant Equivalent Weightage]])),"")</f>
        <v>4.4202898550724658E-2</v>
      </c>
      <c r="X521" s="50"/>
      <c r="Y521" s="205">
        <v>1</v>
      </c>
      <c r="Z521" s="205"/>
      <c r="AA521" s="4">
        <v>488.3</v>
      </c>
    </row>
    <row r="522" spans="1:27">
      <c r="A522" s="10">
        <f t="shared" si="10"/>
        <v>521</v>
      </c>
      <c r="B522" s="43">
        <f>YEAR(WTG_BD[[#This Row],[Date]])+IF(MONTH(WTG_BD[[#This Row],[Date]])&gt;=4,1,0)</f>
        <v>2026</v>
      </c>
      <c r="C522" s="10">
        <v>2025</v>
      </c>
      <c r="D522" s="10" t="s">
        <v>4478</v>
      </c>
      <c r="E522" s="309">
        <f>WTG_BD[[#This Row],[Date]]-DAY(WTG_BD[[#This Row],[Date]])+1</f>
        <v>45809</v>
      </c>
      <c r="F522" s="32">
        <v>45818</v>
      </c>
      <c r="G522" t="s">
        <v>87</v>
      </c>
      <c r="H522" t="str">
        <f>IFERROR(VLOOKUP(WTG_BD[[#This Row],[Affected WTG]],'Basic Data'!$A$3:$E$25,2,0),"")</f>
        <v>O2R1</v>
      </c>
      <c r="I522" t="str">
        <f>IFERROR(VLOOKUP(WTG_BD[[#This Row],[Affected WTG]],'Basic Data'!$A$3:$E$25,3,0),"")</f>
        <v>KSIPL</v>
      </c>
      <c r="J522" s="355">
        <f>IFERROR(VLOOKUP(WTG_BD[[#This Row],[Affected WTG]],'Basic Data'!$A$3:$E$25,5,0),"")</f>
        <v>4.3478260869565223E-2</v>
      </c>
      <c r="K522" s="10">
        <v>138</v>
      </c>
      <c r="L522" t="str">
        <f>IFERROR(VLOOKUP(WTG_BD[[#This Row],[Error Code]],'Basic Data'!S:T,2,0),"Incorrect Error Code")</f>
        <v>Asym.currL3:____A,Others:____A</v>
      </c>
      <c r="M522" t="s">
        <v>707</v>
      </c>
      <c r="N522" t="s">
        <v>113</v>
      </c>
      <c r="O522" s="168">
        <v>0.47430555555555554</v>
      </c>
      <c r="P522" s="168">
        <v>0.47430555555555554</v>
      </c>
      <c r="Q522" s="168">
        <v>0.47916666666666669</v>
      </c>
      <c r="R522" s="356">
        <f>(WTG_BD[[#This Row],[Work Start TimeStamp]]-WTG_BD[[#This Row],[Fault Start TimeStamp]])*24</f>
        <v>0</v>
      </c>
      <c r="S522" s="34">
        <f>(WTG_BD[[#This Row],[Fault Clearance time]]-WTG_BD[[#This Row],[Work Start TimeStamp]])*24</f>
        <v>0.11666666666666758</v>
      </c>
      <c r="T522" s="34">
        <f>(WTG_BD[[#This Row],[Fault Clearance time]]-WTG_BD[[#This Row],[Fault Start TimeStamp]])*24</f>
        <v>0.11666666666666758</v>
      </c>
      <c r="U522" t="s">
        <v>262</v>
      </c>
      <c r="V522" s="234" t="s">
        <v>255</v>
      </c>
      <c r="W522" s="50">
        <f>IFERROR(IF(N522="ROW",0,(WTG_BD[[#This Row],[Breakdown Time]]*WTG_BD[[#This Row],[Plant Equivalent Weightage]])),"")</f>
        <v>5.0724637681159824E-3</v>
      </c>
      <c r="X522" s="50"/>
      <c r="Y522" s="205">
        <v>1</v>
      </c>
      <c r="Z522" s="205"/>
      <c r="AA522" s="4">
        <v>69</v>
      </c>
    </row>
    <row r="523" spans="1:27">
      <c r="A523" s="10">
        <f t="shared" si="10"/>
        <v>522</v>
      </c>
      <c r="B523" s="43">
        <f>YEAR(WTG_BD[[#This Row],[Date]])+IF(MONTH(WTG_BD[[#This Row],[Date]])&gt;=4,1,0)</f>
        <v>2026</v>
      </c>
      <c r="C523" s="10">
        <v>2025</v>
      </c>
      <c r="D523" s="10" t="s">
        <v>4478</v>
      </c>
      <c r="E523" s="309">
        <f>WTG_BD[[#This Row],[Date]]-DAY(WTG_BD[[#This Row],[Date]])+1</f>
        <v>45809</v>
      </c>
      <c r="F523" s="32">
        <v>45818</v>
      </c>
      <c r="G523" t="s">
        <v>88</v>
      </c>
      <c r="H523" t="str">
        <f>IFERROR(VLOOKUP(WTG_BD[[#This Row],[Affected WTG]],'Basic Data'!$A$3:$E$25,2,0),"")</f>
        <v>O2R1</v>
      </c>
      <c r="I523" t="str">
        <f>IFERROR(VLOOKUP(WTG_BD[[#This Row],[Affected WTG]],'Basic Data'!$A$3:$E$25,3,0),"")</f>
        <v>KSIPL</v>
      </c>
      <c r="J523" s="355">
        <f>IFERROR(VLOOKUP(WTG_BD[[#This Row],[Affected WTG]],'Basic Data'!$A$3:$E$25,5,0),"")</f>
        <v>4.3478260869565223E-2</v>
      </c>
      <c r="K523" s="10">
        <v>137</v>
      </c>
      <c r="L523" t="str">
        <f>IFERROR(VLOOKUP(WTG_BD[[#This Row],[Error Code]],'Basic Data'!S:T,2,0),"Incorrect Error Code")</f>
        <v>Asym.currL2:____A,Others:____A</v>
      </c>
      <c r="M523" t="s">
        <v>706</v>
      </c>
      <c r="N523" t="s">
        <v>113</v>
      </c>
      <c r="O523" s="168">
        <v>0.52013888888888893</v>
      </c>
      <c r="P523" s="168">
        <v>0.52013888888888893</v>
      </c>
      <c r="Q523" s="168">
        <v>0.52500000000000002</v>
      </c>
      <c r="R523" s="356">
        <f>(WTG_BD[[#This Row],[Work Start TimeStamp]]-WTG_BD[[#This Row],[Fault Start TimeStamp]])*24</f>
        <v>0</v>
      </c>
      <c r="S523" s="34">
        <f>(WTG_BD[[#This Row],[Fault Clearance time]]-WTG_BD[[#This Row],[Work Start TimeStamp]])*24</f>
        <v>0.11666666666666625</v>
      </c>
      <c r="T523" s="34">
        <f>(WTG_BD[[#This Row],[Fault Clearance time]]-WTG_BD[[#This Row],[Fault Start TimeStamp]])*24</f>
        <v>0.11666666666666625</v>
      </c>
      <c r="U523" t="s">
        <v>262</v>
      </c>
      <c r="V523" s="234" t="s">
        <v>255</v>
      </c>
      <c r="W523" s="50">
        <f>IFERROR(IF(N523="ROW",0,(WTG_BD[[#This Row],[Breakdown Time]]*WTG_BD[[#This Row],[Plant Equivalent Weightage]])),"")</f>
        <v>5.0724637681159243E-3</v>
      </c>
      <c r="X523" s="50"/>
      <c r="Y523" s="205">
        <v>1</v>
      </c>
      <c r="Z523" s="205"/>
      <c r="AA523" s="4">
        <v>56</v>
      </c>
    </row>
    <row r="524" spans="1:27">
      <c r="A524" s="10">
        <f t="shared" si="10"/>
        <v>523</v>
      </c>
      <c r="B524" s="43">
        <f>YEAR(WTG_BD[[#This Row],[Date]])+IF(MONTH(WTG_BD[[#This Row],[Date]])&gt;=4,1,0)</f>
        <v>2026</v>
      </c>
      <c r="C524" s="10">
        <v>2025</v>
      </c>
      <c r="D524" s="10" t="s">
        <v>4478</v>
      </c>
      <c r="E524" s="309">
        <f>WTG_BD[[#This Row],[Date]]-DAY(WTG_BD[[#This Row],[Date]])+1</f>
        <v>45809</v>
      </c>
      <c r="F524" s="32">
        <v>45818</v>
      </c>
      <c r="G524" t="s">
        <v>90</v>
      </c>
      <c r="H524" t="str">
        <f>IFERROR(VLOOKUP(WTG_BD[[#This Row],[Affected WTG]],'Basic Data'!$A$3:$E$25,2,0),"")</f>
        <v>O2R1</v>
      </c>
      <c r="I524" t="str">
        <f>IFERROR(VLOOKUP(WTG_BD[[#This Row],[Affected WTG]],'Basic Data'!$A$3:$E$25,3,0),"")</f>
        <v>KSIPL</v>
      </c>
      <c r="J524" s="355">
        <f>IFERROR(VLOOKUP(WTG_BD[[#This Row],[Affected WTG]],'Basic Data'!$A$3:$E$25,5,0),"")</f>
        <v>4.3478260869565223E-2</v>
      </c>
      <c r="K524" s="10">
        <v>137</v>
      </c>
      <c r="L524" t="str">
        <f>IFERROR(VLOOKUP(WTG_BD[[#This Row],[Error Code]],'Basic Data'!S:T,2,0),"Incorrect Error Code")</f>
        <v>Asym.currL2:____A,Others:____A</v>
      </c>
      <c r="M524" t="s">
        <v>706</v>
      </c>
      <c r="N524" t="s">
        <v>113</v>
      </c>
      <c r="O524" s="168">
        <v>0.57291666666666663</v>
      </c>
      <c r="P524" s="168">
        <v>0.57291666666666663</v>
      </c>
      <c r="Q524" s="168">
        <v>0.57638888888888884</v>
      </c>
      <c r="R524" s="356">
        <f>(WTG_BD[[#This Row],[Work Start TimeStamp]]-WTG_BD[[#This Row],[Fault Start TimeStamp]])*24</f>
        <v>0</v>
      </c>
      <c r="S524" s="34">
        <f>(WTG_BD[[#This Row],[Fault Clearance time]]-WTG_BD[[#This Row],[Work Start TimeStamp]])*24</f>
        <v>8.3333333333333037E-2</v>
      </c>
      <c r="T524" s="34">
        <f>(WTG_BD[[#This Row],[Fault Clearance time]]-WTG_BD[[#This Row],[Fault Start TimeStamp]])*24</f>
        <v>8.3333333333333037E-2</v>
      </c>
      <c r="U524" t="s">
        <v>262</v>
      </c>
      <c r="V524" s="234" t="s">
        <v>255</v>
      </c>
      <c r="W524" s="50">
        <f>IFERROR(IF(N524="ROW",0,(WTG_BD[[#This Row],[Breakdown Time]]*WTG_BD[[#This Row],[Plant Equivalent Weightage]])),"")</f>
        <v>3.6231884057970889E-3</v>
      </c>
      <c r="X524" s="50"/>
      <c r="Y524" s="205">
        <v>1</v>
      </c>
      <c r="Z524" s="205"/>
      <c r="AA524" s="4">
        <v>110</v>
      </c>
    </row>
    <row r="525" spans="1:27">
      <c r="A525" s="10">
        <f t="shared" si="10"/>
        <v>524</v>
      </c>
      <c r="B525" s="43">
        <f>YEAR(WTG_BD[[#This Row],[Date]])+IF(MONTH(WTG_BD[[#This Row],[Date]])&gt;=4,1,0)</f>
        <v>2026</v>
      </c>
      <c r="C525" s="10">
        <v>2025</v>
      </c>
      <c r="D525" s="10" t="s">
        <v>4478</v>
      </c>
      <c r="E525" s="309">
        <f>WTG_BD[[#This Row],[Date]]-DAY(WTG_BD[[#This Row],[Date]])+1</f>
        <v>45809</v>
      </c>
      <c r="F525" s="32">
        <v>45818</v>
      </c>
      <c r="G525" t="s">
        <v>94</v>
      </c>
      <c r="H525" t="str">
        <f>IFERROR(VLOOKUP(WTG_BD[[#This Row],[Affected WTG]],'Basic Data'!$A$3:$E$25,2,0),"")</f>
        <v>O2R1</v>
      </c>
      <c r="I525" t="str">
        <f>IFERROR(VLOOKUP(WTG_BD[[#This Row],[Affected WTG]],'Basic Data'!$A$3:$E$25,3,0),"")</f>
        <v>KSIPL</v>
      </c>
      <c r="J525" s="355">
        <f>IFERROR(VLOOKUP(WTG_BD[[#This Row],[Affected WTG]],'Basic Data'!$A$3:$E$25,5,0),"")</f>
        <v>4.3478260869565223E-2</v>
      </c>
      <c r="K525" s="10">
        <v>136</v>
      </c>
      <c r="L525" t="str">
        <f>IFERROR(VLOOKUP(WTG_BD[[#This Row],[Error Code]],'Basic Data'!S:T,2,0),"Incorrect Error Code")</f>
        <v>Asym.currL1:____A,Others:____A</v>
      </c>
      <c r="M525" t="s">
        <v>705</v>
      </c>
      <c r="N525" t="s">
        <v>113</v>
      </c>
      <c r="O525" s="168">
        <v>0.48333333333333334</v>
      </c>
      <c r="P525" s="168">
        <v>0.48333333333333334</v>
      </c>
      <c r="Q525" s="168">
        <v>0.4861111111111111</v>
      </c>
      <c r="R525" s="356">
        <f>(WTG_BD[[#This Row],[Work Start TimeStamp]]-WTG_BD[[#This Row],[Fault Start TimeStamp]])*24</f>
        <v>0</v>
      </c>
      <c r="S525" s="34">
        <f>(WTG_BD[[#This Row],[Fault Clearance time]]-WTG_BD[[#This Row],[Work Start TimeStamp]])*24</f>
        <v>6.666666666666643E-2</v>
      </c>
      <c r="T525" s="34">
        <f>(WTG_BD[[#This Row],[Fault Clearance time]]-WTG_BD[[#This Row],[Fault Start TimeStamp]])*24</f>
        <v>6.666666666666643E-2</v>
      </c>
      <c r="U525" t="s">
        <v>262</v>
      </c>
      <c r="V525" s="234" t="s">
        <v>255</v>
      </c>
      <c r="W525" s="50">
        <f>IFERROR(IF(N525="ROW",0,(WTG_BD[[#This Row],[Breakdown Time]]*WTG_BD[[#This Row],[Plant Equivalent Weightage]])),"")</f>
        <v>2.8985507246376712E-3</v>
      </c>
      <c r="X525" s="50"/>
      <c r="Y525" s="205">
        <v>1</v>
      </c>
      <c r="Z525" s="205"/>
      <c r="AA525" s="4">
        <v>58</v>
      </c>
    </row>
    <row r="526" spans="1:27">
      <c r="A526" s="10">
        <f t="shared" si="10"/>
        <v>525</v>
      </c>
      <c r="B526" s="43">
        <f>YEAR(WTG_BD[[#This Row],[Date]])+IF(MONTH(WTG_BD[[#This Row],[Date]])&gt;=4,1,0)</f>
        <v>2026</v>
      </c>
      <c r="C526" s="10">
        <v>2025</v>
      </c>
      <c r="D526" s="10" t="s">
        <v>4478</v>
      </c>
      <c r="E526" s="309">
        <f>WTG_BD[[#This Row],[Date]]-DAY(WTG_BD[[#This Row],[Date]])+1</f>
        <v>45809</v>
      </c>
      <c r="F526" s="32">
        <v>45818</v>
      </c>
      <c r="G526" t="s">
        <v>94</v>
      </c>
      <c r="H526" t="str">
        <f>IFERROR(VLOOKUP(WTG_BD[[#This Row],[Affected WTG]],'Basic Data'!$A$3:$E$25,2,0),"")</f>
        <v>O2R1</v>
      </c>
      <c r="I526" t="str">
        <f>IFERROR(VLOOKUP(WTG_BD[[#This Row],[Affected WTG]],'Basic Data'!$A$3:$E$25,3,0),"")</f>
        <v>KSIPL</v>
      </c>
      <c r="J526" s="355">
        <f>IFERROR(VLOOKUP(WTG_BD[[#This Row],[Affected WTG]],'Basic Data'!$A$3:$E$25,5,0),"")</f>
        <v>4.3478260869565223E-2</v>
      </c>
      <c r="K526" s="10">
        <v>6293</v>
      </c>
      <c r="L526" t="str">
        <f>IFERROR(VLOOKUP(WTG_BD[[#This Row],[Error Code]],'Basic Data'!S:T,2,0),"Incorrect Error Code")</f>
        <v>Pitch valves test acitve</v>
      </c>
      <c r="M526" t="s">
        <v>4303</v>
      </c>
      <c r="N526" t="s">
        <v>113</v>
      </c>
      <c r="O526" s="168">
        <v>0.49027777777777776</v>
      </c>
      <c r="P526" s="168">
        <v>0.49027777777777776</v>
      </c>
      <c r="Q526" s="168">
        <v>0.49305555555555558</v>
      </c>
      <c r="R526" s="356">
        <f>(WTG_BD[[#This Row],[Work Start TimeStamp]]-WTG_BD[[#This Row],[Fault Start TimeStamp]])*24</f>
        <v>0</v>
      </c>
      <c r="S526" s="34">
        <f>(WTG_BD[[#This Row],[Fault Clearance time]]-WTG_BD[[#This Row],[Work Start TimeStamp]])*24</f>
        <v>6.6666666666667762E-2</v>
      </c>
      <c r="T526" s="34">
        <f>(WTG_BD[[#This Row],[Fault Clearance time]]-WTG_BD[[#This Row],[Fault Start TimeStamp]])*24</f>
        <v>6.6666666666667762E-2</v>
      </c>
      <c r="U526" t="s">
        <v>262</v>
      </c>
      <c r="V526" s="234" t="s">
        <v>255</v>
      </c>
      <c r="W526" s="50">
        <f>IFERROR(IF(N526="ROW",0,(WTG_BD[[#This Row],[Breakdown Time]]*WTG_BD[[#This Row],[Plant Equivalent Weightage]])),"")</f>
        <v>2.8985507246377293E-3</v>
      </c>
      <c r="X526" s="50"/>
      <c r="Y526" s="205">
        <v>1</v>
      </c>
      <c r="Z526" s="205"/>
      <c r="AA526" s="4">
        <v>53</v>
      </c>
    </row>
    <row r="527" spans="1:27">
      <c r="A527" s="10">
        <f t="shared" si="10"/>
        <v>526</v>
      </c>
      <c r="B527" s="43">
        <f>YEAR(WTG_BD[[#This Row],[Date]])+IF(MONTH(WTG_BD[[#This Row],[Date]])&gt;=4,1,0)</f>
        <v>2026</v>
      </c>
      <c r="C527" s="10">
        <v>2025</v>
      </c>
      <c r="D527" s="10" t="s">
        <v>4478</v>
      </c>
      <c r="E527" s="309">
        <f>WTG_BD[[#This Row],[Date]]-DAY(WTG_BD[[#This Row],[Date]])+1</f>
        <v>45809</v>
      </c>
      <c r="F527" s="32">
        <v>45818</v>
      </c>
      <c r="G527" t="s">
        <v>95</v>
      </c>
      <c r="H527" t="str">
        <f>IFERROR(VLOOKUP(WTG_BD[[#This Row],[Affected WTG]],'Basic Data'!$A$3:$E$25,2,0),"")</f>
        <v>O2R1</v>
      </c>
      <c r="I527" t="str">
        <f>IFERROR(VLOOKUP(WTG_BD[[#This Row],[Affected WTG]],'Basic Data'!$A$3:$E$25,3,0),"")</f>
        <v>KSIPL</v>
      </c>
      <c r="J527" s="355">
        <f>IFERROR(VLOOKUP(WTG_BD[[#This Row],[Affected WTG]],'Basic Data'!$A$3:$E$25,5,0),"")</f>
        <v>4.3478260869565223E-2</v>
      </c>
      <c r="K527" s="10">
        <v>137</v>
      </c>
      <c r="L527" t="str">
        <f>IFERROR(VLOOKUP(WTG_BD[[#This Row],[Error Code]],'Basic Data'!S:T,2,0),"Incorrect Error Code")</f>
        <v>Asym.currL2:____A,Others:____A</v>
      </c>
      <c r="M527" t="s">
        <v>706</v>
      </c>
      <c r="N527" t="s">
        <v>113</v>
      </c>
      <c r="O527" s="168">
        <v>0.48888888888888887</v>
      </c>
      <c r="P527" s="168">
        <v>0.48888888888888887</v>
      </c>
      <c r="Q527" s="168">
        <v>0.49305555555555558</v>
      </c>
      <c r="R527" s="356">
        <f>(WTG_BD[[#This Row],[Work Start TimeStamp]]-WTG_BD[[#This Row],[Fault Start TimeStamp]])*24</f>
        <v>0</v>
      </c>
      <c r="S527" s="34">
        <f>(WTG_BD[[#This Row],[Fault Clearance time]]-WTG_BD[[#This Row],[Work Start TimeStamp]])*24</f>
        <v>0.10000000000000098</v>
      </c>
      <c r="T527" s="34">
        <f>(WTG_BD[[#This Row],[Fault Clearance time]]-WTG_BD[[#This Row],[Fault Start TimeStamp]])*24</f>
        <v>0.10000000000000098</v>
      </c>
      <c r="U527" t="s">
        <v>262</v>
      </c>
      <c r="V527" s="234" t="s">
        <v>255</v>
      </c>
      <c r="W527" s="50">
        <f>IFERROR(IF(N527="ROW",0,(WTG_BD[[#This Row],[Breakdown Time]]*WTG_BD[[#This Row],[Plant Equivalent Weightage]])),"")</f>
        <v>4.3478260869565652E-3</v>
      </c>
      <c r="X527" s="50"/>
      <c r="Y527" s="205">
        <v>1</v>
      </c>
      <c r="Z527" s="205"/>
      <c r="AA527" s="4">
        <v>83</v>
      </c>
    </row>
    <row r="528" spans="1:27">
      <c r="A528" s="10">
        <f t="shared" si="10"/>
        <v>527</v>
      </c>
      <c r="B528" s="43">
        <f>YEAR(WTG_BD[[#This Row],[Date]])+IF(MONTH(WTG_BD[[#This Row],[Date]])&gt;=4,1,0)</f>
        <v>2026</v>
      </c>
      <c r="C528" s="10">
        <v>2025</v>
      </c>
      <c r="D528" s="10" t="s">
        <v>4478</v>
      </c>
      <c r="E528" s="309">
        <f>WTG_BD[[#This Row],[Date]]-DAY(WTG_BD[[#This Row],[Date]])+1</f>
        <v>45809</v>
      </c>
      <c r="F528" s="32">
        <v>45818</v>
      </c>
      <c r="G528" t="s">
        <v>79</v>
      </c>
      <c r="H528" t="str">
        <f>IFERROR(VLOOKUP(WTG_BD[[#This Row],[Affected WTG]],'Basic Data'!$A$3:$E$25,2,0),"")</f>
        <v>O2R3</v>
      </c>
      <c r="I528" t="str">
        <f>IFERROR(VLOOKUP(WTG_BD[[#This Row],[Affected WTG]],'Basic Data'!$A$3:$E$25,3,0),"")</f>
        <v>JK</v>
      </c>
      <c r="J528" s="355">
        <f>IFERROR(VLOOKUP(WTG_BD[[#This Row],[Affected WTG]],'Basic Data'!$A$3:$E$25,5,0),"")</f>
        <v>4.3478260869565223E-2</v>
      </c>
      <c r="K528" s="10">
        <v>704</v>
      </c>
      <c r="L528" t="str">
        <f>IFERROR(VLOOKUP(WTG_BD[[#This Row],[Error Code]],'Basic Data'!S:T,2,0),"Incorrect Error Code")</f>
        <v>Ch High res. load C_ Load:___%</v>
      </c>
      <c r="M528" t="s">
        <v>372</v>
      </c>
      <c r="N528" t="s">
        <v>113</v>
      </c>
      <c r="O528" s="168">
        <v>0.98819444444444449</v>
      </c>
      <c r="P528" s="168">
        <v>0.98819444444444449</v>
      </c>
      <c r="Q528" s="168">
        <v>0.99930555555555556</v>
      </c>
      <c r="R528" s="356">
        <f>(WTG_BD[[#This Row],[Work Start TimeStamp]]-WTG_BD[[#This Row],[Fault Start TimeStamp]])*24</f>
        <v>0</v>
      </c>
      <c r="S528" s="34">
        <f>(WTG_BD[[#This Row],[Fault Clearance time]]-WTG_BD[[#This Row],[Work Start TimeStamp]])*24</f>
        <v>0.26666666666666572</v>
      </c>
      <c r="T528" s="34">
        <f>(WTG_BD[[#This Row],[Fault Clearance time]]-WTG_BD[[#This Row],[Fault Start TimeStamp]])*24</f>
        <v>0.26666666666666572</v>
      </c>
      <c r="U528" t="s">
        <v>4268</v>
      </c>
      <c r="V528" s="234" t="s">
        <v>255</v>
      </c>
      <c r="W528" s="50">
        <f>IFERROR(IF(N528="ROW",0,(WTG_BD[[#This Row],[Breakdown Time]]*WTG_BD[[#This Row],[Plant Equivalent Weightage]])),"")</f>
        <v>1.1594202898550685E-2</v>
      </c>
      <c r="X528" s="50"/>
      <c r="Y528" s="205">
        <v>1</v>
      </c>
      <c r="Z528" s="205"/>
      <c r="AA528" s="4">
        <v>111</v>
      </c>
    </row>
    <row r="529" spans="1:27">
      <c r="A529" s="10">
        <f t="shared" si="10"/>
        <v>528</v>
      </c>
      <c r="B529" s="43">
        <f>YEAR(WTG_BD[[#This Row],[Date]])+IF(MONTH(WTG_BD[[#This Row],[Date]])&gt;=4,1,0)</f>
        <v>2026</v>
      </c>
      <c r="C529" s="10">
        <v>2025</v>
      </c>
      <c r="D529" s="10" t="s">
        <v>4478</v>
      </c>
      <c r="E529" s="309">
        <f>WTG_BD[[#This Row],[Date]]-DAY(WTG_BD[[#This Row],[Date]])+1</f>
        <v>45809</v>
      </c>
      <c r="F529" s="32">
        <v>45818</v>
      </c>
      <c r="G529" t="s">
        <v>81</v>
      </c>
      <c r="H529" t="str">
        <f>IFERROR(VLOOKUP(WTG_BD[[#This Row],[Affected WTG]],'Basic Data'!$A$3:$E$25,2,0),"")</f>
        <v>O2R3</v>
      </c>
      <c r="I529" t="str">
        <f>IFERROR(VLOOKUP(WTG_BD[[#This Row],[Affected WTG]],'Basic Data'!$A$3:$E$25,3,0),"")</f>
        <v>JK</v>
      </c>
      <c r="J529" s="355">
        <f>IFERROR(VLOOKUP(WTG_BD[[#This Row],[Affected WTG]],'Basic Data'!$A$3:$E$25,5,0),"")</f>
        <v>4.3478260869565223E-2</v>
      </c>
      <c r="K529" s="10">
        <v>138</v>
      </c>
      <c r="L529" t="str">
        <f>IFERROR(VLOOKUP(WTG_BD[[#This Row],[Error Code]],'Basic Data'!S:T,2,0),"Incorrect Error Code")</f>
        <v>Asym.currL3:____A,Others:____A</v>
      </c>
      <c r="M529" t="s">
        <v>707</v>
      </c>
      <c r="N529" t="s">
        <v>113</v>
      </c>
      <c r="O529" s="168">
        <v>0.53263888888888888</v>
      </c>
      <c r="P529" s="168">
        <v>0.53263888888888888</v>
      </c>
      <c r="Q529" s="168">
        <v>0.53472222222222221</v>
      </c>
      <c r="R529" s="356">
        <f>(WTG_BD[[#This Row],[Work Start TimeStamp]]-WTG_BD[[#This Row],[Fault Start TimeStamp]])*24</f>
        <v>0</v>
      </c>
      <c r="S529" s="34">
        <f>(WTG_BD[[#This Row],[Fault Clearance time]]-WTG_BD[[#This Row],[Work Start TimeStamp]])*24</f>
        <v>4.9999999999999822E-2</v>
      </c>
      <c r="T529" s="34">
        <f>(WTG_BD[[#This Row],[Fault Clearance time]]-WTG_BD[[#This Row],[Fault Start TimeStamp]])*24</f>
        <v>4.9999999999999822E-2</v>
      </c>
      <c r="U529" t="s">
        <v>262</v>
      </c>
      <c r="V529" s="234" t="s">
        <v>255</v>
      </c>
      <c r="W529" s="50">
        <f>IFERROR(IF(N529="ROW",0,(WTG_BD[[#This Row],[Breakdown Time]]*WTG_BD[[#This Row],[Plant Equivalent Weightage]])),"")</f>
        <v>2.1739130434782535E-3</v>
      </c>
      <c r="X529" s="50"/>
      <c r="Y529" s="205">
        <v>1</v>
      </c>
      <c r="Z529" s="205"/>
      <c r="AA529" s="4">
        <v>31</v>
      </c>
    </row>
    <row r="530" spans="1:27">
      <c r="A530" s="10">
        <f t="shared" si="10"/>
        <v>529</v>
      </c>
      <c r="B530" s="43">
        <f>YEAR(WTG_BD[[#This Row],[Date]])+IF(MONTH(WTG_BD[[#This Row],[Date]])&gt;=4,1,0)</f>
        <v>2026</v>
      </c>
      <c r="C530" s="10">
        <v>2025</v>
      </c>
      <c r="D530" s="10" t="s">
        <v>4478</v>
      </c>
      <c r="E530" s="309">
        <f>WTG_BD[[#This Row],[Date]]-DAY(WTG_BD[[#This Row],[Date]])+1</f>
        <v>45809</v>
      </c>
      <c r="F530" s="32">
        <v>45818</v>
      </c>
      <c r="G530" t="s">
        <v>81</v>
      </c>
      <c r="H530" t="str">
        <f>IFERROR(VLOOKUP(WTG_BD[[#This Row],[Affected WTG]],'Basic Data'!$A$3:$E$25,2,0),"")</f>
        <v>O2R3</v>
      </c>
      <c r="I530" t="str">
        <f>IFERROR(VLOOKUP(WTG_BD[[#This Row],[Affected WTG]],'Basic Data'!$A$3:$E$25,3,0),"")</f>
        <v>JK</v>
      </c>
      <c r="J530" s="355">
        <f>IFERROR(VLOOKUP(WTG_BD[[#This Row],[Affected WTG]],'Basic Data'!$A$3:$E$25,5,0),"")</f>
        <v>4.3478260869565223E-2</v>
      </c>
      <c r="K530" s="10">
        <v>6293</v>
      </c>
      <c r="L530" t="str">
        <f>IFERROR(VLOOKUP(WTG_BD[[#This Row],[Error Code]],'Basic Data'!S:T,2,0),"Incorrect Error Code")</f>
        <v>Pitch valves test acitve</v>
      </c>
      <c r="M530" t="s">
        <v>4303</v>
      </c>
      <c r="N530" t="s">
        <v>113</v>
      </c>
      <c r="O530" s="168">
        <v>0.53888888888888886</v>
      </c>
      <c r="P530" s="168">
        <v>0.53888888888888886</v>
      </c>
      <c r="Q530" s="168">
        <v>0.54166666666666663</v>
      </c>
      <c r="R530" s="356">
        <f>(WTG_BD[[#This Row],[Work Start TimeStamp]]-WTG_BD[[#This Row],[Fault Start TimeStamp]])*24</f>
        <v>0</v>
      </c>
      <c r="S530" s="34">
        <f>(WTG_BD[[#This Row],[Fault Clearance time]]-WTG_BD[[#This Row],[Work Start TimeStamp]])*24</f>
        <v>6.666666666666643E-2</v>
      </c>
      <c r="T530" s="34">
        <f>(WTG_BD[[#This Row],[Fault Clearance time]]-WTG_BD[[#This Row],[Fault Start TimeStamp]])*24</f>
        <v>6.666666666666643E-2</v>
      </c>
      <c r="U530" t="s">
        <v>262</v>
      </c>
      <c r="V530" s="234" t="s">
        <v>255</v>
      </c>
      <c r="W530" s="50">
        <f>IFERROR(IF(N530="ROW",0,(WTG_BD[[#This Row],[Breakdown Time]]*WTG_BD[[#This Row],[Plant Equivalent Weightage]])),"")</f>
        <v>2.8985507246376712E-3</v>
      </c>
      <c r="X530" s="50"/>
      <c r="Y530" s="205">
        <v>1</v>
      </c>
      <c r="Z530" s="205"/>
      <c r="AA530" s="4">
        <v>3</v>
      </c>
    </row>
    <row r="531" spans="1:27">
      <c r="A531" s="10">
        <f t="shared" si="10"/>
        <v>530</v>
      </c>
      <c r="B531" s="43">
        <f>YEAR(WTG_BD[[#This Row],[Date]])+IF(MONTH(WTG_BD[[#This Row],[Date]])&gt;=4,1,0)</f>
        <v>2026</v>
      </c>
      <c r="C531" s="10">
        <v>2025</v>
      </c>
      <c r="D531" s="10" t="s">
        <v>4478</v>
      </c>
      <c r="E531" s="309">
        <f>WTG_BD[[#This Row],[Date]]-DAY(WTG_BD[[#This Row],[Date]])+1</f>
        <v>45809</v>
      </c>
      <c r="F531" s="32">
        <v>45818</v>
      </c>
      <c r="G531" t="s">
        <v>82</v>
      </c>
      <c r="H531" t="str">
        <f>IFERROR(VLOOKUP(WTG_BD[[#This Row],[Affected WTG]],'Basic Data'!$A$3:$E$25,2,0),"")</f>
        <v>O2R3</v>
      </c>
      <c r="I531" t="str">
        <f>IFERROR(VLOOKUP(WTG_BD[[#This Row],[Affected WTG]],'Basic Data'!$A$3:$E$25,3,0),"")</f>
        <v>JK</v>
      </c>
      <c r="J531" s="355">
        <f>IFERROR(VLOOKUP(WTG_BD[[#This Row],[Affected WTG]],'Basic Data'!$A$3:$E$25,5,0),"")</f>
        <v>4.3478260869565223E-2</v>
      </c>
      <c r="K531" s="10">
        <v>136</v>
      </c>
      <c r="L531" t="str">
        <f>IFERROR(VLOOKUP(WTG_BD[[#This Row],[Error Code]],'Basic Data'!S:T,2,0),"Incorrect Error Code")</f>
        <v>Asym.currL1:____A,Others:____A</v>
      </c>
      <c r="M531" t="s">
        <v>705</v>
      </c>
      <c r="N531" t="s">
        <v>113</v>
      </c>
      <c r="O531" s="168">
        <v>0.52916666666666667</v>
      </c>
      <c r="P531" s="168">
        <v>0.52916666666666667</v>
      </c>
      <c r="Q531" s="168">
        <v>0.53472222222222221</v>
      </c>
      <c r="R531" s="356">
        <f>(WTG_BD[[#This Row],[Work Start TimeStamp]]-WTG_BD[[#This Row],[Fault Start TimeStamp]])*24</f>
        <v>0</v>
      </c>
      <c r="S531" s="34">
        <f>(WTG_BD[[#This Row],[Fault Clearance time]]-WTG_BD[[#This Row],[Work Start TimeStamp]])*24</f>
        <v>0.13333333333333286</v>
      </c>
      <c r="T531" s="34">
        <f>(WTG_BD[[#This Row],[Fault Clearance time]]-WTG_BD[[#This Row],[Fault Start TimeStamp]])*24</f>
        <v>0.13333333333333286</v>
      </c>
      <c r="U531" t="s">
        <v>262</v>
      </c>
      <c r="V531" s="234" t="s">
        <v>255</v>
      </c>
      <c r="W531" s="50">
        <f>IFERROR(IF(N531="ROW",0,(WTG_BD[[#This Row],[Breakdown Time]]*WTG_BD[[#This Row],[Plant Equivalent Weightage]])),"")</f>
        <v>5.7971014492753424E-3</v>
      </c>
      <c r="X531" s="50"/>
      <c r="Y531" s="205">
        <v>1</v>
      </c>
      <c r="Z531" s="205"/>
      <c r="AA531" s="4">
        <v>63</v>
      </c>
    </row>
    <row r="532" spans="1:27">
      <c r="A532" s="10">
        <f t="shared" si="10"/>
        <v>531</v>
      </c>
      <c r="B532" s="43">
        <f>YEAR(WTG_BD[[#This Row],[Date]])+IF(MONTH(WTG_BD[[#This Row],[Date]])&gt;=4,1,0)</f>
        <v>2026</v>
      </c>
      <c r="C532" s="10">
        <v>2025</v>
      </c>
      <c r="D532" s="10" t="s">
        <v>4478</v>
      </c>
      <c r="E532" s="309">
        <f>WTG_BD[[#This Row],[Date]]-DAY(WTG_BD[[#This Row],[Date]])+1</f>
        <v>45809</v>
      </c>
      <c r="F532" s="32">
        <v>45818</v>
      </c>
      <c r="G532" t="s">
        <v>82</v>
      </c>
      <c r="H532" t="str">
        <f>IFERROR(VLOOKUP(WTG_BD[[#This Row],[Affected WTG]],'Basic Data'!$A$3:$E$25,2,0),"")</f>
        <v>O2R3</v>
      </c>
      <c r="I532" t="str">
        <f>IFERROR(VLOOKUP(WTG_BD[[#This Row],[Affected WTG]],'Basic Data'!$A$3:$E$25,3,0),"")</f>
        <v>JK</v>
      </c>
      <c r="J532" s="355">
        <f>IFERROR(VLOOKUP(WTG_BD[[#This Row],[Affected WTG]],'Basic Data'!$A$3:$E$25,5,0),"")</f>
        <v>4.3478260869565223E-2</v>
      </c>
      <c r="K532" s="10">
        <v>136</v>
      </c>
      <c r="L532" t="str">
        <f>IFERROR(VLOOKUP(WTG_BD[[#This Row],[Error Code]],'Basic Data'!S:T,2,0),"Incorrect Error Code")</f>
        <v>Asym.currL1:____A,Others:____A</v>
      </c>
      <c r="M532" t="s">
        <v>705</v>
      </c>
      <c r="N532" t="s">
        <v>113</v>
      </c>
      <c r="O532" s="168">
        <v>0.56597222222222221</v>
      </c>
      <c r="P532" s="168">
        <v>0.56597222222222221</v>
      </c>
      <c r="Q532" s="168">
        <v>0.56944444444444442</v>
      </c>
      <c r="R532" s="356">
        <f>(WTG_BD[[#This Row],[Work Start TimeStamp]]-WTG_BD[[#This Row],[Fault Start TimeStamp]])*24</f>
        <v>0</v>
      </c>
      <c r="S532" s="34">
        <f>(WTG_BD[[#This Row],[Fault Clearance time]]-WTG_BD[[#This Row],[Work Start TimeStamp]])*24</f>
        <v>8.3333333333333037E-2</v>
      </c>
      <c r="T532" s="34">
        <f>(WTG_BD[[#This Row],[Fault Clearance time]]-WTG_BD[[#This Row],[Fault Start TimeStamp]])*24</f>
        <v>8.3333333333333037E-2</v>
      </c>
      <c r="U532" t="s">
        <v>262</v>
      </c>
      <c r="V532" s="234" t="s">
        <v>255</v>
      </c>
      <c r="W532" s="50">
        <f>IFERROR(IF(N532="ROW",0,(WTG_BD[[#This Row],[Breakdown Time]]*WTG_BD[[#This Row],[Plant Equivalent Weightage]])),"")</f>
        <v>3.6231884057970889E-3</v>
      </c>
      <c r="X532" s="50"/>
      <c r="Y532" s="205">
        <v>1</v>
      </c>
      <c r="Z532" s="205"/>
      <c r="AA532" s="4">
        <v>120</v>
      </c>
    </row>
    <row r="533" spans="1:27">
      <c r="A533" s="10">
        <f t="shared" si="10"/>
        <v>532</v>
      </c>
      <c r="B533" s="43">
        <f>YEAR(WTG_BD[[#This Row],[Date]])+IF(MONTH(WTG_BD[[#This Row],[Date]])&gt;=4,1,0)</f>
        <v>2026</v>
      </c>
      <c r="C533" s="10">
        <v>2025</v>
      </c>
      <c r="D533" s="10" t="s">
        <v>4478</v>
      </c>
      <c r="E533" s="309">
        <f>WTG_BD[[#This Row],[Date]]-DAY(WTG_BD[[#This Row],[Date]])+1</f>
        <v>45809</v>
      </c>
      <c r="F533" s="32">
        <v>45818</v>
      </c>
      <c r="G533" t="s">
        <v>84</v>
      </c>
      <c r="H533" t="str">
        <f>IFERROR(VLOOKUP(WTG_BD[[#This Row],[Affected WTG]],'Basic Data'!$A$3:$E$25,2,0),"")</f>
        <v>O2R3</v>
      </c>
      <c r="I533" t="str">
        <f>IFERROR(VLOOKUP(WTG_BD[[#This Row],[Affected WTG]],'Basic Data'!$A$3:$E$25,3,0),"")</f>
        <v>JK</v>
      </c>
      <c r="J533" s="355">
        <f>IFERROR(VLOOKUP(WTG_BD[[#This Row],[Affected WTG]],'Basic Data'!$A$3:$E$25,5,0),"")</f>
        <v>4.3478260869565223E-2</v>
      </c>
      <c r="K533" s="10">
        <v>137</v>
      </c>
      <c r="L533" t="str">
        <f>IFERROR(VLOOKUP(WTG_BD[[#This Row],[Error Code]],'Basic Data'!S:T,2,0),"Incorrect Error Code")</f>
        <v>Asym.currL2:____A,Others:____A</v>
      </c>
      <c r="M533" t="s">
        <v>706</v>
      </c>
      <c r="N533" t="s">
        <v>113</v>
      </c>
      <c r="O533" s="168">
        <v>0.52638888888888891</v>
      </c>
      <c r="P533" s="168">
        <v>0.52638888888888891</v>
      </c>
      <c r="Q533" s="168">
        <v>0.52777777777777779</v>
      </c>
      <c r="R533" s="356">
        <f>(WTG_BD[[#This Row],[Work Start TimeStamp]]-WTG_BD[[#This Row],[Fault Start TimeStamp]])*24</f>
        <v>0</v>
      </c>
      <c r="S533" s="34">
        <f>(WTG_BD[[#This Row],[Fault Clearance time]]-WTG_BD[[#This Row],[Work Start TimeStamp]])*24</f>
        <v>3.3333333333333215E-2</v>
      </c>
      <c r="T533" s="34">
        <f>(WTG_BD[[#This Row],[Fault Clearance time]]-WTG_BD[[#This Row],[Fault Start TimeStamp]])*24</f>
        <v>3.3333333333333215E-2</v>
      </c>
      <c r="U533" t="s">
        <v>262</v>
      </c>
      <c r="V533" s="234" t="s">
        <v>255</v>
      </c>
      <c r="W533" s="50">
        <f>IFERROR(IF(N533="ROW",0,(WTG_BD[[#This Row],[Breakdown Time]]*WTG_BD[[#This Row],[Plant Equivalent Weightage]])),"")</f>
        <v>1.4492753623188356E-3</v>
      </c>
      <c r="X533" s="50"/>
      <c r="Y533" s="205">
        <v>1</v>
      </c>
      <c r="Z533" s="205"/>
      <c r="AA533" s="4">
        <v>71</v>
      </c>
    </row>
    <row r="534" spans="1:27">
      <c r="A534" s="10">
        <f t="shared" si="10"/>
        <v>533</v>
      </c>
      <c r="B534" s="43">
        <f>YEAR(WTG_BD[[#This Row],[Date]])+IF(MONTH(WTG_BD[[#This Row],[Date]])&gt;=4,1,0)</f>
        <v>2026</v>
      </c>
      <c r="C534" s="10">
        <v>2025</v>
      </c>
      <c r="D534" s="10" t="s">
        <v>4478</v>
      </c>
      <c r="E534" s="309">
        <f>WTG_BD[[#This Row],[Date]]-DAY(WTG_BD[[#This Row],[Date]])+1</f>
        <v>45809</v>
      </c>
      <c r="F534" s="32">
        <v>45818</v>
      </c>
      <c r="G534" t="s">
        <v>87</v>
      </c>
      <c r="H534" t="str">
        <f>IFERROR(VLOOKUP(WTG_BD[[#This Row],[Affected WTG]],'Basic Data'!$A$3:$E$25,2,0),"")</f>
        <v>O2R1</v>
      </c>
      <c r="I534" t="str">
        <f>IFERROR(VLOOKUP(WTG_BD[[#This Row],[Affected WTG]],'Basic Data'!$A$3:$E$25,3,0),"")</f>
        <v>KSIPL</v>
      </c>
      <c r="J534" s="355">
        <f>IFERROR(VLOOKUP(WTG_BD[[#This Row],[Affected WTG]],'Basic Data'!$A$3:$E$25,5,0),"")</f>
        <v>4.3478260869565223E-2</v>
      </c>
      <c r="K534" s="10">
        <v>900</v>
      </c>
      <c r="L534" t="str">
        <f>IFERROR(VLOOKUP(WTG_BD[[#This Row],[Error Code]],'Basic Data'!S:T,2,0),"Incorrect Error Code")</f>
        <v>Pause pressed on keyboard</v>
      </c>
      <c r="M534" t="s">
        <v>137</v>
      </c>
      <c r="N534" t="s">
        <v>257</v>
      </c>
      <c r="O534" s="168">
        <v>0.48958333333333331</v>
      </c>
      <c r="P534" s="168">
        <v>0.48958333333333331</v>
      </c>
      <c r="Q534" s="168">
        <v>0.53125</v>
      </c>
      <c r="R534" s="356">
        <f>(WTG_BD[[#This Row],[Work Start TimeStamp]]-WTG_BD[[#This Row],[Fault Start TimeStamp]])*24</f>
        <v>0</v>
      </c>
      <c r="S534" s="34">
        <f>(WTG_BD[[#This Row],[Fault Clearance time]]-WTG_BD[[#This Row],[Work Start TimeStamp]])*24</f>
        <v>1.0000000000000004</v>
      </c>
      <c r="T534" s="34">
        <f>(WTG_BD[[#This Row],[Fault Clearance time]]-WTG_BD[[#This Row],[Fault Start TimeStamp]])*24</f>
        <v>1.0000000000000004</v>
      </c>
      <c r="U534" t="s">
        <v>4610</v>
      </c>
      <c r="V534" s="234" t="s">
        <v>255</v>
      </c>
      <c r="W534" s="50">
        <f>IFERROR(IF(N534="ROW",0,(WTG_BD[[#This Row],[Breakdown Time]]*WTG_BD[[#This Row],[Plant Equivalent Weightage]])),"")</f>
        <v>4.3478260869565244E-2</v>
      </c>
      <c r="X534" s="50"/>
      <c r="Y534" s="205">
        <v>1</v>
      </c>
      <c r="Z534" s="205"/>
      <c r="AA534" s="4">
        <v>528</v>
      </c>
    </row>
    <row r="535" spans="1:27">
      <c r="A535" s="10">
        <f t="shared" si="10"/>
        <v>534</v>
      </c>
      <c r="B535" s="43">
        <f>YEAR(WTG_BD[[#This Row],[Date]])+IF(MONTH(WTG_BD[[#This Row],[Date]])&gt;=4,1,0)</f>
        <v>2026</v>
      </c>
      <c r="C535" s="10">
        <v>2025</v>
      </c>
      <c r="D535" s="10" t="s">
        <v>4478</v>
      </c>
      <c r="E535" s="309">
        <f>WTG_BD[[#This Row],[Date]]-DAY(WTG_BD[[#This Row],[Date]])+1</f>
        <v>45809</v>
      </c>
      <c r="F535" s="32">
        <v>45818</v>
      </c>
      <c r="G535" t="s">
        <v>96</v>
      </c>
      <c r="H535" t="str">
        <f>IFERROR(VLOOKUP(WTG_BD[[#This Row],[Affected WTG]],'Basic Data'!$A$3:$E$25,2,0),"")</f>
        <v>O2R3</v>
      </c>
      <c r="I535" t="str">
        <f>IFERROR(VLOOKUP(WTG_BD[[#This Row],[Affected WTG]],'Basic Data'!$A$3:$E$25,3,0),"")</f>
        <v>JK</v>
      </c>
      <c r="J535" s="355">
        <f>IFERROR(VLOOKUP(WTG_BD[[#This Row],[Affected WTG]],'Basic Data'!$A$3:$E$25,5,0),"")</f>
        <v>4.3478260869565223E-2</v>
      </c>
      <c r="K535" s="10">
        <v>900</v>
      </c>
      <c r="L535" t="str">
        <f>IFERROR(VLOOKUP(WTG_BD[[#This Row],[Error Code]],'Basic Data'!S:T,2,0),"Incorrect Error Code")</f>
        <v>Pause pressed on keyboard</v>
      </c>
      <c r="M535" t="s">
        <v>137</v>
      </c>
      <c r="N535" t="s">
        <v>257</v>
      </c>
      <c r="O535" s="168">
        <v>0.57013888888888886</v>
      </c>
      <c r="P535" s="168">
        <v>0.57013888888888886</v>
      </c>
      <c r="Q535" s="168">
        <v>0.73055555555555551</v>
      </c>
      <c r="R535" s="356">
        <f>(WTG_BD[[#This Row],[Work Start TimeStamp]]-WTG_BD[[#This Row],[Fault Start TimeStamp]])*24</f>
        <v>0</v>
      </c>
      <c r="S535" s="34">
        <f>(WTG_BD[[#This Row],[Fault Clearance time]]-WTG_BD[[#This Row],[Work Start TimeStamp]])*24</f>
        <v>3.8499999999999996</v>
      </c>
      <c r="T535" s="34">
        <f>(WTG_BD[[#This Row],[Fault Clearance time]]-WTG_BD[[#This Row],[Fault Start TimeStamp]])*24</f>
        <v>3.8499999999999996</v>
      </c>
      <c r="U535" t="s">
        <v>4640</v>
      </c>
      <c r="V535" s="234" t="s">
        <v>255</v>
      </c>
      <c r="W535" s="50">
        <f>IFERROR(IF(N535="ROW",0,(WTG_BD[[#This Row],[Breakdown Time]]*WTG_BD[[#This Row],[Plant Equivalent Weightage]])),"")</f>
        <v>0.16739130434782609</v>
      </c>
      <c r="X535" s="50"/>
      <c r="Y535" s="205">
        <v>1</v>
      </c>
      <c r="Z535" s="205"/>
      <c r="AA535" s="4">
        <v>1254</v>
      </c>
    </row>
    <row r="536" spans="1:27">
      <c r="A536" s="10">
        <f t="shared" si="10"/>
        <v>535</v>
      </c>
      <c r="B536" s="43">
        <f>YEAR(WTG_BD[[#This Row],[Date]])+IF(MONTH(WTG_BD[[#This Row],[Date]])&gt;=4,1,0)</f>
        <v>2026</v>
      </c>
      <c r="C536" s="10">
        <v>2025</v>
      </c>
      <c r="D536" s="10" t="s">
        <v>4478</v>
      </c>
      <c r="E536" s="309">
        <f>WTG_BD[[#This Row],[Date]]-DAY(WTG_BD[[#This Row],[Date]])+1</f>
        <v>45809</v>
      </c>
      <c r="F536" s="32">
        <v>45819</v>
      </c>
      <c r="G536" t="s">
        <v>4641</v>
      </c>
      <c r="H536" t="str">
        <f>IFERROR(VLOOKUP(WTG_BD[[#This Row],[Affected WTG]],'Basic Data'!$A$3:$E$25,2,0),"")</f>
        <v>O2R1</v>
      </c>
      <c r="I536" t="str">
        <f>IFERROR(VLOOKUP(WTG_BD[[#This Row],[Affected WTG]],'Basic Data'!$A$3:$E$25,3,0),"")</f>
        <v>KSIPL</v>
      </c>
      <c r="J536" s="355">
        <f>IFERROR(VLOOKUP(WTG_BD[[#This Row],[Affected WTG]],'Basic Data'!$A$3:$E$25,5,0),"")</f>
        <v>4.3478260869565223E-2</v>
      </c>
      <c r="K536" s="10">
        <v>450</v>
      </c>
      <c r="L536" t="str">
        <f>IFERROR(VLOOKUP(WTG_BD[[#This Row],[Error Code]],'Basic Data'!S:T,2,0),"Incorrect Error Code")</f>
        <v>Ext. High I sum Grd inv.</v>
      </c>
      <c r="M536" t="s">
        <v>368</v>
      </c>
      <c r="N536" t="s">
        <v>113</v>
      </c>
      <c r="O536" s="168">
        <v>0.75902777777777775</v>
      </c>
      <c r="P536" s="168">
        <v>0.75902777777777775</v>
      </c>
      <c r="Q536" s="168">
        <v>0.76388888888888884</v>
      </c>
      <c r="R536" s="356">
        <f>(WTG_BD[[#This Row],[Work Start TimeStamp]]-WTG_BD[[#This Row],[Fault Start TimeStamp]])*24</f>
        <v>0</v>
      </c>
      <c r="S536" s="34">
        <f>(WTG_BD[[#This Row],[Fault Clearance time]]-WTG_BD[[#This Row],[Work Start TimeStamp]])*24</f>
        <v>0.11666666666666625</v>
      </c>
      <c r="T536" s="34">
        <f>(WTG_BD[[#This Row],[Fault Clearance time]]-WTG_BD[[#This Row],[Fault Start TimeStamp]])*24</f>
        <v>0.11666666666666625</v>
      </c>
      <c r="U536" t="s">
        <v>4593</v>
      </c>
      <c r="V536" s="234" t="s">
        <v>255</v>
      </c>
      <c r="W536" s="50">
        <f>IFERROR(IF(N536="ROW",0,(WTG_BD[[#This Row],[Breakdown Time]]*WTG_BD[[#This Row],[Plant Equivalent Weightage]])),"")</f>
        <v>5.0724637681159243E-3</v>
      </c>
      <c r="X536" s="50"/>
      <c r="Y536" s="205">
        <v>1</v>
      </c>
      <c r="Z536" s="205"/>
      <c r="AA536" s="4">
        <v>156</v>
      </c>
    </row>
    <row r="537" spans="1:27">
      <c r="A537" s="10">
        <f t="shared" si="10"/>
        <v>536</v>
      </c>
      <c r="B537" s="43">
        <f>YEAR(WTG_BD[[#This Row],[Date]])+IF(MONTH(WTG_BD[[#This Row],[Date]])&gt;=4,1,0)</f>
        <v>2026</v>
      </c>
      <c r="C537" s="10">
        <v>2025</v>
      </c>
      <c r="D537" s="10" t="s">
        <v>4478</v>
      </c>
      <c r="E537" s="309">
        <f>WTG_BD[[#This Row],[Date]]-DAY(WTG_BD[[#This Row],[Date]])+1</f>
        <v>45809</v>
      </c>
      <c r="F537" s="32">
        <v>45819</v>
      </c>
      <c r="G537" t="s">
        <v>85</v>
      </c>
      <c r="H537" t="str">
        <f>IFERROR(VLOOKUP(WTG_BD[[#This Row],[Affected WTG]],'Basic Data'!$A$3:$E$25,2,0),"")</f>
        <v>O2R1</v>
      </c>
      <c r="I537" t="str">
        <f>IFERROR(VLOOKUP(WTG_BD[[#This Row],[Affected WTG]],'Basic Data'!$A$3:$E$25,3,0),"")</f>
        <v>KSIPL</v>
      </c>
      <c r="J537" s="355">
        <f>IFERROR(VLOOKUP(WTG_BD[[#This Row],[Affected WTG]],'Basic Data'!$A$3:$E$25,5,0),"")</f>
        <v>4.3478260869565223E-2</v>
      </c>
      <c r="K537" s="10">
        <v>900</v>
      </c>
      <c r="L537" t="str">
        <f>IFERROR(VLOOKUP(WTG_BD[[#This Row],[Error Code]],'Basic Data'!S:T,2,0),"Incorrect Error Code")</f>
        <v>Pause pressed on keyboard</v>
      </c>
      <c r="M537" t="s">
        <v>137</v>
      </c>
      <c r="N537" t="s">
        <v>257</v>
      </c>
      <c r="O537" s="168">
        <v>0.51597222222222228</v>
      </c>
      <c r="P537" s="168">
        <v>0.51597222222222228</v>
      </c>
      <c r="Q537" s="168">
        <v>0.66527777777777775</v>
      </c>
      <c r="R537" s="356">
        <f>(WTG_BD[[#This Row],[Work Start TimeStamp]]-WTG_BD[[#This Row],[Fault Start TimeStamp]])*24</f>
        <v>0</v>
      </c>
      <c r="S537" s="34">
        <f>(WTG_BD[[#This Row],[Fault Clearance time]]-WTG_BD[[#This Row],[Work Start TimeStamp]])*24</f>
        <v>3.5833333333333313</v>
      </c>
      <c r="T537" s="34">
        <f>(WTG_BD[[#This Row],[Fault Clearance time]]-WTG_BD[[#This Row],[Fault Start TimeStamp]])*24</f>
        <v>3.5833333333333313</v>
      </c>
      <c r="U537" s="351" t="s">
        <v>4640</v>
      </c>
      <c r="V537" s="234" t="s">
        <v>255</v>
      </c>
      <c r="W537" s="50">
        <f>IFERROR(IF(N537="ROW",0,(WTG_BD[[#This Row],[Breakdown Time]]*WTG_BD[[#This Row],[Plant Equivalent Weightage]])),"")</f>
        <v>0.1557971014492753</v>
      </c>
      <c r="X537" s="50"/>
      <c r="Y537" s="205">
        <v>1</v>
      </c>
      <c r="Z537" s="205"/>
      <c r="AA537" s="4">
        <v>1555</v>
      </c>
    </row>
    <row r="538" spans="1:27">
      <c r="A538" s="10">
        <f t="shared" si="10"/>
        <v>537</v>
      </c>
      <c r="B538" s="43">
        <f>YEAR(WTG_BD[[#This Row],[Date]])+IF(MONTH(WTG_BD[[#This Row],[Date]])&gt;=4,1,0)</f>
        <v>2026</v>
      </c>
      <c r="C538" s="10">
        <v>2025</v>
      </c>
      <c r="D538" s="10" t="s">
        <v>4478</v>
      </c>
      <c r="E538" s="309">
        <f>WTG_BD[[#This Row],[Date]]-DAY(WTG_BD[[#This Row],[Date]])+1</f>
        <v>45809</v>
      </c>
      <c r="F538" s="32">
        <v>45819</v>
      </c>
      <c r="G538" t="s">
        <v>4642</v>
      </c>
      <c r="H538" t="str">
        <f>IFERROR(VLOOKUP(WTG_BD[[#This Row],[Affected WTG]],'Basic Data'!$A$3:$E$25,2,0),"")</f>
        <v>O2R3</v>
      </c>
      <c r="I538" t="str">
        <f>IFERROR(VLOOKUP(WTG_BD[[#This Row],[Affected WTG]],'Basic Data'!$A$3:$E$25,3,0),"")</f>
        <v>JK</v>
      </c>
      <c r="J538" s="355">
        <f>IFERROR(VLOOKUP(WTG_BD[[#This Row],[Affected WTG]],'Basic Data'!$A$3:$E$25,5,0),"")</f>
        <v>4.3478260869565223E-2</v>
      </c>
      <c r="K538" s="10">
        <v>704</v>
      </c>
      <c r="L538" t="str">
        <f>IFERROR(VLOOKUP(WTG_BD[[#This Row],[Error Code]],'Basic Data'!S:T,2,0),"Incorrect Error Code")</f>
        <v>Ch High res. load C_ Load:___%</v>
      </c>
      <c r="M538" t="s">
        <v>372</v>
      </c>
      <c r="N538" t="s">
        <v>113</v>
      </c>
      <c r="O538" s="168">
        <v>6.9444444444444441E-3</v>
      </c>
      <c r="P538" s="168">
        <v>6.9444444444444441E-3</v>
      </c>
      <c r="Q538" s="168">
        <v>1.9444444444444445E-2</v>
      </c>
      <c r="R538" s="356">
        <f>(WTG_BD[[#This Row],[Work Start TimeStamp]]-WTG_BD[[#This Row],[Fault Start TimeStamp]])*24</f>
        <v>0</v>
      </c>
      <c r="S538" s="34">
        <f>(WTG_BD[[#This Row],[Fault Clearance time]]-WTG_BD[[#This Row],[Work Start TimeStamp]])*24</f>
        <v>0.30000000000000004</v>
      </c>
      <c r="T538" s="34">
        <f>(WTG_BD[[#This Row],[Fault Clearance time]]-WTG_BD[[#This Row],[Fault Start TimeStamp]])*24</f>
        <v>0.30000000000000004</v>
      </c>
      <c r="U538" s="351" t="s">
        <v>4268</v>
      </c>
      <c r="V538" s="234" t="s">
        <v>255</v>
      </c>
      <c r="W538" s="50">
        <f>IFERROR(IF(N538="ROW",0,(WTG_BD[[#This Row],[Breakdown Time]]*WTG_BD[[#This Row],[Plant Equivalent Weightage]])),"")</f>
        <v>1.304347826086957E-2</v>
      </c>
      <c r="X538" s="50"/>
      <c r="Y538" s="205">
        <v>1</v>
      </c>
      <c r="Z538" s="205"/>
      <c r="AA538" s="4">
        <v>122</v>
      </c>
    </row>
    <row r="539" spans="1:27">
      <c r="A539" s="10">
        <f t="shared" si="10"/>
        <v>538</v>
      </c>
      <c r="B539" s="43">
        <f>YEAR(WTG_BD[[#This Row],[Date]])+IF(MONTH(WTG_BD[[#This Row],[Date]])&gt;=4,1,0)</f>
        <v>2026</v>
      </c>
      <c r="C539" s="10">
        <v>2025</v>
      </c>
      <c r="D539" s="10" t="s">
        <v>4478</v>
      </c>
      <c r="E539" s="309">
        <f>WTG_BD[[#This Row],[Date]]-DAY(WTG_BD[[#This Row],[Date]])+1</f>
        <v>45809</v>
      </c>
      <c r="F539" s="32">
        <v>45819</v>
      </c>
      <c r="G539" t="s">
        <v>4642</v>
      </c>
      <c r="H539" t="str">
        <f>IFERROR(VLOOKUP(WTG_BD[[#This Row],[Affected WTG]],'Basic Data'!$A$3:$E$25,2,0),"")</f>
        <v>O2R3</v>
      </c>
      <c r="I539" t="str">
        <f>IFERROR(VLOOKUP(WTG_BD[[#This Row],[Affected WTG]],'Basic Data'!$A$3:$E$25,3,0),"")</f>
        <v>JK</v>
      </c>
      <c r="J539" s="355">
        <f>IFERROR(VLOOKUP(WTG_BD[[#This Row],[Affected WTG]],'Basic Data'!$A$3:$E$25,5,0),"")</f>
        <v>4.3478260869565223E-2</v>
      </c>
      <c r="K539" s="10">
        <v>704</v>
      </c>
      <c r="L539" t="str">
        <f>IFERROR(VLOOKUP(WTG_BD[[#This Row],[Error Code]],'Basic Data'!S:T,2,0),"Incorrect Error Code")</f>
        <v>Ch High res. load C_ Load:___%</v>
      </c>
      <c r="M539" t="s">
        <v>372</v>
      </c>
      <c r="N539" t="s">
        <v>113</v>
      </c>
      <c r="O539" s="168">
        <v>0.24583333333333332</v>
      </c>
      <c r="P539" s="168">
        <v>0.24583333333333332</v>
      </c>
      <c r="Q539" s="168">
        <v>0.25</v>
      </c>
      <c r="R539" s="356">
        <f>(WTG_BD[[#This Row],[Work Start TimeStamp]]-WTG_BD[[#This Row],[Fault Start TimeStamp]])*24</f>
        <v>0</v>
      </c>
      <c r="S539" s="34">
        <f>(WTG_BD[[#This Row],[Fault Clearance time]]-WTG_BD[[#This Row],[Work Start TimeStamp]])*24</f>
        <v>0.10000000000000031</v>
      </c>
      <c r="T539" s="34">
        <f>(WTG_BD[[#This Row],[Fault Clearance time]]-WTG_BD[[#This Row],[Fault Start TimeStamp]])*24</f>
        <v>0.10000000000000031</v>
      </c>
      <c r="U539" s="351" t="s">
        <v>4268</v>
      </c>
      <c r="V539" s="234" t="s">
        <v>255</v>
      </c>
      <c r="W539" s="50">
        <f>IFERROR(IF(N539="ROW",0,(WTG_BD[[#This Row],[Breakdown Time]]*WTG_BD[[#This Row],[Plant Equivalent Weightage]])),"")</f>
        <v>4.3478260869565357E-3</v>
      </c>
      <c r="X539" s="50"/>
      <c r="Y539" s="205">
        <v>1</v>
      </c>
      <c r="Z539" s="205"/>
      <c r="AA539" s="4">
        <v>37</v>
      </c>
    </row>
    <row r="540" spans="1:27">
      <c r="A540" s="10">
        <f t="shared" si="10"/>
        <v>539</v>
      </c>
      <c r="B540" s="43">
        <f>YEAR(WTG_BD[[#This Row],[Date]])+IF(MONTH(WTG_BD[[#This Row],[Date]])&gt;=4,1,0)</f>
        <v>2026</v>
      </c>
      <c r="C540" s="10">
        <v>2025</v>
      </c>
      <c r="D540" s="10" t="s">
        <v>4478</v>
      </c>
      <c r="E540" s="309">
        <f>WTG_BD[[#This Row],[Date]]-DAY(WTG_BD[[#This Row],[Date]])+1</f>
        <v>45809</v>
      </c>
      <c r="F540" s="32">
        <v>45819</v>
      </c>
      <c r="G540" t="s">
        <v>4642</v>
      </c>
      <c r="H540" t="str">
        <f>IFERROR(VLOOKUP(WTG_BD[[#This Row],[Affected WTG]],'Basic Data'!$A$3:$E$25,2,0),"")</f>
        <v>O2R3</v>
      </c>
      <c r="I540" t="str">
        <f>IFERROR(VLOOKUP(WTG_BD[[#This Row],[Affected WTG]],'Basic Data'!$A$3:$E$25,3,0),"")</f>
        <v>JK</v>
      </c>
      <c r="J540" s="355">
        <f>IFERROR(VLOOKUP(WTG_BD[[#This Row],[Affected WTG]],'Basic Data'!$A$3:$E$25,5,0),"")</f>
        <v>4.3478260869565223E-2</v>
      </c>
      <c r="K540" s="10">
        <v>6293</v>
      </c>
      <c r="L540" t="str">
        <f>IFERROR(VLOOKUP(WTG_BD[[#This Row],[Error Code]],'Basic Data'!S:T,2,0),"Incorrect Error Code")</f>
        <v>Pitch valves test acitve</v>
      </c>
      <c r="M540" t="s">
        <v>4303</v>
      </c>
      <c r="N540" t="s">
        <v>113</v>
      </c>
      <c r="O540" s="168">
        <v>0.25347222222222221</v>
      </c>
      <c r="P540" s="168">
        <v>0.25347222222222221</v>
      </c>
      <c r="Q540" s="168">
        <v>0.25694444444444442</v>
      </c>
      <c r="R540" s="356">
        <f>(WTG_BD[[#This Row],[Work Start TimeStamp]]-WTG_BD[[#This Row],[Fault Start TimeStamp]])*24</f>
        <v>0</v>
      </c>
      <c r="S540" s="34">
        <f>(WTG_BD[[#This Row],[Fault Clearance time]]-WTG_BD[[#This Row],[Work Start TimeStamp]])*24</f>
        <v>8.3333333333333037E-2</v>
      </c>
      <c r="T540" s="34">
        <f>(WTG_BD[[#This Row],[Fault Clearance time]]-WTG_BD[[#This Row],[Fault Start TimeStamp]])*24</f>
        <v>8.3333333333333037E-2</v>
      </c>
      <c r="U540" t="s">
        <v>262</v>
      </c>
      <c r="V540" s="234" t="s">
        <v>255</v>
      </c>
      <c r="W540" s="50">
        <f>IFERROR(IF(N540="ROW",0,(WTG_BD[[#This Row],[Breakdown Time]]*WTG_BD[[#This Row],[Plant Equivalent Weightage]])),"")</f>
        <v>3.6231884057970889E-3</v>
      </c>
      <c r="X540" s="50"/>
      <c r="Y540" s="205">
        <v>1</v>
      </c>
      <c r="Z540" s="205"/>
      <c r="AA540" s="4">
        <v>31</v>
      </c>
    </row>
    <row r="541" spans="1:27">
      <c r="A541" s="10">
        <f t="shared" si="10"/>
        <v>540</v>
      </c>
      <c r="B541" s="43">
        <f>YEAR(WTG_BD[[#This Row],[Date]])+IF(MONTH(WTG_BD[[#This Row],[Date]])&gt;=4,1,0)</f>
        <v>2026</v>
      </c>
      <c r="C541" s="10">
        <v>2025</v>
      </c>
      <c r="D541" s="10" t="s">
        <v>4478</v>
      </c>
      <c r="E541" s="309">
        <f>WTG_BD[[#This Row],[Date]]-DAY(WTG_BD[[#This Row],[Date]])+1</f>
        <v>45809</v>
      </c>
      <c r="F541" s="32">
        <v>45819</v>
      </c>
      <c r="G541" t="s">
        <v>92</v>
      </c>
      <c r="H541" t="str">
        <f>IFERROR(VLOOKUP(WTG_BD[[#This Row],[Affected WTG]],'Basic Data'!$A$3:$E$25,2,0),"")</f>
        <v>O2R2</v>
      </c>
      <c r="I541" t="str">
        <f>IFERROR(VLOOKUP(WTG_BD[[#This Row],[Affected WTG]],'Basic Data'!$A$3:$E$25,3,0),"")</f>
        <v>SIL</v>
      </c>
      <c r="J541" s="355">
        <f>IFERROR(VLOOKUP(WTG_BD[[#This Row],[Affected WTG]],'Basic Data'!$A$3:$E$25,5,0),"")</f>
        <v>4.3478260869565223E-2</v>
      </c>
      <c r="K541" s="10">
        <v>704</v>
      </c>
      <c r="L541" t="str">
        <f>IFERROR(VLOOKUP(WTG_BD[[#This Row],[Error Code]],'Basic Data'!S:T,2,0),"Incorrect Error Code")</f>
        <v>Ch High res. load C_ Load:___%</v>
      </c>
      <c r="M541" t="s">
        <v>372</v>
      </c>
      <c r="N541" t="s">
        <v>113</v>
      </c>
      <c r="O541" s="168">
        <v>0.44097222222222221</v>
      </c>
      <c r="P541" s="168">
        <v>0.44097222222222221</v>
      </c>
      <c r="Q541" s="168">
        <v>0.44722222222222224</v>
      </c>
      <c r="R541" s="356">
        <f>(WTG_BD[[#This Row],[Work Start TimeStamp]]-WTG_BD[[#This Row],[Fault Start TimeStamp]])*24</f>
        <v>0</v>
      </c>
      <c r="S541" s="34">
        <f>(WTG_BD[[#This Row],[Fault Clearance time]]-WTG_BD[[#This Row],[Work Start TimeStamp]])*24</f>
        <v>0.1500000000000008</v>
      </c>
      <c r="T541" s="34">
        <f>(WTG_BD[[#This Row],[Fault Clearance time]]-WTG_BD[[#This Row],[Fault Start TimeStamp]])*24</f>
        <v>0.1500000000000008</v>
      </c>
      <c r="U541" s="351" t="s">
        <v>4268</v>
      </c>
      <c r="V541" s="234" t="s">
        <v>255</v>
      </c>
      <c r="W541" s="50">
        <f>IFERROR(IF(N541="ROW",0,(WTG_BD[[#This Row],[Breakdown Time]]*WTG_BD[[#This Row],[Plant Equivalent Weightage]])),"")</f>
        <v>6.5217391304348178E-3</v>
      </c>
      <c r="X541" s="50"/>
      <c r="Y541" s="205">
        <v>1</v>
      </c>
      <c r="Z541" s="205"/>
      <c r="AA541" s="4">
        <v>146</v>
      </c>
    </row>
    <row r="542" spans="1:27">
      <c r="A542" s="10">
        <f t="shared" si="10"/>
        <v>541</v>
      </c>
      <c r="B542" s="43">
        <f>YEAR(WTG_BD[[#This Row],[Date]])+IF(MONTH(WTG_BD[[#This Row],[Date]])&gt;=4,1,0)</f>
        <v>2026</v>
      </c>
      <c r="C542" s="10">
        <v>2025</v>
      </c>
      <c r="D542" s="10" t="s">
        <v>4478</v>
      </c>
      <c r="E542" s="309">
        <f>WTG_BD[[#This Row],[Date]]-DAY(WTG_BD[[#This Row],[Date]])+1</f>
        <v>45809</v>
      </c>
      <c r="F542" s="32">
        <v>45820</v>
      </c>
      <c r="G542" t="s">
        <v>76</v>
      </c>
      <c r="H542" t="str">
        <f>IFERROR(VLOOKUP(WTG_BD[[#This Row],[Affected WTG]],'Basic Data'!$A$3:$E$25,2,0),"")</f>
        <v>O2R1</v>
      </c>
      <c r="I542" t="str">
        <f>IFERROR(VLOOKUP(WTG_BD[[#This Row],[Affected WTG]],'Basic Data'!$A$3:$E$25,3,0),"")</f>
        <v>KSIPL</v>
      </c>
      <c r="J542" s="355">
        <f>IFERROR(VLOOKUP(WTG_BD[[#This Row],[Affected WTG]],'Basic Data'!$A$3:$E$25,5,0),"")</f>
        <v>4.3478260869565223E-2</v>
      </c>
      <c r="K542" s="10">
        <v>335</v>
      </c>
      <c r="L542" t="str">
        <f>IFERROR(VLOOKUP(WTG_BD[[#This Row],[Error Code]],'Basic Data'!S:T,2,0),"Incorrect Error Code")</f>
        <v>ExtHighIRotorInv phase: _</v>
      </c>
      <c r="M542" t="s">
        <v>907</v>
      </c>
      <c r="N542" t="s">
        <v>113</v>
      </c>
      <c r="O542" s="168">
        <v>0.61527777777777781</v>
      </c>
      <c r="P542" s="168">
        <v>0.61527777777777781</v>
      </c>
      <c r="Q542" s="168">
        <v>0.61805555555555558</v>
      </c>
      <c r="R542" s="356">
        <f>(WTG_BD[[#This Row],[Work Start TimeStamp]]-WTG_BD[[#This Row],[Fault Start TimeStamp]])*24</f>
        <v>0</v>
      </c>
      <c r="S542" s="34">
        <f>(WTG_BD[[#This Row],[Fault Clearance time]]-WTG_BD[[#This Row],[Work Start TimeStamp]])*24</f>
        <v>6.666666666666643E-2</v>
      </c>
      <c r="T542" s="34">
        <f>(WTG_BD[[#This Row],[Fault Clearance time]]-WTG_BD[[#This Row],[Fault Start TimeStamp]])*24</f>
        <v>6.666666666666643E-2</v>
      </c>
      <c r="U542" t="s">
        <v>262</v>
      </c>
      <c r="V542" s="234" t="s">
        <v>255</v>
      </c>
      <c r="W542" s="50">
        <f>IFERROR(IF(N542="ROW",0,(WTG_BD[[#This Row],[Breakdown Time]]*WTG_BD[[#This Row],[Plant Equivalent Weightage]])),"")</f>
        <v>2.8985507246376712E-3</v>
      </c>
      <c r="X542" s="50"/>
      <c r="Y542" s="205">
        <v>1</v>
      </c>
      <c r="Z542" s="205"/>
      <c r="AA542" s="4">
        <v>40</v>
      </c>
    </row>
    <row r="543" spans="1:27">
      <c r="A543" s="10">
        <f t="shared" ref="A543:A606" si="11">A542+1</f>
        <v>542</v>
      </c>
      <c r="B543" s="43">
        <f>YEAR(WTG_BD[[#This Row],[Date]])+IF(MONTH(WTG_BD[[#This Row],[Date]])&gt;=4,1,0)</f>
        <v>2026</v>
      </c>
      <c r="C543" s="10">
        <v>2025</v>
      </c>
      <c r="D543" s="10" t="s">
        <v>4478</v>
      </c>
      <c r="E543" s="309">
        <f>WTG_BD[[#This Row],[Date]]-DAY(WTG_BD[[#This Row],[Date]])+1</f>
        <v>45809</v>
      </c>
      <c r="F543" s="32">
        <v>45820</v>
      </c>
      <c r="G543" t="s">
        <v>76</v>
      </c>
      <c r="H543" t="str">
        <f>IFERROR(VLOOKUP(WTG_BD[[#This Row],[Affected WTG]],'Basic Data'!$A$3:$E$25,2,0),"")</f>
        <v>O2R1</v>
      </c>
      <c r="I543" t="str">
        <f>IFERROR(VLOOKUP(WTG_BD[[#This Row],[Affected WTG]],'Basic Data'!$A$3:$E$25,3,0),"")</f>
        <v>KSIPL</v>
      </c>
      <c r="J543" s="355">
        <f>IFERROR(VLOOKUP(WTG_BD[[#This Row],[Affected WTG]],'Basic Data'!$A$3:$E$25,5,0),"")</f>
        <v>4.3478260869565223E-2</v>
      </c>
      <c r="K543" s="10">
        <v>6293</v>
      </c>
      <c r="L543" t="str">
        <f>IFERROR(VLOOKUP(WTG_BD[[#This Row],[Error Code]],'Basic Data'!S:T,2,0),"Incorrect Error Code")</f>
        <v>Pitch valves test acitve</v>
      </c>
      <c r="M543" t="s">
        <v>4303</v>
      </c>
      <c r="N543" t="s">
        <v>113</v>
      </c>
      <c r="O543" s="168">
        <v>0.62222222222222223</v>
      </c>
      <c r="P543" s="168">
        <v>0.62222222222222223</v>
      </c>
      <c r="Q543" s="168">
        <v>0.625</v>
      </c>
      <c r="R543" s="356">
        <f>(WTG_BD[[#This Row],[Work Start TimeStamp]]-WTG_BD[[#This Row],[Fault Start TimeStamp]])*24</f>
        <v>0</v>
      </c>
      <c r="S543" s="34">
        <f>(WTG_BD[[#This Row],[Fault Clearance time]]-WTG_BD[[#This Row],[Work Start TimeStamp]])*24</f>
        <v>6.666666666666643E-2</v>
      </c>
      <c r="T543" s="34">
        <f>(WTG_BD[[#This Row],[Fault Clearance time]]-WTG_BD[[#This Row],[Fault Start TimeStamp]])*24</f>
        <v>6.666666666666643E-2</v>
      </c>
      <c r="U543" t="s">
        <v>262</v>
      </c>
      <c r="V543" s="234" t="s">
        <v>255</v>
      </c>
      <c r="W543" s="50">
        <f>IFERROR(IF(N543="ROW",0,(WTG_BD[[#This Row],[Breakdown Time]]*WTG_BD[[#This Row],[Plant Equivalent Weightage]])),"")</f>
        <v>2.8985507246376712E-3</v>
      </c>
      <c r="X543" s="50"/>
      <c r="Y543" s="205">
        <v>1</v>
      </c>
      <c r="Z543" s="205"/>
      <c r="AA543" s="4">
        <v>35</v>
      </c>
    </row>
    <row r="544" spans="1:27">
      <c r="A544" s="10">
        <f t="shared" si="11"/>
        <v>543</v>
      </c>
      <c r="B544" s="43">
        <f>YEAR(WTG_BD[[#This Row],[Date]])+IF(MONTH(WTG_BD[[#This Row],[Date]])&gt;=4,1,0)</f>
        <v>2026</v>
      </c>
      <c r="C544" s="10">
        <v>2025</v>
      </c>
      <c r="D544" s="10" t="s">
        <v>4478</v>
      </c>
      <c r="E544" s="309">
        <f>WTG_BD[[#This Row],[Date]]-DAY(WTG_BD[[#This Row],[Date]])+1</f>
        <v>45809</v>
      </c>
      <c r="F544" s="32">
        <v>45820</v>
      </c>
      <c r="G544" t="s">
        <v>84</v>
      </c>
      <c r="H544" t="str">
        <f>IFERROR(VLOOKUP(WTG_BD[[#This Row],[Affected WTG]],'Basic Data'!$A$3:$E$25,2,0),"")</f>
        <v>O2R3</v>
      </c>
      <c r="I544" t="str">
        <f>IFERROR(VLOOKUP(WTG_BD[[#This Row],[Affected WTG]],'Basic Data'!$A$3:$E$25,3,0),"")</f>
        <v>JK</v>
      </c>
      <c r="J544" s="355">
        <f>IFERROR(VLOOKUP(WTG_BD[[#This Row],[Affected WTG]],'Basic Data'!$A$3:$E$25,5,0),"")</f>
        <v>4.3478260869565223E-2</v>
      </c>
      <c r="K544" s="10">
        <v>900</v>
      </c>
      <c r="L544" t="str">
        <f>IFERROR(VLOOKUP(WTG_BD[[#This Row],[Error Code]],'Basic Data'!S:T,2,0),"Incorrect Error Code")</f>
        <v>Pause pressed on keyboard</v>
      </c>
      <c r="M544" t="s">
        <v>137</v>
      </c>
      <c r="N544" t="s">
        <v>257</v>
      </c>
      <c r="O544" s="168">
        <v>0.66041666666666665</v>
      </c>
      <c r="P544" s="168">
        <v>0.66041666666666665</v>
      </c>
      <c r="Q544" s="168">
        <v>0.67152777777777772</v>
      </c>
      <c r="R544" s="356">
        <f>(WTG_BD[[#This Row],[Work Start TimeStamp]]-WTG_BD[[#This Row],[Fault Start TimeStamp]])*24</f>
        <v>0</v>
      </c>
      <c r="S544" s="34">
        <f>(WTG_BD[[#This Row],[Fault Clearance time]]-WTG_BD[[#This Row],[Work Start TimeStamp]])*24</f>
        <v>0.26666666666666572</v>
      </c>
      <c r="T544" s="34">
        <f>(WTG_BD[[#This Row],[Fault Clearance time]]-WTG_BD[[#This Row],[Fault Start TimeStamp]])*24</f>
        <v>0.26666666666666572</v>
      </c>
      <c r="U544" t="s">
        <v>4610</v>
      </c>
      <c r="V544" s="234" t="s">
        <v>255</v>
      </c>
      <c r="W544" s="50">
        <f>IFERROR(IF(N544="ROW",0,(WTG_BD[[#This Row],[Breakdown Time]]*WTG_BD[[#This Row],[Plant Equivalent Weightage]])),"")</f>
        <v>1.1594202898550685E-2</v>
      </c>
      <c r="X544" s="50"/>
      <c r="Y544" s="205">
        <v>1</v>
      </c>
      <c r="Z544" s="205"/>
      <c r="AA544" s="4">
        <v>126</v>
      </c>
    </row>
    <row r="545" spans="1:27">
      <c r="A545" s="10">
        <f t="shared" si="11"/>
        <v>544</v>
      </c>
      <c r="B545" s="43">
        <f>YEAR(WTG_BD[[#This Row],[Date]])+IF(MONTH(WTG_BD[[#This Row],[Date]])&gt;=4,1,0)</f>
        <v>2026</v>
      </c>
      <c r="C545" s="10">
        <v>2025</v>
      </c>
      <c r="D545" s="10" t="s">
        <v>4478</v>
      </c>
      <c r="E545" s="309">
        <f>WTG_BD[[#This Row],[Date]]-DAY(WTG_BD[[#This Row],[Date]])+1</f>
        <v>45809</v>
      </c>
      <c r="F545" s="32">
        <v>45820</v>
      </c>
      <c r="G545" t="s">
        <v>84</v>
      </c>
      <c r="H545" t="str">
        <f>IFERROR(VLOOKUP(WTG_BD[[#This Row],[Affected WTG]],'Basic Data'!$A$3:$E$25,2,0),"")</f>
        <v>O2R3</v>
      </c>
      <c r="I545" t="str">
        <f>IFERROR(VLOOKUP(WTG_BD[[#This Row],[Affected WTG]],'Basic Data'!$A$3:$E$25,3,0),"")</f>
        <v>JK</v>
      </c>
      <c r="J545" s="355">
        <f>IFERROR(VLOOKUP(WTG_BD[[#This Row],[Affected WTG]],'Basic Data'!$A$3:$E$25,5,0),"")</f>
        <v>4.3478260869565223E-2</v>
      </c>
      <c r="K545" s="10">
        <v>900</v>
      </c>
      <c r="L545" t="str">
        <f>IFERROR(VLOOKUP(WTG_BD[[#This Row],[Error Code]],'Basic Data'!S:T,2,0),"Incorrect Error Code")</f>
        <v>Pause pressed on keyboard</v>
      </c>
      <c r="M545" t="s">
        <v>137</v>
      </c>
      <c r="N545" t="s">
        <v>257</v>
      </c>
      <c r="O545" s="168">
        <v>0.72222222222222221</v>
      </c>
      <c r="P545" s="168">
        <v>0.72222222222222221</v>
      </c>
      <c r="Q545" s="168">
        <v>0.78263888888888888</v>
      </c>
      <c r="R545" s="356">
        <f>(WTG_BD[[#This Row],[Work Start TimeStamp]]-WTG_BD[[#This Row],[Fault Start TimeStamp]])*24</f>
        <v>0</v>
      </c>
      <c r="S545" s="34">
        <f>(WTG_BD[[#This Row],[Fault Clearance time]]-WTG_BD[[#This Row],[Work Start TimeStamp]])*24</f>
        <v>1.4500000000000002</v>
      </c>
      <c r="T545" s="34">
        <f>(WTG_BD[[#This Row],[Fault Clearance time]]-WTG_BD[[#This Row],[Fault Start TimeStamp]])*24</f>
        <v>1.4500000000000002</v>
      </c>
      <c r="U545" t="s">
        <v>4610</v>
      </c>
      <c r="V545" s="234" t="s">
        <v>255</v>
      </c>
      <c r="W545" s="50">
        <f>IFERROR(IF(N545="ROW",0,(WTG_BD[[#This Row],[Breakdown Time]]*WTG_BD[[#This Row],[Plant Equivalent Weightage]])),"")</f>
        <v>6.3043478260869576E-2</v>
      </c>
      <c r="X545" s="50"/>
      <c r="Y545" s="205">
        <v>1</v>
      </c>
      <c r="Z545" s="205"/>
      <c r="AA545" s="4">
        <v>474</v>
      </c>
    </row>
    <row r="546" spans="1:27">
      <c r="A546" s="10">
        <f t="shared" si="11"/>
        <v>545</v>
      </c>
      <c r="B546" s="43">
        <f>YEAR(WTG_BD[[#This Row],[Date]])+IF(MONTH(WTG_BD[[#This Row],[Date]])&gt;=4,1,0)</f>
        <v>2026</v>
      </c>
      <c r="C546" s="10">
        <v>2025</v>
      </c>
      <c r="D546" s="10" t="s">
        <v>4478</v>
      </c>
      <c r="E546" s="309">
        <f>WTG_BD[[#This Row],[Date]]-DAY(WTG_BD[[#This Row],[Date]])+1</f>
        <v>45809</v>
      </c>
      <c r="F546" s="32">
        <v>45820</v>
      </c>
      <c r="G546" t="s">
        <v>84</v>
      </c>
      <c r="H546" t="str">
        <f>IFERROR(VLOOKUP(WTG_BD[[#This Row],[Affected WTG]],'Basic Data'!$A$3:$E$25,2,0),"")</f>
        <v>O2R3</v>
      </c>
      <c r="I546" t="str">
        <f>IFERROR(VLOOKUP(WTG_BD[[#This Row],[Affected WTG]],'Basic Data'!$A$3:$E$25,3,0),"")</f>
        <v>JK</v>
      </c>
      <c r="J546" s="355">
        <f>IFERROR(VLOOKUP(WTG_BD[[#This Row],[Affected WTG]],'Basic Data'!$A$3:$E$25,5,0),"")</f>
        <v>4.3478260869565223E-2</v>
      </c>
      <c r="K546" s="10">
        <v>900</v>
      </c>
      <c r="L546" t="str">
        <f>IFERROR(VLOOKUP(WTG_BD[[#This Row],[Error Code]],'Basic Data'!S:T,2,0),"Incorrect Error Code")</f>
        <v>Pause pressed on keyboard</v>
      </c>
      <c r="M546" t="s">
        <v>137</v>
      </c>
      <c r="N546" t="s">
        <v>257</v>
      </c>
      <c r="O546" s="168">
        <v>0.82638888888888884</v>
      </c>
      <c r="P546" s="168">
        <v>0.82638888888888884</v>
      </c>
      <c r="Q546" s="168">
        <v>0.85624999999999996</v>
      </c>
      <c r="R546" s="356">
        <f>(WTG_BD[[#This Row],[Work Start TimeStamp]]-WTG_BD[[#This Row],[Fault Start TimeStamp]])*24</f>
        <v>0</v>
      </c>
      <c r="S546" s="34">
        <f>(WTG_BD[[#This Row],[Fault Clearance time]]-WTG_BD[[#This Row],[Work Start TimeStamp]])*24</f>
        <v>0.71666666666666679</v>
      </c>
      <c r="T546" s="34">
        <f>(WTG_BD[[#This Row],[Fault Clearance time]]-WTG_BD[[#This Row],[Fault Start TimeStamp]])*24</f>
        <v>0.71666666666666679</v>
      </c>
      <c r="U546" t="s">
        <v>4610</v>
      </c>
      <c r="V546" s="234" t="s">
        <v>255</v>
      </c>
      <c r="W546" s="50">
        <f>IFERROR(IF(N546="ROW",0,(WTG_BD[[#This Row],[Breakdown Time]]*WTG_BD[[#This Row],[Plant Equivalent Weightage]])),"")</f>
        <v>3.1159420289855081E-2</v>
      </c>
      <c r="X546" s="50"/>
      <c r="Y546" s="205">
        <v>1</v>
      </c>
      <c r="Z546" s="205"/>
      <c r="AA546" s="4">
        <v>168</v>
      </c>
    </row>
    <row r="547" spans="1:27">
      <c r="A547" s="10">
        <f t="shared" si="11"/>
        <v>546</v>
      </c>
      <c r="B547" s="43">
        <f>YEAR(WTG_BD[[#This Row],[Date]])+IF(MONTH(WTG_BD[[#This Row],[Date]])&gt;=4,1,0)</f>
        <v>2026</v>
      </c>
      <c r="C547" s="10">
        <v>2025</v>
      </c>
      <c r="D547" s="10" t="s">
        <v>4478</v>
      </c>
      <c r="E547" s="309">
        <f>WTG_BD[[#This Row],[Date]]-DAY(WTG_BD[[#This Row],[Date]])+1</f>
        <v>45809</v>
      </c>
      <c r="F547" s="32">
        <v>45820</v>
      </c>
      <c r="G547" t="s">
        <v>89</v>
      </c>
      <c r="H547" t="str">
        <f>IFERROR(VLOOKUP(WTG_BD[[#This Row],[Affected WTG]],'Basic Data'!$A$3:$E$25,2,0),"")</f>
        <v>O2R1</v>
      </c>
      <c r="I547" t="str">
        <f>IFERROR(VLOOKUP(WTG_BD[[#This Row],[Affected WTG]],'Basic Data'!$A$3:$E$25,3,0),"")</f>
        <v>KSIPL</v>
      </c>
      <c r="J547" s="355">
        <f>IFERROR(VLOOKUP(WTG_BD[[#This Row],[Affected WTG]],'Basic Data'!$A$3:$E$25,5,0),"")</f>
        <v>4.3478260869565223E-2</v>
      </c>
      <c r="K547" s="10">
        <v>900</v>
      </c>
      <c r="L547" t="str">
        <f>IFERROR(VLOOKUP(WTG_BD[[#This Row],[Error Code]],'Basic Data'!S:T,2,0),"Incorrect Error Code")</f>
        <v>Pause pressed on keyboard</v>
      </c>
      <c r="M547" t="s">
        <v>137</v>
      </c>
      <c r="N547" t="s">
        <v>257</v>
      </c>
      <c r="O547" s="168">
        <v>0.57638888888888884</v>
      </c>
      <c r="P547" s="168">
        <v>0.57638888888888884</v>
      </c>
      <c r="Q547" s="168">
        <v>0.64583333333333337</v>
      </c>
      <c r="R547" s="356">
        <f>(WTG_BD[[#This Row],[Work Start TimeStamp]]-WTG_BD[[#This Row],[Fault Start TimeStamp]])*24</f>
        <v>0</v>
      </c>
      <c r="S547" s="34">
        <f>(WTG_BD[[#This Row],[Fault Clearance time]]-WTG_BD[[#This Row],[Work Start TimeStamp]])*24</f>
        <v>1.6666666666666687</v>
      </c>
      <c r="T547" s="34">
        <f>(WTG_BD[[#This Row],[Fault Clearance time]]-WTG_BD[[#This Row],[Fault Start TimeStamp]])*24</f>
        <v>1.6666666666666687</v>
      </c>
      <c r="U547" t="s">
        <v>4610</v>
      </c>
      <c r="V547" s="234" t="s">
        <v>255</v>
      </c>
      <c r="W547" s="50">
        <f>IFERROR(IF(N547="ROW",0,(WTG_BD[[#This Row],[Breakdown Time]]*WTG_BD[[#This Row],[Plant Equivalent Weightage]])),"")</f>
        <v>7.2463768115942129E-2</v>
      </c>
      <c r="X547" s="50"/>
      <c r="Y547" s="205">
        <v>1</v>
      </c>
      <c r="Z547" s="205"/>
      <c r="AA547" s="4">
        <v>541</v>
      </c>
    </row>
    <row r="548" spans="1:27">
      <c r="A548" s="10">
        <f t="shared" si="11"/>
        <v>547</v>
      </c>
      <c r="B548" s="43">
        <f>YEAR(WTG_BD[[#This Row],[Date]])+IF(MONTH(WTG_BD[[#This Row],[Date]])&gt;=4,1,0)</f>
        <v>2026</v>
      </c>
      <c r="C548" s="10">
        <v>2025</v>
      </c>
      <c r="D548" s="10" t="s">
        <v>4478</v>
      </c>
      <c r="E548" s="309">
        <f>WTG_BD[[#This Row],[Date]]-DAY(WTG_BD[[#This Row],[Date]])+1</f>
        <v>45809</v>
      </c>
      <c r="F548" s="32">
        <v>45822</v>
      </c>
      <c r="G548" t="s">
        <v>86</v>
      </c>
      <c r="H548" t="str">
        <f>IFERROR(VLOOKUP(WTG_BD[[#This Row],[Affected WTG]],'Basic Data'!$A$3:$E$25,2,0),"")</f>
        <v>O2R1</v>
      </c>
      <c r="I548" t="str">
        <f>IFERROR(VLOOKUP(WTG_BD[[#This Row],[Affected WTG]],'Basic Data'!$A$3:$E$25,3,0),"")</f>
        <v>KSIPL</v>
      </c>
      <c r="J548" s="355">
        <f>IFERROR(VLOOKUP(WTG_BD[[#This Row],[Affected WTG]],'Basic Data'!$A$3:$E$25,5,0),"")</f>
        <v>4.3478260869565223E-2</v>
      </c>
      <c r="K548" s="10">
        <v>450</v>
      </c>
      <c r="L548" t="str">
        <f>IFERROR(VLOOKUP(WTG_BD[[#This Row],[Error Code]],'Basic Data'!S:T,2,0),"Incorrect Error Code")</f>
        <v>Ext. High I sum Grd inv.</v>
      </c>
      <c r="M548" t="s">
        <v>368</v>
      </c>
      <c r="N548" t="s">
        <v>113</v>
      </c>
      <c r="O548" s="168">
        <v>8.6805555555555552E-2</v>
      </c>
      <c r="P548" s="168">
        <v>8.6805555555555552E-2</v>
      </c>
      <c r="Q548" s="168">
        <v>9.0277777777777776E-2</v>
      </c>
      <c r="R548" s="356">
        <f>(WTG_BD[[#This Row],[Work Start TimeStamp]]-WTG_BD[[#This Row],[Fault Start TimeStamp]])*24</f>
        <v>0</v>
      </c>
      <c r="S548" s="34">
        <f>(WTG_BD[[#This Row],[Fault Clearance time]]-WTG_BD[[#This Row],[Work Start TimeStamp]])*24</f>
        <v>8.333333333333337E-2</v>
      </c>
      <c r="T548" s="34">
        <f>(WTG_BD[[#This Row],[Fault Clearance time]]-WTG_BD[[#This Row],[Fault Start TimeStamp]])*24</f>
        <v>8.333333333333337E-2</v>
      </c>
      <c r="U548" t="s">
        <v>262</v>
      </c>
      <c r="V548" s="234" t="s">
        <v>255</v>
      </c>
      <c r="W548" s="50">
        <f>IFERROR(IF(N548="ROW",0,(WTG_BD[[#This Row],[Breakdown Time]]*WTG_BD[[#This Row],[Plant Equivalent Weightage]])),"")</f>
        <v>3.6231884057971037E-3</v>
      </c>
      <c r="X548" s="50"/>
      <c r="Y548" s="205">
        <v>1</v>
      </c>
      <c r="Z548" s="205"/>
      <c r="AA548" s="4">
        <v>81</v>
      </c>
    </row>
    <row r="549" spans="1:27">
      <c r="A549" s="10">
        <f t="shared" si="11"/>
        <v>548</v>
      </c>
      <c r="B549" s="43">
        <f>YEAR(WTG_BD[[#This Row],[Date]])+IF(MONTH(WTG_BD[[#This Row],[Date]])&gt;=4,1,0)</f>
        <v>2026</v>
      </c>
      <c r="C549" s="10">
        <v>2025</v>
      </c>
      <c r="D549" s="10" t="s">
        <v>4478</v>
      </c>
      <c r="E549" s="309">
        <f>WTG_BD[[#This Row],[Date]]-DAY(WTG_BD[[#This Row],[Date]])+1</f>
        <v>45809</v>
      </c>
      <c r="F549" s="32">
        <v>45822</v>
      </c>
      <c r="G549" t="s">
        <v>86</v>
      </c>
      <c r="H549" t="str">
        <f>IFERROR(VLOOKUP(WTG_BD[[#This Row],[Affected WTG]],'Basic Data'!$A$3:$E$25,2,0),"")</f>
        <v>O2R1</v>
      </c>
      <c r="I549" t="str">
        <f>IFERROR(VLOOKUP(WTG_BD[[#This Row],[Affected WTG]],'Basic Data'!$A$3:$E$25,3,0),"")</f>
        <v>KSIPL</v>
      </c>
      <c r="J549" s="355">
        <f>IFERROR(VLOOKUP(WTG_BD[[#This Row],[Affected WTG]],'Basic Data'!$A$3:$E$25,5,0),"")</f>
        <v>4.3478260869565223E-2</v>
      </c>
      <c r="K549" s="10">
        <v>6290</v>
      </c>
      <c r="L549" t="str">
        <f>IFERROR(VLOOKUP(WTG_BD[[#This Row],[Error Code]],'Basic Data'!S:T,2,0),"Incorrect Error Code")</f>
        <v>Pitch Accu. Test active</v>
      </c>
      <c r="M549" t="s">
        <v>4304</v>
      </c>
      <c r="N549" t="s">
        <v>113</v>
      </c>
      <c r="O549" s="168">
        <v>9.5138888888888884E-2</v>
      </c>
      <c r="P549" s="168">
        <v>9.5138888888888884E-2</v>
      </c>
      <c r="Q549" s="168">
        <v>9.7222222222222224E-2</v>
      </c>
      <c r="R549" s="356">
        <f>(WTG_BD[[#This Row],[Work Start TimeStamp]]-WTG_BD[[#This Row],[Fault Start TimeStamp]])*24</f>
        <v>0</v>
      </c>
      <c r="S549" s="34">
        <f>(WTG_BD[[#This Row],[Fault Clearance time]]-WTG_BD[[#This Row],[Work Start TimeStamp]])*24</f>
        <v>5.0000000000000155E-2</v>
      </c>
      <c r="T549" s="34">
        <f>(WTG_BD[[#This Row],[Fault Clearance time]]-WTG_BD[[#This Row],[Fault Start TimeStamp]])*24</f>
        <v>5.0000000000000155E-2</v>
      </c>
      <c r="U549" t="s">
        <v>262</v>
      </c>
      <c r="V549" s="234" t="s">
        <v>255</v>
      </c>
      <c r="W549" s="50">
        <f>IFERROR(IF(N549="ROW",0,(WTG_BD[[#This Row],[Breakdown Time]]*WTG_BD[[#This Row],[Plant Equivalent Weightage]])),"")</f>
        <v>2.1739130434782678E-3</v>
      </c>
      <c r="X549" s="50"/>
      <c r="Y549" s="205">
        <v>1</v>
      </c>
      <c r="Z549" s="205"/>
      <c r="AA549" s="4">
        <v>115</v>
      </c>
    </row>
    <row r="550" spans="1:27">
      <c r="A550" s="10">
        <f t="shared" si="11"/>
        <v>549</v>
      </c>
      <c r="B550" s="43">
        <f>YEAR(WTG_BD[[#This Row],[Date]])+IF(MONTH(WTG_BD[[#This Row],[Date]])&gt;=4,1,0)</f>
        <v>2026</v>
      </c>
      <c r="C550" s="10">
        <v>2025</v>
      </c>
      <c r="D550" s="10" t="s">
        <v>4478</v>
      </c>
      <c r="E550" s="309">
        <f>WTG_BD[[#This Row],[Date]]-DAY(WTG_BD[[#This Row],[Date]])+1</f>
        <v>45809</v>
      </c>
      <c r="F550" s="32">
        <v>45822</v>
      </c>
      <c r="G550" t="s">
        <v>98</v>
      </c>
      <c r="H550" t="str">
        <f>IFERROR(VLOOKUP(WTG_BD[[#This Row],[Affected WTG]],'Basic Data'!$A$3:$E$25,2,0),"")</f>
        <v>O2R3</v>
      </c>
      <c r="I550" t="str">
        <f>IFERROR(VLOOKUP(WTG_BD[[#This Row],[Affected WTG]],'Basic Data'!$A$3:$E$25,3,0),"")</f>
        <v>JK</v>
      </c>
      <c r="J550" s="355">
        <f>IFERROR(VLOOKUP(WTG_BD[[#This Row],[Affected WTG]],'Basic Data'!$A$3:$E$25,5,0),"")</f>
        <v>4.3478260869565223E-2</v>
      </c>
      <c r="K550" s="10">
        <v>900</v>
      </c>
      <c r="L550" t="str">
        <f>IFERROR(VLOOKUP(WTG_BD[[#This Row],[Error Code]],'Basic Data'!S:T,2,0),"Incorrect Error Code")</f>
        <v>Pause pressed on keyboard</v>
      </c>
      <c r="M550" t="s">
        <v>137</v>
      </c>
      <c r="N550" t="s">
        <v>113</v>
      </c>
      <c r="O550" s="168">
        <v>0.52708333333333335</v>
      </c>
      <c r="P550" s="168">
        <v>0.52708333333333335</v>
      </c>
      <c r="Q550" s="168">
        <v>0.53472222222222221</v>
      </c>
      <c r="R550" s="356">
        <f>(WTG_BD[[#This Row],[Work Start TimeStamp]]-WTG_BD[[#This Row],[Fault Start TimeStamp]])*24</f>
        <v>0</v>
      </c>
      <c r="S550" s="34">
        <f>(WTG_BD[[#This Row],[Fault Clearance time]]-WTG_BD[[#This Row],[Work Start TimeStamp]])*24</f>
        <v>0.18333333333333268</v>
      </c>
      <c r="T550" s="34">
        <f>(WTG_BD[[#This Row],[Fault Clearance time]]-WTG_BD[[#This Row],[Fault Start TimeStamp]])*24</f>
        <v>0.18333333333333268</v>
      </c>
      <c r="U550" t="s">
        <v>4644</v>
      </c>
      <c r="V550" s="234" t="s">
        <v>255</v>
      </c>
      <c r="W550" s="50">
        <f>IFERROR(IF(N550="ROW",0,(WTG_BD[[#This Row],[Breakdown Time]]*WTG_BD[[#This Row],[Plant Equivalent Weightage]])),"")</f>
        <v>7.9710144927535951E-3</v>
      </c>
      <c r="X550" s="50"/>
      <c r="Y550" s="205">
        <v>1</v>
      </c>
      <c r="Z550" s="205"/>
      <c r="AA550" s="4">
        <v>264</v>
      </c>
    </row>
    <row r="551" spans="1:27">
      <c r="A551" s="10">
        <f t="shared" si="11"/>
        <v>550</v>
      </c>
      <c r="B551" s="43">
        <f>YEAR(WTG_BD[[#This Row],[Date]])+IF(MONTH(WTG_BD[[#This Row],[Date]])&gt;=4,1,0)</f>
        <v>2026</v>
      </c>
      <c r="C551" s="10">
        <v>2025</v>
      </c>
      <c r="D551" s="10" t="s">
        <v>4478</v>
      </c>
      <c r="E551" s="309">
        <f>WTG_BD[[#This Row],[Date]]-DAY(WTG_BD[[#This Row],[Date]])+1</f>
        <v>45809</v>
      </c>
      <c r="F551" s="32">
        <v>45826</v>
      </c>
      <c r="G551" t="s">
        <v>76</v>
      </c>
      <c r="H551" t="str">
        <f>IFERROR(VLOOKUP(WTG_BD[[#This Row],[Affected WTG]],'Basic Data'!$A$3:$E$25,2,0),"")</f>
        <v>O2R1</v>
      </c>
      <c r="I551" t="str">
        <f>IFERROR(VLOOKUP(WTG_BD[[#This Row],[Affected WTG]],'Basic Data'!$A$3:$E$25,3,0),"")</f>
        <v>KSIPL</v>
      </c>
      <c r="J551" s="355">
        <f>IFERROR(VLOOKUP(WTG_BD[[#This Row],[Affected WTG]],'Basic Data'!$A$3:$E$25,5,0),"")</f>
        <v>4.3478260869565223E-2</v>
      </c>
      <c r="K551" s="10">
        <v>5471</v>
      </c>
      <c r="L551" t="str">
        <f>IFERROR(VLOOKUP(WTG_BD[[#This Row],[Error Code]],'Basic Data'!S:T,2,0),"Incorrect Error Code")</f>
        <v>GeneratorBreakerTripped</v>
      </c>
      <c r="M551" t="s">
        <v>370</v>
      </c>
      <c r="N551" t="s">
        <v>107</v>
      </c>
      <c r="O551" s="168">
        <v>0.47222222222222221</v>
      </c>
      <c r="P551" s="168">
        <v>0.47222222222222221</v>
      </c>
      <c r="Q551" s="168">
        <v>0.98611111111111116</v>
      </c>
      <c r="R551" s="356">
        <f>(WTG_BD[[#This Row],[Work Start TimeStamp]]-WTG_BD[[#This Row],[Fault Start TimeStamp]])*24</f>
        <v>0</v>
      </c>
      <c r="S551" s="34">
        <f>(WTG_BD[[#This Row],[Fault Clearance time]]-WTG_BD[[#This Row],[Work Start TimeStamp]])*24</f>
        <v>12.333333333333336</v>
      </c>
      <c r="T551" s="34">
        <f>(WTG_BD[[#This Row],[Fault Clearance time]]-WTG_BD[[#This Row],[Fault Start TimeStamp]])*24</f>
        <v>12.333333333333336</v>
      </c>
      <c r="U551" t="s">
        <v>4646</v>
      </c>
      <c r="V551" s="234" t="s">
        <v>270</v>
      </c>
      <c r="W551" s="50">
        <f>IFERROR(IF(N551="ROW",0,(WTG_BD[[#This Row],[Breakdown Time]]*WTG_BD[[#This Row],[Plant Equivalent Weightage]])),"")</f>
        <v>0</v>
      </c>
      <c r="X551" s="50"/>
      <c r="Y551" s="205">
        <v>1</v>
      </c>
      <c r="Z551" s="205"/>
      <c r="AA551" s="4">
        <v>143</v>
      </c>
    </row>
    <row r="552" spans="1:27">
      <c r="A552" s="10">
        <f t="shared" si="11"/>
        <v>551</v>
      </c>
      <c r="B552" s="43">
        <f>YEAR(WTG_BD[[#This Row],[Date]])+IF(MONTH(WTG_BD[[#This Row],[Date]])&gt;=4,1,0)</f>
        <v>2026</v>
      </c>
      <c r="C552" s="10">
        <v>2025</v>
      </c>
      <c r="D552" s="10" t="s">
        <v>4478</v>
      </c>
      <c r="E552" s="309">
        <f>WTG_BD[[#This Row],[Date]]-DAY(WTG_BD[[#This Row],[Date]])+1</f>
        <v>45809</v>
      </c>
      <c r="F552" s="32">
        <v>45826</v>
      </c>
      <c r="G552" t="s">
        <v>76</v>
      </c>
      <c r="H552" t="str">
        <f>IFERROR(VLOOKUP(WTG_BD[[#This Row],[Affected WTG]],'Basic Data'!$A$3:$E$25,2,0),"")</f>
        <v>O2R1</v>
      </c>
      <c r="I552" t="str">
        <f>IFERROR(VLOOKUP(WTG_BD[[#This Row],[Affected WTG]],'Basic Data'!$A$3:$E$25,3,0),"")</f>
        <v>KSIPL</v>
      </c>
      <c r="J552" s="355">
        <f>IFERROR(VLOOKUP(WTG_BD[[#This Row],[Affected WTG]],'Basic Data'!$A$3:$E$25,5,0),"")</f>
        <v>4.3478260869565223E-2</v>
      </c>
      <c r="K552" s="10">
        <v>5471</v>
      </c>
      <c r="L552" t="str">
        <f>IFERROR(VLOOKUP(WTG_BD[[#This Row],[Error Code]],'Basic Data'!S:T,2,0),"Incorrect Error Code")</f>
        <v>GeneratorBreakerTripped</v>
      </c>
      <c r="M552" t="s">
        <v>370</v>
      </c>
      <c r="N552" t="s">
        <v>113</v>
      </c>
      <c r="O552" s="168">
        <v>0.98958333333333337</v>
      </c>
      <c r="P552" s="168">
        <v>0.98958333333333337</v>
      </c>
      <c r="Q552" s="168">
        <v>0.99930555555555556</v>
      </c>
      <c r="R552" s="356">
        <f>(WTG_BD[[#This Row],[Work Start TimeStamp]]-WTG_BD[[#This Row],[Fault Start TimeStamp]])*24</f>
        <v>0</v>
      </c>
      <c r="S552" s="34">
        <f>(WTG_BD[[#This Row],[Fault Clearance time]]-WTG_BD[[#This Row],[Work Start TimeStamp]])*24</f>
        <v>0.2333333333333325</v>
      </c>
      <c r="T552" s="34">
        <f>(WTG_BD[[#This Row],[Fault Clearance time]]-WTG_BD[[#This Row],[Fault Start TimeStamp]])*24</f>
        <v>0.2333333333333325</v>
      </c>
      <c r="U552" t="s">
        <v>4647</v>
      </c>
      <c r="V552" s="234" t="s">
        <v>270</v>
      </c>
      <c r="W552" s="50">
        <f>IFERROR(IF(N552="ROW",0,(WTG_BD[[#This Row],[Breakdown Time]]*WTG_BD[[#This Row],[Plant Equivalent Weightage]])),"")</f>
        <v>1.0144927536231849E-2</v>
      </c>
      <c r="X552" s="50"/>
      <c r="Y552" s="205">
        <v>1</v>
      </c>
      <c r="Z552" s="205"/>
      <c r="AA552" s="4">
        <v>0.8</v>
      </c>
    </row>
    <row r="553" spans="1:27">
      <c r="A553" s="10">
        <f t="shared" si="11"/>
        <v>552</v>
      </c>
      <c r="B553" s="43">
        <f>YEAR(WTG_BD[[#This Row],[Date]])+IF(MONTH(WTG_BD[[#This Row],[Date]])&gt;=4,1,0)</f>
        <v>2026</v>
      </c>
      <c r="C553" s="10">
        <v>2025</v>
      </c>
      <c r="D553" s="10" t="s">
        <v>4478</v>
      </c>
      <c r="E553" s="309">
        <f>WTG_BD[[#This Row],[Date]]-DAY(WTG_BD[[#This Row],[Date]])+1</f>
        <v>45809</v>
      </c>
      <c r="F553" s="32">
        <v>45827</v>
      </c>
      <c r="G553" t="s">
        <v>76</v>
      </c>
      <c r="H553" t="str">
        <f>IFERROR(VLOOKUP(WTG_BD[[#This Row],[Affected WTG]],'Basic Data'!$A$3:$E$25,2,0),"")</f>
        <v>O2R1</v>
      </c>
      <c r="I553" t="str">
        <f>IFERROR(VLOOKUP(WTG_BD[[#This Row],[Affected WTG]],'Basic Data'!$A$3:$E$25,3,0),"")</f>
        <v>KSIPL</v>
      </c>
      <c r="J553" s="355">
        <f>IFERROR(VLOOKUP(WTG_BD[[#This Row],[Affected WTG]],'Basic Data'!$A$3:$E$25,5,0),"")</f>
        <v>4.3478260869565223E-2</v>
      </c>
      <c r="K553" s="10">
        <v>5471</v>
      </c>
      <c r="L553" t="str">
        <f>IFERROR(VLOOKUP(WTG_BD[[#This Row],[Error Code]],'Basic Data'!S:T,2,0),"Incorrect Error Code")</f>
        <v>GeneratorBreakerTripped</v>
      </c>
      <c r="M553" t="s">
        <v>370</v>
      </c>
      <c r="N553" t="s">
        <v>113</v>
      </c>
      <c r="O553" s="168">
        <v>0</v>
      </c>
      <c r="P553" s="168">
        <v>0</v>
      </c>
      <c r="Q553" s="168">
        <v>5.5555555555555552E-2</v>
      </c>
      <c r="R553" s="356">
        <f>(WTG_BD[[#This Row],[Work Start TimeStamp]]-WTG_BD[[#This Row],[Fault Start TimeStamp]])*24</f>
        <v>0</v>
      </c>
      <c r="S553" s="34">
        <f>(WTG_BD[[#This Row],[Fault Clearance time]]-WTG_BD[[#This Row],[Work Start TimeStamp]])*24</f>
        <v>1.3333333333333333</v>
      </c>
      <c r="T553" s="34">
        <f>(WTG_BD[[#This Row],[Fault Clearance time]]-WTG_BD[[#This Row],[Fault Start TimeStamp]])*24</f>
        <v>1.3333333333333333</v>
      </c>
      <c r="U553" t="s">
        <v>4648</v>
      </c>
      <c r="V553" s="234" t="s">
        <v>255</v>
      </c>
      <c r="W553" s="50">
        <f>IFERROR(IF(N553="ROW",0,(WTG_BD[[#This Row],[Breakdown Time]]*WTG_BD[[#This Row],[Plant Equivalent Weightage]])),"")</f>
        <v>5.7971014492753631E-2</v>
      </c>
      <c r="X553" s="50"/>
      <c r="Y553" s="205">
        <v>1</v>
      </c>
      <c r="Z553" s="205"/>
      <c r="AA553" s="4">
        <v>500</v>
      </c>
    </row>
    <row r="554" spans="1:27">
      <c r="A554" s="10">
        <f t="shared" si="11"/>
        <v>553</v>
      </c>
      <c r="B554" s="43">
        <f>YEAR(WTG_BD[[#This Row],[Date]])+IF(MONTH(WTG_BD[[#This Row],[Date]])&gt;=4,1,0)</f>
        <v>2026</v>
      </c>
      <c r="C554" s="10">
        <v>2025</v>
      </c>
      <c r="D554" s="10" t="s">
        <v>4478</v>
      </c>
      <c r="E554" s="309">
        <f>WTG_BD[[#This Row],[Date]]-DAY(WTG_BD[[#This Row],[Date]])+1</f>
        <v>45809</v>
      </c>
      <c r="F554" s="32">
        <v>45827</v>
      </c>
      <c r="G554" t="s">
        <v>76</v>
      </c>
      <c r="H554" t="str">
        <f>IFERROR(VLOOKUP(WTG_BD[[#This Row],[Affected WTG]],'Basic Data'!$A$3:$E$25,2,0),"")</f>
        <v>O2R1</v>
      </c>
      <c r="I554" t="str">
        <f>IFERROR(VLOOKUP(WTG_BD[[#This Row],[Affected WTG]],'Basic Data'!$A$3:$E$25,3,0),"")</f>
        <v>KSIPL</v>
      </c>
      <c r="J554" s="355">
        <f>IFERROR(VLOOKUP(WTG_BD[[#This Row],[Affected WTG]],'Basic Data'!$A$3:$E$25,5,0),"")</f>
        <v>4.3478260869565223E-2</v>
      </c>
      <c r="K554" s="10">
        <v>5471</v>
      </c>
      <c r="L554" t="str">
        <f>IFERROR(VLOOKUP(WTG_BD[[#This Row],[Error Code]],'Basic Data'!S:T,2,0),"Incorrect Error Code")</f>
        <v>GeneratorBreakerTripped</v>
      </c>
      <c r="M554" t="s">
        <v>370</v>
      </c>
      <c r="N554" t="s">
        <v>113</v>
      </c>
      <c r="O554" s="168">
        <v>0.62638888888888888</v>
      </c>
      <c r="P554" s="168">
        <v>0.62638888888888888</v>
      </c>
      <c r="Q554" s="168">
        <v>0.66180555555555554</v>
      </c>
      <c r="R554" s="356">
        <f>(WTG_BD[[#This Row],[Work Start TimeStamp]]-WTG_BD[[#This Row],[Fault Start TimeStamp]])*24</f>
        <v>0</v>
      </c>
      <c r="S554" s="34">
        <f>(WTG_BD[[#This Row],[Fault Clearance time]]-WTG_BD[[#This Row],[Work Start TimeStamp]])*24</f>
        <v>0.84999999999999964</v>
      </c>
      <c r="T554" s="34">
        <f>(WTG_BD[[#This Row],[Fault Clearance time]]-WTG_BD[[#This Row],[Fault Start TimeStamp]])*24</f>
        <v>0.84999999999999964</v>
      </c>
      <c r="U554" t="s">
        <v>4648</v>
      </c>
      <c r="V554" s="234" t="s">
        <v>255</v>
      </c>
      <c r="W554" s="50">
        <f>IFERROR(IF(N554="ROW",0,(WTG_BD[[#This Row],[Breakdown Time]]*WTG_BD[[#This Row],[Plant Equivalent Weightage]])),"")</f>
        <v>3.6956521739130423E-2</v>
      </c>
      <c r="X554" s="50"/>
      <c r="Y554" s="205">
        <v>1</v>
      </c>
      <c r="Z554" s="205"/>
      <c r="AA554" s="4">
        <v>4000</v>
      </c>
    </row>
    <row r="555" spans="1:27">
      <c r="A555" s="10">
        <f t="shared" si="11"/>
        <v>554</v>
      </c>
      <c r="B555" s="43">
        <f>YEAR(WTG_BD[[#This Row],[Date]])+IF(MONTH(WTG_BD[[#This Row],[Date]])&gt;=4,1,0)</f>
        <v>2026</v>
      </c>
      <c r="C555" s="10">
        <v>2025</v>
      </c>
      <c r="D555" s="10" t="s">
        <v>4478</v>
      </c>
      <c r="E555" s="309">
        <f>WTG_BD[[#This Row],[Date]]-DAY(WTG_BD[[#This Row],[Date]])+1</f>
        <v>45809</v>
      </c>
      <c r="F555" s="32">
        <v>45827</v>
      </c>
      <c r="G555" t="s">
        <v>89</v>
      </c>
      <c r="H555" t="str">
        <f>IFERROR(VLOOKUP(WTG_BD[[#This Row],[Affected WTG]],'Basic Data'!$A$3:$E$25,2,0),"")</f>
        <v>O2R1</v>
      </c>
      <c r="I555" t="str">
        <f>IFERROR(VLOOKUP(WTG_BD[[#This Row],[Affected WTG]],'Basic Data'!$A$3:$E$25,3,0),"")</f>
        <v>KSIPL</v>
      </c>
      <c r="J555" s="355">
        <f>IFERROR(VLOOKUP(WTG_BD[[#This Row],[Affected WTG]],'Basic Data'!$A$3:$E$25,5,0),"")</f>
        <v>4.3478260869565223E-2</v>
      </c>
      <c r="K555" s="10">
        <v>5470</v>
      </c>
      <c r="L555" t="str">
        <f>IFERROR(VLOOKUP(WTG_BD[[#This Row],[Error Code]],'Basic Data'!S:T,2,0),"Incorrect Error Code")</f>
        <v>GeneratorBreakerFBResponse</v>
      </c>
      <c r="M555" t="s">
        <v>291</v>
      </c>
      <c r="N555" t="s">
        <v>113</v>
      </c>
      <c r="O555" s="168">
        <v>0.62638888888888888</v>
      </c>
      <c r="P555" s="168">
        <v>0.62638888888888888</v>
      </c>
      <c r="Q555" s="168">
        <v>0.69861111111111107</v>
      </c>
      <c r="R555" s="356">
        <f>(WTG_BD[[#This Row],[Work Start TimeStamp]]-WTG_BD[[#This Row],[Fault Start TimeStamp]])*24</f>
        <v>0</v>
      </c>
      <c r="S555" s="34">
        <f>(WTG_BD[[#This Row],[Fault Clearance time]]-WTG_BD[[#This Row],[Work Start TimeStamp]])*24</f>
        <v>1.7333333333333325</v>
      </c>
      <c r="T555" s="34">
        <f>(WTG_BD[[#This Row],[Fault Clearance time]]-WTG_BD[[#This Row],[Fault Start TimeStamp]])*24</f>
        <v>1.7333333333333325</v>
      </c>
      <c r="U555" t="s">
        <v>4649</v>
      </c>
      <c r="V555" s="234" t="s">
        <v>255</v>
      </c>
      <c r="W555" s="50">
        <f>IFERROR(IF(N555="ROW",0,(WTG_BD[[#This Row],[Breakdown Time]]*WTG_BD[[#This Row],[Plant Equivalent Weightage]])),"")</f>
        <v>7.5362318840579687E-2</v>
      </c>
      <c r="X555" s="50"/>
      <c r="Y555" s="205">
        <v>1</v>
      </c>
      <c r="Z555" s="205"/>
      <c r="AA555" s="4">
        <v>2200</v>
      </c>
    </row>
    <row r="556" spans="1:27">
      <c r="A556" s="10">
        <f t="shared" si="11"/>
        <v>555</v>
      </c>
      <c r="B556" s="43">
        <f>YEAR(WTG_BD[[#This Row],[Date]])+IF(MONTH(WTG_BD[[#This Row],[Date]])&gt;=4,1,0)</f>
        <v>2026</v>
      </c>
      <c r="C556" s="10">
        <v>2025</v>
      </c>
      <c r="D556" s="10" t="s">
        <v>4478</v>
      </c>
      <c r="E556" s="309">
        <f>WTG_BD[[#This Row],[Date]]-DAY(WTG_BD[[#This Row],[Date]])+1</f>
        <v>45809</v>
      </c>
      <c r="F556" s="32">
        <v>45827</v>
      </c>
      <c r="G556" t="s">
        <v>76</v>
      </c>
      <c r="H556" t="str">
        <f>IFERROR(VLOOKUP(WTG_BD[[#This Row],[Affected WTG]],'Basic Data'!$A$3:$E$25,2,0),"")</f>
        <v>O2R1</v>
      </c>
      <c r="I556" t="str">
        <f>IFERROR(VLOOKUP(WTG_BD[[#This Row],[Affected WTG]],'Basic Data'!$A$3:$E$25,3,0),"")</f>
        <v>KSIPL</v>
      </c>
      <c r="J556" s="355">
        <f>IFERROR(VLOOKUP(WTG_BD[[#This Row],[Affected WTG]],'Basic Data'!$A$3:$E$25,5,0),"")</f>
        <v>4.3478260869565223E-2</v>
      </c>
      <c r="K556" s="10">
        <v>900</v>
      </c>
      <c r="L556" t="str">
        <f>IFERROR(VLOOKUP(WTG_BD[[#This Row],[Error Code]],'Basic Data'!S:T,2,0),"Incorrect Error Code")</f>
        <v>Pause pressed on keyboard</v>
      </c>
      <c r="M556" t="s">
        <v>137</v>
      </c>
      <c r="N556" t="s">
        <v>257</v>
      </c>
      <c r="O556" s="168">
        <v>0.60416666666666663</v>
      </c>
      <c r="P556" s="168">
        <v>0.60416666666666663</v>
      </c>
      <c r="Q556" s="168">
        <v>0.62638888888888888</v>
      </c>
      <c r="R556" s="356">
        <f>(WTG_BD[[#This Row],[Work Start TimeStamp]]-WTG_BD[[#This Row],[Fault Start TimeStamp]])*24</f>
        <v>0</v>
      </c>
      <c r="S556" s="34">
        <f>(WTG_BD[[#This Row],[Fault Clearance time]]-WTG_BD[[#This Row],[Work Start TimeStamp]])*24</f>
        <v>0.5333333333333341</v>
      </c>
      <c r="T556" s="34">
        <f>(WTG_BD[[#This Row],[Fault Clearance time]]-WTG_BD[[#This Row],[Fault Start TimeStamp]])*24</f>
        <v>0.5333333333333341</v>
      </c>
      <c r="U556" t="s">
        <v>4650</v>
      </c>
      <c r="V556" s="234" t="s">
        <v>255</v>
      </c>
      <c r="W556" s="50">
        <f>IFERROR(IF(N556="ROW",0,(WTG_BD[[#This Row],[Breakdown Time]]*WTG_BD[[#This Row],[Plant Equivalent Weightage]])),"")</f>
        <v>2.3188405797101484E-2</v>
      </c>
      <c r="X556" s="50"/>
      <c r="Y556" s="205">
        <v>1</v>
      </c>
      <c r="Z556" s="205"/>
      <c r="AA556" s="4">
        <v>1200</v>
      </c>
    </row>
    <row r="557" spans="1:27">
      <c r="A557" s="10">
        <f t="shared" si="11"/>
        <v>556</v>
      </c>
      <c r="B557" s="43">
        <f>YEAR(WTG_BD[[#This Row],[Date]])+IF(MONTH(WTG_BD[[#This Row],[Date]])&gt;=4,1,0)</f>
        <v>2026</v>
      </c>
      <c r="C557" s="10">
        <v>2025</v>
      </c>
      <c r="D557" s="10" t="s">
        <v>4478</v>
      </c>
      <c r="E557" s="309">
        <f>WTG_BD[[#This Row],[Date]]-DAY(WTG_BD[[#This Row],[Date]])+1</f>
        <v>45809</v>
      </c>
      <c r="F557" s="32">
        <v>45827</v>
      </c>
      <c r="G557" t="s">
        <v>78</v>
      </c>
      <c r="H557" t="str">
        <f>IFERROR(VLOOKUP(WTG_BD[[#This Row],[Affected WTG]],'Basic Data'!$A$3:$E$25,2,0),"")</f>
        <v>O2R1</v>
      </c>
      <c r="I557" t="str">
        <f>IFERROR(VLOOKUP(WTG_BD[[#This Row],[Affected WTG]],'Basic Data'!$A$3:$E$25,3,0),"")</f>
        <v>KSIPL</v>
      </c>
      <c r="J557" s="355">
        <f>IFERROR(VLOOKUP(WTG_BD[[#This Row],[Affected WTG]],'Basic Data'!$A$3:$E$25,5,0),"")</f>
        <v>4.3478260869565223E-2</v>
      </c>
      <c r="K557" s="10">
        <v>900</v>
      </c>
      <c r="L557" t="str">
        <f>IFERROR(VLOOKUP(WTG_BD[[#This Row],[Error Code]],'Basic Data'!S:T,2,0),"Incorrect Error Code")</f>
        <v>Pause pressed on keyboard</v>
      </c>
      <c r="M557" t="s">
        <v>137</v>
      </c>
      <c r="N557" t="s">
        <v>257</v>
      </c>
      <c r="O557" s="168">
        <v>0.60416666666666663</v>
      </c>
      <c r="P557" s="168">
        <v>0.60416666666666663</v>
      </c>
      <c r="Q557" s="168">
        <v>0.62638888888888888</v>
      </c>
      <c r="R557" s="356">
        <f>(WTG_BD[[#This Row],[Work Start TimeStamp]]-WTG_BD[[#This Row],[Fault Start TimeStamp]])*24</f>
        <v>0</v>
      </c>
      <c r="S557" s="34">
        <f>(WTG_BD[[#This Row],[Fault Clearance time]]-WTG_BD[[#This Row],[Work Start TimeStamp]])*24</f>
        <v>0.5333333333333341</v>
      </c>
      <c r="T557" s="34">
        <f>(WTG_BD[[#This Row],[Fault Clearance time]]-WTG_BD[[#This Row],[Fault Start TimeStamp]])*24</f>
        <v>0.5333333333333341</v>
      </c>
      <c r="U557" t="s">
        <v>4650</v>
      </c>
      <c r="V557" s="234" t="s">
        <v>255</v>
      </c>
      <c r="W557" s="50">
        <f>IFERROR(IF(N557="ROW",0,(WTG_BD[[#This Row],[Breakdown Time]]*WTG_BD[[#This Row],[Plant Equivalent Weightage]])),"")</f>
        <v>2.3188405797101484E-2</v>
      </c>
      <c r="X557" s="50"/>
      <c r="Y557" s="205">
        <v>1</v>
      </c>
      <c r="Z557" s="205"/>
      <c r="AA557" s="4">
        <v>1200</v>
      </c>
    </row>
    <row r="558" spans="1:27">
      <c r="A558" s="10">
        <f t="shared" si="11"/>
        <v>557</v>
      </c>
      <c r="B558" s="43">
        <f>YEAR(WTG_BD[[#This Row],[Date]])+IF(MONTH(WTG_BD[[#This Row],[Date]])&gt;=4,1,0)</f>
        <v>2026</v>
      </c>
      <c r="C558" s="10">
        <v>2025</v>
      </c>
      <c r="D558" s="10" t="s">
        <v>4478</v>
      </c>
      <c r="E558" s="309">
        <f>WTG_BD[[#This Row],[Date]]-DAY(WTG_BD[[#This Row],[Date]])+1</f>
        <v>45809</v>
      </c>
      <c r="F558" s="32">
        <v>45827</v>
      </c>
      <c r="G558" t="s">
        <v>85</v>
      </c>
      <c r="H558" t="str">
        <f>IFERROR(VLOOKUP(WTG_BD[[#This Row],[Affected WTG]],'Basic Data'!$A$3:$E$25,2,0),"")</f>
        <v>O2R1</v>
      </c>
      <c r="I558" t="str">
        <f>IFERROR(VLOOKUP(WTG_BD[[#This Row],[Affected WTG]],'Basic Data'!$A$3:$E$25,3,0),"")</f>
        <v>KSIPL</v>
      </c>
      <c r="J558" s="355">
        <f>IFERROR(VLOOKUP(WTG_BD[[#This Row],[Affected WTG]],'Basic Data'!$A$3:$E$25,5,0),"")</f>
        <v>4.3478260869565223E-2</v>
      </c>
      <c r="K558" s="10">
        <v>900</v>
      </c>
      <c r="L558" t="str">
        <f>IFERROR(VLOOKUP(WTG_BD[[#This Row],[Error Code]],'Basic Data'!S:T,2,0),"Incorrect Error Code")</f>
        <v>Pause pressed on keyboard</v>
      </c>
      <c r="M558" t="s">
        <v>137</v>
      </c>
      <c r="N558" t="s">
        <v>257</v>
      </c>
      <c r="O558" s="168">
        <v>0.60416666666666663</v>
      </c>
      <c r="P558" s="168">
        <v>0.60416666666666663</v>
      </c>
      <c r="Q558" s="168">
        <v>0.62638888888888888</v>
      </c>
      <c r="R558" s="356">
        <f>(WTG_BD[[#This Row],[Work Start TimeStamp]]-WTG_BD[[#This Row],[Fault Start TimeStamp]])*24</f>
        <v>0</v>
      </c>
      <c r="S558" s="34">
        <f>(WTG_BD[[#This Row],[Fault Clearance time]]-WTG_BD[[#This Row],[Work Start TimeStamp]])*24</f>
        <v>0.5333333333333341</v>
      </c>
      <c r="T558" s="34">
        <f>(WTG_BD[[#This Row],[Fault Clearance time]]-WTG_BD[[#This Row],[Fault Start TimeStamp]])*24</f>
        <v>0.5333333333333341</v>
      </c>
      <c r="U558" t="s">
        <v>4650</v>
      </c>
      <c r="V558" s="234" t="s">
        <v>255</v>
      </c>
      <c r="W558" s="50">
        <f>IFERROR(IF(N558="ROW",0,(WTG_BD[[#This Row],[Breakdown Time]]*WTG_BD[[#This Row],[Plant Equivalent Weightage]])),"")</f>
        <v>2.3188405797101484E-2</v>
      </c>
      <c r="X558" s="50"/>
      <c r="Y558" s="205">
        <v>1</v>
      </c>
      <c r="Z558" s="205"/>
      <c r="AA558" s="4">
        <v>1300</v>
      </c>
    </row>
    <row r="559" spans="1:27">
      <c r="A559" s="10">
        <f t="shared" si="11"/>
        <v>558</v>
      </c>
      <c r="B559" s="43">
        <f>YEAR(WTG_BD[[#This Row],[Date]])+IF(MONTH(WTG_BD[[#This Row],[Date]])&gt;=4,1,0)</f>
        <v>2026</v>
      </c>
      <c r="C559" s="10">
        <v>2025</v>
      </c>
      <c r="D559" s="10" t="s">
        <v>4478</v>
      </c>
      <c r="E559" s="309">
        <f>WTG_BD[[#This Row],[Date]]-DAY(WTG_BD[[#This Row],[Date]])+1</f>
        <v>45809</v>
      </c>
      <c r="F559" s="32">
        <v>45827</v>
      </c>
      <c r="G559" t="s">
        <v>86</v>
      </c>
      <c r="H559" t="str">
        <f>IFERROR(VLOOKUP(WTG_BD[[#This Row],[Affected WTG]],'Basic Data'!$A$3:$E$25,2,0),"")</f>
        <v>O2R1</v>
      </c>
      <c r="I559" t="str">
        <f>IFERROR(VLOOKUP(WTG_BD[[#This Row],[Affected WTG]],'Basic Data'!$A$3:$E$25,3,0),"")</f>
        <v>KSIPL</v>
      </c>
      <c r="J559" s="355">
        <f>IFERROR(VLOOKUP(WTG_BD[[#This Row],[Affected WTG]],'Basic Data'!$A$3:$E$25,5,0),"")</f>
        <v>4.3478260869565223E-2</v>
      </c>
      <c r="K559" s="10">
        <v>900</v>
      </c>
      <c r="L559" t="str">
        <f>IFERROR(VLOOKUP(WTG_BD[[#This Row],[Error Code]],'Basic Data'!S:T,2,0),"Incorrect Error Code")</f>
        <v>Pause pressed on keyboard</v>
      </c>
      <c r="M559" t="s">
        <v>137</v>
      </c>
      <c r="N559" t="s">
        <v>257</v>
      </c>
      <c r="O559" s="168">
        <v>0.60416666666666663</v>
      </c>
      <c r="P559" s="168">
        <v>0.60416666666666663</v>
      </c>
      <c r="Q559" s="168">
        <v>0.62638888888888888</v>
      </c>
      <c r="R559" s="356">
        <f>(WTG_BD[[#This Row],[Work Start TimeStamp]]-WTG_BD[[#This Row],[Fault Start TimeStamp]])*24</f>
        <v>0</v>
      </c>
      <c r="S559" s="34">
        <f>(WTG_BD[[#This Row],[Fault Clearance time]]-WTG_BD[[#This Row],[Work Start TimeStamp]])*24</f>
        <v>0.5333333333333341</v>
      </c>
      <c r="T559" s="34">
        <f>(WTG_BD[[#This Row],[Fault Clearance time]]-WTG_BD[[#This Row],[Fault Start TimeStamp]])*24</f>
        <v>0.5333333333333341</v>
      </c>
      <c r="U559" t="s">
        <v>4650</v>
      </c>
      <c r="V559" s="234" t="s">
        <v>255</v>
      </c>
      <c r="W559" s="50">
        <f>IFERROR(IF(N559="ROW",0,(WTG_BD[[#This Row],[Breakdown Time]]*WTG_BD[[#This Row],[Plant Equivalent Weightage]])),"")</f>
        <v>2.3188405797101484E-2</v>
      </c>
      <c r="X559" s="50"/>
      <c r="Y559" s="205">
        <v>1</v>
      </c>
      <c r="Z559" s="205"/>
      <c r="AA559" s="4">
        <v>1100</v>
      </c>
    </row>
    <row r="560" spans="1:27">
      <c r="A560" s="10">
        <f t="shared" si="11"/>
        <v>559</v>
      </c>
      <c r="B560" s="43">
        <f>YEAR(WTG_BD[[#This Row],[Date]])+IF(MONTH(WTG_BD[[#This Row],[Date]])&gt;=4,1,0)</f>
        <v>2026</v>
      </c>
      <c r="C560" s="10">
        <v>2025</v>
      </c>
      <c r="D560" s="10" t="s">
        <v>4478</v>
      </c>
      <c r="E560" s="309">
        <f>WTG_BD[[#This Row],[Date]]-DAY(WTG_BD[[#This Row],[Date]])+1</f>
        <v>45809</v>
      </c>
      <c r="F560" s="32">
        <v>45827</v>
      </c>
      <c r="G560" t="s">
        <v>87</v>
      </c>
      <c r="H560" t="str">
        <f>IFERROR(VLOOKUP(WTG_BD[[#This Row],[Affected WTG]],'Basic Data'!$A$3:$E$25,2,0),"")</f>
        <v>O2R1</v>
      </c>
      <c r="I560" t="str">
        <f>IFERROR(VLOOKUP(WTG_BD[[#This Row],[Affected WTG]],'Basic Data'!$A$3:$E$25,3,0),"")</f>
        <v>KSIPL</v>
      </c>
      <c r="J560" s="355">
        <f>IFERROR(VLOOKUP(WTG_BD[[#This Row],[Affected WTG]],'Basic Data'!$A$3:$E$25,5,0),"")</f>
        <v>4.3478260869565223E-2</v>
      </c>
      <c r="K560" s="10">
        <v>900</v>
      </c>
      <c r="L560" t="str">
        <f>IFERROR(VLOOKUP(WTG_BD[[#This Row],[Error Code]],'Basic Data'!S:T,2,0),"Incorrect Error Code")</f>
        <v>Pause pressed on keyboard</v>
      </c>
      <c r="M560" t="s">
        <v>137</v>
      </c>
      <c r="N560" t="s">
        <v>257</v>
      </c>
      <c r="O560" s="168">
        <v>0.60416666666666663</v>
      </c>
      <c r="P560" s="168">
        <v>0.60416666666666663</v>
      </c>
      <c r="Q560" s="168">
        <v>0.62638888888888888</v>
      </c>
      <c r="R560" s="356">
        <f>(WTG_BD[[#This Row],[Work Start TimeStamp]]-WTG_BD[[#This Row],[Fault Start TimeStamp]])*24</f>
        <v>0</v>
      </c>
      <c r="S560" s="34">
        <f>(WTG_BD[[#This Row],[Fault Clearance time]]-WTG_BD[[#This Row],[Work Start TimeStamp]])*24</f>
        <v>0.5333333333333341</v>
      </c>
      <c r="T560" s="34">
        <f>(WTG_BD[[#This Row],[Fault Clearance time]]-WTG_BD[[#This Row],[Fault Start TimeStamp]])*24</f>
        <v>0.5333333333333341</v>
      </c>
      <c r="U560" t="s">
        <v>4650</v>
      </c>
      <c r="V560" s="234" t="s">
        <v>255</v>
      </c>
      <c r="W560" s="50">
        <f>IFERROR(IF(N560="ROW",0,(WTG_BD[[#This Row],[Breakdown Time]]*WTG_BD[[#This Row],[Plant Equivalent Weightage]])),"")</f>
        <v>2.3188405797101484E-2</v>
      </c>
      <c r="X560" s="50"/>
      <c r="Y560" s="205">
        <v>1</v>
      </c>
      <c r="Z560" s="205"/>
      <c r="AA560" s="4">
        <v>1100</v>
      </c>
    </row>
    <row r="561" spans="1:27">
      <c r="A561" s="10">
        <f t="shared" si="11"/>
        <v>560</v>
      </c>
      <c r="B561" s="43">
        <f>YEAR(WTG_BD[[#This Row],[Date]])+IF(MONTH(WTG_BD[[#This Row],[Date]])&gt;=4,1,0)</f>
        <v>2026</v>
      </c>
      <c r="C561" s="10">
        <v>2025</v>
      </c>
      <c r="D561" s="10" t="s">
        <v>4478</v>
      </c>
      <c r="E561" s="309">
        <f>WTG_BD[[#This Row],[Date]]-DAY(WTG_BD[[#This Row],[Date]])+1</f>
        <v>45809</v>
      </c>
      <c r="F561" s="32">
        <v>45827</v>
      </c>
      <c r="G561" t="s">
        <v>88</v>
      </c>
      <c r="H561" t="str">
        <f>IFERROR(VLOOKUP(WTG_BD[[#This Row],[Affected WTG]],'Basic Data'!$A$3:$E$25,2,0),"")</f>
        <v>O2R1</v>
      </c>
      <c r="I561" t="str">
        <f>IFERROR(VLOOKUP(WTG_BD[[#This Row],[Affected WTG]],'Basic Data'!$A$3:$E$25,3,0),"")</f>
        <v>KSIPL</v>
      </c>
      <c r="J561" s="355">
        <f>IFERROR(VLOOKUP(WTG_BD[[#This Row],[Affected WTG]],'Basic Data'!$A$3:$E$25,5,0),"")</f>
        <v>4.3478260869565223E-2</v>
      </c>
      <c r="K561" s="10">
        <v>900</v>
      </c>
      <c r="L561" t="str">
        <f>IFERROR(VLOOKUP(WTG_BD[[#This Row],[Error Code]],'Basic Data'!S:T,2,0),"Incorrect Error Code")</f>
        <v>Pause pressed on keyboard</v>
      </c>
      <c r="M561" t="s">
        <v>137</v>
      </c>
      <c r="N561" t="s">
        <v>257</v>
      </c>
      <c r="O561" s="168">
        <v>0.60416666666666663</v>
      </c>
      <c r="P561" s="168">
        <v>0.60416666666666663</v>
      </c>
      <c r="Q561" s="168">
        <v>0.62638888888888888</v>
      </c>
      <c r="R561" s="356">
        <f>(WTG_BD[[#This Row],[Work Start TimeStamp]]-WTG_BD[[#This Row],[Fault Start TimeStamp]])*24</f>
        <v>0</v>
      </c>
      <c r="S561" s="34">
        <f>(WTG_BD[[#This Row],[Fault Clearance time]]-WTG_BD[[#This Row],[Work Start TimeStamp]])*24</f>
        <v>0.5333333333333341</v>
      </c>
      <c r="T561" s="34">
        <f>(WTG_BD[[#This Row],[Fault Clearance time]]-WTG_BD[[#This Row],[Fault Start TimeStamp]])*24</f>
        <v>0.5333333333333341</v>
      </c>
      <c r="U561" t="s">
        <v>4650</v>
      </c>
      <c r="V561" s="234" t="s">
        <v>255</v>
      </c>
      <c r="W561" s="50">
        <f>IFERROR(IF(N561="ROW",0,(WTG_BD[[#This Row],[Breakdown Time]]*WTG_BD[[#This Row],[Plant Equivalent Weightage]])),"")</f>
        <v>2.3188405797101484E-2</v>
      </c>
      <c r="X561" s="50"/>
      <c r="Y561" s="205">
        <v>1</v>
      </c>
      <c r="Z561" s="205"/>
      <c r="AA561" s="4">
        <v>1100</v>
      </c>
    </row>
    <row r="562" spans="1:27">
      <c r="A562" s="10">
        <f t="shared" si="11"/>
        <v>561</v>
      </c>
      <c r="B562" s="43">
        <f>YEAR(WTG_BD[[#This Row],[Date]])+IF(MONTH(WTG_BD[[#This Row],[Date]])&gt;=4,1,0)</f>
        <v>2026</v>
      </c>
      <c r="C562" s="10">
        <v>2025</v>
      </c>
      <c r="D562" s="10" t="s">
        <v>4478</v>
      </c>
      <c r="E562" s="309">
        <f>WTG_BD[[#This Row],[Date]]-DAY(WTG_BD[[#This Row],[Date]])+1</f>
        <v>45809</v>
      </c>
      <c r="F562" s="32">
        <v>45827</v>
      </c>
      <c r="G562" t="s">
        <v>89</v>
      </c>
      <c r="H562" t="str">
        <f>IFERROR(VLOOKUP(WTG_BD[[#This Row],[Affected WTG]],'Basic Data'!$A$3:$E$25,2,0),"")</f>
        <v>O2R1</v>
      </c>
      <c r="I562" t="str">
        <f>IFERROR(VLOOKUP(WTG_BD[[#This Row],[Affected WTG]],'Basic Data'!$A$3:$E$25,3,0),"")</f>
        <v>KSIPL</v>
      </c>
      <c r="J562" s="355">
        <f>IFERROR(VLOOKUP(WTG_BD[[#This Row],[Affected WTG]],'Basic Data'!$A$3:$E$25,5,0),"")</f>
        <v>4.3478260869565223E-2</v>
      </c>
      <c r="K562" s="10">
        <v>900</v>
      </c>
      <c r="L562" t="str">
        <f>IFERROR(VLOOKUP(WTG_BD[[#This Row],[Error Code]],'Basic Data'!S:T,2,0),"Incorrect Error Code")</f>
        <v>Pause pressed on keyboard</v>
      </c>
      <c r="M562" t="s">
        <v>137</v>
      </c>
      <c r="N562" t="s">
        <v>257</v>
      </c>
      <c r="O562" s="168">
        <v>0.60416666666666663</v>
      </c>
      <c r="P562" s="168">
        <v>0.60416666666666663</v>
      </c>
      <c r="Q562" s="168">
        <v>0.62638888888888888</v>
      </c>
      <c r="R562" s="356">
        <f>(WTG_BD[[#This Row],[Work Start TimeStamp]]-WTG_BD[[#This Row],[Fault Start TimeStamp]])*24</f>
        <v>0</v>
      </c>
      <c r="S562" s="34">
        <f>(WTG_BD[[#This Row],[Fault Clearance time]]-WTG_BD[[#This Row],[Work Start TimeStamp]])*24</f>
        <v>0.5333333333333341</v>
      </c>
      <c r="T562" s="34">
        <f>(WTG_BD[[#This Row],[Fault Clearance time]]-WTG_BD[[#This Row],[Fault Start TimeStamp]])*24</f>
        <v>0.5333333333333341</v>
      </c>
      <c r="U562" t="s">
        <v>4650</v>
      </c>
      <c r="V562" s="234" t="s">
        <v>255</v>
      </c>
      <c r="W562" s="50">
        <f>IFERROR(IF(N562="ROW",0,(WTG_BD[[#This Row],[Breakdown Time]]*WTG_BD[[#This Row],[Plant Equivalent Weightage]])),"")</f>
        <v>2.3188405797101484E-2</v>
      </c>
      <c r="X562" s="50"/>
      <c r="Y562" s="205">
        <v>1</v>
      </c>
      <c r="Z562" s="205"/>
      <c r="AA562" s="4">
        <v>1100</v>
      </c>
    </row>
    <row r="563" spans="1:27">
      <c r="A563" s="10">
        <f t="shared" si="11"/>
        <v>562</v>
      </c>
      <c r="B563" s="43">
        <f>YEAR(WTG_BD[[#This Row],[Date]])+IF(MONTH(WTG_BD[[#This Row],[Date]])&gt;=4,1,0)</f>
        <v>2026</v>
      </c>
      <c r="C563" s="10">
        <v>2025</v>
      </c>
      <c r="D563" s="10" t="s">
        <v>4478</v>
      </c>
      <c r="E563" s="309">
        <f>WTG_BD[[#This Row],[Date]]-DAY(WTG_BD[[#This Row],[Date]])+1</f>
        <v>45809</v>
      </c>
      <c r="F563" s="32">
        <v>45827</v>
      </c>
      <c r="G563" t="s">
        <v>90</v>
      </c>
      <c r="H563" t="str">
        <f>IFERROR(VLOOKUP(WTG_BD[[#This Row],[Affected WTG]],'Basic Data'!$A$3:$E$25,2,0),"")</f>
        <v>O2R1</v>
      </c>
      <c r="I563" t="str">
        <f>IFERROR(VLOOKUP(WTG_BD[[#This Row],[Affected WTG]],'Basic Data'!$A$3:$E$25,3,0),"")</f>
        <v>KSIPL</v>
      </c>
      <c r="J563" s="355">
        <f>IFERROR(VLOOKUP(WTG_BD[[#This Row],[Affected WTG]],'Basic Data'!$A$3:$E$25,5,0),"")</f>
        <v>4.3478260869565223E-2</v>
      </c>
      <c r="K563" s="10">
        <v>900</v>
      </c>
      <c r="L563" t="str">
        <f>IFERROR(VLOOKUP(WTG_BD[[#This Row],[Error Code]],'Basic Data'!S:T,2,0),"Incorrect Error Code")</f>
        <v>Pause pressed on keyboard</v>
      </c>
      <c r="M563" t="s">
        <v>137</v>
      </c>
      <c r="N563" t="s">
        <v>257</v>
      </c>
      <c r="O563" s="168">
        <v>0.60416666666666663</v>
      </c>
      <c r="P563" s="168">
        <v>0.60416666666666663</v>
      </c>
      <c r="Q563" s="168">
        <v>0.62638888888888888</v>
      </c>
      <c r="R563" s="356">
        <f>(WTG_BD[[#This Row],[Work Start TimeStamp]]-WTG_BD[[#This Row],[Fault Start TimeStamp]])*24</f>
        <v>0</v>
      </c>
      <c r="S563" s="34">
        <f>(WTG_BD[[#This Row],[Fault Clearance time]]-WTG_BD[[#This Row],[Work Start TimeStamp]])*24</f>
        <v>0.5333333333333341</v>
      </c>
      <c r="T563" s="34">
        <f>(WTG_BD[[#This Row],[Fault Clearance time]]-WTG_BD[[#This Row],[Fault Start TimeStamp]])*24</f>
        <v>0.5333333333333341</v>
      </c>
      <c r="U563" t="s">
        <v>4650</v>
      </c>
      <c r="V563" s="234" t="s">
        <v>255</v>
      </c>
      <c r="W563" s="50">
        <f>IFERROR(IF(N563="ROW",0,(WTG_BD[[#This Row],[Breakdown Time]]*WTG_BD[[#This Row],[Plant Equivalent Weightage]])),"")</f>
        <v>2.3188405797101484E-2</v>
      </c>
      <c r="X563" s="50"/>
      <c r="Y563" s="205">
        <v>1</v>
      </c>
      <c r="Z563" s="205"/>
      <c r="AA563" s="4">
        <v>1100</v>
      </c>
    </row>
    <row r="564" spans="1:27">
      <c r="A564" s="10">
        <f t="shared" si="11"/>
        <v>563</v>
      </c>
      <c r="B564" s="43">
        <f>YEAR(WTG_BD[[#This Row],[Date]])+IF(MONTH(WTG_BD[[#This Row],[Date]])&gt;=4,1,0)</f>
        <v>2026</v>
      </c>
      <c r="C564" s="10">
        <v>2025</v>
      </c>
      <c r="D564" s="10" t="s">
        <v>4478</v>
      </c>
      <c r="E564" s="309">
        <f>WTG_BD[[#This Row],[Date]]-DAY(WTG_BD[[#This Row],[Date]])+1</f>
        <v>45809</v>
      </c>
      <c r="F564" s="32">
        <v>45827</v>
      </c>
      <c r="G564" t="s">
        <v>94</v>
      </c>
      <c r="H564" t="str">
        <f>IFERROR(VLOOKUP(WTG_BD[[#This Row],[Affected WTG]],'Basic Data'!$A$3:$E$25,2,0),"")</f>
        <v>O2R1</v>
      </c>
      <c r="I564" t="str">
        <f>IFERROR(VLOOKUP(WTG_BD[[#This Row],[Affected WTG]],'Basic Data'!$A$3:$E$25,3,0),"")</f>
        <v>KSIPL</v>
      </c>
      <c r="J564" s="355">
        <f>IFERROR(VLOOKUP(WTG_BD[[#This Row],[Affected WTG]],'Basic Data'!$A$3:$E$25,5,0),"")</f>
        <v>4.3478260869565223E-2</v>
      </c>
      <c r="K564" s="10">
        <v>900</v>
      </c>
      <c r="L564" t="str">
        <f>IFERROR(VLOOKUP(WTG_BD[[#This Row],[Error Code]],'Basic Data'!S:T,2,0),"Incorrect Error Code")</f>
        <v>Pause pressed on keyboard</v>
      </c>
      <c r="M564" t="s">
        <v>137</v>
      </c>
      <c r="N564" t="s">
        <v>257</v>
      </c>
      <c r="O564" s="168">
        <v>0.60416666666666663</v>
      </c>
      <c r="P564" s="168">
        <v>0.60416666666666663</v>
      </c>
      <c r="Q564" s="168">
        <v>0.62638888888888888</v>
      </c>
      <c r="R564" s="356">
        <f>(WTG_BD[[#This Row],[Work Start TimeStamp]]-WTG_BD[[#This Row],[Fault Start TimeStamp]])*24</f>
        <v>0</v>
      </c>
      <c r="S564" s="34">
        <f>(WTG_BD[[#This Row],[Fault Clearance time]]-WTG_BD[[#This Row],[Work Start TimeStamp]])*24</f>
        <v>0.5333333333333341</v>
      </c>
      <c r="T564" s="34">
        <f>(WTG_BD[[#This Row],[Fault Clearance time]]-WTG_BD[[#This Row],[Fault Start TimeStamp]])*24</f>
        <v>0.5333333333333341</v>
      </c>
      <c r="U564" t="s">
        <v>4650</v>
      </c>
      <c r="V564" s="234" t="s">
        <v>255</v>
      </c>
      <c r="W564" s="50">
        <f>IFERROR(IF(N564="ROW",0,(WTG_BD[[#This Row],[Breakdown Time]]*WTG_BD[[#This Row],[Plant Equivalent Weightage]])),"")</f>
        <v>2.3188405797101484E-2</v>
      </c>
      <c r="X564" s="50"/>
      <c r="Y564" s="205">
        <v>1</v>
      </c>
      <c r="Z564" s="205"/>
      <c r="AA564" s="4">
        <v>1100</v>
      </c>
    </row>
    <row r="565" spans="1:27">
      <c r="A565" s="10">
        <f t="shared" si="11"/>
        <v>564</v>
      </c>
      <c r="B565" s="43">
        <f>YEAR(WTG_BD[[#This Row],[Date]])+IF(MONTH(WTG_BD[[#This Row],[Date]])&gt;=4,1,0)</f>
        <v>2026</v>
      </c>
      <c r="C565" s="10">
        <v>2025</v>
      </c>
      <c r="D565" s="10" t="s">
        <v>4478</v>
      </c>
      <c r="E565" s="309">
        <f>WTG_BD[[#This Row],[Date]]-DAY(WTG_BD[[#This Row],[Date]])+1</f>
        <v>45809</v>
      </c>
      <c r="F565" s="32">
        <v>45828</v>
      </c>
      <c r="G565" t="s">
        <v>86</v>
      </c>
      <c r="H565" t="str">
        <f>IFERROR(VLOOKUP(WTG_BD[[#This Row],[Affected WTG]],'Basic Data'!$A$3:$E$25,2,0),"")</f>
        <v>O2R1</v>
      </c>
      <c r="I565" t="str">
        <f>IFERROR(VLOOKUP(WTG_BD[[#This Row],[Affected WTG]],'Basic Data'!$A$3:$E$25,3,0),"")</f>
        <v>KSIPL</v>
      </c>
      <c r="J565" s="355">
        <f>IFERROR(VLOOKUP(WTG_BD[[#This Row],[Affected WTG]],'Basic Data'!$A$3:$E$25,5,0),"")</f>
        <v>4.3478260869565223E-2</v>
      </c>
      <c r="K565" s="10">
        <v>450</v>
      </c>
      <c r="L565" t="str">
        <f>IFERROR(VLOOKUP(WTG_BD[[#This Row],[Error Code]],'Basic Data'!S:T,2,0),"Incorrect Error Code")</f>
        <v>Ext. High I sum Grd inv.</v>
      </c>
      <c r="M565" t="s">
        <v>368</v>
      </c>
      <c r="N565" t="s">
        <v>113</v>
      </c>
      <c r="O565" s="168">
        <v>0.37152777777777779</v>
      </c>
      <c r="P565" s="168">
        <v>0.37152777777777779</v>
      </c>
      <c r="Q565" s="168">
        <v>0.375</v>
      </c>
      <c r="R565" s="356">
        <f>(WTG_BD[[#This Row],[Work Start TimeStamp]]-WTG_BD[[#This Row],[Fault Start TimeStamp]])*24</f>
        <v>0</v>
      </c>
      <c r="S565" s="34">
        <f>(WTG_BD[[#This Row],[Fault Clearance time]]-WTG_BD[[#This Row],[Work Start TimeStamp]])*24</f>
        <v>8.3333333333333037E-2</v>
      </c>
      <c r="T565" s="34">
        <f>(WTG_BD[[#This Row],[Fault Clearance time]]-WTG_BD[[#This Row],[Fault Start TimeStamp]])*24</f>
        <v>8.3333333333333037E-2</v>
      </c>
      <c r="U565" t="s">
        <v>262</v>
      </c>
      <c r="V565" s="234" t="s">
        <v>255</v>
      </c>
      <c r="W565" s="50">
        <f>IFERROR(IF(N565="ROW",0,(WTG_BD[[#This Row],[Breakdown Time]]*WTG_BD[[#This Row],[Plant Equivalent Weightage]])),"")</f>
        <v>3.6231884057970889E-3</v>
      </c>
      <c r="X565" s="50"/>
      <c r="Y565" s="205">
        <v>1</v>
      </c>
      <c r="Z565" s="4"/>
      <c r="AA565" s="4">
        <v>159</v>
      </c>
    </row>
    <row r="566" spans="1:27">
      <c r="A566" s="10">
        <f t="shared" si="11"/>
        <v>565</v>
      </c>
      <c r="B566" s="43">
        <f>YEAR(WTG_BD[[#This Row],[Date]])+IF(MONTH(WTG_BD[[#This Row],[Date]])&gt;=4,1,0)</f>
        <v>2026</v>
      </c>
      <c r="C566" s="10">
        <v>2025</v>
      </c>
      <c r="D566" s="10" t="s">
        <v>4478</v>
      </c>
      <c r="E566" s="309">
        <f>WTG_BD[[#This Row],[Date]]-DAY(WTG_BD[[#This Row],[Date]])+1</f>
        <v>45809</v>
      </c>
      <c r="F566" s="32">
        <v>45828</v>
      </c>
      <c r="G566" t="s">
        <v>86</v>
      </c>
      <c r="H566" t="str">
        <f>IFERROR(VLOOKUP(WTG_BD[[#This Row],[Affected WTG]],'Basic Data'!$A$3:$E$25,2,0),"")</f>
        <v>O2R1</v>
      </c>
      <c r="I566" t="str">
        <f>IFERROR(VLOOKUP(WTG_BD[[#This Row],[Affected WTG]],'Basic Data'!$A$3:$E$25,3,0),"")</f>
        <v>KSIPL</v>
      </c>
      <c r="J566" s="355">
        <f>IFERROR(VLOOKUP(WTG_BD[[#This Row],[Affected WTG]],'Basic Data'!$A$3:$E$25,5,0),"")</f>
        <v>4.3478260869565223E-2</v>
      </c>
      <c r="K566" s="10">
        <v>6290</v>
      </c>
      <c r="L566" t="str">
        <f>IFERROR(VLOOKUP(WTG_BD[[#This Row],[Error Code]],'Basic Data'!S:T,2,0),"Incorrect Error Code")</f>
        <v>Pitch Accu. Test active</v>
      </c>
      <c r="M566" t="s">
        <v>4304</v>
      </c>
      <c r="N566" t="s">
        <v>113</v>
      </c>
      <c r="O566" s="168">
        <v>0.37986111111111109</v>
      </c>
      <c r="P566" s="168">
        <v>0.37986111111111109</v>
      </c>
      <c r="Q566" s="168">
        <v>0.38194444444444442</v>
      </c>
      <c r="R566" s="356">
        <f>(WTG_BD[[#This Row],[Work Start TimeStamp]]-WTG_BD[[#This Row],[Fault Start TimeStamp]])*24</f>
        <v>0</v>
      </c>
      <c r="S566" s="34">
        <f>(WTG_BD[[#This Row],[Fault Clearance time]]-WTG_BD[[#This Row],[Work Start TimeStamp]])*24</f>
        <v>4.9999999999999822E-2</v>
      </c>
      <c r="T566" s="34">
        <f>(WTG_BD[[#This Row],[Fault Clearance time]]-WTG_BD[[#This Row],[Fault Start TimeStamp]])*24</f>
        <v>4.9999999999999822E-2</v>
      </c>
      <c r="U566" t="s">
        <v>262</v>
      </c>
      <c r="V566" s="234" t="s">
        <v>255</v>
      </c>
      <c r="W566" s="50">
        <f>IFERROR(IF(N566="ROW",0,(WTG_BD[[#This Row],[Breakdown Time]]*WTG_BD[[#This Row],[Plant Equivalent Weightage]])),"")</f>
        <v>2.1739130434782535E-3</v>
      </c>
      <c r="X566" s="50"/>
      <c r="Y566" s="205">
        <v>1</v>
      </c>
      <c r="Z566" s="4"/>
      <c r="AA566" s="4">
        <v>160</v>
      </c>
    </row>
    <row r="567" spans="1:27">
      <c r="A567" s="10">
        <f t="shared" si="11"/>
        <v>566</v>
      </c>
      <c r="B567" s="43">
        <f>YEAR(WTG_BD[[#This Row],[Date]])+IF(MONTH(WTG_BD[[#This Row],[Date]])&gt;=4,1,0)</f>
        <v>2026</v>
      </c>
      <c r="C567" s="10">
        <v>2025</v>
      </c>
      <c r="D567" s="10" t="s">
        <v>4478</v>
      </c>
      <c r="E567" s="309">
        <f>WTG_BD[[#This Row],[Date]]-DAY(WTG_BD[[#This Row],[Date]])+1</f>
        <v>45809</v>
      </c>
      <c r="F567" s="32">
        <v>45833</v>
      </c>
      <c r="G567" t="s">
        <v>82</v>
      </c>
      <c r="H567" t="str">
        <f>IFERROR(VLOOKUP(WTG_BD[[#This Row],[Affected WTG]],'Basic Data'!$A$3:$E$25,2,0),"")</f>
        <v>O2R3</v>
      </c>
      <c r="I567" t="str">
        <f>IFERROR(VLOOKUP(WTG_BD[[#This Row],[Affected WTG]],'Basic Data'!$A$3:$E$25,3,0),"")</f>
        <v>JK</v>
      </c>
      <c r="J567" s="355">
        <f>IFERROR(VLOOKUP(WTG_BD[[#This Row],[Affected WTG]],'Basic Data'!$A$3:$E$25,5,0),"")</f>
        <v>4.3478260869565223E-2</v>
      </c>
      <c r="K567" s="10">
        <v>931</v>
      </c>
      <c r="L567" t="str">
        <f>IFERROR(VLOOKUP(WTG_BD[[#This Row],[Error Code]],'Basic Data'!S:T,2,0),"Incorrect Error Code")</f>
        <v>Arc light detected</v>
      </c>
      <c r="M567" t="s">
        <v>1472</v>
      </c>
      <c r="N567" t="s">
        <v>113</v>
      </c>
      <c r="O567" s="358">
        <v>0.76388888888888884</v>
      </c>
      <c r="P567" s="358">
        <v>0.76388888888888884</v>
      </c>
      <c r="Q567" s="358">
        <v>0.97222222222222221</v>
      </c>
      <c r="R567" s="356">
        <f>(WTG_BD[[#This Row],[Work Start TimeStamp]]-WTG_BD[[#This Row],[Fault Start TimeStamp]])*24</f>
        <v>0</v>
      </c>
      <c r="S567" s="34">
        <f>(WTG_BD[[#This Row],[Fault Clearance time]]-WTG_BD[[#This Row],[Work Start TimeStamp]])*24</f>
        <v>5.0000000000000009</v>
      </c>
      <c r="T567" s="34">
        <f>(WTG_BD[[#This Row],[Fault Clearance time]]-WTG_BD[[#This Row],[Fault Start TimeStamp]])*24</f>
        <v>5.0000000000000009</v>
      </c>
      <c r="U567" t="s">
        <v>4658</v>
      </c>
      <c r="V567" s="234" t="s">
        <v>255</v>
      </c>
      <c r="W567" s="50">
        <f>IFERROR(IF(N567="ROW",0,(WTG_BD[[#This Row],[Breakdown Time]]*WTG_BD[[#This Row],[Plant Equivalent Weightage]])),"")</f>
        <v>0.21739130434782616</v>
      </c>
      <c r="X567" s="50"/>
      <c r="Y567" s="205">
        <v>1</v>
      </c>
      <c r="Z567" s="4"/>
      <c r="AA567" s="4">
        <v>8123</v>
      </c>
    </row>
    <row r="568" spans="1:27">
      <c r="A568" s="10">
        <f t="shared" si="11"/>
        <v>567</v>
      </c>
      <c r="B568" s="43">
        <f>YEAR(WTG_BD[[#This Row],[Date]])+IF(MONTH(WTG_BD[[#This Row],[Date]])&gt;=4,1,0)</f>
        <v>2026</v>
      </c>
      <c r="C568" s="10">
        <v>2025</v>
      </c>
      <c r="D568" s="10" t="s">
        <v>4478</v>
      </c>
      <c r="E568" s="309">
        <f>WTG_BD[[#This Row],[Date]]-DAY(WTG_BD[[#This Row],[Date]])+1</f>
        <v>45809</v>
      </c>
      <c r="F568" s="32">
        <v>45836</v>
      </c>
      <c r="G568" t="s">
        <v>91</v>
      </c>
      <c r="H568" t="str">
        <f>IFERROR(VLOOKUP(WTG_BD[[#This Row],[Affected WTG]],'Basic Data'!$A$3:$E$25,2,0),"")</f>
        <v>O2R2</v>
      </c>
      <c r="I568" t="str">
        <f>IFERROR(VLOOKUP(WTG_BD[[#This Row],[Affected WTG]],'Basic Data'!$A$3:$E$25,3,0),"")</f>
        <v>SIL</v>
      </c>
      <c r="J568" s="355">
        <f>IFERROR(VLOOKUP(WTG_BD[[#This Row],[Affected WTG]],'Basic Data'!$A$3:$E$25,5,0),"")</f>
        <v>4.3478260869565223E-2</v>
      </c>
      <c r="K568" s="10">
        <v>450</v>
      </c>
      <c r="L568" t="str">
        <f>IFERROR(VLOOKUP(WTG_BD[[#This Row],[Error Code]],'Basic Data'!S:T,2,0),"Incorrect Error Code")</f>
        <v>Ext. High I sum Grd inv.</v>
      </c>
      <c r="M568" t="s">
        <v>368</v>
      </c>
      <c r="N568" t="s">
        <v>107</v>
      </c>
      <c r="O568" s="270">
        <v>0.3611111111111111</v>
      </c>
      <c r="P568" s="270">
        <v>0.3611111111111111</v>
      </c>
      <c r="Q568" s="270">
        <v>0.59930555555555554</v>
      </c>
      <c r="R568" s="356">
        <f>(WTG_BD[[#This Row],[Work Start TimeStamp]]-WTG_BD[[#This Row],[Fault Start TimeStamp]])*24</f>
        <v>0</v>
      </c>
      <c r="S568" s="34">
        <f>(WTG_BD[[#This Row],[Fault Clearance time]]-WTG_BD[[#This Row],[Work Start TimeStamp]])*24</f>
        <v>5.7166666666666668</v>
      </c>
      <c r="T568" s="34">
        <f>(WTG_BD[[#This Row],[Fault Clearance time]]-WTG_BD[[#This Row],[Fault Start TimeStamp]])*24</f>
        <v>5.7166666666666668</v>
      </c>
      <c r="U568" t="s">
        <v>4664</v>
      </c>
      <c r="V568" s="234" t="s">
        <v>255</v>
      </c>
      <c r="W568" s="50">
        <f>IFERROR(IF(N568="ROW",0,(WTG_BD[[#This Row],[Breakdown Time]]*WTG_BD[[#This Row],[Plant Equivalent Weightage]])),"")</f>
        <v>0</v>
      </c>
      <c r="X568" s="50"/>
      <c r="Y568" s="205">
        <v>1</v>
      </c>
      <c r="Z568" s="4"/>
      <c r="AA568" s="4">
        <v>8176</v>
      </c>
    </row>
    <row r="569" spans="1:27">
      <c r="A569" s="10">
        <f t="shared" si="11"/>
        <v>568</v>
      </c>
      <c r="B569" s="43">
        <f>YEAR(WTG_BD[[#This Row],[Date]])+IF(MONTH(WTG_BD[[#This Row],[Date]])&gt;=4,1,0)</f>
        <v>2026</v>
      </c>
      <c r="C569" s="10">
        <v>2025</v>
      </c>
      <c r="D569" s="10" t="s">
        <v>4478</v>
      </c>
      <c r="E569" s="309">
        <f>WTG_BD[[#This Row],[Date]]-DAY(WTG_BD[[#This Row],[Date]])+1</f>
        <v>45809</v>
      </c>
      <c r="F569" s="32">
        <v>45836</v>
      </c>
      <c r="G569" t="s">
        <v>91</v>
      </c>
      <c r="H569" t="str">
        <f>IFERROR(VLOOKUP(WTG_BD[[#This Row],[Affected WTG]],'Basic Data'!$A$3:$E$25,2,0),"")</f>
        <v>O2R2</v>
      </c>
      <c r="I569" t="str">
        <f>IFERROR(VLOOKUP(WTG_BD[[#This Row],[Affected WTG]],'Basic Data'!$A$3:$E$25,3,0),"")</f>
        <v>SIL</v>
      </c>
      <c r="J569" s="355">
        <f>IFERROR(VLOOKUP(WTG_BD[[#This Row],[Affected WTG]],'Basic Data'!$A$3:$E$25,5,0),"")</f>
        <v>4.3478260869565223E-2</v>
      </c>
      <c r="K569" s="10">
        <v>450</v>
      </c>
      <c r="L569" t="str">
        <f>IFERROR(VLOOKUP(WTG_BD[[#This Row],[Error Code]],'Basic Data'!S:T,2,0),"Incorrect Error Code")</f>
        <v>Ext. High I sum Grd inv.</v>
      </c>
      <c r="M569" t="s">
        <v>368</v>
      </c>
      <c r="N569" t="s">
        <v>113</v>
      </c>
      <c r="O569" s="270">
        <v>0.59930555555555554</v>
      </c>
      <c r="P569" s="270">
        <v>0.59930555555555554</v>
      </c>
      <c r="Q569" s="270">
        <v>0.69861111111111107</v>
      </c>
      <c r="R569" s="356">
        <f>(WTG_BD[[#This Row],[Work Start TimeStamp]]-WTG_BD[[#This Row],[Fault Start TimeStamp]])*24</f>
        <v>0</v>
      </c>
      <c r="S569" s="34">
        <f>(WTG_BD[[#This Row],[Fault Clearance time]]-WTG_BD[[#This Row],[Work Start TimeStamp]])*24</f>
        <v>2.3833333333333329</v>
      </c>
      <c r="T569" s="34">
        <f>(WTG_BD[[#This Row],[Fault Clearance time]]-WTG_BD[[#This Row],[Fault Start TimeStamp]])*24</f>
        <v>2.3833333333333329</v>
      </c>
      <c r="U569" t="s">
        <v>4665</v>
      </c>
      <c r="V569" s="234" t="s">
        <v>255</v>
      </c>
      <c r="W569" s="50">
        <f>IFERROR(IF(N569="ROW",0,(WTG_BD[[#This Row],[Breakdown Time]]*WTG_BD[[#This Row],[Plant Equivalent Weightage]])),"")</f>
        <v>0.1036231884057971</v>
      </c>
      <c r="X569" s="50"/>
      <c r="Y569" s="205">
        <v>1</v>
      </c>
      <c r="Z569" s="4"/>
      <c r="AA569" s="4">
        <v>1767</v>
      </c>
    </row>
    <row r="570" spans="1:27">
      <c r="A570" s="10">
        <f t="shared" si="11"/>
        <v>569</v>
      </c>
      <c r="B570" s="43">
        <f>YEAR(WTG_BD[[#This Row],[Date]])+IF(MONTH(WTG_BD[[#This Row],[Date]])&gt;=4,1,0)</f>
        <v>2026</v>
      </c>
      <c r="C570" s="10">
        <v>2025</v>
      </c>
      <c r="D570" s="10" t="s">
        <v>4478</v>
      </c>
      <c r="E570" s="309">
        <f>WTG_BD[[#This Row],[Date]]-DAY(WTG_BD[[#This Row],[Date]])+1</f>
        <v>45809</v>
      </c>
      <c r="F570" s="32">
        <v>45836</v>
      </c>
      <c r="G570" t="s">
        <v>92</v>
      </c>
      <c r="H570" t="str">
        <f>IFERROR(VLOOKUP(WTG_BD[[#This Row],[Affected WTG]],'Basic Data'!$A$3:$E$25,2,0),"")</f>
        <v>O2R2</v>
      </c>
      <c r="I570" t="str">
        <f>IFERROR(VLOOKUP(WTG_BD[[#This Row],[Affected WTG]],'Basic Data'!$A$3:$E$25,3,0),"")</f>
        <v>SIL</v>
      </c>
      <c r="J570" s="355">
        <f>IFERROR(VLOOKUP(WTG_BD[[#This Row],[Affected WTG]],'Basic Data'!$A$3:$E$25,5,0),"")</f>
        <v>4.3478260869565223E-2</v>
      </c>
      <c r="K570" s="10">
        <v>3907</v>
      </c>
      <c r="L570" t="str">
        <f>IFERROR(VLOOKUP(WTG_BD[[#This Row],[Error Code]],'Basic Data'!S:T,2,0),"Incorrect Error Code")</f>
        <v>Estop Button Activated__</v>
      </c>
      <c r="M570" t="s">
        <v>4663</v>
      </c>
      <c r="N570" t="s">
        <v>113</v>
      </c>
      <c r="O570" s="270">
        <v>0.92708333333333337</v>
      </c>
      <c r="P570" s="270">
        <v>0.92708333333333337</v>
      </c>
      <c r="Q570" s="270">
        <v>0.99930555555555556</v>
      </c>
      <c r="R570" s="356">
        <f>(WTG_BD[[#This Row],[Work Start TimeStamp]]-WTG_BD[[#This Row],[Fault Start TimeStamp]])*24</f>
        <v>0</v>
      </c>
      <c r="S570" s="34">
        <f>(WTG_BD[[#This Row],[Fault Clearance time]]-WTG_BD[[#This Row],[Work Start TimeStamp]])*24</f>
        <v>1.7333333333333325</v>
      </c>
      <c r="T570" s="34">
        <f>(WTG_BD[[#This Row],[Fault Clearance time]]-WTG_BD[[#This Row],[Fault Start TimeStamp]])*24</f>
        <v>1.7333333333333325</v>
      </c>
      <c r="U570" t="s">
        <v>4666</v>
      </c>
      <c r="V570" s="234" t="s">
        <v>270</v>
      </c>
      <c r="W570" s="50">
        <f>IFERROR(IF(N570="ROW",0,(WTG_BD[[#This Row],[Breakdown Time]]*WTG_BD[[#This Row],[Plant Equivalent Weightage]])),"")</f>
        <v>7.5362318840579687E-2</v>
      </c>
      <c r="X570" s="50"/>
      <c r="Y570" s="205">
        <v>1</v>
      </c>
      <c r="Z570" s="4"/>
      <c r="AA570" s="4">
        <v>5933</v>
      </c>
    </row>
    <row r="571" spans="1:27">
      <c r="A571" s="10">
        <f t="shared" si="11"/>
        <v>570</v>
      </c>
      <c r="B571" s="43">
        <f>YEAR(WTG_BD[[#This Row],[Date]])+IF(MONTH(WTG_BD[[#This Row],[Date]])&gt;=4,1,0)</f>
        <v>2026</v>
      </c>
      <c r="C571" s="10">
        <v>2025</v>
      </c>
      <c r="D571" s="10" t="s">
        <v>4478</v>
      </c>
      <c r="E571" s="309">
        <f>WTG_BD[[#This Row],[Date]]-DAY(WTG_BD[[#This Row],[Date]])+1</f>
        <v>45809</v>
      </c>
      <c r="F571" s="32">
        <v>45837</v>
      </c>
      <c r="G571" t="s">
        <v>92</v>
      </c>
      <c r="H571" t="str">
        <f>IFERROR(VLOOKUP(WTG_BD[[#This Row],[Affected WTG]],'Basic Data'!$A$3:$E$25,2,0),"")</f>
        <v>O2R2</v>
      </c>
      <c r="I571" t="str">
        <f>IFERROR(VLOOKUP(WTG_BD[[#This Row],[Affected WTG]],'Basic Data'!$A$3:$E$25,3,0),"")</f>
        <v>SIL</v>
      </c>
      <c r="J571" s="355">
        <f>IFERROR(VLOOKUP(WTG_BD[[#This Row],[Affected WTG]],'Basic Data'!$A$3:$E$25,5,0),"")</f>
        <v>4.3478260869565223E-2</v>
      </c>
      <c r="K571" s="10">
        <v>3907</v>
      </c>
      <c r="L571" t="str">
        <f>IFERROR(VLOOKUP(WTG_BD[[#This Row],[Error Code]],'Basic Data'!S:T,2,0),"Incorrect Error Code")</f>
        <v>Estop Button Activated__</v>
      </c>
      <c r="M571" t="s">
        <v>4663</v>
      </c>
      <c r="N571" t="s">
        <v>113</v>
      </c>
      <c r="O571" s="168">
        <v>0</v>
      </c>
      <c r="P571" s="168">
        <v>0</v>
      </c>
      <c r="Q571" s="168">
        <v>0.31666666666666665</v>
      </c>
      <c r="R571" s="356">
        <f>(WTG_BD[[#This Row],[Work Start TimeStamp]]-WTG_BD[[#This Row],[Fault Start TimeStamp]])*24</f>
        <v>0</v>
      </c>
      <c r="S571" s="34">
        <f>(WTG_BD[[#This Row],[Fault Clearance time]]-WTG_BD[[#This Row],[Work Start TimeStamp]])*24</f>
        <v>7.6</v>
      </c>
      <c r="T571" s="34">
        <f>(WTG_BD[[#This Row],[Fault Clearance time]]-WTG_BD[[#This Row],[Fault Start TimeStamp]])*24</f>
        <v>7.6</v>
      </c>
      <c r="U571" s="333" t="s">
        <v>4668</v>
      </c>
      <c r="V571" s="234" t="s">
        <v>255</v>
      </c>
      <c r="W571" s="50">
        <f>IFERROR(IF(N571="ROW",0,(WTG_BD[[#This Row],[Breakdown Time]]*WTG_BD[[#This Row],[Plant Equivalent Weightage]])),"")</f>
        <v>0.33043478260869569</v>
      </c>
      <c r="X571" s="50"/>
      <c r="Y571" s="205">
        <v>1</v>
      </c>
      <c r="Z571" s="4"/>
      <c r="AA571" s="4">
        <v>12090</v>
      </c>
    </row>
    <row r="572" spans="1:27">
      <c r="A572" s="10">
        <f t="shared" si="11"/>
        <v>571</v>
      </c>
      <c r="B572" s="43">
        <f>YEAR(WTG_BD[[#This Row],[Date]])+IF(MONTH(WTG_BD[[#This Row],[Date]])&gt;=4,1,0)</f>
        <v>2026</v>
      </c>
      <c r="C572" s="10">
        <v>2025</v>
      </c>
      <c r="D572" s="10" t="s">
        <v>4478</v>
      </c>
      <c r="E572" s="309">
        <f>WTG_BD[[#This Row],[Date]]-DAY(WTG_BD[[#This Row],[Date]])+1</f>
        <v>45809</v>
      </c>
      <c r="F572" s="32">
        <v>45837</v>
      </c>
      <c r="G572" t="s">
        <v>76</v>
      </c>
      <c r="H572" t="str">
        <f>IFERROR(VLOOKUP(WTG_BD[[#This Row],[Affected WTG]],'Basic Data'!$A$3:$E$25,2,0),"")</f>
        <v>O2R1</v>
      </c>
      <c r="I572" t="str">
        <f>IFERROR(VLOOKUP(WTG_BD[[#This Row],[Affected WTG]],'Basic Data'!$A$3:$E$25,3,0),"")</f>
        <v>KSIPL</v>
      </c>
      <c r="J572" s="355">
        <f>IFERROR(VLOOKUP(WTG_BD[[#This Row],[Affected WTG]],'Basic Data'!$A$3:$E$25,5,0),"")</f>
        <v>4.3478260869565223E-2</v>
      </c>
      <c r="K572" s="10">
        <v>450</v>
      </c>
      <c r="L572" t="str">
        <f>IFERROR(VLOOKUP(WTG_BD[[#This Row],[Error Code]],'Basic Data'!S:T,2,0),"Incorrect Error Code")</f>
        <v>Ext. High I sum Grd inv.</v>
      </c>
      <c r="M572" t="s">
        <v>368</v>
      </c>
      <c r="N572" t="s">
        <v>113</v>
      </c>
      <c r="O572" s="168">
        <v>2.9166666666666667E-2</v>
      </c>
      <c r="P572" s="168">
        <v>2.9166666666666667E-2</v>
      </c>
      <c r="Q572" s="168">
        <v>3.4722222222222224E-2</v>
      </c>
      <c r="R572" s="356">
        <f>(WTG_BD[[#This Row],[Work Start TimeStamp]]-WTG_BD[[#This Row],[Fault Start TimeStamp]])*24</f>
        <v>0</v>
      </c>
      <c r="S572" s="34">
        <f>(WTG_BD[[#This Row],[Fault Clearance time]]-WTG_BD[[#This Row],[Work Start TimeStamp]])*24</f>
        <v>0.13333333333333336</v>
      </c>
      <c r="T572" s="34">
        <f>(WTG_BD[[#This Row],[Fault Clearance time]]-WTG_BD[[#This Row],[Fault Start TimeStamp]])*24</f>
        <v>0.13333333333333336</v>
      </c>
      <c r="U572" t="s">
        <v>262</v>
      </c>
      <c r="V572" s="234" t="s">
        <v>255</v>
      </c>
      <c r="W572" s="50">
        <f>IFERROR(IF(N572="ROW",0,(WTG_BD[[#This Row],[Breakdown Time]]*WTG_BD[[#This Row],[Plant Equivalent Weightage]])),"")</f>
        <v>5.7971014492753641E-3</v>
      </c>
      <c r="X572" s="50"/>
      <c r="Y572" s="205">
        <v>1</v>
      </c>
      <c r="Z572" s="4"/>
      <c r="AA572" s="4">
        <v>490</v>
      </c>
    </row>
    <row r="573" spans="1:27">
      <c r="A573" s="10">
        <f t="shared" si="11"/>
        <v>572</v>
      </c>
      <c r="B573" s="43">
        <f>YEAR(WTG_BD[[#This Row],[Date]])+IF(MONTH(WTG_BD[[#This Row],[Date]])&gt;=4,1,0)</f>
        <v>2026</v>
      </c>
      <c r="C573" s="10">
        <v>2025</v>
      </c>
      <c r="D573" s="10" t="s">
        <v>4478</v>
      </c>
      <c r="E573" s="309">
        <f>WTG_BD[[#This Row],[Date]]-DAY(WTG_BD[[#This Row],[Date]])+1</f>
        <v>45839</v>
      </c>
      <c r="F573" s="32">
        <v>45839</v>
      </c>
      <c r="G573" t="s">
        <v>76</v>
      </c>
      <c r="H573" t="str">
        <f>IFERROR(VLOOKUP(WTG_BD[[#This Row],[Affected WTG]],'Basic Data'!$A$3:$E$25,2,0),"")</f>
        <v>O2R1</v>
      </c>
      <c r="I573" t="str">
        <f>IFERROR(VLOOKUP(WTG_BD[[#This Row],[Affected WTG]],'Basic Data'!$A$3:$E$25,3,0),"")</f>
        <v>KSIPL</v>
      </c>
      <c r="J573" s="355">
        <f>IFERROR(VLOOKUP(WTG_BD[[#This Row],[Affected WTG]],'Basic Data'!$A$3:$E$25,5,0),"")</f>
        <v>4.3478260869565223E-2</v>
      </c>
      <c r="K573" s="10">
        <v>450</v>
      </c>
      <c r="L573" t="str">
        <f>IFERROR(VLOOKUP(WTG_BD[[#This Row],[Error Code]],'Basic Data'!S:T,2,0),"Incorrect Error Code")</f>
        <v>Ext. High I sum Grd inv.</v>
      </c>
      <c r="M573" t="s">
        <v>368</v>
      </c>
      <c r="N573" t="s">
        <v>113</v>
      </c>
      <c r="O573" s="168">
        <v>0.34930555555555554</v>
      </c>
      <c r="P573" s="168">
        <v>0.34930555555555554</v>
      </c>
      <c r="Q573" s="168">
        <v>0.35416666666666669</v>
      </c>
      <c r="R573" s="356">
        <f>(WTG_BD[[#This Row],[Work Start TimeStamp]]-WTG_BD[[#This Row],[Fault Start TimeStamp]])*24</f>
        <v>0</v>
      </c>
      <c r="S573" s="34">
        <f>(WTG_BD[[#This Row],[Fault Clearance time]]-WTG_BD[[#This Row],[Work Start TimeStamp]])*24</f>
        <v>0.11666666666666758</v>
      </c>
      <c r="T573" s="34">
        <f>(WTG_BD[[#This Row],[Fault Clearance time]]-WTG_BD[[#This Row],[Fault Start TimeStamp]])*24</f>
        <v>0.11666666666666758</v>
      </c>
      <c r="U573" t="s">
        <v>262</v>
      </c>
      <c r="V573" s="234" t="s">
        <v>255</v>
      </c>
      <c r="W573" s="50">
        <f>IFERROR(IF(N573="ROW",0,(WTG_BD[[#This Row],[Breakdown Time]]*WTG_BD[[#This Row],[Plant Equivalent Weightage]])),"")</f>
        <v>5.0724637681159824E-3</v>
      </c>
      <c r="X573" s="50"/>
      <c r="Y573" s="205">
        <v>1</v>
      </c>
      <c r="Z573" s="4"/>
      <c r="AA573" s="4">
        <v>284</v>
      </c>
    </row>
    <row r="574" spans="1:27">
      <c r="A574" s="10">
        <f t="shared" si="11"/>
        <v>573</v>
      </c>
      <c r="B574" s="43">
        <f>YEAR(WTG_BD[[#This Row],[Date]])+IF(MONTH(WTG_BD[[#This Row],[Date]])&gt;=4,1,0)</f>
        <v>2026</v>
      </c>
      <c r="C574" s="10">
        <v>2025</v>
      </c>
      <c r="D574" s="10" t="s">
        <v>4478</v>
      </c>
      <c r="E574" s="309">
        <f>WTG_BD[[#This Row],[Date]]-DAY(WTG_BD[[#This Row],[Date]])+1</f>
        <v>45839</v>
      </c>
      <c r="F574" s="32">
        <v>45840</v>
      </c>
      <c r="G574" t="s">
        <v>86</v>
      </c>
      <c r="H574" t="str">
        <f>IFERROR(VLOOKUP(WTG_BD[[#This Row],[Affected WTG]],'Basic Data'!$A$3:$E$25,2,0),"")</f>
        <v>O2R1</v>
      </c>
      <c r="I574" t="str">
        <f>IFERROR(VLOOKUP(WTG_BD[[#This Row],[Affected WTG]],'Basic Data'!$A$3:$E$25,3,0),"")</f>
        <v>KSIPL</v>
      </c>
      <c r="J574" s="355">
        <f>IFERROR(VLOOKUP(WTG_BD[[#This Row],[Affected WTG]],'Basic Data'!$A$3:$E$25,5,0),"")</f>
        <v>4.3478260869565223E-2</v>
      </c>
      <c r="K574" s="10">
        <v>450</v>
      </c>
      <c r="L574" t="str">
        <f>IFERROR(VLOOKUP(WTG_BD[[#This Row],[Error Code]],'Basic Data'!S:T,2,0),"Incorrect Error Code")</f>
        <v>Ext. High I sum Grd inv.</v>
      </c>
      <c r="M574" t="s">
        <v>368</v>
      </c>
      <c r="N574" t="s">
        <v>113</v>
      </c>
      <c r="O574" s="270">
        <v>0.76666666666666672</v>
      </c>
      <c r="P574" s="270">
        <v>0.76666666666666672</v>
      </c>
      <c r="Q574" s="270">
        <v>0.77222222222222225</v>
      </c>
      <c r="R574" s="356">
        <f>(WTG_BD[[#This Row],[Work Start TimeStamp]]-WTG_BD[[#This Row],[Fault Start TimeStamp]])*24</f>
        <v>0</v>
      </c>
      <c r="S574" s="34">
        <f>(WTG_BD[[#This Row],[Fault Clearance time]]-WTG_BD[[#This Row],[Work Start TimeStamp]])*24</f>
        <v>0.13333333333333286</v>
      </c>
      <c r="T574" s="34">
        <f>(WTG_BD[[#This Row],[Fault Clearance time]]-WTG_BD[[#This Row],[Fault Start TimeStamp]])*24</f>
        <v>0.13333333333333286</v>
      </c>
      <c r="U574" t="s">
        <v>262</v>
      </c>
      <c r="V574" s="234" t="s">
        <v>255</v>
      </c>
      <c r="W574" s="50">
        <f>IFERROR(IF(N574="ROW",0,(WTG_BD[[#This Row],[Breakdown Time]]*WTG_BD[[#This Row],[Plant Equivalent Weightage]])),"")</f>
        <v>5.7971014492753424E-3</v>
      </c>
      <c r="X574" s="50"/>
      <c r="Y574" s="205">
        <v>1</v>
      </c>
      <c r="Z574" s="4"/>
      <c r="AA574" s="4">
        <v>300</v>
      </c>
    </row>
    <row r="575" spans="1:27">
      <c r="A575" s="10">
        <f t="shared" si="11"/>
        <v>574</v>
      </c>
      <c r="B575" s="43">
        <f>YEAR(WTG_BD[[#This Row],[Date]])+IF(MONTH(WTG_BD[[#This Row],[Date]])&gt;=4,1,0)</f>
        <v>2026</v>
      </c>
      <c r="C575" s="10">
        <v>2025</v>
      </c>
      <c r="D575" s="10" t="s">
        <v>4478</v>
      </c>
      <c r="E575" s="309">
        <f>WTG_BD[[#This Row],[Date]]-DAY(WTG_BD[[#This Row],[Date]])+1</f>
        <v>45839</v>
      </c>
      <c r="F575" s="32">
        <v>45843</v>
      </c>
      <c r="G575" t="s">
        <v>86</v>
      </c>
      <c r="H575" t="str">
        <f>IFERROR(VLOOKUP(WTG_BD[[#This Row],[Affected WTG]],'Basic Data'!$A$3:$E$25,2,0),"")</f>
        <v>O2R1</v>
      </c>
      <c r="I575" t="str">
        <f>IFERROR(VLOOKUP(WTG_BD[[#This Row],[Affected WTG]],'Basic Data'!$A$3:$E$25,3,0),"")</f>
        <v>KSIPL</v>
      </c>
      <c r="J575" s="355">
        <f>IFERROR(VLOOKUP(WTG_BD[[#This Row],[Affected WTG]],'Basic Data'!$A$3:$E$25,5,0),"")</f>
        <v>4.3478260869565223E-2</v>
      </c>
      <c r="K575" s="10">
        <v>450</v>
      </c>
      <c r="L575" t="str">
        <f>IFERROR(VLOOKUP(WTG_BD[[#This Row],[Error Code]],'Basic Data'!S:T,2,0),"Incorrect Error Code")</f>
        <v>Ext. High I sum Grd inv.</v>
      </c>
      <c r="M575" t="s">
        <v>368</v>
      </c>
      <c r="N575" t="s">
        <v>113</v>
      </c>
      <c r="O575" s="270">
        <v>0.55208333333333337</v>
      </c>
      <c r="P575" s="270">
        <v>0.55208333333333337</v>
      </c>
      <c r="Q575" s="270">
        <v>0.55347222222222225</v>
      </c>
      <c r="R575" s="356">
        <f>(WTG_BD[[#This Row],[Work Start TimeStamp]]-WTG_BD[[#This Row],[Fault Start TimeStamp]])*24</f>
        <v>0</v>
      </c>
      <c r="S575" s="34">
        <f>(WTG_BD[[#This Row],[Fault Clearance time]]-WTG_BD[[#This Row],[Work Start TimeStamp]])*24</f>
        <v>3.3333333333333215E-2</v>
      </c>
      <c r="T575" s="34">
        <f>(WTG_BD[[#This Row],[Fault Clearance time]]-WTG_BD[[#This Row],[Fault Start TimeStamp]])*24</f>
        <v>3.3333333333333215E-2</v>
      </c>
      <c r="U575" t="s">
        <v>262</v>
      </c>
      <c r="V575" s="234" t="s">
        <v>255</v>
      </c>
      <c r="W575" s="50">
        <f>IFERROR(IF(N575="ROW",0,(WTG_BD[[#This Row],[Breakdown Time]]*WTG_BD[[#This Row],[Plant Equivalent Weightage]])),"")</f>
        <v>1.4492753623188356E-3</v>
      </c>
      <c r="X575" s="50"/>
      <c r="Y575" s="205">
        <v>1</v>
      </c>
      <c r="Z575" s="4"/>
      <c r="AA575" s="4">
        <v>1080</v>
      </c>
    </row>
    <row r="576" spans="1:27">
      <c r="A576" s="10">
        <f t="shared" si="11"/>
        <v>575</v>
      </c>
      <c r="B576" s="43">
        <f>YEAR(WTG_BD[[#This Row],[Date]])+IF(MONTH(WTG_BD[[#This Row],[Date]])&gt;=4,1,0)</f>
        <v>2026</v>
      </c>
      <c r="C576" s="10">
        <v>2025</v>
      </c>
      <c r="D576" s="10" t="s">
        <v>4478</v>
      </c>
      <c r="E576" s="309">
        <f>WTG_BD[[#This Row],[Date]]-DAY(WTG_BD[[#This Row],[Date]])+1</f>
        <v>45839</v>
      </c>
      <c r="F576" s="32">
        <v>45843</v>
      </c>
      <c r="G576" t="s">
        <v>95</v>
      </c>
      <c r="H576" t="str">
        <f>IFERROR(VLOOKUP(WTG_BD[[#This Row],[Affected WTG]],'Basic Data'!$A$3:$E$25,2,0),"")</f>
        <v>O2R1</v>
      </c>
      <c r="I576" t="str">
        <f>IFERROR(VLOOKUP(WTG_BD[[#This Row],[Affected WTG]],'Basic Data'!$A$3:$E$25,3,0),"")</f>
        <v>KSIPL</v>
      </c>
      <c r="J576" s="355">
        <f>IFERROR(VLOOKUP(WTG_BD[[#This Row],[Affected WTG]],'Basic Data'!$A$3:$E$25,5,0),"")</f>
        <v>4.3478260869565223E-2</v>
      </c>
      <c r="K576" s="10">
        <v>450</v>
      </c>
      <c r="L576" t="str">
        <f>IFERROR(VLOOKUP(WTG_BD[[#This Row],[Error Code]],'Basic Data'!S:T,2,0),"Incorrect Error Code")</f>
        <v>Ext. High I sum Grd inv.</v>
      </c>
      <c r="M576" t="s">
        <v>368</v>
      </c>
      <c r="N576" t="s">
        <v>113</v>
      </c>
      <c r="O576" s="270">
        <v>0.13541666666666666</v>
      </c>
      <c r="P576" s="270">
        <v>0.13541666666666666</v>
      </c>
      <c r="Q576" s="270">
        <v>0.13680555555555557</v>
      </c>
      <c r="R576" s="356">
        <f>(WTG_BD[[#This Row],[Work Start TimeStamp]]-WTG_BD[[#This Row],[Fault Start TimeStamp]])*24</f>
        <v>0</v>
      </c>
      <c r="S576" s="34">
        <f>(WTG_BD[[#This Row],[Fault Clearance time]]-WTG_BD[[#This Row],[Work Start TimeStamp]])*24</f>
        <v>3.3333333333333881E-2</v>
      </c>
      <c r="T576" s="34">
        <f>(WTG_BD[[#This Row],[Fault Clearance time]]-WTG_BD[[#This Row],[Fault Start TimeStamp]])*24</f>
        <v>3.3333333333333881E-2</v>
      </c>
      <c r="U576" t="s">
        <v>262</v>
      </c>
      <c r="V576" s="234" t="s">
        <v>255</v>
      </c>
      <c r="W576" s="50">
        <f>IFERROR(IF(N576="ROW",0,(WTG_BD[[#This Row],[Breakdown Time]]*WTG_BD[[#This Row],[Plant Equivalent Weightage]])),"")</f>
        <v>1.4492753623188647E-3</v>
      </c>
      <c r="X576" s="50"/>
      <c r="Y576" s="205">
        <v>1</v>
      </c>
      <c r="Z576" s="4"/>
      <c r="AA576" s="4">
        <v>570</v>
      </c>
    </row>
    <row r="577" spans="1:27">
      <c r="A577" s="10">
        <f t="shared" si="11"/>
        <v>576</v>
      </c>
      <c r="B577" s="43">
        <f>YEAR(WTG_BD[[#This Row],[Date]])+IF(MONTH(WTG_BD[[#This Row],[Date]])&gt;=4,1,0)</f>
        <v>2026</v>
      </c>
      <c r="C577" s="10">
        <v>2025</v>
      </c>
      <c r="D577" s="10" t="s">
        <v>4478</v>
      </c>
      <c r="E577" s="309">
        <f>WTG_BD[[#This Row],[Date]]-DAY(WTG_BD[[#This Row],[Date]])+1</f>
        <v>45839</v>
      </c>
      <c r="F577" s="32">
        <v>45844</v>
      </c>
      <c r="G577" t="s">
        <v>97</v>
      </c>
      <c r="H577" t="str">
        <f>IFERROR(VLOOKUP(WTG_BD[[#This Row],[Affected WTG]],'Basic Data'!$A$3:$E$25,2,0),"")</f>
        <v>O2R3</v>
      </c>
      <c r="I577" t="str">
        <f>IFERROR(VLOOKUP(WTG_BD[[#This Row],[Affected WTG]],'Basic Data'!$A$3:$E$25,3,0),"")</f>
        <v>JK</v>
      </c>
      <c r="J577" s="355">
        <f>IFERROR(VLOOKUP(WTG_BD[[#This Row],[Affected WTG]],'Basic Data'!$A$3:$E$25,5,0),"")</f>
        <v>4.3478260869565223E-2</v>
      </c>
      <c r="K577" s="10">
        <v>338</v>
      </c>
      <c r="L577" t="str">
        <f>IFERROR(VLOOKUP(WTG_BD[[#This Row],[Error Code]],'Basic Data'!S:T,2,0),"Incorrect Error Code")</f>
        <v>Slip:____ above limits _</v>
      </c>
      <c r="M577" t="s">
        <v>4669</v>
      </c>
      <c r="N577" t="s">
        <v>113</v>
      </c>
      <c r="O577" s="270">
        <v>0.58333333333333337</v>
      </c>
      <c r="P577" s="270">
        <v>0.58333333333333337</v>
      </c>
      <c r="Q577" s="270">
        <v>0.58472222222222225</v>
      </c>
      <c r="R577" s="356">
        <f>(WTG_BD[[#This Row],[Work Start TimeStamp]]-WTG_BD[[#This Row],[Fault Start TimeStamp]])*24</f>
        <v>0</v>
      </c>
      <c r="S577" s="34">
        <f>(WTG_BD[[#This Row],[Fault Clearance time]]-WTG_BD[[#This Row],[Work Start TimeStamp]])*24</f>
        <v>3.3333333333333215E-2</v>
      </c>
      <c r="T577" s="34">
        <f>(WTG_BD[[#This Row],[Fault Clearance time]]-WTG_BD[[#This Row],[Fault Start TimeStamp]])*24</f>
        <v>3.3333333333333215E-2</v>
      </c>
      <c r="U577" t="s">
        <v>262</v>
      </c>
      <c r="V577" s="234" t="s">
        <v>255</v>
      </c>
      <c r="W577" s="50">
        <f>IFERROR(IF(N577="ROW",0,(WTG_BD[[#This Row],[Breakdown Time]]*WTG_BD[[#This Row],[Plant Equivalent Weightage]])),"")</f>
        <v>1.4492753623188356E-3</v>
      </c>
      <c r="X577" s="50"/>
      <c r="Y577" s="205">
        <v>1</v>
      </c>
      <c r="Z577" s="4"/>
      <c r="AA577" s="4">
        <v>2147.5</v>
      </c>
    </row>
    <row r="578" spans="1:27">
      <c r="A578" s="10">
        <f t="shared" si="11"/>
        <v>577</v>
      </c>
      <c r="B578" s="43">
        <f>YEAR(WTG_BD[[#This Row],[Date]])+IF(MONTH(WTG_BD[[#This Row],[Date]])&gt;=4,1,0)</f>
        <v>2026</v>
      </c>
      <c r="C578" s="10">
        <v>2025</v>
      </c>
      <c r="D578" s="10" t="s">
        <v>4478</v>
      </c>
      <c r="E578" s="309">
        <f>WTG_BD[[#This Row],[Date]]-DAY(WTG_BD[[#This Row],[Date]])+1</f>
        <v>45839</v>
      </c>
      <c r="F578" s="32">
        <v>45845</v>
      </c>
      <c r="G578" t="s">
        <v>76</v>
      </c>
      <c r="H578" t="str">
        <f>IFERROR(VLOOKUP(WTG_BD[[#This Row],[Affected WTG]],'Basic Data'!$A$3:$E$25,2,0),"")</f>
        <v>O2R1</v>
      </c>
      <c r="I578" t="str">
        <f>IFERROR(VLOOKUP(WTG_BD[[#This Row],[Affected WTG]],'Basic Data'!$A$3:$E$25,3,0),"")</f>
        <v>KSIPL</v>
      </c>
      <c r="J578" s="355">
        <f>IFERROR(VLOOKUP(WTG_BD[[#This Row],[Affected WTG]],'Basic Data'!$A$3:$E$25,5,0),"")</f>
        <v>4.3478260869565223E-2</v>
      </c>
      <c r="K578" s="10">
        <v>450</v>
      </c>
      <c r="L578" t="str">
        <f>IFERROR(VLOOKUP(WTG_BD[[#This Row],[Error Code]],'Basic Data'!S:T,2,0),"Incorrect Error Code")</f>
        <v>Ext. High I sum Grd inv.</v>
      </c>
      <c r="M578" t="s">
        <v>368</v>
      </c>
      <c r="N578" t="s">
        <v>113</v>
      </c>
      <c r="O578" s="270">
        <v>0.24861111111111112</v>
      </c>
      <c r="P578" s="270">
        <v>0.24861111111111112</v>
      </c>
      <c r="Q578" s="270">
        <v>0.25</v>
      </c>
      <c r="R578" s="356">
        <f>(WTG_BD[[#This Row],[Work Start TimeStamp]]-WTG_BD[[#This Row],[Fault Start TimeStamp]])*24</f>
        <v>0</v>
      </c>
      <c r="S578" s="34">
        <f>(WTG_BD[[#This Row],[Fault Clearance time]]-WTG_BD[[#This Row],[Work Start TimeStamp]])*24</f>
        <v>3.3333333333333215E-2</v>
      </c>
      <c r="T578" s="34">
        <f>(WTG_BD[[#This Row],[Fault Clearance time]]-WTG_BD[[#This Row],[Fault Start TimeStamp]])*24</f>
        <v>3.3333333333333215E-2</v>
      </c>
      <c r="U578" t="s">
        <v>262</v>
      </c>
      <c r="V578" s="234" t="s">
        <v>255</v>
      </c>
      <c r="W578" s="50">
        <f>IFERROR(IF(N578="ROW",0,(WTG_BD[[#This Row],[Breakdown Time]]*WTG_BD[[#This Row],[Plant Equivalent Weightage]])),"")</f>
        <v>1.4492753623188356E-3</v>
      </c>
      <c r="X578" s="50"/>
      <c r="Y578" s="205">
        <v>1</v>
      </c>
      <c r="Z578" s="4"/>
      <c r="AA578" s="4">
        <v>1295.5999999999999</v>
      </c>
    </row>
    <row r="579" spans="1:27">
      <c r="A579" s="10">
        <f t="shared" si="11"/>
        <v>578</v>
      </c>
      <c r="B579" s="43">
        <f>YEAR(WTG_BD[[#This Row],[Date]])+IF(MONTH(WTG_BD[[#This Row],[Date]])&gt;=4,1,0)</f>
        <v>2026</v>
      </c>
      <c r="C579" s="10">
        <v>2025</v>
      </c>
      <c r="D579" s="10" t="s">
        <v>4478</v>
      </c>
      <c r="E579" s="309">
        <f>WTG_BD[[#This Row],[Date]]-DAY(WTG_BD[[#This Row],[Date]])+1</f>
        <v>45839</v>
      </c>
      <c r="F579" s="32">
        <v>45845</v>
      </c>
      <c r="G579" t="s">
        <v>90</v>
      </c>
      <c r="H579" t="str">
        <f>IFERROR(VLOOKUP(WTG_BD[[#This Row],[Affected WTG]],'Basic Data'!$A$3:$E$25,2,0),"")</f>
        <v>O2R1</v>
      </c>
      <c r="I579" t="str">
        <f>IFERROR(VLOOKUP(WTG_BD[[#This Row],[Affected WTG]],'Basic Data'!$A$3:$E$25,3,0),"")</f>
        <v>KSIPL</v>
      </c>
      <c r="J579" s="355">
        <f>IFERROR(VLOOKUP(WTG_BD[[#This Row],[Affected WTG]],'Basic Data'!$A$3:$E$25,5,0),"")</f>
        <v>4.3478260869565223E-2</v>
      </c>
      <c r="K579" s="10">
        <v>154</v>
      </c>
      <c r="L579" t="str">
        <f>IFERROR(VLOOKUP(WTG_BD[[#This Row],[Error Code]],'Basic Data'!S:T,2,0),"Incorrect Error Code")</f>
        <v>Max rotor RPM: __._ RPM</v>
      </c>
      <c r="M579" t="s">
        <v>4670</v>
      </c>
      <c r="N579" t="s">
        <v>113</v>
      </c>
      <c r="O579" s="270">
        <v>0.65069444444444446</v>
      </c>
      <c r="P579" s="270">
        <v>0.65069444444444446</v>
      </c>
      <c r="Q579" s="270">
        <v>0.65208333333333335</v>
      </c>
      <c r="R579" s="356">
        <f>(WTG_BD[[#This Row],[Work Start TimeStamp]]-WTG_BD[[#This Row],[Fault Start TimeStamp]])*24</f>
        <v>0</v>
      </c>
      <c r="S579" s="34">
        <f>(WTG_BD[[#This Row],[Fault Clearance time]]-WTG_BD[[#This Row],[Work Start TimeStamp]])*24</f>
        <v>3.3333333333333215E-2</v>
      </c>
      <c r="T579" s="34">
        <f>(WTG_BD[[#This Row],[Fault Clearance time]]-WTG_BD[[#This Row],[Fault Start TimeStamp]])*24</f>
        <v>3.3333333333333215E-2</v>
      </c>
      <c r="U579" t="s">
        <v>262</v>
      </c>
      <c r="V579" s="234" t="s">
        <v>255</v>
      </c>
      <c r="W579" s="50">
        <f>IFERROR(IF(N579="ROW",0,(WTG_BD[[#This Row],[Breakdown Time]]*WTG_BD[[#This Row],[Plant Equivalent Weightage]])),"")</f>
        <v>1.4492753623188356E-3</v>
      </c>
      <c r="X579" s="50"/>
      <c r="Y579" s="205">
        <v>1</v>
      </c>
      <c r="Z579" s="4"/>
      <c r="AA579" s="4">
        <v>533.9</v>
      </c>
    </row>
    <row r="580" spans="1:27">
      <c r="A580" s="10">
        <f t="shared" si="11"/>
        <v>579</v>
      </c>
      <c r="B580" s="43">
        <f>YEAR(WTG_BD[[#This Row],[Date]])+IF(MONTH(WTG_BD[[#This Row],[Date]])&gt;=4,1,0)</f>
        <v>2026</v>
      </c>
      <c r="C580" s="10">
        <v>2025</v>
      </c>
      <c r="D580" s="10" t="s">
        <v>4478</v>
      </c>
      <c r="E580" s="309">
        <f>WTG_BD[[#This Row],[Date]]-DAY(WTG_BD[[#This Row],[Date]])+1</f>
        <v>45839</v>
      </c>
      <c r="F580" s="32">
        <v>45847</v>
      </c>
      <c r="G580" t="s">
        <v>82</v>
      </c>
      <c r="H580" t="str">
        <f>IFERROR(VLOOKUP(WTG_BD[[#This Row],[Affected WTG]],'Basic Data'!$A$3:$E$25,2,0),"")</f>
        <v>O2R3</v>
      </c>
      <c r="I580" t="str">
        <f>IFERROR(VLOOKUP(WTG_BD[[#This Row],[Affected WTG]],'Basic Data'!$A$3:$E$25,3,0),"")</f>
        <v>JK</v>
      </c>
      <c r="J580" s="355">
        <f>IFERROR(VLOOKUP(WTG_BD[[#This Row],[Affected WTG]],'Basic Data'!$A$3:$E$25,5,0),"")</f>
        <v>4.3478260869565223E-2</v>
      </c>
      <c r="K580" s="10">
        <v>598</v>
      </c>
      <c r="L580" t="str">
        <f>IFERROR(VLOOKUP(WTG_BD[[#This Row],[Error Code]],'Basic Data'!S:T,2,0),"Incorrect Error Code")</f>
        <v>Circuit breaker open</v>
      </c>
      <c r="M580" t="s">
        <v>1149</v>
      </c>
      <c r="N580" t="s">
        <v>113</v>
      </c>
      <c r="O580" s="270">
        <v>0.35694444444444445</v>
      </c>
      <c r="P580" s="270">
        <v>0.35694444444444445</v>
      </c>
      <c r="Q580" s="270">
        <v>0.59930555555555554</v>
      </c>
      <c r="R580" s="356">
        <f>(WTG_BD[[#This Row],[Work Start TimeStamp]]-WTG_BD[[#This Row],[Fault Start TimeStamp]])*24</f>
        <v>0</v>
      </c>
      <c r="S580" s="34">
        <f>(WTG_BD[[#This Row],[Fault Clearance time]]-WTG_BD[[#This Row],[Work Start TimeStamp]])*24</f>
        <v>5.8166666666666664</v>
      </c>
      <c r="T580" s="34">
        <f>(WTG_BD[[#This Row],[Fault Clearance time]]-WTG_BD[[#This Row],[Fault Start TimeStamp]])*24</f>
        <v>5.8166666666666664</v>
      </c>
      <c r="U580" t="s">
        <v>4671</v>
      </c>
      <c r="V580" s="234" t="s">
        <v>255</v>
      </c>
      <c r="W580" s="50">
        <f>IFERROR(IF(N580="ROW",0,(WTG_BD[[#This Row],[Breakdown Time]]*WTG_BD[[#This Row],[Plant Equivalent Weightage]])),"")</f>
        <v>0.25289855072463768</v>
      </c>
      <c r="X580" s="50"/>
      <c r="Y580" s="205">
        <v>1</v>
      </c>
      <c r="Z580" s="4"/>
      <c r="AA580" s="4">
        <v>7068</v>
      </c>
    </row>
    <row r="581" spans="1:27">
      <c r="A581" s="10">
        <f t="shared" si="11"/>
        <v>580</v>
      </c>
      <c r="B581" s="43">
        <f>YEAR(WTG_BD[[#This Row],[Date]])+IF(MONTH(WTG_BD[[#This Row],[Date]])&gt;=4,1,0)</f>
        <v>2026</v>
      </c>
      <c r="C581" s="10">
        <v>2025</v>
      </c>
      <c r="D581" s="10" t="s">
        <v>4478</v>
      </c>
      <c r="E581" s="309">
        <f>WTG_BD[[#This Row],[Date]]-DAY(WTG_BD[[#This Row],[Date]])+1</f>
        <v>45839</v>
      </c>
      <c r="F581" s="32">
        <v>45847</v>
      </c>
      <c r="G581" t="s">
        <v>86</v>
      </c>
      <c r="H581" t="str">
        <f>IFERROR(VLOOKUP(WTG_BD[[#This Row],[Affected WTG]],'Basic Data'!$A$3:$E$25,2,0),"")</f>
        <v>O2R1</v>
      </c>
      <c r="I581" t="str">
        <f>IFERROR(VLOOKUP(WTG_BD[[#This Row],[Affected WTG]],'Basic Data'!$A$3:$E$25,3,0),"")</f>
        <v>KSIPL</v>
      </c>
      <c r="J581" s="355">
        <f>IFERROR(VLOOKUP(WTG_BD[[#This Row],[Affected WTG]],'Basic Data'!$A$3:$E$25,5,0),"")</f>
        <v>4.3478260869565223E-2</v>
      </c>
      <c r="K581" s="10">
        <v>450</v>
      </c>
      <c r="L581" t="str">
        <f>IFERROR(VLOOKUP(WTG_BD[[#This Row],[Error Code]],'Basic Data'!S:T,2,0),"Incorrect Error Code")</f>
        <v>Ext. High I sum Grd inv.</v>
      </c>
      <c r="M581" t="s">
        <v>368</v>
      </c>
      <c r="N581" t="s">
        <v>113</v>
      </c>
      <c r="O581" s="270">
        <v>0.29444444444444445</v>
      </c>
      <c r="P581" s="270">
        <v>0.29444444444444445</v>
      </c>
      <c r="Q581" s="270">
        <v>0.29652777777777778</v>
      </c>
      <c r="R581" s="356">
        <f>(WTG_BD[[#This Row],[Work Start TimeStamp]]-WTG_BD[[#This Row],[Fault Start TimeStamp]])*24</f>
        <v>0</v>
      </c>
      <c r="S581" s="34">
        <f>(WTG_BD[[#This Row],[Fault Clearance time]]-WTG_BD[[#This Row],[Work Start TimeStamp]])*24</f>
        <v>4.9999999999999822E-2</v>
      </c>
      <c r="T581" s="34">
        <f>(WTG_BD[[#This Row],[Fault Clearance time]]-WTG_BD[[#This Row],[Fault Start TimeStamp]])*24</f>
        <v>4.9999999999999822E-2</v>
      </c>
      <c r="U581" t="s">
        <v>262</v>
      </c>
      <c r="V581" s="234" t="s">
        <v>255</v>
      </c>
      <c r="W581" s="50">
        <f>IFERROR(IF(N581="ROW",0,(WTG_BD[[#This Row],[Breakdown Time]]*WTG_BD[[#This Row],[Plant Equivalent Weightage]])),"")</f>
        <v>2.1739130434782535E-3</v>
      </c>
      <c r="X581" s="50"/>
      <c r="Y581" s="205">
        <v>1</v>
      </c>
      <c r="Z581" s="4"/>
      <c r="AA581" s="4">
        <v>30</v>
      </c>
    </row>
    <row r="582" spans="1:27">
      <c r="A582" s="10">
        <f t="shared" si="11"/>
        <v>581</v>
      </c>
      <c r="B582" s="43">
        <f>YEAR(WTG_BD[[#This Row],[Date]])+IF(MONTH(WTG_BD[[#This Row],[Date]])&gt;=4,1,0)</f>
        <v>2026</v>
      </c>
      <c r="C582" s="10">
        <v>2025</v>
      </c>
      <c r="D582" s="10" t="s">
        <v>4478</v>
      </c>
      <c r="E582" s="309">
        <f>WTG_BD[[#This Row],[Date]]-DAY(WTG_BD[[#This Row],[Date]])+1</f>
        <v>45839</v>
      </c>
      <c r="F582" s="32">
        <v>45849</v>
      </c>
      <c r="G582" t="s">
        <v>76</v>
      </c>
      <c r="H582" t="str">
        <f>IFERROR(VLOOKUP(WTG_BD[[#This Row],[Affected WTG]],'Basic Data'!$A$3:$E$25,2,0),"")</f>
        <v>O2R1</v>
      </c>
      <c r="I582" t="str">
        <f>IFERROR(VLOOKUP(WTG_BD[[#This Row],[Affected WTG]],'Basic Data'!$A$3:$E$25,3,0),"")</f>
        <v>KSIPL</v>
      </c>
      <c r="J582" s="355">
        <f>IFERROR(VLOOKUP(WTG_BD[[#This Row],[Affected WTG]],'Basic Data'!$A$3:$E$25,5,0),"")</f>
        <v>4.3478260869565223E-2</v>
      </c>
      <c r="K582" s="10">
        <v>450</v>
      </c>
      <c r="L582" t="str">
        <f>IFERROR(VLOOKUP(WTG_BD[[#This Row],[Error Code]],'Basic Data'!S:T,2,0),"Incorrect Error Code")</f>
        <v>Ext. High I sum Grd inv.</v>
      </c>
      <c r="M582" t="s">
        <v>368</v>
      </c>
      <c r="N582" t="s">
        <v>113</v>
      </c>
      <c r="O582" s="168">
        <v>0.28402777777777777</v>
      </c>
      <c r="P582" s="168">
        <v>0.28402777777777777</v>
      </c>
      <c r="Q582" s="168">
        <v>0.28541666666666665</v>
      </c>
      <c r="R582" s="356">
        <f>(WTG_BD[[#This Row],[Work Start TimeStamp]]-WTG_BD[[#This Row],[Fault Start TimeStamp]])*24</f>
        <v>0</v>
      </c>
      <c r="S582" s="34">
        <f>(WTG_BD[[#This Row],[Fault Clearance time]]-WTG_BD[[#This Row],[Work Start TimeStamp]])*24</f>
        <v>3.3333333333333215E-2</v>
      </c>
      <c r="T582" s="34">
        <f>(WTG_BD[[#This Row],[Fault Clearance time]]-WTG_BD[[#This Row],[Fault Start TimeStamp]])*24</f>
        <v>3.3333333333333215E-2</v>
      </c>
      <c r="U582" t="s">
        <v>262</v>
      </c>
      <c r="V582" s="234" t="s">
        <v>255</v>
      </c>
      <c r="W582" s="50">
        <f>IFERROR(IF(N582="ROW",0,(WTG_BD[[#This Row],[Breakdown Time]]*WTG_BD[[#This Row],[Plant Equivalent Weightage]])),"")</f>
        <v>1.4492753623188356E-3</v>
      </c>
      <c r="X582" s="50"/>
      <c r="Y582" s="205">
        <v>1</v>
      </c>
      <c r="Z582" s="4"/>
      <c r="AA582" s="4">
        <v>110</v>
      </c>
    </row>
    <row r="583" spans="1:27">
      <c r="A583" s="10">
        <f t="shared" si="11"/>
        <v>582</v>
      </c>
      <c r="B583" s="43">
        <f>YEAR(WTG_BD[[#This Row],[Date]])+IF(MONTH(WTG_BD[[#This Row],[Date]])&gt;=4,1,0)</f>
        <v>2026</v>
      </c>
      <c r="C583" s="10">
        <v>2025</v>
      </c>
      <c r="D583" s="10" t="s">
        <v>4478</v>
      </c>
      <c r="E583" s="309">
        <f>WTG_BD[[#This Row],[Date]]-DAY(WTG_BD[[#This Row],[Date]])+1</f>
        <v>45839</v>
      </c>
      <c r="F583" s="32">
        <v>45849</v>
      </c>
      <c r="G583" t="s">
        <v>96</v>
      </c>
      <c r="H583" t="str">
        <f>IFERROR(VLOOKUP(WTG_BD[[#This Row],[Affected WTG]],'Basic Data'!$A$3:$E$25,2,0),"")</f>
        <v>O2R3</v>
      </c>
      <c r="I583" t="str">
        <f>IFERROR(VLOOKUP(WTG_BD[[#This Row],[Affected WTG]],'Basic Data'!$A$3:$E$25,3,0),"")</f>
        <v>JK</v>
      </c>
      <c r="J583" s="355">
        <f>IFERROR(VLOOKUP(WTG_BD[[#This Row],[Affected WTG]],'Basic Data'!$A$3:$E$25,5,0),"")</f>
        <v>4.3478260869565223E-2</v>
      </c>
      <c r="K583" s="10">
        <v>900</v>
      </c>
      <c r="L583" t="str">
        <f>IFERROR(VLOOKUP(WTG_BD[[#This Row],[Error Code]],'Basic Data'!S:T,2,0),"Incorrect Error Code")</f>
        <v>Pause pressed on keyboard</v>
      </c>
      <c r="M583" t="s">
        <v>137</v>
      </c>
      <c r="N583" t="s">
        <v>257</v>
      </c>
      <c r="O583" s="168">
        <v>0.47916666666666669</v>
      </c>
      <c r="P583" s="168">
        <v>0.47916666666666669</v>
      </c>
      <c r="Q583" s="168">
        <v>0.58125000000000004</v>
      </c>
      <c r="R583" s="356">
        <f>(WTG_BD[[#This Row],[Work Start TimeStamp]]-WTG_BD[[#This Row],[Fault Start TimeStamp]])*24</f>
        <v>0</v>
      </c>
      <c r="S583" s="34">
        <f>(WTG_BD[[#This Row],[Fault Clearance time]]-WTG_BD[[#This Row],[Work Start TimeStamp]])*24</f>
        <v>2.4500000000000006</v>
      </c>
      <c r="T583" s="34">
        <f>(WTG_BD[[#This Row],[Fault Clearance time]]-WTG_BD[[#This Row],[Fault Start TimeStamp]])*24</f>
        <v>2.4500000000000006</v>
      </c>
      <c r="U583" t="s">
        <v>4672</v>
      </c>
      <c r="V583" s="234" t="s">
        <v>255</v>
      </c>
      <c r="W583" s="50">
        <f>IFERROR(IF(N583="ROW",0,(WTG_BD[[#This Row],[Breakdown Time]]*WTG_BD[[#This Row],[Plant Equivalent Weightage]])),"")</f>
        <v>0.10652173913043482</v>
      </c>
      <c r="X583" s="50"/>
      <c r="Y583" s="205">
        <v>1</v>
      </c>
      <c r="Z583" s="4"/>
      <c r="AA583" s="4">
        <v>753.3</v>
      </c>
    </row>
    <row r="584" spans="1:27">
      <c r="A584" s="10">
        <f t="shared" si="11"/>
        <v>583</v>
      </c>
      <c r="B584" s="43">
        <f>YEAR(WTG_BD[[#This Row],[Date]])+IF(MONTH(WTG_BD[[#This Row],[Date]])&gt;=4,1,0)</f>
        <v>2026</v>
      </c>
      <c r="C584" s="10">
        <v>2025</v>
      </c>
      <c r="D584" s="10" t="s">
        <v>4478</v>
      </c>
      <c r="E584" s="309">
        <f>WTG_BD[[#This Row],[Date]]-DAY(WTG_BD[[#This Row],[Date]])+1</f>
        <v>45839</v>
      </c>
      <c r="F584" s="32">
        <v>45850</v>
      </c>
      <c r="G584" t="s">
        <v>79</v>
      </c>
      <c r="H584" t="str">
        <f>IFERROR(VLOOKUP(WTG_BD[[#This Row],[Affected WTG]],'Basic Data'!$A$3:$E$25,2,0),"")</f>
        <v>O2R3</v>
      </c>
      <c r="I584" t="str">
        <f>IFERROR(VLOOKUP(WTG_BD[[#This Row],[Affected WTG]],'Basic Data'!$A$3:$E$25,3,0),"")</f>
        <v>JK</v>
      </c>
      <c r="J584" s="355">
        <f>IFERROR(VLOOKUP(WTG_BD[[#This Row],[Affected WTG]],'Basic Data'!$A$3:$E$25,5,0),"")</f>
        <v>4.3478260869565223E-2</v>
      </c>
      <c r="K584" s="10">
        <v>6290</v>
      </c>
      <c r="L584" t="str">
        <f>IFERROR(VLOOKUP(WTG_BD[[#This Row],[Error Code]],'Basic Data'!S:T,2,0),"Incorrect Error Code")</f>
        <v>Pitch Accu. Test active</v>
      </c>
      <c r="M584" t="s">
        <v>4304</v>
      </c>
      <c r="N584" t="s">
        <v>113</v>
      </c>
      <c r="O584" s="270">
        <v>0.95694444444444449</v>
      </c>
      <c r="P584" s="270">
        <v>0.95694444444444449</v>
      </c>
      <c r="Q584" s="270">
        <v>0.95833333333333337</v>
      </c>
      <c r="R584" s="356">
        <f>(WTG_BD[[#This Row],[Work Start TimeStamp]]-WTG_BD[[#This Row],[Fault Start TimeStamp]])*24</f>
        <v>0</v>
      </c>
      <c r="S584" s="34">
        <f>(WTG_BD[[#This Row],[Fault Clearance time]]-WTG_BD[[#This Row],[Work Start TimeStamp]])*24</f>
        <v>3.3333333333333215E-2</v>
      </c>
      <c r="T584" s="34">
        <f>(WTG_BD[[#This Row],[Fault Clearance time]]-WTG_BD[[#This Row],[Fault Start TimeStamp]])*24</f>
        <v>3.3333333333333215E-2</v>
      </c>
      <c r="U584" t="s">
        <v>4268</v>
      </c>
      <c r="V584" s="234" t="s">
        <v>255</v>
      </c>
      <c r="W584" s="50">
        <f>IFERROR(IF(N584="ROW",0,(WTG_BD[[#This Row],[Breakdown Time]]*WTG_BD[[#This Row],[Plant Equivalent Weightage]])),"")</f>
        <v>1.4492753623188356E-3</v>
      </c>
      <c r="X584" s="50"/>
      <c r="Y584" s="205">
        <v>1</v>
      </c>
      <c r="Z584" s="4"/>
      <c r="AA584" s="4">
        <v>77</v>
      </c>
    </row>
    <row r="585" spans="1:27">
      <c r="A585" s="10">
        <f t="shared" si="11"/>
        <v>584</v>
      </c>
      <c r="B585" s="43">
        <f>YEAR(WTG_BD[[#This Row],[Date]])+IF(MONTH(WTG_BD[[#This Row],[Date]])&gt;=4,1,0)</f>
        <v>2026</v>
      </c>
      <c r="C585" s="10">
        <v>2025</v>
      </c>
      <c r="D585" s="10" t="s">
        <v>4478</v>
      </c>
      <c r="E585" s="309">
        <f>WTG_BD[[#This Row],[Date]]-DAY(WTG_BD[[#This Row],[Date]])+1</f>
        <v>45839</v>
      </c>
      <c r="F585" s="32">
        <v>45850</v>
      </c>
      <c r="G585" t="s">
        <v>80</v>
      </c>
      <c r="H585" t="str">
        <f>IFERROR(VLOOKUP(WTG_BD[[#This Row],[Affected WTG]],'Basic Data'!$A$3:$E$25,2,0),"")</f>
        <v>O2R3</v>
      </c>
      <c r="I585" t="str">
        <f>IFERROR(VLOOKUP(WTG_BD[[#This Row],[Affected WTG]],'Basic Data'!$A$3:$E$25,3,0),"")</f>
        <v>JK</v>
      </c>
      <c r="J585" s="355">
        <f>IFERROR(VLOOKUP(WTG_BD[[#This Row],[Affected WTG]],'Basic Data'!$A$3:$E$25,5,0),"")</f>
        <v>4.3478260869565223E-2</v>
      </c>
      <c r="K585" s="10">
        <v>2995</v>
      </c>
      <c r="L585" t="str">
        <f>IFERROR(VLOOKUP(WTG_BD[[#This Row],[Error Code]],'Basic Data'!S:T,2,0),"Incorrect Error Code")</f>
        <v>HydrHighPressPumpNotFunctional</v>
      </c>
      <c r="M585" t="s">
        <v>1713</v>
      </c>
      <c r="N585" t="s">
        <v>113</v>
      </c>
      <c r="O585" s="270">
        <v>0.95694444444444449</v>
      </c>
      <c r="P585" s="270">
        <v>0.95694444444444449</v>
      </c>
      <c r="Q585" s="270">
        <v>0.95833333333333337</v>
      </c>
      <c r="R585" s="356">
        <f>(WTG_BD[[#This Row],[Work Start TimeStamp]]-WTG_BD[[#This Row],[Fault Start TimeStamp]])*24</f>
        <v>0</v>
      </c>
      <c r="S585" s="34">
        <f>(WTG_BD[[#This Row],[Fault Clearance time]]-WTG_BD[[#This Row],[Work Start TimeStamp]])*24</f>
        <v>3.3333333333333215E-2</v>
      </c>
      <c r="T585" s="34">
        <f>(WTG_BD[[#This Row],[Fault Clearance time]]-WTG_BD[[#This Row],[Fault Start TimeStamp]])*24</f>
        <v>3.3333333333333215E-2</v>
      </c>
      <c r="U585" t="s">
        <v>4268</v>
      </c>
      <c r="V585" s="234" t="s">
        <v>255</v>
      </c>
      <c r="W585" s="50">
        <f>IFERROR(IF(N585="ROW",0,(WTG_BD[[#This Row],[Breakdown Time]]*WTG_BD[[#This Row],[Plant Equivalent Weightage]])),"")</f>
        <v>1.4492753623188356E-3</v>
      </c>
      <c r="X585" s="50"/>
      <c r="Y585" s="205">
        <v>1</v>
      </c>
      <c r="Z585" s="4"/>
      <c r="AA585" s="4">
        <v>91</v>
      </c>
    </row>
    <row r="586" spans="1:27">
      <c r="A586" s="10">
        <f t="shared" si="11"/>
        <v>585</v>
      </c>
      <c r="B586" s="43">
        <f>YEAR(WTG_BD[[#This Row],[Date]])+IF(MONTH(WTG_BD[[#This Row],[Date]])&gt;=4,1,0)</f>
        <v>2026</v>
      </c>
      <c r="C586" s="10">
        <v>2025</v>
      </c>
      <c r="D586" s="10" t="s">
        <v>4478</v>
      </c>
      <c r="E586" s="309">
        <f>WTG_BD[[#This Row],[Date]]-DAY(WTG_BD[[#This Row],[Date]])+1</f>
        <v>45839</v>
      </c>
      <c r="F586" s="32">
        <v>45850</v>
      </c>
      <c r="G586" t="s">
        <v>91</v>
      </c>
      <c r="H586" t="str">
        <f>IFERROR(VLOOKUP(WTG_BD[[#This Row],[Affected WTG]],'Basic Data'!$A$3:$E$25,2,0),"")</f>
        <v>O2R2</v>
      </c>
      <c r="I586" t="str">
        <f>IFERROR(VLOOKUP(WTG_BD[[#This Row],[Affected WTG]],'Basic Data'!$A$3:$E$25,3,0),"")</f>
        <v>SIL</v>
      </c>
      <c r="J586" s="355">
        <f>IFERROR(VLOOKUP(WTG_BD[[#This Row],[Affected WTG]],'Basic Data'!$A$3:$E$25,5,0),"")</f>
        <v>4.3478260869565223E-2</v>
      </c>
      <c r="K586" s="10">
        <v>315</v>
      </c>
      <c r="L586" t="str">
        <f>IFERROR(VLOOKUP(WTG_BD[[#This Row],[Error Code]],'Basic Data'!S:T,2,0),"Incorrect Error Code")</f>
        <v>ExEx low voltage L_: ___V</v>
      </c>
      <c r="M586" t="s">
        <v>141</v>
      </c>
      <c r="N586" t="s">
        <v>113</v>
      </c>
      <c r="O586" s="270">
        <v>0.95763888888888893</v>
      </c>
      <c r="P586" s="270">
        <v>0.95763888888888893</v>
      </c>
      <c r="Q586" s="270">
        <v>0.95833333333333337</v>
      </c>
      <c r="R586" s="356">
        <f>(WTG_BD[[#This Row],[Work Start TimeStamp]]-WTG_BD[[#This Row],[Fault Start TimeStamp]])*24</f>
        <v>0</v>
      </c>
      <c r="S586" s="34">
        <f>(WTG_BD[[#This Row],[Fault Clearance time]]-WTG_BD[[#This Row],[Work Start TimeStamp]])*24</f>
        <v>1.6666666666666607E-2</v>
      </c>
      <c r="T586" s="34">
        <f>(WTG_BD[[#This Row],[Fault Clearance time]]-WTG_BD[[#This Row],[Fault Start TimeStamp]])*24</f>
        <v>1.6666666666666607E-2</v>
      </c>
      <c r="U586" t="s">
        <v>4268</v>
      </c>
      <c r="V586" s="234" t="s">
        <v>255</v>
      </c>
      <c r="W586" s="50">
        <f>IFERROR(IF(N586="ROW",0,(WTG_BD[[#This Row],[Breakdown Time]]*WTG_BD[[#This Row],[Plant Equivalent Weightage]])),"")</f>
        <v>7.246376811594178E-4</v>
      </c>
      <c r="X586" s="50"/>
      <c r="Y586" s="205">
        <v>1</v>
      </c>
      <c r="Z586" s="4"/>
      <c r="AA586" s="4">
        <v>1</v>
      </c>
    </row>
    <row r="587" spans="1:27">
      <c r="A587" s="10">
        <f t="shared" si="11"/>
        <v>586</v>
      </c>
      <c r="B587" s="43">
        <f>YEAR(WTG_BD[[#This Row],[Date]])+IF(MONTH(WTG_BD[[#This Row],[Date]])&gt;=4,1,0)</f>
        <v>2026</v>
      </c>
      <c r="C587" s="10">
        <v>2025</v>
      </c>
      <c r="D587" s="10" t="s">
        <v>4478</v>
      </c>
      <c r="E587" s="309">
        <f>WTG_BD[[#This Row],[Date]]-DAY(WTG_BD[[#This Row],[Date]])+1</f>
        <v>45839</v>
      </c>
      <c r="F587" s="32">
        <v>45850</v>
      </c>
      <c r="G587" t="s">
        <v>92</v>
      </c>
      <c r="H587" t="str">
        <f>IFERROR(VLOOKUP(WTG_BD[[#This Row],[Affected WTG]],'Basic Data'!$A$3:$E$25,2,0),"")</f>
        <v>O2R2</v>
      </c>
      <c r="I587" t="str">
        <f>IFERROR(VLOOKUP(WTG_BD[[#This Row],[Affected WTG]],'Basic Data'!$A$3:$E$25,3,0),"")</f>
        <v>SIL</v>
      </c>
      <c r="J587" s="355">
        <f>IFERROR(VLOOKUP(WTG_BD[[#This Row],[Affected WTG]],'Basic Data'!$A$3:$E$25,5,0),"")</f>
        <v>4.3478260869565223E-2</v>
      </c>
      <c r="K587" s="10">
        <v>3806</v>
      </c>
      <c r="L587" t="str">
        <f>IFERROR(VLOOKUP(WTG_BD[[#This Row],[Error Code]],'Basic Data'!S:T,2,0),"Incorrect Error Code")</f>
        <v>HubSafetySystem Batt.Charg.Err</v>
      </c>
      <c r="M587" t="s">
        <v>381</v>
      </c>
      <c r="N587" t="s">
        <v>113</v>
      </c>
      <c r="O587" s="270">
        <v>0.95694444444444449</v>
      </c>
      <c r="P587" s="270">
        <v>0.95694444444444449</v>
      </c>
      <c r="Q587" s="270">
        <v>0.95833333333333337</v>
      </c>
      <c r="R587" s="356">
        <f>(WTG_BD[[#This Row],[Work Start TimeStamp]]-WTG_BD[[#This Row],[Fault Start TimeStamp]])*24</f>
        <v>0</v>
      </c>
      <c r="S587" s="34">
        <f>(WTG_BD[[#This Row],[Fault Clearance time]]-WTG_BD[[#This Row],[Work Start TimeStamp]])*24</f>
        <v>3.3333333333333215E-2</v>
      </c>
      <c r="T587" s="34">
        <f>(WTG_BD[[#This Row],[Fault Clearance time]]-WTG_BD[[#This Row],[Fault Start TimeStamp]])*24</f>
        <v>3.3333333333333215E-2</v>
      </c>
      <c r="U587" t="s">
        <v>4268</v>
      </c>
      <c r="V587" s="234" t="s">
        <v>255</v>
      </c>
      <c r="W587" s="50">
        <f>IFERROR(IF(N587="ROW",0,(WTG_BD[[#This Row],[Breakdown Time]]*WTG_BD[[#This Row],[Plant Equivalent Weightage]])),"")</f>
        <v>1.4492753623188356E-3</v>
      </c>
      <c r="X587" s="50"/>
      <c r="Y587" s="205">
        <v>1</v>
      </c>
      <c r="Z587" s="4"/>
      <c r="AA587" s="4">
        <v>178</v>
      </c>
    </row>
    <row r="588" spans="1:27">
      <c r="A588" s="10">
        <f t="shared" si="11"/>
        <v>587</v>
      </c>
      <c r="B588" s="43">
        <f>YEAR(WTG_BD[[#This Row],[Date]])+IF(MONTH(WTG_BD[[#This Row],[Date]])&gt;=4,1,0)</f>
        <v>2026</v>
      </c>
      <c r="C588" s="10">
        <v>2025</v>
      </c>
      <c r="D588" s="10" t="s">
        <v>4478</v>
      </c>
      <c r="E588" s="309">
        <f>WTG_BD[[#This Row],[Date]]-DAY(WTG_BD[[#This Row],[Date]])+1</f>
        <v>45839</v>
      </c>
      <c r="F588" s="32">
        <v>45850</v>
      </c>
      <c r="G588" t="s">
        <v>96</v>
      </c>
      <c r="H588" t="str">
        <f>IFERROR(VLOOKUP(WTG_BD[[#This Row],[Affected WTG]],'Basic Data'!$A$3:$E$25,2,0),"")</f>
        <v>O2R3</v>
      </c>
      <c r="I588" t="str">
        <f>IFERROR(VLOOKUP(WTG_BD[[#This Row],[Affected WTG]],'Basic Data'!$A$3:$E$25,3,0),"")</f>
        <v>JK</v>
      </c>
      <c r="J588" s="355">
        <f>IFERROR(VLOOKUP(WTG_BD[[#This Row],[Affected WTG]],'Basic Data'!$A$3:$E$25,5,0),"")</f>
        <v>4.3478260869565223E-2</v>
      </c>
      <c r="K588" s="10">
        <v>2995</v>
      </c>
      <c r="L588" t="str">
        <f>IFERROR(VLOOKUP(WTG_BD[[#This Row],[Error Code]],'Basic Data'!S:T,2,0),"Incorrect Error Code")</f>
        <v>HydrHighPressPumpNotFunctional</v>
      </c>
      <c r="M588" t="s">
        <v>1713</v>
      </c>
      <c r="N588" t="s">
        <v>113</v>
      </c>
      <c r="O588" s="270">
        <v>0.95694444444444449</v>
      </c>
      <c r="P588" s="270">
        <v>0.95694444444444449</v>
      </c>
      <c r="Q588" s="270">
        <v>0.95833333333333337</v>
      </c>
      <c r="R588" s="356">
        <f>(WTG_BD[[#This Row],[Work Start TimeStamp]]-WTG_BD[[#This Row],[Fault Start TimeStamp]])*24</f>
        <v>0</v>
      </c>
      <c r="S588" s="34">
        <f>(WTG_BD[[#This Row],[Fault Clearance time]]-WTG_BD[[#This Row],[Work Start TimeStamp]])*24</f>
        <v>3.3333333333333215E-2</v>
      </c>
      <c r="T588" s="34">
        <f>(WTG_BD[[#This Row],[Fault Clearance time]]-WTG_BD[[#This Row],[Fault Start TimeStamp]])*24</f>
        <v>3.3333333333333215E-2</v>
      </c>
      <c r="U588" t="s">
        <v>4268</v>
      </c>
      <c r="V588" s="234" t="s">
        <v>255</v>
      </c>
      <c r="W588" s="50">
        <f>IFERROR(IF(N588="ROW",0,(WTG_BD[[#This Row],[Breakdown Time]]*WTG_BD[[#This Row],[Plant Equivalent Weightage]])),"")</f>
        <v>1.4492753623188356E-3</v>
      </c>
      <c r="X588" s="50"/>
      <c r="Y588" s="205">
        <v>1</v>
      </c>
      <c r="Z588" s="4"/>
      <c r="AA588" s="4">
        <v>61</v>
      </c>
    </row>
    <row r="589" spans="1:27">
      <c r="A589" s="10">
        <f t="shared" si="11"/>
        <v>588</v>
      </c>
      <c r="B589" s="43">
        <f>YEAR(WTG_BD[[#This Row],[Date]])+IF(MONTH(WTG_BD[[#This Row],[Date]])&gt;=4,1,0)</f>
        <v>2026</v>
      </c>
      <c r="C589" s="10">
        <v>2025</v>
      </c>
      <c r="D589" s="10" t="s">
        <v>4478</v>
      </c>
      <c r="E589" s="309">
        <f>WTG_BD[[#This Row],[Date]]-DAY(WTG_BD[[#This Row],[Date]])+1</f>
        <v>45839</v>
      </c>
      <c r="F589" s="32">
        <v>45850</v>
      </c>
      <c r="G589" t="s">
        <v>97</v>
      </c>
      <c r="H589" t="str">
        <f>IFERROR(VLOOKUP(WTG_BD[[#This Row],[Affected WTG]],'Basic Data'!$A$3:$E$25,2,0),"")</f>
        <v>O2R3</v>
      </c>
      <c r="I589" t="str">
        <f>IFERROR(VLOOKUP(WTG_BD[[#This Row],[Affected WTG]],'Basic Data'!$A$3:$E$25,3,0),"")</f>
        <v>JK</v>
      </c>
      <c r="J589" s="355">
        <f>IFERROR(VLOOKUP(WTG_BD[[#This Row],[Affected WTG]],'Basic Data'!$A$3:$E$25,5,0),"")</f>
        <v>4.3478260869565223E-2</v>
      </c>
      <c r="K589" s="10">
        <v>2995</v>
      </c>
      <c r="L589" t="str">
        <f>IFERROR(VLOOKUP(WTG_BD[[#This Row],[Error Code]],'Basic Data'!S:T,2,0),"Incorrect Error Code")</f>
        <v>HydrHighPressPumpNotFunctional</v>
      </c>
      <c r="M589" t="s">
        <v>1713</v>
      </c>
      <c r="N589" t="s">
        <v>113</v>
      </c>
      <c r="O589" s="270">
        <v>0.95138888888888884</v>
      </c>
      <c r="P589" s="270">
        <v>0.95138888888888884</v>
      </c>
      <c r="Q589" s="270">
        <v>0.95833333333333337</v>
      </c>
      <c r="R589" s="356">
        <f>(WTG_BD[[#This Row],[Work Start TimeStamp]]-WTG_BD[[#This Row],[Fault Start TimeStamp]])*24</f>
        <v>0</v>
      </c>
      <c r="S589" s="34">
        <f>(WTG_BD[[#This Row],[Fault Clearance time]]-WTG_BD[[#This Row],[Work Start TimeStamp]])*24</f>
        <v>0.16666666666666874</v>
      </c>
      <c r="T589" s="34">
        <f>(WTG_BD[[#This Row],[Fault Clearance time]]-WTG_BD[[#This Row],[Fault Start TimeStamp]])*24</f>
        <v>0.16666666666666874</v>
      </c>
      <c r="U589" t="s">
        <v>4268</v>
      </c>
      <c r="V589" s="234" t="s">
        <v>255</v>
      </c>
      <c r="W589" s="50">
        <f>IFERROR(IF(N589="ROW",0,(WTG_BD[[#This Row],[Breakdown Time]]*WTG_BD[[#This Row],[Plant Equivalent Weightage]])),"")</f>
        <v>7.2463768115942941E-3</v>
      </c>
      <c r="X589" s="50"/>
      <c r="Y589" s="205">
        <v>1</v>
      </c>
      <c r="Z589" s="4"/>
      <c r="AA589" s="4">
        <v>335</v>
      </c>
    </row>
    <row r="590" spans="1:27">
      <c r="A590" s="10">
        <f t="shared" si="11"/>
        <v>589</v>
      </c>
      <c r="B590" s="43">
        <f>YEAR(WTG_BD[[#This Row],[Date]])+IF(MONTH(WTG_BD[[#This Row],[Date]])&gt;=4,1,0)</f>
        <v>2026</v>
      </c>
      <c r="C590" s="10">
        <v>2025</v>
      </c>
      <c r="D590" s="10" t="s">
        <v>4478</v>
      </c>
      <c r="E590" s="309">
        <f>WTG_BD[[#This Row],[Date]]-DAY(WTG_BD[[#This Row],[Date]])+1</f>
        <v>45839</v>
      </c>
      <c r="F590" s="32">
        <v>45850</v>
      </c>
      <c r="G590" t="s">
        <v>97</v>
      </c>
      <c r="H590" t="str">
        <f>IFERROR(VLOOKUP(WTG_BD[[#This Row],[Affected WTG]],'Basic Data'!$A$3:$E$25,2,0),"")</f>
        <v>O2R3</v>
      </c>
      <c r="I590" t="str">
        <f>IFERROR(VLOOKUP(WTG_BD[[#This Row],[Affected WTG]],'Basic Data'!$A$3:$E$25,3,0),"")</f>
        <v>JK</v>
      </c>
      <c r="J590" s="355">
        <f>IFERROR(VLOOKUP(WTG_BD[[#This Row],[Affected WTG]],'Basic Data'!$A$3:$E$25,5,0),"")</f>
        <v>4.3478260869565223E-2</v>
      </c>
      <c r="K590" s="10">
        <v>3806</v>
      </c>
      <c r="L590" t="str">
        <f>IFERROR(VLOOKUP(WTG_BD[[#This Row],[Error Code]],'Basic Data'!S:T,2,0),"Incorrect Error Code")</f>
        <v>HubSafetySystem Batt.Charg.Err</v>
      </c>
      <c r="M590" t="s">
        <v>381</v>
      </c>
      <c r="N590" t="s">
        <v>113</v>
      </c>
      <c r="O590" s="270">
        <v>0.96250000000000002</v>
      </c>
      <c r="P590" s="270">
        <v>0.96250000000000002</v>
      </c>
      <c r="Q590" s="270">
        <v>0.96527777777777779</v>
      </c>
      <c r="R590" s="356">
        <f>(WTG_BD[[#This Row],[Work Start TimeStamp]]-WTG_BD[[#This Row],[Fault Start TimeStamp]])*24</f>
        <v>0</v>
      </c>
      <c r="S590" s="34">
        <f>(WTG_BD[[#This Row],[Fault Clearance time]]-WTG_BD[[#This Row],[Work Start TimeStamp]])*24</f>
        <v>6.666666666666643E-2</v>
      </c>
      <c r="T590" s="34">
        <f>(WTG_BD[[#This Row],[Fault Clearance time]]-WTG_BD[[#This Row],[Fault Start TimeStamp]])*24</f>
        <v>6.666666666666643E-2</v>
      </c>
      <c r="U590" t="s">
        <v>4268</v>
      </c>
      <c r="V590" s="234" t="s">
        <v>255</v>
      </c>
      <c r="W590" s="50">
        <f>IFERROR(IF(N590="ROW",0,(WTG_BD[[#This Row],[Breakdown Time]]*WTG_BD[[#This Row],[Plant Equivalent Weightage]])),"")</f>
        <v>2.8985507246376712E-3</v>
      </c>
      <c r="X590" s="50"/>
      <c r="Y590" s="205">
        <v>1</v>
      </c>
      <c r="Z590" s="4"/>
      <c r="AA590" s="4">
        <v>214</v>
      </c>
    </row>
    <row r="591" spans="1:27">
      <c r="A591" s="10">
        <f t="shared" si="11"/>
        <v>590</v>
      </c>
      <c r="B591" s="43">
        <f>YEAR(WTG_BD[[#This Row],[Date]])+IF(MONTH(WTG_BD[[#This Row],[Date]])&gt;=4,1,0)</f>
        <v>2026</v>
      </c>
      <c r="C591" s="10">
        <v>2025</v>
      </c>
      <c r="D591" s="10" t="s">
        <v>4478</v>
      </c>
      <c r="E591" s="309">
        <f>WTG_BD[[#This Row],[Date]]-DAY(WTG_BD[[#This Row],[Date]])+1</f>
        <v>45839</v>
      </c>
      <c r="F591" s="32">
        <v>45852</v>
      </c>
      <c r="G591" t="s">
        <v>76</v>
      </c>
      <c r="H591" t="str">
        <f>IFERROR(VLOOKUP(WTG_BD[[#This Row],[Affected WTG]],'Basic Data'!$A$3:$E$25,2,0),"")</f>
        <v>O2R1</v>
      </c>
      <c r="I591" t="str">
        <f>IFERROR(VLOOKUP(WTG_BD[[#This Row],[Affected WTG]],'Basic Data'!$A$3:$E$25,3,0),"")</f>
        <v>KSIPL</v>
      </c>
      <c r="J591" s="355">
        <f>IFERROR(VLOOKUP(WTG_BD[[#This Row],[Affected WTG]],'Basic Data'!$A$3:$E$25,5,0),"")</f>
        <v>4.3478260869565223E-2</v>
      </c>
      <c r="K591" s="10">
        <v>450</v>
      </c>
      <c r="L591" t="str">
        <f>IFERROR(VLOOKUP(WTG_BD[[#This Row],[Error Code]],'Basic Data'!S:T,2,0),"Incorrect Error Code")</f>
        <v>Ext. High I sum Grd inv.</v>
      </c>
      <c r="M591" t="s">
        <v>368</v>
      </c>
      <c r="N591" t="s">
        <v>113</v>
      </c>
      <c r="O591" s="168">
        <v>0.15555555555555556</v>
      </c>
      <c r="P591" s="168">
        <v>0.15555555555555556</v>
      </c>
      <c r="Q591" s="168">
        <v>0.15972222222222221</v>
      </c>
      <c r="R591" s="356">
        <f>(WTG_BD[[#This Row],[Work Start TimeStamp]]-WTG_BD[[#This Row],[Fault Start TimeStamp]])*24</f>
        <v>0</v>
      </c>
      <c r="S591" s="34">
        <f>(WTG_BD[[#This Row],[Fault Clearance time]]-WTG_BD[[#This Row],[Work Start TimeStamp]])*24</f>
        <v>9.9999999999999645E-2</v>
      </c>
      <c r="T591" s="34">
        <f>(WTG_BD[[#This Row],[Fault Clearance time]]-WTG_BD[[#This Row],[Fault Start TimeStamp]])*24</f>
        <v>9.9999999999999645E-2</v>
      </c>
      <c r="U591" t="s">
        <v>262</v>
      </c>
      <c r="V591" s="234" t="s">
        <v>255</v>
      </c>
      <c r="W591" s="50">
        <f>IFERROR(IF(N591="ROW",0,(WTG_BD[[#This Row],[Breakdown Time]]*WTG_BD[[#This Row],[Plant Equivalent Weightage]])),"")</f>
        <v>4.347826086956507E-3</v>
      </c>
      <c r="X591" s="50"/>
      <c r="Y591" s="205">
        <v>1</v>
      </c>
      <c r="Z591" s="4"/>
      <c r="AA591" s="4">
        <v>158</v>
      </c>
    </row>
    <row r="592" spans="1:27">
      <c r="A592" s="10">
        <f t="shared" si="11"/>
        <v>591</v>
      </c>
      <c r="B592" s="43">
        <f>YEAR(WTG_BD[[#This Row],[Date]])+IF(MONTH(WTG_BD[[#This Row],[Date]])&gt;=4,1,0)</f>
        <v>2026</v>
      </c>
      <c r="C592" s="10">
        <v>2025</v>
      </c>
      <c r="D592" s="10" t="s">
        <v>4478</v>
      </c>
      <c r="E592" s="309">
        <f>WTG_BD[[#This Row],[Date]]-DAY(WTG_BD[[#This Row],[Date]])+1</f>
        <v>45839</v>
      </c>
      <c r="F592" s="32">
        <v>45852</v>
      </c>
      <c r="G592" t="s">
        <v>76</v>
      </c>
      <c r="H592" t="str">
        <f>IFERROR(VLOOKUP(WTG_BD[[#This Row],[Affected WTG]],'Basic Data'!$A$3:$E$25,2,0),"")</f>
        <v>O2R1</v>
      </c>
      <c r="I592" t="str">
        <f>IFERROR(VLOOKUP(WTG_BD[[#This Row],[Affected WTG]],'Basic Data'!$A$3:$E$25,3,0),"")</f>
        <v>KSIPL</v>
      </c>
      <c r="J592" s="355">
        <f>IFERROR(VLOOKUP(WTG_BD[[#This Row],[Affected WTG]],'Basic Data'!$A$3:$E$25,5,0),"")</f>
        <v>4.3478260869565223E-2</v>
      </c>
      <c r="K592" s="10">
        <v>6290</v>
      </c>
      <c r="L592" t="str">
        <f>IFERROR(VLOOKUP(WTG_BD[[#This Row],[Error Code]],'Basic Data'!S:T,2,0),"Incorrect Error Code")</f>
        <v>Pitch Accu. Test active</v>
      </c>
      <c r="M592" t="s">
        <v>4304</v>
      </c>
      <c r="N592" t="s">
        <v>113</v>
      </c>
      <c r="O592" s="168">
        <v>0.16527777777777777</v>
      </c>
      <c r="P592" s="168">
        <v>0.16527777777777777</v>
      </c>
      <c r="Q592" s="168">
        <v>0.16666666666666666</v>
      </c>
      <c r="R592" s="356">
        <f>(WTG_BD[[#This Row],[Work Start TimeStamp]]-WTG_BD[[#This Row],[Fault Start TimeStamp]])*24</f>
        <v>0</v>
      </c>
      <c r="S592" s="34">
        <f>(WTG_BD[[#This Row],[Fault Clearance time]]-WTG_BD[[#This Row],[Work Start TimeStamp]])*24</f>
        <v>3.3333333333333215E-2</v>
      </c>
      <c r="T592" s="34">
        <f>(WTG_BD[[#This Row],[Fault Clearance time]]-WTG_BD[[#This Row],[Fault Start TimeStamp]])*24</f>
        <v>3.3333333333333215E-2</v>
      </c>
      <c r="U592" t="s">
        <v>262</v>
      </c>
      <c r="V592" s="234" t="s">
        <v>255</v>
      </c>
      <c r="W592" s="50">
        <f>IFERROR(IF(N592="ROW",0,(WTG_BD[[#This Row],[Breakdown Time]]*WTG_BD[[#This Row],[Plant Equivalent Weightage]])),"")</f>
        <v>1.4492753623188356E-3</v>
      </c>
      <c r="X592" s="50"/>
      <c r="Y592" s="205">
        <v>1</v>
      </c>
      <c r="Z592" s="4"/>
      <c r="AA592" s="4">
        <v>75</v>
      </c>
    </row>
    <row r="593" spans="1:27">
      <c r="A593" s="10">
        <f t="shared" si="11"/>
        <v>592</v>
      </c>
      <c r="B593" s="43">
        <f>YEAR(WTG_BD[[#This Row],[Date]])+IF(MONTH(WTG_BD[[#This Row],[Date]])&gt;=4,1,0)</f>
        <v>2026</v>
      </c>
      <c r="C593" s="10">
        <v>2025</v>
      </c>
      <c r="D593" s="10" t="s">
        <v>4478</v>
      </c>
      <c r="E593" s="309">
        <f>WTG_BD[[#This Row],[Date]]-DAY(WTG_BD[[#This Row],[Date]])+1</f>
        <v>45839</v>
      </c>
      <c r="F593" s="32">
        <v>45852</v>
      </c>
      <c r="G593" t="s">
        <v>76</v>
      </c>
      <c r="H593" t="str">
        <f>IFERROR(VLOOKUP(WTG_BD[[#This Row],[Affected WTG]],'Basic Data'!$A$3:$E$25,2,0),"")</f>
        <v>O2R1</v>
      </c>
      <c r="I593" t="str">
        <f>IFERROR(VLOOKUP(WTG_BD[[#This Row],[Affected WTG]],'Basic Data'!$A$3:$E$25,3,0),"")</f>
        <v>KSIPL</v>
      </c>
      <c r="J593" s="355">
        <f>IFERROR(VLOOKUP(WTG_BD[[#This Row],[Affected WTG]],'Basic Data'!$A$3:$E$25,5,0),"")</f>
        <v>4.3478260869565223E-2</v>
      </c>
      <c r="K593" s="10">
        <v>450</v>
      </c>
      <c r="L593" t="str">
        <f>IFERROR(VLOOKUP(WTG_BD[[#This Row],[Error Code]],'Basic Data'!S:T,2,0),"Incorrect Error Code")</f>
        <v>Ext. High I sum Grd inv.</v>
      </c>
      <c r="M593" t="s">
        <v>368</v>
      </c>
      <c r="N593" t="s">
        <v>113</v>
      </c>
      <c r="O593" s="168">
        <v>0.79722222222222228</v>
      </c>
      <c r="P593" s="168">
        <v>0.79722222222222228</v>
      </c>
      <c r="Q593" s="168">
        <v>0.79861111111111116</v>
      </c>
      <c r="R593" s="356">
        <f>(WTG_BD[[#This Row],[Work Start TimeStamp]]-WTG_BD[[#This Row],[Fault Start TimeStamp]])*24</f>
        <v>0</v>
      </c>
      <c r="S593" s="34">
        <f>(WTG_BD[[#This Row],[Fault Clearance time]]-WTG_BD[[#This Row],[Work Start TimeStamp]])*24</f>
        <v>3.3333333333333215E-2</v>
      </c>
      <c r="T593" s="34">
        <f>(WTG_BD[[#This Row],[Fault Clearance time]]-WTG_BD[[#This Row],[Fault Start TimeStamp]])*24</f>
        <v>3.3333333333333215E-2</v>
      </c>
      <c r="U593" t="s">
        <v>262</v>
      </c>
      <c r="V593" s="234" t="s">
        <v>255</v>
      </c>
      <c r="W593" s="50">
        <f>IFERROR(IF(N593="ROW",0,(WTG_BD[[#This Row],[Breakdown Time]]*WTG_BD[[#This Row],[Plant Equivalent Weightage]])),"")</f>
        <v>1.4492753623188356E-3</v>
      </c>
      <c r="X593" s="50"/>
      <c r="Y593" s="205">
        <v>1</v>
      </c>
      <c r="Z593" s="4"/>
      <c r="AA593" s="4">
        <v>34</v>
      </c>
    </row>
    <row r="594" spans="1:27">
      <c r="A594" s="10">
        <f t="shared" si="11"/>
        <v>593</v>
      </c>
      <c r="B594" s="43">
        <f>YEAR(WTG_BD[[#This Row],[Date]])+IF(MONTH(WTG_BD[[#This Row],[Date]])&gt;=4,1,0)</f>
        <v>2026</v>
      </c>
      <c r="C594" s="10">
        <v>2025</v>
      </c>
      <c r="D594" s="10" t="s">
        <v>4478</v>
      </c>
      <c r="E594" s="309">
        <f>WTG_BD[[#This Row],[Date]]-DAY(WTG_BD[[#This Row],[Date]])+1</f>
        <v>45839</v>
      </c>
      <c r="F594" s="32">
        <v>45852</v>
      </c>
      <c r="G594" t="s">
        <v>76</v>
      </c>
      <c r="H594" t="str">
        <f>IFERROR(VLOOKUP(WTG_BD[[#This Row],[Affected WTG]],'Basic Data'!$A$3:$E$25,2,0),"")</f>
        <v>O2R1</v>
      </c>
      <c r="I594" t="str">
        <f>IFERROR(VLOOKUP(WTG_BD[[#This Row],[Affected WTG]],'Basic Data'!$A$3:$E$25,3,0),"")</f>
        <v>KSIPL</v>
      </c>
      <c r="J594" s="355">
        <f>IFERROR(VLOOKUP(WTG_BD[[#This Row],[Affected WTG]],'Basic Data'!$A$3:$E$25,5,0),"")</f>
        <v>4.3478260869565223E-2</v>
      </c>
      <c r="K594" s="10">
        <v>6293</v>
      </c>
      <c r="L594" t="str">
        <f>IFERROR(VLOOKUP(WTG_BD[[#This Row],[Error Code]],'Basic Data'!S:T,2,0),"Incorrect Error Code")</f>
        <v>Pitch valves test acitve</v>
      </c>
      <c r="M594" t="s">
        <v>4303</v>
      </c>
      <c r="N594" t="s">
        <v>113</v>
      </c>
      <c r="O594" s="168">
        <v>0.79861111111111116</v>
      </c>
      <c r="P594" s="168">
        <v>0.79861111111111116</v>
      </c>
      <c r="Q594" s="168">
        <v>0.80555555555555558</v>
      </c>
      <c r="R594" s="356">
        <f>(WTG_BD[[#This Row],[Work Start TimeStamp]]-WTG_BD[[#This Row],[Fault Start TimeStamp]])*24</f>
        <v>0</v>
      </c>
      <c r="S594" s="34">
        <f>(WTG_BD[[#This Row],[Fault Clearance time]]-WTG_BD[[#This Row],[Work Start TimeStamp]])*24</f>
        <v>0.16666666666666607</v>
      </c>
      <c r="T594" s="34">
        <f>(WTG_BD[[#This Row],[Fault Clearance time]]-WTG_BD[[#This Row],[Fault Start TimeStamp]])*24</f>
        <v>0.16666666666666607</v>
      </c>
      <c r="U594" t="s">
        <v>262</v>
      </c>
      <c r="V594" s="234" t="s">
        <v>255</v>
      </c>
      <c r="W594" s="50">
        <f>IFERROR(IF(N594="ROW",0,(WTG_BD[[#This Row],[Breakdown Time]]*WTG_BD[[#This Row],[Plant Equivalent Weightage]])),"")</f>
        <v>7.2463768115941778E-3</v>
      </c>
      <c r="X594" s="50"/>
      <c r="Y594" s="205">
        <v>1</v>
      </c>
      <c r="Z594" s="4"/>
      <c r="AA594" s="4">
        <v>270</v>
      </c>
    </row>
    <row r="595" spans="1:27">
      <c r="A595" s="10">
        <f t="shared" si="11"/>
        <v>594</v>
      </c>
      <c r="B595" s="43">
        <f>YEAR(WTG_BD[[#This Row],[Date]])+IF(MONTH(WTG_BD[[#This Row],[Date]])&gt;=4,1,0)</f>
        <v>2026</v>
      </c>
      <c r="C595" s="10">
        <v>2025</v>
      </c>
      <c r="D595" s="10" t="s">
        <v>4478</v>
      </c>
      <c r="E595" s="309">
        <f>WTG_BD[[#This Row],[Date]]-DAY(WTG_BD[[#This Row],[Date]])+1</f>
        <v>45839</v>
      </c>
      <c r="F595" s="32">
        <v>45852</v>
      </c>
      <c r="G595" t="s">
        <v>76</v>
      </c>
      <c r="H595" t="str">
        <f>IFERROR(VLOOKUP(WTG_BD[[#This Row],[Affected WTG]],'Basic Data'!$A$3:$E$25,2,0),"")</f>
        <v>O2R1</v>
      </c>
      <c r="I595" t="str">
        <f>IFERROR(VLOOKUP(WTG_BD[[#This Row],[Affected WTG]],'Basic Data'!$A$3:$E$25,3,0),"")</f>
        <v>KSIPL</v>
      </c>
      <c r="J595" s="355">
        <f>IFERROR(VLOOKUP(WTG_BD[[#This Row],[Affected WTG]],'Basic Data'!$A$3:$E$25,5,0),"")</f>
        <v>4.3478260869565223E-2</v>
      </c>
      <c r="K595" s="10">
        <v>5471</v>
      </c>
      <c r="L595" t="str">
        <f>IFERROR(VLOOKUP(WTG_BD[[#This Row],[Error Code]],'Basic Data'!S:T,2,0),"Incorrect Error Code")</f>
        <v>GeneratorBreakerTripped</v>
      </c>
      <c r="M595" t="s">
        <v>370</v>
      </c>
      <c r="N595" t="s">
        <v>107</v>
      </c>
      <c r="O595" s="168">
        <v>0.80555555555555558</v>
      </c>
      <c r="P595" s="168">
        <v>0.80555555555555558</v>
      </c>
      <c r="Q595" s="168">
        <v>0.99930555555555556</v>
      </c>
      <c r="R595" s="356">
        <f>(WTG_BD[[#This Row],[Work Start TimeStamp]]-WTG_BD[[#This Row],[Fault Start TimeStamp]])*24</f>
        <v>0</v>
      </c>
      <c r="S595" s="34">
        <f>(WTG_BD[[#This Row],[Fault Clearance time]]-WTG_BD[[#This Row],[Work Start TimeStamp]])*24</f>
        <v>4.6499999999999995</v>
      </c>
      <c r="T595" s="34">
        <f>(WTG_BD[[#This Row],[Fault Clearance time]]-WTG_BD[[#This Row],[Fault Start TimeStamp]])*24</f>
        <v>4.6499999999999995</v>
      </c>
      <c r="U595" t="s">
        <v>4646</v>
      </c>
      <c r="V595" s="234" t="s">
        <v>270</v>
      </c>
      <c r="W595" s="50">
        <f>IFERROR(IF(N595="ROW",0,(WTG_BD[[#This Row],[Breakdown Time]]*WTG_BD[[#This Row],[Plant Equivalent Weightage]])),"")</f>
        <v>0</v>
      </c>
      <c r="X595" s="50"/>
      <c r="Y595" s="205">
        <v>1</v>
      </c>
      <c r="Z595" s="4"/>
      <c r="AA595" s="4">
        <v>9159</v>
      </c>
    </row>
    <row r="596" spans="1:27">
      <c r="A596" s="10">
        <f t="shared" si="11"/>
        <v>595</v>
      </c>
      <c r="B596" s="43">
        <f>YEAR(WTG_BD[[#This Row],[Date]])+IF(MONTH(WTG_BD[[#This Row],[Date]])&gt;=4,1,0)</f>
        <v>2026</v>
      </c>
      <c r="C596" s="10">
        <v>2025</v>
      </c>
      <c r="D596" s="10" t="s">
        <v>4478</v>
      </c>
      <c r="E596" s="309">
        <f>WTG_BD[[#This Row],[Date]]-DAY(WTG_BD[[#This Row],[Date]])+1</f>
        <v>45839</v>
      </c>
      <c r="F596" s="32">
        <v>45853</v>
      </c>
      <c r="G596" t="s">
        <v>76</v>
      </c>
      <c r="H596" t="str">
        <f>IFERROR(VLOOKUP(WTG_BD[[#This Row],[Affected WTG]],'Basic Data'!$A$3:$E$25,2,0),"")</f>
        <v>O2R1</v>
      </c>
      <c r="I596" t="str">
        <f>IFERROR(VLOOKUP(WTG_BD[[#This Row],[Affected WTG]],'Basic Data'!$A$3:$E$25,3,0),"")</f>
        <v>KSIPL</v>
      </c>
      <c r="J596" s="355">
        <f>IFERROR(VLOOKUP(WTG_BD[[#This Row],[Affected WTG]],'Basic Data'!$A$3:$E$25,5,0),"")</f>
        <v>4.3478260869565223E-2</v>
      </c>
      <c r="K596" s="10">
        <v>5471</v>
      </c>
      <c r="L596" t="str">
        <f>IFERROR(VLOOKUP(WTG_BD[[#This Row],[Error Code]],'Basic Data'!S:T,2,0),"Incorrect Error Code")</f>
        <v>GeneratorBreakerTripped</v>
      </c>
      <c r="M596" t="s">
        <v>370</v>
      </c>
      <c r="N596" t="s">
        <v>107</v>
      </c>
      <c r="O596" s="168">
        <v>0</v>
      </c>
      <c r="P596" s="168">
        <v>0</v>
      </c>
      <c r="Q596" s="168">
        <v>0.45833333333333331</v>
      </c>
      <c r="R596" s="356">
        <f>(WTG_BD[[#This Row],[Work Start TimeStamp]]-WTG_BD[[#This Row],[Fault Start TimeStamp]])*24</f>
        <v>0</v>
      </c>
      <c r="S596" s="34">
        <f>(WTG_BD[[#This Row],[Fault Clearance time]]-WTG_BD[[#This Row],[Work Start TimeStamp]])*24</f>
        <v>11</v>
      </c>
      <c r="T596" s="34">
        <f>(WTG_BD[[#This Row],[Fault Clearance time]]-WTG_BD[[#This Row],[Fault Start TimeStamp]])*24</f>
        <v>11</v>
      </c>
      <c r="U596" t="s">
        <v>4646</v>
      </c>
      <c r="V596" s="234" t="s">
        <v>270</v>
      </c>
      <c r="W596" s="50">
        <f>IFERROR(IF(N596="ROW",0,(WTG_BD[[#This Row],[Breakdown Time]]*WTG_BD[[#This Row],[Plant Equivalent Weightage]])),"")</f>
        <v>0</v>
      </c>
      <c r="X596" s="50"/>
      <c r="Y596" s="205">
        <v>1</v>
      </c>
      <c r="Z596" s="4"/>
      <c r="AA596" s="4">
        <v>17626</v>
      </c>
    </row>
    <row r="597" spans="1:27">
      <c r="A597" s="10">
        <f t="shared" si="11"/>
        <v>596</v>
      </c>
      <c r="B597" s="43">
        <f>YEAR(WTG_BD[[#This Row],[Date]])+IF(MONTH(WTG_BD[[#This Row],[Date]])&gt;=4,1,0)</f>
        <v>2026</v>
      </c>
      <c r="C597" s="10">
        <v>2025</v>
      </c>
      <c r="D597" s="10" t="s">
        <v>4478</v>
      </c>
      <c r="E597" s="309">
        <f>WTG_BD[[#This Row],[Date]]-DAY(WTG_BD[[#This Row],[Date]])+1</f>
        <v>45839</v>
      </c>
      <c r="F597" s="32">
        <v>45853</v>
      </c>
      <c r="G597" t="s">
        <v>76</v>
      </c>
      <c r="H597" t="str">
        <f>IFERROR(VLOOKUP(WTG_BD[[#This Row],[Affected WTG]],'Basic Data'!$A$3:$E$25,2,0),"")</f>
        <v>O2R1</v>
      </c>
      <c r="I597" t="str">
        <f>IFERROR(VLOOKUP(WTG_BD[[#This Row],[Affected WTG]],'Basic Data'!$A$3:$E$25,3,0),"")</f>
        <v>KSIPL</v>
      </c>
      <c r="J597" s="355">
        <f>IFERROR(VLOOKUP(WTG_BD[[#This Row],[Affected WTG]],'Basic Data'!$A$3:$E$25,5,0),"")</f>
        <v>4.3478260869565223E-2</v>
      </c>
      <c r="K597" s="10">
        <v>5471</v>
      </c>
      <c r="L597" t="str">
        <f>IFERROR(VLOOKUP(WTG_BD[[#This Row],[Error Code]],'Basic Data'!S:T,2,0),"Incorrect Error Code")</f>
        <v>GeneratorBreakerTripped</v>
      </c>
      <c r="M597" t="s">
        <v>370</v>
      </c>
      <c r="N597" t="s">
        <v>113</v>
      </c>
      <c r="O597" s="168">
        <v>0.45833333333333331</v>
      </c>
      <c r="P597" s="168">
        <v>0.45833333333333331</v>
      </c>
      <c r="Q597" s="168">
        <v>0.66874999999999996</v>
      </c>
      <c r="R597" s="356">
        <f>(WTG_BD[[#This Row],[Work Start TimeStamp]]-WTG_BD[[#This Row],[Fault Start TimeStamp]])*24</f>
        <v>0</v>
      </c>
      <c r="S597" s="34">
        <f>(WTG_BD[[#This Row],[Fault Clearance time]]-WTG_BD[[#This Row],[Work Start TimeStamp]])*24</f>
        <v>5.0499999999999989</v>
      </c>
      <c r="T597" s="34">
        <f>(WTG_BD[[#This Row],[Fault Clearance time]]-WTG_BD[[#This Row],[Fault Start TimeStamp]])*24</f>
        <v>5.0499999999999989</v>
      </c>
      <c r="U597" t="s">
        <v>4676</v>
      </c>
      <c r="V597" s="234" t="s">
        <v>255</v>
      </c>
      <c r="W597" s="50">
        <f>IFERROR(IF(N597="ROW",0,(WTG_BD[[#This Row],[Breakdown Time]]*WTG_BD[[#This Row],[Plant Equivalent Weightage]])),"")</f>
        <v>0.21956521739130433</v>
      </c>
      <c r="X597" s="50"/>
      <c r="Y597" s="205">
        <v>1</v>
      </c>
      <c r="Z597" s="4"/>
      <c r="AA597" s="4">
        <v>7389</v>
      </c>
    </row>
    <row r="598" spans="1:27">
      <c r="A598" s="10">
        <f t="shared" si="11"/>
        <v>597</v>
      </c>
      <c r="B598" s="43">
        <f>YEAR(WTG_BD[[#This Row],[Date]])+IF(MONTH(WTG_BD[[#This Row],[Date]])&gt;=4,1,0)</f>
        <v>2026</v>
      </c>
      <c r="C598" s="10">
        <v>2025</v>
      </c>
      <c r="D598" s="10" t="s">
        <v>4478</v>
      </c>
      <c r="E598" s="309">
        <f>WTG_BD[[#This Row],[Date]]-DAY(WTG_BD[[#This Row],[Date]])+1</f>
        <v>45839</v>
      </c>
      <c r="F598" s="32">
        <v>45853</v>
      </c>
      <c r="G598" t="s">
        <v>87</v>
      </c>
      <c r="H598" t="str">
        <f>IFERROR(VLOOKUP(WTG_BD[[#This Row],[Affected WTG]],'Basic Data'!$A$3:$E$25,2,0),"")</f>
        <v>O2R1</v>
      </c>
      <c r="I598" t="str">
        <f>IFERROR(VLOOKUP(WTG_BD[[#This Row],[Affected WTG]],'Basic Data'!$A$3:$E$25,3,0),"")</f>
        <v>KSIPL</v>
      </c>
      <c r="J598" s="355">
        <f>IFERROR(VLOOKUP(WTG_BD[[#This Row],[Affected WTG]],'Basic Data'!$A$3:$E$25,5,0),"")</f>
        <v>4.3478260869565223E-2</v>
      </c>
      <c r="K598" s="10">
        <v>704</v>
      </c>
      <c r="L598" t="str">
        <f>IFERROR(VLOOKUP(WTG_BD[[#This Row],[Error Code]],'Basic Data'!S:T,2,0),"Incorrect Error Code")</f>
        <v>Ch High res. load C_ Load:___%</v>
      </c>
      <c r="M598" t="s">
        <v>372</v>
      </c>
      <c r="N598" t="s">
        <v>113</v>
      </c>
      <c r="O598" s="168">
        <v>0.89097222222222228</v>
      </c>
      <c r="P598" s="168">
        <v>0.89097222222222228</v>
      </c>
      <c r="Q598" s="168">
        <v>0.89583333333333337</v>
      </c>
      <c r="R598" s="356">
        <f>(WTG_BD[[#This Row],[Work Start TimeStamp]]-WTG_BD[[#This Row],[Fault Start TimeStamp]])*24</f>
        <v>0</v>
      </c>
      <c r="S598" s="34">
        <f>(WTG_BD[[#This Row],[Fault Clearance time]]-WTG_BD[[#This Row],[Work Start TimeStamp]])*24</f>
        <v>0.11666666666666625</v>
      </c>
      <c r="T598" s="34">
        <f>(WTG_BD[[#This Row],[Fault Clearance time]]-WTG_BD[[#This Row],[Fault Start TimeStamp]])*24</f>
        <v>0.11666666666666625</v>
      </c>
      <c r="U598" t="s">
        <v>4268</v>
      </c>
      <c r="V598" s="234" t="s">
        <v>255</v>
      </c>
      <c r="W598" s="50">
        <f>IFERROR(IF(N598="ROW",0,(WTG_BD[[#This Row],[Breakdown Time]]*WTG_BD[[#This Row],[Plant Equivalent Weightage]])),"")</f>
        <v>5.0724637681159243E-3</v>
      </c>
      <c r="X598" s="50"/>
      <c r="Y598" s="205">
        <v>1</v>
      </c>
      <c r="Z598" s="4"/>
      <c r="AA598" s="4">
        <v>50</v>
      </c>
    </row>
    <row r="599" spans="1:27">
      <c r="A599" s="10">
        <f t="shared" si="11"/>
        <v>598</v>
      </c>
      <c r="B599" s="43">
        <f>YEAR(WTG_BD[[#This Row],[Date]])+IF(MONTH(WTG_BD[[#This Row],[Date]])&gt;=4,1,0)</f>
        <v>2026</v>
      </c>
      <c r="C599" s="10">
        <v>2025</v>
      </c>
      <c r="D599" s="10" t="s">
        <v>4478</v>
      </c>
      <c r="E599" s="309">
        <f>WTG_BD[[#This Row],[Date]]-DAY(WTG_BD[[#This Row],[Date]])+1</f>
        <v>45839</v>
      </c>
      <c r="F599" s="32">
        <v>45853</v>
      </c>
      <c r="G599" t="s">
        <v>87</v>
      </c>
      <c r="H599" t="str">
        <f>IFERROR(VLOOKUP(WTG_BD[[#This Row],[Affected WTG]],'Basic Data'!$A$3:$E$25,2,0),"")</f>
        <v>O2R1</v>
      </c>
      <c r="I599" t="str">
        <f>IFERROR(VLOOKUP(WTG_BD[[#This Row],[Affected WTG]],'Basic Data'!$A$3:$E$25,3,0),"")</f>
        <v>KSIPL</v>
      </c>
      <c r="J599" s="355">
        <f>IFERROR(VLOOKUP(WTG_BD[[#This Row],[Affected WTG]],'Basic Data'!$A$3:$E$25,5,0),"")</f>
        <v>4.3478260869565223E-2</v>
      </c>
      <c r="K599" s="10">
        <v>6293</v>
      </c>
      <c r="L599" t="str">
        <f>IFERROR(VLOOKUP(WTG_BD[[#This Row],[Error Code]],'Basic Data'!S:T,2,0),"Incorrect Error Code")</f>
        <v>Pitch valves test acitve</v>
      </c>
      <c r="M599" t="s">
        <v>4303</v>
      </c>
      <c r="N599" t="s">
        <v>113</v>
      </c>
      <c r="O599" s="168">
        <v>0.9</v>
      </c>
      <c r="P599" s="168">
        <v>0.9</v>
      </c>
      <c r="Q599" s="168">
        <v>0.90277777777777779</v>
      </c>
      <c r="R599" s="356">
        <f>(WTG_BD[[#This Row],[Work Start TimeStamp]]-WTG_BD[[#This Row],[Fault Start TimeStamp]])*24</f>
        <v>0</v>
      </c>
      <c r="S599" s="34">
        <f>(WTG_BD[[#This Row],[Fault Clearance time]]-WTG_BD[[#This Row],[Work Start TimeStamp]])*24</f>
        <v>6.666666666666643E-2</v>
      </c>
      <c r="T599" s="34">
        <f>(WTG_BD[[#This Row],[Fault Clearance time]]-WTG_BD[[#This Row],[Fault Start TimeStamp]])*24</f>
        <v>6.666666666666643E-2</v>
      </c>
      <c r="U599" t="s">
        <v>262</v>
      </c>
      <c r="V599" s="234" t="s">
        <v>255</v>
      </c>
      <c r="W599" s="50">
        <f>IFERROR(IF(N599="ROW",0,(WTG_BD[[#This Row],[Breakdown Time]]*WTG_BD[[#This Row],[Plant Equivalent Weightage]])),"")</f>
        <v>2.8985507246376712E-3</v>
      </c>
      <c r="X599" s="50"/>
      <c r="Y599" s="205">
        <v>1</v>
      </c>
      <c r="Z599" s="4"/>
      <c r="AA599" s="4">
        <v>52</v>
      </c>
    </row>
    <row r="600" spans="1:27">
      <c r="A600" s="10">
        <f t="shared" si="11"/>
        <v>599</v>
      </c>
      <c r="B600" s="43">
        <f>YEAR(WTG_BD[[#This Row],[Date]])+IF(MONTH(WTG_BD[[#This Row],[Date]])&gt;=4,1,0)</f>
        <v>2026</v>
      </c>
      <c r="C600" s="10">
        <v>2025</v>
      </c>
      <c r="D600" s="10" t="s">
        <v>4478</v>
      </c>
      <c r="E600" s="309">
        <f>WTG_BD[[#This Row],[Date]]-DAY(WTG_BD[[#This Row],[Date]])+1</f>
        <v>45839</v>
      </c>
      <c r="F600" s="32">
        <v>45853</v>
      </c>
      <c r="G600" t="s">
        <v>95</v>
      </c>
      <c r="H600" t="str">
        <f>IFERROR(VLOOKUP(WTG_BD[[#This Row],[Affected WTG]],'Basic Data'!$A$3:$E$25,2,0),"")</f>
        <v>O2R1</v>
      </c>
      <c r="I600" t="str">
        <f>IFERROR(VLOOKUP(WTG_BD[[#This Row],[Affected WTG]],'Basic Data'!$A$3:$E$25,3,0),"")</f>
        <v>KSIPL</v>
      </c>
      <c r="J600" s="355">
        <f>IFERROR(VLOOKUP(WTG_BD[[#This Row],[Affected WTG]],'Basic Data'!$A$3:$E$25,5,0),"")</f>
        <v>4.3478260869565223E-2</v>
      </c>
      <c r="K600" s="10">
        <v>450</v>
      </c>
      <c r="L600" t="str">
        <f>IFERROR(VLOOKUP(WTG_BD[[#This Row],[Error Code]],'Basic Data'!S:T,2,0),"Incorrect Error Code")</f>
        <v>Ext. High I sum Grd inv.</v>
      </c>
      <c r="M600" t="s">
        <v>368</v>
      </c>
      <c r="N600" t="s">
        <v>113</v>
      </c>
      <c r="O600" s="168">
        <v>0.98958333333333337</v>
      </c>
      <c r="P600" s="168">
        <v>0.98958333333333337</v>
      </c>
      <c r="Q600" s="168">
        <v>0.99305555555555558</v>
      </c>
      <c r="R600" s="356">
        <f>(WTG_BD[[#This Row],[Work Start TimeStamp]]-WTG_BD[[#This Row],[Fault Start TimeStamp]])*24</f>
        <v>0</v>
      </c>
      <c r="S600" s="34">
        <f>(WTG_BD[[#This Row],[Fault Clearance time]]-WTG_BD[[#This Row],[Work Start TimeStamp]])*24</f>
        <v>8.3333333333333037E-2</v>
      </c>
      <c r="T600" s="34">
        <f>(WTG_BD[[#This Row],[Fault Clearance time]]-WTG_BD[[#This Row],[Fault Start TimeStamp]])*24</f>
        <v>8.3333333333333037E-2</v>
      </c>
      <c r="U600" t="s">
        <v>262</v>
      </c>
      <c r="V600" s="234" t="s">
        <v>255</v>
      </c>
      <c r="W600" s="50">
        <f>IFERROR(IF(N600="ROW",0,(WTG_BD[[#This Row],[Breakdown Time]]*WTG_BD[[#This Row],[Plant Equivalent Weightage]])),"")</f>
        <v>3.6231884057970889E-3</v>
      </c>
      <c r="X600" s="50"/>
      <c r="Y600" s="205">
        <v>1</v>
      </c>
      <c r="Z600" s="4"/>
      <c r="AA600" s="4">
        <v>59</v>
      </c>
    </row>
    <row r="601" spans="1:27">
      <c r="A601" s="10">
        <f t="shared" si="11"/>
        <v>600</v>
      </c>
      <c r="B601" s="43">
        <f>YEAR(WTG_BD[[#This Row],[Date]])+IF(MONTH(WTG_BD[[#This Row],[Date]])&gt;=4,1,0)</f>
        <v>2026</v>
      </c>
      <c r="C601" s="10">
        <v>2025</v>
      </c>
      <c r="D601" s="10" t="s">
        <v>4478</v>
      </c>
      <c r="E601" s="309">
        <f>WTG_BD[[#This Row],[Date]]-DAY(WTG_BD[[#This Row],[Date]])+1</f>
        <v>45839</v>
      </c>
      <c r="F601" s="32">
        <v>45853</v>
      </c>
      <c r="G601" t="s">
        <v>95</v>
      </c>
      <c r="H601" t="str">
        <f>IFERROR(VLOOKUP(WTG_BD[[#This Row],[Affected WTG]],'Basic Data'!$A$3:$E$25,2,0),"")</f>
        <v>O2R1</v>
      </c>
      <c r="I601" t="str">
        <f>IFERROR(VLOOKUP(WTG_BD[[#This Row],[Affected WTG]],'Basic Data'!$A$3:$E$25,3,0),"")</f>
        <v>KSIPL</v>
      </c>
      <c r="J601" s="355">
        <f>IFERROR(VLOOKUP(WTG_BD[[#This Row],[Affected WTG]],'Basic Data'!$A$3:$E$25,5,0),"")</f>
        <v>4.3478260869565223E-2</v>
      </c>
      <c r="K601" s="10">
        <v>6290</v>
      </c>
      <c r="L601" t="str">
        <f>IFERROR(VLOOKUP(WTG_BD[[#This Row],[Error Code]],'Basic Data'!S:T,2,0),"Incorrect Error Code")</f>
        <v>Pitch Accu. Test active</v>
      </c>
      <c r="M601" t="s">
        <v>4304</v>
      </c>
      <c r="N601" t="s">
        <v>113</v>
      </c>
      <c r="O601" s="168">
        <v>0.99791666666666667</v>
      </c>
      <c r="P601" s="168">
        <v>0.99791666666666667</v>
      </c>
      <c r="Q601" s="168">
        <v>0.99930555555555556</v>
      </c>
      <c r="R601" s="356">
        <f>(WTG_BD[[#This Row],[Work Start TimeStamp]]-WTG_BD[[#This Row],[Fault Start TimeStamp]])*24</f>
        <v>0</v>
      </c>
      <c r="S601" s="34">
        <f>(WTG_BD[[#This Row],[Fault Clearance time]]-WTG_BD[[#This Row],[Work Start TimeStamp]])*24</f>
        <v>3.3333333333333215E-2</v>
      </c>
      <c r="T601" s="34">
        <f>(WTG_BD[[#This Row],[Fault Clearance time]]-WTG_BD[[#This Row],[Fault Start TimeStamp]])*24</f>
        <v>3.3333333333333215E-2</v>
      </c>
      <c r="U601" t="s">
        <v>262</v>
      </c>
      <c r="V601" s="234" t="s">
        <v>255</v>
      </c>
      <c r="W601" s="50">
        <f>IFERROR(IF(N601="ROW",0,(WTG_BD[[#This Row],[Breakdown Time]]*WTG_BD[[#This Row],[Plant Equivalent Weightage]])),"")</f>
        <v>1.4492753623188356E-3</v>
      </c>
      <c r="X601" s="50"/>
      <c r="Y601" s="205">
        <v>1</v>
      </c>
      <c r="Z601" s="4"/>
      <c r="AA601" s="4">
        <v>90</v>
      </c>
    </row>
    <row r="602" spans="1:27">
      <c r="A602" s="10">
        <f t="shared" si="11"/>
        <v>601</v>
      </c>
      <c r="B602" s="43">
        <f>YEAR(WTG_BD[[#This Row],[Date]])+IF(MONTH(WTG_BD[[#This Row],[Date]])&gt;=4,1,0)</f>
        <v>2026</v>
      </c>
      <c r="C602" s="10">
        <v>2025</v>
      </c>
      <c r="D602" s="10" t="s">
        <v>4478</v>
      </c>
      <c r="E602" s="309">
        <f>WTG_BD[[#This Row],[Date]]-DAY(WTG_BD[[#This Row],[Date]])+1</f>
        <v>45839</v>
      </c>
      <c r="F602" s="32">
        <v>45853</v>
      </c>
      <c r="G602" t="s">
        <v>79</v>
      </c>
      <c r="H602" t="str">
        <f>IFERROR(VLOOKUP(WTG_BD[[#This Row],[Affected WTG]],'Basic Data'!$A$3:$E$25,2,0),"")</f>
        <v>O2R3</v>
      </c>
      <c r="I602" t="str">
        <f>IFERROR(VLOOKUP(WTG_BD[[#This Row],[Affected WTG]],'Basic Data'!$A$3:$E$25,3,0),"")</f>
        <v>JK</v>
      </c>
      <c r="J602" s="355">
        <f>IFERROR(VLOOKUP(WTG_BD[[#This Row],[Affected WTG]],'Basic Data'!$A$3:$E$25,5,0),"")</f>
        <v>4.3478260869565223E-2</v>
      </c>
      <c r="K602" s="10">
        <v>704</v>
      </c>
      <c r="L602" t="str">
        <f>IFERROR(VLOOKUP(WTG_BD[[#This Row],[Error Code]],'Basic Data'!S:T,2,0),"Incorrect Error Code")</f>
        <v>Ch High res. load C_ Load:___%</v>
      </c>
      <c r="M602" t="s">
        <v>372</v>
      </c>
      <c r="N602" t="s">
        <v>113</v>
      </c>
      <c r="O602" s="168">
        <v>0.87569444444444444</v>
      </c>
      <c r="P602" s="168">
        <v>0.87569444444444444</v>
      </c>
      <c r="Q602" s="168">
        <v>0.89513888888888893</v>
      </c>
      <c r="R602" s="356">
        <f>(WTG_BD[[#This Row],[Work Start TimeStamp]]-WTG_BD[[#This Row],[Fault Start TimeStamp]])*24</f>
        <v>0</v>
      </c>
      <c r="S602" s="34">
        <f>(WTG_BD[[#This Row],[Fault Clearance time]]-WTG_BD[[#This Row],[Work Start TimeStamp]])*24</f>
        <v>0.46666666666666767</v>
      </c>
      <c r="T602" s="34">
        <f>(WTG_BD[[#This Row],[Fault Clearance time]]-WTG_BD[[#This Row],[Fault Start TimeStamp]])*24</f>
        <v>0.46666666666666767</v>
      </c>
      <c r="U602" t="s">
        <v>4268</v>
      </c>
      <c r="V602" s="234" t="s">
        <v>255</v>
      </c>
      <c r="W602" s="50">
        <f>IFERROR(IF(N602="ROW",0,(WTG_BD[[#This Row],[Breakdown Time]]*WTG_BD[[#This Row],[Plant Equivalent Weightage]])),"")</f>
        <v>2.0289855072463815E-2</v>
      </c>
      <c r="X602" s="50"/>
      <c r="Y602" s="205">
        <v>1</v>
      </c>
      <c r="Z602" s="4"/>
      <c r="AA602" s="4">
        <v>132</v>
      </c>
    </row>
    <row r="603" spans="1:27">
      <c r="A603" s="10">
        <f t="shared" si="11"/>
        <v>602</v>
      </c>
      <c r="B603" s="43">
        <f>YEAR(WTG_BD[[#This Row],[Date]])+IF(MONTH(WTG_BD[[#This Row],[Date]])&gt;=4,1,0)</f>
        <v>2026</v>
      </c>
      <c r="C603" s="10">
        <v>2025</v>
      </c>
      <c r="D603" s="10" t="s">
        <v>4478</v>
      </c>
      <c r="E603" s="309">
        <f>WTG_BD[[#This Row],[Date]]-DAY(WTG_BD[[#This Row],[Date]])+1</f>
        <v>45839</v>
      </c>
      <c r="F603" s="32">
        <v>45853</v>
      </c>
      <c r="G603" t="s">
        <v>79</v>
      </c>
      <c r="H603" t="str">
        <f>IFERROR(VLOOKUP(WTG_BD[[#This Row],[Affected WTG]],'Basic Data'!$A$3:$E$25,2,0),"")</f>
        <v>O2R3</v>
      </c>
      <c r="I603" t="str">
        <f>IFERROR(VLOOKUP(WTG_BD[[#This Row],[Affected WTG]],'Basic Data'!$A$3:$E$25,3,0),"")</f>
        <v>JK</v>
      </c>
      <c r="J603" s="355">
        <f>IFERROR(VLOOKUP(WTG_BD[[#This Row],[Affected WTG]],'Basic Data'!$A$3:$E$25,5,0),"")</f>
        <v>4.3478260869565223E-2</v>
      </c>
      <c r="K603" s="10">
        <v>6293</v>
      </c>
      <c r="L603" t="str">
        <f>IFERROR(VLOOKUP(WTG_BD[[#This Row],[Error Code]],'Basic Data'!S:T,2,0),"Incorrect Error Code")</f>
        <v>Pitch valves test acitve</v>
      </c>
      <c r="M603" t="s">
        <v>4303</v>
      </c>
      <c r="N603" t="s">
        <v>113</v>
      </c>
      <c r="O603" s="168">
        <v>0.89861111111111114</v>
      </c>
      <c r="P603" s="168">
        <v>0.89861111111111114</v>
      </c>
      <c r="Q603" s="168">
        <v>0.90277777777777779</v>
      </c>
      <c r="R603" s="356">
        <f>(WTG_BD[[#This Row],[Work Start TimeStamp]]-WTG_BD[[#This Row],[Fault Start TimeStamp]])*24</f>
        <v>0</v>
      </c>
      <c r="S603" s="34">
        <f>(WTG_BD[[#This Row],[Fault Clearance time]]-WTG_BD[[#This Row],[Work Start TimeStamp]])*24</f>
        <v>9.9999999999999645E-2</v>
      </c>
      <c r="T603" s="34">
        <f>(WTG_BD[[#This Row],[Fault Clearance time]]-WTG_BD[[#This Row],[Fault Start TimeStamp]])*24</f>
        <v>9.9999999999999645E-2</v>
      </c>
      <c r="U603" t="s">
        <v>262</v>
      </c>
      <c r="V603" s="234" t="s">
        <v>255</v>
      </c>
      <c r="W603" s="50">
        <f>IFERROR(IF(N603="ROW",0,(WTG_BD[[#This Row],[Breakdown Time]]*WTG_BD[[#This Row],[Plant Equivalent Weightage]])),"")</f>
        <v>4.347826086956507E-3</v>
      </c>
      <c r="X603" s="50"/>
      <c r="Y603" s="205">
        <v>1</v>
      </c>
      <c r="Z603" s="4"/>
      <c r="AA603" s="4">
        <v>33</v>
      </c>
    </row>
    <row r="604" spans="1:27">
      <c r="A604" s="10">
        <f t="shared" si="11"/>
        <v>603</v>
      </c>
      <c r="B604" s="43">
        <f>YEAR(WTG_BD[[#This Row],[Date]])+IF(MONTH(WTG_BD[[#This Row],[Date]])&gt;=4,1,0)</f>
        <v>2026</v>
      </c>
      <c r="C604" s="10">
        <v>2025</v>
      </c>
      <c r="D604" s="10" t="s">
        <v>4478</v>
      </c>
      <c r="E604" s="309">
        <f>WTG_BD[[#This Row],[Date]]-DAY(WTG_BD[[#This Row],[Date]])+1</f>
        <v>45839</v>
      </c>
      <c r="F604" s="32">
        <v>45853</v>
      </c>
      <c r="G604" t="s">
        <v>79</v>
      </c>
      <c r="H604" t="str">
        <f>IFERROR(VLOOKUP(WTG_BD[[#This Row],[Affected WTG]],'Basic Data'!$A$3:$E$25,2,0),"")</f>
        <v>O2R3</v>
      </c>
      <c r="I604" t="str">
        <f>IFERROR(VLOOKUP(WTG_BD[[#This Row],[Affected WTG]],'Basic Data'!$A$3:$E$25,3,0),"")</f>
        <v>JK</v>
      </c>
      <c r="J604" s="355">
        <f>IFERROR(VLOOKUP(WTG_BD[[#This Row],[Affected WTG]],'Basic Data'!$A$3:$E$25,5,0),"")</f>
        <v>4.3478260869565223E-2</v>
      </c>
      <c r="K604" s="10">
        <v>704</v>
      </c>
      <c r="L604" t="str">
        <f>IFERROR(VLOOKUP(WTG_BD[[#This Row],[Error Code]],'Basic Data'!S:T,2,0),"Incorrect Error Code")</f>
        <v>Ch High res. load C_ Load:___%</v>
      </c>
      <c r="M604" t="s">
        <v>372</v>
      </c>
      <c r="N604" t="s">
        <v>113</v>
      </c>
      <c r="O604" s="168">
        <v>0.90486111111111112</v>
      </c>
      <c r="P604" s="168">
        <v>0.90486111111111112</v>
      </c>
      <c r="Q604" s="168">
        <v>0.90972222222222221</v>
      </c>
      <c r="R604" s="356">
        <f>(WTG_BD[[#This Row],[Work Start TimeStamp]]-WTG_BD[[#This Row],[Fault Start TimeStamp]])*24</f>
        <v>0</v>
      </c>
      <c r="S604" s="34">
        <f>(WTG_BD[[#This Row],[Fault Clearance time]]-WTG_BD[[#This Row],[Work Start TimeStamp]])*24</f>
        <v>0.11666666666666625</v>
      </c>
      <c r="T604" s="34">
        <f>(WTG_BD[[#This Row],[Fault Clearance time]]-WTG_BD[[#This Row],[Fault Start TimeStamp]])*24</f>
        <v>0.11666666666666625</v>
      </c>
      <c r="U604" t="s">
        <v>4268</v>
      </c>
      <c r="V604" s="234" t="s">
        <v>255</v>
      </c>
      <c r="W604" s="50">
        <f>IFERROR(IF(N604="ROW",0,(WTG_BD[[#This Row],[Breakdown Time]]*WTG_BD[[#This Row],[Plant Equivalent Weightage]])),"")</f>
        <v>5.0724637681159243E-3</v>
      </c>
      <c r="X604" s="50"/>
      <c r="Y604" s="205">
        <v>1</v>
      </c>
      <c r="Z604" s="4"/>
      <c r="AA604" s="4">
        <v>85</v>
      </c>
    </row>
    <row r="605" spans="1:27">
      <c r="A605" s="10">
        <f t="shared" si="11"/>
        <v>604</v>
      </c>
      <c r="B605" s="43">
        <f>YEAR(WTG_BD[[#This Row],[Date]])+IF(MONTH(WTG_BD[[#This Row],[Date]])&gt;=4,1,0)</f>
        <v>2026</v>
      </c>
      <c r="C605" s="10">
        <v>2025</v>
      </c>
      <c r="D605" s="10" t="s">
        <v>4478</v>
      </c>
      <c r="E605" s="309">
        <f>WTG_BD[[#This Row],[Date]]-DAY(WTG_BD[[#This Row],[Date]])+1</f>
        <v>45839</v>
      </c>
      <c r="F605" s="32">
        <v>45854</v>
      </c>
      <c r="G605" t="s">
        <v>97</v>
      </c>
      <c r="H605" t="str">
        <f>IFERROR(VLOOKUP(WTG_BD[[#This Row],[Affected WTG]],'Basic Data'!$A$3:$E$25,2,0),"")</f>
        <v>O2R3</v>
      </c>
      <c r="I605" t="str">
        <f>IFERROR(VLOOKUP(WTG_BD[[#This Row],[Affected WTG]],'Basic Data'!$A$3:$E$25,3,0),"")</f>
        <v>JK</v>
      </c>
      <c r="J605" s="355">
        <f>IFERROR(VLOOKUP(WTG_BD[[#This Row],[Affected WTG]],'Basic Data'!$A$3:$E$25,5,0),"")</f>
        <v>4.3478260869565223E-2</v>
      </c>
      <c r="K605" s="10">
        <v>3806</v>
      </c>
      <c r="L605" t="str">
        <f>IFERROR(VLOOKUP(WTG_BD[[#This Row],[Error Code]],'Basic Data'!S:T,2,0),"Incorrect Error Code")</f>
        <v>HubSafetySystem Batt.Charg.Err</v>
      </c>
      <c r="M605" t="s">
        <v>381</v>
      </c>
      <c r="N605" t="s">
        <v>113</v>
      </c>
      <c r="O605" s="270">
        <v>0.76180555555555551</v>
      </c>
      <c r="P605" s="270">
        <v>0.76180555555555551</v>
      </c>
      <c r="Q605" s="270">
        <v>0.76388888888888884</v>
      </c>
      <c r="R605" s="356">
        <f>(WTG_BD[[#This Row],[Work Start TimeStamp]]-WTG_BD[[#This Row],[Fault Start TimeStamp]])*24</f>
        <v>0</v>
      </c>
      <c r="S605" s="34">
        <f>(WTG_BD[[#This Row],[Fault Clearance time]]-WTG_BD[[#This Row],[Work Start TimeStamp]])*24</f>
        <v>4.9999999999999822E-2</v>
      </c>
      <c r="T605" s="34">
        <f>(WTG_BD[[#This Row],[Fault Clearance time]]-WTG_BD[[#This Row],[Fault Start TimeStamp]])*24</f>
        <v>4.9999999999999822E-2</v>
      </c>
      <c r="U605" t="s">
        <v>4268</v>
      </c>
      <c r="V605" s="234" t="s">
        <v>255</v>
      </c>
      <c r="W605" s="50">
        <f>IFERROR(IF(N605="ROW",0,(WTG_BD[[#This Row],[Breakdown Time]]*WTG_BD[[#This Row],[Plant Equivalent Weightage]])),"")</f>
        <v>2.1739130434782535E-3</v>
      </c>
      <c r="X605" s="50"/>
      <c r="Y605" s="205">
        <v>1</v>
      </c>
      <c r="Z605" s="4"/>
      <c r="AA605" s="4">
        <v>21</v>
      </c>
    </row>
    <row r="606" spans="1:27">
      <c r="A606" s="10">
        <f t="shared" si="11"/>
        <v>605</v>
      </c>
      <c r="B606" s="43">
        <f>YEAR(WTG_BD[[#This Row],[Date]])+IF(MONTH(WTG_BD[[#This Row],[Date]])&gt;=4,1,0)</f>
        <v>2026</v>
      </c>
      <c r="C606" s="10">
        <v>2025</v>
      </c>
      <c r="D606" s="10" t="s">
        <v>4478</v>
      </c>
      <c r="E606" s="309">
        <f>WTG_BD[[#This Row],[Date]]-DAY(WTG_BD[[#This Row],[Date]])+1</f>
        <v>45839</v>
      </c>
      <c r="F606" s="32">
        <v>45854</v>
      </c>
      <c r="G606" t="s">
        <v>97</v>
      </c>
      <c r="H606" t="str">
        <f>IFERROR(VLOOKUP(WTG_BD[[#This Row],[Affected WTG]],'Basic Data'!$A$3:$E$25,2,0),"")</f>
        <v>O2R3</v>
      </c>
      <c r="I606" t="str">
        <f>IFERROR(VLOOKUP(WTG_BD[[#This Row],[Affected WTG]],'Basic Data'!$A$3:$E$25,3,0),"")</f>
        <v>JK</v>
      </c>
      <c r="J606" s="355">
        <f>IFERROR(VLOOKUP(WTG_BD[[#This Row],[Affected WTG]],'Basic Data'!$A$3:$E$25,5,0),"")</f>
        <v>4.3478260869565223E-2</v>
      </c>
      <c r="K606" s="10">
        <v>704</v>
      </c>
      <c r="L606" t="str">
        <f>IFERROR(VLOOKUP(WTG_BD[[#This Row],[Error Code]],'Basic Data'!S:T,2,0),"Incorrect Error Code")</f>
        <v>Ch High res. load C_ Load:___%</v>
      </c>
      <c r="M606" t="s">
        <v>372</v>
      </c>
      <c r="N606" t="s">
        <v>113</v>
      </c>
      <c r="O606" s="270">
        <v>0.76597222222222228</v>
      </c>
      <c r="P606" s="270">
        <v>0.76597222222222228</v>
      </c>
      <c r="Q606" s="270">
        <v>0.77083333333333337</v>
      </c>
      <c r="R606" s="356">
        <f>(WTG_BD[[#This Row],[Work Start TimeStamp]]-WTG_BD[[#This Row],[Fault Start TimeStamp]])*24</f>
        <v>0</v>
      </c>
      <c r="S606" s="34">
        <f>(WTG_BD[[#This Row],[Fault Clearance time]]-WTG_BD[[#This Row],[Work Start TimeStamp]])*24</f>
        <v>0.11666666666666625</v>
      </c>
      <c r="T606" s="34">
        <f>(WTG_BD[[#This Row],[Fault Clearance time]]-WTG_BD[[#This Row],[Fault Start TimeStamp]])*24</f>
        <v>0.11666666666666625</v>
      </c>
      <c r="U606" t="s">
        <v>4268</v>
      </c>
      <c r="V606" s="234" t="s">
        <v>255</v>
      </c>
      <c r="W606" s="50">
        <f>IFERROR(IF(N606="ROW",0,(WTG_BD[[#This Row],[Breakdown Time]]*WTG_BD[[#This Row],[Plant Equivalent Weightage]])),"")</f>
        <v>5.0724637681159243E-3</v>
      </c>
      <c r="X606" s="50"/>
      <c r="Y606" s="205">
        <v>1</v>
      </c>
      <c r="Z606" s="4"/>
      <c r="AA606" s="4">
        <v>88</v>
      </c>
    </row>
    <row r="607" spans="1:27">
      <c r="A607" s="10">
        <f t="shared" ref="A607:A622" si="12">A606+1</f>
        <v>606</v>
      </c>
      <c r="B607" s="43">
        <f>YEAR(WTG_BD[[#This Row],[Date]])+IF(MONTH(WTG_BD[[#This Row],[Date]])&gt;=4,1,0)</f>
        <v>2026</v>
      </c>
      <c r="C607" s="10">
        <v>2025</v>
      </c>
      <c r="D607" s="10" t="s">
        <v>4478</v>
      </c>
      <c r="E607" s="309">
        <f>WTG_BD[[#This Row],[Date]]-DAY(WTG_BD[[#This Row],[Date]])+1</f>
        <v>45839</v>
      </c>
      <c r="F607" s="32">
        <v>45854</v>
      </c>
      <c r="G607" t="s">
        <v>97</v>
      </c>
      <c r="H607" t="str">
        <f>IFERROR(VLOOKUP(WTG_BD[[#This Row],[Affected WTG]],'Basic Data'!$A$3:$E$25,2,0),"")</f>
        <v>O2R3</v>
      </c>
      <c r="I607" t="str">
        <f>IFERROR(VLOOKUP(WTG_BD[[#This Row],[Affected WTG]],'Basic Data'!$A$3:$E$25,3,0),"")</f>
        <v>JK</v>
      </c>
      <c r="J607" s="355">
        <f>IFERROR(VLOOKUP(WTG_BD[[#This Row],[Affected WTG]],'Basic Data'!$A$3:$E$25,5,0),"")</f>
        <v>4.3478260869565223E-2</v>
      </c>
      <c r="K607" s="10">
        <v>6293</v>
      </c>
      <c r="L607" t="str">
        <f>IFERROR(VLOOKUP(WTG_BD[[#This Row],[Error Code]],'Basic Data'!S:T,2,0),"Incorrect Error Code")</f>
        <v>Pitch valves test acitve</v>
      </c>
      <c r="M607" t="s">
        <v>4303</v>
      </c>
      <c r="N607" t="s">
        <v>113</v>
      </c>
      <c r="O607" s="270">
        <v>0.77500000000000002</v>
      </c>
      <c r="P607" s="270">
        <v>0.77500000000000002</v>
      </c>
      <c r="Q607" s="270">
        <v>0.77777777777777779</v>
      </c>
      <c r="R607" s="356">
        <f>(WTG_BD[[#This Row],[Work Start TimeStamp]]-WTG_BD[[#This Row],[Fault Start TimeStamp]])*24</f>
        <v>0</v>
      </c>
      <c r="S607" s="34">
        <f>(WTG_BD[[#This Row],[Fault Clearance time]]-WTG_BD[[#This Row],[Work Start TimeStamp]])*24</f>
        <v>6.666666666666643E-2</v>
      </c>
      <c r="T607" s="34">
        <f>(WTG_BD[[#This Row],[Fault Clearance time]]-WTG_BD[[#This Row],[Fault Start TimeStamp]])*24</f>
        <v>6.666666666666643E-2</v>
      </c>
      <c r="U607" t="s">
        <v>262</v>
      </c>
      <c r="V607" s="234" t="s">
        <v>255</v>
      </c>
      <c r="W607" s="50">
        <f>IFERROR(IF(N607="ROW",0,(WTG_BD[[#This Row],[Breakdown Time]]*WTG_BD[[#This Row],[Plant Equivalent Weightage]])),"")</f>
        <v>2.8985507246376712E-3</v>
      </c>
      <c r="X607" s="50"/>
      <c r="Y607" s="205">
        <v>1</v>
      </c>
      <c r="Z607" s="4"/>
      <c r="AA607" s="4">
        <v>90</v>
      </c>
    </row>
    <row r="608" spans="1:27" ht="15" customHeight="1">
      <c r="A608" s="10">
        <f t="shared" si="12"/>
        <v>607</v>
      </c>
      <c r="B608" s="43">
        <f>YEAR(WTG_BD[[#This Row],[Date]])+IF(MONTH(WTG_BD[[#This Row],[Date]])&gt;=4,1,0)</f>
        <v>2026</v>
      </c>
      <c r="C608" s="10">
        <v>2025</v>
      </c>
      <c r="D608" s="10" t="s">
        <v>4478</v>
      </c>
      <c r="E608" s="309">
        <f>WTG_BD[[#This Row],[Date]]-DAY(WTG_BD[[#This Row],[Date]])+1</f>
        <v>45839</v>
      </c>
      <c r="F608" s="32">
        <v>45855</v>
      </c>
      <c r="G608" s="46" t="s">
        <v>94</v>
      </c>
      <c r="H608" s="46" t="str">
        <f>IFERROR(VLOOKUP(WTG_BD[[#This Row],[Affected WTG]],'Basic Data'!$A$3:$E$25,2,0),"")</f>
        <v>O2R1</v>
      </c>
      <c r="I608" s="10" t="str">
        <f>IFERROR(VLOOKUP(WTG_BD[[#This Row],[Affected WTG]],'Basic Data'!$A$3:$E$25,3,0),"")</f>
        <v>KSIPL</v>
      </c>
      <c r="J608" s="361">
        <f>IFERROR(VLOOKUP(WTG_BD[[#This Row],[Affected WTG]],'Basic Data'!$A$3:$E$25,5,0),"")</f>
        <v>4.3478260869565223E-2</v>
      </c>
      <c r="K608" s="10">
        <v>900</v>
      </c>
      <c r="L608" s="46" t="str">
        <f>IFERROR(VLOOKUP(WTG_BD[[#This Row],[Error Code]],'Basic Data'!S:T,2,0),"Incorrect Error Code")</f>
        <v>Pause pressed on keyboard</v>
      </c>
      <c r="M608" s="46" t="s">
        <v>137</v>
      </c>
      <c r="N608" s="46" t="s">
        <v>113</v>
      </c>
      <c r="O608" s="358">
        <v>0.25</v>
      </c>
      <c r="P608" s="358">
        <v>0.25</v>
      </c>
      <c r="Q608" s="358">
        <v>0.52222222222222225</v>
      </c>
      <c r="R608" s="365">
        <f>(WTG_BD[[#This Row],[Work Start TimeStamp]]-WTG_BD[[#This Row],[Fault Start TimeStamp]])*24</f>
        <v>0</v>
      </c>
      <c r="S608" s="34">
        <f>(WTG_BD[[#This Row],[Fault Clearance time]]-WTG_BD[[#This Row],[Work Start TimeStamp]])*24</f>
        <v>6.5333333333333341</v>
      </c>
      <c r="T608" s="362">
        <f>(WTG_BD[[#This Row],[Fault Clearance time]]-WTG_BD[[#This Row],[Fault Start TimeStamp]])*24</f>
        <v>6.5333333333333341</v>
      </c>
      <c r="U608" s="334" t="s">
        <v>4680</v>
      </c>
      <c r="V608" s="234" t="s">
        <v>255</v>
      </c>
      <c r="W608" s="363">
        <f>IFERROR(IF(N608="ROW",0,(WTG_BD[[#This Row],[Breakdown Time]]*WTG_BD[[#This Row],[Plant Equivalent Weightage]])),"")</f>
        <v>0.28405797101449282</v>
      </c>
      <c r="X608" s="363"/>
      <c r="Y608" s="364">
        <v>1</v>
      </c>
      <c r="Z608" s="10"/>
      <c r="AA608" s="10">
        <v>3927</v>
      </c>
    </row>
    <row r="609" spans="1:27">
      <c r="A609" s="10">
        <f t="shared" si="12"/>
        <v>608</v>
      </c>
      <c r="B609" s="43">
        <f>YEAR(WTG_BD[[#This Row],[Date]])+IF(MONTH(WTG_BD[[#This Row],[Date]])&gt;=4,1,0)</f>
        <v>2026</v>
      </c>
      <c r="C609" s="10">
        <v>2025</v>
      </c>
      <c r="D609" s="10" t="s">
        <v>4478</v>
      </c>
      <c r="E609" s="309">
        <f>WTG_BD[[#This Row],[Date]]-DAY(WTG_BD[[#This Row],[Date]])+1</f>
        <v>45839</v>
      </c>
      <c r="F609" s="32">
        <v>45856</v>
      </c>
      <c r="G609" t="s">
        <v>78</v>
      </c>
      <c r="H609" s="46" t="str">
        <f>IFERROR(VLOOKUP(WTG_BD[[#This Row],[Affected WTG]],'Basic Data'!$A$3:$E$25,2,0),"")</f>
        <v>O2R1</v>
      </c>
      <c r="I609" s="10" t="str">
        <f>IFERROR(VLOOKUP(WTG_BD[[#This Row],[Affected WTG]],'Basic Data'!$A$3:$E$25,3,0),"")</f>
        <v>KSIPL</v>
      </c>
      <c r="J609" s="361">
        <f>IFERROR(VLOOKUP(WTG_BD[[#This Row],[Affected WTG]],'Basic Data'!$A$3:$E$25,5,0),"")</f>
        <v>4.3478260869565223E-2</v>
      </c>
      <c r="K609" s="10">
        <v>900</v>
      </c>
      <c r="L609" s="46" t="str">
        <f>IFERROR(VLOOKUP(WTG_BD[[#This Row],[Error Code]],'Basic Data'!S:T,2,0),"Incorrect Error Code")</f>
        <v>Pause pressed on keyboard</v>
      </c>
      <c r="M609" s="46" t="s">
        <v>137</v>
      </c>
      <c r="N609" t="s">
        <v>257</v>
      </c>
      <c r="O609" s="168">
        <v>0.46597222222222223</v>
      </c>
      <c r="P609" s="168">
        <v>0.46597222222222223</v>
      </c>
      <c r="Q609" s="168">
        <v>0.52777777777777779</v>
      </c>
      <c r="R609" s="365">
        <f>(WTG_BD[[#This Row],[Work Start TimeStamp]]-WTG_BD[[#This Row],[Fault Start TimeStamp]])*24</f>
        <v>0</v>
      </c>
      <c r="S609" s="34">
        <f>(WTG_BD[[#This Row],[Fault Clearance time]]-WTG_BD[[#This Row],[Work Start TimeStamp]])*24</f>
        <v>1.4833333333333334</v>
      </c>
      <c r="T609" s="362">
        <f>(WTG_BD[[#This Row],[Fault Clearance time]]-WTG_BD[[#This Row],[Fault Start TimeStamp]])*24</f>
        <v>1.4833333333333334</v>
      </c>
      <c r="U609" t="s">
        <v>4614</v>
      </c>
      <c r="V609" s="234" t="s">
        <v>255</v>
      </c>
      <c r="W609" s="363">
        <f>IFERROR(IF(N609="ROW",0,(WTG_BD[[#This Row],[Breakdown Time]]*WTG_BD[[#This Row],[Plant Equivalent Weightage]])),"")</f>
        <v>6.4492753623188417E-2</v>
      </c>
      <c r="X609" s="50"/>
      <c r="Y609" s="364">
        <v>1</v>
      </c>
      <c r="Z609" s="4"/>
      <c r="AA609" s="4">
        <v>735</v>
      </c>
    </row>
    <row r="610" spans="1:27">
      <c r="A610" s="10">
        <f t="shared" si="12"/>
        <v>609</v>
      </c>
      <c r="B610" s="43">
        <f>YEAR(WTG_BD[[#This Row],[Date]])+IF(MONTH(WTG_BD[[#This Row],[Date]])&gt;=4,1,0)</f>
        <v>2026</v>
      </c>
      <c r="C610" s="10">
        <v>2025</v>
      </c>
      <c r="D610" s="10" t="s">
        <v>4478</v>
      </c>
      <c r="E610" s="309">
        <f>WTG_BD[[#This Row],[Date]]-DAY(WTG_BD[[#This Row],[Date]])+1</f>
        <v>45839</v>
      </c>
      <c r="F610" s="32">
        <v>45856</v>
      </c>
      <c r="G610" t="s">
        <v>90</v>
      </c>
      <c r="H610" s="46" t="str">
        <f>IFERROR(VLOOKUP(WTG_BD[[#This Row],[Affected WTG]],'Basic Data'!$A$3:$E$25,2,0),"")</f>
        <v>O2R1</v>
      </c>
      <c r="I610" s="10" t="str">
        <f>IFERROR(VLOOKUP(WTG_BD[[#This Row],[Affected WTG]],'Basic Data'!$A$3:$E$25,3,0),"")</f>
        <v>KSIPL</v>
      </c>
      <c r="J610" s="361">
        <f>IFERROR(VLOOKUP(WTG_BD[[#This Row],[Affected WTG]],'Basic Data'!$A$3:$E$25,5,0),"")</f>
        <v>4.3478260869565223E-2</v>
      </c>
      <c r="K610" s="10">
        <v>900</v>
      </c>
      <c r="L610" s="46" t="str">
        <f>IFERROR(VLOOKUP(WTG_BD[[#This Row],[Error Code]],'Basic Data'!S:T,2,0),"Incorrect Error Code")</f>
        <v>Pause pressed on keyboard</v>
      </c>
      <c r="M610" s="46" t="s">
        <v>137</v>
      </c>
      <c r="N610" t="s">
        <v>107</v>
      </c>
      <c r="O610" s="168">
        <v>0.625</v>
      </c>
      <c r="P610" s="168">
        <v>0.625</v>
      </c>
      <c r="Q610" s="168">
        <v>0.68333333333333335</v>
      </c>
      <c r="R610" s="365">
        <f>(WTG_BD[[#This Row],[Work Start TimeStamp]]-WTG_BD[[#This Row],[Fault Start TimeStamp]])*24</f>
        <v>0</v>
      </c>
      <c r="S610" s="34">
        <f>(WTG_BD[[#This Row],[Fault Clearance time]]-WTG_BD[[#This Row],[Work Start TimeStamp]])*24</f>
        <v>1.4000000000000004</v>
      </c>
      <c r="T610" s="362">
        <f>(WTG_BD[[#This Row],[Fault Clearance time]]-WTG_BD[[#This Row],[Fault Start TimeStamp]])*24</f>
        <v>1.4000000000000004</v>
      </c>
      <c r="U610" t="s">
        <v>4646</v>
      </c>
      <c r="V610" s="234" t="s">
        <v>255</v>
      </c>
      <c r="W610" s="363">
        <f>IFERROR(IF(N610="ROW",0,(WTG_BD[[#This Row],[Breakdown Time]]*WTG_BD[[#This Row],[Plant Equivalent Weightage]])),"")</f>
        <v>0</v>
      </c>
      <c r="X610" s="50"/>
      <c r="Y610" s="364">
        <v>1</v>
      </c>
      <c r="Z610" s="4"/>
      <c r="AA610" s="4">
        <v>366</v>
      </c>
    </row>
    <row r="611" spans="1:27">
      <c r="A611" s="10">
        <f t="shared" si="12"/>
        <v>610</v>
      </c>
      <c r="B611" s="43">
        <f>YEAR(WTG_BD[[#This Row],[Date]])+IF(MONTH(WTG_BD[[#This Row],[Date]])&gt;=4,1,0)</f>
        <v>2026</v>
      </c>
      <c r="C611" s="10">
        <v>2025</v>
      </c>
      <c r="D611" s="10" t="s">
        <v>4478</v>
      </c>
      <c r="E611" s="309">
        <f>WTG_BD[[#This Row],[Date]]-DAY(WTG_BD[[#This Row],[Date]])+1</f>
        <v>45839</v>
      </c>
      <c r="F611" s="32">
        <v>45857</v>
      </c>
      <c r="G611" t="s">
        <v>77</v>
      </c>
      <c r="H611" s="46" t="str">
        <f>IFERROR(VLOOKUP(WTG_BD[[#This Row],[Affected WTG]],'Basic Data'!$A$3:$E$25,2,0),"")</f>
        <v>O2R3</v>
      </c>
      <c r="I611" s="10" t="str">
        <f>IFERROR(VLOOKUP(WTG_BD[[#This Row],[Affected WTG]],'Basic Data'!$A$3:$E$25,3,0),"")</f>
        <v>JK</v>
      </c>
      <c r="J611" s="361">
        <f>IFERROR(VLOOKUP(WTG_BD[[#This Row],[Affected WTG]],'Basic Data'!$A$3:$E$25,5,0),"")</f>
        <v>4.3478260869565223E-2</v>
      </c>
      <c r="K611" s="10">
        <v>315</v>
      </c>
      <c r="L611" s="46" t="str">
        <f>IFERROR(VLOOKUP([1]!WTG_BD[[#This Row],[Error Code]],'[1]Basic Data'!S:T,2,0),"Incorrect Error Code")</f>
        <v>ExEx low voltage L_: ___V</v>
      </c>
      <c r="M611" t="s">
        <v>141</v>
      </c>
      <c r="N611" t="s">
        <v>113</v>
      </c>
      <c r="O611" s="168">
        <v>0.27013888888888887</v>
      </c>
      <c r="P611" s="168">
        <v>0.27013888888888887</v>
      </c>
      <c r="Q611" s="168">
        <v>0.27083333333333331</v>
      </c>
      <c r="R611" s="365">
        <f>(WTG_BD[[#This Row],[Work Start TimeStamp]]-WTG_BD[[#This Row],[Fault Start TimeStamp]])*24</f>
        <v>0</v>
      </c>
      <c r="S611" s="34">
        <f>(WTG_BD[[#This Row],[Fault Clearance time]]-WTG_BD[[#This Row],[Work Start TimeStamp]])*24</f>
        <v>1.6666666666666607E-2</v>
      </c>
      <c r="T611" s="362">
        <f>(WTG_BD[[#This Row],[Fault Clearance time]]-WTG_BD[[#This Row],[Fault Start TimeStamp]])*24</f>
        <v>1.6666666666666607E-2</v>
      </c>
      <c r="U611" t="s">
        <v>4268</v>
      </c>
      <c r="V611" s="234" t="s">
        <v>255</v>
      </c>
      <c r="W611" s="363">
        <f>IFERROR(IF(N611="ROW",0,(WTG_BD[[#This Row],[Breakdown Time]]*WTG_BD[[#This Row],[Plant Equivalent Weightage]])),"")</f>
        <v>7.246376811594178E-4</v>
      </c>
      <c r="X611" s="50"/>
      <c r="Y611" s="364">
        <v>1</v>
      </c>
      <c r="Z611" s="4"/>
      <c r="AA611" s="4">
        <v>13</v>
      </c>
    </row>
    <row r="612" spans="1:27">
      <c r="A612" s="10">
        <f t="shared" si="12"/>
        <v>611</v>
      </c>
      <c r="B612" s="43">
        <f>YEAR(WTG_BD[[#This Row],[Date]])+IF(MONTH(WTG_BD[[#This Row],[Date]])&gt;=4,1,0)</f>
        <v>2026</v>
      </c>
      <c r="C612" s="10">
        <v>2025</v>
      </c>
      <c r="D612" s="10" t="s">
        <v>4478</v>
      </c>
      <c r="E612" s="309">
        <f>WTG_BD[[#This Row],[Date]]-DAY(WTG_BD[[#This Row],[Date]])+1</f>
        <v>45839</v>
      </c>
      <c r="F612" s="32">
        <v>45857</v>
      </c>
      <c r="G612" t="s">
        <v>79</v>
      </c>
      <c r="H612" s="46" t="str">
        <f>IFERROR(VLOOKUP(WTG_BD[[#This Row],[Affected WTG]],'Basic Data'!$A$3:$E$25,2,0),"")</f>
        <v>O2R3</v>
      </c>
      <c r="I612" s="10" t="str">
        <f>IFERROR(VLOOKUP(WTG_BD[[#This Row],[Affected WTG]],'Basic Data'!$A$3:$E$25,3,0),"")</f>
        <v>JK</v>
      </c>
      <c r="J612" s="361">
        <f>IFERROR(VLOOKUP(WTG_BD[[#This Row],[Affected WTG]],'Basic Data'!$A$3:$E$25,5,0),"")</f>
        <v>4.3478260869565223E-2</v>
      </c>
      <c r="K612" s="10">
        <v>6293</v>
      </c>
      <c r="L612" s="46" t="str">
        <f>IFERROR(VLOOKUP([1]!WTG_BD[[#This Row],[Error Code]],'[1]Basic Data'!S:T,2,0),"Incorrect Error Code")</f>
        <v>Pitch valves test acitve</v>
      </c>
      <c r="M612" t="s">
        <v>4303</v>
      </c>
      <c r="N612" t="s">
        <v>113</v>
      </c>
      <c r="O612" s="168">
        <v>0.26944444444444443</v>
      </c>
      <c r="P612" s="168">
        <v>0.26944444444444443</v>
      </c>
      <c r="Q612" s="168">
        <v>0.27083333333333331</v>
      </c>
      <c r="R612" s="365">
        <f>(WTG_BD[[#This Row],[Work Start TimeStamp]]-WTG_BD[[#This Row],[Fault Start TimeStamp]])*24</f>
        <v>0</v>
      </c>
      <c r="S612" s="34">
        <f>(WTG_BD[[#This Row],[Fault Clearance time]]-WTG_BD[[#This Row],[Work Start TimeStamp]])*24</f>
        <v>3.3333333333333215E-2</v>
      </c>
      <c r="T612" s="362">
        <f>(WTG_BD[[#This Row],[Fault Clearance time]]-WTG_BD[[#This Row],[Fault Start TimeStamp]])*24</f>
        <v>3.3333333333333215E-2</v>
      </c>
      <c r="U612" t="s">
        <v>262</v>
      </c>
      <c r="V612" s="234" t="s">
        <v>255</v>
      </c>
      <c r="W612" s="363">
        <f>IFERROR(IF(N612="ROW",0,(WTG_BD[[#This Row],[Breakdown Time]]*WTG_BD[[#This Row],[Plant Equivalent Weightage]])),"")</f>
        <v>1.4492753623188356E-3</v>
      </c>
      <c r="X612" s="50"/>
      <c r="Y612" s="364">
        <v>1</v>
      </c>
      <c r="Z612" s="4"/>
      <c r="AA612" s="4">
        <v>2</v>
      </c>
    </row>
    <row r="613" spans="1:27">
      <c r="A613" s="10">
        <f t="shared" si="12"/>
        <v>612</v>
      </c>
      <c r="B613" s="43">
        <f>YEAR(WTG_BD[[#This Row],[Date]])+IF(MONTH(WTG_BD[[#This Row],[Date]])&gt;=4,1,0)</f>
        <v>2026</v>
      </c>
      <c r="C613" s="10">
        <v>2025</v>
      </c>
      <c r="D613" s="10" t="s">
        <v>4478</v>
      </c>
      <c r="E613" s="309">
        <f>WTG_BD[[#This Row],[Date]]-DAY(WTG_BD[[#This Row],[Date]])+1</f>
        <v>45839</v>
      </c>
      <c r="F613" s="32">
        <v>45857</v>
      </c>
      <c r="G613" t="s">
        <v>80</v>
      </c>
      <c r="H613" s="46" t="str">
        <f>IFERROR(VLOOKUP(WTG_BD[[#This Row],[Affected WTG]],'Basic Data'!$A$3:$E$25,2,0),"")</f>
        <v>O2R3</v>
      </c>
      <c r="I613" s="10" t="str">
        <f>IFERROR(VLOOKUP(WTG_BD[[#This Row],[Affected WTG]],'Basic Data'!$A$3:$E$25,3,0),"")</f>
        <v>JK</v>
      </c>
      <c r="J613" s="361">
        <f>IFERROR(VLOOKUP(WTG_BD[[#This Row],[Affected WTG]],'Basic Data'!$A$3:$E$25,5,0),"")</f>
        <v>4.3478260869565223E-2</v>
      </c>
      <c r="K613" s="10">
        <v>707</v>
      </c>
      <c r="L613" s="46" t="str">
        <f>IFERROR(VLOOKUP([1]!WTG_BD[[#This Row],[Error Code]],'[1]Basic Data'!S:T,2,0),"Incorrect Error Code")</f>
        <v>Ch hardware error C_</v>
      </c>
      <c r="M613" t="s">
        <v>144</v>
      </c>
      <c r="N613" t="s">
        <v>113</v>
      </c>
      <c r="O613" s="168">
        <v>0.27013888888888887</v>
      </c>
      <c r="P613" s="168">
        <v>0.27013888888888887</v>
      </c>
      <c r="Q613" s="168">
        <v>0.27083333333333331</v>
      </c>
      <c r="R613" s="365">
        <f>(WTG_BD[[#This Row],[Work Start TimeStamp]]-WTG_BD[[#This Row],[Fault Start TimeStamp]])*24</f>
        <v>0</v>
      </c>
      <c r="S613" s="34">
        <f>(WTG_BD[[#This Row],[Fault Clearance time]]-WTG_BD[[#This Row],[Work Start TimeStamp]])*24</f>
        <v>1.6666666666666607E-2</v>
      </c>
      <c r="T613" s="362">
        <f>(WTG_BD[[#This Row],[Fault Clearance time]]-WTG_BD[[#This Row],[Fault Start TimeStamp]])*24</f>
        <v>1.6666666666666607E-2</v>
      </c>
      <c r="U613" t="s">
        <v>4268</v>
      </c>
      <c r="V613" s="234" t="s">
        <v>255</v>
      </c>
      <c r="W613" s="363">
        <f>IFERROR(IF(N613="ROW",0,(WTG_BD[[#This Row],[Breakdown Time]]*WTG_BD[[#This Row],[Plant Equivalent Weightage]])),"")</f>
        <v>7.246376811594178E-4</v>
      </c>
      <c r="X613" s="50"/>
      <c r="Y613" s="364">
        <v>1</v>
      </c>
      <c r="Z613" s="4"/>
      <c r="AA613" s="4">
        <v>20</v>
      </c>
    </row>
    <row r="614" spans="1:27">
      <c r="A614" s="10">
        <f t="shared" si="12"/>
        <v>613</v>
      </c>
      <c r="B614" s="43">
        <f>YEAR(WTG_BD[[#This Row],[Date]])+IF(MONTH(WTG_BD[[#This Row],[Date]])&gt;=4,1,0)</f>
        <v>2026</v>
      </c>
      <c r="C614" s="10">
        <v>2025</v>
      </c>
      <c r="D614" s="10" t="s">
        <v>4478</v>
      </c>
      <c r="E614" s="309">
        <f>WTG_BD[[#This Row],[Date]]-DAY(WTG_BD[[#This Row],[Date]])+1</f>
        <v>45839</v>
      </c>
      <c r="F614" s="32">
        <v>45857</v>
      </c>
      <c r="G614" t="s">
        <v>81</v>
      </c>
      <c r="H614" s="46" t="str">
        <f>IFERROR(VLOOKUP(WTG_BD[[#This Row],[Affected WTG]],'Basic Data'!$A$3:$E$25,2,0),"")</f>
        <v>O2R3</v>
      </c>
      <c r="I614" s="10" t="str">
        <f>IFERROR(VLOOKUP(WTG_BD[[#This Row],[Affected WTG]],'Basic Data'!$A$3:$E$25,3,0),"")</f>
        <v>JK</v>
      </c>
      <c r="J614" s="361">
        <f>IFERROR(VLOOKUP(WTG_BD[[#This Row],[Affected WTG]],'Basic Data'!$A$3:$E$25,5,0),"")</f>
        <v>4.3478260869565223E-2</v>
      </c>
      <c r="K614" s="10">
        <v>315</v>
      </c>
      <c r="L614" s="46" t="str">
        <f>IFERROR(VLOOKUP([1]!WTG_BD[[#This Row],[Error Code]],'[1]Basic Data'!S:T,2,0),"Incorrect Error Code")</f>
        <v>ExEx low voltage L_: ___V</v>
      </c>
      <c r="M614" t="s">
        <v>141</v>
      </c>
      <c r="N614" t="s">
        <v>113</v>
      </c>
      <c r="O614" s="168">
        <v>0.27013888888888887</v>
      </c>
      <c r="P614" s="168">
        <v>0.27013888888888887</v>
      </c>
      <c r="Q614" s="168">
        <v>0.27083333333333331</v>
      </c>
      <c r="R614" s="365">
        <f>(WTG_BD[[#This Row],[Work Start TimeStamp]]-WTG_BD[[#This Row],[Fault Start TimeStamp]])*24</f>
        <v>0</v>
      </c>
      <c r="S614" s="34">
        <f>(WTG_BD[[#This Row],[Fault Clearance time]]-WTG_BD[[#This Row],[Work Start TimeStamp]])*24</f>
        <v>1.6666666666666607E-2</v>
      </c>
      <c r="T614" s="362">
        <f>(WTG_BD[[#This Row],[Fault Clearance time]]-WTG_BD[[#This Row],[Fault Start TimeStamp]])*24</f>
        <v>1.6666666666666607E-2</v>
      </c>
      <c r="U614" t="s">
        <v>4268</v>
      </c>
      <c r="V614" s="234" t="s">
        <v>255</v>
      </c>
      <c r="W614" s="363">
        <f>IFERROR(IF(N614="ROW",0,(WTG_BD[[#This Row],[Breakdown Time]]*WTG_BD[[#This Row],[Plant Equivalent Weightage]])),"")</f>
        <v>7.246376811594178E-4</v>
      </c>
      <c r="X614" s="50"/>
      <c r="Y614" s="364">
        <v>1</v>
      </c>
      <c r="Z614" s="4"/>
      <c r="AA614" s="4">
        <v>28</v>
      </c>
    </row>
    <row r="615" spans="1:27">
      <c r="A615" s="10">
        <f t="shared" si="12"/>
        <v>614</v>
      </c>
      <c r="B615" s="43">
        <f>YEAR(WTG_BD[[#This Row],[Date]])+IF(MONTH(WTG_BD[[#This Row],[Date]])&gt;=4,1,0)</f>
        <v>2026</v>
      </c>
      <c r="C615" s="10">
        <v>2025</v>
      </c>
      <c r="D615" s="10" t="s">
        <v>4478</v>
      </c>
      <c r="E615" s="309">
        <f>WTG_BD[[#This Row],[Date]]-DAY(WTG_BD[[#This Row],[Date]])+1</f>
        <v>45839</v>
      </c>
      <c r="F615" s="32">
        <v>45857</v>
      </c>
      <c r="G615" t="s">
        <v>82</v>
      </c>
      <c r="H615" s="46" t="str">
        <f>IFERROR(VLOOKUP(WTG_BD[[#This Row],[Affected WTG]],'Basic Data'!$A$3:$E$25,2,0),"")</f>
        <v>O2R3</v>
      </c>
      <c r="I615" s="10" t="str">
        <f>IFERROR(VLOOKUP(WTG_BD[[#This Row],[Affected WTG]],'Basic Data'!$A$3:$E$25,3,0),"")</f>
        <v>JK</v>
      </c>
      <c r="J615" s="361">
        <f>IFERROR(VLOOKUP(WTG_BD[[#This Row],[Affected WTG]],'Basic Data'!$A$3:$E$25,5,0),"")</f>
        <v>4.3478260869565223E-2</v>
      </c>
      <c r="K615" s="10">
        <v>707</v>
      </c>
      <c r="L615" s="46" t="str">
        <f>IFERROR(VLOOKUP([1]!WTG_BD[[#This Row],[Error Code]],'[1]Basic Data'!S:T,2,0),"Incorrect Error Code")</f>
        <v>Ch hardware error C_</v>
      </c>
      <c r="M615" t="s">
        <v>144</v>
      </c>
      <c r="N615" t="s">
        <v>113</v>
      </c>
      <c r="O615" s="168">
        <v>0.27013888888888887</v>
      </c>
      <c r="P615" s="168">
        <v>0.27013888888888887</v>
      </c>
      <c r="Q615" s="168">
        <v>0.27083333333333331</v>
      </c>
      <c r="R615" s="365">
        <f>(WTG_BD[[#This Row],[Work Start TimeStamp]]-WTG_BD[[#This Row],[Fault Start TimeStamp]])*24</f>
        <v>0</v>
      </c>
      <c r="S615" s="34">
        <f>(WTG_BD[[#This Row],[Fault Clearance time]]-WTG_BD[[#This Row],[Work Start TimeStamp]])*24</f>
        <v>1.6666666666666607E-2</v>
      </c>
      <c r="T615" s="362">
        <f>(WTG_BD[[#This Row],[Fault Clearance time]]-WTG_BD[[#This Row],[Fault Start TimeStamp]])*24</f>
        <v>1.6666666666666607E-2</v>
      </c>
      <c r="U615" t="s">
        <v>4268</v>
      </c>
      <c r="V615" s="234" t="s">
        <v>255</v>
      </c>
      <c r="W615" s="363">
        <f>IFERROR(IF(N615="ROW",0,(WTG_BD[[#This Row],[Breakdown Time]]*WTG_BD[[#This Row],[Plant Equivalent Weightage]])),"")</f>
        <v>7.246376811594178E-4</v>
      </c>
      <c r="X615" s="50"/>
      <c r="Y615" s="364">
        <v>1</v>
      </c>
      <c r="Z615" s="4"/>
      <c r="AA615" s="4">
        <v>19</v>
      </c>
    </row>
    <row r="616" spans="1:27">
      <c r="A616" s="10">
        <f t="shared" si="12"/>
        <v>615</v>
      </c>
      <c r="B616" s="43">
        <f>YEAR(WTG_BD[[#This Row],[Date]])+IF(MONTH(WTG_BD[[#This Row],[Date]])&gt;=4,1,0)</f>
        <v>2026</v>
      </c>
      <c r="C616" s="10">
        <v>2025</v>
      </c>
      <c r="D616" s="10" t="s">
        <v>4478</v>
      </c>
      <c r="E616" s="309">
        <f>WTG_BD[[#This Row],[Date]]-DAY(WTG_BD[[#This Row],[Date]])+1</f>
        <v>45839</v>
      </c>
      <c r="F616" s="32">
        <v>45857</v>
      </c>
      <c r="G616" t="s">
        <v>84</v>
      </c>
      <c r="H616" s="46" t="str">
        <f>IFERROR(VLOOKUP(WTG_BD[[#This Row],[Affected WTG]],'Basic Data'!$A$3:$E$25,2,0),"")</f>
        <v>O2R3</v>
      </c>
      <c r="I616" s="10" t="str">
        <f>IFERROR(VLOOKUP(WTG_BD[[#This Row],[Affected WTG]],'Basic Data'!$A$3:$E$25,3,0),"")</f>
        <v>JK</v>
      </c>
      <c r="J616" s="361">
        <f>IFERROR(VLOOKUP(WTG_BD[[#This Row],[Affected WTG]],'Basic Data'!$A$3:$E$25,5,0),"")</f>
        <v>4.3478260869565223E-2</v>
      </c>
      <c r="K616" s="10">
        <v>707</v>
      </c>
      <c r="L616" s="46" t="str">
        <f>IFERROR(VLOOKUP([1]!WTG_BD[[#This Row],[Error Code]],'[1]Basic Data'!S:T,2,0),"Incorrect Error Code")</f>
        <v>Ch hardware error C_</v>
      </c>
      <c r="M616" t="s">
        <v>144</v>
      </c>
      <c r="N616" t="s">
        <v>113</v>
      </c>
      <c r="O616" s="168">
        <v>0.27013888888888887</v>
      </c>
      <c r="P616" s="168">
        <v>0.27013888888888887</v>
      </c>
      <c r="Q616" s="168">
        <v>0.27083333333333331</v>
      </c>
      <c r="R616" s="365">
        <f>(WTG_BD[[#This Row],[Work Start TimeStamp]]-WTG_BD[[#This Row],[Fault Start TimeStamp]])*24</f>
        <v>0</v>
      </c>
      <c r="S616" s="34">
        <f>(WTG_BD[[#This Row],[Fault Clearance time]]-WTG_BD[[#This Row],[Work Start TimeStamp]])*24</f>
        <v>1.6666666666666607E-2</v>
      </c>
      <c r="T616" s="362">
        <f>(WTG_BD[[#This Row],[Fault Clearance time]]-WTG_BD[[#This Row],[Fault Start TimeStamp]])*24</f>
        <v>1.6666666666666607E-2</v>
      </c>
      <c r="U616" t="s">
        <v>4268</v>
      </c>
      <c r="V616" s="234" t="s">
        <v>255</v>
      </c>
      <c r="W616" s="363">
        <f>IFERROR(IF(N616="ROW",0,(WTG_BD[[#This Row],[Breakdown Time]]*WTG_BD[[#This Row],[Plant Equivalent Weightage]])),"")</f>
        <v>7.246376811594178E-4</v>
      </c>
      <c r="X616" s="50"/>
      <c r="Y616" s="364">
        <v>1</v>
      </c>
      <c r="Z616" s="4"/>
      <c r="AA616" s="4">
        <v>33</v>
      </c>
    </row>
    <row r="617" spans="1:27">
      <c r="A617" s="10">
        <f t="shared" si="12"/>
        <v>616</v>
      </c>
      <c r="B617" s="43">
        <f>YEAR(WTG_BD[[#This Row],[Date]])+IF(MONTH(WTG_BD[[#This Row],[Date]])&gt;=4,1,0)</f>
        <v>2026</v>
      </c>
      <c r="C617" s="10">
        <v>2025</v>
      </c>
      <c r="D617" s="10" t="s">
        <v>4478</v>
      </c>
      <c r="E617" s="309">
        <f>WTG_BD[[#This Row],[Date]]-DAY(WTG_BD[[#This Row],[Date]])+1</f>
        <v>45839</v>
      </c>
      <c r="F617" s="32">
        <v>45857</v>
      </c>
      <c r="G617" t="s">
        <v>91</v>
      </c>
      <c r="H617" s="46" t="str">
        <f>IFERROR(VLOOKUP(WTG_BD[[#This Row],[Affected WTG]],'Basic Data'!$A$3:$E$25,2,0),"")</f>
        <v>O2R2</v>
      </c>
      <c r="I617" s="10" t="str">
        <f>IFERROR(VLOOKUP(WTG_BD[[#This Row],[Affected WTG]],'Basic Data'!$A$3:$E$25,3,0),"")</f>
        <v>SIL</v>
      </c>
      <c r="J617" s="361">
        <f>IFERROR(VLOOKUP(WTG_BD[[#This Row],[Affected WTG]],'Basic Data'!$A$3:$E$25,5,0),"")</f>
        <v>4.3478260869565223E-2</v>
      </c>
      <c r="K617" s="10">
        <v>707</v>
      </c>
      <c r="L617" s="46" t="str">
        <f>IFERROR(VLOOKUP([1]!WTG_BD[[#This Row],[Error Code]],'[1]Basic Data'!S:T,2,0),"Incorrect Error Code")</f>
        <v>Ch hardware error C_</v>
      </c>
      <c r="M617" t="s">
        <v>144</v>
      </c>
      <c r="N617" t="s">
        <v>113</v>
      </c>
      <c r="O617" s="168">
        <v>0.26874999999999999</v>
      </c>
      <c r="P617" s="168">
        <v>0.26874999999999999</v>
      </c>
      <c r="Q617" s="168">
        <v>0.27083333333333331</v>
      </c>
      <c r="R617" s="365">
        <f>(WTG_BD[[#This Row],[Work Start TimeStamp]]-WTG_BD[[#This Row],[Fault Start TimeStamp]])*24</f>
        <v>0</v>
      </c>
      <c r="S617" s="34">
        <f>(WTG_BD[[#This Row],[Fault Clearance time]]-WTG_BD[[#This Row],[Work Start TimeStamp]])*24</f>
        <v>4.9999999999999822E-2</v>
      </c>
      <c r="T617" s="362">
        <f>(WTG_BD[[#This Row],[Fault Clearance time]]-WTG_BD[[#This Row],[Fault Start TimeStamp]])*24</f>
        <v>4.9999999999999822E-2</v>
      </c>
      <c r="U617" t="s">
        <v>4268</v>
      </c>
      <c r="V617" s="234" t="s">
        <v>255</v>
      </c>
      <c r="W617" s="363">
        <f>IFERROR(IF(N617="ROW",0,(WTG_BD[[#This Row],[Breakdown Time]]*WTG_BD[[#This Row],[Plant Equivalent Weightage]])),"")</f>
        <v>2.1739130434782535E-3</v>
      </c>
      <c r="X617" s="50"/>
      <c r="Y617" s="364">
        <v>1</v>
      </c>
      <c r="Z617" s="4"/>
      <c r="AA617" s="4">
        <v>46</v>
      </c>
    </row>
    <row r="618" spans="1:27">
      <c r="A618" s="10">
        <f t="shared" si="12"/>
        <v>617</v>
      </c>
      <c r="B618" s="43">
        <f>YEAR(WTG_BD[[#This Row],[Date]])+IF(MONTH(WTG_BD[[#This Row],[Date]])&gt;=4,1,0)</f>
        <v>2026</v>
      </c>
      <c r="C618" s="10">
        <v>2025</v>
      </c>
      <c r="D618" s="10" t="s">
        <v>4478</v>
      </c>
      <c r="E618" s="309">
        <f>WTG_BD[[#This Row],[Date]]-DAY(WTG_BD[[#This Row],[Date]])+1</f>
        <v>45839</v>
      </c>
      <c r="F618" s="32">
        <v>45857</v>
      </c>
      <c r="G618" t="s">
        <v>92</v>
      </c>
      <c r="H618" s="46" t="str">
        <f>IFERROR(VLOOKUP(WTG_BD[[#This Row],[Affected WTG]],'Basic Data'!$A$3:$E$25,2,0),"")</f>
        <v>O2R2</v>
      </c>
      <c r="I618" s="10" t="str">
        <f>IFERROR(VLOOKUP(WTG_BD[[#This Row],[Affected WTG]],'Basic Data'!$A$3:$E$25,3,0),"")</f>
        <v>SIL</v>
      </c>
      <c r="J618" s="361">
        <f>IFERROR(VLOOKUP(WTG_BD[[#This Row],[Affected WTG]],'Basic Data'!$A$3:$E$25,5,0),"")</f>
        <v>4.3478260869565223E-2</v>
      </c>
      <c r="K618" s="10">
        <v>707</v>
      </c>
      <c r="L618" s="46" t="str">
        <f>IFERROR(VLOOKUP([1]!WTG_BD[[#This Row],[Error Code]],'[1]Basic Data'!S:T,2,0),"Incorrect Error Code")</f>
        <v>Ch hardware error C_</v>
      </c>
      <c r="M618" t="s">
        <v>144</v>
      </c>
      <c r="N618" t="s">
        <v>113</v>
      </c>
      <c r="O618" s="168">
        <v>0.27013888888888887</v>
      </c>
      <c r="P618" s="168">
        <v>0.27013888888888887</v>
      </c>
      <c r="Q618" s="168">
        <v>0.27083333333333331</v>
      </c>
      <c r="R618" s="365">
        <f>(WTG_BD[[#This Row],[Work Start TimeStamp]]-WTG_BD[[#This Row],[Fault Start TimeStamp]])*24</f>
        <v>0</v>
      </c>
      <c r="S618" s="34">
        <f>(WTG_BD[[#This Row],[Fault Clearance time]]-WTG_BD[[#This Row],[Work Start TimeStamp]])*24</f>
        <v>1.6666666666666607E-2</v>
      </c>
      <c r="T618" s="362">
        <f>(WTG_BD[[#This Row],[Fault Clearance time]]-WTG_BD[[#This Row],[Fault Start TimeStamp]])*24</f>
        <v>1.6666666666666607E-2</v>
      </c>
      <c r="U618" t="s">
        <v>4268</v>
      </c>
      <c r="V618" s="234" t="s">
        <v>255</v>
      </c>
      <c r="W618" s="363">
        <f>IFERROR(IF(N618="ROW",0,(WTG_BD[[#This Row],[Breakdown Time]]*WTG_BD[[#This Row],[Plant Equivalent Weightage]])),"")</f>
        <v>7.246376811594178E-4</v>
      </c>
      <c r="X618" s="50"/>
      <c r="Y618" s="364">
        <v>1</v>
      </c>
      <c r="Z618" s="4"/>
      <c r="AA618" s="4">
        <v>15</v>
      </c>
    </row>
    <row r="619" spans="1:27">
      <c r="A619" s="10">
        <f t="shared" si="12"/>
        <v>618</v>
      </c>
      <c r="B619" s="43">
        <f>YEAR(WTG_BD[[#This Row],[Date]])+IF(MONTH(WTG_BD[[#This Row],[Date]])&gt;=4,1,0)</f>
        <v>2026</v>
      </c>
      <c r="C619" s="10">
        <v>2025</v>
      </c>
      <c r="D619" s="10" t="s">
        <v>4478</v>
      </c>
      <c r="E619" s="309">
        <f>WTG_BD[[#This Row],[Date]]-DAY(WTG_BD[[#This Row],[Date]])+1</f>
        <v>45839</v>
      </c>
      <c r="F619" s="32">
        <v>45857</v>
      </c>
      <c r="G619" t="s">
        <v>96</v>
      </c>
      <c r="H619" s="46" t="str">
        <f>IFERROR(VLOOKUP(WTG_BD[[#This Row],[Affected WTG]],'Basic Data'!$A$3:$E$25,2,0),"")</f>
        <v>O2R3</v>
      </c>
      <c r="I619" s="10" t="str">
        <f>IFERROR(VLOOKUP(WTG_BD[[#This Row],[Affected WTG]],'Basic Data'!$A$3:$E$25,3,0),"")</f>
        <v>JK</v>
      </c>
      <c r="J619" s="361">
        <f>IFERROR(VLOOKUP(WTG_BD[[#This Row],[Affected WTG]],'Basic Data'!$A$3:$E$25,5,0),"")</f>
        <v>4.3478260869565223E-2</v>
      </c>
      <c r="K619" s="10">
        <v>2956</v>
      </c>
      <c r="L619" s="46" t="str">
        <f>IFERROR(VLOOKUP([1]!WTG_BD[[#This Row],[Error Code]],'[1]Basic Data'!S:T,2,0),"Incorrect Error Code")</f>
        <v>SupplyError: Min ____V phase_</v>
      </c>
      <c r="M619" t="s">
        <v>1681</v>
      </c>
      <c r="N619" t="s">
        <v>113</v>
      </c>
      <c r="O619" s="168">
        <v>0.27013888888888887</v>
      </c>
      <c r="P619" s="168">
        <v>0.27013888888888887</v>
      </c>
      <c r="Q619" s="168">
        <v>0.27083333333333331</v>
      </c>
      <c r="R619" s="365">
        <f>(WTG_BD[[#This Row],[Work Start TimeStamp]]-WTG_BD[[#This Row],[Fault Start TimeStamp]])*24</f>
        <v>0</v>
      </c>
      <c r="S619" s="34">
        <f>(WTG_BD[[#This Row],[Fault Clearance time]]-WTG_BD[[#This Row],[Work Start TimeStamp]])*24</f>
        <v>1.6666666666666607E-2</v>
      </c>
      <c r="T619" s="362">
        <f>(WTG_BD[[#This Row],[Fault Clearance time]]-WTG_BD[[#This Row],[Fault Start TimeStamp]])*24</f>
        <v>1.6666666666666607E-2</v>
      </c>
      <c r="U619" t="s">
        <v>4268</v>
      </c>
      <c r="V619" s="234" t="s">
        <v>255</v>
      </c>
      <c r="W619" s="363">
        <f>IFERROR(IF(N619="ROW",0,(WTG_BD[[#This Row],[Breakdown Time]]*WTG_BD[[#This Row],[Plant Equivalent Weightage]])),"")</f>
        <v>7.246376811594178E-4</v>
      </c>
      <c r="X619" s="50"/>
      <c r="Y619" s="364">
        <v>1</v>
      </c>
      <c r="Z619" s="4"/>
      <c r="AA619" s="4">
        <v>8</v>
      </c>
    </row>
    <row r="620" spans="1:27">
      <c r="A620" s="10">
        <f t="shared" si="12"/>
        <v>619</v>
      </c>
      <c r="B620" s="43">
        <f>YEAR(WTG_BD[[#This Row],[Date]])+IF(MONTH(WTG_BD[[#This Row],[Date]])&gt;=4,1,0)</f>
        <v>2026</v>
      </c>
      <c r="C620" s="10">
        <v>2025</v>
      </c>
      <c r="D620" s="10" t="s">
        <v>4478</v>
      </c>
      <c r="E620" s="309">
        <f>WTG_BD[[#This Row],[Date]]-DAY(WTG_BD[[#This Row],[Date]])+1</f>
        <v>45839</v>
      </c>
      <c r="F620" s="32">
        <v>45857</v>
      </c>
      <c r="G620" t="s">
        <v>97</v>
      </c>
      <c r="H620" s="46" t="str">
        <f>IFERROR(VLOOKUP(WTG_BD[[#This Row],[Affected WTG]],'Basic Data'!$A$3:$E$25,2,0),"")</f>
        <v>O2R3</v>
      </c>
      <c r="I620" s="10" t="str">
        <f>IFERROR(VLOOKUP(WTG_BD[[#This Row],[Affected WTG]],'Basic Data'!$A$3:$E$25,3,0),"")</f>
        <v>JK</v>
      </c>
      <c r="J620" s="361">
        <f>IFERROR(VLOOKUP(WTG_BD[[#This Row],[Affected WTG]],'Basic Data'!$A$3:$E$25,5,0),"")</f>
        <v>4.3478260869565223E-2</v>
      </c>
      <c r="K620" s="10">
        <v>707</v>
      </c>
      <c r="L620" s="46" t="str">
        <f>IFERROR(VLOOKUP([1]!WTG_BD[[#This Row],[Error Code]],'[1]Basic Data'!S:T,2,0),"Incorrect Error Code")</f>
        <v>Ch hardware error C_</v>
      </c>
      <c r="M620" t="s">
        <v>144</v>
      </c>
      <c r="N620" t="s">
        <v>113</v>
      </c>
      <c r="O620" s="168">
        <v>0.27013888888888887</v>
      </c>
      <c r="P620" s="168">
        <v>0.27013888888888887</v>
      </c>
      <c r="Q620" s="168">
        <v>0.27083333333333331</v>
      </c>
      <c r="R620" s="365">
        <f>(WTG_BD[[#This Row],[Work Start TimeStamp]]-WTG_BD[[#This Row],[Fault Start TimeStamp]])*24</f>
        <v>0</v>
      </c>
      <c r="S620" s="34">
        <f>(WTG_BD[[#This Row],[Fault Clearance time]]-WTG_BD[[#This Row],[Work Start TimeStamp]])*24</f>
        <v>1.6666666666666607E-2</v>
      </c>
      <c r="T620" s="362">
        <f>(WTG_BD[[#This Row],[Fault Clearance time]]-WTG_BD[[#This Row],[Fault Start TimeStamp]])*24</f>
        <v>1.6666666666666607E-2</v>
      </c>
      <c r="U620" t="s">
        <v>4268</v>
      </c>
      <c r="V620" s="234" t="s">
        <v>255</v>
      </c>
      <c r="W620" s="363">
        <f>IFERROR(IF(N620="ROW",0,(WTG_BD[[#This Row],[Breakdown Time]]*WTG_BD[[#This Row],[Plant Equivalent Weightage]])),"")</f>
        <v>7.246376811594178E-4</v>
      </c>
      <c r="X620" s="50"/>
      <c r="Y620" s="364">
        <v>1</v>
      </c>
      <c r="Z620" s="4"/>
      <c r="AA620" s="4">
        <v>6</v>
      </c>
    </row>
    <row r="621" spans="1:27">
      <c r="A621" s="10">
        <f t="shared" si="12"/>
        <v>620</v>
      </c>
      <c r="B621" s="43">
        <f>YEAR(WTG_BD[[#This Row],[Date]])+IF(MONTH(WTG_BD[[#This Row],[Date]])&gt;=4,1,0)</f>
        <v>2026</v>
      </c>
      <c r="C621" s="10">
        <v>2025</v>
      </c>
      <c r="D621" s="10" t="s">
        <v>4478</v>
      </c>
      <c r="E621" s="309">
        <f>WTG_BD[[#This Row],[Date]]-DAY(WTG_BD[[#This Row],[Date]])+1</f>
        <v>45839</v>
      </c>
      <c r="F621" s="32">
        <v>45857</v>
      </c>
      <c r="G621" t="s">
        <v>90</v>
      </c>
      <c r="H621" s="46" t="str">
        <f>IFERROR(VLOOKUP(WTG_BD[[#This Row],[Affected WTG]],'Basic Data'!$A$3:$E$25,2,0),"")</f>
        <v>O2R1</v>
      </c>
      <c r="I621" s="10" t="str">
        <f>IFERROR(VLOOKUP(WTG_BD[[#This Row],[Affected WTG]],'Basic Data'!$A$3:$E$25,3,0),"")</f>
        <v>KSIPL</v>
      </c>
      <c r="J621" s="361">
        <f>IFERROR(VLOOKUP(WTG_BD[[#This Row],[Affected WTG]],'Basic Data'!$A$3:$E$25,5,0),"")</f>
        <v>4.3478260869565223E-2</v>
      </c>
      <c r="K621" s="10">
        <v>900</v>
      </c>
      <c r="L621" s="46" t="str">
        <f>IFERROR(VLOOKUP([1]!WTG_BD[[#This Row],[Error Code]],'[1]Basic Data'!S:T,2,0),"Incorrect Error Code")</f>
        <v>Pause pressed on keyboard</v>
      </c>
      <c r="M621" t="s">
        <v>137</v>
      </c>
      <c r="N621" t="s">
        <v>257</v>
      </c>
      <c r="O621" s="168">
        <v>0.46458333333333335</v>
      </c>
      <c r="P621" s="168">
        <v>0.46458333333333335</v>
      </c>
      <c r="Q621" s="168">
        <v>0.61944444444444446</v>
      </c>
      <c r="R621" s="365">
        <f>(WTG_BD[[#This Row],[Work Start TimeStamp]]-WTG_BD[[#This Row],[Fault Start TimeStamp]])*24</f>
        <v>0</v>
      </c>
      <c r="S621" s="34">
        <f>(WTG_BD[[#This Row],[Fault Clearance time]]-WTG_BD[[#This Row],[Work Start TimeStamp]])*24</f>
        <v>3.7166666666666668</v>
      </c>
      <c r="T621" s="362">
        <f>(WTG_BD[[#This Row],[Fault Clearance time]]-WTG_BD[[#This Row],[Fault Start TimeStamp]])*24</f>
        <v>3.7166666666666668</v>
      </c>
      <c r="U621" t="s">
        <v>4683</v>
      </c>
      <c r="V621" s="234" t="s">
        <v>255</v>
      </c>
      <c r="W621" s="363">
        <f>IFERROR(IF(N621="ROW",0,(WTG_BD[[#This Row],[Breakdown Time]]*WTG_BD[[#This Row],[Plant Equivalent Weightage]])),"")</f>
        <v>0.16159420289855075</v>
      </c>
      <c r="X621" s="50"/>
      <c r="Y621" s="364">
        <v>1</v>
      </c>
      <c r="Z621" s="4"/>
      <c r="AA621" s="4">
        <v>2408</v>
      </c>
    </row>
    <row r="622" spans="1:27" ht="43.5">
      <c r="A622" s="10">
        <f t="shared" si="12"/>
        <v>621</v>
      </c>
      <c r="B622" s="43">
        <f>YEAR(WTG_BD[[#This Row],[Date]])+IF(MONTH(WTG_BD[[#This Row],[Date]])&gt;=4,1,0)</f>
        <v>2026</v>
      </c>
      <c r="C622" s="10">
        <v>2025</v>
      </c>
      <c r="D622" s="10" t="s">
        <v>4478</v>
      </c>
      <c r="E622" s="309">
        <f>WTG_BD[[#This Row],[Date]]-DAY(WTG_BD[[#This Row],[Date]])+1</f>
        <v>45839</v>
      </c>
      <c r="F622" s="32">
        <v>45857</v>
      </c>
      <c r="G622" t="s">
        <v>84</v>
      </c>
      <c r="H622" s="46" t="str">
        <f>IFERROR(VLOOKUP(WTG_BD[[#This Row],[Affected WTG]],'Basic Data'!$A$3:$E$25,2,0),"")</f>
        <v>O2R3</v>
      </c>
      <c r="I622" s="10" t="str">
        <f>IFERROR(VLOOKUP(WTG_BD[[#This Row],[Affected WTG]],'Basic Data'!$A$3:$E$25,3,0),"")</f>
        <v>JK</v>
      </c>
      <c r="J622" s="361">
        <f>IFERROR(VLOOKUP(WTG_BD[[#This Row],[Affected WTG]],'Basic Data'!$A$3:$E$25,5,0),"")</f>
        <v>4.3478260869565223E-2</v>
      </c>
      <c r="K622" s="10">
        <v>900</v>
      </c>
      <c r="L622" s="46" t="str">
        <f>IFERROR(VLOOKUP([1]!WTG_BD[[#This Row],[Error Code]],'[1]Basic Data'!S:T,2,0),"Incorrect Error Code")</f>
        <v>Pause pressed on keyboard</v>
      </c>
      <c r="M622" t="s">
        <v>137</v>
      </c>
      <c r="N622" t="s">
        <v>257</v>
      </c>
      <c r="O622" s="168">
        <v>0.64513888888888893</v>
      </c>
      <c r="P622" s="168">
        <v>0.64513888888888893</v>
      </c>
      <c r="Q622" s="168">
        <v>0.70833333333333337</v>
      </c>
      <c r="R622" s="365">
        <f>(WTG_BD[[#This Row],[Work Start TimeStamp]]-WTG_BD[[#This Row],[Fault Start TimeStamp]])*24</f>
        <v>0</v>
      </c>
      <c r="S622" s="34">
        <f>(WTG_BD[[#This Row],[Fault Clearance time]]-WTG_BD[[#This Row],[Work Start TimeStamp]])*24</f>
        <v>1.5166666666666666</v>
      </c>
      <c r="T622" s="362">
        <f>(WTG_BD[[#This Row],[Fault Clearance time]]-WTG_BD[[#This Row],[Fault Start TimeStamp]])*24</f>
        <v>1.5166666666666666</v>
      </c>
      <c r="U622" s="334" t="s">
        <v>4684</v>
      </c>
      <c r="V622" s="366" t="s">
        <v>255</v>
      </c>
      <c r="W622" s="363">
        <f>IFERROR(IF(N622="ROW",0,(WTG_BD[[#This Row],[Breakdown Time]]*WTG_BD[[#This Row],[Plant Equivalent Weightage]])),"")</f>
        <v>6.5942028985507259E-2</v>
      </c>
      <c r="X622" s="50"/>
      <c r="Y622" s="364">
        <v>1</v>
      </c>
      <c r="Z622" s="4"/>
      <c r="AA622" s="10">
        <v>1057</v>
      </c>
    </row>
    <row r="623" spans="1:27">
      <c r="A623" s="10"/>
      <c r="B623" s="10"/>
      <c r="C623" s="10"/>
      <c r="D623" s="10"/>
      <c r="E623" s="309">
        <f>WTG_BD[[#This Row],[Date]]-DAY(WTG_BD[[#This Row],[Date]])+1</f>
        <v>1</v>
      </c>
      <c r="F623" s="32"/>
      <c r="J623" s="355"/>
      <c r="K623" s="10"/>
      <c r="O623" s="270"/>
      <c r="P623" s="270"/>
      <c r="Q623" s="270"/>
      <c r="V623" s="4"/>
      <c r="W623" s="50"/>
      <c r="X623" s="50"/>
      <c r="Y623" s="4"/>
      <c r="Z623" s="4"/>
    </row>
    <row r="624" spans="1:27">
      <c r="A624" s="10"/>
      <c r="B624" s="10"/>
      <c r="C624" s="10"/>
      <c r="D624" s="10"/>
      <c r="E624" s="309">
        <f>WTG_BD[[#This Row],[Date]]-DAY(WTG_BD[[#This Row],[Date]])+1</f>
        <v>1</v>
      </c>
      <c r="F624" s="32"/>
      <c r="J624" s="355"/>
      <c r="K624" s="10"/>
      <c r="O624" s="270"/>
      <c r="P624" s="270"/>
      <c r="Q624" s="270"/>
      <c r="V624" s="4"/>
      <c r="W624" s="50"/>
      <c r="X624" s="50"/>
      <c r="Y624" s="4"/>
      <c r="Z624" s="4"/>
    </row>
    <row r="625" spans="1:26">
      <c r="A625" s="10"/>
      <c r="B625" s="10"/>
      <c r="C625" s="10"/>
      <c r="D625" s="10"/>
      <c r="E625" s="309">
        <f>WTG_BD[[#This Row],[Date]]-DAY(WTG_BD[[#This Row],[Date]])+1</f>
        <v>1</v>
      </c>
      <c r="F625" s="32"/>
      <c r="J625" s="355"/>
      <c r="K625" s="10"/>
      <c r="O625" s="270"/>
      <c r="P625" s="270"/>
      <c r="Q625" s="270"/>
      <c r="V625" s="4"/>
      <c r="W625" s="50"/>
      <c r="X625" s="50"/>
      <c r="Y625" s="4"/>
      <c r="Z625" s="4"/>
    </row>
    <row r="626" spans="1:26">
      <c r="A626" s="10"/>
      <c r="B626" s="10"/>
      <c r="C626" s="10"/>
      <c r="D626" s="10"/>
      <c r="E626" s="309">
        <f>WTG_BD[[#This Row],[Date]]-DAY(WTG_BD[[#This Row],[Date]])+1</f>
        <v>1</v>
      </c>
      <c r="F626" s="32"/>
      <c r="J626" s="355"/>
      <c r="K626" s="10"/>
      <c r="O626" s="270"/>
      <c r="P626" s="270"/>
      <c r="Q626" s="270"/>
      <c r="V626" s="4"/>
      <c r="W626" s="50"/>
      <c r="X626" s="50"/>
      <c r="Y626" s="4"/>
      <c r="Z626" s="4"/>
    </row>
    <row r="627" spans="1:26">
      <c r="A627" s="10"/>
      <c r="B627" s="10"/>
      <c r="C627" s="10"/>
      <c r="D627" s="10"/>
      <c r="E627" s="309">
        <f>WTG_BD[[#This Row],[Date]]-DAY(WTG_BD[[#This Row],[Date]])+1</f>
        <v>1</v>
      </c>
      <c r="F627" s="32"/>
      <c r="J627" s="355"/>
      <c r="K627" s="10"/>
      <c r="O627" s="270"/>
      <c r="P627" s="270"/>
      <c r="Q627" s="270"/>
      <c r="V627" s="4"/>
      <c r="W627" s="50"/>
      <c r="X627" s="50"/>
      <c r="Y627" s="4"/>
      <c r="Z627" s="4"/>
    </row>
    <row r="628" spans="1:26">
      <c r="A628" s="10"/>
      <c r="B628" s="10"/>
      <c r="C628" s="10"/>
      <c r="D628" s="10"/>
      <c r="E628" s="309">
        <f>WTG_BD[[#This Row],[Date]]-DAY(WTG_BD[[#This Row],[Date]])+1</f>
        <v>1</v>
      </c>
      <c r="F628" s="32"/>
      <c r="J628" s="355"/>
      <c r="K628" s="10"/>
      <c r="O628" s="270"/>
      <c r="P628" s="270"/>
      <c r="Q628" s="270"/>
      <c r="V628" s="4"/>
      <c r="W628" s="50"/>
      <c r="X628" s="50"/>
      <c r="Y628" s="4"/>
      <c r="Z628" s="4"/>
    </row>
    <row r="629" spans="1:26">
      <c r="A629" s="10"/>
      <c r="B629" s="10"/>
      <c r="C629" s="10"/>
      <c r="D629" s="10"/>
      <c r="E629" s="309">
        <f>WTG_BD[[#This Row],[Date]]-DAY(WTG_BD[[#This Row],[Date]])+1</f>
        <v>1</v>
      </c>
      <c r="F629" s="32"/>
      <c r="J629" s="355"/>
      <c r="K629" s="10"/>
      <c r="O629" s="270"/>
      <c r="P629" s="270"/>
      <c r="Q629" s="270"/>
      <c r="V629" s="4"/>
      <c r="W629" s="50"/>
      <c r="X629" s="50"/>
      <c r="Y629" s="4"/>
      <c r="Z629" s="4"/>
    </row>
    <row r="630" spans="1:26">
      <c r="A630" s="10"/>
      <c r="B630" s="10"/>
      <c r="C630" s="10"/>
      <c r="D630" s="10"/>
      <c r="E630" s="309">
        <f>WTG_BD[[#This Row],[Date]]-DAY(WTG_BD[[#This Row],[Date]])+1</f>
        <v>1</v>
      </c>
      <c r="F630" s="32"/>
      <c r="J630" s="355"/>
      <c r="K630" s="10"/>
      <c r="O630" s="270"/>
      <c r="P630" s="270"/>
      <c r="Q630" s="270"/>
      <c r="V630" s="4"/>
      <c r="W630" s="50"/>
      <c r="X630" s="50"/>
      <c r="Y630" s="4"/>
      <c r="Z630" s="4"/>
    </row>
    <row r="631" spans="1:26">
      <c r="A631" s="10"/>
      <c r="B631" s="10"/>
      <c r="C631" s="10"/>
      <c r="D631" s="10"/>
      <c r="E631" s="309">
        <f>WTG_BD[[#This Row],[Date]]-DAY(WTG_BD[[#This Row],[Date]])+1</f>
        <v>1</v>
      </c>
      <c r="F631" s="32"/>
      <c r="J631" s="355"/>
      <c r="K631" s="10"/>
      <c r="O631" s="270"/>
      <c r="P631" s="270"/>
      <c r="Q631" s="270"/>
      <c r="V631" s="4"/>
      <c r="W631" s="50"/>
      <c r="X631" s="50"/>
      <c r="Y631" s="4"/>
      <c r="Z631" s="4"/>
    </row>
    <row r="632" spans="1:26">
      <c r="A632" s="10"/>
      <c r="B632" s="10"/>
      <c r="C632" s="10"/>
      <c r="D632" s="10"/>
      <c r="E632" s="309">
        <f>WTG_BD[[#This Row],[Date]]-DAY(WTG_BD[[#This Row],[Date]])+1</f>
        <v>1</v>
      </c>
      <c r="F632" s="32"/>
      <c r="J632" s="355"/>
      <c r="K632" s="10"/>
      <c r="O632" s="270"/>
      <c r="P632" s="270"/>
      <c r="Q632" s="270"/>
      <c r="V632" s="4"/>
      <c r="W632" s="50"/>
      <c r="X632" s="50"/>
      <c r="Y632" s="4"/>
      <c r="Z632" s="4"/>
    </row>
    <row r="633" spans="1:26">
      <c r="A633" s="10"/>
      <c r="B633" s="10"/>
      <c r="C633" s="10"/>
      <c r="D633" s="10"/>
      <c r="E633" s="309">
        <f>WTG_BD[[#This Row],[Date]]-DAY(WTG_BD[[#This Row],[Date]])+1</f>
        <v>1</v>
      </c>
      <c r="F633" s="32"/>
      <c r="J633" s="355"/>
      <c r="K633" s="10"/>
      <c r="O633" s="270"/>
      <c r="P633" s="270"/>
      <c r="Q633" s="270"/>
      <c r="V633" s="4"/>
      <c r="W633" s="50"/>
      <c r="X633" s="50"/>
      <c r="Y633" s="4"/>
      <c r="Z633" s="4"/>
    </row>
    <row r="634" spans="1:26">
      <c r="A634" s="10"/>
      <c r="B634" s="10"/>
      <c r="C634" s="10"/>
      <c r="D634" s="10"/>
      <c r="E634" s="309">
        <f>WTG_BD[[#This Row],[Date]]-DAY(WTG_BD[[#This Row],[Date]])+1</f>
        <v>1</v>
      </c>
      <c r="F634" s="32"/>
      <c r="J634" s="355"/>
      <c r="K634" s="10"/>
      <c r="O634" s="270"/>
      <c r="P634" s="270"/>
      <c r="Q634" s="270"/>
      <c r="V634" s="4"/>
      <c r="W634" s="50"/>
      <c r="X634" s="50"/>
      <c r="Y634" s="4"/>
      <c r="Z634" s="4"/>
    </row>
    <row r="635" spans="1:26">
      <c r="A635" s="10"/>
      <c r="B635" s="10"/>
      <c r="C635" s="10"/>
      <c r="D635" s="10"/>
      <c r="E635" s="309">
        <f>WTG_BD[[#This Row],[Date]]-DAY(WTG_BD[[#This Row],[Date]])+1</f>
        <v>1</v>
      </c>
      <c r="F635" s="32"/>
      <c r="J635" s="355"/>
      <c r="K635" s="10"/>
      <c r="O635" s="270"/>
      <c r="P635" s="270"/>
      <c r="Q635" s="270"/>
      <c r="V635" s="4"/>
      <c r="W635" s="50"/>
      <c r="X635" s="50"/>
      <c r="Y635" s="4"/>
      <c r="Z635" s="4"/>
    </row>
    <row r="636" spans="1:26">
      <c r="A636" s="10"/>
      <c r="B636" s="10"/>
      <c r="C636" s="10"/>
      <c r="D636" s="10"/>
      <c r="E636" s="309">
        <f>WTG_BD[[#This Row],[Date]]-DAY(WTG_BD[[#This Row],[Date]])+1</f>
        <v>1</v>
      </c>
      <c r="F636" s="32"/>
      <c r="J636" s="355"/>
      <c r="K636" s="10"/>
      <c r="O636" s="270"/>
      <c r="P636" s="270"/>
      <c r="Q636" s="270"/>
      <c r="V636" s="4"/>
      <c r="W636" s="50"/>
      <c r="X636" s="50"/>
      <c r="Y636" s="4"/>
      <c r="Z636" s="4"/>
    </row>
    <row r="637" spans="1:26">
      <c r="A637" s="10"/>
      <c r="B637" s="10"/>
      <c r="C637" s="10"/>
      <c r="D637" s="10"/>
      <c r="E637" s="309">
        <f>WTG_BD[[#This Row],[Date]]-DAY(WTG_BD[[#This Row],[Date]])+1</f>
        <v>1</v>
      </c>
      <c r="F637" s="32"/>
      <c r="J637" s="355"/>
      <c r="K637" s="10"/>
      <c r="O637" s="270"/>
      <c r="P637" s="270"/>
      <c r="Q637" s="270"/>
      <c r="V637" s="4"/>
      <c r="W637" s="50"/>
      <c r="X637" s="50"/>
      <c r="Y637" s="4"/>
      <c r="Z637" s="4"/>
    </row>
    <row r="638" spans="1:26">
      <c r="A638" s="10"/>
      <c r="B638" s="10"/>
      <c r="C638" s="10"/>
      <c r="D638" s="10"/>
      <c r="E638" s="309">
        <f>WTG_BD[[#This Row],[Date]]-DAY(WTG_BD[[#This Row],[Date]])+1</f>
        <v>1</v>
      </c>
      <c r="F638" s="32"/>
      <c r="J638" s="355"/>
      <c r="K638" s="10"/>
      <c r="O638" s="270"/>
      <c r="P638" s="270"/>
      <c r="Q638" s="270"/>
      <c r="V638" s="4"/>
      <c r="W638" s="50"/>
      <c r="X638" s="50"/>
      <c r="Y638" s="4"/>
      <c r="Z638" s="4"/>
    </row>
    <row r="639" spans="1:26">
      <c r="A639" s="10"/>
      <c r="B639" s="10"/>
      <c r="C639" s="10"/>
      <c r="D639" s="10"/>
      <c r="E639" s="309">
        <f>WTG_BD[[#This Row],[Date]]-DAY(WTG_BD[[#This Row],[Date]])+1</f>
        <v>1</v>
      </c>
      <c r="F639" s="32"/>
      <c r="J639" s="355"/>
      <c r="K639" s="10"/>
      <c r="O639" s="270"/>
      <c r="P639" s="270"/>
      <c r="Q639" s="270"/>
      <c r="V639" s="4"/>
      <c r="W639" s="50"/>
      <c r="X639" s="50"/>
      <c r="Y639" s="4"/>
      <c r="Z639" s="4"/>
    </row>
    <row r="640" spans="1:26">
      <c r="A640" s="10"/>
      <c r="B640" s="10"/>
      <c r="C640" s="10"/>
      <c r="D640" s="10"/>
      <c r="E640" s="309">
        <f>WTG_BD[[#This Row],[Date]]-DAY(WTG_BD[[#This Row],[Date]])+1</f>
        <v>1</v>
      </c>
      <c r="F640" s="32"/>
      <c r="J640" s="355"/>
      <c r="K640" s="10"/>
      <c r="O640" s="270"/>
      <c r="P640" s="270"/>
      <c r="Q640" s="270"/>
      <c r="V640" s="4"/>
      <c r="W640" s="50"/>
      <c r="X640" s="50"/>
      <c r="Y640" s="4"/>
      <c r="Z640" s="4"/>
    </row>
    <row r="641" spans="1:26">
      <c r="A641" s="10"/>
      <c r="B641" s="10"/>
      <c r="C641" s="10"/>
      <c r="D641" s="10"/>
      <c r="E641" s="309">
        <f>WTG_BD[[#This Row],[Date]]-DAY(WTG_BD[[#This Row],[Date]])+1</f>
        <v>1</v>
      </c>
      <c r="F641" s="32"/>
      <c r="J641" s="355"/>
      <c r="K641" s="10"/>
      <c r="O641" s="270"/>
      <c r="P641" s="270"/>
      <c r="Q641" s="270"/>
      <c r="V641" s="4"/>
      <c r="W641" s="50"/>
      <c r="X641" s="50"/>
      <c r="Y641" s="4"/>
      <c r="Z641" s="4"/>
    </row>
    <row r="642" spans="1:26">
      <c r="A642" s="10"/>
      <c r="B642" s="10"/>
      <c r="C642" s="10"/>
      <c r="D642" s="10"/>
      <c r="E642" s="309">
        <f>WTG_BD[[#This Row],[Date]]-DAY(WTG_BD[[#This Row],[Date]])+1</f>
        <v>1</v>
      </c>
      <c r="F642" s="32"/>
      <c r="J642" s="355"/>
      <c r="K642" s="10"/>
      <c r="O642" s="270"/>
      <c r="P642" s="270"/>
      <c r="Q642" s="270"/>
      <c r="V642" s="4"/>
      <c r="W642" s="50"/>
      <c r="X642" s="50"/>
      <c r="Y642" s="4"/>
      <c r="Z642" s="4"/>
    </row>
    <row r="643" spans="1:26">
      <c r="A643" s="10"/>
      <c r="B643" s="10"/>
      <c r="C643" s="10"/>
      <c r="D643" s="10"/>
      <c r="E643" s="309">
        <f>WTG_BD[[#This Row],[Date]]-DAY(WTG_BD[[#This Row],[Date]])+1</f>
        <v>1</v>
      </c>
      <c r="F643" s="32"/>
      <c r="J643" s="355"/>
      <c r="K643" s="10"/>
      <c r="O643" s="270"/>
      <c r="P643" s="270"/>
      <c r="Q643" s="270"/>
      <c r="V643" s="4"/>
      <c r="W643" s="50"/>
      <c r="X643" s="50"/>
      <c r="Y643" s="4"/>
      <c r="Z643" s="4"/>
    </row>
    <row r="644" spans="1:26">
      <c r="A644" s="10"/>
      <c r="B644" s="10"/>
      <c r="C644" s="10"/>
      <c r="D644" s="10"/>
      <c r="E644" s="309">
        <f>WTG_BD[[#This Row],[Date]]-DAY(WTG_BD[[#This Row],[Date]])+1</f>
        <v>1</v>
      </c>
      <c r="F644" s="32"/>
      <c r="J644" s="355"/>
      <c r="K644" s="10"/>
      <c r="O644" s="270"/>
      <c r="P644" s="270"/>
      <c r="Q644" s="270"/>
      <c r="V644" s="4"/>
      <c r="W644" s="50"/>
      <c r="X644" s="50"/>
      <c r="Y644" s="4"/>
      <c r="Z644" s="4"/>
    </row>
    <row r="645" spans="1:26">
      <c r="A645" s="10"/>
      <c r="B645" s="10"/>
      <c r="C645" s="10"/>
      <c r="D645" s="10"/>
      <c r="E645" s="309">
        <f>WTG_BD[[#This Row],[Date]]-DAY(WTG_BD[[#This Row],[Date]])+1</f>
        <v>1</v>
      </c>
      <c r="F645" s="32"/>
      <c r="J645" s="355"/>
      <c r="K645" s="10"/>
      <c r="O645" s="270"/>
      <c r="P645" s="270"/>
      <c r="Q645" s="270"/>
      <c r="V645" s="4"/>
      <c r="W645" s="50"/>
      <c r="X645" s="50"/>
      <c r="Y645" s="4"/>
      <c r="Z645" s="4"/>
    </row>
    <row r="646" spans="1:26">
      <c r="A646" s="10"/>
      <c r="B646" s="10"/>
      <c r="C646" s="10"/>
      <c r="D646" s="10"/>
      <c r="E646" s="309">
        <f>WTG_BD[[#This Row],[Date]]-DAY(WTG_BD[[#This Row],[Date]])+1</f>
        <v>1</v>
      </c>
      <c r="F646" s="32"/>
      <c r="J646" s="355"/>
      <c r="K646" s="10"/>
      <c r="O646" s="270"/>
      <c r="P646" s="270"/>
      <c r="Q646" s="270"/>
      <c r="V646" s="4"/>
      <c r="W646" s="50"/>
      <c r="X646" s="50"/>
      <c r="Y646" s="4"/>
      <c r="Z646" s="4"/>
    </row>
    <row r="647" spans="1:26">
      <c r="A647" s="10"/>
      <c r="B647" s="10"/>
      <c r="C647" s="10"/>
      <c r="D647" s="10"/>
      <c r="E647" s="309">
        <f>WTG_BD[[#This Row],[Date]]-DAY(WTG_BD[[#This Row],[Date]])+1</f>
        <v>1</v>
      </c>
      <c r="F647" s="32"/>
      <c r="J647" s="355"/>
      <c r="K647" s="10"/>
      <c r="O647" s="270"/>
      <c r="P647" s="270"/>
      <c r="Q647" s="270"/>
      <c r="V647" s="4"/>
      <c r="W647" s="50"/>
      <c r="X647" s="50"/>
      <c r="Y647" s="4"/>
      <c r="Z647" s="4"/>
    </row>
    <row r="648" spans="1:26">
      <c r="A648" s="10"/>
      <c r="B648" s="10"/>
      <c r="C648" s="10"/>
      <c r="D648" s="10"/>
      <c r="E648" s="309">
        <f>WTG_BD[[#This Row],[Date]]-DAY(WTG_BD[[#This Row],[Date]])+1</f>
        <v>1</v>
      </c>
      <c r="F648" s="32"/>
      <c r="J648" s="355"/>
      <c r="K648" s="10"/>
      <c r="O648" s="270"/>
      <c r="P648" s="270"/>
      <c r="Q648" s="270"/>
      <c r="V648" s="4"/>
      <c r="W648" s="50"/>
      <c r="X648" s="50"/>
      <c r="Y648" s="4"/>
      <c r="Z648" s="4"/>
    </row>
    <row r="649" spans="1:26">
      <c r="A649" s="10"/>
      <c r="B649" s="10"/>
      <c r="C649" s="10"/>
      <c r="D649" s="10"/>
      <c r="E649" s="309">
        <f>WTG_BD[[#This Row],[Date]]-DAY(WTG_BD[[#This Row],[Date]])+1</f>
        <v>1</v>
      </c>
      <c r="F649" s="32"/>
      <c r="J649" s="355"/>
      <c r="K649" s="10"/>
      <c r="O649" s="270"/>
      <c r="P649" s="270"/>
      <c r="Q649" s="270"/>
      <c r="V649" s="4"/>
      <c r="W649" s="50"/>
      <c r="X649" s="50"/>
      <c r="Y649" s="4"/>
      <c r="Z649" s="4"/>
    </row>
    <row r="650" spans="1:26">
      <c r="A650" s="10"/>
      <c r="B650" s="10"/>
      <c r="C650" s="10"/>
      <c r="D650" s="10"/>
      <c r="E650" s="309">
        <f>WTG_BD[[#This Row],[Date]]-DAY(WTG_BD[[#This Row],[Date]])+1</f>
        <v>1</v>
      </c>
      <c r="F650" s="32"/>
      <c r="J650" s="355"/>
      <c r="K650" s="10"/>
      <c r="O650" s="270"/>
      <c r="P650" s="270"/>
      <c r="Q650" s="270"/>
      <c r="V650" s="4"/>
      <c r="W650" s="50"/>
      <c r="X650" s="50"/>
      <c r="Y650" s="4"/>
      <c r="Z650" s="4"/>
    </row>
    <row r="651" spans="1:26">
      <c r="A651" s="10"/>
      <c r="B651" s="10"/>
      <c r="C651" s="10"/>
      <c r="D651" s="10"/>
      <c r="E651" s="309">
        <f>WTG_BD[[#This Row],[Date]]-DAY(WTG_BD[[#This Row],[Date]])+1</f>
        <v>1</v>
      </c>
      <c r="F651" s="32"/>
      <c r="J651" s="355"/>
      <c r="K651" s="10"/>
      <c r="O651" s="270"/>
      <c r="P651" s="270"/>
      <c r="Q651" s="270"/>
      <c r="V651" s="4"/>
      <c r="W651" s="50"/>
      <c r="X651" s="50"/>
      <c r="Y651" s="4"/>
      <c r="Z651" s="4"/>
    </row>
    <row r="652" spans="1:26">
      <c r="A652" s="10"/>
      <c r="B652" s="10"/>
      <c r="C652" s="10"/>
      <c r="D652" s="10"/>
      <c r="E652" s="309">
        <f>WTG_BD[[#This Row],[Date]]-DAY(WTG_BD[[#This Row],[Date]])+1</f>
        <v>1</v>
      </c>
      <c r="F652" s="32"/>
      <c r="J652" s="355"/>
      <c r="K652" s="10"/>
      <c r="O652" s="270"/>
      <c r="P652" s="270"/>
      <c r="Q652" s="270"/>
      <c r="V652" s="4"/>
      <c r="W652" s="50"/>
      <c r="X652" s="50"/>
      <c r="Y652" s="4"/>
      <c r="Z652" s="4"/>
    </row>
    <row r="653" spans="1:26">
      <c r="A653" s="10"/>
      <c r="B653" s="10"/>
      <c r="C653" s="10"/>
      <c r="D653" s="10"/>
      <c r="E653" s="309">
        <f>WTG_BD[[#This Row],[Date]]-DAY(WTG_BD[[#This Row],[Date]])+1</f>
        <v>1</v>
      </c>
      <c r="F653" s="32"/>
      <c r="J653" s="355"/>
      <c r="K653" s="10"/>
      <c r="O653" s="270"/>
      <c r="P653" s="270"/>
      <c r="Q653" s="270"/>
      <c r="V653" s="4"/>
      <c r="W653" s="50"/>
      <c r="X653" s="50"/>
      <c r="Y653" s="4"/>
      <c r="Z653" s="4"/>
    </row>
    <row r="654" spans="1:26">
      <c r="A654" s="10"/>
      <c r="B654" s="10"/>
      <c r="C654" s="10"/>
      <c r="D654" s="10"/>
      <c r="E654" s="309">
        <f>WTG_BD[[#This Row],[Date]]-DAY(WTG_BD[[#This Row],[Date]])+1</f>
        <v>1</v>
      </c>
      <c r="F654" s="32"/>
      <c r="J654" s="355"/>
      <c r="K654" s="10"/>
      <c r="O654" s="270"/>
      <c r="P654" s="270"/>
      <c r="Q654" s="270"/>
      <c r="V654" s="4"/>
      <c r="W654" s="50"/>
      <c r="X654" s="50"/>
      <c r="Y654" s="4"/>
      <c r="Z654" s="4"/>
    </row>
    <row r="655" spans="1:26">
      <c r="A655" s="10"/>
      <c r="B655" s="10"/>
      <c r="C655" s="10"/>
      <c r="D655" s="10"/>
      <c r="E655" s="309">
        <f>WTG_BD[[#This Row],[Date]]-DAY(WTG_BD[[#This Row],[Date]])+1</f>
        <v>1</v>
      </c>
      <c r="F655" s="32"/>
      <c r="J655" s="355"/>
      <c r="K655" s="10"/>
      <c r="O655" s="270"/>
      <c r="P655" s="270"/>
      <c r="Q655" s="270"/>
      <c r="V655" s="4"/>
      <c r="W655" s="50"/>
      <c r="X655" s="50"/>
      <c r="Y655" s="4"/>
      <c r="Z655" s="4"/>
    </row>
    <row r="656" spans="1:26">
      <c r="A656" s="10"/>
      <c r="B656" s="10"/>
      <c r="C656" s="10"/>
      <c r="D656" s="10"/>
      <c r="E656" s="309">
        <f>WTG_BD[[#This Row],[Date]]-DAY(WTG_BD[[#This Row],[Date]])+1</f>
        <v>1</v>
      </c>
      <c r="F656" s="32"/>
      <c r="J656" s="355"/>
      <c r="K656" s="10"/>
      <c r="O656" s="270"/>
      <c r="P656" s="270"/>
      <c r="Q656" s="270"/>
      <c r="V656" s="4"/>
      <c r="W656" s="50"/>
      <c r="X656" s="50"/>
      <c r="Y656" s="4"/>
      <c r="Z656" s="4"/>
    </row>
    <row r="657" spans="1:26">
      <c r="A657" s="10"/>
      <c r="B657" s="10"/>
      <c r="C657" s="10"/>
      <c r="D657" s="10"/>
      <c r="E657" s="309">
        <f>WTG_BD[[#This Row],[Date]]-DAY(WTG_BD[[#This Row],[Date]])+1</f>
        <v>1</v>
      </c>
      <c r="F657" s="32"/>
      <c r="J657" s="355"/>
      <c r="K657" s="10"/>
      <c r="O657" s="270"/>
      <c r="P657" s="270"/>
      <c r="Q657" s="270"/>
      <c r="V657" s="4"/>
      <c r="W657" s="50"/>
      <c r="X657" s="50"/>
      <c r="Y657" s="4"/>
      <c r="Z657" s="4"/>
    </row>
    <row r="658" spans="1:26">
      <c r="A658" s="10"/>
      <c r="B658" s="10"/>
      <c r="C658" s="10"/>
      <c r="D658" s="10"/>
      <c r="E658" s="309">
        <f>WTG_BD[[#This Row],[Date]]-DAY(WTG_BD[[#This Row],[Date]])+1</f>
        <v>1</v>
      </c>
      <c r="F658" s="32"/>
      <c r="J658" s="355"/>
      <c r="K658" s="10"/>
      <c r="O658" s="270"/>
      <c r="P658" s="270"/>
      <c r="Q658" s="270"/>
      <c r="V658" s="4"/>
      <c r="W658" s="50"/>
      <c r="X658" s="50"/>
      <c r="Y658" s="4"/>
      <c r="Z658" s="4"/>
    </row>
    <row r="659" spans="1:26">
      <c r="A659" s="10"/>
      <c r="B659" s="10"/>
      <c r="C659" s="10"/>
      <c r="D659" s="10"/>
      <c r="E659" s="309">
        <f>WTG_BD[[#This Row],[Date]]-DAY(WTG_BD[[#This Row],[Date]])+1</f>
        <v>1</v>
      </c>
      <c r="F659" s="32"/>
      <c r="J659" s="355"/>
      <c r="K659" s="10"/>
      <c r="O659" s="270"/>
      <c r="P659" s="270"/>
      <c r="Q659" s="270"/>
      <c r="V659" s="4"/>
      <c r="W659" s="50"/>
      <c r="X659" s="50"/>
      <c r="Y659" s="4"/>
      <c r="Z659" s="4"/>
    </row>
    <row r="660" spans="1:26">
      <c r="A660" s="10"/>
      <c r="B660" s="10"/>
      <c r="C660" s="10"/>
      <c r="D660" s="10"/>
      <c r="E660" s="309">
        <f>WTG_BD[[#This Row],[Date]]-DAY(WTG_BD[[#This Row],[Date]])+1</f>
        <v>1</v>
      </c>
      <c r="F660" s="32"/>
      <c r="J660" s="355"/>
      <c r="K660" s="10"/>
      <c r="O660" s="270"/>
      <c r="P660" s="270"/>
      <c r="Q660" s="270"/>
      <c r="V660" s="4"/>
      <c r="W660" s="50"/>
      <c r="X660" s="50"/>
      <c r="Y660" s="4"/>
      <c r="Z660" s="4"/>
    </row>
    <row r="661" spans="1:26">
      <c r="A661" s="10"/>
      <c r="B661" s="10"/>
      <c r="C661" s="10"/>
      <c r="D661" s="10"/>
      <c r="E661" s="309">
        <f>WTG_BD[[#This Row],[Date]]-DAY(WTG_BD[[#This Row],[Date]])+1</f>
        <v>1</v>
      </c>
      <c r="F661" s="32"/>
      <c r="J661" s="355"/>
      <c r="K661" s="10"/>
      <c r="O661" s="270"/>
      <c r="P661" s="270"/>
      <c r="Q661" s="270"/>
      <c r="V661" s="4"/>
      <c r="W661" s="50"/>
      <c r="X661" s="50"/>
      <c r="Y661" s="4"/>
      <c r="Z661" s="4"/>
    </row>
    <row r="662" spans="1:26">
      <c r="A662" s="10"/>
      <c r="B662" s="10"/>
      <c r="C662" s="10"/>
      <c r="D662" s="10"/>
      <c r="E662" s="309">
        <f>WTG_BD[[#This Row],[Date]]-DAY(WTG_BD[[#This Row],[Date]])+1</f>
        <v>1</v>
      </c>
      <c r="F662" s="32"/>
      <c r="J662" s="355"/>
      <c r="K662" s="10"/>
      <c r="O662" s="270"/>
      <c r="P662" s="270"/>
      <c r="Q662" s="270"/>
      <c r="V662" s="4"/>
      <c r="W662" s="50"/>
      <c r="X662" s="50"/>
      <c r="Y662" s="4"/>
      <c r="Z662" s="4"/>
    </row>
    <row r="663" spans="1:26">
      <c r="A663" s="10"/>
      <c r="B663" s="10"/>
      <c r="C663" s="10"/>
      <c r="D663" s="10"/>
      <c r="E663" s="309">
        <f>WTG_BD[[#This Row],[Date]]-DAY(WTG_BD[[#This Row],[Date]])+1</f>
        <v>1</v>
      </c>
      <c r="F663" s="32"/>
      <c r="J663" s="355"/>
      <c r="K663" s="10"/>
      <c r="O663" s="270"/>
      <c r="P663" s="270"/>
      <c r="Q663" s="270"/>
      <c r="V663" s="4"/>
      <c r="W663" s="50"/>
      <c r="X663" s="50"/>
      <c r="Y663" s="4"/>
      <c r="Z663" s="4"/>
    </row>
    <row r="664" spans="1:26">
      <c r="A664" s="10"/>
      <c r="B664" s="10"/>
      <c r="C664" s="10"/>
      <c r="D664" s="10"/>
      <c r="E664" s="309">
        <f>WTG_BD[[#This Row],[Date]]-DAY(WTG_BD[[#This Row],[Date]])+1</f>
        <v>1</v>
      </c>
      <c r="F664" s="32"/>
      <c r="J664" s="355"/>
      <c r="K664" s="10"/>
      <c r="O664" s="270"/>
      <c r="P664" s="270"/>
      <c r="Q664" s="270"/>
      <c r="V664" s="4"/>
      <c r="W664" s="50"/>
      <c r="X664" s="50"/>
      <c r="Y664" s="4"/>
      <c r="Z664" s="4"/>
    </row>
    <row r="665" spans="1:26">
      <c r="A665" s="10"/>
      <c r="B665" s="10"/>
      <c r="C665" s="10"/>
      <c r="D665" s="10"/>
      <c r="E665" s="309">
        <f>WTG_BD[[#This Row],[Date]]-DAY(WTG_BD[[#This Row],[Date]])+1</f>
        <v>1</v>
      </c>
      <c r="F665" s="32"/>
      <c r="J665" s="355"/>
      <c r="K665" s="10"/>
      <c r="O665" s="270"/>
      <c r="P665" s="270"/>
      <c r="Q665" s="270"/>
      <c r="V665" s="4"/>
      <c r="W665" s="50"/>
      <c r="X665" s="50"/>
      <c r="Y665" s="4"/>
      <c r="Z665" s="4"/>
    </row>
    <row r="666" spans="1:26">
      <c r="A666" s="10"/>
      <c r="B666" s="10"/>
      <c r="C666" s="10"/>
      <c r="D666" s="10"/>
      <c r="E666" s="309">
        <f>WTG_BD[[#This Row],[Date]]-DAY(WTG_BD[[#This Row],[Date]])+1</f>
        <v>1</v>
      </c>
      <c r="F666" s="32"/>
      <c r="J666" s="355"/>
      <c r="K666" s="10"/>
      <c r="O666" s="270"/>
      <c r="P666" s="270"/>
      <c r="Q666" s="270"/>
      <c r="V666" s="4"/>
      <c r="W666" s="50"/>
      <c r="X666" s="50"/>
      <c r="Y666" s="4"/>
      <c r="Z666" s="4"/>
    </row>
    <row r="667" spans="1:26">
      <c r="A667" s="10"/>
      <c r="B667" s="10"/>
      <c r="C667" s="10"/>
      <c r="D667" s="10"/>
      <c r="E667" s="309">
        <f>WTG_BD[[#This Row],[Date]]-DAY(WTG_BD[[#This Row],[Date]])+1</f>
        <v>1</v>
      </c>
      <c r="F667" s="32"/>
      <c r="J667" s="355"/>
      <c r="K667" s="10"/>
      <c r="O667" s="270"/>
      <c r="P667" s="270"/>
      <c r="Q667" s="270"/>
      <c r="V667" s="4"/>
      <c r="W667" s="50"/>
      <c r="X667" s="50"/>
      <c r="Y667" s="4"/>
      <c r="Z667" s="4"/>
    </row>
    <row r="668" spans="1:26">
      <c r="A668" s="10"/>
      <c r="B668" s="10"/>
      <c r="C668" s="10"/>
      <c r="D668" s="10"/>
      <c r="E668" s="309">
        <f>WTG_BD[[#This Row],[Date]]-DAY(WTG_BD[[#This Row],[Date]])+1</f>
        <v>1</v>
      </c>
      <c r="F668" s="32"/>
      <c r="J668" s="355"/>
      <c r="K668" s="10"/>
      <c r="O668" s="270"/>
      <c r="P668" s="270"/>
      <c r="Q668" s="270"/>
      <c r="V668" s="4"/>
      <c r="W668" s="50"/>
      <c r="X668" s="50"/>
      <c r="Y668" s="4"/>
      <c r="Z668" s="4"/>
    </row>
    <row r="669" spans="1:26">
      <c r="A669" s="10"/>
      <c r="B669" s="10"/>
      <c r="C669" s="10"/>
      <c r="D669" s="10"/>
      <c r="E669" s="309">
        <f>WTG_BD[[#This Row],[Date]]-DAY(WTG_BD[[#This Row],[Date]])+1</f>
        <v>1</v>
      </c>
      <c r="F669" s="32"/>
      <c r="J669" s="355"/>
      <c r="K669" s="10"/>
      <c r="O669" s="270"/>
      <c r="P669" s="270"/>
      <c r="Q669" s="270"/>
      <c r="V669" s="4"/>
      <c r="W669" s="50"/>
      <c r="X669" s="50"/>
      <c r="Y669" s="4"/>
      <c r="Z669" s="4"/>
    </row>
    <row r="670" spans="1:26">
      <c r="A670" s="10"/>
      <c r="B670" s="10"/>
      <c r="C670" s="10"/>
      <c r="D670" s="10"/>
      <c r="E670" s="309">
        <f>WTG_BD[[#This Row],[Date]]-DAY(WTG_BD[[#This Row],[Date]])+1</f>
        <v>1</v>
      </c>
      <c r="F670" s="32"/>
      <c r="J670" s="355"/>
      <c r="K670" s="10"/>
      <c r="O670" s="270"/>
      <c r="P670" s="270"/>
      <c r="Q670" s="270"/>
      <c r="V670" s="4"/>
      <c r="W670" s="50"/>
      <c r="X670" s="50"/>
      <c r="Y670" s="4"/>
      <c r="Z670" s="4"/>
    </row>
    <row r="671" spans="1:26">
      <c r="A671" s="10"/>
      <c r="B671" s="10"/>
      <c r="C671" s="10"/>
      <c r="D671" s="10"/>
      <c r="E671" s="309">
        <f>WTG_BD[[#This Row],[Date]]-DAY(WTG_BD[[#This Row],[Date]])+1</f>
        <v>1</v>
      </c>
      <c r="F671" s="32"/>
      <c r="J671" s="355"/>
      <c r="K671" s="10"/>
      <c r="O671" s="270"/>
      <c r="P671" s="270"/>
      <c r="Q671" s="270"/>
      <c r="V671" s="4"/>
      <c r="W671" s="50"/>
      <c r="X671" s="50"/>
      <c r="Y671" s="4"/>
      <c r="Z671" s="4"/>
    </row>
    <row r="672" spans="1:26">
      <c r="A672" s="10"/>
      <c r="B672" s="10"/>
      <c r="C672" s="10"/>
      <c r="D672" s="10"/>
      <c r="E672" s="309">
        <f>WTG_BD[[#This Row],[Date]]-DAY(WTG_BD[[#This Row],[Date]])+1</f>
        <v>1</v>
      </c>
      <c r="F672" s="32"/>
      <c r="J672" s="355"/>
      <c r="K672" s="10"/>
      <c r="O672" s="270"/>
      <c r="P672" s="270"/>
      <c r="Q672" s="270"/>
      <c r="V672" s="4"/>
      <c r="W672" s="50"/>
      <c r="X672" s="50"/>
      <c r="Y672" s="4"/>
      <c r="Z672" s="4"/>
    </row>
    <row r="673" spans="1:26">
      <c r="A673" s="10"/>
      <c r="B673" s="10"/>
      <c r="C673" s="10"/>
      <c r="D673" s="10"/>
      <c r="E673" s="309">
        <f>WTG_BD[[#This Row],[Date]]-DAY(WTG_BD[[#This Row],[Date]])+1</f>
        <v>1</v>
      </c>
      <c r="F673" s="32"/>
      <c r="J673" s="355"/>
      <c r="K673" s="10"/>
      <c r="O673" s="270"/>
      <c r="P673" s="270"/>
      <c r="Q673" s="270"/>
      <c r="V673" s="4"/>
      <c r="W673" s="50"/>
      <c r="X673" s="50"/>
      <c r="Y673" s="4"/>
      <c r="Z673" s="4"/>
    </row>
    <row r="674" spans="1:26">
      <c r="A674" s="10"/>
      <c r="B674" s="10"/>
      <c r="C674" s="10"/>
      <c r="D674" s="10"/>
      <c r="E674" s="309">
        <f>WTG_BD[[#This Row],[Date]]-DAY(WTG_BD[[#This Row],[Date]])+1</f>
        <v>1</v>
      </c>
      <c r="F674" s="32"/>
      <c r="J674" s="355"/>
      <c r="K674" s="10"/>
      <c r="O674" s="270"/>
      <c r="P674" s="270"/>
      <c r="Q674" s="270"/>
      <c r="V674" s="4"/>
      <c r="W674" s="50"/>
      <c r="X674" s="50"/>
      <c r="Y674" s="4"/>
      <c r="Z674" s="4"/>
    </row>
    <row r="675" spans="1:26">
      <c r="A675" s="10"/>
      <c r="B675" s="10"/>
      <c r="C675" s="10"/>
      <c r="D675" s="10"/>
      <c r="E675" s="309">
        <f>WTG_BD[[#This Row],[Date]]-DAY(WTG_BD[[#This Row],[Date]])+1</f>
        <v>1</v>
      </c>
      <c r="F675" s="32"/>
      <c r="J675" s="355"/>
      <c r="K675" s="10"/>
      <c r="O675" s="270"/>
      <c r="P675" s="270"/>
      <c r="Q675" s="270"/>
      <c r="V675" s="4"/>
      <c r="W675" s="50"/>
      <c r="X675" s="50"/>
      <c r="Y675" s="4"/>
      <c r="Z675" s="4"/>
    </row>
    <row r="676" spans="1:26">
      <c r="A676" s="10"/>
      <c r="B676" s="10"/>
      <c r="C676" s="10"/>
      <c r="D676" s="10"/>
      <c r="E676" s="309">
        <f>WTG_BD[[#This Row],[Date]]-DAY(WTG_BD[[#This Row],[Date]])+1</f>
        <v>1</v>
      </c>
      <c r="F676" s="32"/>
      <c r="J676" s="355"/>
      <c r="K676" s="10"/>
      <c r="O676" s="270"/>
      <c r="P676" s="270"/>
      <c r="Q676" s="270"/>
      <c r="V676" s="4"/>
      <c r="W676" s="50"/>
      <c r="X676" s="50"/>
      <c r="Y676" s="4"/>
      <c r="Z676" s="4"/>
    </row>
    <row r="677" spans="1:26">
      <c r="A677" s="10"/>
      <c r="B677" s="10"/>
      <c r="C677" s="10"/>
      <c r="D677" s="10"/>
      <c r="E677" s="309">
        <f>WTG_BD[[#This Row],[Date]]-DAY(WTG_BD[[#This Row],[Date]])+1</f>
        <v>1</v>
      </c>
      <c r="F677" s="32"/>
      <c r="J677" s="355"/>
      <c r="K677" s="10"/>
      <c r="O677" s="270"/>
      <c r="P677" s="270"/>
      <c r="Q677" s="270"/>
      <c r="V677" s="4"/>
      <c r="W677" s="50"/>
      <c r="X677" s="50"/>
      <c r="Y677" s="4"/>
      <c r="Z677" s="4"/>
    </row>
    <row r="678" spans="1:26">
      <c r="A678" s="10"/>
      <c r="B678" s="10"/>
      <c r="C678" s="10"/>
      <c r="D678" s="10"/>
      <c r="E678" s="309">
        <f>WTG_BD[[#This Row],[Date]]-DAY(WTG_BD[[#This Row],[Date]])+1</f>
        <v>1</v>
      </c>
      <c r="F678" s="32"/>
      <c r="J678" s="355"/>
      <c r="K678" s="10"/>
      <c r="O678" s="270"/>
      <c r="P678" s="270"/>
      <c r="Q678" s="270"/>
      <c r="V678" s="4"/>
      <c r="W678" s="50"/>
      <c r="X678" s="50"/>
      <c r="Y678" s="4"/>
      <c r="Z678" s="4"/>
    </row>
    <row r="679" spans="1:26">
      <c r="A679" s="10"/>
      <c r="B679" s="10"/>
      <c r="C679" s="10"/>
      <c r="D679" s="10"/>
      <c r="E679" s="309">
        <f>WTG_BD[[#This Row],[Date]]-DAY(WTG_BD[[#This Row],[Date]])+1</f>
        <v>1</v>
      </c>
      <c r="F679" s="32"/>
      <c r="J679" s="355"/>
      <c r="K679" s="10"/>
      <c r="O679" s="270"/>
      <c r="P679" s="270"/>
      <c r="Q679" s="270"/>
      <c r="V679" s="4"/>
      <c r="W679" s="50"/>
      <c r="X679" s="50"/>
      <c r="Y679" s="4"/>
      <c r="Z679" s="4"/>
    </row>
    <row r="680" spans="1:26">
      <c r="A680" s="10"/>
      <c r="B680" s="10"/>
      <c r="C680" s="10"/>
      <c r="D680" s="10"/>
      <c r="E680" s="309">
        <f>WTG_BD[[#This Row],[Date]]-DAY(WTG_BD[[#This Row],[Date]])+1</f>
        <v>1</v>
      </c>
      <c r="F680" s="32"/>
      <c r="J680" s="355"/>
      <c r="K680" s="10"/>
      <c r="O680" s="270"/>
      <c r="P680" s="270"/>
      <c r="Q680" s="270"/>
      <c r="V680" s="4"/>
      <c r="W680" s="50"/>
      <c r="X680" s="50"/>
      <c r="Y680" s="4"/>
      <c r="Z680" s="4"/>
    </row>
    <row r="681" spans="1:26">
      <c r="A681" s="10"/>
      <c r="B681" s="10"/>
      <c r="C681" s="10"/>
      <c r="D681" s="10"/>
      <c r="E681" s="309">
        <f>WTG_BD[[#This Row],[Date]]-DAY(WTG_BD[[#This Row],[Date]])+1</f>
        <v>1</v>
      </c>
      <c r="F681" s="32"/>
      <c r="J681" s="355"/>
      <c r="K681" s="10"/>
      <c r="O681" s="270"/>
      <c r="P681" s="270"/>
      <c r="Q681" s="270"/>
      <c r="V681" s="4"/>
      <c r="W681" s="50"/>
      <c r="X681" s="50"/>
      <c r="Y681" s="4"/>
      <c r="Z681" s="4"/>
    </row>
    <row r="682" spans="1:26">
      <c r="A682" s="10"/>
      <c r="B682" s="10"/>
      <c r="C682" s="10"/>
      <c r="D682" s="10"/>
      <c r="E682" s="309">
        <f>WTG_BD[[#This Row],[Date]]-DAY(WTG_BD[[#This Row],[Date]])+1</f>
        <v>1</v>
      </c>
      <c r="F682" s="32"/>
      <c r="J682" s="355"/>
      <c r="K682" s="10"/>
      <c r="O682" s="270"/>
      <c r="P682" s="270"/>
      <c r="Q682" s="270"/>
      <c r="V682" s="4"/>
      <c r="W682" s="50"/>
      <c r="X682" s="50"/>
      <c r="Y682" s="4"/>
      <c r="Z682" s="4"/>
    </row>
    <row r="683" spans="1:26">
      <c r="A683" s="10"/>
      <c r="B683" s="10"/>
      <c r="C683" s="10"/>
      <c r="D683" s="10"/>
      <c r="E683" s="309">
        <f>WTG_BD[[#This Row],[Date]]-DAY(WTG_BD[[#This Row],[Date]])+1</f>
        <v>1</v>
      </c>
      <c r="F683" s="32"/>
      <c r="J683" s="355"/>
      <c r="K683" s="10"/>
      <c r="O683" s="270"/>
      <c r="P683" s="270"/>
      <c r="Q683" s="270"/>
      <c r="V683" s="4"/>
      <c r="W683" s="50"/>
      <c r="X683" s="50"/>
      <c r="Y683" s="4"/>
      <c r="Z683" s="4"/>
    </row>
    <row r="684" spans="1:26">
      <c r="A684" s="10"/>
      <c r="B684" s="10"/>
      <c r="C684" s="10"/>
      <c r="D684" s="10"/>
      <c r="E684" s="309">
        <f>WTG_BD[[#This Row],[Date]]-DAY(WTG_BD[[#This Row],[Date]])+1</f>
        <v>1</v>
      </c>
      <c r="F684" s="32"/>
      <c r="J684" s="355"/>
      <c r="K684" s="10"/>
      <c r="O684" s="270"/>
      <c r="P684" s="270"/>
      <c r="Q684" s="270"/>
      <c r="V684" s="4"/>
      <c r="W684" s="50"/>
      <c r="X684" s="50"/>
      <c r="Y684" s="4"/>
      <c r="Z684" s="4"/>
    </row>
    <row r="685" spans="1:26">
      <c r="A685" s="10"/>
      <c r="B685" s="10"/>
      <c r="C685" s="10"/>
      <c r="D685" s="10"/>
      <c r="E685" s="309">
        <f>WTG_BD[[#This Row],[Date]]-DAY(WTG_BD[[#This Row],[Date]])+1</f>
        <v>1</v>
      </c>
      <c r="F685" s="32"/>
      <c r="J685" s="355"/>
      <c r="K685" s="10"/>
      <c r="O685" s="270"/>
      <c r="P685" s="270"/>
      <c r="Q685" s="270"/>
      <c r="V685" s="4"/>
      <c r="W685" s="50"/>
      <c r="X685" s="50"/>
      <c r="Y685" s="4"/>
      <c r="Z685" s="4"/>
    </row>
    <row r="686" spans="1:26">
      <c r="A686" s="10"/>
      <c r="B686" s="10"/>
      <c r="C686" s="10"/>
      <c r="D686" s="10"/>
      <c r="E686" s="309">
        <f>WTG_BD[[#This Row],[Date]]-DAY(WTG_BD[[#This Row],[Date]])+1</f>
        <v>1</v>
      </c>
      <c r="F686" s="32"/>
      <c r="J686" s="355"/>
      <c r="K686" s="10"/>
      <c r="O686" s="270"/>
      <c r="P686" s="270"/>
      <c r="Q686" s="270"/>
      <c r="V686" s="4"/>
      <c r="W686" s="50"/>
      <c r="X686" s="50"/>
      <c r="Y686" s="4"/>
      <c r="Z686" s="4"/>
    </row>
    <row r="687" spans="1:26">
      <c r="A687" s="10"/>
      <c r="B687" s="10"/>
      <c r="C687" s="10"/>
      <c r="D687" s="10"/>
      <c r="E687" s="309">
        <f>WTG_BD[[#This Row],[Date]]-DAY(WTG_BD[[#This Row],[Date]])+1</f>
        <v>1</v>
      </c>
      <c r="F687" s="32"/>
      <c r="J687" s="355"/>
      <c r="K687" s="10"/>
      <c r="O687" s="270"/>
      <c r="P687" s="270"/>
      <c r="Q687" s="270"/>
      <c r="V687" s="4"/>
      <c r="W687" s="50"/>
      <c r="X687" s="50"/>
      <c r="Y687" s="4"/>
      <c r="Z687" s="4"/>
    </row>
    <row r="688" spans="1:26">
      <c r="A688" s="10"/>
      <c r="B688" s="10"/>
      <c r="C688" s="10"/>
      <c r="D688" s="10"/>
      <c r="E688" s="309">
        <f>WTG_BD[[#This Row],[Date]]-DAY(WTG_BD[[#This Row],[Date]])+1</f>
        <v>1</v>
      </c>
      <c r="F688" s="32"/>
      <c r="J688" s="355"/>
      <c r="K688" s="10"/>
      <c r="O688" s="270"/>
      <c r="P688" s="270"/>
      <c r="Q688" s="270"/>
      <c r="V688" s="4"/>
      <c r="W688" s="50"/>
      <c r="X688" s="50"/>
      <c r="Y688" s="4"/>
      <c r="Z688" s="4"/>
    </row>
    <row r="689" spans="1:26">
      <c r="A689" s="10"/>
      <c r="B689" s="10"/>
      <c r="C689" s="10"/>
      <c r="D689" s="10"/>
      <c r="E689" s="309">
        <f>WTG_BD[[#This Row],[Date]]-DAY(WTG_BD[[#This Row],[Date]])+1</f>
        <v>1</v>
      </c>
      <c r="F689" s="32"/>
      <c r="J689" s="355"/>
      <c r="K689" s="10"/>
      <c r="O689" s="270"/>
      <c r="P689" s="270"/>
      <c r="Q689" s="270"/>
      <c r="V689" s="4"/>
      <c r="W689" s="50"/>
      <c r="X689" s="50"/>
      <c r="Y689" s="4"/>
      <c r="Z689" s="4"/>
    </row>
    <row r="690" spans="1:26">
      <c r="A690" s="10"/>
      <c r="B690" s="10"/>
      <c r="C690" s="10"/>
      <c r="D690" s="10"/>
      <c r="E690" s="309">
        <f>WTG_BD[[#This Row],[Date]]-DAY(WTG_BD[[#This Row],[Date]])+1</f>
        <v>1</v>
      </c>
      <c r="F690" s="32"/>
      <c r="J690" s="355"/>
      <c r="K690" s="10"/>
      <c r="O690" s="270"/>
      <c r="P690" s="270"/>
      <c r="Q690" s="270"/>
      <c r="V690" s="4"/>
      <c r="W690" s="50"/>
      <c r="X690" s="50"/>
      <c r="Y690" s="4"/>
      <c r="Z690" s="4"/>
    </row>
    <row r="691" spans="1:26">
      <c r="A691" s="10"/>
      <c r="B691" s="10"/>
      <c r="C691" s="10"/>
      <c r="D691" s="10"/>
      <c r="E691" s="309">
        <f>WTG_BD[[#This Row],[Date]]-DAY(WTG_BD[[#This Row],[Date]])+1</f>
        <v>1</v>
      </c>
      <c r="F691" s="32"/>
      <c r="J691" s="355"/>
      <c r="K691" s="10"/>
      <c r="O691" s="270"/>
      <c r="P691" s="270"/>
      <c r="Q691" s="270"/>
      <c r="V691" s="4"/>
      <c r="W691" s="50"/>
      <c r="X691" s="50"/>
      <c r="Y691" s="4"/>
      <c r="Z691" s="4"/>
    </row>
    <row r="692" spans="1:26">
      <c r="A692" s="10"/>
      <c r="B692" s="10"/>
      <c r="C692" s="10"/>
      <c r="D692" s="10"/>
      <c r="E692" s="309">
        <f>WTG_BD[[#This Row],[Date]]-DAY(WTG_BD[[#This Row],[Date]])+1</f>
        <v>1</v>
      </c>
      <c r="F692" s="32"/>
      <c r="J692" s="355"/>
      <c r="K692" s="10"/>
      <c r="O692" s="270"/>
      <c r="P692" s="270"/>
      <c r="Q692" s="270"/>
      <c r="V692" s="4"/>
      <c r="W692" s="50"/>
      <c r="X692" s="50"/>
      <c r="Y692" s="4"/>
      <c r="Z692" s="4"/>
    </row>
    <row r="693" spans="1:26">
      <c r="A693" s="10"/>
      <c r="B693" s="10"/>
      <c r="C693" s="10"/>
      <c r="D693" s="10"/>
      <c r="E693" s="309">
        <f>WTG_BD[[#This Row],[Date]]-DAY(WTG_BD[[#This Row],[Date]])+1</f>
        <v>1</v>
      </c>
      <c r="F693" s="32"/>
      <c r="J693" s="355"/>
      <c r="K693" s="10"/>
      <c r="O693" s="270"/>
      <c r="P693" s="270"/>
      <c r="Q693" s="270"/>
      <c r="V693" s="4"/>
      <c r="W693" s="50"/>
      <c r="X693" s="50"/>
      <c r="Y693" s="4"/>
      <c r="Z693" s="4"/>
    </row>
    <row r="694" spans="1:26">
      <c r="A694" s="10"/>
      <c r="B694" s="10"/>
      <c r="C694" s="10"/>
      <c r="D694" s="10"/>
      <c r="E694" s="309">
        <f>WTG_BD[[#This Row],[Date]]-DAY(WTG_BD[[#This Row],[Date]])+1</f>
        <v>1</v>
      </c>
      <c r="F694" s="32"/>
      <c r="J694" s="355"/>
      <c r="K694" s="10"/>
      <c r="O694" s="270"/>
      <c r="P694" s="270"/>
      <c r="Q694" s="270"/>
      <c r="V694" s="4"/>
      <c r="W694" s="50"/>
      <c r="X694" s="50"/>
      <c r="Y694" s="4"/>
      <c r="Z694" s="4"/>
    </row>
    <row r="695" spans="1:26">
      <c r="A695" s="10"/>
      <c r="B695" s="10"/>
      <c r="C695" s="10"/>
      <c r="D695" s="10"/>
      <c r="E695" s="309">
        <f>WTG_BD[[#This Row],[Date]]-DAY(WTG_BD[[#This Row],[Date]])+1</f>
        <v>1</v>
      </c>
      <c r="F695" s="32"/>
      <c r="J695" s="355"/>
      <c r="K695" s="10"/>
      <c r="O695" s="270"/>
      <c r="P695" s="270"/>
      <c r="Q695" s="270"/>
      <c r="V695" s="4"/>
      <c r="W695" s="50"/>
      <c r="X695" s="50"/>
      <c r="Y695" s="4"/>
      <c r="Z695" s="4"/>
    </row>
    <row r="696" spans="1:26">
      <c r="A696" s="10"/>
      <c r="B696" s="10"/>
      <c r="C696" s="10"/>
      <c r="D696" s="10"/>
      <c r="E696" s="309">
        <f>WTG_BD[[#This Row],[Date]]-DAY(WTG_BD[[#This Row],[Date]])+1</f>
        <v>1</v>
      </c>
      <c r="F696" s="32"/>
      <c r="J696" s="355"/>
      <c r="K696" s="10"/>
      <c r="O696" s="270"/>
      <c r="P696" s="270"/>
      <c r="Q696" s="270"/>
      <c r="V696" s="4"/>
      <c r="W696" s="50"/>
      <c r="X696" s="50"/>
      <c r="Y696" s="4"/>
      <c r="Z696" s="4"/>
    </row>
    <row r="697" spans="1:26">
      <c r="A697" s="10"/>
      <c r="B697" s="10"/>
      <c r="C697" s="10"/>
      <c r="D697" s="10"/>
      <c r="E697" s="309">
        <f>WTG_BD[[#This Row],[Date]]-DAY(WTG_BD[[#This Row],[Date]])+1</f>
        <v>1</v>
      </c>
      <c r="F697" s="32"/>
      <c r="J697" s="355"/>
      <c r="K697" s="10"/>
      <c r="O697" s="270"/>
      <c r="P697" s="270"/>
      <c r="Q697" s="270"/>
      <c r="V697" s="4"/>
      <c r="W697" s="50"/>
      <c r="X697" s="50"/>
      <c r="Y697" s="4"/>
      <c r="Z697" s="4"/>
    </row>
    <row r="698" spans="1:26">
      <c r="A698" s="10"/>
      <c r="B698" s="10"/>
      <c r="C698" s="10"/>
      <c r="D698" s="10"/>
      <c r="E698" s="309">
        <f>WTG_BD[[#This Row],[Date]]-DAY(WTG_BD[[#This Row],[Date]])+1</f>
        <v>1</v>
      </c>
      <c r="F698" s="32"/>
      <c r="J698" s="355"/>
      <c r="K698" s="10"/>
      <c r="O698" s="270"/>
      <c r="P698" s="270"/>
      <c r="Q698" s="270"/>
      <c r="V698" s="4"/>
      <c r="W698" s="50"/>
      <c r="X698" s="50"/>
      <c r="Y698" s="4"/>
      <c r="Z698" s="4"/>
    </row>
    <row r="699" spans="1:26">
      <c r="A699" s="10"/>
      <c r="B699" s="10"/>
      <c r="C699" s="10"/>
      <c r="D699" s="10"/>
      <c r="E699" s="309">
        <f>WTG_BD[[#This Row],[Date]]-DAY(WTG_BD[[#This Row],[Date]])+1</f>
        <v>1</v>
      </c>
      <c r="F699" s="32"/>
      <c r="J699" s="355"/>
      <c r="K699" s="10"/>
      <c r="O699" s="270"/>
      <c r="P699" s="270"/>
      <c r="Q699" s="270"/>
      <c r="V699" s="4"/>
      <c r="W699" s="50"/>
      <c r="X699" s="50"/>
      <c r="Y699" s="4"/>
      <c r="Z699" s="4"/>
    </row>
    <row r="700" spans="1:26">
      <c r="A700" s="10"/>
      <c r="B700" s="10"/>
      <c r="C700" s="10"/>
      <c r="D700" s="10"/>
      <c r="E700" s="309">
        <f>WTG_BD[[#This Row],[Date]]-DAY(WTG_BD[[#This Row],[Date]])+1</f>
        <v>1</v>
      </c>
      <c r="F700" s="32"/>
      <c r="J700" s="355"/>
      <c r="K700" s="10"/>
      <c r="O700" s="270"/>
      <c r="P700" s="270"/>
      <c r="Q700" s="270"/>
      <c r="V700" s="4"/>
      <c r="W700" s="50"/>
      <c r="X700" s="50"/>
      <c r="Y700" s="4"/>
      <c r="Z700" s="4"/>
    </row>
    <row r="701" spans="1:26">
      <c r="A701" s="10"/>
      <c r="B701" s="10"/>
      <c r="C701" s="10"/>
      <c r="D701" s="10"/>
      <c r="E701" s="309">
        <f>WTG_BD[[#This Row],[Date]]-DAY(WTG_BD[[#This Row],[Date]])+1</f>
        <v>1</v>
      </c>
      <c r="F701" s="32"/>
      <c r="J701" s="355"/>
      <c r="K701" s="10"/>
      <c r="O701" s="270"/>
      <c r="P701" s="270"/>
      <c r="Q701" s="270"/>
      <c r="V701" s="4"/>
      <c r="W701" s="50"/>
      <c r="X701" s="50"/>
      <c r="Y701" s="4"/>
      <c r="Z701" s="4"/>
    </row>
    <row r="702" spans="1:26">
      <c r="A702" s="10"/>
      <c r="B702" s="10"/>
      <c r="C702" s="10"/>
      <c r="D702" s="10"/>
      <c r="E702" s="309">
        <f>WTG_BD[[#This Row],[Date]]-DAY(WTG_BD[[#This Row],[Date]])+1</f>
        <v>1</v>
      </c>
      <c r="F702" s="32"/>
      <c r="J702" s="355"/>
      <c r="K702" s="10"/>
      <c r="O702" s="270"/>
      <c r="P702" s="270"/>
      <c r="Q702" s="270"/>
      <c r="V702" s="4"/>
      <c r="W702" s="50"/>
      <c r="X702" s="50"/>
      <c r="Y702" s="4"/>
      <c r="Z702" s="4"/>
    </row>
    <row r="703" spans="1:26">
      <c r="A703" s="10"/>
      <c r="B703" s="10"/>
      <c r="C703" s="10"/>
      <c r="D703" s="10"/>
      <c r="E703" s="309">
        <f>WTG_BD[[#This Row],[Date]]-DAY(WTG_BD[[#This Row],[Date]])+1</f>
        <v>1</v>
      </c>
      <c r="F703" s="32"/>
      <c r="J703" s="355"/>
      <c r="K703" s="10"/>
      <c r="O703" s="270"/>
      <c r="P703" s="270"/>
      <c r="Q703" s="270"/>
      <c r="V703" s="4"/>
      <c r="W703" s="50"/>
      <c r="X703" s="50"/>
      <c r="Y703" s="4"/>
      <c r="Z703" s="4"/>
    </row>
    <row r="704" spans="1:26">
      <c r="A704" s="10"/>
      <c r="B704" s="10"/>
      <c r="C704" s="10"/>
      <c r="D704" s="10"/>
      <c r="E704" s="309">
        <f>WTG_BD[[#This Row],[Date]]-DAY(WTG_BD[[#This Row],[Date]])+1</f>
        <v>1</v>
      </c>
      <c r="F704" s="32"/>
      <c r="J704" s="355"/>
      <c r="K704" s="10"/>
      <c r="O704" s="270"/>
      <c r="P704" s="270"/>
      <c r="Q704" s="270"/>
      <c r="V704" s="4"/>
      <c r="W704" s="50"/>
      <c r="X704" s="50"/>
      <c r="Y704" s="4"/>
      <c r="Z704" s="4"/>
    </row>
    <row r="705" spans="1:26">
      <c r="A705" s="10"/>
      <c r="B705" s="10"/>
      <c r="C705" s="10"/>
      <c r="D705" s="10"/>
      <c r="E705" s="309">
        <f>WTG_BD[[#This Row],[Date]]-DAY(WTG_BD[[#This Row],[Date]])+1</f>
        <v>1</v>
      </c>
      <c r="F705" s="32"/>
      <c r="J705" s="355"/>
      <c r="K705" s="10"/>
      <c r="O705" s="270"/>
      <c r="P705" s="270"/>
      <c r="Q705" s="270"/>
      <c r="V705" s="4"/>
      <c r="W705" s="50"/>
      <c r="X705" s="50"/>
      <c r="Y705" s="4"/>
      <c r="Z705" s="4"/>
    </row>
    <row r="706" spans="1:26">
      <c r="A706" s="10"/>
      <c r="B706" s="10"/>
      <c r="C706" s="10"/>
      <c r="D706" s="10"/>
      <c r="E706" s="309">
        <f>WTG_BD[[#This Row],[Date]]-DAY(WTG_BD[[#This Row],[Date]])+1</f>
        <v>1</v>
      </c>
      <c r="F706" s="32"/>
      <c r="J706" s="355"/>
      <c r="K706" s="10"/>
      <c r="O706" s="270"/>
      <c r="P706" s="270"/>
      <c r="Q706" s="270"/>
      <c r="V706" s="4"/>
      <c r="W706" s="50"/>
      <c r="X706" s="50"/>
      <c r="Y706" s="4"/>
      <c r="Z706" s="4"/>
    </row>
    <row r="707" spans="1:26">
      <c r="A707" s="10"/>
      <c r="B707" s="10"/>
      <c r="C707" s="10"/>
      <c r="D707" s="10"/>
      <c r="E707" s="309">
        <f>WTG_BD[[#This Row],[Date]]-DAY(WTG_BD[[#This Row],[Date]])+1</f>
        <v>1</v>
      </c>
      <c r="F707" s="32"/>
      <c r="J707" s="355"/>
      <c r="K707" s="10"/>
      <c r="O707" s="270"/>
      <c r="P707" s="270"/>
      <c r="Q707" s="270"/>
      <c r="V707" s="4"/>
      <c r="W707" s="50"/>
      <c r="X707" s="50"/>
      <c r="Y707" s="4"/>
      <c r="Z707" s="4"/>
    </row>
    <row r="708" spans="1:26">
      <c r="A708" s="10"/>
      <c r="B708" s="10"/>
      <c r="C708" s="10"/>
      <c r="D708" s="10"/>
      <c r="E708" s="309">
        <f>WTG_BD[[#This Row],[Date]]-DAY(WTG_BD[[#This Row],[Date]])+1</f>
        <v>1</v>
      </c>
      <c r="F708" s="32"/>
      <c r="J708" s="355"/>
      <c r="K708" s="10"/>
      <c r="O708" s="270"/>
      <c r="P708" s="270"/>
      <c r="Q708" s="270"/>
      <c r="V708" s="4"/>
      <c r="W708" s="50"/>
      <c r="X708" s="50"/>
      <c r="Y708" s="4"/>
      <c r="Z708" s="4"/>
    </row>
    <row r="709" spans="1:26">
      <c r="A709" s="10"/>
      <c r="B709" s="10"/>
      <c r="C709" s="10"/>
      <c r="D709" s="10"/>
      <c r="E709" s="309">
        <f>WTG_BD[[#This Row],[Date]]-DAY(WTG_BD[[#This Row],[Date]])+1</f>
        <v>1</v>
      </c>
      <c r="F709" s="32"/>
      <c r="J709" s="355"/>
      <c r="K709" s="10"/>
      <c r="O709" s="270"/>
      <c r="P709" s="270"/>
      <c r="Q709" s="270"/>
      <c r="V709" s="4"/>
      <c r="W709" s="51"/>
      <c r="X709" s="51"/>
      <c r="Y709" s="4"/>
      <c r="Z709" s="4"/>
    </row>
    <row r="710" spans="1:26">
      <c r="A710" s="10"/>
    </row>
  </sheetData>
  <protectedRanges>
    <protectedRange sqref="F88:F89" name="Range1_1_2_3_4_1"/>
  </protectedRanges>
  <phoneticPr fontId="78" type="noConversion"/>
  <conditionalFormatting sqref="L1:L622">
    <cfRule type="containsText" dxfId="3" priority="1" operator="containsText" text="Incorrect Error Code">
      <formula>NOT(ISERROR(SEARCH("Incorrect Error Code",L1)))</formula>
    </cfRule>
  </conditionalFormatting>
  <conditionalFormatting sqref="L623:L1048576">
    <cfRule type="containsText" dxfId="2" priority="19" operator="containsText" text="Incorrect Error Code">
      <formula>NOT(ISERROR(SEARCH("Incorrect Error Code",L623)))</formula>
    </cfRule>
  </conditionalFormatting>
  <conditionalFormatting sqref="M467:M468">
    <cfRule type="containsText" dxfId="1" priority="5" operator="containsText" text="Incorrect Error Code">
      <formula>NOT(ISERROR(SEARCH("Incorrect Error Code",M467)))</formula>
    </cfRule>
  </conditionalFormatting>
  <conditionalFormatting sqref="O182:Q253">
    <cfRule type="timePeriod" dxfId="0" priority="6" timePeriod="lastMonth">
      <formula>AND(MONTH(O182)=MONTH(EDATE(TODAY(),0-1)),YEAR(O182)=YEAR(EDATE(TODAY(),0-1)))</formula>
    </cfRule>
  </conditionalFormatting>
  <pageMargins left="0.7" right="0.7" top="0.75" bottom="0.75" header="0.3" footer="0.3"/>
  <pageSetup paperSize="9" orientation="portrait" r:id="rId1"/>
  <headerFooter>
    <oddFooter>&amp;C&amp;1#&amp;"Calibri"&amp;8&amp;K000000Classification: Confidential</oddFooter>
  </headerFooter>
  <ignoredErrors>
    <ignoredError sqref="A2" calculatedColumn="1"/>
    <ignoredError sqref="K1" listDataValidation="1"/>
  </ignoredErrors>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700-000001000000}">
          <x14:formula1>
            <xm:f>'Basic Data'!$X$1:$X$4</xm:f>
          </x14:formula1>
          <xm:sqref>N82:N116 N76 N78 N80 N72 N74 N66 N68 N70 N62 N64 N60 N2:N58 N120:N1048576</xm:sqref>
        </x14:dataValidation>
        <x14:dataValidation type="list" allowBlank="1" showInputMessage="1" showErrorMessage="1" xr:uid="{00000000-0002-0000-0700-000004000000}">
          <x14:formula1>
            <xm:f>'Basic Data'!$S$2:$S$4052</xm:f>
          </x14:formula1>
          <xm:sqref>K26:K256 K1:K16 K258:K1048576</xm:sqref>
        </x14:dataValidation>
        <x14:dataValidation type="list" allowBlank="1" showInputMessage="1" showErrorMessage="1" xr:uid="{00000000-0002-0000-0700-000003000000}">
          <x14:formula1>
            <xm:f>'Basic Data'!$Q$3:$Q$6</xm:f>
          </x14:formula1>
          <xm:sqref>V2:V622</xm:sqref>
        </x14:dataValidation>
        <x14:dataValidation type="list" allowBlank="1" showInputMessage="1" showErrorMessage="1" xr:uid="{00000000-0002-0000-0700-000005000000}">
          <x14:formula1>
            <xm:f>'Basic Data'!$A$3:$A$50</xm:f>
          </x14:formula1>
          <xm:sqref>G2:G709</xm:sqref>
        </x14:dataValidation>
        <x14:dataValidation type="list" allowBlank="1" showInputMessage="1" showErrorMessage="1" xr:uid="{D6502655-F54F-4C75-98C8-8241CF71DA66}">
          <x14:formula1>
            <xm:f>'Basic Data'!$BP$3:$BP$7</xm:f>
          </x14:formula1>
          <xm:sqref>X2:X1048576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609"/>
  <sheetViews>
    <sheetView zoomScale="110" zoomScaleNormal="100" workbookViewId="0">
      <pane xSplit="4" ySplit="2" topLeftCell="Q106" activePane="bottomRight" state="frozen"/>
      <selection pane="topRight" activeCell="E1" sqref="E1"/>
      <selection pane="bottomLeft" activeCell="A3" sqref="A3"/>
      <selection pane="bottomRight" activeCell="L118" sqref="L118"/>
    </sheetView>
  </sheetViews>
  <sheetFormatPr defaultColWidth="8.7265625" defaultRowHeight="14.5"/>
  <cols>
    <col min="1" max="1" width="10.26953125" style="10" bestFit="1" customWidth="1"/>
    <col min="2" max="3" width="12.26953125" style="10" customWidth="1"/>
    <col min="4" max="4" width="10.7265625" style="10" customWidth="1"/>
    <col min="5" max="16384" width="8.7265625" style="10"/>
  </cols>
  <sheetData>
    <row r="1" spans="1:28">
      <c r="A1" s="10">
        <v>1</v>
      </c>
      <c r="B1" s="10">
        <f>A1+1</f>
        <v>2</v>
      </c>
      <c r="C1" s="10">
        <f t="shared" ref="C1:AB1" si="0">B1+1</f>
        <v>3</v>
      </c>
      <c r="D1" s="10">
        <f t="shared" si="0"/>
        <v>4</v>
      </c>
      <c r="E1" s="10">
        <f t="shared" si="0"/>
        <v>5</v>
      </c>
      <c r="F1" s="10">
        <f t="shared" si="0"/>
        <v>6</v>
      </c>
      <c r="G1" s="10">
        <f t="shared" si="0"/>
        <v>7</v>
      </c>
      <c r="H1" s="10">
        <f t="shared" si="0"/>
        <v>8</v>
      </c>
      <c r="I1" s="10">
        <f t="shared" si="0"/>
        <v>9</v>
      </c>
      <c r="J1" s="10">
        <f t="shared" si="0"/>
        <v>10</v>
      </c>
      <c r="K1" s="10">
        <f t="shared" si="0"/>
        <v>11</v>
      </c>
      <c r="L1" s="10">
        <f t="shared" si="0"/>
        <v>12</v>
      </c>
      <c r="M1" s="10">
        <f t="shared" si="0"/>
        <v>13</v>
      </c>
      <c r="N1" s="10">
        <f t="shared" si="0"/>
        <v>14</v>
      </c>
      <c r="O1" s="10">
        <f t="shared" si="0"/>
        <v>15</v>
      </c>
      <c r="P1" s="10">
        <f t="shared" si="0"/>
        <v>16</v>
      </c>
      <c r="Q1" s="10">
        <f t="shared" si="0"/>
        <v>17</v>
      </c>
      <c r="R1" s="10">
        <f t="shared" si="0"/>
        <v>18</v>
      </c>
      <c r="S1" s="10">
        <f t="shared" si="0"/>
        <v>19</v>
      </c>
      <c r="T1" s="10">
        <f t="shared" si="0"/>
        <v>20</v>
      </c>
      <c r="U1" s="10">
        <f t="shared" si="0"/>
        <v>21</v>
      </c>
      <c r="V1" s="10">
        <f t="shared" si="0"/>
        <v>22</v>
      </c>
      <c r="W1" s="10">
        <f t="shared" si="0"/>
        <v>23</v>
      </c>
      <c r="X1" s="10">
        <f t="shared" si="0"/>
        <v>24</v>
      </c>
      <c r="Y1" s="10">
        <f t="shared" si="0"/>
        <v>25</v>
      </c>
      <c r="Z1" s="10">
        <f t="shared" si="0"/>
        <v>26</v>
      </c>
      <c r="AA1" s="10">
        <f t="shared" si="0"/>
        <v>27</v>
      </c>
      <c r="AB1" s="10">
        <f t="shared" si="0"/>
        <v>28</v>
      </c>
    </row>
    <row r="2" spans="1:28" ht="37.15" customHeight="1">
      <c r="A2" s="252" t="s">
        <v>148</v>
      </c>
      <c r="B2" s="240" t="s">
        <v>4388</v>
      </c>
      <c r="C2" s="240" t="s">
        <v>4310</v>
      </c>
      <c r="D2" s="240" t="s">
        <v>151</v>
      </c>
      <c r="E2" s="240" t="s">
        <v>4428</v>
      </c>
      <c r="F2" s="240" t="s">
        <v>4429</v>
      </c>
      <c r="G2" s="240" t="s">
        <v>4430</v>
      </c>
      <c r="H2" s="240" t="s">
        <v>4431</v>
      </c>
      <c r="I2" s="240" t="s">
        <v>4432</v>
      </c>
      <c r="J2" s="240" t="s">
        <v>4433</v>
      </c>
      <c r="K2" s="240" t="s">
        <v>4434</v>
      </c>
      <c r="L2" s="240" t="s">
        <v>4435</v>
      </c>
      <c r="M2" s="240" t="s">
        <v>4436</v>
      </c>
      <c r="N2" s="240" t="s">
        <v>4437</v>
      </c>
      <c r="O2" s="240" t="s">
        <v>4438</v>
      </c>
      <c r="P2" s="240" t="s">
        <v>4439</v>
      </c>
      <c r="Q2" s="240" t="s">
        <v>4440</v>
      </c>
      <c r="R2" s="240" t="s">
        <v>4441</v>
      </c>
      <c r="S2" s="240" t="s">
        <v>4442</v>
      </c>
      <c r="T2" s="240" t="s">
        <v>4443</v>
      </c>
      <c r="U2" s="240" t="s">
        <v>4444</v>
      </c>
      <c r="V2" s="240" t="s">
        <v>4445</v>
      </c>
      <c r="W2" s="240" t="s">
        <v>4446</v>
      </c>
      <c r="X2" s="240" t="s">
        <v>4447</v>
      </c>
      <c r="Y2" s="240" t="s">
        <v>4448</v>
      </c>
      <c r="Z2" s="240" t="s">
        <v>4449</v>
      </c>
      <c r="AA2" s="240" t="s">
        <v>4450</v>
      </c>
      <c r="AB2" s="240" t="s">
        <v>4492</v>
      </c>
    </row>
    <row r="3" spans="1:28">
      <c r="A3" s="251">
        <v>45745</v>
      </c>
      <c r="B3" s="248">
        <f>YEAR(Table13[[#This Row],[Date]])+IF(MONTH(Table13[[#This Row],[Date]])&gt;=4,1,0)</f>
        <v>2025</v>
      </c>
      <c r="C3" s="249">
        <f>YEAR(Table13[[#This Row],[Date]])</f>
        <v>2025</v>
      </c>
      <c r="D3" s="250">
        <f>Table13[[#This Row],[Date]]-DAY(Table13[[#This Row],[Date]])+1</f>
        <v>45717</v>
      </c>
      <c r="E3" s="10">
        <v>15</v>
      </c>
      <c r="F3" s="10">
        <v>17.3</v>
      </c>
      <c r="G3" s="10">
        <v>17.3</v>
      </c>
      <c r="H3" s="10">
        <v>19.100000000000001</v>
      </c>
      <c r="I3" s="10">
        <v>13.4</v>
      </c>
      <c r="J3" s="10">
        <v>21.4</v>
      </c>
      <c r="K3" s="10">
        <v>19.899999999999999</v>
      </c>
      <c r="L3" s="10">
        <v>21.4</v>
      </c>
      <c r="M3" s="10">
        <v>19.600000000000001</v>
      </c>
      <c r="N3" s="10">
        <v>27.4</v>
      </c>
      <c r="O3" s="10">
        <v>46.4</v>
      </c>
      <c r="P3" s="10">
        <v>16.2</v>
      </c>
      <c r="Q3" s="10">
        <v>25.9</v>
      </c>
      <c r="R3" s="10">
        <v>28</v>
      </c>
      <c r="S3" s="10">
        <v>23.3</v>
      </c>
      <c r="T3" s="10">
        <v>20.8</v>
      </c>
      <c r="U3" s="10">
        <v>22.1</v>
      </c>
      <c r="V3" s="10">
        <v>15</v>
      </c>
      <c r="W3" s="10">
        <v>16.2</v>
      </c>
      <c r="X3" s="10">
        <v>22</v>
      </c>
      <c r="Y3" s="10">
        <v>23.1</v>
      </c>
      <c r="Z3" s="10">
        <v>29.7</v>
      </c>
      <c r="AA3" s="10">
        <v>21.3</v>
      </c>
      <c r="AB3" s="10">
        <f t="shared" ref="AB3:AB7" si="1">SUM(E3:AA3)</f>
        <v>501.80000000000007</v>
      </c>
    </row>
    <row r="4" spans="1:28">
      <c r="A4" s="42">
        <f t="shared" ref="A4:A9" si="2">A3+1</f>
        <v>45746</v>
      </c>
      <c r="B4" s="245">
        <f>YEAR(Table13[[#This Row],[Date]])+IF(MONTH(Table13[[#This Row],[Date]])&gt;=4,1,0)</f>
        <v>2025</v>
      </c>
      <c r="C4" s="246">
        <f>YEAR(Table13[[#This Row],[Date]])</f>
        <v>2025</v>
      </c>
      <c r="D4" s="247">
        <f>Table13[[#This Row],[Date]]-DAY(Table13[[#This Row],[Date]])+1</f>
        <v>45717</v>
      </c>
      <c r="E4" s="10">
        <v>47.1</v>
      </c>
      <c r="F4" s="10">
        <v>36.700000000000003</v>
      </c>
      <c r="G4" s="10">
        <v>51</v>
      </c>
      <c r="H4" s="10">
        <v>63.2</v>
      </c>
      <c r="I4" s="10">
        <v>54.3</v>
      </c>
      <c r="J4" s="10">
        <v>46.9</v>
      </c>
      <c r="K4" s="10">
        <v>44.5</v>
      </c>
      <c r="L4" s="10">
        <v>49.3</v>
      </c>
      <c r="M4" s="10">
        <v>46.4</v>
      </c>
      <c r="N4" s="10">
        <v>46.5</v>
      </c>
      <c r="O4" s="10">
        <v>49.7</v>
      </c>
      <c r="P4" s="10">
        <v>63.2</v>
      </c>
      <c r="Q4" s="10">
        <v>58.1</v>
      </c>
      <c r="R4" s="10">
        <v>54.7</v>
      </c>
      <c r="S4" s="10">
        <v>36.4</v>
      </c>
      <c r="T4" s="10">
        <v>43.9</v>
      </c>
      <c r="U4" s="10">
        <v>38.700000000000003</v>
      </c>
      <c r="V4" s="10">
        <v>43.3</v>
      </c>
      <c r="W4" s="10">
        <v>41.1</v>
      </c>
      <c r="X4" s="10">
        <v>52.8</v>
      </c>
      <c r="Y4" s="10">
        <v>39.6</v>
      </c>
      <c r="Z4" s="10">
        <v>92.7</v>
      </c>
      <c r="AA4" s="10">
        <v>45.5</v>
      </c>
      <c r="AB4" s="10">
        <f t="shared" si="1"/>
        <v>1145.6000000000001</v>
      </c>
    </row>
    <row r="5" spans="1:28">
      <c r="A5" s="251">
        <f t="shared" si="2"/>
        <v>45747</v>
      </c>
      <c r="B5" s="248">
        <f>YEAR(Table13[[#This Row],[Date]])+IF(MONTH(Table13[[#This Row],[Date]])&gt;=4,1,0)</f>
        <v>2026</v>
      </c>
      <c r="C5" s="249">
        <f>YEAR(Table13[[#This Row],[Date]])</f>
        <v>2025</v>
      </c>
      <c r="D5" s="250">
        <f>Table13[[#This Row],[Date]]-DAY(Table13[[#This Row],[Date]])+1</f>
        <v>45748</v>
      </c>
      <c r="E5" s="10">
        <v>34</v>
      </c>
      <c r="F5" s="10">
        <v>29.3</v>
      </c>
      <c r="G5" s="10">
        <v>55.3</v>
      </c>
      <c r="H5" s="10">
        <v>51.2</v>
      </c>
      <c r="I5" s="10">
        <v>51.5</v>
      </c>
      <c r="J5" s="10">
        <v>48</v>
      </c>
      <c r="K5" s="10">
        <v>39.9</v>
      </c>
      <c r="L5" s="10">
        <v>37.9</v>
      </c>
      <c r="M5" s="10">
        <v>48.6</v>
      </c>
      <c r="N5" s="10">
        <v>33.1</v>
      </c>
      <c r="O5" s="10">
        <v>47.9</v>
      </c>
      <c r="P5" s="10">
        <v>40.299999999999997</v>
      </c>
      <c r="Q5" s="10">
        <v>36.1</v>
      </c>
      <c r="R5" s="10">
        <v>40.700000000000003</v>
      </c>
      <c r="S5" s="10">
        <v>26</v>
      </c>
      <c r="T5" s="10">
        <v>26.9</v>
      </c>
      <c r="U5" s="10">
        <v>33.799999999999997</v>
      </c>
      <c r="V5" s="10">
        <v>40.200000000000003</v>
      </c>
      <c r="W5" s="10">
        <v>27.9</v>
      </c>
      <c r="X5" s="10">
        <v>44.4</v>
      </c>
      <c r="Y5" s="10">
        <v>33.9</v>
      </c>
      <c r="Z5" s="10">
        <v>41.2</v>
      </c>
      <c r="AA5" s="10">
        <v>27.7</v>
      </c>
      <c r="AB5" s="10">
        <f t="shared" si="1"/>
        <v>895.80000000000007</v>
      </c>
    </row>
    <row r="6" spans="1:28">
      <c r="A6" s="42">
        <f t="shared" si="2"/>
        <v>45748</v>
      </c>
      <c r="B6" s="245">
        <f>YEAR(Table13[[#This Row],[Date]])+IF(MONTH(Table13[[#This Row],[Date]])&gt;=4,1,0)</f>
        <v>2026</v>
      </c>
      <c r="C6" s="246">
        <f>YEAR(Table13[[#This Row],[Date]])</f>
        <v>2025</v>
      </c>
      <c r="D6" s="247">
        <f>Table13[[#This Row],[Date]]-DAY(Table13[[#This Row],[Date]])+1</f>
        <v>45748</v>
      </c>
      <c r="E6" s="10">
        <v>53.7</v>
      </c>
      <c r="F6" s="10">
        <v>48</v>
      </c>
      <c r="G6" s="10">
        <v>72.900000000000006</v>
      </c>
      <c r="H6" s="10">
        <v>85.7</v>
      </c>
      <c r="I6" s="10">
        <v>80.099999999999994</v>
      </c>
      <c r="J6" s="10">
        <v>79.900000000000006</v>
      </c>
      <c r="K6" s="10">
        <v>68.400000000000006</v>
      </c>
      <c r="L6" s="10">
        <v>48.5</v>
      </c>
      <c r="M6" s="10">
        <v>76.8</v>
      </c>
      <c r="N6" s="10">
        <v>67.2</v>
      </c>
      <c r="O6" s="10">
        <v>72.400000000000006</v>
      </c>
      <c r="P6" s="10">
        <v>84</v>
      </c>
      <c r="Q6" s="10">
        <v>66.5</v>
      </c>
      <c r="R6" s="10">
        <v>66.599999999999994</v>
      </c>
      <c r="S6" s="10">
        <v>56.7</v>
      </c>
      <c r="T6" s="10">
        <v>41.7</v>
      </c>
      <c r="U6" s="10">
        <v>57.4</v>
      </c>
      <c r="V6" s="10">
        <v>73</v>
      </c>
      <c r="W6" s="10">
        <v>74.599999999999994</v>
      </c>
      <c r="X6" s="10">
        <v>79.2</v>
      </c>
      <c r="Y6" s="10">
        <v>56</v>
      </c>
      <c r="Z6" s="10">
        <v>67.5</v>
      </c>
      <c r="AA6" s="10">
        <v>56.6</v>
      </c>
      <c r="AB6" s="10">
        <f t="shared" si="1"/>
        <v>1533.3999999999999</v>
      </c>
    </row>
    <row r="7" spans="1:28">
      <c r="A7" s="251">
        <f t="shared" si="2"/>
        <v>45749</v>
      </c>
      <c r="B7" s="248">
        <f>YEAR(Table13[[#This Row],[Date]])+IF(MONTH(Table13[[#This Row],[Date]])&gt;=4,1,0)</f>
        <v>2026</v>
      </c>
      <c r="C7" s="249">
        <f>YEAR(Table13[[#This Row],[Date]])</f>
        <v>2025</v>
      </c>
      <c r="D7" s="250">
        <f>Table13[[#This Row],[Date]]-DAY(Table13[[#This Row],[Date]])+1</f>
        <v>45748</v>
      </c>
      <c r="E7" s="10">
        <v>34.200000000000003</v>
      </c>
      <c r="F7" s="10">
        <v>33.799999999999997</v>
      </c>
      <c r="G7" s="10">
        <v>37.200000000000003</v>
      </c>
      <c r="H7" s="10">
        <v>62.8</v>
      </c>
      <c r="I7" s="10">
        <v>46.1</v>
      </c>
      <c r="J7" s="10">
        <v>40.700000000000003</v>
      </c>
      <c r="K7" s="10">
        <v>74</v>
      </c>
      <c r="L7" s="10">
        <v>36.9</v>
      </c>
      <c r="M7" s="10">
        <v>37.299999999999997</v>
      </c>
      <c r="N7" s="10">
        <v>35.6</v>
      </c>
      <c r="O7" s="10">
        <v>36.6</v>
      </c>
      <c r="P7" s="10">
        <v>40.799999999999997</v>
      </c>
      <c r="Q7" s="10">
        <v>49.3</v>
      </c>
      <c r="R7" s="10">
        <v>40.4</v>
      </c>
      <c r="S7" s="10">
        <v>25.9</v>
      </c>
      <c r="T7" s="10">
        <v>32.700000000000003</v>
      </c>
      <c r="U7" s="10">
        <v>58.4</v>
      </c>
      <c r="V7" s="10">
        <v>36.9</v>
      </c>
      <c r="W7" s="10">
        <v>32.1</v>
      </c>
      <c r="X7" s="10">
        <v>42.9</v>
      </c>
      <c r="Y7" s="10">
        <v>28.1</v>
      </c>
      <c r="Z7" s="10">
        <v>27.3</v>
      </c>
      <c r="AA7" s="10">
        <v>27.2</v>
      </c>
      <c r="AB7" s="10">
        <f t="shared" si="1"/>
        <v>917.19999999999993</v>
      </c>
    </row>
    <row r="8" spans="1:28">
      <c r="A8" s="42">
        <f t="shared" si="2"/>
        <v>45750</v>
      </c>
      <c r="B8" s="245">
        <f>YEAR(Table13[[#This Row],[Date]])+IF(MONTH(Table13[[#This Row],[Date]])&gt;=4,1,0)</f>
        <v>2026</v>
      </c>
      <c r="C8" s="246">
        <f>YEAR(Table13[[#This Row],[Date]])</f>
        <v>2025</v>
      </c>
      <c r="D8" s="247">
        <f>Table13[[#This Row],[Date]]-DAY(Table13[[#This Row],[Date]])+1</f>
        <v>45748</v>
      </c>
      <c r="E8" s="10">
        <v>49.9</v>
      </c>
      <c r="F8" s="10">
        <v>74.5</v>
      </c>
      <c r="G8" s="10">
        <v>33.200000000000003</v>
      </c>
      <c r="H8" s="10">
        <v>69.7</v>
      </c>
      <c r="I8" s="10">
        <v>78.099999999999994</v>
      </c>
      <c r="J8" s="10">
        <v>62.9</v>
      </c>
      <c r="K8" s="10">
        <v>99.4</v>
      </c>
      <c r="L8" s="10">
        <v>37.6</v>
      </c>
      <c r="M8" s="10">
        <v>62.9</v>
      </c>
      <c r="N8" s="10">
        <v>60.6</v>
      </c>
      <c r="O8" s="10">
        <v>45.7</v>
      </c>
      <c r="P8" s="10">
        <v>44.5</v>
      </c>
      <c r="Q8" s="10">
        <v>81.900000000000006</v>
      </c>
      <c r="R8" s="10">
        <v>49.8</v>
      </c>
      <c r="S8" s="10">
        <v>50.5</v>
      </c>
      <c r="T8" s="10">
        <v>49.1</v>
      </c>
      <c r="U8" s="10">
        <v>72.8</v>
      </c>
      <c r="V8" s="10">
        <v>54.7</v>
      </c>
      <c r="W8" s="10">
        <v>83.9</v>
      </c>
      <c r="X8" s="10">
        <v>41.3</v>
      </c>
      <c r="Y8" s="10">
        <v>67.599999999999994</v>
      </c>
      <c r="Z8" s="10">
        <v>62.3</v>
      </c>
      <c r="AA8" s="10">
        <v>57.3</v>
      </c>
      <c r="AB8" s="10">
        <f t="shared" ref="AB8:AB71" si="3">SUM(E8:AA8)</f>
        <v>1390.1999999999998</v>
      </c>
    </row>
    <row r="9" spans="1:28">
      <c r="A9" s="251">
        <f t="shared" si="2"/>
        <v>45751</v>
      </c>
      <c r="B9" s="248">
        <f>YEAR(Table13[[#This Row],[Date]])+IF(MONTH(Table13[[#This Row],[Date]])&gt;=4,1,0)</f>
        <v>2026</v>
      </c>
      <c r="C9" s="249">
        <f>YEAR(Table13[[#This Row],[Date]])</f>
        <v>2025</v>
      </c>
      <c r="D9" s="250">
        <f>Table13[[#This Row],[Date]]-DAY(Table13[[#This Row],[Date]])+1</f>
        <v>45748</v>
      </c>
      <c r="E9" s="10">
        <v>91.8</v>
      </c>
      <c r="F9" s="10">
        <v>55.9</v>
      </c>
      <c r="G9" s="10">
        <v>93.8</v>
      </c>
      <c r="H9" s="10">
        <v>62.6</v>
      </c>
      <c r="I9" s="10">
        <v>65.900000000000006</v>
      </c>
      <c r="J9" s="10">
        <v>70.400000000000006</v>
      </c>
      <c r="K9" s="10">
        <v>69.3</v>
      </c>
      <c r="L9" s="10">
        <v>94.5</v>
      </c>
      <c r="M9" s="10">
        <v>73.900000000000006</v>
      </c>
      <c r="N9" s="10">
        <v>85.4</v>
      </c>
      <c r="O9" s="10">
        <v>90.5</v>
      </c>
      <c r="P9" s="10">
        <v>96.6</v>
      </c>
      <c r="Q9" s="10">
        <v>90.2</v>
      </c>
      <c r="R9" s="10">
        <v>80.8</v>
      </c>
      <c r="S9" s="10">
        <v>78.900000000000006</v>
      </c>
      <c r="T9" s="10">
        <v>64.400000000000006</v>
      </c>
      <c r="U9" s="10">
        <v>78</v>
      </c>
      <c r="V9" s="10">
        <v>73.400000000000006</v>
      </c>
      <c r="W9" s="10">
        <v>86.3</v>
      </c>
      <c r="X9" s="10">
        <v>82.3</v>
      </c>
      <c r="Y9" s="10">
        <v>57.7</v>
      </c>
      <c r="Z9" s="10">
        <v>53.1</v>
      </c>
      <c r="AA9" s="10">
        <v>59.2</v>
      </c>
      <c r="AB9" s="10">
        <f t="shared" si="3"/>
        <v>1754.9</v>
      </c>
    </row>
    <row r="10" spans="1:28">
      <c r="A10" s="42">
        <f t="shared" ref="A10:A73" si="4">A9+1</f>
        <v>45752</v>
      </c>
      <c r="B10" s="245">
        <f>YEAR(Table13[[#This Row],[Date]])+IF(MONTH(Table13[[#This Row],[Date]])&gt;=4,1,0)</f>
        <v>2026</v>
      </c>
      <c r="C10" s="246">
        <f>YEAR(Table13[[#This Row],[Date]])</f>
        <v>2025</v>
      </c>
      <c r="D10" s="247">
        <f>Table13[[#This Row],[Date]]-DAY(Table13[[#This Row],[Date]])+1</f>
        <v>45748</v>
      </c>
      <c r="E10" s="4">
        <v>30.3</v>
      </c>
      <c r="F10" s="4">
        <v>29.2</v>
      </c>
      <c r="G10" s="4">
        <v>46.8</v>
      </c>
      <c r="H10" s="4">
        <v>44.4</v>
      </c>
      <c r="I10" s="4">
        <v>39.299999999999997</v>
      </c>
      <c r="J10" s="4">
        <v>38.299999999999997</v>
      </c>
      <c r="K10" s="4">
        <v>45</v>
      </c>
      <c r="L10" s="4">
        <v>37.700000000000003</v>
      </c>
      <c r="M10" s="4">
        <v>16.5</v>
      </c>
      <c r="N10" s="4">
        <v>32.200000000000003</v>
      </c>
      <c r="O10" s="4">
        <v>31.1</v>
      </c>
      <c r="P10" s="4">
        <v>27.4</v>
      </c>
      <c r="Q10" s="4">
        <v>57.5</v>
      </c>
      <c r="R10" s="4">
        <v>29.3</v>
      </c>
      <c r="S10" s="4">
        <v>22.5</v>
      </c>
      <c r="T10" s="4">
        <v>54.4</v>
      </c>
      <c r="U10" s="4">
        <v>36.4</v>
      </c>
      <c r="V10" s="4">
        <v>29</v>
      </c>
      <c r="W10" s="4">
        <v>25.9</v>
      </c>
      <c r="X10" s="4">
        <v>30.6</v>
      </c>
      <c r="Y10" s="4">
        <v>24.8</v>
      </c>
      <c r="Z10" s="4">
        <v>21.1</v>
      </c>
      <c r="AA10" s="4">
        <v>19.399999999999999</v>
      </c>
      <c r="AB10" s="10">
        <f t="shared" si="3"/>
        <v>769.09999999999991</v>
      </c>
    </row>
    <row r="11" spans="1:28">
      <c r="A11" s="251">
        <f t="shared" si="4"/>
        <v>45753</v>
      </c>
      <c r="B11" s="248">
        <f>YEAR(Table13[[#This Row],[Date]])+IF(MONTH(Table13[[#This Row],[Date]])&gt;=4,1,0)</f>
        <v>2026</v>
      </c>
      <c r="C11" s="249">
        <f>YEAR(Table13[[#This Row],[Date]])</f>
        <v>2025</v>
      </c>
      <c r="D11" s="250">
        <f>Table13[[#This Row],[Date]]-DAY(Table13[[#This Row],[Date]])+1</f>
        <v>45748</v>
      </c>
      <c r="E11" s="4">
        <v>40.299999999999997</v>
      </c>
      <c r="F11" s="4">
        <v>59.6</v>
      </c>
      <c r="G11" s="4">
        <v>59.3</v>
      </c>
      <c r="H11" s="4">
        <v>51.1</v>
      </c>
      <c r="I11" s="4">
        <v>58.1</v>
      </c>
      <c r="J11" s="4">
        <v>43.7</v>
      </c>
      <c r="K11" s="4">
        <v>54.9</v>
      </c>
      <c r="L11" s="4">
        <v>51.2</v>
      </c>
      <c r="M11" s="4">
        <v>48.5</v>
      </c>
      <c r="N11" s="4">
        <v>49.3</v>
      </c>
      <c r="O11" s="4">
        <v>49.3</v>
      </c>
      <c r="P11" s="4">
        <v>37.700000000000003</v>
      </c>
      <c r="Q11" s="4">
        <v>31.7</v>
      </c>
      <c r="R11" s="4">
        <v>47</v>
      </c>
      <c r="S11" s="4">
        <v>33.1</v>
      </c>
      <c r="T11" s="4">
        <v>54.4</v>
      </c>
      <c r="U11" s="4">
        <v>32.299999999999997</v>
      </c>
      <c r="V11" s="4">
        <v>48.4</v>
      </c>
      <c r="W11" s="4">
        <v>52.3</v>
      </c>
      <c r="X11" s="4">
        <v>41.6</v>
      </c>
      <c r="Y11" s="4">
        <v>55.2</v>
      </c>
      <c r="Z11" s="4">
        <v>38</v>
      </c>
      <c r="AA11" s="4">
        <v>41</v>
      </c>
      <c r="AB11" s="10">
        <f t="shared" si="3"/>
        <v>1078</v>
      </c>
    </row>
    <row r="12" spans="1:28">
      <c r="A12" s="42">
        <f t="shared" si="4"/>
        <v>45754</v>
      </c>
      <c r="B12" s="245">
        <f>YEAR(Table13[[#This Row],[Date]])+IF(MONTH(Table13[[#This Row],[Date]])&gt;=4,1,0)</f>
        <v>2026</v>
      </c>
      <c r="C12" s="246">
        <f>YEAR(Table13[[#This Row],[Date]])</f>
        <v>2025</v>
      </c>
      <c r="D12" s="247">
        <f>Table13[[#This Row],[Date]]-DAY(Table13[[#This Row],[Date]])+1</f>
        <v>45748</v>
      </c>
      <c r="E12" s="4">
        <v>53.7</v>
      </c>
      <c r="F12" s="4">
        <v>48</v>
      </c>
      <c r="G12" s="4">
        <v>72.900000000000006</v>
      </c>
      <c r="H12" s="4">
        <v>85.7</v>
      </c>
      <c r="I12" s="4">
        <v>80.099999999999994</v>
      </c>
      <c r="J12" s="4">
        <v>79.900000000000006</v>
      </c>
      <c r="K12" s="4">
        <v>68.400000000000006</v>
      </c>
      <c r="L12" s="4">
        <v>48.5</v>
      </c>
      <c r="M12" s="4">
        <v>76.8</v>
      </c>
      <c r="N12" s="4">
        <v>67.2</v>
      </c>
      <c r="O12" s="4">
        <v>72.400000000000006</v>
      </c>
      <c r="P12" s="4">
        <v>84</v>
      </c>
      <c r="Q12" s="4">
        <v>66.5</v>
      </c>
      <c r="R12" s="4">
        <v>66.599999999999994</v>
      </c>
      <c r="S12" s="4">
        <v>56.7</v>
      </c>
      <c r="T12" s="4">
        <v>41.7</v>
      </c>
      <c r="U12" s="4">
        <v>57.4</v>
      </c>
      <c r="V12" s="4">
        <v>73</v>
      </c>
      <c r="W12" s="4">
        <v>74.599999999999994</v>
      </c>
      <c r="X12" s="4">
        <v>79.2</v>
      </c>
      <c r="Y12" s="4">
        <v>56</v>
      </c>
      <c r="Z12" s="4">
        <v>67.5</v>
      </c>
      <c r="AA12" s="4">
        <v>56.6</v>
      </c>
      <c r="AB12" s="10">
        <f t="shared" si="3"/>
        <v>1533.3999999999999</v>
      </c>
    </row>
    <row r="13" spans="1:28">
      <c r="A13" s="251">
        <f t="shared" si="4"/>
        <v>45755</v>
      </c>
      <c r="B13" s="248">
        <f>YEAR(Table13[[#This Row],[Date]])+IF(MONTH(Table13[[#This Row],[Date]])&gt;=4,1,0)</f>
        <v>2026</v>
      </c>
      <c r="C13" s="249">
        <f>YEAR(Table13[[#This Row],[Date]])</f>
        <v>2025</v>
      </c>
      <c r="D13" s="250">
        <f>Table13[[#This Row],[Date]]-DAY(Table13[[#This Row],[Date]])+1</f>
        <v>45748</v>
      </c>
      <c r="E13" s="10">
        <v>105.3</v>
      </c>
      <c r="F13" s="10">
        <v>71.599999999999994</v>
      </c>
      <c r="G13" s="10">
        <v>111</v>
      </c>
      <c r="H13" s="10">
        <v>94.7</v>
      </c>
      <c r="I13" s="10">
        <v>83.6</v>
      </c>
      <c r="J13" s="10">
        <v>96.1</v>
      </c>
      <c r="K13" s="10">
        <v>99.2</v>
      </c>
      <c r="L13" s="10">
        <v>115.1</v>
      </c>
      <c r="M13" s="10">
        <v>85.2</v>
      </c>
      <c r="N13" s="10">
        <v>98.7</v>
      </c>
      <c r="O13" s="10">
        <v>87.9</v>
      </c>
      <c r="P13" s="10">
        <v>100.8</v>
      </c>
      <c r="Q13" s="10">
        <v>78</v>
      </c>
      <c r="R13" s="10">
        <v>90.8</v>
      </c>
      <c r="S13" s="10">
        <v>91.4</v>
      </c>
      <c r="T13" s="10">
        <v>63.8</v>
      </c>
      <c r="U13" s="10">
        <v>80.900000000000006</v>
      </c>
      <c r="V13" s="10">
        <v>84.5</v>
      </c>
      <c r="W13" s="10">
        <v>74.3</v>
      </c>
      <c r="X13" s="10">
        <v>94.4</v>
      </c>
      <c r="Y13" s="10">
        <v>71.8</v>
      </c>
      <c r="Z13" s="10">
        <v>80.400000000000006</v>
      </c>
      <c r="AA13" s="10">
        <v>66.8</v>
      </c>
      <c r="AB13" s="10">
        <f t="shared" si="3"/>
        <v>2026.3000000000002</v>
      </c>
    </row>
    <row r="14" spans="1:28">
      <c r="A14" s="42">
        <f t="shared" si="4"/>
        <v>45756</v>
      </c>
      <c r="B14" s="245">
        <f>YEAR(Table13[[#This Row],[Date]])+IF(MONTH(Table13[[#This Row],[Date]])&gt;=4,1,0)</f>
        <v>2026</v>
      </c>
      <c r="C14" s="246">
        <f>YEAR(Table13[[#This Row],[Date]])</f>
        <v>2025</v>
      </c>
      <c r="D14" s="247">
        <f>Table13[[#This Row],[Date]]-DAY(Table13[[#This Row],[Date]])+1</f>
        <v>45748</v>
      </c>
      <c r="E14" s="10">
        <v>138</v>
      </c>
      <c r="F14" s="10">
        <v>184.2</v>
      </c>
      <c r="G14" s="10">
        <v>322.8</v>
      </c>
      <c r="H14" s="10">
        <v>372.8</v>
      </c>
      <c r="I14" s="10">
        <v>129.9</v>
      </c>
      <c r="J14" s="10">
        <v>204.3</v>
      </c>
      <c r="K14" s="10">
        <v>170.4</v>
      </c>
      <c r="L14" s="10">
        <v>417.5</v>
      </c>
      <c r="M14" s="10">
        <v>416.9</v>
      </c>
      <c r="N14" s="10">
        <v>320.8</v>
      </c>
      <c r="O14" s="10">
        <v>116</v>
      </c>
      <c r="P14" s="10">
        <v>288.39999999999998</v>
      </c>
      <c r="Q14" s="10">
        <v>167.8</v>
      </c>
      <c r="R14" s="10">
        <v>125.1</v>
      </c>
      <c r="S14" s="10">
        <v>106.4</v>
      </c>
      <c r="T14" s="10">
        <v>426.2</v>
      </c>
      <c r="U14" s="10">
        <v>144</v>
      </c>
      <c r="V14" s="10">
        <v>165.4</v>
      </c>
      <c r="W14" s="10">
        <v>279.8</v>
      </c>
      <c r="X14" s="10">
        <v>196</v>
      </c>
      <c r="Y14" s="10">
        <v>422.1</v>
      </c>
      <c r="Z14" s="10">
        <v>255.9</v>
      </c>
      <c r="AA14" s="10">
        <v>425</v>
      </c>
      <c r="AB14" s="10">
        <f t="shared" si="3"/>
        <v>5795.7000000000007</v>
      </c>
    </row>
    <row r="15" spans="1:28">
      <c r="A15" s="251">
        <f t="shared" si="4"/>
        <v>45757</v>
      </c>
      <c r="B15" s="248">
        <f>YEAR(Table13[[#This Row],[Date]])+IF(MONTH(Table13[[#This Row],[Date]])&gt;=4,1,0)</f>
        <v>2026</v>
      </c>
      <c r="C15" s="249">
        <f>YEAR(Table13[[#This Row],[Date]])</f>
        <v>2025</v>
      </c>
      <c r="D15" s="250">
        <f>Table13[[#This Row],[Date]]-DAY(Table13[[#This Row],[Date]])+1</f>
        <v>45748</v>
      </c>
      <c r="E15" s="10">
        <v>121.7</v>
      </c>
      <c r="F15" s="10">
        <v>65</v>
      </c>
      <c r="G15" s="10">
        <v>105.5</v>
      </c>
      <c r="H15" s="10">
        <v>268.89999999999998</v>
      </c>
      <c r="I15" s="10">
        <v>155.19999999999999</v>
      </c>
      <c r="J15" s="10">
        <v>213.3</v>
      </c>
      <c r="K15" s="10">
        <v>360.8</v>
      </c>
      <c r="L15" s="10">
        <v>9.1999999999999993</v>
      </c>
      <c r="M15" s="10">
        <v>240.5</v>
      </c>
      <c r="N15" s="10">
        <v>64.599999999999994</v>
      </c>
      <c r="O15" s="10">
        <v>157.5</v>
      </c>
      <c r="P15" s="10">
        <v>115.6</v>
      </c>
      <c r="Q15" s="10">
        <v>87.6</v>
      </c>
      <c r="R15" s="10">
        <v>56.3</v>
      </c>
      <c r="S15" s="10">
        <v>179.6</v>
      </c>
      <c r="T15" s="10">
        <v>142.30000000000001</v>
      </c>
      <c r="U15" s="10">
        <v>324.2</v>
      </c>
      <c r="V15" s="10">
        <v>193.7</v>
      </c>
      <c r="W15" s="10">
        <v>105.2</v>
      </c>
      <c r="X15" s="10">
        <v>45.7</v>
      </c>
      <c r="Y15" s="10">
        <v>456.3</v>
      </c>
      <c r="Z15" s="10">
        <v>1299.8</v>
      </c>
      <c r="AA15" s="10">
        <v>1.4</v>
      </c>
      <c r="AB15" s="10">
        <f t="shared" si="3"/>
        <v>4769.8999999999987</v>
      </c>
    </row>
    <row r="16" spans="1:28">
      <c r="A16" s="42">
        <f t="shared" si="4"/>
        <v>45758</v>
      </c>
      <c r="B16" s="245">
        <f>YEAR(Table13[[#This Row],[Date]])+IF(MONTH(Table13[[#This Row],[Date]])&gt;=4,1,0)</f>
        <v>2026</v>
      </c>
      <c r="C16" s="246">
        <f>YEAR(Table13[[#This Row],[Date]])</f>
        <v>2025</v>
      </c>
      <c r="D16" s="247">
        <f>Table13[[#This Row],[Date]]-DAY(Table13[[#This Row],[Date]])+1</f>
        <v>45748</v>
      </c>
      <c r="E16" s="10">
        <v>4742.6000000000004</v>
      </c>
      <c r="F16" s="10">
        <v>4102.8999999999996</v>
      </c>
      <c r="G16" s="10">
        <v>4022.5</v>
      </c>
      <c r="H16" s="10">
        <v>2750.8</v>
      </c>
      <c r="I16" s="10">
        <v>3461.5</v>
      </c>
      <c r="J16" s="10">
        <v>3296.5</v>
      </c>
      <c r="K16" s="10">
        <v>3563.5</v>
      </c>
      <c r="L16" s="10">
        <v>4081.6</v>
      </c>
      <c r="M16" s="10">
        <v>3345.8</v>
      </c>
      <c r="N16" s="10">
        <v>3444.5</v>
      </c>
      <c r="O16" s="10">
        <v>3604.7</v>
      </c>
      <c r="P16" s="10">
        <v>2800.7</v>
      </c>
      <c r="Q16" s="10">
        <v>3154.8</v>
      </c>
      <c r="R16" s="10">
        <v>3229.9</v>
      </c>
      <c r="S16" s="10">
        <v>3854.7</v>
      </c>
      <c r="T16" s="10">
        <v>3818</v>
      </c>
      <c r="U16" s="10">
        <v>4840.8999999999996</v>
      </c>
      <c r="V16" s="10">
        <v>3976.5</v>
      </c>
      <c r="W16" s="10">
        <v>3846</v>
      </c>
      <c r="X16" s="10">
        <v>2878</v>
      </c>
      <c r="Y16" s="10">
        <v>3667</v>
      </c>
      <c r="Z16" s="10">
        <v>4434</v>
      </c>
      <c r="AA16" s="10">
        <v>3554</v>
      </c>
      <c r="AB16" s="10">
        <f t="shared" si="3"/>
        <v>84471.4</v>
      </c>
    </row>
    <row r="17" spans="1:28">
      <c r="A17" s="251">
        <f t="shared" si="4"/>
        <v>45759</v>
      </c>
      <c r="B17" s="248">
        <f>YEAR(Table13[[#This Row],[Date]])+IF(MONTH(Table13[[#This Row],[Date]])&gt;=4,1,0)</f>
        <v>2026</v>
      </c>
      <c r="C17" s="249">
        <f>YEAR(Table13[[#This Row],[Date]])</f>
        <v>2025</v>
      </c>
      <c r="D17" s="250">
        <f>Table13[[#This Row],[Date]]-DAY(Table13[[#This Row],[Date]])+1</f>
        <v>45748</v>
      </c>
      <c r="E17" s="4">
        <v>1479.6</v>
      </c>
      <c r="F17" s="4">
        <v>1763.5</v>
      </c>
      <c r="G17" s="4">
        <v>479.8</v>
      </c>
      <c r="H17" s="4">
        <v>1898.3</v>
      </c>
      <c r="I17" s="4">
        <v>1813</v>
      </c>
      <c r="J17" s="4">
        <v>1625.3</v>
      </c>
      <c r="K17" s="4">
        <v>1646.4</v>
      </c>
      <c r="L17" s="4">
        <v>1022.5</v>
      </c>
      <c r="M17" s="4">
        <v>1809</v>
      </c>
      <c r="N17" s="4">
        <v>1510.1</v>
      </c>
      <c r="O17" s="4">
        <v>1735.2</v>
      </c>
      <c r="P17" s="4">
        <v>1752.7</v>
      </c>
      <c r="Q17" s="4">
        <v>1871.1</v>
      </c>
      <c r="R17" s="4">
        <v>1511.3</v>
      </c>
      <c r="S17" s="4">
        <v>1482.4</v>
      </c>
      <c r="T17" s="4">
        <v>1783</v>
      </c>
      <c r="U17" s="4">
        <v>1529.4</v>
      </c>
      <c r="V17" s="4">
        <v>1282.2</v>
      </c>
      <c r="W17" s="4">
        <v>1968.9</v>
      </c>
      <c r="X17" s="4">
        <v>1938.4</v>
      </c>
      <c r="Y17" s="4">
        <v>1638.8</v>
      </c>
      <c r="Z17" s="4">
        <v>1832.5</v>
      </c>
      <c r="AA17" s="4">
        <v>1865.9</v>
      </c>
      <c r="AB17" s="10">
        <f t="shared" si="3"/>
        <v>37239.30000000001</v>
      </c>
    </row>
    <row r="18" spans="1:28">
      <c r="A18" s="42">
        <f t="shared" si="4"/>
        <v>45760</v>
      </c>
      <c r="B18" s="245">
        <f>YEAR(Table13[[#This Row],[Date]])+IF(MONTH(Table13[[#This Row],[Date]])&gt;=4,1,0)</f>
        <v>2026</v>
      </c>
      <c r="C18" s="246">
        <f>YEAR(Table13[[#This Row],[Date]])</f>
        <v>2025</v>
      </c>
      <c r="D18" s="247">
        <f>Table13[[#This Row],[Date]]-DAY(Table13[[#This Row],[Date]])+1</f>
        <v>45748</v>
      </c>
      <c r="E18" s="10">
        <v>780</v>
      </c>
      <c r="F18" s="10">
        <v>271.89999999999998</v>
      </c>
      <c r="G18" s="10">
        <v>1306.2</v>
      </c>
      <c r="H18" s="10">
        <v>690.6</v>
      </c>
      <c r="I18" s="10">
        <v>411.9</v>
      </c>
      <c r="J18" s="10">
        <v>989.8</v>
      </c>
      <c r="K18" s="10">
        <v>1053.3</v>
      </c>
      <c r="L18" s="10">
        <v>889.2</v>
      </c>
      <c r="M18" s="10">
        <v>513.6</v>
      </c>
      <c r="N18" s="10">
        <v>1073.5</v>
      </c>
      <c r="O18" s="10">
        <v>378.9</v>
      </c>
      <c r="P18" s="10">
        <v>527.4</v>
      </c>
      <c r="Q18" s="10">
        <v>513.4</v>
      </c>
      <c r="R18" s="10">
        <v>813.2</v>
      </c>
      <c r="S18" s="10">
        <v>804.9</v>
      </c>
      <c r="T18" s="10">
        <v>101.2</v>
      </c>
      <c r="U18" s="10">
        <v>275.60000000000002</v>
      </c>
      <c r="V18" s="10">
        <v>214.4</v>
      </c>
      <c r="W18" s="10">
        <v>68.8</v>
      </c>
      <c r="X18" s="10">
        <v>228.7</v>
      </c>
      <c r="Y18" s="10">
        <v>217.8</v>
      </c>
      <c r="Z18" s="10">
        <v>498.1</v>
      </c>
      <c r="AA18" s="10">
        <v>237.9</v>
      </c>
      <c r="AB18" s="10">
        <f t="shared" si="3"/>
        <v>12860.300000000001</v>
      </c>
    </row>
    <row r="19" spans="1:28">
      <c r="A19" s="251">
        <f t="shared" si="4"/>
        <v>45761</v>
      </c>
      <c r="B19" s="248">
        <f>YEAR(Table13[[#This Row],[Date]])+IF(MONTH(Table13[[#This Row],[Date]])&gt;=4,1,0)</f>
        <v>2026</v>
      </c>
      <c r="C19" s="249">
        <f>YEAR(Table13[[#This Row],[Date]])</f>
        <v>2025</v>
      </c>
      <c r="D19" s="250">
        <f>Table13[[#This Row],[Date]]-DAY(Table13[[#This Row],[Date]])+1</f>
        <v>45748</v>
      </c>
      <c r="E19" s="4">
        <v>406.1</v>
      </c>
      <c r="F19" s="4">
        <v>614.20000000000005</v>
      </c>
      <c r="G19" s="4">
        <v>1451.1</v>
      </c>
      <c r="H19" s="4">
        <v>1494</v>
      </c>
      <c r="I19" s="4">
        <v>732.6</v>
      </c>
      <c r="J19" s="4">
        <v>1379.5</v>
      </c>
      <c r="K19" s="4">
        <v>1400.5</v>
      </c>
      <c r="L19" s="4">
        <v>2087.6999999999998</v>
      </c>
      <c r="M19" s="4">
        <v>917.4</v>
      </c>
      <c r="N19" s="4">
        <v>1255.4000000000001</v>
      </c>
      <c r="O19" s="4">
        <v>843.9</v>
      </c>
      <c r="P19" s="4">
        <v>1624.9</v>
      </c>
      <c r="Q19" s="4">
        <v>895.6</v>
      </c>
      <c r="R19" s="4">
        <v>657</v>
      </c>
      <c r="S19" s="4">
        <v>306.2</v>
      </c>
      <c r="T19" s="4">
        <v>760.7</v>
      </c>
      <c r="U19" s="4">
        <v>231.1</v>
      </c>
      <c r="V19" s="4">
        <v>769.7</v>
      </c>
      <c r="W19" s="4">
        <v>499.2</v>
      </c>
      <c r="X19" s="4">
        <v>619.20000000000005</v>
      </c>
      <c r="Y19" s="4">
        <v>574.9</v>
      </c>
      <c r="Z19" s="4">
        <v>673.8</v>
      </c>
      <c r="AA19" s="4">
        <v>669.7</v>
      </c>
      <c r="AB19" s="10">
        <f t="shared" si="3"/>
        <v>20864.400000000001</v>
      </c>
    </row>
    <row r="20" spans="1:28">
      <c r="A20" s="42">
        <f t="shared" si="4"/>
        <v>45762</v>
      </c>
      <c r="B20" s="245">
        <f>YEAR(Table13[[#This Row],[Date]])+IF(MONTH(Table13[[#This Row],[Date]])&gt;=4,1,0)</f>
        <v>2026</v>
      </c>
      <c r="C20" s="246">
        <f>YEAR(Table13[[#This Row],[Date]])</f>
        <v>2025</v>
      </c>
      <c r="D20" s="247">
        <f>Table13[[#This Row],[Date]]-DAY(Table13[[#This Row],[Date]])+1</f>
        <v>45748</v>
      </c>
      <c r="E20">
        <v>1560.9</v>
      </c>
      <c r="F20">
        <v>1906.3</v>
      </c>
      <c r="G20">
        <v>922</v>
      </c>
      <c r="H20">
        <v>1727.8</v>
      </c>
      <c r="I20">
        <v>1855.1</v>
      </c>
      <c r="J20">
        <v>1446.9</v>
      </c>
      <c r="K20">
        <v>1699.8</v>
      </c>
      <c r="L20">
        <v>295.10000000000002</v>
      </c>
      <c r="M20">
        <v>2305.3000000000002</v>
      </c>
      <c r="N20">
        <v>605.9</v>
      </c>
      <c r="O20">
        <v>907.5</v>
      </c>
      <c r="P20">
        <v>1115.3</v>
      </c>
      <c r="Q20">
        <v>1246.5999999999999</v>
      </c>
      <c r="R20">
        <v>1115.4000000000001</v>
      </c>
      <c r="S20">
        <v>1219.7</v>
      </c>
      <c r="T20">
        <v>2086.1</v>
      </c>
      <c r="U20">
        <v>2216.6</v>
      </c>
      <c r="V20">
        <v>2238.9</v>
      </c>
      <c r="W20">
        <v>172.6</v>
      </c>
      <c r="X20">
        <v>928.9</v>
      </c>
      <c r="Y20">
        <v>1873.2</v>
      </c>
      <c r="Z20">
        <v>2219.6999999999998</v>
      </c>
      <c r="AA20">
        <v>2197</v>
      </c>
      <c r="AB20" s="10">
        <f t="shared" si="3"/>
        <v>33862.600000000006</v>
      </c>
    </row>
    <row r="21" spans="1:28">
      <c r="A21" s="251">
        <f t="shared" si="4"/>
        <v>45763</v>
      </c>
      <c r="B21" s="248">
        <f>YEAR(Table13[[#This Row],[Date]])+IF(MONTH(Table13[[#This Row],[Date]])&gt;=4,1,0)</f>
        <v>2026</v>
      </c>
      <c r="C21" s="249">
        <f>YEAR(Table13[[#This Row],[Date]])</f>
        <v>2025</v>
      </c>
      <c r="D21" s="250">
        <f>Table13[[#This Row],[Date]]-DAY(Table13[[#This Row],[Date]])+1</f>
        <v>45748</v>
      </c>
      <c r="E21" s="10">
        <v>668.4</v>
      </c>
      <c r="F21" s="10">
        <v>2044</v>
      </c>
      <c r="G21" s="10">
        <v>509.6</v>
      </c>
      <c r="H21" s="10">
        <v>2134.6</v>
      </c>
      <c r="I21" s="10">
        <v>2219.4</v>
      </c>
      <c r="J21" s="10">
        <v>1801.4</v>
      </c>
      <c r="K21" s="10">
        <v>1945.6</v>
      </c>
      <c r="L21" s="10">
        <v>2738.5</v>
      </c>
      <c r="M21" s="10">
        <v>2262.6</v>
      </c>
      <c r="N21" s="10">
        <v>30.3</v>
      </c>
      <c r="O21" s="10">
        <v>3024.2</v>
      </c>
      <c r="P21" s="10">
        <v>455.8</v>
      </c>
      <c r="Q21" s="10">
        <v>404.1</v>
      </c>
      <c r="R21" s="10">
        <v>288.89999999999998</v>
      </c>
      <c r="S21" s="10">
        <v>337.8</v>
      </c>
      <c r="T21" s="10">
        <v>1968.5</v>
      </c>
      <c r="U21" s="10">
        <v>2546.6999999999998</v>
      </c>
      <c r="V21" s="10">
        <v>1178.3</v>
      </c>
      <c r="W21" s="10">
        <v>297.7</v>
      </c>
      <c r="X21" s="10">
        <v>217.7</v>
      </c>
      <c r="Y21" s="10">
        <v>2460.6</v>
      </c>
      <c r="Z21" s="10">
        <v>1393.7</v>
      </c>
      <c r="AA21" s="10">
        <v>1792.3</v>
      </c>
      <c r="AB21" s="10">
        <f t="shared" si="3"/>
        <v>32720.699999999997</v>
      </c>
    </row>
    <row r="22" spans="1:28">
      <c r="A22" s="42">
        <f t="shared" si="4"/>
        <v>45764</v>
      </c>
      <c r="B22" s="245">
        <f>YEAR(Table13[[#This Row],[Date]])+IF(MONTH(Table13[[#This Row],[Date]])&gt;=4,1,0)</f>
        <v>2026</v>
      </c>
      <c r="C22" s="246">
        <f>YEAR(Table13[[#This Row],[Date]])</f>
        <v>2025</v>
      </c>
      <c r="D22" s="247">
        <f>Table13[[#This Row],[Date]]-DAY(Table13[[#This Row],[Date]])+1</f>
        <v>45748</v>
      </c>
      <c r="E22" s="10">
        <v>734.3</v>
      </c>
      <c r="F22" s="10">
        <v>2149</v>
      </c>
      <c r="G22" s="10">
        <v>1019.1</v>
      </c>
      <c r="H22" s="10">
        <v>2060.6</v>
      </c>
      <c r="I22" s="10">
        <v>2358.9</v>
      </c>
      <c r="J22" s="10">
        <v>2030.9</v>
      </c>
      <c r="K22" s="10">
        <v>2008.2</v>
      </c>
      <c r="L22" s="10">
        <v>1102.0999999999999</v>
      </c>
      <c r="M22" s="10">
        <v>2035.1</v>
      </c>
      <c r="N22" s="10">
        <v>1784.7</v>
      </c>
      <c r="O22" s="10">
        <v>1370.3</v>
      </c>
      <c r="P22" s="10">
        <v>1241.4000000000001</v>
      </c>
      <c r="Q22" s="10">
        <v>1656.4</v>
      </c>
      <c r="R22" s="10">
        <v>1332.7</v>
      </c>
      <c r="S22" s="10">
        <v>1721.9</v>
      </c>
      <c r="T22" s="10">
        <v>1882</v>
      </c>
      <c r="U22" s="10">
        <v>2080.1999999999998</v>
      </c>
      <c r="V22" s="10">
        <v>2658</v>
      </c>
      <c r="W22" s="10">
        <v>2061</v>
      </c>
      <c r="X22" s="10">
        <v>1654.7</v>
      </c>
      <c r="Y22" s="10">
        <v>1974.6</v>
      </c>
      <c r="Z22" s="10">
        <v>2408.6</v>
      </c>
      <c r="AA22" s="10">
        <v>2270</v>
      </c>
      <c r="AB22" s="10">
        <f t="shared" si="3"/>
        <v>41594.699999999997</v>
      </c>
    </row>
    <row r="23" spans="1:28">
      <c r="A23" s="251">
        <f t="shared" si="4"/>
        <v>45765</v>
      </c>
      <c r="B23" s="248">
        <f>YEAR(Table13[[#This Row],[Date]])+IF(MONTH(Table13[[#This Row],[Date]])&gt;=4,1,0)</f>
        <v>2026</v>
      </c>
      <c r="C23" s="249">
        <f>YEAR(Table13[[#This Row],[Date]])</f>
        <v>2025</v>
      </c>
      <c r="D23" s="250">
        <f>Table13[[#This Row],[Date]]-DAY(Table13[[#This Row],[Date]])+1</f>
        <v>45748</v>
      </c>
      <c r="E23" s="10">
        <v>2195.6</v>
      </c>
      <c r="F23" s="10">
        <v>2744.6</v>
      </c>
      <c r="G23" s="10">
        <v>2387.6</v>
      </c>
      <c r="H23" s="10">
        <v>2821</v>
      </c>
      <c r="I23" s="10">
        <v>3000.8</v>
      </c>
      <c r="J23" s="10">
        <v>2767.4</v>
      </c>
      <c r="K23" s="10">
        <v>2822.4</v>
      </c>
      <c r="L23" s="10">
        <v>136.69999999999999</v>
      </c>
      <c r="M23" s="10">
        <v>3045.3</v>
      </c>
      <c r="N23" s="10">
        <v>2298.5</v>
      </c>
      <c r="O23" s="10">
        <v>2138.6</v>
      </c>
      <c r="P23" s="10">
        <v>2331.8000000000002</v>
      </c>
      <c r="Q23" s="10">
        <v>2305.6999999999998</v>
      </c>
      <c r="R23" s="10">
        <v>2413.6999999999998</v>
      </c>
      <c r="S23" s="10">
        <v>2292.6999999999998</v>
      </c>
      <c r="T23" s="10">
        <v>2568.1</v>
      </c>
      <c r="U23" s="10">
        <v>2802.7</v>
      </c>
      <c r="V23" s="10">
        <v>2672.6</v>
      </c>
      <c r="W23" s="10">
        <v>2595.1</v>
      </c>
      <c r="X23" s="10">
        <v>2349.6999999999998</v>
      </c>
      <c r="Y23" s="10">
        <v>2585.1999999999998</v>
      </c>
      <c r="Z23" s="10">
        <v>2319.6999999999998</v>
      </c>
      <c r="AA23" s="10">
        <v>2702</v>
      </c>
      <c r="AB23" s="10">
        <f t="shared" si="3"/>
        <v>56297.499999999978</v>
      </c>
    </row>
    <row r="24" spans="1:28">
      <c r="A24" s="42">
        <f t="shared" si="4"/>
        <v>45766</v>
      </c>
      <c r="B24" s="245">
        <f>YEAR(Table13[[#This Row],[Date]])+IF(MONTH(Table13[[#This Row],[Date]])&gt;=4,1,0)</f>
        <v>2026</v>
      </c>
      <c r="C24" s="246">
        <f>YEAR(Table13[[#This Row],[Date]])</f>
        <v>2025</v>
      </c>
      <c r="D24" s="247">
        <f>Table13[[#This Row],[Date]]-DAY(Table13[[#This Row],[Date]])+1</f>
        <v>45748</v>
      </c>
      <c r="E24" s="10">
        <v>755.1</v>
      </c>
      <c r="F24" s="10">
        <v>1373.2</v>
      </c>
      <c r="G24" s="10">
        <v>300.60000000000002</v>
      </c>
      <c r="H24" s="10">
        <v>665.1</v>
      </c>
      <c r="I24" s="10">
        <v>1483.9</v>
      </c>
      <c r="J24" s="10">
        <v>1007.9</v>
      </c>
      <c r="K24" s="10">
        <v>1133.2</v>
      </c>
      <c r="L24" s="10">
        <v>2286.1999999999998</v>
      </c>
      <c r="M24" s="10">
        <v>1461.3</v>
      </c>
      <c r="N24" s="10">
        <v>521.1</v>
      </c>
      <c r="O24" s="10">
        <v>1986.2</v>
      </c>
      <c r="P24" s="10">
        <v>754.4</v>
      </c>
      <c r="Q24" s="10">
        <v>455.1</v>
      </c>
      <c r="R24" s="10">
        <v>694.8</v>
      </c>
      <c r="S24" s="10">
        <v>649.20000000000005</v>
      </c>
      <c r="T24" s="10">
        <v>1225</v>
      </c>
      <c r="U24" s="10">
        <v>1537.6</v>
      </c>
      <c r="V24" s="10">
        <v>2024.3</v>
      </c>
      <c r="W24" s="10">
        <v>632.5</v>
      </c>
      <c r="X24" s="10">
        <v>340.9</v>
      </c>
      <c r="Y24" s="10">
        <v>1396.3</v>
      </c>
      <c r="Z24" s="10">
        <v>1576.8</v>
      </c>
      <c r="AA24" s="10">
        <v>1382</v>
      </c>
      <c r="AB24" s="10">
        <f t="shared" si="3"/>
        <v>25642.699999999997</v>
      </c>
    </row>
    <row r="25" spans="1:28">
      <c r="A25" s="251">
        <f t="shared" si="4"/>
        <v>45767</v>
      </c>
      <c r="B25" s="248">
        <f>YEAR(Table13[[#This Row],[Date]])+IF(MONTH(Table13[[#This Row],[Date]])&gt;=4,1,0)</f>
        <v>2026</v>
      </c>
      <c r="C25" s="249">
        <f>YEAR(Table13[[#This Row],[Date]])</f>
        <v>2025</v>
      </c>
      <c r="D25" s="250">
        <f>Table13[[#This Row],[Date]]-DAY(Table13[[#This Row],[Date]])+1</f>
        <v>45748</v>
      </c>
      <c r="E25" s="10">
        <v>2528.1</v>
      </c>
      <c r="F25" s="10">
        <v>1650.6</v>
      </c>
      <c r="G25" s="10">
        <v>1205.5999999999999</v>
      </c>
      <c r="H25" s="10">
        <v>912.7</v>
      </c>
      <c r="I25" s="10">
        <v>1033.2</v>
      </c>
      <c r="J25" s="10">
        <v>1067</v>
      </c>
      <c r="K25" s="10">
        <v>2449.5</v>
      </c>
      <c r="L25" s="10">
        <v>1135.0999999999999</v>
      </c>
      <c r="M25" s="10">
        <v>918.2</v>
      </c>
      <c r="N25" s="10">
        <v>540.79999999999995</v>
      </c>
      <c r="O25" s="10">
        <v>479.4</v>
      </c>
      <c r="P25" s="10">
        <v>428.2</v>
      </c>
      <c r="Q25" s="10">
        <v>51</v>
      </c>
      <c r="R25" s="10">
        <v>213.2</v>
      </c>
      <c r="S25" s="10">
        <v>332.6</v>
      </c>
      <c r="T25" s="10">
        <v>1396.5</v>
      </c>
      <c r="U25" s="10">
        <v>3176.5</v>
      </c>
      <c r="V25" s="10">
        <v>553.6</v>
      </c>
      <c r="W25" s="10">
        <v>18.899999999999999</v>
      </c>
      <c r="X25" s="10">
        <v>288.60000000000002</v>
      </c>
      <c r="Y25" s="10">
        <v>2869.2</v>
      </c>
      <c r="Z25" s="10">
        <v>2047</v>
      </c>
      <c r="AA25" s="10">
        <v>2044</v>
      </c>
      <c r="AB25" s="10">
        <f t="shared" si="3"/>
        <v>27339.5</v>
      </c>
    </row>
    <row r="26" spans="1:28">
      <c r="A26" s="42">
        <f t="shared" si="4"/>
        <v>45768</v>
      </c>
      <c r="B26" s="245">
        <f>YEAR(Table13[[#This Row],[Date]])+IF(MONTH(Table13[[#This Row],[Date]])&gt;=4,1,0)</f>
        <v>2026</v>
      </c>
      <c r="C26" s="246">
        <f>YEAR(Table13[[#This Row],[Date]])</f>
        <v>2025</v>
      </c>
      <c r="D26" s="247">
        <f>Table13[[#This Row],[Date]]-DAY(Table13[[#This Row],[Date]])+1</f>
        <v>45748</v>
      </c>
      <c r="E26" s="10">
        <v>4314</v>
      </c>
      <c r="F26" s="10">
        <v>4605.1000000000004</v>
      </c>
      <c r="G26" s="10">
        <v>5507.4</v>
      </c>
      <c r="H26" s="10">
        <v>4224.2</v>
      </c>
      <c r="I26" s="10">
        <v>3959.6</v>
      </c>
      <c r="J26" s="10">
        <v>5662.5</v>
      </c>
      <c r="K26" s="10">
        <v>3005.7</v>
      </c>
      <c r="L26" s="10">
        <v>5204.8</v>
      </c>
      <c r="M26" s="10">
        <v>4091</v>
      </c>
      <c r="N26" s="10">
        <v>4781.6000000000004</v>
      </c>
      <c r="O26" s="10">
        <v>4938.3</v>
      </c>
      <c r="P26" s="10">
        <v>4570.6000000000004</v>
      </c>
      <c r="Q26" s="10">
        <v>4293.1000000000004</v>
      </c>
      <c r="R26" s="10">
        <v>3649.1</v>
      </c>
      <c r="S26" s="10">
        <v>4895.2</v>
      </c>
      <c r="T26" s="10">
        <v>4795.1000000000004</v>
      </c>
      <c r="U26" s="10">
        <v>4052</v>
      </c>
      <c r="V26" s="10">
        <v>4160.7</v>
      </c>
      <c r="W26" s="10">
        <v>3697.4</v>
      </c>
      <c r="X26" s="10">
        <v>4342.2</v>
      </c>
      <c r="Y26" s="10">
        <v>3557.8</v>
      </c>
      <c r="Z26" s="10">
        <v>3441.7</v>
      </c>
      <c r="AA26" s="10">
        <v>5115.7</v>
      </c>
      <c r="AB26" s="10">
        <f t="shared" si="3"/>
        <v>100864.79999999999</v>
      </c>
    </row>
    <row r="27" spans="1:28">
      <c r="A27" s="251">
        <f t="shared" si="4"/>
        <v>45769</v>
      </c>
      <c r="B27" s="248">
        <f>YEAR(Table13[[#This Row],[Date]])+IF(MONTH(Table13[[#This Row],[Date]])&gt;=4,1,0)</f>
        <v>2026</v>
      </c>
      <c r="C27" s="249">
        <f>YEAR(Table13[[#This Row],[Date]])</f>
        <v>2025</v>
      </c>
      <c r="D27" s="250">
        <f>Table13[[#This Row],[Date]]-DAY(Table13[[#This Row],[Date]])+1</f>
        <v>45748</v>
      </c>
      <c r="E27" s="4">
        <v>2365</v>
      </c>
      <c r="F27" s="4">
        <v>98.8</v>
      </c>
      <c r="G27" s="4">
        <v>1091.2</v>
      </c>
      <c r="H27" s="4">
        <v>250.5</v>
      </c>
      <c r="I27" s="4">
        <v>179.7</v>
      </c>
      <c r="J27" s="4">
        <v>494.9</v>
      </c>
      <c r="K27" s="4">
        <v>430</v>
      </c>
      <c r="L27" s="4">
        <v>907.2</v>
      </c>
      <c r="M27" s="4">
        <v>35.5</v>
      </c>
      <c r="N27" s="4">
        <v>1428.6</v>
      </c>
      <c r="O27" s="4">
        <v>612.9</v>
      </c>
      <c r="P27" s="4">
        <v>569.4</v>
      </c>
      <c r="Q27" s="4">
        <v>1283.9000000000001</v>
      </c>
      <c r="R27" s="4">
        <v>988</v>
      </c>
      <c r="S27" s="4">
        <v>2295</v>
      </c>
      <c r="T27" s="4">
        <v>280.39999999999998</v>
      </c>
      <c r="U27" s="4">
        <v>186.2</v>
      </c>
      <c r="V27" s="4">
        <v>12.8</v>
      </c>
      <c r="W27" s="4">
        <v>866.8</v>
      </c>
      <c r="X27" s="4">
        <v>1258.5</v>
      </c>
      <c r="Y27" s="4">
        <v>426.7</v>
      </c>
      <c r="Z27" s="4">
        <v>110</v>
      </c>
      <c r="AA27" s="4">
        <v>225.6</v>
      </c>
      <c r="AB27" s="10">
        <f t="shared" si="3"/>
        <v>16397.599999999999</v>
      </c>
    </row>
    <row r="28" spans="1:28">
      <c r="A28" s="42">
        <f t="shared" si="4"/>
        <v>45770</v>
      </c>
      <c r="B28" s="245">
        <f>YEAR(Table13[[#This Row],[Date]])+IF(MONTH(Table13[[#This Row],[Date]])&gt;=4,1,0)</f>
        <v>2026</v>
      </c>
      <c r="C28" s="246">
        <f>YEAR(Table13[[#This Row],[Date]])</f>
        <v>2025</v>
      </c>
      <c r="D28" s="247">
        <f>Table13[[#This Row],[Date]]-DAY(Table13[[#This Row],[Date]])+1</f>
        <v>45748</v>
      </c>
      <c r="E28" s="10">
        <v>411.4</v>
      </c>
      <c r="F28" s="10">
        <v>976.2</v>
      </c>
      <c r="G28" s="10">
        <v>70.8</v>
      </c>
      <c r="H28" s="10">
        <v>493.5</v>
      </c>
      <c r="I28" s="10">
        <v>1158.0999999999999</v>
      </c>
      <c r="J28" s="10">
        <v>274.89999999999998</v>
      </c>
      <c r="K28" s="10">
        <v>241</v>
      </c>
      <c r="L28" s="10">
        <v>199.8</v>
      </c>
      <c r="M28" s="10">
        <v>875.3</v>
      </c>
      <c r="N28" s="10">
        <v>361.5</v>
      </c>
      <c r="O28" s="10">
        <v>584.29999999999995</v>
      </c>
      <c r="P28" s="10">
        <v>621.5</v>
      </c>
      <c r="Q28" s="10">
        <v>375.2</v>
      </c>
      <c r="R28" s="10">
        <v>378.1</v>
      </c>
      <c r="S28" s="10">
        <v>263</v>
      </c>
      <c r="T28" s="10">
        <v>949.6</v>
      </c>
      <c r="U28" s="10">
        <v>830.3</v>
      </c>
      <c r="V28" s="10">
        <v>1425</v>
      </c>
      <c r="W28" s="10">
        <v>69.3</v>
      </c>
      <c r="X28" s="10">
        <v>468.3</v>
      </c>
      <c r="Y28" s="10">
        <v>914.9</v>
      </c>
      <c r="Z28" s="10">
        <v>1344.3</v>
      </c>
      <c r="AA28" s="10">
        <v>896.6</v>
      </c>
      <c r="AB28" s="10">
        <f t="shared" si="3"/>
        <v>14182.899999999998</v>
      </c>
    </row>
    <row r="29" spans="1:28">
      <c r="A29" s="251">
        <f t="shared" si="4"/>
        <v>45771</v>
      </c>
      <c r="B29" s="248">
        <f>YEAR(Table13[[#This Row],[Date]])+IF(MONTH(Table13[[#This Row],[Date]])&gt;=4,1,0)</f>
        <v>2026</v>
      </c>
      <c r="C29" s="249">
        <f>YEAR(Table13[[#This Row],[Date]])</f>
        <v>2025</v>
      </c>
      <c r="D29" s="250">
        <f>Table13[[#This Row],[Date]]-DAY(Table13[[#This Row],[Date]])+1</f>
        <v>45748</v>
      </c>
      <c r="E29" s="10">
        <v>3024.1</v>
      </c>
      <c r="F29" s="10">
        <v>425.1</v>
      </c>
      <c r="G29" s="10">
        <v>2700.8</v>
      </c>
      <c r="H29" s="10">
        <v>1620.7</v>
      </c>
      <c r="I29" s="10">
        <v>505.4</v>
      </c>
      <c r="J29" s="10">
        <v>2080.1999999999998</v>
      </c>
      <c r="K29" s="10">
        <v>2183</v>
      </c>
      <c r="L29" s="10">
        <v>1941.2</v>
      </c>
      <c r="M29" s="10">
        <v>582.1</v>
      </c>
      <c r="N29" s="10">
        <v>3034.4</v>
      </c>
      <c r="O29" s="10">
        <v>2059</v>
      </c>
      <c r="P29" s="10">
        <v>3261.2</v>
      </c>
      <c r="Q29" s="10">
        <v>2884.9</v>
      </c>
      <c r="R29" s="10">
        <v>2855.6</v>
      </c>
      <c r="S29" s="10">
        <v>2816.6</v>
      </c>
      <c r="T29" s="10">
        <v>274.8</v>
      </c>
      <c r="U29" s="10">
        <v>517.4</v>
      </c>
      <c r="V29" s="10">
        <v>416.5</v>
      </c>
      <c r="W29" s="10">
        <v>911.9</v>
      </c>
      <c r="X29" s="10">
        <v>2873</v>
      </c>
      <c r="Y29" s="10">
        <v>369.2</v>
      </c>
      <c r="Z29" s="10">
        <v>152.9</v>
      </c>
      <c r="AA29" s="10">
        <v>126.5</v>
      </c>
      <c r="AB29" s="10">
        <f t="shared" si="3"/>
        <v>37616.5</v>
      </c>
    </row>
    <row r="30" spans="1:28">
      <c r="A30" s="42">
        <f t="shared" si="4"/>
        <v>45772</v>
      </c>
      <c r="B30" s="245">
        <f>YEAR(Table13[[#This Row],[Date]])+IF(MONTH(Table13[[#This Row],[Date]])&gt;=4,1,0)</f>
        <v>2026</v>
      </c>
      <c r="C30" s="246">
        <f>YEAR(Table13[[#This Row],[Date]])</f>
        <v>2025</v>
      </c>
      <c r="D30" s="247">
        <f>Table13[[#This Row],[Date]]-DAY(Table13[[#This Row],[Date]])+1</f>
        <v>45748</v>
      </c>
      <c r="E30" s="10">
        <v>5017.3999999999996</v>
      </c>
      <c r="F30" s="10">
        <v>1786.6</v>
      </c>
      <c r="G30" s="10">
        <v>3001.7</v>
      </c>
      <c r="H30" s="10">
        <v>1641.6</v>
      </c>
      <c r="I30" s="10">
        <v>1482.9</v>
      </c>
      <c r="J30" s="10">
        <v>1923.8</v>
      </c>
      <c r="K30" s="10">
        <v>2337.6</v>
      </c>
      <c r="L30" s="10">
        <v>2655.9</v>
      </c>
      <c r="M30" s="10">
        <v>1341</v>
      </c>
      <c r="N30" s="10">
        <v>3852.8</v>
      </c>
      <c r="O30" s="10">
        <v>2889.4</v>
      </c>
      <c r="P30" s="10">
        <v>3642.3</v>
      </c>
      <c r="Q30" s="10">
        <v>3508.3</v>
      </c>
      <c r="R30" s="10">
        <v>3650.6</v>
      </c>
      <c r="S30" s="10">
        <v>4697.2</v>
      </c>
      <c r="T30" s="10">
        <v>2263.1999999999998</v>
      </c>
      <c r="U30" s="10">
        <v>2252.3000000000002</v>
      </c>
      <c r="V30" s="10">
        <v>1309.8</v>
      </c>
      <c r="W30" s="10">
        <v>1820</v>
      </c>
      <c r="X30" s="10">
        <v>3929</v>
      </c>
      <c r="Y30" s="10">
        <v>1688.2</v>
      </c>
      <c r="Z30" s="10">
        <v>1022.7</v>
      </c>
      <c r="AA30" s="10">
        <v>1697.7</v>
      </c>
      <c r="AB30" s="10">
        <f t="shared" si="3"/>
        <v>59411.999999999993</v>
      </c>
    </row>
    <row r="31" spans="1:28">
      <c r="A31" s="251">
        <f t="shared" si="4"/>
        <v>45773</v>
      </c>
      <c r="B31" s="248">
        <f>YEAR(Table13[[#This Row],[Date]])+IF(MONTH(Table13[[#This Row],[Date]])&gt;=4,1,0)</f>
        <v>2026</v>
      </c>
      <c r="C31" s="249">
        <f>YEAR(Table13[[#This Row],[Date]])</f>
        <v>2025</v>
      </c>
      <c r="D31" s="250">
        <f>Table13[[#This Row],[Date]]-DAY(Table13[[#This Row],[Date]])+1</f>
        <v>45748</v>
      </c>
      <c r="E31" s="10">
        <v>6129.6</v>
      </c>
      <c r="F31" s="10">
        <v>2178.3000000000002</v>
      </c>
      <c r="G31" s="10">
        <v>4920.7</v>
      </c>
      <c r="H31" s="10">
        <v>2235.1</v>
      </c>
      <c r="I31" s="10">
        <v>1905.6</v>
      </c>
      <c r="J31" s="10">
        <v>2417.5</v>
      </c>
      <c r="K31" s="10">
        <v>2443.4</v>
      </c>
      <c r="L31" s="10">
        <v>4599</v>
      </c>
      <c r="M31" s="10">
        <v>2199.9</v>
      </c>
      <c r="N31" s="10">
        <v>4895.2</v>
      </c>
      <c r="O31" s="10">
        <v>4535.8</v>
      </c>
      <c r="P31" s="10">
        <v>5590.2</v>
      </c>
      <c r="Q31" s="10">
        <v>5631</v>
      </c>
      <c r="R31" s="10">
        <v>5169.3999999999996</v>
      </c>
      <c r="S31" s="10">
        <v>6077.9</v>
      </c>
      <c r="T31" s="10">
        <v>2228.6999999999998</v>
      </c>
      <c r="U31" s="10">
        <v>2384.9</v>
      </c>
      <c r="V31" s="10">
        <v>1960.7</v>
      </c>
      <c r="W31" s="10">
        <v>5112.3</v>
      </c>
      <c r="X31" s="10">
        <v>4821.1000000000004</v>
      </c>
      <c r="Y31" s="10">
        <v>2146.6</v>
      </c>
      <c r="Z31" s="10">
        <v>2032.9</v>
      </c>
      <c r="AA31" s="10">
        <v>2085</v>
      </c>
      <c r="AB31" s="10">
        <f t="shared" si="3"/>
        <v>83700.800000000003</v>
      </c>
    </row>
    <row r="32" spans="1:28">
      <c r="A32" s="42">
        <f t="shared" si="4"/>
        <v>45774</v>
      </c>
      <c r="B32" s="245">
        <f>YEAR(Table13[[#This Row],[Date]])+IF(MONTH(Table13[[#This Row],[Date]])&gt;=4,1,0)</f>
        <v>2026</v>
      </c>
      <c r="C32" s="246">
        <f>YEAR(Table13[[#This Row],[Date]])</f>
        <v>2025</v>
      </c>
      <c r="D32" s="247">
        <f>Table13[[#This Row],[Date]]-DAY(Table13[[#This Row],[Date]])+1</f>
        <v>45748</v>
      </c>
      <c r="E32" s="10">
        <v>7238.3</v>
      </c>
      <c r="F32" s="10">
        <v>4102.5</v>
      </c>
      <c r="G32" s="10">
        <v>6021.2</v>
      </c>
      <c r="H32" s="10">
        <v>3152.3</v>
      </c>
      <c r="I32" s="10">
        <v>3552.9</v>
      </c>
      <c r="J32" s="10">
        <v>3873.2</v>
      </c>
      <c r="K32" s="10">
        <v>3754.7</v>
      </c>
      <c r="L32" s="10">
        <v>6558.8</v>
      </c>
      <c r="M32" s="10">
        <v>3804.9</v>
      </c>
      <c r="N32" s="10">
        <v>6823.7</v>
      </c>
      <c r="O32" s="10">
        <v>6092.7</v>
      </c>
      <c r="P32" s="10">
        <v>5985</v>
      </c>
      <c r="Q32" s="10">
        <v>6992.2</v>
      </c>
      <c r="R32" s="10">
        <v>6766.3</v>
      </c>
      <c r="S32" s="10">
        <v>7123.2</v>
      </c>
      <c r="T32" s="10">
        <v>4392.3999999999996</v>
      </c>
      <c r="U32" s="10">
        <v>4318.8999999999996</v>
      </c>
      <c r="V32" s="10">
        <v>3601.3</v>
      </c>
      <c r="W32" s="10">
        <v>6916.3</v>
      </c>
      <c r="X32" s="10">
        <v>5817.8</v>
      </c>
      <c r="Y32" s="10">
        <v>4332</v>
      </c>
      <c r="Z32" s="10">
        <v>3713.7</v>
      </c>
      <c r="AA32" s="10">
        <v>4387.3</v>
      </c>
      <c r="AB32" s="10">
        <f t="shared" si="3"/>
        <v>119321.59999999999</v>
      </c>
    </row>
    <row r="33" spans="1:30">
      <c r="A33" s="251">
        <f t="shared" si="4"/>
        <v>45775</v>
      </c>
      <c r="B33" s="248">
        <f>YEAR(Table13[[#This Row],[Date]])+IF(MONTH(Table13[[#This Row],[Date]])&gt;=4,1,0)</f>
        <v>2026</v>
      </c>
      <c r="C33" s="249">
        <f>YEAR(Table13[[#This Row],[Date]])</f>
        <v>2025</v>
      </c>
      <c r="D33" s="250">
        <f>Table13[[#This Row],[Date]]-DAY(Table13[[#This Row],[Date]])+1</f>
        <v>45748</v>
      </c>
      <c r="E33" s="4">
        <v>4672.1000000000004</v>
      </c>
      <c r="F33" s="4">
        <v>3060.6</v>
      </c>
      <c r="G33" s="4">
        <v>4032.3</v>
      </c>
      <c r="H33" s="4">
        <v>3158.3</v>
      </c>
      <c r="I33" s="4">
        <v>3045.5</v>
      </c>
      <c r="J33" s="4">
        <v>4134.3</v>
      </c>
      <c r="K33" s="4">
        <v>3769.7</v>
      </c>
      <c r="L33" s="4">
        <v>4429</v>
      </c>
      <c r="M33" s="4">
        <v>4044.3</v>
      </c>
      <c r="N33" s="4">
        <v>4130</v>
      </c>
      <c r="O33" s="4">
        <v>4180.2</v>
      </c>
      <c r="P33" s="4">
        <v>4328.6000000000004</v>
      </c>
      <c r="Q33" s="4">
        <v>4165.3999999999996</v>
      </c>
      <c r="R33" s="4">
        <v>3632.5</v>
      </c>
      <c r="S33" s="4">
        <v>4329.6000000000004</v>
      </c>
      <c r="T33" s="4">
        <v>2838.1</v>
      </c>
      <c r="U33" s="4">
        <v>3277.8</v>
      </c>
      <c r="V33" s="4">
        <v>2900.7</v>
      </c>
      <c r="W33" s="4">
        <v>3914.7</v>
      </c>
      <c r="X33" s="4">
        <v>3288.6</v>
      </c>
      <c r="Y33" s="4">
        <v>3037.4</v>
      </c>
      <c r="Z33" s="4">
        <v>3019.7</v>
      </c>
      <c r="AA33" s="4">
        <v>2497.4</v>
      </c>
      <c r="AB33" s="10">
        <f t="shared" si="3"/>
        <v>83886.799999999988</v>
      </c>
    </row>
    <row r="34" spans="1:30">
      <c r="A34" s="42">
        <f t="shared" si="4"/>
        <v>45776</v>
      </c>
      <c r="B34" s="245">
        <f>YEAR(Table13[[#This Row],[Date]])+IF(MONTH(Table13[[#This Row],[Date]])&gt;=4,1,0)</f>
        <v>2026</v>
      </c>
      <c r="C34" s="246">
        <f>YEAR(Table13[[#This Row],[Date]])</f>
        <v>2025</v>
      </c>
      <c r="D34" s="247">
        <f>Table13[[#This Row],[Date]]-DAY(Table13[[#This Row],[Date]])+1</f>
        <v>45748</v>
      </c>
      <c r="E34" s="4">
        <v>3385.3</v>
      </c>
      <c r="F34" s="4">
        <v>2482.5</v>
      </c>
      <c r="G34" s="4">
        <v>3755.5</v>
      </c>
      <c r="H34" s="4">
        <v>1345.5</v>
      </c>
      <c r="I34" s="4">
        <v>1275.0999999999999</v>
      </c>
      <c r="J34" s="4">
        <v>2202.6</v>
      </c>
      <c r="K34" s="4">
        <v>2575.1</v>
      </c>
      <c r="L34" s="4">
        <v>3315.2</v>
      </c>
      <c r="M34" s="4">
        <v>2211.1</v>
      </c>
      <c r="N34" s="4">
        <v>3078</v>
      </c>
      <c r="O34" s="4">
        <v>2844.3</v>
      </c>
      <c r="P34" s="4">
        <v>2272.4</v>
      </c>
      <c r="Q34" s="4">
        <v>2377.6</v>
      </c>
      <c r="R34" s="4">
        <v>2833.4</v>
      </c>
      <c r="S34" s="4">
        <v>3367.1</v>
      </c>
      <c r="T34" s="4">
        <v>2571.3000000000002</v>
      </c>
      <c r="U34" s="4">
        <v>2328.5</v>
      </c>
      <c r="V34" s="4">
        <v>1356.2</v>
      </c>
      <c r="W34" s="4">
        <v>2233.8000000000002</v>
      </c>
      <c r="X34" s="4">
        <v>3284.9</v>
      </c>
      <c r="Y34" s="4">
        <v>1791.4</v>
      </c>
      <c r="Z34" s="4">
        <v>1428.3</v>
      </c>
      <c r="AA34" s="4">
        <v>1836.4</v>
      </c>
      <c r="AB34" s="10">
        <f t="shared" si="3"/>
        <v>56151.500000000007</v>
      </c>
    </row>
    <row r="35" spans="1:30">
      <c r="A35" s="251">
        <f t="shared" si="4"/>
        <v>45777</v>
      </c>
      <c r="B35" s="248">
        <f>YEAR(Table13[[#This Row],[Date]])+IF(MONTH(Table13[[#This Row],[Date]])&gt;=4,1,0)</f>
        <v>2026</v>
      </c>
      <c r="C35" s="249">
        <f>YEAR(Table13[[#This Row],[Date]])</f>
        <v>2025</v>
      </c>
      <c r="D35" s="250">
        <f>Table13[[#This Row],[Date]]-DAY(Table13[[#This Row],[Date]])+1</f>
        <v>45778</v>
      </c>
      <c r="E35" s="10">
        <v>618.1</v>
      </c>
      <c r="F35" s="10">
        <v>156.4</v>
      </c>
      <c r="G35" s="10">
        <v>688.8</v>
      </c>
      <c r="H35" s="10">
        <v>445.4</v>
      </c>
      <c r="I35" s="10">
        <v>46.3</v>
      </c>
      <c r="J35" s="10">
        <v>572.29999999999995</v>
      </c>
      <c r="K35" s="10">
        <v>563</v>
      </c>
      <c r="L35" s="10">
        <v>456.1</v>
      </c>
      <c r="M35" s="10">
        <v>2744.3</v>
      </c>
      <c r="N35" s="10">
        <v>357.5</v>
      </c>
      <c r="O35" s="10">
        <v>736.5</v>
      </c>
      <c r="P35" s="10">
        <v>763.7</v>
      </c>
      <c r="Q35" s="10">
        <v>359.6</v>
      </c>
      <c r="R35" s="10">
        <v>3228.2</v>
      </c>
      <c r="S35" s="10">
        <v>452.7</v>
      </c>
      <c r="T35" s="10">
        <v>182.6</v>
      </c>
      <c r="U35" s="10">
        <v>28.9</v>
      </c>
      <c r="V35" s="10">
        <v>188.9</v>
      </c>
      <c r="W35" s="10">
        <v>29</v>
      </c>
      <c r="X35" s="10">
        <v>401.2</v>
      </c>
      <c r="Y35" s="10">
        <v>139.4</v>
      </c>
      <c r="Z35" s="10">
        <v>94</v>
      </c>
      <c r="AA35" s="10">
        <v>9.4</v>
      </c>
      <c r="AB35" s="10">
        <f t="shared" si="3"/>
        <v>13262.300000000001</v>
      </c>
    </row>
    <row r="36" spans="1:30">
      <c r="A36" s="42">
        <f t="shared" si="4"/>
        <v>45778</v>
      </c>
      <c r="B36" s="245">
        <f>YEAR(Table13[[#This Row],[Date]])+IF(MONTH(Table13[[#This Row],[Date]])&gt;=4,1,0)</f>
        <v>2026</v>
      </c>
      <c r="C36" s="246">
        <f>YEAR(Table13[[#This Row],[Date]])</f>
        <v>2025</v>
      </c>
      <c r="D36" s="247">
        <f>Table13[[#This Row],[Date]]-DAY(Table13[[#This Row],[Date]])+1</f>
        <v>45778</v>
      </c>
      <c r="E36" s="10">
        <v>1285.9000000000001</v>
      </c>
      <c r="F36" s="10">
        <v>742.6</v>
      </c>
      <c r="G36" s="10">
        <v>850.3</v>
      </c>
      <c r="H36" s="10">
        <v>744</v>
      </c>
      <c r="I36" s="10">
        <v>375.9</v>
      </c>
      <c r="J36" s="10">
        <v>773.1</v>
      </c>
      <c r="K36" s="10">
        <v>701.9</v>
      </c>
      <c r="L36" s="10">
        <v>773.7</v>
      </c>
      <c r="M36" s="10">
        <v>438.5</v>
      </c>
      <c r="N36" s="10">
        <v>815.2</v>
      </c>
      <c r="O36" s="10">
        <v>897.4</v>
      </c>
      <c r="P36" s="10">
        <v>347.4</v>
      </c>
      <c r="Q36" s="10">
        <v>324.10000000000002</v>
      </c>
      <c r="R36" s="10">
        <v>449.5</v>
      </c>
      <c r="S36" s="10">
        <v>575.70000000000005</v>
      </c>
      <c r="T36" s="10">
        <v>598.1</v>
      </c>
      <c r="U36" s="10">
        <v>754.7</v>
      </c>
      <c r="V36" s="10">
        <v>576.70000000000005</v>
      </c>
      <c r="W36" s="10">
        <v>376.6</v>
      </c>
      <c r="X36" s="10">
        <v>828.6</v>
      </c>
      <c r="Y36" s="10">
        <v>867</v>
      </c>
      <c r="Z36" s="10">
        <v>694.9</v>
      </c>
      <c r="AA36" s="10">
        <v>364.8</v>
      </c>
      <c r="AB36" s="10">
        <f t="shared" si="3"/>
        <v>15156.600000000002</v>
      </c>
    </row>
    <row r="37" spans="1:30">
      <c r="A37" s="251">
        <f t="shared" si="4"/>
        <v>45779</v>
      </c>
      <c r="B37" s="248">
        <f>YEAR(Table13[[#This Row],[Date]])+IF(MONTH(Table13[[#This Row],[Date]])&gt;=4,1,0)</f>
        <v>2026</v>
      </c>
      <c r="C37" s="249">
        <f>YEAR(Table13[[#This Row],[Date]])</f>
        <v>2025</v>
      </c>
      <c r="D37" s="250">
        <f>Table13[[#This Row],[Date]]-DAY(Table13[[#This Row],[Date]])+1</f>
        <v>45778</v>
      </c>
      <c r="E37" s="10">
        <v>371.8</v>
      </c>
      <c r="F37" s="10">
        <v>183.7</v>
      </c>
      <c r="G37" s="10">
        <v>766.7</v>
      </c>
      <c r="H37" s="10">
        <v>637.5</v>
      </c>
      <c r="I37" s="10">
        <v>306.60000000000002</v>
      </c>
      <c r="J37" s="10">
        <v>553.29999999999995</v>
      </c>
      <c r="K37" s="10">
        <v>763.7</v>
      </c>
      <c r="L37" s="10">
        <v>406.8</v>
      </c>
      <c r="M37" s="10">
        <v>407.3</v>
      </c>
      <c r="N37" s="10">
        <v>1141.7</v>
      </c>
      <c r="O37" s="10">
        <v>655.1</v>
      </c>
      <c r="P37" s="10">
        <v>145.80000000000001</v>
      </c>
      <c r="Q37" s="10">
        <v>137.9</v>
      </c>
      <c r="R37" s="10">
        <v>1800.2</v>
      </c>
      <c r="S37" s="10">
        <v>87.6</v>
      </c>
      <c r="T37" s="10">
        <v>116.1</v>
      </c>
      <c r="U37" s="10">
        <v>17.5</v>
      </c>
      <c r="V37" s="10">
        <v>67.2</v>
      </c>
      <c r="W37" s="10">
        <v>308.10000000000002</v>
      </c>
      <c r="X37" s="10">
        <v>126.5</v>
      </c>
      <c r="Y37" s="10">
        <v>219.4</v>
      </c>
      <c r="Z37" s="10">
        <v>124.9</v>
      </c>
      <c r="AA37" s="10">
        <v>216.3</v>
      </c>
      <c r="AB37" s="10">
        <f t="shared" si="3"/>
        <v>9561.7000000000007</v>
      </c>
    </row>
    <row r="38" spans="1:30">
      <c r="A38" s="42">
        <f t="shared" si="4"/>
        <v>45780</v>
      </c>
      <c r="B38" s="245">
        <f>YEAR(Table13[[#This Row],[Date]])+IF(MONTH(Table13[[#This Row],[Date]])&gt;=4,1,0)</f>
        <v>2026</v>
      </c>
      <c r="C38" s="246">
        <f>YEAR(Table13[[#This Row],[Date]])</f>
        <v>2025</v>
      </c>
      <c r="D38" s="247">
        <f>Table13[[#This Row],[Date]]-DAY(Table13[[#This Row],[Date]])+1</f>
        <v>45778</v>
      </c>
      <c r="E38" s="10">
        <v>465.2</v>
      </c>
      <c r="F38" s="10">
        <v>375.3</v>
      </c>
      <c r="G38" s="10">
        <v>1250.8</v>
      </c>
      <c r="H38" s="10">
        <v>1548.8</v>
      </c>
      <c r="I38" s="10">
        <v>709.8</v>
      </c>
      <c r="J38" s="10">
        <v>1316.2</v>
      </c>
      <c r="K38" s="10">
        <v>1031.9000000000001</v>
      </c>
      <c r="L38" s="10">
        <v>989.2</v>
      </c>
      <c r="M38" s="10">
        <v>762.7</v>
      </c>
      <c r="N38" s="10">
        <v>957.6</v>
      </c>
      <c r="O38" s="10">
        <v>1224.7</v>
      </c>
      <c r="P38" s="10">
        <v>1436.3</v>
      </c>
      <c r="Q38" s="10">
        <v>1044</v>
      </c>
      <c r="R38" s="10">
        <v>1029.5999999999999</v>
      </c>
      <c r="S38" s="10">
        <v>499.4</v>
      </c>
      <c r="T38" s="10">
        <v>447.1</v>
      </c>
      <c r="U38" s="10">
        <v>548.20000000000005</v>
      </c>
      <c r="V38" s="10">
        <v>523.6</v>
      </c>
      <c r="W38" s="10">
        <v>749</v>
      </c>
      <c r="X38" s="10">
        <v>1288.5999999999999</v>
      </c>
      <c r="Y38" s="10">
        <v>781.4</v>
      </c>
      <c r="Z38" s="10">
        <v>548.70000000000005</v>
      </c>
      <c r="AA38" s="10">
        <v>483.6</v>
      </c>
      <c r="AB38" s="10">
        <f t="shared" si="3"/>
        <v>20011.7</v>
      </c>
      <c r="AD38" s="329"/>
    </row>
    <row r="39" spans="1:30">
      <c r="A39" s="251">
        <f t="shared" si="4"/>
        <v>45781</v>
      </c>
      <c r="B39" s="248">
        <f>YEAR(Table13[[#This Row],[Date]])+IF(MONTH(Table13[[#This Row],[Date]])&gt;=4,1,0)</f>
        <v>2026</v>
      </c>
      <c r="C39" s="249">
        <f>YEAR(Table13[[#This Row],[Date]])</f>
        <v>2025</v>
      </c>
      <c r="D39" s="250">
        <f>Table13[[#This Row],[Date]]-DAY(Table13[[#This Row],[Date]])+1</f>
        <v>45778</v>
      </c>
      <c r="E39" s="10">
        <v>4672.1000000000004</v>
      </c>
      <c r="F39" s="10">
        <v>3060.6</v>
      </c>
      <c r="G39" s="10">
        <v>4032.3</v>
      </c>
      <c r="H39" s="10">
        <v>3158.3</v>
      </c>
      <c r="I39" s="10">
        <v>3045.5</v>
      </c>
      <c r="J39" s="10">
        <v>4134.3</v>
      </c>
      <c r="K39" s="10">
        <v>3769.7</v>
      </c>
      <c r="L39" s="10">
        <v>4429</v>
      </c>
      <c r="M39" s="10">
        <v>4044.3</v>
      </c>
      <c r="N39" s="10">
        <v>4130</v>
      </c>
      <c r="O39" s="10">
        <v>4180.2</v>
      </c>
      <c r="P39" s="10">
        <v>4328.6000000000004</v>
      </c>
      <c r="Q39" s="10">
        <v>4165.3999999999996</v>
      </c>
      <c r="R39" s="10">
        <v>3632.5</v>
      </c>
      <c r="S39" s="10">
        <v>4329.6000000000004</v>
      </c>
      <c r="T39" s="10">
        <v>2838.1</v>
      </c>
      <c r="U39" s="10">
        <v>3277.8</v>
      </c>
      <c r="V39" s="10">
        <v>2900.7</v>
      </c>
      <c r="W39" s="10">
        <v>3914.7</v>
      </c>
      <c r="X39" s="10">
        <v>3288.6</v>
      </c>
      <c r="Y39" s="10">
        <v>3037.4</v>
      </c>
      <c r="Z39" s="10">
        <v>3019.7</v>
      </c>
      <c r="AA39" s="10">
        <v>2497.4</v>
      </c>
      <c r="AB39" s="10">
        <f t="shared" si="3"/>
        <v>83886.799999999988</v>
      </c>
    </row>
    <row r="40" spans="1:30">
      <c r="A40" s="42">
        <f t="shared" si="4"/>
        <v>45782</v>
      </c>
      <c r="B40" s="245">
        <f>YEAR(Table13[[#This Row],[Date]])+IF(MONTH(Table13[[#This Row],[Date]])&gt;=4,1,0)</f>
        <v>2026</v>
      </c>
      <c r="C40" s="246">
        <f>YEAR(Table13[[#This Row],[Date]])</f>
        <v>2025</v>
      </c>
      <c r="D40" s="247">
        <f>Table13[[#This Row],[Date]]-DAY(Table13[[#This Row],[Date]])+1</f>
        <v>45778</v>
      </c>
      <c r="E40" s="10">
        <v>347.7</v>
      </c>
      <c r="F40" s="10">
        <v>460.5</v>
      </c>
      <c r="G40" s="10">
        <v>1101.7</v>
      </c>
      <c r="H40" s="10">
        <v>438.2</v>
      </c>
      <c r="I40" s="10">
        <v>78.2</v>
      </c>
      <c r="J40" s="10">
        <v>590.79999999999995</v>
      </c>
      <c r="K40" s="10">
        <v>610</v>
      </c>
      <c r="L40" s="10">
        <v>453.3</v>
      </c>
      <c r="M40" s="10">
        <v>165.4</v>
      </c>
      <c r="N40" s="10">
        <v>813.4</v>
      </c>
      <c r="O40" s="10">
        <v>473.1</v>
      </c>
      <c r="P40" s="10">
        <v>417.9</v>
      </c>
      <c r="Q40" s="10">
        <v>129.69999999999999</v>
      </c>
      <c r="R40" s="10">
        <v>468.4</v>
      </c>
      <c r="S40" s="10">
        <v>1.7</v>
      </c>
      <c r="T40" s="10">
        <v>271.89999999999998</v>
      </c>
      <c r="U40" s="10">
        <v>1</v>
      </c>
      <c r="V40" s="10">
        <v>299.8</v>
      </c>
      <c r="W40" s="10">
        <v>331.4</v>
      </c>
      <c r="X40" s="10">
        <v>2615.6999999999998</v>
      </c>
      <c r="Y40" s="10">
        <v>444.5</v>
      </c>
      <c r="Z40" s="10">
        <v>75.8</v>
      </c>
      <c r="AA40" s="10">
        <v>275.8</v>
      </c>
      <c r="AB40" s="10">
        <f t="shared" si="3"/>
        <v>10865.899999999996</v>
      </c>
    </row>
    <row r="41" spans="1:30">
      <c r="A41" s="251">
        <f t="shared" si="4"/>
        <v>45783</v>
      </c>
      <c r="B41" s="248">
        <f>YEAR(Table13[[#This Row],[Date]])+IF(MONTH(Table13[[#This Row],[Date]])&gt;=4,1,0)</f>
        <v>2026</v>
      </c>
      <c r="C41" s="249">
        <f>YEAR(Table13[[#This Row],[Date]])</f>
        <v>2025</v>
      </c>
      <c r="D41" s="250">
        <f>Table13[[#This Row],[Date]]-DAY(Table13[[#This Row],[Date]])+1</f>
        <v>45778</v>
      </c>
      <c r="E41" s="10">
        <v>763.5</v>
      </c>
      <c r="F41" s="10">
        <v>223.1</v>
      </c>
      <c r="G41" s="10">
        <v>2403.8000000000002</v>
      </c>
      <c r="H41" s="10">
        <v>1246.7</v>
      </c>
      <c r="I41" s="10">
        <v>601.6</v>
      </c>
      <c r="J41" s="10">
        <v>1329.1</v>
      </c>
      <c r="K41" s="10">
        <v>1415.6</v>
      </c>
      <c r="L41" s="10">
        <v>2082.1</v>
      </c>
      <c r="M41" s="10">
        <v>402</v>
      </c>
      <c r="N41" s="10">
        <v>1786</v>
      </c>
      <c r="O41" s="10">
        <v>1596.9</v>
      </c>
      <c r="P41" s="10">
        <v>1582.3</v>
      </c>
      <c r="Q41" s="10">
        <v>1030.2</v>
      </c>
      <c r="R41" s="10">
        <v>1079.9000000000001</v>
      </c>
      <c r="S41" s="10">
        <v>216.6</v>
      </c>
      <c r="T41" s="10">
        <v>558.1</v>
      </c>
      <c r="U41" s="10">
        <v>159.6</v>
      </c>
      <c r="V41" s="10">
        <v>3398</v>
      </c>
      <c r="W41" s="10">
        <v>510.9</v>
      </c>
      <c r="X41" s="10">
        <v>873.4</v>
      </c>
      <c r="Y41" s="10">
        <v>322</v>
      </c>
      <c r="Z41" s="10">
        <v>44</v>
      </c>
      <c r="AA41" s="10">
        <v>121.3</v>
      </c>
      <c r="AB41" s="10">
        <f t="shared" si="3"/>
        <v>23746.7</v>
      </c>
    </row>
    <row r="42" spans="1:30">
      <c r="A42" s="42">
        <f t="shared" si="4"/>
        <v>45784</v>
      </c>
      <c r="B42" s="245">
        <f>YEAR(Table13[[#This Row],[Date]])+IF(MONTH(Table13[[#This Row],[Date]])&gt;=4,1,0)</f>
        <v>2026</v>
      </c>
      <c r="C42" s="246">
        <f>YEAR(Table13[[#This Row],[Date]])</f>
        <v>2025</v>
      </c>
      <c r="D42" s="247">
        <f>Table13[[#This Row],[Date]]-DAY(Table13[[#This Row],[Date]])+1</f>
        <v>45778</v>
      </c>
      <c r="E42" s="10">
        <v>321.5</v>
      </c>
      <c r="F42" s="10">
        <v>132.1</v>
      </c>
      <c r="G42" s="10">
        <v>57</v>
      </c>
      <c r="H42" s="10">
        <v>602.20000000000005</v>
      </c>
      <c r="I42" s="10">
        <v>339.2</v>
      </c>
      <c r="J42" s="10">
        <v>159.69999999999999</v>
      </c>
      <c r="K42" s="10">
        <v>214.2</v>
      </c>
      <c r="L42" s="10">
        <v>242.9</v>
      </c>
      <c r="M42" s="10">
        <v>660</v>
      </c>
      <c r="N42" s="10">
        <v>1394.2</v>
      </c>
      <c r="O42" s="10">
        <v>327.10000000000002</v>
      </c>
      <c r="P42" s="10">
        <v>325.3</v>
      </c>
      <c r="Q42" s="10">
        <v>432.6</v>
      </c>
      <c r="R42" s="10">
        <v>345.7</v>
      </c>
      <c r="S42" s="10">
        <v>524.29999999999995</v>
      </c>
      <c r="T42" s="10">
        <v>328.7</v>
      </c>
      <c r="U42" s="10">
        <v>282.10000000000002</v>
      </c>
      <c r="V42" s="10">
        <v>399.1</v>
      </c>
      <c r="W42" s="10">
        <v>343</v>
      </c>
      <c r="X42" s="10">
        <v>331.2</v>
      </c>
      <c r="Y42" s="10">
        <v>208</v>
      </c>
      <c r="Z42" s="10">
        <v>467</v>
      </c>
      <c r="AA42" s="10">
        <v>229.6</v>
      </c>
      <c r="AB42" s="10">
        <f t="shared" si="3"/>
        <v>8666.7000000000025</v>
      </c>
    </row>
    <row r="43" spans="1:30">
      <c r="A43" s="251">
        <f t="shared" si="4"/>
        <v>45785</v>
      </c>
      <c r="B43" s="248">
        <f>YEAR(Table13[[#This Row],[Date]])+IF(MONTH(Table13[[#This Row],[Date]])&gt;=4,1,0)</f>
        <v>2026</v>
      </c>
      <c r="C43" s="249">
        <f>YEAR(Table13[[#This Row],[Date]])</f>
        <v>2025</v>
      </c>
      <c r="D43" s="250">
        <f>Table13[[#This Row],[Date]]-DAY(Table13[[#This Row],[Date]])+1</f>
        <v>45778</v>
      </c>
      <c r="E43" s="10">
        <v>3538.6</v>
      </c>
      <c r="F43" s="10">
        <v>3436.6</v>
      </c>
      <c r="G43" s="10">
        <v>0</v>
      </c>
      <c r="H43" s="10">
        <v>3605.5</v>
      </c>
      <c r="I43" s="10">
        <v>3350.8</v>
      </c>
      <c r="J43" s="10">
        <v>3113.1</v>
      </c>
      <c r="K43" s="10">
        <v>2967.2</v>
      </c>
      <c r="L43" s="10">
        <v>2915.1</v>
      </c>
      <c r="M43" s="10">
        <v>3487.4</v>
      </c>
      <c r="N43" s="10">
        <v>42.4</v>
      </c>
      <c r="O43" s="10">
        <v>2841.2</v>
      </c>
      <c r="P43" s="10">
        <v>3102</v>
      </c>
      <c r="Q43" s="10">
        <v>3394.6</v>
      </c>
      <c r="R43" s="10">
        <v>3210.1</v>
      </c>
      <c r="S43" s="10">
        <v>3777.8</v>
      </c>
      <c r="T43" s="10">
        <v>3547.6</v>
      </c>
      <c r="U43" s="10">
        <v>3592.6</v>
      </c>
      <c r="V43" s="10">
        <v>3637.8</v>
      </c>
      <c r="W43" s="10">
        <v>3460.5</v>
      </c>
      <c r="X43" s="10">
        <v>3441.6</v>
      </c>
      <c r="Y43" s="10">
        <v>3418.4</v>
      </c>
      <c r="Z43" s="10">
        <v>3452.7</v>
      </c>
      <c r="AA43" s="10">
        <v>3620.2</v>
      </c>
      <c r="AB43" s="10">
        <f t="shared" si="3"/>
        <v>70953.8</v>
      </c>
    </row>
    <row r="44" spans="1:30">
      <c r="A44" s="42">
        <f t="shared" si="4"/>
        <v>45786</v>
      </c>
      <c r="B44" s="245">
        <f>YEAR(Table13[[#This Row],[Date]])+IF(MONTH(Table13[[#This Row],[Date]])&gt;=4,1,0)</f>
        <v>2026</v>
      </c>
      <c r="C44" s="246">
        <f>YEAR(Table13[[#This Row],[Date]])</f>
        <v>2025</v>
      </c>
      <c r="D44" s="247">
        <f>Table13[[#This Row],[Date]]-DAY(Table13[[#This Row],[Date]])+1</f>
        <v>45778</v>
      </c>
      <c r="E44" s="10">
        <v>1758.5</v>
      </c>
      <c r="F44" s="10">
        <v>1667.8</v>
      </c>
      <c r="G44" s="10">
        <v>1088.8</v>
      </c>
      <c r="H44" s="10">
        <v>1244.5999999999999</v>
      </c>
      <c r="I44" s="10">
        <v>1300.3</v>
      </c>
      <c r="J44" s="10">
        <v>1405.5</v>
      </c>
      <c r="K44" s="10">
        <v>1313</v>
      </c>
      <c r="L44" s="10">
        <v>1620.2</v>
      </c>
      <c r="M44" s="10">
        <v>1496.1</v>
      </c>
      <c r="N44" s="10">
        <v>1547.9</v>
      </c>
      <c r="O44" s="10">
        <v>1202.9000000000001</v>
      </c>
      <c r="P44" s="10">
        <v>1557.7</v>
      </c>
      <c r="Q44" s="10">
        <v>1384.6</v>
      </c>
      <c r="R44" s="10">
        <v>1391.5</v>
      </c>
      <c r="S44" s="10">
        <v>340.7</v>
      </c>
      <c r="T44" s="10">
        <v>1654.9</v>
      </c>
      <c r="U44" s="10">
        <v>1517.2</v>
      </c>
      <c r="V44" s="10">
        <v>36.799999999999997</v>
      </c>
      <c r="W44" s="10">
        <v>1580.5</v>
      </c>
      <c r="X44" s="10">
        <v>1114</v>
      </c>
      <c r="Y44" s="10">
        <v>1333.2</v>
      </c>
      <c r="Z44" s="10">
        <v>1360.4</v>
      </c>
      <c r="AA44" s="10">
        <v>1183.4000000000001</v>
      </c>
      <c r="AB44" s="10">
        <f t="shared" si="3"/>
        <v>30100.500000000004</v>
      </c>
    </row>
    <row r="45" spans="1:30">
      <c r="A45" s="251">
        <f t="shared" si="4"/>
        <v>45787</v>
      </c>
      <c r="B45" s="248">
        <f>YEAR(Table13[[#This Row],[Date]])+IF(MONTH(Table13[[#This Row],[Date]])&gt;=4,1,0)</f>
        <v>2026</v>
      </c>
      <c r="C45" s="249">
        <f>YEAR(Table13[[#This Row],[Date]])</f>
        <v>2025</v>
      </c>
      <c r="D45" s="250">
        <f>Table13[[#This Row],[Date]]-DAY(Table13[[#This Row],[Date]])+1</f>
        <v>45778</v>
      </c>
      <c r="E45" s="10">
        <v>89.4</v>
      </c>
      <c r="F45" s="10">
        <v>1554.3</v>
      </c>
      <c r="G45" s="10">
        <v>1486.5</v>
      </c>
      <c r="H45" s="10">
        <v>1505.7</v>
      </c>
      <c r="I45" s="10">
        <v>1828</v>
      </c>
      <c r="J45" s="10">
        <v>1778.4</v>
      </c>
      <c r="K45" s="10">
        <v>1771.7</v>
      </c>
      <c r="L45" s="10">
        <v>1396.4</v>
      </c>
      <c r="M45" s="10">
        <v>1942.6</v>
      </c>
      <c r="N45" s="10">
        <v>1747.6</v>
      </c>
      <c r="O45" s="10">
        <v>1686.1</v>
      </c>
      <c r="P45" s="10">
        <v>1538.1</v>
      </c>
      <c r="Q45" s="10">
        <v>1655.8</v>
      </c>
      <c r="R45" s="10">
        <v>1869.9</v>
      </c>
      <c r="S45" s="10">
        <v>1597.7</v>
      </c>
      <c r="T45" s="10">
        <v>1481.5</v>
      </c>
      <c r="U45" s="10">
        <v>1552.3</v>
      </c>
      <c r="V45" s="10">
        <v>1668</v>
      </c>
      <c r="W45" s="10">
        <v>2003.2</v>
      </c>
      <c r="X45" s="10">
        <v>1648.3</v>
      </c>
      <c r="Y45" s="10">
        <v>392.2</v>
      </c>
      <c r="Z45" s="10">
        <v>1678.9</v>
      </c>
      <c r="AA45" s="10">
        <v>1621.5</v>
      </c>
      <c r="AB45" s="10">
        <f t="shared" si="3"/>
        <v>35494.1</v>
      </c>
    </row>
    <row r="46" spans="1:30">
      <c r="A46" s="42">
        <f t="shared" si="4"/>
        <v>45788</v>
      </c>
      <c r="B46" s="245">
        <f>YEAR(Table13[[#This Row],[Date]])+IF(MONTH(Table13[[#This Row],[Date]])&gt;=4,1,0)</f>
        <v>2026</v>
      </c>
      <c r="C46" s="246">
        <f>YEAR(Table13[[#This Row],[Date]])</f>
        <v>2025</v>
      </c>
      <c r="D46" s="247">
        <f>Table13[[#This Row],[Date]]-DAY(Table13[[#This Row],[Date]])+1</f>
        <v>45778</v>
      </c>
      <c r="E46" s="10">
        <v>2162.1</v>
      </c>
      <c r="F46" s="10">
        <v>2101.8000000000002</v>
      </c>
      <c r="G46" s="10">
        <v>1599.6</v>
      </c>
      <c r="H46" s="10">
        <v>2083.4</v>
      </c>
      <c r="I46" s="10">
        <v>2932</v>
      </c>
      <c r="J46" s="10">
        <v>1527.5</v>
      </c>
      <c r="K46" s="10">
        <v>1387.5</v>
      </c>
      <c r="L46" s="10">
        <v>1791.1</v>
      </c>
      <c r="M46" s="10">
        <v>2057.9</v>
      </c>
      <c r="N46" s="10">
        <v>1684</v>
      </c>
      <c r="O46" s="10">
        <v>380.2</v>
      </c>
      <c r="P46" s="10">
        <v>2129.1</v>
      </c>
      <c r="Q46" s="10">
        <v>1468.1</v>
      </c>
      <c r="R46" s="10">
        <v>644.5</v>
      </c>
      <c r="S46" s="10">
        <v>1995.3</v>
      </c>
      <c r="T46" s="10">
        <v>2512.3000000000002</v>
      </c>
      <c r="U46" s="10">
        <v>1896.1</v>
      </c>
      <c r="V46" s="10">
        <v>2390</v>
      </c>
      <c r="W46" s="10">
        <v>2597</v>
      </c>
      <c r="X46" s="10">
        <v>1734.5</v>
      </c>
      <c r="Y46" s="10">
        <v>2230.4</v>
      </c>
      <c r="Z46" s="10">
        <v>2371.5</v>
      </c>
      <c r="AA46" s="10">
        <v>2088.9</v>
      </c>
      <c r="AB46" s="10">
        <f t="shared" si="3"/>
        <v>43764.800000000003</v>
      </c>
    </row>
    <row r="47" spans="1:30">
      <c r="A47" s="251">
        <f t="shared" si="4"/>
        <v>45789</v>
      </c>
      <c r="B47" s="248">
        <f>YEAR(Table13[[#This Row],[Date]])+IF(MONTH(Table13[[#This Row],[Date]])&gt;=4,1,0)</f>
        <v>2026</v>
      </c>
      <c r="C47" s="249">
        <f>YEAR(Table13[[#This Row],[Date]])</f>
        <v>2025</v>
      </c>
      <c r="D47" s="250">
        <f>Table13[[#This Row],[Date]]-DAY(Table13[[#This Row],[Date]])+1</f>
        <v>45778</v>
      </c>
      <c r="E47" s="10">
        <v>2913.2</v>
      </c>
      <c r="F47" s="10">
        <v>3105.7</v>
      </c>
      <c r="G47" s="10">
        <v>2690.5</v>
      </c>
      <c r="H47" s="10">
        <v>2926.3</v>
      </c>
      <c r="I47" s="10">
        <v>3055.9</v>
      </c>
      <c r="J47" s="10">
        <v>2898.2</v>
      </c>
      <c r="K47" s="10">
        <v>2810.1</v>
      </c>
      <c r="L47" s="10">
        <v>2646.9</v>
      </c>
      <c r="M47" s="10">
        <v>3211.4</v>
      </c>
      <c r="N47" s="10">
        <v>2520.9</v>
      </c>
      <c r="O47" s="10">
        <v>3077.5</v>
      </c>
      <c r="P47" s="10">
        <v>3448.7</v>
      </c>
      <c r="Q47" s="10">
        <v>3206</v>
      </c>
      <c r="R47" s="10">
        <v>3010.7</v>
      </c>
      <c r="S47" s="10">
        <v>3004.2</v>
      </c>
      <c r="T47" s="10">
        <v>890.8</v>
      </c>
      <c r="U47" s="10">
        <v>2874.1</v>
      </c>
      <c r="V47" s="10">
        <v>3184.8</v>
      </c>
      <c r="W47" s="10">
        <v>3084.3</v>
      </c>
      <c r="X47" s="10">
        <v>3172.3</v>
      </c>
      <c r="Y47" s="10">
        <v>2983.7</v>
      </c>
      <c r="Z47" s="10">
        <v>3154.4</v>
      </c>
      <c r="AA47" s="10">
        <v>3242.9</v>
      </c>
      <c r="AB47" s="10">
        <f t="shared" si="3"/>
        <v>67113.5</v>
      </c>
    </row>
    <row r="48" spans="1:30">
      <c r="A48" s="42">
        <f t="shared" si="4"/>
        <v>45790</v>
      </c>
      <c r="B48" s="245">
        <f>YEAR(Table13[[#This Row],[Date]])+IF(MONTH(Table13[[#This Row],[Date]])&gt;=4,1,0)</f>
        <v>2026</v>
      </c>
      <c r="C48" s="246">
        <f>YEAR(Table13[[#This Row],[Date]])</f>
        <v>2025</v>
      </c>
      <c r="D48" s="247">
        <f>Table13[[#This Row],[Date]]-DAY(Table13[[#This Row],[Date]])+1</f>
        <v>45778</v>
      </c>
      <c r="E48" s="10">
        <v>6129.6</v>
      </c>
      <c r="F48" s="10">
        <v>2178.3000000000002</v>
      </c>
      <c r="G48" s="10">
        <v>4920.7</v>
      </c>
      <c r="H48" s="10">
        <v>2235.1</v>
      </c>
      <c r="I48" s="10">
        <v>1905.6</v>
      </c>
      <c r="J48" s="10">
        <v>2417.5</v>
      </c>
      <c r="K48" s="10">
        <v>2443.4</v>
      </c>
      <c r="L48" s="10">
        <v>4599</v>
      </c>
      <c r="M48" s="10">
        <v>2199.9</v>
      </c>
      <c r="N48" s="10">
        <v>4895.2</v>
      </c>
      <c r="O48" s="10">
        <v>4535.8</v>
      </c>
      <c r="P48" s="10">
        <v>5590.2</v>
      </c>
      <c r="Q48" s="10">
        <v>5631</v>
      </c>
      <c r="R48" s="10">
        <v>5169.3999999999996</v>
      </c>
      <c r="S48" s="10">
        <v>6077.9</v>
      </c>
      <c r="T48" s="10">
        <v>2228.6999999999998</v>
      </c>
      <c r="U48" s="10">
        <v>2384.9</v>
      </c>
      <c r="V48" s="10">
        <v>1960.7</v>
      </c>
      <c r="W48" s="10">
        <v>5112.3</v>
      </c>
      <c r="X48" s="10">
        <v>4821.1000000000004</v>
      </c>
      <c r="Y48" s="10">
        <v>2146.6</v>
      </c>
      <c r="Z48" s="10">
        <v>2032.9</v>
      </c>
      <c r="AA48" s="10">
        <v>2085</v>
      </c>
      <c r="AB48" s="10">
        <f t="shared" si="3"/>
        <v>83700.800000000003</v>
      </c>
    </row>
    <row r="49" spans="1:28">
      <c r="A49" s="251">
        <f t="shared" si="4"/>
        <v>45791</v>
      </c>
      <c r="B49" s="248">
        <f>YEAR(Table13[[#This Row],[Date]])+IF(MONTH(Table13[[#This Row],[Date]])&gt;=4,1,0)</f>
        <v>2026</v>
      </c>
      <c r="C49" s="249">
        <f>YEAR(Table13[[#This Row],[Date]])</f>
        <v>2025</v>
      </c>
      <c r="D49" s="250">
        <f>Table13[[#This Row],[Date]]-DAY(Table13[[#This Row],[Date]])+1</f>
        <v>45778</v>
      </c>
      <c r="E49" s="10">
        <v>358.9</v>
      </c>
      <c r="F49" s="10">
        <v>337.5</v>
      </c>
      <c r="G49" s="10">
        <v>1182.4000000000001</v>
      </c>
      <c r="H49" s="10">
        <v>184.7</v>
      </c>
      <c r="I49" s="10">
        <v>317.3</v>
      </c>
      <c r="J49" s="10">
        <v>300.10000000000002</v>
      </c>
      <c r="K49" s="10">
        <v>765.1</v>
      </c>
      <c r="L49" s="10">
        <v>579.70000000000005</v>
      </c>
      <c r="M49" s="10">
        <v>132.4</v>
      </c>
      <c r="N49" s="10">
        <v>266.10000000000002</v>
      </c>
      <c r="O49" s="10">
        <v>39.299999999999997</v>
      </c>
      <c r="P49" s="10">
        <v>77.099999999999994</v>
      </c>
      <c r="Q49" s="10">
        <v>59.2</v>
      </c>
      <c r="R49" s="10">
        <v>227.7</v>
      </c>
      <c r="S49" s="10">
        <v>304.2</v>
      </c>
      <c r="T49" s="10">
        <v>271.39999999999998</v>
      </c>
      <c r="U49" s="10">
        <v>735.2</v>
      </c>
      <c r="V49" s="10">
        <v>371.3</v>
      </c>
      <c r="W49" s="10">
        <v>885.5</v>
      </c>
      <c r="X49" s="10">
        <v>371.8</v>
      </c>
      <c r="Y49" s="10">
        <v>271.7</v>
      </c>
      <c r="Z49" s="10">
        <v>298.5</v>
      </c>
      <c r="AA49" s="10">
        <v>100.7</v>
      </c>
      <c r="AB49" s="10">
        <f t="shared" si="3"/>
        <v>8437.7999999999993</v>
      </c>
    </row>
    <row r="50" spans="1:28">
      <c r="A50" s="42">
        <f t="shared" si="4"/>
        <v>45792</v>
      </c>
      <c r="B50" s="245">
        <f>YEAR(Table13[[#This Row],[Date]])+IF(MONTH(Table13[[#This Row],[Date]])&gt;=4,1,0)</f>
        <v>2026</v>
      </c>
      <c r="C50" s="246">
        <f>YEAR(Table13[[#This Row],[Date]])</f>
        <v>2025</v>
      </c>
      <c r="D50" s="247">
        <f>Table13[[#This Row],[Date]]-DAY(Table13[[#This Row],[Date]])+1</f>
        <v>45778</v>
      </c>
      <c r="E50" s="10">
        <v>4334.3999999999996</v>
      </c>
      <c r="F50" s="10">
        <v>4106</v>
      </c>
      <c r="G50" s="10">
        <v>4518.8999999999996</v>
      </c>
      <c r="H50" s="10">
        <v>3680.3</v>
      </c>
      <c r="I50" s="10">
        <v>4100.3</v>
      </c>
      <c r="J50" s="10">
        <v>4096</v>
      </c>
      <c r="K50" s="10">
        <v>4293.8999999999996</v>
      </c>
      <c r="L50" s="10">
        <v>4179.3999999999996</v>
      </c>
      <c r="M50" s="10">
        <v>3958.4</v>
      </c>
      <c r="N50" s="10">
        <v>4346.2</v>
      </c>
      <c r="O50" s="10">
        <v>4234.7</v>
      </c>
      <c r="P50" s="10">
        <v>4138.8</v>
      </c>
      <c r="Q50" s="10">
        <v>4053</v>
      </c>
      <c r="R50" s="10">
        <v>3960.2</v>
      </c>
      <c r="S50" s="10">
        <v>4559.1000000000004</v>
      </c>
      <c r="T50" s="10">
        <v>4434.3</v>
      </c>
      <c r="U50" s="10">
        <v>4519.6000000000004</v>
      </c>
      <c r="V50" s="10">
        <v>4160</v>
      </c>
      <c r="W50" s="10">
        <v>4054.4</v>
      </c>
      <c r="X50" s="10">
        <v>4793.3</v>
      </c>
      <c r="Y50" s="10">
        <v>3820.5</v>
      </c>
      <c r="Z50" s="10">
        <v>4061.6</v>
      </c>
      <c r="AA50" s="10">
        <v>3982.9</v>
      </c>
      <c r="AB50" s="10">
        <f t="shared" si="3"/>
        <v>96386.2</v>
      </c>
    </row>
    <row r="51" spans="1:28">
      <c r="A51" s="251">
        <f t="shared" si="4"/>
        <v>45793</v>
      </c>
      <c r="B51" s="248">
        <f>YEAR(Table13[[#This Row],[Date]])+IF(MONTH(Table13[[#This Row],[Date]])&gt;=4,1,0)</f>
        <v>2026</v>
      </c>
      <c r="C51" s="249">
        <f>YEAR(Table13[[#This Row],[Date]])</f>
        <v>2025</v>
      </c>
      <c r="D51" s="250">
        <f>Table13[[#This Row],[Date]]-DAY(Table13[[#This Row],[Date]])+1</f>
        <v>45778</v>
      </c>
      <c r="E51" s="10">
        <v>8286.6</v>
      </c>
      <c r="F51" s="10">
        <v>6224.6</v>
      </c>
      <c r="G51" s="10">
        <v>6000.1</v>
      </c>
      <c r="H51" s="10">
        <v>5316.6</v>
      </c>
      <c r="I51" s="10">
        <v>5529.6</v>
      </c>
      <c r="J51" s="10">
        <v>5981.4</v>
      </c>
      <c r="K51" s="10">
        <v>5344.8</v>
      </c>
      <c r="L51" s="10">
        <v>5811.5</v>
      </c>
      <c r="M51" s="10">
        <v>5448.4</v>
      </c>
      <c r="N51" s="10">
        <v>6144</v>
      </c>
      <c r="O51" s="10">
        <v>5149.3999999999996</v>
      </c>
      <c r="P51" s="10">
        <v>5901.2</v>
      </c>
      <c r="Q51" s="10">
        <v>5731.3</v>
      </c>
      <c r="R51" s="10">
        <v>5624.1</v>
      </c>
      <c r="S51" s="10">
        <v>8697.7000000000007</v>
      </c>
      <c r="T51" s="10">
        <v>6776.6</v>
      </c>
      <c r="U51" s="10">
        <v>6798.1</v>
      </c>
      <c r="V51" s="10">
        <v>5908.3</v>
      </c>
      <c r="W51" s="10">
        <v>5586</v>
      </c>
      <c r="X51" s="10">
        <v>5533.5</v>
      </c>
      <c r="Y51" s="10">
        <v>6777.2</v>
      </c>
      <c r="Z51" s="10">
        <v>5824.4</v>
      </c>
      <c r="AA51" s="10">
        <v>6026.2</v>
      </c>
      <c r="AB51" s="10">
        <f t="shared" si="3"/>
        <v>140421.60000000003</v>
      </c>
    </row>
    <row r="52" spans="1:28">
      <c r="A52" s="42">
        <f t="shared" si="4"/>
        <v>45794</v>
      </c>
      <c r="B52" s="245">
        <f>YEAR(Table13[[#This Row],[Date]])+IF(MONTH(Table13[[#This Row],[Date]])&gt;=4,1,0)</f>
        <v>2026</v>
      </c>
      <c r="C52" s="246">
        <f>YEAR(Table13[[#This Row],[Date]])</f>
        <v>2025</v>
      </c>
      <c r="D52" s="247">
        <f>Table13[[#This Row],[Date]]-DAY(Table13[[#This Row],[Date]])+1</f>
        <v>45778</v>
      </c>
      <c r="E52" s="10">
        <v>4930.8</v>
      </c>
      <c r="F52" s="10">
        <v>4753.3</v>
      </c>
      <c r="G52" s="10">
        <v>4569.5</v>
      </c>
      <c r="H52" s="10">
        <v>3980</v>
      </c>
      <c r="I52" s="10">
        <v>4529.6000000000004</v>
      </c>
      <c r="J52" s="10">
        <v>3705.3</v>
      </c>
      <c r="K52" s="10">
        <v>4725.8</v>
      </c>
      <c r="L52" s="10">
        <v>4757.3</v>
      </c>
      <c r="M52" s="10">
        <v>3776.6</v>
      </c>
      <c r="N52" s="10">
        <v>4767.7</v>
      </c>
      <c r="O52" s="10">
        <v>4440.3999999999996</v>
      </c>
      <c r="P52" s="10">
        <v>4102.1000000000004</v>
      </c>
      <c r="Q52" s="10">
        <v>4303.8999999999996</v>
      </c>
      <c r="R52" s="10">
        <v>4386.2</v>
      </c>
      <c r="S52" s="10">
        <v>5536.7</v>
      </c>
      <c r="T52" s="10">
        <v>4914.6000000000004</v>
      </c>
      <c r="U52" s="10">
        <v>5463.4</v>
      </c>
      <c r="V52" s="10">
        <v>4823.3999999999996</v>
      </c>
      <c r="W52" s="10">
        <v>4540.8999999999996</v>
      </c>
      <c r="X52" s="10">
        <v>4112.8</v>
      </c>
      <c r="Y52" s="10">
        <v>4802.8</v>
      </c>
      <c r="Z52" s="10">
        <v>4306.7</v>
      </c>
      <c r="AA52" s="10">
        <v>6424.6</v>
      </c>
      <c r="AB52" s="10">
        <f t="shared" si="3"/>
        <v>106654.39999999999</v>
      </c>
    </row>
    <row r="53" spans="1:28">
      <c r="A53" s="251">
        <f t="shared" si="4"/>
        <v>45795</v>
      </c>
      <c r="B53" s="248">
        <f>YEAR(Table13[[#This Row],[Date]])+IF(MONTH(Table13[[#This Row],[Date]])&gt;=4,1,0)</f>
        <v>2026</v>
      </c>
      <c r="C53" s="249">
        <f>YEAR(Table13[[#This Row],[Date]])</f>
        <v>2025</v>
      </c>
      <c r="D53" s="250">
        <f>Table13[[#This Row],[Date]]-DAY(Table13[[#This Row],[Date]])+1</f>
        <v>45778</v>
      </c>
      <c r="E53" s="10">
        <v>6410.8</v>
      </c>
      <c r="F53" s="10">
        <v>1989.2</v>
      </c>
      <c r="G53" s="10">
        <v>4659</v>
      </c>
      <c r="H53" s="10">
        <v>1070.9000000000001</v>
      </c>
      <c r="I53" s="10">
        <v>1823.7</v>
      </c>
      <c r="J53" s="10">
        <v>1421.7</v>
      </c>
      <c r="K53" s="10">
        <v>1434.2</v>
      </c>
      <c r="L53" s="10">
        <v>5284</v>
      </c>
      <c r="M53" s="10">
        <v>1948.1</v>
      </c>
      <c r="N53" s="10">
        <v>4610.2</v>
      </c>
      <c r="O53" s="10">
        <v>4869.3</v>
      </c>
      <c r="P53" s="10">
        <v>4835.3</v>
      </c>
      <c r="Q53" s="10">
        <v>5265.5</v>
      </c>
      <c r="R53" s="10">
        <v>4824.5</v>
      </c>
      <c r="S53" s="10">
        <v>6154.2</v>
      </c>
      <c r="T53" s="10">
        <v>2378.6</v>
      </c>
      <c r="U53" s="10">
        <v>2108.4</v>
      </c>
      <c r="V53" s="10">
        <v>2181.4</v>
      </c>
      <c r="W53" s="10">
        <v>6899.5</v>
      </c>
      <c r="X53" s="10">
        <v>4590.3</v>
      </c>
      <c r="Y53" s="10">
        <v>2459.6999999999998</v>
      </c>
      <c r="Z53" s="10">
        <v>2338.9</v>
      </c>
      <c r="AA53" s="10">
        <v>2006.7</v>
      </c>
      <c r="AB53" s="10">
        <f t="shared" si="3"/>
        <v>81564.099999999991</v>
      </c>
    </row>
    <row r="54" spans="1:28">
      <c r="A54" s="42">
        <f t="shared" si="4"/>
        <v>45796</v>
      </c>
      <c r="B54" s="245">
        <f>YEAR(Table13[[#This Row],[Date]])+IF(MONTH(Table13[[#This Row],[Date]])&gt;=4,1,0)</f>
        <v>2026</v>
      </c>
      <c r="C54" s="246">
        <f>YEAR(Table13[[#This Row],[Date]])</f>
        <v>2025</v>
      </c>
      <c r="D54" s="247">
        <f>Table13[[#This Row],[Date]]-DAY(Table13[[#This Row],[Date]])+1</f>
        <v>45778</v>
      </c>
      <c r="E54" s="10">
        <v>5304.6</v>
      </c>
      <c r="F54" s="10">
        <v>6897.6</v>
      </c>
      <c r="G54" s="10">
        <v>4109.7</v>
      </c>
      <c r="H54" s="10">
        <v>2849.5</v>
      </c>
      <c r="I54" s="10">
        <v>4814</v>
      </c>
      <c r="J54" s="10">
        <v>4320.5</v>
      </c>
      <c r="K54" s="10">
        <v>4457.7</v>
      </c>
      <c r="L54" s="10">
        <v>4361.8</v>
      </c>
      <c r="M54" s="10">
        <v>5161.7</v>
      </c>
      <c r="N54" s="10">
        <v>4249.3</v>
      </c>
      <c r="O54" s="10">
        <v>4793.1000000000004</v>
      </c>
      <c r="P54" s="10">
        <v>4480.3999999999996</v>
      </c>
      <c r="Q54" s="10">
        <v>4590.3999999999996</v>
      </c>
      <c r="R54" s="10">
        <v>4378.3</v>
      </c>
      <c r="S54" s="10">
        <v>6010.6</v>
      </c>
      <c r="T54" s="10">
        <v>6665.2</v>
      </c>
      <c r="U54" s="10">
        <v>6572.4</v>
      </c>
      <c r="V54" s="10">
        <v>4520.1000000000004</v>
      </c>
      <c r="W54" s="10">
        <v>4814.3</v>
      </c>
      <c r="X54" s="10">
        <v>3767.3</v>
      </c>
      <c r="Y54" s="10">
        <v>5677.1</v>
      </c>
      <c r="Z54" s="10">
        <v>5230.7</v>
      </c>
      <c r="AA54" s="10">
        <v>5804.9</v>
      </c>
      <c r="AB54" s="10">
        <f t="shared" si="3"/>
        <v>113831.20000000001</v>
      </c>
    </row>
    <row r="55" spans="1:28">
      <c r="A55" s="251">
        <f t="shared" si="4"/>
        <v>45797</v>
      </c>
      <c r="B55" s="248">
        <f>YEAR(Table13[[#This Row],[Date]])+IF(MONTH(Table13[[#This Row],[Date]])&gt;=4,1,0)</f>
        <v>2026</v>
      </c>
      <c r="C55" s="249">
        <f>YEAR(Table13[[#This Row],[Date]])</f>
        <v>2025</v>
      </c>
      <c r="D55" s="250">
        <f>Table13[[#This Row],[Date]]-DAY(Table13[[#This Row],[Date]])+1</f>
        <v>45778</v>
      </c>
      <c r="E55" s="10">
        <v>4382.3999999999996</v>
      </c>
      <c r="F55" s="10">
        <v>6682.1</v>
      </c>
      <c r="G55" s="10">
        <v>4631.2</v>
      </c>
      <c r="H55" s="10">
        <v>5708.6</v>
      </c>
      <c r="I55" s="10">
        <v>5566</v>
      </c>
      <c r="J55" s="10">
        <v>5238.1000000000004</v>
      </c>
      <c r="K55" s="10">
        <v>5191.2</v>
      </c>
      <c r="L55" s="10">
        <v>4636.3</v>
      </c>
      <c r="M55" s="10">
        <v>5728.8</v>
      </c>
      <c r="N55" s="10">
        <v>4459.7</v>
      </c>
      <c r="O55" s="10">
        <v>4158.2</v>
      </c>
      <c r="P55" s="10">
        <v>3922.4</v>
      </c>
      <c r="Q55" s="10">
        <v>3904.2</v>
      </c>
      <c r="R55" s="10">
        <v>4116.3</v>
      </c>
      <c r="S55" s="10">
        <v>5261.8</v>
      </c>
      <c r="T55" s="10">
        <v>6866.7</v>
      </c>
      <c r="U55" s="10">
        <v>6713.9</v>
      </c>
      <c r="V55" s="10">
        <v>5755</v>
      </c>
      <c r="W55" s="10">
        <v>4497.3999999999996</v>
      </c>
      <c r="X55" s="10">
        <v>4212.8999999999996</v>
      </c>
      <c r="Y55" s="10">
        <v>6176.9</v>
      </c>
      <c r="Z55" s="10">
        <v>6014.8</v>
      </c>
      <c r="AA55" s="10">
        <v>6020.7</v>
      </c>
      <c r="AB55" s="10">
        <f t="shared" si="3"/>
        <v>119845.59999999998</v>
      </c>
    </row>
    <row r="56" spans="1:28">
      <c r="A56" s="42">
        <f t="shared" si="4"/>
        <v>45798</v>
      </c>
      <c r="B56" s="245">
        <f>YEAR(Table13[[#This Row],[Date]])+IF(MONTH(Table13[[#This Row],[Date]])&gt;=4,1,0)</f>
        <v>2026</v>
      </c>
      <c r="C56" s="246">
        <f>YEAR(Table13[[#This Row],[Date]])</f>
        <v>2025</v>
      </c>
      <c r="D56" s="247">
        <f>Table13[[#This Row],[Date]]-DAY(Table13[[#This Row],[Date]])+1</f>
        <v>45778</v>
      </c>
      <c r="E56" s="4">
        <v>6197.5</v>
      </c>
      <c r="F56" s="4">
        <v>5626.5</v>
      </c>
      <c r="G56" s="4">
        <v>5440.6</v>
      </c>
      <c r="H56" s="4">
        <v>5376.4</v>
      </c>
      <c r="I56" s="4">
        <v>5090.3999999999996</v>
      </c>
      <c r="J56" s="4">
        <v>5492.3</v>
      </c>
      <c r="K56" s="4">
        <v>5014.8999999999996</v>
      </c>
      <c r="L56" s="4">
        <v>4858.5</v>
      </c>
      <c r="M56" s="4">
        <v>5389.2</v>
      </c>
      <c r="N56" s="4">
        <v>4870</v>
      </c>
      <c r="O56" s="4">
        <v>5481.2</v>
      </c>
      <c r="P56" s="4">
        <v>5749.7</v>
      </c>
      <c r="Q56" s="4">
        <v>5322.6</v>
      </c>
      <c r="R56" s="4">
        <v>5279.9</v>
      </c>
      <c r="S56" s="4">
        <v>5680.1</v>
      </c>
      <c r="T56" s="4">
        <v>5939.7</v>
      </c>
      <c r="U56" s="4">
        <v>5558.4</v>
      </c>
      <c r="V56" s="4">
        <v>4450.8</v>
      </c>
      <c r="W56" s="4">
        <v>4700.2</v>
      </c>
      <c r="X56" s="4">
        <v>5437.9</v>
      </c>
      <c r="Y56" s="4">
        <v>5469.8</v>
      </c>
      <c r="Z56" s="4">
        <v>4876.3999999999996</v>
      </c>
      <c r="AA56" s="4">
        <v>6558</v>
      </c>
      <c r="AB56" s="10">
        <f t="shared" si="3"/>
        <v>123860.99999999999</v>
      </c>
    </row>
    <row r="57" spans="1:28">
      <c r="A57" s="251">
        <f t="shared" si="4"/>
        <v>45799</v>
      </c>
      <c r="B57" s="248">
        <f>YEAR(Table13[[#This Row],[Date]])+IF(MONTH(Table13[[#This Row],[Date]])&gt;=4,1,0)</f>
        <v>2026</v>
      </c>
      <c r="C57" s="249">
        <f>YEAR(Table13[[#This Row],[Date]])</f>
        <v>2025</v>
      </c>
      <c r="D57" s="250">
        <f>Table13[[#This Row],[Date]]-DAY(Table13[[#This Row],[Date]])+1</f>
        <v>45778</v>
      </c>
      <c r="E57" s="4">
        <v>8115.6</v>
      </c>
      <c r="F57" s="4">
        <v>7163.1</v>
      </c>
      <c r="G57" s="4">
        <v>7316.1</v>
      </c>
      <c r="H57" s="4">
        <v>7016.1</v>
      </c>
      <c r="I57" s="4">
        <v>7143.7</v>
      </c>
      <c r="J57" s="4">
        <v>6963.3</v>
      </c>
      <c r="K57" s="4">
        <v>6815.6</v>
      </c>
      <c r="L57" s="4">
        <v>7390.3</v>
      </c>
      <c r="M57" s="4">
        <v>6947.9</v>
      </c>
      <c r="N57" s="4">
        <v>7540.3</v>
      </c>
      <c r="O57" s="4">
        <v>7363.3</v>
      </c>
      <c r="P57" s="4">
        <v>7252.6</v>
      </c>
      <c r="Q57" s="4">
        <v>7550.3</v>
      </c>
      <c r="R57" s="4">
        <v>7372.3</v>
      </c>
      <c r="S57" s="4">
        <v>7482.1</v>
      </c>
      <c r="T57" s="4">
        <v>7151.2</v>
      </c>
      <c r="U57" s="4">
        <v>7174.3</v>
      </c>
      <c r="V57" s="4">
        <v>7113.3</v>
      </c>
      <c r="W57" s="4">
        <v>7537.3</v>
      </c>
      <c r="X57" s="4">
        <v>7487.6</v>
      </c>
      <c r="Y57" s="4">
        <v>7141</v>
      </c>
      <c r="Z57" s="4">
        <v>7012.1</v>
      </c>
      <c r="AA57" s="4">
        <v>7115.2</v>
      </c>
      <c r="AB57" s="10">
        <f t="shared" si="3"/>
        <v>167164.60000000003</v>
      </c>
    </row>
    <row r="58" spans="1:28">
      <c r="A58" s="42">
        <f t="shared" si="4"/>
        <v>45800</v>
      </c>
      <c r="B58" s="245">
        <f>YEAR(Table13[[#This Row],[Date]])+IF(MONTH(Table13[[#This Row],[Date]])&gt;=4,1,0)</f>
        <v>2026</v>
      </c>
      <c r="C58" s="246">
        <f>YEAR(Table13[[#This Row],[Date]])</f>
        <v>2025</v>
      </c>
      <c r="D58" s="247">
        <f>Table13[[#This Row],[Date]]-DAY(Table13[[#This Row],[Date]])+1</f>
        <v>45778</v>
      </c>
      <c r="E58" s="4">
        <v>4178.1000000000004</v>
      </c>
      <c r="F58" s="4">
        <v>3543.2</v>
      </c>
      <c r="G58" s="4">
        <v>3568.7</v>
      </c>
      <c r="H58" s="4">
        <v>3385.6</v>
      </c>
      <c r="I58" s="4">
        <v>3407.7</v>
      </c>
      <c r="J58" s="4">
        <v>3603.9</v>
      </c>
      <c r="K58" s="4">
        <v>3431.4</v>
      </c>
      <c r="L58" s="4">
        <v>3516.1</v>
      </c>
      <c r="M58" s="4">
        <v>3867.7</v>
      </c>
      <c r="N58" s="4">
        <v>3705.4</v>
      </c>
      <c r="O58" s="4">
        <v>3649.1</v>
      </c>
      <c r="P58" s="4">
        <v>3783.4</v>
      </c>
      <c r="Q58" s="4">
        <v>3547.2</v>
      </c>
      <c r="R58" s="4">
        <v>3579.5</v>
      </c>
      <c r="S58" s="4">
        <v>3461.7</v>
      </c>
      <c r="T58" s="4">
        <v>3685.1</v>
      </c>
      <c r="U58" s="4">
        <v>3589.9</v>
      </c>
      <c r="V58" s="4">
        <v>3170</v>
      </c>
      <c r="W58" s="4">
        <v>4185.3999999999996</v>
      </c>
      <c r="X58" s="4">
        <v>3478.8</v>
      </c>
      <c r="Y58" s="4">
        <v>3624.6</v>
      </c>
      <c r="Z58" s="4">
        <v>3617.2</v>
      </c>
      <c r="AA58" s="4">
        <v>3383.7</v>
      </c>
      <c r="AB58" s="10">
        <f t="shared" si="3"/>
        <v>82963.399999999994</v>
      </c>
    </row>
    <row r="59" spans="1:28">
      <c r="A59" s="251">
        <f t="shared" si="4"/>
        <v>45801</v>
      </c>
      <c r="B59" s="248">
        <f>YEAR(Table13[[#This Row],[Date]])+IF(MONTH(Table13[[#This Row],[Date]])&gt;=4,1,0)</f>
        <v>2026</v>
      </c>
      <c r="C59" s="249">
        <f>YEAR(Table13[[#This Row],[Date]])</f>
        <v>2025</v>
      </c>
      <c r="D59" s="250">
        <f>Table13[[#This Row],[Date]]-DAY(Table13[[#This Row],[Date]])+1</f>
        <v>45778</v>
      </c>
      <c r="E59" s="4">
        <v>1043.7</v>
      </c>
      <c r="F59" s="4">
        <v>1043.8</v>
      </c>
      <c r="G59" s="4">
        <v>1533.7</v>
      </c>
      <c r="H59" s="4">
        <v>1210.2</v>
      </c>
      <c r="I59" s="4">
        <v>1073.3</v>
      </c>
      <c r="J59" s="4">
        <v>1514.4</v>
      </c>
      <c r="K59" s="4">
        <v>1432.3</v>
      </c>
      <c r="L59" s="4">
        <v>1630.9</v>
      </c>
      <c r="M59" s="4">
        <v>844.2</v>
      </c>
      <c r="N59" s="4">
        <v>1125.5999999999999</v>
      </c>
      <c r="O59" s="4">
        <v>1404.9</v>
      </c>
      <c r="P59" s="4">
        <v>1254.2</v>
      </c>
      <c r="Q59" s="4">
        <v>1657.7</v>
      </c>
      <c r="R59" s="4">
        <v>1103.5</v>
      </c>
      <c r="S59" s="4">
        <v>1378.6</v>
      </c>
      <c r="T59" s="4">
        <v>1017.9</v>
      </c>
      <c r="U59" s="4">
        <v>864.4</v>
      </c>
      <c r="V59" s="4">
        <v>1616.9</v>
      </c>
      <c r="W59" s="4">
        <v>1597.9</v>
      </c>
      <c r="X59" s="4">
        <v>1376.1</v>
      </c>
      <c r="Y59" s="4">
        <v>1013.6</v>
      </c>
      <c r="Z59" s="4">
        <v>1196.8</v>
      </c>
      <c r="AA59" s="4">
        <v>1150.3</v>
      </c>
      <c r="AB59" s="10">
        <f t="shared" si="3"/>
        <v>29084.9</v>
      </c>
    </row>
    <row r="60" spans="1:28">
      <c r="A60" s="42">
        <f t="shared" si="4"/>
        <v>45802</v>
      </c>
      <c r="B60" s="245">
        <f>YEAR(Table13[[#This Row],[Date]])+IF(MONTH(Table13[[#This Row],[Date]])&gt;=4,1,0)</f>
        <v>2026</v>
      </c>
      <c r="C60" s="246">
        <f>YEAR(Table13[[#This Row],[Date]])</f>
        <v>2025</v>
      </c>
      <c r="D60" s="247">
        <f>Table13[[#This Row],[Date]]-DAY(Table13[[#This Row],[Date]])+1</f>
        <v>45778</v>
      </c>
      <c r="E60" s="10">
        <v>2846.7</v>
      </c>
      <c r="F60" s="10">
        <v>2895.3</v>
      </c>
      <c r="G60" s="10">
        <v>3081.1</v>
      </c>
      <c r="H60" s="10">
        <v>3335.9</v>
      </c>
      <c r="J60" s="10">
        <v>2840</v>
      </c>
      <c r="K60" s="10">
        <v>2670.9</v>
      </c>
      <c r="L60" s="10">
        <v>2150.1999999999998</v>
      </c>
      <c r="M60" s="10">
        <v>3130.3</v>
      </c>
      <c r="N60" s="10">
        <v>2607.6</v>
      </c>
      <c r="O60" s="10">
        <v>3077.5</v>
      </c>
      <c r="P60" s="10">
        <v>3044.6</v>
      </c>
      <c r="Q60" s="10">
        <v>2704.6</v>
      </c>
      <c r="R60" s="10">
        <v>2779.5</v>
      </c>
      <c r="S60" s="10">
        <v>2477.3000000000002</v>
      </c>
      <c r="T60" s="10">
        <v>2813.7</v>
      </c>
      <c r="U60" s="10">
        <v>2954.3</v>
      </c>
      <c r="V60" s="10">
        <v>2842.1</v>
      </c>
      <c r="W60" s="10">
        <v>2092.4</v>
      </c>
      <c r="X60" s="10">
        <v>3357.4</v>
      </c>
      <c r="Y60" s="10">
        <v>3065.7</v>
      </c>
      <c r="Z60" s="10">
        <v>2933.7</v>
      </c>
      <c r="AA60" s="10">
        <v>2594.6</v>
      </c>
      <c r="AB60" s="10">
        <f t="shared" si="3"/>
        <v>62295.399999999994</v>
      </c>
    </row>
    <row r="61" spans="1:28">
      <c r="A61" s="251">
        <f t="shared" si="4"/>
        <v>45803</v>
      </c>
      <c r="B61" s="248">
        <f>YEAR(Table13[[#This Row],[Date]])+IF(MONTH(Table13[[#This Row],[Date]])&gt;=4,1,0)</f>
        <v>2026</v>
      </c>
      <c r="C61" s="249">
        <f>YEAR(Table13[[#This Row],[Date]])</f>
        <v>2025</v>
      </c>
      <c r="D61" s="250">
        <f>Table13[[#This Row],[Date]]-DAY(Table13[[#This Row],[Date]])+1</f>
        <v>45778</v>
      </c>
      <c r="E61" s="10">
        <v>1624.2</v>
      </c>
      <c r="F61" s="10">
        <v>985</v>
      </c>
      <c r="G61" s="10">
        <v>844.9</v>
      </c>
      <c r="H61" s="10">
        <v>434.1</v>
      </c>
      <c r="I61" s="10">
        <v>849.9</v>
      </c>
      <c r="J61" s="10">
        <v>1231</v>
      </c>
      <c r="K61" s="10">
        <v>1224.9000000000001</v>
      </c>
      <c r="L61" s="10">
        <v>2011.7</v>
      </c>
      <c r="M61" s="10">
        <v>1262.8</v>
      </c>
      <c r="N61" s="10">
        <v>1630.6</v>
      </c>
      <c r="O61" s="10">
        <v>391.3</v>
      </c>
      <c r="P61" s="10">
        <v>1226.7</v>
      </c>
      <c r="Q61" s="10">
        <v>1671</v>
      </c>
      <c r="R61" s="10">
        <v>964.6</v>
      </c>
      <c r="S61" s="10">
        <v>2122.9</v>
      </c>
      <c r="T61" s="10">
        <v>1460.1</v>
      </c>
      <c r="U61" s="10">
        <v>1517.3</v>
      </c>
      <c r="V61" s="10">
        <v>920.9</v>
      </c>
      <c r="W61" s="10">
        <v>1860.3</v>
      </c>
      <c r="X61" s="10">
        <v>1107.5999999999999</v>
      </c>
      <c r="Y61" s="10">
        <v>802.2</v>
      </c>
      <c r="Z61" s="10">
        <v>1640.1</v>
      </c>
      <c r="AA61" s="10">
        <v>1105.9000000000001</v>
      </c>
      <c r="AB61" s="10">
        <f t="shared" si="3"/>
        <v>28890</v>
      </c>
    </row>
    <row r="62" spans="1:28">
      <c r="A62" s="42">
        <f t="shared" si="4"/>
        <v>45804</v>
      </c>
      <c r="B62" s="245">
        <f>YEAR(Table13[[#This Row],[Date]])+IF(MONTH(Table13[[#This Row],[Date]])&gt;=4,1,0)</f>
        <v>2026</v>
      </c>
      <c r="C62" s="246">
        <f>YEAR(Table13[[#This Row],[Date]])</f>
        <v>2025</v>
      </c>
      <c r="D62" s="247">
        <f>Table13[[#This Row],[Date]]-DAY(Table13[[#This Row],[Date]])+1</f>
        <v>45778</v>
      </c>
      <c r="E62" s="10">
        <v>3533.8</v>
      </c>
      <c r="F62" s="10">
        <v>4933.3</v>
      </c>
      <c r="G62" s="10">
        <v>5105.5</v>
      </c>
      <c r="H62" s="10">
        <v>4695.5</v>
      </c>
      <c r="I62" s="10">
        <v>3357.5</v>
      </c>
      <c r="J62" s="10">
        <v>4296</v>
      </c>
      <c r="K62" s="10">
        <v>3769.8</v>
      </c>
      <c r="L62" s="10">
        <v>3483.3</v>
      </c>
      <c r="M62" s="10">
        <v>4613.3999999999996</v>
      </c>
      <c r="N62" s="10">
        <v>3724</v>
      </c>
      <c r="O62" s="10">
        <v>4593.7</v>
      </c>
      <c r="P62" s="10">
        <v>4076.1</v>
      </c>
      <c r="Q62" s="10">
        <v>3804.7</v>
      </c>
      <c r="R62" s="10">
        <v>4602.3999999999996</v>
      </c>
      <c r="S62" s="10">
        <v>3968.5</v>
      </c>
      <c r="T62" s="10">
        <v>3804.3</v>
      </c>
      <c r="U62" s="10">
        <v>3697.8</v>
      </c>
      <c r="V62" s="10">
        <v>3647.1</v>
      </c>
      <c r="W62" s="10">
        <v>3812.8</v>
      </c>
      <c r="AB62" s="10">
        <f t="shared" si="3"/>
        <v>77519.5</v>
      </c>
    </row>
    <row r="63" spans="1:28">
      <c r="A63" s="251">
        <f t="shared" si="4"/>
        <v>45805</v>
      </c>
      <c r="B63" s="248">
        <f>YEAR(Table13[[#This Row],[Date]])+IF(MONTH(Table13[[#This Row],[Date]])&gt;=4,1,0)</f>
        <v>2026</v>
      </c>
      <c r="C63" s="249">
        <f>YEAR(Table13[[#This Row],[Date]])</f>
        <v>2025</v>
      </c>
      <c r="D63" s="250">
        <f>Table13[[#This Row],[Date]]-DAY(Table13[[#This Row],[Date]])+1</f>
        <v>45778</v>
      </c>
      <c r="E63" s="10">
        <v>14348.2</v>
      </c>
      <c r="F63" s="10">
        <v>5655.6</v>
      </c>
      <c r="G63" s="10">
        <v>4910.1000000000004</v>
      </c>
      <c r="H63" s="10">
        <v>6325.5</v>
      </c>
      <c r="I63" s="10">
        <v>5915.5</v>
      </c>
      <c r="J63" s="10">
        <v>4793.5</v>
      </c>
      <c r="K63" s="10">
        <v>5059.3999999999996</v>
      </c>
      <c r="L63" s="10">
        <v>4493.6000000000004</v>
      </c>
      <c r="M63" s="10">
        <v>6671.9</v>
      </c>
      <c r="N63" s="10">
        <v>4744.6000000000004</v>
      </c>
      <c r="O63" s="10">
        <v>5008.8</v>
      </c>
      <c r="P63" s="10">
        <v>4553.3</v>
      </c>
      <c r="Q63" s="10">
        <v>4017.7</v>
      </c>
      <c r="R63" s="10">
        <v>4545.7</v>
      </c>
      <c r="S63" s="10">
        <v>3661.2</v>
      </c>
      <c r="T63" s="10">
        <v>5388.5</v>
      </c>
      <c r="U63" s="10">
        <v>5268.4</v>
      </c>
      <c r="V63" s="10">
        <v>4671.5</v>
      </c>
      <c r="W63" s="10">
        <v>4149.3</v>
      </c>
      <c r="X63" s="10">
        <v>4511.6000000000004</v>
      </c>
      <c r="Y63" s="10">
        <v>5919.6</v>
      </c>
      <c r="Z63" s="10">
        <v>5626.9</v>
      </c>
      <c r="AA63" s="10">
        <v>5287.8</v>
      </c>
      <c r="AB63" s="10">
        <f t="shared" si="3"/>
        <v>125528.2</v>
      </c>
    </row>
    <row r="64" spans="1:28">
      <c r="A64" s="42">
        <f t="shared" si="4"/>
        <v>45806</v>
      </c>
      <c r="B64" s="245">
        <f>YEAR(Table13[[#This Row],[Date]])+IF(MONTH(Table13[[#This Row],[Date]])&gt;=4,1,0)</f>
        <v>2026</v>
      </c>
      <c r="C64" s="246">
        <f>YEAR(Table13[[#This Row],[Date]])</f>
        <v>2025</v>
      </c>
      <c r="D64" s="247">
        <f>Table13[[#This Row],[Date]]-DAY(Table13[[#This Row],[Date]])+1</f>
        <v>45778</v>
      </c>
      <c r="E64" s="10">
        <v>3756.5</v>
      </c>
      <c r="F64" s="10">
        <v>3593.4</v>
      </c>
      <c r="G64" s="10">
        <v>4025.9</v>
      </c>
      <c r="H64" s="10">
        <v>2789</v>
      </c>
      <c r="I64" s="10">
        <v>2568.8000000000002</v>
      </c>
      <c r="J64" s="10">
        <v>2570.3000000000002</v>
      </c>
      <c r="K64" s="10">
        <v>2507.1999999999998</v>
      </c>
      <c r="L64" s="10">
        <v>3770.7</v>
      </c>
      <c r="M64" s="10">
        <v>2809.8</v>
      </c>
      <c r="N64" s="10">
        <v>4107.7</v>
      </c>
      <c r="O64" s="10">
        <v>3978.3</v>
      </c>
      <c r="P64" s="10">
        <v>3892.2</v>
      </c>
      <c r="Q64" s="10">
        <v>3864.1</v>
      </c>
      <c r="R64" s="10">
        <v>3840.5</v>
      </c>
      <c r="S64" s="10">
        <v>3502.9</v>
      </c>
      <c r="T64" s="10">
        <v>1939.9</v>
      </c>
      <c r="U64" s="10">
        <v>2524.6</v>
      </c>
      <c r="V64" s="10">
        <v>2680.2</v>
      </c>
      <c r="W64" s="10">
        <v>3408.5</v>
      </c>
      <c r="X64" s="10">
        <v>3817.7</v>
      </c>
      <c r="Y64" s="10">
        <v>2473.9</v>
      </c>
      <c r="Z64" s="10">
        <v>2264.9</v>
      </c>
      <c r="AA64" s="10">
        <v>2152.3000000000002</v>
      </c>
      <c r="AB64" s="10">
        <f t="shared" si="3"/>
        <v>72839.299999999988</v>
      </c>
    </row>
    <row r="65" spans="1:28">
      <c r="A65" s="251">
        <f t="shared" si="4"/>
        <v>45807</v>
      </c>
      <c r="B65" s="248">
        <f>YEAR(Table13[[#This Row],[Date]])+IF(MONTH(Table13[[#This Row],[Date]])&gt;=4,1,0)</f>
        <v>2026</v>
      </c>
      <c r="C65" s="249">
        <f>YEAR(Table13[[#This Row],[Date]])</f>
        <v>2025</v>
      </c>
      <c r="D65" s="250">
        <f>Table13[[#This Row],[Date]]-DAY(Table13[[#This Row],[Date]])+1</f>
        <v>45778</v>
      </c>
      <c r="E65" s="10">
        <v>913.5</v>
      </c>
      <c r="F65" s="10">
        <v>943.3</v>
      </c>
      <c r="G65" s="10">
        <v>1501.3</v>
      </c>
      <c r="H65" s="10">
        <v>1019.8</v>
      </c>
      <c r="I65" s="10">
        <v>973.1</v>
      </c>
      <c r="J65" s="10">
        <v>1389.3</v>
      </c>
      <c r="K65" s="10">
        <v>1494.2</v>
      </c>
      <c r="L65" s="10">
        <v>1171.3</v>
      </c>
      <c r="M65" s="10">
        <v>1043.4000000000001</v>
      </c>
      <c r="N65" s="10">
        <v>1712.1</v>
      </c>
      <c r="O65" s="10">
        <v>1247</v>
      </c>
      <c r="P65" s="10">
        <v>1233.3</v>
      </c>
      <c r="Q65" s="10">
        <v>1667.9</v>
      </c>
      <c r="R65" s="10">
        <v>1273.5999999999999</v>
      </c>
      <c r="S65" s="10">
        <v>1427.7</v>
      </c>
      <c r="T65" s="10">
        <v>864.7</v>
      </c>
      <c r="U65" s="10">
        <v>770.1</v>
      </c>
      <c r="V65" s="10">
        <v>1009.1</v>
      </c>
      <c r="W65" s="10">
        <v>1296.0999999999999</v>
      </c>
      <c r="X65" s="10">
        <v>1194</v>
      </c>
      <c r="Y65" s="10">
        <v>1039.2</v>
      </c>
      <c r="Z65" s="10">
        <v>879.7</v>
      </c>
      <c r="AA65" s="10">
        <v>1087.5999999999999</v>
      </c>
      <c r="AB65" s="10">
        <f t="shared" si="3"/>
        <v>27151.299999999996</v>
      </c>
    </row>
    <row r="66" spans="1:28">
      <c r="A66" s="42">
        <f t="shared" si="4"/>
        <v>45808</v>
      </c>
      <c r="B66" s="245">
        <f>YEAR(Table13[[#This Row],[Date]])+IF(MONTH(Table13[[#This Row],[Date]])&gt;=4,1,0)</f>
        <v>2026</v>
      </c>
      <c r="C66" s="246">
        <f>YEAR(Table13[[#This Row],[Date]])</f>
        <v>2025</v>
      </c>
      <c r="D66" s="247">
        <f>Table13[[#This Row],[Date]]-DAY(Table13[[#This Row],[Date]])+1</f>
        <v>45809</v>
      </c>
      <c r="E66" s="10">
        <v>5413.6</v>
      </c>
      <c r="F66" s="10">
        <v>4838.7</v>
      </c>
      <c r="G66" s="10">
        <v>4742.3</v>
      </c>
      <c r="H66" s="10">
        <v>4254.3999999999996</v>
      </c>
      <c r="I66" s="10">
        <v>3626</v>
      </c>
      <c r="J66" s="10">
        <v>4142.5</v>
      </c>
      <c r="K66" s="10">
        <v>4223.2</v>
      </c>
      <c r="L66" s="10">
        <v>5008</v>
      </c>
      <c r="M66" s="10">
        <v>3618.8</v>
      </c>
      <c r="N66" s="10">
        <v>4498</v>
      </c>
      <c r="O66" s="10">
        <v>4596.3999999999996</v>
      </c>
      <c r="P66" s="10">
        <v>4730.3999999999996</v>
      </c>
      <c r="Q66" s="10">
        <v>4761.3999999999996</v>
      </c>
      <c r="R66" s="10">
        <v>4250</v>
      </c>
      <c r="S66" s="10">
        <v>5616.6</v>
      </c>
      <c r="T66" s="10">
        <v>5302.3</v>
      </c>
      <c r="U66" s="10">
        <v>5107.8</v>
      </c>
      <c r="V66" s="10">
        <v>4171.7</v>
      </c>
      <c r="W66" s="10">
        <v>4610.5</v>
      </c>
      <c r="X66" s="10">
        <v>4359.8999999999996</v>
      </c>
      <c r="Y66" s="10">
        <v>4825.2</v>
      </c>
      <c r="Z66" s="10">
        <v>5094.6000000000004</v>
      </c>
      <c r="AA66" s="10">
        <v>5264.6</v>
      </c>
      <c r="AB66" s="10">
        <f t="shared" si="3"/>
        <v>107056.90000000001</v>
      </c>
    </row>
    <row r="67" spans="1:28">
      <c r="A67" s="251">
        <f t="shared" si="4"/>
        <v>45809</v>
      </c>
      <c r="B67" s="248">
        <f>YEAR(Table13[[#This Row],[Date]])+IF(MONTH(Table13[[#This Row],[Date]])&gt;=4,1,0)</f>
        <v>2026</v>
      </c>
      <c r="C67" s="249">
        <f>YEAR(Table13[[#This Row],[Date]])</f>
        <v>2025</v>
      </c>
      <c r="D67" s="250">
        <f>Table13[[#This Row],[Date]]-DAY(Table13[[#This Row],[Date]])+1</f>
        <v>45809</v>
      </c>
      <c r="E67" s="10">
        <v>2021.9</v>
      </c>
      <c r="F67" s="10">
        <v>3037.8</v>
      </c>
      <c r="G67" s="10">
        <v>2143.1999999999998</v>
      </c>
      <c r="H67" s="10">
        <v>2212.5</v>
      </c>
      <c r="I67" s="10">
        <v>2097.9</v>
      </c>
      <c r="J67" s="10">
        <v>2048.9</v>
      </c>
      <c r="K67" s="10">
        <v>2056.9</v>
      </c>
      <c r="L67" s="10">
        <v>2111.6</v>
      </c>
      <c r="M67" s="10">
        <v>1752.3</v>
      </c>
      <c r="N67" s="10">
        <v>2576.8000000000002</v>
      </c>
      <c r="O67" s="10">
        <v>1869.7</v>
      </c>
      <c r="P67" s="10">
        <v>1449.4</v>
      </c>
      <c r="Q67" s="10">
        <v>1586.7</v>
      </c>
      <c r="R67" s="10">
        <v>1569.3</v>
      </c>
      <c r="S67" s="10">
        <v>2079</v>
      </c>
      <c r="T67" s="10">
        <v>2823</v>
      </c>
      <c r="U67" s="10">
        <v>2705.1</v>
      </c>
      <c r="V67" s="10">
        <v>2298.5</v>
      </c>
      <c r="W67" s="10">
        <v>1902.1</v>
      </c>
      <c r="X67" s="10">
        <v>1763.1</v>
      </c>
      <c r="Y67" s="10">
        <v>2593.1</v>
      </c>
      <c r="Z67" s="10">
        <v>1972.3</v>
      </c>
      <c r="AA67" s="10">
        <v>2332</v>
      </c>
      <c r="AB67" s="10">
        <f t="shared" si="3"/>
        <v>49003.1</v>
      </c>
    </row>
    <row r="68" spans="1:28">
      <c r="A68" s="42">
        <f t="shared" si="4"/>
        <v>45810</v>
      </c>
      <c r="B68" s="245">
        <f>YEAR(Table13[[#This Row],[Date]])+IF(MONTH(Table13[[#This Row],[Date]])&gt;=4,1,0)</f>
        <v>2026</v>
      </c>
      <c r="C68" s="246">
        <f>YEAR(Table13[[#This Row],[Date]])</f>
        <v>2025</v>
      </c>
      <c r="D68" s="247">
        <f>Table13[[#This Row],[Date]]-DAY(Table13[[#This Row],[Date]])+1</f>
        <v>45809</v>
      </c>
      <c r="E68" s="10">
        <v>5126.3999999999996</v>
      </c>
      <c r="F68" s="10">
        <v>5336</v>
      </c>
      <c r="G68" s="10">
        <v>4788.6000000000004</v>
      </c>
      <c r="H68" s="10">
        <v>5116.8</v>
      </c>
      <c r="I68" s="10">
        <v>5288.7</v>
      </c>
      <c r="J68" s="10">
        <v>5157.8999999999996</v>
      </c>
      <c r="K68" s="10">
        <v>4815.7</v>
      </c>
      <c r="L68" s="10">
        <v>4877</v>
      </c>
      <c r="M68" s="10">
        <v>5331.2</v>
      </c>
      <c r="N68" s="10">
        <v>4857.7</v>
      </c>
      <c r="O68" s="10">
        <v>4728.7</v>
      </c>
      <c r="P68" s="10">
        <v>4705.1000000000004</v>
      </c>
      <c r="Q68" s="10">
        <v>4479.1000000000004</v>
      </c>
      <c r="R68" s="10">
        <v>4537.3999999999996</v>
      </c>
      <c r="S68" s="10">
        <v>4659</v>
      </c>
      <c r="T68" s="10">
        <v>5383.3</v>
      </c>
      <c r="U68" s="10">
        <v>5373</v>
      </c>
      <c r="V68" s="10">
        <v>5177.2</v>
      </c>
      <c r="W68" s="10">
        <v>4429.1000000000004</v>
      </c>
      <c r="X68" s="10">
        <v>4669.2</v>
      </c>
      <c r="Y68" s="10">
        <v>5251.7</v>
      </c>
      <c r="Z68" s="10">
        <v>5330.3</v>
      </c>
      <c r="AA68" s="10">
        <v>5322.8</v>
      </c>
      <c r="AB68" s="10">
        <f t="shared" si="3"/>
        <v>114741.9</v>
      </c>
    </row>
    <row r="69" spans="1:28">
      <c r="A69" s="251">
        <f t="shared" si="4"/>
        <v>45811</v>
      </c>
      <c r="B69" s="248">
        <f>YEAR(Table13[[#This Row],[Date]])+IF(MONTH(Table13[[#This Row],[Date]])&gt;=4,1,0)</f>
        <v>2026</v>
      </c>
      <c r="C69" s="249">
        <f>YEAR(Table13[[#This Row],[Date]])</f>
        <v>2025</v>
      </c>
      <c r="D69" s="250">
        <f>Table13[[#This Row],[Date]]-DAY(Table13[[#This Row],[Date]])+1</f>
        <v>45809</v>
      </c>
      <c r="E69" s="10">
        <v>8012.8</v>
      </c>
      <c r="F69" s="10">
        <v>7088.5</v>
      </c>
      <c r="G69" s="10">
        <v>7519.6</v>
      </c>
      <c r="H69" s="10">
        <v>6348.4</v>
      </c>
      <c r="I69" s="10">
        <v>7178.5</v>
      </c>
      <c r="J69" s="10">
        <v>7242.8</v>
      </c>
      <c r="K69" s="10">
        <v>7250.7</v>
      </c>
      <c r="L69" s="10">
        <v>7196.9</v>
      </c>
      <c r="M69" s="10">
        <v>7195.1</v>
      </c>
      <c r="N69" s="10">
        <v>7504.3</v>
      </c>
      <c r="O69" s="10">
        <v>7539.5</v>
      </c>
      <c r="P69" s="10">
        <v>6613.7</v>
      </c>
      <c r="Q69" s="10">
        <v>7520.7</v>
      </c>
      <c r="R69" s="10">
        <v>7595</v>
      </c>
      <c r="S69" s="10">
        <v>7019.5</v>
      </c>
      <c r="T69" s="10">
        <v>6673.4</v>
      </c>
      <c r="U69" s="10">
        <v>6777.5</v>
      </c>
      <c r="V69" s="10">
        <v>6923.7</v>
      </c>
      <c r="W69" s="10">
        <v>7477.1</v>
      </c>
      <c r="X69" s="10">
        <v>7080.2</v>
      </c>
      <c r="Y69" s="10">
        <v>6660.3</v>
      </c>
      <c r="Z69" s="10">
        <v>6761.7</v>
      </c>
      <c r="AA69" s="10">
        <v>6620.5</v>
      </c>
      <c r="AB69" s="10">
        <f t="shared" si="3"/>
        <v>163800.4</v>
      </c>
    </row>
    <row r="70" spans="1:28">
      <c r="A70" s="42">
        <f t="shared" si="4"/>
        <v>45812</v>
      </c>
      <c r="B70" s="245">
        <f>YEAR(Table13[[#This Row],[Date]])+IF(MONTH(Table13[[#This Row],[Date]])&gt;=4,1,0)</f>
        <v>2026</v>
      </c>
      <c r="C70" s="246">
        <f>YEAR(Table13[[#This Row],[Date]])</f>
        <v>2025</v>
      </c>
      <c r="D70" s="247">
        <f>Table13[[#This Row],[Date]]-DAY(Table13[[#This Row],[Date]])+1</f>
        <v>45809</v>
      </c>
      <c r="E70" s="10">
        <v>4715.5</v>
      </c>
      <c r="F70" s="10">
        <v>4847.3</v>
      </c>
      <c r="G70" s="10">
        <v>4263.6000000000004</v>
      </c>
      <c r="H70" s="10">
        <v>5484.9</v>
      </c>
      <c r="I70" s="10">
        <v>4634</v>
      </c>
      <c r="J70" s="10">
        <v>4692.1000000000004</v>
      </c>
      <c r="K70" s="10">
        <v>4707.3999999999996</v>
      </c>
      <c r="L70" s="10">
        <v>4276.7</v>
      </c>
      <c r="M70" s="10">
        <v>4879.3999999999996</v>
      </c>
      <c r="N70" s="10">
        <v>4816</v>
      </c>
      <c r="O70" s="10">
        <v>4586.1000000000004</v>
      </c>
      <c r="P70" s="10">
        <v>4746.8</v>
      </c>
      <c r="Q70" s="10">
        <v>4569.3999999999996</v>
      </c>
      <c r="R70" s="10">
        <v>4672.7</v>
      </c>
      <c r="S70" s="10">
        <v>4815.8999999999996</v>
      </c>
      <c r="T70" s="10">
        <v>4791.7</v>
      </c>
      <c r="U70" s="10">
        <v>4778.3999999999996</v>
      </c>
      <c r="V70" s="10">
        <v>4664.2</v>
      </c>
      <c r="W70" s="10">
        <v>4641.2</v>
      </c>
      <c r="X70" s="10">
        <v>4706</v>
      </c>
      <c r="Y70" s="10">
        <v>4688.2</v>
      </c>
      <c r="Z70" s="10">
        <v>3525.1</v>
      </c>
      <c r="AA70" s="10">
        <v>4690.7</v>
      </c>
      <c r="AB70" s="10">
        <f t="shared" si="3"/>
        <v>107193.29999999999</v>
      </c>
    </row>
    <row r="71" spans="1:28">
      <c r="A71" s="251">
        <f t="shared" si="4"/>
        <v>45813</v>
      </c>
      <c r="B71" s="248">
        <f>YEAR(Table13[[#This Row],[Date]])+IF(MONTH(Table13[[#This Row],[Date]])&gt;=4,1,0)</f>
        <v>2026</v>
      </c>
      <c r="C71" s="249">
        <f>YEAR(Table13[[#This Row],[Date]])</f>
        <v>2025</v>
      </c>
      <c r="D71" s="250">
        <f>Table13[[#This Row],[Date]]-DAY(Table13[[#This Row],[Date]])+1</f>
        <v>45809</v>
      </c>
      <c r="E71" s="10">
        <v>8011.7</v>
      </c>
      <c r="F71" s="10">
        <v>7130.8</v>
      </c>
      <c r="G71" s="10">
        <v>7526.8</v>
      </c>
      <c r="H71" s="10">
        <v>6271.2</v>
      </c>
      <c r="I71" s="10">
        <v>6634.4</v>
      </c>
      <c r="J71" s="10">
        <v>6943</v>
      </c>
      <c r="K71" s="10">
        <v>6733.1</v>
      </c>
      <c r="L71" s="10">
        <v>7641.5</v>
      </c>
      <c r="M71" s="10">
        <v>6281.8</v>
      </c>
      <c r="N71" s="10">
        <v>7764.6</v>
      </c>
      <c r="O71" s="10">
        <v>7402.6</v>
      </c>
      <c r="P71" s="10">
        <v>7081.8</v>
      </c>
      <c r="Q71" s="10">
        <v>6553.5</v>
      </c>
      <c r="R71" s="10">
        <v>7206.3</v>
      </c>
      <c r="S71" s="10">
        <v>7847.2</v>
      </c>
      <c r="T71" s="10">
        <v>7029.7</v>
      </c>
      <c r="U71" s="10">
        <v>7021.9</v>
      </c>
      <c r="V71" s="10">
        <v>6548.4</v>
      </c>
      <c r="W71" s="10">
        <v>7327.9</v>
      </c>
      <c r="X71" s="10">
        <v>6438.7</v>
      </c>
      <c r="Y71" s="10">
        <v>6710.1</v>
      </c>
      <c r="Z71" s="10">
        <v>5154.8</v>
      </c>
      <c r="AA71" s="10">
        <v>6620.1</v>
      </c>
      <c r="AB71" s="10">
        <f t="shared" si="3"/>
        <v>159881.90000000002</v>
      </c>
    </row>
    <row r="72" spans="1:28">
      <c r="A72" s="42">
        <f t="shared" si="4"/>
        <v>45814</v>
      </c>
      <c r="B72" s="245">
        <f>YEAR(Table13[[#This Row],[Date]])+IF(MONTH(Table13[[#This Row],[Date]])&gt;=4,1,0)</f>
        <v>2026</v>
      </c>
      <c r="C72" s="246">
        <f>YEAR(Table13[[#This Row],[Date]])</f>
        <v>2025</v>
      </c>
      <c r="D72" s="247">
        <f>Table13[[#This Row],[Date]]-DAY(Table13[[#This Row],[Date]])+1</f>
        <v>45809</v>
      </c>
      <c r="E72" s="10">
        <v>7084.3</v>
      </c>
      <c r="F72" s="10">
        <v>3244.1</v>
      </c>
      <c r="G72" s="10">
        <v>3215.2</v>
      </c>
      <c r="H72" s="10">
        <v>3291</v>
      </c>
      <c r="I72" s="10">
        <v>3392.9</v>
      </c>
      <c r="J72" s="10">
        <v>3015.7</v>
      </c>
      <c r="K72" s="10">
        <v>2821.3</v>
      </c>
      <c r="L72" s="10">
        <v>3156.1</v>
      </c>
      <c r="M72" s="10">
        <v>3096.7</v>
      </c>
      <c r="N72" s="10">
        <v>3119.7</v>
      </c>
      <c r="O72" s="10">
        <v>3273.9</v>
      </c>
      <c r="P72" s="10">
        <v>2809.4</v>
      </c>
      <c r="Q72" s="10">
        <v>3215.2</v>
      </c>
      <c r="R72" s="10">
        <v>3253.8</v>
      </c>
      <c r="S72" s="10">
        <v>3416.2</v>
      </c>
      <c r="T72" s="10">
        <v>3374.1</v>
      </c>
      <c r="U72" s="10">
        <v>3808.5</v>
      </c>
      <c r="V72" s="10">
        <v>3159</v>
      </c>
      <c r="W72" s="10">
        <v>3178.1</v>
      </c>
      <c r="X72" s="10">
        <v>8299.1</v>
      </c>
      <c r="Y72" s="10">
        <v>3506</v>
      </c>
      <c r="Z72" s="10">
        <v>3224.8</v>
      </c>
      <c r="AA72" s="10">
        <v>3345.1</v>
      </c>
      <c r="AB72" s="10">
        <f t="shared" ref="AB72:AB135" si="5">SUM(E72:AA72)</f>
        <v>83300.200000000012</v>
      </c>
    </row>
    <row r="73" spans="1:28">
      <c r="A73" s="251">
        <f t="shared" si="4"/>
        <v>45815</v>
      </c>
      <c r="B73" s="248">
        <f>YEAR(Table13[[#This Row],[Date]])+IF(MONTH(Table13[[#This Row],[Date]])&gt;=4,1,0)</f>
        <v>2026</v>
      </c>
      <c r="C73" s="249">
        <f>YEAR(Table13[[#This Row],[Date]])</f>
        <v>2025</v>
      </c>
      <c r="D73" s="250">
        <f>Table13[[#This Row],[Date]]-DAY(Table13[[#This Row],[Date]])+1</f>
        <v>45809</v>
      </c>
      <c r="E73" s="10">
        <v>2964.9</v>
      </c>
      <c r="F73" s="10">
        <v>153.19999999999999</v>
      </c>
      <c r="G73" s="10">
        <v>2679.1</v>
      </c>
      <c r="H73" s="10">
        <v>2428.1</v>
      </c>
      <c r="I73" s="10">
        <v>2264.8000000000002</v>
      </c>
      <c r="J73" s="10">
        <v>2286.4</v>
      </c>
      <c r="K73" s="10">
        <v>2220.4</v>
      </c>
      <c r="L73" s="10">
        <v>2083.3000000000002</v>
      </c>
      <c r="M73" s="10">
        <v>2083.3000000000002</v>
      </c>
      <c r="N73" s="10">
        <v>1701.5</v>
      </c>
      <c r="O73" s="10">
        <v>1817</v>
      </c>
      <c r="P73" s="10">
        <v>2495.1</v>
      </c>
      <c r="Q73" s="10">
        <v>2550.1999999999998</v>
      </c>
      <c r="R73" s="10">
        <v>2157.5</v>
      </c>
      <c r="S73" s="10">
        <v>2183.1999999999998</v>
      </c>
      <c r="T73" s="10">
        <v>1835.9</v>
      </c>
      <c r="U73" s="10">
        <v>1885.4</v>
      </c>
      <c r="V73" s="10">
        <v>2131.1</v>
      </c>
      <c r="W73" s="10">
        <v>2324.4</v>
      </c>
      <c r="X73" s="10">
        <v>2040.1</v>
      </c>
      <c r="Y73" s="10">
        <v>1928.4</v>
      </c>
      <c r="Z73" s="10">
        <v>2053.9</v>
      </c>
      <c r="AA73" s="10">
        <v>1999.8</v>
      </c>
      <c r="AB73" s="10">
        <f t="shared" si="5"/>
        <v>48267</v>
      </c>
    </row>
    <row r="74" spans="1:28">
      <c r="A74" s="42">
        <f t="shared" ref="A74:A137" si="6">A73+1</f>
        <v>45816</v>
      </c>
      <c r="B74" s="245">
        <f>YEAR(Table13[[#This Row],[Date]])+IF(MONTH(Table13[[#This Row],[Date]])&gt;=4,1,0)</f>
        <v>2026</v>
      </c>
      <c r="C74" s="246">
        <f>YEAR(Table13[[#This Row],[Date]])</f>
        <v>2025</v>
      </c>
      <c r="D74" s="247">
        <f>Table13[[#This Row],[Date]]-DAY(Table13[[#This Row],[Date]])+1</f>
        <v>45809</v>
      </c>
      <c r="E74" s="10">
        <v>1456.1</v>
      </c>
      <c r="F74" s="10">
        <v>1096.5</v>
      </c>
      <c r="G74" s="10">
        <v>1250.8</v>
      </c>
      <c r="H74" s="10">
        <v>824.2</v>
      </c>
      <c r="I74" s="10">
        <v>827.4</v>
      </c>
      <c r="J74" s="10">
        <v>904.7</v>
      </c>
      <c r="K74" s="10">
        <v>1005</v>
      </c>
      <c r="L74" s="10">
        <v>1244</v>
      </c>
      <c r="M74" s="10">
        <v>910.3</v>
      </c>
      <c r="N74" s="10">
        <v>829.7</v>
      </c>
      <c r="O74" s="10">
        <v>974.7</v>
      </c>
      <c r="P74" s="10">
        <v>1048.2</v>
      </c>
      <c r="Q74" s="10">
        <v>1041.0999999999999</v>
      </c>
      <c r="R74" s="10">
        <v>931.4</v>
      </c>
      <c r="S74" s="10">
        <v>1135.7</v>
      </c>
      <c r="T74" s="10">
        <v>1100.9000000000001</v>
      </c>
      <c r="U74" s="10">
        <v>1007.1</v>
      </c>
      <c r="V74" s="10">
        <v>895.2</v>
      </c>
      <c r="W74" s="10">
        <v>988</v>
      </c>
      <c r="X74" s="10">
        <v>836.7</v>
      </c>
      <c r="Y74" s="10">
        <v>939.9</v>
      </c>
      <c r="Z74" s="10">
        <v>957</v>
      </c>
      <c r="AA74" s="10">
        <v>1057.9000000000001</v>
      </c>
      <c r="AB74" s="10">
        <f t="shared" si="5"/>
        <v>23262.500000000004</v>
      </c>
    </row>
    <row r="75" spans="1:28">
      <c r="A75" s="251">
        <f t="shared" si="6"/>
        <v>45817</v>
      </c>
      <c r="B75" s="248">
        <f>YEAR(Table13[[#This Row],[Date]])+IF(MONTH(Table13[[#This Row],[Date]])&gt;=4,1,0)</f>
        <v>2026</v>
      </c>
      <c r="C75" s="249">
        <f>YEAR(Table13[[#This Row],[Date]])</f>
        <v>2025</v>
      </c>
      <c r="D75" s="250">
        <f>Table13[[#This Row],[Date]]-DAY(Table13[[#This Row],[Date]])+1</f>
        <v>45809</v>
      </c>
      <c r="E75" s="10">
        <v>4863.2</v>
      </c>
      <c r="F75" s="10">
        <v>1378.5</v>
      </c>
      <c r="G75" s="10">
        <v>5576.9</v>
      </c>
      <c r="H75" s="10">
        <v>703.6</v>
      </c>
      <c r="I75" s="10">
        <v>1106.4000000000001</v>
      </c>
      <c r="J75" s="10">
        <v>1080</v>
      </c>
      <c r="K75" s="10">
        <v>1163.5</v>
      </c>
      <c r="L75" s="10">
        <v>5335.8</v>
      </c>
      <c r="M75" s="10">
        <v>1226.0999999999999</v>
      </c>
      <c r="N75" s="10">
        <v>5370.9</v>
      </c>
      <c r="O75" s="10">
        <v>5372.3</v>
      </c>
      <c r="P75" s="10">
        <v>4778.3999999999996</v>
      </c>
      <c r="Q75" s="10">
        <v>4662.1000000000004</v>
      </c>
      <c r="R75" s="10">
        <v>5349.3</v>
      </c>
      <c r="S75" s="10">
        <v>4615</v>
      </c>
      <c r="T75" s="10">
        <v>1320.6</v>
      </c>
      <c r="U75" s="10">
        <v>1199.4000000000001</v>
      </c>
      <c r="V75" s="10">
        <v>1126.7</v>
      </c>
      <c r="W75" s="10">
        <v>5376.5</v>
      </c>
      <c r="X75" s="10">
        <v>5412.6</v>
      </c>
      <c r="Y75" s="10">
        <v>1200.7</v>
      </c>
      <c r="Z75" s="10">
        <v>1285.2</v>
      </c>
      <c r="AA75" s="10">
        <v>1194.2</v>
      </c>
      <c r="AB75" s="10">
        <f t="shared" si="5"/>
        <v>70697.899999999994</v>
      </c>
    </row>
    <row r="76" spans="1:28">
      <c r="A76" s="42">
        <f t="shared" si="6"/>
        <v>45818</v>
      </c>
      <c r="B76" s="245">
        <f>YEAR(Table13[[#This Row],[Date]])+IF(MONTH(Table13[[#This Row],[Date]])&gt;=4,1,0)</f>
        <v>2026</v>
      </c>
      <c r="C76" s="246">
        <f>YEAR(Table13[[#This Row],[Date]])</f>
        <v>2025</v>
      </c>
      <c r="D76" s="247">
        <f>Table13[[#This Row],[Date]]-DAY(Table13[[#This Row],[Date]])+1</f>
        <v>45809</v>
      </c>
      <c r="E76" s="10">
        <v>2873</v>
      </c>
      <c r="F76" s="10">
        <v>3247</v>
      </c>
      <c r="G76" s="10">
        <v>3393.6</v>
      </c>
      <c r="H76" s="10">
        <v>3120.1</v>
      </c>
      <c r="I76" s="10">
        <v>3462.9</v>
      </c>
      <c r="J76" s="10">
        <v>3323</v>
      </c>
      <c r="K76" s="10">
        <v>3514.8</v>
      </c>
      <c r="L76" s="10">
        <v>2747.1</v>
      </c>
      <c r="M76" s="10">
        <v>3264</v>
      </c>
      <c r="N76" s="10">
        <v>3278.2</v>
      </c>
      <c r="O76" s="10">
        <v>3600.5</v>
      </c>
      <c r="P76" s="10">
        <v>4037.2</v>
      </c>
      <c r="Q76" s="10">
        <v>3510.5</v>
      </c>
      <c r="R76" s="10">
        <v>3485.1</v>
      </c>
      <c r="S76" s="10">
        <v>2998.4</v>
      </c>
      <c r="T76" s="10">
        <v>3272.7</v>
      </c>
      <c r="U76" s="10">
        <v>3033</v>
      </c>
      <c r="V76" s="10">
        <v>3297.6</v>
      </c>
      <c r="W76" s="10">
        <v>3286.4</v>
      </c>
      <c r="X76" s="10">
        <v>3381.4</v>
      </c>
      <c r="Y76" s="10">
        <v>2852.4</v>
      </c>
      <c r="Z76" s="10">
        <v>3278.6</v>
      </c>
      <c r="AA76" s="10">
        <v>2967.5</v>
      </c>
      <c r="AB76" s="10">
        <f t="shared" si="5"/>
        <v>75224.999999999985</v>
      </c>
    </row>
    <row r="77" spans="1:28">
      <c r="A77" s="251">
        <f t="shared" si="6"/>
        <v>45819</v>
      </c>
      <c r="B77" s="248">
        <f>YEAR(Table13[[#This Row],[Date]])+IF(MONTH(Table13[[#This Row],[Date]])&gt;=4,1,0)</f>
        <v>2026</v>
      </c>
      <c r="C77" s="249">
        <f>YEAR(Table13[[#This Row],[Date]])</f>
        <v>2025</v>
      </c>
      <c r="D77" s="250">
        <f>Table13[[#This Row],[Date]]-DAY(Table13[[#This Row],[Date]])+1</f>
        <v>45809</v>
      </c>
      <c r="E77" s="10">
        <v>8918.7000000000007</v>
      </c>
      <c r="F77" s="10">
        <v>8067.4</v>
      </c>
      <c r="G77" s="10">
        <v>7866.2</v>
      </c>
      <c r="H77" s="10">
        <v>7522.4</v>
      </c>
      <c r="I77" s="10">
        <v>7902.1</v>
      </c>
      <c r="J77" s="10">
        <v>7732.5</v>
      </c>
      <c r="K77" s="10">
        <v>7656.4</v>
      </c>
      <c r="L77" s="10">
        <v>7968.8</v>
      </c>
      <c r="M77" s="10">
        <v>7936.7</v>
      </c>
      <c r="N77" s="10">
        <v>8024.6</v>
      </c>
      <c r="O77" s="10">
        <v>7912.3</v>
      </c>
      <c r="P77" s="10">
        <v>7906.9</v>
      </c>
      <c r="Q77" s="10">
        <v>8125.8</v>
      </c>
      <c r="R77" s="10">
        <v>7993.2</v>
      </c>
      <c r="S77" s="10">
        <v>8134.9</v>
      </c>
      <c r="T77" s="10">
        <v>8087.5</v>
      </c>
      <c r="U77" s="10">
        <v>8064.4</v>
      </c>
      <c r="V77" s="10">
        <v>7894.2</v>
      </c>
      <c r="W77" s="10">
        <v>8138.1</v>
      </c>
      <c r="X77" s="10">
        <v>7785.8</v>
      </c>
      <c r="Y77" s="10">
        <v>7949.3</v>
      </c>
      <c r="Z77" s="10">
        <v>8000.6</v>
      </c>
      <c r="AA77" s="10">
        <v>7984.5</v>
      </c>
      <c r="AB77" s="10">
        <f t="shared" si="5"/>
        <v>183573.3</v>
      </c>
    </row>
    <row r="78" spans="1:28">
      <c r="A78" s="42">
        <f t="shared" si="6"/>
        <v>45820</v>
      </c>
      <c r="B78" s="245">
        <f>YEAR(Table13[[#This Row],[Date]])+IF(MONTH(Table13[[#This Row],[Date]])&gt;=4,1,0)</f>
        <v>2026</v>
      </c>
      <c r="C78" s="246">
        <f>YEAR(Table13[[#This Row],[Date]])</f>
        <v>2025</v>
      </c>
      <c r="D78" s="247">
        <f>Table13[[#This Row],[Date]]-DAY(Table13[[#This Row],[Date]])+1</f>
        <v>45809</v>
      </c>
      <c r="E78" s="10">
        <v>13065.6</v>
      </c>
      <c r="F78" s="10">
        <v>11542.6</v>
      </c>
      <c r="G78" s="10">
        <v>12377.8</v>
      </c>
      <c r="H78" s="10">
        <v>11076</v>
      </c>
      <c r="I78" s="10">
        <v>11297.9</v>
      </c>
      <c r="J78" s="10">
        <v>11540.8</v>
      </c>
      <c r="K78" s="10">
        <v>11536</v>
      </c>
      <c r="L78" s="10">
        <v>12613.7</v>
      </c>
      <c r="M78" s="10">
        <v>10168.200000000001</v>
      </c>
      <c r="N78" s="10">
        <v>12235.6</v>
      </c>
      <c r="O78" s="10">
        <v>12073.8</v>
      </c>
      <c r="P78" s="10">
        <v>12100.3</v>
      </c>
      <c r="Q78" s="10">
        <v>12129.2</v>
      </c>
      <c r="R78" s="10">
        <v>11105.5</v>
      </c>
      <c r="S78" s="10">
        <v>12403.1</v>
      </c>
      <c r="T78" s="10">
        <v>11566.2</v>
      </c>
      <c r="U78" s="10">
        <v>11645.1</v>
      </c>
      <c r="V78" s="10">
        <v>11415.1</v>
      </c>
      <c r="W78" s="10">
        <v>12194</v>
      </c>
      <c r="X78" s="10">
        <v>11767.2</v>
      </c>
      <c r="Y78" s="10">
        <v>11569.1</v>
      </c>
      <c r="Z78" s="10">
        <v>11402.7</v>
      </c>
      <c r="AA78" s="10">
        <v>11473.3</v>
      </c>
      <c r="AB78" s="10">
        <f t="shared" si="5"/>
        <v>270298.80000000005</v>
      </c>
    </row>
    <row r="79" spans="1:28">
      <c r="A79" s="251">
        <f t="shared" si="6"/>
        <v>45821</v>
      </c>
      <c r="B79" s="248">
        <f>YEAR(Table13[[#This Row],[Date]])+IF(MONTH(Table13[[#This Row],[Date]])&gt;=4,1,0)</f>
        <v>2026</v>
      </c>
      <c r="C79" s="249">
        <f>YEAR(Table13[[#This Row],[Date]])</f>
        <v>2025</v>
      </c>
      <c r="D79" s="250">
        <f>Table13[[#This Row],[Date]]-DAY(Table13[[#This Row],[Date]])+1</f>
        <v>45809</v>
      </c>
      <c r="E79" s="10">
        <v>21.4</v>
      </c>
      <c r="F79" s="10">
        <v>1.8</v>
      </c>
      <c r="G79" s="10">
        <v>1.8</v>
      </c>
      <c r="H79" s="10">
        <v>1.5</v>
      </c>
      <c r="I79" s="10">
        <v>1.9</v>
      </c>
      <c r="J79" s="10">
        <v>1.4</v>
      </c>
      <c r="K79" s="10">
        <v>1.7</v>
      </c>
      <c r="L79" s="10">
        <v>1.2</v>
      </c>
      <c r="M79" s="10">
        <v>1.5</v>
      </c>
      <c r="N79" s="10">
        <v>1.7</v>
      </c>
      <c r="O79" s="10">
        <v>1.8</v>
      </c>
      <c r="P79" s="10">
        <v>1.9</v>
      </c>
      <c r="Q79" s="10">
        <v>1.3</v>
      </c>
      <c r="R79" s="10">
        <v>1.3</v>
      </c>
      <c r="S79" s="10">
        <v>1.4</v>
      </c>
      <c r="T79" s="10">
        <v>1.4</v>
      </c>
      <c r="U79" s="10">
        <v>1.2</v>
      </c>
      <c r="V79" s="10">
        <v>1.5</v>
      </c>
      <c r="W79" s="10">
        <v>1.6</v>
      </c>
      <c r="X79" s="10">
        <v>1.8</v>
      </c>
      <c r="Y79" s="10">
        <v>1.8</v>
      </c>
      <c r="Z79" s="10">
        <v>1.2</v>
      </c>
      <c r="AA79" s="10">
        <v>2</v>
      </c>
      <c r="AB79" s="10">
        <f t="shared" si="5"/>
        <v>56.099999999999987</v>
      </c>
    </row>
    <row r="80" spans="1:28">
      <c r="A80" s="42">
        <f t="shared" si="6"/>
        <v>45822</v>
      </c>
      <c r="B80" s="245">
        <f>YEAR(Table13[[#This Row],[Date]])+IF(MONTH(Table13[[#This Row],[Date]])&gt;=4,1,0)</f>
        <v>2026</v>
      </c>
      <c r="C80" s="246">
        <f>YEAR(Table13[[#This Row],[Date]])</f>
        <v>2025</v>
      </c>
      <c r="D80" s="247">
        <f>Table13[[#This Row],[Date]]-DAY(Table13[[#This Row],[Date]])+1</f>
        <v>45809</v>
      </c>
      <c r="E80" s="10">
        <v>3091.2</v>
      </c>
      <c r="F80" s="10">
        <v>3233.1</v>
      </c>
      <c r="G80" s="10">
        <v>4022</v>
      </c>
      <c r="H80" s="10">
        <v>3044.9</v>
      </c>
      <c r="I80" s="10">
        <v>2993.7</v>
      </c>
      <c r="J80" s="10">
        <v>3537.9</v>
      </c>
      <c r="K80" s="10">
        <v>3341.3</v>
      </c>
      <c r="L80" s="10">
        <v>3961.2</v>
      </c>
      <c r="M80" s="10">
        <v>2916.8</v>
      </c>
      <c r="N80" s="10">
        <v>3551</v>
      </c>
      <c r="O80" s="10">
        <v>3517.7</v>
      </c>
      <c r="P80" s="10">
        <v>3306.5</v>
      </c>
      <c r="Q80" s="10">
        <v>3947</v>
      </c>
      <c r="R80" s="10">
        <v>3000.1</v>
      </c>
      <c r="S80" s="10">
        <v>3485.6</v>
      </c>
      <c r="T80" s="10">
        <v>2984.1</v>
      </c>
      <c r="U80" s="10">
        <v>3089.2</v>
      </c>
      <c r="V80" s="10">
        <v>3374</v>
      </c>
      <c r="W80" s="10">
        <v>3120.7</v>
      </c>
      <c r="X80" s="10">
        <v>3503.5</v>
      </c>
      <c r="Y80" s="10">
        <v>3419.5</v>
      </c>
      <c r="Z80" s="10">
        <v>3417.3</v>
      </c>
      <c r="AA80" s="10">
        <v>3107.1</v>
      </c>
      <c r="AB80" s="10">
        <f t="shared" si="5"/>
        <v>76965.399999999994</v>
      </c>
    </row>
    <row r="81" spans="1:28">
      <c r="A81" s="251">
        <f t="shared" si="6"/>
        <v>45823</v>
      </c>
      <c r="B81" s="248">
        <f>YEAR(Table13[[#This Row],[Date]])+IF(MONTH(Table13[[#This Row],[Date]])&gt;=4,1,0)</f>
        <v>2026</v>
      </c>
      <c r="C81" s="249">
        <f>YEAR(Table13[[#This Row],[Date]])</f>
        <v>2025</v>
      </c>
      <c r="D81" s="250">
        <f>Table13[[#This Row],[Date]]-DAY(Table13[[#This Row],[Date]])+1</f>
        <v>45809</v>
      </c>
      <c r="E81" s="10">
        <v>4740.7</v>
      </c>
      <c r="F81" s="10">
        <v>4409.8999999999996</v>
      </c>
      <c r="G81" s="10">
        <v>5427.3</v>
      </c>
      <c r="H81" s="10">
        <v>4523.8</v>
      </c>
      <c r="I81" s="10">
        <v>4386.7</v>
      </c>
      <c r="J81" s="10">
        <v>5085.1000000000004</v>
      </c>
      <c r="K81" s="10">
        <v>5016.5</v>
      </c>
      <c r="L81" s="10">
        <v>5354</v>
      </c>
      <c r="M81" s="10">
        <v>4485.7</v>
      </c>
      <c r="N81" s="10">
        <v>4822.1000000000004</v>
      </c>
      <c r="O81" s="10">
        <v>5158</v>
      </c>
      <c r="P81" s="10">
        <v>4959.8999999999996</v>
      </c>
      <c r="Q81" s="10">
        <v>5343.8</v>
      </c>
      <c r="R81" s="10">
        <v>4785.6000000000004</v>
      </c>
      <c r="S81" s="10">
        <v>4709.8</v>
      </c>
      <c r="T81" s="10">
        <v>4358.3</v>
      </c>
      <c r="U81" s="10">
        <v>4230.3</v>
      </c>
      <c r="V81" s="10">
        <v>4651.8999999999996</v>
      </c>
      <c r="W81" s="10">
        <v>4613.7</v>
      </c>
      <c r="X81" s="10">
        <v>4914.7</v>
      </c>
      <c r="Y81" s="10">
        <v>4301</v>
      </c>
      <c r="Z81" s="10">
        <v>4386.6000000000004</v>
      </c>
      <c r="AA81" s="10">
        <v>4338</v>
      </c>
      <c r="AB81" s="10">
        <f t="shared" si="5"/>
        <v>109003.40000000001</v>
      </c>
    </row>
    <row r="82" spans="1:28">
      <c r="A82" s="42">
        <f t="shared" si="6"/>
        <v>45824</v>
      </c>
      <c r="B82" s="245">
        <f>YEAR(Table13[[#This Row],[Date]])+IF(MONTH(Table13[[#This Row],[Date]])&gt;=4,1,0)</f>
        <v>2026</v>
      </c>
      <c r="C82" s="246">
        <f>YEAR(Table13[[#This Row],[Date]])</f>
        <v>2025</v>
      </c>
      <c r="D82" s="247">
        <f>Table13[[#This Row],[Date]]-DAY(Table13[[#This Row],[Date]])+1</f>
        <v>45809</v>
      </c>
      <c r="E82" s="10">
        <v>8078.7</v>
      </c>
      <c r="F82" s="10">
        <v>7245.7</v>
      </c>
      <c r="G82" s="10">
        <v>9019.7999999999993</v>
      </c>
      <c r="H82" s="10">
        <v>7095.7</v>
      </c>
      <c r="I82" s="10">
        <v>7272.1</v>
      </c>
      <c r="J82" s="10">
        <v>8297.1</v>
      </c>
      <c r="K82" s="10">
        <v>8298.9</v>
      </c>
      <c r="L82" s="10">
        <v>9307.4</v>
      </c>
      <c r="M82" s="10">
        <v>7219.6</v>
      </c>
      <c r="N82" s="10">
        <v>8194.6</v>
      </c>
      <c r="O82" s="10">
        <v>8423</v>
      </c>
      <c r="P82" s="10">
        <v>7974.2</v>
      </c>
      <c r="Q82" s="10">
        <v>8823.7000000000007</v>
      </c>
      <c r="R82" s="10">
        <v>8074.6</v>
      </c>
      <c r="S82" s="10">
        <v>7886.9</v>
      </c>
      <c r="T82" s="10">
        <v>7180.1</v>
      </c>
      <c r="U82" s="10">
        <v>6959</v>
      </c>
      <c r="V82" s="10">
        <v>8078.6</v>
      </c>
      <c r="W82" s="10">
        <v>8188.6</v>
      </c>
      <c r="X82" s="10">
        <v>7876.2</v>
      </c>
      <c r="Y82" s="10">
        <v>7167.3</v>
      </c>
      <c r="Z82" s="10">
        <v>7340.5</v>
      </c>
      <c r="AA82" s="10">
        <v>7240.6</v>
      </c>
      <c r="AB82" s="10">
        <f t="shared" si="5"/>
        <v>181242.90000000002</v>
      </c>
    </row>
    <row r="83" spans="1:28">
      <c r="A83" s="251">
        <f t="shared" si="6"/>
        <v>45825</v>
      </c>
      <c r="B83" s="248">
        <f>YEAR(Table13[[#This Row],[Date]])+IF(MONTH(Table13[[#This Row],[Date]])&gt;=4,1,0)</f>
        <v>2026</v>
      </c>
      <c r="C83" s="249">
        <f>YEAR(Table13[[#This Row],[Date]])</f>
        <v>2025</v>
      </c>
      <c r="D83" s="250">
        <f>Table13[[#This Row],[Date]]-DAY(Table13[[#This Row],[Date]])+1</f>
        <v>45809</v>
      </c>
      <c r="E83" s="10">
        <v>347.7</v>
      </c>
      <c r="F83" s="10">
        <v>593</v>
      </c>
      <c r="G83" s="10">
        <v>156.4</v>
      </c>
      <c r="H83" s="10">
        <v>394.7</v>
      </c>
      <c r="I83" s="10">
        <v>477.4</v>
      </c>
      <c r="J83" s="10">
        <v>363.6</v>
      </c>
      <c r="K83" s="10">
        <v>354.6</v>
      </c>
      <c r="L83" s="10">
        <v>379.1</v>
      </c>
      <c r="M83" s="10">
        <v>408.5</v>
      </c>
      <c r="N83" s="10">
        <v>449.6</v>
      </c>
      <c r="O83" s="10">
        <v>328.7</v>
      </c>
      <c r="P83" s="10">
        <v>224.8</v>
      </c>
      <c r="Q83" s="10">
        <v>388.1</v>
      </c>
      <c r="R83" s="10">
        <v>347.3</v>
      </c>
      <c r="S83" s="10">
        <v>508</v>
      </c>
      <c r="T83" s="10">
        <v>483</v>
      </c>
      <c r="U83" s="10">
        <v>636.70000000000005</v>
      </c>
      <c r="V83" s="10">
        <v>407.2</v>
      </c>
      <c r="W83" s="10">
        <v>403.7</v>
      </c>
      <c r="X83" s="10">
        <v>277.39999999999998</v>
      </c>
      <c r="Y83" s="10">
        <v>513.20000000000005</v>
      </c>
      <c r="Z83" s="10">
        <v>435.3</v>
      </c>
      <c r="AA83" s="10">
        <v>571.6</v>
      </c>
      <c r="AB83" s="10">
        <f t="shared" si="5"/>
        <v>9449.6</v>
      </c>
    </row>
    <row r="84" spans="1:28">
      <c r="A84" s="42">
        <f t="shared" si="6"/>
        <v>45826</v>
      </c>
      <c r="B84" s="245">
        <f>YEAR(Table13[[#This Row],[Date]])+IF(MONTH(Table13[[#This Row],[Date]])&gt;=4,1,0)</f>
        <v>2026</v>
      </c>
      <c r="C84" s="246">
        <f>YEAR(Table13[[#This Row],[Date]])</f>
        <v>2025</v>
      </c>
      <c r="D84" s="247">
        <f>Table13[[#This Row],[Date]]-DAY(Table13[[#This Row],[Date]])+1</f>
        <v>45809</v>
      </c>
      <c r="E84" s="10">
        <v>183.3</v>
      </c>
      <c r="F84" s="10">
        <v>1.8</v>
      </c>
      <c r="G84" s="10">
        <v>9.5</v>
      </c>
      <c r="H84" s="10">
        <v>3.2</v>
      </c>
      <c r="I84" s="10">
        <v>4.4000000000000004</v>
      </c>
      <c r="J84" s="10">
        <v>2.6</v>
      </c>
      <c r="K84" s="10">
        <v>3.6</v>
      </c>
      <c r="L84" s="10">
        <v>2.9</v>
      </c>
      <c r="M84" s="10">
        <v>2.6</v>
      </c>
      <c r="N84" s="10">
        <v>3.9</v>
      </c>
      <c r="O84" s="10">
        <v>4.5999999999999996</v>
      </c>
      <c r="P84" s="10">
        <v>3.8</v>
      </c>
      <c r="Q84" s="10">
        <v>3.4</v>
      </c>
      <c r="R84" s="10">
        <v>4.2</v>
      </c>
      <c r="S84" s="10">
        <v>4.9000000000000004</v>
      </c>
      <c r="T84" s="10">
        <v>3.2</v>
      </c>
      <c r="U84" s="10">
        <v>2.2000000000000002</v>
      </c>
      <c r="V84" s="10">
        <v>3.5</v>
      </c>
      <c r="W84" s="10">
        <v>5</v>
      </c>
      <c r="X84" s="10">
        <v>3.7</v>
      </c>
      <c r="Y84" s="10">
        <v>3.5</v>
      </c>
      <c r="Z84" s="10">
        <v>1.3</v>
      </c>
      <c r="AA84" s="10">
        <v>5.7</v>
      </c>
      <c r="AB84" s="10">
        <f t="shared" si="5"/>
        <v>266.8</v>
      </c>
    </row>
    <row r="85" spans="1:28">
      <c r="A85" s="251">
        <f t="shared" si="6"/>
        <v>45827</v>
      </c>
      <c r="B85" s="248">
        <f>YEAR(Table13[[#This Row],[Date]])+IF(MONTH(Table13[[#This Row],[Date]])&gt;=4,1,0)</f>
        <v>2026</v>
      </c>
      <c r="C85" s="249">
        <f>YEAR(Table13[[#This Row],[Date]])</f>
        <v>2025</v>
      </c>
      <c r="D85" s="250">
        <f>Table13[[#This Row],[Date]]-DAY(Table13[[#This Row],[Date]])+1</f>
        <v>45809</v>
      </c>
      <c r="E85" s="10">
        <v>1880.7</v>
      </c>
      <c r="F85" s="10">
        <v>1824.2</v>
      </c>
      <c r="G85" s="10">
        <v>2162.9</v>
      </c>
      <c r="H85" s="10">
        <v>1959.1</v>
      </c>
      <c r="I85" s="10">
        <v>1863.8</v>
      </c>
      <c r="J85" s="10">
        <v>2025.7</v>
      </c>
      <c r="K85" s="10">
        <v>2043.8</v>
      </c>
      <c r="L85" s="10">
        <v>2146</v>
      </c>
      <c r="M85" s="10">
        <v>1809.3</v>
      </c>
      <c r="N85" s="10">
        <v>2031.9</v>
      </c>
      <c r="O85" s="10">
        <v>2029.9</v>
      </c>
      <c r="P85" s="10">
        <v>1995.8</v>
      </c>
      <c r="Q85" s="10">
        <v>1964.5</v>
      </c>
      <c r="R85" s="10">
        <v>1929.7</v>
      </c>
      <c r="S85" s="10">
        <v>1931.9</v>
      </c>
      <c r="T85" s="10">
        <v>1754.7</v>
      </c>
      <c r="U85" s="10">
        <v>1647.5</v>
      </c>
      <c r="V85" s="10">
        <v>1874.7</v>
      </c>
      <c r="W85" s="10">
        <v>1876.2</v>
      </c>
      <c r="X85" s="10">
        <v>2003.3</v>
      </c>
      <c r="Y85" s="10">
        <v>1837.2</v>
      </c>
      <c r="Z85" s="10">
        <v>1770.6</v>
      </c>
      <c r="AA85" s="10">
        <v>1766.1</v>
      </c>
      <c r="AB85" s="10">
        <f t="shared" si="5"/>
        <v>44129.5</v>
      </c>
    </row>
    <row r="86" spans="1:28">
      <c r="A86" s="42">
        <f t="shared" si="6"/>
        <v>45828</v>
      </c>
      <c r="B86" s="245">
        <f>YEAR(Table13[[#This Row],[Date]])+IF(MONTH(Table13[[#This Row],[Date]])&gt;=4,1,0)</f>
        <v>2026</v>
      </c>
      <c r="C86" s="246">
        <f>YEAR(Table13[[#This Row],[Date]])</f>
        <v>2025</v>
      </c>
      <c r="D86" s="247">
        <f>Table13[[#This Row],[Date]]-DAY(Table13[[#This Row],[Date]])+1</f>
        <v>45809</v>
      </c>
      <c r="E86" s="10">
        <v>186.4</v>
      </c>
      <c r="F86" s="10">
        <v>306.3</v>
      </c>
      <c r="G86" s="10">
        <v>354.5</v>
      </c>
      <c r="H86" s="10">
        <v>375.2</v>
      </c>
      <c r="I86" s="10">
        <v>190.9</v>
      </c>
      <c r="J86" s="10">
        <v>297.39999999999998</v>
      </c>
      <c r="K86" s="10">
        <v>42.5</v>
      </c>
      <c r="L86" s="10">
        <v>92.9</v>
      </c>
      <c r="M86" s="10">
        <v>340.7</v>
      </c>
      <c r="N86" s="10">
        <v>194.6</v>
      </c>
      <c r="O86" s="10">
        <v>131.9</v>
      </c>
      <c r="P86" s="10">
        <v>199.7</v>
      </c>
      <c r="Q86" s="10">
        <v>94.4</v>
      </c>
      <c r="R86" s="10">
        <v>108.6</v>
      </c>
      <c r="S86" s="10">
        <v>323</v>
      </c>
      <c r="T86" s="10">
        <v>31</v>
      </c>
      <c r="U86" s="10">
        <v>81.400000000000006</v>
      </c>
      <c r="V86" s="10">
        <v>107.9</v>
      </c>
      <c r="W86" s="10">
        <v>152.9</v>
      </c>
      <c r="X86" s="10">
        <v>265.2</v>
      </c>
      <c r="Y86" s="10">
        <v>87.1</v>
      </c>
      <c r="Z86" s="10">
        <v>217.2</v>
      </c>
      <c r="AA86" s="10">
        <v>92.4</v>
      </c>
      <c r="AB86" s="10">
        <f t="shared" si="5"/>
        <v>4274.0999999999995</v>
      </c>
    </row>
    <row r="87" spans="1:28">
      <c r="A87" s="251">
        <f t="shared" si="6"/>
        <v>45829</v>
      </c>
      <c r="B87" s="248">
        <f>YEAR(Table13[[#This Row],[Date]])+IF(MONTH(Table13[[#This Row],[Date]])&gt;=4,1,0)</f>
        <v>2026</v>
      </c>
      <c r="C87" s="249">
        <f>YEAR(Table13[[#This Row],[Date]])</f>
        <v>2025</v>
      </c>
      <c r="D87" s="250">
        <f>Table13[[#This Row],[Date]]-DAY(Table13[[#This Row],[Date]])+1</f>
        <v>45809</v>
      </c>
      <c r="E87" s="10">
        <v>592.1</v>
      </c>
      <c r="F87" s="10">
        <v>2.2999999999999998</v>
      </c>
      <c r="G87" s="10">
        <v>401.6</v>
      </c>
      <c r="H87" s="10">
        <v>1046.9000000000001</v>
      </c>
      <c r="I87" s="10">
        <v>293.39999999999998</v>
      </c>
      <c r="J87" s="10">
        <v>52.9</v>
      </c>
      <c r="K87" s="10">
        <v>16.899999999999999</v>
      </c>
      <c r="L87" s="10">
        <v>14.1</v>
      </c>
      <c r="M87" s="10">
        <v>602.6</v>
      </c>
      <c r="N87" s="10">
        <v>737.4</v>
      </c>
      <c r="O87" s="10">
        <v>405.6</v>
      </c>
      <c r="P87" s="10">
        <v>527.5</v>
      </c>
      <c r="Q87" s="10">
        <v>66.8</v>
      </c>
      <c r="R87" s="10">
        <v>319.3</v>
      </c>
      <c r="S87" s="10">
        <v>305.2</v>
      </c>
      <c r="T87" s="10">
        <v>180.5</v>
      </c>
      <c r="U87" s="10">
        <v>206.1</v>
      </c>
      <c r="V87" s="10">
        <v>159.1</v>
      </c>
      <c r="W87" s="10">
        <v>420.1</v>
      </c>
      <c r="X87" s="10">
        <v>505.3</v>
      </c>
      <c r="Y87" s="10">
        <v>246.1</v>
      </c>
      <c r="Z87" s="10">
        <v>473.1</v>
      </c>
      <c r="AA87" s="10">
        <v>187.1</v>
      </c>
      <c r="AB87" s="10">
        <f t="shared" si="5"/>
        <v>7762.0000000000027</v>
      </c>
    </row>
    <row r="88" spans="1:28">
      <c r="A88" s="42">
        <f t="shared" si="6"/>
        <v>45830</v>
      </c>
      <c r="B88" s="245">
        <f>YEAR(Table13[[#This Row],[Date]])+IF(MONTH(Table13[[#This Row],[Date]])&gt;=4,1,0)</f>
        <v>2026</v>
      </c>
      <c r="C88" s="246">
        <f>YEAR(Table13[[#This Row],[Date]])</f>
        <v>2025</v>
      </c>
      <c r="D88" s="247">
        <f>Table13[[#This Row],[Date]]-DAY(Table13[[#This Row],[Date]])+1</f>
        <v>45809</v>
      </c>
      <c r="E88" s="10">
        <v>1752.2</v>
      </c>
      <c r="F88" s="10">
        <v>1009.3</v>
      </c>
      <c r="G88" s="10">
        <v>1177.5</v>
      </c>
      <c r="H88" s="10">
        <v>1263.5999999999999</v>
      </c>
      <c r="I88" s="10">
        <v>965</v>
      </c>
      <c r="J88" s="10">
        <v>1209.0999999999999</v>
      </c>
      <c r="K88" s="10">
        <v>1230.5</v>
      </c>
      <c r="L88" s="10">
        <v>1634.7</v>
      </c>
      <c r="M88" s="10">
        <v>1777.3</v>
      </c>
      <c r="N88" s="10">
        <v>1110.0999999999999</v>
      </c>
      <c r="O88" s="10">
        <v>1149.9000000000001</v>
      </c>
      <c r="P88" s="10">
        <v>2115.1999999999998</v>
      </c>
      <c r="Q88" s="10">
        <v>1505.4</v>
      </c>
      <c r="R88" s="10">
        <v>1434.8</v>
      </c>
      <c r="S88" s="10">
        <v>1756</v>
      </c>
      <c r="T88" s="10">
        <v>1592.5</v>
      </c>
      <c r="U88" s="10">
        <v>1434.7</v>
      </c>
      <c r="V88" s="10">
        <v>1210</v>
      </c>
      <c r="W88" s="10">
        <v>1468.2</v>
      </c>
      <c r="X88" s="10">
        <v>1427.4</v>
      </c>
      <c r="Y88" s="10">
        <v>1591.8</v>
      </c>
      <c r="Z88" s="10">
        <v>1651.7</v>
      </c>
      <c r="AA88" s="10">
        <v>1535.4</v>
      </c>
      <c r="AB88" s="10">
        <f t="shared" si="5"/>
        <v>33002.300000000003</v>
      </c>
    </row>
    <row r="89" spans="1:28">
      <c r="A89" s="251">
        <f t="shared" si="6"/>
        <v>45831</v>
      </c>
      <c r="B89" s="248">
        <f>YEAR(Table13[[#This Row],[Date]])+IF(MONTH(Table13[[#This Row],[Date]])&gt;=4,1,0)</f>
        <v>2026</v>
      </c>
      <c r="C89" s="249">
        <f>YEAR(Table13[[#This Row],[Date]])</f>
        <v>2025</v>
      </c>
      <c r="D89" s="250">
        <f>Table13[[#This Row],[Date]]-DAY(Table13[[#This Row],[Date]])+1</f>
        <v>45809</v>
      </c>
      <c r="E89" s="10">
        <v>3186.8</v>
      </c>
      <c r="F89" s="10">
        <v>2621.5</v>
      </c>
      <c r="G89" s="10">
        <v>3304.7</v>
      </c>
      <c r="H89" s="10">
        <v>2678.3</v>
      </c>
      <c r="I89" s="10">
        <v>2673</v>
      </c>
      <c r="J89" s="10">
        <v>2919.1</v>
      </c>
      <c r="K89" s="10">
        <v>3086.7</v>
      </c>
      <c r="L89" s="10">
        <v>3464.2</v>
      </c>
      <c r="M89" s="10">
        <v>2813.2</v>
      </c>
      <c r="N89" s="10">
        <v>2794.2</v>
      </c>
      <c r="O89" s="10">
        <v>3012.4</v>
      </c>
      <c r="P89" s="10">
        <v>2976.7</v>
      </c>
      <c r="Q89" s="10">
        <v>3692.5</v>
      </c>
      <c r="R89" s="10">
        <v>2797.7</v>
      </c>
      <c r="S89" s="10">
        <v>3358.2</v>
      </c>
      <c r="T89" s="10">
        <v>2927.1</v>
      </c>
      <c r="U89" s="10">
        <v>2831.9</v>
      </c>
      <c r="V89" s="10">
        <v>2725.9</v>
      </c>
      <c r="W89" s="10">
        <v>3213.7</v>
      </c>
      <c r="X89" s="10">
        <v>2874.5</v>
      </c>
      <c r="Y89" s="10">
        <v>2171</v>
      </c>
      <c r="Z89" s="10">
        <v>3102.7</v>
      </c>
      <c r="AA89" s="10">
        <v>2691.3</v>
      </c>
      <c r="AB89" s="10">
        <f t="shared" si="5"/>
        <v>67917.299999999988</v>
      </c>
    </row>
    <row r="90" spans="1:28">
      <c r="A90" s="42">
        <f t="shared" si="6"/>
        <v>45832</v>
      </c>
      <c r="B90" s="245">
        <f>YEAR(Table13[[#This Row],[Date]])+IF(MONTH(Table13[[#This Row],[Date]])&gt;=4,1,0)</f>
        <v>2026</v>
      </c>
      <c r="C90" s="246">
        <f>YEAR(Table13[[#This Row],[Date]])</f>
        <v>2025</v>
      </c>
      <c r="D90" s="247">
        <f>Table13[[#This Row],[Date]]-DAY(Table13[[#This Row],[Date]])+1</f>
        <v>45809</v>
      </c>
      <c r="E90" s="10">
        <v>3551.5</v>
      </c>
      <c r="F90" s="10">
        <v>3146.9</v>
      </c>
      <c r="G90" s="10">
        <v>3667.3</v>
      </c>
      <c r="H90" s="10">
        <v>2559.1999999999998</v>
      </c>
      <c r="I90" s="10">
        <v>3160.6</v>
      </c>
      <c r="J90" s="10">
        <v>3659.1</v>
      </c>
      <c r="K90" s="10">
        <v>3652.6</v>
      </c>
      <c r="L90" s="10">
        <v>4073.6</v>
      </c>
      <c r="M90" s="10">
        <v>2813.9</v>
      </c>
      <c r="N90" s="10">
        <v>3565.9</v>
      </c>
      <c r="O90" s="10">
        <v>3517.3</v>
      </c>
      <c r="P90" s="10">
        <v>3390.4</v>
      </c>
      <c r="Q90" s="10">
        <v>3840.9</v>
      </c>
      <c r="R90" s="10">
        <v>3367.1</v>
      </c>
      <c r="S90" s="10">
        <v>3750.8</v>
      </c>
      <c r="T90" s="10">
        <v>3114.5</v>
      </c>
      <c r="U90" s="10">
        <v>3086.9</v>
      </c>
      <c r="V90" s="10">
        <v>3276.5</v>
      </c>
      <c r="W90" s="10">
        <v>3223.2</v>
      </c>
      <c r="X90" s="10">
        <v>3177.2</v>
      </c>
      <c r="Y90" s="10">
        <v>2979.2</v>
      </c>
      <c r="Z90" s="10">
        <v>3120.2</v>
      </c>
      <c r="AA90" s="10">
        <v>3199.2</v>
      </c>
      <c r="AB90" s="10">
        <f t="shared" si="5"/>
        <v>76894</v>
      </c>
    </row>
    <row r="91" spans="1:28">
      <c r="A91" s="251">
        <f t="shared" si="6"/>
        <v>45833</v>
      </c>
      <c r="B91" s="248">
        <f>YEAR(Table13[[#This Row],[Date]])+IF(MONTH(Table13[[#This Row],[Date]])&gt;=4,1,0)</f>
        <v>2026</v>
      </c>
      <c r="C91" s="249">
        <f>YEAR(Table13[[#This Row],[Date]])</f>
        <v>2025</v>
      </c>
      <c r="D91" s="250">
        <f>Table13[[#This Row],[Date]]-DAY(Table13[[#This Row],[Date]])+1</f>
        <v>45809</v>
      </c>
      <c r="E91" s="10">
        <v>3457.6</v>
      </c>
      <c r="F91" s="10">
        <v>2855.7</v>
      </c>
      <c r="G91" s="10">
        <v>3241</v>
      </c>
      <c r="H91" s="10">
        <v>2420.3000000000002</v>
      </c>
      <c r="I91" s="10">
        <v>2748.2</v>
      </c>
      <c r="J91" s="10">
        <v>3113</v>
      </c>
      <c r="K91" s="10">
        <v>2342.9</v>
      </c>
      <c r="L91" s="10">
        <v>3508</v>
      </c>
      <c r="M91" s="10">
        <v>2680.3</v>
      </c>
      <c r="N91" s="10">
        <v>3134</v>
      </c>
      <c r="O91" s="10">
        <v>2799.5</v>
      </c>
      <c r="P91" s="10">
        <v>3013.8</v>
      </c>
      <c r="Q91" s="10">
        <v>3212.4</v>
      </c>
      <c r="R91" s="10">
        <v>2908.5</v>
      </c>
      <c r="S91" s="10">
        <v>3741.1</v>
      </c>
      <c r="T91" s="10">
        <v>3304.4</v>
      </c>
      <c r="U91" s="10">
        <v>3194.5</v>
      </c>
      <c r="V91" s="10">
        <v>3383.1</v>
      </c>
      <c r="W91" s="10">
        <v>3132.1</v>
      </c>
      <c r="X91" s="10">
        <v>2661.5</v>
      </c>
      <c r="Y91" s="10">
        <v>2801.5</v>
      </c>
      <c r="Z91" s="10">
        <v>3276.1</v>
      </c>
      <c r="AA91" s="10">
        <v>3276.7</v>
      </c>
      <c r="AB91" s="10">
        <f t="shared" si="5"/>
        <v>70206.2</v>
      </c>
    </row>
    <row r="92" spans="1:28">
      <c r="A92" s="42">
        <f t="shared" si="6"/>
        <v>45834</v>
      </c>
      <c r="B92" s="245">
        <f>YEAR(Table13[[#This Row],[Date]])+IF(MONTH(Table13[[#This Row],[Date]])&gt;=4,1,0)</f>
        <v>2026</v>
      </c>
      <c r="C92" s="246">
        <f>YEAR(Table13[[#This Row],[Date]])</f>
        <v>2025</v>
      </c>
      <c r="D92" s="247">
        <f>Table13[[#This Row],[Date]]-DAY(Table13[[#This Row],[Date]])+1</f>
        <v>45809</v>
      </c>
      <c r="E92" s="10">
        <v>4532.8999999999996</v>
      </c>
      <c r="F92" s="10">
        <v>4088.1</v>
      </c>
      <c r="G92" s="10">
        <v>4806.7</v>
      </c>
      <c r="H92" s="10">
        <v>4589.1000000000004</v>
      </c>
      <c r="I92" s="10">
        <v>4158.8999999999996</v>
      </c>
      <c r="J92" s="10">
        <v>4391.1000000000004</v>
      </c>
      <c r="K92" s="10">
        <v>4282.8999999999996</v>
      </c>
      <c r="L92" s="10">
        <v>5126.2</v>
      </c>
      <c r="M92" s="10">
        <v>3828.6</v>
      </c>
      <c r="N92" s="10">
        <v>4420.7</v>
      </c>
      <c r="O92" s="10">
        <v>4543.5</v>
      </c>
      <c r="P92" s="10">
        <v>4754.7</v>
      </c>
      <c r="Q92" s="10">
        <v>4687.1000000000004</v>
      </c>
      <c r="R92" s="10">
        <v>4325.3999999999996</v>
      </c>
      <c r="S92" s="10">
        <v>4691.1000000000004</v>
      </c>
      <c r="T92" s="10">
        <v>4248.2</v>
      </c>
      <c r="U92" s="10">
        <v>4191.6000000000004</v>
      </c>
      <c r="V92" s="10">
        <v>4529.2</v>
      </c>
      <c r="W92" s="10">
        <v>4240.3</v>
      </c>
      <c r="X92" s="10">
        <v>4785.8</v>
      </c>
      <c r="Y92" s="10">
        <v>4517.1000000000004</v>
      </c>
      <c r="Z92" s="10">
        <v>4443.2</v>
      </c>
      <c r="AA92" s="10">
        <v>4420.5</v>
      </c>
      <c r="AB92" s="10">
        <f t="shared" si="5"/>
        <v>102602.90000000001</v>
      </c>
    </row>
    <row r="93" spans="1:28">
      <c r="A93" s="251">
        <f t="shared" si="6"/>
        <v>45835</v>
      </c>
      <c r="B93" s="248">
        <f>YEAR(Table13[[#This Row],[Date]])+IF(MONTH(Table13[[#This Row],[Date]])&gt;=4,1,0)</f>
        <v>2026</v>
      </c>
      <c r="C93" s="249">
        <f>YEAR(Table13[[#This Row],[Date]])</f>
        <v>2025</v>
      </c>
      <c r="D93" s="250">
        <f>Table13[[#This Row],[Date]]-DAY(Table13[[#This Row],[Date]])+1</f>
        <v>45809</v>
      </c>
      <c r="E93" s="10">
        <v>1364</v>
      </c>
      <c r="F93" s="10">
        <v>1463.2</v>
      </c>
      <c r="G93" s="10">
        <v>2037</v>
      </c>
      <c r="H93" s="10">
        <v>763.5</v>
      </c>
      <c r="I93" s="10">
        <v>974.4</v>
      </c>
      <c r="J93" s="10">
        <v>647.5</v>
      </c>
      <c r="K93" s="10">
        <v>639.4</v>
      </c>
      <c r="L93" s="10">
        <v>2039.2</v>
      </c>
      <c r="M93" s="10">
        <v>872.1</v>
      </c>
      <c r="N93" s="10">
        <v>1718.4</v>
      </c>
      <c r="O93" s="10">
        <v>1622.7</v>
      </c>
      <c r="P93" s="10">
        <v>1895.6</v>
      </c>
      <c r="Q93" s="10">
        <v>2007.9</v>
      </c>
      <c r="R93" s="10">
        <v>1709.8</v>
      </c>
      <c r="S93" s="10">
        <v>1863.9</v>
      </c>
      <c r="T93" s="10">
        <v>1181.4000000000001</v>
      </c>
      <c r="U93" s="10">
        <v>1422.2</v>
      </c>
      <c r="V93" s="10">
        <v>1075.3</v>
      </c>
      <c r="W93" s="10">
        <v>1557.7</v>
      </c>
      <c r="X93" s="10">
        <v>1635</v>
      </c>
      <c r="Y93" s="10">
        <v>1489.4</v>
      </c>
      <c r="Z93" s="10">
        <v>1059</v>
      </c>
      <c r="AA93" s="10">
        <v>1408.3</v>
      </c>
      <c r="AB93" s="10">
        <f t="shared" si="5"/>
        <v>32446.900000000005</v>
      </c>
    </row>
    <row r="94" spans="1:28">
      <c r="A94" s="42">
        <f t="shared" si="6"/>
        <v>45836</v>
      </c>
      <c r="B94" s="245">
        <f>YEAR(Table13[[#This Row],[Date]])+IF(MONTH(Table13[[#This Row],[Date]])&gt;=4,1,0)</f>
        <v>2026</v>
      </c>
      <c r="C94" s="246">
        <f>YEAR(Table13[[#This Row],[Date]])</f>
        <v>2025</v>
      </c>
      <c r="D94" s="247">
        <f>Table13[[#This Row],[Date]]-DAY(Table13[[#This Row],[Date]])+1</f>
        <v>45809</v>
      </c>
      <c r="E94" s="10">
        <v>312.60000000000002</v>
      </c>
      <c r="F94" s="10">
        <v>445.7</v>
      </c>
      <c r="G94" s="10">
        <v>105.5</v>
      </c>
      <c r="H94" s="10">
        <v>484.3</v>
      </c>
      <c r="I94" s="10">
        <v>692.9</v>
      </c>
      <c r="J94" s="10">
        <v>265.60000000000002</v>
      </c>
      <c r="K94" s="10">
        <v>69.8</v>
      </c>
      <c r="L94" s="10">
        <v>480.5</v>
      </c>
      <c r="M94" s="10">
        <v>614.20000000000005</v>
      </c>
      <c r="N94" s="10">
        <v>79.3</v>
      </c>
      <c r="O94" s="10">
        <v>194.1</v>
      </c>
      <c r="P94" s="10">
        <v>430.4</v>
      </c>
      <c r="Q94" s="10">
        <v>461.5</v>
      </c>
      <c r="R94" s="10">
        <v>400.1</v>
      </c>
      <c r="S94" s="10">
        <v>191.5</v>
      </c>
      <c r="T94" s="10">
        <v>4776.2</v>
      </c>
      <c r="U94" s="10">
        <v>431.2</v>
      </c>
      <c r="V94" s="10">
        <v>52.7</v>
      </c>
      <c r="W94" s="10">
        <v>271.89999999999998</v>
      </c>
      <c r="X94" s="10">
        <v>593.20000000000005</v>
      </c>
      <c r="Y94" s="10">
        <v>219.8</v>
      </c>
      <c r="Z94" s="10">
        <v>166.2</v>
      </c>
      <c r="AA94" s="10">
        <v>446.2</v>
      </c>
      <c r="AB94" s="10">
        <f t="shared" si="5"/>
        <v>12185.400000000003</v>
      </c>
    </row>
    <row r="95" spans="1:28">
      <c r="A95" s="251">
        <f t="shared" si="6"/>
        <v>45837</v>
      </c>
      <c r="B95" s="248">
        <f>YEAR(Table13[[#This Row],[Date]])+IF(MONTH(Table13[[#This Row],[Date]])&gt;=4,1,0)</f>
        <v>2026</v>
      </c>
      <c r="C95" s="249">
        <f>YEAR(Table13[[#This Row],[Date]])</f>
        <v>2025</v>
      </c>
      <c r="D95" s="250">
        <f>Table13[[#This Row],[Date]]-DAY(Table13[[#This Row],[Date]])+1</f>
        <v>45809</v>
      </c>
      <c r="E95" s="10">
        <v>25.1</v>
      </c>
      <c r="F95" s="10">
        <v>6.6</v>
      </c>
      <c r="G95" s="10">
        <v>1.7</v>
      </c>
      <c r="H95" s="10">
        <v>6.6</v>
      </c>
      <c r="I95" s="10">
        <v>6.8</v>
      </c>
      <c r="J95" s="10">
        <v>6.9</v>
      </c>
      <c r="K95" s="10">
        <v>7.9</v>
      </c>
      <c r="L95" s="10">
        <v>4.9000000000000004</v>
      </c>
      <c r="M95" s="10">
        <v>7.3</v>
      </c>
      <c r="N95" s="10">
        <v>4.5</v>
      </c>
      <c r="O95" s="10">
        <v>5.6</v>
      </c>
      <c r="P95" s="10">
        <v>6</v>
      </c>
      <c r="Q95" s="10">
        <v>5</v>
      </c>
      <c r="R95" s="10">
        <v>4.3</v>
      </c>
      <c r="S95" s="10">
        <v>5.2</v>
      </c>
      <c r="T95" s="10">
        <v>6.1</v>
      </c>
      <c r="U95" s="10">
        <v>1.5</v>
      </c>
      <c r="V95" s="10">
        <v>7.1</v>
      </c>
      <c r="W95" s="10">
        <v>4.2</v>
      </c>
      <c r="X95" s="10">
        <v>2.7</v>
      </c>
      <c r="Y95" s="10">
        <v>6.6</v>
      </c>
      <c r="Z95" s="10">
        <v>3.7</v>
      </c>
      <c r="AA95" s="10">
        <v>8</v>
      </c>
      <c r="AB95" s="10">
        <f t="shared" si="5"/>
        <v>144.29999999999998</v>
      </c>
    </row>
    <row r="96" spans="1:28">
      <c r="A96" s="42">
        <f t="shared" si="6"/>
        <v>45838</v>
      </c>
      <c r="B96" s="245">
        <f>YEAR(Table13[[#This Row],[Date]])+IF(MONTH(Table13[[#This Row],[Date]])&gt;=4,1,0)</f>
        <v>2026</v>
      </c>
      <c r="C96" s="246">
        <f>YEAR(Table13[[#This Row],[Date]])</f>
        <v>2025</v>
      </c>
      <c r="D96" s="247">
        <f>Table13[[#This Row],[Date]]-DAY(Table13[[#This Row],[Date]])+1</f>
        <v>45839</v>
      </c>
      <c r="E96" s="10">
        <v>1293.9000000000001</v>
      </c>
      <c r="F96" s="10">
        <v>1526.2</v>
      </c>
      <c r="G96" s="10">
        <v>1783.2</v>
      </c>
      <c r="H96" s="10">
        <v>852.4</v>
      </c>
      <c r="I96" s="10">
        <v>1409.4</v>
      </c>
      <c r="J96" s="10">
        <v>1881.5</v>
      </c>
      <c r="K96" s="10">
        <v>1926.3</v>
      </c>
      <c r="L96" s="10">
        <v>2105</v>
      </c>
      <c r="M96" s="10">
        <v>1004.5</v>
      </c>
      <c r="N96" s="10">
        <v>1748.8</v>
      </c>
      <c r="O96" s="10">
        <v>1693.5</v>
      </c>
      <c r="P96" s="10">
        <v>1498.8</v>
      </c>
      <c r="Q96" s="10">
        <v>2070.9</v>
      </c>
      <c r="R96" s="10">
        <v>1570.7</v>
      </c>
      <c r="S96" s="10">
        <v>1789.9</v>
      </c>
      <c r="T96" s="10">
        <v>1453.1</v>
      </c>
      <c r="U96" s="10">
        <v>1511.4</v>
      </c>
      <c r="V96" s="10">
        <v>1409.6</v>
      </c>
      <c r="W96" s="10">
        <v>1212.7</v>
      </c>
      <c r="X96" s="10">
        <v>1373</v>
      </c>
      <c r="Y96" s="10">
        <v>1377</v>
      </c>
      <c r="Z96" s="10">
        <v>1303</v>
      </c>
      <c r="AA96" s="10">
        <v>1537.8</v>
      </c>
      <c r="AB96" s="10">
        <f t="shared" si="5"/>
        <v>35332.600000000006</v>
      </c>
    </row>
    <row r="97" spans="1:28">
      <c r="A97" s="251">
        <f t="shared" si="6"/>
        <v>45839</v>
      </c>
      <c r="B97" s="248">
        <f>YEAR(Table13[[#This Row],[Date]])+IF(MONTH(Table13[[#This Row],[Date]])&gt;=4,1,0)</f>
        <v>2026</v>
      </c>
      <c r="C97" s="249">
        <f>YEAR(Table13[[#This Row],[Date]])</f>
        <v>2025</v>
      </c>
      <c r="D97" s="250">
        <f>Table13[[#This Row],[Date]]-DAY(Table13[[#This Row],[Date]])+1</f>
        <v>45839</v>
      </c>
      <c r="E97" s="10">
        <v>401.5</v>
      </c>
      <c r="F97" s="10">
        <v>677.3</v>
      </c>
      <c r="G97" s="10">
        <v>1548.9</v>
      </c>
      <c r="H97" s="10">
        <v>716.7</v>
      </c>
      <c r="I97" s="10">
        <v>685.3</v>
      </c>
      <c r="J97" s="10">
        <v>1556.8</v>
      </c>
      <c r="K97" s="10">
        <v>1473</v>
      </c>
      <c r="L97" s="10">
        <v>1519.2</v>
      </c>
      <c r="M97" s="10">
        <v>1063</v>
      </c>
      <c r="N97" s="10">
        <v>1036</v>
      </c>
      <c r="O97" s="10">
        <v>1287.5</v>
      </c>
      <c r="P97" s="10">
        <v>1729.4</v>
      </c>
      <c r="Q97" s="10">
        <v>1401.1</v>
      </c>
      <c r="R97" s="10">
        <v>1223</v>
      </c>
      <c r="S97" s="10">
        <v>1031.5999999999999</v>
      </c>
      <c r="T97" s="10">
        <v>827.4</v>
      </c>
      <c r="U97" s="10">
        <v>697.2</v>
      </c>
      <c r="V97" s="10">
        <v>851.6</v>
      </c>
      <c r="W97" s="10">
        <v>831</v>
      </c>
      <c r="X97" s="10">
        <v>1317.7</v>
      </c>
      <c r="Y97" s="10">
        <v>823.8</v>
      </c>
      <c r="Z97" s="10">
        <v>795.6</v>
      </c>
      <c r="AA97" s="10">
        <v>584</v>
      </c>
      <c r="AB97" s="10">
        <f t="shared" si="5"/>
        <v>24078.6</v>
      </c>
    </row>
    <row r="98" spans="1:28">
      <c r="A98" s="42">
        <f t="shared" si="6"/>
        <v>45840</v>
      </c>
      <c r="B98" s="245">
        <f>YEAR(Table13[[#This Row],[Date]])+IF(MONTH(Table13[[#This Row],[Date]])&gt;=4,1,0)</f>
        <v>2026</v>
      </c>
      <c r="C98" s="246">
        <f>YEAR(Table13[[#This Row],[Date]])</f>
        <v>2025</v>
      </c>
      <c r="D98" s="247">
        <f>Table13[[#This Row],[Date]]-DAY(Table13[[#This Row],[Date]])+1</f>
        <v>45839</v>
      </c>
      <c r="E98" s="10">
        <v>4666.5</v>
      </c>
      <c r="F98" s="10">
        <v>4572.8</v>
      </c>
      <c r="G98" s="10">
        <v>5460.9</v>
      </c>
      <c r="H98" s="10">
        <v>4397.6000000000004</v>
      </c>
      <c r="I98" s="10">
        <v>4500.3999999999996</v>
      </c>
      <c r="J98" s="10">
        <v>4992</v>
      </c>
      <c r="K98" s="10">
        <v>5155.2</v>
      </c>
      <c r="L98" s="10">
        <v>5366.5</v>
      </c>
      <c r="M98" s="10">
        <v>4455.8999999999996</v>
      </c>
      <c r="N98" s="10">
        <v>5255.8</v>
      </c>
      <c r="O98" s="10">
        <v>5095.8999999999996</v>
      </c>
      <c r="P98" s="10">
        <v>5240.3</v>
      </c>
      <c r="Q98" s="10">
        <v>5018.6000000000004</v>
      </c>
      <c r="R98" s="10">
        <v>4918.6000000000004</v>
      </c>
      <c r="S98" s="10">
        <v>4812.3999999999996</v>
      </c>
      <c r="T98" s="10">
        <v>4505.8999999999996</v>
      </c>
      <c r="U98" s="10">
        <v>4237.7</v>
      </c>
      <c r="V98" s="10">
        <v>4877</v>
      </c>
      <c r="W98" s="10">
        <v>4691.8</v>
      </c>
      <c r="X98" s="10">
        <v>4834.2</v>
      </c>
      <c r="Y98" s="10">
        <v>4559.3</v>
      </c>
      <c r="Z98" s="10">
        <v>4607.7</v>
      </c>
      <c r="AA98" s="10">
        <v>4452.2</v>
      </c>
      <c r="AB98" s="10">
        <f t="shared" si="5"/>
        <v>110675.19999999998</v>
      </c>
    </row>
    <row r="99" spans="1:28">
      <c r="A99" s="251">
        <f t="shared" si="6"/>
        <v>45841</v>
      </c>
      <c r="B99" s="248">
        <f>YEAR(Table13[[#This Row],[Date]])+IF(MONTH(Table13[[#This Row],[Date]])&gt;=4,1,0)</f>
        <v>2026</v>
      </c>
      <c r="C99" s="249">
        <f>YEAR(Table13[[#This Row],[Date]])</f>
        <v>2025</v>
      </c>
      <c r="D99" s="250">
        <f>Table13[[#This Row],[Date]]-DAY(Table13[[#This Row],[Date]])+1</f>
        <v>45839</v>
      </c>
      <c r="E99" s="10">
        <v>747.8</v>
      </c>
      <c r="F99" s="10">
        <v>811.2</v>
      </c>
      <c r="G99" s="10">
        <v>1262.4000000000001</v>
      </c>
      <c r="H99" s="10">
        <v>1189.3</v>
      </c>
      <c r="I99" s="10">
        <v>1139.8</v>
      </c>
      <c r="J99" s="10">
        <v>901.7</v>
      </c>
      <c r="K99" s="10">
        <v>860.7</v>
      </c>
      <c r="L99" s="10">
        <v>650</v>
      </c>
      <c r="M99" s="10">
        <v>1323.5</v>
      </c>
      <c r="N99" s="10">
        <v>1296.2</v>
      </c>
      <c r="O99" s="10">
        <v>1166.2</v>
      </c>
      <c r="P99" s="10">
        <v>1106.5</v>
      </c>
      <c r="Q99" s="10">
        <v>1042.5</v>
      </c>
      <c r="R99" s="10">
        <v>1083.5999999999999</v>
      </c>
      <c r="S99" s="10">
        <v>271.7</v>
      </c>
      <c r="T99" s="10">
        <v>432.1</v>
      </c>
      <c r="U99" s="10">
        <v>631.29999999999995</v>
      </c>
      <c r="V99" s="10">
        <v>1093.9000000000001</v>
      </c>
      <c r="W99" s="10">
        <v>1135.9000000000001</v>
      </c>
      <c r="X99" s="10">
        <v>1072</v>
      </c>
      <c r="Y99" s="10">
        <v>998.5</v>
      </c>
      <c r="Z99" s="10">
        <v>874.7</v>
      </c>
      <c r="AA99" s="10">
        <v>875.3</v>
      </c>
      <c r="AB99" s="10">
        <f t="shared" si="5"/>
        <v>21966.800000000003</v>
      </c>
    </row>
    <row r="100" spans="1:28">
      <c r="A100" s="42">
        <f t="shared" si="6"/>
        <v>45842</v>
      </c>
      <c r="B100" s="245">
        <f>YEAR(Table13[[#This Row],[Date]])+IF(MONTH(Table13[[#This Row],[Date]])&gt;=4,1,0)</f>
        <v>2026</v>
      </c>
      <c r="C100" s="246">
        <f>YEAR(Table13[[#This Row],[Date]])</f>
        <v>2025</v>
      </c>
      <c r="D100" s="247">
        <f>Table13[[#This Row],[Date]]-DAY(Table13[[#This Row],[Date]])+1</f>
        <v>45839</v>
      </c>
      <c r="E100" s="10">
        <v>2013.3</v>
      </c>
      <c r="F100" s="10">
        <v>1925.7</v>
      </c>
      <c r="G100" s="10">
        <v>1613.8</v>
      </c>
      <c r="H100" s="10">
        <v>2018.4</v>
      </c>
      <c r="I100" s="10">
        <v>1900</v>
      </c>
      <c r="J100" s="10">
        <v>2146.5</v>
      </c>
      <c r="K100" s="10">
        <v>2132.4</v>
      </c>
      <c r="L100" s="10">
        <v>2105.6999999999998</v>
      </c>
      <c r="M100" s="10">
        <v>1725.6</v>
      </c>
      <c r="N100" s="10">
        <v>1490</v>
      </c>
      <c r="O100" s="10">
        <v>1951</v>
      </c>
      <c r="P100" s="10">
        <v>1882.7</v>
      </c>
      <c r="Q100" s="10">
        <v>2299.5</v>
      </c>
      <c r="R100" s="10">
        <v>1720.8</v>
      </c>
      <c r="S100" s="10">
        <v>2292.5</v>
      </c>
      <c r="T100" s="10">
        <v>2083.8000000000002</v>
      </c>
      <c r="U100" s="10">
        <v>1997.6</v>
      </c>
      <c r="V100" s="10">
        <v>1994.6</v>
      </c>
      <c r="W100" s="10">
        <v>2010.7</v>
      </c>
      <c r="X100" s="10">
        <v>1843</v>
      </c>
      <c r="Y100" s="10">
        <v>1834.4</v>
      </c>
      <c r="Z100" s="10">
        <v>2132</v>
      </c>
      <c r="AA100" s="10">
        <v>2224.6</v>
      </c>
      <c r="AB100" s="10">
        <f t="shared" si="5"/>
        <v>45338.599999999991</v>
      </c>
    </row>
    <row r="101" spans="1:28">
      <c r="A101" s="251">
        <f t="shared" si="6"/>
        <v>45843</v>
      </c>
      <c r="B101" s="248">
        <f>YEAR(Table13[[#This Row],[Date]])+IF(MONTH(Table13[[#This Row],[Date]])&gt;=4,1,0)</f>
        <v>2026</v>
      </c>
      <c r="C101" s="249">
        <f>YEAR(Table13[[#This Row],[Date]])</f>
        <v>2025</v>
      </c>
      <c r="D101" s="250">
        <f>Table13[[#This Row],[Date]]-DAY(Table13[[#This Row],[Date]])+1</f>
        <v>45839</v>
      </c>
      <c r="E101" s="10">
        <v>3683.9</v>
      </c>
      <c r="F101" s="10">
        <v>3465</v>
      </c>
      <c r="G101" s="10">
        <v>3570.9</v>
      </c>
      <c r="H101" s="10">
        <v>2943.3</v>
      </c>
      <c r="I101" s="10">
        <v>3339.8</v>
      </c>
      <c r="J101" s="10">
        <v>3493.4</v>
      </c>
      <c r="K101" s="10">
        <v>3584.3</v>
      </c>
      <c r="L101" s="10">
        <v>3736.9</v>
      </c>
      <c r="M101" s="10">
        <v>3030.3</v>
      </c>
      <c r="N101" s="10">
        <v>3446</v>
      </c>
      <c r="O101" s="10">
        <v>3533.5</v>
      </c>
      <c r="P101" s="10">
        <v>3606.7</v>
      </c>
      <c r="Q101" s="10">
        <v>3795.9</v>
      </c>
      <c r="R101" s="10">
        <v>3573.6</v>
      </c>
      <c r="S101" s="10">
        <v>4148.3</v>
      </c>
      <c r="T101" s="10">
        <v>3645.3</v>
      </c>
      <c r="U101" s="10">
        <v>3607</v>
      </c>
      <c r="V101" s="10">
        <v>3737.8</v>
      </c>
      <c r="W101" s="10">
        <v>3326.1</v>
      </c>
      <c r="X101" s="10">
        <v>3388.4</v>
      </c>
      <c r="Y101" s="10">
        <v>3607</v>
      </c>
      <c r="Z101" s="10">
        <v>3340.4</v>
      </c>
      <c r="AA101" s="10">
        <v>3640.9</v>
      </c>
      <c r="AB101" s="10">
        <f t="shared" si="5"/>
        <v>81244.7</v>
      </c>
    </row>
    <row r="102" spans="1:28">
      <c r="A102" s="42">
        <f t="shared" si="6"/>
        <v>45844</v>
      </c>
      <c r="B102" s="245">
        <f>YEAR(Table13[[#This Row],[Date]])+IF(MONTH(Table13[[#This Row],[Date]])&gt;=4,1,0)</f>
        <v>2026</v>
      </c>
      <c r="C102" s="246">
        <f>YEAR(Table13[[#This Row],[Date]])</f>
        <v>2025</v>
      </c>
      <c r="D102" s="247">
        <f>Table13[[#This Row],[Date]]-DAY(Table13[[#This Row],[Date]])+1</f>
        <v>45839</v>
      </c>
      <c r="E102" s="10">
        <v>7592.9</v>
      </c>
      <c r="F102" s="10">
        <v>6755.8</v>
      </c>
      <c r="G102" s="10">
        <v>8481.7999999999993</v>
      </c>
      <c r="H102" s="10">
        <v>6861.2</v>
      </c>
      <c r="I102" s="10">
        <v>6797.8</v>
      </c>
      <c r="J102" s="10">
        <v>7899.8</v>
      </c>
      <c r="K102" s="10">
        <v>7860.1</v>
      </c>
      <c r="L102" s="10">
        <v>8720.6</v>
      </c>
      <c r="M102" s="10">
        <v>6914</v>
      </c>
      <c r="N102" s="10">
        <v>7817.4</v>
      </c>
      <c r="O102" s="10">
        <v>7864.2</v>
      </c>
      <c r="P102" s="10">
        <v>7595.8</v>
      </c>
      <c r="Q102" s="10">
        <v>8088.8</v>
      </c>
      <c r="R102" s="10">
        <v>7555.7</v>
      </c>
      <c r="S102" s="10">
        <v>7346.3</v>
      </c>
      <c r="T102" s="10">
        <v>6696.5</v>
      </c>
      <c r="U102" s="10">
        <v>6570.4</v>
      </c>
      <c r="V102" s="10">
        <v>7099.4</v>
      </c>
      <c r="W102" s="10">
        <v>7337.9</v>
      </c>
      <c r="X102" s="10">
        <v>7152</v>
      </c>
      <c r="Y102" s="10">
        <v>6647.4</v>
      </c>
      <c r="Z102" s="10">
        <v>7000.9</v>
      </c>
      <c r="AA102" s="10">
        <v>6668.2</v>
      </c>
      <c r="AB102" s="10">
        <f t="shared" si="5"/>
        <v>169324.9</v>
      </c>
    </row>
    <row r="103" spans="1:28">
      <c r="A103" s="251">
        <f t="shared" si="6"/>
        <v>45845</v>
      </c>
      <c r="B103" s="248">
        <f>YEAR(Table13[[#This Row],[Date]])+IF(MONTH(Table13[[#This Row],[Date]])&gt;=4,1,0)</f>
        <v>2026</v>
      </c>
      <c r="C103" s="249">
        <f>YEAR(Table13[[#This Row],[Date]])</f>
        <v>2025</v>
      </c>
      <c r="D103" s="250">
        <f>Table13[[#This Row],[Date]]-DAY(Table13[[#This Row],[Date]])+1</f>
        <v>45839</v>
      </c>
      <c r="E103" s="10">
        <v>3111.4</v>
      </c>
      <c r="F103" s="10">
        <v>2443</v>
      </c>
      <c r="G103" s="10">
        <v>3255.1</v>
      </c>
      <c r="H103" s="10">
        <v>2451.8000000000002</v>
      </c>
      <c r="I103" s="10">
        <v>2627.8</v>
      </c>
      <c r="J103" s="10">
        <v>3353.6</v>
      </c>
      <c r="K103" s="10">
        <v>3314.6</v>
      </c>
      <c r="L103" s="10">
        <v>3516.2</v>
      </c>
      <c r="M103" s="10">
        <v>2531.9</v>
      </c>
      <c r="N103" s="10">
        <v>2932.9</v>
      </c>
      <c r="O103" s="10">
        <v>3004.5</v>
      </c>
      <c r="P103" s="10">
        <v>2946.2</v>
      </c>
      <c r="Q103" s="10">
        <v>3235.7</v>
      </c>
      <c r="R103" s="10">
        <v>2859.8</v>
      </c>
      <c r="S103" s="10">
        <v>3138.4</v>
      </c>
      <c r="T103" s="10">
        <v>2786.7</v>
      </c>
      <c r="U103" s="10">
        <v>2761.1</v>
      </c>
      <c r="V103" s="10">
        <v>2823.6</v>
      </c>
      <c r="W103" s="10">
        <v>2895.2</v>
      </c>
      <c r="X103" s="10">
        <v>2839</v>
      </c>
      <c r="Y103" s="10">
        <v>2460.5</v>
      </c>
      <c r="Z103" s="10">
        <v>2859</v>
      </c>
      <c r="AA103" s="10">
        <v>2567.5</v>
      </c>
      <c r="AB103" s="10">
        <f t="shared" si="5"/>
        <v>66715.5</v>
      </c>
    </row>
    <row r="104" spans="1:28">
      <c r="A104" s="42">
        <f t="shared" si="6"/>
        <v>45846</v>
      </c>
      <c r="B104" s="245">
        <f>YEAR(Table13[[#This Row],[Date]])+IF(MONTH(Table13[[#This Row],[Date]])&gt;=4,1,0)</f>
        <v>2026</v>
      </c>
      <c r="C104" s="246">
        <f>YEAR(Table13[[#This Row],[Date]])</f>
        <v>2025</v>
      </c>
      <c r="D104" s="247">
        <f>Table13[[#This Row],[Date]]-DAY(Table13[[#This Row],[Date]])+1</f>
        <v>45839</v>
      </c>
      <c r="E104" s="10">
        <v>26.4</v>
      </c>
      <c r="F104" s="10">
        <v>361.5</v>
      </c>
      <c r="G104" s="10">
        <v>699.7</v>
      </c>
      <c r="H104" s="10">
        <v>543.29999999999995</v>
      </c>
      <c r="I104" s="10">
        <v>606.29999999999995</v>
      </c>
      <c r="J104" s="10">
        <v>1018.8</v>
      </c>
      <c r="K104" s="10">
        <v>1148.0999999999999</v>
      </c>
      <c r="L104" s="10">
        <v>1091.8</v>
      </c>
      <c r="M104" s="10">
        <v>542.79999999999995</v>
      </c>
      <c r="N104" s="10">
        <v>679.2</v>
      </c>
      <c r="O104" s="10">
        <v>940.6</v>
      </c>
      <c r="P104" s="10">
        <v>838.9</v>
      </c>
      <c r="Q104" s="10">
        <v>1189.0999999999999</v>
      </c>
      <c r="R104" s="10">
        <v>835.6</v>
      </c>
      <c r="S104" s="10">
        <v>698.1</v>
      </c>
      <c r="T104" s="10">
        <v>561.6</v>
      </c>
      <c r="U104" s="10">
        <v>198.1</v>
      </c>
      <c r="V104" s="10">
        <v>788.3</v>
      </c>
      <c r="W104" s="10">
        <v>881.2</v>
      </c>
      <c r="X104" s="10">
        <v>833.2</v>
      </c>
      <c r="Y104" s="10">
        <v>494</v>
      </c>
      <c r="Z104" s="10">
        <v>613.20000000000005</v>
      </c>
      <c r="AA104" s="10">
        <v>517.1</v>
      </c>
      <c r="AB104" s="10">
        <f t="shared" si="5"/>
        <v>16106.900000000005</v>
      </c>
    </row>
    <row r="105" spans="1:28">
      <c r="A105" s="251">
        <f t="shared" si="6"/>
        <v>45847</v>
      </c>
      <c r="B105" s="248">
        <f>YEAR(Table13[[#This Row],[Date]])+IF(MONTH(Table13[[#This Row],[Date]])&gt;=4,1,0)</f>
        <v>2026</v>
      </c>
      <c r="C105" s="249">
        <f>YEAR(Table13[[#This Row],[Date]])</f>
        <v>2025</v>
      </c>
      <c r="D105" s="250">
        <f>Table13[[#This Row],[Date]]-DAY(Table13[[#This Row],[Date]])+1</f>
        <v>45839</v>
      </c>
      <c r="E105" s="10">
        <v>2215.6999999999998</v>
      </c>
      <c r="F105" s="10">
        <v>2197.6999999999998</v>
      </c>
      <c r="G105" s="10">
        <v>3028.2</v>
      </c>
      <c r="H105" s="10">
        <v>3066.9</v>
      </c>
      <c r="I105" s="10">
        <v>2091.9</v>
      </c>
      <c r="J105" s="10">
        <v>2855.9</v>
      </c>
      <c r="K105" s="10">
        <v>-515.29999999999995</v>
      </c>
      <c r="L105" s="10">
        <v>3036.2</v>
      </c>
      <c r="M105" s="10">
        <v>2203.5</v>
      </c>
      <c r="N105" s="10">
        <v>2416</v>
      </c>
      <c r="O105" s="10">
        <v>2542.4</v>
      </c>
      <c r="P105" s="10">
        <v>2901.7</v>
      </c>
      <c r="Q105" s="10">
        <v>2965.7</v>
      </c>
      <c r="R105" s="10">
        <v>2367.1</v>
      </c>
      <c r="S105" s="10">
        <v>2543.8000000000002</v>
      </c>
      <c r="T105" s="10">
        <v>2313.9</v>
      </c>
      <c r="U105" s="10">
        <v>2014.9</v>
      </c>
      <c r="V105" s="10">
        <v>2071.6999999999998</v>
      </c>
      <c r="W105" s="10">
        <v>2557.6</v>
      </c>
      <c r="X105" s="10">
        <v>2611</v>
      </c>
      <c r="Y105" s="10">
        <v>2118.5</v>
      </c>
      <c r="Z105" s="10">
        <v>2451.1</v>
      </c>
      <c r="AA105" s="10">
        <v>2155.1999999999998</v>
      </c>
      <c r="AB105" s="10">
        <f t="shared" si="5"/>
        <v>54211.3</v>
      </c>
    </row>
    <row r="106" spans="1:28">
      <c r="A106" s="42">
        <f t="shared" si="6"/>
        <v>45848</v>
      </c>
      <c r="B106" s="245">
        <f>YEAR(Table13[[#This Row],[Date]])+IF(MONTH(Table13[[#This Row],[Date]])&gt;=4,1,0)</f>
        <v>2026</v>
      </c>
      <c r="C106" s="246">
        <f>YEAR(Table13[[#This Row],[Date]])</f>
        <v>2025</v>
      </c>
      <c r="D106" s="247">
        <f>Table13[[#This Row],[Date]]-DAY(Table13[[#This Row],[Date]])+1</f>
        <v>45839</v>
      </c>
      <c r="E106" s="10">
        <v>1370.5</v>
      </c>
      <c r="F106" s="10">
        <v>1057.7</v>
      </c>
      <c r="G106" s="10">
        <v>1932.7</v>
      </c>
      <c r="H106" s="10">
        <v>1573</v>
      </c>
      <c r="I106" s="10">
        <v>1226.3</v>
      </c>
      <c r="J106" s="10">
        <v>1555.5</v>
      </c>
      <c r="K106" s="10">
        <v>1480.7</v>
      </c>
      <c r="L106" s="10">
        <v>1831.9</v>
      </c>
      <c r="M106" s="10">
        <v>1388.2</v>
      </c>
      <c r="N106" s="10">
        <v>1681.9</v>
      </c>
      <c r="O106" s="10">
        <v>1550.9</v>
      </c>
      <c r="P106" s="10">
        <v>1984.2</v>
      </c>
      <c r="Q106" s="10">
        <v>1762.1</v>
      </c>
      <c r="R106" s="10">
        <v>1500.3</v>
      </c>
      <c r="S106" s="10">
        <v>1551.8</v>
      </c>
      <c r="T106" s="10">
        <v>906.1</v>
      </c>
      <c r="U106" s="10">
        <v>1010.6</v>
      </c>
      <c r="V106" s="10">
        <v>1418.8</v>
      </c>
      <c r="W106" s="10">
        <v>1423.2</v>
      </c>
      <c r="X106" s="10">
        <v>1779</v>
      </c>
      <c r="Y106" s="10">
        <v>1391.3</v>
      </c>
      <c r="Z106" s="10">
        <v>1261.3</v>
      </c>
      <c r="AA106" s="10">
        <v>1030.4000000000001</v>
      </c>
      <c r="AB106" s="10">
        <f t="shared" si="5"/>
        <v>33668.399999999994</v>
      </c>
    </row>
    <row r="107" spans="1:28">
      <c r="A107" s="251">
        <f t="shared" si="6"/>
        <v>45849</v>
      </c>
      <c r="B107" s="248">
        <f>YEAR(Table13[[#This Row],[Date]])+IF(MONTH(Table13[[#This Row],[Date]])&gt;=4,1,0)</f>
        <v>2026</v>
      </c>
      <c r="C107" s="249">
        <f>YEAR(Table13[[#This Row],[Date]])</f>
        <v>2025</v>
      </c>
      <c r="D107" s="250">
        <f>Table13[[#This Row],[Date]]-DAY(Table13[[#This Row],[Date]])+1</f>
        <v>45839</v>
      </c>
      <c r="E107" s="10">
        <v>2483</v>
      </c>
      <c r="F107" s="10">
        <v>1841.8</v>
      </c>
      <c r="G107" s="10">
        <v>1687.5</v>
      </c>
      <c r="H107" s="10">
        <v>1916.8</v>
      </c>
      <c r="I107" s="10">
        <v>1978</v>
      </c>
      <c r="J107" s="10">
        <v>1834</v>
      </c>
      <c r="K107" s="10">
        <v>1880.6</v>
      </c>
      <c r="L107" s="10">
        <v>1958.6</v>
      </c>
      <c r="M107" s="10">
        <v>1936</v>
      </c>
      <c r="N107" s="10">
        <v>1714.4</v>
      </c>
      <c r="O107" s="10">
        <v>1779.3</v>
      </c>
      <c r="P107" s="10">
        <v>1960.5</v>
      </c>
      <c r="Q107" s="10">
        <v>1870.8</v>
      </c>
      <c r="R107" s="10">
        <v>1664.6</v>
      </c>
      <c r="S107" s="10">
        <v>1840.9</v>
      </c>
      <c r="T107" s="10">
        <v>1945.1</v>
      </c>
      <c r="U107" s="10">
        <v>1957.7</v>
      </c>
      <c r="V107" s="10">
        <v>1781.3</v>
      </c>
      <c r="W107" s="10">
        <v>1882.8</v>
      </c>
      <c r="X107" s="10">
        <v>1802.1</v>
      </c>
      <c r="Y107" s="10">
        <v>217.5</v>
      </c>
      <c r="Z107" s="10">
        <v>1926.8</v>
      </c>
      <c r="AA107" s="10">
        <v>2010</v>
      </c>
      <c r="AB107" s="10">
        <f t="shared" si="5"/>
        <v>41870.100000000006</v>
      </c>
    </row>
    <row r="108" spans="1:28">
      <c r="A108" s="42">
        <f t="shared" si="6"/>
        <v>45850</v>
      </c>
      <c r="B108" s="245">
        <f>YEAR(Table13[[#This Row],[Date]])+IF(MONTH(Table13[[#This Row],[Date]])&gt;=4,1,0)</f>
        <v>2026</v>
      </c>
      <c r="C108" s="246">
        <f>YEAR(Table13[[#This Row],[Date]])</f>
        <v>2025</v>
      </c>
      <c r="D108" s="247">
        <f>Table13[[#This Row],[Date]]-DAY(Table13[[#This Row],[Date]])+1</f>
        <v>45839</v>
      </c>
      <c r="E108" s="10">
        <v>2148.9</v>
      </c>
      <c r="F108" s="10">
        <v>3050.6</v>
      </c>
      <c r="G108" s="10">
        <v>2092.6999999999998</v>
      </c>
      <c r="H108" s="10">
        <v>3102.9</v>
      </c>
      <c r="I108" s="10">
        <v>2865.4</v>
      </c>
      <c r="J108" s="10">
        <v>2685.3</v>
      </c>
      <c r="K108" s="10">
        <v>2463.5</v>
      </c>
      <c r="L108" s="10">
        <v>2035.1</v>
      </c>
      <c r="M108" s="10">
        <v>3028.2</v>
      </c>
      <c r="N108" s="10">
        <v>1803.5</v>
      </c>
      <c r="O108" s="10">
        <v>1830.6</v>
      </c>
      <c r="P108" s="10">
        <v>1694.7</v>
      </c>
      <c r="Q108" s="10">
        <v>1883.2</v>
      </c>
      <c r="R108" s="10">
        <v>1671.3</v>
      </c>
      <c r="S108" s="10">
        <v>2003.9</v>
      </c>
      <c r="T108" s="10">
        <v>3102.7</v>
      </c>
      <c r="U108" s="10">
        <v>2935</v>
      </c>
      <c r="V108" s="10">
        <v>2636.5</v>
      </c>
      <c r="W108" s="10">
        <v>1732</v>
      </c>
      <c r="X108" s="10">
        <v>1652.9</v>
      </c>
      <c r="Y108" s="10">
        <v>3168.6</v>
      </c>
      <c r="Z108" s="10">
        <v>3273.6</v>
      </c>
      <c r="AA108" s="10">
        <v>3012.5</v>
      </c>
      <c r="AB108" s="10">
        <f t="shared" si="5"/>
        <v>55873.599999999991</v>
      </c>
    </row>
    <row r="109" spans="1:28">
      <c r="A109" s="251">
        <f t="shared" si="6"/>
        <v>45851</v>
      </c>
      <c r="B109" s="248">
        <f>YEAR(Table13[[#This Row],[Date]])+IF(MONTH(Table13[[#This Row],[Date]])&gt;=4,1,0)</f>
        <v>2026</v>
      </c>
      <c r="C109" s="249">
        <f>YEAR(Table13[[#This Row],[Date]])</f>
        <v>2025</v>
      </c>
      <c r="D109" s="250">
        <f>Table13[[#This Row],[Date]]-DAY(Table13[[#This Row],[Date]])+1</f>
        <v>45839</v>
      </c>
      <c r="E109" s="10">
        <v>3090.8</v>
      </c>
      <c r="F109" s="10">
        <v>2810.6</v>
      </c>
      <c r="G109" s="10">
        <v>2968.5</v>
      </c>
      <c r="H109" s="10">
        <v>2093.1999999999998</v>
      </c>
      <c r="I109" s="10">
        <v>2298.1</v>
      </c>
      <c r="J109" s="10">
        <v>2584</v>
      </c>
      <c r="K109" s="10">
        <v>2538.5</v>
      </c>
      <c r="L109" s="10">
        <v>3327.4</v>
      </c>
      <c r="M109" s="10">
        <v>2235.6</v>
      </c>
      <c r="N109" s="10">
        <v>2846.6</v>
      </c>
      <c r="O109" s="10">
        <v>2705.2</v>
      </c>
      <c r="P109" s="10">
        <v>2671.9</v>
      </c>
      <c r="Q109" s="10">
        <v>2738</v>
      </c>
      <c r="R109" s="10">
        <v>2510.9</v>
      </c>
      <c r="S109" s="10">
        <v>2892.7</v>
      </c>
      <c r="T109" s="10">
        <v>2697.1</v>
      </c>
      <c r="U109" s="10">
        <v>2629.4</v>
      </c>
      <c r="V109" s="10">
        <v>2560.4</v>
      </c>
      <c r="W109" s="10">
        <v>2562.1</v>
      </c>
      <c r="X109" s="10">
        <v>2377.5</v>
      </c>
      <c r="Y109" s="10">
        <v>2878</v>
      </c>
      <c r="Z109" s="10">
        <v>2563.3000000000002</v>
      </c>
      <c r="AA109" s="10">
        <v>2794.7</v>
      </c>
      <c r="AB109" s="10">
        <f t="shared" si="5"/>
        <v>61374.499999999993</v>
      </c>
    </row>
    <row r="110" spans="1:28">
      <c r="A110" s="42">
        <f t="shared" si="6"/>
        <v>45852</v>
      </c>
      <c r="B110" s="245">
        <f>YEAR(Table13[[#This Row],[Date]])+IF(MONTH(Table13[[#This Row],[Date]])&gt;=4,1,0)</f>
        <v>2026</v>
      </c>
      <c r="C110" s="246">
        <f>YEAR(Table13[[#This Row],[Date]])</f>
        <v>2025</v>
      </c>
      <c r="D110" s="247">
        <f>Table13[[#This Row],[Date]]-DAY(Table13[[#This Row],[Date]])+1</f>
        <v>45839</v>
      </c>
      <c r="E110" s="10">
        <v>3290.3</v>
      </c>
      <c r="F110" s="10">
        <v>4894.3</v>
      </c>
      <c r="G110" s="10">
        <v>7343.7</v>
      </c>
      <c r="H110" s="10">
        <v>5199.1000000000004</v>
      </c>
      <c r="I110" s="10">
        <v>4987.3999999999996</v>
      </c>
      <c r="J110" s="10">
        <v>5882.6</v>
      </c>
      <c r="K110" s="10">
        <v>5765.8</v>
      </c>
      <c r="L110" s="10">
        <v>7175.6</v>
      </c>
      <c r="M110" s="10">
        <v>4787.7</v>
      </c>
      <c r="N110" s="10">
        <v>6007.9</v>
      </c>
      <c r="O110" s="10">
        <v>5967.4</v>
      </c>
      <c r="P110" s="10">
        <v>5843</v>
      </c>
      <c r="Q110" s="10">
        <v>5969.7</v>
      </c>
      <c r="R110" s="10">
        <v>5480.3</v>
      </c>
      <c r="S110" s="10">
        <v>5604.5</v>
      </c>
      <c r="T110" s="10">
        <v>5081.5</v>
      </c>
      <c r="U110" s="10">
        <v>4587.1000000000004</v>
      </c>
      <c r="V110" s="10">
        <v>5299.2</v>
      </c>
      <c r="W110" s="10">
        <v>5358.2</v>
      </c>
      <c r="X110" s="10">
        <v>5519.5</v>
      </c>
      <c r="Y110" s="10">
        <v>5102.3999999999996</v>
      </c>
      <c r="Z110" s="10">
        <v>4974.3999999999996</v>
      </c>
      <c r="AA110" s="10">
        <v>4791.3999999999996</v>
      </c>
      <c r="AB110" s="10">
        <f t="shared" si="5"/>
        <v>124912.99999999999</v>
      </c>
    </row>
    <row r="111" spans="1:28">
      <c r="A111" s="251">
        <f t="shared" si="6"/>
        <v>45853</v>
      </c>
      <c r="B111" s="248">
        <f>YEAR(Table13[[#This Row],[Date]])+IF(MONTH(Table13[[#This Row],[Date]])&gt;=4,1,0)</f>
        <v>2026</v>
      </c>
      <c r="C111" s="249">
        <f>YEAR(Table13[[#This Row],[Date]])</f>
        <v>2025</v>
      </c>
      <c r="D111" s="250">
        <f>Table13[[#This Row],[Date]]-DAY(Table13[[#This Row],[Date]])+1</f>
        <v>45839</v>
      </c>
      <c r="E111" s="10">
        <v>2107.6999999999998</v>
      </c>
      <c r="F111" s="10">
        <v>5934.3</v>
      </c>
      <c r="G111" s="10">
        <v>7964.4</v>
      </c>
      <c r="H111" s="10">
        <v>6299.4</v>
      </c>
      <c r="I111" s="10">
        <v>6237.4</v>
      </c>
      <c r="J111" s="10">
        <v>6775.5</v>
      </c>
      <c r="K111" s="10">
        <v>6904</v>
      </c>
      <c r="L111" s="10">
        <v>7264.6</v>
      </c>
      <c r="M111" s="10">
        <v>6151.4</v>
      </c>
      <c r="N111" s="10">
        <v>6791</v>
      </c>
      <c r="O111" s="10">
        <v>6762.1</v>
      </c>
      <c r="P111" s="10">
        <v>6877</v>
      </c>
      <c r="Q111" s="10">
        <v>6792.5</v>
      </c>
      <c r="R111" s="10">
        <v>6688.1</v>
      </c>
      <c r="S111" s="10">
        <v>6586.3</v>
      </c>
      <c r="T111" s="10">
        <v>6017.6</v>
      </c>
      <c r="U111" s="10">
        <v>5972.5</v>
      </c>
      <c r="V111" s="10">
        <v>6206.2</v>
      </c>
      <c r="W111" s="10">
        <v>6553.6</v>
      </c>
      <c r="X111" s="10">
        <v>6713.3</v>
      </c>
      <c r="Y111" s="10">
        <v>6188.3</v>
      </c>
      <c r="Z111" s="10">
        <v>6216.1</v>
      </c>
      <c r="AA111" s="10">
        <v>5953.8</v>
      </c>
      <c r="AB111" s="10">
        <f t="shared" si="5"/>
        <v>145957.1</v>
      </c>
    </row>
    <row r="112" spans="1:28">
      <c r="A112" s="42">
        <f t="shared" si="6"/>
        <v>45854</v>
      </c>
      <c r="B112" s="245">
        <f>YEAR(Table13[[#This Row],[Date]])+IF(MONTH(Table13[[#This Row],[Date]])&gt;=4,1,0)</f>
        <v>2026</v>
      </c>
      <c r="C112" s="246">
        <f>YEAR(Table13[[#This Row],[Date]])</f>
        <v>2025</v>
      </c>
      <c r="D112" s="247">
        <f>Table13[[#This Row],[Date]]-DAY(Table13[[#This Row],[Date]])+1</f>
        <v>45839</v>
      </c>
      <c r="E112" s="10">
        <v>4361.8</v>
      </c>
      <c r="F112" s="10">
        <v>2952.5</v>
      </c>
      <c r="G112" s="10">
        <v>3012.7</v>
      </c>
      <c r="H112" s="10">
        <v>2763</v>
      </c>
      <c r="I112" s="10">
        <v>3044.8</v>
      </c>
      <c r="J112" s="10">
        <v>2602.6</v>
      </c>
      <c r="K112" s="10">
        <v>2559.5</v>
      </c>
      <c r="L112" s="10">
        <v>3189.4</v>
      </c>
      <c r="M112" s="10">
        <v>3127.2</v>
      </c>
      <c r="N112" s="10">
        <v>3072.6</v>
      </c>
      <c r="O112" s="10">
        <v>3169.5</v>
      </c>
      <c r="P112" s="10">
        <v>3438.4</v>
      </c>
      <c r="Q112" s="10">
        <v>3582.5</v>
      </c>
      <c r="R112" s="10">
        <v>3402.9</v>
      </c>
      <c r="S112" s="10">
        <v>3597</v>
      </c>
      <c r="T112" s="10">
        <v>3168.6</v>
      </c>
      <c r="U112" s="10">
        <v>3261.6</v>
      </c>
      <c r="V112" s="10">
        <v>2843.8</v>
      </c>
      <c r="W112" s="10">
        <v>3365</v>
      </c>
      <c r="X112" s="10">
        <v>3300.7</v>
      </c>
      <c r="Y112" s="10">
        <v>3347.5</v>
      </c>
      <c r="Z112" s="10">
        <v>3259.2</v>
      </c>
      <c r="AA112" s="10">
        <v>3302.4</v>
      </c>
      <c r="AB112" s="10">
        <f t="shared" si="5"/>
        <v>73725.2</v>
      </c>
    </row>
    <row r="113" spans="1:28">
      <c r="A113" s="251">
        <f t="shared" si="6"/>
        <v>45855</v>
      </c>
      <c r="B113" s="248">
        <f>YEAR(Table13[[#This Row],[Date]])+IF(MONTH(Table13[[#This Row],[Date]])&gt;=4,1,0)</f>
        <v>2026</v>
      </c>
      <c r="C113" s="249">
        <f>YEAR(Table13[[#This Row],[Date]])</f>
        <v>2025</v>
      </c>
      <c r="D113" s="250">
        <f>Table13[[#This Row],[Date]]-DAY(Table13[[#This Row],[Date]])+1</f>
        <v>45839</v>
      </c>
      <c r="E113" s="10">
        <v>537.70000000000005</v>
      </c>
      <c r="F113" s="10">
        <v>68.7</v>
      </c>
      <c r="G113" s="10">
        <v>763.2</v>
      </c>
      <c r="H113" s="10">
        <v>240.2</v>
      </c>
      <c r="I113" s="10">
        <v>212.8</v>
      </c>
      <c r="J113" s="10">
        <v>561.6</v>
      </c>
      <c r="K113" s="10">
        <v>546.79999999999995</v>
      </c>
      <c r="L113" s="10">
        <v>734.6</v>
      </c>
      <c r="M113" s="10">
        <v>164.6</v>
      </c>
      <c r="N113" s="10">
        <v>717</v>
      </c>
      <c r="O113" s="10">
        <v>721</v>
      </c>
      <c r="P113" s="10">
        <v>620.1</v>
      </c>
      <c r="Q113" s="10">
        <v>709.1</v>
      </c>
      <c r="R113" s="10">
        <v>518.6</v>
      </c>
      <c r="S113" s="10">
        <v>639</v>
      </c>
      <c r="T113" s="10">
        <v>100.6</v>
      </c>
      <c r="U113" s="10">
        <v>21.7</v>
      </c>
      <c r="V113" s="10">
        <v>559.9</v>
      </c>
      <c r="W113" s="10">
        <v>1094.7</v>
      </c>
      <c r="X113" s="10">
        <v>701.9</v>
      </c>
      <c r="Y113" s="10">
        <v>213.2</v>
      </c>
      <c r="Z113" s="10">
        <v>193.4</v>
      </c>
      <c r="AA113" s="10">
        <v>278.3</v>
      </c>
      <c r="AB113" s="10">
        <f t="shared" si="5"/>
        <v>10918.7</v>
      </c>
    </row>
    <row r="114" spans="1:28">
      <c r="A114" s="42">
        <f t="shared" si="6"/>
        <v>45856</v>
      </c>
      <c r="B114" s="245">
        <f>YEAR(Table13[[#This Row],[Date]])+IF(MONTH(Table13[[#This Row],[Date]])&gt;=4,1,0)</f>
        <v>2026</v>
      </c>
      <c r="C114" s="246">
        <f>YEAR(Table13[[#This Row],[Date]])</f>
        <v>2025</v>
      </c>
      <c r="D114" s="247">
        <f>Table13[[#This Row],[Date]]-DAY(Table13[[#This Row],[Date]])+1</f>
        <v>45839</v>
      </c>
      <c r="E114" s="10">
        <v>222</v>
      </c>
      <c r="F114" s="10">
        <v>645.5</v>
      </c>
      <c r="G114" s="10">
        <v>1120.5999999999999</v>
      </c>
      <c r="H114" s="10">
        <v>723.7</v>
      </c>
      <c r="I114" s="10">
        <v>633.4</v>
      </c>
      <c r="J114" s="10">
        <v>613.29999999999995</v>
      </c>
      <c r="K114" s="10">
        <v>593.20000000000005</v>
      </c>
      <c r="L114" s="10">
        <v>514.20000000000005</v>
      </c>
      <c r="M114" s="10">
        <v>649.6</v>
      </c>
      <c r="N114" s="10">
        <v>510.3</v>
      </c>
      <c r="O114" s="10">
        <v>555.5</v>
      </c>
      <c r="P114" s="10">
        <v>602.4</v>
      </c>
      <c r="Q114" s="10">
        <v>582</v>
      </c>
      <c r="R114" s="10">
        <v>592.9</v>
      </c>
      <c r="S114" s="10">
        <v>401.9</v>
      </c>
      <c r="T114" s="10">
        <v>552.20000000000005</v>
      </c>
      <c r="U114" s="10">
        <v>605.6</v>
      </c>
      <c r="V114" s="10">
        <v>640.9</v>
      </c>
      <c r="W114" s="10">
        <v>616.6</v>
      </c>
      <c r="X114" s="10">
        <v>670.6</v>
      </c>
      <c r="Y114" s="10">
        <v>604.20000000000005</v>
      </c>
      <c r="Z114" s="10">
        <v>695.3</v>
      </c>
      <c r="AA114" s="10">
        <v>543.70000000000005</v>
      </c>
      <c r="AB114" s="10">
        <f t="shared" si="5"/>
        <v>13889.600000000002</v>
      </c>
    </row>
    <row r="115" spans="1:28">
      <c r="A115" s="251">
        <f t="shared" si="6"/>
        <v>45857</v>
      </c>
      <c r="B115" s="248">
        <f>YEAR(Table13[[#This Row],[Date]])+IF(MONTH(Table13[[#This Row],[Date]])&gt;=4,1,0)</f>
        <v>2026</v>
      </c>
      <c r="C115" s="249">
        <f>YEAR(Table13[[#This Row],[Date]])</f>
        <v>2025</v>
      </c>
      <c r="D115" s="250">
        <f>Table13[[#This Row],[Date]]-DAY(Table13[[#This Row],[Date]])+1</f>
        <v>45839</v>
      </c>
      <c r="E115" s="10">
        <v>3347.7</v>
      </c>
      <c r="F115" s="10">
        <v>3329.2</v>
      </c>
      <c r="G115" s="10">
        <v>3404.4</v>
      </c>
      <c r="H115" s="10">
        <v>3224.3</v>
      </c>
      <c r="I115" s="10">
        <v>3222.4</v>
      </c>
      <c r="J115" s="10">
        <v>3511.5</v>
      </c>
      <c r="K115" s="10">
        <v>3342.6</v>
      </c>
      <c r="L115" s="10">
        <v>3355.3</v>
      </c>
      <c r="M115" s="10">
        <v>3408.5</v>
      </c>
      <c r="N115" s="10">
        <v>3158.6</v>
      </c>
      <c r="O115" s="10">
        <v>3399.6</v>
      </c>
      <c r="P115" s="10">
        <v>3443.5</v>
      </c>
      <c r="Q115" s="10">
        <v>3607.8</v>
      </c>
      <c r="R115" s="10">
        <v>3229</v>
      </c>
      <c r="S115" s="10">
        <v>946.7</v>
      </c>
      <c r="T115" s="10">
        <v>3503.9</v>
      </c>
      <c r="U115" s="10">
        <v>3280.2</v>
      </c>
      <c r="V115" s="10">
        <v>3362.8</v>
      </c>
      <c r="W115" s="10">
        <v>3239.6</v>
      </c>
      <c r="X115" s="10">
        <v>3161.4</v>
      </c>
      <c r="Y115" s="10">
        <v>3229.6</v>
      </c>
      <c r="Z115" s="10">
        <v>3390.3</v>
      </c>
      <c r="AA115" s="10">
        <v>3315.2</v>
      </c>
      <c r="AB115" s="10">
        <f t="shared" si="5"/>
        <v>74414.100000000006</v>
      </c>
    </row>
    <row r="116" spans="1:28">
      <c r="A116" s="42">
        <f t="shared" si="6"/>
        <v>45858</v>
      </c>
      <c r="B116" s="245">
        <f>YEAR(Table13[[#This Row],[Date]])+IF(MONTH(Table13[[#This Row],[Date]])&gt;=4,1,0)</f>
        <v>2026</v>
      </c>
      <c r="C116" s="246">
        <f>YEAR(Table13[[#This Row],[Date]])</f>
        <v>2025</v>
      </c>
      <c r="D116" s="247">
        <f>Table13[[#This Row],[Date]]-DAY(Table13[[#This Row],[Date]])+1</f>
        <v>45839</v>
      </c>
      <c r="AB116" s="10">
        <f t="shared" si="5"/>
        <v>0</v>
      </c>
    </row>
    <row r="117" spans="1:28">
      <c r="A117" s="251">
        <f t="shared" si="6"/>
        <v>45859</v>
      </c>
      <c r="B117" s="248">
        <f>YEAR(Table13[[#This Row],[Date]])+IF(MONTH(Table13[[#This Row],[Date]])&gt;=4,1,0)</f>
        <v>2026</v>
      </c>
      <c r="C117" s="249">
        <f>YEAR(Table13[[#This Row],[Date]])</f>
        <v>2025</v>
      </c>
      <c r="D117" s="250">
        <f>Table13[[#This Row],[Date]]-DAY(Table13[[#This Row],[Date]])+1</f>
        <v>45839</v>
      </c>
      <c r="AB117" s="10">
        <f t="shared" si="5"/>
        <v>0</v>
      </c>
    </row>
    <row r="118" spans="1:28">
      <c r="A118" s="42">
        <f t="shared" si="6"/>
        <v>45860</v>
      </c>
      <c r="B118" s="245">
        <f>YEAR(Table13[[#This Row],[Date]])+IF(MONTH(Table13[[#This Row],[Date]])&gt;=4,1,0)</f>
        <v>2026</v>
      </c>
      <c r="C118" s="246">
        <f>YEAR(Table13[[#This Row],[Date]])</f>
        <v>2025</v>
      </c>
      <c r="D118" s="247">
        <f>Table13[[#This Row],[Date]]-DAY(Table13[[#This Row],[Date]])+1</f>
        <v>45839</v>
      </c>
      <c r="AB118" s="10">
        <f t="shared" si="5"/>
        <v>0</v>
      </c>
    </row>
    <row r="119" spans="1:28">
      <c r="A119" s="251">
        <f t="shared" si="6"/>
        <v>45861</v>
      </c>
      <c r="B119" s="248">
        <f>YEAR(Table13[[#This Row],[Date]])+IF(MONTH(Table13[[#This Row],[Date]])&gt;=4,1,0)</f>
        <v>2026</v>
      </c>
      <c r="C119" s="249">
        <f>YEAR(Table13[[#This Row],[Date]])</f>
        <v>2025</v>
      </c>
      <c r="D119" s="250">
        <f>Table13[[#This Row],[Date]]-DAY(Table13[[#This Row],[Date]])+1</f>
        <v>45839</v>
      </c>
      <c r="AB119" s="10">
        <f t="shared" si="5"/>
        <v>0</v>
      </c>
    </row>
    <row r="120" spans="1:28">
      <c r="A120" s="42">
        <f t="shared" si="6"/>
        <v>45862</v>
      </c>
      <c r="B120" s="245">
        <f>YEAR(Table13[[#This Row],[Date]])+IF(MONTH(Table13[[#This Row],[Date]])&gt;=4,1,0)</f>
        <v>2026</v>
      </c>
      <c r="C120" s="246">
        <f>YEAR(Table13[[#This Row],[Date]])</f>
        <v>2025</v>
      </c>
      <c r="D120" s="247">
        <f>Table13[[#This Row],[Date]]-DAY(Table13[[#This Row],[Date]])+1</f>
        <v>45839</v>
      </c>
      <c r="AB120" s="10">
        <f t="shared" si="5"/>
        <v>0</v>
      </c>
    </row>
    <row r="121" spans="1:28">
      <c r="A121" s="251">
        <f t="shared" si="6"/>
        <v>45863</v>
      </c>
      <c r="B121" s="248">
        <f>YEAR(Table13[[#This Row],[Date]])+IF(MONTH(Table13[[#This Row],[Date]])&gt;=4,1,0)</f>
        <v>2026</v>
      </c>
      <c r="C121" s="249">
        <f>YEAR(Table13[[#This Row],[Date]])</f>
        <v>2025</v>
      </c>
      <c r="D121" s="250">
        <f>Table13[[#This Row],[Date]]-DAY(Table13[[#This Row],[Date]])+1</f>
        <v>45839</v>
      </c>
      <c r="AB121" s="10">
        <f t="shared" si="5"/>
        <v>0</v>
      </c>
    </row>
    <row r="122" spans="1:28">
      <c r="A122" s="42">
        <f t="shared" si="6"/>
        <v>45864</v>
      </c>
      <c r="B122" s="245">
        <f>YEAR(Table13[[#This Row],[Date]])+IF(MONTH(Table13[[#This Row],[Date]])&gt;=4,1,0)</f>
        <v>2026</v>
      </c>
      <c r="C122" s="246">
        <f>YEAR(Table13[[#This Row],[Date]])</f>
        <v>2025</v>
      </c>
      <c r="D122" s="247">
        <f>Table13[[#This Row],[Date]]-DAY(Table13[[#This Row],[Date]])+1</f>
        <v>45839</v>
      </c>
      <c r="AB122" s="10">
        <f t="shared" si="5"/>
        <v>0</v>
      </c>
    </row>
    <row r="123" spans="1:28">
      <c r="A123" s="251">
        <f t="shared" si="6"/>
        <v>45865</v>
      </c>
      <c r="B123" s="248">
        <f>YEAR(Table13[[#This Row],[Date]])+IF(MONTH(Table13[[#This Row],[Date]])&gt;=4,1,0)</f>
        <v>2026</v>
      </c>
      <c r="C123" s="249">
        <f>YEAR(Table13[[#This Row],[Date]])</f>
        <v>2025</v>
      </c>
      <c r="D123" s="250">
        <f>Table13[[#This Row],[Date]]-DAY(Table13[[#This Row],[Date]])+1</f>
        <v>45839</v>
      </c>
      <c r="AB123" s="10">
        <f t="shared" si="5"/>
        <v>0</v>
      </c>
    </row>
    <row r="124" spans="1:28">
      <c r="A124" s="42">
        <f t="shared" si="6"/>
        <v>45866</v>
      </c>
      <c r="B124" s="245">
        <f>YEAR(Table13[[#This Row],[Date]])+IF(MONTH(Table13[[#This Row],[Date]])&gt;=4,1,0)</f>
        <v>2026</v>
      </c>
      <c r="C124" s="246">
        <f>YEAR(Table13[[#This Row],[Date]])</f>
        <v>2025</v>
      </c>
      <c r="D124" s="247">
        <f>Table13[[#This Row],[Date]]-DAY(Table13[[#This Row],[Date]])+1</f>
        <v>45839</v>
      </c>
      <c r="AB124" s="10">
        <f t="shared" si="5"/>
        <v>0</v>
      </c>
    </row>
    <row r="125" spans="1:28">
      <c r="A125" s="251">
        <f t="shared" si="6"/>
        <v>45867</v>
      </c>
      <c r="B125" s="248">
        <f>YEAR(Table13[[#This Row],[Date]])+IF(MONTH(Table13[[#This Row],[Date]])&gt;=4,1,0)</f>
        <v>2026</v>
      </c>
      <c r="C125" s="249">
        <f>YEAR(Table13[[#This Row],[Date]])</f>
        <v>2025</v>
      </c>
      <c r="D125" s="250">
        <f>Table13[[#This Row],[Date]]-DAY(Table13[[#This Row],[Date]])+1</f>
        <v>45839</v>
      </c>
      <c r="AB125" s="10">
        <f t="shared" si="5"/>
        <v>0</v>
      </c>
    </row>
    <row r="126" spans="1:28">
      <c r="A126" s="42">
        <f t="shared" si="6"/>
        <v>45868</v>
      </c>
      <c r="B126" s="245">
        <f>YEAR(Table13[[#This Row],[Date]])+IF(MONTH(Table13[[#This Row],[Date]])&gt;=4,1,0)</f>
        <v>2026</v>
      </c>
      <c r="C126" s="246">
        <f>YEAR(Table13[[#This Row],[Date]])</f>
        <v>2025</v>
      </c>
      <c r="D126" s="247">
        <f>Table13[[#This Row],[Date]]-DAY(Table13[[#This Row],[Date]])+1</f>
        <v>45839</v>
      </c>
      <c r="AB126" s="10">
        <f t="shared" si="5"/>
        <v>0</v>
      </c>
    </row>
    <row r="127" spans="1:28">
      <c r="A127" s="251">
        <f t="shared" si="6"/>
        <v>45869</v>
      </c>
      <c r="B127" s="248">
        <f>YEAR(Table13[[#This Row],[Date]])+IF(MONTH(Table13[[#This Row],[Date]])&gt;=4,1,0)</f>
        <v>2026</v>
      </c>
      <c r="C127" s="249">
        <f>YEAR(Table13[[#This Row],[Date]])</f>
        <v>2025</v>
      </c>
      <c r="D127" s="250">
        <f>Table13[[#This Row],[Date]]-DAY(Table13[[#This Row],[Date]])+1</f>
        <v>45870</v>
      </c>
      <c r="AB127" s="10">
        <f t="shared" si="5"/>
        <v>0</v>
      </c>
    </row>
    <row r="128" spans="1:28">
      <c r="A128" s="42">
        <f t="shared" si="6"/>
        <v>45870</v>
      </c>
      <c r="B128" s="245">
        <f>YEAR(Table13[[#This Row],[Date]])+IF(MONTH(Table13[[#This Row],[Date]])&gt;=4,1,0)</f>
        <v>2026</v>
      </c>
      <c r="C128" s="246">
        <f>YEAR(Table13[[#This Row],[Date]])</f>
        <v>2025</v>
      </c>
      <c r="D128" s="247">
        <f>Table13[[#This Row],[Date]]-DAY(Table13[[#This Row],[Date]])+1</f>
        <v>45870</v>
      </c>
      <c r="AB128" s="10">
        <f t="shared" si="5"/>
        <v>0</v>
      </c>
    </row>
    <row r="129" spans="1:28">
      <c r="A129" s="251">
        <f t="shared" si="6"/>
        <v>45871</v>
      </c>
      <c r="B129" s="248">
        <f>YEAR(Table13[[#This Row],[Date]])+IF(MONTH(Table13[[#This Row],[Date]])&gt;=4,1,0)</f>
        <v>2026</v>
      </c>
      <c r="C129" s="249">
        <f>YEAR(Table13[[#This Row],[Date]])</f>
        <v>2025</v>
      </c>
      <c r="D129" s="250">
        <f>Table13[[#This Row],[Date]]-DAY(Table13[[#This Row],[Date]])+1</f>
        <v>45870</v>
      </c>
      <c r="AB129" s="10">
        <f t="shared" si="5"/>
        <v>0</v>
      </c>
    </row>
    <row r="130" spans="1:28">
      <c r="A130" s="42">
        <f t="shared" si="6"/>
        <v>45872</v>
      </c>
      <c r="B130" s="245">
        <f>YEAR(Table13[[#This Row],[Date]])+IF(MONTH(Table13[[#This Row],[Date]])&gt;=4,1,0)</f>
        <v>2026</v>
      </c>
      <c r="C130" s="246">
        <f>YEAR(Table13[[#This Row],[Date]])</f>
        <v>2025</v>
      </c>
      <c r="D130" s="247">
        <f>Table13[[#This Row],[Date]]-DAY(Table13[[#This Row],[Date]])+1</f>
        <v>45870</v>
      </c>
      <c r="AB130" s="10">
        <f t="shared" si="5"/>
        <v>0</v>
      </c>
    </row>
    <row r="131" spans="1:28">
      <c r="A131" s="251">
        <f t="shared" si="6"/>
        <v>45873</v>
      </c>
      <c r="B131" s="248">
        <f>YEAR(Table13[[#This Row],[Date]])+IF(MONTH(Table13[[#This Row],[Date]])&gt;=4,1,0)</f>
        <v>2026</v>
      </c>
      <c r="C131" s="249">
        <f>YEAR(Table13[[#This Row],[Date]])</f>
        <v>2025</v>
      </c>
      <c r="D131" s="250">
        <f>Table13[[#This Row],[Date]]-DAY(Table13[[#This Row],[Date]])+1</f>
        <v>45870</v>
      </c>
      <c r="AB131" s="10">
        <f t="shared" si="5"/>
        <v>0</v>
      </c>
    </row>
    <row r="132" spans="1:28">
      <c r="A132" s="42">
        <f t="shared" si="6"/>
        <v>45874</v>
      </c>
      <c r="B132" s="245">
        <f>YEAR(Table13[[#This Row],[Date]])+IF(MONTH(Table13[[#This Row],[Date]])&gt;=4,1,0)</f>
        <v>2026</v>
      </c>
      <c r="C132" s="246">
        <f>YEAR(Table13[[#This Row],[Date]])</f>
        <v>2025</v>
      </c>
      <c r="D132" s="247">
        <f>Table13[[#This Row],[Date]]-DAY(Table13[[#This Row],[Date]])+1</f>
        <v>45870</v>
      </c>
      <c r="AB132" s="10">
        <f t="shared" si="5"/>
        <v>0</v>
      </c>
    </row>
    <row r="133" spans="1:28">
      <c r="A133" s="251">
        <f t="shared" si="6"/>
        <v>45875</v>
      </c>
      <c r="B133" s="248">
        <f>YEAR(Table13[[#This Row],[Date]])+IF(MONTH(Table13[[#This Row],[Date]])&gt;=4,1,0)</f>
        <v>2026</v>
      </c>
      <c r="C133" s="249">
        <f>YEAR(Table13[[#This Row],[Date]])</f>
        <v>2025</v>
      </c>
      <c r="D133" s="250">
        <f>Table13[[#This Row],[Date]]-DAY(Table13[[#This Row],[Date]])+1</f>
        <v>45870</v>
      </c>
      <c r="AB133" s="10">
        <f t="shared" si="5"/>
        <v>0</v>
      </c>
    </row>
    <row r="134" spans="1:28">
      <c r="A134" s="42">
        <f t="shared" si="6"/>
        <v>45876</v>
      </c>
      <c r="B134" s="245">
        <f>YEAR(Table13[[#This Row],[Date]])+IF(MONTH(Table13[[#This Row],[Date]])&gt;=4,1,0)</f>
        <v>2026</v>
      </c>
      <c r="C134" s="246">
        <f>YEAR(Table13[[#This Row],[Date]])</f>
        <v>2025</v>
      </c>
      <c r="D134" s="247">
        <f>Table13[[#This Row],[Date]]-DAY(Table13[[#This Row],[Date]])+1</f>
        <v>45870</v>
      </c>
      <c r="AB134" s="10">
        <f t="shared" si="5"/>
        <v>0</v>
      </c>
    </row>
    <row r="135" spans="1:28">
      <c r="A135" s="251">
        <f t="shared" si="6"/>
        <v>45877</v>
      </c>
      <c r="B135" s="248">
        <f>YEAR(Table13[[#This Row],[Date]])+IF(MONTH(Table13[[#This Row],[Date]])&gt;=4,1,0)</f>
        <v>2026</v>
      </c>
      <c r="C135" s="249">
        <f>YEAR(Table13[[#This Row],[Date]])</f>
        <v>2025</v>
      </c>
      <c r="D135" s="250">
        <f>Table13[[#This Row],[Date]]-DAY(Table13[[#This Row],[Date]])+1</f>
        <v>45870</v>
      </c>
      <c r="AB135" s="10">
        <f t="shared" si="5"/>
        <v>0</v>
      </c>
    </row>
    <row r="136" spans="1:28">
      <c r="A136" s="42">
        <f t="shared" si="6"/>
        <v>45878</v>
      </c>
      <c r="B136" s="245">
        <f>YEAR(Table13[[#This Row],[Date]])+IF(MONTH(Table13[[#This Row],[Date]])&gt;=4,1,0)</f>
        <v>2026</v>
      </c>
      <c r="C136" s="246">
        <f>YEAR(Table13[[#This Row],[Date]])</f>
        <v>2025</v>
      </c>
      <c r="D136" s="247">
        <f>Table13[[#This Row],[Date]]-DAY(Table13[[#This Row],[Date]])+1</f>
        <v>45870</v>
      </c>
      <c r="AB136" s="10">
        <f t="shared" ref="AB136:AB199" si="7">SUM(E136:AA136)</f>
        <v>0</v>
      </c>
    </row>
    <row r="137" spans="1:28">
      <c r="A137" s="251">
        <f t="shared" si="6"/>
        <v>45879</v>
      </c>
      <c r="B137" s="248">
        <f>YEAR(Table13[[#This Row],[Date]])+IF(MONTH(Table13[[#This Row],[Date]])&gt;=4,1,0)</f>
        <v>2026</v>
      </c>
      <c r="C137" s="249">
        <f>YEAR(Table13[[#This Row],[Date]])</f>
        <v>2025</v>
      </c>
      <c r="D137" s="250">
        <f>Table13[[#This Row],[Date]]-DAY(Table13[[#This Row],[Date]])+1</f>
        <v>45870</v>
      </c>
      <c r="AB137" s="10">
        <f t="shared" si="7"/>
        <v>0</v>
      </c>
    </row>
    <row r="138" spans="1:28">
      <c r="A138" s="42">
        <f t="shared" ref="A138:A201" si="8">A137+1</f>
        <v>45880</v>
      </c>
      <c r="B138" s="245">
        <f>YEAR(Table13[[#This Row],[Date]])+IF(MONTH(Table13[[#This Row],[Date]])&gt;=4,1,0)</f>
        <v>2026</v>
      </c>
      <c r="C138" s="246">
        <f>YEAR(Table13[[#This Row],[Date]])</f>
        <v>2025</v>
      </c>
      <c r="D138" s="247">
        <f>Table13[[#This Row],[Date]]-DAY(Table13[[#This Row],[Date]])+1</f>
        <v>45870</v>
      </c>
      <c r="AB138" s="10">
        <f t="shared" si="7"/>
        <v>0</v>
      </c>
    </row>
    <row r="139" spans="1:28">
      <c r="A139" s="251">
        <f t="shared" si="8"/>
        <v>45881</v>
      </c>
      <c r="B139" s="248">
        <f>YEAR(Table13[[#This Row],[Date]])+IF(MONTH(Table13[[#This Row],[Date]])&gt;=4,1,0)</f>
        <v>2026</v>
      </c>
      <c r="C139" s="249">
        <f>YEAR(Table13[[#This Row],[Date]])</f>
        <v>2025</v>
      </c>
      <c r="D139" s="250">
        <f>Table13[[#This Row],[Date]]-DAY(Table13[[#This Row],[Date]])+1</f>
        <v>45870</v>
      </c>
      <c r="AB139" s="10">
        <f t="shared" si="7"/>
        <v>0</v>
      </c>
    </row>
    <row r="140" spans="1:28">
      <c r="A140" s="42">
        <f t="shared" si="8"/>
        <v>45882</v>
      </c>
      <c r="B140" s="245">
        <f>YEAR(Table13[[#This Row],[Date]])+IF(MONTH(Table13[[#This Row],[Date]])&gt;=4,1,0)</f>
        <v>2026</v>
      </c>
      <c r="C140" s="246">
        <f>YEAR(Table13[[#This Row],[Date]])</f>
        <v>2025</v>
      </c>
      <c r="D140" s="247">
        <f>Table13[[#This Row],[Date]]-DAY(Table13[[#This Row],[Date]])+1</f>
        <v>45870</v>
      </c>
      <c r="AB140" s="10">
        <f t="shared" si="7"/>
        <v>0</v>
      </c>
    </row>
    <row r="141" spans="1:28">
      <c r="A141" s="251">
        <f t="shared" si="8"/>
        <v>45883</v>
      </c>
      <c r="B141" s="248">
        <f>YEAR(Table13[[#This Row],[Date]])+IF(MONTH(Table13[[#This Row],[Date]])&gt;=4,1,0)</f>
        <v>2026</v>
      </c>
      <c r="C141" s="249">
        <f>YEAR(Table13[[#This Row],[Date]])</f>
        <v>2025</v>
      </c>
      <c r="D141" s="250">
        <f>Table13[[#This Row],[Date]]-DAY(Table13[[#This Row],[Date]])+1</f>
        <v>45870</v>
      </c>
      <c r="AB141" s="10">
        <f t="shared" si="7"/>
        <v>0</v>
      </c>
    </row>
    <row r="142" spans="1:28">
      <c r="A142" s="42">
        <f t="shared" si="8"/>
        <v>45884</v>
      </c>
      <c r="B142" s="245">
        <f>YEAR(Table13[[#This Row],[Date]])+IF(MONTH(Table13[[#This Row],[Date]])&gt;=4,1,0)</f>
        <v>2026</v>
      </c>
      <c r="C142" s="246">
        <f>YEAR(Table13[[#This Row],[Date]])</f>
        <v>2025</v>
      </c>
      <c r="D142" s="247">
        <f>Table13[[#This Row],[Date]]-DAY(Table13[[#This Row],[Date]])+1</f>
        <v>45870</v>
      </c>
      <c r="AB142" s="10">
        <f t="shared" si="7"/>
        <v>0</v>
      </c>
    </row>
    <row r="143" spans="1:28">
      <c r="A143" s="251">
        <f t="shared" si="8"/>
        <v>45885</v>
      </c>
      <c r="B143" s="248">
        <f>YEAR(Table13[[#This Row],[Date]])+IF(MONTH(Table13[[#This Row],[Date]])&gt;=4,1,0)</f>
        <v>2026</v>
      </c>
      <c r="C143" s="249">
        <f>YEAR(Table13[[#This Row],[Date]])</f>
        <v>2025</v>
      </c>
      <c r="D143" s="250">
        <f>Table13[[#This Row],[Date]]-DAY(Table13[[#This Row],[Date]])+1</f>
        <v>45870</v>
      </c>
      <c r="AB143" s="10">
        <f t="shared" si="7"/>
        <v>0</v>
      </c>
    </row>
    <row r="144" spans="1:28">
      <c r="A144" s="42">
        <f t="shared" si="8"/>
        <v>45886</v>
      </c>
      <c r="B144" s="245">
        <f>YEAR(Table13[[#This Row],[Date]])+IF(MONTH(Table13[[#This Row],[Date]])&gt;=4,1,0)</f>
        <v>2026</v>
      </c>
      <c r="C144" s="246">
        <f>YEAR(Table13[[#This Row],[Date]])</f>
        <v>2025</v>
      </c>
      <c r="D144" s="247">
        <f>Table13[[#This Row],[Date]]-DAY(Table13[[#This Row],[Date]])+1</f>
        <v>45870</v>
      </c>
      <c r="AB144" s="10">
        <f t="shared" si="7"/>
        <v>0</v>
      </c>
    </row>
    <row r="145" spans="1:28">
      <c r="A145" s="251">
        <f t="shared" si="8"/>
        <v>45887</v>
      </c>
      <c r="B145" s="248">
        <f>YEAR(Table13[[#This Row],[Date]])+IF(MONTH(Table13[[#This Row],[Date]])&gt;=4,1,0)</f>
        <v>2026</v>
      </c>
      <c r="C145" s="249">
        <f>YEAR(Table13[[#This Row],[Date]])</f>
        <v>2025</v>
      </c>
      <c r="D145" s="250">
        <f>Table13[[#This Row],[Date]]-DAY(Table13[[#This Row],[Date]])+1</f>
        <v>45870</v>
      </c>
      <c r="AB145" s="10">
        <f t="shared" si="7"/>
        <v>0</v>
      </c>
    </row>
    <row r="146" spans="1:28">
      <c r="A146" s="42">
        <f t="shared" si="8"/>
        <v>45888</v>
      </c>
      <c r="B146" s="245">
        <f>YEAR(Table13[[#This Row],[Date]])+IF(MONTH(Table13[[#This Row],[Date]])&gt;=4,1,0)</f>
        <v>2026</v>
      </c>
      <c r="C146" s="246">
        <f>YEAR(Table13[[#This Row],[Date]])</f>
        <v>2025</v>
      </c>
      <c r="D146" s="247">
        <f>Table13[[#This Row],[Date]]-DAY(Table13[[#This Row],[Date]])+1</f>
        <v>45870</v>
      </c>
      <c r="AB146" s="10">
        <f t="shared" si="7"/>
        <v>0</v>
      </c>
    </row>
    <row r="147" spans="1:28">
      <c r="A147" s="251">
        <f t="shared" si="8"/>
        <v>45889</v>
      </c>
      <c r="B147" s="248">
        <f>YEAR(Table13[[#This Row],[Date]])+IF(MONTH(Table13[[#This Row],[Date]])&gt;=4,1,0)</f>
        <v>2026</v>
      </c>
      <c r="C147" s="249">
        <f>YEAR(Table13[[#This Row],[Date]])</f>
        <v>2025</v>
      </c>
      <c r="D147" s="250">
        <f>Table13[[#This Row],[Date]]-DAY(Table13[[#This Row],[Date]])+1</f>
        <v>45870</v>
      </c>
      <c r="AB147" s="10">
        <f t="shared" si="7"/>
        <v>0</v>
      </c>
    </row>
    <row r="148" spans="1:28">
      <c r="A148" s="42">
        <f t="shared" si="8"/>
        <v>45890</v>
      </c>
      <c r="B148" s="245">
        <f>YEAR(Table13[[#This Row],[Date]])+IF(MONTH(Table13[[#This Row],[Date]])&gt;=4,1,0)</f>
        <v>2026</v>
      </c>
      <c r="C148" s="246">
        <f>YEAR(Table13[[#This Row],[Date]])</f>
        <v>2025</v>
      </c>
      <c r="D148" s="247">
        <f>Table13[[#This Row],[Date]]-DAY(Table13[[#This Row],[Date]])+1</f>
        <v>45870</v>
      </c>
      <c r="AB148" s="10">
        <f t="shared" si="7"/>
        <v>0</v>
      </c>
    </row>
    <row r="149" spans="1:28">
      <c r="A149" s="251">
        <f t="shared" si="8"/>
        <v>45891</v>
      </c>
      <c r="B149" s="248">
        <f>YEAR(Table13[[#This Row],[Date]])+IF(MONTH(Table13[[#This Row],[Date]])&gt;=4,1,0)</f>
        <v>2026</v>
      </c>
      <c r="C149" s="249">
        <f>YEAR(Table13[[#This Row],[Date]])</f>
        <v>2025</v>
      </c>
      <c r="D149" s="250">
        <f>Table13[[#This Row],[Date]]-DAY(Table13[[#This Row],[Date]])+1</f>
        <v>45870</v>
      </c>
      <c r="AB149" s="10">
        <f t="shared" si="7"/>
        <v>0</v>
      </c>
    </row>
    <row r="150" spans="1:28">
      <c r="A150" s="42">
        <f t="shared" si="8"/>
        <v>45892</v>
      </c>
      <c r="B150" s="245">
        <f>YEAR(Table13[[#This Row],[Date]])+IF(MONTH(Table13[[#This Row],[Date]])&gt;=4,1,0)</f>
        <v>2026</v>
      </c>
      <c r="C150" s="246">
        <f>YEAR(Table13[[#This Row],[Date]])</f>
        <v>2025</v>
      </c>
      <c r="D150" s="247">
        <f>Table13[[#This Row],[Date]]-DAY(Table13[[#This Row],[Date]])+1</f>
        <v>45870</v>
      </c>
      <c r="AB150" s="10">
        <f t="shared" si="7"/>
        <v>0</v>
      </c>
    </row>
    <row r="151" spans="1:28">
      <c r="A151" s="251">
        <f t="shared" si="8"/>
        <v>45893</v>
      </c>
      <c r="B151" s="248">
        <f>YEAR(Table13[[#This Row],[Date]])+IF(MONTH(Table13[[#This Row],[Date]])&gt;=4,1,0)</f>
        <v>2026</v>
      </c>
      <c r="C151" s="249">
        <f>YEAR(Table13[[#This Row],[Date]])</f>
        <v>2025</v>
      </c>
      <c r="D151" s="250">
        <f>Table13[[#This Row],[Date]]-DAY(Table13[[#This Row],[Date]])+1</f>
        <v>45870</v>
      </c>
      <c r="AB151" s="10">
        <f t="shared" si="7"/>
        <v>0</v>
      </c>
    </row>
    <row r="152" spans="1:28">
      <c r="A152" s="42">
        <f t="shared" si="8"/>
        <v>45894</v>
      </c>
      <c r="B152" s="245">
        <f>YEAR(Table13[[#This Row],[Date]])+IF(MONTH(Table13[[#This Row],[Date]])&gt;=4,1,0)</f>
        <v>2026</v>
      </c>
      <c r="C152" s="246">
        <f>YEAR(Table13[[#This Row],[Date]])</f>
        <v>2025</v>
      </c>
      <c r="D152" s="247">
        <f>Table13[[#This Row],[Date]]-DAY(Table13[[#This Row],[Date]])+1</f>
        <v>45870</v>
      </c>
      <c r="AB152" s="10">
        <f t="shared" si="7"/>
        <v>0</v>
      </c>
    </row>
    <row r="153" spans="1:28">
      <c r="A153" s="251">
        <f t="shared" si="8"/>
        <v>45895</v>
      </c>
      <c r="B153" s="248">
        <f>YEAR(Table13[[#This Row],[Date]])+IF(MONTH(Table13[[#This Row],[Date]])&gt;=4,1,0)</f>
        <v>2026</v>
      </c>
      <c r="C153" s="249">
        <f>YEAR(Table13[[#This Row],[Date]])</f>
        <v>2025</v>
      </c>
      <c r="D153" s="250">
        <f>Table13[[#This Row],[Date]]-DAY(Table13[[#This Row],[Date]])+1</f>
        <v>45870</v>
      </c>
      <c r="AB153" s="10">
        <f t="shared" si="7"/>
        <v>0</v>
      </c>
    </row>
    <row r="154" spans="1:28">
      <c r="A154" s="42">
        <f t="shared" si="8"/>
        <v>45896</v>
      </c>
      <c r="B154" s="245">
        <f>YEAR(Table13[[#This Row],[Date]])+IF(MONTH(Table13[[#This Row],[Date]])&gt;=4,1,0)</f>
        <v>2026</v>
      </c>
      <c r="C154" s="246">
        <f>YEAR(Table13[[#This Row],[Date]])</f>
        <v>2025</v>
      </c>
      <c r="D154" s="247">
        <f>Table13[[#This Row],[Date]]-DAY(Table13[[#This Row],[Date]])+1</f>
        <v>45870</v>
      </c>
      <c r="AB154" s="10">
        <f t="shared" si="7"/>
        <v>0</v>
      </c>
    </row>
    <row r="155" spans="1:28">
      <c r="A155" s="251">
        <f t="shared" si="8"/>
        <v>45897</v>
      </c>
      <c r="B155" s="248">
        <f>YEAR(Table13[[#This Row],[Date]])+IF(MONTH(Table13[[#This Row],[Date]])&gt;=4,1,0)</f>
        <v>2026</v>
      </c>
      <c r="C155" s="249">
        <f>YEAR(Table13[[#This Row],[Date]])</f>
        <v>2025</v>
      </c>
      <c r="D155" s="250">
        <f>Table13[[#This Row],[Date]]-DAY(Table13[[#This Row],[Date]])+1</f>
        <v>45870</v>
      </c>
      <c r="AB155" s="10">
        <f t="shared" si="7"/>
        <v>0</v>
      </c>
    </row>
    <row r="156" spans="1:28">
      <c r="A156" s="42">
        <f t="shared" si="8"/>
        <v>45898</v>
      </c>
      <c r="B156" s="245">
        <f>YEAR(Table13[[#This Row],[Date]])+IF(MONTH(Table13[[#This Row],[Date]])&gt;=4,1,0)</f>
        <v>2026</v>
      </c>
      <c r="C156" s="246">
        <f>YEAR(Table13[[#This Row],[Date]])</f>
        <v>2025</v>
      </c>
      <c r="D156" s="247">
        <f>Table13[[#This Row],[Date]]-DAY(Table13[[#This Row],[Date]])+1</f>
        <v>45870</v>
      </c>
      <c r="AB156" s="10">
        <f t="shared" si="7"/>
        <v>0</v>
      </c>
    </row>
    <row r="157" spans="1:28">
      <c r="A157" s="251">
        <f t="shared" si="8"/>
        <v>45899</v>
      </c>
      <c r="B157" s="248">
        <f>YEAR(Table13[[#This Row],[Date]])+IF(MONTH(Table13[[#This Row],[Date]])&gt;=4,1,0)</f>
        <v>2026</v>
      </c>
      <c r="C157" s="249">
        <f>YEAR(Table13[[#This Row],[Date]])</f>
        <v>2025</v>
      </c>
      <c r="D157" s="250">
        <f>Table13[[#This Row],[Date]]-DAY(Table13[[#This Row],[Date]])+1</f>
        <v>45870</v>
      </c>
      <c r="AB157" s="10">
        <f t="shared" si="7"/>
        <v>0</v>
      </c>
    </row>
    <row r="158" spans="1:28">
      <c r="A158" s="42">
        <f t="shared" si="8"/>
        <v>45900</v>
      </c>
      <c r="B158" s="245">
        <f>YEAR(Table13[[#This Row],[Date]])+IF(MONTH(Table13[[#This Row],[Date]])&gt;=4,1,0)</f>
        <v>2026</v>
      </c>
      <c r="C158" s="246">
        <f>YEAR(Table13[[#This Row],[Date]])</f>
        <v>2025</v>
      </c>
      <c r="D158" s="247">
        <f>Table13[[#This Row],[Date]]-DAY(Table13[[#This Row],[Date]])+1</f>
        <v>45901</v>
      </c>
      <c r="AB158" s="10">
        <f t="shared" si="7"/>
        <v>0</v>
      </c>
    </row>
    <row r="159" spans="1:28">
      <c r="A159" s="251">
        <f t="shared" si="8"/>
        <v>45901</v>
      </c>
      <c r="B159" s="248">
        <f>YEAR(Table13[[#This Row],[Date]])+IF(MONTH(Table13[[#This Row],[Date]])&gt;=4,1,0)</f>
        <v>2026</v>
      </c>
      <c r="C159" s="249">
        <f>YEAR(Table13[[#This Row],[Date]])</f>
        <v>2025</v>
      </c>
      <c r="D159" s="250">
        <f>Table13[[#This Row],[Date]]-DAY(Table13[[#This Row],[Date]])+1</f>
        <v>45901</v>
      </c>
      <c r="AB159" s="10">
        <f t="shared" si="7"/>
        <v>0</v>
      </c>
    </row>
    <row r="160" spans="1:28">
      <c r="A160" s="42">
        <f t="shared" si="8"/>
        <v>45902</v>
      </c>
      <c r="B160" s="245">
        <f>YEAR(Table13[[#This Row],[Date]])+IF(MONTH(Table13[[#This Row],[Date]])&gt;=4,1,0)</f>
        <v>2026</v>
      </c>
      <c r="C160" s="246">
        <f>YEAR(Table13[[#This Row],[Date]])</f>
        <v>2025</v>
      </c>
      <c r="D160" s="247">
        <f>Table13[[#This Row],[Date]]-DAY(Table13[[#This Row],[Date]])+1</f>
        <v>45901</v>
      </c>
      <c r="AB160" s="10">
        <f t="shared" si="7"/>
        <v>0</v>
      </c>
    </row>
    <row r="161" spans="1:28">
      <c r="A161" s="251">
        <f t="shared" si="8"/>
        <v>45903</v>
      </c>
      <c r="B161" s="248">
        <f>YEAR(Table13[[#This Row],[Date]])+IF(MONTH(Table13[[#This Row],[Date]])&gt;=4,1,0)</f>
        <v>2026</v>
      </c>
      <c r="C161" s="249">
        <f>YEAR(Table13[[#This Row],[Date]])</f>
        <v>2025</v>
      </c>
      <c r="D161" s="250">
        <f>Table13[[#This Row],[Date]]-DAY(Table13[[#This Row],[Date]])+1</f>
        <v>45901</v>
      </c>
      <c r="AB161" s="10">
        <f t="shared" si="7"/>
        <v>0</v>
      </c>
    </row>
    <row r="162" spans="1:28">
      <c r="A162" s="42">
        <f t="shared" si="8"/>
        <v>45904</v>
      </c>
      <c r="B162" s="245">
        <f>YEAR(Table13[[#This Row],[Date]])+IF(MONTH(Table13[[#This Row],[Date]])&gt;=4,1,0)</f>
        <v>2026</v>
      </c>
      <c r="C162" s="246">
        <f>YEAR(Table13[[#This Row],[Date]])</f>
        <v>2025</v>
      </c>
      <c r="D162" s="247">
        <f>Table13[[#This Row],[Date]]-DAY(Table13[[#This Row],[Date]])+1</f>
        <v>45901</v>
      </c>
      <c r="AB162" s="10">
        <f t="shared" si="7"/>
        <v>0</v>
      </c>
    </row>
    <row r="163" spans="1:28">
      <c r="A163" s="251">
        <f t="shared" si="8"/>
        <v>45905</v>
      </c>
      <c r="B163" s="248">
        <f>YEAR(Table13[[#This Row],[Date]])+IF(MONTH(Table13[[#This Row],[Date]])&gt;=4,1,0)</f>
        <v>2026</v>
      </c>
      <c r="C163" s="249">
        <f>YEAR(Table13[[#This Row],[Date]])</f>
        <v>2025</v>
      </c>
      <c r="D163" s="250">
        <f>Table13[[#This Row],[Date]]-DAY(Table13[[#This Row],[Date]])+1</f>
        <v>45901</v>
      </c>
      <c r="AB163" s="10">
        <f t="shared" si="7"/>
        <v>0</v>
      </c>
    </row>
    <row r="164" spans="1:28">
      <c r="A164" s="42">
        <f t="shared" si="8"/>
        <v>45906</v>
      </c>
      <c r="B164" s="245">
        <f>YEAR(Table13[[#This Row],[Date]])+IF(MONTH(Table13[[#This Row],[Date]])&gt;=4,1,0)</f>
        <v>2026</v>
      </c>
      <c r="C164" s="246">
        <f>YEAR(Table13[[#This Row],[Date]])</f>
        <v>2025</v>
      </c>
      <c r="D164" s="247">
        <f>Table13[[#This Row],[Date]]-DAY(Table13[[#This Row],[Date]])+1</f>
        <v>45901</v>
      </c>
      <c r="AB164" s="10">
        <f t="shared" si="7"/>
        <v>0</v>
      </c>
    </row>
    <row r="165" spans="1:28">
      <c r="A165" s="251">
        <f t="shared" si="8"/>
        <v>45907</v>
      </c>
      <c r="B165" s="248">
        <f>YEAR(Table13[[#This Row],[Date]])+IF(MONTH(Table13[[#This Row],[Date]])&gt;=4,1,0)</f>
        <v>2026</v>
      </c>
      <c r="C165" s="249">
        <f>YEAR(Table13[[#This Row],[Date]])</f>
        <v>2025</v>
      </c>
      <c r="D165" s="250">
        <f>Table13[[#This Row],[Date]]-DAY(Table13[[#This Row],[Date]])+1</f>
        <v>45901</v>
      </c>
      <c r="AB165" s="10">
        <f t="shared" si="7"/>
        <v>0</v>
      </c>
    </row>
    <row r="166" spans="1:28">
      <c r="A166" s="42">
        <f t="shared" si="8"/>
        <v>45908</v>
      </c>
      <c r="B166" s="245">
        <f>YEAR(Table13[[#This Row],[Date]])+IF(MONTH(Table13[[#This Row],[Date]])&gt;=4,1,0)</f>
        <v>2026</v>
      </c>
      <c r="C166" s="246">
        <f>YEAR(Table13[[#This Row],[Date]])</f>
        <v>2025</v>
      </c>
      <c r="D166" s="247">
        <f>Table13[[#This Row],[Date]]-DAY(Table13[[#This Row],[Date]])+1</f>
        <v>45901</v>
      </c>
      <c r="AB166" s="10">
        <f t="shared" si="7"/>
        <v>0</v>
      </c>
    </row>
    <row r="167" spans="1:28">
      <c r="A167" s="251">
        <f t="shared" si="8"/>
        <v>45909</v>
      </c>
      <c r="B167" s="248">
        <f>YEAR(Table13[[#This Row],[Date]])+IF(MONTH(Table13[[#This Row],[Date]])&gt;=4,1,0)</f>
        <v>2026</v>
      </c>
      <c r="C167" s="249">
        <f>YEAR(Table13[[#This Row],[Date]])</f>
        <v>2025</v>
      </c>
      <c r="D167" s="250">
        <f>Table13[[#This Row],[Date]]-DAY(Table13[[#This Row],[Date]])+1</f>
        <v>45901</v>
      </c>
      <c r="AB167" s="10">
        <f t="shared" si="7"/>
        <v>0</v>
      </c>
    </row>
    <row r="168" spans="1:28">
      <c r="A168" s="42">
        <f t="shared" si="8"/>
        <v>45910</v>
      </c>
      <c r="B168" s="245">
        <f>YEAR(Table13[[#This Row],[Date]])+IF(MONTH(Table13[[#This Row],[Date]])&gt;=4,1,0)</f>
        <v>2026</v>
      </c>
      <c r="C168" s="246">
        <f>YEAR(Table13[[#This Row],[Date]])</f>
        <v>2025</v>
      </c>
      <c r="D168" s="247">
        <f>Table13[[#This Row],[Date]]-DAY(Table13[[#This Row],[Date]])+1</f>
        <v>45901</v>
      </c>
      <c r="AB168" s="10">
        <f t="shared" si="7"/>
        <v>0</v>
      </c>
    </row>
    <row r="169" spans="1:28">
      <c r="A169" s="251">
        <f t="shared" si="8"/>
        <v>45911</v>
      </c>
      <c r="B169" s="248">
        <f>YEAR(Table13[[#This Row],[Date]])+IF(MONTH(Table13[[#This Row],[Date]])&gt;=4,1,0)</f>
        <v>2026</v>
      </c>
      <c r="C169" s="249">
        <f>YEAR(Table13[[#This Row],[Date]])</f>
        <v>2025</v>
      </c>
      <c r="D169" s="250">
        <f>Table13[[#This Row],[Date]]-DAY(Table13[[#This Row],[Date]])+1</f>
        <v>45901</v>
      </c>
      <c r="AB169" s="10">
        <f t="shared" si="7"/>
        <v>0</v>
      </c>
    </row>
    <row r="170" spans="1:28">
      <c r="A170" s="42">
        <f t="shared" si="8"/>
        <v>45912</v>
      </c>
      <c r="B170" s="245">
        <f>YEAR(Table13[[#This Row],[Date]])+IF(MONTH(Table13[[#This Row],[Date]])&gt;=4,1,0)</f>
        <v>2026</v>
      </c>
      <c r="C170" s="246">
        <f>YEAR(Table13[[#This Row],[Date]])</f>
        <v>2025</v>
      </c>
      <c r="D170" s="247">
        <f>Table13[[#This Row],[Date]]-DAY(Table13[[#This Row],[Date]])+1</f>
        <v>45901</v>
      </c>
      <c r="AB170" s="10">
        <f t="shared" si="7"/>
        <v>0</v>
      </c>
    </row>
    <row r="171" spans="1:28">
      <c r="A171" s="251">
        <f t="shared" si="8"/>
        <v>45913</v>
      </c>
      <c r="B171" s="248">
        <f>YEAR(Table13[[#This Row],[Date]])+IF(MONTH(Table13[[#This Row],[Date]])&gt;=4,1,0)</f>
        <v>2026</v>
      </c>
      <c r="C171" s="249">
        <f>YEAR(Table13[[#This Row],[Date]])</f>
        <v>2025</v>
      </c>
      <c r="D171" s="250">
        <f>Table13[[#This Row],[Date]]-DAY(Table13[[#This Row],[Date]])+1</f>
        <v>45901</v>
      </c>
      <c r="AB171" s="10">
        <f t="shared" si="7"/>
        <v>0</v>
      </c>
    </row>
    <row r="172" spans="1:28">
      <c r="A172" s="42">
        <f t="shared" si="8"/>
        <v>45914</v>
      </c>
      <c r="B172" s="245">
        <f>YEAR(Table13[[#This Row],[Date]])+IF(MONTH(Table13[[#This Row],[Date]])&gt;=4,1,0)</f>
        <v>2026</v>
      </c>
      <c r="C172" s="246">
        <f>YEAR(Table13[[#This Row],[Date]])</f>
        <v>2025</v>
      </c>
      <c r="D172" s="247">
        <f>Table13[[#This Row],[Date]]-DAY(Table13[[#This Row],[Date]])+1</f>
        <v>45901</v>
      </c>
      <c r="AB172" s="10">
        <f t="shared" si="7"/>
        <v>0</v>
      </c>
    </row>
    <row r="173" spans="1:28">
      <c r="A173" s="251">
        <f t="shared" si="8"/>
        <v>45915</v>
      </c>
      <c r="B173" s="248">
        <f>YEAR(Table13[[#This Row],[Date]])+IF(MONTH(Table13[[#This Row],[Date]])&gt;=4,1,0)</f>
        <v>2026</v>
      </c>
      <c r="C173" s="249">
        <f>YEAR(Table13[[#This Row],[Date]])</f>
        <v>2025</v>
      </c>
      <c r="D173" s="250">
        <f>Table13[[#This Row],[Date]]-DAY(Table13[[#This Row],[Date]])+1</f>
        <v>45901</v>
      </c>
      <c r="AB173" s="10">
        <f t="shared" si="7"/>
        <v>0</v>
      </c>
    </row>
    <row r="174" spans="1:28">
      <c r="A174" s="42">
        <f t="shared" si="8"/>
        <v>45916</v>
      </c>
      <c r="B174" s="245">
        <f>YEAR(Table13[[#This Row],[Date]])+IF(MONTH(Table13[[#This Row],[Date]])&gt;=4,1,0)</f>
        <v>2026</v>
      </c>
      <c r="C174" s="246">
        <f>YEAR(Table13[[#This Row],[Date]])</f>
        <v>2025</v>
      </c>
      <c r="D174" s="247">
        <f>Table13[[#This Row],[Date]]-DAY(Table13[[#This Row],[Date]])+1</f>
        <v>45901</v>
      </c>
      <c r="AB174" s="10">
        <f t="shared" si="7"/>
        <v>0</v>
      </c>
    </row>
    <row r="175" spans="1:28">
      <c r="A175" s="251">
        <f t="shared" si="8"/>
        <v>45917</v>
      </c>
      <c r="B175" s="248">
        <f>YEAR(Table13[[#This Row],[Date]])+IF(MONTH(Table13[[#This Row],[Date]])&gt;=4,1,0)</f>
        <v>2026</v>
      </c>
      <c r="C175" s="249">
        <f>YEAR(Table13[[#This Row],[Date]])</f>
        <v>2025</v>
      </c>
      <c r="D175" s="250">
        <f>Table13[[#This Row],[Date]]-DAY(Table13[[#This Row],[Date]])+1</f>
        <v>45901</v>
      </c>
      <c r="AB175" s="10">
        <f t="shared" si="7"/>
        <v>0</v>
      </c>
    </row>
    <row r="176" spans="1:28">
      <c r="A176" s="42">
        <f t="shared" si="8"/>
        <v>45918</v>
      </c>
      <c r="B176" s="245">
        <f>YEAR(Table13[[#This Row],[Date]])+IF(MONTH(Table13[[#This Row],[Date]])&gt;=4,1,0)</f>
        <v>2026</v>
      </c>
      <c r="C176" s="246">
        <f>YEAR(Table13[[#This Row],[Date]])</f>
        <v>2025</v>
      </c>
      <c r="D176" s="247">
        <f>Table13[[#This Row],[Date]]-DAY(Table13[[#This Row],[Date]])+1</f>
        <v>45901</v>
      </c>
      <c r="AB176" s="10">
        <f t="shared" si="7"/>
        <v>0</v>
      </c>
    </row>
    <row r="177" spans="1:28">
      <c r="A177" s="251">
        <f t="shared" si="8"/>
        <v>45919</v>
      </c>
      <c r="B177" s="248">
        <f>YEAR(Table13[[#This Row],[Date]])+IF(MONTH(Table13[[#This Row],[Date]])&gt;=4,1,0)</f>
        <v>2026</v>
      </c>
      <c r="C177" s="249">
        <f>YEAR(Table13[[#This Row],[Date]])</f>
        <v>2025</v>
      </c>
      <c r="D177" s="250">
        <f>Table13[[#This Row],[Date]]-DAY(Table13[[#This Row],[Date]])+1</f>
        <v>45901</v>
      </c>
      <c r="AB177" s="10">
        <f t="shared" si="7"/>
        <v>0</v>
      </c>
    </row>
    <row r="178" spans="1:28">
      <c r="A178" s="42">
        <f t="shared" si="8"/>
        <v>45920</v>
      </c>
      <c r="B178" s="245">
        <f>YEAR(Table13[[#This Row],[Date]])+IF(MONTH(Table13[[#This Row],[Date]])&gt;=4,1,0)</f>
        <v>2026</v>
      </c>
      <c r="C178" s="246">
        <f>YEAR(Table13[[#This Row],[Date]])</f>
        <v>2025</v>
      </c>
      <c r="D178" s="247">
        <f>Table13[[#This Row],[Date]]-DAY(Table13[[#This Row],[Date]])+1</f>
        <v>45901</v>
      </c>
      <c r="AB178" s="10">
        <f t="shared" si="7"/>
        <v>0</v>
      </c>
    </row>
    <row r="179" spans="1:28">
      <c r="A179" s="251">
        <f t="shared" si="8"/>
        <v>45921</v>
      </c>
      <c r="B179" s="248">
        <f>YEAR(Table13[[#This Row],[Date]])+IF(MONTH(Table13[[#This Row],[Date]])&gt;=4,1,0)</f>
        <v>2026</v>
      </c>
      <c r="C179" s="249">
        <f>YEAR(Table13[[#This Row],[Date]])</f>
        <v>2025</v>
      </c>
      <c r="D179" s="250">
        <f>Table13[[#This Row],[Date]]-DAY(Table13[[#This Row],[Date]])+1</f>
        <v>45901</v>
      </c>
      <c r="AB179" s="10">
        <f t="shared" si="7"/>
        <v>0</v>
      </c>
    </row>
    <row r="180" spans="1:28">
      <c r="A180" s="42">
        <f t="shared" si="8"/>
        <v>45922</v>
      </c>
      <c r="B180" s="245">
        <f>YEAR(Table13[[#This Row],[Date]])+IF(MONTH(Table13[[#This Row],[Date]])&gt;=4,1,0)</f>
        <v>2026</v>
      </c>
      <c r="C180" s="246">
        <f>YEAR(Table13[[#This Row],[Date]])</f>
        <v>2025</v>
      </c>
      <c r="D180" s="247">
        <f>Table13[[#This Row],[Date]]-DAY(Table13[[#This Row],[Date]])+1</f>
        <v>45901</v>
      </c>
      <c r="AB180" s="10">
        <f t="shared" si="7"/>
        <v>0</v>
      </c>
    </row>
    <row r="181" spans="1:28">
      <c r="A181" s="251">
        <f t="shared" si="8"/>
        <v>45923</v>
      </c>
      <c r="B181" s="248">
        <f>YEAR(Table13[[#This Row],[Date]])+IF(MONTH(Table13[[#This Row],[Date]])&gt;=4,1,0)</f>
        <v>2026</v>
      </c>
      <c r="C181" s="249">
        <f>YEAR(Table13[[#This Row],[Date]])</f>
        <v>2025</v>
      </c>
      <c r="D181" s="250">
        <f>Table13[[#This Row],[Date]]-DAY(Table13[[#This Row],[Date]])+1</f>
        <v>45901</v>
      </c>
      <c r="AB181" s="10">
        <f t="shared" si="7"/>
        <v>0</v>
      </c>
    </row>
    <row r="182" spans="1:28">
      <c r="A182" s="42">
        <f t="shared" si="8"/>
        <v>45924</v>
      </c>
      <c r="B182" s="245">
        <f>YEAR(Table13[[#This Row],[Date]])+IF(MONTH(Table13[[#This Row],[Date]])&gt;=4,1,0)</f>
        <v>2026</v>
      </c>
      <c r="C182" s="246">
        <f>YEAR(Table13[[#This Row],[Date]])</f>
        <v>2025</v>
      </c>
      <c r="D182" s="247">
        <f>Table13[[#This Row],[Date]]-DAY(Table13[[#This Row],[Date]])+1</f>
        <v>45901</v>
      </c>
      <c r="AB182" s="10">
        <f t="shared" si="7"/>
        <v>0</v>
      </c>
    </row>
    <row r="183" spans="1:28">
      <c r="A183" s="251">
        <f t="shared" si="8"/>
        <v>45925</v>
      </c>
      <c r="B183" s="248">
        <f>YEAR(Table13[[#This Row],[Date]])+IF(MONTH(Table13[[#This Row],[Date]])&gt;=4,1,0)</f>
        <v>2026</v>
      </c>
      <c r="C183" s="249">
        <f>YEAR(Table13[[#This Row],[Date]])</f>
        <v>2025</v>
      </c>
      <c r="D183" s="250">
        <f>Table13[[#This Row],[Date]]-DAY(Table13[[#This Row],[Date]])+1</f>
        <v>45901</v>
      </c>
      <c r="AB183" s="10">
        <f t="shared" si="7"/>
        <v>0</v>
      </c>
    </row>
    <row r="184" spans="1:28">
      <c r="A184" s="42">
        <f t="shared" si="8"/>
        <v>45926</v>
      </c>
      <c r="B184" s="245">
        <f>YEAR(Table13[[#This Row],[Date]])+IF(MONTH(Table13[[#This Row],[Date]])&gt;=4,1,0)</f>
        <v>2026</v>
      </c>
      <c r="C184" s="246">
        <f>YEAR(Table13[[#This Row],[Date]])</f>
        <v>2025</v>
      </c>
      <c r="D184" s="247">
        <f>Table13[[#This Row],[Date]]-DAY(Table13[[#This Row],[Date]])+1</f>
        <v>45901</v>
      </c>
      <c r="AB184" s="10">
        <f t="shared" si="7"/>
        <v>0</v>
      </c>
    </row>
    <row r="185" spans="1:28">
      <c r="A185" s="251">
        <f t="shared" si="8"/>
        <v>45927</v>
      </c>
      <c r="B185" s="248">
        <f>YEAR(Table13[[#This Row],[Date]])+IF(MONTH(Table13[[#This Row],[Date]])&gt;=4,1,0)</f>
        <v>2026</v>
      </c>
      <c r="C185" s="249">
        <f>YEAR(Table13[[#This Row],[Date]])</f>
        <v>2025</v>
      </c>
      <c r="D185" s="250">
        <f>Table13[[#This Row],[Date]]-DAY(Table13[[#This Row],[Date]])+1</f>
        <v>45901</v>
      </c>
      <c r="AB185" s="10">
        <f t="shared" si="7"/>
        <v>0</v>
      </c>
    </row>
    <row r="186" spans="1:28">
      <c r="A186" s="42">
        <f t="shared" si="8"/>
        <v>45928</v>
      </c>
      <c r="B186" s="245">
        <f>YEAR(Table13[[#This Row],[Date]])+IF(MONTH(Table13[[#This Row],[Date]])&gt;=4,1,0)</f>
        <v>2026</v>
      </c>
      <c r="C186" s="246">
        <f>YEAR(Table13[[#This Row],[Date]])</f>
        <v>2025</v>
      </c>
      <c r="D186" s="247">
        <f>Table13[[#This Row],[Date]]-DAY(Table13[[#This Row],[Date]])+1</f>
        <v>45901</v>
      </c>
      <c r="AB186" s="10">
        <f t="shared" si="7"/>
        <v>0</v>
      </c>
    </row>
    <row r="187" spans="1:28">
      <c r="A187" s="251">
        <f t="shared" si="8"/>
        <v>45929</v>
      </c>
      <c r="B187" s="248">
        <f>YEAR(Table13[[#This Row],[Date]])+IF(MONTH(Table13[[#This Row],[Date]])&gt;=4,1,0)</f>
        <v>2026</v>
      </c>
      <c r="C187" s="249">
        <f>YEAR(Table13[[#This Row],[Date]])</f>
        <v>2025</v>
      </c>
      <c r="D187" s="250">
        <f>Table13[[#This Row],[Date]]-DAY(Table13[[#This Row],[Date]])+1</f>
        <v>45901</v>
      </c>
      <c r="AB187" s="10">
        <f t="shared" si="7"/>
        <v>0</v>
      </c>
    </row>
    <row r="188" spans="1:28">
      <c r="A188" s="42">
        <f t="shared" si="8"/>
        <v>45930</v>
      </c>
      <c r="B188" s="245">
        <f>YEAR(Table13[[#This Row],[Date]])+IF(MONTH(Table13[[#This Row],[Date]])&gt;=4,1,0)</f>
        <v>2026</v>
      </c>
      <c r="C188" s="246">
        <f>YEAR(Table13[[#This Row],[Date]])</f>
        <v>2025</v>
      </c>
      <c r="D188" s="247">
        <f>Table13[[#This Row],[Date]]-DAY(Table13[[#This Row],[Date]])+1</f>
        <v>45931</v>
      </c>
      <c r="AB188" s="10">
        <f t="shared" si="7"/>
        <v>0</v>
      </c>
    </row>
    <row r="189" spans="1:28">
      <c r="A189" s="251">
        <f t="shared" si="8"/>
        <v>45931</v>
      </c>
      <c r="B189" s="248">
        <f>YEAR(Table13[[#This Row],[Date]])+IF(MONTH(Table13[[#This Row],[Date]])&gt;=4,1,0)</f>
        <v>2026</v>
      </c>
      <c r="C189" s="249">
        <f>YEAR(Table13[[#This Row],[Date]])</f>
        <v>2025</v>
      </c>
      <c r="D189" s="250">
        <f>Table13[[#This Row],[Date]]-DAY(Table13[[#This Row],[Date]])+1</f>
        <v>45931</v>
      </c>
      <c r="AB189" s="10">
        <f t="shared" si="7"/>
        <v>0</v>
      </c>
    </row>
    <row r="190" spans="1:28">
      <c r="A190" s="42">
        <f t="shared" si="8"/>
        <v>45932</v>
      </c>
      <c r="B190" s="245">
        <f>YEAR(Table13[[#This Row],[Date]])+IF(MONTH(Table13[[#This Row],[Date]])&gt;=4,1,0)</f>
        <v>2026</v>
      </c>
      <c r="C190" s="246">
        <f>YEAR(Table13[[#This Row],[Date]])</f>
        <v>2025</v>
      </c>
      <c r="D190" s="247">
        <f>Table13[[#This Row],[Date]]-DAY(Table13[[#This Row],[Date]])+1</f>
        <v>45931</v>
      </c>
      <c r="AB190" s="10">
        <f t="shared" si="7"/>
        <v>0</v>
      </c>
    </row>
    <row r="191" spans="1:28">
      <c r="A191" s="251">
        <f t="shared" si="8"/>
        <v>45933</v>
      </c>
      <c r="B191" s="248">
        <f>YEAR(Table13[[#This Row],[Date]])+IF(MONTH(Table13[[#This Row],[Date]])&gt;=4,1,0)</f>
        <v>2026</v>
      </c>
      <c r="C191" s="249">
        <f>YEAR(Table13[[#This Row],[Date]])</f>
        <v>2025</v>
      </c>
      <c r="D191" s="250">
        <f>Table13[[#This Row],[Date]]-DAY(Table13[[#This Row],[Date]])+1</f>
        <v>45931</v>
      </c>
      <c r="AB191" s="10">
        <f t="shared" si="7"/>
        <v>0</v>
      </c>
    </row>
    <row r="192" spans="1:28">
      <c r="A192" s="42">
        <f t="shared" si="8"/>
        <v>45934</v>
      </c>
      <c r="B192" s="245">
        <f>YEAR(Table13[[#This Row],[Date]])+IF(MONTH(Table13[[#This Row],[Date]])&gt;=4,1,0)</f>
        <v>2026</v>
      </c>
      <c r="C192" s="246">
        <f>YEAR(Table13[[#This Row],[Date]])</f>
        <v>2025</v>
      </c>
      <c r="D192" s="247">
        <f>Table13[[#This Row],[Date]]-DAY(Table13[[#This Row],[Date]])+1</f>
        <v>45931</v>
      </c>
      <c r="AB192" s="10">
        <f t="shared" si="7"/>
        <v>0</v>
      </c>
    </row>
    <row r="193" spans="1:28">
      <c r="A193" s="251">
        <f t="shared" si="8"/>
        <v>45935</v>
      </c>
      <c r="B193" s="248">
        <f>YEAR(Table13[[#This Row],[Date]])+IF(MONTH(Table13[[#This Row],[Date]])&gt;=4,1,0)</f>
        <v>2026</v>
      </c>
      <c r="C193" s="249">
        <f>YEAR(Table13[[#This Row],[Date]])</f>
        <v>2025</v>
      </c>
      <c r="D193" s="250">
        <f>Table13[[#This Row],[Date]]-DAY(Table13[[#This Row],[Date]])+1</f>
        <v>45931</v>
      </c>
      <c r="AB193" s="10">
        <f t="shared" si="7"/>
        <v>0</v>
      </c>
    </row>
    <row r="194" spans="1:28">
      <c r="A194" s="42">
        <f t="shared" si="8"/>
        <v>45936</v>
      </c>
      <c r="B194" s="245">
        <f>YEAR(Table13[[#This Row],[Date]])+IF(MONTH(Table13[[#This Row],[Date]])&gt;=4,1,0)</f>
        <v>2026</v>
      </c>
      <c r="C194" s="246">
        <f>YEAR(Table13[[#This Row],[Date]])</f>
        <v>2025</v>
      </c>
      <c r="D194" s="247">
        <f>Table13[[#This Row],[Date]]-DAY(Table13[[#This Row],[Date]])+1</f>
        <v>45931</v>
      </c>
      <c r="AB194" s="10">
        <f t="shared" si="7"/>
        <v>0</v>
      </c>
    </row>
    <row r="195" spans="1:28">
      <c r="A195" s="251">
        <f t="shared" si="8"/>
        <v>45937</v>
      </c>
      <c r="B195" s="248">
        <f>YEAR(Table13[[#This Row],[Date]])+IF(MONTH(Table13[[#This Row],[Date]])&gt;=4,1,0)</f>
        <v>2026</v>
      </c>
      <c r="C195" s="249">
        <f>YEAR(Table13[[#This Row],[Date]])</f>
        <v>2025</v>
      </c>
      <c r="D195" s="250">
        <f>Table13[[#This Row],[Date]]-DAY(Table13[[#This Row],[Date]])+1</f>
        <v>45931</v>
      </c>
      <c r="AB195" s="10">
        <f t="shared" si="7"/>
        <v>0</v>
      </c>
    </row>
    <row r="196" spans="1:28">
      <c r="A196" s="42">
        <f t="shared" si="8"/>
        <v>45938</v>
      </c>
      <c r="B196" s="245">
        <f>YEAR(Table13[[#This Row],[Date]])+IF(MONTH(Table13[[#This Row],[Date]])&gt;=4,1,0)</f>
        <v>2026</v>
      </c>
      <c r="C196" s="246">
        <f>YEAR(Table13[[#This Row],[Date]])</f>
        <v>2025</v>
      </c>
      <c r="D196" s="247">
        <f>Table13[[#This Row],[Date]]-DAY(Table13[[#This Row],[Date]])+1</f>
        <v>45931</v>
      </c>
      <c r="AB196" s="10">
        <f t="shared" si="7"/>
        <v>0</v>
      </c>
    </row>
    <row r="197" spans="1:28">
      <c r="A197" s="251">
        <f t="shared" si="8"/>
        <v>45939</v>
      </c>
      <c r="B197" s="248">
        <f>YEAR(Table13[[#This Row],[Date]])+IF(MONTH(Table13[[#This Row],[Date]])&gt;=4,1,0)</f>
        <v>2026</v>
      </c>
      <c r="C197" s="249">
        <f>YEAR(Table13[[#This Row],[Date]])</f>
        <v>2025</v>
      </c>
      <c r="D197" s="250">
        <f>Table13[[#This Row],[Date]]-DAY(Table13[[#This Row],[Date]])+1</f>
        <v>45931</v>
      </c>
      <c r="AB197" s="10">
        <f t="shared" si="7"/>
        <v>0</v>
      </c>
    </row>
    <row r="198" spans="1:28">
      <c r="A198" s="42">
        <f t="shared" si="8"/>
        <v>45940</v>
      </c>
      <c r="B198" s="245">
        <f>YEAR(Table13[[#This Row],[Date]])+IF(MONTH(Table13[[#This Row],[Date]])&gt;=4,1,0)</f>
        <v>2026</v>
      </c>
      <c r="C198" s="246">
        <f>YEAR(Table13[[#This Row],[Date]])</f>
        <v>2025</v>
      </c>
      <c r="D198" s="247">
        <f>Table13[[#This Row],[Date]]-DAY(Table13[[#This Row],[Date]])+1</f>
        <v>45931</v>
      </c>
      <c r="AB198" s="10">
        <f t="shared" si="7"/>
        <v>0</v>
      </c>
    </row>
    <row r="199" spans="1:28">
      <c r="A199" s="251">
        <f t="shared" si="8"/>
        <v>45941</v>
      </c>
      <c r="B199" s="248">
        <f>YEAR(Table13[[#This Row],[Date]])+IF(MONTH(Table13[[#This Row],[Date]])&gt;=4,1,0)</f>
        <v>2026</v>
      </c>
      <c r="C199" s="249">
        <f>YEAR(Table13[[#This Row],[Date]])</f>
        <v>2025</v>
      </c>
      <c r="D199" s="250">
        <f>Table13[[#This Row],[Date]]-DAY(Table13[[#This Row],[Date]])+1</f>
        <v>45931</v>
      </c>
      <c r="AB199" s="10">
        <f t="shared" si="7"/>
        <v>0</v>
      </c>
    </row>
    <row r="200" spans="1:28">
      <c r="A200" s="42">
        <f t="shared" si="8"/>
        <v>45942</v>
      </c>
      <c r="B200" s="245">
        <f>YEAR(Table13[[#This Row],[Date]])+IF(MONTH(Table13[[#This Row],[Date]])&gt;=4,1,0)</f>
        <v>2026</v>
      </c>
      <c r="C200" s="246">
        <f>YEAR(Table13[[#This Row],[Date]])</f>
        <v>2025</v>
      </c>
      <c r="D200" s="247">
        <f>Table13[[#This Row],[Date]]-DAY(Table13[[#This Row],[Date]])+1</f>
        <v>45931</v>
      </c>
      <c r="AB200" s="10">
        <f t="shared" ref="AB200:AB263" si="9">SUM(E200:AA200)</f>
        <v>0</v>
      </c>
    </row>
    <row r="201" spans="1:28">
      <c r="A201" s="251">
        <f t="shared" si="8"/>
        <v>45943</v>
      </c>
      <c r="B201" s="248">
        <f>YEAR(Table13[[#This Row],[Date]])+IF(MONTH(Table13[[#This Row],[Date]])&gt;=4,1,0)</f>
        <v>2026</v>
      </c>
      <c r="C201" s="249">
        <f>YEAR(Table13[[#This Row],[Date]])</f>
        <v>2025</v>
      </c>
      <c r="D201" s="250">
        <f>Table13[[#This Row],[Date]]-DAY(Table13[[#This Row],[Date]])+1</f>
        <v>45931</v>
      </c>
      <c r="AB201" s="10">
        <f t="shared" si="9"/>
        <v>0</v>
      </c>
    </row>
    <row r="202" spans="1:28">
      <c r="A202" s="42">
        <f t="shared" ref="A202:A265" si="10">A201+1</f>
        <v>45944</v>
      </c>
      <c r="B202" s="245">
        <f>YEAR(Table13[[#This Row],[Date]])+IF(MONTH(Table13[[#This Row],[Date]])&gt;=4,1,0)</f>
        <v>2026</v>
      </c>
      <c r="C202" s="246">
        <f>YEAR(Table13[[#This Row],[Date]])</f>
        <v>2025</v>
      </c>
      <c r="D202" s="247">
        <f>Table13[[#This Row],[Date]]-DAY(Table13[[#This Row],[Date]])+1</f>
        <v>45931</v>
      </c>
      <c r="AB202" s="10">
        <f t="shared" si="9"/>
        <v>0</v>
      </c>
    </row>
    <row r="203" spans="1:28">
      <c r="A203" s="251">
        <f t="shared" si="10"/>
        <v>45945</v>
      </c>
      <c r="B203" s="248">
        <f>YEAR(Table13[[#This Row],[Date]])+IF(MONTH(Table13[[#This Row],[Date]])&gt;=4,1,0)</f>
        <v>2026</v>
      </c>
      <c r="C203" s="249">
        <f>YEAR(Table13[[#This Row],[Date]])</f>
        <v>2025</v>
      </c>
      <c r="D203" s="250">
        <f>Table13[[#This Row],[Date]]-DAY(Table13[[#This Row],[Date]])+1</f>
        <v>45931</v>
      </c>
      <c r="AB203" s="10">
        <f t="shared" si="9"/>
        <v>0</v>
      </c>
    </row>
    <row r="204" spans="1:28">
      <c r="A204" s="42">
        <f t="shared" si="10"/>
        <v>45946</v>
      </c>
      <c r="B204" s="245">
        <f>YEAR(Table13[[#This Row],[Date]])+IF(MONTH(Table13[[#This Row],[Date]])&gt;=4,1,0)</f>
        <v>2026</v>
      </c>
      <c r="C204" s="246">
        <f>YEAR(Table13[[#This Row],[Date]])</f>
        <v>2025</v>
      </c>
      <c r="D204" s="247">
        <f>Table13[[#This Row],[Date]]-DAY(Table13[[#This Row],[Date]])+1</f>
        <v>45931</v>
      </c>
      <c r="AB204" s="10">
        <f t="shared" si="9"/>
        <v>0</v>
      </c>
    </row>
    <row r="205" spans="1:28">
      <c r="A205" s="251">
        <f t="shared" si="10"/>
        <v>45947</v>
      </c>
      <c r="B205" s="248">
        <f>YEAR(Table13[[#This Row],[Date]])+IF(MONTH(Table13[[#This Row],[Date]])&gt;=4,1,0)</f>
        <v>2026</v>
      </c>
      <c r="C205" s="249">
        <f>YEAR(Table13[[#This Row],[Date]])</f>
        <v>2025</v>
      </c>
      <c r="D205" s="250">
        <f>Table13[[#This Row],[Date]]-DAY(Table13[[#This Row],[Date]])+1</f>
        <v>45931</v>
      </c>
      <c r="AB205" s="10">
        <f t="shared" si="9"/>
        <v>0</v>
      </c>
    </row>
    <row r="206" spans="1:28">
      <c r="A206" s="42">
        <f t="shared" si="10"/>
        <v>45948</v>
      </c>
      <c r="B206" s="245">
        <f>YEAR(Table13[[#This Row],[Date]])+IF(MONTH(Table13[[#This Row],[Date]])&gt;=4,1,0)</f>
        <v>2026</v>
      </c>
      <c r="C206" s="246">
        <f>YEAR(Table13[[#This Row],[Date]])</f>
        <v>2025</v>
      </c>
      <c r="D206" s="247">
        <f>Table13[[#This Row],[Date]]-DAY(Table13[[#This Row],[Date]])+1</f>
        <v>45931</v>
      </c>
      <c r="AB206" s="10">
        <f t="shared" si="9"/>
        <v>0</v>
      </c>
    </row>
    <row r="207" spans="1:28">
      <c r="A207" s="251">
        <f t="shared" si="10"/>
        <v>45949</v>
      </c>
      <c r="B207" s="248">
        <f>YEAR(Table13[[#This Row],[Date]])+IF(MONTH(Table13[[#This Row],[Date]])&gt;=4,1,0)</f>
        <v>2026</v>
      </c>
      <c r="C207" s="249">
        <f>YEAR(Table13[[#This Row],[Date]])</f>
        <v>2025</v>
      </c>
      <c r="D207" s="250">
        <f>Table13[[#This Row],[Date]]-DAY(Table13[[#This Row],[Date]])+1</f>
        <v>45931</v>
      </c>
      <c r="AB207" s="10">
        <f t="shared" si="9"/>
        <v>0</v>
      </c>
    </row>
    <row r="208" spans="1:28">
      <c r="A208" s="42">
        <f t="shared" si="10"/>
        <v>45950</v>
      </c>
      <c r="B208" s="245">
        <f>YEAR(Table13[[#This Row],[Date]])+IF(MONTH(Table13[[#This Row],[Date]])&gt;=4,1,0)</f>
        <v>2026</v>
      </c>
      <c r="C208" s="246">
        <f>YEAR(Table13[[#This Row],[Date]])</f>
        <v>2025</v>
      </c>
      <c r="D208" s="247">
        <f>Table13[[#This Row],[Date]]-DAY(Table13[[#This Row],[Date]])+1</f>
        <v>45931</v>
      </c>
      <c r="AB208" s="10">
        <f t="shared" si="9"/>
        <v>0</v>
      </c>
    </row>
    <row r="209" spans="1:28">
      <c r="A209" s="251">
        <f t="shared" si="10"/>
        <v>45951</v>
      </c>
      <c r="B209" s="248">
        <f>YEAR(Table13[[#This Row],[Date]])+IF(MONTH(Table13[[#This Row],[Date]])&gt;=4,1,0)</f>
        <v>2026</v>
      </c>
      <c r="C209" s="249">
        <f>YEAR(Table13[[#This Row],[Date]])</f>
        <v>2025</v>
      </c>
      <c r="D209" s="250">
        <f>Table13[[#This Row],[Date]]-DAY(Table13[[#This Row],[Date]])+1</f>
        <v>45931</v>
      </c>
      <c r="AB209" s="10">
        <f t="shared" si="9"/>
        <v>0</v>
      </c>
    </row>
    <row r="210" spans="1:28">
      <c r="A210" s="42">
        <f t="shared" si="10"/>
        <v>45952</v>
      </c>
      <c r="B210" s="245">
        <f>YEAR(Table13[[#This Row],[Date]])+IF(MONTH(Table13[[#This Row],[Date]])&gt;=4,1,0)</f>
        <v>2026</v>
      </c>
      <c r="C210" s="246">
        <f>YEAR(Table13[[#This Row],[Date]])</f>
        <v>2025</v>
      </c>
      <c r="D210" s="247">
        <f>Table13[[#This Row],[Date]]-DAY(Table13[[#This Row],[Date]])+1</f>
        <v>45931</v>
      </c>
      <c r="AB210" s="10">
        <f t="shared" si="9"/>
        <v>0</v>
      </c>
    </row>
    <row r="211" spans="1:28">
      <c r="A211" s="251">
        <f t="shared" si="10"/>
        <v>45953</v>
      </c>
      <c r="B211" s="248">
        <f>YEAR(Table13[[#This Row],[Date]])+IF(MONTH(Table13[[#This Row],[Date]])&gt;=4,1,0)</f>
        <v>2026</v>
      </c>
      <c r="C211" s="249">
        <f>YEAR(Table13[[#This Row],[Date]])</f>
        <v>2025</v>
      </c>
      <c r="D211" s="250">
        <f>Table13[[#This Row],[Date]]-DAY(Table13[[#This Row],[Date]])+1</f>
        <v>45931</v>
      </c>
      <c r="AB211" s="10">
        <f t="shared" si="9"/>
        <v>0</v>
      </c>
    </row>
    <row r="212" spans="1:28">
      <c r="A212" s="42">
        <f t="shared" si="10"/>
        <v>45954</v>
      </c>
      <c r="B212" s="245">
        <f>YEAR(Table13[[#This Row],[Date]])+IF(MONTH(Table13[[#This Row],[Date]])&gt;=4,1,0)</f>
        <v>2026</v>
      </c>
      <c r="C212" s="246">
        <f>YEAR(Table13[[#This Row],[Date]])</f>
        <v>2025</v>
      </c>
      <c r="D212" s="247">
        <f>Table13[[#This Row],[Date]]-DAY(Table13[[#This Row],[Date]])+1</f>
        <v>45931</v>
      </c>
      <c r="AB212" s="10">
        <f t="shared" si="9"/>
        <v>0</v>
      </c>
    </row>
    <row r="213" spans="1:28">
      <c r="A213" s="251">
        <f t="shared" si="10"/>
        <v>45955</v>
      </c>
      <c r="B213" s="248">
        <f>YEAR(Table13[[#This Row],[Date]])+IF(MONTH(Table13[[#This Row],[Date]])&gt;=4,1,0)</f>
        <v>2026</v>
      </c>
      <c r="C213" s="249">
        <f>YEAR(Table13[[#This Row],[Date]])</f>
        <v>2025</v>
      </c>
      <c r="D213" s="250">
        <f>Table13[[#This Row],[Date]]-DAY(Table13[[#This Row],[Date]])+1</f>
        <v>45931</v>
      </c>
      <c r="AB213" s="10">
        <f t="shared" si="9"/>
        <v>0</v>
      </c>
    </row>
    <row r="214" spans="1:28">
      <c r="A214" s="42">
        <f t="shared" si="10"/>
        <v>45956</v>
      </c>
      <c r="B214" s="245">
        <f>YEAR(Table13[[#This Row],[Date]])+IF(MONTH(Table13[[#This Row],[Date]])&gt;=4,1,0)</f>
        <v>2026</v>
      </c>
      <c r="C214" s="246">
        <f>YEAR(Table13[[#This Row],[Date]])</f>
        <v>2025</v>
      </c>
      <c r="D214" s="247">
        <f>Table13[[#This Row],[Date]]-DAY(Table13[[#This Row],[Date]])+1</f>
        <v>45931</v>
      </c>
      <c r="AB214" s="10">
        <f t="shared" si="9"/>
        <v>0</v>
      </c>
    </row>
    <row r="215" spans="1:28">
      <c r="A215" s="251">
        <f t="shared" si="10"/>
        <v>45957</v>
      </c>
      <c r="B215" s="248">
        <f>YEAR(Table13[[#This Row],[Date]])+IF(MONTH(Table13[[#This Row],[Date]])&gt;=4,1,0)</f>
        <v>2026</v>
      </c>
      <c r="C215" s="249">
        <f>YEAR(Table13[[#This Row],[Date]])</f>
        <v>2025</v>
      </c>
      <c r="D215" s="250">
        <f>Table13[[#This Row],[Date]]-DAY(Table13[[#This Row],[Date]])+1</f>
        <v>45931</v>
      </c>
      <c r="AB215" s="10">
        <f t="shared" si="9"/>
        <v>0</v>
      </c>
    </row>
    <row r="216" spans="1:28">
      <c r="A216" s="42">
        <f t="shared" si="10"/>
        <v>45958</v>
      </c>
      <c r="B216" s="245">
        <f>YEAR(Table13[[#This Row],[Date]])+IF(MONTH(Table13[[#This Row],[Date]])&gt;=4,1,0)</f>
        <v>2026</v>
      </c>
      <c r="C216" s="246">
        <f>YEAR(Table13[[#This Row],[Date]])</f>
        <v>2025</v>
      </c>
      <c r="D216" s="247">
        <f>Table13[[#This Row],[Date]]-DAY(Table13[[#This Row],[Date]])+1</f>
        <v>45931</v>
      </c>
      <c r="AB216" s="10">
        <f t="shared" si="9"/>
        <v>0</v>
      </c>
    </row>
    <row r="217" spans="1:28">
      <c r="A217" s="251">
        <f t="shared" si="10"/>
        <v>45959</v>
      </c>
      <c r="B217" s="248">
        <f>YEAR(Table13[[#This Row],[Date]])+IF(MONTH(Table13[[#This Row],[Date]])&gt;=4,1,0)</f>
        <v>2026</v>
      </c>
      <c r="C217" s="249">
        <f>YEAR(Table13[[#This Row],[Date]])</f>
        <v>2025</v>
      </c>
      <c r="D217" s="250">
        <f>Table13[[#This Row],[Date]]-DAY(Table13[[#This Row],[Date]])+1</f>
        <v>45931</v>
      </c>
      <c r="AB217" s="10">
        <f t="shared" si="9"/>
        <v>0</v>
      </c>
    </row>
    <row r="218" spans="1:28">
      <c r="A218" s="42">
        <f t="shared" si="10"/>
        <v>45960</v>
      </c>
      <c r="B218" s="245">
        <f>YEAR(Table13[[#This Row],[Date]])+IF(MONTH(Table13[[#This Row],[Date]])&gt;=4,1,0)</f>
        <v>2026</v>
      </c>
      <c r="C218" s="246">
        <f>YEAR(Table13[[#This Row],[Date]])</f>
        <v>2025</v>
      </c>
      <c r="D218" s="247">
        <f>Table13[[#This Row],[Date]]-DAY(Table13[[#This Row],[Date]])+1</f>
        <v>45931</v>
      </c>
      <c r="AB218" s="10">
        <f t="shared" si="9"/>
        <v>0</v>
      </c>
    </row>
    <row r="219" spans="1:28">
      <c r="A219" s="251">
        <f t="shared" si="10"/>
        <v>45961</v>
      </c>
      <c r="B219" s="248">
        <f>YEAR(Table13[[#This Row],[Date]])+IF(MONTH(Table13[[#This Row],[Date]])&gt;=4,1,0)</f>
        <v>2026</v>
      </c>
      <c r="C219" s="249">
        <f>YEAR(Table13[[#This Row],[Date]])</f>
        <v>2025</v>
      </c>
      <c r="D219" s="250">
        <f>Table13[[#This Row],[Date]]-DAY(Table13[[#This Row],[Date]])+1</f>
        <v>45962</v>
      </c>
      <c r="AB219" s="10">
        <f t="shared" si="9"/>
        <v>0</v>
      </c>
    </row>
    <row r="220" spans="1:28">
      <c r="A220" s="42">
        <f t="shared" si="10"/>
        <v>45962</v>
      </c>
      <c r="B220" s="245">
        <f>YEAR(Table13[[#This Row],[Date]])+IF(MONTH(Table13[[#This Row],[Date]])&gt;=4,1,0)</f>
        <v>2026</v>
      </c>
      <c r="C220" s="246">
        <f>YEAR(Table13[[#This Row],[Date]])</f>
        <v>2025</v>
      </c>
      <c r="D220" s="247">
        <f>Table13[[#This Row],[Date]]-DAY(Table13[[#This Row],[Date]])+1</f>
        <v>45962</v>
      </c>
      <c r="AB220" s="10">
        <f t="shared" si="9"/>
        <v>0</v>
      </c>
    </row>
    <row r="221" spans="1:28">
      <c r="A221" s="251">
        <f t="shared" si="10"/>
        <v>45963</v>
      </c>
      <c r="B221" s="248">
        <f>YEAR(Table13[[#This Row],[Date]])+IF(MONTH(Table13[[#This Row],[Date]])&gt;=4,1,0)</f>
        <v>2026</v>
      </c>
      <c r="C221" s="249">
        <f>YEAR(Table13[[#This Row],[Date]])</f>
        <v>2025</v>
      </c>
      <c r="D221" s="250">
        <f>Table13[[#This Row],[Date]]-DAY(Table13[[#This Row],[Date]])+1</f>
        <v>45962</v>
      </c>
      <c r="AB221" s="10">
        <f t="shared" si="9"/>
        <v>0</v>
      </c>
    </row>
    <row r="222" spans="1:28">
      <c r="A222" s="42">
        <f t="shared" si="10"/>
        <v>45964</v>
      </c>
      <c r="B222" s="245">
        <f>YEAR(Table13[[#This Row],[Date]])+IF(MONTH(Table13[[#This Row],[Date]])&gt;=4,1,0)</f>
        <v>2026</v>
      </c>
      <c r="C222" s="246">
        <f>YEAR(Table13[[#This Row],[Date]])</f>
        <v>2025</v>
      </c>
      <c r="D222" s="247">
        <f>Table13[[#This Row],[Date]]-DAY(Table13[[#This Row],[Date]])+1</f>
        <v>45962</v>
      </c>
      <c r="AB222" s="10">
        <f t="shared" si="9"/>
        <v>0</v>
      </c>
    </row>
    <row r="223" spans="1:28">
      <c r="A223" s="251">
        <f t="shared" si="10"/>
        <v>45965</v>
      </c>
      <c r="B223" s="248">
        <f>YEAR(Table13[[#This Row],[Date]])+IF(MONTH(Table13[[#This Row],[Date]])&gt;=4,1,0)</f>
        <v>2026</v>
      </c>
      <c r="C223" s="249">
        <f>YEAR(Table13[[#This Row],[Date]])</f>
        <v>2025</v>
      </c>
      <c r="D223" s="250">
        <f>Table13[[#This Row],[Date]]-DAY(Table13[[#This Row],[Date]])+1</f>
        <v>45962</v>
      </c>
      <c r="AB223" s="10">
        <f t="shared" si="9"/>
        <v>0</v>
      </c>
    </row>
    <row r="224" spans="1:28">
      <c r="A224" s="42">
        <f t="shared" si="10"/>
        <v>45966</v>
      </c>
      <c r="B224" s="245">
        <f>YEAR(Table13[[#This Row],[Date]])+IF(MONTH(Table13[[#This Row],[Date]])&gt;=4,1,0)</f>
        <v>2026</v>
      </c>
      <c r="C224" s="246">
        <f>YEAR(Table13[[#This Row],[Date]])</f>
        <v>2025</v>
      </c>
      <c r="D224" s="247">
        <f>Table13[[#This Row],[Date]]-DAY(Table13[[#This Row],[Date]])+1</f>
        <v>45962</v>
      </c>
      <c r="AB224" s="10">
        <f t="shared" si="9"/>
        <v>0</v>
      </c>
    </row>
    <row r="225" spans="1:28">
      <c r="A225" s="251">
        <f t="shared" si="10"/>
        <v>45967</v>
      </c>
      <c r="B225" s="248">
        <f>YEAR(Table13[[#This Row],[Date]])+IF(MONTH(Table13[[#This Row],[Date]])&gt;=4,1,0)</f>
        <v>2026</v>
      </c>
      <c r="C225" s="249">
        <f>YEAR(Table13[[#This Row],[Date]])</f>
        <v>2025</v>
      </c>
      <c r="D225" s="250">
        <f>Table13[[#This Row],[Date]]-DAY(Table13[[#This Row],[Date]])+1</f>
        <v>45962</v>
      </c>
      <c r="AB225" s="10">
        <f t="shared" si="9"/>
        <v>0</v>
      </c>
    </row>
    <row r="226" spans="1:28">
      <c r="A226" s="42">
        <f t="shared" si="10"/>
        <v>45968</v>
      </c>
      <c r="B226" s="245">
        <f>YEAR(Table13[[#This Row],[Date]])+IF(MONTH(Table13[[#This Row],[Date]])&gt;=4,1,0)</f>
        <v>2026</v>
      </c>
      <c r="C226" s="246">
        <f>YEAR(Table13[[#This Row],[Date]])</f>
        <v>2025</v>
      </c>
      <c r="D226" s="247">
        <f>Table13[[#This Row],[Date]]-DAY(Table13[[#This Row],[Date]])+1</f>
        <v>45962</v>
      </c>
      <c r="AB226" s="10">
        <f t="shared" si="9"/>
        <v>0</v>
      </c>
    </row>
    <row r="227" spans="1:28">
      <c r="A227" s="251">
        <f t="shared" si="10"/>
        <v>45969</v>
      </c>
      <c r="B227" s="248">
        <f>YEAR(Table13[[#This Row],[Date]])+IF(MONTH(Table13[[#This Row],[Date]])&gt;=4,1,0)</f>
        <v>2026</v>
      </c>
      <c r="C227" s="249">
        <f>YEAR(Table13[[#This Row],[Date]])</f>
        <v>2025</v>
      </c>
      <c r="D227" s="250">
        <f>Table13[[#This Row],[Date]]-DAY(Table13[[#This Row],[Date]])+1</f>
        <v>45962</v>
      </c>
      <c r="AB227" s="10">
        <f t="shared" si="9"/>
        <v>0</v>
      </c>
    </row>
    <row r="228" spans="1:28">
      <c r="A228" s="42">
        <f t="shared" si="10"/>
        <v>45970</v>
      </c>
      <c r="B228" s="245">
        <f>YEAR(Table13[[#This Row],[Date]])+IF(MONTH(Table13[[#This Row],[Date]])&gt;=4,1,0)</f>
        <v>2026</v>
      </c>
      <c r="C228" s="246">
        <f>YEAR(Table13[[#This Row],[Date]])</f>
        <v>2025</v>
      </c>
      <c r="D228" s="247">
        <f>Table13[[#This Row],[Date]]-DAY(Table13[[#This Row],[Date]])+1</f>
        <v>45962</v>
      </c>
      <c r="AB228" s="10">
        <f t="shared" si="9"/>
        <v>0</v>
      </c>
    </row>
    <row r="229" spans="1:28">
      <c r="A229" s="251">
        <f t="shared" si="10"/>
        <v>45971</v>
      </c>
      <c r="B229" s="248">
        <f>YEAR(Table13[[#This Row],[Date]])+IF(MONTH(Table13[[#This Row],[Date]])&gt;=4,1,0)</f>
        <v>2026</v>
      </c>
      <c r="C229" s="249">
        <f>YEAR(Table13[[#This Row],[Date]])</f>
        <v>2025</v>
      </c>
      <c r="D229" s="250">
        <f>Table13[[#This Row],[Date]]-DAY(Table13[[#This Row],[Date]])+1</f>
        <v>45962</v>
      </c>
      <c r="AB229" s="10">
        <f t="shared" si="9"/>
        <v>0</v>
      </c>
    </row>
    <row r="230" spans="1:28">
      <c r="A230" s="42">
        <f t="shared" si="10"/>
        <v>45972</v>
      </c>
      <c r="B230" s="245">
        <f>YEAR(Table13[[#This Row],[Date]])+IF(MONTH(Table13[[#This Row],[Date]])&gt;=4,1,0)</f>
        <v>2026</v>
      </c>
      <c r="C230" s="246">
        <f>YEAR(Table13[[#This Row],[Date]])</f>
        <v>2025</v>
      </c>
      <c r="D230" s="247">
        <f>Table13[[#This Row],[Date]]-DAY(Table13[[#This Row],[Date]])+1</f>
        <v>45962</v>
      </c>
      <c r="AB230" s="10">
        <f t="shared" si="9"/>
        <v>0</v>
      </c>
    </row>
    <row r="231" spans="1:28">
      <c r="A231" s="251">
        <f t="shared" si="10"/>
        <v>45973</v>
      </c>
      <c r="B231" s="248">
        <f>YEAR(Table13[[#This Row],[Date]])+IF(MONTH(Table13[[#This Row],[Date]])&gt;=4,1,0)</f>
        <v>2026</v>
      </c>
      <c r="C231" s="249">
        <f>YEAR(Table13[[#This Row],[Date]])</f>
        <v>2025</v>
      </c>
      <c r="D231" s="250">
        <f>Table13[[#This Row],[Date]]-DAY(Table13[[#This Row],[Date]])+1</f>
        <v>45962</v>
      </c>
      <c r="AB231" s="10">
        <f t="shared" si="9"/>
        <v>0</v>
      </c>
    </row>
    <row r="232" spans="1:28">
      <c r="A232" s="42">
        <f t="shared" si="10"/>
        <v>45974</v>
      </c>
      <c r="B232" s="245">
        <f>YEAR(Table13[[#This Row],[Date]])+IF(MONTH(Table13[[#This Row],[Date]])&gt;=4,1,0)</f>
        <v>2026</v>
      </c>
      <c r="C232" s="246">
        <f>YEAR(Table13[[#This Row],[Date]])</f>
        <v>2025</v>
      </c>
      <c r="D232" s="247">
        <f>Table13[[#This Row],[Date]]-DAY(Table13[[#This Row],[Date]])+1</f>
        <v>45962</v>
      </c>
      <c r="AB232" s="10">
        <f t="shared" si="9"/>
        <v>0</v>
      </c>
    </row>
    <row r="233" spans="1:28">
      <c r="A233" s="251">
        <f t="shared" si="10"/>
        <v>45975</v>
      </c>
      <c r="B233" s="248">
        <f>YEAR(Table13[[#This Row],[Date]])+IF(MONTH(Table13[[#This Row],[Date]])&gt;=4,1,0)</f>
        <v>2026</v>
      </c>
      <c r="C233" s="249">
        <f>YEAR(Table13[[#This Row],[Date]])</f>
        <v>2025</v>
      </c>
      <c r="D233" s="250">
        <f>Table13[[#This Row],[Date]]-DAY(Table13[[#This Row],[Date]])+1</f>
        <v>45962</v>
      </c>
      <c r="AB233" s="10">
        <f t="shared" si="9"/>
        <v>0</v>
      </c>
    </row>
    <row r="234" spans="1:28">
      <c r="A234" s="42">
        <f t="shared" si="10"/>
        <v>45976</v>
      </c>
      <c r="B234" s="245">
        <f>YEAR(Table13[[#This Row],[Date]])+IF(MONTH(Table13[[#This Row],[Date]])&gt;=4,1,0)</f>
        <v>2026</v>
      </c>
      <c r="C234" s="246">
        <f>YEAR(Table13[[#This Row],[Date]])</f>
        <v>2025</v>
      </c>
      <c r="D234" s="247">
        <f>Table13[[#This Row],[Date]]-DAY(Table13[[#This Row],[Date]])+1</f>
        <v>45962</v>
      </c>
      <c r="AB234" s="10">
        <f t="shared" si="9"/>
        <v>0</v>
      </c>
    </row>
    <row r="235" spans="1:28">
      <c r="A235" s="251">
        <f t="shared" si="10"/>
        <v>45977</v>
      </c>
      <c r="B235" s="248">
        <f>YEAR(Table13[[#This Row],[Date]])+IF(MONTH(Table13[[#This Row],[Date]])&gt;=4,1,0)</f>
        <v>2026</v>
      </c>
      <c r="C235" s="249">
        <f>YEAR(Table13[[#This Row],[Date]])</f>
        <v>2025</v>
      </c>
      <c r="D235" s="250">
        <f>Table13[[#This Row],[Date]]-DAY(Table13[[#This Row],[Date]])+1</f>
        <v>45962</v>
      </c>
      <c r="AB235" s="10">
        <f t="shared" si="9"/>
        <v>0</v>
      </c>
    </row>
    <row r="236" spans="1:28">
      <c r="A236" s="42">
        <f t="shared" si="10"/>
        <v>45978</v>
      </c>
      <c r="B236" s="245">
        <f>YEAR(Table13[[#This Row],[Date]])+IF(MONTH(Table13[[#This Row],[Date]])&gt;=4,1,0)</f>
        <v>2026</v>
      </c>
      <c r="C236" s="246">
        <f>YEAR(Table13[[#This Row],[Date]])</f>
        <v>2025</v>
      </c>
      <c r="D236" s="247">
        <f>Table13[[#This Row],[Date]]-DAY(Table13[[#This Row],[Date]])+1</f>
        <v>45962</v>
      </c>
      <c r="AB236" s="10">
        <f t="shared" si="9"/>
        <v>0</v>
      </c>
    </row>
    <row r="237" spans="1:28">
      <c r="A237" s="251">
        <f t="shared" si="10"/>
        <v>45979</v>
      </c>
      <c r="B237" s="248">
        <f>YEAR(Table13[[#This Row],[Date]])+IF(MONTH(Table13[[#This Row],[Date]])&gt;=4,1,0)</f>
        <v>2026</v>
      </c>
      <c r="C237" s="249">
        <f>YEAR(Table13[[#This Row],[Date]])</f>
        <v>2025</v>
      </c>
      <c r="D237" s="250">
        <f>Table13[[#This Row],[Date]]-DAY(Table13[[#This Row],[Date]])+1</f>
        <v>45962</v>
      </c>
      <c r="AB237" s="10">
        <f t="shared" si="9"/>
        <v>0</v>
      </c>
    </row>
    <row r="238" spans="1:28">
      <c r="A238" s="42">
        <f t="shared" si="10"/>
        <v>45980</v>
      </c>
      <c r="B238" s="245">
        <f>YEAR(Table13[[#This Row],[Date]])+IF(MONTH(Table13[[#This Row],[Date]])&gt;=4,1,0)</f>
        <v>2026</v>
      </c>
      <c r="C238" s="246">
        <f>YEAR(Table13[[#This Row],[Date]])</f>
        <v>2025</v>
      </c>
      <c r="D238" s="247">
        <f>Table13[[#This Row],[Date]]-DAY(Table13[[#This Row],[Date]])+1</f>
        <v>45962</v>
      </c>
      <c r="AB238" s="10">
        <f t="shared" si="9"/>
        <v>0</v>
      </c>
    </row>
    <row r="239" spans="1:28">
      <c r="A239" s="251">
        <f t="shared" si="10"/>
        <v>45981</v>
      </c>
      <c r="B239" s="248">
        <f>YEAR(Table13[[#This Row],[Date]])+IF(MONTH(Table13[[#This Row],[Date]])&gt;=4,1,0)</f>
        <v>2026</v>
      </c>
      <c r="C239" s="249">
        <f>YEAR(Table13[[#This Row],[Date]])</f>
        <v>2025</v>
      </c>
      <c r="D239" s="250">
        <f>Table13[[#This Row],[Date]]-DAY(Table13[[#This Row],[Date]])+1</f>
        <v>45962</v>
      </c>
      <c r="AB239" s="10">
        <f t="shared" si="9"/>
        <v>0</v>
      </c>
    </row>
    <row r="240" spans="1:28">
      <c r="A240" s="42">
        <f t="shared" si="10"/>
        <v>45982</v>
      </c>
      <c r="B240" s="245">
        <f>YEAR(Table13[[#This Row],[Date]])+IF(MONTH(Table13[[#This Row],[Date]])&gt;=4,1,0)</f>
        <v>2026</v>
      </c>
      <c r="C240" s="246">
        <f>YEAR(Table13[[#This Row],[Date]])</f>
        <v>2025</v>
      </c>
      <c r="D240" s="247">
        <f>Table13[[#This Row],[Date]]-DAY(Table13[[#This Row],[Date]])+1</f>
        <v>45962</v>
      </c>
      <c r="AB240" s="10">
        <f t="shared" si="9"/>
        <v>0</v>
      </c>
    </row>
    <row r="241" spans="1:28">
      <c r="A241" s="251">
        <f t="shared" si="10"/>
        <v>45983</v>
      </c>
      <c r="B241" s="248">
        <f>YEAR(Table13[[#This Row],[Date]])+IF(MONTH(Table13[[#This Row],[Date]])&gt;=4,1,0)</f>
        <v>2026</v>
      </c>
      <c r="C241" s="249">
        <f>YEAR(Table13[[#This Row],[Date]])</f>
        <v>2025</v>
      </c>
      <c r="D241" s="250">
        <f>Table13[[#This Row],[Date]]-DAY(Table13[[#This Row],[Date]])+1</f>
        <v>45962</v>
      </c>
      <c r="AB241" s="10">
        <f t="shared" si="9"/>
        <v>0</v>
      </c>
    </row>
    <row r="242" spans="1:28">
      <c r="A242" s="42">
        <f t="shared" si="10"/>
        <v>45984</v>
      </c>
      <c r="B242" s="245">
        <f>YEAR(Table13[[#This Row],[Date]])+IF(MONTH(Table13[[#This Row],[Date]])&gt;=4,1,0)</f>
        <v>2026</v>
      </c>
      <c r="C242" s="246">
        <f>YEAR(Table13[[#This Row],[Date]])</f>
        <v>2025</v>
      </c>
      <c r="D242" s="247">
        <f>Table13[[#This Row],[Date]]-DAY(Table13[[#This Row],[Date]])+1</f>
        <v>45962</v>
      </c>
      <c r="AB242" s="10">
        <f t="shared" si="9"/>
        <v>0</v>
      </c>
    </row>
    <row r="243" spans="1:28">
      <c r="A243" s="251">
        <f t="shared" si="10"/>
        <v>45985</v>
      </c>
      <c r="B243" s="248">
        <f>YEAR(Table13[[#This Row],[Date]])+IF(MONTH(Table13[[#This Row],[Date]])&gt;=4,1,0)</f>
        <v>2026</v>
      </c>
      <c r="C243" s="249">
        <f>YEAR(Table13[[#This Row],[Date]])</f>
        <v>2025</v>
      </c>
      <c r="D243" s="250">
        <f>Table13[[#This Row],[Date]]-DAY(Table13[[#This Row],[Date]])+1</f>
        <v>45962</v>
      </c>
      <c r="AB243" s="10">
        <f t="shared" si="9"/>
        <v>0</v>
      </c>
    </row>
    <row r="244" spans="1:28">
      <c r="A244" s="42">
        <f t="shared" si="10"/>
        <v>45986</v>
      </c>
      <c r="B244" s="245">
        <f>YEAR(Table13[[#This Row],[Date]])+IF(MONTH(Table13[[#This Row],[Date]])&gt;=4,1,0)</f>
        <v>2026</v>
      </c>
      <c r="C244" s="246">
        <f>YEAR(Table13[[#This Row],[Date]])</f>
        <v>2025</v>
      </c>
      <c r="D244" s="247">
        <f>Table13[[#This Row],[Date]]-DAY(Table13[[#This Row],[Date]])+1</f>
        <v>45962</v>
      </c>
      <c r="AB244" s="10">
        <f t="shared" si="9"/>
        <v>0</v>
      </c>
    </row>
    <row r="245" spans="1:28">
      <c r="A245" s="251">
        <f t="shared" si="10"/>
        <v>45987</v>
      </c>
      <c r="B245" s="248">
        <f>YEAR(Table13[[#This Row],[Date]])+IF(MONTH(Table13[[#This Row],[Date]])&gt;=4,1,0)</f>
        <v>2026</v>
      </c>
      <c r="C245" s="249">
        <f>YEAR(Table13[[#This Row],[Date]])</f>
        <v>2025</v>
      </c>
      <c r="D245" s="250">
        <f>Table13[[#This Row],[Date]]-DAY(Table13[[#This Row],[Date]])+1</f>
        <v>45962</v>
      </c>
      <c r="AB245" s="10">
        <f t="shared" si="9"/>
        <v>0</v>
      </c>
    </row>
    <row r="246" spans="1:28">
      <c r="A246" s="42">
        <f t="shared" si="10"/>
        <v>45988</v>
      </c>
      <c r="B246" s="245">
        <f>YEAR(Table13[[#This Row],[Date]])+IF(MONTH(Table13[[#This Row],[Date]])&gt;=4,1,0)</f>
        <v>2026</v>
      </c>
      <c r="C246" s="246">
        <f>YEAR(Table13[[#This Row],[Date]])</f>
        <v>2025</v>
      </c>
      <c r="D246" s="247">
        <f>Table13[[#This Row],[Date]]-DAY(Table13[[#This Row],[Date]])+1</f>
        <v>45962</v>
      </c>
      <c r="AB246" s="10">
        <f t="shared" si="9"/>
        <v>0</v>
      </c>
    </row>
    <row r="247" spans="1:28">
      <c r="A247" s="251">
        <f t="shared" si="10"/>
        <v>45989</v>
      </c>
      <c r="B247" s="248">
        <f>YEAR(Table13[[#This Row],[Date]])+IF(MONTH(Table13[[#This Row],[Date]])&gt;=4,1,0)</f>
        <v>2026</v>
      </c>
      <c r="C247" s="249">
        <f>YEAR(Table13[[#This Row],[Date]])</f>
        <v>2025</v>
      </c>
      <c r="D247" s="250">
        <f>Table13[[#This Row],[Date]]-DAY(Table13[[#This Row],[Date]])+1</f>
        <v>45962</v>
      </c>
      <c r="AB247" s="10">
        <f t="shared" si="9"/>
        <v>0</v>
      </c>
    </row>
    <row r="248" spans="1:28">
      <c r="A248" s="42">
        <f t="shared" si="10"/>
        <v>45990</v>
      </c>
      <c r="B248" s="245">
        <f>YEAR(Table13[[#This Row],[Date]])+IF(MONTH(Table13[[#This Row],[Date]])&gt;=4,1,0)</f>
        <v>2026</v>
      </c>
      <c r="C248" s="246">
        <f>YEAR(Table13[[#This Row],[Date]])</f>
        <v>2025</v>
      </c>
      <c r="D248" s="247">
        <f>Table13[[#This Row],[Date]]-DAY(Table13[[#This Row],[Date]])+1</f>
        <v>45962</v>
      </c>
      <c r="AB248" s="10">
        <f t="shared" si="9"/>
        <v>0</v>
      </c>
    </row>
    <row r="249" spans="1:28">
      <c r="A249" s="251">
        <f t="shared" si="10"/>
        <v>45991</v>
      </c>
      <c r="B249" s="248">
        <f>YEAR(Table13[[#This Row],[Date]])+IF(MONTH(Table13[[#This Row],[Date]])&gt;=4,1,0)</f>
        <v>2026</v>
      </c>
      <c r="C249" s="249">
        <f>YEAR(Table13[[#This Row],[Date]])</f>
        <v>2025</v>
      </c>
      <c r="D249" s="250">
        <f>Table13[[#This Row],[Date]]-DAY(Table13[[#This Row],[Date]])+1</f>
        <v>45992</v>
      </c>
      <c r="AB249" s="10">
        <f t="shared" si="9"/>
        <v>0</v>
      </c>
    </row>
    <row r="250" spans="1:28">
      <c r="A250" s="42">
        <f t="shared" si="10"/>
        <v>45992</v>
      </c>
      <c r="B250" s="245">
        <f>YEAR(Table13[[#This Row],[Date]])+IF(MONTH(Table13[[#This Row],[Date]])&gt;=4,1,0)</f>
        <v>2026</v>
      </c>
      <c r="C250" s="246">
        <f>YEAR(Table13[[#This Row],[Date]])</f>
        <v>2025</v>
      </c>
      <c r="D250" s="247">
        <f>Table13[[#This Row],[Date]]-DAY(Table13[[#This Row],[Date]])+1</f>
        <v>45992</v>
      </c>
      <c r="AB250" s="10">
        <f t="shared" si="9"/>
        <v>0</v>
      </c>
    </row>
    <row r="251" spans="1:28">
      <c r="A251" s="251">
        <f t="shared" si="10"/>
        <v>45993</v>
      </c>
      <c r="B251" s="248">
        <f>YEAR(Table13[[#This Row],[Date]])+IF(MONTH(Table13[[#This Row],[Date]])&gt;=4,1,0)</f>
        <v>2026</v>
      </c>
      <c r="C251" s="249">
        <f>YEAR(Table13[[#This Row],[Date]])</f>
        <v>2025</v>
      </c>
      <c r="D251" s="250">
        <f>Table13[[#This Row],[Date]]-DAY(Table13[[#This Row],[Date]])+1</f>
        <v>45992</v>
      </c>
      <c r="AB251" s="10">
        <f t="shared" si="9"/>
        <v>0</v>
      </c>
    </row>
    <row r="252" spans="1:28">
      <c r="A252" s="42">
        <f t="shared" si="10"/>
        <v>45994</v>
      </c>
      <c r="B252" s="245">
        <f>YEAR(Table13[[#This Row],[Date]])+IF(MONTH(Table13[[#This Row],[Date]])&gt;=4,1,0)</f>
        <v>2026</v>
      </c>
      <c r="C252" s="246">
        <f>YEAR(Table13[[#This Row],[Date]])</f>
        <v>2025</v>
      </c>
      <c r="D252" s="247">
        <f>Table13[[#This Row],[Date]]-DAY(Table13[[#This Row],[Date]])+1</f>
        <v>45992</v>
      </c>
      <c r="AB252" s="10">
        <f t="shared" si="9"/>
        <v>0</v>
      </c>
    </row>
    <row r="253" spans="1:28">
      <c r="A253" s="251">
        <f t="shared" si="10"/>
        <v>45995</v>
      </c>
      <c r="B253" s="248">
        <f>YEAR(Table13[[#This Row],[Date]])+IF(MONTH(Table13[[#This Row],[Date]])&gt;=4,1,0)</f>
        <v>2026</v>
      </c>
      <c r="C253" s="249">
        <f>YEAR(Table13[[#This Row],[Date]])</f>
        <v>2025</v>
      </c>
      <c r="D253" s="250">
        <f>Table13[[#This Row],[Date]]-DAY(Table13[[#This Row],[Date]])+1</f>
        <v>45992</v>
      </c>
      <c r="AB253" s="10">
        <f t="shared" si="9"/>
        <v>0</v>
      </c>
    </row>
    <row r="254" spans="1:28">
      <c r="A254" s="42">
        <f t="shared" si="10"/>
        <v>45996</v>
      </c>
      <c r="B254" s="245">
        <f>YEAR(Table13[[#This Row],[Date]])+IF(MONTH(Table13[[#This Row],[Date]])&gt;=4,1,0)</f>
        <v>2026</v>
      </c>
      <c r="C254" s="246">
        <f>YEAR(Table13[[#This Row],[Date]])</f>
        <v>2025</v>
      </c>
      <c r="D254" s="247">
        <f>Table13[[#This Row],[Date]]-DAY(Table13[[#This Row],[Date]])+1</f>
        <v>45992</v>
      </c>
      <c r="AB254" s="10">
        <f t="shared" si="9"/>
        <v>0</v>
      </c>
    </row>
    <row r="255" spans="1:28">
      <c r="A255" s="251">
        <f t="shared" si="10"/>
        <v>45997</v>
      </c>
      <c r="B255" s="248">
        <f>YEAR(Table13[[#This Row],[Date]])+IF(MONTH(Table13[[#This Row],[Date]])&gt;=4,1,0)</f>
        <v>2026</v>
      </c>
      <c r="C255" s="249">
        <f>YEAR(Table13[[#This Row],[Date]])</f>
        <v>2025</v>
      </c>
      <c r="D255" s="250">
        <f>Table13[[#This Row],[Date]]-DAY(Table13[[#This Row],[Date]])+1</f>
        <v>45992</v>
      </c>
      <c r="AB255" s="10">
        <f t="shared" si="9"/>
        <v>0</v>
      </c>
    </row>
    <row r="256" spans="1:28">
      <c r="A256" s="42">
        <f t="shared" si="10"/>
        <v>45998</v>
      </c>
      <c r="B256" s="245">
        <f>YEAR(Table13[[#This Row],[Date]])+IF(MONTH(Table13[[#This Row],[Date]])&gt;=4,1,0)</f>
        <v>2026</v>
      </c>
      <c r="C256" s="246">
        <f>YEAR(Table13[[#This Row],[Date]])</f>
        <v>2025</v>
      </c>
      <c r="D256" s="247">
        <f>Table13[[#This Row],[Date]]-DAY(Table13[[#This Row],[Date]])+1</f>
        <v>45992</v>
      </c>
      <c r="AB256" s="10">
        <f t="shared" si="9"/>
        <v>0</v>
      </c>
    </row>
    <row r="257" spans="1:28">
      <c r="A257" s="251">
        <f t="shared" si="10"/>
        <v>45999</v>
      </c>
      <c r="B257" s="248">
        <f>YEAR(Table13[[#This Row],[Date]])+IF(MONTH(Table13[[#This Row],[Date]])&gt;=4,1,0)</f>
        <v>2026</v>
      </c>
      <c r="C257" s="249">
        <f>YEAR(Table13[[#This Row],[Date]])</f>
        <v>2025</v>
      </c>
      <c r="D257" s="250">
        <f>Table13[[#This Row],[Date]]-DAY(Table13[[#This Row],[Date]])+1</f>
        <v>45992</v>
      </c>
      <c r="AB257" s="10">
        <f t="shared" si="9"/>
        <v>0</v>
      </c>
    </row>
    <row r="258" spans="1:28">
      <c r="A258" s="42">
        <f t="shared" si="10"/>
        <v>46000</v>
      </c>
      <c r="B258" s="245">
        <f>YEAR(Table13[[#This Row],[Date]])+IF(MONTH(Table13[[#This Row],[Date]])&gt;=4,1,0)</f>
        <v>2026</v>
      </c>
      <c r="C258" s="246">
        <f>YEAR(Table13[[#This Row],[Date]])</f>
        <v>2025</v>
      </c>
      <c r="D258" s="247">
        <f>Table13[[#This Row],[Date]]-DAY(Table13[[#This Row],[Date]])+1</f>
        <v>45992</v>
      </c>
      <c r="AB258" s="10">
        <f t="shared" si="9"/>
        <v>0</v>
      </c>
    </row>
    <row r="259" spans="1:28">
      <c r="A259" s="251">
        <f t="shared" si="10"/>
        <v>46001</v>
      </c>
      <c r="B259" s="248">
        <f>YEAR(Table13[[#This Row],[Date]])+IF(MONTH(Table13[[#This Row],[Date]])&gt;=4,1,0)</f>
        <v>2026</v>
      </c>
      <c r="C259" s="249">
        <f>YEAR(Table13[[#This Row],[Date]])</f>
        <v>2025</v>
      </c>
      <c r="D259" s="250">
        <f>Table13[[#This Row],[Date]]-DAY(Table13[[#This Row],[Date]])+1</f>
        <v>45992</v>
      </c>
      <c r="AB259" s="10">
        <f t="shared" si="9"/>
        <v>0</v>
      </c>
    </row>
    <row r="260" spans="1:28">
      <c r="A260" s="42">
        <f t="shared" si="10"/>
        <v>46002</v>
      </c>
      <c r="B260" s="245">
        <f>YEAR(Table13[[#This Row],[Date]])+IF(MONTH(Table13[[#This Row],[Date]])&gt;=4,1,0)</f>
        <v>2026</v>
      </c>
      <c r="C260" s="246">
        <f>YEAR(Table13[[#This Row],[Date]])</f>
        <v>2025</v>
      </c>
      <c r="D260" s="247">
        <f>Table13[[#This Row],[Date]]-DAY(Table13[[#This Row],[Date]])+1</f>
        <v>45992</v>
      </c>
      <c r="AB260" s="10">
        <f t="shared" si="9"/>
        <v>0</v>
      </c>
    </row>
    <row r="261" spans="1:28">
      <c r="A261" s="251">
        <f t="shared" si="10"/>
        <v>46003</v>
      </c>
      <c r="B261" s="248">
        <f>YEAR(Table13[[#This Row],[Date]])+IF(MONTH(Table13[[#This Row],[Date]])&gt;=4,1,0)</f>
        <v>2026</v>
      </c>
      <c r="C261" s="249">
        <f>YEAR(Table13[[#This Row],[Date]])</f>
        <v>2025</v>
      </c>
      <c r="D261" s="250">
        <f>Table13[[#This Row],[Date]]-DAY(Table13[[#This Row],[Date]])+1</f>
        <v>45992</v>
      </c>
      <c r="AB261" s="10">
        <f t="shared" si="9"/>
        <v>0</v>
      </c>
    </row>
    <row r="262" spans="1:28">
      <c r="A262" s="42">
        <f t="shared" si="10"/>
        <v>46004</v>
      </c>
      <c r="B262" s="245">
        <f>YEAR(Table13[[#This Row],[Date]])+IF(MONTH(Table13[[#This Row],[Date]])&gt;=4,1,0)</f>
        <v>2026</v>
      </c>
      <c r="C262" s="246">
        <f>YEAR(Table13[[#This Row],[Date]])</f>
        <v>2025</v>
      </c>
      <c r="D262" s="247">
        <f>Table13[[#This Row],[Date]]-DAY(Table13[[#This Row],[Date]])+1</f>
        <v>45992</v>
      </c>
      <c r="AB262" s="10">
        <f t="shared" si="9"/>
        <v>0</v>
      </c>
    </row>
    <row r="263" spans="1:28">
      <c r="A263" s="251">
        <f t="shared" si="10"/>
        <v>46005</v>
      </c>
      <c r="B263" s="248">
        <f>YEAR(Table13[[#This Row],[Date]])+IF(MONTH(Table13[[#This Row],[Date]])&gt;=4,1,0)</f>
        <v>2026</v>
      </c>
      <c r="C263" s="249">
        <f>YEAR(Table13[[#This Row],[Date]])</f>
        <v>2025</v>
      </c>
      <c r="D263" s="250">
        <f>Table13[[#This Row],[Date]]-DAY(Table13[[#This Row],[Date]])+1</f>
        <v>45992</v>
      </c>
      <c r="AB263" s="10">
        <f t="shared" si="9"/>
        <v>0</v>
      </c>
    </row>
    <row r="264" spans="1:28">
      <c r="A264" s="42">
        <f t="shared" si="10"/>
        <v>46006</v>
      </c>
      <c r="B264" s="245">
        <f>YEAR(Table13[[#This Row],[Date]])+IF(MONTH(Table13[[#This Row],[Date]])&gt;=4,1,0)</f>
        <v>2026</v>
      </c>
      <c r="C264" s="246">
        <f>YEAR(Table13[[#This Row],[Date]])</f>
        <v>2025</v>
      </c>
      <c r="D264" s="247">
        <f>Table13[[#This Row],[Date]]-DAY(Table13[[#This Row],[Date]])+1</f>
        <v>45992</v>
      </c>
      <c r="AB264" s="10">
        <f t="shared" ref="AB264:AB327" si="11">SUM(E264:AA264)</f>
        <v>0</v>
      </c>
    </row>
    <row r="265" spans="1:28">
      <c r="A265" s="251">
        <f t="shared" si="10"/>
        <v>46007</v>
      </c>
      <c r="B265" s="248">
        <f>YEAR(Table13[[#This Row],[Date]])+IF(MONTH(Table13[[#This Row],[Date]])&gt;=4,1,0)</f>
        <v>2026</v>
      </c>
      <c r="C265" s="249">
        <f>YEAR(Table13[[#This Row],[Date]])</f>
        <v>2025</v>
      </c>
      <c r="D265" s="250">
        <f>Table13[[#This Row],[Date]]-DAY(Table13[[#This Row],[Date]])+1</f>
        <v>45992</v>
      </c>
      <c r="AB265" s="10">
        <f t="shared" si="11"/>
        <v>0</v>
      </c>
    </row>
    <row r="266" spans="1:28">
      <c r="A266" s="42">
        <f t="shared" ref="A266:A329" si="12">A265+1</f>
        <v>46008</v>
      </c>
      <c r="B266" s="245">
        <f>YEAR(Table13[[#This Row],[Date]])+IF(MONTH(Table13[[#This Row],[Date]])&gt;=4,1,0)</f>
        <v>2026</v>
      </c>
      <c r="C266" s="246">
        <f>YEAR(Table13[[#This Row],[Date]])</f>
        <v>2025</v>
      </c>
      <c r="D266" s="247">
        <f>Table13[[#This Row],[Date]]-DAY(Table13[[#This Row],[Date]])+1</f>
        <v>45992</v>
      </c>
      <c r="AB266" s="10">
        <f t="shared" si="11"/>
        <v>0</v>
      </c>
    </row>
    <row r="267" spans="1:28">
      <c r="A267" s="251">
        <f t="shared" si="12"/>
        <v>46009</v>
      </c>
      <c r="B267" s="248">
        <f>YEAR(Table13[[#This Row],[Date]])+IF(MONTH(Table13[[#This Row],[Date]])&gt;=4,1,0)</f>
        <v>2026</v>
      </c>
      <c r="C267" s="249">
        <f>YEAR(Table13[[#This Row],[Date]])</f>
        <v>2025</v>
      </c>
      <c r="D267" s="250">
        <f>Table13[[#This Row],[Date]]-DAY(Table13[[#This Row],[Date]])+1</f>
        <v>45992</v>
      </c>
      <c r="AB267" s="10">
        <f t="shared" si="11"/>
        <v>0</v>
      </c>
    </row>
    <row r="268" spans="1:28">
      <c r="A268" s="42">
        <f t="shared" si="12"/>
        <v>46010</v>
      </c>
      <c r="B268" s="245">
        <f>YEAR(Table13[[#This Row],[Date]])+IF(MONTH(Table13[[#This Row],[Date]])&gt;=4,1,0)</f>
        <v>2026</v>
      </c>
      <c r="C268" s="246">
        <f>YEAR(Table13[[#This Row],[Date]])</f>
        <v>2025</v>
      </c>
      <c r="D268" s="247">
        <f>Table13[[#This Row],[Date]]-DAY(Table13[[#This Row],[Date]])+1</f>
        <v>45992</v>
      </c>
      <c r="AB268" s="10">
        <f t="shared" si="11"/>
        <v>0</v>
      </c>
    </row>
    <row r="269" spans="1:28">
      <c r="A269" s="251">
        <f t="shared" si="12"/>
        <v>46011</v>
      </c>
      <c r="B269" s="248">
        <f>YEAR(Table13[[#This Row],[Date]])+IF(MONTH(Table13[[#This Row],[Date]])&gt;=4,1,0)</f>
        <v>2026</v>
      </c>
      <c r="C269" s="249">
        <f>YEAR(Table13[[#This Row],[Date]])</f>
        <v>2025</v>
      </c>
      <c r="D269" s="250">
        <f>Table13[[#This Row],[Date]]-DAY(Table13[[#This Row],[Date]])+1</f>
        <v>45992</v>
      </c>
      <c r="AB269" s="10">
        <f t="shared" si="11"/>
        <v>0</v>
      </c>
    </row>
    <row r="270" spans="1:28">
      <c r="A270" s="42">
        <f t="shared" si="12"/>
        <v>46012</v>
      </c>
      <c r="B270" s="245">
        <f>YEAR(Table13[[#This Row],[Date]])+IF(MONTH(Table13[[#This Row],[Date]])&gt;=4,1,0)</f>
        <v>2026</v>
      </c>
      <c r="C270" s="246">
        <f>YEAR(Table13[[#This Row],[Date]])</f>
        <v>2025</v>
      </c>
      <c r="D270" s="247">
        <f>Table13[[#This Row],[Date]]-DAY(Table13[[#This Row],[Date]])+1</f>
        <v>45992</v>
      </c>
      <c r="AB270" s="10">
        <f t="shared" si="11"/>
        <v>0</v>
      </c>
    </row>
    <row r="271" spans="1:28">
      <c r="A271" s="251">
        <f t="shared" si="12"/>
        <v>46013</v>
      </c>
      <c r="B271" s="248">
        <f>YEAR(Table13[[#This Row],[Date]])+IF(MONTH(Table13[[#This Row],[Date]])&gt;=4,1,0)</f>
        <v>2026</v>
      </c>
      <c r="C271" s="249">
        <f>YEAR(Table13[[#This Row],[Date]])</f>
        <v>2025</v>
      </c>
      <c r="D271" s="250">
        <f>Table13[[#This Row],[Date]]-DAY(Table13[[#This Row],[Date]])+1</f>
        <v>45992</v>
      </c>
      <c r="AB271" s="10">
        <f t="shared" si="11"/>
        <v>0</v>
      </c>
    </row>
    <row r="272" spans="1:28">
      <c r="A272" s="42">
        <f t="shared" si="12"/>
        <v>46014</v>
      </c>
      <c r="B272" s="245">
        <f>YEAR(Table13[[#This Row],[Date]])+IF(MONTH(Table13[[#This Row],[Date]])&gt;=4,1,0)</f>
        <v>2026</v>
      </c>
      <c r="C272" s="246">
        <f>YEAR(Table13[[#This Row],[Date]])</f>
        <v>2025</v>
      </c>
      <c r="D272" s="247">
        <f>Table13[[#This Row],[Date]]-DAY(Table13[[#This Row],[Date]])+1</f>
        <v>45992</v>
      </c>
      <c r="AB272" s="10">
        <f t="shared" si="11"/>
        <v>0</v>
      </c>
    </row>
    <row r="273" spans="1:28">
      <c r="A273" s="251">
        <f t="shared" si="12"/>
        <v>46015</v>
      </c>
      <c r="B273" s="248">
        <f>YEAR(Table13[[#This Row],[Date]])+IF(MONTH(Table13[[#This Row],[Date]])&gt;=4,1,0)</f>
        <v>2026</v>
      </c>
      <c r="C273" s="249">
        <f>YEAR(Table13[[#This Row],[Date]])</f>
        <v>2025</v>
      </c>
      <c r="D273" s="250">
        <f>Table13[[#This Row],[Date]]-DAY(Table13[[#This Row],[Date]])+1</f>
        <v>45992</v>
      </c>
      <c r="AB273" s="10">
        <f t="shared" si="11"/>
        <v>0</v>
      </c>
    </row>
    <row r="274" spans="1:28">
      <c r="A274" s="42">
        <f t="shared" si="12"/>
        <v>46016</v>
      </c>
      <c r="B274" s="245">
        <f>YEAR(Table13[[#This Row],[Date]])+IF(MONTH(Table13[[#This Row],[Date]])&gt;=4,1,0)</f>
        <v>2026</v>
      </c>
      <c r="C274" s="246">
        <f>YEAR(Table13[[#This Row],[Date]])</f>
        <v>2025</v>
      </c>
      <c r="D274" s="247">
        <f>Table13[[#This Row],[Date]]-DAY(Table13[[#This Row],[Date]])+1</f>
        <v>45992</v>
      </c>
      <c r="AB274" s="10">
        <f t="shared" si="11"/>
        <v>0</v>
      </c>
    </row>
    <row r="275" spans="1:28">
      <c r="A275" s="251">
        <f t="shared" si="12"/>
        <v>46017</v>
      </c>
      <c r="B275" s="248">
        <f>YEAR(Table13[[#This Row],[Date]])+IF(MONTH(Table13[[#This Row],[Date]])&gt;=4,1,0)</f>
        <v>2026</v>
      </c>
      <c r="C275" s="249">
        <f>YEAR(Table13[[#This Row],[Date]])</f>
        <v>2025</v>
      </c>
      <c r="D275" s="250">
        <f>Table13[[#This Row],[Date]]-DAY(Table13[[#This Row],[Date]])+1</f>
        <v>45992</v>
      </c>
      <c r="AB275" s="10">
        <f t="shared" si="11"/>
        <v>0</v>
      </c>
    </row>
    <row r="276" spans="1:28">
      <c r="A276" s="42">
        <f t="shared" si="12"/>
        <v>46018</v>
      </c>
      <c r="B276" s="245">
        <f>YEAR(Table13[[#This Row],[Date]])+IF(MONTH(Table13[[#This Row],[Date]])&gt;=4,1,0)</f>
        <v>2026</v>
      </c>
      <c r="C276" s="246">
        <f>YEAR(Table13[[#This Row],[Date]])</f>
        <v>2025</v>
      </c>
      <c r="D276" s="247">
        <f>Table13[[#This Row],[Date]]-DAY(Table13[[#This Row],[Date]])+1</f>
        <v>45992</v>
      </c>
      <c r="AB276" s="10">
        <f t="shared" si="11"/>
        <v>0</v>
      </c>
    </row>
    <row r="277" spans="1:28">
      <c r="A277" s="251">
        <f t="shared" si="12"/>
        <v>46019</v>
      </c>
      <c r="B277" s="248">
        <f>YEAR(Table13[[#This Row],[Date]])+IF(MONTH(Table13[[#This Row],[Date]])&gt;=4,1,0)</f>
        <v>2026</v>
      </c>
      <c r="C277" s="249">
        <f>YEAR(Table13[[#This Row],[Date]])</f>
        <v>2025</v>
      </c>
      <c r="D277" s="250">
        <f>Table13[[#This Row],[Date]]-DAY(Table13[[#This Row],[Date]])+1</f>
        <v>45992</v>
      </c>
      <c r="AB277" s="10">
        <f t="shared" si="11"/>
        <v>0</v>
      </c>
    </row>
    <row r="278" spans="1:28">
      <c r="A278" s="42">
        <f t="shared" si="12"/>
        <v>46020</v>
      </c>
      <c r="B278" s="245">
        <f>YEAR(Table13[[#This Row],[Date]])+IF(MONTH(Table13[[#This Row],[Date]])&gt;=4,1,0)</f>
        <v>2026</v>
      </c>
      <c r="C278" s="246">
        <f>YEAR(Table13[[#This Row],[Date]])</f>
        <v>2025</v>
      </c>
      <c r="D278" s="247">
        <f>Table13[[#This Row],[Date]]-DAY(Table13[[#This Row],[Date]])+1</f>
        <v>45992</v>
      </c>
      <c r="AB278" s="10">
        <f t="shared" si="11"/>
        <v>0</v>
      </c>
    </row>
    <row r="279" spans="1:28">
      <c r="A279" s="251">
        <f t="shared" si="12"/>
        <v>46021</v>
      </c>
      <c r="B279" s="248">
        <f>YEAR(Table13[[#This Row],[Date]])+IF(MONTH(Table13[[#This Row],[Date]])&gt;=4,1,0)</f>
        <v>2026</v>
      </c>
      <c r="C279" s="249">
        <f>YEAR(Table13[[#This Row],[Date]])</f>
        <v>2025</v>
      </c>
      <c r="D279" s="250">
        <f>Table13[[#This Row],[Date]]-DAY(Table13[[#This Row],[Date]])+1</f>
        <v>45992</v>
      </c>
      <c r="AB279" s="10">
        <f t="shared" si="11"/>
        <v>0</v>
      </c>
    </row>
    <row r="280" spans="1:28">
      <c r="A280" s="42">
        <f t="shared" si="12"/>
        <v>46022</v>
      </c>
      <c r="B280" s="245">
        <f>YEAR(Table13[[#This Row],[Date]])+IF(MONTH(Table13[[#This Row],[Date]])&gt;=4,1,0)</f>
        <v>2026</v>
      </c>
      <c r="C280" s="246">
        <f>YEAR(Table13[[#This Row],[Date]])</f>
        <v>2026</v>
      </c>
      <c r="D280" s="247">
        <f>Table13[[#This Row],[Date]]-DAY(Table13[[#This Row],[Date]])+1</f>
        <v>46023</v>
      </c>
      <c r="AB280" s="10">
        <f t="shared" si="11"/>
        <v>0</v>
      </c>
    </row>
    <row r="281" spans="1:28">
      <c r="A281" s="251">
        <f t="shared" si="12"/>
        <v>46023</v>
      </c>
      <c r="B281" s="248">
        <f>YEAR(Table13[[#This Row],[Date]])+IF(MONTH(Table13[[#This Row],[Date]])&gt;=4,1,0)</f>
        <v>2026</v>
      </c>
      <c r="C281" s="249">
        <f>YEAR(Table13[[#This Row],[Date]])</f>
        <v>2026</v>
      </c>
      <c r="D281" s="250">
        <f>Table13[[#This Row],[Date]]-DAY(Table13[[#This Row],[Date]])+1</f>
        <v>46023</v>
      </c>
      <c r="AB281" s="10">
        <f t="shared" si="11"/>
        <v>0</v>
      </c>
    </row>
    <row r="282" spans="1:28">
      <c r="A282" s="42">
        <f t="shared" si="12"/>
        <v>46024</v>
      </c>
      <c r="B282" s="245">
        <f>YEAR(Table13[[#This Row],[Date]])+IF(MONTH(Table13[[#This Row],[Date]])&gt;=4,1,0)</f>
        <v>2026</v>
      </c>
      <c r="C282" s="246">
        <f>YEAR(Table13[[#This Row],[Date]])</f>
        <v>2026</v>
      </c>
      <c r="D282" s="247">
        <f>Table13[[#This Row],[Date]]-DAY(Table13[[#This Row],[Date]])+1</f>
        <v>46023</v>
      </c>
      <c r="AB282" s="10">
        <f t="shared" si="11"/>
        <v>0</v>
      </c>
    </row>
    <row r="283" spans="1:28">
      <c r="A283" s="251">
        <f t="shared" si="12"/>
        <v>46025</v>
      </c>
      <c r="B283" s="248">
        <f>YEAR(Table13[[#This Row],[Date]])+IF(MONTH(Table13[[#This Row],[Date]])&gt;=4,1,0)</f>
        <v>2026</v>
      </c>
      <c r="C283" s="249">
        <f>YEAR(Table13[[#This Row],[Date]])</f>
        <v>2026</v>
      </c>
      <c r="D283" s="250">
        <f>Table13[[#This Row],[Date]]-DAY(Table13[[#This Row],[Date]])+1</f>
        <v>46023</v>
      </c>
      <c r="AB283" s="10">
        <f t="shared" si="11"/>
        <v>0</v>
      </c>
    </row>
    <row r="284" spans="1:28">
      <c r="A284" s="42">
        <f t="shared" si="12"/>
        <v>46026</v>
      </c>
      <c r="B284" s="245">
        <f>YEAR(Table13[[#This Row],[Date]])+IF(MONTH(Table13[[#This Row],[Date]])&gt;=4,1,0)</f>
        <v>2026</v>
      </c>
      <c r="C284" s="246">
        <f>YEAR(Table13[[#This Row],[Date]])</f>
        <v>2026</v>
      </c>
      <c r="D284" s="247">
        <f>Table13[[#This Row],[Date]]-DAY(Table13[[#This Row],[Date]])+1</f>
        <v>46023</v>
      </c>
      <c r="AB284" s="10">
        <f t="shared" si="11"/>
        <v>0</v>
      </c>
    </row>
    <row r="285" spans="1:28">
      <c r="A285" s="251">
        <f t="shared" si="12"/>
        <v>46027</v>
      </c>
      <c r="B285" s="248">
        <f>YEAR(Table13[[#This Row],[Date]])+IF(MONTH(Table13[[#This Row],[Date]])&gt;=4,1,0)</f>
        <v>2026</v>
      </c>
      <c r="C285" s="249">
        <f>YEAR(Table13[[#This Row],[Date]])</f>
        <v>2026</v>
      </c>
      <c r="D285" s="250">
        <f>Table13[[#This Row],[Date]]-DAY(Table13[[#This Row],[Date]])+1</f>
        <v>46023</v>
      </c>
      <c r="AB285" s="10">
        <f t="shared" si="11"/>
        <v>0</v>
      </c>
    </row>
    <row r="286" spans="1:28">
      <c r="A286" s="42">
        <f t="shared" si="12"/>
        <v>46028</v>
      </c>
      <c r="B286" s="245">
        <f>YEAR(Table13[[#This Row],[Date]])+IF(MONTH(Table13[[#This Row],[Date]])&gt;=4,1,0)</f>
        <v>2026</v>
      </c>
      <c r="C286" s="246">
        <f>YEAR(Table13[[#This Row],[Date]])</f>
        <v>2026</v>
      </c>
      <c r="D286" s="247">
        <f>Table13[[#This Row],[Date]]-DAY(Table13[[#This Row],[Date]])+1</f>
        <v>46023</v>
      </c>
      <c r="AB286" s="10">
        <f t="shared" si="11"/>
        <v>0</v>
      </c>
    </row>
    <row r="287" spans="1:28">
      <c r="A287" s="251">
        <f t="shared" si="12"/>
        <v>46029</v>
      </c>
      <c r="B287" s="248">
        <f>YEAR(Table13[[#This Row],[Date]])+IF(MONTH(Table13[[#This Row],[Date]])&gt;=4,1,0)</f>
        <v>2026</v>
      </c>
      <c r="C287" s="249">
        <f>YEAR(Table13[[#This Row],[Date]])</f>
        <v>2026</v>
      </c>
      <c r="D287" s="250">
        <f>Table13[[#This Row],[Date]]-DAY(Table13[[#This Row],[Date]])+1</f>
        <v>46023</v>
      </c>
      <c r="AB287" s="10">
        <f t="shared" si="11"/>
        <v>0</v>
      </c>
    </row>
    <row r="288" spans="1:28">
      <c r="A288" s="42">
        <f t="shared" si="12"/>
        <v>46030</v>
      </c>
      <c r="B288" s="245">
        <f>YEAR(Table13[[#This Row],[Date]])+IF(MONTH(Table13[[#This Row],[Date]])&gt;=4,1,0)</f>
        <v>2026</v>
      </c>
      <c r="C288" s="246">
        <f>YEAR(Table13[[#This Row],[Date]])</f>
        <v>2026</v>
      </c>
      <c r="D288" s="247">
        <f>Table13[[#This Row],[Date]]-DAY(Table13[[#This Row],[Date]])+1</f>
        <v>46023</v>
      </c>
      <c r="AB288" s="10">
        <f t="shared" si="11"/>
        <v>0</v>
      </c>
    </row>
    <row r="289" spans="1:28">
      <c r="A289" s="251">
        <f t="shared" si="12"/>
        <v>46031</v>
      </c>
      <c r="B289" s="248">
        <f>YEAR(Table13[[#This Row],[Date]])+IF(MONTH(Table13[[#This Row],[Date]])&gt;=4,1,0)</f>
        <v>2026</v>
      </c>
      <c r="C289" s="249">
        <f>YEAR(Table13[[#This Row],[Date]])</f>
        <v>2026</v>
      </c>
      <c r="D289" s="250">
        <f>Table13[[#This Row],[Date]]-DAY(Table13[[#This Row],[Date]])+1</f>
        <v>46023</v>
      </c>
      <c r="AB289" s="10">
        <f t="shared" si="11"/>
        <v>0</v>
      </c>
    </row>
    <row r="290" spans="1:28">
      <c r="A290" s="42">
        <f t="shared" si="12"/>
        <v>46032</v>
      </c>
      <c r="B290" s="245">
        <f>YEAR(Table13[[#This Row],[Date]])+IF(MONTH(Table13[[#This Row],[Date]])&gt;=4,1,0)</f>
        <v>2026</v>
      </c>
      <c r="C290" s="246">
        <f>YEAR(Table13[[#This Row],[Date]])</f>
        <v>2026</v>
      </c>
      <c r="D290" s="247">
        <f>Table13[[#This Row],[Date]]-DAY(Table13[[#This Row],[Date]])+1</f>
        <v>46023</v>
      </c>
      <c r="AB290" s="10">
        <f t="shared" si="11"/>
        <v>0</v>
      </c>
    </row>
    <row r="291" spans="1:28">
      <c r="A291" s="251">
        <f t="shared" si="12"/>
        <v>46033</v>
      </c>
      <c r="B291" s="248">
        <f>YEAR(Table13[[#This Row],[Date]])+IF(MONTH(Table13[[#This Row],[Date]])&gt;=4,1,0)</f>
        <v>2026</v>
      </c>
      <c r="C291" s="249">
        <f>YEAR(Table13[[#This Row],[Date]])</f>
        <v>2026</v>
      </c>
      <c r="D291" s="250">
        <f>Table13[[#This Row],[Date]]-DAY(Table13[[#This Row],[Date]])+1</f>
        <v>46023</v>
      </c>
      <c r="AB291" s="10">
        <f t="shared" si="11"/>
        <v>0</v>
      </c>
    </row>
    <row r="292" spans="1:28">
      <c r="A292" s="42">
        <f t="shared" si="12"/>
        <v>46034</v>
      </c>
      <c r="B292" s="245">
        <f>YEAR(Table13[[#This Row],[Date]])+IF(MONTH(Table13[[#This Row],[Date]])&gt;=4,1,0)</f>
        <v>2026</v>
      </c>
      <c r="C292" s="246">
        <f>YEAR(Table13[[#This Row],[Date]])</f>
        <v>2026</v>
      </c>
      <c r="D292" s="247">
        <f>Table13[[#This Row],[Date]]-DAY(Table13[[#This Row],[Date]])+1</f>
        <v>46023</v>
      </c>
      <c r="AB292" s="10">
        <f t="shared" si="11"/>
        <v>0</v>
      </c>
    </row>
    <row r="293" spans="1:28">
      <c r="A293" s="251">
        <f t="shared" si="12"/>
        <v>46035</v>
      </c>
      <c r="B293" s="248">
        <f>YEAR(Table13[[#This Row],[Date]])+IF(MONTH(Table13[[#This Row],[Date]])&gt;=4,1,0)</f>
        <v>2026</v>
      </c>
      <c r="C293" s="249">
        <f>YEAR(Table13[[#This Row],[Date]])</f>
        <v>2026</v>
      </c>
      <c r="D293" s="250">
        <f>Table13[[#This Row],[Date]]-DAY(Table13[[#This Row],[Date]])+1</f>
        <v>46023</v>
      </c>
      <c r="AB293" s="10">
        <f t="shared" si="11"/>
        <v>0</v>
      </c>
    </row>
    <row r="294" spans="1:28">
      <c r="A294" s="42">
        <f t="shared" si="12"/>
        <v>46036</v>
      </c>
      <c r="B294" s="245">
        <f>YEAR(Table13[[#This Row],[Date]])+IF(MONTH(Table13[[#This Row],[Date]])&gt;=4,1,0)</f>
        <v>2026</v>
      </c>
      <c r="C294" s="246">
        <f>YEAR(Table13[[#This Row],[Date]])</f>
        <v>2026</v>
      </c>
      <c r="D294" s="247">
        <f>Table13[[#This Row],[Date]]-DAY(Table13[[#This Row],[Date]])+1</f>
        <v>46023</v>
      </c>
      <c r="AB294" s="10">
        <f t="shared" si="11"/>
        <v>0</v>
      </c>
    </row>
    <row r="295" spans="1:28">
      <c r="A295" s="251">
        <f t="shared" si="12"/>
        <v>46037</v>
      </c>
      <c r="B295" s="248">
        <f>YEAR(Table13[[#This Row],[Date]])+IF(MONTH(Table13[[#This Row],[Date]])&gt;=4,1,0)</f>
        <v>2026</v>
      </c>
      <c r="C295" s="249">
        <f>YEAR(Table13[[#This Row],[Date]])</f>
        <v>2026</v>
      </c>
      <c r="D295" s="250">
        <f>Table13[[#This Row],[Date]]-DAY(Table13[[#This Row],[Date]])+1</f>
        <v>46023</v>
      </c>
      <c r="AB295" s="10">
        <f t="shared" si="11"/>
        <v>0</v>
      </c>
    </row>
    <row r="296" spans="1:28">
      <c r="A296" s="42">
        <f t="shared" si="12"/>
        <v>46038</v>
      </c>
      <c r="B296" s="245">
        <f>YEAR(Table13[[#This Row],[Date]])+IF(MONTH(Table13[[#This Row],[Date]])&gt;=4,1,0)</f>
        <v>2026</v>
      </c>
      <c r="C296" s="246">
        <f>YEAR(Table13[[#This Row],[Date]])</f>
        <v>2026</v>
      </c>
      <c r="D296" s="247">
        <f>Table13[[#This Row],[Date]]-DAY(Table13[[#This Row],[Date]])+1</f>
        <v>46023</v>
      </c>
      <c r="AB296" s="10">
        <f t="shared" si="11"/>
        <v>0</v>
      </c>
    </row>
    <row r="297" spans="1:28">
      <c r="A297" s="251">
        <f t="shared" si="12"/>
        <v>46039</v>
      </c>
      <c r="B297" s="248">
        <f>YEAR(Table13[[#This Row],[Date]])+IF(MONTH(Table13[[#This Row],[Date]])&gt;=4,1,0)</f>
        <v>2026</v>
      </c>
      <c r="C297" s="249">
        <f>YEAR(Table13[[#This Row],[Date]])</f>
        <v>2026</v>
      </c>
      <c r="D297" s="250">
        <f>Table13[[#This Row],[Date]]-DAY(Table13[[#This Row],[Date]])+1</f>
        <v>46023</v>
      </c>
      <c r="AB297" s="10">
        <f t="shared" si="11"/>
        <v>0</v>
      </c>
    </row>
    <row r="298" spans="1:28">
      <c r="A298" s="42">
        <f t="shared" si="12"/>
        <v>46040</v>
      </c>
      <c r="B298" s="245">
        <f>YEAR(Table13[[#This Row],[Date]])+IF(MONTH(Table13[[#This Row],[Date]])&gt;=4,1,0)</f>
        <v>2026</v>
      </c>
      <c r="C298" s="246">
        <f>YEAR(Table13[[#This Row],[Date]])</f>
        <v>2026</v>
      </c>
      <c r="D298" s="247">
        <f>Table13[[#This Row],[Date]]-DAY(Table13[[#This Row],[Date]])+1</f>
        <v>46023</v>
      </c>
      <c r="AB298" s="10">
        <f t="shared" si="11"/>
        <v>0</v>
      </c>
    </row>
    <row r="299" spans="1:28">
      <c r="A299" s="251">
        <f t="shared" si="12"/>
        <v>46041</v>
      </c>
      <c r="B299" s="248">
        <f>YEAR(Table13[[#This Row],[Date]])+IF(MONTH(Table13[[#This Row],[Date]])&gt;=4,1,0)</f>
        <v>2026</v>
      </c>
      <c r="C299" s="249">
        <f>YEAR(Table13[[#This Row],[Date]])</f>
        <v>2026</v>
      </c>
      <c r="D299" s="250">
        <f>Table13[[#This Row],[Date]]-DAY(Table13[[#This Row],[Date]])+1</f>
        <v>46023</v>
      </c>
      <c r="AB299" s="10">
        <f t="shared" si="11"/>
        <v>0</v>
      </c>
    </row>
    <row r="300" spans="1:28">
      <c r="A300" s="42">
        <f t="shared" si="12"/>
        <v>46042</v>
      </c>
      <c r="B300" s="245">
        <f>YEAR(Table13[[#This Row],[Date]])+IF(MONTH(Table13[[#This Row],[Date]])&gt;=4,1,0)</f>
        <v>2026</v>
      </c>
      <c r="C300" s="246">
        <f>YEAR(Table13[[#This Row],[Date]])</f>
        <v>2026</v>
      </c>
      <c r="D300" s="247">
        <f>Table13[[#This Row],[Date]]-DAY(Table13[[#This Row],[Date]])+1</f>
        <v>46023</v>
      </c>
      <c r="AB300" s="10">
        <f t="shared" si="11"/>
        <v>0</v>
      </c>
    </row>
    <row r="301" spans="1:28">
      <c r="A301" s="251">
        <f t="shared" si="12"/>
        <v>46043</v>
      </c>
      <c r="B301" s="248">
        <f>YEAR(Table13[[#This Row],[Date]])+IF(MONTH(Table13[[#This Row],[Date]])&gt;=4,1,0)</f>
        <v>2026</v>
      </c>
      <c r="C301" s="249">
        <f>YEAR(Table13[[#This Row],[Date]])</f>
        <v>2026</v>
      </c>
      <c r="D301" s="250">
        <f>Table13[[#This Row],[Date]]-DAY(Table13[[#This Row],[Date]])+1</f>
        <v>46023</v>
      </c>
      <c r="AB301" s="10">
        <f t="shared" si="11"/>
        <v>0</v>
      </c>
    </row>
    <row r="302" spans="1:28">
      <c r="A302" s="42">
        <f t="shared" si="12"/>
        <v>46044</v>
      </c>
      <c r="B302" s="245">
        <f>YEAR(Table13[[#This Row],[Date]])+IF(MONTH(Table13[[#This Row],[Date]])&gt;=4,1,0)</f>
        <v>2026</v>
      </c>
      <c r="C302" s="246">
        <f>YEAR(Table13[[#This Row],[Date]])</f>
        <v>2026</v>
      </c>
      <c r="D302" s="247">
        <f>Table13[[#This Row],[Date]]-DAY(Table13[[#This Row],[Date]])+1</f>
        <v>46023</v>
      </c>
      <c r="AB302" s="10">
        <f t="shared" si="11"/>
        <v>0</v>
      </c>
    </row>
    <row r="303" spans="1:28">
      <c r="A303" s="251">
        <f t="shared" si="12"/>
        <v>46045</v>
      </c>
      <c r="B303" s="248">
        <f>YEAR(Table13[[#This Row],[Date]])+IF(MONTH(Table13[[#This Row],[Date]])&gt;=4,1,0)</f>
        <v>2026</v>
      </c>
      <c r="C303" s="249">
        <f>YEAR(Table13[[#This Row],[Date]])</f>
        <v>2026</v>
      </c>
      <c r="D303" s="250">
        <f>Table13[[#This Row],[Date]]-DAY(Table13[[#This Row],[Date]])+1</f>
        <v>46023</v>
      </c>
      <c r="AB303" s="10">
        <f t="shared" si="11"/>
        <v>0</v>
      </c>
    </row>
    <row r="304" spans="1:28">
      <c r="A304" s="42">
        <f t="shared" si="12"/>
        <v>46046</v>
      </c>
      <c r="B304" s="245">
        <f>YEAR(Table13[[#This Row],[Date]])+IF(MONTH(Table13[[#This Row],[Date]])&gt;=4,1,0)</f>
        <v>2026</v>
      </c>
      <c r="C304" s="246">
        <f>YEAR(Table13[[#This Row],[Date]])</f>
        <v>2026</v>
      </c>
      <c r="D304" s="247">
        <f>Table13[[#This Row],[Date]]-DAY(Table13[[#This Row],[Date]])+1</f>
        <v>46023</v>
      </c>
      <c r="AB304" s="10">
        <f t="shared" si="11"/>
        <v>0</v>
      </c>
    </row>
    <row r="305" spans="1:28">
      <c r="A305" s="251">
        <f t="shared" si="12"/>
        <v>46047</v>
      </c>
      <c r="B305" s="248">
        <f>YEAR(Table13[[#This Row],[Date]])+IF(MONTH(Table13[[#This Row],[Date]])&gt;=4,1,0)</f>
        <v>2026</v>
      </c>
      <c r="C305" s="249">
        <f>YEAR(Table13[[#This Row],[Date]])</f>
        <v>2026</v>
      </c>
      <c r="D305" s="250">
        <f>Table13[[#This Row],[Date]]-DAY(Table13[[#This Row],[Date]])+1</f>
        <v>46023</v>
      </c>
      <c r="AB305" s="10">
        <f t="shared" si="11"/>
        <v>0</v>
      </c>
    </row>
    <row r="306" spans="1:28">
      <c r="A306" s="42">
        <f t="shared" si="12"/>
        <v>46048</v>
      </c>
      <c r="B306" s="245">
        <f>YEAR(Table13[[#This Row],[Date]])+IF(MONTH(Table13[[#This Row],[Date]])&gt;=4,1,0)</f>
        <v>2026</v>
      </c>
      <c r="C306" s="246">
        <f>YEAR(Table13[[#This Row],[Date]])</f>
        <v>2026</v>
      </c>
      <c r="D306" s="247">
        <f>Table13[[#This Row],[Date]]-DAY(Table13[[#This Row],[Date]])+1</f>
        <v>46023</v>
      </c>
      <c r="AB306" s="10">
        <f t="shared" si="11"/>
        <v>0</v>
      </c>
    </row>
    <row r="307" spans="1:28">
      <c r="A307" s="251">
        <f t="shared" si="12"/>
        <v>46049</v>
      </c>
      <c r="B307" s="248">
        <f>YEAR(Table13[[#This Row],[Date]])+IF(MONTH(Table13[[#This Row],[Date]])&gt;=4,1,0)</f>
        <v>2026</v>
      </c>
      <c r="C307" s="249">
        <f>YEAR(Table13[[#This Row],[Date]])</f>
        <v>2026</v>
      </c>
      <c r="D307" s="250">
        <f>Table13[[#This Row],[Date]]-DAY(Table13[[#This Row],[Date]])+1</f>
        <v>46023</v>
      </c>
      <c r="AB307" s="10">
        <f t="shared" si="11"/>
        <v>0</v>
      </c>
    </row>
    <row r="308" spans="1:28">
      <c r="A308" s="42">
        <f t="shared" si="12"/>
        <v>46050</v>
      </c>
      <c r="B308" s="245">
        <f>YEAR(Table13[[#This Row],[Date]])+IF(MONTH(Table13[[#This Row],[Date]])&gt;=4,1,0)</f>
        <v>2026</v>
      </c>
      <c r="C308" s="246">
        <f>YEAR(Table13[[#This Row],[Date]])</f>
        <v>2026</v>
      </c>
      <c r="D308" s="247">
        <f>Table13[[#This Row],[Date]]-DAY(Table13[[#This Row],[Date]])+1</f>
        <v>46023</v>
      </c>
      <c r="AB308" s="10">
        <f t="shared" si="11"/>
        <v>0</v>
      </c>
    </row>
    <row r="309" spans="1:28">
      <c r="A309" s="251">
        <f t="shared" si="12"/>
        <v>46051</v>
      </c>
      <c r="B309" s="248">
        <f>YEAR(Table13[[#This Row],[Date]])+IF(MONTH(Table13[[#This Row],[Date]])&gt;=4,1,0)</f>
        <v>2026</v>
      </c>
      <c r="C309" s="249">
        <f>YEAR(Table13[[#This Row],[Date]])</f>
        <v>2026</v>
      </c>
      <c r="D309" s="250">
        <f>Table13[[#This Row],[Date]]-DAY(Table13[[#This Row],[Date]])+1</f>
        <v>46023</v>
      </c>
      <c r="AB309" s="10">
        <f t="shared" si="11"/>
        <v>0</v>
      </c>
    </row>
    <row r="310" spans="1:28">
      <c r="A310" s="42">
        <f t="shared" si="12"/>
        <v>46052</v>
      </c>
      <c r="B310" s="245">
        <f>YEAR(Table13[[#This Row],[Date]])+IF(MONTH(Table13[[#This Row],[Date]])&gt;=4,1,0)</f>
        <v>2026</v>
      </c>
      <c r="C310" s="246">
        <f>YEAR(Table13[[#This Row],[Date]])</f>
        <v>2026</v>
      </c>
      <c r="D310" s="247">
        <f>Table13[[#This Row],[Date]]-DAY(Table13[[#This Row],[Date]])+1</f>
        <v>46023</v>
      </c>
      <c r="AB310" s="10">
        <f t="shared" si="11"/>
        <v>0</v>
      </c>
    </row>
    <row r="311" spans="1:28">
      <c r="A311" s="251">
        <f t="shared" si="12"/>
        <v>46053</v>
      </c>
      <c r="B311" s="248">
        <f>YEAR(Table13[[#This Row],[Date]])+IF(MONTH(Table13[[#This Row],[Date]])&gt;=4,1,0)</f>
        <v>2026</v>
      </c>
      <c r="C311" s="249">
        <f>YEAR(Table13[[#This Row],[Date]])</f>
        <v>2026</v>
      </c>
      <c r="D311" s="250">
        <f>Table13[[#This Row],[Date]]-DAY(Table13[[#This Row],[Date]])+1</f>
        <v>46054</v>
      </c>
      <c r="AB311" s="10">
        <f t="shared" si="11"/>
        <v>0</v>
      </c>
    </row>
    <row r="312" spans="1:28">
      <c r="A312" s="42">
        <f t="shared" si="12"/>
        <v>46054</v>
      </c>
      <c r="B312" s="245">
        <f>YEAR(Table13[[#This Row],[Date]])+IF(MONTH(Table13[[#This Row],[Date]])&gt;=4,1,0)</f>
        <v>2026</v>
      </c>
      <c r="C312" s="246">
        <f>YEAR(Table13[[#This Row],[Date]])</f>
        <v>2026</v>
      </c>
      <c r="D312" s="247">
        <f>Table13[[#This Row],[Date]]-DAY(Table13[[#This Row],[Date]])+1</f>
        <v>46054</v>
      </c>
      <c r="AB312" s="10">
        <f t="shared" si="11"/>
        <v>0</v>
      </c>
    </row>
    <row r="313" spans="1:28">
      <c r="A313" s="251">
        <f t="shared" si="12"/>
        <v>46055</v>
      </c>
      <c r="B313" s="248">
        <f>YEAR(Table13[[#This Row],[Date]])+IF(MONTH(Table13[[#This Row],[Date]])&gt;=4,1,0)</f>
        <v>2026</v>
      </c>
      <c r="C313" s="249">
        <f>YEAR(Table13[[#This Row],[Date]])</f>
        <v>2026</v>
      </c>
      <c r="D313" s="250">
        <f>Table13[[#This Row],[Date]]-DAY(Table13[[#This Row],[Date]])+1</f>
        <v>46054</v>
      </c>
      <c r="AB313" s="10">
        <f t="shared" si="11"/>
        <v>0</v>
      </c>
    </row>
    <row r="314" spans="1:28">
      <c r="A314" s="42">
        <f t="shared" si="12"/>
        <v>46056</v>
      </c>
      <c r="B314" s="245">
        <f>YEAR(Table13[[#This Row],[Date]])+IF(MONTH(Table13[[#This Row],[Date]])&gt;=4,1,0)</f>
        <v>2026</v>
      </c>
      <c r="C314" s="246">
        <f>YEAR(Table13[[#This Row],[Date]])</f>
        <v>2026</v>
      </c>
      <c r="D314" s="247">
        <f>Table13[[#This Row],[Date]]-DAY(Table13[[#This Row],[Date]])+1</f>
        <v>46054</v>
      </c>
      <c r="AB314" s="10">
        <f t="shared" si="11"/>
        <v>0</v>
      </c>
    </row>
    <row r="315" spans="1:28">
      <c r="A315" s="251">
        <f t="shared" si="12"/>
        <v>46057</v>
      </c>
      <c r="B315" s="248">
        <f>YEAR(Table13[[#This Row],[Date]])+IF(MONTH(Table13[[#This Row],[Date]])&gt;=4,1,0)</f>
        <v>2026</v>
      </c>
      <c r="C315" s="249">
        <f>YEAR(Table13[[#This Row],[Date]])</f>
        <v>2026</v>
      </c>
      <c r="D315" s="250">
        <f>Table13[[#This Row],[Date]]-DAY(Table13[[#This Row],[Date]])+1</f>
        <v>46054</v>
      </c>
      <c r="AB315" s="10">
        <f t="shared" si="11"/>
        <v>0</v>
      </c>
    </row>
    <row r="316" spans="1:28">
      <c r="A316" s="42">
        <f t="shared" si="12"/>
        <v>46058</v>
      </c>
      <c r="B316" s="245">
        <f>YEAR(Table13[[#This Row],[Date]])+IF(MONTH(Table13[[#This Row],[Date]])&gt;=4,1,0)</f>
        <v>2026</v>
      </c>
      <c r="C316" s="246">
        <f>YEAR(Table13[[#This Row],[Date]])</f>
        <v>2026</v>
      </c>
      <c r="D316" s="247">
        <f>Table13[[#This Row],[Date]]-DAY(Table13[[#This Row],[Date]])+1</f>
        <v>46054</v>
      </c>
      <c r="AB316" s="10">
        <f t="shared" si="11"/>
        <v>0</v>
      </c>
    </row>
    <row r="317" spans="1:28">
      <c r="A317" s="251">
        <f t="shared" si="12"/>
        <v>46059</v>
      </c>
      <c r="B317" s="248">
        <f>YEAR(Table13[[#This Row],[Date]])+IF(MONTH(Table13[[#This Row],[Date]])&gt;=4,1,0)</f>
        <v>2026</v>
      </c>
      <c r="C317" s="249">
        <f>YEAR(Table13[[#This Row],[Date]])</f>
        <v>2026</v>
      </c>
      <c r="D317" s="250">
        <f>Table13[[#This Row],[Date]]-DAY(Table13[[#This Row],[Date]])+1</f>
        <v>46054</v>
      </c>
      <c r="AB317" s="10">
        <f t="shared" si="11"/>
        <v>0</v>
      </c>
    </row>
    <row r="318" spans="1:28">
      <c r="A318" s="42">
        <f t="shared" si="12"/>
        <v>46060</v>
      </c>
      <c r="B318" s="245">
        <f>YEAR(Table13[[#This Row],[Date]])+IF(MONTH(Table13[[#This Row],[Date]])&gt;=4,1,0)</f>
        <v>2026</v>
      </c>
      <c r="C318" s="246">
        <f>YEAR(Table13[[#This Row],[Date]])</f>
        <v>2026</v>
      </c>
      <c r="D318" s="247">
        <f>Table13[[#This Row],[Date]]-DAY(Table13[[#This Row],[Date]])+1</f>
        <v>46054</v>
      </c>
      <c r="AB318" s="10">
        <f t="shared" si="11"/>
        <v>0</v>
      </c>
    </row>
    <row r="319" spans="1:28">
      <c r="A319" s="251">
        <f t="shared" si="12"/>
        <v>46061</v>
      </c>
      <c r="B319" s="248">
        <f>YEAR(Table13[[#This Row],[Date]])+IF(MONTH(Table13[[#This Row],[Date]])&gt;=4,1,0)</f>
        <v>2026</v>
      </c>
      <c r="C319" s="249">
        <f>YEAR(Table13[[#This Row],[Date]])</f>
        <v>2026</v>
      </c>
      <c r="D319" s="250">
        <f>Table13[[#This Row],[Date]]-DAY(Table13[[#This Row],[Date]])+1</f>
        <v>46054</v>
      </c>
      <c r="AB319" s="10">
        <f t="shared" si="11"/>
        <v>0</v>
      </c>
    </row>
    <row r="320" spans="1:28">
      <c r="A320" s="42">
        <f t="shared" si="12"/>
        <v>46062</v>
      </c>
      <c r="B320" s="245">
        <f>YEAR(Table13[[#This Row],[Date]])+IF(MONTH(Table13[[#This Row],[Date]])&gt;=4,1,0)</f>
        <v>2026</v>
      </c>
      <c r="C320" s="246">
        <f>YEAR(Table13[[#This Row],[Date]])</f>
        <v>2026</v>
      </c>
      <c r="D320" s="247">
        <f>Table13[[#This Row],[Date]]-DAY(Table13[[#This Row],[Date]])+1</f>
        <v>46054</v>
      </c>
      <c r="AB320" s="10">
        <f t="shared" si="11"/>
        <v>0</v>
      </c>
    </row>
    <row r="321" spans="1:28">
      <c r="A321" s="251">
        <f t="shared" si="12"/>
        <v>46063</v>
      </c>
      <c r="B321" s="248">
        <f>YEAR(Table13[[#This Row],[Date]])+IF(MONTH(Table13[[#This Row],[Date]])&gt;=4,1,0)</f>
        <v>2026</v>
      </c>
      <c r="C321" s="249">
        <f>YEAR(Table13[[#This Row],[Date]])</f>
        <v>2026</v>
      </c>
      <c r="D321" s="250">
        <f>Table13[[#This Row],[Date]]-DAY(Table13[[#This Row],[Date]])+1</f>
        <v>46054</v>
      </c>
      <c r="AB321" s="10">
        <f t="shared" si="11"/>
        <v>0</v>
      </c>
    </row>
    <row r="322" spans="1:28">
      <c r="A322" s="42">
        <f t="shared" si="12"/>
        <v>46064</v>
      </c>
      <c r="B322" s="245">
        <f>YEAR(Table13[[#This Row],[Date]])+IF(MONTH(Table13[[#This Row],[Date]])&gt;=4,1,0)</f>
        <v>2026</v>
      </c>
      <c r="C322" s="246">
        <f>YEAR(Table13[[#This Row],[Date]])</f>
        <v>2026</v>
      </c>
      <c r="D322" s="247">
        <f>Table13[[#This Row],[Date]]-DAY(Table13[[#This Row],[Date]])+1</f>
        <v>46054</v>
      </c>
      <c r="AB322" s="10">
        <f t="shared" si="11"/>
        <v>0</v>
      </c>
    </row>
    <row r="323" spans="1:28">
      <c r="A323" s="251">
        <f t="shared" si="12"/>
        <v>46065</v>
      </c>
      <c r="B323" s="248">
        <f>YEAR(Table13[[#This Row],[Date]])+IF(MONTH(Table13[[#This Row],[Date]])&gt;=4,1,0)</f>
        <v>2026</v>
      </c>
      <c r="C323" s="249">
        <f>YEAR(Table13[[#This Row],[Date]])</f>
        <v>2026</v>
      </c>
      <c r="D323" s="250">
        <f>Table13[[#This Row],[Date]]-DAY(Table13[[#This Row],[Date]])+1</f>
        <v>46054</v>
      </c>
      <c r="AB323" s="10">
        <f t="shared" si="11"/>
        <v>0</v>
      </c>
    </row>
    <row r="324" spans="1:28">
      <c r="A324" s="42">
        <f t="shared" si="12"/>
        <v>46066</v>
      </c>
      <c r="B324" s="245">
        <f>YEAR(Table13[[#This Row],[Date]])+IF(MONTH(Table13[[#This Row],[Date]])&gt;=4,1,0)</f>
        <v>2026</v>
      </c>
      <c r="C324" s="246">
        <f>YEAR(Table13[[#This Row],[Date]])</f>
        <v>2026</v>
      </c>
      <c r="D324" s="247">
        <f>Table13[[#This Row],[Date]]-DAY(Table13[[#This Row],[Date]])+1</f>
        <v>46054</v>
      </c>
      <c r="AB324" s="10">
        <f t="shared" si="11"/>
        <v>0</v>
      </c>
    </row>
    <row r="325" spans="1:28">
      <c r="A325" s="251">
        <f t="shared" si="12"/>
        <v>46067</v>
      </c>
      <c r="B325" s="248">
        <f>YEAR(Table13[[#This Row],[Date]])+IF(MONTH(Table13[[#This Row],[Date]])&gt;=4,1,0)</f>
        <v>2026</v>
      </c>
      <c r="C325" s="249">
        <f>YEAR(Table13[[#This Row],[Date]])</f>
        <v>2026</v>
      </c>
      <c r="D325" s="250">
        <f>Table13[[#This Row],[Date]]-DAY(Table13[[#This Row],[Date]])+1</f>
        <v>46054</v>
      </c>
      <c r="AB325" s="10">
        <f t="shared" si="11"/>
        <v>0</v>
      </c>
    </row>
    <row r="326" spans="1:28">
      <c r="A326" s="42">
        <f t="shared" si="12"/>
        <v>46068</v>
      </c>
      <c r="B326" s="245">
        <f>YEAR(Table13[[#This Row],[Date]])+IF(MONTH(Table13[[#This Row],[Date]])&gt;=4,1,0)</f>
        <v>2026</v>
      </c>
      <c r="C326" s="246">
        <f>YEAR(Table13[[#This Row],[Date]])</f>
        <v>2026</v>
      </c>
      <c r="D326" s="247">
        <f>Table13[[#This Row],[Date]]-DAY(Table13[[#This Row],[Date]])+1</f>
        <v>46054</v>
      </c>
      <c r="AB326" s="10">
        <f t="shared" si="11"/>
        <v>0</v>
      </c>
    </row>
    <row r="327" spans="1:28">
      <c r="A327" s="251">
        <f t="shared" si="12"/>
        <v>46069</v>
      </c>
      <c r="B327" s="248">
        <f>YEAR(Table13[[#This Row],[Date]])+IF(MONTH(Table13[[#This Row],[Date]])&gt;=4,1,0)</f>
        <v>2026</v>
      </c>
      <c r="C327" s="249">
        <f>YEAR(Table13[[#This Row],[Date]])</f>
        <v>2026</v>
      </c>
      <c r="D327" s="250">
        <f>Table13[[#This Row],[Date]]-DAY(Table13[[#This Row],[Date]])+1</f>
        <v>46054</v>
      </c>
      <c r="AB327" s="10">
        <f t="shared" si="11"/>
        <v>0</v>
      </c>
    </row>
    <row r="328" spans="1:28">
      <c r="A328" s="42">
        <f t="shared" si="12"/>
        <v>46070</v>
      </c>
      <c r="B328" s="245">
        <f>YEAR(Table13[[#This Row],[Date]])+IF(MONTH(Table13[[#This Row],[Date]])&gt;=4,1,0)</f>
        <v>2026</v>
      </c>
      <c r="C328" s="246">
        <f>YEAR(Table13[[#This Row],[Date]])</f>
        <v>2026</v>
      </c>
      <c r="D328" s="247">
        <f>Table13[[#This Row],[Date]]-DAY(Table13[[#This Row],[Date]])+1</f>
        <v>46054</v>
      </c>
      <c r="AB328" s="10">
        <f t="shared" ref="AB328:AB391" si="13">SUM(E328:AA328)</f>
        <v>0</v>
      </c>
    </row>
    <row r="329" spans="1:28">
      <c r="A329" s="251">
        <f t="shared" si="12"/>
        <v>46071</v>
      </c>
      <c r="B329" s="248">
        <f>YEAR(Table13[[#This Row],[Date]])+IF(MONTH(Table13[[#This Row],[Date]])&gt;=4,1,0)</f>
        <v>2026</v>
      </c>
      <c r="C329" s="249">
        <f>YEAR(Table13[[#This Row],[Date]])</f>
        <v>2026</v>
      </c>
      <c r="D329" s="250">
        <f>Table13[[#This Row],[Date]]-DAY(Table13[[#This Row],[Date]])+1</f>
        <v>46054</v>
      </c>
      <c r="AB329" s="10">
        <f t="shared" si="13"/>
        <v>0</v>
      </c>
    </row>
    <row r="330" spans="1:28">
      <c r="A330" s="42">
        <f t="shared" ref="A330:A393" si="14">A329+1</f>
        <v>46072</v>
      </c>
      <c r="B330" s="245">
        <f>YEAR(Table13[[#This Row],[Date]])+IF(MONTH(Table13[[#This Row],[Date]])&gt;=4,1,0)</f>
        <v>2026</v>
      </c>
      <c r="C330" s="246">
        <f>YEAR(Table13[[#This Row],[Date]])</f>
        <v>2026</v>
      </c>
      <c r="D330" s="247">
        <f>Table13[[#This Row],[Date]]-DAY(Table13[[#This Row],[Date]])+1</f>
        <v>46054</v>
      </c>
      <c r="AB330" s="10">
        <f t="shared" si="13"/>
        <v>0</v>
      </c>
    </row>
    <row r="331" spans="1:28">
      <c r="A331" s="251">
        <f t="shared" si="14"/>
        <v>46073</v>
      </c>
      <c r="B331" s="248">
        <f>YEAR(Table13[[#This Row],[Date]])+IF(MONTH(Table13[[#This Row],[Date]])&gt;=4,1,0)</f>
        <v>2026</v>
      </c>
      <c r="C331" s="249">
        <f>YEAR(Table13[[#This Row],[Date]])</f>
        <v>2026</v>
      </c>
      <c r="D331" s="250">
        <f>Table13[[#This Row],[Date]]-DAY(Table13[[#This Row],[Date]])+1</f>
        <v>46054</v>
      </c>
      <c r="AB331" s="10">
        <f t="shared" si="13"/>
        <v>0</v>
      </c>
    </row>
    <row r="332" spans="1:28">
      <c r="A332" s="42">
        <f t="shared" si="14"/>
        <v>46074</v>
      </c>
      <c r="B332" s="245">
        <f>YEAR(Table13[[#This Row],[Date]])+IF(MONTH(Table13[[#This Row],[Date]])&gt;=4,1,0)</f>
        <v>2026</v>
      </c>
      <c r="C332" s="246">
        <f>YEAR(Table13[[#This Row],[Date]])</f>
        <v>2026</v>
      </c>
      <c r="D332" s="247">
        <f>Table13[[#This Row],[Date]]-DAY(Table13[[#This Row],[Date]])+1</f>
        <v>46054</v>
      </c>
      <c r="AB332" s="10">
        <f t="shared" si="13"/>
        <v>0</v>
      </c>
    </row>
    <row r="333" spans="1:28">
      <c r="A333" s="251">
        <f t="shared" si="14"/>
        <v>46075</v>
      </c>
      <c r="B333" s="248">
        <f>YEAR(Table13[[#This Row],[Date]])+IF(MONTH(Table13[[#This Row],[Date]])&gt;=4,1,0)</f>
        <v>2026</v>
      </c>
      <c r="C333" s="249">
        <f>YEAR(Table13[[#This Row],[Date]])</f>
        <v>2026</v>
      </c>
      <c r="D333" s="250">
        <f>Table13[[#This Row],[Date]]-DAY(Table13[[#This Row],[Date]])+1</f>
        <v>46054</v>
      </c>
      <c r="AB333" s="10">
        <f t="shared" si="13"/>
        <v>0</v>
      </c>
    </row>
    <row r="334" spans="1:28">
      <c r="A334" s="42">
        <f t="shared" si="14"/>
        <v>46076</v>
      </c>
      <c r="B334" s="245">
        <f>YEAR(Table13[[#This Row],[Date]])+IF(MONTH(Table13[[#This Row],[Date]])&gt;=4,1,0)</f>
        <v>2026</v>
      </c>
      <c r="C334" s="246">
        <f>YEAR(Table13[[#This Row],[Date]])</f>
        <v>2026</v>
      </c>
      <c r="D334" s="247">
        <f>Table13[[#This Row],[Date]]-DAY(Table13[[#This Row],[Date]])+1</f>
        <v>46054</v>
      </c>
      <c r="AB334" s="10">
        <f t="shared" si="13"/>
        <v>0</v>
      </c>
    </row>
    <row r="335" spans="1:28">
      <c r="A335" s="251">
        <f t="shared" si="14"/>
        <v>46077</v>
      </c>
      <c r="B335" s="248">
        <f>YEAR(Table13[[#This Row],[Date]])+IF(MONTH(Table13[[#This Row],[Date]])&gt;=4,1,0)</f>
        <v>2026</v>
      </c>
      <c r="C335" s="249">
        <f>YEAR(Table13[[#This Row],[Date]])</f>
        <v>2026</v>
      </c>
      <c r="D335" s="250">
        <f>Table13[[#This Row],[Date]]-DAY(Table13[[#This Row],[Date]])+1</f>
        <v>46054</v>
      </c>
      <c r="AB335" s="10">
        <f t="shared" si="13"/>
        <v>0</v>
      </c>
    </row>
    <row r="336" spans="1:28">
      <c r="A336" s="42">
        <f t="shared" si="14"/>
        <v>46078</v>
      </c>
      <c r="B336" s="245">
        <f>YEAR(Table13[[#This Row],[Date]])+IF(MONTH(Table13[[#This Row],[Date]])&gt;=4,1,0)</f>
        <v>2026</v>
      </c>
      <c r="C336" s="246">
        <f>YEAR(Table13[[#This Row],[Date]])</f>
        <v>2026</v>
      </c>
      <c r="D336" s="247">
        <f>Table13[[#This Row],[Date]]-DAY(Table13[[#This Row],[Date]])+1</f>
        <v>46054</v>
      </c>
      <c r="AB336" s="10">
        <f t="shared" si="13"/>
        <v>0</v>
      </c>
    </row>
    <row r="337" spans="1:28">
      <c r="A337" s="251">
        <f t="shared" si="14"/>
        <v>46079</v>
      </c>
      <c r="B337" s="248">
        <f>YEAR(Table13[[#This Row],[Date]])+IF(MONTH(Table13[[#This Row],[Date]])&gt;=4,1,0)</f>
        <v>2026</v>
      </c>
      <c r="C337" s="249">
        <f>YEAR(Table13[[#This Row],[Date]])</f>
        <v>2026</v>
      </c>
      <c r="D337" s="250">
        <f>Table13[[#This Row],[Date]]-DAY(Table13[[#This Row],[Date]])+1</f>
        <v>46054</v>
      </c>
      <c r="AB337" s="10">
        <f t="shared" si="13"/>
        <v>0</v>
      </c>
    </row>
    <row r="338" spans="1:28">
      <c r="A338" s="42">
        <f t="shared" si="14"/>
        <v>46080</v>
      </c>
      <c r="B338" s="245">
        <f>YEAR(Table13[[#This Row],[Date]])+IF(MONTH(Table13[[#This Row],[Date]])&gt;=4,1,0)</f>
        <v>2026</v>
      </c>
      <c r="C338" s="246">
        <f>YEAR(Table13[[#This Row],[Date]])</f>
        <v>2026</v>
      </c>
      <c r="D338" s="247">
        <f>Table13[[#This Row],[Date]]-DAY(Table13[[#This Row],[Date]])+1</f>
        <v>46054</v>
      </c>
      <c r="AB338" s="10">
        <f t="shared" si="13"/>
        <v>0</v>
      </c>
    </row>
    <row r="339" spans="1:28">
      <c r="A339" s="251">
        <f t="shared" si="14"/>
        <v>46081</v>
      </c>
      <c r="B339" s="248">
        <f>YEAR(Table13[[#This Row],[Date]])+IF(MONTH(Table13[[#This Row],[Date]])&gt;=4,1,0)</f>
        <v>2026</v>
      </c>
      <c r="C339" s="249">
        <f>YEAR(Table13[[#This Row],[Date]])</f>
        <v>2026</v>
      </c>
      <c r="D339" s="250">
        <f>Table13[[#This Row],[Date]]-DAY(Table13[[#This Row],[Date]])+1</f>
        <v>46082</v>
      </c>
      <c r="AB339" s="10">
        <f t="shared" si="13"/>
        <v>0</v>
      </c>
    </row>
    <row r="340" spans="1:28">
      <c r="A340" s="42">
        <f t="shared" si="14"/>
        <v>46082</v>
      </c>
      <c r="B340" s="245">
        <f>YEAR(Table13[[#This Row],[Date]])+IF(MONTH(Table13[[#This Row],[Date]])&gt;=4,1,0)</f>
        <v>2026</v>
      </c>
      <c r="C340" s="246">
        <f>YEAR(Table13[[#This Row],[Date]])</f>
        <v>2026</v>
      </c>
      <c r="D340" s="247">
        <f>Table13[[#This Row],[Date]]-DAY(Table13[[#This Row],[Date]])+1</f>
        <v>46082</v>
      </c>
      <c r="AB340" s="10">
        <f t="shared" si="13"/>
        <v>0</v>
      </c>
    </row>
    <row r="341" spans="1:28">
      <c r="A341" s="251">
        <f t="shared" si="14"/>
        <v>46083</v>
      </c>
      <c r="B341" s="248">
        <f>YEAR(Table13[[#This Row],[Date]])+IF(MONTH(Table13[[#This Row],[Date]])&gt;=4,1,0)</f>
        <v>2026</v>
      </c>
      <c r="C341" s="249">
        <f>YEAR(Table13[[#This Row],[Date]])</f>
        <v>2026</v>
      </c>
      <c r="D341" s="250">
        <f>Table13[[#This Row],[Date]]-DAY(Table13[[#This Row],[Date]])+1</f>
        <v>46082</v>
      </c>
      <c r="AB341" s="10">
        <f t="shared" si="13"/>
        <v>0</v>
      </c>
    </row>
    <row r="342" spans="1:28">
      <c r="A342" s="42">
        <f t="shared" si="14"/>
        <v>46084</v>
      </c>
      <c r="B342" s="245">
        <f>YEAR(Table13[[#This Row],[Date]])+IF(MONTH(Table13[[#This Row],[Date]])&gt;=4,1,0)</f>
        <v>2026</v>
      </c>
      <c r="C342" s="246">
        <f>YEAR(Table13[[#This Row],[Date]])</f>
        <v>2026</v>
      </c>
      <c r="D342" s="247">
        <f>Table13[[#This Row],[Date]]-DAY(Table13[[#This Row],[Date]])+1</f>
        <v>46082</v>
      </c>
      <c r="AB342" s="10">
        <f t="shared" si="13"/>
        <v>0</v>
      </c>
    </row>
    <row r="343" spans="1:28">
      <c r="A343" s="251">
        <f t="shared" si="14"/>
        <v>46085</v>
      </c>
      <c r="B343" s="248">
        <f>YEAR(Table13[[#This Row],[Date]])+IF(MONTH(Table13[[#This Row],[Date]])&gt;=4,1,0)</f>
        <v>2026</v>
      </c>
      <c r="C343" s="249">
        <f>YEAR(Table13[[#This Row],[Date]])</f>
        <v>2026</v>
      </c>
      <c r="D343" s="250">
        <f>Table13[[#This Row],[Date]]-DAY(Table13[[#This Row],[Date]])+1</f>
        <v>46082</v>
      </c>
      <c r="AB343" s="10">
        <f t="shared" si="13"/>
        <v>0</v>
      </c>
    </row>
    <row r="344" spans="1:28">
      <c r="A344" s="42">
        <f t="shared" si="14"/>
        <v>46086</v>
      </c>
      <c r="B344" s="245">
        <f>YEAR(Table13[[#This Row],[Date]])+IF(MONTH(Table13[[#This Row],[Date]])&gt;=4,1,0)</f>
        <v>2026</v>
      </c>
      <c r="C344" s="246">
        <f>YEAR(Table13[[#This Row],[Date]])</f>
        <v>2026</v>
      </c>
      <c r="D344" s="247">
        <f>Table13[[#This Row],[Date]]-DAY(Table13[[#This Row],[Date]])+1</f>
        <v>46082</v>
      </c>
      <c r="AB344" s="10">
        <f t="shared" si="13"/>
        <v>0</v>
      </c>
    </row>
    <row r="345" spans="1:28">
      <c r="A345" s="251">
        <f t="shared" si="14"/>
        <v>46087</v>
      </c>
      <c r="B345" s="248">
        <f>YEAR(Table13[[#This Row],[Date]])+IF(MONTH(Table13[[#This Row],[Date]])&gt;=4,1,0)</f>
        <v>2026</v>
      </c>
      <c r="C345" s="249">
        <f>YEAR(Table13[[#This Row],[Date]])</f>
        <v>2026</v>
      </c>
      <c r="D345" s="250">
        <f>Table13[[#This Row],[Date]]-DAY(Table13[[#This Row],[Date]])+1</f>
        <v>46082</v>
      </c>
      <c r="AB345" s="10">
        <f t="shared" si="13"/>
        <v>0</v>
      </c>
    </row>
    <row r="346" spans="1:28">
      <c r="A346" s="42">
        <f t="shared" si="14"/>
        <v>46088</v>
      </c>
      <c r="B346" s="245">
        <f>YEAR(Table13[[#This Row],[Date]])+IF(MONTH(Table13[[#This Row],[Date]])&gt;=4,1,0)</f>
        <v>2026</v>
      </c>
      <c r="C346" s="246">
        <f>YEAR(Table13[[#This Row],[Date]])</f>
        <v>2026</v>
      </c>
      <c r="D346" s="247">
        <f>Table13[[#This Row],[Date]]-DAY(Table13[[#This Row],[Date]])+1</f>
        <v>46082</v>
      </c>
      <c r="AB346" s="10">
        <f t="shared" si="13"/>
        <v>0</v>
      </c>
    </row>
    <row r="347" spans="1:28">
      <c r="A347" s="251">
        <f t="shared" si="14"/>
        <v>46089</v>
      </c>
      <c r="B347" s="248">
        <f>YEAR(Table13[[#This Row],[Date]])+IF(MONTH(Table13[[#This Row],[Date]])&gt;=4,1,0)</f>
        <v>2026</v>
      </c>
      <c r="C347" s="249">
        <f>YEAR(Table13[[#This Row],[Date]])</f>
        <v>2026</v>
      </c>
      <c r="D347" s="250">
        <f>Table13[[#This Row],[Date]]-DAY(Table13[[#This Row],[Date]])+1</f>
        <v>46082</v>
      </c>
      <c r="AB347" s="10">
        <f t="shared" si="13"/>
        <v>0</v>
      </c>
    </row>
    <row r="348" spans="1:28">
      <c r="A348" s="42">
        <f t="shared" si="14"/>
        <v>46090</v>
      </c>
      <c r="B348" s="245">
        <f>YEAR(Table13[[#This Row],[Date]])+IF(MONTH(Table13[[#This Row],[Date]])&gt;=4,1,0)</f>
        <v>2026</v>
      </c>
      <c r="C348" s="246">
        <f>YEAR(Table13[[#This Row],[Date]])</f>
        <v>2026</v>
      </c>
      <c r="D348" s="247">
        <f>Table13[[#This Row],[Date]]-DAY(Table13[[#This Row],[Date]])+1</f>
        <v>46082</v>
      </c>
      <c r="AB348" s="10">
        <f t="shared" si="13"/>
        <v>0</v>
      </c>
    </row>
    <row r="349" spans="1:28">
      <c r="A349" s="251">
        <f t="shared" si="14"/>
        <v>46091</v>
      </c>
      <c r="B349" s="248">
        <f>YEAR(Table13[[#This Row],[Date]])+IF(MONTH(Table13[[#This Row],[Date]])&gt;=4,1,0)</f>
        <v>2026</v>
      </c>
      <c r="C349" s="249">
        <f>YEAR(Table13[[#This Row],[Date]])</f>
        <v>2026</v>
      </c>
      <c r="D349" s="250">
        <f>Table13[[#This Row],[Date]]-DAY(Table13[[#This Row],[Date]])+1</f>
        <v>46082</v>
      </c>
      <c r="AB349" s="10">
        <f t="shared" si="13"/>
        <v>0</v>
      </c>
    </row>
    <row r="350" spans="1:28">
      <c r="A350" s="42">
        <f t="shared" si="14"/>
        <v>46092</v>
      </c>
      <c r="B350" s="245">
        <f>YEAR(Table13[[#This Row],[Date]])+IF(MONTH(Table13[[#This Row],[Date]])&gt;=4,1,0)</f>
        <v>2026</v>
      </c>
      <c r="C350" s="246">
        <f>YEAR(Table13[[#This Row],[Date]])</f>
        <v>2026</v>
      </c>
      <c r="D350" s="247">
        <f>Table13[[#This Row],[Date]]-DAY(Table13[[#This Row],[Date]])+1</f>
        <v>46082</v>
      </c>
      <c r="AB350" s="10">
        <f t="shared" si="13"/>
        <v>0</v>
      </c>
    </row>
    <row r="351" spans="1:28">
      <c r="A351" s="251">
        <f t="shared" si="14"/>
        <v>46093</v>
      </c>
      <c r="B351" s="248">
        <f>YEAR(Table13[[#This Row],[Date]])+IF(MONTH(Table13[[#This Row],[Date]])&gt;=4,1,0)</f>
        <v>2026</v>
      </c>
      <c r="C351" s="249">
        <f>YEAR(Table13[[#This Row],[Date]])</f>
        <v>2026</v>
      </c>
      <c r="D351" s="250">
        <f>Table13[[#This Row],[Date]]-DAY(Table13[[#This Row],[Date]])+1</f>
        <v>46082</v>
      </c>
      <c r="AB351" s="10">
        <f t="shared" si="13"/>
        <v>0</v>
      </c>
    </row>
    <row r="352" spans="1:28">
      <c r="A352" s="42">
        <f t="shared" si="14"/>
        <v>46094</v>
      </c>
      <c r="B352" s="245">
        <f>YEAR(Table13[[#This Row],[Date]])+IF(MONTH(Table13[[#This Row],[Date]])&gt;=4,1,0)</f>
        <v>2026</v>
      </c>
      <c r="C352" s="246">
        <f>YEAR(Table13[[#This Row],[Date]])</f>
        <v>2026</v>
      </c>
      <c r="D352" s="247">
        <f>Table13[[#This Row],[Date]]-DAY(Table13[[#This Row],[Date]])+1</f>
        <v>46082</v>
      </c>
      <c r="AB352" s="10">
        <f t="shared" si="13"/>
        <v>0</v>
      </c>
    </row>
    <row r="353" spans="1:28">
      <c r="A353" s="251">
        <f t="shared" si="14"/>
        <v>46095</v>
      </c>
      <c r="B353" s="248">
        <f>YEAR(Table13[[#This Row],[Date]])+IF(MONTH(Table13[[#This Row],[Date]])&gt;=4,1,0)</f>
        <v>2026</v>
      </c>
      <c r="C353" s="249">
        <f>YEAR(Table13[[#This Row],[Date]])</f>
        <v>2026</v>
      </c>
      <c r="D353" s="250">
        <f>Table13[[#This Row],[Date]]-DAY(Table13[[#This Row],[Date]])+1</f>
        <v>46082</v>
      </c>
      <c r="AB353" s="10">
        <f t="shared" si="13"/>
        <v>0</v>
      </c>
    </row>
    <row r="354" spans="1:28">
      <c r="A354" s="42">
        <f t="shared" si="14"/>
        <v>46096</v>
      </c>
      <c r="B354" s="245">
        <f>YEAR(Table13[[#This Row],[Date]])+IF(MONTH(Table13[[#This Row],[Date]])&gt;=4,1,0)</f>
        <v>2026</v>
      </c>
      <c r="C354" s="246">
        <f>YEAR(Table13[[#This Row],[Date]])</f>
        <v>2026</v>
      </c>
      <c r="D354" s="247">
        <f>Table13[[#This Row],[Date]]-DAY(Table13[[#This Row],[Date]])+1</f>
        <v>46082</v>
      </c>
      <c r="AB354" s="10">
        <f t="shared" si="13"/>
        <v>0</v>
      </c>
    </row>
    <row r="355" spans="1:28">
      <c r="A355" s="251">
        <f t="shared" si="14"/>
        <v>46097</v>
      </c>
      <c r="B355" s="248">
        <f>YEAR(Table13[[#This Row],[Date]])+IF(MONTH(Table13[[#This Row],[Date]])&gt;=4,1,0)</f>
        <v>2026</v>
      </c>
      <c r="C355" s="249">
        <f>YEAR(Table13[[#This Row],[Date]])</f>
        <v>2026</v>
      </c>
      <c r="D355" s="250">
        <f>Table13[[#This Row],[Date]]-DAY(Table13[[#This Row],[Date]])+1</f>
        <v>46082</v>
      </c>
      <c r="AB355" s="10">
        <f t="shared" si="13"/>
        <v>0</v>
      </c>
    </row>
    <row r="356" spans="1:28">
      <c r="A356" s="42">
        <f t="shared" si="14"/>
        <v>46098</v>
      </c>
      <c r="B356" s="245">
        <f>YEAR(Table13[[#This Row],[Date]])+IF(MONTH(Table13[[#This Row],[Date]])&gt;=4,1,0)</f>
        <v>2026</v>
      </c>
      <c r="C356" s="246">
        <f>YEAR(Table13[[#This Row],[Date]])</f>
        <v>2026</v>
      </c>
      <c r="D356" s="247">
        <f>Table13[[#This Row],[Date]]-DAY(Table13[[#This Row],[Date]])+1</f>
        <v>46082</v>
      </c>
      <c r="AB356" s="10">
        <f t="shared" si="13"/>
        <v>0</v>
      </c>
    </row>
    <row r="357" spans="1:28">
      <c r="A357" s="251">
        <f t="shared" si="14"/>
        <v>46099</v>
      </c>
      <c r="B357" s="248">
        <f>YEAR(Table13[[#This Row],[Date]])+IF(MONTH(Table13[[#This Row],[Date]])&gt;=4,1,0)</f>
        <v>2026</v>
      </c>
      <c r="C357" s="249">
        <f>YEAR(Table13[[#This Row],[Date]])</f>
        <v>2026</v>
      </c>
      <c r="D357" s="250">
        <f>Table13[[#This Row],[Date]]-DAY(Table13[[#This Row],[Date]])+1</f>
        <v>46082</v>
      </c>
      <c r="AB357" s="10">
        <f t="shared" si="13"/>
        <v>0</v>
      </c>
    </row>
    <row r="358" spans="1:28">
      <c r="A358" s="42">
        <f t="shared" si="14"/>
        <v>46100</v>
      </c>
      <c r="B358" s="245">
        <f>YEAR(Table13[[#This Row],[Date]])+IF(MONTH(Table13[[#This Row],[Date]])&gt;=4,1,0)</f>
        <v>2026</v>
      </c>
      <c r="C358" s="246">
        <f>YEAR(Table13[[#This Row],[Date]])</f>
        <v>2026</v>
      </c>
      <c r="D358" s="247">
        <f>Table13[[#This Row],[Date]]-DAY(Table13[[#This Row],[Date]])+1</f>
        <v>46082</v>
      </c>
      <c r="AB358" s="10">
        <f t="shared" si="13"/>
        <v>0</v>
      </c>
    </row>
    <row r="359" spans="1:28">
      <c r="A359" s="251">
        <f t="shared" si="14"/>
        <v>46101</v>
      </c>
      <c r="B359" s="248">
        <f>YEAR(Table13[[#This Row],[Date]])+IF(MONTH(Table13[[#This Row],[Date]])&gt;=4,1,0)</f>
        <v>2026</v>
      </c>
      <c r="C359" s="249">
        <f>YEAR(Table13[[#This Row],[Date]])</f>
        <v>2026</v>
      </c>
      <c r="D359" s="250">
        <f>Table13[[#This Row],[Date]]-DAY(Table13[[#This Row],[Date]])+1</f>
        <v>46082</v>
      </c>
      <c r="AB359" s="10">
        <f t="shared" si="13"/>
        <v>0</v>
      </c>
    </row>
    <row r="360" spans="1:28">
      <c r="A360" s="42">
        <f t="shared" si="14"/>
        <v>46102</v>
      </c>
      <c r="B360" s="245">
        <f>YEAR(Table13[[#This Row],[Date]])+IF(MONTH(Table13[[#This Row],[Date]])&gt;=4,1,0)</f>
        <v>2026</v>
      </c>
      <c r="C360" s="246">
        <f>YEAR(Table13[[#This Row],[Date]])</f>
        <v>2026</v>
      </c>
      <c r="D360" s="247">
        <f>Table13[[#This Row],[Date]]-DAY(Table13[[#This Row],[Date]])+1</f>
        <v>46082</v>
      </c>
      <c r="AB360" s="10">
        <f t="shared" si="13"/>
        <v>0</v>
      </c>
    </row>
    <row r="361" spans="1:28">
      <c r="A361" s="251">
        <f t="shared" si="14"/>
        <v>46103</v>
      </c>
      <c r="B361" s="248">
        <f>YEAR(Table13[[#This Row],[Date]])+IF(MONTH(Table13[[#This Row],[Date]])&gt;=4,1,0)</f>
        <v>2026</v>
      </c>
      <c r="C361" s="249">
        <f>YEAR(Table13[[#This Row],[Date]])</f>
        <v>2026</v>
      </c>
      <c r="D361" s="250">
        <f>Table13[[#This Row],[Date]]-DAY(Table13[[#This Row],[Date]])+1</f>
        <v>46082</v>
      </c>
      <c r="AB361" s="10">
        <f t="shared" si="13"/>
        <v>0</v>
      </c>
    </row>
    <row r="362" spans="1:28">
      <c r="A362" s="42">
        <f t="shared" si="14"/>
        <v>46104</v>
      </c>
      <c r="B362" s="245">
        <f>YEAR(Table13[[#This Row],[Date]])+IF(MONTH(Table13[[#This Row],[Date]])&gt;=4,1,0)</f>
        <v>2026</v>
      </c>
      <c r="C362" s="246">
        <f>YEAR(Table13[[#This Row],[Date]])</f>
        <v>2026</v>
      </c>
      <c r="D362" s="247">
        <f>Table13[[#This Row],[Date]]-DAY(Table13[[#This Row],[Date]])+1</f>
        <v>46082</v>
      </c>
      <c r="AB362" s="10">
        <f t="shared" si="13"/>
        <v>0</v>
      </c>
    </row>
    <row r="363" spans="1:28">
      <c r="A363" s="251">
        <f t="shared" si="14"/>
        <v>46105</v>
      </c>
      <c r="B363" s="248">
        <f>YEAR(Table13[[#This Row],[Date]])+IF(MONTH(Table13[[#This Row],[Date]])&gt;=4,1,0)</f>
        <v>2026</v>
      </c>
      <c r="C363" s="249">
        <f>YEAR(Table13[[#This Row],[Date]])</f>
        <v>2026</v>
      </c>
      <c r="D363" s="250">
        <f>Table13[[#This Row],[Date]]-DAY(Table13[[#This Row],[Date]])+1</f>
        <v>46082</v>
      </c>
      <c r="AB363" s="10">
        <f t="shared" si="13"/>
        <v>0</v>
      </c>
    </row>
    <row r="364" spans="1:28">
      <c r="A364" s="42">
        <f t="shared" si="14"/>
        <v>46106</v>
      </c>
      <c r="B364" s="245">
        <f>YEAR(Table13[[#This Row],[Date]])+IF(MONTH(Table13[[#This Row],[Date]])&gt;=4,1,0)</f>
        <v>2026</v>
      </c>
      <c r="C364" s="246">
        <f>YEAR(Table13[[#This Row],[Date]])</f>
        <v>2026</v>
      </c>
      <c r="D364" s="247">
        <f>Table13[[#This Row],[Date]]-DAY(Table13[[#This Row],[Date]])+1</f>
        <v>46082</v>
      </c>
      <c r="AB364" s="10">
        <f t="shared" si="13"/>
        <v>0</v>
      </c>
    </row>
    <row r="365" spans="1:28">
      <c r="A365" s="251">
        <f t="shared" si="14"/>
        <v>46107</v>
      </c>
      <c r="B365" s="248">
        <f>YEAR(Table13[[#This Row],[Date]])+IF(MONTH(Table13[[#This Row],[Date]])&gt;=4,1,0)</f>
        <v>2026</v>
      </c>
      <c r="C365" s="249">
        <f>YEAR(Table13[[#This Row],[Date]])</f>
        <v>2026</v>
      </c>
      <c r="D365" s="250">
        <f>Table13[[#This Row],[Date]]-DAY(Table13[[#This Row],[Date]])+1</f>
        <v>46082</v>
      </c>
      <c r="AB365" s="10">
        <f t="shared" si="13"/>
        <v>0</v>
      </c>
    </row>
    <row r="366" spans="1:28">
      <c r="A366" s="42">
        <f t="shared" si="14"/>
        <v>46108</v>
      </c>
      <c r="B366" s="245">
        <f>YEAR(Table13[[#This Row],[Date]])+IF(MONTH(Table13[[#This Row],[Date]])&gt;=4,1,0)</f>
        <v>2026</v>
      </c>
      <c r="C366" s="246">
        <f>YEAR(Table13[[#This Row],[Date]])</f>
        <v>2026</v>
      </c>
      <c r="D366" s="247">
        <f>Table13[[#This Row],[Date]]-DAY(Table13[[#This Row],[Date]])+1</f>
        <v>46082</v>
      </c>
      <c r="AB366" s="10">
        <f t="shared" si="13"/>
        <v>0</v>
      </c>
    </row>
    <row r="367" spans="1:28">
      <c r="A367" s="251">
        <f t="shared" si="14"/>
        <v>46109</v>
      </c>
      <c r="B367" s="248">
        <f>YEAR(Table13[[#This Row],[Date]])+IF(MONTH(Table13[[#This Row],[Date]])&gt;=4,1,0)</f>
        <v>2026</v>
      </c>
      <c r="C367" s="249">
        <f>YEAR(Table13[[#This Row],[Date]])</f>
        <v>2026</v>
      </c>
      <c r="D367" s="250">
        <f>Table13[[#This Row],[Date]]-DAY(Table13[[#This Row],[Date]])+1</f>
        <v>46082</v>
      </c>
      <c r="AB367" s="10">
        <f t="shared" si="13"/>
        <v>0</v>
      </c>
    </row>
    <row r="368" spans="1:28">
      <c r="A368" s="42">
        <f t="shared" si="14"/>
        <v>46110</v>
      </c>
      <c r="B368" s="245">
        <f>YEAR(Table13[[#This Row],[Date]])+IF(MONTH(Table13[[#This Row],[Date]])&gt;=4,1,0)</f>
        <v>2026</v>
      </c>
      <c r="C368" s="246">
        <f>YEAR(Table13[[#This Row],[Date]])</f>
        <v>2026</v>
      </c>
      <c r="D368" s="247">
        <f>Table13[[#This Row],[Date]]-DAY(Table13[[#This Row],[Date]])+1</f>
        <v>46082</v>
      </c>
      <c r="AB368" s="10">
        <f t="shared" si="13"/>
        <v>0</v>
      </c>
    </row>
    <row r="369" spans="1:28">
      <c r="A369" s="251">
        <f t="shared" si="14"/>
        <v>46111</v>
      </c>
      <c r="B369" s="248">
        <f>YEAR(Table13[[#This Row],[Date]])+IF(MONTH(Table13[[#This Row],[Date]])&gt;=4,1,0)</f>
        <v>2026</v>
      </c>
      <c r="C369" s="249">
        <f>YEAR(Table13[[#This Row],[Date]])</f>
        <v>2026</v>
      </c>
      <c r="D369" s="250">
        <f>Table13[[#This Row],[Date]]-DAY(Table13[[#This Row],[Date]])+1</f>
        <v>46082</v>
      </c>
      <c r="AB369" s="10">
        <f t="shared" si="13"/>
        <v>0</v>
      </c>
    </row>
    <row r="370" spans="1:28">
      <c r="A370" s="42">
        <f t="shared" si="14"/>
        <v>46112</v>
      </c>
      <c r="B370" s="245">
        <f>YEAR(Table13[[#This Row],[Date]])+IF(MONTH(Table13[[#This Row],[Date]])&gt;=4,1,0)</f>
        <v>2027</v>
      </c>
      <c r="C370" s="246">
        <f>YEAR(Table13[[#This Row],[Date]])</f>
        <v>2026</v>
      </c>
      <c r="D370" s="247">
        <f>Table13[[#This Row],[Date]]-DAY(Table13[[#This Row],[Date]])+1</f>
        <v>46113</v>
      </c>
      <c r="AB370" s="10">
        <f t="shared" si="13"/>
        <v>0</v>
      </c>
    </row>
    <row r="371" spans="1:28">
      <c r="A371" s="251">
        <f t="shared" si="14"/>
        <v>46113</v>
      </c>
      <c r="B371" s="248">
        <f>YEAR(Table13[[#This Row],[Date]])+IF(MONTH(Table13[[#This Row],[Date]])&gt;=4,1,0)</f>
        <v>2027</v>
      </c>
      <c r="C371" s="249">
        <f>YEAR(Table13[[#This Row],[Date]])</f>
        <v>2026</v>
      </c>
      <c r="D371" s="250">
        <f>Table13[[#This Row],[Date]]-DAY(Table13[[#This Row],[Date]])+1</f>
        <v>46113</v>
      </c>
      <c r="AB371" s="10">
        <f t="shared" si="13"/>
        <v>0</v>
      </c>
    </row>
    <row r="372" spans="1:28">
      <c r="A372" s="42">
        <f t="shared" si="14"/>
        <v>46114</v>
      </c>
      <c r="B372" s="245">
        <f>YEAR(Table13[[#This Row],[Date]])+IF(MONTH(Table13[[#This Row],[Date]])&gt;=4,1,0)</f>
        <v>2027</v>
      </c>
      <c r="C372" s="246">
        <f>YEAR(Table13[[#This Row],[Date]])</f>
        <v>2026</v>
      </c>
      <c r="D372" s="247">
        <f>Table13[[#This Row],[Date]]-DAY(Table13[[#This Row],[Date]])+1</f>
        <v>46113</v>
      </c>
      <c r="AB372" s="10">
        <f t="shared" si="13"/>
        <v>0</v>
      </c>
    </row>
    <row r="373" spans="1:28">
      <c r="A373" s="251">
        <f t="shared" si="14"/>
        <v>46115</v>
      </c>
      <c r="B373" s="248">
        <f>YEAR(Table13[[#This Row],[Date]])+IF(MONTH(Table13[[#This Row],[Date]])&gt;=4,1,0)</f>
        <v>2027</v>
      </c>
      <c r="C373" s="249">
        <f>YEAR(Table13[[#This Row],[Date]])</f>
        <v>2026</v>
      </c>
      <c r="D373" s="250">
        <f>Table13[[#This Row],[Date]]-DAY(Table13[[#This Row],[Date]])+1</f>
        <v>46113</v>
      </c>
      <c r="AB373" s="10">
        <f t="shared" si="13"/>
        <v>0</v>
      </c>
    </row>
    <row r="374" spans="1:28">
      <c r="A374" s="42">
        <f t="shared" si="14"/>
        <v>46116</v>
      </c>
      <c r="B374" s="245">
        <f>YEAR(Table13[[#This Row],[Date]])+IF(MONTH(Table13[[#This Row],[Date]])&gt;=4,1,0)</f>
        <v>2027</v>
      </c>
      <c r="C374" s="246">
        <f>YEAR(Table13[[#This Row],[Date]])</f>
        <v>2026</v>
      </c>
      <c r="D374" s="247">
        <f>Table13[[#This Row],[Date]]-DAY(Table13[[#This Row],[Date]])+1</f>
        <v>46113</v>
      </c>
      <c r="AB374" s="10">
        <f t="shared" si="13"/>
        <v>0</v>
      </c>
    </row>
    <row r="375" spans="1:28">
      <c r="A375" s="251">
        <f t="shared" si="14"/>
        <v>46117</v>
      </c>
      <c r="B375" s="248">
        <f>YEAR(Table13[[#This Row],[Date]])+IF(MONTH(Table13[[#This Row],[Date]])&gt;=4,1,0)</f>
        <v>2027</v>
      </c>
      <c r="C375" s="249">
        <f>YEAR(Table13[[#This Row],[Date]])</f>
        <v>2026</v>
      </c>
      <c r="D375" s="250">
        <f>Table13[[#This Row],[Date]]-DAY(Table13[[#This Row],[Date]])+1</f>
        <v>46113</v>
      </c>
      <c r="AB375" s="10">
        <f t="shared" si="13"/>
        <v>0</v>
      </c>
    </row>
    <row r="376" spans="1:28">
      <c r="A376" s="42">
        <f t="shared" si="14"/>
        <v>46118</v>
      </c>
      <c r="B376" s="245">
        <f>YEAR(Table13[[#This Row],[Date]])+IF(MONTH(Table13[[#This Row],[Date]])&gt;=4,1,0)</f>
        <v>2027</v>
      </c>
      <c r="C376" s="246">
        <f>YEAR(Table13[[#This Row],[Date]])</f>
        <v>2026</v>
      </c>
      <c r="D376" s="247">
        <f>Table13[[#This Row],[Date]]-DAY(Table13[[#This Row],[Date]])+1</f>
        <v>46113</v>
      </c>
      <c r="AB376" s="10">
        <f t="shared" si="13"/>
        <v>0</v>
      </c>
    </row>
    <row r="377" spans="1:28">
      <c r="A377" s="251">
        <f t="shared" si="14"/>
        <v>46119</v>
      </c>
      <c r="B377" s="248">
        <f>YEAR(Table13[[#This Row],[Date]])+IF(MONTH(Table13[[#This Row],[Date]])&gt;=4,1,0)</f>
        <v>2027</v>
      </c>
      <c r="C377" s="249">
        <f>YEAR(Table13[[#This Row],[Date]])</f>
        <v>2026</v>
      </c>
      <c r="D377" s="250">
        <f>Table13[[#This Row],[Date]]-DAY(Table13[[#This Row],[Date]])+1</f>
        <v>46113</v>
      </c>
      <c r="AB377" s="10">
        <f t="shared" si="13"/>
        <v>0</v>
      </c>
    </row>
    <row r="378" spans="1:28">
      <c r="A378" s="42">
        <f t="shared" si="14"/>
        <v>46120</v>
      </c>
      <c r="B378" s="245">
        <f>YEAR(Table13[[#This Row],[Date]])+IF(MONTH(Table13[[#This Row],[Date]])&gt;=4,1,0)</f>
        <v>2027</v>
      </c>
      <c r="C378" s="246">
        <f>YEAR(Table13[[#This Row],[Date]])</f>
        <v>2026</v>
      </c>
      <c r="D378" s="247">
        <f>Table13[[#This Row],[Date]]-DAY(Table13[[#This Row],[Date]])+1</f>
        <v>46113</v>
      </c>
      <c r="AB378" s="10">
        <f t="shared" si="13"/>
        <v>0</v>
      </c>
    </row>
    <row r="379" spans="1:28">
      <c r="A379" s="251">
        <f t="shared" si="14"/>
        <v>46121</v>
      </c>
      <c r="B379" s="248">
        <f>YEAR(Table13[[#This Row],[Date]])+IF(MONTH(Table13[[#This Row],[Date]])&gt;=4,1,0)</f>
        <v>2027</v>
      </c>
      <c r="C379" s="249">
        <f>YEAR(Table13[[#This Row],[Date]])</f>
        <v>2026</v>
      </c>
      <c r="D379" s="250">
        <f>Table13[[#This Row],[Date]]-DAY(Table13[[#This Row],[Date]])+1</f>
        <v>46113</v>
      </c>
      <c r="AB379" s="10">
        <f t="shared" si="13"/>
        <v>0</v>
      </c>
    </row>
    <row r="380" spans="1:28">
      <c r="A380" s="42">
        <f t="shared" si="14"/>
        <v>46122</v>
      </c>
      <c r="B380" s="245">
        <f>YEAR(Table13[[#This Row],[Date]])+IF(MONTH(Table13[[#This Row],[Date]])&gt;=4,1,0)</f>
        <v>2027</v>
      </c>
      <c r="C380" s="246">
        <f>YEAR(Table13[[#This Row],[Date]])</f>
        <v>2026</v>
      </c>
      <c r="D380" s="247">
        <f>Table13[[#This Row],[Date]]-DAY(Table13[[#This Row],[Date]])+1</f>
        <v>46113</v>
      </c>
      <c r="AB380" s="10">
        <f t="shared" si="13"/>
        <v>0</v>
      </c>
    </row>
    <row r="381" spans="1:28">
      <c r="A381" s="251">
        <f t="shared" si="14"/>
        <v>46123</v>
      </c>
      <c r="B381" s="248">
        <f>YEAR(Table13[[#This Row],[Date]])+IF(MONTH(Table13[[#This Row],[Date]])&gt;=4,1,0)</f>
        <v>2027</v>
      </c>
      <c r="C381" s="249">
        <f>YEAR(Table13[[#This Row],[Date]])</f>
        <v>2026</v>
      </c>
      <c r="D381" s="250">
        <f>Table13[[#This Row],[Date]]-DAY(Table13[[#This Row],[Date]])+1</f>
        <v>46113</v>
      </c>
      <c r="AB381" s="10">
        <f t="shared" si="13"/>
        <v>0</v>
      </c>
    </row>
    <row r="382" spans="1:28">
      <c r="A382" s="42">
        <f t="shared" si="14"/>
        <v>46124</v>
      </c>
      <c r="B382" s="245">
        <f>YEAR(Table13[[#This Row],[Date]])+IF(MONTH(Table13[[#This Row],[Date]])&gt;=4,1,0)</f>
        <v>2027</v>
      </c>
      <c r="C382" s="246">
        <f>YEAR(Table13[[#This Row],[Date]])</f>
        <v>2026</v>
      </c>
      <c r="D382" s="247">
        <f>Table13[[#This Row],[Date]]-DAY(Table13[[#This Row],[Date]])+1</f>
        <v>46113</v>
      </c>
      <c r="AB382" s="10">
        <f t="shared" si="13"/>
        <v>0</v>
      </c>
    </row>
    <row r="383" spans="1:28">
      <c r="A383" s="251">
        <f t="shared" si="14"/>
        <v>46125</v>
      </c>
      <c r="B383" s="248">
        <f>YEAR(Table13[[#This Row],[Date]])+IF(MONTH(Table13[[#This Row],[Date]])&gt;=4,1,0)</f>
        <v>2027</v>
      </c>
      <c r="C383" s="249">
        <f>YEAR(Table13[[#This Row],[Date]])</f>
        <v>2026</v>
      </c>
      <c r="D383" s="250">
        <f>Table13[[#This Row],[Date]]-DAY(Table13[[#This Row],[Date]])+1</f>
        <v>46113</v>
      </c>
      <c r="AB383" s="10">
        <f t="shared" si="13"/>
        <v>0</v>
      </c>
    </row>
    <row r="384" spans="1:28">
      <c r="A384" s="42">
        <f t="shared" si="14"/>
        <v>46126</v>
      </c>
      <c r="B384" s="245">
        <f>YEAR(Table13[[#This Row],[Date]])+IF(MONTH(Table13[[#This Row],[Date]])&gt;=4,1,0)</f>
        <v>2027</v>
      </c>
      <c r="C384" s="246">
        <f>YEAR(Table13[[#This Row],[Date]])</f>
        <v>2026</v>
      </c>
      <c r="D384" s="247">
        <f>Table13[[#This Row],[Date]]-DAY(Table13[[#This Row],[Date]])+1</f>
        <v>46113</v>
      </c>
      <c r="AB384" s="10">
        <f t="shared" si="13"/>
        <v>0</v>
      </c>
    </row>
    <row r="385" spans="1:28">
      <c r="A385" s="251">
        <f t="shared" si="14"/>
        <v>46127</v>
      </c>
      <c r="B385" s="248">
        <f>YEAR(Table13[[#This Row],[Date]])+IF(MONTH(Table13[[#This Row],[Date]])&gt;=4,1,0)</f>
        <v>2027</v>
      </c>
      <c r="C385" s="249">
        <f>YEAR(Table13[[#This Row],[Date]])</f>
        <v>2026</v>
      </c>
      <c r="D385" s="250">
        <f>Table13[[#This Row],[Date]]-DAY(Table13[[#This Row],[Date]])+1</f>
        <v>46113</v>
      </c>
      <c r="AB385" s="10">
        <f t="shared" si="13"/>
        <v>0</v>
      </c>
    </row>
    <row r="386" spans="1:28">
      <c r="A386" s="42">
        <f t="shared" si="14"/>
        <v>46128</v>
      </c>
      <c r="B386" s="245">
        <f>YEAR(Table13[[#This Row],[Date]])+IF(MONTH(Table13[[#This Row],[Date]])&gt;=4,1,0)</f>
        <v>2027</v>
      </c>
      <c r="C386" s="246">
        <f>YEAR(Table13[[#This Row],[Date]])</f>
        <v>2026</v>
      </c>
      <c r="D386" s="247">
        <f>Table13[[#This Row],[Date]]-DAY(Table13[[#This Row],[Date]])+1</f>
        <v>46113</v>
      </c>
      <c r="AB386" s="10">
        <f t="shared" si="13"/>
        <v>0</v>
      </c>
    </row>
    <row r="387" spans="1:28">
      <c r="A387" s="251">
        <f t="shared" si="14"/>
        <v>46129</v>
      </c>
      <c r="B387" s="248">
        <f>YEAR(Table13[[#This Row],[Date]])+IF(MONTH(Table13[[#This Row],[Date]])&gt;=4,1,0)</f>
        <v>2027</v>
      </c>
      <c r="C387" s="249">
        <f>YEAR(Table13[[#This Row],[Date]])</f>
        <v>2026</v>
      </c>
      <c r="D387" s="250">
        <f>Table13[[#This Row],[Date]]-DAY(Table13[[#This Row],[Date]])+1</f>
        <v>46113</v>
      </c>
      <c r="AB387" s="10">
        <f t="shared" si="13"/>
        <v>0</v>
      </c>
    </row>
    <row r="388" spans="1:28">
      <c r="A388" s="42">
        <f t="shared" si="14"/>
        <v>46130</v>
      </c>
      <c r="B388" s="245">
        <f>YEAR(Table13[[#This Row],[Date]])+IF(MONTH(Table13[[#This Row],[Date]])&gt;=4,1,0)</f>
        <v>2027</v>
      </c>
      <c r="C388" s="246">
        <f>YEAR(Table13[[#This Row],[Date]])</f>
        <v>2026</v>
      </c>
      <c r="D388" s="247">
        <f>Table13[[#This Row],[Date]]-DAY(Table13[[#This Row],[Date]])+1</f>
        <v>46113</v>
      </c>
      <c r="AB388" s="10">
        <f t="shared" si="13"/>
        <v>0</v>
      </c>
    </row>
    <row r="389" spans="1:28">
      <c r="A389" s="251">
        <f t="shared" si="14"/>
        <v>46131</v>
      </c>
      <c r="B389" s="248">
        <f>YEAR(Table13[[#This Row],[Date]])+IF(MONTH(Table13[[#This Row],[Date]])&gt;=4,1,0)</f>
        <v>2027</v>
      </c>
      <c r="C389" s="249">
        <f>YEAR(Table13[[#This Row],[Date]])</f>
        <v>2026</v>
      </c>
      <c r="D389" s="250">
        <f>Table13[[#This Row],[Date]]-DAY(Table13[[#This Row],[Date]])+1</f>
        <v>46113</v>
      </c>
      <c r="AB389" s="10">
        <f t="shared" si="13"/>
        <v>0</v>
      </c>
    </row>
    <row r="390" spans="1:28">
      <c r="A390" s="42">
        <f t="shared" si="14"/>
        <v>46132</v>
      </c>
      <c r="B390" s="245">
        <f>YEAR(Table13[[#This Row],[Date]])+IF(MONTH(Table13[[#This Row],[Date]])&gt;=4,1,0)</f>
        <v>2027</v>
      </c>
      <c r="C390" s="246">
        <f>YEAR(Table13[[#This Row],[Date]])</f>
        <v>2026</v>
      </c>
      <c r="D390" s="247">
        <f>Table13[[#This Row],[Date]]-DAY(Table13[[#This Row],[Date]])+1</f>
        <v>46113</v>
      </c>
      <c r="AB390" s="10">
        <f t="shared" si="13"/>
        <v>0</v>
      </c>
    </row>
    <row r="391" spans="1:28">
      <c r="A391" s="251">
        <f t="shared" si="14"/>
        <v>46133</v>
      </c>
      <c r="B391" s="248">
        <f>YEAR(Table13[[#This Row],[Date]])+IF(MONTH(Table13[[#This Row],[Date]])&gt;=4,1,0)</f>
        <v>2027</v>
      </c>
      <c r="C391" s="249">
        <f>YEAR(Table13[[#This Row],[Date]])</f>
        <v>2026</v>
      </c>
      <c r="D391" s="250">
        <f>Table13[[#This Row],[Date]]-DAY(Table13[[#This Row],[Date]])+1</f>
        <v>46113</v>
      </c>
      <c r="AB391" s="10">
        <f t="shared" si="13"/>
        <v>0</v>
      </c>
    </row>
    <row r="392" spans="1:28">
      <c r="A392" s="42">
        <f t="shared" si="14"/>
        <v>46134</v>
      </c>
      <c r="B392" s="245">
        <f>YEAR(Table13[[#This Row],[Date]])+IF(MONTH(Table13[[#This Row],[Date]])&gt;=4,1,0)</f>
        <v>2027</v>
      </c>
      <c r="C392" s="246">
        <f>YEAR(Table13[[#This Row],[Date]])</f>
        <v>2026</v>
      </c>
      <c r="D392" s="247">
        <f>Table13[[#This Row],[Date]]-DAY(Table13[[#This Row],[Date]])+1</f>
        <v>46113</v>
      </c>
      <c r="AB392" s="10">
        <f t="shared" ref="AB392:AB455" si="15">SUM(E392:AA392)</f>
        <v>0</v>
      </c>
    </row>
    <row r="393" spans="1:28">
      <c r="A393" s="251">
        <f t="shared" si="14"/>
        <v>46135</v>
      </c>
      <c r="B393" s="248">
        <f>YEAR(Table13[[#This Row],[Date]])+IF(MONTH(Table13[[#This Row],[Date]])&gt;=4,1,0)</f>
        <v>2027</v>
      </c>
      <c r="C393" s="249">
        <f>YEAR(Table13[[#This Row],[Date]])</f>
        <v>2026</v>
      </c>
      <c r="D393" s="250">
        <f>Table13[[#This Row],[Date]]-DAY(Table13[[#This Row],[Date]])+1</f>
        <v>46113</v>
      </c>
      <c r="AB393" s="10">
        <f t="shared" si="15"/>
        <v>0</v>
      </c>
    </row>
    <row r="394" spans="1:28">
      <c r="A394" s="42">
        <f t="shared" ref="A394:A457" si="16">A393+1</f>
        <v>46136</v>
      </c>
      <c r="B394" s="245">
        <f>YEAR(Table13[[#This Row],[Date]])+IF(MONTH(Table13[[#This Row],[Date]])&gt;=4,1,0)</f>
        <v>2027</v>
      </c>
      <c r="C394" s="246">
        <f>YEAR(Table13[[#This Row],[Date]])</f>
        <v>2026</v>
      </c>
      <c r="D394" s="247">
        <f>Table13[[#This Row],[Date]]-DAY(Table13[[#This Row],[Date]])+1</f>
        <v>46113</v>
      </c>
      <c r="AB394" s="10">
        <f t="shared" si="15"/>
        <v>0</v>
      </c>
    </row>
    <row r="395" spans="1:28">
      <c r="A395" s="251">
        <f t="shared" si="16"/>
        <v>46137</v>
      </c>
      <c r="B395" s="248">
        <f>YEAR(Table13[[#This Row],[Date]])+IF(MONTH(Table13[[#This Row],[Date]])&gt;=4,1,0)</f>
        <v>2027</v>
      </c>
      <c r="C395" s="249">
        <f>YEAR(Table13[[#This Row],[Date]])</f>
        <v>2026</v>
      </c>
      <c r="D395" s="250">
        <f>Table13[[#This Row],[Date]]-DAY(Table13[[#This Row],[Date]])+1</f>
        <v>46113</v>
      </c>
      <c r="AB395" s="10">
        <f t="shared" si="15"/>
        <v>0</v>
      </c>
    </row>
    <row r="396" spans="1:28">
      <c r="A396" s="42">
        <f t="shared" si="16"/>
        <v>46138</v>
      </c>
      <c r="B396" s="245">
        <f>YEAR(Table13[[#This Row],[Date]])+IF(MONTH(Table13[[#This Row],[Date]])&gt;=4,1,0)</f>
        <v>2027</v>
      </c>
      <c r="C396" s="246">
        <f>YEAR(Table13[[#This Row],[Date]])</f>
        <v>2026</v>
      </c>
      <c r="D396" s="247">
        <f>Table13[[#This Row],[Date]]-DAY(Table13[[#This Row],[Date]])+1</f>
        <v>46113</v>
      </c>
      <c r="AB396" s="10">
        <f t="shared" si="15"/>
        <v>0</v>
      </c>
    </row>
    <row r="397" spans="1:28">
      <c r="A397" s="251">
        <f t="shared" si="16"/>
        <v>46139</v>
      </c>
      <c r="B397" s="248">
        <f>YEAR(Table13[[#This Row],[Date]])+IF(MONTH(Table13[[#This Row],[Date]])&gt;=4,1,0)</f>
        <v>2027</v>
      </c>
      <c r="C397" s="249">
        <f>YEAR(Table13[[#This Row],[Date]])</f>
        <v>2026</v>
      </c>
      <c r="D397" s="250">
        <f>Table13[[#This Row],[Date]]-DAY(Table13[[#This Row],[Date]])+1</f>
        <v>46113</v>
      </c>
      <c r="AB397" s="10">
        <f t="shared" si="15"/>
        <v>0</v>
      </c>
    </row>
    <row r="398" spans="1:28">
      <c r="A398" s="42">
        <f t="shared" si="16"/>
        <v>46140</v>
      </c>
      <c r="B398" s="245">
        <f>YEAR(Table13[[#This Row],[Date]])+IF(MONTH(Table13[[#This Row],[Date]])&gt;=4,1,0)</f>
        <v>2027</v>
      </c>
      <c r="C398" s="246">
        <f>YEAR(Table13[[#This Row],[Date]])</f>
        <v>2026</v>
      </c>
      <c r="D398" s="247">
        <f>Table13[[#This Row],[Date]]-DAY(Table13[[#This Row],[Date]])+1</f>
        <v>46113</v>
      </c>
      <c r="AB398" s="10">
        <f t="shared" si="15"/>
        <v>0</v>
      </c>
    </row>
    <row r="399" spans="1:28">
      <c r="A399" s="251">
        <f t="shared" si="16"/>
        <v>46141</v>
      </c>
      <c r="B399" s="248">
        <f>YEAR(Table13[[#This Row],[Date]])+IF(MONTH(Table13[[#This Row],[Date]])&gt;=4,1,0)</f>
        <v>2027</v>
      </c>
      <c r="C399" s="249">
        <f>YEAR(Table13[[#This Row],[Date]])</f>
        <v>2026</v>
      </c>
      <c r="D399" s="250">
        <f>Table13[[#This Row],[Date]]-DAY(Table13[[#This Row],[Date]])+1</f>
        <v>46113</v>
      </c>
      <c r="AB399" s="10">
        <f t="shared" si="15"/>
        <v>0</v>
      </c>
    </row>
    <row r="400" spans="1:28">
      <c r="A400" s="42">
        <f t="shared" si="16"/>
        <v>46142</v>
      </c>
      <c r="B400" s="245">
        <f>YEAR(Table13[[#This Row],[Date]])+IF(MONTH(Table13[[#This Row],[Date]])&gt;=4,1,0)</f>
        <v>2027</v>
      </c>
      <c r="C400" s="246">
        <f>YEAR(Table13[[#This Row],[Date]])</f>
        <v>2026</v>
      </c>
      <c r="D400" s="247">
        <f>Table13[[#This Row],[Date]]-DAY(Table13[[#This Row],[Date]])+1</f>
        <v>46143</v>
      </c>
      <c r="AB400" s="10">
        <f t="shared" si="15"/>
        <v>0</v>
      </c>
    </row>
    <row r="401" spans="1:28">
      <c r="A401" s="251">
        <f t="shared" si="16"/>
        <v>46143</v>
      </c>
      <c r="B401" s="248">
        <f>YEAR(Table13[[#This Row],[Date]])+IF(MONTH(Table13[[#This Row],[Date]])&gt;=4,1,0)</f>
        <v>2027</v>
      </c>
      <c r="C401" s="249">
        <f>YEAR(Table13[[#This Row],[Date]])</f>
        <v>2026</v>
      </c>
      <c r="D401" s="250">
        <f>Table13[[#This Row],[Date]]-DAY(Table13[[#This Row],[Date]])+1</f>
        <v>46143</v>
      </c>
      <c r="AB401" s="10">
        <f t="shared" si="15"/>
        <v>0</v>
      </c>
    </row>
    <row r="402" spans="1:28">
      <c r="A402" s="42">
        <f t="shared" si="16"/>
        <v>46144</v>
      </c>
      <c r="B402" s="245">
        <f>YEAR(Table13[[#This Row],[Date]])+IF(MONTH(Table13[[#This Row],[Date]])&gt;=4,1,0)</f>
        <v>2027</v>
      </c>
      <c r="C402" s="246">
        <f>YEAR(Table13[[#This Row],[Date]])</f>
        <v>2026</v>
      </c>
      <c r="D402" s="247">
        <f>Table13[[#This Row],[Date]]-DAY(Table13[[#This Row],[Date]])+1</f>
        <v>46143</v>
      </c>
      <c r="AB402" s="10">
        <f t="shared" si="15"/>
        <v>0</v>
      </c>
    </row>
    <row r="403" spans="1:28">
      <c r="A403" s="251">
        <f t="shared" si="16"/>
        <v>46145</v>
      </c>
      <c r="B403" s="248">
        <f>YEAR(Table13[[#This Row],[Date]])+IF(MONTH(Table13[[#This Row],[Date]])&gt;=4,1,0)</f>
        <v>2027</v>
      </c>
      <c r="C403" s="249">
        <f>YEAR(Table13[[#This Row],[Date]])</f>
        <v>2026</v>
      </c>
      <c r="D403" s="250">
        <f>Table13[[#This Row],[Date]]-DAY(Table13[[#This Row],[Date]])+1</f>
        <v>46143</v>
      </c>
      <c r="AB403" s="10">
        <f t="shared" si="15"/>
        <v>0</v>
      </c>
    </row>
    <row r="404" spans="1:28">
      <c r="A404" s="42">
        <f t="shared" si="16"/>
        <v>46146</v>
      </c>
      <c r="B404" s="245">
        <f>YEAR(Table13[[#This Row],[Date]])+IF(MONTH(Table13[[#This Row],[Date]])&gt;=4,1,0)</f>
        <v>2027</v>
      </c>
      <c r="C404" s="246">
        <f>YEAR(Table13[[#This Row],[Date]])</f>
        <v>2026</v>
      </c>
      <c r="D404" s="247">
        <f>Table13[[#This Row],[Date]]-DAY(Table13[[#This Row],[Date]])+1</f>
        <v>46143</v>
      </c>
      <c r="AB404" s="10">
        <f t="shared" si="15"/>
        <v>0</v>
      </c>
    </row>
    <row r="405" spans="1:28">
      <c r="A405" s="251">
        <f t="shared" si="16"/>
        <v>46147</v>
      </c>
      <c r="B405" s="248">
        <f>YEAR(Table13[[#This Row],[Date]])+IF(MONTH(Table13[[#This Row],[Date]])&gt;=4,1,0)</f>
        <v>2027</v>
      </c>
      <c r="C405" s="249">
        <f>YEAR(Table13[[#This Row],[Date]])</f>
        <v>2026</v>
      </c>
      <c r="D405" s="250">
        <f>Table13[[#This Row],[Date]]-DAY(Table13[[#This Row],[Date]])+1</f>
        <v>46143</v>
      </c>
      <c r="AB405" s="10">
        <f t="shared" si="15"/>
        <v>0</v>
      </c>
    </row>
    <row r="406" spans="1:28">
      <c r="A406" s="42">
        <f t="shared" si="16"/>
        <v>46148</v>
      </c>
      <c r="B406" s="245">
        <f>YEAR(Table13[[#This Row],[Date]])+IF(MONTH(Table13[[#This Row],[Date]])&gt;=4,1,0)</f>
        <v>2027</v>
      </c>
      <c r="C406" s="246">
        <f>YEAR(Table13[[#This Row],[Date]])</f>
        <v>2026</v>
      </c>
      <c r="D406" s="247">
        <f>Table13[[#This Row],[Date]]-DAY(Table13[[#This Row],[Date]])+1</f>
        <v>46143</v>
      </c>
      <c r="AB406" s="10">
        <f t="shared" si="15"/>
        <v>0</v>
      </c>
    </row>
    <row r="407" spans="1:28">
      <c r="A407" s="251">
        <f t="shared" si="16"/>
        <v>46149</v>
      </c>
      <c r="B407" s="248">
        <f>YEAR(Table13[[#This Row],[Date]])+IF(MONTH(Table13[[#This Row],[Date]])&gt;=4,1,0)</f>
        <v>2027</v>
      </c>
      <c r="C407" s="249">
        <f>YEAR(Table13[[#This Row],[Date]])</f>
        <v>2026</v>
      </c>
      <c r="D407" s="250">
        <f>Table13[[#This Row],[Date]]-DAY(Table13[[#This Row],[Date]])+1</f>
        <v>46143</v>
      </c>
      <c r="AB407" s="10">
        <f t="shared" si="15"/>
        <v>0</v>
      </c>
    </row>
    <row r="408" spans="1:28">
      <c r="A408" s="42">
        <f t="shared" si="16"/>
        <v>46150</v>
      </c>
      <c r="B408" s="245">
        <f>YEAR(Table13[[#This Row],[Date]])+IF(MONTH(Table13[[#This Row],[Date]])&gt;=4,1,0)</f>
        <v>2027</v>
      </c>
      <c r="C408" s="246">
        <f>YEAR(Table13[[#This Row],[Date]])</f>
        <v>2026</v>
      </c>
      <c r="D408" s="247">
        <f>Table13[[#This Row],[Date]]-DAY(Table13[[#This Row],[Date]])+1</f>
        <v>46143</v>
      </c>
      <c r="AB408" s="10">
        <f t="shared" si="15"/>
        <v>0</v>
      </c>
    </row>
    <row r="409" spans="1:28">
      <c r="A409" s="251">
        <f t="shared" si="16"/>
        <v>46151</v>
      </c>
      <c r="B409" s="248">
        <f>YEAR(Table13[[#This Row],[Date]])+IF(MONTH(Table13[[#This Row],[Date]])&gt;=4,1,0)</f>
        <v>2027</v>
      </c>
      <c r="C409" s="249">
        <f>YEAR(Table13[[#This Row],[Date]])</f>
        <v>2026</v>
      </c>
      <c r="D409" s="250">
        <f>Table13[[#This Row],[Date]]-DAY(Table13[[#This Row],[Date]])+1</f>
        <v>46143</v>
      </c>
      <c r="AB409" s="10">
        <f t="shared" si="15"/>
        <v>0</v>
      </c>
    </row>
    <row r="410" spans="1:28">
      <c r="A410" s="42">
        <f t="shared" si="16"/>
        <v>46152</v>
      </c>
      <c r="B410" s="245">
        <f>YEAR(Table13[[#This Row],[Date]])+IF(MONTH(Table13[[#This Row],[Date]])&gt;=4,1,0)</f>
        <v>2027</v>
      </c>
      <c r="C410" s="246">
        <f>YEAR(Table13[[#This Row],[Date]])</f>
        <v>2026</v>
      </c>
      <c r="D410" s="247">
        <f>Table13[[#This Row],[Date]]-DAY(Table13[[#This Row],[Date]])+1</f>
        <v>46143</v>
      </c>
      <c r="AB410" s="10">
        <f t="shared" si="15"/>
        <v>0</v>
      </c>
    </row>
    <row r="411" spans="1:28">
      <c r="A411" s="251">
        <f t="shared" si="16"/>
        <v>46153</v>
      </c>
      <c r="B411" s="248">
        <f>YEAR(Table13[[#This Row],[Date]])+IF(MONTH(Table13[[#This Row],[Date]])&gt;=4,1,0)</f>
        <v>2027</v>
      </c>
      <c r="C411" s="249">
        <f>YEAR(Table13[[#This Row],[Date]])</f>
        <v>2026</v>
      </c>
      <c r="D411" s="250">
        <f>Table13[[#This Row],[Date]]-DAY(Table13[[#This Row],[Date]])+1</f>
        <v>46143</v>
      </c>
      <c r="AB411" s="10">
        <f t="shared" si="15"/>
        <v>0</v>
      </c>
    </row>
    <row r="412" spans="1:28">
      <c r="A412" s="42">
        <f t="shared" si="16"/>
        <v>46154</v>
      </c>
      <c r="B412" s="245">
        <f>YEAR(Table13[[#This Row],[Date]])+IF(MONTH(Table13[[#This Row],[Date]])&gt;=4,1,0)</f>
        <v>2027</v>
      </c>
      <c r="C412" s="246">
        <f>YEAR(Table13[[#This Row],[Date]])</f>
        <v>2026</v>
      </c>
      <c r="D412" s="247">
        <f>Table13[[#This Row],[Date]]-DAY(Table13[[#This Row],[Date]])+1</f>
        <v>46143</v>
      </c>
      <c r="AB412" s="10">
        <f t="shared" si="15"/>
        <v>0</v>
      </c>
    </row>
    <row r="413" spans="1:28">
      <c r="A413" s="251">
        <f t="shared" si="16"/>
        <v>46155</v>
      </c>
      <c r="B413" s="248">
        <f>YEAR(Table13[[#This Row],[Date]])+IF(MONTH(Table13[[#This Row],[Date]])&gt;=4,1,0)</f>
        <v>2027</v>
      </c>
      <c r="C413" s="249">
        <f>YEAR(Table13[[#This Row],[Date]])</f>
        <v>2026</v>
      </c>
      <c r="D413" s="250">
        <f>Table13[[#This Row],[Date]]-DAY(Table13[[#This Row],[Date]])+1</f>
        <v>46143</v>
      </c>
      <c r="AB413" s="10">
        <f t="shared" si="15"/>
        <v>0</v>
      </c>
    </row>
    <row r="414" spans="1:28">
      <c r="A414" s="42">
        <f t="shared" si="16"/>
        <v>46156</v>
      </c>
      <c r="B414" s="245">
        <f>YEAR(Table13[[#This Row],[Date]])+IF(MONTH(Table13[[#This Row],[Date]])&gt;=4,1,0)</f>
        <v>2027</v>
      </c>
      <c r="C414" s="246">
        <f>YEAR(Table13[[#This Row],[Date]])</f>
        <v>2026</v>
      </c>
      <c r="D414" s="247">
        <f>Table13[[#This Row],[Date]]-DAY(Table13[[#This Row],[Date]])+1</f>
        <v>46143</v>
      </c>
      <c r="AB414" s="10">
        <f t="shared" si="15"/>
        <v>0</v>
      </c>
    </row>
    <row r="415" spans="1:28">
      <c r="A415" s="251">
        <f t="shared" si="16"/>
        <v>46157</v>
      </c>
      <c r="B415" s="248">
        <f>YEAR(Table13[[#This Row],[Date]])+IF(MONTH(Table13[[#This Row],[Date]])&gt;=4,1,0)</f>
        <v>2027</v>
      </c>
      <c r="C415" s="249">
        <f>YEAR(Table13[[#This Row],[Date]])</f>
        <v>2026</v>
      </c>
      <c r="D415" s="250">
        <f>Table13[[#This Row],[Date]]-DAY(Table13[[#This Row],[Date]])+1</f>
        <v>46143</v>
      </c>
      <c r="AB415" s="10">
        <f t="shared" si="15"/>
        <v>0</v>
      </c>
    </row>
    <row r="416" spans="1:28">
      <c r="A416" s="42">
        <f t="shared" si="16"/>
        <v>46158</v>
      </c>
      <c r="B416" s="245">
        <f>YEAR(Table13[[#This Row],[Date]])+IF(MONTH(Table13[[#This Row],[Date]])&gt;=4,1,0)</f>
        <v>2027</v>
      </c>
      <c r="C416" s="246">
        <f>YEAR(Table13[[#This Row],[Date]])</f>
        <v>2026</v>
      </c>
      <c r="D416" s="247">
        <f>Table13[[#This Row],[Date]]-DAY(Table13[[#This Row],[Date]])+1</f>
        <v>46143</v>
      </c>
      <c r="AB416" s="10">
        <f t="shared" si="15"/>
        <v>0</v>
      </c>
    </row>
    <row r="417" spans="1:28">
      <c r="A417" s="251">
        <f t="shared" si="16"/>
        <v>46159</v>
      </c>
      <c r="B417" s="248">
        <f>YEAR(Table13[[#This Row],[Date]])+IF(MONTH(Table13[[#This Row],[Date]])&gt;=4,1,0)</f>
        <v>2027</v>
      </c>
      <c r="C417" s="249">
        <f>YEAR(Table13[[#This Row],[Date]])</f>
        <v>2026</v>
      </c>
      <c r="D417" s="250">
        <f>Table13[[#This Row],[Date]]-DAY(Table13[[#This Row],[Date]])+1</f>
        <v>46143</v>
      </c>
      <c r="AB417" s="10">
        <f t="shared" si="15"/>
        <v>0</v>
      </c>
    </row>
    <row r="418" spans="1:28">
      <c r="A418" s="42">
        <f t="shared" si="16"/>
        <v>46160</v>
      </c>
      <c r="B418" s="245">
        <f>YEAR(Table13[[#This Row],[Date]])+IF(MONTH(Table13[[#This Row],[Date]])&gt;=4,1,0)</f>
        <v>2027</v>
      </c>
      <c r="C418" s="246">
        <f>YEAR(Table13[[#This Row],[Date]])</f>
        <v>2026</v>
      </c>
      <c r="D418" s="247">
        <f>Table13[[#This Row],[Date]]-DAY(Table13[[#This Row],[Date]])+1</f>
        <v>46143</v>
      </c>
      <c r="AB418" s="10">
        <f t="shared" si="15"/>
        <v>0</v>
      </c>
    </row>
    <row r="419" spans="1:28">
      <c r="A419" s="251">
        <f t="shared" si="16"/>
        <v>46161</v>
      </c>
      <c r="B419" s="248">
        <f>YEAR(Table13[[#This Row],[Date]])+IF(MONTH(Table13[[#This Row],[Date]])&gt;=4,1,0)</f>
        <v>2027</v>
      </c>
      <c r="C419" s="249">
        <f>YEAR(Table13[[#This Row],[Date]])</f>
        <v>2026</v>
      </c>
      <c r="D419" s="250">
        <f>Table13[[#This Row],[Date]]-DAY(Table13[[#This Row],[Date]])+1</f>
        <v>46143</v>
      </c>
      <c r="AB419" s="10">
        <f t="shared" si="15"/>
        <v>0</v>
      </c>
    </row>
    <row r="420" spans="1:28">
      <c r="A420" s="42">
        <f t="shared" si="16"/>
        <v>46162</v>
      </c>
      <c r="B420" s="245">
        <f>YEAR(Table13[[#This Row],[Date]])+IF(MONTH(Table13[[#This Row],[Date]])&gt;=4,1,0)</f>
        <v>2027</v>
      </c>
      <c r="C420" s="246">
        <f>YEAR(Table13[[#This Row],[Date]])</f>
        <v>2026</v>
      </c>
      <c r="D420" s="247">
        <f>Table13[[#This Row],[Date]]-DAY(Table13[[#This Row],[Date]])+1</f>
        <v>46143</v>
      </c>
      <c r="AB420" s="10">
        <f t="shared" si="15"/>
        <v>0</v>
      </c>
    </row>
    <row r="421" spans="1:28">
      <c r="A421" s="251">
        <f t="shared" si="16"/>
        <v>46163</v>
      </c>
      <c r="B421" s="248">
        <f>YEAR(Table13[[#This Row],[Date]])+IF(MONTH(Table13[[#This Row],[Date]])&gt;=4,1,0)</f>
        <v>2027</v>
      </c>
      <c r="C421" s="249">
        <f>YEAR(Table13[[#This Row],[Date]])</f>
        <v>2026</v>
      </c>
      <c r="D421" s="250">
        <f>Table13[[#This Row],[Date]]-DAY(Table13[[#This Row],[Date]])+1</f>
        <v>46143</v>
      </c>
      <c r="AB421" s="10">
        <f t="shared" si="15"/>
        <v>0</v>
      </c>
    </row>
    <row r="422" spans="1:28">
      <c r="A422" s="42">
        <f t="shared" si="16"/>
        <v>46164</v>
      </c>
      <c r="B422" s="245">
        <f>YEAR(Table13[[#This Row],[Date]])+IF(MONTH(Table13[[#This Row],[Date]])&gt;=4,1,0)</f>
        <v>2027</v>
      </c>
      <c r="C422" s="246">
        <f>YEAR(Table13[[#This Row],[Date]])</f>
        <v>2026</v>
      </c>
      <c r="D422" s="247">
        <f>Table13[[#This Row],[Date]]-DAY(Table13[[#This Row],[Date]])+1</f>
        <v>46143</v>
      </c>
      <c r="AB422" s="10">
        <f t="shared" si="15"/>
        <v>0</v>
      </c>
    </row>
    <row r="423" spans="1:28">
      <c r="A423" s="251">
        <f t="shared" si="16"/>
        <v>46165</v>
      </c>
      <c r="B423" s="248">
        <f>YEAR(Table13[[#This Row],[Date]])+IF(MONTH(Table13[[#This Row],[Date]])&gt;=4,1,0)</f>
        <v>2027</v>
      </c>
      <c r="C423" s="249">
        <f>YEAR(Table13[[#This Row],[Date]])</f>
        <v>2026</v>
      </c>
      <c r="D423" s="250">
        <f>Table13[[#This Row],[Date]]-DAY(Table13[[#This Row],[Date]])+1</f>
        <v>46143</v>
      </c>
      <c r="AB423" s="10">
        <f t="shared" si="15"/>
        <v>0</v>
      </c>
    </row>
    <row r="424" spans="1:28">
      <c r="A424" s="42">
        <f t="shared" si="16"/>
        <v>46166</v>
      </c>
      <c r="B424" s="245">
        <f>YEAR(Table13[[#This Row],[Date]])+IF(MONTH(Table13[[#This Row],[Date]])&gt;=4,1,0)</f>
        <v>2027</v>
      </c>
      <c r="C424" s="246">
        <f>YEAR(Table13[[#This Row],[Date]])</f>
        <v>2026</v>
      </c>
      <c r="D424" s="247">
        <f>Table13[[#This Row],[Date]]-DAY(Table13[[#This Row],[Date]])+1</f>
        <v>46143</v>
      </c>
      <c r="AB424" s="10">
        <f t="shared" si="15"/>
        <v>0</v>
      </c>
    </row>
    <row r="425" spans="1:28">
      <c r="A425" s="251">
        <f t="shared" si="16"/>
        <v>46167</v>
      </c>
      <c r="B425" s="248">
        <f>YEAR(Table13[[#This Row],[Date]])+IF(MONTH(Table13[[#This Row],[Date]])&gt;=4,1,0)</f>
        <v>2027</v>
      </c>
      <c r="C425" s="249">
        <f>YEAR(Table13[[#This Row],[Date]])</f>
        <v>2026</v>
      </c>
      <c r="D425" s="250">
        <f>Table13[[#This Row],[Date]]-DAY(Table13[[#This Row],[Date]])+1</f>
        <v>46143</v>
      </c>
      <c r="AB425" s="10">
        <f t="shared" si="15"/>
        <v>0</v>
      </c>
    </row>
    <row r="426" spans="1:28">
      <c r="A426" s="42">
        <f t="shared" si="16"/>
        <v>46168</v>
      </c>
      <c r="B426" s="245">
        <f>YEAR(Table13[[#This Row],[Date]])+IF(MONTH(Table13[[#This Row],[Date]])&gt;=4,1,0)</f>
        <v>2027</v>
      </c>
      <c r="C426" s="246">
        <f>YEAR(Table13[[#This Row],[Date]])</f>
        <v>2026</v>
      </c>
      <c r="D426" s="247">
        <f>Table13[[#This Row],[Date]]-DAY(Table13[[#This Row],[Date]])+1</f>
        <v>46143</v>
      </c>
      <c r="AB426" s="10">
        <f t="shared" si="15"/>
        <v>0</v>
      </c>
    </row>
    <row r="427" spans="1:28">
      <c r="A427" s="251">
        <f t="shared" si="16"/>
        <v>46169</v>
      </c>
      <c r="B427" s="248">
        <f>YEAR(Table13[[#This Row],[Date]])+IF(MONTH(Table13[[#This Row],[Date]])&gt;=4,1,0)</f>
        <v>2027</v>
      </c>
      <c r="C427" s="249">
        <f>YEAR(Table13[[#This Row],[Date]])</f>
        <v>2026</v>
      </c>
      <c r="D427" s="250">
        <f>Table13[[#This Row],[Date]]-DAY(Table13[[#This Row],[Date]])+1</f>
        <v>46143</v>
      </c>
      <c r="AB427" s="10">
        <f t="shared" si="15"/>
        <v>0</v>
      </c>
    </row>
    <row r="428" spans="1:28">
      <c r="A428" s="42">
        <f t="shared" si="16"/>
        <v>46170</v>
      </c>
      <c r="B428" s="245">
        <f>YEAR(Table13[[#This Row],[Date]])+IF(MONTH(Table13[[#This Row],[Date]])&gt;=4,1,0)</f>
        <v>2027</v>
      </c>
      <c r="C428" s="246">
        <f>YEAR(Table13[[#This Row],[Date]])</f>
        <v>2026</v>
      </c>
      <c r="D428" s="247">
        <f>Table13[[#This Row],[Date]]-DAY(Table13[[#This Row],[Date]])+1</f>
        <v>46143</v>
      </c>
      <c r="AB428" s="10">
        <f t="shared" si="15"/>
        <v>0</v>
      </c>
    </row>
    <row r="429" spans="1:28">
      <c r="A429" s="251">
        <f t="shared" si="16"/>
        <v>46171</v>
      </c>
      <c r="B429" s="248">
        <f>YEAR(Table13[[#This Row],[Date]])+IF(MONTH(Table13[[#This Row],[Date]])&gt;=4,1,0)</f>
        <v>2027</v>
      </c>
      <c r="C429" s="249">
        <f>YEAR(Table13[[#This Row],[Date]])</f>
        <v>2026</v>
      </c>
      <c r="D429" s="250">
        <f>Table13[[#This Row],[Date]]-DAY(Table13[[#This Row],[Date]])+1</f>
        <v>46143</v>
      </c>
      <c r="AB429" s="10">
        <f t="shared" si="15"/>
        <v>0</v>
      </c>
    </row>
    <row r="430" spans="1:28">
      <c r="A430" s="42">
        <f t="shared" si="16"/>
        <v>46172</v>
      </c>
      <c r="B430" s="245">
        <f>YEAR(Table13[[#This Row],[Date]])+IF(MONTH(Table13[[#This Row],[Date]])&gt;=4,1,0)</f>
        <v>2027</v>
      </c>
      <c r="C430" s="246">
        <f>YEAR(Table13[[#This Row],[Date]])</f>
        <v>2026</v>
      </c>
      <c r="D430" s="247">
        <f>Table13[[#This Row],[Date]]-DAY(Table13[[#This Row],[Date]])+1</f>
        <v>46143</v>
      </c>
      <c r="AB430" s="10">
        <f t="shared" si="15"/>
        <v>0</v>
      </c>
    </row>
    <row r="431" spans="1:28">
      <c r="A431" s="251">
        <f t="shared" si="16"/>
        <v>46173</v>
      </c>
      <c r="B431" s="248">
        <f>YEAR(Table13[[#This Row],[Date]])+IF(MONTH(Table13[[#This Row],[Date]])&gt;=4,1,0)</f>
        <v>2027</v>
      </c>
      <c r="C431" s="249">
        <f>YEAR(Table13[[#This Row],[Date]])</f>
        <v>2026</v>
      </c>
      <c r="D431" s="250">
        <f>Table13[[#This Row],[Date]]-DAY(Table13[[#This Row],[Date]])+1</f>
        <v>46174</v>
      </c>
      <c r="AB431" s="10">
        <f t="shared" si="15"/>
        <v>0</v>
      </c>
    </row>
    <row r="432" spans="1:28">
      <c r="A432" s="42">
        <f t="shared" si="16"/>
        <v>46174</v>
      </c>
      <c r="B432" s="245">
        <f>YEAR(Table13[[#This Row],[Date]])+IF(MONTH(Table13[[#This Row],[Date]])&gt;=4,1,0)</f>
        <v>2027</v>
      </c>
      <c r="C432" s="246">
        <f>YEAR(Table13[[#This Row],[Date]])</f>
        <v>2026</v>
      </c>
      <c r="D432" s="247">
        <f>Table13[[#This Row],[Date]]-DAY(Table13[[#This Row],[Date]])+1</f>
        <v>46174</v>
      </c>
      <c r="AB432" s="10">
        <f t="shared" si="15"/>
        <v>0</v>
      </c>
    </row>
    <row r="433" spans="1:28">
      <c r="A433" s="251">
        <f t="shared" si="16"/>
        <v>46175</v>
      </c>
      <c r="B433" s="248">
        <f>YEAR(Table13[[#This Row],[Date]])+IF(MONTH(Table13[[#This Row],[Date]])&gt;=4,1,0)</f>
        <v>2027</v>
      </c>
      <c r="C433" s="249">
        <f>YEAR(Table13[[#This Row],[Date]])</f>
        <v>2026</v>
      </c>
      <c r="D433" s="250">
        <f>Table13[[#This Row],[Date]]-DAY(Table13[[#This Row],[Date]])+1</f>
        <v>46174</v>
      </c>
      <c r="AB433" s="10">
        <f t="shared" si="15"/>
        <v>0</v>
      </c>
    </row>
    <row r="434" spans="1:28">
      <c r="A434" s="42">
        <f t="shared" si="16"/>
        <v>46176</v>
      </c>
      <c r="B434" s="245">
        <f>YEAR(Table13[[#This Row],[Date]])+IF(MONTH(Table13[[#This Row],[Date]])&gt;=4,1,0)</f>
        <v>2027</v>
      </c>
      <c r="C434" s="246">
        <f>YEAR(Table13[[#This Row],[Date]])</f>
        <v>2026</v>
      </c>
      <c r="D434" s="247">
        <f>Table13[[#This Row],[Date]]-DAY(Table13[[#This Row],[Date]])+1</f>
        <v>46174</v>
      </c>
      <c r="AB434" s="10">
        <f t="shared" si="15"/>
        <v>0</v>
      </c>
    </row>
    <row r="435" spans="1:28">
      <c r="A435" s="251">
        <f t="shared" si="16"/>
        <v>46177</v>
      </c>
      <c r="B435" s="248">
        <f>YEAR(Table13[[#This Row],[Date]])+IF(MONTH(Table13[[#This Row],[Date]])&gt;=4,1,0)</f>
        <v>2027</v>
      </c>
      <c r="C435" s="249">
        <f>YEAR(Table13[[#This Row],[Date]])</f>
        <v>2026</v>
      </c>
      <c r="D435" s="250">
        <f>Table13[[#This Row],[Date]]-DAY(Table13[[#This Row],[Date]])+1</f>
        <v>46174</v>
      </c>
      <c r="AB435" s="10">
        <f t="shared" si="15"/>
        <v>0</v>
      </c>
    </row>
    <row r="436" spans="1:28">
      <c r="A436" s="42">
        <f t="shared" si="16"/>
        <v>46178</v>
      </c>
      <c r="B436" s="245">
        <f>YEAR(Table13[[#This Row],[Date]])+IF(MONTH(Table13[[#This Row],[Date]])&gt;=4,1,0)</f>
        <v>2027</v>
      </c>
      <c r="C436" s="246">
        <f>YEAR(Table13[[#This Row],[Date]])</f>
        <v>2026</v>
      </c>
      <c r="D436" s="247">
        <f>Table13[[#This Row],[Date]]-DAY(Table13[[#This Row],[Date]])+1</f>
        <v>46174</v>
      </c>
      <c r="AB436" s="10">
        <f t="shared" si="15"/>
        <v>0</v>
      </c>
    </row>
    <row r="437" spans="1:28">
      <c r="A437" s="251">
        <f t="shared" si="16"/>
        <v>46179</v>
      </c>
      <c r="B437" s="248">
        <f>YEAR(Table13[[#This Row],[Date]])+IF(MONTH(Table13[[#This Row],[Date]])&gt;=4,1,0)</f>
        <v>2027</v>
      </c>
      <c r="C437" s="249">
        <f>YEAR(Table13[[#This Row],[Date]])</f>
        <v>2026</v>
      </c>
      <c r="D437" s="250">
        <f>Table13[[#This Row],[Date]]-DAY(Table13[[#This Row],[Date]])+1</f>
        <v>46174</v>
      </c>
      <c r="AB437" s="10">
        <f t="shared" si="15"/>
        <v>0</v>
      </c>
    </row>
    <row r="438" spans="1:28">
      <c r="A438" s="42">
        <f t="shared" si="16"/>
        <v>46180</v>
      </c>
      <c r="B438" s="245">
        <f>YEAR(Table13[[#This Row],[Date]])+IF(MONTH(Table13[[#This Row],[Date]])&gt;=4,1,0)</f>
        <v>2027</v>
      </c>
      <c r="C438" s="246">
        <f>YEAR(Table13[[#This Row],[Date]])</f>
        <v>2026</v>
      </c>
      <c r="D438" s="247">
        <f>Table13[[#This Row],[Date]]-DAY(Table13[[#This Row],[Date]])+1</f>
        <v>46174</v>
      </c>
      <c r="AB438" s="10">
        <f t="shared" si="15"/>
        <v>0</v>
      </c>
    </row>
    <row r="439" spans="1:28">
      <c r="A439" s="251">
        <f t="shared" si="16"/>
        <v>46181</v>
      </c>
      <c r="B439" s="248">
        <f>YEAR(Table13[[#This Row],[Date]])+IF(MONTH(Table13[[#This Row],[Date]])&gt;=4,1,0)</f>
        <v>2027</v>
      </c>
      <c r="C439" s="249">
        <f>YEAR(Table13[[#This Row],[Date]])</f>
        <v>2026</v>
      </c>
      <c r="D439" s="250">
        <f>Table13[[#This Row],[Date]]-DAY(Table13[[#This Row],[Date]])+1</f>
        <v>46174</v>
      </c>
      <c r="AB439" s="10">
        <f t="shared" si="15"/>
        <v>0</v>
      </c>
    </row>
    <row r="440" spans="1:28">
      <c r="A440" s="42">
        <f t="shared" si="16"/>
        <v>46182</v>
      </c>
      <c r="B440" s="245">
        <f>YEAR(Table13[[#This Row],[Date]])+IF(MONTH(Table13[[#This Row],[Date]])&gt;=4,1,0)</f>
        <v>2027</v>
      </c>
      <c r="C440" s="246">
        <f>YEAR(Table13[[#This Row],[Date]])</f>
        <v>2026</v>
      </c>
      <c r="D440" s="247">
        <f>Table13[[#This Row],[Date]]-DAY(Table13[[#This Row],[Date]])+1</f>
        <v>46174</v>
      </c>
      <c r="AB440" s="10">
        <f t="shared" si="15"/>
        <v>0</v>
      </c>
    </row>
    <row r="441" spans="1:28">
      <c r="A441" s="251">
        <f t="shared" si="16"/>
        <v>46183</v>
      </c>
      <c r="B441" s="248">
        <f>YEAR(Table13[[#This Row],[Date]])+IF(MONTH(Table13[[#This Row],[Date]])&gt;=4,1,0)</f>
        <v>2027</v>
      </c>
      <c r="C441" s="249">
        <f>YEAR(Table13[[#This Row],[Date]])</f>
        <v>2026</v>
      </c>
      <c r="D441" s="250">
        <f>Table13[[#This Row],[Date]]-DAY(Table13[[#This Row],[Date]])+1</f>
        <v>46174</v>
      </c>
      <c r="AB441" s="10">
        <f t="shared" si="15"/>
        <v>0</v>
      </c>
    </row>
    <row r="442" spans="1:28">
      <c r="A442" s="42">
        <f t="shared" si="16"/>
        <v>46184</v>
      </c>
      <c r="B442" s="245">
        <f>YEAR(Table13[[#This Row],[Date]])+IF(MONTH(Table13[[#This Row],[Date]])&gt;=4,1,0)</f>
        <v>2027</v>
      </c>
      <c r="C442" s="246">
        <f>YEAR(Table13[[#This Row],[Date]])</f>
        <v>2026</v>
      </c>
      <c r="D442" s="247">
        <f>Table13[[#This Row],[Date]]-DAY(Table13[[#This Row],[Date]])+1</f>
        <v>46174</v>
      </c>
      <c r="AB442" s="10">
        <f t="shared" si="15"/>
        <v>0</v>
      </c>
    </row>
    <row r="443" spans="1:28">
      <c r="A443" s="251">
        <f t="shared" si="16"/>
        <v>46185</v>
      </c>
      <c r="B443" s="248">
        <f>YEAR(Table13[[#This Row],[Date]])+IF(MONTH(Table13[[#This Row],[Date]])&gt;=4,1,0)</f>
        <v>2027</v>
      </c>
      <c r="C443" s="249">
        <f>YEAR(Table13[[#This Row],[Date]])</f>
        <v>2026</v>
      </c>
      <c r="D443" s="250">
        <f>Table13[[#This Row],[Date]]-DAY(Table13[[#This Row],[Date]])+1</f>
        <v>46174</v>
      </c>
      <c r="AB443" s="10">
        <f t="shared" si="15"/>
        <v>0</v>
      </c>
    </row>
    <row r="444" spans="1:28">
      <c r="A444" s="42">
        <f t="shared" si="16"/>
        <v>46186</v>
      </c>
      <c r="B444" s="245">
        <f>YEAR(Table13[[#This Row],[Date]])+IF(MONTH(Table13[[#This Row],[Date]])&gt;=4,1,0)</f>
        <v>2027</v>
      </c>
      <c r="C444" s="246">
        <f>YEAR(Table13[[#This Row],[Date]])</f>
        <v>2026</v>
      </c>
      <c r="D444" s="247">
        <f>Table13[[#This Row],[Date]]-DAY(Table13[[#This Row],[Date]])+1</f>
        <v>46174</v>
      </c>
      <c r="AB444" s="10">
        <f t="shared" si="15"/>
        <v>0</v>
      </c>
    </row>
    <row r="445" spans="1:28">
      <c r="A445" s="251">
        <f t="shared" si="16"/>
        <v>46187</v>
      </c>
      <c r="B445" s="248">
        <f>YEAR(Table13[[#This Row],[Date]])+IF(MONTH(Table13[[#This Row],[Date]])&gt;=4,1,0)</f>
        <v>2027</v>
      </c>
      <c r="C445" s="249">
        <f>YEAR(Table13[[#This Row],[Date]])</f>
        <v>2026</v>
      </c>
      <c r="D445" s="250">
        <f>Table13[[#This Row],[Date]]-DAY(Table13[[#This Row],[Date]])+1</f>
        <v>46174</v>
      </c>
      <c r="AB445" s="10">
        <f t="shared" si="15"/>
        <v>0</v>
      </c>
    </row>
    <row r="446" spans="1:28">
      <c r="A446" s="42">
        <f t="shared" si="16"/>
        <v>46188</v>
      </c>
      <c r="B446" s="245">
        <f>YEAR(Table13[[#This Row],[Date]])+IF(MONTH(Table13[[#This Row],[Date]])&gt;=4,1,0)</f>
        <v>2027</v>
      </c>
      <c r="C446" s="246">
        <f>YEAR(Table13[[#This Row],[Date]])</f>
        <v>2026</v>
      </c>
      <c r="D446" s="247">
        <f>Table13[[#This Row],[Date]]-DAY(Table13[[#This Row],[Date]])+1</f>
        <v>46174</v>
      </c>
      <c r="AB446" s="10">
        <f t="shared" si="15"/>
        <v>0</v>
      </c>
    </row>
    <row r="447" spans="1:28">
      <c r="A447" s="251">
        <f t="shared" si="16"/>
        <v>46189</v>
      </c>
      <c r="B447" s="248">
        <f>YEAR(Table13[[#This Row],[Date]])+IF(MONTH(Table13[[#This Row],[Date]])&gt;=4,1,0)</f>
        <v>2027</v>
      </c>
      <c r="C447" s="249">
        <f>YEAR(Table13[[#This Row],[Date]])</f>
        <v>2026</v>
      </c>
      <c r="D447" s="250">
        <f>Table13[[#This Row],[Date]]-DAY(Table13[[#This Row],[Date]])+1</f>
        <v>46174</v>
      </c>
      <c r="AB447" s="10">
        <f t="shared" si="15"/>
        <v>0</v>
      </c>
    </row>
    <row r="448" spans="1:28">
      <c r="A448" s="42">
        <f t="shared" si="16"/>
        <v>46190</v>
      </c>
      <c r="B448" s="245">
        <f>YEAR(Table13[[#This Row],[Date]])+IF(MONTH(Table13[[#This Row],[Date]])&gt;=4,1,0)</f>
        <v>2027</v>
      </c>
      <c r="C448" s="246">
        <f>YEAR(Table13[[#This Row],[Date]])</f>
        <v>2026</v>
      </c>
      <c r="D448" s="247">
        <f>Table13[[#This Row],[Date]]-DAY(Table13[[#This Row],[Date]])+1</f>
        <v>46174</v>
      </c>
      <c r="AB448" s="10">
        <f t="shared" si="15"/>
        <v>0</v>
      </c>
    </row>
    <row r="449" spans="1:28">
      <c r="A449" s="251">
        <f t="shared" si="16"/>
        <v>46191</v>
      </c>
      <c r="B449" s="248">
        <f>YEAR(Table13[[#This Row],[Date]])+IF(MONTH(Table13[[#This Row],[Date]])&gt;=4,1,0)</f>
        <v>2027</v>
      </c>
      <c r="C449" s="249">
        <f>YEAR(Table13[[#This Row],[Date]])</f>
        <v>2026</v>
      </c>
      <c r="D449" s="250">
        <f>Table13[[#This Row],[Date]]-DAY(Table13[[#This Row],[Date]])+1</f>
        <v>46174</v>
      </c>
      <c r="AB449" s="10">
        <f t="shared" si="15"/>
        <v>0</v>
      </c>
    </row>
    <row r="450" spans="1:28">
      <c r="A450" s="42">
        <f t="shared" si="16"/>
        <v>46192</v>
      </c>
      <c r="B450" s="245">
        <f>YEAR(Table13[[#This Row],[Date]])+IF(MONTH(Table13[[#This Row],[Date]])&gt;=4,1,0)</f>
        <v>2027</v>
      </c>
      <c r="C450" s="246">
        <f>YEAR(Table13[[#This Row],[Date]])</f>
        <v>2026</v>
      </c>
      <c r="D450" s="247">
        <f>Table13[[#This Row],[Date]]-DAY(Table13[[#This Row],[Date]])+1</f>
        <v>46174</v>
      </c>
      <c r="AB450" s="10">
        <f t="shared" si="15"/>
        <v>0</v>
      </c>
    </row>
    <row r="451" spans="1:28">
      <c r="A451" s="251">
        <f t="shared" si="16"/>
        <v>46193</v>
      </c>
      <c r="B451" s="248">
        <f>YEAR(Table13[[#This Row],[Date]])+IF(MONTH(Table13[[#This Row],[Date]])&gt;=4,1,0)</f>
        <v>2027</v>
      </c>
      <c r="C451" s="249">
        <f>YEAR(Table13[[#This Row],[Date]])</f>
        <v>2026</v>
      </c>
      <c r="D451" s="250">
        <f>Table13[[#This Row],[Date]]-DAY(Table13[[#This Row],[Date]])+1</f>
        <v>46174</v>
      </c>
      <c r="AB451" s="10">
        <f t="shared" si="15"/>
        <v>0</v>
      </c>
    </row>
    <row r="452" spans="1:28">
      <c r="A452" s="42">
        <f t="shared" si="16"/>
        <v>46194</v>
      </c>
      <c r="B452" s="245">
        <f>YEAR(Table13[[#This Row],[Date]])+IF(MONTH(Table13[[#This Row],[Date]])&gt;=4,1,0)</f>
        <v>2027</v>
      </c>
      <c r="C452" s="246">
        <f>YEAR(Table13[[#This Row],[Date]])</f>
        <v>2026</v>
      </c>
      <c r="D452" s="247">
        <f>Table13[[#This Row],[Date]]-DAY(Table13[[#This Row],[Date]])+1</f>
        <v>46174</v>
      </c>
      <c r="AB452" s="10">
        <f t="shared" si="15"/>
        <v>0</v>
      </c>
    </row>
    <row r="453" spans="1:28">
      <c r="A453" s="251">
        <f t="shared" si="16"/>
        <v>46195</v>
      </c>
      <c r="B453" s="248">
        <f>YEAR(Table13[[#This Row],[Date]])+IF(MONTH(Table13[[#This Row],[Date]])&gt;=4,1,0)</f>
        <v>2027</v>
      </c>
      <c r="C453" s="249">
        <f>YEAR(Table13[[#This Row],[Date]])</f>
        <v>2026</v>
      </c>
      <c r="D453" s="250">
        <f>Table13[[#This Row],[Date]]-DAY(Table13[[#This Row],[Date]])+1</f>
        <v>46174</v>
      </c>
      <c r="AB453" s="10">
        <f t="shared" si="15"/>
        <v>0</v>
      </c>
    </row>
    <row r="454" spans="1:28">
      <c r="A454" s="42">
        <f t="shared" si="16"/>
        <v>46196</v>
      </c>
      <c r="B454" s="245">
        <f>YEAR(Table13[[#This Row],[Date]])+IF(MONTH(Table13[[#This Row],[Date]])&gt;=4,1,0)</f>
        <v>2027</v>
      </c>
      <c r="C454" s="246">
        <f>YEAR(Table13[[#This Row],[Date]])</f>
        <v>2026</v>
      </c>
      <c r="D454" s="247">
        <f>Table13[[#This Row],[Date]]-DAY(Table13[[#This Row],[Date]])+1</f>
        <v>46174</v>
      </c>
      <c r="AB454" s="10">
        <f t="shared" si="15"/>
        <v>0</v>
      </c>
    </row>
    <row r="455" spans="1:28">
      <c r="A455" s="251">
        <f t="shared" si="16"/>
        <v>46197</v>
      </c>
      <c r="B455" s="248">
        <f>YEAR(Table13[[#This Row],[Date]])+IF(MONTH(Table13[[#This Row],[Date]])&gt;=4,1,0)</f>
        <v>2027</v>
      </c>
      <c r="C455" s="249">
        <f>YEAR(Table13[[#This Row],[Date]])</f>
        <v>2026</v>
      </c>
      <c r="D455" s="250">
        <f>Table13[[#This Row],[Date]]-DAY(Table13[[#This Row],[Date]])+1</f>
        <v>46174</v>
      </c>
      <c r="AB455" s="10">
        <f t="shared" si="15"/>
        <v>0</v>
      </c>
    </row>
    <row r="456" spans="1:28">
      <c r="A456" s="42">
        <f t="shared" si="16"/>
        <v>46198</v>
      </c>
      <c r="B456" s="245">
        <f>YEAR(Table13[[#This Row],[Date]])+IF(MONTH(Table13[[#This Row],[Date]])&gt;=4,1,0)</f>
        <v>2027</v>
      </c>
      <c r="C456" s="246">
        <f>YEAR(Table13[[#This Row],[Date]])</f>
        <v>2026</v>
      </c>
      <c r="D456" s="247">
        <f>Table13[[#This Row],[Date]]-DAY(Table13[[#This Row],[Date]])+1</f>
        <v>46174</v>
      </c>
      <c r="AB456" s="10">
        <f t="shared" ref="AB456:AB519" si="17">SUM(E456:AA456)</f>
        <v>0</v>
      </c>
    </row>
    <row r="457" spans="1:28">
      <c r="A457" s="251">
        <f t="shared" si="16"/>
        <v>46199</v>
      </c>
      <c r="B457" s="248">
        <f>YEAR(Table13[[#This Row],[Date]])+IF(MONTH(Table13[[#This Row],[Date]])&gt;=4,1,0)</f>
        <v>2027</v>
      </c>
      <c r="C457" s="249">
        <f>YEAR(Table13[[#This Row],[Date]])</f>
        <v>2026</v>
      </c>
      <c r="D457" s="250">
        <f>Table13[[#This Row],[Date]]-DAY(Table13[[#This Row],[Date]])+1</f>
        <v>46174</v>
      </c>
      <c r="AB457" s="10">
        <f t="shared" si="17"/>
        <v>0</v>
      </c>
    </row>
    <row r="458" spans="1:28">
      <c r="A458" s="42">
        <f t="shared" ref="A458:A521" si="18">A457+1</f>
        <v>46200</v>
      </c>
      <c r="B458" s="245">
        <f>YEAR(Table13[[#This Row],[Date]])+IF(MONTH(Table13[[#This Row],[Date]])&gt;=4,1,0)</f>
        <v>2027</v>
      </c>
      <c r="C458" s="246">
        <f>YEAR(Table13[[#This Row],[Date]])</f>
        <v>2026</v>
      </c>
      <c r="D458" s="247">
        <f>Table13[[#This Row],[Date]]-DAY(Table13[[#This Row],[Date]])+1</f>
        <v>46174</v>
      </c>
      <c r="AB458" s="10">
        <f t="shared" si="17"/>
        <v>0</v>
      </c>
    </row>
    <row r="459" spans="1:28">
      <c r="A459" s="251">
        <f t="shared" si="18"/>
        <v>46201</v>
      </c>
      <c r="B459" s="248">
        <f>YEAR(Table13[[#This Row],[Date]])+IF(MONTH(Table13[[#This Row],[Date]])&gt;=4,1,0)</f>
        <v>2027</v>
      </c>
      <c r="C459" s="249">
        <f>YEAR(Table13[[#This Row],[Date]])</f>
        <v>2026</v>
      </c>
      <c r="D459" s="250">
        <f>Table13[[#This Row],[Date]]-DAY(Table13[[#This Row],[Date]])+1</f>
        <v>46174</v>
      </c>
      <c r="AB459" s="10">
        <f t="shared" si="17"/>
        <v>0</v>
      </c>
    </row>
    <row r="460" spans="1:28">
      <c r="A460" s="42">
        <f t="shared" si="18"/>
        <v>46202</v>
      </c>
      <c r="B460" s="245">
        <f>YEAR(Table13[[#This Row],[Date]])+IF(MONTH(Table13[[#This Row],[Date]])&gt;=4,1,0)</f>
        <v>2027</v>
      </c>
      <c r="C460" s="246">
        <f>YEAR(Table13[[#This Row],[Date]])</f>
        <v>2026</v>
      </c>
      <c r="D460" s="247">
        <f>Table13[[#This Row],[Date]]-DAY(Table13[[#This Row],[Date]])+1</f>
        <v>46174</v>
      </c>
      <c r="AB460" s="10">
        <f t="shared" si="17"/>
        <v>0</v>
      </c>
    </row>
    <row r="461" spans="1:28">
      <c r="A461" s="251">
        <f t="shared" si="18"/>
        <v>46203</v>
      </c>
      <c r="B461" s="248">
        <f>YEAR(Table13[[#This Row],[Date]])+IF(MONTH(Table13[[#This Row],[Date]])&gt;=4,1,0)</f>
        <v>2027</v>
      </c>
      <c r="C461" s="249">
        <f>YEAR(Table13[[#This Row],[Date]])</f>
        <v>2026</v>
      </c>
      <c r="D461" s="250">
        <f>Table13[[#This Row],[Date]]-DAY(Table13[[#This Row],[Date]])+1</f>
        <v>46204</v>
      </c>
      <c r="AB461" s="10">
        <f t="shared" si="17"/>
        <v>0</v>
      </c>
    </row>
    <row r="462" spans="1:28">
      <c r="A462" s="42">
        <f t="shared" si="18"/>
        <v>46204</v>
      </c>
      <c r="B462" s="245">
        <f>YEAR(Table13[[#This Row],[Date]])+IF(MONTH(Table13[[#This Row],[Date]])&gt;=4,1,0)</f>
        <v>2027</v>
      </c>
      <c r="C462" s="246">
        <f>YEAR(Table13[[#This Row],[Date]])</f>
        <v>2026</v>
      </c>
      <c r="D462" s="247">
        <f>Table13[[#This Row],[Date]]-DAY(Table13[[#This Row],[Date]])+1</f>
        <v>46204</v>
      </c>
      <c r="AB462" s="10">
        <f t="shared" si="17"/>
        <v>0</v>
      </c>
    </row>
    <row r="463" spans="1:28">
      <c r="A463" s="251">
        <f t="shared" si="18"/>
        <v>46205</v>
      </c>
      <c r="B463" s="248">
        <f>YEAR(Table13[[#This Row],[Date]])+IF(MONTH(Table13[[#This Row],[Date]])&gt;=4,1,0)</f>
        <v>2027</v>
      </c>
      <c r="C463" s="249">
        <f>YEAR(Table13[[#This Row],[Date]])</f>
        <v>2026</v>
      </c>
      <c r="D463" s="250">
        <f>Table13[[#This Row],[Date]]-DAY(Table13[[#This Row],[Date]])+1</f>
        <v>46204</v>
      </c>
      <c r="AB463" s="10">
        <f t="shared" si="17"/>
        <v>0</v>
      </c>
    </row>
    <row r="464" spans="1:28">
      <c r="A464" s="42">
        <f t="shared" si="18"/>
        <v>46206</v>
      </c>
      <c r="B464" s="245">
        <f>YEAR(Table13[[#This Row],[Date]])+IF(MONTH(Table13[[#This Row],[Date]])&gt;=4,1,0)</f>
        <v>2027</v>
      </c>
      <c r="C464" s="246">
        <f>YEAR(Table13[[#This Row],[Date]])</f>
        <v>2026</v>
      </c>
      <c r="D464" s="247">
        <f>Table13[[#This Row],[Date]]-DAY(Table13[[#This Row],[Date]])+1</f>
        <v>46204</v>
      </c>
      <c r="AB464" s="10">
        <f t="shared" si="17"/>
        <v>0</v>
      </c>
    </row>
    <row r="465" spans="1:28">
      <c r="A465" s="251">
        <f t="shared" si="18"/>
        <v>46207</v>
      </c>
      <c r="B465" s="248">
        <f>YEAR(Table13[[#This Row],[Date]])+IF(MONTH(Table13[[#This Row],[Date]])&gt;=4,1,0)</f>
        <v>2027</v>
      </c>
      <c r="C465" s="249">
        <f>YEAR(Table13[[#This Row],[Date]])</f>
        <v>2026</v>
      </c>
      <c r="D465" s="250">
        <f>Table13[[#This Row],[Date]]-DAY(Table13[[#This Row],[Date]])+1</f>
        <v>46204</v>
      </c>
      <c r="AB465" s="10">
        <f t="shared" si="17"/>
        <v>0</v>
      </c>
    </row>
    <row r="466" spans="1:28">
      <c r="A466" s="42">
        <f t="shared" si="18"/>
        <v>46208</v>
      </c>
      <c r="B466" s="245">
        <f>YEAR(Table13[[#This Row],[Date]])+IF(MONTH(Table13[[#This Row],[Date]])&gt;=4,1,0)</f>
        <v>2027</v>
      </c>
      <c r="C466" s="246">
        <f>YEAR(Table13[[#This Row],[Date]])</f>
        <v>2026</v>
      </c>
      <c r="D466" s="247">
        <f>Table13[[#This Row],[Date]]-DAY(Table13[[#This Row],[Date]])+1</f>
        <v>46204</v>
      </c>
      <c r="AB466" s="10">
        <f t="shared" si="17"/>
        <v>0</v>
      </c>
    </row>
    <row r="467" spans="1:28">
      <c r="A467" s="251">
        <f t="shared" si="18"/>
        <v>46209</v>
      </c>
      <c r="B467" s="248">
        <f>YEAR(Table13[[#This Row],[Date]])+IF(MONTH(Table13[[#This Row],[Date]])&gt;=4,1,0)</f>
        <v>2027</v>
      </c>
      <c r="C467" s="249">
        <f>YEAR(Table13[[#This Row],[Date]])</f>
        <v>2026</v>
      </c>
      <c r="D467" s="250">
        <f>Table13[[#This Row],[Date]]-DAY(Table13[[#This Row],[Date]])+1</f>
        <v>46204</v>
      </c>
      <c r="AB467" s="10">
        <f t="shared" si="17"/>
        <v>0</v>
      </c>
    </row>
    <row r="468" spans="1:28">
      <c r="A468" s="42">
        <f t="shared" si="18"/>
        <v>46210</v>
      </c>
      <c r="B468" s="245">
        <f>YEAR(Table13[[#This Row],[Date]])+IF(MONTH(Table13[[#This Row],[Date]])&gt;=4,1,0)</f>
        <v>2027</v>
      </c>
      <c r="C468" s="246">
        <f>YEAR(Table13[[#This Row],[Date]])</f>
        <v>2026</v>
      </c>
      <c r="D468" s="247">
        <f>Table13[[#This Row],[Date]]-DAY(Table13[[#This Row],[Date]])+1</f>
        <v>46204</v>
      </c>
      <c r="AB468" s="10">
        <f t="shared" si="17"/>
        <v>0</v>
      </c>
    </row>
    <row r="469" spans="1:28">
      <c r="A469" s="251">
        <f t="shared" si="18"/>
        <v>46211</v>
      </c>
      <c r="B469" s="248">
        <f>YEAR(Table13[[#This Row],[Date]])+IF(MONTH(Table13[[#This Row],[Date]])&gt;=4,1,0)</f>
        <v>2027</v>
      </c>
      <c r="C469" s="249">
        <f>YEAR(Table13[[#This Row],[Date]])</f>
        <v>2026</v>
      </c>
      <c r="D469" s="250">
        <f>Table13[[#This Row],[Date]]-DAY(Table13[[#This Row],[Date]])+1</f>
        <v>46204</v>
      </c>
      <c r="AB469" s="10">
        <f t="shared" si="17"/>
        <v>0</v>
      </c>
    </row>
    <row r="470" spans="1:28">
      <c r="A470" s="42">
        <f t="shared" si="18"/>
        <v>46212</v>
      </c>
      <c r="B470" s="245">
        <f>YEAR(Table13[[#This Row],[Date]])+IF(MONTH(Table13[[#This Row],[Date]])&gt;=4,1,0)</f>
        <v>2027</v>
      </c>
      <c r="C470" s="246">
        <f>YEAR(Table13[[#This Row],[Date]])</f>
        <v>2026</v>
      </c>
      <c r="D470" s="247">
        <f>Table13[[#This Row],[Date]]-DAY(Table13[[#This Row],[Date]])+1</f>
        <v>46204</v>
      </c>
      <c r="AB470" s="10">
        <f t="shared" si="17"/>
        <v>0</v>
      </c>
    </row>
    <row r="471" spans="1:28">
      <c r="A471" s="251">
        <f t="shared" si="18"/>
        <v>46213</v>
      </c>
      <c r="B471" s="248">
        <f>YEAR(Table13[[#This Row],[Date]])+IF(MONTH(Table13[[#This Row],[Date]])&gt;=4,1,0)</f>
        <v>2027</v>
      </c>
      <c r="C471" s="249">
        <f>YEAR(Table13[[#This Row],[Date]])</f>
        <v>2026</v>
      </c>
      <c r="D471" s="250">
        <f>Table13[[#This Row],[Date]]-DAY(Table13[[#This Row],[Date]])+1</f>
        <v>46204</v>
      </c>
      <c r="AB471" s="10">
        <f t="shared" si="17"/>
        <v>0</v>
      </c>
    </row>
    <row r="472" spans="1:28">
      <c r="A472" s="42">
        <f t="shared" si="18"/>
        <v>46214</v>
      </c>
      <c r="B472" s="245">
        <f>YEAR(Table13[[#This Row],[Date]])+IF(MONTH(Table13[[#This Row],[Date]])&gt;=4,1,0)</f>
        <v>2027</v>
      </c>
      <c r="C472" s="246">
        <f>YEAR(Table13[[#This Row],[Date]])</f>
        <v>2026</v>
      </c>
      <c r="D472" s="247">
        <f>Table13[[#This Row],[Date]]-DAY(Table13[[#This Row],[Date]])+1</f>
        <v>46204</v>
      </c>
      <c r="AB472" s="10">
        <f t="shared" si="17"/>
        <v>0</v>
      </c>
    </row>
    <row r="473" spans="1:28">
      <c r="A473" s="251">
        <f t="shared" si="18"/>
        <v>46215</v>
      </c>
      <c r="B473" s="248">
        <f>YEAR(Table13[[#This Row],[Date]])+IF(MONTH(Table13[[#This Row],[Date]])&gt;=4,1,0)</f>
        <v>2027</v>
      </c>
      <c r="C473" s="249">
        <f>YEAR(Table13[[#This Row],[Date]])</f>
        <v>2026</v>
      </c>
      <c r="D473" s="250">
        <f>Table13[[#This Row],[Date]]-DAY(Table13[[#This Row],[Date]])+1</f>
        <v>46204</v>
      </c>
      <c r="AB473" s="10">
        <f t="shared" si="17"/>
        <v>0</v>
      </c>
    </row>
    <row r="474" spans="1:28">
      <c r="A474" s="42">
        <f t="shared" si="18"/>
        <v>46216</v>
      </c>
      <c r="B474" s="245">
        <f>YEAR(Table13[[#This Row],[Date]])+IF(MONTH(Table13[[#This Row],[Date]])&gt;=4,1,0)</f>
        <v>2027</v>
      </c>
      <c r="C474" s="246">
        <f>YEAR(Table13[[#This Row],[Date]])</f>
        <v>2026</v>
      </c>
      <c r="D474" s="247">
        <f>Table13[[#This Row],[Date]]-DAY(Table13[[#This Row],[Date]])+1</f>
        <v>46204</v>
      </c>
      <c r="AB474" s="10">
        <f t="shared" si="17"/>
        <v>0</v>
      </c>
    </row>
    <row r="475" spans="1:28">
      <c r="A475" s="251">
        <f t="shared" si="18"/>
        <v>46217</v>
      </c>
      <c r="B475" s="248">
        <f>YEAR(Table13[[#This Row],[Date]])+IF(MONTH(Table13[[#This Row],[Date]])&gt;=4,1,0)</f>
        <v>2027</v>
      </c>
      <c r="C475" s="249">
        <f>YEAR(Table13[[#This Row],[Date]])</f>
        <v>2026</v>
      </c>
      <c r="D475" s="250">
        <f>Table13[[#This Row],[Date]]-DAY(Table13[[#This Row],[Date]])+1</f>
        <v>46204</v>
      </c>
      <c r="AB475" s="10">
        <f t="shared" si="17"/>
        <v>0</v>
      </c>
    </row>
    <row r="476" spans="1:28">
      <c r="A476" s="42">
        <f t="shared" si="18"/>
        <v>46218</v>
      </c>
      <c r="B476" s="245">
        <f>YEAR(Table13[[#This Row],[Date]])+IF(MONTH(Table13[[#This Row],[Date]])&gt;=4,1,0)</f>
        <v>2027</v>
      </c>
      <c r="C476" s="246">
        <f>YEAR(Table13[[#This Row],[Date]])</f>
        <v>2026</v>
      </c>
      <c r="D476" s="247">
        <f>Table13[[#This Row],[Date]]-DAY(Table13[[#This Row],[Date]])+1</f>
        <v>46204</v>
      </c>
      <c r="AB476" s="10">
        <f t="shared" si="17"/>
        <v>0</v>
      </c>
    </row>
    <row r="477" spans="1:28">
      <c r="A477" s="251">
        <f t="shared" si="18"/>
        <v>46219</v>
      </c>
      <c r="B477" s="248">
        <f>YEAR(Table13[[#This Row],[Date]])+IF(MONTH(Table13[[#This Row],[Date]])&gt;=4,1,0)</f>
        <v>2027</v>
      </c>
      <c r="C477" s="249">
        <f>YEAR(Table13[[#This Row],[Date]])</f>
        <v>2026</v>
      </c>
      <c r="D477" s="250">
        <f>Table13[[#This Row],[Date]]-DAY(Table13[[#This Row],[Date]])+1</f>
        <v>46204</v>
      </c>
      <c r="AB477" s="10">
        <f t="shared" si="17"/>
        <v>0</v>
      </c>
    </row>
    <row r="478" spans="1:28">
      <c r="A478" s="42">
        <f t="shared" si="18"/>
        <v>46220</v>
      </c>
      <c r="B478" s="245">
        <f>YEAR(Table13[[#This Row],[Date]])+IF(MONTH(Table13[[#This Row],[Date]])&gt;=4,1,0)</f>
        <v>2027</v>
      </c>
      <c r="C478" s="246">
        <f>YEAR(Table13[[#This Row],[Date]])</f>
        <v>2026</v>
      </c>
      <c r="D478" s="247">
        <f>Table13[[#This Row],[Date]]-DAY(Table13[[#This Row],[Date]])+1</f>
        <v>46204</v>
      </c>
      <c r="AB478" s="10">
        <f t="shared" si="17"/>
        <v>0</v>
      </c>
    </row>
    <row r="479" spans="1:28">
      <c r="A479" s="251">
        <f t="shared" si="18"/>
        <v>46221</v>
      </c>
      <c r="B479" s="248">
        <f>YEAR(Table13[[#This Row],[Date]])+IF(MONTH(Table13[[#This Row],[Date]])&gt;=4,1,0)</f>
        <v>2027</v>
      </c>
      <c r="C479" s="249">
        <f>YEAR(Table13[[#This Row],[Date]])</f>
        <v>2026</v>
      </c>
      <c r="D479" s="250">
        <f>Table13[[#This Row],[Date]]-DAY(Table13[[#This Row],[Date]])+1</f>
        <v>46204</v>
      </c>
      <c r="AB479" s="10">
        <f t="shared" si="17"/>
        <v>0</v>
      </c>
    </row>
    <row r="480" spans="1:28">
      <c r="A480" s="42">
        <f t="shared" si="18"/>
        <v>46222</v>
      </c>
      <c r="B480" s="245">
        <f>YEAR(Table13[[#This Row],[Date]])+IF(MONTH(Table13[[#This Row],[Date]])&gt;=4,1,0)</f>
        <v>2027</v>
      </c>
      <c r="C480" s="246">
        <f>YEAR(Table13[[#This Row],[Date]])</f>
        <v>2026</v>
      </c>
      <c r="D480" s="247">
        <f>Table13[[#This Row],[Date]]-DAY(Table13[[#This Row],[Date]])+1</f>
        <v>46204</v>
      </c>
      <c r="AB480" s="10">
        <f t="shared" si="17"/>
        <v>0</v>
      </c>
    </row>
    <row r="481" spans="1:28">
      <c r="A481" s="251">
        <f t="shared" si="18"/>
        <v>46223</v>
      </c>
      <c r="B481" s="248">
        <f>YEAR(Table13[[#This Row],[Date]])+IF(MONTH(Table13[[#This Row],[Date]])&gt;=4,1,0)</f>
        <v>2027</v>
      </c>
      <c r="C481" s="249">
        <f>YEAR(Table13[[#This Row],[Date]])</f>
        <v>2026</v>
      </c>
      <c r="D481" s="250">
        <f>Table13[[#This Row],[Date]]-DAY(Table13[[#This Row],[Date]])+1</f>
        <v>46204</v>
      </c>
      <c r="AB481" s="10">
        <f t="shared" si="17"/>
        <v>0</v>
      </c>
    </row>
    <row r="482" spans="1:28">
      <c r="A482" s="42">
        <f t="shared" si="18"/>
        <v>46224</v>
      </c>
      <c r="B482" s="245">
        <f>YEAR(Table13[[#This Row],[Date]])+IF(MONTH(Table13[[#This Row],[Date]])&gt;=4,1,0)</f>
        <v>2027</v>
      </c>
      <c r="C482" s="246">
        <f>YEAR(Table13[[#This Row],[Date]])</f>
        <v>2026</v>
      </c>
      <c r="D482" s="247">
        <f>Table13[[#This Row],[Date]]-DAY(Table13[[#This Row],[Date]])+1</f>
        <v>46204</v>
      </c>
      <c r="AB482" s="10">
        <f t="shared" si="17"/>
        <v>0</v>
      </c>
    </row>
    <row r="483" spans="1:28">
      <c r="A483" s="251">
        <f t="shared" si="18"/>
        <v>46225</v>
      </c>
      <c r="B483" s="248">
        <f>YEAR(Table13[[#This Row],[Date]])+IF(MONTH(Table13[[#This Row],[Date]])&gt;=4,1,0)</f>
        <v>2027</v>
      </c>
      <c r="C483" s="249">
        <f>YEAR(Table13[[#This Row],[Date]])</f>
        <v>2026</v>
      </c>
      <c r="D483" s="250">
        <f>Table13[[#This Row],[Date]]-DAY(Table13[[#This Row],[Date]])+1</f>
        <v>46204</v>
      </c>
      <c r="AB483" s="10">
        <f t="shared" si="17"/>
        <v>0</v>
      </c>
    </row>
    <row r="484" spans="1:28">
      <c r="A484" s="42">
        <f t="shared" si="18"/>
        <v>46226</v>
      </c>
      <c r="B484" s="245">
        <f>YEAR(Table13[[#This Row],[Date]])+IF(MONTH(Table13[[#This Row],[Date]])&gt;=4,1,0)</f>
        <v>2027</v>
      </c>
      <c r="C484" s="246">
        <f>YEAR(Table13[[#This Row],[Date]])</f>
        <v>2026</v>
      </c>
      <c r="D484" s="247">
        <f>Table13[[#This Row],[Date]]-DAY(Table13[[#This Row],[Date]])+1</f>
        <v>46204</v>
      </c>
      <c r="AB484" s="10">
        <f t="shared" si="17"/>
        <v>0</v>
      </c>
    </row>
    <row r="485" spans="1:28">
      <c r="A485" s="251">
        <f t="shared" si="18"/>
        <v>46227</v>
      </c>
      <c r="B485" s="248">
        <f>YEAR(Table13[[#This Row],[Date]])+IF(MONTH(Table13[[#This Row],[Date]])&gt;=4,1,0)</f>
        <v>2027</v>
      </c>
      <c r="C485" s="249">
        <f>YEAR(Table13[[#This Row],[Date]])</f>
        <v>2026</v>
      </c>
      <c r="D485" s="250">
        <f>Table13[[#This Row],[Date]]-DAY(Table13[[#This Row],[Date]])+1</f>
        <v>46204</v>
      </c>
      <c r="AB485" s="10">
        <f t="shared" si="17"/>
        <v>0</v>
      </c>
    </row>
    <row r="486" spans="1:28">
      <c r="A486" s="42">
        <f t="shared" si="18"/>
        <v>46228</v>
      </c>
      <c r="B486" s="245">
        <f>YEAR(Table13[[#This Row],[Date]])+IF(MONTH(Table13[[#This Row],[Date]])&gt;=4,1,0)</f>
        <v>2027</v>
      </c>
      <c r="C486" s="246">
        <f>YEAR(Table13[[#This Row],[Date]])</f>
        <v>2026</v>
      </c>
      <c r="D486" s="247">
        <f>Table13[[#This Row],[Date]]-DAY(Table13[[#This Row],[Date]])+1</f>
        <v>46204</v>
      </c>
      <c r="AB486" s="10">
        <f t="shared" si="17"/>
        <v>0</v>
      </c>
    </row>
    <row r="487" spans="1:28">
      <c r="A487" s="251">
        <f t="shared" si="18"/>
        <v>46229</v>
      </c>
      <c r="B487" s="248">
        <f>YEAR(Table13[[#This Row],[Date]])+IF(MONTH(Table13[[#This Row],[Date]])&gt;=4,1,0)</f>
        <v>2027</v>
      </c>
      <c r="C487" s="249">
        <f>YEAR(Table13[[#This Row],[Date]])</f>
        <v>2026</v>
      </c>
      <c r="D487" s="250">
        <f>Table13[[#This Row],[Date]]-DAY(Table13[[#This Row],[Date]])+1</f>
        <v>46204</v>
      </c>
      <c r="AB487" s="10">
        <f t="shared" si="17"/>
        <v>0</v>
      </c>
    </row>
    <row r="488" spans="1:28">
      <c r="A488" s="42">
        <f t="shared" si="18"/>
        <v>46230</v>
      </c>
      <c r="B488" s="245">
        <f>YEAR(Table13[[#This Row],[Date]])+IF(MONTH(Table13[[#This Row],[Date]])&gt;=4,1,0)</f>
        <v>2027</v>
      </c>
      <c r="C488" s="246">
        <f>YEAR(Table13[[#This Row],[Date]])</f>
        <v>2026</v>
      </c>
      <c r="D488" s="247">
        <f>Table13[[#This Row],[Date]]-DAY(Table13[[#This Row],[Date]])+1</f>
        <v>46204</v>
      </c>
      <c r="AB488" s="10">
        <f t="shared" si="17"/>
        <v>0</v>
      </c>
    </row>
    <row r="489" spans="1:28">
      <c r="A489" s="251">
        <f t="shared" si="18"/>
        <v>46231</v>
      </c>
      <c r="B489" s="248">
        <f>YEAR(Table13[[#This Row],[Date]])+IF(MONTH(Table13[[#This Row],[Date]])&gt;=4,1,0)</f>
        <v>2027</v>
      </c>
      <c r="C489" s="249">
        <f>YEAR(Table13[[#This Row],[Date]])</f>
        <v>2026</v>
      </c>
      <c r="D489" s="250">
        <f>Table13[[#This Row],[Date]]-DAY(Table13[[#This Row],[Date]])+1</f>
        <v>46204</v>
      </c>
      <c r="AB489" s="10">
        <f t="shared" si="17"/>
        <v>0</v>
      </c>
    </row>
    <row r="490" spans="1:28">
      <c r="A490" s="42">
        <f t="shared" si="18"/>
        <v>46232</v>
      </c>
      <c r="B490" s="245">
        <f>YEAR(Table13[[#This Row],[Date]])+IF(MONTH(Table13[[#This Row],[Date]])&gt;=4,1,0)</f>
        <v>2027</v>
      </c>
      <c r="C490" s="246">
        <f>YEAR(Table13[[#This Row],[Date]])</f>
        <v>2026</v>
      </c>
      <c r="D490" s="247">
        <f>Table13[[#This Row],[Date]]-DAY(Table13[[#This Row],[Date]])+1</f>
        <v>46204</v>
      </c>
      <c r="AB490" s="10">
        <f t="shared" si="17"/>
        <v>0</v>
      </c>
    </row>
    <row r="491" spans="1:28">
      <c r="A491" s="251">
        <f t="shared" si="18"/>
        <v>46233</v>
      </c>
      <c r="B491" s="248">
        <f>YEAR(Table13[[#This Row],[Date]])+IF(MONTH(Table13[[#This Row],[Date]])&gt;=4,1,0)</f>
        <v>2027</v>
      </c>
      <c r="C491" s="249">
        <f>YEAR(Table13[[#This Row],[Date]])</f>
        <v>2026</v>
      </c>
      <c r="D491" s="250">
        <f>Table13[[#This Row],[Date]]-DAY(Table13[[#This Row],[Date]])+1</f>
        <v>46204</v>
      </c>
      <c r="AB491" s="10">
        <f t="shared" si="17"/>
        <v>0</v>
      </c>
    </row>
    <row r="492" spans="1:28">
      <c r="A492" s="42">
        <f t="shared" si="18"/>
        <v>46234</v>
      </c>
      <c r="B492" s="245">
        <f>YEAR(Table13[[#This Row],[Date]])+IF(MONTH(Table13[[#This Row],[Date]])&gt;=4,1,0)</f>
        <v>2027</v>
      </c>
      <c r="C492" s="246">
        <f>YEAR(Table13[[#This Row],[Date]])</f>
        <v>2026</v>
      </c>
      <c r="D492" s="247">
        <f>Table13[[#This Row],[Date]]-DAY(Table13[[#This Row],[Date]])+1</f>
        <v>46235</v>
      </c>
      <c r="AB492" s="10">
        <f t="shared" si="17"/>
        <v>0</v>
      </c>
    </row>
    <row r="493" spans="1:28">
      <c r="A493" s="251">
        <f t="shared" si="18"/>
        <v>46235</v>
      </c>
      <c r="B493" s="248">
        <f>YEAR(Table13[[#This Row],[Date]])+IF(MONTH(Table13[[#This Row],[Date]])&gt;=4,1,0)</f>
        <v>2027</v>
      </c>
      <c r="C493" s="249">
        <f>YEAR(Table13[[#This Row],[Date]])</f>
        <v>2026</v>
      </c>
      <c r="D493" s="250">
        <f>Table13[[#This Row],[Date]]-DAY(Table13[[#This Row],[Date]])+1</f>
        <v>46235</v>
      </c>
      <c r="AB493" s="10">
        <f t="shared" si="17"/>
        <v>0</v>
      </c>
    </row>
    <row r="494" spans="1:28">
      <c r="A494" s="42">
        <f t="shared" si="18"/>
        <v>46236</v>
      </c>
      <c r="B494" s="245">
        <f>YEAR(Table13[[#This Row],[Date]])+IF(MONTH(Table13[[#This Row],[Date]])&gt;=4,1,0)</f>
        <v>2027</v>
      </c>
      <c r="C494" s="246">
        <f>YEAR(Table13[[#This Row],[Date]])</f>
        <v>2026</v>
      </c>
      <c r="D494" s="247">
        <f>Table13[[#This Row],[Date]]-DAY(Table13[[#This Row],[Date]])+1</f>
        <v>46235</v>
      </c>
      <c r="AB494" s="10">
        <f t="shared" si="17"/>
        <v>0</v>
      </c>
    </row>
    <row r="495" spans="1:28">
      <c r="A495" s="251">
        <f t="shared" si="18"/>
        <v>46237</v>
      </c>
      <c r="B495" s="248">
        <f>YEAR(Table13[[#This Row],[Date]])+IF(MONTH(Table13[[#This Row],[Date]])&gt;=4,1,0)</f>
        <v>2027</v>
      </c>
      <c r="C495" s="249">
        <f>YEAR(Table13[[#This Row],[Date]])</f>
        <v>2026</v>
      </c>
      <c r="D495" s="250">
        <f>Table13[[#This Row],[Date]]-DAY(Table13[[#This Row],[Date]])+1</f>
        <v>46235</v>
      </c>
      <c r="AB495" s="10">
        <f t="shared" si="17"/>
        <v>0</v>
      </c>
    </row>
    <row r="496" spans="1:28">
      <c r="A496" s="42">
        <f t="shared" si="18"/>
        <v>46238</v>
      </c>
      <c r="B496" s="245">
        <f>YEAR(Table13[[#This Row],[Date]])+IF(MONTH(Table13[[#This Row],[Date]])&gt;=4,1,0)</f>
        <v>2027</v>
      </c>
      <c r="C496" s="246">
        <f>YEAR(Table13[[#This Row],[Date]])</f>
        <v>2026</v>
      </c>
      <c r="D496" s="247">
        <f>Table13[[#This Row],[Date]]-DAY(Table13[[#This Row],[Date]])+1</f>
        <v>46235</v>
      </c>
      <c r="AB496" s="10">
        <f t="shared" si="17"/>
        <v>0</v>
      </c>
    </row>
    <row r="497" spans="1:28">
      <c r="A497" s="251">
        <f t="shared" si="18"/>
        <v>46239</v>
      </c>
      <c r="B497" s="248">
        <f>YEAR(Table13[[#This Row],[Date]])+IF(MONTH(Table13[[#This Row],[Date]])&gt;=4,1,0)</f>
        <v>2027</v>
      </c>
      <c r="C497" s="249">
        <f>YEAR(Table13[[#This Row],[Date]])</f>
        <v>2026</v>
      </c>
      <c r="D497" s="250">
        <f>Table13[[#This Row],[Date]]-DAY(Table13[[#This Row],[Date]])+1</f>
        <v>46235</v>
      </c>
      <c r="AB497" s="10">
        <f t="shared" si="17"/>
        <v>0</v>
      </c>
    </row>
    <row r="498" spans="1:28">
      <c r="A498" s="42">
        <f t="shared" si="18"/>
        <v>46240</v>
      </c>
      <c r="B498" s="245">
        <f>YEAR(Table13[[#This Row],[Date]])+IF(MONTH(Table13[[#This Row],[Date]])&gt;=4,1,0)</f>
        <v>2027</v>
      </c>
      <c r="C498" s="246">
        <f>YEAR(Table13[[#This Row],[Date]])</f>
        <v>2026</v>
      </c>
      <c r="D498" s="247">
        <f>Table13[[#This Row],[Date]]-DAY(Table13[[#This Row],[Date]])+1</f>
        <v>46235</v>
      </c>
      <c r="AB498" s="10">
        <f t="shared" si="17"/>
        <v>0</v>
      </c>
    </row>
    <row r="499" spans="1:28">
      <c r="A499" s="251">
        <f t="shared" si="18"/>
        <v>46241</v>
      </c>
      <c r="B499" s="248">
        <f>YEAR(Table13[[#This Row],[Date]])+IF(MONTH(Table13[[#This Row],[Date]])&gt;=4,1,0)</f>
        <v>2027</v>
      </c>
      <c r="C499" s="249">
        <f>YEAR(Table13[[#This Row],[Date]])</f>
        <v>2026</v>
      </c>
      <c r="D499" s="250">
        <f>Table13[[#This Row],[Date]]-DAY(Table13[[#This Row],[Date]])+1</f>
        <v>46235</v>
      </c>
      <c r="AB499" s="10">
        <f t="shared" si="17"/>
        <v>0</v>
      </c>
    </row>
    <row r="500" spans="1:28">
      <c r="A500" s="42">
        <f t="shared" si="18"/>
        <v>46242</v>
      </c>
      <c r="B500" s="245">
        <f>YEAR(Table13[[#This Row],[Date]])+IF(MONTH(Table13[[#This Row],[Date]])&gt;=4,1,0)</f>
        <v>2027</v>
      </c>
      <c r="C500" s="246">
        <f>YEAR(Table13[[#This Row],[Date]])</f>
        <v>2026</v>
      </c>
      <c r="D500" s="247">
        <f>Table13[[#This Row],[Date]]-DAY(Table13[[#This Row],[Date]])+1</f>
        <v>46235</v>
      </c>
      <c r="AB500" s="10">
        <f t="shared" si="17"/>
        <v>0</v>
      </c>
    </row>
    <row r="501" spans="1:28">
      <c r="A501" s="251">
        <f t="shared" si="18"/>
        <v>46243</v>
      </c>
      <c r="B501" s="248">
        <f>YEAR(Table13[[#This Row],[Date]])+IF(MONTH(Table13[[#This Row],[Date]])&gt;=4,1,0)</f>
        <v>2027</v>
      </c>
      <c r="C501" s="249">
        <f>YEAR(Table13[[#This Row],[Date]])</f>
        <v>2026</v>
      </c>
      <c r="D501" s="250">
        <f>Table13[[#This Row],[Date]]-DAY(Table13[[#This Row],[Date]])+1</f>
        <v>46235</v>
      </c>
      <c r="AB501" s="10">
        <f t="shared" si="17"/>
        <v>0</v>
      </c>
    </row>
    <row r="502" spans="1:28">
      <c r="A502" s="42">
        <f t="shared" si="18"/>
        <v>46244</v>
      </c>
      <c r="B502" s="245">
        <f>YEAR(Table13[[#This Row],[Date]])+IF(MONTH(Table13[[#This Row],[Date]])&gt;=4,1,0)</f>
        <v>2027</v>
      </c>
      <c r="C502" s="246">
        <f>YEAR(Table13[[#This Row],[Date]])</f>
        <v>2026</v>
      </c>
      <c r="D502" s="247">
        <f>Table13[[#This Row],[Date]]-DAY(Table13[[#This Row],[Date]])+1</f>
        <v>46235</v>
      </c>
      <c r="AB502" s="10">
        <f t="shared" si="17"/>
        <v>0</v>
      </c>
    </row>
    <row r="503" spans="1:28">
      <c r="A503" s="251">
        <f t="shared" si="18"/>
        <v>46245</v>
      </c>
      <c r="B503" s="248">
        <f>YEAR(Table13[[#This Row],[Date]])+IF(MONTH(Table13[[#This Row],[Date]])&gt;=4,1,0)</f>
        <v>2027</v>
      </c>
      <c r="C503" s="249">
        <f>YEAR(Table13[[#This Row],[Date]])</f>
        <v>2026</v>
      </c>
      <c r="D503" s="250">
        <f>Table13[[#This Row],[Date]]-DAY(Table13[[#This Row],[Date]])+1</f>
        <v>46235</v>
      </c>
      <c r="AB503" s="10">
        <f t="shared" si="17"/>
        <v>0</v>
      </c>
    </row>
    <row r="504" spans="1:28">
      <c r="A504" s="42">
        <f t="shared" si="18"/>
        <v>46246</v>
      </c>
      <c r="B504" s="245">
        <f>YEAR(Table13[[#This Row],[Date]])+IF(MONTH(Table13[[#This Row],[Date]])&gt;=4,1,0)</f>
        <v>2027</v>
      </c>
      <c r="C504" s="246">
        <f>YEAR(Table13[[#This Row],[Date]])</f>
        <v>2026</v>
      </c>
      <c r="D504" s="247">
        <f>Table13[[#This Row],[Date]]-DAY(Table13[[#This Row],[Date]])+1</f>
        <v>46235</v>
      </c>
      <c r="AB504" s="10">
        <f t="shared" si="17"/>
        <v>0</v>
      </c>
    </row>
    <row r="505" spans="1:28">
      <c r="A505" s="251">
        <f t="shared" si="18"/>
        <v>46247</v>
      </c>
      <c r="B505" s="248">
        <f>YEAR(Table13[[#This Row],[Date]])+IF(MONTH(Table13[[#This Row],[Date]])&gt;=4,1,0)</f>
        <v>2027</v>
      </c>
      <c r="C505" s="249">
        <f>YEAR(Table13[[#This Row],[Date]])</f>
        <v>2026</v>
      </c>
      <c r="D505" s="250">
        <f>Table13[[#This Row],[Date]]-DAY(Table13[[#This Row],[Date]])+1</f>
        <v>46235</v>
      </c>
      <c r="AB505" s="10">
        <f t="shared" si="17"/>
        <v>0</v>
      </c>
    </row>
    <row r="506" spans="1:28">
      <c r="A506" s="42">
        <f t="shared" si="18"/>
        <v>46248</v>
      </c>
      <c r="B506" s="245">
        <f>YEAR(Table13[[#This Row],[Date]])+IF(MONTH(Table13[[#This Row],[Date]])&gt;=4,1,0)</f>
        <v>2027</v>
      </c>
      <c r="C506" s="246">
        <f>YEAR(Table13[[#This Row],[Date]])</f>
        <v>2026</v>
      </c>
      <c r="D506" s="247">
        <f>Table13[[#This Row],[Date]]-DAY(Table13[[#This Row],[Date]])+1</f>
        <v>46235</v>
      </c>
      <c r="AB506" s="10">
        <f t="shared" si="17"/>
        <v>0</v>
      </c>
    </row>
    <row r="507" spans="1:28">
      <c r="A507" s="251">
        <f t="shared" si="18"/>
        <v>46249</v>
      </c>
      <c r="B507" s="248">
        <f>YEAR(Table13[[#This Row],[Date]])+IF(MONTH(Table13[[#This Row],[Date]])&gt;=4,1,0)</f>
        <v>2027</v>
      </c>
      <c r="C507" s="249">
        <f>YEAR(Table13[[#This Row],[Date]])</f>
        <v>2026</v>
      </c>
      <c r="D507" s="250">
        <f>Table13[[#This Row],[Date]]-DAY(Table13[[#This Row],[Date]])+1</f>
        <v>46235</v>
      </c>
      <c r="AB507" s="10">
        <f t="shared" si="17"/>
        <v>0</v>
      </c>
    </row>
    <row r="508" spans="1:28">
      <c r="A508" s="42">
        <f t="shared" si="18"/>
        <v>46250</v>
      </c>
      <c r="B508" s="245">
        <f>YEAR(Table13[[#This Row],[Date]])+IF(MONTH(Table13[[#This Row],[Date]])&gt;=4,1,0)</f>
        <v>2027</v>
      </c>
      <c r="C508" s="246">
        <f>YEAR(Table13[[#This Row],[Date]])</f>
        <v>2026</v>
      </c>
      <c r="D508" s="247">
        <f>Table13[[#This Row],[Date]]-DAY(Table13[[#This Row],[Date]])+1</f>
        <v>46235</v>
      </c>
      <c r="AB508" s="10">
        <f t="shared" si="17"/>
        <v>0</v>
      </c>
    </row>
    <row r="509" spans="1:28">
      <c r="A509" s="251">
        <f t="shared" si="18"/>
        <v>46251</v>
      </c>
      <c r="B509" s="248">
        <f>YEAR(Table13[[#This Row],[Date]])+IF(MONTH(Table13[[#This Row],[Date]])&gt;=4,1,0)</f>
        <v>2027</v>
      </c>
      <c r="C509" s="249">
        <f>YEAR(Table13[[#This Row],[Date]])</f>
        <v>2026</v>
      </c>
      <c r="D509" s="250">
        <f>Table13[[#This Row],[Date]]-DAY(Table13[[#This Row],[Date]])+1</f>
        <v>46235</v>
      </c>
      <c r="AB509" s="10">
        <f t="shared" si="17"/>
        <v>0</v>
      </c>
    </row>
    <row r="510" spans="1:28">
      <c r="A510" s="42">
        <f t="shared" si="18"/>
        <v>46252</v>
      </c>
      <c r="B510" s="245">
        <f>YEAR(Table13[[#This Row],[Date]])+IF(MONTH(Table13[[#This Row],[Date]])&gt;=4,1,0)</f>
        <v>2027</v>
      </c>
      <c r="C510" s="246">
        <f>YEAR(Table13[[#This Row],[Date]])</f>
        <v>2026</v>
      </c>
      <c r="D510" s="247">
        <f>Table13[[#This Row],[Date]]-DAY(Table13[[#This Row],[Date]])+1</f>
        <v>46235</v>
      </c>
      <c r="AB510" s="10">
        <f t="shared" si="17"/>
        <v>0</v>
      </c>
    </row>
    <row r="511" spans="1:28">
      <c r="A511" s="251">
        <f t="shared" si="18"/>
        <v>46253</v>
      </c>
      <c r="B511" s="248">
        <f>YEAR(Table13[[#This Row],[Date]])+IF(MONTH(Table13[[#This Row],[Date]])&gt;=4,1,0)</f>
        <v>2027</v>
      </c>
      <c r="C511" s="249">
        <f>YEAR(Table13[[#This Row],[Date]])</f>
        <v>2026</v>
      </c>
      <c r="D511" s="250">
        <f>Table13[[#This Row],[Date]]-DAY(Table13[[#This Row],[Date]])+1</f>
        <v>46235</v>
      </c>
      <c r="AB511" s="10">
        <f t="shared" si="17"/>
        <v>0</v>
      </c>
    </row>
    <row r="512" spans="1:28">
      <c r="A512" s="42">
        <f t="shared" si="18"/>
        <v>46254</v>
      </c>
      <c r="B512" s="245">
        <f>YEAR(Table13[[#This Row],[Date]])+IF(MONTH(Table13[[#This Row],[Date]])&gt;=4,1,0)</f>
        <v>2027</v>
      </c>
      <c r="C512" s="246">
        <f>YEAR(Table13[[#This Row],[Date]])</f>
        <v>2026</v>
      </c>
      <c r="D512" s="247">
        <f>Table13[[#This Row],[Date]]-DAY(Table13[[#This Row],[Date]])+1</f>
        <v>46235</v>
      </c>
      <c r="AB512" s="10">
        <f t="shared" si="17"/>
        <v>0</v>
      </c>
    </row>
    <row r="513" spans="1:28">
      <c r="A513" s="251">
        <f t="shared" si="18"/>
        <v>46255</v>
      </c>
      <c r="B513" s="248">
        <f>YEAR(Table13[[#This Row],[Date]])+IF(MONTH(Table13[[#This Row],[Date]])&gt;=4,1,0)</f>
        <v>2027</v>
      </c>
      <c r="C513" s="249">
        <f>YEAR(Table13[[#This Row],[Date]])</f>
        <v>2026</v>
      </c>
      <c r="D513" s="250">
        <f>Table13[[#This Row],[Date]]-DAY(Table13[[#This Row],[Date]])+1</f>
        <v>46235</v>
      </c>
      <c r="AB513" s="10">
        <f t="shared" si="17"/>
        <v>0</v>
      </c>
    </row>
    <row r="514" spans="1:28">
      <c r="A514" s="42">
        <f t="shared" si="18"/>
        <v>46256</v>
      </c>
      <c r="B514" s="245">
        <f>YEAR(Table13[[#This Row],[Date]])+IF(MONTH(Table13[[#This Row],[Date]])&gt;=4,1,0)</f>
        <v>2027</v>
      </c>
      <c r="C514" s="246">
        <f>YEAR(Table13[[#This Row],[Date]])</f>
        <v>2026</v>
      </c>
      <c r="D514" s="247">
        <f>Table13[[#This Row],[Date]]-DAY(Table13[[#This Row],[Date]])+1</f>
        <v>46235</v>
      </c>
      <c r="AB514" s="10">
        <f t="shared" si="17"/>
        <v>0</v>
      </c>
    </row>
    <row r="515" spans="1:28">
      <c r="A515" s="251">
        <f t="shared" si="18"/>
        <v>46257</v>
      </c>
      <c r="B515" s="248">
        <f>YEAR(Table13[[#This Row],[Date]])+IF(MONTH(Table13[[#This Row],[Date]])&gt;=4,1,0)</f>
        <v>2027</v>
      </c>
      <c r="C515" s="249">
        <f>YEAR(Table13[[#This Row],[Date]])</f>
        <v>2026</v>
      </c>
      <c r="D515" s="250">
        <f>Table13[[#This Row],[Date]]-DAY(Table13[[#This Row],[Date]])+1</f>
        <v>46235</v>
      </c>
      <c r="AB515" s="10">
        <f t="shared" si="17"/>
        <v>0</v>
      </c>
    </row>
    <row r="516" spans="1:28">
      <c r="A516" s="42">
        <f t="shared" si="18"/>
        <v>46258</v>
      </c>
      <c r="B516" s="245">
        <f>YEAR(Table13[[#This Row],[Date]])+IF(MONTH(Table13[[#This Row],[Date]])&gt;=4,1,0)</f>
        <v>2027</v>
      </c>
      <c r="C516" s="246">
        <f>YEAR(Table13[[#This Row],[Date]])</f>
        <v>2026</v>
      </c>
      <c r="D516" s="247">
        <f>Table13[[#This Row],[Date]]-DAY(Table13[[#This Row],[Date]])+1</f>
        <v>46235</v>
      </c>
      <c r="AB516" s="10">
        <f t="shared" si="17"/>
        <v>0</v>
      </c>
    </row>
    <row r="517" spans="1:28">
      <c r="A517" s="251">
        <f t="shared" si="18"/>
        <v>46259</v>
      </c>
      <c r="B517" s="248">
        <f>YEAR(Table13[[#This Row],[Date]])+IF(MONTH(Table13[[#This Row],[Date]])&gt;=4,1,0)</f>
        <v>2027</v>
      </c>
      <c r="C517" s="249">
        <f>YEAR(Table13[[#This Row],[Date]])</f>
        <v>2026</v>
      </c>
      <c r="D517" s="250">
        <f>Table13[[#This Row],[Date]]-DAY(Table13[[#This Row],[Date]])+1</f>
        <v>46235</v>
      </c>
      <c r="AB517" s="10">
        <f t="shared" si="17"/>
        <v>0</v>
      </c>
    </row>
    <row r="518" spans="1:28">
      <c r="A518" s="42">
        <f t="shared" si="18"/>
        <v>46260</v>
      </c>
      <c r="B518" s="245">
        <f>YEAR(Table13[[#This Row],[Date]])+IF(MONTH(Table13[[#This Row],[Date]])&gt;=4,1,0)</f>
        <v>2027</v>
      </c>
      <c r="C518" s="246">
        <f>YEAR(Table13[[#This Row],[Date]])</f>
        <v>2026</v>
      </c>
      <c r="D518" s="247">
        <f>Table13[[#This Row],[Date]]-DAY(Table13[[#This Row],[Date]])+1</f>
        <v>46235</v>
      </c>
      <c r="AB518" s="10">
        <f t="shared" si="17"/>
        <v>0</v>
      </c>
    </row>
    <row r="519" spans="1:28">
      <c r="A519" s="251">
        <f t="shared" si="18"/>
        <v>46261</v>
      </c>
      <c r="B519" s="248">
        <f>YEAR(Table13[[#This Row],[Date]])+IF(MONTH(Table13[[#This Row],[Date]])&gt;=4,1,0)</f>
        <v>2027</v>
      </c>
      <c r="C519" s="249">
        <f>YEAR(Table13[[#This Row],[Date]])</f>
        <v>2026</v>
      </c>
      <c r="D519" s="250">
        <f>Table13[[#This Row],[Date]]-DAY(Table13[[#This Row],[Date]])+1</f>
        <v>46235</v>
      </c>
      <c r="AB519" s="10">
        <f t="shared" si="17"/>
        <v>0</v>
      </c>
    </row>
    <row r="520" spans="1:28">
      <c r="A520" s="42">
        <f t="shared" si="18"/>
        <v>46262</v>
      </c>
      <c r="B520" s="245">
        <f>YEAR(Table13[[#This Row],[Date]])+IF(MONTH(Table13[[#This Row],[Date]])&gt;=4,1,0)</f>
        <v>2027</v>
      </c>
      <c r="C520" s="246">
        <f>YEAR(Table13[[#This Row],[Date]])</f>
        <v>2026</v>
      </c>
      <c r="D520" s="247">
        <f>Table13[[#This Row],[Date]]-DAY(Table13[[#This Row],[Date]])+1</f>
        <v>46235</v>
      </c>
      <c r="AB520" s="10">
        <f t="shared" ref="AB520:AB583" si="19">SUM(E520:AA520)</f>
        <v>0</v>
      </c>
    </row>
    <row r="521" spans="1:28">
      <c r="A521" s="251">
        <f t="shared" si="18"/>
        <v>46263</v>
      </c>
      <c r="B521" s="248">
        <f>YEAR(Table13[[#This Row],[Date]])+IF(MONTH(Table13[[#This Row],[Date]])&gt;=4,1,0)</f>
        <v>2027</v>
      </c>
      <c r="C521" s="249">
        <f>YEAR(Table13[[#This Row],[Date]])</f>
        <v>2026</v>
      </c>
      <c r="D521" s="250">
        <f>Table13[[#This Row],[Date]]-DAY(Table13[[#This Row],[Date]])+1</f>
        <v>46235</v>
      </c>
      <c r="AB521" s="10">
        <f t="shared" si="19"/>
        <v>0</v>
      </c>
    </row>
    <row r="522" spans="1:28">
      <c r="A522" s="42">
        <f t="shared" ref="A522:A585" si="20">A521+1</f>
        <v>46264</v>
      </c>
      <c r="B522" s="245">
        <f>YEAR(Table13[[#This Row],[Date]])+IF(MONTH(Table13[[#This Row],[Date]])&gt;=4,1,0)</f>
        <v>2027</v>
      </c>
      <c r="C522" s="246">
        <f>YEAR(Table13[[#This Row],[Date]])</f>
        <v>2026</v>
      </c>
      <c r="D522" s="247">
        <f>Table13[[#This Row],[Date]]-DAY(Table13[[#This Row],[Date]])+1</f>
        <v>46235</v>
      </c>
      <c r="AB522" s="10">
        <f t="shared" si="19"/>
        <v>0</v>
      </c>
    </row>
    <row r="523" spans="1:28">
      <c r="A523" s="251">
        <f t="shared" si="20"/>
        <v>46265</v>
      </c>
      <c r="B523" s="248">
        <f>YEAR(Table13[[#This Row],[Date]])+IF(MONTH(Table13[[#This Row],[Date]])&gt;=4,1,0)</f>
        <v>2027</v>
      </c>
      <c r="C523" s="249">
        <f>YEAR(Table13[[#This Row],[Date]])</f>
        <v>2026</v>
      </c>
      <c r="D523" s="250">
        <f>Table13[[#This Row],[Date]]-DAY(Table13[[#This Row],[Date]])+1</f>
        <v>46266</v>
      </c>
      <c r="AB523" s="10">
        <f t="shared" si="19"/>
        <v>0</v>
      </c>
    </row>
    <row r="524" spans="1:28">
      <c r="A524" s="42">
        <f t="shared" si="20"/>
        <v>46266</v>
      </c>
      <c r="B524" s="245">
        <f>YEAR(Table13[[#This Row],[Date]])+IF(MONTH(Table13[[#This Row],[Date]])&gt;=4,1,0)</f>
        <v>2027</v>
      </c>
      <c r="C524" s="246">
        <f>YEAR(Table13[[#This Row],[Date]])</f>
        <v>2026</v>
      </c>
      <c r="D524" s="247">
        <f>Table13[[#This Row],[Date]]-DAY(Table13[[#This Row],[Date]])+1</f>
        <v>46266</v>
      </c>
      <c r="AB524" s="10">
        <f t="shared" si="19"/>
        <v>0</v>
      </c>
    </row>
    <row r="525" spans="1:28">
      <c r="A525" s="251">
        <f t="shared" si="20"/>
        <v>46267</v>
      </c>
      <c r="B525" s="248">
        <f>YEAR(Table13[[#This Row],[Date]])+IF(MONTH(Table13[[#This Row],[Date]])&gt;=4,1,0)</f>
        <v>2027</v>
      </c>
      <c r="C525" s="249">
        <f>YEAR(Table13[[#This Row],[Date]])</f>
        <v>2026</v>
      </c>
      <c r="D525" s="250">
        <f>Table13[[#This Row],[Date]]-DAY(Table13[[#This Row],[Date]])+1</f>
        <v>46266</v>
      </c>
      <c r="AB525" s="10">
        <f t="shared" si="19"/>
        <v>0</v>
      </c>
    </row>
    <row r="526" spans="1:28">
      <c r="A526" s="42">
        <f t="shared" si="20"/>
        <v>46268</v>
      </c>
      <c r="B526" s="245">
        <f>YEAR(Table13[[#This Row],[Date]])+IF(MONTH(Table13[[#This Row],[Date]])&gt;=4,1,0)</f>
        <v>2027</v>
      </c>
      <c r="C526" s="246">
        <f>YEAR(Table13[[#This Row],[Date]])</f>
        <v>2026</v>
      </c>
      <c r="D526" s="247">
        <f>Table13[[#This Row],[Date]]-DAY(Table13[[#This Row],[Date]])+1</f>
        <v>46266</v>
      </c>
      <c r="AB526" s="10">
        <f t="shared" si="19"/>
        <v>0</v>
      </c>
    </row>
    <row r="527" spans="1:28">
      <c r="A527" s="251">
        <f t="shared" si="20"/>
        <v>46269</v>
      </c>
      <c r="B527" s="248">
        <f>YEAR(Table13[[#This Row],[Date]])+IF(MONTH(Table13[[#This Row],[Date]])&gt;=4,1,0)</f>
        <v>2027</v>
      </c>
      <c r="C527" s="249">
        <f>YEAR(Table13[[#This Row],[Date]])</f>
        <v>2026</v>
      </c>
      <c r="D527" s="250">
        <f>Table13[[#This Row],[Date]]-DAY(Table13[[#This Row],[Date]])+1</f>
        <v>46266</v>
      </c>
      <c r="AB527" s="10">
        <f t="shared" si="19"/>
        <v>0</v>
      </c>
    </row>
    <row r="528" spans="1:28">
      <c r="A528" s="42">
        <f t="shared" si="20"/>
        <v>46270</v>
      </c>
      <c r="B528" s="245">
        <f>YEAR(Table13[[#This Row],[Date]])+IF(MONTH(Table13[[#This Row],[Date]])&gt;=4,1,0)</f>
        <v>2027</v>
      </c>
      <c r="C528" s="246">
        <f>YEAR(Table13[[#This Row],[Date]])</f>
        <v>2026</v>
      </c>
      <c r="D528" s="247">
        <f>Table13[[#This Row],[Date]]-DAY(Table13[[#This Row],[Date]])+1</f>
        <v>46266</v>
      </c>
      <c r="AB528" s="10">
        <f t="shared" si="19"/>
        <v>0</v>
      </c>
    </row>
    <row r="529" spans="1:28">
      <c r="A529" s="251">
        <f t="shared" si="20"/>
        <v>46271</v>
      </c>
      <c r="B529" s="248">
        <f>YEAR(Table13[[#This Row],[Date]])+IF(MONTH(Table13[[#This Row],[Date]])&gt;=4,1,0)</f>
        <v>2027</v>
      </c>
      <c r="C529" s="249">
        <f>YEAR(Table13[[#This Row],[Date]])</f>
        <v>2026</v>
      </c>
      <c r="D529" s="250">
        <f>Table13[[#This Row],[Date]]-DAY(Table13[[#This Row],[Date]])+1</f>
        <v>46266</v>
      </c>
      <c r="AB529" s="10">
        <f t="shared" si="19"/>
        <v>0</v>
      </c>
    </row>
    <row r="530" spans="1:28">
      <c r="A530" s="42">
        <f t="shared" si="20"/>
        <v>46272</v>
      </c>
      <c r="B530" s="245">
        <f>YEAR(Table13[[#This Row],[Date]])+IF(MONTH(Table13[[#This Row],[Date]])&gt;=4,1,0)</f>
        <v>2027</v>
      </c>
      <c r="C530" s="246">
        <f>YEAR(Table13[[#This Row],[Date]])</f>
        <v>2026</v>
      </c>
      <c r="D530" s="247">
        <f>Table13[[#This Row],[Date]]-DAY(Table13[[#This Row],[Date]])+1</f>
        <v>46266</v>
      </c>
      <c r="AB530" s="10">
        <f t="shared" si="19"/>
        <v>0</v>
      </c>
    </row>
    <row r="531" spans="1:28">
      <c r="A531" s="251">
        <f t="shared" si="20"/>
        <v>46273</v>
      </c>
      <c r="B531" s="248">
        <f>YEAR(Table13[[#This Row],[Date]])+IF(MONTH(Table13[[#This Row],[Date]])&gt;=4,1,0)</f>
        <v>2027</v>
      </c>
      <c r="C531" s="249">
        <f>YEAR(Table13[[#This Row],[Date]])</f>
        <v>2026</v>
      </c>
      <c r="D531" s="250">
        <f>Table13[[#This Row],[Date]]-DAY(Table13[[#This Row],[Date]])+1</f>
        <v>46266</v>
      </c>
      <c r="AB531" s="10">
        <f t="shared" si="19"/>
        <v>0</v>
      </c>
    </row>
    <row r="532" spans="1:28">
      <c r="A532" s="42">
        <f t="shared" si="20"/>
        <v>46274</v>
      </c>
      <c r="B532" s="245">
        <f>YEAR(Table13[[#This Row],[Date]])+IF(MONTH(Table13[[#This Row],[Date]])&gt;=4,1,0)</f>
        <v>2027</v>
      </c>
      <c r="C532" s="246">
        <f>YEAR(Table13[[#This Row],[Date]])</f>
        <v>2026</v>
      </c>
      <c r="D532" s="247">
        <f>Table13[[#This Row],[Date]]-DAY(Table13[[#This Row],[Date]])+1</f>
        <v>46266</v>
      </c>
      <c r="AB532" s="10">
        <f t="shared" si="19"/>
        <v>0</v>
      </c>
    </row>
    <row r="533" spans="1:28">
      <c r="A533" s="251">
        <f t="shared" si="20"/>
        <v>46275</v>
      </c>
      <c r="B533" s="248">
        <f>YEAR(Table13[[#This Row],[Date]])+IF(MONTH(Table13[[#This Row],[Date]])&gt;=4,1,0)</f>
        <v>2027</v>
      </c>
      <c r="C533" s="249">
        <f>YEAR(Table13[[#This Row],[Date]])</f>
        <v>2026</v>
      </c>
      <c r="D533" s="250">
        <f>Table13[[#This Row],[Date]]-DAY(Table13[[#This Row],[Date]])+1</f>
        <v>46266</v>
      </c>
      <c r="AB533" s="10">
        <f t="shared" si="19"/>
        <v>0</v>
      </c>
    </row>
    <row r="534" spans="1:28">
      <c r="A534" s="42">
        <f t="shared" si="20"/>
        <v>46276</v>
      </c>
      <c r="B534" s="245">
        <f>YEAR(Table13[[#This Row],[Date]])+IF(MONTH(Table13[[#This Row],[Date]])&gt;=4,1,0)</f>
        <v>2027</v>
      </c>
      <c r="C534" s="246">
        <f>YEAR(Table13[[#This Row],[Date]])</f>
        <v>2026</v>
      </c>
      <c r="D534" s="247">
        <f>Table13[[#This Row],[Date]]-DAY(Table13[[#This Row],[Date]])+1</f>
        <v>46266</v>
      </c>
      <c r="AB534" s="10">
        <f t="shared" si="19"/>
        <v>0</v>
      </c>
    </row>
    <row r="535" spans="1:28">
      <c r="A535" s="251">
        <f t="shared" si="20"/>
        <v>46277</v>
      </c>
      <c r="B535" s="248">
        <f>YEAR(Table13[[#This Row],[Date]])+IF(MONTH(Table13[[#This Row],[Date]])&gt;=4,1,0)</f>
        <v>2027</v>
      </c>
      <c r="C535" s="249">
        <f>YEAR(Table13[[#This Row],[Date]])</f>
        <v>2026</v>
      </c>
      <c r="D535" s="250">
        <f>Table13[[#This Row],[Date]]-DAY(Table13[[#This Row],[Date]])+1</f>
        <v>46266</v>
      </c>
      <c r="AB535" s="10">
        <f t="shared" si="19"/>
        <v>0</v>
      </c>
    </row>
    <row r="536" spans="1:28">
      <c r="A536" s="42">
        <f t="shared" si="20"/>
        <v>46278</v>
      </c>
      <c r="B536" s="245">
        <f>YEAR(Table13[[#This Row],[Date]])+IF(MONTH(Table13[[#This Row],[Date]])&gt;=4,1,0)</f>
        <v>2027</v>
      </c>
      <c r="C536" s="246">
        <f>YEAR(Table13[[#This Row],[Date]])</f>
        <v>2026</v>
      </c>
      <c r="D536" s="247">
        <f>Table13[[#This Row],[Date]]-DAY(Table13[[#This Row],[Date]])+1</f>
        <v>46266</v>
      </c>
      <c r="AB536" s="10">
        <f t="shared" si="19"/>
        <v>0</v>
      </c>
    </row>
    <row r="537" spans="1:28">
      <c r="A537" s="251">
        <f t="shared" si="20"/>
        <v>46279</v>
      </c>
      <c r="B537" s="248">
        <f>YEAR(Table13[[#This Row],[Date]])+IF(MONTH(Table13[[#This Row],[Date]])&gt;=4,1,0)</f>
        <v>2027</v>
      </c>
      <c r="C537" s="249">
        <f>YEAR(Table13[[#This Row],[Date]])</f>
        <v>2026</v>
      </c>
      <c r="D537" s="250">
        <f>Table13[[#This Row],[Date]]-DAY(Table13[[#This Row],[Date]])+1</f>
        <v>46266</v>
      </c>
      <c r="AB537" s="10">
        <f t="shared" si="19"/>
        <v>0</v>
      </c>
    </row>
    <row r="538" spans="1:28">
      <c r="A538" s="42">
        <f t="shared" si="20"/>
        <v>46280</v>
      </c>
      <c r="B538" s="245">
        <f>YEAR(Table13[[#This Row],[Date]])+IF(MONTH(Table13[[#This Row],[Date]])&gt;=4,1,0)</f>
        <v>2027</v>
      </c>
      <c r="C538" s="246">
        <f>YEAR(Table13[[#This Row],[Date]])</f>
        <v>2026</v>
      </c>
      <c r="D538" s="247">
        <f>Table13[[#This Row],[Date]]-DAY(Table13[[#This Row],[Date]])+1</f>
        <v>46266</v>
      </c>
      <c r="AB538" s="10">
        <f t="shared" si="19"/>
        <v>0</v>
      </c>
    </row>
    <row r="539" spans="1:28">
      <c r="A539" s="251">
        <f t="shared" si="20"/>
        <v>46281</v>
      </c>
      <c r="B539" s="248">
        <f>YEAR(Table13[[#This Row],[Date]])+IF(MONTH(Table13[[#This Row],[Date]])&gt;=4,1,0)</f>
        <v>2027</v>
      </c>
      <c r="C539" s="249">
        <f>YEAR(Table13[[#This Row],[Date]])</f>
        <v>2026</v>
      </c>
      <c r="D539" s="250">
        <f>Table13[[#This Row],[Date]]-DAY(Table13[[#This Row],[Date]])+1</f>
        <v>46266</v>
      </c>
      <c r="AB539" s="10">
        <f t="shared" si="19"/>
        <v>0</v>
      </c>
    </row>
    <row r="540" spans="1:28">
      <c r="A540" s="42">
        <f t="shared" si="20"/>
        <v>46282</v>
      </c>
      <c r="B540" s="245">
        <f>YEAR(Table13[[#This Row],[Date]])+IF(MONTH(Table13[[#This Row],[Date]])&gt;=4,1,0)</f>
        <v>2027</v>
      </c>
      <c r="C540" s="246">
        <f>YEAR(Table13[[#This Row],[Date]])</f>
        <v>2026</v>
      </c>
      <c r="D540" s="247">
        <f>Table13[[#This Row],[Date]]-DAY(Table13[[#This Row],[Date]])+1</f>
        <v>46266</v>
      </c>
      <c r="AB540" s="10">
        <f t="shared" si="19"/>
        <v>0</v>
      </c>
    </row>
    <row r="541" spans="1:28">
      <c r="A541" s="251">
        <f t="shared" si="20"/>
        <v>46283</v>
      </c>
      <c r="B541" s="248">
        <f>YEAR(Table13[[#This Row],[Date]])+IF(MONTH(Table13[[#This Row],[Date]])&gt;=4,1,0)</f>
        <v>2027</v>
      </c>
      <c r="C541" s="249">
        <f>YEAR(Table13[[#This Row],[Date]])</f>
        <v>2026</v>
      </c>
      <c r="D541" s="250">
        <f>Table13[[#This Row],[Date]]-DAY(Table13[[#This Row],[Date]])+1</f>
        <v>46266</v>
      </c>
      <c r="AB541" s="10">
        <f t="shared" si="19"/>
        <v>0</v>
      </c>
    </row>
    <row r="542" spans="1:28">
      <c r="A542" s="42">
        <f t="shared" si="20"/>
        <v>46284</v>
      </c>
      <c r="B542" s="245">
        <f>YEAR(Table13[[#This Row],[Date]])+IF(MONTH(Table13[[#This Row],[Date]])&gt;=4,1,0)</f>
        <v>2027</v>
      </c>
      <c r="C542" s="246">
        <f>YEAR(Table13[[#This Row],[Date]])</f>
        <v>2026</v>
      </c>
      <c r="D542" s="247">
        <f>Table13[[#This Row],[Date]]-DAY(Table13[[#This Row],[Date]])+1</f>
        <v>46266</v>
      </c>
      <c r="AB542" s="10">
        <f t="shared" si="19"/>
        <v>0</v>
      </c>
    </row>
    <row r="543" spans="1:28">
      <c r="A543" s="251">
        <f t="shared" si="20"/>
        <v>46285</v>
      </c>
      <c r="B543" s="248">
        <f>YEAR(Table13[[#This Row],[Date]])+IF(MONTH(Table13[[#This Row],[Date]])&gt;=4,1,0)</f>
        <v>2027</v>
      </c>
      <c r="C543" s="249">
        <f>YEAR(Table13[[#This Row],[Date]])</f>
        <v>2026</v>
      </c>
      <c r="D543" s="250">
        <f>Table13[[#This Row],[Date]]-DAY(Table13[[#This Row],[Date]])+1</f>
        <v>46266</v>
      </c>
      <c r="AB543" s="10">
        <f t="shared" si="19"/>
        <v>0</v>
      </c>
    </row>
    <row r="544" spans="1:28">
      <c r="A544" s="42">
        <f t="shared" si="20"/>
        <v>46286</v>
      </c>
      <c r="B544" s="245">
        <f>YEAR(Table13[[#This Row],[Date]])+IF(MONTH(Table13[[#This Row],[Date]])&gt;=4,1,0)</f>
        <v>2027</v>
      </c>
      <c r="C544" s="246">
        <f>YEAR(Table13[[#This Row],[Date]])</f>
        <v>2026</v>
      </c>
      <c r="D544" s="247">
        <f>Table13[[#This Row],[Date]]-DAY(Table13[[#This Row],[Date]])+1</f>
        <v>46266</v>
      </c>
      <c r="AB544" s="10">
        <f t="shared" si="19"/>
        <v>0</v>
      </c>
    </row>
    <row r="545" spans="1:28">
      <c r="A545" s="251">
        <f t="shared" si="20"/>
        <v>46287</v>
      </c>
      <c r="B545" s="248">
        <f>YEAR(Table13[[#This Row],[Date]])+IF(MONTH(Table13[[#This Row],[Date]])&gt;=4,1,0)</f>
        <v>2027</v>
      </c>
      <c r="C545" s="249">
        <f>YEAR(Table13[[#This Row],[Date]])</f>
        <v>2026</v>
      </c>
      <c r="D545" s="250">
        <f>Table13[[#This Row],[Date]]-DAY(Table13[[#This Row],[Date]])+1</f>
        <v>46266</v>
      </c>
      <c r="AB545" s="10">
        <f t="shared" si="19"/>
        <v>0</v>
      </c>
    </row>
    <row r="546" spans="1:28">
      <c r="A546" s="42">
        <f t="shared" si="20"/>
        <v>46288</v>
      </c>
      <c r="B546" s="245">
        <f>YEAR(Table13[[#This Row],[Date]])+IF(MONTH(Table13[[#This Row],[Date]])&gt;=4,1,0)</f>
        <v>2027</v>
      </c>
      <c r="C546" s="246">
        <f>YEAR(Table13[[#This Row],[Date]])</f>
        <v>2026</v>
      </c>
      <c r="D546" s="247">
        <f>Table13[[#This Row],[Date]]-DAY(Table13[[#This Row],[Date]])+1</f>
        <v>46266</v>
      </c>
      <c r="AB546" s="10">
        <f t="shared" si="19"/>
        <v>0</v>
      </c>
    </row>
    <row r="547" spans="1:28">
      <c r="A547" s="251">
        <f t="shared" si="20"/>
        <v>46289</v>
      </c>
      <c r="B547" s="248">
        <f>YEAR(Table13[[#This Row],[Date]])+IF(MONTH(Table13[[#This Row],[Date]])&gt;=4,1,0)</f>
        <v>2027</v>
      </c>
      <c r="C547" s="249">
        <f>YEAR(Table13[[#This Row],[Date]])</f>
        <v>2026</v>
      </c>
      <c r="D547" s="250">
        <f>Table13[[#This Row],[Date]]-DAY(Table13[[#This Row],[Date]])+1</f>
        <v>46266</v>
      </c>
      <c r="AB547" s="10">
        <f t="shared" si="19"/>
        <v>0</v>
      </c>
    </row>
    <row r="548" spans="1:28">
      <c r="A548" s="42">
        <f t="shared" si="20"/>
        <v>46290</v>
      </c>
      <c r="B548" s="245">
        <f>YEAR(Table13[[#This Row],[Date]])+IF(MONTH(Table13[[#This Row],[Date]])&gt;=4,1,0)</f>
        <v>2027</v>
      </c>
      <c r="C548" s="246">
        <f>YEAR(Table13[[#This Row],[Date]])</f>
        <v>2026</v>
      </c>
      <c r="D548" s="247">
        <f>Table13[[#This Row],[Date]]-DAY(Table13[[#This Row],[Date]])+1</f>
        <v>46266</v>
      </c>
      <c r="AB548" s="10">
        <f t="shared" si="19"/>
        <v>0</v>
      </c>
    </row>
    <row r="549" spans="1:28">
      <c r="A549" s="251">
        <f t="shared" si="20"/>
        <v>46291</v>
      </c>
      <c r="B549" s="248">
        <f>YEAR(Table13[[#This Row],[Date]])+IF(MONTH(Table13[[#This Row],[Date]])&gt;=4,1,0)</f>
        <v>2027</v>
      </c>
      <c r="C549" s="249">
        <f>YEAR(Table13[[#This Row],[Date]])</f>
        <v>2026</v>
      </c>
      <c r="D549" s="250">
        <f>Table13[[#This Row],[Date]]-DAY(Table13[[#This Row],[Date]])+1</f>
        <v>46266</v>
      </c>
      <c r="AB549" s="10">
        <f t="shared" si="19"/>
        <v>0</v>
      </c>
    </row>
    <row r="550" spans="1:28">
      <c r="A550" s="42">
        <f t="shared" si="20"/>
        <v>46292</v>
      </c>
      <c r="B550" s="245">
        <f>YEAR(Table13[[#This Row],[Date]])+IF(MONTH(Table13[[#This Row],[Date]])&gt;=4,1,0)</f>
        <v>2027</v>
      </c>
      <c r="C550" s="246">
        <f>YEAR(Table13[[#This Row],[Date]])</f>
        <v>2026</v>
      </c>
      <c r="D550" s="247">
        <f>Table13[[#This Row],[Date]]-DAY(Table13[[#This Row],[Date]])+1</f>
        <v>46266</v>
      </c>
      <c r="AB550" s="10">
        <f t="shared" si="19"/>
        <v>0</v>
      </c>
    </row>
    <row r="551" spans="1:28">
      <c r="A551" s="251">
        <f t="shared" si="20"/>
        <v>46293</v>
      </c>
      <c r="B551" s="248">
        <f>YEAR(Table13[[#This Row],[Date]])+IF(MONTH(Table13[[#This Row],[Date]])&gt;=4,1,0)</f>
        <v>2027</v>
      </c>
      <c r="C551" s="249">
        <f>YEAR(Table13[[#This Row],[Date]])</f>
        <v>2026</v>
      </c>
      <c r="D551" s="250">
        <f>Table13[[#This Row],[Date]]-DAY(Table13[[#This Row],[Date]])+1</f>
        <v>46266</v>
      </c>
      <c r="AB551" s="10">
        <f t="shared" si="19"/>
        <v>0</v>
      </c>
    </row>
    <row r="552" spans="1:28">
      <c r="A552" s="42">
        <f t="shared" si="20"/>
        <v>46294</v>
      </c>
      <c r="B552" s="245">
        <f>YEAR(Table13[[#This Row],[Date]])+IF(MONTH(Table13[[#This Row],[Date]])&gt;=4,1,0)</f>
        <v>2027</v>
      </c>
      <c r="C552" s="246">
        <f>YEAR(Table13[[#This Row],[Date]])</f>
        <v>2026</v>
      </c>
      <c r="D552" s="247">
        <f>Table13[[#This Row],[Date]]-DAY(Table13[[#This Row],[Date]])+1</f>
        <v>46266</v>
      </c>
      <c r="AB552" s="10">
        <f t="shared" si="19"/>
        <v>0</v>
      </c>
    </row>
    <row r="553" spans="1:28">
      <c r="A553" s="251">
        <f t="shared" si="20"/>
        <v>46295</v>
      </c>
      <c r="B553" s="248">
        <f>YEAR(Table13[[#This Row],[Date]])+IF(MONTH(Table13[[#This Row],[Date]])&gt;=4,1,0)</f>
        <v>2027</v>
      </c>
      <c r="C553" s="249">
        <f>YEAR(Table13[[#This Row],[Date]])</f>
        <v>2026</v>
      </c>
      <c r="D553" s="250">
        <f>Table13[[#This Row],[Date]]-DAY(Table13[[#This Row],[Date]])+1</f>
        <v>46296</v>
      </c>
      <c r="AB553" s="10">
        <f t="shared" si="19"/>
        <v>0</v>
      </c>
    </row>
    <row r="554" spans="1:28">
      <c r="A554" s="42">
        <f t="shared" si="20"/>
        <v>46296</v>
      </c>
      <c r="B554" s="245">
        <f>YEAR(Table13[[#This Row],[Date]])+IF(MONTH(Table13[[#This Row],[Date]])&gt;=4,1,0)</f>
        <v>2027</v>
      </c>
      <c r="C554" s="246">
        <f>YEAR(Table13[[#This Row],[Date]])</f>
        <v>2026</v>
      </c>
      <c r="D554" s="247">
        <f>Table13[[#This Row],[Date]]-DAY(Table13[[#This Row],[Date]])+1</f>
        <v>46296</v>
      </c>
      <c r="AB554" s="10">
        <f t="shared" si="19"/>
        <v>0</v>
      </c>
    </row>
    <row r="555" spans="1:28">
      <c r="A555" s="251">
        <f t="shared" si="20"/>
        <v>46297</v>
      </c>
      <c r="B555" s="248">
        <f>YEAR(Table13[[#This Row],[Date]])+IF(MONTH(Table13[[#This Row],[Date]])&gt;=4,1,0)</f>
        <v>2027</v>
      </c>
      <c r="C555" s="249">
        <f>YEAR(Table13[[#This Row],[Date]])</f>
        <v>2026</v>
      </c>
      <c r="D555" s="250">
        <f>Table13[[#This Row],[Date]]-DAY(Table13[[#This Row],[Date]])+1</f>
        <v>46296</v>
      </c>
      <c r="AB555" s="10">
        <f t="shared" si="19"/>
        <v>0</v>
      </c>
    </row>
    <row r="556" spans="1:28">
      <c r="A556" s="42">
        <f t="shared" si="20"/>
        <v>46298</v>
      </c>
      <c r="B556" s="245">
        <f>YEAR(Table13[[#This Row],[Date]])+IF(MONTH(Table13[[#This Row],[Date]])&gt;=4,1,0)</f>
        <v>2027</v>
      </c>
      <c r="C556" s="246">
        <f>YEAR(Table13[[#This Row],[Date]])</f>
        <v>2026</v>
      </c>
      <c r="D556" s="247">
        <f>Table13[[#This Row],[Date]]-DAY(Table13[[#This Row],[Date]])+1</f>
        <v>46296</v>
      </c>
      <c r="AB556" s="10">
        <f t="shared" si="19"/>
        <v>0</v>
      </c>
    </row>
    <row r="557" spans="1:28">
      <c r="A557" s="251">
        <f t="shared" si="20"/>
        <v>46299</v>
      </c>
      <c r="B557" s="248">
        <f>YEAR(Table13[[#This Row],[Date]])+IF(MONTH(Table13[[#This Row],[Date]])&gt;=4,1,0)</f>
        <v>2027</v>
      </c>
      <c r="C557" s="249">
        <f>YEAR(Table13[[#This Row],[Date]])</f>
        <v>2026</v>
      </c>
      <c r="D557" s="250">
        <f>Table13[[#This Row],[Date]]-DAY(Table13[[#This Row],[Date]])+1</f>
        <v>46296</v>
      </c>
      <c r="AB557" s="10">
        <f t="shared" si="19"/>
        <v>0</v>
      </c>
    </row>
    <row r="558" spans="1:28">
      <c r="A558" s="42">
        <f t="shared" si="20"/>
        <v>46300</v>
      </c>
      <c r="B558" s="245">
        <f>YEAR(Table13[[#This Row],[Date]])+IF(MONTH(Table13[[#This Row],[Date]])&gt;=4,1,0)</f>
        <v>2027</v>
      </c>
      <c r="C558" s="246">
        <f>YEAR(Table13[[#This Row],[Date]])</f>
        <v>2026</v>
      </c>
      <c r="D558" s="247">
        <f>Table13[[#This Row],[Date]]-DAY(Table13[[#This Row],[Date]])+1</f>
        <v>46296</v>
      </c>
      <c r="AB558" s="10">
        <f t="shared" si="19"/>
        <v>0</v>
      </c>
    </row>
    <row r="559" spans="1:28">
      <c r="A559" s="251">
        <f t="shared" si="20"/>
        <v>46301</v>
      </c>
      <c r="B559" s="248">
        <f>YEAR(Table13[[#This Row],[Date]])+IF(MONTH(Table13[[#This Row],[Date]])&gt;=4,1,0)</f>
        <v>2027</v>
      </c>
      <c r="C559" s="249">
        <f>YEAR(Table13[[#This Row],[Date]])</f>
        <v>2026</v>
      </c>
      <c r="D559" s="250">
        <f>Table13[[#This Row],[Date]]-DAY(Table13[[#This Row],[Date]])+1</f>
        <v>46296</v>
      </c>
      <c r="AB559" s="10">
        <f t="shared" si="19"/>
        <v>0</v>
      </c>
    </row>
    <row r="560" spans="1:28">
      <c r="A560" s="42">
        <f t="shared" si="20"/>
        <v>46302</v>
      </c>
      <c r="B560" s="245">
        <f>YEAR(Table13[[#This Row],[Date]])+IF(MONTH(Table13[[#This Row],[Date]])&gt;=4,1,0)</f>
        <v>2027</v>
      </c>
      <c r="C560" s="246">
        <f>YEAR(Table13[[#This Row],[Date]])</f>
        <v>2026</v>
      </c>
      <c r="D560" s="247">
        <f>Table13[[#This Row],[Date]]-DAY(Table13[[#This Row],[Date]])+1</f>
        <v>46296</v>
      </c>
      <c r="AB560" s="10">
        <f t="shared" si="19"/>
        <v>0</v>
      </c>
    </row>
    <row r="561" spans="1:28">
      <c r="A561" s="251">
        <f t="shared" si="20"/>
        <v>46303</v>
      </c>
      <c r="B561" s="248">
        <f>YEAR(Table13[[#This Row],[Date]])+IF(MONTH(Table13[[#This Row],[Date]])&gt;=4,1,0)</f>
        <v>2027</v>
      </c>
      <c r="C561" s="249">
        <f>YEAR(Table13[[#This Row],[Date]])</f>
        <v>2026</v>
      </c>
      <c r="D561" s="250">
        <f>Table13[[#This Row],[Date]]-DAY(Table13[[#This Row],[Date]])+1</f>
        <v>46296</v>
      </c>
      <c r="AB561" s="10">
        <f t="shared" si="19"/>
        <v>0</v>
      </c>
    </row>
    <row r="562" spans="1:28">
      <c r="A562" s="42">
        <f t="shared" si="20"/>
        <v>46304</v>
      </c>
      <c r="B562" s="245">
        <f>YEAR(Table13[[#This Row],[Date]])+IF(MONTH(Table13[[#This Row],[Date]])&gt;=4,1,0)</f>
        <v>2027</v>
      </c>
      <c r="C562" s="246">
        <f>YEAR(Table13[[#This Row],[Date]])</f>
        <v>2026</v>
      </c>
      <c r="D562" s="247">
        <f>Table13[[#This Row],[Date]]-DAY(Table13[[#This Row],[Date]])+1</f>
        <v>46296</v>
      </c>
      <c r="AB562" s="10">
        <f t="shared" si="19"/>
        <v>0</v>
      </c>
    </row>
    <row r="563" spans="1:28">
      <c r="A563" s="251">
        <f t="shared" si="20"/>
        <v>46305</v>
      </c>
      <c r="B563" s="248">
        <f>YEAR(Table13[[#This Row],[Date]])+IF(MONTH(Table13[[#This Row],[Date]])&gt;=4,1,0)</f>
        <v>2027</v>
      </c>
      <c r="C563" s="249">
        <f>YEAR(Table13[[#This Row],[Date]])</f>
        <v>2026</v>
      </c>
      <c r="D563" s="250">
        <f>Table13[[#This Row],[Date]]-DAY(Table13[[#This Row],[Date]])+1</f>
        <v>46296</v>
      </c>
      <c r="AB563" s="10">
        <f t="shared" si="19"/>
        <v>0</v>
      </c>
    </row>
    <row r="564" spans="1:28">
      <c r="A564" s="42">
        <f t="shared" si="20"/>
        <v>46306</v>
      </c>
      <c r="B564" s="245">
        <f>YEAR(Table13[[#This Row],[Date]])+IF(MONTH(Table13[[#This Row],[Date]])&gt;=4,1,0)</f>
        <v>2027</v>
      </c>
      <c r="C564" s="246">
        <f>YEAR(Table13[[#This Row],[Date]])</f>
        <v>2026</v>
      </c>
      <c r="D564" s="247">
        <f>Table13[[#This Row],[Date]]-DAY(Table13[[#This Row],[Date]])+1</f>
        <v>46296</v>
      </c>
      <c r="AB564" s="10">
        <f t="shared" si="19"/>
        <v>0</v>
      </c>
    </row>
    <row r="565" spans="1:28">
      <c r="A565" s="251">
        <f t="shared" si="20"/>
        <v>46307</v>
      </c>
      <c r="B565" s="248">
        <f>YEAR(Table13[[#This Row],[Date]])+IF(MONTH(Table13[[#This Row],[Date]])&gt;=4,1,0)</f>
        <v>2027</v>
      </c>
      <c r="C565" s="249">
        <f>YEAR(Table13[[#This Row],[Date]])</f>
        <v>2026</v>
      </c>
      <c r="D565" s="250">
        <f>Table13[[#This Row],[Date]]-DAY(Table13[[#This Row],[Date]])+1</f>
        <v>46296</v>
      </c>
      <c r="AB565" s="10">
        <f t="shared" si="19"/>
        <v>0</v>
      </c>
    </row>
    <row r="566" spans="1:28">
      <c r="A566" s="42">
        <f t="shared" si="20"/>
        <v>46308</v>
      </c>
      <c r="B566" s="245">
        <f>YEAR(Table13[[#This Row],[Date]])+IF(MONTH(Table13[[#This Row],[Date]])&gt;=4,1,0)</f>
        <v>2027</v>
      </c>
      <c r="C566" s="246">
        <f>YEAR(Table13[[#This Row],[Date]])</f>
        <v>2026</v>
      </c>
      <c r="D566" s="247">
        <f>Table13[[#This Row],[Date]]-DAY(Table13[[#This Row],[Date]])+1</f>
        <v>46296</v>
      </c>
      <c r="AB566" s="10">
        <f t="shared" si="19"/>
        <v>0</v>
      </c>
    </row>
    <row r="567" spans="1:28">
      <c r="A567" s="251">
        <f t="shared" si="20"/>
        <v>46309</v>
      </c>
      <c r="B567" s="248">
        <f>YEAR(Table13[[#This Row],[Date]])+IF(MONTH(Table13[[#This Row],[Date]])&gt;=4,1,0)</f>
        <v>2027</v>
      </c>
      <c r="C567" s="249">
        <f>YEAR(Table13[[#This Row],[Date]])</f>
        <v>2026</v>
      </c>
      <c r="D567" s="250">
        <f>Table13[[#This Row],[Date]]-DAY(Table13[[#This Row],[Date]])+1</f>
        <v>46296</v>
      </c>
      <c r="AB567" s="10">
        <f t="shared" si="19"/>
        <v>0</v>
      </c>
    </row>
    <row r="568" spans="1:28">
      <c r="A568" s="42">
        <f t="shared" si="20"/>
        <v>46310</v>
      </c>
      <c r="B568" s="245">
        <f>YEAR(Table13[[#This Row],[Date]])+IF(MONTH(Table13[[#This Row],[Date]])&gt;=4,1,0)</f>
        <v>2027</v>
      </c>
      <c r="C568" s="246">
        <f>YEAR(Table13[[#This Row],[Date]])</f>
        <v>2026</v>
      </c>
      <c r="D568" s="247">
        <f>Table13[[#This Row],[Date]]-DAY(Table13[[#This Row],[Date]])+1</f>
        <v>46296</v>
      </c>
      <c r="AB568" s="10">
        <f t="shared" si="19"/>
        <v>0</v>
      </c>
    </row>
    <row r="569" spans="1:28">
      <c r="A569" s="251">
        <f t="shared" si="20"/>
        <v>46311</v>
      </c>
      <c r="B569" s="248">
        <f>YEAR(Table13[[#This Row],[Date]])+IF(MONTH(Table13[[#This Row],[Date]])&gt;=4,1,0)</f>
        <v>2027</v>
      </c>
      <c r="C569" s="249">
        <f>YEAR(Table13[[#This Row],[Date]])</f>
        <v>2026</v>
      </c>
      <c r="D569" s="250">
        <f>Table13[[#This Row],[Date]]-DAY(Table13[[#This Row],[Date]])+1</f>
        <v>46296</v>
      </c>
      <c r="AB569" s="10">
        <f t="shared" si="19"/>
        <v>0</v>
      </c>
    </row>
    <row r="570" spans="1:28">
      <c r="A570" s="42">
        <f t="shared" si="20"/>
        <v>46312</v>
      </c>
      <c r="B570" s="245">
        <f>YEAR(Table13[[#This Row],[Date]])+IF(MONTH(Table13[[#This Row],[Date]])&gt;=4,1,0)</f>
        <v>2027</v>
      </c>
      <c r="C570" s="246">
        <f>YEAR(Table13[[#This Row],[Date]])</f>
        <v>2026</v>
      </c>
      <c r="D570" s="247">
        <f>Table13[[#This Row],[Date]]-DAY(Table13[[#This Row],[Date]])+1</f>
        <v>46296</v>
      </c>
      <c r="AB570" s="10">
        <f t="shared" si="19"/>
        <v>0</v>
      </c>
    </row>
    <row r="571" spans="1:28">
      <c r="A571" s="251">
        <f t="shared" si="20"/>
        <v>46313</v>
      </c>
      <c r="B571" s="248">
        <f>YEAR(Table13[[#This Row],[Date]])+IF(MONTH(Table13[[#This Row],[Date]])&gt;=4,1,0)</f>
        <v>2027</v>
      </c>
      <c r="C571" s="249">
        <f>YEAR(Table13[[#This Row],[Date]])</f>
        <v>2026</v>
      </c>
      <c r="D571" s="250">
        <f>Table13[[#This Row],[Date]]-DAY(Table13[[#This Row],[Date]])+1</f>
        <v>46296</v>
      </c>
      <c r="AB571" s="10">
        <f t="shared" si="19"/>
        <v>0</v>
      </c>
    </row>
    <row r="572" spans="1:28">
      <c r="A572" s="42">
        <f t="shared" si="20"/>
        <v>46314</v>
      </c>
      <c r="B572" s="245">
        <f>YEAR(Table13[[#This Row],[Date]])+IF(MONTH(Table13[[#This Row],[Date]])&gt;=4,1,0)</f>
        <v>2027</v>
      </c>
      <c r="C572" s="246">
        <f>YEAR(Table13[[#This Row],[Date]])</f>
        <v>2026</v>
      </c>
      <c r="D572" s="247">
        <f>Table13[[#This Row],[Date]]-DAY(Table13[[#This Row],[Date]])+1</f>
        <v>46296</v>
      </c>
      <c r="AB572" s="10">
        <f t="shared" si="19"/>
        <v>0</v>
      </c>
    </row>
    <row r="573" spans="1:28">
      <c r="A573" s="251">
        <f t="shared" si="20"/>
        <v>46315</v>
      </c>
      <c r="B573" s="248">
        <f>YEAR(Table13[[#This Row],[Date]])+IF(MONTH(Table13[[#This Row],[Date]])&gt;=4,1,0)</f>
        <v>2027</v>
      </c>
      <c r="C573" s="249">
        <f>YEAR(Table13[[#This Row],[Date]])</f>
        <v>2026</v>
      </c>
      <c r="D573" s="250">
        <f>Table13[[#This Row],[Date]]-DAY(Table13[[#This Row],[Date]])+1</f>
        <v>46296</v>
      </c>
      <c r="AB573" s="10">
        <f t="shared" si="19"/>
        <v>0</v>
      </c>
    </row>
    <row r="574" spans="1:28">
      <c r="A574" s="42">
        <f t="shared" si="20"/>
        <v>46316</v>
      </c>
      <c r="B574" s="245">
        <f>YEAR(Table13[[#This Row],[Date]])+IF(MONTH(Table13[[#This Row],[Date]])&gt;=4,1,0)</f>
        <v>2027</v>
      </c>
      <c r="C574" s="246">
        <f>YEAR(Table13[[#This Row],[Date]])</f>
        <v>2026</v>
      </c>
      <c r="D574" s="247">
        <f>Table13[[#This Row],[Date]]-DAY(Table13[[#This Row],[Date]])+1</f>
        <v>46296</v>
      </c>
      <c r="AB574" s="10">
        <f t="shared" si="19"/>
        <v>0</v>
      </c>
    </row>
    <row r="575" spans="1:28">
      <c r="A575" s="251">
        <f t="shared" si="20"/>
        <v>46317</v>
      </c>
      <c r="B575" s="248">
        <f>YEAR(Table13[[#This Row],[Date]])+IF(MONTH(Table13[[#This Row],[Date]])&gt;=4,1,0)</f>
        <v>2027</v>
      </c>
      <c r="C575" s="249">
        <f>YEAR(Table13[[#This Row],[Date]])</f>
        <v>2026</v>
      </c>
      <c r="D575" s="250">
        <f>Table13[[#This Row],[Date]]-DAY(Table13[[#This Row],[Date]])+1</f>
        <v>46296</v>
      </c>
      <c r="AB575" s="10">
        <f t="shared" si="19"/>
        <v>0</v>
      </c>
    </row>
    <row r="576" spans="1:28">
      <c r="A576" s="42">
        <f t="shared" si="20"/>
        <v>46318</v>
      </c>
      <c r="B576" s="245">
        <f>YEAR(Table13[[#This Row],[Date]])+IF(MONTH(Table13[[#This Row],[Date]])&gt;=4,1,0)</f>
        <v>2027</v>
      </c>
      <c r="C576" s="246">
        <f>YEAR(Table13[[#This Row],[Date]])</f>
        <v>2026</v>
      </c>
      <c r="D576" s="247">
        <f>Table13[[#This Row],[Date]]-DAY(Table13[[#This Row],[Date]])+1</f>
        <v>46296</v>
      </c>
      <c r="AB576" s="10">
        <f t="shared" si="19"/>
        <v>0</v>
      </c>
    </row>
    <row r="577" spans="1:28">
      <c r="A577" s="251">
        <f t="shared" si="20"/>
        <v>46319</v>
      </c>
      <c r="B577" s="248">
        <f>YEAR(Table13[[#This Row],[Date]])+IF(MONTH(Table13[[#This Row],[Date]])&gt;=4,1,0)</f>
        <v>2027</v>
      </c>
      <c r="C577" s="249">
        <f>YEAR(Table13[[#This Row],[Date]])</f>
        <v>2026</v>
      </c>
      <c r="D577" s="250">
        <f>Table13[[#This Row],[Date]]-DAY(Table13[[#This Row],[Date]])+1</f>
        <v>46296</v>
      </c>
      <c r="AB577" s="10">
        <f t="shared" si="19"/>
        <v>0</v>
      </c>
    </row>
    <row r="578" spans="1:28">
      <c r="A578" s="42">
        <f t="shared" si="20"/>
        <v>46320</v>
      </c>
      <c r="B578" s="245">
        <f>YEAR(Table13[[#This Row],[Date]])+IF(MONTH(Table13[[#This Row],[Date]])&gt;=4,1,0)</f>
        <v>2027</v>
      </c>
      <c r="C578" s="246">
        <f>YEAR(Table13[[#This Row],[Date]])</f>
        <v>2026</v>
      </c>
      <c r="D578" s="247">
        <f>Table13[[#This Row],[Date]]-DAY(Table13[[#This Row],[Date]])+1</f>
        <v>46296</v>
      </c>
      <c r="AB578" s="10">
        <f t="shared" si="19"/>
        <v>0</v>
      </c>
    </row>
    <row r="579" spans="1:28">
      <c r="A579" s="251">
        <f t="shared" si="20"/>
        <v>46321</v>
      </c>
      <c r="B579" s="248">
        <f>YEAR(Table13[[#This Row],[Date]])+IF(MONTH(Table13[[#This Row],[Date]])&gt;=4,1,0)</f>
        <v>2027</v>
      </c>
      <c r="C579" s="249">
        <f>YEAR(Table13[[#This Row],[Date]])</f>
        <v>2026</v>
      </c>
      <c r="D579" s="250">
        <f>Table13[[#This Row],[Date]]-DAY(Table13[[#This Row],[Date]])+1</f>
        <v>46296</v>
      </c>
      <c r="AB579" s="10">
        <f t="shared" si="19"/>
        <v>0</v>
      </c>
    </row>
    <row r="580" spans="1:28">
      <c r="A580" s="42">
        <f t="shared" si="20"/>
        <v>46322</v>
      </c>
      <c r="B580" s="245">
        <f>YEAR(Table13[[#This Row],[Date]])+IF(MONTH(Table13[[#This Row],[Date]])&gt;=4,1,0)</f>
        <v>2027</v>
      </c>
      <c r="C580" s="246">
        <f>YEAR(Table13[[#This Row],[Date]])</f>
        <v>2026</v>
      </c>
      <c r="D580" s="247">
        <f>Table13[[#This Row],[Date]]-DAY(Table13[[#This Row],[Date]])+1</f>
        <v>46296</v>
      </c>
      <c r="AB580" s="10">
        <f t="shared" si="19"/>
        <v>0</v>
      </c>
    </row>
    <row r="581" spans="1:28">
      <c r="A581" s="251">
        <f t="shared" si="20"/>
        <v>46323</v>
      </c>
      <c r="B581" s="248">
        <f>YEAR(Table13[[#This Row],[Date]])+IF(MONTH(Table13[[#This Row],[Date]])&gt;=4,1,0)</f>
        <v>2027</v>
      </c>
      <c r="C581" s="249">
        <f>YEAR(Table13[[#This Row],[Date]])</f>
        <v>2026</v>
      </c>
      <c r="D581" s="250">
        <f>Table13[[#This Row],[Date]]-DAY(Table13[[#This Row],[Date]])+1</f>
        <v>46296</v>
      </c>
      <c r="AB581" s="10">
        <f t="shared" si="19"/>
        <v>0</v>
      </c>
    </row>
    <row r="582" spans="1:28">
      <c r="A582" s="42">
        <f t="shared" si="20"/>
        <v>46324</v>
      </c>
      <c r="B582" s="245">
        <f>YEAR(Table13[[#This Row],[Date]])+IF(MONTH(Table13[[#This Row],[Date]])&gt;=4,1,0)</f>
        <v>2027</v>
      </c>
      <c r="C582" s="246">
        <f>YEAR(Table13[[#This Row],[Date]])</f>
        <v>2026</v>
      </c>
      <c r="D582" s="247">
        <f>Table13[[#This Row],[Date]]-DAY(Table13[[#This Row],[Date]])+1</f>
        <v>46296</v>
      </c>
      <c r="AB582" s="10">
        <f t="shared" si="19"/>
        <v>0</v>
      </c>
    </row>
    <row r="583" spans="1:28">
      <c r="A583" s="251">
        <f t="shared" si="20"/>
        <v>46325</v>
      </c>
      <c r="B583" s="248">
        <f>YEAR(Table13[[#This Row],[Date]])+IF(MONTH(Table13[[#This Row],[Date]])&gt;=4,1,0)</f>
        <v>2027</v>
      </c>
      <c r="C583" s="249">
        <f>YEAR(Table13[[#This Row],[Date]])</f>
        <v>2026</v>
      </c>
      <c r="D583" s="250">
        <f>Table13[[#This Row],[Date]]-DAY(Table13[[#This Row],[Date]])+1</f>
        <v>46296</v>
      </c>
      <c r="AB583" s="10">
        <f t="shared" si="19"/>
        <v>0</v>
      </c>
    </row>
    <row r="584" spans="1:28">
      <c r="A584" s="42">
        <f t="shared" si="20"/>
        <v>46326</v>
      </c>
      <c r="B584" s="245">
        <f>YEAR(Table13[[#This Row],[Date]])+IF(MONTH(Table13[[#This Row],[Date]])&gt;=4,1,0)</f>
        <v>2027</v>
      </c>
      <c r="C584" s="246">
        <f>YEAR(Table13[[#This Row],[Date]])</f>
        <v>2026</v>
      </c>
      <c r="D584" s="247">
        <f>Table13[[#This Row],[Date]]-DAY(Table13[[#This Row],[Date]])+1</f>
        <v>46327</v>
      </c>
      <c r="AB584" s="10">
        <f t="shared" ref="AB584:AB609" si="21">SUM(E584:AA584)</f>
        <v>0</v>
      </c>
    </row>
    <row r="585" spans="1:28">
      <c r="A585" s="251">
        <f t="shared" si="20"/>
        <v>46327</v>
      </c>
      <c r="B585" s="248">
        <f>YEAR(Table13[[#This Row],[Date]])+IF(MONTH(Table13[[#This Row],[Date]])&gt;=4,1,0)</f>
        <v>2027</v>
      </c>
      <c r="C585" s="249">
        <f>YEAR(Table13[[#This Row],[Date]])</f>
        <v>2026</v>
      </c>
      <c r="D585" s="250">
        <f>Table13[[#This Row],[Date]]-DAY(Table13[[#This Row],[Date]])+1</f>
        <v>46327</v>
      </c>
      <c r="AB585" s="10">
        <f t="shared" si="21"/>
        <v>0</v>
      </c>
    </row>
    <row r="586" spans="1:28">
      <c r="A586" s="42">
        <f t="shared" ref="A586:A609" si="22">A585+1</f>
        <v>46328</v>
      </c>
      <c r="B586" s="245">
        <f>YEAR(Table13[[#This Row],[Date]])+IF(MONTH(Table13[[#This Row],[Date]])&gt;=4,1,0)</f>
        <v>2027</v>
      </c>
      <c r="C586" s="246">
        <f>YEAR(Table13[[#This Row],[Date]])</f>
        <v>2026</v>
      </c>
      <c r="D586" s="247">
        <f>Table13[[#This Row],[Date]]-DAY(Table13[[#This Row],[Date]])+1</f>
        <v>46327</v>
      </c>
      <c r="AB586" s="10">
        <f t="shared" si="21"/>
        <v>0</v>
      </c>
    </row>
    <row r="587" spans="1:28">
      <c r="A587" s="251">
        <f t="shared" si="22"/>
        <v>46329</v>
      </c>
      <c r="B587" s="248">
        <f>YEAR(Table13[[#This Row],[Date]])+IF(MONTH(Table13[[#This Row],[Date]])&gt;=4,1,0)</f>
        <v>2027</v>
      </c>
      <c r="C587" s="249">
        <f>YEAR(Table13[[#This Row],[Date]])</f>
        <v>2026</v>
      </c>
      <c r="D587" s="250">
        <f>Table13[[#This Row],[Date]]-DAY(Table13[[#This Row],[Date]])+1</f>
        <v>46327</v>
      </c>
      <c r="AB587" s="10">
        <f t="shared" si="21"/>
        <v>0</v>
      </c>
    </row>
    <row r="588" spans="1:28">
      <c r="A588" s="42">
        <f t="shared" si="22"/>
        <v>46330</v>
      </c>
      <c r="B588" s="245">
        <f>YEAR(Table13[[#This Row],[Date]])+IF(MONTH(Table13[[#This Row],[Date]])&gt;=4,1,0)</f>
        <v>2027</v>
      </c>
      <c r="C588" s="246">
        <f>YEAR(Table13[[#This Row],[Date]])</f>
        <v>2026</v>
      </c>
      <c r="D588" s="247">
        <f>Table13[[#This Row],[Date]]-DAY(Table13[[#This Row],[Date]])+1</f>
        <v>46327</v>
      </c>
      <c r="AB588" s="10">
        <f t="shared" si="21"/>
        <v>0</v>
      </c>
    </row>
    <row r="589" spans="1:28">
      <c r="A589" s="251">
        <f t="shared" si="22"/>
        <v>46331</v>
      </c>
      <c r="B589" s="248">
        <f>YEAR(Table13[[#This Row],[Date]])+IF(MONTH(Table13[[#This Row],[Date]])&gt;=4,1,0)</f>
        <v>2027</v>
      </c>
      <c r="C589" s="249">
        <f>YEAR(Table13[[#This Row],[Date]])</f>
        <v>2026</v>
      </c>
      <c r="D589" s="250">
        <f>Table13[[#This Row],[Date]]-DAY(Table13[[#This Row],[Date]])+1</f>
        <v>46327</v>
      </c>
      <c r="AB589" s="10">
        <f t="shared" si="21"/>
        <v>0</v>
      </c>
    </row>
    <row r="590" spans="1:28">
      <c r="A590" s="42">
        <f t="shared" si="22"/>
        <v>46332</v>
      </c>
      <c r="B590" s="245">
        <f>YEAR(Table13[[#This Row],[Date]])+IF(MONTH(Table13[[#This Row],[Date]])&gt;=4,1,0)</f>
        <v>2027</v>
      </c>
      <c r="C590" s="246">
        <f>YEAR(Table13[[#This Row],[Date]])</f>
        <v>2026</v>
      </c>
      <c r="D590" s="247">
        <f>Table13[[#This Row],[Date]]-DAY(Table13[[#This Row],[Date]])+1</f>
        <v>46327</v>
      </c>
      <c r="AB590" s="10">
        <f t="shared" si="21"/>
        <v>0</v>
      </c>
    </row>
    <row r="591" spans="1:28">
      <c r="A591" s="251">
        <f t="shared" si="22"/>
        <v>46333</v>
      </c>
      <c r="B591" s="248">
        <f>YEAR(Table13[[#This Row],[Date]])+IF(MONTH(Table13[[#This Row],[Date]])&gt;=4,1,0)</f>
        <v>2027</v>
      </c>
      <c r="C591" s="249">
        <f>YEAR(Table13[[#This Row],[Date]])</f>
        <v>2026</v>
      </c>
      <c r="D591" s="250">
        <f>Table13[[#This Row],[Date]]-DAY(Table13[[#This Row],[Date]])+1</f>
        <v>46327</v>
      </c>
      <c r="AB591" s="10">
        <f t="shared" si="21"/>
        <v>0</v>
      </c>
    </row>
    <row r="592" spans="1:28">
      <c r="A592" s="42">
        <f t="shared" si="22"/>
        <v>46334</v>
      </c>
      <c r="B592" s="245">
        <f>YEAR(Table13[[#This Row],[Date]])+IF(MONTH(Table13[[#This Row],[Date]])&gt;=4,1,0)</f>
        <v>2027</v>
      </c>
      <c r="C592" s="246">
        <f>YEAR(Table13[[#This Row],[Date]])</f>
        <v>2026</v>
      </c>
      <c r="D592" s="247">
        <f>Table13[[#This Row],[Date]]-DAY(Table13[[#This Row],[Date]])+1</f>
        <v>46327</v>
      </c>
      <c r="AB592" s="10">
        <f t="shared" si="21"/>
        <v>0</v>
      </c>
    </row>
    <row r="593" spans="1:28">
      <c r="A593" s="251">
        <f t="shared" si="22"/>
        <v>46335</v>
      </c>
      <c r="B593" s="248">
        <f>YEAR(Table13[[#This Row],[Date]])+IF(MONTH(Table13[[#This Row],[Date]])&gt;=4,1,0)</f>
        <v>2027</v>
      </c>
      <c r="C593" s="249">
        <f>YEAR(Table13[[#This Row],[Date]])</f>
        <v>2026</v>
      </c>
      <c r="D593" s="250">
        <f>Table13[[#This Row],[Date]]-DAY(Table13[[#This Row],[Date]])+1</f>
        <v>46327</v>
      </c>
      <c r="AB593" s="10">
        <f t="shared" si="21"/>
        <v>0</v>
      </c>
    </row>
    <row r="594" spans="1:28">
      <c r="A594" s="42">
        <f t="shared" si="22"/>
        <v>46336</v>
      </c>
      <c r="B594" s="245">
        <f>YEAR(Table13[[#This Row],[Date]])+IF(MONTH(Table13[[#This Row],[Date]])&gt;=4,1,0)</f>
        <v>2027</v>
      </c>
      <c r="C594" s="246">
        <f>YEAR(Table13[[#This Row],[Date]])</f>
        <v>2026</v>
      </c>
      <c r="D594" s="247">
        <f>Table13[[#This Row],[Date]]-DAY(Table13[[#This Row],[Date]])+1</f>
        <v>46327</v>
      </c>
      <c r="AB594" s="10">
        <f t="shared" si="21"/>
        <v>0</v>
      </c>
    </row>
    <row r="595" spans="1:28">
      <c r="A595" s="251">
        <f t="shared" si="22"/>
        <v>46337</v>
      </c>
      <c r="B595" s="248">
        <f>YEAR(Table13[[#This Row],[Date]])+IF(MONTH(Table13[[#This Row],[Date]])&gt;=4,1,0)</f>
        <v>2027</v>
      </c>
      <c r="C595" s="249">
        <f>YEAR(Table13[[#This Row],[Date]])</f>
        <v>2026</v>
      </c>
      <c r="D595" s="250">
        <f>Table13[[#This Row],[Date]]-DAY(Table13[[#This Row],[Date]])+1</f>
        <v>46327</v>
      </c>
      <c r="AB595" s="10">
        <f t="shared" si="21"/>
        <v>0</v>
      </c>
    </row>
    <row r="596" spans="1:28">
      <c r="A596" s="42">
        <f t="shared" si="22"/>
        <v>46338</v>
      </c>
      <c r="B596" s="245">
        <f>YEAR(Table13[[#This Row],[Date]])+IF(MONTH(Table13[[#This Row],[Date]])&gt;=4,1,0)</f>
        <v>2027</v>
      </c>
      <c r="C596" s="246">
        <f>YEAR(Table13[[#This Row],[Date]])</f>
        <v>2026</v>
      </c>
      <c r="D596" s="247">
        <f>Table13[[#This Row],[Date]]-DAY(Table13[[#This Row],[Date]])+1</f>
        <v>46327</v>
      </c>
      <c r="AB596" s="10">
        <f t="shared" si="21"/>
        <v>0</v>
      </c>
    </row>
    <row r="597" spans="1:28">
      <c r="A597" s="251">
        <f t="shared" si="22"/>
        <v>46339</v>
      </c>
      <c r="B597" s="248">
        <f>YEAR(Table13[[#This Row],[Date]])+IF(MONTH(Table13[[#This Row],[Date]])&gt;=4,1,0)</f>
        <v>2027</v>
      </c>
      <c r="C597" s="249">
        <f>YEAR(Table13[[#This Row],[Date]])</f>
        <v>2026</v>
      </c>
      <c r="D597" s="250">
        <f>Table13[[#This Row],[Date]]-DAY(Table13[[#This Row],[Date]])+1</f>
        <v>46327</v>
      </c>
      <c r="AB597" s="10">
        <f t="shared" si="21"/>
        <v>0</v>
      </c>
    </row>
    <row r="598" spans="1:28">
      <c r="A598" s="42">
        <f t="shared" si="22"/>
        <v>46340</v>
      </c>
      <c r="B598" s="245">
        <f>YEAR(Table13[[#This Row],[Date]])+IF(MONTH(Table13[[#This Row],[Date]])&gt;=4,1,0)</f>
        <v>2027</v>
      </c>
      <c r="C598" s="246">
        <f>YEAR(Table13[[#This Row],[Date]])</f>
        <v>2026</v>
      </c>
      <c r="D598" s="247">
        <f>Table13[[#This Row],[Date]]-DAY(Table13[[#This Row],[Date]])+1</f>
        <v>46327</v>
      </c>
      <c r="AB598" s="10">
        <f t="shared" si="21"/>
        <v>0</v>
      </c>
    </row>
    <row r="599" spans="1:28">
      <c r="A599" s="251">
        <f t="shared" si="22"/>
        <v>46341</v>
      </c>
      <c r="B599" s="248">
        <f>YEAR(Table13[[#This Row],[Date]])+IF(MONTH(Table13[[#This Row],[Date]])&gt;=4,1,0)</f>
        <v>2027</v>
      </c>
      <c r="C599" s="249">
        <f>YEAR(Table13[[#This Row],[Date]])</f>
        <v>2026</v>
      </c>
      <c r="D599" s="250">
        <f>Table13[[#This Row],[Date]]-DAY(Table13[[#This Row],[Date]])+1</f>
        <v>46327</v>
      </c>
      <c r="AB599" s="10">
        <f t="shared" si="21"/>
        <v>0</v>
      </c>
    </row>
    <row r="600" spans="1:28">
      <c r="A600" s="42">
        <f t="shared" si="22"/>
        <v>46342</v>
      </c>
      <c r="B600" s="245">
        <f>YEAR(Table13[[#This Row],[Date]])+IF(MONTH(Table13[[#This Row],[Date]])&gt;=4,1,0)</f>
        <v>2027</v>
      </c>
      <c r="C600" s="246">
        <f>YEAR(Table13[[#This Row],[Date]])</f>
        <v>2026</v>
      </c>
      <c r="D600" s="247">
        <f>Table13[[#This Row],[Date]]-DAY(Table13[[#This Row],[Date]])+1</f>
        <v>46327</v>
      </c>
      <c r="AB600" s="10">
        <f t="shared" si="21"/>
        <v>0</v>
      </c>
    </row>
    <row r="601" spans="1:28">
      <c r="A601" s="251">
        <f t="shared" si="22"/>
        <v>46343</v>
      </c>
      <c r="B601" s="248">
        <f>YEAR(Table13[[#This Row],[Date]])+IF(MONTH(Table13[[#This Row],[Date]])&gt;=4,1,0)</f>
        <v>2027</v>
      </c>
      <c r="C601" s="249">
        <f>YEAR(Table13[[#This Row],[Date]])</f>
        <v>2026</v>
      </c>
      <c r="D601" s="250">
        <f>Table13[[#This Row],[Date]]-DAY(Table13[[#This Row],[Date]])+1</f>
        <v>46327</v>
      </c>
      <c r="AB601" s="10">
        <f t="shared" si="21"/>
        <v>0</v>
      </c>
    </row>
    <row r="602" spans="1:28">
      <c r="A602" s="42">
        <f t="shared" si="22"/>
        <v>46344</v>
      </c>
      <c r="B602" s="245">
        <f>YEAR(Table13[[#This Row],[Date]])+IF(MONTH(Table13[[#This Row],[Date]])&gt;=4,1,0)</f>
        <v>2027</v>
      </c>
      <c r="C602" s="246">
        <f>YEAR(Table13[[#This Row],[Date]])</f>
        <v>2026</v>
      </c>
      <c r="D602" s="247">
        <f>Table13[[#This Row],[Date]]-DAY(Table13[[#This Row],[Date]])+1</f>
        <v>46327</v>
      </c>
      <c r="AB602" s="10">
        <f t="shared" si="21"/>
        <v>0</v>
      </c>
    </row>
    <row r="603" spans="1:28">
      <c r="A603" s="251">
        <f t="shared" si="22"/>
        <v>46345</v>
      </c>
      <c r="B603" s="248">
        <f>YEAR(Table13[[#This Row],[Date]])+IF(MONTH(Table13[[#This Row],[Date]])&gt;=4,1,0)</f>
        <v>2027</v>
      </c>
      <c r="C603" s="249">
        <f>YEAR(Table13[[#This Row],[Date]])</f>
        <v>2026</v>
      </c>
      <c r="D603" s="250">
        <f>Table13[[#This Row],[Date]]-DAY(Table13[[#This Row],[Date]])+1</f>
        <v>46327</v>
      </c>
      <c r="AB603" s="10">
        <f t="shared" si="21"/>
        <v>0</v>
      </c>
    </row>
    <row r="604" spans="1:28">
      <c r="A604" s="42">
        <f t="shared" si="22"/>
        <v>46346</v>
      </c>
      <c r="B604" s="245">
        <f>YEAR(Table13[[#This Row],[Date]])+IF(MONTH(Table13[[#This Row],[Date]])&gt;=4,1,0)</f>
        <v>2027</v>
      </c>
      <c r="C604" s="246">
        <f>YEAR(Table13[[#This Row],[Date]])</f>
        <v>2026</v>
      </c>
      <c r="D604" s="247">
        <f>Table13[[#This Row],[Date]]-DAY(Table13[[#This Row],[Date]])+1</f>
        <v>46327</v>
      </c>
      <c r="AB604" s="10">
        <f t="shared" si="21"/>
        <v>0</v>
      </c>
    </row>
    <row r="605" spans="1:28">
      <c r="A605" s="251">
        <f t="shared" si="22"/>
        <v>46347</v>
      </c>
      <c r="B605" s="248">
        <f>YEAR(Table13[[#This Row],[Date]])+IF(MONTH(Table13[[#This Row],[Date]])&gt;=4,1,0)</f>
        <v>2027</v>
      </c>
      <c r="C605" s="249">
        <f>YEAR(Table13[[#This Row],[Date]])</f>
        <v>2026</v>
      </c>
      <c r="D605" s="250">
        <f>Table13[[#This Row],[Date]]-DAY(Table13[[#This Row],[Date]])+1</f>
        <v>46327</v>
      </c>
      <c r="AB605" s="10">
        <f t="shared" si="21"/>
        <v>0</v>
      </c>
    </row>
    <row r="606" spans="1:28">
      <c r="A606" s="42">
        <f t="shared" si="22"/>
        <v>46348</v>
      </c>
      <c r="B606" s="245">
        <f>YEAR(Table13[[#This Row],[Date]])+IF(MONTH(Table13[[#This Row],[Date]])&gt;=4,1,0)</f>
        <v>2027</v>
      </c>
      <c r="C606" s="246">
        <f>YEAR(Table13[[#This Row],[Date]])</f>
        <v>2026</v>
      </c>
      <c r="D606" s="247">
        <f>Table13[[#This Row],[Date]]-DAY(Table13[[#This Row],[Date]])+1</f>
        <v>46327</v>
      </c>
      <c r="AB606" s="10">
        <f t="shared" si="21"/>
        <v>0</v>
      </c>
    </row>
    <row r="607" spans="1:28">
      <c r="A607" s="251">
        <f t="shared" si="22"/>
        <v>46349</v>
      </c>
      <c r="B607" s="248">
        <f>YEAR(Table13[[#This Row],[Date]])+IF(MONTH(Table13[[#This Row],[Date]])&gt;=4,1,0)</f>
        <v>2027</v>
      </c>
      <c r="C607" s="249">
        <f>YEAR(Table13[[#This Row],[Date]])</f>
        <v>2026</v>
      </c>
      <c r="D607" s="250">
        <f>Table13[[#This Row],[Date]]-DAY(Table13[[#This Row],[Date]])+1</f>
        <v>46327</v>
      </c>
      <c r="AB607" s="10">
        <f t="shared" si="21"/>
        <v>0</v>
      </c>
    </row>
    <row r="608" spans="1:28">
      <c r="A608" s="42">
        <f t="shared" si="22"/>
        <v>46350</v>
      </c>
      <c r="B608" s="245">
        <f>YEAR(Table13[[#This Row],[Date]])+IF(MONTH(Table13[[#This Row],[Date]])&gt;=4,1,0)</f>
        <v>2027</v>
      </c>
      <c r="C608" s="246">
        <f>YEAR(Table13[[#This Row],[Date]])</f>
        <v>2026</v>
      </c>
      <c r="D608" s="247">
        <f>Table13[[#This Row],[Date]]-DAY(Table13[[#This Row],[Date]])+1</f>
        <v>46327</v>
      </c>
      <c r="AB608" s="10">
        <f t="shared" si="21"/>
        <v>0</v>
      </c>
    </row>
    <row r="609" spans="1:28">
      <c r="A609" s="251">
        <f t="shared" si="22"/>
        <v>46351</v>
      </c>
      <c r="B609" s="248">
        <f>YEAR(Table13[[#This Row],[Date]])+IF(MONTH(Table13[[#This Row],[Date]])&gt;=4,1,0)</f>
        <v>2027</v>
      </c>
      <c r="C609" s="249">
        <f>YEAR(Table13[[#This Row],[Date]])</f>
        <v>2026</v>
      </c>
      <c r="D609" s="250">
        <f>Table13[[#This Row],[Date]]-DAY(Table13[[#This Row],[Date]])+1</f>
        <v>46327</v>
      </c>
      <c r="AB609" s="10">
        <f t="shared" si="21"/>
        <v>0</v>
      </c>
    </row>
  </sheetData>
  <phoneticPr fontId="103"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311"/>
  <sheetViews>
    <sheetView zoomScaleNormal="100" workbookViewId="0">
      <pane xSplit="7" ySplit="4" topLeftCell="H167" activePane="bottomRight" state="frozen"/>
      <selection pane="topRight" activeCell="G1" sqref="G1"/>
      <selection pane="bottomLeft" activeCell="A5" sqref="A5"/>
      <selection pane="bottomRight" activeCell="U176" sqref="U176"/>
    </sheetView>
  </sheetViews>
  <sheetFormatPr defaultColWidth="8.7265625" defaultRowHeight="14.5"/>
  <cols>
    <col min="1" max="1" width="10.26953125" customWidth="1"/>
    <col min="2" max="2" width="12.26953125" customWidth="1"/>
    <col min="3" max="3" width="12.7265625" customWidth="1"/>
    <col min="4" max="5" width="13.7265625" customWidth="1"/>
    <col min="6" max="6" width="10.26953125" customWidth="1"/>
    <col min="7" max="7" width="8.7265625" customWidth="1"/>
    <col min="8" max="8" width="6.7265625" style="4" customWidth="1"/>
    <col min="9" max="9" width="9" style="4" customWidth="1"/>
    <col min="10" max="10" width="24.7265625" customWidth="1"/>
    <col min="11" max="11" width="60.453125" customWidth="1"/>
    <col min="12" max="12" width="8.7265625" style="52" customWidth="1"/>
    <col min="13" max="13" width="10.26953125" style="52" customWidth="1"/>
    <col min="14" max="14" width="12" style="52" customWidth="1"/>
    <col min="15" max="15" width="12.26953125" style="356" bestFit="1" customWidth="1"/>
    <col min="16" max="16" width="15" style="356" customWidth="1"/>
    <col min="17" max="17" width="8.7265625" style="356" customWidth="1"/>
    <col min="18" max="18" width="46" customWidth="1"/>
    <col min="19" max="19" width="13.26953125" customWidth="1"/>
    <col min="20" max="22" width="17.26953125" customWidth="1"/>
    <col min="23" max="23" width="11.453125" customWidth="1"/>
    <col min="24" max="24" width="11" bestFit="1" customWidth="1"/>
    <col min="25" max="25" width="14.453125" bestFit="1" customWidth="1"/>
  </cols>
  <sheetData>
    <row r="1" spans="1:26" ht="42" hidden="1" customHeight="1">
      <c r="L1"/>
      <c r="M1"/>
      <c r="N1"/>
      <c r="O1"/>
      <c r="P1"/>
      <c r="Q1"/>
    </row>
    <row r="2" spans="1:26" hidden="1">
      <c r="L2"/>
      <c r="M2"/>
      <c r="N2"/>
      <c r="O2"/>
      <c r="P2"/>
      <c r="Q2"/>
    </row>
    <row r="3" spans="1:26" hidden="1">
      <c r="L3"/>
      <c r="M3"/>
      <c r="N3"/>
      <c r="O3"/>
      <c r="P3"/>
      <c r="Q3"/>
    </row>
    <row r="4" spans="1:26" ht="36">
      <c r="A4" s="30" t="s">
        <v>6</v>
      </c>
      <c r="B4" s="30" t="s">
        <v>149</v>
      </c>
      <c r="C4" s="30" t="s">
        <v>150</v>
      </c>
      <c r="D4" s="30" t="s">
        <v>236</v>
      </c>
      <c r="E4" s="30" t="s">
        <v>4264</v>
      </c>
      <c r="F4" s="31" t="s">
        <v>148</v>
      </c>
      <c r="G4" s="30" t="s">
        <v>385</v>
      </c>
      <c r="H4" s="30" t="s">
        <v>39</v>
      </c>
      <c r="I4" s="30" t="s">
        <v>421</v>
      </c>
      <c r="J4" s="30" t="s">
        <v>239</v>
      </c>
      <c r="K4" s="30" t="s">
        <v>242</v>
      </c>
      <c r="L4" s="30" t="s">
        <v>243</v>
      </c>
      <c r="M4" s="30" t="s">
        <v>244</v>
      </c>
      <c r="N4" s="30" t="s">
        <v>245</v>
      </c>
      <c r="O4" s="30" t="s">
        <v>246</v>
      </c>
      <c r="P4" s="30" t="s">
        <v>247</v>
      </c>
      <c r="Q4" s="30" t="s">
        <v>248</v>
      </c>
      <c r="R4" s="30" t="s">
        <v>249</v>
      </c>
      <c r="S4" s="30" t="s">
        <v>250</v>
      </c>
      <c r="T4" s="30" t="s">
        <v>251</v>
      </c>
      <c r="U4" s="30" t="s">
        <v>4615</v>
      </c>
      <c r="V4" s="353" t="s">
        <v>4655</v>
      </c>
      <c r="W4" s="37" t="s">
        <v>253</v>
      </c>
      <c r="X4" s="45" t="s">
        <v>4654</v>
      </c>
      <c r="Y4" s="37" t="s">
        <v>4566</v>
      </c>
      <c r="Z4" s="37" t="s">
        <v>4567</v>
      </c>
    </row>
    <row r="5" spans="1:26">
      <c r="A5" s="10">
        <v>1</v>
      </c>
      <c r="B5" s="10">
        <f>YEAR(IGA_BD[[#This Row],[Date]])+IF(MONTH(IGA_BD[[#This Row],[Date]])&gt;=4,1,0)</f>
        <v>2026</v>
      </c>
      <c r="C5" s="10">
        <v>2025</v>
      </c>
      <c r="D5" s="10" t="s">
        <v>4478</v>
      </c>
      <c r="E5" s="309">
        <f>IGA_BD[[#This Row],[Date]]-DAY(IGA_BD[[#This Row],[Date]])+1</f>
        <v>45748</v>
      </c>
      <c r="F5" s="32">
        <v>45750</v>
      </c>
      <c r="G5" t="s">
        <v>566</v>
      </c>
      <c r="H5" s="4">
        <f>IFERROR(VLOOKUP(IGA_BD[[#This Row],[Affected Feeder ]],'Basic Data'!$A$3:$E$50,2,0),"")</f>
        <v>0</v>
      </c>
      <c r="I5" s="4">
        <f>IFERROR(VLOOKUP(IGA_BD[[#This Row],[Affected Feeder ]],'Basic Data'!$A$3:$E$50,3,0),"")</f>
        <v>0</v>
      </c>
      <c r="J5" s="9">
        <f>IFERROR(VLOOKUP(IGA_BD[[#This Row],[Affected Feeder ]],'Basic Data'!$A$3:$E$50,5,0),"")</f>
        <v>0.5</v>
      </c>
      <c r="K5" s="46" t="s">
        <v>4318</v>
      </c>
      <c r="L5" s="48">
        <v>0.30625000000000002</v>
      </c>
      <c r="M5" s="48">
        <v>0.30625000000000002</v>
      </c>
      <c r="N5" s="48">
        <v>0.51666666666666672</v>
      </c>
      <c r="O5" s="236">
        <f>(IGA_BD[[#This Row],[Work Start TimeStamp]]-IGA_BD[[#This Row],[Fault Start TimeStamp]])*24</f>
        <v>0</v>
      </c>
      <c r="P5" s="236">
        <f>(IGA_BD[[#This Row],[Fault Clearance time]]-IGA_BD[[#This Row],[Work Start TimeStamp]])*24</f>
        <v>5.0500000000000007</v>
      </c>
      <c r="Q5" s="236">
        <f>(IGA_BD[[#This Row],[Fault Clearance time]]-IGA_BD[[#This Row],[Fault Start TimeStamp]])*24</f>
        <v>5.0500000000000007</v>
      </c>
      <c r="R5" s="38" t="s">
        <v>4481</v>
      </c>
      <c r="S5" s="4" t="s">
        <v>255</v>
      </c>
      <c r="T5" s="39">
        <f>IFERROR(IGA_BD[[#This Row],[Breakdown Time]]*IGA_BD[[#This Row],[Plant Equivalent Weightage]],"")</f>
        <v>2.5250000000000004</v>
      </c>
      <c r="U5" s="39"/>
      <c r="V5" s="39"/>
      <c r="W5">
        <v>10166</v>
      </c>
    </row>
    <row r="6" spans="1:26">
      <c r="A6" s="10">
        <f>A5+1</f>
        <v>2</v>
      </c>
      <c r="B6" s="10">
        <f>YEAR(IGA_BD[[#This Row],[Date]])+IF(MONTH(IGA_BD[[#This Row],[Date]])&gt;=4,1,0)</f>
        <v>2026</v>
      </c>
      <c r="C6" s="10">
        <v>2025</v>
      </c>
      <c r="D6" s="10" t="s">
        <v>4478</v>
      </c>
      <c r="E6" s="309">
        <f>IGA_BD[[#This Row],[Date]]-DAY(IGA_BD[[#This Row],[Date]])+1</f>
        <v>45748</v>
      </c>
      <c r="F6" s="42">
        <v>45751</v>
      </c>
      <c r="G6" t="s">
        <v>566</v>
      </c>
      <c r="H6" s="4">
        <f>IFERROR(VLOOKUP(IGA_BD[[#This Row],[Affected Feeder ]],'Basic Data'!$A$3:$E$50,2,0),"")</f>
        <v>0</v>
      </c>
      <c r="I6" s="4">
        <f>IFERROR(VLOOKUP(IGA_BD[[#This Row],[Affected Feeder ]],'Basic Data'!$A$3:$E$50,3,0),"")</f>
        <v>0</v>
      </c>
      <c r="J6" s="9">
        <f>IFERROR(VLOOKUP(IGA_BD[[#This Row],[Affected Feeder ]],'Basic Data'!$A$3:$E$50,5,0),"")</f>
        <v>0.5</v>
      </c>
      <c r="K6" s="46" t="s">
        <v>4318</v>
      </c>
      <c r="L6" s="48">
        <v>0.30486111111111114</v>
      </c>
      <c r="M6" s="48">
        <v>0.30486111111111114</v>
      </c>
      <c r="N6" s="48">
        <v>0.30902777777777779</v>
      </c>
      <c r="O6" s="236">
        <f>(IGA_BD[[#This Row],[Work Start TimeStamp]]-IGA_BD[[#This Row],[Fault Start TimeStamp]])*24</f>
        <v>0</v>
      </c>
      <c r="P6" s="236">
        <f>(IGA_BD[[#This Row],[Fault Clearance time]]-IGA_BD[[#This Row],[Work Start TimeStamp]])*24</f>
        <v>9.9999999999999645E-2</v>
      </c>
      <c r="Q6" s="236">
        <f>(IGA_BD[[#This Row],[Fault Clearance time]]-IGA_BD[[#This Row],[Fault Start TimeStamp]])*24</f>
        <v>9.9999999999999645E-2</v>
      </c>
      <c r="R6" t="s">
        <v>4298</v>
      </c>
      <c r="S6" s="4" t="s">
        <v>255</v>
      </c>
      <c r="T6" s="39">
        <f>IFERROR(IGA_BD[[#This Row],[Breakdown Time]]*IGA_BD[[#This Row],[Plant Equivalent Weightage]],"")</f>
        <v>4.9999999999999822E-2</v>
      </c>
      <c r="U6" s="39"/>
      <c r="V6" s="39"/>
      <c r="W6">
        <v>1424</v>
      </c>
    </row>
    <row r="7" spans="1:26">
      <c r="A7" s="10">
        <f t="shared" ref="A7:A70" si="0">A6+1</f>
        <v>3</v>
      </c>
      <c r="B7" s="10">
        <f>YEAR(IGA_BD[[#This Row],[Date]])+IF(MONTH(IGA_BD[[#This Row],[Date]])&gt;=4,1,0)</f>
        <v>2026</v>
      </c>
      <c r="C7" s="10">
        <v>2025</v>
      </c>
      <c r="D7" s="10" t="s">
        <v>4478</v>
      </c>
      <c r="E7" s="309">
        <f>IGA_BD[[#This Row],[Date]]-DAY(IGA_BD[[#This Row],[Date]])+1</f>
        <v>45748</v>
      </c>
      <c r="F7" s="32">
        <v>45751</v>
      </c>
      <c r="G7" t="s">
        <v>390</v>
      </c>
      <c r="H7" s="4">
        <f>IFERROR(VLOOKUP(IGA_BD[[#This Row],[Affected Feeder ]],'Basic Data'!$A$3:$E$50,2,0),"")</f>
        <v>0</v>
      </c>
      <c r="I7" s="4">
        <f>IFERROR(VLOOKUP(IGA_BD[[#This Row],[Affected Feeder ]],'Basic Data'!$A$3:$E$50,3,0),"")</f>
        <v>0</v>
      </c>
      <c r="J7" s="9">
        <f>IFERROR(VLOOKUP(IGA_BD[[#This Row],[Affected Feeder ]],'Basic Data'!$A$3:$E$50,5,0),"")</f>
        <v>0.5</v>
      </c>
      <c r="K7" s="46" t="s">
        <v>4318</v>
      </c>
      <c r="L7" s="48">
        <v>0.51597222222222228</v>
      </c>
      <c r="M7" s="48">
        <v>0.51597222222222228</v>
      </c>
      <c r="N7" s="48">
        <v>0.6333333333333333</v>
      </c>
      <c r="O7" s="236">
        <f>(IGA_BD[[#This Row],[Work Start TimeStamp]]-IGA_BD[[#This Row],[Fault Start TimeStamp]])*24</f>
        <v>0</v>
      </c>
      <c r="P7" s="236">
        <f>(IGA_BD[[#This Row],[Fault Clearance time]]-IGA_BD[[#This Row],[Work Start TimeStamp]])*24</f>
        <v>2.8166666666666647</v>
      </c>
      <c r="Q7" s="236">
        <f>(IGA_BD[[#This Row],[Fault Clearance time]]-IGA_BD[[#This Row],[Fault Start TimeStamp]])*24</f>
        <v>2.8166666666666647</v>
      </c>
      <c r="R7" s="38" t="s">
        <v>4482</v>
      </c>
      <c r="S7" s="4" t="s">
        <v>255</v>
      </c>
      <c r="T7" s="39">
        <f>IFERROR(IGA_BD[[#This Row],[Breakdown Time]]*IGA_BD[[#This Row],[Plant Equivalent Weightage]],"")</f>
        <v>1.4083333333333323</v>
      </c>
      <c r="U7" s="39"/>
      <c r="V7" s="39"/>
      <c r="W7">
        <v>6635</v>
      </c>
    </row>
    <row r="8" spans="1:26">
      <c r="A8" s="10">
        <f t="shared" si="0"/>
        <v>4</v>
      </c>
      <c r="B8" s="10">
        <f>YEAR(IGA_BD[[#This Row],[Date]])+IF(MONTH(IGA_BD[[#This Row],[Date]])&gt;=4,1,0)</f>
        <v>2026</v>
      </c>
      <c r="C8" s="10">
        <v>2025</v>
      </c>
      <c r="D8" s="10" t="s">
        <v>4478</v>
      </c>
      <c r="E8" s="309">
        <f>IGA_BD[[#This Row],[Date]]-DAY(IGA_BD[[#This Row],[Date]])+1</f>
        <v>45748</v>
      </c>
      <c r="F8" s="42">
        <v>45751</v>
      </c>
      <c r="G8" t="s">
        <v>566</v>
      </c>
      <c r="H8" s="4">
        <f>IFERROR(VLOOKUP(IGA_BD[[#This Row],[Affected Feeder ]],'Basic Data'!$A$3:$E$50,2,0),"")</f>
        <v>0</v>
      </c>
      <c r="I8" s="4">
        <f>IFERROR(VLOOKUP(IGA_BD[[#This Row],[Affected Feeder ]],'Basic Data'!$A$3:$E$50,3,0),"")</f>
        <v>0</v>
      </c>
      <c r="J8" s="9">
        <f>IFERROR(VLOOKUP(IGA_BD[[#This Row],[Affected Feeder ]],'Basic Data'!$A$3:$E$50,5,0),"")</f>
        <v>0.5</v>
      </c>
      <c r="K8" t="s">
        <v>4484</v>
      </c>
      <c r="L8" s="48">
        <v>0.59166666666666667</v>
      </c>
      <c r="M8" s="48">
        <v>0.59166666666666667</v>
      </c>
      <c r="N8" s="48">
        <v>0.6333333333333333</v>
      </c>
      <c r="O8" s="236">
        <f>(IGA_BD[[#This Row],[Work Start TimeStamp]]-IGA_BD[[#This Row],[Fault Start TimeStamp]])*24</f>
        <v>0</v>
      </c>
      <c r="P8" s="236">
        <f>(IGA_BD[[#This Row],[Fault Clearance time]]-IGA_BD[[#This Row],[Work Start TimeStamp]])*24</f>
        <v>0.99999999999999911</v>
      </c>
      <c r="Q8" s="236">
        <f>(IGA_BD[[#This Row],[Fault Clearance time]]-IGA_BD[[#This Row],[Fault Start TimeStamp]])*24</f>
        <v>0.99999999999999911</v>
      </c>
      <c r="R8" s="38" t="s">
        <v>4483</v>
      </c>
      <c r="S8" s="4" t="s">
        <v>255</v>
      </c>
      <c r="T8" s="39">
        <f>IFERROR(IGA_BD[[#This Row],[Breakdown Time]]*IGA_BD[[#This Row],[Plant Equivalent Weightage]],"")</f>
        <v>0.49999999999999956</v>
      </c>
      <c r="U8" s="39"/>
      <c r="V8" s="39"/>
      <c r="W8">
        <v>4379</v>
      </c>
    </row>
    <row r="9" spans="1:26">
      <c r="A9" s="10">
        <f t="shared" si="0"/>
        <v>5</v>
      </c>
      <c r="B9" s="10">
        <f>YEAR(IGA_BD[[#This Row],[Date]])+IF(MONTH(IGA_BD[[#This Row],[Date]])&gt;=4,1,0)</f>
        <v>2026</v>
      </c>
      <c r="C9" s="10">
        <v>2025</v>
      </c>
      <c r="D9" s="10" t="s">
        <v>4478</v>
      </c>
      <c r="E9" s="309">
        <f>IGA_BD[[#This Row],[Date]]-DAY(IGA_BD[[#This Row],[Date]])+1</f>
        <v>45748</v>
      </c>
      <c r="F9" s="32">
        <v>45757</v>
      </c>
      <c r="G9" t="s">
        <v>566</v>
      </c>
      <c r="H9" s="4">
        <f>IFERROR(VLOOKUP(IGA_BD[[#This Row],[Affected Feeder ]],'Basic Data'!$A$3:$E$50,2,0),"")</f>
        <v>0</v>
      </c>
      <c r="I9" s="4">
        <f>IFERROR(VLOOKUP(IGA_BD[[#This Row],[Affected Feeder ]],'Basic Data'!$A$3:$E$50,3,0),"")</f>
        <v>0</v>
      </c>
      <c r="J9" s="9">
        <f>IFERROR(VLOOKUP(IGA_BD[[#This Row],[Affected Feeder ]],'Basic Data'!$A$3:$E$50,5,0),"")</f>
        <v>0.5</v>
      </c>
      <c r="K9" t="s">
        <v>389</v>
      </c>
      <c r="L9" s="48">
        <v>0.78263888888888888</v>
      </c>
      <c r="M9" s="48">
        <v>0.78263888888888888</v>
      </c>
      <c r="N9" s="48">
        <v>0.79513888888888884</v>
      </c>
      <c r="O9" s="236">
        <f>(IGA_BD[[#This Row],[Work Start TimeStamp]]-IGA_BD[[#This Row],[Fault Start TimeStamp]])*24</f>
        <v>0</v>
      </c>
      <c r="P9" s="236">
        <f>(IGA_BD[[#This Row],[Fault Clearance time]]-IGA_BD[[#This Row],[Work Start TimeStamp]])*24</f>
        <v>0.29999999999999893</v>
      </c>
      <c r="Q9" s="236">
        <f>(IGA_BD[[#This Row],[Fault Clearance time]]-IGA_BD[[#This Row],[Fault Start TimeStamp]])*24</f>
        <v>0.29999999999999893</v>
      </c>
      <c r="R9" t="s">
        <v>4298</v>
      </c>
      <c r="S9" s="4" t="s">
        <v>255</v>
      </c>
      <c r="T9" s="39">
        <f>IFERROR(IGA_BD[[#This Row],[Breakdown Time]]*IGA_BD[[#This Row],[Plant Equivalent Weightage]],"")</f>
        <v>0.14999999999999947</v>
      </c>
      <c r="U9" s="39"/>
      <c r="V9" s="39"/>
      <c r="W9">
        <v>2301</v>
      </c>
    </row>
    <row r="10" spans="1:26">
      <c r="A10" s="10">
        <f t="shared" si="0"/>
        <v>6</v>
      </c>
      <c r="B10" s="10">
        <f>YEAR(IGA_BD[[#This Row],[Date]])+IF(MONTH(IGA_BD[[#This Row],[Date]])&gt;=4,1,0)</f>
        <v>2026</v>
      </c>
      <c r="C10" s="10">
        <v>2025</v>
      </c>
      <c r="D10" s="10" t="s">
        <v>4478</v>
      </c>
      <c r="E10" s="309">
        <f>IGA_BD[[#This Row],[Date]]-DAY(IGA_BD[[#This Row],[Date]])+1</f>
        <v>45748</v>
      </c>
      <c r="F10" s="32">
        <v>45757</v>
      </c>
      <c r="G10" t="s">
        <v>390</v>
      </c>
      <c r="H10" s="4">
        <f>IFERROR(VLOOKUP(IGA_BD[[#This Row],[Affected Feeder ]],'Basic Data'!$A$3:$E$50,2,0),"")</f>
        <v>0</v>
      </c>
      <c r="I10" s="4">
        <f>IFERROR(VLOOKUP(IGA_BD[[#This Row],[Affected Feeder ]],'Basic Data'!$A$3:$E$50,3,0),"")</f>
        <v>0</v>
      </c>
      <c r="J10" s="9">
        <f>IFERROR(VLOOKUP(IGA_BD[[#This Row],[Affected Feeder ]],'Basic Data'!$A$3:$E$50,5,0),"")</f>
        <v>0.5</v>
      </c>
      <c r="K10" t="s">
        <v>388</v>
      </c>
      <c r="L10" s="48">
        <v>0.78333333333333333</v>
      </c>
      <c r="M10" s="48">
        <v>0.78333333333333333</v>
      </c>
      <c r="N10" s="48">
        <v>0.79513888888888884</v>
      </c>
      <c r="O10" s="236">
        <f>(IGA_BD[[#This Row],[Work Start TimeStamp]]-IGA_BD[[#This Row],[Fault Start TimeStamp]])*24</f>
        <v>0</v>
      </c>
      <c r="P10" s="236">
        <f>(IGA_BD[[#This Row],[Fault Clearance time]]-IGA_BD[[#This Row],[Work Start TimeStamp]])*24</f>
        <v>0.28333333333333233</v>
      </c>
      <c r="Q10" s="236">
        <f>(IGA_BD[[#This Row],[Fault Clearance time]]-IGA_BD[[#This Row],[Fault Start TimeStamp]])*24</f>
        <v>0.28333333333333233</v>
      </c>
      <c r="R10" t="s">
        <v>4298</v>
      </c>
      <c r="S10" s="4" t="s">
        <v>255</v>
      </c>
      <c r="T10" s="39">
        <f>IFERROR(IGA_BD[[#This Row],[Breakdown Time]]*IGA_BD[[#This Row],[Plant Equivalent Weightage]],"")</f>
        <v>0.14166666666666616</v>
      </c>
      <c r="U10" s="39"/>
      <c r="V10" s="39"/>
      <c r="W10">
        <v>2371</v>
      </c>
    </row>
    <row r="11" spans="1:26">
      <c r="A11" s="10">
        <f t="shared" si="0"/>
        <v>7</v>
      </c>
      <c r="B11" s="10">
        <f>YEAR(IGA_BD[[#This Row],[Date]])+IF(MONTH(IGA_BD[[#This Row],[Date]])&gt;=4,1,0)</f>
        <v>2026</v>
      </c>
      <c r="C11" s="10">
        <v>2025</v>
      </c>
      <c r="D11" s="10" t="s">
        <v>4478</v>
      </c>
      <c r="E11" s="309">
        <f>IGA_BD[[#This Row],[Date]]-DAY(IGA_BD[[#This Row],[Date]])+1</f>
        <v>45748</v>
      </c>
      <c r="F11" s="32">
        <v>45757</v>
      </c>
      <c r="G11" t="s">
        <v>566</v>
      </c>
      <c r="H11" s="4">
        <f>IFERROR(VLOOKUP(IGA_BD[[#This Row],[Affected Feeder ]],'Basic Data'!$A$3:$E$50,2,0),"")</f>
        <v>0</v>
      </c>
      <c r="I11" s="4">
        <f>IFERROR(VLOOKUP(IGA_BD[[#This Row],[Affected Feeder ]],'Basic Data'!$A$3:$E$50,3,0),"")</f>
        <v>0</v>
      </c>
      <c r="J11" s="9">
        <f>IFERROR(VLOOKUP(IGA_BD[[#This Row],[Affected Feeder ]],'Basic Data'!$A$3:$E$50,5,0),"")</f>
        <v>0.5</v>
      </c>
      <c r="K11" t="s">
        <v>388</v>
      </c>
      <c r="L11" s="48">
        <v>0.79791666666666672</v>
      </c>
      <c r="M11" s="48">
        <v>0.79791666666666672</v>
      </c>
      <c r="N11" s="48">
        <v>0.80694444444444446</v>
      </c>
      <c r="O11" s="236">
        <f>(IGA_BD[[#This Row],[Work Start TimeStamp]]-IGA_BD[[#This Row],[Fault Start TimeStamp]])*24</f>
        <v>0</v>
      </c>
      <c r="P11" s="236">
        <f>(IGA_BD[[#This Row],[Fault Clearance time]]-IGA_BD[[#This Row],[Work Start TimeStamp]])*24</f>
        <v>0.2166666666666659</v>
      </c>
      <c r="Q11" s="236">
        <f>(IGA_BD[[#This Row],[Fault Clearance time]]-IGA_BD[[#This Row],[Fault Start TimeStamp]])*24</f>
        <v>0.2166666666666659</v>
      </c>
      <c r="R11" t="s">
        <v>4298</v>
      </c>
      <c r="S11" s="4" t="s">
        <v>255</v>
      </c>
      <c r="T11" s="39">
        <f>IFERROR(IGA_BD[[#This Row],[Breakdown Time]]*IGA_BD[[#This Row],[Plant Equivalent Weightage]],"")</f>
        <v>0.10833333333333295</v>
      </c>
      <c r="U11" s="39"/>
      <c r="V11" s="39"/>
      <c r="W11">
        <v>1662</v>
      </c>
    </row>
    <row r="12" spans="1:26">
      <c r="A12" s="10">
        <f t="shared" si="0"/>
        <v>8</v>
      </c>
      <c r="B12" s="10">
        <f>YEAR(IGA_BD[[#This Row],[Date]])+IF(MONTH(IGA_BD[[#This Row],[Date]])&gt;=4,1,0)</f>
        <v>2026</v>
      </c>
      <c r="C12" s="10">
        <v>2025</v>
      </c>
      <c r="D12" s="10" t="s">
        <v>4478</v>
      </c>
      <c r="E12" s="309">
        <f>IGA_BD[[#This Row],[Date]]-DAY(IGA_BD[[#This Row],[Date]])+1</f>
        <v>45748</v>
      </c>
      <c r="F12" s="32">
        <v>45761</v>
      </c>
      <c r="G12" t="s">
        <v>566</v>
      </c>
      <c r="H12" s="237">
        <f>IFERROR(VLOOKUP(IGA_BD[[#This Row],[Affected Feeder ]],'Basic Data'!$A$3:$E$50,2,0),"")</f>
        <v>0</v>
      </c>
      <c r="I12" s="237">
        <f>IFERROR(VLOOKUP(IGA_BD[[#This Row],[Affected Feeder ]],'Basic Data'!$A$3:$E$50,3,0),"")</f>
        <v>0</v>
      </c>
      <c r="J12" s="300">
        <f>IFERROR(VLOOKUP(IGA_BD[[#This Row],[Affected Feeder ]],'Basic Data'!$A$3:$E$50,5,0),"")</f>
        <v>0.5</v>
      </c>
      <c r="K12" s="304" t="s">
        <v>4506</v>
      </c>
      <c r="L12" s="298">
        <v>0.38194444444444442</v>
      </c>
      <c r="M12" s="298">
        <v>0.38194444444444442</v>
      </c>
      <c r="N12" s="298">
        <v>0.41180555555555554</v>
      </c>
      <c r="O12" s="299">
        <f>(IGA_BD[[#This Row],[Work Start TimeStamp]]-IGA_BD[[#This Row],[Fault Start TimeStamp]])*24</f>
        <v>0</v>
      </c>
      <c r="P12" s="299">
        <f>(IGA_BD[[#This Row],[Fault Clearance time]]-IGA_BD[[#This Row],[Work Start TimeStamp]])*24</f>
        <v>0.71666666666666679</v>
      </c>
      <c r="Q12" s="299">
        <f>(IGA_BD[[#This Row],[Fault Clearance time]]-IGA_BD[[#This Row],[Fault Start TimeStamp]])*24</f>
        <v>0.71666666666666679</v>
      </c>
      <c r="R12" s="297" t="s">
        <v>4500</v>
      </c>
      <c r="S12" s="4" t="s">
        <v>255</v>
      </c>
      <c r="T12" s="301">
        <f>IFERROR(IGA_BD[[#This Row],[Breakdown Time]]*IGA_BD[[#This Row],[Plant Equivalent Weightage]],"")</f>
        <v>0.35833333333333339</v>
      </c>
      <c r="U12" s="301"/>
      <c r="V12" s="301"/>
      <c r="W12" s="303">
        <v>1670</v>
      </c>
    </row>
    <row r="13" spans="1:26">
      <c r="A13" s="10">
        <f t="shared" si="0"/>
        <v>9</v>
      </c>
      <c r="B13" s="10">
        <f>YEAR(IGA_BD[[#This Row],[Date]])+IF(MONTH(IGA_BD[[#This Row],[Date]])&gt;=4,1,0)</f>
        <v>2026</v>
      </c>
      <c r="C13" s="10">
        <v>2025</v>
      </c>
      <c r="D13" s="10" t="s">
        <v>4478</v>
      </c>
      <c r="E13" s="309">
        <f>IGA_BD[[#This Row],[Date]]-DAY(IGA_BD[[#This Row],[Date]])+1</f>
        <v>45748</v>
      </c>
      <c r="F13" s="32">
        <v>45761</v>
      </c>
      <c r="G13" t="s">
        <v>83</v>
      </c>
      <c r="H13" s="4" t="str">
        <f>IFERROR(VLOOKUP(IGA_BD[[#This Row],[Affected Feeder ]],'Basic Data'!$A$3:$E$50,2,0),"")</f>
        <v>O2R3</v>
      </c>
      <c r="I13" s="4" t="str">
        <f>IFERROR(VLOOKUP(IGA_BD[[#This Row],[Affected Feeder ]],'Basic Data'!$A$3:$E$50,3,0),"")</f>
        <v>JK</v>
      </c>
      <c r="J13" s="9">
        <f>IFERROR(VLOOKUP(IGA_BD[[#This Row],[Affected Feeder ]],'Basic Data'!$A$3:$E$50,5,0),"")</f>
        <v>4.3478260869565223E-2</v>
      </c>
      <c r="K13" s="297" t="s">
        <v>4501</v>
      </c>
      <c r="L13" s="35">
        <v>0.41180555555555554</v>
      </c>
      <c r="M13" s="35">
        <v>0.41180555555555554</v>
      </c>
      <c r="N13" s="35">
        <v>0.72916666666666663</v>
      </c>
      <c r="O13" s="6">
        <f>(IGA_BD[[#This Row],[Work Start TimeStamp]]-IGA_BD[[#This Row],[Fault Start TimeStamp]])*24</f>
        <v>0</v>
      </c>
      <c r="P13" s="6">
        <f>(IGA_BD[[#This Row],[Fault Clearance time]]-IGA_BD[[#This Row],[Work Start TimeStamp]])*24</f>
        <v>7.6166666666666663</v>
      </c>
      <c r="Q13" s="6">
        <f>(IGA_BD[[#This Row],[Fault Clearance time]]-IGA_BD[[#This Row],[Fault Start TimeStamp]])*24</f>
        <v>7.6166666666666663</v>
      </c>
      <c r="R13" s="297" t="s">
        <v>4502</v>
      </c>
      <c r="S13" s="4" t="s">
        <v>255</v>
      </c>
      <c r="T13" s="302">
        <f>IFERROR(IGA_BD[[#This Row],[Breakdown Time]]*IGA_BD[[#This Row],[Plant Equivalent Weightage]],"")</f>
        <v>0.33115942028985512</v>
      </c>
      <c r="U13" s="302"/>
      <c r="V13" s="302"/>
      <c r="W13">
        <v>1614</v>
      </c>
    </row>
    <row r="14" spans="1:26">
      <c r="A14" s="10">
        <f t="shared" si="0"/>
        <v>10</v>
      </c>
      <c r="B14" s="10">
        <f>YEAR(IGA_BD[[#This Row],[Date]])+IF(MONTH(IGA_BD[[#This Row],[Date]])&gt;=4,1,0)</f>
        <v>2026</v>
      </c>
      <c r="C14" s="10">
        <v>2025</v>
      </c>
      <c r="D14" s="10" t="s">
        <v>4478</v>
      </c>
      <c r="E14" s="309">
        <f>IGA_BD[[#This Row],[Date]]-DAY(IGA_BD[[#This Row],[Date]])+1</f>
        <v>45748</v>
      </c>
      <c r="F14" s="32">
        <v>45761</v>
      </c>
      <c r="G14" t="s">
        <v>566</v>
      </c>
      <c r="H14" s="4">
        <f>IFERROR(VLOOKUP(IGA_BD[[#This Row],[Affected Feeder ]],'Basic Data'!$A$3:$E$50,2,0),"")</f>
        <v>0</v>
      </c>
      <c r="I14" s="4">
        <f>IFERROR(VLOOKUP(IGA_BD[[#This Row],[Affected Feeder ]],'Basic Data'!$A$3:$E$50,3,0),"")</f>
        <v>0</v>
      </c>
      <c r="J14" s="9">
        <f>IFERROR(VLOOKUP(IGA_BD[[#This Row],[Affected Feeder ]],'Basic Data'!$A$3:$E$50,5,0),"")</f>
        <v>0.5</v>
      </c>
      <c r="K14" s="297" t="s">
        <v>4503</v>
      </c>
      <c r="L14" s="35">
        <v>0.72916666666666663</v>
      </c>
      <c r="M14" s="35">
        <v>0.72916666666666663</v>
      </c>
      <c r="N14" s="35">
        <v>0.75347222222222221</v>
      </c>
      <c r="O14" s="6">
        <f>(IGA_BD[[#This Row],[Work Start TimeStamp]]-IGA_BD[[#This Row],[Fault Start TimeStamp]])*24</f>
        <v>0</v>
      </c>
      <c r="P14" s="6">
        <f>(IGA_BD[[#This Row],[Fault Clearance time]]-IGA_BD[[#This Row],[Work Start TimeStamp]])*24</f>
        <v>0.58333333333333393</v>
      </c>
      <c r="Q14" s="6">
        <f>(IGA_BD[[#This Row],[Fault Clearance time]]-IGA_BD[[#This Row],[Fault Start TimeStamp]])*24</f>
        <v>0.58333333333333393</v>
      </c>
      <c r="R14" s="297" t="s">
        <v>4504</v>
      </c>
      <c r="S14" s="4" t="s">
        <v>255</v>
      </c>
      <c r="T14" s="302">
        <f>IFERROR(IGA_BD[[#This Row],[Breakdown Time]]*IGA_BD[[#This Row],[Plant Equivalent Weightage]],"")</f>
        <v>0.29166666666666696</v>
      </c>
      <c r="U14" s="302"/>
      <c r="V14" s="302"/>
      <c r="W14">
        <v>1360</v>
      </c>
    </row>
    <row r="15" spans="1:26">
      <c r="A15" s="10">
        <f t="shared" si="0"/>
        <v>11</v>
      </c>
      <c r="B15" s="10">
        <f>YEAR(IGA_BD[[#This Row],[Date]])+IF(MONTH(IGA_BD[[#This Row],[Date]])&gt;=4,1,0)</f>
        <v>2026</v>
      </c>
      <c r="C15" s="10">
        <v>2025</v>
      </c>
      <c r="D15" s="10" t="s">
        <v>4478</v>
      </c>
      <c r="E15" s="309">
        <f>IGA_BD[[#This Row],[Date]]-DAY(IGA_BD[[#This Row],[Date]])+1</f>
        <v>45748</v>
      </c>
      <c r="F15" s="32">
        <v>45761</v>
      </c>
      <c r="G15" t="s">
        <v>566</v>
      </c>
      <c r="H15" s="4">
        <f>IFERROR(VLOOKUP(IGA_BD[[#This Row],[Affected Feeder ]],'Basic Data'!$A$3:$E$50,2,0),"")</f>
        <v>0</v>
      </c>
      <c r="I15" s="4">
        <f>IFERROR(VLOOKUP(IGA_BD[[#This Row],[Affected Feeder ]],'Basic Data'!$A$3:$E$50,3,0),"")</f>
        <v>0</v>
      </c>
      <c r="J15" s="9">
        <f>IFERROR(VLOOKUP(IGA_BD[[#This Row],[Affected Feeder ]],'Basic Data'!$A$3:$E$50,5,0),"")</f>
        <v>0.5</v>
      </c>
      <c r="K15" t="s">
        <v>389</v>
      </c>
      <c r="L15" s="48">
        <v>0.8666666666666667</v>
      </c>
      <c r="M15" s="48">
        <v>0.8666666666666667</v>
      </c>
      <c r="N15" s="48">
        <v>0.88749999999999996</v>
      </c>
      <c r="O15" s="6">
        <f>(IGA_BD[[#This Row],[Work Start TimeStamp]]-IGA_BD[[#This Row],[Fault Start TimeStamp]])*24</f>
        <v>0</v>
      </c>
      <c r="P15" s="6">
        <f>(IGA_BD[[#This Row],[Fault Clearance time]]-IGA_BD[[#This Row],[Work Start TimeStamp]])*24</f>
        <v>0.49999999999999822</v>
      </c>
      <c r="Q15" s="6">
        <f>(IGA_BD[[#This Row],[Fault Clearance time]]-IGA_BD[[#This Row],[Fault Start TimeStamp]])*24</f>
        <v>0.49999999999999822</v>
      </c>
      <c r="R15" t="s">
        <v>4298</v>
      </c>
      <c r="S15" s="4" t="s">
        <v>255</v>
      </c>
      <c r="T15" s="302">
        <f>IFERROR(IGA_BD[[#This Row],[Breakdown Time]]*IGA_BD[[#This Row],[Plant Equivalent Weightage]],"")</f>
        <v>0.24999999999999911</v>
      </c>
      <c r="U15" s="302"/>
      <c r="V15" s="302"/>
      <c r="W15">
        <v>1165</v>
      </c>
    </row>
    <row r="16" spans="1:26">
      <c r="A16" s="10">
        <f t="shared" si="0"/>
        <v>12</v>
      </c>
      <c r="B16" s="10">
        <f>YEAR(IGA_BD[[#This Row],[Date]])+IF(MONTH(IGA_BD[[#This Row],[Date]])&gt;=4,1,0)</f>
        <v>2026</v>
      </c>
      <c r="C16" s="10">
        <v>2025</v>
      </c>
      <c r="D16" s="10" t="s">
        <v>4478</v>
      </c>
      <c r="E16" s="309">
        <f>IGA_BD[[#This Row],[Date]]-DAY(IGA_BD[[#This Row],[Date]])+1</f>
        <v>45748</v>
      </c>
      <c r="F16" s="32">
        <v>45762</v>
      </c>
      <c r="G16" t="s">
        <v>566</v>
      </c>
      <c r="H16" s="4">
        <f>IFERROR(VLOOKUP(IGA_BD[[#This Row],[Affected Feeder ]],'Basic Data'!$A$3:$E$50,2,0),"")</f>
        <v>0</v>
      </c>
      <c r="I16" s="4">
        <f>IFERROR(VLOOKUP(IGA_BD[[#This Row],[Affected Feeder ]],'Basic Data'!$A$3:$E$50,3,0),"")</f>
        <v>0</v>
      </c>
      <c r="J16" s="9">
        <f>IFERROR(VLOOKUP(IGA_BD[[#This Row],[Affected Feeder ]],'Basic Data'!$A$3:$E$50,5,0),"")</f>
        <v>0.5</v>
      </c>
      <c r="K16" s="304" t="s">
        <v>4506</v>
      </c>
      <c r="L16" s="48">
        <v>0.3888888888888889</v>
      </c>
      <c r="M16" s="48">
        <v>0.3888888888888889</v>
      </c>
      <c r="N16" s="48">
        <v>0.41319444444444442</v>
      </c>
      <c r="O16" s="6">
        <f>(IGA_BD[[#This Row],[Work Start TimeStamp]]-IGA_BD[[#This Row],[Fault Start TimeStamp]])*24</f>
        <v>0</v>
      </c>
      <c r="P16" s="6">
        <f>(IGA_BD[[#This Row],[Fault Clearance time]]-IGA_BD[[#This Row],[Work Start TimeStamp]])*24</f>
        <v>0.58333333333333259</v>
      </c>
      <c r="Q16" s="6">
        <f>(IGA_BD[[#This Row],[Fault Clearance time]]-IGA_BD[[#This Row],[Fault Start TimeStamp]])*24</f>
        <v>0.58333333333333259</v>
      </c>
      <c r="R16" s="297" t="s">
        <v>4500</v>
      </c>
      <c r="S16" s="4" t="s">
        <v>255</v>
      </c>
      <c r="T16" s="302">
        <f>IFERROR(IGA_BD[[#This Row],[Breakdown Time]]*IGA_BD[[#This Row],[Plant Equivalent Weightage]],"")</f>
        <v>0.2916666666666663</v>
      </c>
      <c r="U16" s="302"/>
      <c r="V16" s="302"/>
      <c r="W16">
        <v>2681</v>
      </c>
    </row>
    <row r="17" spans="1:23">
      <c r="A17" s="10">
        <f t="shared" si="0"/>
        <v>13</v>
      </c>
      <c r="B17" s="10">
        <f>YEAR(IGA_BD[[#This Row],[Date]])+IF(MONTH(IGA_BD[[#This Row],[Date]])&gt;=4,1,0)</f>
        <v>2026</v>
      </c>
      <c r="C17" s="10">
        <v>2025</v>
      </c>
      <c r="D17" s="10" t="s">
        <v>4478</v>
      </c>
      <c r="E17" s="309">
        <f>IGA_BD[[#This Row],[Date]]-DAY(IGA_BD[[#This Row],[Date]])+1</f>
        <v>45748</v>
      </c>
      <c r="F17" s="32">
        <v>45762</v>
      </c>
      <c r="G17" t="s">
        <v>83</v>
      </c>
      <c r="H17" s="4" t="str">
        <f>IFERROR(VLOOKUP(IGA_BD[[#This Row],[Affected Feeder ]],'Basic Data'!$A$3:$E$50,2,0),"")</f>
        <v>O2R3</v>
      </c>
      <c r="I17" s="4" t="str">
        <f>IFERROR(VLOOKUP(IGA_BD[[#This Row],[Affected Feeder ]],'Basic Data'!$A$3:$E$50,3,0),"")</f>
        <v>JK</v>
      </c>
      <c r="J17" s="9">
        <f>IFERROR(VLOOKUP(IGA_BD[[#This Row],[Affected Feeder ]],'Basic Data'!$A$3:$E$50,5,0),"")</f>
        <v>4.3478260869565223E-2</v>
      </c>
      <c r="K17" s="297" t="s">
        <v>4501</v>
      </c>
      <c r="L17" s="48">
        <v>0.41319444444444442</v>
      </c>
      <c r="M17" s="48">
        <v>0.41319444444444442</v>
      </c>
      <c r="N17" s="48">
        <v>0.68194444444444446</v>
      </c>
      <c r="O17" s="6">
        <f>(IGA_BD[[#This Row],[Work Start TimeStamp]]-IGA_BD[[#This Row],[Fault Start TimeStamp]])*24</f>
        <v>0</v>
      </c>
      <c r="P17" s="6">
        <f>(IGA_BD[[#This Row],[Fault Clearance time]]-IGA_BD[[#This Row],[Work Start TimeStamp]])*24</f>
        <v>6.4500000000000011</v>
      </c>
      <c r="Q17" s="6">
        <f>(IGA_BD[[#This Row],[Fault Clearance time]]-IGA_BD[[#This Row],[Fault Start TimeStamp]])*24</f>
        <v>6.4500000000000011</v>
      </c>
      <c r="R17" s="304" t="s">
        <v>4507</v>
      </c>
      <c r="S17" s="4" t="s">
        <v>255</v>
      </c>
      <c r="T17" s="302">
        <f>IFERROR(IGA_BD[[#This Row],[Breakdown Time]]*IGA_BD[[#This Row],[Plant Equivalent Weightage]],"")</f>
        <v>0.28043478260869575</v>
      </c>
      <c r="U17" s="302"/>
      <c r="V17" s="302"/>
      <c r="W17">
        <v>2695</v>
      </c>
    </row>
    <row r="18" spans="1:23">
      <c r="A18" s="10">
        <f t="shared" si="0"/>
        <v>14</v>
      </c>
      <c r="B18" s="10">
        <f>YEAR(IGA_BD[[#This Row],[Date]])+IF(MONTH(IGA_BD[[#This Row],[Date]])&gt;=4,1,0)</f>
        <v>2026</v>
      </c>
      <c r="C18" s="10">
        <v>2025</v>
      </c>
      <c r="D18" s="10" t="s">
        <v>4478</v>
      </c>
      <c r="E18" s="309">
        <f>IGA_BD[[#This Row],[Date]]-DAY(IGA_BD[[#This Row],[Date]])+1</f>
        <v>45748</v>
      </c>
      <c r="F18" s="32">
        <v>45762</v>
      </c>
      <c r="G18" t="s">
        <v>566</v>
      </c>
      <c r="H18" s="4">
        <f>IFERROR(VLOOKUP(IGA_BD[[#This Row],[Affected Feeder ]],'Basic Data'!$A$3:$E$50,2,0),"")</f>
        <v>0</v>
      </c>
      <c r="I18" s="4">
        <f>IFERROR(VLOOKUP(IGA_BD[[#This Row],[Affected Feeder ]],'Basic Data'!$A$3:$E$50,3,0),"")</f>
        <v>0</v>
      </c>
      <c r="J18" s="9">
        <f>IFERROR(VLOOKUP(IGA_BD[[#This Row],[Affected Feeder ]],'Basic Data'!$A$3:$E$50,5,0),"")</f>
        <v>0.5</v>
      </c>
      <c r="K18" s="297" t="s">
        <v>4503</v>
      </c>
      <c r="L18" s="48">
        <v>0.68194444444444446</v>
      </c>
      <c r="M18" s="48">
        <v>0.68194444444444446</v>
      </c>
      <c r="N18" s="48">
        <v>0.70277777777777772</v>
      </c>
      <c r="O18" s="6">
        <f>(IGA_BD[[#This Row],[Work Start TimeStamp]]-IGA_BD[[#This Row],[Fault Start TimeStamp]])*24</f>
        <v>0</v>
      </c>
      <c r="P18" s="6">
        <f>(IGA_BD[[#This Row],[Fault Clearance time]]-IGA_BD[[#This Row],[Work Start TimeStamp]])*24</f>
        <v>0.49999999999999822</v>
      </c>
      <c r="Q18" s="6">
        <f>(IGA_BD[[#This Row],[Fault Clearance time]]-IGA_BD[[#This Row],[Fault Start TimeStamp]])*24</f>
        <v>0.49999999999999822</v>
      </c>
      <c r="R18" s="297" t="s">
        <v>4504</v>
      </c>
      <c r="S18" s="4" t="s">
        <v>255</v>
      </c>
      <c r="T18" s="302">
        <f>IFERROR(IGA_BD[[#This Row],[Breakdown Time]]*IGA_BD[[#This Row],[Plant Equivalent Weightage]],"")</f>
        <v>0.24999999999999911</v>
      </c>
      <c r="U18" s="302"/>
      <c r="V18" s="302"/>
      <c r="W18">
        <v>2298</v>
      </c>
    </row>
    <row r="19" spans="1:23">
      <c r="A19" s="10">
        <f t="shared" si="0"/>
        <v>15</v>
      </c>
      <c r="B19" s="10">
        <f>YEAR(IGA_BD[[#This Row],[Date]])+IF(MONTH(IGA_BD[[#This Row],[Date]])&gt;=4,1,0)</f>
        <v>2026</v>
      </c>
      <c r="C19" s="10">
        <v>2025</v>
      </c>
      <c r="D19" s="10" t="s">
        <v>4478</v>
      </c>
      <c r="E19" s="309">
        <f>IGA_BD[[#This Row],[Date]]-DAY(IGA_BD[[#This Row],[Date]])+1</f>
        <v>45748</v>
      </c>
      <c r="F19" s="32">
        <v>45763</v>
      </c>
      <c r="G19" t="s">
        <v>566</v>
      </c>
      <c r="H19" s="4">
        <f>IFERROR(VLOOKUP(IGA_BD[[#This Row],[Affected Feeder ]],'Basic Data'!$A$3:$E$50,2,0),"")</f>
        <v>0</v>
      </c>
      <c r="I19" s="4">
        <f>IFERROR(VLOOKUP(IGA_BD[[#This Row],[Affected Feeder ]],'Basic Data'!$A$3:$E$50,3,0),"")</f>
        <v>0</v>
      </c>
      <c r="J19" s="9">
        <f>IFERROR(VLOOKUP(IGA_BD[[#This Row],[Affected Feeder ]],'Basic Data'!$A$3:$E$50,5,0),"")</f>
        <v>0.5</v>
      </c>
      <c r="K19" t="s">
        <v>388</v>
      </c>
      <c r="L19" s="48">
        <v>0.27083333333333331</v>
      </c>
      <c r="M19" s="48">
        <v>0.27083333333333331</v>
      </c>
      <c r="N19" s="48">
        <v>0.28472222222222221</v>
      </c>
      <c r="O19" s="6">
        <f>(IGA_BD[[#This Row],[Work Start TimeStamp]]-IGA_BD[[#This Row],[Fault Start TimeStamp]])*24</f>
        <v>0</v>
      </c>
      <c r="P19" s="6">
        <f>(IGA_BD[[#This Row],[Fault Clearance time]]-IGA_BD[[#This Row],[Work Start TimeStamp]])*24</f>
        <v>0.33333333333333348</v>
      </c>
      <c r="Q19" s="6">
        <f>(IGA_BD[[#This Row],[Fault Clearance time]]-IGA_BD[[#This Row],[Fault Start TimeStamp]])*24</f>
        <v>0.33333333333333348</v>
      </c>
      <c r="R19" t="s">
        <v>4298</v>
      </c>
      <c r="S19" s="4" t="s">
        <v>255</v>
      </c>
      <c r="T19" s="302">
        <f>IFERROR(IGA_BD[[#This Row],[Breakdown Time]]*IGA_BD[[#This Row],[Plant Equivalent Weightage]],"")</f>
        <v>0.16666666666666674</v>
      </c>
      <c r="U19" s="302"/>
      <c r="V19" s="302"/>
      <c r="W19">
        <v>1532</v>
      </c>
    </row>
    <row r="20" spans="1:23">
      <c r="A20" s="10">
        <f t="shared" si="0"/>
        <v>16</v>
      </c>
      <c r="B20" s="10">
        <f>YEAR(IGA_BD[[#This Row],[Date]])+IF(MONTH(IGA_BD[[#This Row],[Date]])&gt;=4,1,0)</f>
        <v>2026</v>
      </c>
      <c r="C20" s="10">
        <v>2025</v>
      </c>
      <c r="D20" s="10" t="s">
        <v>4478</v>
      </c>
      <c r="E20" s="309">
        <f>IGA_BD[[#This Row],[Date]]-DAY(IGA_BD[[#This Row],[Date]])+1</f>
        <v>45748</v>
      </c>
      <c r="F20" s="32">
        <v>45763</v>
      </c>
      <c r="G20" t="s">
        <v>566</v>
      </c>
      <c r="H20" s="4">
        <f>IFERROR(VLOOKUP(IGA_BD[[#This Row],[Affected Feeder ]],'Basic Data'!$A$3:$E$50,2,0),"")</f>
        <v>0</v>
      </c>
      <c r="I20" s="4">
        <f>IFERROR(VLOOKUP(IGA_BD[[#This Row],[Affected Feeder ]],'Basic Data'!$A$3:$E$50,3,0),"")</f>
        <v>0</v>
      </c>
      <c r="J20" s="9">
        <f>IFERROR(VLOOKUP(IGA_BD[[#This Row],[Affected Feeder ]],'Basic Data'!$A$3:$E$50,5,0),"")</f>
        <v>0.5</v>
      </c>
      <c r="K20" s="304" t="s">
        <v>4506</v>
      </c>
      <c r="L20" s="48">
        <v>0.38194444444444442</v>
      </c>
      <c r="M20" s="48">
        <v>0.38194444444444442</v>
      </c>
      <c r="N20" s="48">
        <v>0.40972222222222221</v>
      </c>
      <c r="O20" s="6">
        <f>(IGA_BD[[#This Row],[Work Start TimeStamp]]-IGA_BD[[#This Row],[Fault Start TimeStamp]])*24</f>
        <v>0</v>
      </c>
      <c r="P20" s="6">
        <f>(IGA_BD[[#This Row],[Fault Clearance time]]-IGA_BD[[#This Row],[Work Start TimeStamp]])*24</f>
        <v>0.66666666666666696</v>
      </c>
      <c r="Q20" s="6">
        <f>(IGA_BD[[#This Row],[Fault Clearance time]]-IGA_BD[[#This Row],[Fault Start TimeStamp]])*24</f>
        <v>0.66666666666666696</v>
      </c>
      <c r="R20" s="297" t="s">
        <v>4500</v>
      </c>
      <c r="S20" s="4" t="s">
        <v>255</v>
      </c>
      <c r="T20" s="302">
        <f>IFERROR(IGA_BD[[#This Row],[Breakdown Time]]*IGA_BD[[#This Row],[Plant Equivalent Weightage]],"")</f>
        <v>0.33333333333333348</v>
      </c>
      <c r="U20" s="302"/>
      <c r="V20" s="302"/>
      <c r="W20">
        <v>3064</v>
      </c>
    </row>
    <row r="21" spans="1:23">
      <c r="A21" s="10">
        <f t="shared" si="0"/>
        <v>17</v>
      </c>
      <c r="B21" s="10">
        <f>YEAR(IGA_BD[[#This Row],[Date]])+IF(MONTH(IGA_BD[[#This Row],[Date]])&gt;=4,1,0)</f>
        <v>2026</v>
      </c>
      <c r="C21" s="10">
        <v>2025</v>
      </c>
      <c r="D21" s="10" t="s">
        <v>4478</v>
      </c>
      <c r="E21" s="309">
        <f>IGA_BD[[#This Row],[Date]]-DAY(IGA_BD[[#This Row],[Date]])+1</f>
        <v>45748</v>
      </c>
      <c r="F21" s="32">
        <v>45763</v>
      </c>
      <c r="G21" t="s">
        <v>83</v>
      </c>
      <c r="H21" s="4" t="str">
        <f>IFERROR(VLOOKUP(IGA_BD[[#This Row],[Affected Feeder ]],'Basic Data'!$A$3:$E$50,2,0),"")</f>
        <v>O2R3</v>
      </c>
      <c r="I21" s="4" t="str">
        <f>IFERROR(VLOOKUP(IGA_BD[[#This Row],[Affected Feeder ]],'Basic Data'!$A$3:$E$50,3,0),"")</f>
        <v>JK</v>
      </c>
      <c r="J21" s="9">
        <f>IFERROR(VLOOKUP(IGA_BD[[#This Row],[Affected Feeder ]],'Basic Data'!$A$3:$E$50,5,0),"")</f>
        <v>4.3478260869565223E-2</v>
      </c>
      <c r="K21" s="297" t="s">
        <v>4501</v>
      </c>
      <c r="L21" s="35">
        <v>0.40972222222222221</v>
      </c>
      <c r="M21" s="35">
        <v>0.40972222222222221</v>
      </c>
      <c r="N21" s="35">
        <v>0.75555555555555554</v>
      </c>
      <c r="O21" s="6">
        <f>(IGA_BD[[#This Row],[Work Start TimeStamp]]-IGA_BD[[#This Row],[Fault Start TimeStamp]])*24</f>
        <v>0</v>
      </c>
      <c r="P21" s="6">
        <f>(IGA_BD[[#This Row],[Fault Clearance time]]-IGA_BD[[#This Row],[Work Start TimeStamp]])*24</f>
        <v>8.3000000000000007</v>
      </c>
      <c r="Q21" s="6">
        <f>(IGA_BD[[#This Row],[Fault Clearance time]]-IGA_BD[[#This Row],[Fault Start TimeStamp]])*24</f>
        <v>8.3000000000000007</v>
      </c>
      <c r="R21" s="318" t="s">
        <v>4511</v>
      </c>
      <c r="S21" s="4" t="s">
        <v>255</v>
      </c>
      <c r="T21" s="302">
        <f>IFERROR(IGA_BD[[#This Row],[Breakdown Time]]*IGA_BD[[#This Row],[Plant Equivalent Weightage]],"")</f>
        <v>0.36086956521739139</v>
      </c>
      <c r="U21" s="302"/>
      <c r="V21" s="302"/>
      <c r="W21">
        <v>3468</v>
      </c>
    </row>
    <row r="22" spans="1:23">
      <c r="A22" s="10">
        <f t="shared" si="0"/>
        <v>18</v>
      </c>
      <c r="B22" s="10">
        <f>YEAR(IGA_BD[[#This Row],[Date]])+IF(MONTH(IGA_BD[[#This Row],[Date]])&gt;=4,1,0)</f>
        <v>2026</v>
      </c>
      <c r="C22" s="10">
        <v>2025</v>
      </c>
      <c r="D22" s="10" t="s">
        <v>4478</v>
      </c>
      <c r="E22" s="309">
        <f>IGA_BD[[#This Row],[Date]]-DAY(IGA_BD[[#This Row],[Date]])+1</f>
        <v>45748</v>
      </c>
      <c r="F22" s="32">
        <v>45763</v>
      </c>
      <c r="G22" t="s">
        <v>566</v>
      </c>
      <c r="H22" s="4">
        <f>IFERROR(VLOOKUP(IGA_BD[[#This Row],[Affected Feeder ]],'Basic Data'!$A$3:$E$50,2,0),"")</f>
        <v>0</v>
      </c>
      <c r="I22" s="4">
        <f>IFERROR(VLOOKUP(IGA_BD[[#This Row],[Affected Feeder ]],'Basic Data'!$A$3:$E$50,3,0),"")</f>
        <v>0</v>
      </c>
      <c r="J22" s="9">
        <f>IFERROR(VLOOKUP(IGA_BD[[#This Row],[Affected Feeder ]],'Basic Data'!$A$3:$E$50,5,0),"")</f>
        <v>0.5</v>
      </c>
      <c r="K22" s="297" t="s">
        <v>4503</v>
      </c>
      <c r="L22" s="35">
        <v>0.75555555555555554</v>
      </c>
      <c r="M22" s="35">
        <v>0.75555555555555554</v>
      </c>
      <c r="N22" s="35">
        <v>0.76875000000000004</v>
      </c>
      <c r="O22" s="6">
        <f>(IGA_BD[[#This Row],[Work Start TimeStamp]]-IGA_BD[[#This Row],[Fault Start TimeStamp]])*24</f>
        <v>0</v>
      </c>
      <c r="P22" s="6">
        <f>(IGA_BD[[#This Row],[Fault Clearance time]]-IGA_BD[[#This Row],[Work Start TimeStamp]])*24</f>
        <v>0.31666666666666821</v>
      </c>
      <c r="Q22" s="6">
        <f>(IGA_BD[[#This Row],[Fault Clearance time]]-IGA_BD[[#This Row],[Fault Start TimeStamp]])*24</f>
        <v>0.31666666666666821</v>
      </c>
      <c r="R22" s="297" t="s">
        <v>4504</v>
      </c>
      <c r="S22" s="4" t="s">
        <v>255</v>
      </c>
      <c r="T22" s="302">
        <f>IFERROR(IGA_BD[[#This Row],[Breakdown Time]]*IGA_BD[[#This Row],[Plant Equivalent Weightage]],"")</f>
        <v>0.1583333333333341</v>
      </c>
      <c r="U22" s="302"/>
      <c r="V22" s="302"/>
      <c r="W22">
        <v>1455</v>
      </c>
    </row>
    <row r="23" spans="1:23">
      <c r="A23" s="10">
        <f t="shared" si="0"/>
        <v>19</v>
      </c>
      <c r="B23" s="10">
        <f>YEAR(IGA_BD[[#This Row],[Date]])+IF(MONTH(IGA_BD[[#This Row],[Date]])&gt;=4,1,0)</f>
        <v>2026</v>
      </c>
      <c r="C23" s="10">
        <v>2025</v>
      </c>
      <c r="D23" s="10" t="s">
        <v>4478</v>
      </c>
      <c r="E23" s="309">
        <f>IGA_BD[[#This Row],[Date]]-DAY(IGA_BD[[#This Row],[Date]])+1</f>
        <v>45748</v>
      </c>
      <c r="F23" s="32">
        <v>45763</v>
      </c>
      <c r="G23" t="s">
        <v>390</v>
      </c>
      <c r="H23" s="4">
        <f>IFERROR(VLOOKUP(IGA_BD[[#This Row],[Affected Feeder ]],'Basic Data'!$A$3:$E$50,2,0),"")</f>
        <v>0</v>
      </c>
      <c r="I23" s="4">
        <f>IFERROR(VLOOKUP(IGA_BD[[#This Row],[Affected Feeder ]],'Basic Data'!$A$3:$E$50,3,0),"")</f>
        <v>0</v>
      </c>
      <c r="J23" s="9">
        <f>IFERROR(VLOOKUP(IGA_BD[[#This Row],[Affected Feeder ]],'Basic Data'!$A$3:$E$50,5,0),"")</f>
        <v>0.5</v>
      </c>
      <c r="K23" t="s">
        <v>388</v>
      </c>
      <c r="L23" s="35">
        <v>0.81944444444444442</v>
      </c>
      <c r="M23" s="35">
        <v>0.81944444444444442</v>
      </c>
      <c r="N23" s="35">
        <v>0.82499999999999996</v>
      </c>
      <c r="O23" s="6">
        <f>(IGA_BD[[#This Row],[Work Start TimeStamp]]-IGA_BD[[#This Row],[Fault Start TimeStamp]])*24</f>
        <v>0</v>
      </c>
      <c r="P23" s="6">
        <f>(IGA_BD[[#This Row],[Fault Clearance time]]-IGA_BD[[#This Row],[Work Start TimeStamp]])*24</f>
        <v>0.13333333333333286</v>
      </c>
      <c r="Q23" s="6">
        <f>(IGA_BD[[#This Row],[Fault Clearance time]]-IGA_BD[[#This Row],[Fault Start TimeStamp]])*24</f>
        <v>0.13333333333333286</v>
      </c>
      <c r="R23" t="s">
        <v>4298</v>
      </c>
      <c r="S23" s="4" t="s">
        <v>255</v>
      </c>
      <c r="T23" s="302">
        <f>IFERROR(IGA_BD[[#This Row],[Breakdown Time]]*IGA_BD[[#This Row],[Plant Equivalent Weightage]],"")</f>
        <v>6.666666666666643E-2</v>
      </c>
      <c r="U23" s="302"/>
      <c r="V23" s="302"/>
      <c r="W23">
        <v>668</v>
      </c>
    </row>
    <row r="24" spans="1:23">
      <c r="A24" s="10">
        <f t="shared" si="0"/>
        <v>20</v>
      </c>
      <c r="B24" s="10">
        <f>YEAR(IGA_BD[[#This Row],[Date]])+IF(MONTH(IGA_BD[[#This Row],[Date]])&gt;=4,1,0)</f>
        <v>2026</v>
      </c>
      <c r="C24" s="10">
        <v>2025</v>
      </c>
      <c r="D24" s="10" t="s">
        <v>4478</v>
      </c>
      <c r="E24" s="309">
        <f>IGA_BD[[#This Row],[Date]]-DAY(IGA_BD[[#This Row],[Date]])+1</f>
        <v>45748</v>
      </c>
      <c r="F24" s="32">
        <v>45763</v>
      </c>
      <c r="G24" t="s">
        <v>79</v>
      </c>
      <c r="H24" s="4" t="str">
        <f>IFERROR(VLOOKUP(IGA_BD[[#This Row],[Affected Feeder ]],'Basic Data'!$A$3:$E$50,2,0),"")</f>
        <v>O2R3</v>
      </c>
      <c r="I24" s="4" t="str">
        <f>IFERROR(VLOOKUP(IGA_BD[[#This Row],[Affected Feeder ]],'Basic Data'!$A$3:$E$50,3,0),"")</f>
        <v>JK</v>
      </c>
      <c r="J24" s="9">
        <f>IFERROR(VLOOKUP(IGA_BD[[#This Row],[Affected Feeder ]],'Basic Data'!$A$3:$E$50,5,0),"")</f>
        <v>4.3478260869565223E-2</v>
      </c>
      <c r="K24" s="46" t="s">
        <v>4320</v>
      </c>
      <c r="L24" s="35">
        <v>0.82499999999999996</v>
      </c>
      <c r="M24" s="35">
        <v>0.82499999999999996</v>
      </c>
      <c r="N24" s="35">
        <v>0.87847222222222221</v>
      </c>
      <c r="O24" s="6">
        <f>(IGA_BD[[#This Row],[Work Start TimeStamp]]-IGA_BD[[#This Row],[Fault Start TimeStamp]])*24</f>
        <v>0</v>
      </c>
      <c r="P24" s="6">
        <f>(IGA_BD[[#This Row],[Fault Clearance time]]-IGA_BD[[#This Row],[Work Start TimeStamp]])*24</f>
        <v>1.2833333333333341</v>
      </c>
      <c r="Q24" s="6">
        <f>(IGA_BD[[#This Row],[Fault Clearance time]]-IGA_BD[[#This Row],[Fault Start TimeStamp]])*24</f>
        <v>1.2833333333333341</v>
      </c>
      <c r="R24" t="s">
        <v>4334</v>
      </c>
      <c r="S24" s="4" t="s">
        <v>255</v>
      </c>
      <c r="T24" s="302">
        <f>IFERROR(IGA_BD[[#This Row],[Breakdown Time]]*IGA_BD[[#This Row],[Plant Equivalent Weightage]],"")</f>
        <v>5.5797101449275403E-2</v>
      </c>
      <c r="U24" s="302"/>
      <c r="V24" s="302"/>
      <c r="W24">
        <v>536</v>
      </c>
    </row>
    <row r="25" spans="1:23">
      <c r="A25" s="10">
        <f t="shared" si="0"/>
        <v>21</v>
      </c>
      <c r="B25" s="10">
        <f>YEAR(IGA_BD[[#This Row],[Date]])+IF(MONTH(IGA_BD[[#This Row],[Date]])&gt;=4,1,0)</f>
        <v>2026</v>
      </c>
      <c r="C25" s="10">
        <v>2025</v>
      </c>
      <c r="D25" s="10" t="s">
        <v>4478</v>
      </c>
      <c r="E25" s="309">
        <f>IGA_BD[[#This Row],[Date]]-DAY(IGA_BD[[#This Row],[Date]])+1</f>
        <v>45748</v>
      </c>
      <c r="F25" s="32">
        <v>45763</v>
      </c>
      <c r="G25" t="s">
        <v>80</v>
      </c>
      <c r="H25" s="4" t="str">
        <f>IFERROR(VLOOKUP(IGA_BD[[#This Row],[Affected Feeder ]],'Basic Data'!$A$3:$E$50,2,0),"")</f>
        <v>O2R3</v>
      </c>
      <c r="I25" s="4" t="str">
        <f>IFERROR(VLOOKUP(IGA_BD[[#This Row],[Affected Feeder ]],'Basic Data'!$A$3:$E$50,3,0),"")</f>
        <v>JK</v>
      </c>
      <c r="J25" s="9">
        <f>IFERROR(VLOOKUP(IGA_BD[[#This Row],[Affected Feeder ]],'Basic Data'!$A$3:$E$50,5,0),"")</f>
        <v>4.3478260869565223E-2</v>
      </c>
      <c r="K25" s="46" t="s">
        <v>4320</v>
      </c>
      <c r="L25" s="35">
        <v>0.82499999999999996</v>
      </c>
      <c r="M25" s="35">
        <v>0.82499999999999996</v>
      </c>
      <c r="N25" s="35">
        <v>0.87847222222222221</v>
      </c>
      <c r="O25" s="6">
        <f>(IGA_BD[[#This Row],[Work Start TimeStamp]]-IGA_BD[[#This Row],[Fault Start TimeStamp]])*24</f>
        <v>0</v>
      </c>
      <c r="P25" s="6">
        <f>(IGA_BD[[#This Row],[Fault Clearance time]]-IGA_BD[[#This Row],[Work Start TimeStamp]])*24</f>
        <v>1.2833333333333341</v>
      </c>
      <c r="Q25" s="6">
        <f>(IGA_BD[[#This Row],[Fault Clearance time]]-IGA_BD[[#This Row],[Fault Start TimeStamp]])*24</f>
        <v>1.2833333333333341</v>
      </c>
      <c r="R25" t="s">
        <v>4334</v>
      </c>
      <c r="S25" s="4" t="s">
        <v>255</v>
      </c>
      <c r="T25" s="302">
        <f>IFERROR(IGA_BD[[#This Row],[Breakdown Time]]*IGA_BD[[#This Row],[Plant Equivalent Weightage]],"")</f>
        <v>5.5797101449275403E-2</v>
      </c>
      <c r="U25" s="302"/>
      <c r="V25" s="302"/>
      <c r="W25">
        <v>536</v>
      </c>
    </row>
    <row r="26" spans="1:23">
      <c r="A26" s="10">
        <f t="shared" si="0"/>
        <v>22</v>
      </c>
      <c r="B26" s="10">
        <f>YEAR(IGA_BD[[#This Row],[Date]])+IF(MONTH(IGA_BD[[#This Row],[Date]])&gt;=4,1,0)</f>
        <v>2026</v>
      </c>
      <c r="C26" s="10">
        <v>2025</v>
      </c>
      <c r="D26" s="10" t="s">
        <v>4478</v>
      </c>
      <c r="E26" s="309">
        <f>IGA_BD[[#This Row],[Date]]-DAY(IGA_BD[[#This Row],[Date]])+1</f>
        <v>45748</v>
      </c>
      <c r="F26" s="32">
        <v>45763</v>
      </c>
      <c r="G26" t="s">
        <v>84</v>
      </c>
      <c r="H26" s="4" t="str">
        <f>IFERROR(VLOOKUP(IGA_BD[[#This Row],[Affected Feeder ]],'Basic Data'!$A$3:$E$50,2,0),"")</f>
        <v>O2R3</v>
      </c>
      <c r="I26" s="4" t="str">
        <f>IFERROR(VLOOKUP(IGA_BD[[#This Row],[Affected Feeder ]],'Basic Data'!$A$3:$E$50,3,0),"")</f>
        <v>JK</v>
      </c>
      <c r="J26" s="9">
        <f>IFERROR(VLOOKUP(IGA_BD[[#This Row],[Affected Feeder ]],'Basic Data'!$A$3:$E$50,5,0),"")</f>
        <v>4.3478260869565223E-2</v>
      </c>
      <c r="K26" s="46" t="s">
        <v>4320</v>
      </c>
      <c r="L26" s="35">
        <v>0.82499999999999996</v>
      </c>
      <c r="M26" s="35">
        <v>0.82499999999999996</v>
      </c>
      <c r="N26" s="35">
        <v>0.87847222222222221</v>
      </c>
      <c r="O26" s="6">
        <f>(IGA_BD[[#This Row],[Work Start TimeStamp]]-IGA_BD[[#This Row],[Fault Start TimeStamp]])*24</f>
        <v>0</v>
      </c>
      <c r="P26" s="6">
        <f>(IGA_BD[[#This Row],[Fault Clearance time]]-IGA_BD[[#This Row],[Work Start TimeStamp]])*24</f>
        <v>1.2833333333333341</v>
      </c>
      <c r="Q26" s="6">
        <f>(IGA_BD[[#This Row],[Fault Clearance time]]-IGA_BD[[#This Row],[Fault Start TimeStamp]])*24</f>
        <v>1.2833333333333341</v>
      </c>
      <c r="R26" t="s">
        <v>4334</v>
      </c>
      <c r="S26" s="4" t="s">
        <v>255</v>
      </c>
      <c r="T26" s="302">
        <f>IFERROR(IGA_BD[[#This Row],[Breakdown Time]]*IGA_BD[[#This Row],[Plant Equivalent Weightage]],"")</f>
        <v>5.5797101449275403E-2</v>
      </c>
      <c r="U26" s="302"/>
      <c r="V26" s="302"/>
      <c r="W26">
        <v>536</v>
      </c>
    </row>
    <row r="27" spans="1:23">
      <c r="A27" s="10">
        <f t="shared" si="0"/>
        <v>23</v>
      </c>
      <c r="B27" s="10">
        <f>YEAR(IGA_BD[[#This Row],[Date]])+IF(MONTH(IGA_BD[[#This Row],[Date]])&gt;=4,1,0)</f>
        <v>2026</v>
      </c>
      <c r="C27" s="10">
        <v>2025</v>
      </c>
      <c r="D27" s="10" t="s">
        <v>4478</v>
      </c>
      <c r="E27" s="309">
        <f>IGA_BD[[#This Row],[Date]]-DAY(IGA_BD[[#This Row],[Date]])+1</f>
        <v>45748</v>
      </c>
      <c r="F27" s="32">
        <v>45763</v>
      </c>
      <c r="G27" t="s">
        <v>96</v>
      </c>
      <c r="H27" s="4" t="str">
        <f>IFERROR(VLOOKUP(IGA_BD[[#This Row],[Affected Feeder ]],'Basic Data'!$A$3:$E$50,2,0),"")</f>
        <v>O2R3</v>
      </c>
      <c r="I27" s="4" t="str">
        <f>IFERROR(VLOOKUP(IGA_BD[[#This Row],[Affected Feeder ]],'Basic Data'!$A$3:$E$50,3,0),"")</f>
        <v>JK</v>
      </c>
      <c r="J27" s="9">
        <f>IFERROR(VLOOKUP(IGA_BD[[#This Row],[Affected Feeder ]],'Basic Data'!$A$3:$E$50,5,0),"")</f>
        <v>4.3478260869565223E-2</v>
      </c>
      <c r="K27" s="46" t="s">
        <v>4320</v>
      </c>
      <c r="L27" s="35">
        <v>0.82499999999999996</v>
      </c>
      <c r="M27" s="35">
        <v>0.82499999999999996</v>
      </c>
      <c r="N27" s="35">
        <v>0.87847222222222221</v>
      </c>
      <c r="O27" s="6">
        <f>(IGA_BD[[#This Row],[Work Start TimeStamp]]-IGA_BD[[#This Row],[Fault Start TimeStamp]])*24</f>
        <v>0</v>
      </c>
      <c r="P27" s="6">
        <f>(IGA_BD[[#This Row],[Fault Clearance time]]-IGA_BD[[#This Row],[Work Start TimeStamp]])*24</f>
        <v>1.2833333333333341</v>
      </c>
      <c r="Q27" s="6">
        <f>(IGA_BD[[#This Row],[Fault Clearance time]]-IGA_BD[[#This Row],[Fault Start TimeStamp]])*24</f>
        <v>1.2833333333333341</v>
      </c>
      <c r="R27" t="s">
        <v>4334</v>
      </c>
      <c r="S27" s="4" t="s">
        <v>255</v>
      </c>
      <c r="T27" s="302">
        <f>IFERROR(IGA_BD[[#This Row],[Breakdown Time]]*IGA_BD[[#This Row],[Plant Equivalent Weightage]],"")</f>
        <v>5.5797101449275403E-2</v>
      </c>
      <c r="U27" s="302"/>
      <c r="V27" s="302"/>
      <c r="W27">
        <v>536</v>
      </c>
    </row>
    <row r="28" spans="1:23">
      <c r="A28" s="10">
        <f t="shared" si="0"/>
        <v>24</v>
      </c>
      <c r="B28" s="10">
        <f>YEAR(IGA_BD[[#This Row],[Date]])+IF(MONTH(IGA_BD[[#This Row],[Date]])&gt;=4,1,0)</f>
        <v>2026</v>
      </c>
      <c r="C28" s="10">
        <v>2025</v>
      </c>
      <c r="D28" s="10" t="s">
        <v>4478</v>
      </c>
      <c r="E28" s="309">
        <f>IGA_BD[[#This Row],[Date]]-DAY(IGA_BD[[#This Row],[Date]])+1</f>
        <v>45748</v>
      </c>
      <c r="F28" s="32">
        <v>45763</v>
      </c>
      <c r="G28" t="s">
        <v>97</v>
      </c>
      <c r="H28" s="4" t="str">
        <f>IFERROR(VLOOKUP(IGA_BD[[#This Row],[Affected Feeder ]],'Basic Data'!$A$3:$E$50,2,0),"")</f>
        <v>O2R3</v>
      </c>
      <c r="I28" s="4" t="str">
        <f>IFERROR(VLOOKUP(IGA_BD[[#This Row],[Affected Feeder ]],'Basic Data'!$A$3:$E$50,3,0),"")</f>
        <v>JK</v>
      </c>
      <c r="J28" s="9">
        <f>IFERROR(VLOOKUP(IGA_BD[[#This Row],[Affected Feeder ]],'Basic Data'!$A$3:$E$50,5,0),"")</f>
        <v>4.3478260869565223E-2</v>
      </c>
      <c r="K28" s="46" t="s">
        <v>4320</v>
      </c>
      <c r="L28" s="35">
        <v>0.82499999999999996</v>
      </c>
      <c r="M28" s="35">
        <v>0.82499999999999996</v>
      </c>
      <c r="N28" s="35">
        <v>0.87847222222222221</v>
      </c>
      <c r="O28" s="6">
        <f>(IGA_BD[[#This Row],[Work Start TimeStamp]]-IGA_BD[[#This Row],[Fault Start TimeStamp]])*24</f>
        <v>0</v>
      </c>
      <c r="P28" s="6">
        <f>(IGA_BD[[#This Row],[Fault Clearance time]]-IGA_BD[[#This Row],[Work Start TimeStamp]])*24</f>
        <v>1.2833333333333341</v>
      </c>
      <c r="Q28" s="6">
        <f>(IGA_BD[[#This Row],[Fault Clearance time]]-IGA_BD[[#This Row],[Fault Start TimeStamp]])*24</f>
        <v>1.2833333333333341</v>
      </c>
      <c r="R28" t="s">
        <v>4334</v>
      </c>
      <c r="S28" s="4" t="s">
        <v>255</v>
      </c>
      <c r="T28" s="302">
        <f>IFERROR(IGA_BD[[#This Row],[Breakdown Time]]*IGA_BD[[#This Row],[Plant Equivalent Weightage]],"")</f>
        <v>5.5797101449275403E-2</v>
      </c>
      <c r="U28" s="302"/>
      <c r="V28" s="302"/>
      <c r="W28">
        <v>536</v>
      </c>
    </row>
    <row r="29" spans="1:23">
      <c r="A29" s="10">
        <f t="shared" si="0"/>
        <v>25</v>
      </c>
      <c r="B29" s="10">
        <f>YEAR(IGA_BD[[#This Row],[Date]])+IF(MONTH(IGA_BD[[#This Row],[Date]])&gt;=4,1,0)</f>
        <v>2026</v>
      </c>
      <c r="C29" s="10">
        <v>2025</v>
      </c>
      <c r="D29" s="10" t="s">
        <v>4478</v>
      </c>
      <c r="E29" s="309">
        <f>IGA_BD[[#This Row],[Date]]-DAY(IGA_BD[[#This Row],[Date]])+1</f>
        <v>45748</v>
      </c>
      <c r="F29" s="32">
        <v>45763</v>
      </c>
      <c r="G29" t="s">
        <v>98</v>
      </c>
      <c r="H29" s="4" t="str">
        <f>IFERROR(VLOOKUP(IGA_BD[[#This Row],[Affected Feeder ]],'Basic Data'!$A$3:$E$50,2,0),"")</f>
        <v>O2R3</v>
      </c>
      <c r="I29" s="4" t="str">
        <f>IFERROR(VLOOKUP(IGA_BD[[#This Row],[Affected Feeder ]],'Basic Data'!$A$3:$E$50,3,0),"")</f>
        <v>JK</v>
      </c>
      <c r="J29" s="9">
        <f>IFERROR(VLOOKUP(IGA_BD[[#This Row],[Affected Feeder ]],'Basic Data'!$A$3:$E$50,5,0),"")</f>
        <v>4.3478260869565223E-2</v>
      </c>
      <c r="K29" s="46" t="s">
        <v>4320</v>
      </c>
      <c r="L29" s="35">
        <v>0.82499999999999996</v>
      </c>
      <c r="M29" s="35">
        <v>0.82499999999999996</v>
      </c>
      <c r="N29" s="35">
        <v>0.87847222222222221</v>
      </c>
      <c r="O29" s="6">
        <f>(IGA_BD[[#This Row],[Work Start TimeStamp]]-IGA_BD[[#This Row],[Fault Start TimeStamp]])*24</f>
        <v>0</v>
      </c>
      <c r="P29" s="6">
        <f>(IGA_BD[[#This Row],[Fault Clearance time]]-IGA_BD[[#This Row],[Work Start TimeStamp]])*24</f>
        <v>1.2833333333333341</v>
      </c>
      <c r="Q29" s="6">
        <f>(IGA_BD[[#This Row],[Fault Clearance time]]-IGA_BD[[#This Row],[Fault Start TimeStamp]])*24</f>
        <v>1.2833333333333341</v>
      </c>
      <c r="R29" t="s">
        <v>4334</v>
      </c>
      <c r="S29" s="4" t="s">
        <v>255</v>
      </c>
      <c r="T29" s="302">
        <f>IFERROR(IGA_BD[[#This Row],[Breakdown Time]]*IGA_BD[[#This Row],[Plant Equivalent Weightage]],"")</f>
        <v>5.5797101449275403E-2</v>
      </c>
      <c r="U29" s="302"/>
      <c r="V29" s="302"/>
      <c r="W29">
        <v>536</v>
      </c>
    </row>
    <row r="30" spans="1:23">
      <c r="A30" s="10">
        <f t="shared" si="0"/>
        <v>26</v>
      </c>
      <c r="B30" s="10">
        <f>YEAR(IGA_BD[[#This Row],[Date]])+IF(MONTH(IGA_BD[[#This Row],[Date]])&gt;=4,1,0)</f>
        <v>2026</v>
      </c>
      <c r="C30" s="10">
        <v>2025</v>
      </c>
      <c r="D30" s="10" t="s">
        <v>4478</v>
      </c>
      <c r="E30" s="309">
        <f>IGA_BD[[#This Row],[Date]]-DAY(IGA_BD[[#This Row],[Date]])+1</f>
        <v>45748</v>
      </c>
      <c r="F30" s="32">
        <v>45763</v>
      </c>
      <c r="G30" t="s">
        <v>390</v>
      </c>
      <c r="H30" s="4">
        <f>IFERROR(VLOOKUP(IGA_BD[[#This Row],[Affected Feeder ]],'Basic Data'!$A$3:$E$50,2,0),"")</f>
        <v>0</v>
      </c>
      <c r="I30" s="4">
        <f>IFERROR(VLOOKUP(IGA_BD[[#This Row],[Affected Feeder ]],'Basic Data'!$A$3:$E$50,3,0),"")</f>
        <v>0</v>
      </c>
      <c r="J30" s="9">
        <f>IFERROR(VLOOKUP(IGA_BD[[#This Row],[Affected Feeder ]],'Basic Data'!$A$3:$E$50,5,0),"")</f>
        <v>0.5</v>
      </c>
      <c r="K30" t="s">
        <v>4335</v>
      </c>
      <c r="L30" s="35">
        <v>0.87847222222222221</v>
      </c>
      <c r="M30" s="35">
        <v>0.87847222222222221</v>
      </c>
      <c r="N30" s="35">
        <v>0.95277777777777772</v>
      </c>
      <c r="O30" s="6">
        <f>(IGA_BD[[#This Row],[Work Start TimeStamp]]-IGA_BD[[#This Row],[Fault Start TimeStamp]])*24</f>
        <v>0</v>
      </c>
      <c r="P30" s="6">
        <f>(IGA_BD[[#This Row],[Fault Clearance time]]-IGA_BD[[#This Row],[Work Start TimeStamp]])*24</f>
        <v>1.7833333333333323</v>
      </c>
      <c r="Q30" s="6">
        <f>(IGA_BD[[#This Row],[Fault Clearance time]]-IGA_BD[[#This Row],[Fault Start TimeStamp]])*24</f>
        <v>1.7833333333333323</v>
      </c>
      <c r="R30" t="s">
        <v>4336</v>
      </c>
      <c r="S30" s="4" t="s">
        <v>255</v>
      </c>
      <c r="T30" s="302">
        <f>IFERROR(IGA_BD[[#This Row],[Breakdown Time]]*IGA_BD[[#This Row],[Plant Equivalent Weightage]],"")</f>
        <v>0.89166666666666616</v>
      </c>
      <c r="U30" s="302"/>
      <c r="V30" s="302"/>
      <c r="W30">
        <v>8941</v>
      </c>
    </row>
    <row r="31" spans="1:23">
      <c r="A31" s="10">
        <f t="shared" si="0"/>
        <v>27</v>
      </c>
      <c r="B31" s="10">
        <f>YEAR(IGA_BD[[#This Row],[Date]])+IF(MONTH(IGA_BD[[#This Row],[Date]])&gt;=4,1,0)</f>
        <v>2026</v>
      </c>
      <c r="C31" s="10">
        <v>2025</v>
      </c>
      <c r="D31" s="10" t="s">
        <v>4478</v>
      </c>
      <c r="E31" s="309">
        <f>IGA_BD[[#This Row],[Date]]-DAY(IGA_BD[[#This Row],[Date]])+1</f>
        <v>45748</v>
      </c>
      <c r="F31" s="32">
        <v>45764</v>
      </c>
      <c r="G31" t="s">
        <v>566</v>
      </c>
      <c r="H31" s="4">
        <f>IFERROR(VLOOKUP(IGA_BD[[#This Row],[Affected Feeder ]],'Basic Data'!$A$3:$E$50,2,0),"")</f>
        <v>0</v>
      </c>
      <c r="I31" s="4">
        <f>IFERROR(VLOOKUP(IGA_BD[[#This Row],[Affected Feeder ]],'Basic Data'!$A$3:$E$50,3,0),"")</f>
        <v>0</v>
      </c>
      <c r="J31" s="9">
        <f>IFERROR(VLOOKUP(IGA_BD[[#This Row],[Affected Feeder ]],'Basic Data'!$A$3:$E$50,5,0),"")</f>
        <v>0.5</v>
      </c>
      <c r="K31" s="304" t="s">
        <v>4506</v>
      </c>
      <c r="L31" s="35">
        <v>0.42916666666666664</v>
      </c>
      <c r="M31" s="35">
        <v>0.42916666666666664</v>
      </c>
      <c r="N31" s="35">
        <v>0.46319444444444446</v>
      </c>
      <c r="O31" s="6">
        <f>(IGA_BD[[#This Row],[Work Start TimeStamp]]-IGA_BD[[#This Row],[Fault Start TimeStamp]])*24</f>
        <v>0</v>
      </c>
      <c r="P31" s="6">
        <f>(IGA_BD[[#This Row],[Fault Clearance time]]-IGA_BD[[#This Row],[Work Start TimeStamp]])*24</f>
        <v>0.81666666666666776</v>
      </c>
      <c r="Q31" s="6">
        <f>(IGA_BD[[#This Row],[Fault Clearance time]]-IGA_BD[[#This Row],[Fault Start TimeStamp]])*24</f>
        <v>0.81666666666666776</v>
      </c>
      <c r="R31" s="297" t="s">
        <v>4500</v>
      </c>
      <c r="S31" s="4" t="s">
        <v>255</v>
      </c>
      <c r="T31" s="302">
        <f>IFERROR(IGA_BD[[#This Row],[Breakdown Time]]*IGA_BD[[#This Row],[Plant Equivalent Weightage]],"")</f>
        <v>0.40833333333333388</v>
      </c>
      <c r="U31" s="302"/>
      <c r="V31" s="302"/>
      <c r="W31">
        <v>3603</v>
      </c>
    </row>
    <row r="32" spans="1:23">
      <c r="A32" s="10">
        <f t="shared" si="0"/>
        <v>28</v>
      </c>
      <c r="B32" s="10">
        <f>YEAR(IGA_BD[[#This Row],[Date]])+IF(MONTH(IGA_BD[[#This Row],[Date]])&gt;=4,1,0)</f>
        <v>2026</v>
      </c>
      <c r="C32" s="10">
        <v>2025</v>
      </c>
      <c r="D32" s="10" t="s">
        <v>4478</v>
      </c>
      <c r="E32" s="309">
        <f>IGA_BD[[#This Row],[Date]]-DAY(IGA_BD[[#This Row],[Date]])+1</f>
        <v>45748</v>
      </c>
      <c r="F32" s="32">
        <v>45764</v>
      </c>
      <c r="G32" t="s">
        <v>83</v>
      </c>
      <c r="H32" s="4" t="str">
        <f>IFERROR(VLOOKUP(IGA_BD[[#This Row],[Affected Feeder ]],'Basic Data'!$A$3:$E$50,2,0),"")</f>
        <v>O2R3</v>
      </c>
      <c r="I32" s="4" t="str">
        <f>IFERROR(VLOOKUP(IGA_BD[[#This Row],[Affected Feeder ]],'Basic Data'!$A$3:$E$50,3,0),"")</f>
        <v>JK</v>
      </c>
      <c r="J32" s="9">
        <f>IFERROR(VLOOKUP(IGA_BD[[#This Row],[Affected Feeder ]],'Basic Data'!$A$3:$E$50,5,0),"")</f>
        <v>4.3478260869565223E-2</v>
      </c>
      <c r="K32" s="297" t="s">
        <v>4501</v>
      </c>
      <c r="L32" s="35">
        <v>0.46319444444444446</v>
      </c>
      <c r="M32" s="35">
        <v>0.46319444444444446</v>
      </c>
      <c r="N32" s="35">
        <v>0.74097222222222225</v>
      </c>
      <c r="O32" s="6">
        <f>(IGA_BD[[#This Row],[Work Start TimeStamp]]-IGA_BD[[#This Row],[Fault Start TimeStamp]])*24</f>
        <v>0</v>
      </c>
      <c r="P32" s="6">
        <f>(IGA_BD[[#This Row],[Fault Clearance time]]-IGA_BD[[#This Row],[Work Start TimeStamp]])*24</f>
        <v>6.666666666666667</v>
      </c>
      <c r="Q32" s="6">
        <f>(IGA_BD[[#This Row],[Fault Clearance time]]-IGA_BD[[#This Row],[Fault Start TimeStamp]])*24</f>
        <v>6.666666666666667</v>
      </c>
      <c r="R32" s="318" t="s">
        <v>4512</v>
      </c>
      <c r="S32" s="4" t="s">
        <v>255</v>
      </c>
      <c r="T32" s="302">
        <f>IFERROR(IGA_BD[[#This Row],[Breakdown Time]]*IGA_BD[[#This Row],[Plant Equivalent Weightage]],"")</f>
        <v>0.28985507246376818</v>
      </c>
      <c r="U32" s="302"/>
      <c r="V32" s="302"/>
      <c r="W32">
        <v>2674</v>
      </c>
    </row>
    <row r="33" spans="1:23">
      <c r="A33" s="10">
        <f t="shared" si="0"/>
        <v>29</v>
      </c>
      <c r="B33" s="10">
        <f>YEAR(IGA_BD[[#This Row],[Date]])+IF(MONTH(IGA_BD[[#This Row],[Date]])&gt;=4,1,0)</f>
        <v>2026</v>
      </c>
      <c r="C33" s="10">
        <v>2025</v>
      </c>
      <c r="D33" s="10" t="s">
        <v>4478</v>
      </c>
      <c r="E33" s="309">
        <f>IGA_BD[[#This Row],[Date]]-DAY(IGA_BD[[#This Row],[Date]])+1</f>
        <v>45748</v>
      </c>
      <c r="F33" s="32">
        <v>45764</v>
      </c>
      <c r="G33" t="s">
        <v>566</v>
      </c>
      <c r="H33" s="4">
        <f>IFERROR(VLOOKUP(IGA_BD[[#This Row],[Affected Feeder ]],'Basic Data'!$A$3:$E$50,2,0),"")</f>
        <v>0</v>
      </c>
      <c r="I33" s="4">
        <f>IFERROR(VLOOKUP(IGA_BD[[#This Row],[Affected Feeder ]],'Basic Data'!$A$3:$E$50,3,0),"")</f>
        <v>0</v>
      </c>
      <c r="J33" s="9">
        <f>IFERROR(VLOOKUP(IGA_BD[[#This Row],[Affected Feeder ]],'Basic Data'!$A$3:$E$50,5,0),"")</f>
        <v>0.5</v>
      </c>
      <c r="K33" s="297" t="s">
        <v>4503</v>
      </c>
      <c r="L33" s="35">
        <v>0.74097222222222225</v>
      </c>
      <c r="M33" s="35">
        <v>0.74097222222222225</v>
      </c>
      <c r="N33" s="35">
        <v>0.75555555555555554</v>
      </c>
      <c r="O33" s="6">
        <f>(IGA_BD[[#This Row],[Work Start TimeStamp]]-IGA_BD[[#This Row],[Fault Start TimeStamp]])*24</f>
        <v>0</v>
      </c>
      <c r="P33" s="6">
        <f>(IGA_BD[[#This Row],[Fault Clearance time]]-IGA_BD[[#This Row],[Work Start TimeStamp]])*24</f>
        <v>0.34999999999999876</v>
      </c>
      <c r="Q33" s="6">
        <f>(IGA_BD[[#This Row],[Fault Clearance time]]-IGA_BD[[#This Row],[Fault Start TimeStamp]])*24</f>
        <v>0.34999999999999876</v>
      </c>
      <c r="R33" s="297" t="s">
        <v>4504</v>
      </c>
      <c r="S33" s="4" t="s">
        <v>255</v>
      </c>
      <c r="T33" s="302">
        <f>IFERROR(IGA_BD[[#This Row],[Breakdown Time]]*IGA_BD[[#This Row],[Plant Equivalent Weightage]],"")</f>
        <v>0.17499999999999938</v>
      </c>
      <c r="U33" s="302"/>
      <c r="V33" s="302"/>
      <c r="W33">
        <v>1544</v>
      </c>
    </row>
    <row r="34" spans="1:23">
      <c r="A34" s="10">
        <f t="shared" si="0"/>
        <v>30</v>
      </c>
      <c r="B34" s="10">
        <f>YEAR(IGA_BD[[#This Row],[Date]])+IF(MONTH(IGA_BD[[#This Row],[Date]])&gt;=4,1,0)</f>
        <v>2026</v>
      </c>
      <c r="C34" s="10">
        <v>2025</v>
      </c>
      <c r="D34" s="10" t="s">
        <v>4478</v>
      </c>
      <c r="E34" s="309">
        <f>IGA_BD[[#This Row],[Date]]-DAY(IGA_BD[[#This Row],[Date]])+1</f>
        <v>45748</v>
      </c>
      <c r="F34" s="32">
        <v>45765</v>
      </c>
      <c r="G34" t="s">
        <v>566</v>
      </c>
      <c r="H34" s="4">
        <f>IFERROR(VLOOKUP(IGA_BD[[#This Row],[Affected Feeder ]],'Basic Data'!$A$3:$E$50,2,0),"")</f>
        <v>0</v>
      </c>
      <c r="I34" s="4">
        <f>IFERROR(VLOOKUP(IGA_BD[[#This Row],[Affected Feeder ]],'Basic Data'!$A$3:$E$50,3,0),"")</f>
        <v>0</v>
      </c>
      <c r="J34" s="9">
        <f>IFERROR(VLOOKUP(IGA_BD[[#This Row],[Affected Feeder ]],'Basic Data'!$A$3:$E$50,5,0),"")</f>
        <v>0.5</v>
      </c>
      <c r="K34" s="304" t="s">
        <v>4506</v>
      </c>
      <c r="L34" s="35">
        <v>0.44722222222222224</v>
      </c>
      <c r="M34" s="35">
        <v>0.44722222222222224</v>
      </c>
      <c r="N34" s="35">
        <v>0.46458333333333335</v>
      </c>
      <c r="O34" s="6">
        <f>(IGA_BD[[#This Row],[Work Start TimeStamp]]-IGA_BD[[#This Row],[Fault Start TimeStamp]])*24</f>
        <v>0</v>
      </c>
      <c r="P34" s="6">
        <f>(IGA_BD[[#This Row],[Fault Clearance time]]-IGA_BD[[#This Row],[Work Start TimeStamp]])*24</f>
        <v>0.41666666666666652</v>
      </c>
      <c r="Q34" s="6">
        <f>(IGA_BD[[#This Row],[Fault Clearance time]]-IGA_BD[[#This Row],[Fault Start TimeStamp]])*24</f>
        <v>0.41666666666666652</v>
      </c>
      <c r="R34" s="297" t="s">
        <v>4500</v>
      </c>
      <c r="S34" s="4" t="s">
        <v>255</v>
      </c>
      <c r="T34" s="302">
        <f>IFERROR(IGA_BD[[#This Row],[Breakdown Time]]*IGA_BD[[#This Row],[Plant Equivalent Weightage]],"")</f>
        <v>0.20833333333333326</v>
      </c>
      <c r="U34" s="302"/>
      <c r="V34" s="302"/>
      <c r="W34">
        <v>1972</v>
      </c>
    </row>
    <row r="35" spans="1:23">
      <c r="A35" s="10">
        <f t="shared" si="0"/>
        <v>31</v>
      </c>
      <c r="B35" s="10">
        <f>YEAR(IGA_BD[[#This Row],[Date]])+IF(MONTH(IGA_BD[[#This Row],[Date]])&gt;=4,1,0)</f>
        <v>2026</v>
      </c>
      <c r="C35" s="10">
        <v>2025</v>
      </c>
      <c r="D35" s="10" t="s">
        <v>4478</v>
      </c>
      <c r="E35" s="309">
        <f>IGA_BD[[#This Row],[Date]]-DAY(IGA_BD[[#This Row],[Date]])+1</f>
        <v>45748</v>
      </c>
      <c r="F35" s="32">
        <v>45765</v>
      </c>
      <c r="G35" t="s">
        <v>83</v>
      </c>
      <c r="H35" s="4" t="str">
        <f>IFERROR(VLOOKUP(IGA_BD[[#This Row],[Affected Feeder ]],'Basic Data'!$A$3:$E$50,2,0),"")</f>
        <v>O2R3</v>
      </c>
      <c r="I35" s="4" t="str">
        <f>IFERROR(VLOOKUP(IGA_BD[[#This Row],[Affected Feeder ]],'Basic Data'!$A$3:$E$50,3,0),"")</f>
        <v>JK</v>
      </c>
      <c r="J35" s="9">
        <f>IFERROR(VLOOKUP(IGA_BD[[#This Row],[Affected Feeder ]],'Basic Data'!$A$3:$E$50,5,0),"")</f>
        <v>4.3478260869565223E-2</v>
      </c>
      <c r="K35" s="297" t="s">
        <v>4501</v>
      </c>
      <c r="L35" s="35">
        <v>0.46458333333333335</v>
      </c>
      <c r="M35" s="35">
        <v>0.46458333333333335</v>
      </c>
      <c r="N35" s="35">
        <v>0.7104166666666667</v>
      </c>
      <c r="O35" s="6">
        <f>(IGA_BD[[#This Row],[Work Start TimeStamp]]-IGA_BD[[#This Row],[Fault Start TimeStamp]])*24</f>
        <v>0</v>
      </c>
      <c r="P35" s="6">
        <f>(IGA_BD[[#This Row],[Fault Clearance time]]-IGA_BD[[#This Row],[Work Start TimeStamp]])*24</f>
        <v>5.9</v>
      </c>
      <c r="Q35" s="6">
        <f>(IGA_BD[[#This Row],[Fault Clearance time]]-IGA_BD[[#This Row],[Fault Start TimeStamp]])*24</f>
        <v>5.9</v>
      </c>
      <c r="R35" s="318" t="s">
        <v>4510</v>
      </c>
      <c r="S35" s="4" t="s">
        <v>255</v>
      </c>
      <c r="T35" s="302">
        <f>IFERROR(IGA_BD[[#This Row],[Breakdown Time]]*IGA_BD[[#This Row],[Plant Equivalent Weightage]],"")</f>
        <v>0.25652173913043486</v>
      </c>
      <c r="U35" s="302"/>
      <c r="V35" s="302"/>
      <c r="W35">
        <v>2539</v>
      </c>
    </row>
    <row r="36" spans="1:23">
      <c r="A36" s="10">
        <f t="shared" si="0"/>
        <v>32</v>
      </c>
      <c r="B36" s="10">
        <f>YEAR(IGA_BD[[#This Row],[Date]])+IF(MONTH(IGA_BD[[#This Row],[Date]])&gt;=4,1,0)</f>
        <v>2026</v>
      </c>
      <c r="C36" s="10">
        <v>2025</v>
      </c>
      <c r="D36" s="10" t="s">
        <v>4478</v>
      </c>
      <c r="E36" s="309">
        <f>IGA_BD[[#This Row],[Date]]-DAY(IGA_BD[[#This Row],[Date]])+1</f>
        <v>45748</v>
      </c>
      <c r="F36" s="32">
        <v>45765</v>
      </c>
      <c r="G36" t="s">
        <v>566</v>
      </c>
      <c r="H36" s="4">
        <f>IFERROR(VLOOKUP(IGA_BD[[#This Row],[Affected Feeder ]],'Basic Data'!$A$3:$E$50,2,0),"")</f>
        <v>0</v>
      </c>
      <c r="I36" s="4">
        <f>IFERROR(VLOOKUP(IGA_BD[[#This Row],[Affected Feeder ]],'Basic Data'!$A$3:$E$50,3,0),"")</f>
        <v>0</v>
      </c>
      <c r="J36" s="9">
        <f>IFERROR(VLOOKUP(IGA_BD[[#This Row],[Affected Feeder ]],'Basic Data'!$A$3:$E$50,5,0),"")</f>
        <v>0.5</v>
      </c>
      <c r="K36" s="297" t="s">
        <v>4503</v>
      </c>
      <c r="L36" s="35">
        <v>0.7104166666666667</v>
      </c>
      <c r="M36" s="35">
        <v>0.7104166666666667</v>
      </c>
      <c r="N36" s="35">
        <v>0.72499999999999998</v>
      </c>
      <c r="O36" s="6">
        <f>(IGA_BD[[#This Row],[Work Start TimeStamp]]-IGA_BD[[#This Row],[Fault Start TimeStamp]])*24</f>
        <v>0</v>
      </c>
      <c r="P36" s="6">
        <f>(IGA_BD[[#This Row],[Fault Clearance time]]-IGA_BD[[#This Row],[Work Start TimeStamp]])*24</f>
        <v>0.34999999999999876</v>
      </c>
      <c r="Q36" s="6">
        <f>(IGA_BD[[#This Row],[Fault Clearance time]]-IGA_BD[[#This Row],[Fault Start TimeStamp]])*24</f>
        <v>0.34999999999999876</v>
      </c>
      <c r="R36" s="332" t="s">
        <v>4504</v>
      </c>
      <c r="S36" s="4" t="s">
        <v>255</v>
      </c>
      <c r="T36" s="302">
        <f>IFERROR(IGA_BD[[#This Row],[Breakdown Time]]*IGA_BD[[#This Row],[Plant Equivalent Weightage]],"")</f>
        <v>0.17499999999999938</v>
      </c>
      <c r="U36" s="302"/>
      <c r="V36" s="302"/>
      <c r="W36">
        <v>1657</v>
      </c>
    </row>
    <row r="37" spans="1:23">
      <c r="A37" s="10">
        <f t="shared" si="0"/>
        <v>33</v>
      </c>
      <c r="B37" s="10">
        <f>YEAR(IGA_BD[[#This Row],[Date]])+IF(MONTH(IGA_BD[[#This Row],[Date]])&gt;=4,1,0)</f>
        <v>2026</v>
      </c>
      <c r="C37" s="10">
        <v>2025</v>
      </c>
      <c r="D37" s="10" t="s">
        <v>4478</v>
      </c>
      <c r="E37" s="309">
        <f>IGA_BD[[#This Row],[Date]]-DAY(IGA_BD[[#This Row],[Date]])+1</f>
        <v>45748</v>
      </c>
      <c r="F37" s="32">
        <v>45766</v>
      </c>
      <c r="G37" t="s">
        <v>566</v>
      </c>
      <c r="H37" s="4">
        <f>IFERROR(VLOOKUP(IGA_BD[[#This Row],[Affected Feeder ]],'Basic Data'!$A$3:$E$50,2,0),"")</f>
        <v>0</v>
      </c>
      <c r="I37" s="4">
        <f>IFERROR(VLOOKUP(IGA_BD[[#This Row],[Affected Feeder ]],'Basic Data'!$A$3:$E$50,3,0),"")</f>
        <v>0</v>
      </c>
      <c r="J37" s="9">
        <f>IFERROR(VLOOKUP(IGA_BD[[#This Row],[Affected Feeder ]],'Basic Data'!$A$3:$E$50,5,0),"")</f>
        <v>0.5</v>
      </c>
      <c r="K37" s="304" t="s">
        <v>4506</v>
      </c>
      <c r="L37" s="35">
        <v>0.41666666666666669</v>
      </c>
      <c r="M37" s="35">
        <v>0.41666666666666669</v>
      </c>
      <c r="N37" s="35">
        <v>0.43194444444444446</v>
      </c>
      <c r="O37" s="6">
        <f>(IGA_BD[[#This Row],[Work Start TimeStamp]]-IGA_BD[[#This Row],[Fault Start TimeStamp]])*24</f>
        <v>0</v>
      </c>
      <c r="P37" s="6">
        <f>(IGA_BD[[#This Row],[Fault Clearance time]]-IGA_BD[[#This Row],[Work Start TimeStamp]])*24</f>
        <v>0.3666666666666667</v>
      </c>
      <c r="Q37" s="6">
        <f>(IGA_BD[[#This Row],[Fault Clearance time]]-IGA_BD[[#This Row],[Fault Start TimeStamp]])*24</f>
        <v>0.3666666666666667</v>
      </c>
      <c r="R37" s="332" t="s">
        <v>4571</v>
      </c>
      <c r="S37" s="4" t="s">
        <v>255</v>
      </c>
      <c r="T37" s="302">
        <f>IFERROR(IGA_BD[[#This Row],[Breakdown Time]]*IGA_BD[[#This Row],[Plant Equivalent Weightage]],"")</f>
        <v>0.18333333333333335</v>
      </c>
      <c r="U37" s="302"/>
      <c r="V37" s="302"/>
      <c r="W37">
        <v>1736</v>
      </c>
    </row>
    <row r="38" spans="1:23">
      <c r="A38" s="10">
        <f t="shared" si="0"/>
        <v>34</v>
      </c>
      <c r="B38" s="10">
        <f>YEAR(IGA_BD[[#This Row],[Date]])+IF(MONTH(IGA_BD[[#This Row],[Date]])&gt;=4,1,0)</f>
        <v>2026</v>
      </c>
      <c r="C38" s="10">
        <v>2025</v>
      </c>
      <c r="D38" s="10" t="s">
        <v>4478</v>
      </c>
      <c r="E38" s="309">
        <f>IGA_BD[[#This Row],[Date]]-DAY(IGA_BD[[#This Row],[Date]])+1</f>
        <v>45748</v>
      </c>
      <c r="F38" s="32">
        <v>45766</v>
      </c>
      <c r="G38" t="s">
        <v>83</v>
      </c>
      <c r="H38" s="4" t="str">
        <f>IFERROR(VLOOKUP(IGA_BD[[#This Row],[Affected Feeder ]],'Basic Data'!$A$3:$E$50,2,0),"")</f>
        <v>O2R3</v>
      </c>
      <c r="I38" s="4" t="str">
        <f>IFERROR(VLOOKUP(IGA_BD[[#This Row],[Affected Feeder ]],'Basic Data'!$A$3:$E$50,3,0),"")</f>
        <v>JK</v>
      </c>
      <c r="J38" s="9">
        <f>IFERROR(VLOOKUP(IGA_BD[[#This Row],[Affected Feeder ]],'Basic Data'!$A$3:$E$50,5,0),"")</f>
        <v>4.3478260869565223E-2</v>
      </c>
      <c r="K38" s="297" t="s">
        <v>4501</v>
      </c>
      <c r="L38" s="35">
        <v>0.43194444444444446</v>
      </c>
      <c r="M38" s="35">
        <v>0.43194444444444446</v>
      </c>
      <c r="N38" s="35">
        <v>0.67361111111111116</v>
      </c>
      <c r="O38" s="6">
        <f>(IGA_BD[[#This Row],[Work Start TimeStamp]]-IGA_BD[[#This Row],[Fault Start TimeStamp]])*24</f>
        <v>0</v>
      </c>
      <c r="P38" s="6">
        <f>(IGA_BD[[#This Row],[Fault Clearance time]]-IGA_BD[[#This Row],[Work Start TimeStamp]])*24</f>
        <v>5.8000000000000007</v>
      </c>
      <c r="Q38" s="6">
        <f>(IGA_BD[[#This Row],[Fault Clearance time]]-IGA_BD[[#This Row],[Fault Start TimeStamp]])*24</f>
        <v>5.8000000000000007</v>
      </c>
      <c r="R38" s="323" t="s">
        <v>4513</v>
      </c>
      <c r="S38" s="4" t="s">
        <v>255</v>
      </c>
      <c r="T38" s="302">
        <f>IFERROR(IGA_BD[[#This Row],[Breakdown Time]]*IGA_BD[[#This Row],[Plant Equivalent Weightage]],"")</f>
        <v>0.2521739130434783</v>
      </c>
      <c r="U38" s="302"/>
      <c r="V38" s="302"/>
      <c r="W38">
        <v>2496</v>
      </c>
    </row>
    <row r="39" spans="1:23">
      <c r="A39" s="10">
        <f t="shared" si="0"/>
        <v>35</v>
      </c>
      <c r="B39" s="10">
        <f>YEAR(IGA_BD[[#This Row],[Date]])+IF(MONTH(IGA_BD[[#This Row],[Date]])&gt;=4,1,0)</f>
        <v>2026</v>
      </c>
      <c r="C39" s="10">
        <v>2025</v>
      </c>
      <c r="D39" s="10" t="s">
        <v>4478</v>
      </c>
      <c r="E39" s="309">
        <f>IGA_BD[[#This Row],[Date]]-DAY(IGA_BD[[#This Row],[Date]])+1</f>
        <v>45748</v>
      </c>
      <c r="F39" s="32">
        <v>45766</v>
      </c>
      <c r="G39" t="s">
        <v>566</v>
      </c>
      <c r="H39" s="4">
        <f>IFERROR(VLOOKUP(IGA_BD[[#This Row],[Affected Feeder ]],'Basic Data'!$A$3:$E$50,2,0),"")</f>
        <v>0</v>
      </c>
      <c r="I39" s="4">
        <f>IFERROR(VLOOKUP(IGA_BD[[#This Row],[Affected Feeder ]],'Basic Data'!$A$3:$E$50,3,0),"")</f>
        <v>0</v>
      </c>
      <c r="J39" s="9">
        <f>IFERROR(VLOOKUP(IGA_BD[[#This Row],[Affected Feeder ]],'Basic Data'!$A$3:$E$50,5,0),"")</f>
        <v>0.5</v>
      </c>
      <c r="K39" s="297" t="s">
        <v>4503</v>
      </c>
      <c r="L39" s="35">
        <v>0.67361111111111116</v>
      </c>
      <c r="M39" s="35">
        <v>0.67361111111111116</v>
      </c>
      <c r="N39" s="35">
        <v>0.69791666666666663</v>
      </c>
      <c r="O39" s="6">
        <f>(IGA_BD[[#This Row],[Work Start TimeStamp]]-IGA_BD[[#This Row],[Fault Start TimeStamp]])*24</f>
        <v>0</v>
      </c>
      <c r="P39" s="6">
        <f>(IGA_BD[[#This Row],[Fault Clearance time]]-IGA_BD[[#This Row],[Work Start TimeStamp]])*24</f>
        <v>0.58333333333333126</v>
      </c>
      <c r="Q39" s="6">
        <f>(IGA_BD[[#This Row],[Fault Clearance time]]-IGA_BD[[#This Row],[Fault Start TimeStamp]])*24</f>
        <v>0.58333333333333126</v>
      </c>
      <c r="R39" s="332" t="s">
        <v>4504</v>
      </c>
      <c r="S39" s="4" t="s">
        <v>255</v>
      </c>
      <c r="T39" s="302">
        <f>IFERROR(IGA_BD[[#This Row],[Breakdown Time]]*IGA_BD[[#This Row],[Plant Equivalent Weightage]],"")</f>
        <v>0.29166666666666563</v>
      </c>
      <c r="U39" s="302"/>
      <c r="V39" s="302"/>
      <c r="W39">
        <v>2761</v>
      </c>
    </row>
    <row r="40" spans="1:23">
      <c r="A40" s="10">
        <f t="shared" si="0"/>
        <v>36</v>
      </c>
      <c r="B40" s="10">
        <f>YEAR(IGA_BD[[#This Row],[Date]])+IF(MONTH(IGA_BD[[#This Row],[Date]])&gt;=4,1,0)</f>
        <v>2026</v>
      </c>
      <c r="C40" s="10">
        <v>2025</v>
      </c>
      <c r="D40" s="10" t="s">
        <v>4478</v>
      </c>
      <c r="E40" s="309">
        <f>IGA_BD[[#This Row],[Date]]-DAY(IGA_BD[[#This Row],[Date]])+1</f>
        <v>45748</v>
      </c>
      <c r="F40" s="32">
        <v>45767</v>
      </c>
      <c r="G40" t="s">
        <v>390</v>
      </c>
      <c r="H40" s="4">
        <f>IFERROR(VLOOKUP(IGA_BD[[#This Row],[Affected Feeder ]],'Basic Data'!$A$3:$E$50,2,0),"")</f>
        <v>0</v>
      </c>
      <c r="I40" s="4">
        <f>IFERROR(VLOOKUP(IGA_BD[[#This Row],[Affected Feeder ]],'Basic Data'!$A$3:$E$50,3,0),"")</f>
        <v>0</v>
      </c>
      <c r="J40" s="9">
        <f>IFERROR(VLOOKUP(IGA_BD[[#This Row],[Affected Feeder ]],'Basic Data'!$A$3:$E$50,5,0),"")</f>
        <v>0.5</v>
      </c>
      <c r="K40" s="321" t="s">
        <v>4514</v>
      </c>
      <c r="L40" s="35">
        <v>0.40902777777777777</v>
      </c>
      <c r="M40" s="35">
        <v>0.40902777777777777</v>
      </c>
      <c r="N40" s="35">
        <v>0.42916666666666664</v>
      </c>
      <c r="O40" s="6">
        <f>(IGA_BD[[#This Row],[Work Start TimeStamp]]-IGA_BD[[#This Row],[Fault Start TimeStamp]])*24</f>
        <v>0</v>
      </c>
      <c r="P40" s="6">
        <f>(IGA_BD[[#This Row],[Fault Clearance time]]-IGA_BD[[#This Row],[Work Start TimeStamp]])*24</f>
        <v>0.48333333333333295</v>
      </c>
      <c r="Q40" s="6">
        <f>(IGA_BD[[#This Row],[Fault Clearance time]]-IGA_BD[[#This Row],[Fault Start TimeStamp]])*24</f>
        <v>0.48333333333333295</v>
      </c>
      <c r="R40" s="332" t="s">
        <v>4571</v>
      </c>
      <c r="S40" s="4" t="s">
        <v>255</v>
      </c>
      <c r="T40" s="302">
        <f>IFERROR(IGA_BD[[#This Row],[Breakdown Time]]*IGA_BD[[#This Row],[Plant Equivalent Weightage]],"")</f>
        <v>0.24166666666666647</v>
      </c>
      <c r="U40" s="302"/>
      <c r="V40" s="302"/>
      <c r="W40">
        <v>2496</v>
      </c>
    </row>
    <row r="41" spans="1:23">
      <c r="A41" s="10">
        <f t="shared" si="0"/>
        <v>37</v>
      </c>
      <c r="B41" s="10">
        <f>YEAR(IGA_BD[[#This Row],[Date]])+IF(MONTH(IGA_BD[[#This Row],[Date]])&gt;=4,1,0)</f>
        <v>2026</v>
      </c>
      <c r="C41" s="10">
        <v>2025</v>
      </c>
      <c r="D41" s="10" t="s">
        <v>4478</v>
      </c>
      <c r="E41" s="309">
        <f>IGA_BD[[#This Row],[Date]]-DAY(IGA_BD[[#This Row],[Date]])+1</f>
        <v>45748</v>
      </c>
      <c r="F41" s="32">
        <v>45767</v>
      </c>
      <c r="G41" t="s">
        <v>82</v>
      </c>
      <c r="H41" s="4" t="str">
        <f>IFERROR(VLOOKUP(IGA_BD[[#This Row],[Affected Feeder ]],'Basic Data'!$A$3:$E$50,2,0),"")</f>
        <v>O2R3</v>
      </c>
      <c r="I41" s="4" t="str">
        <f>IFERROR(VLOOKUP(IGA_BD[[#This Row],[Affected Feeder ]],'Basic Data'!$A$3:$E$50,3,0),"")</f>
        <v>JK</v>
      </c>
      <c r="J41" s="9">
        <f>IFERROR(VLOOKUP(IGA_BD[[#This Row],[Affected Feeder ]],'Basic Data'!$A$3:$E$50,5,0),"")</f>
        <v>4.3478260869565223E-2</v>
      </c>
      <c r="K41" s="321" t="s">
        <v>4515</v>
      </c>
      <c r="L41" s="35">
        <v>0.42916666666666664</v>
      </c>
      <c r="M41" s="35">
        <v>0.42916666666666664</v>
      </c>
      <c r="N41" s="35">
        <v>0.56388888888888888</v>
      </c>
      <c r="O41" s="6">
        <f>(IGA_BD[[#This Row],[Work Start TimeStamp]]-IGA_BD[[#This Row],[Fault Start TimeStamp]])*24</f>
        <v>0</v>
      </c>
      <c r="P41" s="6">
        <f>(IGA_BD[[#This Row],[Fault Clearance time]]-IGA_BD[[#This Row],[Work Start TimeStamp]])*24</f>
        <v>3.2333333333333338</v>
      </c>
      <c r="Q41" s="6">
        <f>(IGA_BD[[#This Row],[Fault Clearance time]]-IGA_BD[[#This Row],[Fault Start TimeStamp]])*24</f>
        <v>3.2333333333333338</v>
      </c>
      <c r="R41" s="321" t="s">
        <v>4516</v>
      </c>
      <c r="S41" s="4" t="s">
        <v>255</v>
      </c>
      <c r="T41" s="302">
        <f>IFERROR(IGA_BD[[#This Row],[Breakdown Time]]*IGA_BD[[#This Row],[Plant Equivalent Weightage]],"")</f>
        <v>0.14057971014492757</v>
      </c>
      <c r="U41" s="302"/>
      <c r="V41" s="302"/>
      <c r="W41">
        <v>1391</v>
      </c>
    </row>
    <row r="42" spans="1:23">
      <c r="A42" s="10">
        <f t="shared" si="0"/>
        <v>38</v>
      </c>
      <c r="B42" s="10">
        <f>YEAR(IGA_BD[[#This Row],[Date]])+IF(MONTH(IGA_BD[[#This Row],[Date]])&gt;=4,1,0)</f>
        <v>2026</v>
      </c>
      <c r="C42" s="10">
        <v>2025</v>
      </c>
      <c r="D42" s="10" t="s">
        <v>4478</v>
      </c>
      <c r="E42" s="309">
        <f>IGA_BD[[#This Row],[Date]]-DAY(IGA_BD[[#This Row],[Date]])+1</f>
        <v>45748</v>
      </c>
      <c r="F42" s="32">
        <v>45767</v>
      </c>
      <c r="G42" t="s">
        <v>390</v>
      </c>
      <c r="H42" s="4">
        <f>IFERROR(VLOOKUP(IGA_BD[[#This Row],[Affected Feeder ]],'Basic Data'!$A$3:$E$50,2,0),"")</f>
        <v>0</v>
      </c>
      <c r="I42" s="4">
        <f>IFERROR(VLOOKUP(IGA_BD[[#This Row],[Affected Feeder ]],'Basic Data'!$A$3:$E$50,3,0),"")</f>
        <v>0</v>
      </c>
      <c r="J42" s="9">
        <f>IFERROR(VLOOKUP(IGA_BD[[#This Row],[Affected Feeder ]],'Basic Data'!$A$3:$E$50,5,0),"")</f>
        <v>0.5</v>
      </c>
      <c r="K42" t="s">
        <v>388</v>
      </c>
      <c r="L42" s="35">
        <v>0.56388888888888888</v>
      </c>
      <c r="M42" s="35">
        <v>0.56388888888888888</v>
      </c>
      <c r="N42" s="35">
        <v>0.59722222222222221</v>
      </c>
      <c r="O42" s="6">
        <f>(IGA_BD[[#This Row],[Work Start TimeStamp]]-IGA_BD[[#This Row],[Fault Start TimeStamp]])*24</f>
        <v>0</v>
      </c>
      <c r="P42" s="6">
        <f>(IGA_BD[[#This Row],[Fault Clearance time]]-IGA_BD[[#This Row],[Work Start TimeStamp]])*24</f>
        <v>0.79999999999999982</v>
      </c>
      <c r="Q42" s="6">
        <f>(IGA_BD[[#This Row],[Fault Clearance time]]-IGA_BD[[#This Row],[Fault Start TimeStamp]])*24</f>
        <v>0.79999999999999982</v>
      </c>
      <c r="R42" s="321" t="s">
        <v>4517</v>
      </c>
      <c r="S42" s="4" t="s">
        <v>255</v>
      </c>
      <c r="T42" s="302">
        <f>IFERROR(IGA_BD[[#This Row],[Breakdown Time]]*IGA_BD[[#This Row],[Plant Equivalent Weightage]],"")</f>
        <v>0.39999999999999991</v>
      </c>
      <c r="U42" s="302"/>
      <c r="V42" s="302"/>
      <c r="W42">
        <v>4131</v>
      </c>
    </row>
    <row r="43" spans="1:23">
      <c r="A43" s="10">
        <f t="shared" si="0"/>
        <v>39</v>
      </c>
      <c r="B43" s="10">
        <f>YEAR(IGA_BD[[#This Row],[Date]])+IF(MONTH(IGA_BD[[#This Row],[Date]])&gt;=4,1,0)</f>
        <v>2026</v>
      </c>
      <c r="C43" s="10">
        <v>2025</v>
      </c>
      <c r="D43" s="10" t="s">
        <v>4478</v>
      </c>
      <c r="E43" s="309">
        <f>IGA_BD[[#This Row],[Date]]-DAY(IGA_BD[[#This Row],[Date]])+1</f>
        <v>45748</v>
      </c>
      <c r="F43" s="32">
        <v>45768</v>
      </c>
      <c r="G43" t="s">
        <v>390</v>
      </c>
      <c r="H43" s="4">
        <f>IFERROR(VLOOKUP(IGA_BD[[#This Row],[Affected Feeder ]],'Basic Data'!$A$3:$E$50,2,0),"")</f>
        <v>0</v>
      </c>
      <c r="I43" s="4">
        <f>IFERROR(VLOOKUP(IGA_BD[[#This Row],[Affected Feeder ]],'Basic Data'!$A$3:$E$50,3,0),"")</f>
        <v>0</v>
      </c>
      <c r="J43" s="9">
        <f>IFERROR(VLOOKUP(IGA_BD[[#This Row],[Affected Feeder ]],'Basic Data'!$A$3:$E$50,5,0),"")</f>
        <v>0.5</v>
      </c>
      <c r="K43" t="s">
        <v>4526</v>
      </c>
      <c r="L43" s="48">
        <v>0.39583333333333331</v>
      </c>
      <c r="M43" s="48">
        <v>0.39583333333333331</v>
      </c>
      <c r="N43" s="35">
        <v>0.41666666666666669</v>
      </c>
      <c r="O43" s="6">
        <f>(IGA_BD[[#This Row],[Work Start TimeStamp]]-IGA_BD[[#This Row],[Fault Start TimeStamp]])*24</f>
        <v>0</v>
      </c>
      <c r="P43" s="6">
        <f>(IGA_BD[[#This Row],[Fault Clearance time]]-IGA_BD[[#This Row],[Work Start TimeStamp]])*24</f>
        <v>0.50000000000000089</v>
      </c>
      <c r="Q43" s="6">
        <f>(IGA_BD[[#This Row],[Fault Clearance time]]-IGA_BD[[#This Row],[Fault Start TimeStamp]])*24</f>
        <v>0.50000000000000089</v>
      </c>
      <c r="R43" s="332" t="s">
        <v>4571</v>
      </c>
      <c r="S43" s="4" t="s">
        <v>255</v>
      </c>
      <c r="T43" s="302">
        <f>IFERROR(IGA_BD[[#This Row],[Breakdown Time]]*IGA_BD[[#This Row],[Plant Equivalent Weightage]],"")</f>
        <v>0.25000000000000044</v>
      </c>
      <c r="U43" s="302"/>
      <c r="V43" s="302"/>
      <c r="W43">
        <v>1197</v>
      </c>
    </row>
    <row r="44" spans="1:23">
      <c r="A44" s="10">
        <f t="shared" si="0"/>
        <v>40</v>
      </c>
      <c r="B44" s="10">
        <f>YEAR(IGA_BD[[#This Row],[Date]])+IF(MONTH(IGA_BD[[#This Row],[Date]])&gt;=4,1,0)</f>
        <v>2026</v>
      </c>
      <c r="C44" s="10">
        <v>2025</v>
      </c>
      <c r="D44" s="10" t="s">
        <v>4478</v>
      </c>
      <c r="E44" s="309">
        <f>IGA_BD[[#This Row],[Date]]-DAY(IGA_BD[[#This Row],[Date]])+1</f>
        <v>45748</v>
      </c>
      <c r="F44" s="32">
        <v>45768</v>
      </c>
      <c r="G44" t="s">
        <v>82</v>
      </c>
      <c r="H44" s="4" t="str">
        <f>IFERROR(VLOOKUP(IGA_BD[[#This Row],[Affected Feeder ]],'Basic Data'!$A$3:$E$50,2,0),"")</f>
        <v>O2R3</v>
      </c>
      <c r="I44" s="4" t="str">
        <f>IFERROR(VLOOKUP(IGA_BD[[#This Row],[Affected Feeder ]],'Basic Data'!$A$3:$E$50,3,0),"")</f>
        <v>JK</v>
      </c>
      <c r="J44" s="9">
        <f>IFERROR(VLOOKUP(IGA_BD[[#This Row],[Affected Feeder ]],'Basic Data'!$A$3:$E$50,5,0),"")</f>
        <v>4.3478260869565223E-2</v>
      </c>
      <c r="K44" t="s">
        <v>4524</v>
      </c>
      <c r="L44" s="48">
        <v>0.41666666666666669</v>
      </c>
      <c r="M44" s="48">
        <v>0.41666666666666669</v>
      </c>
      <c r="N44" s="35">
        <v>0.65277777777777779</v>
      </c>
      <c r="O44" s="6">
        <f>(IGA_BD[[#This Row],[Work Start TimeStamp]]-IGA_BD[[#This Row],[Fault Start TimeStamp]])*24</f>
        <v>0</v>
      </c>
      <c r="P44" s="6">
        <f>(IGA_BD[[#This Row],[Fault Clearance time]]-IGA_BD[[#This Row],[Work Start TimeStamp]])*24</f>
        <v>5.6666666666666661</v>
      </c>
      <c r="Q44" s="6">
        <f>(IGA_BD[[#This Row],[Fault Clearance time]]-IGA_BD[[#This Row],[Fault Start TimeStamp]])*24</f>
        <v>5.6666666666666661</v>
      </c>
      <c r="R44" s="322" t="s">
        <v>4523</v>
      </c>
      <c r="S44" s="4" t="s">
        <v>255</v>
      </c>
      <c r="T44" s="302">
        <f>IFERROR(IGA_BD[[#This Row],[Breakdown Time]]*IGA_BD[[#This Row],[Plant Equivalent Weightage]],"")</f>
        <v>0.24637681159420291</v>
      </c>
      <c r="U44" s="302"/>
      <c r="V44" s="302"/>
      <c r="W44">
        <v>1131</v>
      </c>
    </row>
    <row r="45" spans="1:23">
      <c r="A45" s="10">
        <f t="shared" si="0"/>
        <v>41</v>
      </c>
      <c r="B45" s="10">
        <f>YEAR(IGA_BD[[#This Row],[Date]])+IF(MONTH(IGA_BD[[#This Row],[Date]])&gt;=4,1,0)</f>
        <v>2026</v>
      </c>
      <c r="C45" s="10">
        <v>2025</v>
      </c>
      <c r="D45" s="10" t="s">
        <v>4478</v>
      </c>
      <c r="E45" s="309">
        <f>IGA_BD[[#This Row],[Date]]-DAY(IGA_BD[[#This Row],[Date]])+1</f>
        <v>45748</v>
      </c>
      <c r="F45" s="32">
        <v>45768</v>
      </c>
      <c r="G45" t="s">
        <v>81</v>
      </c>
      <c r="H45" s="4" t="str">
        <f>IFERROR(VLOOKUP(IGA_BD[[#This Row],[Affected Feeder ]],'Basic Data'!$A$3:$E$50,2,0),"")</f>
        <v>O2R3</v>
      </c>
      <c r="I45" s="4" t="str">
        <f>IFERROR(VLOOKUP(IGA_BD[[#This Row],[Affected Feeder ]],'Basic Data'!$A$3:$E$50,3,0),"")</f>
        <v>JK</v>
      </c>
      <c r="J45" s="9">
        <f>IFERROR(VLOOKUP(IGA_BD[[#This Row],[Affected Feeder ]],'Basic Data'!$A$3:$E$50,5,0),"")</f>
        <v>4.3478260869565223E-2</v>
      </c>
      <c r="K45" t="s">
        <v>4524</v>
      </c>
      <c r="L45" s="48">
        <v>0.41666666666666669</v>
      </c>
      <c r="M45" s="48">
        <v>0.41666666666666669</v>
      </c>
      <c r="N45" s="35">
        <v>0.65277777777777779</v>
      </c>
      <c r="O45" s="6">
        <f>(IGA_BD[[#This Row],[Work Start TimeStamp]]-IGA_BD[[#This Row],[Fault Start TimeStamp]])*24</f>
        <v>0</v>
      </c>
      <c r="P45" s="6">
        <f>(IGA_BD[[#This Row],[Fault Clearance time]]-IGA_BD[[#This Row],[Work Start TimeStamp]])*24</f>
        <v>5.6666666666666661</v>
      </c>
      <c r="Q45" s="6">
        <f>(IGA_BD[[#This Row],[Fault Clearance time]]-IGA_BD[[#This Row],[Fault Start TimeStamp]])*24</f>
        <v>5.6666666666666661</v>
      </c>
      <c r="R45" s="322" t="s">
        <v>4523</v>
      </c>
      <c r="S45" s="4" t="s">
        <v>255</v>
      </c>
      <c r="T45" s="302">
        <f>IFERROR(IGA_BD[[#This Row],[Breakdown Time]]*IGA_BD[[#This Row],[Plant Equivalent Weightage]],"")</f>
        <v>0.24637681159420291</v>
      </c>
      <c r="U45" s="302"/>
      <c r="V45" s="302"/>
      <c r="W45">
        <v>1131</v>
      </c>
    </row>
    <row r="46" spans="1:23">
      <c r="A46" s="10">
        <f t="shared" si="0"/>
        <v>42</v>
      </c>
      <c r="B46" s="10">
        <f>YEAR(IGA_BD[[#This Row],[Date]])+IF(MONTH(IGA_BD[[#This Row],[Date]])&gt;=4,1,0)</f>
        <v>2026</v>
      </c>
      <c r="C46" s="10">
        <v>2025</v>
      </c>
      <c r="D46" s="10" t="s">
        <v>4478</v>
      </c>
      <c r="E46" s="309">
        <f>IGA_BD[[#This Row],[Date]]-DAY(IGA_BD[[#This Row],[Date]])+1</f>
        <v>45748</v>
      </c>
      <c r="F46" s="32">
        <v>45768</v>
      </c>
      <c r="G46" t="s">
        <v>390</v>
      </c>
      <c r="H46" s="4">
        <f>IFERROR(VLOOKUP(IGA_BD[[#This Row],[Affected Feeder ]],'Basic Data'!$A$3:$E$50,2,0),"")</f>
        <v>0</v>
      </c>
      <c r="I46" s="4">
        <f>IFERROR(VLOOKUP(IGA_BD[[#This Row],[Affected Feeder ]],'Basic Data'!$A$3:$E$50,3,0),"")</f>
        <v>0</v>
      </c>
      <c r="J46" s="9">
        <f>IFERROR(VLOOKUP(IGA_BD[[#This Row],[Affected Feeder ]],'Basic Data'!$A$3:$E$50,5,0),"")</f>
        <v>0.5</v>
      </c>
      <c r="K46" t="s">
        <v>4525</v>
      </c>
      <c r="L46" s="48">
        <v>0.63472222222222219</v>
      </c>
      <c r="M46" s="48">
        <v>0.63472222222222219</v>
      </c>
      <c r="N46" s="35">
        <v>0.65277777777777779</v>
      </c>
      <c r="O46" s="6">
        <f>(IGA_BD[[#This Row],[Work Start TimeStamp]]-IGA_BD[[#This Row],[Fault Start TimeStamp]])*24</f>
        <v>0</v>
      </c>
      <c r="P46" s="6">
        <f>(IGA_BD[[#This Row],[Fault Clearance time]]-IGA_BD[[#This Row],[Work Start TimeStamp]])*24</f>
        <v>0.43333333333333446</v>
      </c>
      <c r="Q46" s="6">
        <f>(IGA_BD[[#This Row],[Fault Clearance time]]-IGA_BD[[#This Row],[Fault Start TimeStamp]])*24</f>
        <v>0.43333333333333446</v>
      </c>
      <c r="R46" s="332" t="s">
        <v>4571</v>
      </c>
      <c r="S46" s="4" t="s">
        <v>255</v>
      </c>
      <c r="T46" s="302">
        <f>IFERROR(IGA_BD[[#This Row],[Breakdown Time]]*IGA_BD[[#This Row],[Plant Equivalent Weightage]],"")</f>
        <v>0.21666666666666723</v>
      </c>
      <c r="U46" s="302"/>
      <c r="V46" s="302"/>
      <c r="W46">
        <v>1037</v>
      </c>
    </row>
    <row r="47" spans="1:23">
      <c r="A47" s="10">
        <f t="shared" si="0"/>
        <v>43</v>
      </c>
      <c r="B47" s="10">
        <f>YEAR(IGA_BD[[#This Row],[Date]])+IF(MONTH(IGA_BD[[#This Row],[Date]])&gt;=4,1,0)</f>
        <v>2026</v>
      </c>
      <c r="C47" s="10">
        <v>2025</v>
      </c>
      <c r="D47" s="10" t="s">
        <v>4478</v>
      </c>
      <c r="E47" s="309">
        <f>IGA_BD[[#This Row],[Date]]-DAY(IGA_BD[[#This Row],[Date]])+1</f>
        <v>45748</v>
      </c>
      <c r="F47" s="32">
        <v>45769</v>
      </c>
      <c r="G47" t="s">
        <v>566</v>
      </c>
      <c r="H47" s="4">
        <f>IFERROR(VLOOKUP(IGA_BD[[#This Row],[Affected Feeder ]],'Basic Data'!$A$3:$E$50,2,0),"")</f>
        <v>0</v>
      </c>
      <c r="I47" s="4">
        <f>IFERROR(VLOOKUP(IGA_BD[[#This Row],[Affected Feeder ]],'Basic Data'!$A$3:$E$50,3,0),"")</f>
        <v>0</v>
      </c>
      <c r="J47" s="9">
        <f>IFERROR(VLOOKUP(IGA_BD[[#This Row],[Affected Feeder ]],'Basic Data'!$A$3:$E$50,5,0),"")</f>
        <v>0.5</v>
      </c>
      <c r="K47" t="s">
        <v>4527</v>
      </c>
      <c r="L47" s="48">
        <v>0.41458333333333336</v>
      </c>
      <c r="M47" s="35">
        <v>0.41458333333333336</v>
      </c>
      <c r="N47" s="35">
        <v>0.45277777777777778</v>
      </c>
      <c r="O47" s="6">
        <f>(IGA_BD[[#This Row],[Work Start TimeStamp]]-IGA_BD[[#This Row],[Fault Start TimeStamp]])*24</f>
        <v>0</v>
      </c>
      <c r="P47" s="6">
        <f>(IGA_BD[[#This Row],[Fault Clearance time]]-IGA_BD[[#This Row],[Work Start TimeStamp]])*24</f>
        <v>0.91666666666666607</v>
      </c>
      <c r="Q47" s="6">
        <f>(IGA_BD[[#This Row],[Fault Clearance time]]-IGA_BD[[#This Row],[Fault Start TimeStamp]])*24</f>
        <v>0.91666666666666607</v>
      </c>
      <c r="R47" t="s">
        <v>4571</v>
      </c>
      <c r="S47" s="4" t="s">
        <v>255</v>
      </c>
      <c r="T47" s="302">
        <f>IFERROR(IGA_BD[[#This Row],[Breakdown Time]]*IGA_BD[[#This Row],[Plant Equivalent Weightage]],"")</f>
        <v>0.45833333333333304</v>
      </c>
      <c r="U47" s="302"/>
      <c r="V47" s="302"/>
      <c r="W47">
        <v>1845</v>
      </c>
    </row>
    <row r="48" spans="1:23">
      <c r="A48" s="10">
        <f t="shared" si="0"/>
        <v>44</v>
      </c>
      <c r="B48" s="10">
        <f>YEAR(IGA_BD[[#This Row],[Date]])+IF(MONTH(IGA_BD[[#This Row],[Date]])&gt;=4,1,0)</f>
        <v>2026</v>
      </c>
      <c r="C48" s="10">
        <v>2025</v>
      </c>
      <c r="D48" s="10" t="s">
        <v>4478</v>
      </c>
      <c r="E48" s="309">
        <f>IGA_BD[[#This Row],[Date]]-DAY(IGA_BD[[#This Row],[Date]])+1</f>
        <v>45748</v>
      </c>
      <c r="F48" s="32">
        <v>45769</v>
      </c>
      <c r="G48" t="s">
        <v>90</v>
      </c>
      <c r="H48" s="4" t="str">
        <f>IFERROR(VLOOKUP(IGA_BD[[#This Row],[Affected Feeder ]],'Basic Data'!$A$3:$E$50,2,0),"")</f>
        <v>O2R1</v>
      </c>
      <c r="I48" s="4" t="str">
        <f>IFERROR(VLOOKUP(IGA_BD[[#This Row],[Affected Feeder ]],'Basic Data'!$A$3:$E$50,3,0),"")</f>
        <v>KSIPL</v>
      </c>
      <c r="J48" s="9">
        <f>IFERROR(VLOOKUP(IGA_BD[[#This Row],[Affected Feeder ]],'Basic Data'!$A$3:$E$50,5,0),"")</f>
        <v>4.3478260869565223E-2</v>
      </c>
      <c r="K48" t="s">
        <v>4528</v>
      </c>
      <c r="L48" s="35">
        <v>0.45277777777777778</v>
      </c>
      <c r="M48" s="35">
        <v>0.45277777777777778</v>
      </c>
      <c r="N48" s="35">
        <v>0.71597222222222223</v>
      </c>
      <c r="O48" s="6">
        <f>(IGA_BD[[#This Row],[Work Start TimeStamp]]-IGA_BD[[#This Row],[Fault Start TimeStamp]])*24</f>
        <v>0</v>
      </c>
      <c r="P48" s="6">
        <f>(IGA_BD[[#This Row],[Fault Clearance time]]-IGA_BD[[#This Row],[Work Start TimeStamp]])*24</f>
        <v>6.3166666666666664</v>
      </c>
      <c r="Q48" s="6">
        <f>(IGA_BD[[#This Row],[Fault Clearance time]]-IGA_BD[[#This Row],[Fault Start TimeStamp]])*24</f>
        <v>6.3166666666666664</v>
      </c>
      <c r="R48" t="s">
        <v>4530</v>
      </c>
      <c r="S48" s="4" t="s">
        <v>255</v>
      </c>
      <c r="T48" s="302">
        <f>IFERROR(IGA_BD[[#This Row],[Breakdown Time]]*IGA_BD[[#This Row],[Plant Equivalent Weightage]],"")</f>
        <v>0.27463768115942033</v>
      </c>
      <c r="U48" s="302"/>
      <c r="V48" s="302"/>
      <c r="W48">
        <v>1156</v>
      </c>
    </row>
    <row r="49" spans="1:23">
      <c r="A49" s="10">
        <f t="shared" si="0"/>
        <v>45</v>
      </c>
      <c r="B49" s="10">
        <f>YEAR(IGA_BD[[#This Row],[Date]])+IF(MONTH(IGA_BD[[#This Row],[Date]])&gt;=4,1,0)</f>
        <v>2026</v>
      </c>
      <c r="C49" s="10">
        <v>2025</v>
      </c>
      <c r="D49" s="10" t="s">
        <v>4478</v>
      </c>
      <c r="E49" s="309">
        <f>IGA_BD[[#This Row],[Date]]-DAY(IGA_BD[[#This Row],[Date]])+1</f>
        <v>45748</v>
      </c>
      <c r="F49" s="32">
        <v>45769</v>
      </c>
      <c r="G49" t="s">
        <v>566</v>
      </c>
      <c r="H49" s="4">
        <f>IFERROR(VLOOKUP(IGA_BD[[#This Row],[Affected Feeder ]],'Basic Data'!$A$3:$E$50,2,0),"")</f>
        <v>0</v>
      </c>
      <c r="I49" s="4">
        <f>IFERROR(VLOOKUP(IGA_BD[[#This Row],[Affected Feeder ]],'Basic Data'!$A$3:$E$50,3,0),"")</f>
        <v>0</v>
      </c>
      <c r="J49" s="9">
        <f>IFERROR(VLOOKUP(IGA_BD[[#This Row],[Affected Feeder ]],'Basic Data'!$A$3:$E$50,5,0),"")</f>
        <v>0.5</v>
      </c>
      <c r="K49" t="s">
        <v>4529</v>
      </c>
      <c r="L49" s="35">
        <v>0.71597222222222223</v>
      </c>
      <c r="M49" s="35">
        <v>0.71597222222222223</v>
      </c>
      <c r="N49" s="35">
        <v>0.7319444444444444</v>
      </c>
      <c r="O49" s="6">
        <f>(IGA_BD[[#This Row],[Work Start TimeStamp]]-IGA_BD[[#This Row],[Fault Start TimeStamp]])*24</f>
        <v>0</v>
      </c>
      <c r="P49" s="6">
        <f>(IGA_BD[[#This Row],[Fault Clearance time]]-IGA_BD[[#This Row],[Work Start TimeStamp]])*24</f>
        <v>0.38333333333333197</v>
      </c>
      <c r="Q49" s="6">
        <f>(IGA_BD[[#This Row],[Fault Clearance time]]-IGA_BD[[#This Row],[Fault Start TimeStamp]])*24</f>
        <v>0.38333333333333197</v>
      </c>
      <c r="R49" t="s">
        <v>4571</v>
      </c>
      <c r="S49" s="4" t="s">
        <v>255</v>
      </c>
      <c r="T49" s="302">
        <f>IFERROR(IGA_BD[[#This Row],[Breakdown Time]]*IGA_BD[[#This Row],[Plant Equivalent Weightage]],"")</f>
        <v>0.19166666666666599</v>
      </c>
      <c r="U49" s="302"/>
      <c r="V49" s="302"/>
      <c r="W49">
        <v>772</v>
      </c>
    </row>
    <row r="50" spans="1:23">
      <c r="A50" s="10">
        <f t="shared" si="0"/>
        <v>46</v>
      </c>
      <c r="B50" s="10">
        <f>YEAR(IGA_BD[[#This Row],[Date]])+IF(MONTH(IGA_BD[[#This Row],[Date]])&gt;=4,1,0)</f>
        <v>2026</v>
      </c>
      <c r="C50" s="10">
        <v>2025</v>
      </c>
      <c r="D50" s="10" t="s">
        <v>4478</v>
      </c>
      <c r="E50" s="309">
        <f>IGA_BD[[#This Row],[Date]]-DAY(IGA_BD[[#This Row],[Date]])+1</f>
        <v>45748</v>
      </c>
      <c r="F50" s="32">
        <v>45769</v>
      </c>
      <c r="G50" t="s">
        <v>566</v>
      </c>
      <c r="H50" s="4">
        <f>IFERROR(VLOOKUP(IGA_BD[[#This Row],[Affected Feeder ]],'Basic Data'!$A$3:$E$50,2,0),"")</f>
        <v>0</v>
      </c>
      <c r="I50" s="4">
        <f>IFERROR(VLOOKUP(IGA_BD[[#This Row],[Affected Feeder ]],'Basic Data'!$A$3:$E$50,3,0),"")</f>
        <v>0</v>
      </c>
      <c r="J50" s="9">
        <f>IFERROR(VLOOKUP(IGA_BD[[#This Row],[Affected Feeder ]],'Basic Data'!$A$3:$E$50,5,0),"")</f>
        <v>0.5</v>
      </c>
      <c r="K50" t="s">
        <v>388</v>
      </c>
      <c r="L50" s="35">
        <v>0.50208333333333333</v>
      </c>
      <c r="M50" s="35">
        <v>0.50208333333333333</v>
      </c>
      <c r="N50" s="35">
        <v>0.50624999999999998</v>
      </c>
      <c r="O50" s="6">
        <f>(IGA_BD[[#This Row],[Work Start TimeStamp]]-IGA_BD[[#This Row],[Fault Start TimeStamp]])*24</f>
        <v>0</v>
      </c>
      <c r="P50" s="6">
        <f>(IGA_BD[[#This Row],[Fault Clearance time]]-IGA_BD[[#This Row],[Work Start TimeStamp]])*24</f>
        <v>9.9999999999999645E-2</v>
      </c>
      <c r="Q50" s="6">
        <f>(IGA_BD[[#This Row],[Fault Clearance time]]-IGA_BD[[#This Row],[Fault Start TimeStamp]])*24</f>
        <v>9.9999999999999645E-2</v>
      </c>
      <c r="R50" t="s">
        <v>4298</v>
      </c>
      <c r="S50" s="4" t="s">
        <v>255</v>
      </c>
      <c r="T50" s="302">
        <f>IFERROR(IGA_BD[[#This Row],[Breakdown Time]]*IGA_BD[[#This Row],[Plant Equivalent Weightage]],"")</f>
        <v>4.9999999999999822E-2</v>
      </c>
      <c r="U50" s="302"/>
      <c r="V50" s="302"/>
      <c r="W50">
        <v>243</v>
      </c>
    </row>
    <row r="51" spans="1:23">
      <c r="A51" s="10">
        <f t="shared" si="0"/>
        <v>47</v>
      </c>
      <c r="B51" s="10">
        <f>YEAR(IGA_BD[[#This Row],[Date]])+IF(MONTH(IGA_BD[[#This Row],[Date]])&gt;=4,1,0)</f>
        <v>2026</v>
      </c>
      <c r="C51" s="10">
        <v>2025</v>
      </c>
      <c r="D51" s="10" t="s">
        <v>4478</v>
      </c>
      <c r="E51" s="309">
        <f>IGA_BD[[#This Row],[Date]]-DAY(IGA_BD[[#This Row],[Date]])+1</f>
        <v>45748</v>
      </c>
      <c r="F51" s="32">
        <v>45770</v>
      </c>
      <c r="G51" t="s">
        <v>566</v>
      </c>
      <c r="H51" s="4">
        <f>IFERROR(VLOOKUP(IGA_BD[[#This Row],[Affected Feeder ]],'Basic Data'!$A$3:$E$50,2,0),"")</f>
        <v>0</v>
      </c>
      <c r="I51" s="4">
        <f>IFERROR(VLOOKUP(IGA_BD[[#This Row],[Affected Feeder ]],'Basic Data'!$A$3:$E$50,3,0),"")</f>
        <v>0</v>
      </c>
      <c r="J51" s="9">
        <f>IFERROR(VLOOKUP(IGA_BD[[#This Row],[Affected Feeder ]],'Basic Data'!$A$3:$E$50,5,0),"")</f>
        <v>0.5</v>
      </c>
      <c r="K51" t="s">
        <v>4533</v>
      </c>
      <c r="L51" s="35">
        <v>0.41249999999999998</v>
      </c>
      <c r="M51" s="35">
        <v>0.41249999999999998</v>
      </c>
      <c r="N51" s="35">
        <v>0.43125000000000002</v>
      </c>
      <c r="O51" s="6">
        <f>(IGA_BD[[#This Row],[Work Start TimeStamp]]-IGA_BD[[#This Row],[Fault Start TimeStamp]])*24</f>
        <v>0</v>
      </c>
      <c r="P51" s="6">
        <f>(IGA_BD[[#This Row],[Fault Clearance time]]-IGA_BD[[#This Row],[Work Start TimeStamp]])*24</f>
        <v>0.45000000000000107</v>
      </c>
      <c r="Q51" s="6">
        <f>(IGA_BD[[#This Row],[Fault Clearance time]]-IGA_BD[[#This Row],[Fault Start TimeStamp]])*24</f>
        <v>0.45000000000000107</v>
      </c>
      <c r="R51" t="s">
        <v>4572</v>
      </c>
      <c r="S51" s="4" t="s">
        <v>255</v>
      </c>
      <c r="T51" s="302">
        <f>IFERROR(IGA_BD[[#This Row],[Breakdown Time]]*IGA_BD[[#This Row],[Plant Equivalent Weightage]],"")</f>
        <v>0.22500000000000053</v>
      </c>
      <c r="U51" s="302"/>
      <c r="V51" s="302"/>
      <c r="W51">
        <v>1049</v>
      </c>
    </row>
    <row r="52" spans="1:23">
      <c r="A52" s="10">
        <f t="shared" si="0"/>
        <v>48</v>
      </c>
      <c r="B52" s="10">
        <f>YEAR(IGA_BD[[#This Row],[Date]])+IF(MONTH(IGA_BD[[#This Row],[Date]])&gt;=4,1,0)</f>
        <v>2026</v>
      </c>
      <c r="C52" s="10">
        <v>2025</v>
      </c>
      <c r="D52" s="10" t="s">
        <v>4478</v>
      </c>
      <c r="E52" s="309">
        <f>IGA_BD[[#This Row],[Date]]-DAY(IGA_BD[[#This Row],[Date]])+1</f>
        <v>45748</v>
      </c>
      <c r="F52" s="32">
        <v>45770</v>
      </c>
      <c r="G52" t="s">
        <v>76</v>
      </c>
      <c r="H52" s="4" t="str">
        <f>IFERROR(VLOOKUP(IGA_BD[[#This Row],[Affected Feeder ]],'Basic Data'!$A$3:$E$50,2,0),"")</f>
        <v>O2R1</v>
      </c>
      <c r="I52" s="4" t="str">
        <f>IFERROR(VLOOKUP(IGA_BD[[#This Row],[Affected Feeder ]],'Basic Data'!$A$3:$E$50,3,0),"")</f>
        <v>KSIPL</v>
      </c>
      <c r="J52" s="9">
        <f>IFERROR(VLOOKUP(IGA_BD[[#This Row],[Affected Feeder ]],'Basic Data'!$A$3:$E$50,5,0),"")</f>
        <v>4.3478260869565223E-2</v>
      </c>
      <c r="K52" t="s">
        <v>4534</v>
      </c>
      <c r="L52" s="35">
        <v>0.43125000000000002</v>
      </c>
      <c r="M52" s="35">
        <v>0.43125000000000002</v>
      </c>
      <c r="N52" s="35">
        <v>0.69861111111111107</v>
      </c>
      <c r="O52" s="6">
        <f>(IGA_BD[[#This Row],[Work Start TimeStamp]]-IGA_BD[[#This Row],[Fault Start TimeStamp]])*24</f>
        <v>0</v>
      </c>
      <c r="P52" s="6">
        <f>(IGA_BD[[#This Row],[Fault Clearance time]]-IGA_BD[[#This Row],[Work Start TimeStamp]])*24</f>
        <v>6.4166666666666652</v>
      </c>
      <c r="Q52" s="6">
        <f>(IGA_BD[[#This Row],[Fault Clearance time]]-IGA_BD[[#This Row],[Fault Start TimeStamp]])*24</f>
        <v>6.4166666666666652</v>
      </c>
      <c r="R52" t="s">
        <v>4536</v>
      </c>
      <c r="S52" s="4" t="s">
        <v>255</v>
      </c>
      <c r="T52" s="302">
        <f>IFERROR(IGA_BD[[#This Row],[Breakdown Time]]*IGA_BD[[#This Row],[Plant Equivalent Weightage]],"")</f>
        <v>0.27898550724637677</v>
      </c>
      <c r="U52" s="302"/>
      <c r="V52" s="302"/>
      <c r="W52">
        <v>1360</v>
      </c>
    </row>
    <row r="53" spans="1:23">
      <c r="A53" s="10">
        <f t="shared" si="0"/>
        <v>49</v>
      </c>
      <c r="B53" s="10">
        <f>YEAR(IGA_BD[[#This Row],[Date]])+IF(MONTH(IGA_BD[[#This Row],[Date]])&gt;=4,1,0)</f>
        <v>2026</v>
      </c>
      <c r="C53" s="10">
        <v>2025</v>
      </c>
      <c r="D53" s="10" t="s">
        <v>4478</v>
      </c>
      <c r="E53" s="309">
        <f>IGA_BD[[#This Row],[Date]]-DAY(IGA_BD[[#This Row],[Date]])+1</f>
        <v>45748</v>
      </c>
      <c r="F53" s="32">
        <v>45770</v>
      </c>
      <c r="G53" t="s">
        <v>90</v>
      </c>
      <c r="H53" s="4" t="str">
        <f>IFERROR(VLOOKUP(IGA_BD[[#This Row],[Affected Feeder ]],'Basic Data'!$A$3:$E$50,2,0),"")</f>
        <v>O2R1</v>
      </c>
      <c r="I53" s="4" t="str">
        <f>IFERROR(VLOOKUP(IGA_BD[[#This Row],[Affected Feeder ]],'Basic Data'!$A$3:$E$50,3,0),"")</f>
        <v>KSIPL</v>
      </c>
      <c r="J53" s="9">
        <f>IFERROR(VLOOKUP(IGA_BD[[#This Row],[Affected Feeder ]],'Basic Data'!$A$3:$E$50,5,0),"")</f>
        <v>4.3478260869565223E-2</v>
      </c>
      <c r="K53" t="s">
        <v>4534</v>
      </c>
      <c r="L53" s="35">
        <v>0.43125000000000002</v>
      </c>
      <c r="M53" s="35">
        <v>0.43125000000000002</v>
      </c>
      <c r="N53" s="35">
        <v>0.69861111111111107</v>
      </c>
      <c r="O53" s="6">
        <f>(IGA_BD[[#This Row],[Work Start TimeStamp]]-IGA_BD[[#This Row],[Fault Start TimeStamp]])*24</f>
        <v>0</v>
      </c>
      <c r="P53" s="6">
        <f>(IGA_BD[[#This Row],[Fault Clearance time]]-IGA_BD[[#This Row],[Work Start TimeStamp]])*24</f>
        <v>6.4166666666666652</v>
      </c>
      <c r="Q53" s="6">
        <f>(IGA_BD[[#This Row],[Fault Clearance time]]-IGA_BD[[#This Row],[Fault Start TimeStamp]])*24</f>
        <v>6.4166666666666652</v>
      </c>
      <c r="R53" t="s">
        <v>4537</v>
      </c>
      <c r="S53" s="4" t="s">
        <v>255</v>
      </c>
      <c r="T53" s="302">
        <f>IFERROR(IGA_BD[[#This Row],[Breakdown Time]]*IGA_BD[[#This Row],[Plant Equivalent Weightage]],"")</f>
        <v>0.27898550724637677</v>
      </c>
      <c r="U53" s="302"/>
      <c r="V53" s="302"/>
      <c r="W53">
        <v>1360</v>
      </c>
    </row>
    <row r="54" spans="1:23">
      <c r="A54" s="10">
        <f t="shared" si="0"/>
        <v>50</v>
      </c>
      <c r="B54" s="10">
        <f>YEAR(IGA_BD[[#This Row],[Date]])+IF(MONTH(IGA_BD[[#This Row],[Date]])&gt;=4,1,0)</f>
        <v>2026</v>
      </c>
      <c r="C54" s="10">
        <v>2025</v>
      </c>
      <c r="D54" s="10" t="s">
        <v>4478</v>
      </c>
      <c r="E54" s="309">
        <f>IGA_BD[[#This Row],[Date]]-DAY(IGA_BD[[#This Row],[Date]])+1</f>
        <v>45748</v>
      </c>
      <c r="F54" s="32">
        <v>45770</v>
      </c>
      <c r="G54" t="s">
        <v>566</v>
      </c>
      <c r="H54" s="4">
        <f>IFERROR(VLOOKUP(IGA_BD[[#This Row],[Affected Feeder ]],'Basic Data'!$A$3:$E$50,2,0),"")</f>
        <v>0</v>
      </c>
      <c r="I54" s="4">
        <f>IFERROR(VLOOKUP(IGA_BD[[#This Row],[Affected Feeder ]],'Basic Data'!$A$3:$E$50,3,0),"")</f>
        <v>0</v>
      </c>
      <c r="J54" s="9">
        <f>IFERROR(VLOOKUP(IGA_BD[[#This Row],[Affected Feeder ]],'Basic Data'!$A$3:$E$50,5,0),"")</f>
        <v>0.5</v>
      </c>
      <c r="K54" t="s">
        <v>4535</v>
      </c>
      <c r="L54" s="35">
        <v>0.69861111111111107</v>
      </c>
      <c r="M54" s="35">
        <v>0.69861111111111107</v>
      </c>
      <c r="N54" s="35">
        <v>0.71805555555555556</v>
      </c>
      <c r="O54" s="6">
        <f>(IGA_BD[[#This Row],[Work Start TimeStamp]]-IGA_BD[[#This Row],[Fault Start TimeStamp]])*24</f>
        <v>0</v>
      </c>
      <c r="P54" s="6">
        <f>(IGA_BD[[#This Row],[Fault Clearance time]]-IGA_BD[[#This Row],[Work Start TimeStamp]])*24</f>
        <v>0.46666666666666767</v>
      </c>
      <c r="Q54" s="6">
        <f>(IGA_BD[[#This Row],[Fault Clearance time]]-IGA_BD[[#This Row],[Fault Start TimeStamp]])*24</f>
        <v>0.46666666666666767</v>
      </c>
      <c r="R54" t="s">
        <v>4573</v>
      </c>
      <c r="S54" s="4" t="s">
        <v>255</v>
      </c>
      <c r="T54" s="302">
        <f>IFERROR(IGA_BD[[#This Row],[Breakdown Time]]*IGA_BD[[#This Row],[Plant Equivalent Weightage]],"")</f>
        <v>0.23333333333333384</v>
      </c>
      <c r="U54" s="302"/>
      <c r="V54" s="302"/>
      <c r="W54">
        <v>1088</v>
      </c>
    </row>
    <row r="55" spans="1:23">
      <c r="A55" s="10">
        <f t="shared" si="0"/>
        <v>51</v>
      </c>
      <c r="B55" s="10">
        <f>YEAR(IGA_BD[[#This Row],[Date]])+IF(MONTH(IGA_BD[[#This Row],[Date]])&gt;=4,1,0)</f>
        <v>2026</v>
      </c>
      <c r="C55" s="10">
        <v>2025</v>
      </c>
      <c r="D55" s="10" t="s">
        <v>4478</v>
      </c>
      <c r="E55" s="309">
        <f>IGA_BD[[#This Row],[Date]]-DAY(IGA_BD[[#This Row],[Date]])+1</f>
        <v>45748</v>
      </c>
      <c r="F55" s="32">
        <v>45771</v>
      </c>
      <c r="G55" t="s">
        <v>566</v>
      </c>
      <c r="H55" s="4">
        <f>IFERROR(VLOOKUP(IGA_BD[[#This Row],[Affected Feeder ]],'Basic Data'!$A$3:$E$50,2,0),"")</f>
        <v>0</v>
      </c>
      <c r="I55" s="4">
        <f>IFERROR(VLOOKUP(IGA_BD[[#This Row],[Affected Feeder ]],'Basic Data'!$A$3:$E$50,3,0),"")</f>
        <v>0</v>
      </c>
      <c r="J55" s="9">
        <f>IFERROR(VLOOKUP(IGA_BD[[#This Row],[Affected Feeder ]],'Basic Data'!$A$3:$E$50,5,0),"")</f>
        <v>0.5</v>
      </c>
      <c r="K55" t="s">
        <v>4533</v>
      </c>
      <c r="L55" s="35">
        <v>0.42430555555555555</v>
      </c>
      <c r="M55" s="35">
        <v>0.42430555555555555</v>
      </c>
      <c r="N55" s="35">
        <v>0.44444444444444442</v>
      </c>
      <c r="O55" s="6">
        <f>(IGA_BD[[#This Row],[Work Start TimeStamp]]-IGA_BD[[#This Row],[Fault Start TimeStamp]])*24</f>
        <v>0</v>
      </c>
      <c r="P55" s="6">
        <f>(IGA_BD[[#This Row],[Fault Clearance time]]-IGA_BD[[#This Row],[Work Start TimeStamp]])*24</f>
        <v>0.48333333333333295</v>
      </c>
      <c r="Q55" s="6">
        <f>(IGA_BD[[#This Row],[Fault Clearance time]]-IGA_BD[[#This Row],[Fault Start TimeStamp]])*24</f>
        <v>0.48333333333333295</v>
      </c>
      <c r="R55" t="s">
        <v>4571</v>
      </c>
      <c r="S55" s="4" t="s">
        <v>255</v>
      </c>
      <c r="T55" s="302">
        <f>IFERROR(IGA_BD[[#This Row],[Breakdown Time]]*IGA_BD[[#This Row],[Plant Equivalent Weightage]],"")</f>
        <v>0.24166666666666647</v>
      </c>
      <c r="U55" s="302"/>
      <c r="V55" s="302"/>
      <c r="W55">
        <v>1176</v>
      </c>
    </row>
    <row r="56" spans="1:23">
      <c r="A56" s="10">
        <f t="shared" si="0"/>
        <v>52</v>
      </c>
      <c r="B56" s="10">
        <f>YEAR(IGA_BD[[#This Row],[Date]])+IF(MONTH(IGA_BD[[#This Row],[Date]])&gt;=4,1,0)</f>
        <v>2026</v>
      </c>
      <c r="C56" s="10">
        <v>2025</v>
      </c>
      <c r="D56" s="10" t="s">
        <v>4478</v>
      </c>
      <c r="E56" s="309">
        <f>IGA_BD[[#This Row],[Date]]-DAY(IGA_BD[[#This Row],[Date]])+1</f>
        <v>45748</v>
      </c>
      <c r="F56" s="32">
        <v>45771</v>
      </c>
      <c r="G56" t="s">
        <v>76</v>
      </c>
      <c r="H56" s="4" t="str">
        <f>IFERROR(VLOOKUP(IGA_BD[[#This Row],[Affected Feeder ]],'Basic Data'!$A$3:$E$50,2,0),"")</f>
        <v>O2R1</v>
      </c>
      <c r="I56" s="4" t="str">
        <f>IFERROR(VLOOKUP(IGA_BD[[#This Row],[Affected Feeder ]],'Basic Data'!$A$3:$E$50,3,0),"")</f>
        <v>KSIPL</v>
      </c>
      <c r="J56" s="9">
        <f>IFERROR(VLOOKUP(IGA_BD[[#This Row],[Affected Feeder ]],'Basic Data'!$A$3:$E$50,5,0),"")</f>
        <v>4.3478260869565223E-2</v>
      </c>
      <c r="K56" t="s">
        <v>4534</v>
      </c>
      <c r="L56" s="35">
        <v>0.44444444444444442</v>
      </c>
      <c r="M56" s="35">
        <v>0.44444444444444442</v>
      </c>
      <c r="N56" s="35">
        <v>0.65833333333333333</v>
      </c>
      <c r="O56" s="6">
        <f>(IGA_BD[[#This Row],[Work Start TimeStamp]]-IGA_BD[[#This Row],[Fault Start TimeStamp]])*24</f>
        <v>0</v>
      </c>
      <c r="P56" s="6">
        <f>(IGA_BD[[#This Row],[Fault Clearance time]]-IGA_BD[[#This Row],[Work Start TimeStamp]])*24</f>
        <v>5.1333333333333337</v>
      </c>
      <c r="Q56" s="6">
        <f>(IGA_BD[[#This Row],[Fault Clearance time]]-IGA_BD[[#This Row],[Fault Start TimeStamp]])*24</f>
        <v>5.1333333333333337</v>
      </c>
      <c r="R56" t="s">
        <v>4538</v>
      </c>
      <c r="S56" s="4" t="s">
        <v>255</v>
      </c>
      <c r="T56" s="302">
        <f>IFERROR(IGA_BD[[#This Row],[Breakdown Time]]*IGA_BD[[#This Row],[Plant Equivalent Weightage]],"")</f>
        <v>0.2231884057971015</v>
      </c>
      <c r="U56" s="302"/>
      <c r="V56" s="302"/>
      <c r="W56">
        <v>1135</v>
      </c>
    </row>
    <row r="57" spans="1:23">
      <c r="A57" s="10">
        <f t="shared" si="0"/>
        <v>53</v>
      </c>
      <c r="B57" s="10">
        <f>YEAR(IGA_BD[[#This Row],[Date]])+IF(MONTH(IGA_BD[[#This Row],[Date]])&gt;=4,1,0)</f>
        <v>2026</v>
      </c>
      <c r="C57" s="10">
        <v>2025</v>
      </c>
      <c r="D57" s="10" t="s">
        <v>4478</v>
      </c>
      <c r="E57" s="309">
        <f>IGA_BD[[#This Row],[Date]]-DAY(IGA_BD[[#This Row],[Date]])+1</f>
        <v>45748</v>
      </c>
      <c r="F57" s="32">
        <v>45771</v>
      </c>
      <c r="G57" t="s">
        <v>90</v>
      </c>
      <c r="H57" s="4" t="str">
        <f>IFERROR(VLOOKUP(IGA_BD[[#This Row],[Affected Feeder ]],'Basic Data'!$A$3:$E$50,2,0),"")</f>
        <v>O2R1</v>
      </c>
      <c r="I57" s="4" t="str">
        <f>IFERROR(VLOOKUP(IGA_BD[[#This Row],[Affected Feeder ]],'Basic Data'!$A$3:$E$50,3,0),"")</f>
        <v>KSIPL</v>
      </c>
      <c r="J57" s="9">
        <f>IFERROR(VLOOKUP(IGA_BD[[#This Row],[Affected Feeder ]],'Basic Data'!$A$3:$E$50,5,0),"")</f>
        <v>4.3478260869565223E-2</v>
      </c>
      <c r="K57" t="s">
        <v>4534</v>
      </c>
      <c r="L57" s="35">
        <v>0.45</v>
      </c>
      <c r="M57" s="35">
        <v>0.45</v>
      </c>
      <c r="N57" s="35">
        <v>0.65833333333333333</v>
      </c>
      <c r="O57" s="6">
        <f>(IGA_BD[[#This Row],[Work Start TimeStamp]]-IGA_BD[[#This Row],[Fault Start TimeStamp]])*24</f>
        <v>0</v>
      </c>
      <c r="P57" s="6">
        <f>(IGA_BD[[#This Row],[Fault Clearance time]]-IGA_BD[[#This Row],[Work Start TimeStamp]])*24</f>
        <v>5</v>
      </c>
      <c r="Q57" s="6">
        <f>(IGA_BD[[#This Row],[Fault Clearance time]]-IGA_BD[[#This Row],[Fault Start TimeStamp]])*24</f>
        <v>5</v>
      </c>
      <c r="R57" t="s">
        <v>4539</v>
      </c>
      <c r="S57" s="4" t="s">
        <v>255</v>
      </c>
      <c r="T57" s="302">
        <f>IFERROR(IGA_BD[[#This Row],[Breakdown Time]]*IGA_BD[[#This Row],[Plant Equivalent Weightage]],"")</f>
        <v>0.21739130434782611</v>
      </c>
      <c r="U57" s="302"/>
      <c r="V57" s="302"/>
      <c r="W57">
        <v>1135</v>
      </c>
    </row>
    <row r="58" spans="1:23">
      <c r="A58" s="10">
        <f t="shared" si="0"/>
        <v>54</v>
      </c>
      <c r="B58" s="10">
        <f>YEAR(IGA_BD[[#This Row],[Date]])+IF(MONTH(IGA_BD[[#This Row],[Date]])&gt;=4,1,0)</f>
        <v>2026</v>
      </c>
      <c r="C58" s="10">
        <v>2025</v>
      </c>
      <c r="D58" s="10" t="s">
        <v>4478</v>
      </c>
      <c r="E58" s="309">
        <f>IGA_BD[[#This Row],[Date]]-DAY(IGA_BD[[#This Row],[Date]])+1</f>
        <v>45748</v>
      </c>
      <c r="F58" s="32">
        <v>45771</v>
      </c>
      <c r="G58" t="s">
        <v>566</v>
      </c>
      <c r="H58" s="4">
        <f>IFERROR(VLOOKUP(IGA_BD[[#This Row],[Affected Feeder ]],'Basic Data'!$A$3:$E$50,2,0),"")</f>
        <v>0</v>
      </c>
      <c r="I58" s="4">
        <f>IFERROR(VLOOKUP(IGA_BD[[#This Row],[Affected Feeder ]],'Basic Data'!$A$3:$E$50,3,0),"")</f>
        <v>0</v>
      </c>
      <c r="J58" s="9">
        <f>IFERROR(VLOOKUP(IGA_BD[[#This Row],[Affected Feeder ]],'Basic Data'!$A$3:$E$50,5,0),"")</f>
        <v>0.5</v>
      </c>
      <c r="K58" t="s">
        <v>4535</v>
      </c>
      <c r="L58" s="35">
        <v>0.65833333333333333</v>
      </c>
      <c r="M58" s="35">
        <v>0.65833333333333333</v>
      </c>
      <c r="N58" s="35">
        <v>0.68472222222222223</v>
      </c>
      <c r="O58" s="6">
        <f>(IGA_BD[[#This Row],[Work Start TimeStamp]]-IGA_BD[[#This Row],[Fault Start TimeStamp]])*24</f>
        <v>0</v>
      </c>
      <c r="P58" s="6">
        <f>(IGA_BD[[#This Row],[Fault Clearance time]]-IGA_BD[[#This Row],[Work Start TimeStamp]])*24</f>
        <v>0.63333333333333375</v>
      </c>
      <c r="Q58" s="6">
        <f>(IGA_BD[[#This Row],[Fault Clearance time]]-IGA_BD[[#This Row],[Fault Start TimeStamp]])*24</f>
        <v>0.63333333333333375</v>
      </c>
      <c r="R58" t="s">
        <v>4574</v>
      </c>
      <c r="S58" s="4" t="s">
        <v>255</v>
      </c>
      <c r="T58" s="302">
        <f>IFERROR(IGA_BD[[#This Row],[Breakdown Time]]*IGA_BD[[#This Row],[Plant Equivalent Weightage]],"")</f>
        <v>0.31666666666666687</v>
      </c>
      <c r="U58" s="302"/>
      <c r="V58" s="302"/>
      <c r="W58">
        <v>1541</v>
      </c>
    </row>
    <row r="59" spans="1:23">
      <c r="A59" s="10">
        <f t="shared" si="0"/>
        <v>55</v>
      </c>
      <c r="B59" s="10">
        <f>YEAR(IGA_BD[[#This Row],[Date]])+IF(MONTH(IGA_BD[[#This Row],[Date]])&gt;=4,1,0)</f>
        <v>2026</v>
      </c>
      <c r="C59" s="10">
        <v>2025</v>
      </c>
      <c r="D59" s="10" t="s">
        <v>4478</v>
      </c>
      <c r="E59" s="309">
        <f>IGA_BD[[#This Row],[Date]]-DAY(IGA_BD[[#This Row],[Date]])+1</f>
        <v>45748</v>
      </c>
      <c r="F59" s="32">
        <v>45772</v>
      </c>
      <c r="G59" t="s">
        <v>566</v>
      </c>
      <c r="H59" s="4">
        <f>IFERROR(VLOOKUP(IGA_BD[[#This Row],[Affected Feeder ]],'Basic Data'!$A$3:$E$50,2,0),"")</f>
        <v>0</v>
      </c>
      <c r="I59" s="4">
        <f>IFERROR(VLOOKUP(IGA_BD[[#This Row],[Affected Feeder ]],'Basic Data'!$A$3:$E$50,3,0),"")</f>
        <v>0</v>
      </c>
      <c r="J59" s="9">
        <f>IFERROR(VLOOKUP(IGA_BD[[#This Row],[Affected Feeder ]],'Basic Data'!$A$3:$E$50,5,0),"")</f>
        <v>0.5</v>
      </c>
      <c r="K59" t="s">
        <v>4533</v>
      </c>
      <c r="L59" s="35">
        <v>0.39027777777777778</v>
      </c>
      <c r="M59" s="35">
        <v>0.39027777777777778</v>
      </c>
      <c r="N59" s="35">
        <v>0.42222222222222222</v>
      </c>
      <c r="O59" s="6">
        <f>(IGA_BD[[#This Row],[Work Start TimeStamp]]-IGA_BD[[#This Row],[Fault Start TimeStamp]])*24</f>
        <v>0</v>
      </c>
      <c r="P59" s="6">
        <f>(IGA_BD[[#This Row],[Fault Clearance time]]-IGA_BD[[#This Row],[Work Start TimeStamp]])*24</f>
        <v>0.76666666666666661</v>
      </c>
      <c r="Q59" s="6">
        <f>(IGA_BD[[#This Row],[Fault Clearance time]]-IGA_BD[[#This Row],[Fault Start TimeStamp]])*24</f>
        <v>0.76666666666666661</v>
      </c>
      <c r="R59" t="s">
        <v>4571</v>
      </c>
      <c r="S59" s="4" t="s">
        <v>255</v>
      </c>
      <c r="T59" s="302">
        <f>IFERROR(IGA_BD[[#This Row],[Breakdown Time]]*IGA_BD[[#This Row],[Plant Equivalent Weightage]],"")</f>
        <v>0.3833333333333333</v>
      </c>
      <c r="U59" s="302"/>
      <c r="V59" s="302"/>
      <c r="W59">
        <v>4215</v>
      </c>
    </row>
    <row r="60" spans="1:23">
      <c r="A60" s="10">
        <f t="shared" si="0"/>
        <v>56</v>
      </c>
      <c r="B60" s="10">
        <f>YEAR(IGA_BD[[#This Row],[Date]])+IF(MONTH(IGA_BD[[#This Row],[Date]])&gt;=4,1,0)</f>
        <v>2026</v>
      </c>
      <c r="C60" s="10">
        <v>2025</v>
      </c>
      <c r="D60" s="10" t="s">
        <v>4478</v>
      </c>
      <c r="E60" s="309">
        <f>IGA_BD[[#This Row],[Date]]-DAY(IGA_BD[[#This Row],[Date]])+1</f>
        <v>45748</v>
      </c>
      <c r="F60" s="32">
        <v>45772</v>
      </c>
      <c r="G60" t="s">
        <v>76</v>
      </c>
      <c r="H60" s="4" t="str">
        <f>IFERROR(VLOOKUP(IGA_BD[[#This Row],[Affected Feeder ]],'Basic Data'!$A$3:$E$50,2,0),"")</f>
        <v>O2R1</v>
      </c>
      <c r="I60" s="4" t="str">
        <f>IFERROR(VLOOKUP(IGA_BD[[#This Row],[Affected Feeder ]],'Basic Data'!$A$3:$E$50,3,0),"")</f>
        <v>KSIPL</v>
      </c>
      <c r="J60" s="9">
        <f>IFERROR(VLOOKUP(IGA_BD[[#This Row],[Affected Feeder ]],'Basic Data'!$A$3:$E$50,5,0),"")</f>
        <v>4.3478260869565223E-2</v>
      </c>
      <c r="K60" t="s">
        <v>4534</v>
      </c>
      <c r="L60" s="35">
        <v>0.42222222222222222</v>
      </c>
      <c r="M60" s="35">
        <v>0.42222222222222222</v>
      </c>
      <c r="N60" s="35">
        <v>0.59375</v>
      </c>
      <c r="O60" s="6">
        <f>(IGA_BD[[#This Row],[Work Start TimeStamp]]-IGA_BD[[#This Row],[Fault Start TimeStamp]])*24</f>
        <v>0</v>
      </c>
      <c r="P60" s="6">
        <f>(IGA_BD[[#This Row],[Fault Clearance time]]-IGA_BD[[#This Row],[Work Start TimeStamp]])*24</f>
        <v>4.1166666666666671</v>
      </c>
      <c r="Q60" s="6">
        <f>(IGA_BD[[#This Row],[Fault Clearance time]]-IGA_BD[[#This Row],[Fault Start TimeStamp]])*24</f>
        <v>4.1166666666666671</v>
      </c>
      <c r="R60" t="s">
        <v>4540</v>
      </c>
      <c r="S60" s="4" t="s">
        <v>255</v>
      </c>
      <c r="T60" s="302">
        <f>IFERROR(IGA_BD[[#This Row],[Breakdown Time]]*IGA_BD[[#This Row],[Plant Equivalent Weightage]],"")</f>
        <v>0.17898550724637685</v>
      </c>
      <c r="U60" s="302"/>
      <c r="V60" s="302"/>
      <c r="W60">
        <v>2057</v>
      </c>
    </row>
    <row r="61" spans="1:23">
      <c r="A61" s="10">
        <f t="shared" si="0"/>
        <v>57</v>
      </c>
      <c r="B61" s="10">
        <f>YEAR(IGA_BD[[#This Row],[Date]])+IF(MONTH(IGA_BD[[#This Row],[Date]])&gt;=4,1,0)</f>
        <v>2026</v>
      </c>
      <c r="C61" s="10">
        <v>2025</v>
      </c>
      <c r="D61" s="10" t="s">
        <v>4478</v>
      </c>
      <c r="E61" s="309">
        <f>IGA_BD[[#This Row],[Date]]-DAY(IGA_BD[[#This Row],[Date]])+1</f>
        <v>45748</v>
      </c>
      <c r="F61" s="32">
        <v>45772</v>
      </c>
      <c r="G61" t="s">
        <v>90</v>
      </c>
      <c r="H61" s="4" t="str">
        <f>IFERROR(VLOOKUP(IGA_BD[[#This Row],[Affected Feeder ]],'Basic Data'!$A$3:$E$50,2,0),"")</f>
        <v>O2R1</v>
      </c>
      <c r="I61" s="4" t="str">
        <f>IFERROR(VLOOKUP(IGA_BD[[#This Row],[Affected Feeder ]],'Basic Data'!$A$3:$E$50,3,0),"")</f>
        <v>KSIPL</v>
      </c>
      <c r="J61" s="9">
        <f>IFERROR(VLOOKUP(IGA_BD[[#This Row],[Affected Feeder ]],'Basic Data'!$A$3:$E$50,5,0),"")</f>
        <v>4.3478260869565223E-2</v>
      </c>
      <c r="K61" t="s">
        <v>4534</v>
      </c>
      <c r="L61" s="35">
        <v>0.42222222222222222</v>
      </c>
      <c r="M61" s="35">
        <v>0.42222222222222222</v>
      </c>
      <c r="N61" s="35">
        <v>0.59375</v>
      </c>
      <c r="O61" s="6">
        <f>(IGA_BD[[#This Row],[Work Start TimeStamp]]-IGA_BD[[#This Row],[Fault Start TimeStamp]])*24</f>
        <v>0</v>
      </c>
      <c r="P61" s="6">
        <f>(IGA_BD[[#This Row],[Fault Clearance time]]-IGA_BD[[#This Row],[Work Start TimeStamp]])*24</f>
        <v>4.1166666666666671</v>
      </c>
      <c r="Q61" s="6">
        <f>(IGA_BD[[#This Row],[Fault Clearance time]]-IGA_BD[[#This Row],[Fault Start TimeStamp]])*24</f>
        <v>4.1166666666666671</v>
      </c>
      <c r="R61" t="s">
        <v>4539</v>
      </c>
      <c r="S61" s="4" t="s">
        <v>255</v>
      </c>
      <c r="T61" s="302">
        <f>IFERROR(IGA_BD[[#This Row],[Breakdown Time]]*IGA_BD[[#This Row],[Plant Equivalent Weightage]],"")</f>
        <v>0.17898550724637685</v>
      </c>
      <c r="U61" s="302"/>
      <c r="V61" s="302"/>
      <c r="W61">
        <v>2057</v>
      </c>
    </row>
    <row r="62" spans="1:23">
      <c r="A62" s="10">
        <f t="shared" si="0"/>
        <v>58</v>
      </c>
      <c r="B62" s="10">
        <f>YEAR(IGA_BD[[#This Row],[Date]])+IF(MONTH(IGA_BD[[#This Row],[Date]])&gt;=4,1,0)</f>
        <v>2026</v>
      </c>
      <c r="C62" s="10">
        <v>2025</v>
      </c>
      <c r="D62" s="10" t="s">
        <v>4478</v>
      </c>
      <c r="E62" s="309">
        <f>IGA_BD[[#This Row],[Date]]-DAY(IGA_BD[[#This Row],[Date]])+1</f>
        <v>45748</v>
      </c>
      <c r="F62" s="32">
        <v>45772</v>
      </c>
      <c r="G62" t="s">
        <v>566</v>
      </c>
      <c r="H62" s="4">
        <f>IFERROR(VLOOKUP(IGA_BD[[#This Row],[Affected Feeder ]],'Basic Data'!$A$3:$E$50,2,0),"")</f>
        <v>0</v>
      </c>
      <c r="I62" s="4">
        <f>IFERROR(VLOOKUP(IGA_BD[[#This Row],[Affected Feeder ]],'Basic Data'!$A$3:$E$50,3,0),"")</f>
        <v>0</v>
      </c>
      <c r="J62" s="9">
        <f>IFERROR(VLOOKUP(IGA_BD[[#This Row],[Affected Feeder ]],'Basic Data'!$A$3:$E$50,5,0),"")</f>
        <v>0.5</v>
      </c>
      <c r="K62" t="s">
        <v>4535</v>
      </c>
      <c r="L62" s="35">
        <v>0.59375</v>
      </c>
      <c r="M62" s="35">
        <v>0.59375</v>
      </c>
      <c r="N62" s="35">
        <v>0.63749999999999996</v>
      </c>
      <c r="O62" s="6">
        <f>(IGA_BD[[#This Row],[Work Start TimeStamp]]-IGA_BD[[#This Row],[Fault Start TimeStamp]])*24</f>
        <v>0</v>
      </c>
      <c r="P62" s="6">
        <f>(IGA_BD[[#This Row],[Fault Clearance time]]-IGA_BD[[#This Row],[Work Start TimeStamp]])*24</f>
        <v>1.0499999999999989</v>
      </c>
      <c r="Q62" s="6">
        <f>(IGA_BD[[#This Row],[Fault Clearance time]]-IGA_BD[[#This Row],[Fault Start TimeStamp]])*24</f>
        <v>1.0499999999999989</v>
      </c>
      <c r="R62" t="s">
        <v>4575</v>
      </c>
      <c r="S62" s="4" t="s">
        <v>255</v>
      </c>
      <c r="T62" s="302">
        <f>IFERROR(IGA_BD[[#This Row],[Breakdown Time]]*IGA_BD[[#This Row],[Plant Equivalent Weightage]],"")</f>
        <v>0.52499999999999947</v>
      </c>
      <c r="U62" s="302"/>
      <c r="V62" s="302"/>
      <c r="W62">
        <v>5772</v>
      </c>
    </row>
    <row r="63" spans="1:23">
      <c r="A63" s="10">
        <f t="shared" si="0"/>
        <v>59</v>
      </c>
      <c r="B63" s="10">
        <f>YEAR(IGA_BD[[#This Row],[Date]])+IF(MONTH(IGA_BD[[#This Row],[Date]])&gt;=4,1,0)</f>
        <v>2026</v>
      </c>
      <c r="C63" s="10">
        <v>2025</v>
      </c>
      <c r="D63" s="10" t="s">
        <v>4478</v>
      </c>
      <c r="E63" s="309">
        <f>IGA_BD[[#This Row],[Date]]-DAY(IGA_BD[[#This Row],[Date]])+1</f>
        <v>45748</v>
      </c>
      <c r="F63" s="32">
        <v>45773</v>
      </c>
      <c r="G63" t="s">
        <v>566</v>
      </c>
      <c r="H63" s="4">
        <f>IFERROR(VLOOKUP(IGA_BD[[#This Row],[Affected Feeder ]],'Basic Data'!$A$3:$E$50,2,0),"")</f>
        <v>0</v>
      </c>
      <c r="I63" s="4">
        <f>IFERROR(VLOOKUP(IGA_BD[[#This Row],[Affected Feeder ]],'Basic Data'!$A$3:$E$50,3,0),"")</f>
        <v>0</v>
      </c>
      <c r="J63" s="9">
        <f>IFERROR(VLOOKUP(IGA_BD[[#This Row],[Affected Feeder ]],'Basic Data'!$A$3:$E$50,5,0),"")</f>
        <v>0.5</v>
      </c>
      <c r="K63" t="s">
        <v>4543</v>
      </c>
      <c r="L63" s="35">
        <v>0.36458333333333331</v>
      </c>
      <c r="M63" s="35">
        <v>0.36458333333333331</v>
      </c>
      <c r="N63" s="35">
        <v>0.39583333333333331</v>
      </c>
      <c r="O63" s="6">
        <f>(IGA_BD[[#This Row],[Work Start TimeStamp]]-IGA_BD[[#This Row],[Fault Start TimeStamp]])*24</f>
        <v>0</v>
      </c>
      <c r="P63" s="6">
        <f>(IGA_BD[[#This Row],[Fault Clearance time]]-IGA_BD[[#This Row],[Work Start TimeStamp]])*24</f>
        <v>0.75</v>
      </c>
      <c r="Q63" s="6">
        <f>(IGA_BD[[#This Row],[Fault Clearance time]]-IGA_BD[[#This Row],[Fault Start TimeStamp]])*24</f>
        <v>0.75</v>
      </c>
      <c r="R63" t="s">
        <v>4571</v>
      </c>
      <c r="S63" s="4" t="s">
        <v>255</v>
      </c>
      <c r="T63" s="302">
        <f>IFERROR(IGA_BD[[#This Row],[Breakdown Time]]*IGA_BD[[#This Row],[Plant Equivalent Weightage]],"")</f>
        <v>0.375</v>
      </c>
      <c r="U63" s="302"/>
      <c r="V63" s="302"/>
      <c r="W63">
        <v>1132</v>
      </c>
    </row>
    <row r="64" spans="1:23">
      <c r="A64" s="10">
        <f t="shared" si="0"/>
        <v>60</v>
      </c>
      <c r="B64" s="10">
        <f>YEAR(IGA_BD[[#This Row],[Date]])+IF(MONTH(IGA_BD[[#This Row],[Date]])&gt;=4,1,0)</f>
        <v>2026</v>
      </c>
      <c r="C64" s="10">
        <v>2025</v>
      </c>
      <c r="D64" s="10" t="s">
        <v>4478</v>
      </c>
      <c r="E64" s="309">
        <f>IGA_BD[[#This Row],[Date]]-DAY(IGA_BD[[#This Row],[Date]])+1</f>
        <v>45748</v>
      </c>
      <c r="F64" s="32">
        <v>45773</v>
      </c>
      <c r="G64" t="s">
        <v>85</v>
      </c>
      <c r="H64" s="4" t="str">
        <f>IFERROR(VLOOKUP(IGA_BD[[#This Row],[Affected Feeder ]],'Basic Data'!$A$3:$E$50,2,0),"")</f>
        <v>O2R1</v>
      </c>
      <c r="I64" s="4" t="str">
        <f>IFERROR(VLOOKUP(IGA_BD[[#This Row],[Affected Feeder ]],'Basic Data'!$A$3:$E$50,3,0),"")</f>
        <v>KSIPL</v>
      </c>
      <c r="J64" s="9">
        <f>IFERROR(VLOOKUP(IGA_BD[[#This Row],[Affected Feeder ]],'Basic Data'!$A$3:$E$50,5,0),"")</f>
        <v>4.3478260869565223E-2</v>
      </c>
      <c r="K64" t="s">
        <v>4546</v>
      </c>
      <c r="L64" s="35">
        <v>0.39583333333333331</v>
      </c>
      <c r="M64" s="35">
        <v>0.39583333333333331</v>
      </c>
      <c r="N64" s="35">
        <v>0.6875</v>
      </c>
      <c r="O64" s="6">
        <f>(IGA_BD[[#This Row],[Work Start TimeStamp]]-IGA_BD[[#This Row],[Fault Start TimeStamp]])*24</f>
        <v>0</v>
      </c>
      <c r="P64" s="6">
        <f>(IGA_BD[[#This Row],[Fault Clearance time]]-IGA_BD[[#This Row],[Work Start TimeStamp]])*24</f>
        <v>7</v>
      </c>
      <c r="Q64" s="6">
        <f>(IGA_BD[[#This Row],[Fault Clearance time]]-IGA_BD[[#This Row],[Fault Start TimeStamp]])*24</f>
        <v>7</v>
      </c>
      <c r="R64" t="s">
        <v>4548</v>
      </c>
      <c r="S64" s="4" t="s">
        <v>255</v>
      </c>
      <c r="T64" s="302">
        <f>IFERROR(IGA_BD[[#This Row],[Breakdown Time]]*IGA_BD[[#This Row],[Plant Equivalent Weightage]],"")</f>
        <v>0.30434782608695654</v>
      </c>
      <c r="U64" s="302"/>
      <c r="V64" s="302"/>
      <c r="W64">
        <v>961</v>
      </c>
    </row>
    <row r="65" spans="1:23">
      <c r="A65" s="10">
        <f t="shared" si="0"/>
        <v>61</v>
      </c>
      <c r="B65" s="10">
        <f>YEAR(IGA_BD[[#This Row],[Date]])+IF(MONTH(IGA_BD[[#This Row],[Date]])&gt;=4,1,0)</f>
        <v>2026</v>
      </c>
      <c r="C65" s="10">
        <v>2025</v>
      </c>
      <c r="D65" s="10" t="s">
        <v>4478</v>
      </c>
      <c r="E65" s="309">
        <f>IGA_BD[[#This Row],[Date]]-DAY(IGA_BD[[#This Row],[Date]])+1</f>
        <v>45748</v>
      </c>
      <c r="F65" s="32">
        <v>45773</v>
      </c>
      <c r="G65" t="s">
        <v>76</v>
      </c>
      <c r="H65" s="4" t="str">
        <f>IFERROR(VLOOKUP(IGA_BD[[#This Row],[Affected Feeder ]],'Basic Data'!$A$3:$E$50,2,0),"")</f>
        <v>O2R1</v>
      </c>
      <c r="I65" s="4" t="str">
        <f>IFERROR(VLOOKUP(IGA_BD[[#This Row],[Affected Feeder ]],'Basic Data'!$A$3:$E$50,3,0),"")</f>
        <v>KSIPL</v>
      </c>
      <c r="J65" s="9">
        <f>IFERROR(VLOOKUP(IGA_BD[[#This Row],[Affected Feeder ]],'Basic Data'!$A$3:$E$50,5,0),"")</f>
        <v>4.3478260869565223E-2</v>
      </c>
      <c r="K65" t="s">
        <v>4546</v>
      </c>
      <c r="L65" s="35">
        <v>0.39583333333333331</v>
      </c>
      <c r="M65" s="35">
        <v>0.39583333333333331</v>
      </c>
      <c r="N65" s="35">
        <v>0.6875</v>
      </c>
      <c r="O65" s="6">
        <f>(IGA_BD[[#This Row],[Work Start TimeStamp]]-IGA_BD[[#This Row],[Fault Start TimeStamp]])*24</f>
        <v>0</v>
      </c>
      <c r="P65" s="6">
        <f>(IGA_BD[[#This Row],[Fault Clearance time]]-IGA_BD[[#This Row],[Work Start TimeStamp]])*24</f>
        <v>7</v>
      </c>
      <c r="Q65" s="6">
        <f>(IGA_BD[[#This Row],[Fault Clearance time]]-IGA_BD[[#This Row],[Fault Start TimeStamp]])*24</f>
        <v>7</v>
      </c>
      <c r="R65" t="s">
        <v>4547</v>
      </c>
      <c r="S65" s="4" t="s">
        <v>255</v>
      </c>
      <c r="T65" s="302">
        <f>IFERROR(IGA_BD[[#This Row],[Breakdown Time]]*IGA_BD[[#This Row],[Plant Equivalent Weightage]],"")</f>
        <v>0.30434782608695654</v>
      </c>
      <c r="U65" s="302"/>
      <c r="V65" s="302"/>
      <c r="W65">
        <v>961</v>
      </c>
    </row>
    <row r="66" spans="1:23">
      <c r="A66" s="10">
        <f t="shared" si="0"/>
        <v>62</v>
      </c>
      <c r="B66" s="10">
        <f>YEAR(IGA_BD[[#This Row],[Date]])+IF(MONTH(IGA_BD[[#This Row],[Date]])&gt;=4,1,0)</f>
        <v>2026</v>
      </c>
      <c r="C66" s="10">
        <v>2025</v>
      </c>
      <c r="D66" s="10" t="s">
        <v>4478</v>
      </c>
      <c r="E66" s="309">
        <f>IGA_BD[[#This Row],[Date]]-DAY(IGA_BD[[#This Row],[Date]])+1</f>
        <v>45748</v>
      </c>
      <c r="F66" s="32">
        <v>45773</v>
      </c>
      <c r="G66" t="s">
        <v>90</v>
      </c>
      <c r="H66" s="4" t="str">
        <f>IFERROR(VLOOKUP(IGA_BD[[#This Row],[Affected Feeder ]],'Basic Data'!$A$3:$E$50,2,0),"")</f>
        <v>O2R1</v>
      </c>
      <c r="I66" s="4" t="str">
        <f>IFERROR(VLOOKUP(IGA_BD[[#This Row],[Affected Feeder ]],'Basic Data'!$A$3:$E$50,3,0),"")</f>
        <v>KSIPL</v>
      </c>
      <c r="J66" s="9">
        <f>IFERROR(VLOOKUP(IGA_BD[[#This Row],[Affected Feeder ]],'Basic Data'!$A$3:$E$50,5,0),"")</f>
        <v>4.3478260869565223E-2</v>
      </c>
      <c r="K66" t="s">
        <v>4546</v>
      </c>
      <c r="L66" s="35">
        <v>0.39583333333333331</v>
      </c>
      <c r="M66" s="35">
        <v>0.39583333333333331</v>
      </c>
      <c r="N66" s="35">
        <v>0.6875</v>
      </c>
      <c r="O66" s="6">
        <f>(IGA_BD[[#This Row],[Work Start TimeStamp]]-IGA_BD[[#This Row],[Fault Start TimeStamp]])*24</f>
        <v>0</v>
      </c>
      <c r="P66" s="6">
        <f>(IGA_BD[[#This Row],[Fault Clearance time]]-IGA_BD[[#This Row],[Work Start TimeStamp]])*24</f>
        <v>7</v>
      </c>
      <c r="Q66" s="6">
        <f>(IGA_BD[[#This Row],[Fault Clearance time]]-IGA_BD[[#This Row],[Fault Start TimeStamp]])*24</f>
        <v>7</v>
      </c>
      <c r="R66" t="s">
        <v>4547</v>
      </c>
      <c r="S66" s="4" t="s">
        <v>255</v>
      </c>
      <c r="T66" s="302">
        <f>IFERROR(IGA_BD[[#This Row],[Breakdown Time]]*IGA_BD[[#This Row],[Plant Equivalent Weightage]],"")</f>
        <v>0.30434782608695654</v>
      </c>
      <c r="U66" s="302"/>
      <c r="V66" s="302"/>
      <c r="W66">
        <v>961</v>
      </c>
    </row>
    <row r="67" spans="1:23">
      <c r="A67" s="10">
        <f t="shared" si="0"/>
        <v>63</v>
      </c>
      <c r="B67" s="10">
        <f>YEAR(IGA_BD[[#This Row],[Date]])+IF(MONTH(IGA_BD[[#This Row],[Date]])&gt;=4,1,0)</f>
        <v>2026</v>
      </c>
      <c r="C67" s="10">
        <v>2025</v>
      </c>
      <c r="D67" s="10" t="s">
        <v>4478</v>
      </c>
      <c r="E67" s="309">
        <f>IGA_BD[[#This Row],[Date]]-DAY(IGA_BD[[#This Row],[Date]])+1</f>
        <v>45748</v>
      </c>
      <c r="F67" s="32">
        <v>45773</v>
      </c>
      <c r="G67" t="s">
        <v>390</v>
      </c>
      <c r="H67" s="4">
        <f>IFERROR(VLOOKUP(IGA_BD[[#This Row],[Affected Feeder ]],'Basic Data'!$A$3:$E$50,2,0),"")</f>
        <v>0</v>
      </c>
      <c r="I67" s="4">
        <f>IFERROR(VLOOKUP(IGA_BD[[#This Row],[Affected Feeder ]],'Basic Data'!$A$3:$E$50,3,0),"")</f>
        <v>0</v>
      </c>
      <c r="J67" s="9">
        <f>IFERROR(VLOOKUP(IGA_BD[[#This Row],[Affected Feeder ]],'Basic Data'!$A$3:$E$50,5,0),"")</f>
        <v>0.5</v>
      </c>
      <c r="K67" t="s">
        <v>4545</v>
      </c>
      <c r="L67" s="35">
        <v>0.52083333333333337</v>
      </c>
      <c r="M67" s="35">
        <v>0.52083333333333337</v>
      </c>
      <c r="N67" s="35">
        <v>0.99930555555555556</v>
      </c>
      <c r="O67" s="6">
        <f>(IGA_BD[[#This Row],[Work Start TimeStamp]]-IGA_BD[[#This Row],[Fault Start TimeStamp]])*24</f>
        <v>0</v>
      </c>
      <c r="P67" s="6">
        <f>(IGA_BD[[#This Row],[Fault Clearance time]]-IGA_BD[[#This Row],[Work Start TimeStamp]])*24</f>
        <v>11.483333333333333</v>
      </c>
      <c r="Q67" s="6">
        <f>(IGA_BD[[#This Row],[Fault Clearance time]]-IGA_BD[[#This Row],[Fault Start TimeStamp]])*24</f>
        <v>11.483333333333333</v>
      </c>
      <c r="R67" t="s">
        <v>4549</v>
      </c>
      <c r="S67" s="4" t="s">
        <v>270</v>
      </c>
      <c r="T67" s="302">
        <f>IFERROR(IGA_BD[[#This Row],[Breakdown Time]]*IGA_BD[[#This Row],[Plant Equivalent Weightage]],"")</f>
        <v>5.7416666666666663</v>
      </c>
      <c r="U67" s="302"/>
      <c r="V67" s="302"/>
      <c r="W67">
        <v>18916</v>
      </c>
    </row>
    <row r="68" spans="1:23">
      <c r="A68" s="10">
        <f t="shared" si="0"/>
        <v>64</v>
      </c>
      <c r="B68" s="10">
        <f>YEAR(IGA_BD[[#This Row],[Date]])+IF(MONTH(IGA_BD[[#This Row],[Date]])&gt;=4,1,0)</f>
        <v>2026</v>
      </c>
      <c r="C68" s="10">
        <v>2025</v>
      </c>
      <c r="D68" s="10" t="s">
        <v>4478</v>
      </c>
      <c r="E68" s="309">
        <f>IGA_BD[[#This Row],[Date]]-DAY(IGA_BD[[#This Row],[Date]])+1</f>
        <v>45748</v>
      </c>
      <c r="F68" s="32">
        <v>45773</v>
      </c>
      <c r="G68" t="s">
        <v>566</v>
      </c>
      <c r="H68" s="4">
        <f>IFERROR(VLOOKUP(IGA_BD[[#This Row],[Affected Feeder ]],'Basic Data'!$A$3:$E$50,2,0),"")</f>
        <v>0</v>
      </c>
      <c r="I68" s="4">
        <f>IFERROR(VLOOKUP(IGA_BD[[#This Row],[Affected Feeder ]],'Basic Data'!$A$3:$E$50,3,0),"")</f>
        <v>0</v>
      </c>
      <c r="J68" s="9">
        <f>IFERROR(VLOOKUP(IGA_BD[[#This Row],[Affected Feeder ]],'Basic Data'!$A$3:$E$50,5,0),"")</f>
        <v>0.5</v>
      </c>
      <c r="K68" t="s">
        <v>4544</v>
      </c>
      <c r="L68" s="35">
        <v>0.6875</v>
      </c>
      <c r="M68" s="35">
        <v>0.6875</v>
      </c>
      <c r="N68" s="35">
        <v>0.69930555555555551</v>
      </c>
      <c r="O68" s="6">
        <f>(IGA_BD[[#This Row],[Work Start TimeStamp]]-IGA_BD[[#This Row],[Fault Start TimeStamp]])*24</f>
        <v>0</v>
      </c>
      <c r="P68" s="6">
        <f>(IGA_BD[[#This Row],[Fault Clearance time]]-IGA_BD[[#This Row],[Work Start TimeStamp]])*24</f>
        <v>0.28333333333333233</v>
      </c>
      <c r="Q68" s="6">
        <f>(IGA_BD[[#This Row],[Fault Clearance time]]-IGA_BD[[#This Row],[Fault Start TimeStamp]])*24</f>
        <v>0.28333333333333233</v>
      </c>
      <c r="R68" t="s">
        <v>4574</v>
      </c>
      <c r="S68" s="4" t="s">
        <v>255</v>
      </c>
      <c r="T68" s="302">
        <f>IFERROR(IGA_BD[[#This Row],[Breakdown Time]]*IGA_BD[[#This Row],[Plant Equivalent Weightage]],"")</f>
        <v>0.14166666666666616</v>
      </c>
      <c r="U68" s="302"/>
      <c r="V68" s="302"/>
      <c r="W68">
        <v>428</v>
      </c>
    </row>
    <row r="69" spans="1:23">
      <c r="A69" s="10">
        <f t="shared" si="0"/>
        <v>65</v>
      </c>
      <c r="B69" s="10">
        <f>YEAR(IGA_BD[[#This Row],[Date]])+IF(MONTH(IGA_BD[[#This Row],[Date]])&gt;=4,1,0)</f>
        <v>2026</v>
      </c>
      <c r="C69" s="10">
        <v>2025</v>
      </c>
      <c r="D69" s="10" t="s">
        <v>4478</v>
      </c>
      <c r="E69" s="309">
        <f>IGA_BD[[#This Row],[Date]]-DAY(IGA_BD[[#This Row],[Date]])+1</f>
        <v>45748</v>
      </c>
      <c r="F69" s="32">
        <v>45774</v>
      </c>
      <c r="G69" t="s">
        <v>390</v>
      </c>
      <c r="H69" s="4">
        <f>IFERROR(VLOOKUP(IGA_BD[[#This Row],[Affected Feeder ]],'Basic Data'!$A$3:$E$50,2,0),"")</f>
        <v>0</v>
      </c>
      <c r="I69" s="4">
        <f>IFERROR(VLOOKUP(IGA_BD[[#This Row],[Affected Feeder ]],'Basic Data'!$A$3:$E$50,3,0),"")</f>
        <v>0</v>
      </c>
      <c r="J69" s="9">
        <f>IFERROR(VLOOKUP(IGA_BD[[#This Row],[Affected Feeder ]],'Basic Data'!$A$3:$E$50,5,0),"")</f>
        <v>0.5</v>
      </c>
      <c r="K69" t="s">
        <v>4545</v>
      </c>
      <c r="L69" s="35">
        <v>0</v>
      </c>
      <c r="M69" s="35">
        <v>0</v>
      </c>
      <c r="N69" s="35">
        <v>0.10069444444444443</v>
      </c>
      <c r="O69" s="6">
        <f>(IGA_BD[[#This Row],[Work Start TimeStamp]]-IGA_BD[[#This Row],[Fault Start TimeStamp]])*24</f>
        <v>0</v>
      </c>
      <c r="P69" s="6">
        <f>(IGA_BD[[#This Row],[Fault Clearance time]]-IGA_BD[[#This Row],[Work Start TimeStamp]])*24</f>
        <v>2.4166666666666665</v>
      </c>
      <c r="Q69" s="6">
        <f>(IGA_BD[[#This Row],[Fault Clearance time]]-IGA_BD[[#This Row],[Fault Start TimeStamp]])*24</f>
        <v>2.4166666666666665</v>
      </c>
      <c r="R69" t="s">
        <v>4552</v>
      </c>
      <c r="S69" s="4" t="s">
        <v>255</v>
      </c>
      <c r="T69" s="302">
        <f>IFERROR(IGA_BD[[#This Row],[Breakdown Time]]*IGA_BD[[#This Row],[Plant Equivalent Weightage]],"")</f>
        <v>1.2083333333333333</v>
      </c>
      <c r="U69" s="302"/>
      <c r="V69" s="302"/>
      <c r="W69">
        <v>11631</v>
      </c>
    </row>
    <row r="70" spans="1:23">
      <c r="A70" s="10">
        <f t="shared" si="0"/>
        <v>66</v>
      </c>
      <c r="B70" s="10">
        <f>YEAR(IGA_BD[[#This Row],[Date]])+IF(MONTH(IGA_BD[[#This Row],[Date]])&gt;=4,1,0)</f>
        <v>2026</v>
      </c>
      <c r="C70" s="10">
        <v>2025</v>
      </c>
      <c r="D70" s="10" t="s">
        <v>4478</v>
      </c>
      <c r="E70" s="309">
        <f>IGA_BD[[#This Row],[Date]]-DAY(IGA_BD[[#This Row],[Date]])+1</f>
        <v>45748</v>
      </c>
      <c r="F70" s="32">
        <v>45774</v>
      </c>
      <c r="G70" t="s">
        <v>566</v>
      </c>
      <c r="H70" s="4">
        <f>IFERROR(VLOOKUP(IGA_BD[[#This Row],[Affected Feeder ]],'Basic Data'!$A$3:$E$50,2,0),"")</f>
        <v>0</v>
      </c>
      <c r="I70" s="4">
        <f>IFERROR(VLOOKUP(IGA_BD[[#This Row],[Affected Feeder ]],'Basic Data'!$A$3:$E$50,3,0),"")</f>
        <v>0</v>
      </c>
      <c r="J70" s="9">
        <f>IFERROR(VLOOKUP(IGA_BD[[#This Row],[Affected Feeder ]],'Basic Data'!$A$3:$E$50,5,0),"")</f>
        <v>0.5</v>
      </c>
      <c r="K70" t="s">
        <v>4543</v>
      </c>
      <c r="L70" s="35">
        <v>0.41666666666666669</v>
      </c>
      <c r="M70" s="35">
        <v>0.41666666666666669</v>
      </c>
      <c r="N70" s="35">
        <v>0.4548611111111111</v>
      </c>
      <c r="O70" s="6">
        <f>(IGA_BD[[#This Row],[Work Start TimeStamp]]-IGA_BD[[#This Row],[Fault Start TimeStamp]])*24</f>
        <v>0</v>
      </c>
      <c r="P70" s="6">
        <f>(IGA_BD[[#This Row],[Fault Clearance time]]-IGA_BD[[#This Row],[Work Start TimeStamp]])*24</f>
        <v>0.91666666666666607</v>
      </c>
      <c r="Q70" s="6">
        <f>(IGA_BD[[#This Row],[Fault Clearance time]]-IGA_BD[[#This Row],[Fault Start TimeStamp]])*24</f>
        <v>0.91666666666666607</v>
      </c>
      <c r="R70" t="s">
        <v>4572</v>
      </c>
      <c r="S70" s="4" t="s">
        <v>255</v>
      </c>
      <c r="T70" s="302">
        <f>IFERROR(IGA_BD[[#This Row],[Breakdown Time]]*IGA_BD[[#This Row],[Plant Equivalent Weightage]],"")</f>
        <v>0.45833333333333304</v>
      </c>
      <c r="U70" s="302"/>
      <c r="V70" s="302"/>
      <c r="W70">
        <v>4044</v>
      </c>
    </row>
    <row r="71" spans="1:23">
      <c r="A71" s="10">
        <f t="shared" ref="A71:A134" si="1">A70+1</f>
        <v>67</v>
      </c>
      <c r="B71" s="10">
        <f>YEAR(IGA_BD[[#This Row],[Date]])+IF(MONTH(IGA_BD[[#This Row],[Date]])&gt;=4,1,0)</f>
        <v>2026</v>
      </c>
      <c r="C71" s="10">
        <v>2025</v>
      </c>
      <c r="D71" s="10" t="s">
        <v>4478</v>
      </c>
      <c r="E71" s="309">
        <f>IGA_BD[[#This Row],[Date]]-DAY(IGA_BD[[#This Row],[Date]])+1</f>
        <v>45748</v>
      </c>
      <c r="F71" s="32">
        <v>45774</v>
      </c>
      <c r="G71" t="s">
        <v>85</v>
      </c>
      <c r="H71" s="4" t="str">
        <f>IFERROR(VLOOKUP(IGA_BD[[#This Row],[Affected Feeder ]],'Basic Data'!$A$3:$E$50,2,0),"")</f>
        <v>O2R1</v>
      </c>
      <c r="I71" s="4" t="str">
        <f>IFERROR(VLOOKUP(IGA_BD[[#This Row],[Affected Feeder ]],'Basic Data'!$A$3:$E$50,3,0),"")</f>
        <v>KSIPL</v>
      </c>
      <c r="J71" s="9">
        <f>IFERROR(VLOOKUP(IGA_BD[[#This Row],[Affected Feeder ]],'Basic Data'!$A$3:$E$50,5,0),"")</f>
        <v>4.3478260869565223E-2</v>
      </c>
      <c r="K71" t="s">
        <v>4546</v>
      </c>
      <c r="L71" s="35">
        <v>0.4548611111111111</v>
      </c>
      <c r="M71" s="35">
        <v>0.4548611111111111</v>
      </c>
      <c r="N71" s="35">
        <v>0.6479166666666667</v>
      </c>
      <c r="O71" s="6">
        <f>(IGA_BD[[#This Row],[Work Start TimeStamp]]-IGA_BD[[#This Row],[Fault Start TimeStamp]])*24</f>
        <v>0</v>
      </c>
      <c r="P71" s="6">
        <f>(IGA_BD[[#This Row],[Fault Clearance time]]-IGA_BD[[#This Row],[Work Start TimeStamp]])*24</f>
        <v>4.6333333333333346</v>
      </c>
      <c r="Q71" s="6">
        <f>(IGA_BD[[#This Row],[Fault Clearance time]]-IGA_BD[[#This Row],[Fault Start TimeStamp]])*24</f>
        <v>4.6333333333333346</v>
      </c>
      <c r="R71" t="s">
        <v>4551</v>
      </c>
      <c r="S71" s="4" t="s">
        <v>255</v>
      </c>
      <c r="T71" s="302">
        <f>IFERROR(IGA_BD[[#This Row],[Breakdown Time]]*IGA_BD[[#This Row],[Plant Equivalent Weightage]],"")</f>
        <v>0.20144927536231894</v>
      </c>
      <c r="U71" s="302"/>
      <c r="V71" s="302"/>
      <c r="W71">
        <v>1858</v>
      </c>
    </row>
    <row r="72" spans="1:23">
      <c r="A72" s="10">
        <f t="shared" si="1"/>
        <v>68</v>
      </c>
      <c r="B72" s="10">
        <f>YEAR(IGA_BD[[#This Row],[Date]])+IF(MONTH(IGA_BD[[#This Row],[Date]])&gt;=4,1,0)</f>
        <v>2026</v>
      </c>
      <c r="C72" s="10">
        <v>2025</v>
      </c>
      <c r="D72" s="10" t="s">
        <v>4478</v>
      </c>
      <c r="E72" s="309">
        <f>IGA_BD[[#This Row],[Date]]-DAY(IGA_BD[[#This Row],[Date]])+1</f>
        <v>45748</v>
      </c>
      <c r="F72" s="32">
        <v>45774</v>
      </c>
      <c r="G72" t="s">
        <v>76</v>
      </c>
      <c r="H72" s="4" t="str">
        <f>IFERROR(VLOOKUP(IGA_BD[[#This Row],[Affected Feeder ]],'Basic Data'!$A$3:$E$50,2,0),"")</f>
        <v>O2R1</v>
      </c>
      <c r="I72" s="4" t="str">
        <f>IFERROR(VLOOKUP(IGA_BD[[#This Row],[Affected Feeder ]],'Basic Data'!$A$3:$E$50,3,0),"")</f>
        <v>KSIPL</v>
      </c>
      <c r="J72" s="9">
        <f>IFERROR(VLOOKUP(IGA_BD[[#This Row],[Affected Feeder ]],'Basic Data'!$A$3:$E$50,5,0),"")</f>
        <v>4.3478260869565223E-2</v>
      </c>
      <c r="K72" t="s">
        <v>4546</v>
      </c>
      <c r="L72" s="35">
        <v>0.4548611111111111</v>
      </c>
      <c r="M72" s="35">
        <v>0.4548611111111111</v>
      </c>
      <c r="N72" s="35">
        <v>0.6479166666666667</v>
      </c>
      <c r="O72" s="6">
        <f>(IGA_BD[[#This Row],[Work Start TimeStamp]]-IGA_BD[[#This Row],[Fault Start TimeStamp]])*24</f>
        <v>0</v>
      </c>
      <c r="P72" s="6">
        <f>(IGA_BD[[#This Row],[Fault Clearance time]]-IGA_BD[[#This Row],[Work Start TimeStamp]])*24</f>
        <v>4.6333333333333346</v>
      </c>
      <c r="Q72" s="6">
        <f>(IGA_BD[[#This Row],[Fault Clearance time]]-IGA_BD[[#This Row],[Fault Start TimeStamp]])*24</f>
        <v>4.6333333333333346</v>
      </c>
      <c r="R72" t="s">
        <v>4547</v>
      </c>
      <c r="S72" s="4" t="s">
        <v>255</v>
      </c>
      <c r="T72" s="302">
        <f>IFERROR(IGA_BD[[#This Row],[Breakdown Time]]*IGA_BD[[#This Row],[Plant Equivalent Weightage]],"")</f>
        <v>0.20144927536231894</v>
      </c>
      <c r="U72" s="302"/>
      <c r="V72" s="302"/>
      <c r="W72">
        <v>1858</v>
      </c>
    </row>
    <row r="73" spans="1:23">
      <c r="A73" s="10">
        <f t="shared" si="1"/>
        <v>69</v>
      </c>
      <c r="B73" s="10">
        <f>YEAR(IGA_BD[[#This Row],[Date]])+IF(MONTH(IGA_BD[[#This Row],[Date]])&gt;=4,1,0)</f>
        <v>2026</v>
      </c>
      <c r="C73" s="10">
        <v>2025</v>
      </c>
      <c r="D73" s="10" t="s">
        <v>4478</v>
      </c>
      <c r="E73" s="309">
        <f>IGA_BD[[#This Row],[Date]]-DAY(IGA_BD[[#This Row],[Date]])+1</f>
        <v>45748</v>
      </c>
      <c r="F73" s="32">
        <v>45774</v>
      </c>
      <c r="G73" t="s">
        <v>90</v>
      </c>
      <c r="H73" s="4" t="str">
        <f>IFERROR(VLOOKUP(IGA_BD[[#This Row],[Affected Feeder ]],'Basic Data'!$A$3:$E$50,2,0),"")</f>
        <v>O2R1</v>
      </c>
      <c r="I73" s="4" t="str">
        <f>IFERROR(VLOOKUP(IGA_BD[[#This Row],[Affected Feeder ]],'Basic Data'!$A$3:$E$50,3,0),"")</f>
        <v>KSIPL</v>
      </c>
      <c r="J73" s="9">
        <f>IFERROR(VLOOKUP(IGA_BD[[#This Row],[Affected Feeder ]],'Basic Data'!$A$3:$E$50,5,0),"")</f>
        <v>4.3478260869565223E-2</v>
      </c>
      <c r="K73" t="s">
        <v>4546</v>
      </c>
      <c r="L73" s="35">
        <v>0.4548611111111111</v>
      </c>
      <c r="M73" s="35">
        <v>0.4548611111111111</v>
      </c>
      <c r="N73" s="35">
        <v>0.6479166666666667</v>
      </c>
      <c r="O73" s="6">
        <f>(IGA_BD[[#This Row],[Work Start TimeStamp]]-IGA_BD[[#This Row],[Fault Start TimeStamp]])*24</f>
        <v>0</v>
      </c>
      <c r="P73" s="6">
        <f>(IGA_BD[[#This Row],[Fault Clearance time]]-IGA_BD[[#This Row],[Work Start TimeStamp]])*24</f>
        <v>4.6333333333333346</v>
      </c>
      <c r="Q73" s="6">
        <f>(IGA_BD[[#This Row],[Fault Clearance time]]-IGA_BD[[#This Row],[Fault Start TimeStamp]])*24</f>
        <v>4.6333333333333346</v>
      </c>
      <c r="R73" t="s">
        <v>4547</v>
      </c>
      <c r="S73" s="4" t="s">
        <v>255</v>
      </c>
      <c r="T73" s="302">
        <f>IFERROR(IGA_BD[[#This Row],[Breakdown Time]]*IGA_BD[[#This Row],[Plant Equivalent Weightage]],"")</f>
        <v>0.20144927536231894</v>
      </c>
      <c r="U73" s="302"/>
      <c r="V73" s="302"/>
      <c r="W73">
        <v>1858</v>
      </c>
    </row>
    <row r="74" spans="1:23">
      <c r="A74" s="10">
        <f t="shared" si="1"/>
        <v>70</v>
      </c>
      <c r="B74" s="10">
        <f>YEAR(IGA_BD[[#This Row],[Date]])+IF(MONTH(IGA_BD[[#This Row],[Date]])&gt;=4,1,0)</f>
        <v>2026</v>
      </c>
      <c r="C74" s="10">
        <v>2025</v>
      </c>
      <c r="D74" s="10" t="s">
        <v>4478</v>
      </c>
      <c r="E74" s="309">
        <f>IGA_BD[[#This Row],[Date]]-DAY(IGA_BD[[#This Row],[Date]])+1</f>
        <v>45748</v>
      </c>
      <c r="F74" s="32">
        <v>45774</v>
      </c>
      <c r="G74" t="s">
        <v>566</v>
      </c>
      <c r="H74" s="4">
        <f>IFERROR(VLOOKUP(IGA_BD[[#This Row],[Affected Feeder ]],'Basic Data'!$A$3:$E$50,2,0),"")</f>
        <v>0</v>
      </c>
      <c r="I74" s="4">
        <f>IFERROR(VLOOKUP(IGA_BD[[#This Row],[Affected Feeder ]],'Basic Data'!$A$3:$E$50,3,0),"")</f>
        <v>0</v>
      </c>
      <c r="J74" s="9">
        <f>IFERROR(VLOOKUP(IGA_BD[[#This Row],[Affected Feeder ]],'Basic Data'!$A$3:$E$50,5,0),"")</f>
        <v>0.5</v>
      </c>
      <c r="K74" t="s">
        <v>4544</v>
      </c>
      <c r="L74" s="35">
        <v>0.6479166666666667</v>
      </c>
      <c r="M74" s="35">
        <v>0.6479166666666667</v>
      </c>
      <c r="N74" s="35">
        <v>0.6694444444444444</v>
      </c>
      <c r="O74" s="6">
        <f>(IGA_BD[[#This Row],[Work Start TimeStamp]]-IGA_BD[[#This Row],[Fault Start TimeStamp]])*24</f>
        <v>0</v>
      </c>
      <c r="P74" s="6">
        <f>(IGA_BD[[#This Row],[Fault Clearance time]]-IGA_BD[[#This Row],[Work Start TimeStamp]])*24</f>
        <v>0.51666666666666483</v>
      </c>
      <c r="Q74" s="6">
        <f>(IGA_BD[[#This Row],[Fault Clearance time]]-IGA_BD[[#This Row],[Fault Start TimeStamp]])*24</f>
        <v>0.51666666666666483</v>
      </c>
      <c r="R74" t="s">
        <v>4574</v>
      </c>
      <c r="S74" s="4" t="s">
        <v>255</v>
      </c>
      <c r="T74" s="302">
        <f>IFERROR(IGA_BD[[#This Row],[Breakdown Time]]*IGA_BD[[#This Row],[Plant Equivalent Weightage]],"")</f>
        <v>0.25833333333333242</v>
      </c>
      <c r="U74" s="302"/>
      <c r="V74" s="302"/>
      <c r="W74">
        <v>2279</v>
      </c>
    </row>
    <row r="75" spans="1:23">
      <c r="A75" s="10">
        <f t="shared" si="1"/>
        <v>71</v>
      </c>
      <c r="B75" s="10">
        <f>YEAR(IGA_BD[[#This Row],[Date]])+IF(MONTH(IGA_BD[[#This Row],[Date]])&gt;=4,1,0)</f>
        <v>2026</v>
      </c>
      <c r="C75" s="10">
        <v>2025</v>
      </c>
      <c r="D75" s="10" t="s">
        <v>4478</v>
      </c>
      <c r="E75" s="309">
        <f>IGA_BD[[#This Row],[Date]]-DAY(IGA_BD[[#This Row],[Date]])+1</f>
        <v>45748</v>
      </c>
      <c r="F75" s="32">
        <v>45775</v>
      </c>
      <c r="G75" t="s">
        <v>566</v>
      </c>
      <c r="H75" s="4">
        <f>IFERROR(VLOOKUP(IGA_BD[[#This Row],[Affected Feeder ]],'Basic Data'!$A$3:$E$50,2,0),"")</f>
        <v>0</v>
      </c>
      <c r="I75" s="4">
        <f>IFERROR(VLOOKUP(IGA_BD[[#This Row],[Affected Feeder ]],'Basic Data'!$A$3:$E$50,3,0),"")</f>
        <v>0</v>
      </c>
      <c r="J75" s="9">
        <f>IFERROR(VLOOKUP(IGA_BD[[#This Row],[Affected Feeder ]],'Basic Data'!$A$3:$E$50,5,0),"")</f>
        <v>0.5</v>
      </c>
      <c r="K75" t="s">
        <v>4543</v>
      </c>
      <c r="L75" s="35">
        <v>0.40277777777777779</v>
      </c>
      <c r="M75" s="35">
        <v>0.40277777777777779</v>
      </c>
      <c r="N75" s="35">
        <v>0.43055555555555558</v>
      </c>
      <c r="O75" s="6">
        <f>(IGA_BD[[#This Row],[Work Start TimeStamp]]-IGA_BD[[#This Row],[Fault Start TimeStamp]])*24</f>
        <v>0</v>
      </c>
      <c r="P75" s="6">
        <f>(IGA_BD[[#This Row],[Fault Clearance time]]-IGA_BD[[#This Row],[Work Start TimeStamp]])*24</f>
        <v>0.66666666666666696</v>
      </c>
      <c r="Q75" s="6">
        <f>(IGA_BD[[#This Row],[Fault Clearance time]]-IGA_BD[[#This Row],[Fault Start TimeStamp]])*24</f>
        <v>0.66666666666666696</v>
      </c>
      <c r="R75" t="s">
        <v>4571</v>
      </c>
      <c r="S75" s="4" t="s">
        <v>255</v>
      </c>
      <c r="T75" s="302">
        <f>IFERROR(IGA_BD[[#This Row],[Breakdown Time]]*IGA_BD[[#This Row],[Plant Equivalent Weightage]],"")</f>
        <v>0.33333333333333348</v>
      </c>
      <c r="U75" s="302"/>
      <c r="V75" s="302"/>
      <c r="W75">
        <v>631</v>
      </c>
    </row>
    <row r="76" spans="1:23">
      <c r="A76" s="10">
        <f t="shared" si="1"/>
        <v>72</v>
      </c>
      <c r="B76" s="10">
        <f>YEAR(IGA_BD[[#This Row],[Date]])+IF(MONTH(IGA_BD[[#This Row],[Date]])&gt;=4,1,0)</f>
        <v>2026</v>
      </c>
      <c r="C76" s="10">
        <v>2025</v>
      </c>
      <c r="D76" s="10" t="s">
        <v>4478</v>
      </c>
      <c r="E76" s="309">
        <f>IGA_BD[[#This Row],[Date]]-DAY(IGA_BD[[#This Row],[Date]])+1</f>
        <v>45748</v>
      </c>
      <c r="F76" s="32">
        <v>45775</v>
      </c>
      <c r="G76" t="s">
        <v>85</v>
      </c>
      <c r="H76" s="4" t="str">
        <f>IFERROR(VLOOKUP(IGA_BD[[#This Row],[Affected Feeder ]],'Basic Data'!$A$3:$E$50,2,0),"")</f>
        <v>O2R1</v>
      </c>
      <c r="I76" s="4" t="str">
        <f>IFERROR(VLOOKUP(IGA_BD[[#This Row],[Affected Feeder ]],'Basic Data'!$A$3:$E$50,3,0),"")</f>
        <v>KSIPL</v>
      </c>
      <c r="J76" s="9">
        <f>IFERROR(VLOOKUP(IGA_BD[[#This Row],[Affected Feeder ]],'Basic Data'!$A$3:$E$50,5,0),"")</f>
        <v>4.3478260869565223E-2</v>
      </c>
      <c r="K76" t="s">
        <v>4546</v>
      </c>
      <c r="L76" s="35">
        <v>0.43055555555555558</v>
      </c>
      <c r="M76" s="35">
        <v>0.43055555555555558</v>
      </c>
      <c r="N76" s="35">
        <v>0.6118055555555556</v>
      </c>
      <c r="O76" s="6">
        <f>(IGA_BD[[#This Row],[Work Start TimeStamp]]-IGA_BD[[#This Row],[Fault Start TimeStamp]])*24</f>
        <v>0</v>
      </c>
      <c r="P76" s="6">
        <f>(IGA_BD[[#This Row],[Fault Clearance time]]-IGA_BD[[#This Row],[Work Start TimeStamp]])*24</f>
        <v>4.3500000000000005</v>
      </c>
      <c r="Q76" s="6">
        <f>(IGA_BD[[#This Row],[Fault Clearance time]]-IGA_BD[[#This Row],[Fault Start TimeStamp]])*24</f>
        <v>4.3500000000000005</v>
      </c>
      <c r="R76" t="s">
        <v>4557</v>
      </c>
      <c r="S76" s="4" t="s">
        <v>255</v>
      </c>
      <c r="T76" s="302">
        <f>IFERROR(IGA_BD[[#This Row],[Breakdown Time]]*IGA_BD[[#This Row],[Plant Equivalent Weightage]],"")</f>
        <v>0.18913043478260874</v>
      </c>
      <c r="U76" s="302"/>
      <c r="V76" s="302"/>
      <c r="W76">
        <v>374</v>
      </c>
    </row>
    <row r="77" spans="1:23">
      <c r="A77" s="10">
        <f t="shared" si="1"/>
        <v>73</v>
      </c>
      <c r="B77" s="10">
        <f>YEAR(IGA_BD[[#This Row],[Date]])+IF(MONTH(IGA_BD[[#This Row],[Date]])&gt;=4,1,0)</f>
        <v>2026</v>
      </c>
      <c r="C77" s="10">
        <v>2025</v>
      </c>
      <c r="D77" s="10" t="s">
        <v>4478</v>
      </c>
      <c r="E77" s="309">
        <f>IGA_BD[[#This Row],[Date]]-DAY(IGA_BD[[#This Row],[Date]])+1</f>
        <v>45748</v>
      </c>
      <c r="F77" s="32">
        <v>45775</v>
      </c>
      <c r="G77" t="s">
        <v>76</v>
      </c>
      <c r="H77" s="4" t="str">
        <f>IFERROR(VLOOKUP(IGA_BD[[#This Row],[Affected Feeder ]],'Basic Data'!$A$3:$E$50,2,0),"")</f>
        <v>O2R1</v>
      </c>
      <c r="I77" s="4" t="str">
        <f>IFERROR(VLOOKUP(IGA_BD[[#This Row],[Affected Feeder ]],'Basic Data'!$A$3:$E$50,3,0),"")</f>
        <v>KSIPL</v>
      </c>
      <c r="J77" s="9">
        <f>IFERROR(VLOOKUP(IGA_BD[[#This Row],[Affected Feeder ]],'Basic Data'!$A$3:$E$50,5,0),"")</f>
        <v>4.3478260869565223E-2</v>
      </c>
      <c r="K77" t="s">
        <v>4546</v>
      </c>
      <c r="L77" s="35">
        <v>0.43055555555555558</v>
      </c>
      <c r="M77" s="35">
        <v>0.43055555555555558</v>
      </c>
      <c r="N77" s="35">
        <v>0.6118055555555556</v>
      </c>
      <c r="O77" s="6">
        <f>(IGA_BD[[#This Row],[Work Start TimeStamp]]-IGA_BD[[#This Row],[Fault Start TimeStamp]])*24</f>
        <v>0</v>
      </c>
      <c r="P77" s="6">
        <f>(IGA_BD[[#This Row],[Fault Clearance time]]-IGA_BD[[#This Row],[Work Start TimeStamp]])*24</f>
        <v>4.3500000000000005</v>
      </c>
      <c r="Q77" s="6">
        <f>(IGA_BD[[#This Row],[Fault Clearance time]]-IGA_BD[[#This Row],[Fault Start TimeStamp]])*24</f>
        <v>4.3500000000000005</v>
      </c>
      <c r="R77" t="s">
        <v>4557</v>
      </c>
      <c r="S77" s="4" t="s">
        <v>255</v>
      </c>
      <c r="T77" s="302">
        <f>IFERROR(IGA_BD[[#This Row],[Breakdown Time]]*IGA_BD[[#This Row],[Plant Equivalent Weightage]],"")</f>
        <v>0.18913043478260874</v>
      </c>
      <c r="U77" s="302"/>
      <c r="V77" s="302"/>
      <c r="W77">
        <v>374</v>
      </c>
    </row>
    <row r="78" spans="1:23">
      <c r="A78" s="10">
        <f t="shared" si="1"/>
        <v>74</v>
      </c>
      <c r="B78" s="10">
        <f>YEAR(IGA_BD[[#This Row],[Date]])+IF(MONTH(IGA_BD[[#This Row],[Date]])&gt;=4,1,0)</f>
        <v>2026</v>
      </c>
      <c r="C78" s="10">
        <v>2025</v>
      </c>
      <c r="D78" s="10" t="s">
        <v>4478</v>
      </c>
      <c r="E78" s="309">
        <f>IGA_BD[[#This Row],[Date]]-DAY(IGA_BD[[#This Row],[Date]])+1</f>
        <v>45748</v>
      </c>
      <c r="F78" s="32">
        <v>45775</v>
      </c>
      <c r="G78" t="s">
        <v>90</v>
      </c>
      <c r="H78" s="4" t="str">
        <f>IFERROR(VLOOKUP(IGA_BD[[#This Row],[Affected Feeder ]],'Basic Data'!$A$3:$E$50,2,0),"")</f>
        <v>O2R1</v>
      </c>
      <c r="I78" s="4" t="str">
        <f>IFERROR(VLOOKUP(IGA_BD[[#This Row],[Affected Feeder ]],'Basic Data'!$A$3:$E$50,3,0),"")</f>
        <v>KSIPL</v>
      </c>
      <c r="J78" s="9">
        <f>IFERROR(VLOOKUP(IGA_BD[[#This Row],[Affected Feeder ]],'Basic Data'!$A$3:$E$50,5,0),"")</f>
        <v>4.3478260869565223E-2</v>
      </c>
      <c r="K78" t="s">
        <v>4546</v>
      </c>
      <c r="L78" s="35">
        <v>0.43055555555555558</v>
      </c>
      <c r="M78" s="35">
        <v>0.43055555555555558</v>
      </c>
      <c r="N78" s="35">
        <v>0.6118055555555556</v>
      </c>
      <c r="O78" s="6">
        <f>(IGA_BD[[#This Row],[Work Start TimeStamp]]-IGA_BD[[#This Row],[Fault Start TimeStamp]])*24</f>
        <v>0</v>
      </c>
      <c r="P78" s="6">
        <f>(IGA_BD[[#This Row],[Fault Clearance time]]-IGA_BD[[#This Row],[Work Start TimeStamp]])*24</f>
        <v>4.3500000000000005</v>
      </c>
      <c r="Q78" s="6">
        <f>(IGA_BD[[#This Row],[Fault Clearance time]]-IGA_BD[[#This Row],[Fault Start TimeStamp]])*24</f>
        <v>4.3500000000000005</v>
      </c>
      <c r="R78" t="s">
        <v>4557</v>
      </c>
      <c r="S78" s="4" t="s">
        <v>255</v>
      </c>
      <c r="T78" s="302">
        <f>IFERROR(IGA_BD[[#This Row],[Breakdown Time]]*IGA_BD[[#This Row],[Plant Equivalent Weightage]],"")</f>
        <v>0.18913043478260874</v>
      </c>
      <c r="U78" s="302"/>
      <c r="V78" s="302"/>
      <c r="W78">
        <v>374</v>
      </c>
    </row>
    <row r="79" spans="1:23">
      <c r="A79" s="10">
        <f t="shared" si="1"/>
        <v>75</v>
      </c>
      <c r="B79" s="10">
        <f>YEAR(IGA_BD[[#This Row],[Date]])+IF(MONTH(IGA_BD[[#This Row],[Date]])&gt;=4,1,0)</f>
        <v>2026</v>
      </c>
      <c r="C79" s="10">
        <v>2025</v>
      </c>
      <c r="D79" s="10" t="s">
        <v>4478</v>
      </c>
      <c r="E79" s="309">
        <f>IGA_BD[[#This Row],[Date]]-DAY(IGA_BD[[#This Row],[Date]])+1</f>
        <v>45748</v>
      </c>
      <c r="F79" s="32">
        <v>45775</v>
      </c>
      <c r="G79" t="s">
        <v>566</v>
      </c>
      <c r="H79" s="4">
        <f>IFERROR(VLOOKUP(IGA_BD[[#This Row],[Affected Feeder ]],'Basic Data'!$A$3:$E$50,2,0),"")</f>
        <v>0</v>
      </c>
      <c r="I79" s="4">
        <f>IFERROR(VLOOKUP(IGA_BD[[#This Row],[Affected Feeder ]],'Basic Data'!$A$3:$E$50,3,0),"")</f>
        <v>0</v>
      </c>
      <c r="J79" s="9">
        <f>IFERROR(VLOOKUP(IGA_BD[[#This Row],[Affected Feeder ]],'Basic Data'!$A$3:$E$50,5,0),"")</f>
        <v>0.5</v>
      </c>
      <c r="K79" t="s">
        <v>4554</v>
      </c>
      <c r="L79" s="35">
        <v>0.6118055555555556</v>
      </c>
      <c r="M79" s="35">
        <v>0.6118055555555556</v>
      </c>
      <c r="N79" s="35">
        <v>0.6430555555555556</v>
      </c>
      <c r="O79" s="6">
        <f>(IGA_BD[[#This Row],[Work Start TimeStamp]]-IGA_BD[[#This Row],[Fault Start TimeStamp]])*24</f>
        <v>0</v>
      </c>
      <c r="P79" s="6">
        <f>(IGA_BD[[#This Row],[Fault Clearance time]]-IGA_BD[[#This Row],[Work Start TimeStamp]])*24</f>
        <v>0.75</v>
      </c>
      <c r="Q79" s="6">
        <f>(IGA_BD[[#This Row],[Fault Clearance time]]-IGA_BD[[#This Row],[Fault Start TimeStamp]])*24</f>
        <v>0.75</v>
      </c>
      <c r="R79" t="s">
        <v>4574</v>
      </c>
      <c r="S79" s="4" t="s">
        <v>255</v>
      </c>
      <c r="T79" s="302">
        <f>IFERROR(IGA_BD[[#This Row],[Breakdown Time]]*IGA_BD[[#This Row],[Plant Equivalent Weightage]],"")</f>
        <v>0.375</v>
      </c>
      <c r="U79" s="302"/>
      <c r="V79" s="302"/>
      <c r="W79">
        <v>662</v>
      </c>
    </row>
    <row r="80" spans="1:23">
      <c r="A80" s="10">
        <f t="shared" si="1"/>
        <v>76</v>
      </c>
      <c r="B80" s="10">
        <f>YEAR(IGA_BD[[#This Row],[Date]])+IF(MONTH(IGA_BD[[#This Row],[Date]])&gt;=4,1,0)</f>
        <v>2026</v>
      </c>
      <c r="C80" s="10">
        <v>2025</v>
      </c>
      <c r="D80" s="10" t="s">
        <v>4478</v>
      </c>
      <c r="E80" s="309">
        <f>IGA_BD[[#This Row],[Date]]-DAY(IGA_BD[[#This Row],[Date]])+1</f>
        <v>45748</v>
      </c>
      <c r="F80" s="32">
        <v>45775</v>
      </c>
      <c r="G80" t="s">
        <v>86</v>
      </c>
      <c r="H80" s="4" t="str">
        <f>IFERROR(VLOOKUP(IGA_BD[[#This Row],[Affected Feeder ]],'Basic Data'!$A$3:$E$50,2,0),"")</f>
        <v>O2R1</v>
      </c>
      <c r="I80" s="4" t="str">
        <f>IFERROR(VLOOKUP(IGA_BD[[#This Row],[Affected Feeder ]],'Basic Data'!$A$3:$E$50,3,0),"")</f>
        <v>KSIPL</v>
      </c>
      <c r="J80" s="9">
        <f>IFERROR(VLOOKUP(IGA_BD[[#This Row],[Affected Feeder ]],'Basic Data'!$A$3:$E$50,5,0),"")</f>
        <v>4.3478260869565223E-2</v>
      </c>
      <c r="K80" t="s">
        <v>4555</v>
      </c>
      <c r="L80" s="35">
        <v>0.6430555555555556</v>
      </c>
      <c r="M80" s="35">
        <v>0.6430555555555556</v>
      </c>
      <c r="N80" s="35">
        <v>0.68958333333333333</v>
      </c>
      <c r="O80" s="6">
        <f>(IGA_BD[[#This Row],[Work Start TimeStamp]]-IGA_BD[[#This Row],[Fault Start TimeStamp]])*24</f>
        <v>0</v>
      </c>
      <c r="P80" s="6">
        <f>(IGA_BD[[#This Row],[Fault Clearance time]]-IGA_BD[[#This Row],[Work Start TimeStamp]])*24</f>
        <v>1.1166666666666654</v>
      </c>
      <c r="Q80" s="6">
        <f>(IGA_BD[[#This Row],[Fault Clearance time]]-IGA_BD[[#This Row],[Fault Start TimeStamp]])*24</f>
        <v>1.1166666666666654</v>
      </c>
      <c r="R80" t="s">
        <v>4558</v>
      </c>
      <c r="S80" s="4" t="s">
        <v>255</v>
      </c>
      <c r="T80" s="302">
        <f>IFERROR(IGA_BD[[#This Row],[Breakdown Time]]*IGA_BD[[#This Row],[Plant Equivalent Weightage]],"")</f>
        <v>4.8550724637681106E-2</v>
      </c>
      <c r="U80" s="302"/>
      <c r="V80" s="302"/>
      <c r="W80">
        <v>96</v>
      </c>
    </row>
    <row r="81" spans="1:23">
      <c r="A81" s="10">
        <f t="shared" si="1"/>
        <v>77</v>
      </c>
      <c r="B81" s="10">
        <f>YEAR(IGA_BD[[#This Row],[Date]])+IF(MONTH(IGA_BD[[#This Row],[Date]])&gt;=4,1,0)</f>
        <v>2026</v>
      </c>
      <c r="C81" s="10">
        <v>2025</v>
      </c>
      <c r="D81" s="10" t="s">
        <v>4478</v>
      </c>
      <c r="E81" s="309">
        <f>IGA_BD[[#This Row],[Date]]-DAY(IGA_BD[[#This Row],[Date]])+1</f>
        <v>45748</v>
      </c>
      <c r="F81" s="32">
        <v>45775</v>
      </c>
      <c r="G81" t="s">
        <v>566</v>
      </c>
      <c r="H81" s="4">
        <f>IFERROR(VLOOKUP(IGA_BD[[#This Row],[Affected Feeder ]],'Basic Data'!$A$3:$E$50,2,0),"")</f>
        <v>0</v>
      </c>
      <c r="I81" s="4">
        <f>IFERROR(VLOOKUP(IGA_BD[[#This Row],[Affected Feeder ]],'Basic Data'!$A$3:$E$50,3,0),"")</f>
        <v>0</v>
      </c>
      <c r="J81" s="9">
        <f>IFERROR(VLOOKUP(IGA_BD[[#This Row],[Affected Feeder ]],'Basic Data'!$A$3:$E$50,5,0),"")</f>
        <v>0.5</v>
      </c>
      <c r="K81" t="s">
        <v>4556</v>
      </c>
      <c r="L81" s="35">
        <v>0.68958333333333333</v>
      </c>
      <c r="M81" s="35">
        <v>0.68958333333333333</v>
      </c>
      <c r="N81" s="35">
        <v>0.71875</v>
      </c>
      <c r="O81" s="6">
        <f>(IGA_BD[[#This Row],[Work Start TimeStamp]]-IGA_BD[[#This Row],[Fault Start TimeStamp]])*24</f>
        <v>0</v>
      </c>
      <c r="P81" s="6">
        <f>(IGA_BD[[#This Row],[Fault Clearance time]]-IGA_BD[[#This Row],[Work Start TimeStamp]])*24</f>
        <v>0.70000000000000018</v>
      </c>
      <c r="Q81" s="6">
        <f>(IGA_BD[[#This Row],[Fault Clearance time]]-IGA_BD[[#This Row],[Fault Start TimeStamp]])*24</f>
        <v>0.70000000000000018</v>
      </c>
      <c r="R81" t="s">
        <v>4576</v>
      </c>
      <c r="S81" s="4" t="s">
        <v>255</v>
      </c>
      <c r="T81" s="302">
        <f>IFERROR(IGA_BD[[#This Row],[Breakdown Time]]*IGA_BD[[#This Row],[Plant Equivalent Weightage]],"")</f>
        <v>0.35000000000000009</v>
      </c>
      <c r="U81" s="302"/>
      <c r="V81" s="302"/>
      <c r="W81">
        <v>662</v>
      </c>
    </row>
    <row r="82" spans="1:23">
      <c r="A82" s="10">
        <f t="shared" si="1"/>
        <v>78</v>
      </c>
      <c r="B82" s="10">
        <f>YEAR(IGA_BD[[#This Row],[Date]])+IF(MONTH(IGA_BD[[#This Row],[Date]])&gt;=4,1,0)</f>
        <v>2026</v>
      </c>
      <c r="C82" s="10">
        <v>2025</v>
      </c>
      <c r="D82" s="10" t="s">
        <v>4478</v>
      </c>
      <c r="E82" s="309">
        <f>IGA_BD[[#This Row],[Date]]-DAY(IGA_BD[[#This Row],[Date]])+1</f>
        <v>45748</v>
      </c>
      <c r="F82" s="32">
        <v>45776</v>
      </c>
      <c r="G82" t="s">
        <v>566</v>
      </c>
      <c r="H82" s="4">
        <f>IFERROR(VLOOKUP(IGA_BD[[#This Row],[Affected Feeder ]],'Basic Data'!$A$3:$E$50,2,0),"")</f>
        <v>0</v>
      </c>
      <c r="I82" s="4">
        <f>IFERROR(VLOOKUP(IGA_BD[[#This Row],[Affected Feeder ]],'Basic Data'!$A$3:$E$50,3,0),"")</f>
        <v>0</v>
      </c>
      <c r="J82" s="9">
        <f>IFERROR(VLOOKUP(IGA_BD[[#This Row],[Affected Feeder ]],'Basic Data'!$A$3:$E$50,5,0),"")</f>
        <v>0.5</v>
      </c>
      <c r="K82" s="327" t="s">
        <v>4560</v>
      </c>
      <c r="L82" s="48">
        <v>0.4201388888888889</v>
      </c>
      <c r="M82" s="35">
        <v>0.4201388888888889</v>
      </c>
      <c r="N82" s="35">
        <v>0.44444444444444442</v>
      </c>
      <c r="O82" s="6">
        <f>(IGA_BD[[#This Row],[Work Start TimeStamp]]-IGA_BD[[#This Row],[Fault Start TimeStamp]])*24</f>
        <v>0</v>
      </c>
      <c r="P82" s="6">
        <f>(IGA_BD[[#This Row],[Fault Clearance time]]-IGA_BD[[#This Row],[Work Start TimeStamp]])*24</f>
        <v>0.58333333333333259</v>
      </c>
      <c r="Q82" s="6">
        <f>(IGA_BD[[#This Row],[Fault Clearance time]]-IGA_BD[[#This Row],[Fault Start TimeStamp]])*24</f>
        <v>0.58333333333333259</v>
      </c>
      <c r="R82" s="332" t="s">
        <v>4571</v>
      </c>
      <c r="S82" s="4" t="s">
        <v>255</v>
      </c>
      <c r="T82" s="302">
        <f>IFERROR(IGA_BD[[#This Row],[Breakdown Time]]*IGA_BD[[#This Row],[Plant Equivalent Weightage]],"")</f>
        <v>0.2916666666666663</v>
      </c>
      <c r="U82" s="302"/>
      <c r="V82" s="302"/>
      <c r="W82">
        <v>2239</v>
      </c>
    </row>
    <row r="83" spans="1:23">
      <c r="A83" s="10">
        <f t="shared" si="1"/>
        <v>79</v>
      </c>
      <c r="B83" s="10">
        <f>YEAR(IGA_BD[[#This Row],[Date]])+IF(MONTH(IGA_BD[[#This Row],[Date]])&gt;=4,1,0)</f>
        <v>2026</v>
      </c>
      <c r="C83" s="10">
        <v>2025</v>
      </c>
      <c r="D83" s="10" t="s">
        <v>4478</v>
      </c>
      <c r="E83" s="309">
        <f>IGA_BD[[#This Row],[Date]]-DAY(IGA_BD[[#This Row],[Date]])+1</f>
        <v>45748</v>
      </c>
      <c r="F83" s="32">
        <v>45776</v>
      </c>
      <c r="G83" t="s">
        <v>95</v>
      </c>
      <c r="H83" s="4" t="str">
        <f>IFERROR(VLOOKUP(IGA_BD[[#This Row],[Affected Feeder ]],'Basic Data'!$A$3:$E$50,2,0),"")</f>
        <v>O2R1</v>
      </c>
      <c r="I83" s="4" t="str">
        <f>IFERROR(VLOOKUP(IGA_BD[[#This Row],[Affected Feeder ]],'Basic Data'!$A$3:$E$50,3,0),"")</f>
        <v>KSIPL</v>
      </c>
      <c r="J83" s="9">
        <f>IFERROR(VLOOKUP(IGA_BD[[#This Row],[Affected Feeder ]],'Basic Data'!$A$3:$E$50,5,0),"")</f>
        <v>4.3478260869565223E-2</v>
      </c>
      <c r="K83" s="327" t="s">
        <v>4559</v>
      </c>
      <c r="L83" s="35">
        <v>0.44444444444444442</v>
      </c>
      <c r="M83" s="35">
        <v>0.44444444444444442</v>
      </c>
      <c r="N83" s="35">
        <v>0.66805555555555551</v>
      </c>
      <c r="O83" s="6">
        <f>(IGA_BD[[#This Row],[Work Start TimeStamp]]-IGA_BD[[#This Row],[Fault Start TimeStamp]])*24</f>
        <v>0</v>
      </c>
      <c r="P83" s="6">
        <f>(IGA_BD[[#This Row],[Fault Clearance time]]-IGA_BD[[#This Row],[Work Start TimeStamp]])*24</f>
        <v>5.3666666666666663</v>
      </c>
      <c r="Q83" s="6">
        <f>(IGA_BD[[#This Row],[Fault Clearance time]]-IGA_BD[[#This Row],[Fault Start TimeStamp]])*24</f>
        <v>5.3666666666666663</v>
      </c>
      <c r="R83" s="327" t="s">
        <v>4561</v>
      </c>
      <c r="S83" s="4" t="s">
        <v>255</v>
      </c>
      <c r="T83" s="302">
        <f>IFERROR(IGA_BD[[#This Row],[Breakdown Time]]*IGA_BD[[#This Row],[Plant Equivalent Weightage]],"")</f>
        <v>0.23333333333333334</v>
      </c>
      <c r="U83" s="302"/>
      <c r="V83" s="302"/>
      <c r="W83">
        <v>1873</v>
      </c>
    </row>
    <row r="84" spans="1:23">
      <c r="A84" s="10">
        <f t="shared" si="1"/>
        <v>80</v>
      </c>
      <c r="B84" s="10">
        <f>YEAR(IGA_BD[[#This Row],[Date]])+IF(MONTH(IGA_BD[[#This Row],[Date]])&gt;=4,1,0)</f>
        <v>2026</v>
      </c>
      <c r="C84" s="10">
        <v>2025</v>
      </c>
      <c r="D84" s="10" t="s">
        <v>4478</v>
      </c>
      <c r="E84" s="309">
        <f>IGA_BD[[#This Row],[Date]]-DAY(IGA_BD[[#This Row],[Date]])+1</f>
        <v>45748</v>
      </c>
      <c r="F84" s="32">
        <v>45776</v>
      </c>
      <c r="G84" t="s">
        <v>566</v>
      </c>
      <c r="H84" s="4">
        <f>IFERROR(VLOOKUP(IGA_BD[[#This Row],[Affected Feeder ]],'Basic Data'!$A$3:$E$50,2,0),"")</f>
        <v>0</v>
      </c>
      <c r="I84" s="4">
        <f>IFERROR(VLOOKUP(IGA_BD[[#This Row],[Affected Feeder ]],'Basic Data'!$A$3:$E$50,3,0),"")</f>
        <v>0</v>
      </c>
      <c r="J84" s="9">
        <f>IFERROR(VLOOKUP(IGA_BD[[#This Row],[Affected Feeder ]],'Basic Data'!$A$3:$E$50,5,0),"")</f>
        <v>0.5</v>
      </c>
      <c r="K84" t="s">
        <v>4562</v>
      </c>
      <c r="L84" s="35">
        <v>0.66805555555555551</v>
      </c>
      <c r="M84" s="35">
        <v>0.66805555555555551</v>
      </c>
      <c r="N84" s="35">
        <v>0.68888888888888888</v>
      </c>
      <c r="O84" s="6">
        <f>(IGA_BD[[#This Row],[Work Start TimeStamp]]-IGA_BD[[#This Row],[Fault Start TimeStamp]])*24</f>
        <v>0</v>
      </c>
      <c r="P84" s="6">
        <f>(IGA_BD[[#This Row],[Fault Clearance time]]-IGA_BD[[#This Row],[Work Start TimeStamp]])*24</f>
        <v>0.50000000000000089</v>
      </c>
      <c r="Q84" s="6">
        <f>(IGA_BD[[#This Row],[Fault Clearance time]]-IGA_BD[[#This Row],[Fault Start TimeStamp]])*24</f>
        <v>0.50000000000000089</v>
      </c>
      <c r="R84" s="327" t="s">
        <v>4504</v>
      </c>
      <c r="S84" s="4" t="s">
        <v>255</v>
      </c>
      <c r="T84" s="302">
        <f>IFERROR(IGA_BD[[#This Row],[Breakdown Time]]*IGA_BD[[#This Row],[Plant Equivalent Weightage]],"")</f>
        <v>0.25000000000000044</v>
      </c>
      <c r="U84" s="302"/>
      <c r="V84" s="302"/>
      <c r="W84">
        <v>1920</v>
      </c>
    </row>
    <row r="85" spans="1:23">
      <c r="A85" s="10">
        <f t="shared" si="1"/>
        <v>81</v>
      </c>
      <c r="B85" s="10">
        <f>YEAR(IGA_BD[[#This Row],[Date]])+IF(MONTH(IGA_BD[[#This Row],[Date]])&gt;=4,1,0)</f>
        <v>2026</v>
      </c>
      <c r="C85" s="10">
        <v>2025</v>
      </c>
      <c r="D85" s="10" t="s">
        <v>4478</v>
      </c>
      <c r="E85" s="309">
        <f>IGA_BD[[#This Row],[Date]]-DAY(IGA_BD[[#This Row],[Date]])+1</f>
        <v>45778</v>
      </c>
      <c r="F85" s="32">
        <v>45780</v>
      </c>
      <c r="G85" t="s">
        <v>390</v>
      </c>
      <c r="H85" s="4">
        <f>IFERROR(VLOOKUP(IGA_BD[[#This Row],[Affected Feeder ]],'Basic Data'!$A$3:$E$50,2,0),"")</f>
        <v>0</v>
      </c>
      <c r="I85" s="4">
        <f>IFERROR(VLOOKUP(IGA_BD[[#This Row],[Affected Feeder ]],'Basic Data'!$A$3:$E$50,3,0),"")</f>
        <v>0</v>
      </c>
      <c r="J85" s="9">
        <f>IFERROR(VLOOKUP(IGA_BD[[#This Row],[Affected Feeder ]],'Basic Data'!$A$3:$E$50,5,0),"")</f>
        <v>0.5</v>
      </c>
      <c r="K85" t="s">
        <v>388</v>
      </c>
      <c r="L85" s="35">
        <v>0.69444444444444442</v>
      </c>
      <c r="M85" s="35">
        <v>0.69444444444444442</v>
      </c>
      <c r="N85" s="35">
        <v>0.7</v>
      </c>
      <c r="O85" s="6">
        <f>(IGA_BD[[#This Row],[Work Start TimeStamp]]-IGA_BD[[#This Row],[Fault Start TimeStamp]])*24</f>
        <v>0</v>
      </c>
      <c r="P85" s="6">
        <f>(IGA_BD[[#This Row],[Fault Clearance time]]-IGA_BD[[#This Row],[Work Start TimeStamp]])*24</f>
        <v>0.13333333333333286</v>
      </c>
      <c r="Q85" s="6">
        <f>(IGA_BD[[#This Row],[Fault Clearance time]]-IGA_BD[[#This Row],[Fault Start TimeStamp]])*24</f>
        <v>0.13333333333333286</v>
      </c>
      <c r="R85" t="s">
        <v>4298</v>
      </c>
      <c r="S85" s="4" t="s">
        <v>255</v>
      </c>
      <c r="T85" s="302">
        <f>IFERROR(IGA_BD[[#This Row],[Breakdown Time]]*IGA_BD[[#This Row],[Plant Equivalent Weightage]],"")</f>
        <v>6.666666666666643E-2</v>
      </c>
      <c r="U85" s="302"/>
      <c r="V85" s="302"/>
      <c r="W85">
        <v>689</v>
      </c>
    </row>
    <row r="86" spans="1:23">
      <c r="A86" s="10">
        <f t="shared" si="1"/>
        <v>82</v>
      </c>
      <c r="B86" s="10">
        <f>YEAR(IGA_BD[[#This Row],[Date]])+IF(MONTH(IGA_BD[[#This Row],[Date]])&gt;=4,1,0)</f>
        <v>2026</v>
      </c>
      <c r="C86" s="10">
        <v>2025</v>
      </c>
      <c r="D86" s="10" t="s">
        <v>4478</v>
      </c>
      <c r="E86" s="309">
        <f>IGA_BD[[#This Row],[Date]]-DAY(IGA_BD[[#This Row],[Date]])+1</f>
        <v>45778</v>
      </c>
      <c r="F86" s="32">
        <v>45781</v>
      </c>
      <c r="G86" t="s">
        <v>390</v>
      </c>
      <c r="H86" s="4">
        <f>IFERROR(VLOOKUP(IGA_BD[[#This Row],[Affected Feeder ]],'Basic Data'!$A$3:$E$50,2,0),"")</f>
        <v>0</v>
      </c>
      <c r="I86" s="4">
        <f>IFERROR(VLOOKUP(IGA_BD[[#This Row],[Affected Feeder ]],'Basic Data'!$A$3:$E$50,3,0),"")</f>
        <v>0</v>
      </c>
      <c r="J86" s="9">
        <f>IFERROR(VLOOKUP(IGA_BD[[#This Row],[Affected Feeder ]],'Basic Data'!$A$3:$E$50,5,0),"")</f>
        <v>0.5</v>
      </c>
      <c r="K86" t="s">
        <v>388</v>
      </c>
      <c r="L86" s="35">
        <v>0.12430555555555556</v>
      </c>
      <c r="M86" s="35">
        <v>0.12430555555555556</v>
      </c>
      <c r="N86" s="35">
        <v>0.1423611111111111</v>
      </c>
      <c r="O86" s="6">
        <f>(IGA_BD[[#This Row],[Work Start TimeStamp]]-IGA_BD[[#This Row],[Fault Start TimeStamp]])*24</f>
        <v>0</v>
      </c>
      <c r="P86" s="6">
        <f>(IGA_BD[[#This Row],[Fault Clearance time]]-IGA_BD[[#This Row],[Work Start TimeStamp]])*24</f>
        <v>0.43333333333333313</v>
      </c>
      <c r="Q86" s="6">
        <f>(IGA_BD[[#This Row],[Fault Clearance time]]-IGA_BD[[#This Row],[Fault Start TimeStamp]])*24</f>
        <v>0.43333333333333313</v>
      </c>
      <c r="R86" t="s">
        <v>4298</v>
      </c>
      <c r="S86" s="4" t="s">
        <v>255</v>
      </c>
      <c r="T86" s="302">
        <f>IFERROR(IGA_BD[[#This Row],[Breakdown Time]]*IGA_BD[[#This Row],[Plant Equivalent Weightage]],"")</f>
        <v>0.21666666666666656</v>
      </c>
      <c r="U86" s="302"/>
      <c r="V86" s="302"/>
      <c r="W86">
        <v>2723</v>
      </c>
    </row>
    <row r="87" spans="1:23">
      <c r="A87" s="10">
        <f t="shared" si="1"/>
        <v>83</v>
      </c>
      <c r="B87" s="10">
        <f>YEAR(IGA_BD[[#This Row],[Date]])+IF(MONTH(IGA_BD[[#This Row],[Date]])&gt;=4,1,0)</f>
        <v>2026</v>
      </c>
      <c r="C87" s="10">
        <v>2025</v>
      </c>
      <c r="D87" s="10" t="s">
        <v>4478</v>
      </c>
      <c r="E87" s="309">
        <f>IGA_BD[[#This Row],[Date]]-DAY(IGA_BD[[#This Row],[Date]])+1</f>
        <v>45778</v>
      </c>
      <c r="F87" s="32">
        <v>45781</v>
      </c>
      <c r="G87" t="s">
        <v>566</v>
      </c>
      <c r="H87" s="4">
        <f>IFERROR(VLOOKUP(IGA_BD[[#This Row],[Affected Feeder ]],'Basic Data'!$A$3:$E$50,2,0),"")</f>
        <v>0</v>
      </c>
      <c r="I87" s="4">
        <f>IFERROR(VLOOKUP(IGA_BD[[#This Row],[Affected Feeder ]],'Basic Data'!$A$3:$E$50,3,0),"")</f>
        <v>0</v>
      </c>
      <c r="J87" s="9">
        <f>IFERROR(VLOOKUP(IGA_BD[[#This Row],[Affected Feeder ]],'Basic Data'!$A$3:$E$50,5,0),"")</f>
        <v>0.5</v>
      </c>
      <c r="K87" t="s">
        <v>388</v>
      </c>
      <c r="L87" s="35">
        <v>0.57777777777777772</v>
      </c>
      <c r="M87" s="35">
        <v>0.57777777777777772</v>
      </c>
      <c r="N87" s="35">
        <v>0.58263888888888893</v>
      </c>
      <c r="O87" s="6">
        <f>(IGA_BD[[#This Row],[Work Start TimeStamp]]-IGA_BD[[#This Row],[Fault Start TimeStamp]])*24</f>
        <v>0</v>
      </c>
      <c r="P87" s="6">
        <f>(IGA_BD[[#This Row],[Fault Clearance time]]-IGA_BD[[#This Row],[Work Start TimeStamp]])*24</f>
        <v>0.11666666666666892</v>
      </c>
      <c r="Q87" s="6">
        <f>(IGA_BD[[#This Row],[Fault Clearance time]]-IGA_BD[[#This Row],[Fault Start TimeStamp]])*24</f>
        <v>0.11666666666666892</v>
      </c>
      <c r="R87" t="s">
        <v>4298</v>
      </c>
      <c r="S87" s="4" t="s">
        <v>255</v>
      </c>
      <c r="T87" s="302">
        <f>IFERROR(IGA_BD[[#This Row],[Breakdown Time]]*IGA_BD[[#This Row],[Plant Equivalent Weightage]],"")</f>
        <v>5.8333333333334458E-2</v>
      </c>
      <c r="U87" s="302"/>
      <c r="V87" s="302"/>
      <c r="W87">
        <v>672</v>
      </c>
    </row>
    <row r="88" spans="1:23">
      <c r="A88" s="10">
        <f t="shared" si="1"/>
        <v>84</v>
      </c>
      <c r="B88" s="10">
        <f>YEAR(IGA_BD[[#This Row],[Date]])+IF(MONTH(IGA_BD[[#This Row],[Date]])&gt;=4,1,0)</f>
        <v>2026</v>
      </c>
      <c r="C88" s="10">
        <v>2025</v>
      </c>
      <c r="D88" s="10" t="s">
        <v>4478</v>
      </c>
      <c r="E88" s="309">
        <f>IGA_BD[[#This Row],[Date]]-DAY(IGA_BD[[#This Row],[Date]])+1</f>
        <v>45778</v>
      </c>
      <c r="F88" s="32">
        <v>45786</v>
      </c>
      <c r="G88" t="s">
        <v>391</v>
      </c>
      <c r="H88" s="4">
        <f>IFERROR(VLOOKUP(IGA_BD[[#This Row],[Affected Feeder ]],'Basic Data'!$A$3:$E$50,2,0),"")</f>
        <v>0</v>
      </c>
      <c r="I88" s="4">
        <f>IFERROR(VLOOKUP(IGA_BD[[#This Row],[Affected Feeder ]],'Basic Data'!$A$3:$E$50,3,0),"")</f>
        <v>0</v>
      </c>
      <c r="J88" s="9">
        <f>IFERROR(VLOOKUP(IGA_BD[[#This Row],[Affected Feeder ]],'Basic Data'!$A$3:$E$50,5,0),"")</f>
        <v>1</v>
      </c>
      <c r="K88" t="s">
        <v>4589</v>
      </c>
      <c r="L88" s="35">
        <v>0.78819444444444442</v>
      </c>
      <c r="M88" s="35">
        <v>0.78819444444444442</v>
      </c>
      <c r="N88" s="35">
        <v>0.99930555555555556</v>
      </c>
      <c r="O88" s="6">
        <f>(IGA_BD[[#This Row],[Work Start TimeStamp]]-IGA_BD[[#This Row],[Fault Start TimeStamp]])*24</f>
        <v>0</v>
      </c>
      <c r="P88" s="6">
        <f>(IGA_BD[[#This Row],[Fault Clearance time]]-IGA_BD[[#This Row],[Work Start TimeStamp]])*24</f>
        <v>5.0666666666666673</v>
      </c>
      <c r="Q88" s="6">
        <f>(IGA_BD[[#This Row],[Fault Clearance time]]-IGA_BD[[#This Row],[Fault Start TimeStamp]])*24</f>
        <v>5.0666666666666673</v>
      </c>
      <c r="R88" s="38" t="s">
        <v>4577</v>
      </c>
      <c r="S88" s="4" t="s">
        <v>270</v>
      </c>
      <c r="T88" s="302">
        <f>IFERROR(IGA_BD[[#This Row],[Breakdown Time]]*IGA_BD[[#This Row],[Plant Equivalent Weightage]],"")</f>
        <v>5.0666666666666673</v>
      </c>
      <c r="U88" s="302"/>
      <c r="V88" s="302"/>
      <c r="W88">
        <v>21326</v>
      </c>
    </row>
    <row r="89" spans="1:23">
      <c r="A89" s="10">
        <f t="shared" si="1"/>
        <v>85</v>
      </c>
      <c r="B89" s="10">
        <f>YEAR(IGA_BD[[#This Row],[Date]])+IF(MONTH(IGA_BD[[#This Row],[Date]])&gt;=4,1,0)</f>
        <v>2026</v>
      </c>
      <c r="C89" s="10">
        <v>2025</v>
      </c>
      <c r="D89" s="10" t="s">
        <v>4478</v>
      </c>
      <c r="E89" s="309">
        <f>IGA_BD[[#This Row],[Date]]-DAY(IGA_BD[[#This Row],[Date]])+1</f>
        <v>45778</v>
      </c>
      <c r="F89" s="32">
        <v>45787</v>
      </c>
      <c r="G89" t="s">
        <v>391</v>
      </c>
      <c r="H89" s="4">
        <f>IFERROR(VLOOKUP(IGA_BD[[#This Row],[Affected Feeder ]],'Basic Data'!$A$3:$E$50,2,0),"")</f>
        <v>0</v>
      </c>
      <c r="I89" s="4">
        <f>IFERROR(VLOOKUP(IGA_BD[[#This Row],[Affected Feeder ]],'Basic Data'!$A$3:$E$50,3,0),"")</f>
        <v>0</v>
      </c>
      <c r="J89" s="9">
        <f>IFERROR(VLOOKUP(IGA_BD[[#This Row],[Affected Feeder ]],'Basic Data'!$A$3:$E$50,5,0),"")</f>
        <v>1</v>
      </c>
      <c r="K89" t="s">
        <v>4590</v>
      </c>
      <c r="L89" s="35">
        <v>0</v>
      </c>
      <c r="M89" s="35">
        <v>0</v>
      </c>
      <c r="N89" s="35">
        <v>7.4999999999999997E-2</v>
      </c>
      <c r="O89" s="6">
        <f>(IGA_BD[[#This Row],[Work Start TimeStamp]]-IGA_BD[[#This Row],[Fault Start TimeStamp]])*24</f>
        <v>0</v>
      </c>
      <c r="P89" s="6">
        <f>(IGA_BD[[#This Row],[Fault Clearance time]]-IGA_BD[[#This Row],[Work Start TimeStamp]])*24</f>
        <v>1.7999999999999998</v>
      </c>
      <c r="Q89" s="6">
        <f>(IGA_BD[[#This Row],[Fault Clearance time]]-IGA_BD[[#This Row],[Fault Start TimeStamp]])*24</f>
        <v>1.7999999999999998</v>
      </c>
      <c r="R89" s="38" t="s">
        <v>4578</v>
      </c>
      <c r="S89" s="4" t="s">
        <v>255</v>
      </c>
      <c r="T89" s="333">
        <f>IFERROR(IGA_BD[[#This Row],[Breakdown Time]]*IGA_BD[[#This Row],[Plant Equivalent Weightage]],"")</f>
        <v>1.7999999999999998</v>
      </c>
      <c r="U89" s="333"/>
      <c r="V89" s="333"/>
      <c r="W89">
        <v>11344</v>
      </c>
    </row>
    <row r="90" spans="1:23">
      <c r="A90" s="10">
        <f t="shared" si="1"/>
        <v>86</v>
      </c>
      <c r="B90" s="10">
        <f>YEAR(IGA_BD[[#This Row],[Date]])+IF(MONTH(IGA_BD[[#This Row],[Date]])&gt;=4,1,0)</f>
        <v>2026</v>
      </c>
      <c r="C90" s="10">
        <v>2025</v>
      </c>
      <c r="D90" s="10" t="s">
        <v>4478</v>
      </c>
      <c r="E90" s="309">
        <f>IGA_BD[[#This Row],[Date]]-DAY(IGA_BD[[#This Row],[Date]])+1</f>
        <v>45778</v>
      </c>
      <c r="F90" s="32">
        <v>45789</v>
      </c>
      <c r="G90" t="s">
        <v>396</v>
      </c>
      <c r="H90" s="4">
        <f>IFERROR(VLOOKUP(IGA_BD[[#This Row],[Affected Feeder ]],'Basic Data'!$A$3:$E$50,2,0),"")</f>
        <v>0</v>
      </c>
      <c r="I90" s="4">
        <f>IFERROR(VLOOKUP(IGA_BD[[#This Row],[Affected Feeder ]],'Basic Data'!$A$3:$E$50,3,0),"")</f>
        <v>0</v>
      </c>
      <c r="J90" s="9">
        <f>IFERROR(VLOOKUP(IGA_BD[[#This Row],[Affected Feeder ]],'Basic Data'!$A$3:$E$50,5,0),"")</f>
        <v>1</v>
      </c>
      <c r="K90" t="s">
        <v>4586</v>
      </c>
      <c r="L90" s="35">
        <v>0.80902777777777779</v>
      </c>
      <c r="M90" s="35">
        <v>0.80902777777777779</v>
      </c>
      <c r="N90" s="35">
        <v>0.99930555555555556</v>
      </c>
      <c r="O90" s="6">
        <f>(IGA_BD[[#This Row],[Work Start TimeStamp]]-IGA_BD[[#This Row],[Fault Start TimeStamp]])*24</f>
        <v>0</v>
      </c>
      <c r="P90" s="6">
        <f>(IGA_BD[[#This Row],[Fault Clearance time]]-IGA_BD[[#This Row],[Work Start TimeStamp]])*24</f>
        <v>4.5666666666666664</v>
      </c>
      <c r="Q90" s="6">
        <f>(IGA_BD[[#This Row],[Fault Clearance time]]-IGA_BD[[#This Row],[Fault Start TimeStamp]])*24</f>
        <v>4.5666666666666664</v>
      </c>
      <c r="R90" s="38" t="s">
        <v>4577</v>
      </c>
      <c r="S90" s="4" t="s">
        <v>270</v>
      </c>
      <c r="T90" s="302">
        <f>IFERROR(IGA_BD[[#This Row],[Breakdown Time]]*IGA_BD[[#This Row],[Plant Equivalent Weightage]],"")</f>
        <v>4.5666666666666664</v>
      </c>
      <c r="U90" s="302"/>
      <c r="V90" s="302"/>
      <c r="W90">
        <v>28697</v>
      </c>
    </row>
    <row r="91" spans="1:23">
      <c r="A91" s="10">
        <f t="shared" si="1"/>
        <v>87</v>
      </c>
      <c r="B91" s="10">
        <f>YEAR(IGA_BD[[#This Row],[Date]])+IF(MONTH(IGA_BD[[#This Row],[Date]])&gt;=4,1,0)</f>
        <v>2026</v>
      </c>
      <c r="C91" s="10">
        <v>2025</v>
      </c>
      <c r="D91" s="10" t="s">
        <v>4478</v>
      </c>
      <c r="E91" s="309">
        <f>IGA_BD[[#This Row],[Date]]-DAY(IGA_BD[[#This Row],[Date]])+1</f>
        <v>45778</v>
      </c>
      <c r="F91" s="32">
        <v>45790</v>
      </c>
      <c r="G91" t="s">
        <v>396</v>
      </c>
      <c r="H91" s="4">
        <f>IFERROR(VLOOKUP(IGA_BD[[#This Row],[Affected Feeder ]],'Basic Data'!$A$3:$E$50,2,0),"")</f>
        <v>0</v>
      </c>
      <c r="I91" s="4">
        <f>IFERROR(VLOOKUP(IGA_BD[[#This Row],[Affected Feeder ]],'Basic Data'!$A$3:$E$50,3,0),"")</f>
        <v>0</v>
      </c>
      <c r="J91" s="9">
        <f>IFERROR(VLOOKUP(IGA_BD[[#This Row],[Affected Feeder ]],'Basic Data'!$A$3:$E$50,5,0),"")</f>
        <v>1</v>
      </c>
      <c r="K91" t="s">
        <v>4586</v>
      </c>
      <c r="L91" s="35">
        <v>0</v>
      </c>
      <c r="M91" s="35">
        <v>0</v>
      </c>
      <c r="N91" s="35">
        <v>5.5555555555555552E-2</v>
      </c>
      <c r="O91" s="6">
        <f>(IGA_BD[[#This Row],[Work Start TimeStamp]]-IGA_BD[[#This Row],[Fault Start TimeStamp]])*24</f>
        <v>0</v>
      </c>
      <c r="P91" s="6">
        <f>(IGA_BD[[#This Row],[Fault Clearance time]]-IGA_BD[[#This Row],[Work Start TimeStamp]])*24</f>
        <v>1.3333333333333333</v>
      </c>
      <c r="Q91" s="6">
        <f>(IGA_BD[[#This Row],[Fault Clearance time]]-IGA_BD[[#This Row],[Fault Start TimeStamp]])*24</f>
        <v>1.3333333333333333</v>
      </c>
      <c r="R91" s="38" t="s">
        <v>4587</v>
      </c>
      <c r="S91" s="4" t="s">
        <v>255</v>
      </c>
      <c r="T91" s="302">
        <f>IFERROR(IGA_BD[[#This Row],[Breakdown Time]]*IGA_BD[[#This Row],[Plant Equivalent Weightage]],"")</f>
        <v>1.3333333333333333</v>
      </c>
      <c r="U91" s="302"/>
      <c r="V91" s="302"/>
      <c r="W91">
        <v>5612</v>
      </c>
    </row>
    <row r="92" spans="1:23">
      <c r="A92" s="10">
        <f t="shared" si="1"/>
        <v>88</v>
      </c>
      <c r="B92" s="10">
        <f>YEAR(IGA_BD[[#This Row],[Date]])+IF(MONTH(IGA_BD[[#This Row],[Date]])&gt;=4,1,0)</f>
        <v>2026</v>
      </c>
      <c r="C92" s="10">
        <v>2025</v>
      </c>
      <c r="D92" s="10" t="s">
        <v>4478</v>
      </c>
      <c r="E92" s="309">
        <f>IGA_BD[[#This Row],[Date]]-DAY(IGA_BD[[#This Row],[Date]])+1</f>
        <v>45778</v>
      </c>
      <c r="F92" s="32">
        <v>45790</v>
      </c>
      <c r="G92" t="s">
        <v>396</v>
      </c>
      <c r="H92" s="4">
        <f>IFERROR(VLOOKUP(IGA_BD[[#This Row],[Affected Feeder ]],'Basic Data'!$A$3:$E$50,2,0),"")</f>
        <v>0</v>
      </c>
      <c r="I92" s="4">
        <f>IFERROR(VLOOKUP(IGA_BD[[#This Row],[Affected Feeder ]],'Basic Data'!$A$3:$E$50,3,0),"")</f>
        <v>0</v>
      </c>
      <c r="J92" s="9">
        <f>IFERROR(VLOOKUP(IGA_BD[[#This Row],[Affected Feeder ]],'Basic Data'!$A$3:$E$50,5,0),"")</f>
        <v>1</v>
      </c>
      <c r="K92" t="s">
        <v>4586</v>
      </c>
      <c r="L92" s="35">
        <v>0.76041666666666663</v>
      </c>
      <c r="M92" s="35">
        <v>0.76041666666666663</v>
      </c>
      <c r="N92" s="35">
        <v>0.99930555555555556</v>
      </c>
      <c r="O92" s="6">
        <f>(IGA_BD[[#This Row],[Work Start TimeStamp]]-IGA_BD[[#This Row],[Fault Start TimeStamp]])*24</f>
        <v>0</v>
      </c>
      <c r="P92" s="6">
        <f>(IGA_BD[[#This Row],[Fault Clearance time]]-IGA_BD[[#This Row],[Work Start TimeStamp]])*24</f>
        <v>5.7333333333333343</v>
      </c>
      <c r="Q92" s="6">
        <f>(IGA_BD[[#This Row],[Fault Clearance time]]-IGA_BD[[#This Row],[Fault Start TimeStamp]])*24</f>
        <v>5.7333333333333343</v>
      </c>
      <c r="R92" s="38" t="s">
        <v>4577</v>
      </c>
      <c r="S92" s="4" t="s">
        <v>270</v>
      </c>
      <c r="T92" s="302">
        <f>IFERROR(IGA_BD[[#This Row],[Breakdown Time]]*IGA_BD[[#This Row],[Plant Equivalent Weightage]],"")</f>
        <v>5.7333333333333343</v>
      </c>
      <c r="U92" s="302"/>
      <c r="V92" s="302"/>
      <c r="W92">
        <v>24132</v>
      </c>
    </row>
    <row r="93" spans="1:23">
      <c r="A93" s="10">
        <f t="shared" si="1"/>
        <v>89</v>
      </c>
      <c r="B93" s="10">
        <f>YEAR(IGA_BD[[#This Row],[Date]])+IF(MONTH(IGA_BD[[#This Row],[Date]])&gt;=4,1,0)</f>
        <v>2026</v>
      </c>
      <c r="C93" s="10">
        <v>2025</v>
      </c>
      <c r="D93" s="10" t="s">
        <v>4478</v>
      </c>
      <c r="E93" s="309">
        <f>IGA_BD[[#This Row],[Date]]-DAY(IGA_BD[[#This Row],[Date]])+1</f>
        <v>45778</v>
      </c>
      <c r="F93" s="32">
        <v>45791</v>
      </c>
      <c r="G93" t="s">
        <v>396</v>
      </c>
      <c r="H93" s="4">
        <f>IFERROR(VLOOKUP(IGA_BD[[#This Row],[Affected Feeder ]],'Basic Data'!$A$3:$E$50,2,0),"")</f>
        <v>0</v>
      </c>
      <c r="I93" s="4">
        <f>IFERROR(VLOOKUP(IGA_BD[[#This Row],[Affected Feeder ]],'Basic Data'!$A$3:$E$50,3,0),"")</f>
        <v>0</v>
      </c>
      <c r="J93" s="9">
        <f>IFERROR(VLOOKUP(IGA_BD[[#This Row],[Affected Feeder ]],'Basic Data'!$A$3:$E$50,5,0),"")</f>
        <v>1</v>
      </c>
      <c r="K93" t="s">
        <v>4586</v>
      </c>
      <c r="L93" s="35">
        <v>0</v>
      </c>
      <c r="M93" s="35">
        <v>0</v>
      </c>
      <c r="N93" s="35">
        <v>0.23819444444444443</v>
      </c>
      <c r="O93" s="6">
        <f>(IGA_BD[[#This Row],[Work Start TimeStamp]]-IGA_BD[[#This Row],[Fault Start TimeStamp]])*24</f>
        <v>0</v>
      </c>
      <c r="P93" s="6">
        <f>(IGA_BD[[#This Row],[Fault Clearance time]]-IGA_BD[[#This Row],[Work Start TimeStamp]])*24</f>
        <v>5.7166666666666668</v>
      </c>
      <c r="Q93" s="6">
        <f>(IGA_BD[[#This Row],[Fault Clearance time]]-IGA_BD[[#This Row],[Fault Start TimeStamp]])*24</f>
        <v>5.7166666666666668</v>
      </c>
      <c r="R93" s="38" t="s">
        <v>4587</v>
      </c>
      <c r="S93" s="4" t="s">
        <v>255</v>
      </c>
      <c r="T93" s="302">
        <f>IFERROR(IGA_BD[[#This Row],[Breakdown Time]]*IGA_BD[[#This Row],[Plant Equivalent Weightage]],"")</f>
        <v>5.7166666666666668</v>
      </c>
      <c r="U93" s="302"/>
      <c r="V93" s="302"/>
      <c r="W93">
        <v>42693</v>
      </c>
    </row>
    <row r="94" spans="1:23">
      <c r="A94" s="10">
        <f t="shared" si="1"/>
        <v>90</v>
      </c>
      <c r="B94" s="10">
        <f>YEAR(IGA_BD[[#This Row],[Date]])+IF(MONTH(IGA_BD[[#This Row],[Date]])&gt;=4,1,0)</f>
        <v>2026</v>
      </c>
      <c r="C94" s="10">
        <v>2025</v>
      </c>
      <c r="D94" s="10" t="s">
        <v>4478</v>
      </c>
      <c r="E94" s="309">
        <f>IGA_BD[[#This Row],[Date]]-DAY(IGA_BD[[#This Row],[Date]])+1</f>
        <v>45778</v>
      </c>
      <c r="F94" s="32">
        <v>45795</v>
      </c>
      <c r="G94" t="s">
        <v>390</v>
      </c>
      <c r="H94" s="4">
        <f>IFERROR(VLOOKUP(IGA_BD[[#This Row],[Affected Feeder ]],'Basic Data'!$A$3:$E$50,2,0),"")</f>
        <v>0</v>
      </c>
      <c r="I94" s="4">
        <f>IFERROR(VLOOKUP(IGA_BD[[#This Row],[Affected Feeder ]],'Basic Data'!$A$3:$E$50,3,0),"")</f>
        <v>0</v>
      </c>
      <c r="J94" s="9">
        <f>IFERROR(VLOOKUP(IGA_BD[[#This Row],[Affected Feeder ]],'Basic Data'!$A$3:$E$50,5,0),"")</f>
        <v>0.5</v>
      </c>
      <c r="K94" t="s">
        <v>388</v>
      </c>
      <c r="L94" s="35">
        <v>4.1666666666666666E-3</v>
      </c>
      <c r="M94" s="35">
        <v>4.1666666666666666E-3</v>
      </c>
      <c r="N94" s="35">
        <v>2.0833333333333332E-2</v>
      </c>
      <c r="O94" s="6">
        <f>(IGA_BD[[#This Row],[Work Start TimeStamp]]-IGA_BD[[#This Row],[Fault Start TimeStamp]])*24</f>
        <v>0</v>
      </c>
      <c r="P94" s="6">
        <f>(IGA_BD[[#This Row],[Fault Clearance time]]-IGA_BD[[#This Row],[Work Start TimeStamp]])*24</f>
        <v>0.4</v>
      </c>
      <c r="Q94" s="6">
        <f>(IGA_BD[[#This Row],[Fault Clearance time]]-IGA_BD[[#This Row],[Fault Start TimeStamp]])*24</f>
        <v>0.4</v>
      </c>
      <c r="R94" t="s">
        <v>4298</v>
      </c>
      <c r="S94" s="4" t="s">
        <v>255</v>
      </c>
      <c r="T94" s="302">
        <f>IFERROR(IGA_BD[[#This Row],[Breakdown Time]]*IGA_BD[[#This Row],[Plant Equivalent Weightage]],"")</f>
        <v>0.2</v>
      </c>
      <c r="U94" s="302"/>
      <c r="V94" s="302"/>
      <c r="W94">
        <v>958</v>
      </c>
    </row>
    <row r="95" spans="1:23">
      <c r="A95" s="10">
        <f t="shared" si="1"/>
        <v>91</v>
      </c>
      <c r="B95" s="10">
        <f>YEAR(IGA_BD[[#This Row],[Date]])+IF(MONTH(IGA_BD[[#This Row],[Date]])&gt;=4,1,0)</f>
        <v>2026</v>
      </c>
      <c r="C95" s="10">
        <v>2025</v>
      </c>
      <c r="D95" s="10" t="s">
        <v>4478</v>
      </c>
      <c r="E95" s="309">
        <f>IGA_BD[[#This Row],[Date]]-DAY(IGA_BD[[#This Row],[Date]])+1</f>
        <v>45778</v>
      </c>
      <c r="F95" s="32">
        <v>45795</v>
      </c>
      <c r="G95" t="s">
        <v>566</v>
      </c>
      <c r="H95" s="4">
        <f>IFERROR(VLOOKUP(IGA_BD[[#This Row],[Affected Feeder ]],'Basic Data'!$A$3:$E$50,2,0),"")</f>
        <v>0</v>
      </c>
      <c r="I95" s="4">
        <f>IFERROR(VLOOKUP(IGA_BD[[#This Row],[Affected Feeder ]],'Basic Data'!$A$3:$E$50,3,0),"")</f>
        <v>0</v>
      </c>
      <c r="J95" s="9">
        <f>IFERROR(VLOOKUP(IGA_BD[[#This Row],[Affected Feeder ]],'Basic Data'!$A$3:$E$50,5,0),"")</f>
        <v>0.5</v>
      </c>
      <c r="K95" t="s">
        <v>389</v>
      </c>
      <c r="L95" s="35">
        <v>6.1805555555555558E-2</v>
      </c>
      <c r="M95" s="35">
        <v>6.1805555555555558E-2</v>
      </c>
      <c r="N95" s="35">
        <v>7.7777777777777779E-2</v>
      </c>
      <c r="O95" s="6">
        <f>(IGA_BD[[#This Row],[Work Start TimeStamp]]-IGA_BD[[#This Row],[Fault Start TimeStamp]])*24</f>
        <v>0</v>
      </c>
      <c r="P95" s="6">
        <f>(IGA_BD[[#This Row],[Fault Clearance time]]-IGA_BD[[#This Row],[Work Start TimeStamp]])*24</f>
        <v>0.3833333333333333</v>
      </c>
      <c r="Q95" s="6">
        <f>(IGA_BD[[#This Row],[Fault Clearance time]]-IGA_BD[[#This Row],[Fault Start TimeStamp]])*24</f>
        <v>0.3833333333333333</v>
      </c>
      <c r="R95" t="s">
        <v>4298</v>
      </c>
      <c r="S95" s="4" t="s">
        <v>255</v>
      </c>
      <c r="T95" s="302">
        <f>IFERROR(IGA_BD[[#This Row],[Breakdown Time]]*IGA_BD[[#This Row],[Plant Equivalent Weightage]],"")</f>
        <v>0.19166666666666665</v>
      </c>
      <c r="U95" s="302"/>
      <c r="V95" s="302"/>
      <c r="W95">
        <v>841</v>
      </c>
    </row>
    <row r="96" spans="1:23">
      <c r="A96" s="10">
        <f t="shared" si="1"/>
        <v>92</v>
      </c>
      <c r="B96" s="10">
        <f>YEAR(IGA_BD[[#This Row],[Date]])+IF(MONTH(IGA_BD[[#This Row],[Date]])&gt;=4,1,0)</f>
        <v>2026</v>
      </c>
      <c r="C96" s="10">
        <v>2025</v>
      </c>
      <c r="D96" s="10" t="s">
        <v>4478</v>
      </c>
      <c r="E96" s="309">
        <f>IGA_BD[[#This Row],[Date]]-DAY(IGA_BD[[#This Row],[Date]])+1</f>
        <v>45778</v>
      </c>
      <c r="F96" s="32">
        <v>45795</v>
      </c>
      <c r="G96" t="s">
        <v>390</v>
      </c>
      <c r="H96" s="4">
        <f>IFERROR(VLOOKUP(IGA_BD[[#This Row],[Affected Feeder ]],'Basic Data'!$A$3:$E$50,2,0),"")</f>
        <v>0</v>
      </c>
      <c r="I96" s="4">
        <f>IFERROR(VLOOKUP(IGA_BD[[#This Row],[Affected Feeder ]],'Basic Data'!$A$3:$E$50,3,0),"")</f>
        <v>0</v>
      </c>
      <c r="J96" s="9">
        <f>IFERROR(VLOOKUP(IGA_BD[[#This Row],[Affected Feeder ]],'Basic Data'!$A$3:$E$50,5,0),"")</f>
        <v>0.5</v>
      </c>
      <c r="K96" t="s">
        <v>388</v>
      </c>
      <c r="L96" s="35">
        <v>0.11388888888888889</v>
      </c>
      <c r="M96" s="35">
        <v>0.11388888888888889</v>
      </c>
      <c r="N96" s="35">
        <v>0.31944444444444442</v>
      </c>
      <c r="O96" s="6">
        <f>(IGA_BD[[#This Row],[Work Start TimeStamp]]-IGA_BD[[#This Row],[Fault Start TimeStamp]])*24</f>
        <v>0</v>
      </c>
      <c r="P96" s="6">
        <f>(IGA_BD[[#This Row],[Fault Clearance time]]-IGA_BD[[#This Row],[Work Start TimeStamp]])*24</f>
        <v>4.9333333333333336</v>
      </c>
      <c r="Q96" s="6">
        <f>(IGA_BD[[#This Row],[Fault Clearance time]]-IGA_BD[[#This Row],[Fault Start TimeStamp]])*24</f>
        <v>4.9333333333333336</v>
      </c>
      <c r="R96" t="s">
        <v>4580</v>
      </c>
      <c r="S96" s="4" t="s">
        <v>255</v>
      </c>
      <c r="T96" s="302">
        <f>IFERROR(IGA_BD[[#This Row],[Breakdown Time]]*IGA_BD[[#This Row],[Plant Equivalent Weightage]],"")</f>
        <v>2.4666666666666668</v>
      </c>
      <c r="U96" s="302"/>
      <c r="V96" s="302"/>
      <c r="W96">
        <v>11810</v>
      </c>
    </row>
    <row r="97" spans="1:23">
      <c r="A97" s="10">
        <f t="shared" si="1"/>
        <v>93</v>
      </c>
      <c r="B97" s="10">
        <f>YEAR(IGA_BD[[#This Row],[Date]])+IF(MONTH(IGA_BD[[#This Row],[Date]])&gt;=4,1,0)</f>
        <v>2026</v>
      </c>
      <c r="C97" s="10">
        <v>2025</v>
      </c>
      <c r="D97" s="10" t="s">
        <v>4478</v>
      </c>
      <c r="E97" s="309">
        <f>IGA_BD[[#This Row],[Date]]-DAY(IGA_BD[[#This Row],[Date]])+1</f>
        <v>45778</v>
      </c>
      <c r="F97" s="32">
        <v>45795</v>
      </c>
      <c r="G97" t="s">
        <v>566</v>
      </c>
      <c r="H97" s="4">
        <f>IFERROR(VLOOKUP(IGA_BD[[#This Row],[Affected Feeder ]],'Basic Data'!$A$3:$E$50,2,0),"")</f>
        <v>0</v>
      </c>
      <c r="I97" s="4">
        <f>IFERROR(VLOOKUP(IGA_BD[[#This Row],[Affected Feeder ]],'Basic Data'!$A$3:$E$50,3,0),"")</f>
        <v>0</v>
      </c>
      <c r="J97" s="9">
        <f>IFERROR(VLOOKUP(IGA_BD[[#This Row],[Affected Feeder ]],'Basic Data'!$A$3:$E$50,5,0),"")</f>
        <v>0.5</v>
      </c>
      <c r="K97" t="s">
        <v>4581</v>
      </c>
      <c r="L97" s="48">
        <v>0.28611111111111109</v>
      </c>
      <c r="M97" s="48">
        <v>0.28611111111111109</v>
      </c>
      <c r="N97" s="48">
        <v>0.31944444444444442</v>
      </c>
      <c r="O97" s="6">
        <f>(IGA_BD[[#This Row],[Work Start TimeStamp]]-IGA_BD[[#This Row],[Fault Start TimeStamp]])*24</f>
        <v>0</v>
      </c>
      <c r="P97" s="6">
        <f>(IGA_BD[[#This Row],[Fault Clearance time]]-IGA_BD[[#This Row],[Work Start TimeStamp]])*24</f>
        <v>0.79999999999999982</v>
      </c>
      <c r="Q97" s="6">
        <f>(IGA_BD[[#This Row],[Fault Clearance time]]-IGA_BD[[#This Row],[Fault Start TimeStamp]])*24</f>
        <v>0.79999999999999982</v>
      </c>
      <c r="R97" t="s">
        <v>4580</v>
      </c>
      <c r="S97" s="4" t="s">
        <v>255</v>
      </c>
      <c r="T97" s="333">
        <f>IFERROR(IGA_BD[[#This Row],[Breakdown Time]]*IGA_BD[[#This Row],[Plant Equivalent Weightage]],"")</f>
        <v>0.39999999999999991</v>
      </c>
      <c r="U97" s="333"/>
      <c r="V97" s="333"/>
      <c r="W97">
        <v>1756</v>
      </c>
    </row>
    <row r="98" spans="1:23">
      <c r="A98" s="10">
        <f t="shared" si="1"/>
        <v>94</v>
      </c>
      <c r="B98" s="10">
        <f>YEAR(IGA_BD[[#This Row],[Date]])+IF(MONTH(IGA_BD[[#This Row],[Date]])&gt;=4,1,0)</f>
        <v>2026</v>
      </c>
      <c r="C98" s="10">
        <v>2025</v>
      </c>
      <c r="D98" s="10" t="s">
        <v>4478</v>
      </c>
      <c r="E98" s="309">
        <f>IGA_BD[[#This Row],[Date]]-DAY(IGA_BD[[#This Row],[Date]])+1</f>
        <v>45778</v>
      </c>
      <c r="F98" s="32">
        <v>45796</v>
      </c>
      <c r="G98" t="s">
        <v>566</v>
      </c>
      <c r="H98" s="4">
        <f>IFERROR(VLOOKUP(IGA_BD[[#This Row],[Affected Feeder ]],'Basic Data'!$A$3:$E$50,2,0),"")</f>
        <v>0</v>
      </c>
      <c r="I98" s="4">
        <f>IFERROR(VLOOKUP(IGA_BD[[#This Row],[Affected Feeder ]],'Basic Data'!$A$3:$E$50,3,0),"")</f>
        <v>0</v>
      </c>
      <c r="J98" s="9">
        <f>IFERROR(VLOOKUP(IGA_BD[[#This Row],[Affected Feeder ]],'Basic Data'!$A$3:$E$50,5,0),"")</f>
        <v>0.5</v>
      </c>
      <c r="K98" t="s">
        <v>4318</v>
      </c>
      <c r="L98" s="35">
        <v>0.63611111111111107</v>
      </c>
      <c r="M98" s="35">
        <v>0.63611111111111107</v>
      </c>
      <c r="N98" s="35">
        <v>0.72083333333333333</v>
      </c>
      <c r="O98" s="6">
        <f>(IGA_BD[[#This Row],[Work Start TimeStamp]]-IGA_BD[[#This Row],[Fault Start TimeStamp]])*24</f>
        <v>0</v>
      </c>
      <c r="P98" s="6">
        <f>(IGA_BD[[#This Row],[Fault Clearance time]]-IGA_BD[[#This Row],[Work Start TimeStamp]])*24</f>
        <v>2.0333333333333341</v>
      </c>
      <c r="Q98" s="6">
        <f>(IGA_BD[[#This Row],[Fault Clearance time]]-IGA_BD[[#This Row],[Fault Start TimeStamp]])*24</f>
        <v>2.0333333333333341</v>
      </c>
      <c r="R98" t="s">
        <v>4583</v>
      </c>
      <c r="S98" s="4" t="s">
        <v>255</v>
      </c>
      <c r="T98" s="302">
        <f>IFERROR(IGA_BD[[#This Row],[Breakdown Time]]*IGA_BD[[#This Row],[Plant Equivalent Weightage]],"")</f>
        <v>1.0166666666666671</v>
      </c>
      <c r="U98" s="302"/>
      <c r="V98" s="302"/>
      <c r="W98">
        <v>604</v>
      </c>
    </row>
    <row r="99" spans="1:23">
      <c r="A99" s="10">
        <f t="shared" si="1"/>
        <v>95</v>
      </c>
      <c r="B99" s="10">
        <f>YEAR(IGA_BD[[#This Row],[Date]])+IF(MONTH(IGA_BD[[#This Row],[Date]])&gt;=4,1,0)</f>
        <v>2026</v>
      </c>
      <c r="C99" s="10">
        <v>2025</v>
      </c>
      <c r="D99" s="10" t="s">
        <v>4478</v>
      </c>
      <c r="E99" s="309">
        <f>IGA_BD[[#This Row],[Date]]-DAY(IGA_BD[[#This Row],[Date]])+1</f>
        <v>45778</v>
      </c>
      <c r="F99" s="32">
        <v>45796</v>
      </c>
      <c r="G99" t="s">
        <v>390</v>
      </c>
      <c r="H99" s="4">
        <f>IFERROR(VLOOKUP(IGA_BD[[#This Row],[Affected Feeder ]],'Basic Data'!$A$3:$E$50,2,0),"")</f>
        <v>0</v>
      </c>
      <c r="I99" s="4">
        <f>IFERROR(VLOOKUP(IGA_BD[[#This Row],[Affected Feeder ]],'Basic Data'!$A$3:$E$50,3,0),"")</f>
        <v>0</v>
      </c>
      <c r="J99" s="9">
        <f>IFERROR(VLOOKUP(IGA_BD[[#This Row],[Affected Feeder ]],'Basic Data'!$A$3:$E$50,5,0),"")</f>
        <v>0.5</v>
      </c>
      <c r="K99" t="s">
        <v>4582</v>
      </c>
      <c r="L99" s="35">
        <v>0.69444444444444442</v>
      </c>
      <c r="M99" s="35">
        <v>0.69444444444444442</v>
      </c>
      <c r="N99" s="35">
        <v>0.72083333333333333</v>
      </c>
      <c r="O99" s="6">
        <f>(IGA_BD[[#This Row],[Work Start TimeStamp]]-IGA_BD[[#This Row],[Fault Start TimeStamp]])*24</f>
        <v>0</v>
      </c>
      <c r="P99" s="6">
        <f>(IGA_BD[[#This Row],[Fault Clearance time]]-IGA_BD[[#This Row],[Work Start TimeStamp]])*24</f>
        <v>0.63333333333333375</v>
      </c>
      <c r="Q99" s="6">
        <f>(IGA_BD[[#This Row],[Fault Clearance time]]-IGA_BD[[#This Row],[Fault Start TimeStamp]])*24</f>
        <v>0.63333333333333375</v>
      </c>
      <c r="R99" t="s">
        <v>4583</v>
      </c>
      <c r="S99" s="4" t="s">
        <v>255</v>
      </c>
      <c r="T99" s="302">
        <f>IFERROR(IGA_BD[[#This Row],[Breakdown Time]]*IGA_BD[[#This Row],[Plant Equivalent Weightage]],"")</f>
        <v>0.31666666666666687</v>
      </c>
      <c r="U99" s="302"/>
      <c r="V99" s="302"/>
      <c r="W99">
        <v>205</v>
      </c>
    </row>
    <row r="100" spans="1:23">
      <c r="A100" s="10">
        <f t="shared" si="1"/>
        <v>96</v>
      </c>
      <c r="B100" s="10">
        <f>YEAR(IGA_BD[[#This Row],[Date]])+IF(MONTH(IGA_BD[[#This Row],[Date]])&gt;=4,1,0)</f>
        <v>2026</v>
      </c>
      <c r="C100" s="10">
        <v>2025</v>
      </c>
      <c r="D100" s="10" t="s">
        <v>4478</v>
      </c>
      <c r="E100" s="309">
        <f>IGA_BD[[#This Row],[Date]]-DAY(IGA_BD[[#This Row],[Date]])+1</f>
        <v>45778</v>
      </c>
      <c r="F100" s="32">
        <v>45796</v>
      </c>
      <c r="G100" t="s">
        <v>566</v>
      </c>
      <c r="H100" s="4">
        <f>IFERROR(VLOOKUP(IGA_BD[[#This Row],[Affected Feeder ]],'Basic Data'!$A$3:$E$50,2,0),"")</f>
        <v>0</v>
      </c>
      <c r="I100" s="4">
        <f>IFERROR(VLOOKUP(IGA_BD[[#This Row],[Affected Feeder ]],'Basic Data'!$A$3:$E$50,3,0),"")</f>
        <v>0</v>
      </c>
      <c r="J100" s="9">
        <f>IFERROR(VLOOKUP(IGA_BD[[#This Row],[Affected Feeder ]],'Basic Data'!$A$3:$E$50,5,0),"")</f>
        <v>0.5</v>
      </c>
      <c r="K100" t="s">
        <v>388</v>
      </c>
      <c r="L100" s="35">
        <v>0.72569444444444442</v>
      </c>
      <c r="M100" s="35">
        <v>0.72569444444444442</v>
      </c>
      <c r="N100" s="35">
        <v>0.80208333333333337</v>
      </c>
      <c r="O100" s="6">
        <f>(IGA_BD[[#This Row],[Work Start TimeStamp]]-IGA_BD[[#This Row],[Fault Start TimeStamp]])*24</f>
        <v>0</v>
      </c>
      <c r="P100" s="6">
        <f>(IGA_BD[[#This Row],[Fault Clearance time]]-IGA_BD[[#This Row],[Work Start TimeStamp]])*24</f>
        <v>1.8333333333333348</v>
      </c>
      <c r="Q100" s="6">
        <f>(IGA_BD[[#This Row],[Fault Clearance time]]-IGA_BD[[#This Row],[Fault Start TimeStamp]])*24</f>
        <v>1.8333333333333348</v>
      </c>
      <c r="R100" t="s">
        <v>4584</v>
      </c>
      <c r="S100" s="4" t="s">
        <v>255</v>
      </c>
      <c r="T100" s="302">
        <f>IFERROR(IGA_BD[[#This Row],[Breakdown Time]]*IGA_BD[[#This Row],[Plant Equivalent Weightage]],"")</f>
        <v>0.91666666666666741</v>
      </c>
      <c r="U100" s="302"/>
      <c r="V100" s="302"/>
      <c r="W100">
        <v>545</v>
      </c>
    </row>
    <row r="101" spans="1:23">
      <c r="A101" s="10">
        <f t="shared" si="1"/>
        <v>97</v>
      </c>
      <c r="B101" s="10">
        <f>YEAR(IGA_BD[[#This Row],[Date]])+IF(MONTH(IGA_BD[[#This Row],[Date]])&gt;=4,1,0)</f>
        <v>2026</v>
      </c>
      <c r="C101" s="10">
        <v>2025</v>
      </c>
      <c r="D101" s="10" t="s">
        <v>4478</v>
      </c>
      <c r="E101" s="309">
        <f>IGA_BD[[#This Row],[Date]]-DAY(IGA_BD[[#This Row],[Date]])+1</f>
        <v>45778</v>
      </c>
      <c r="F101" s="32">
        <v>45797</v>
      </c>
      <c r="G101" t="s">
        <v>566</v>
      </c>
      <c r="H101" s="4">
        <f>IFERROR(VLOOKUP(IGA_BD[[#This Row],[Affected Feeder ]],'Basic Data'!$A$3:$E$50,2,0),"")</f>
        <v>0</v>
      </c>
      <c r="I101" s="4">
        <f>IFERROR(VLOOKUP(IGA_BD[[#This Row],[Affected Feeder ]],'Basic Data'!$A$3:$E$50,3,0),"")</f>
        <v>0</v>
      </c>
      <c r="J101" s="9">
        <f>IFERROR(VLOOKUP(IGA_BD[[#This Row],[Affected Feeder ]],'Basic Data'!$A$3:$E$50,5,0),"")</f>
        <v>0.5</v>
      </c>
      <c r="K101" t="s">
        <v>388</v>
      </c>
      <c r="L101" s="35">
        <v>0.47013888888888888</v>
      </c>
      <c r="M101" s="35">
        <v>0.47013888888888888</v>
      </c>
      <c r="N101" s="35">
        <v>0.51388888888888884</v>
      </c>
      <c r="O101" s="6">
        <f>(IGA_BD[[#This Row],[Work Start TimeStamp]]-IGA_BD[[#This Row],[Fault Start TimeStamp]])*24</f>
        <v>0</v>
      </c>
      <c r="P101" s="6">
        <f>(IGA_BD[[#This Row],[Fault Clearance time]]-IGA_BD[[#This Row],[Work Start TimeStamp]])*24</f>
        <v>1.0499999999999989</v>
      </c>
      <c r="Q101" s="6">
        <f>(IGA_BD[[#This Row],[Fault Clearance time]]-IGA_BD[[#This Row],[Fault Start TimeStamp]])*24</f>
        <v>1.0499999999999989</v>
      </c>
      <c r="R101" t="s">
        <v>4584</v>
      </c>
      <c r="S101" s="4" t="s">
        <v>255</v>
      </c>
      <c r="T101" s="302">
        <f>IFERROR(IGA_BD[[#This Row],[Breakdown Time]]*IGA_BD[[#This Row],[Plant Equivalent Weightage]],"")</f>
        <v>0.52499999999999947</v>
      </c>
      <c r="U101" s="302"/>
      <c r="V101" s="302"/>
      <c r="W101">
        <v>778</v>
      </c>
    </row>
    <row r="102" spans="1:23">
      <c r="A102" s="10">
        <f t="shared" si="1"/>
        <v>98</v>
      </c>
      <c r="B102" s="10">
        <f>YEAR(IGA_BD[[#This Row],[Date]])+IF(MONTH(IGA_BD[[#This Row],[Date]])&gt;=4,1,0)</f>
        <v>2026</v>
      </c>
      <c r="C102" s="10">
        <v>2025</v>
      </c>
      <c r="D102" s="10" t="s">
        <v>4478</v>
      </c>
      <c r="E102" s="309">
        <f>IGA_BD[[#This Row],[Date]]-DAY(IGA_BD[[#This Row],[Date]])+1</f>
        <v>45778</v>
      </c>
      <c r="F102" s="32">
        <v>45797</v>
      </c>
      <c r="G102" t="s">
        <v>566</v>
      </c>
      <c r="H102" s="4">
        <f>IFERROR(VLOOKUP(IGA_BD[[#This Row],[Affected Feeder ]],'Basic Data'!$A$3:$E$50,2,0),"")</f>
        <v>0</v>
      </c>
      <c r="I102" s="4">
        <f>IFERROR(VLOOKUP(IGA_BD[[#This Row],[Affected Feeder ]],'Basic Data'!$A$3:$E$50,3,0),"")</f>
        <v>0</v>
      </c>
      <c r="J102" s="9">
        <f>IFERROR(VLOOKUP(IGA_BD[[#This Row],[Affected Feeder ]],'Basic Data'!$A$3:$E$50,5,0),"")</f>
        <v>0.5</v>
      </c>
      <c r="K102" t="s">
        <v>388</v>
      </c>
      <c r="L102" s="35">
        <v>0.62986111111111109</v>
      </c>
      <c r="M102" s="35">
        <v>0.62986111111111109</v>
      </c>
      <c r="N102" s="35">
        <v>0.68055555555555558</v>
      </c>
      <c r="O102" s="6">
        <f>(IGA_BD[[#This Row],[Work Start TimeStamp]]-IGA_BD[[#This Row],[Fault Start TimeStamp]])*24</f>
        <v>0</v>
      </c>
      <c r="P102" s="6">
        <f>(IGA_BD[[#This Row],[Fault Clearance time]]-IGA_BD[[#This Row],[Work Start TimeStamp]])*24</f>
        <v>1.2166666666666677</v>
      </c>
      <c r="Q102" s="6">
        <f>(IGA_BD[[#This Row],[Fault Clearance time]]-IGA_BD[[#This Row],[Fault Start TimeStamp]])*24</f>
        <v>1.2166666666666677</v>
      </c>
      <c r="R102" t="s">
        <v>4588</v>
      </c>
      <c r="S102" s="4" t="s">
        <v>255</v>
      </c>
      <c r="T102" s="302">
        <f>IFERROR(IGA_BD[[#This Row],[Breakdown Time]]*IGA_BD[[#This Row],[Plant Equivalent Weightage]],"")</f>
        <v>0.60833333333333384</v>
      </c>
      <c r="U102" s="302"/>
      <c r="V102" s="302"/>
      <c r="W102">
        <v>901</v>
      </c>
    </row>
    <row r="103" spans="1:23">
      <c r="A103" s="10">
        <f t="shared" si="1"/>
        <v>99</v>
      </c>
      <c r="B103" s="10">
        <f>YEAR(IGA_BD[[#This Row],[Date]])+IF(MONTH(IGA_BD[[#This Row],[Date]])&gt;=4,1,0)</f>
        <v>2026</v>
      </c>
      <c r="C103" s="10">
        <v>2025</v>
      </c>
      <c r="D103" s="10" t="s">
        <v>4478</v>
      </c>
      <c r="E103" s="309">
        <f>IGA_BD[[#This Row],[Date]]-DAY(IGA_BD[[#This Row],[Date]])+1</f>
        <v>45778</v>
      </c>
      <c r="F103" s="32">
        <v>45797</v>
      </c>
      <c r="G103" t="s">
        <v>566</v>
      </c>
      <c r="H103" s="4">
        <f>IFERROR(VLOOKUP(IGA_BD[[#This Row],[Affected Feeder ]],'Basic Data'!$A$3:$E$50,2,0),"")</f>
        <v>0</v>
      </c>
      <c r="I103" s="4">
        <f>IFERROR(VLOOKUP(IGA_BD[[#This Row],[Affected Feeder ]],'Basic Data'!$A$3:$E$50,3,0),"")</f>
        <v>0</v>
      </c>
      <c r="J103" s="9">
        <f>IFERROR(VLOOKUP(IGA_BD[[#This Row],[Affected Feeder ]],'Basic Data'!$A$3:$E$50,5,0),"")</f>
        <v>0.5</v>
      </c>
      <c r="K103" t="s">
        <v>388</v>
      </c>
      <c r="L103" s="35">
        <v>0.74305555555555558</v>
      </c>
      <c r="M103" s="35">
        <v>0.74305555555555558</v>
      </c>
      <c r="N103" s="35">
        <v>0.75</v>
      </c>
      <c r="O103" s="6">
        <f>(IGA_BD[[#This Row],[Work Start TimeStamp]]-IGA_BD[[#This Row],[Fault Start TimeStamp]])*24</f>
        <v>0</v>
      </c>
      <c r="P103" s="6">
        <f>(IGA_BD[[#This Row],[Fault Clearance time]]-IGA_BD[[#This Row],[Work Start TimeStamp]])*24</f>
        <v>0.16666666666666607</v>
      </c>
      <c r="Q103" s="6">
        <f>(IGA_BD[[#This Row],[Fault Clearance time]]-IGA_BD[[#This Row],[Fault Start TimeStamp]])*24</f>
        <v>0.16666666666666607</v>
      </c>
      <c r="R103" t="s">
        <v>4584</v>
      </c>
      <c r="S103" s="4" t="s">
        <v>255</v>
      </c>
      <c r="T103" s="302">
        <f>IFERROR(IGA_BD[[#This Row],[Breakdown Time]]*IGA_BD[[#This Row],[Plant Equivalent Weightage]],"")</f>
        <v>8.3333333333333037E-2</v>
      </c>
      <c r="U103" s="302"/>
      <c r="V103" s="302"/>
      <c r="W103">
        <v>123</v>
      </c>
    </row>
    <row r="104" spans="1:23">
      <c r="A104" s="10">
        <f t="shared" si="1"/>
        <v>100</v>
      </c>
      <c r="B104" s="10">
        <f>YEAR(IGA_BD[[#This Row],[Date]])+IF(MONTH(IGA_BD[[#This Row],[Date]])&gt;=4,1,0)</f>
        <v>2026</v>
      </c>
      <c r="C104" s="10">
        <v>2025</v>
      </c>
      <c r="D104" s="10" t="s">
        <v>4478</v>
      </c>
      <c r="E104" s="309">
        <f>IGA_BD[[#This Row],[Date]]-DAY(IGA_BD[[#This Row],[Date]])+1</f>
        <v>45778</v>
      </c>
      <c r="F104" s="32">
        <v>45799</v>
      </c>
      <c r="G104" t="s">
        <v>390</v>
      </c>
      <c r="H104" s="4">
        <f>IFERROR(VLOOKUP(IGA_BD[[#This Row],[Affected Feeder ]],'Basic Data'!$A$3:$E$50,2,0),"")</f>
        <v>0</v>
      </c>
      <c r="I104" s="4">
        <f>IFERROR(VLOOKUP(IGA_BD[[#This Row],[Affected Feeder ]],'Basic Data'!$A$3:$E$50,3,0),"")</f>
        <v>0</v>
      </c>
      <c r="J104" s="9">
        <f>IFERROR(VLOOKUP(IGA_BD[[#This Row],[Affected Feeder ]],'Basic Data'!$A$3:$E$50,5,0),"")</f>
        <v>0.5</v>
      </c>
      <c r="K104" t="s">
        <v>389</v>
      </c>
      <c r="L104" s="35">
        <v>0.64444444444444449</v>
      </c>
      <c r="M104" s="35">
        <v>0.64444444444444449</v>
      </c>
      <c r="N104" s="35">
        <v>0.64722222222222225</v>
      </c>
      <c r="O104" s="6">
        <f>(IGA_BD[[#This Row],[Work Start TimeStamp]]-IGA_BD[[#This Row],[Fault Start TimeStamp]])*24</f>
        <v>0</v>
      </c>
      <c r="P104" s="6">
        <f>(IGA_BD[[#This Row],[Fault Clearance time]]-IGA_BD[[#This Row],[Work Start TimeStamp]])*24</f>
        <v>6.666666666666643E-2</v>
      </c>
      <c r="Q104" s="6">
        <f>(IGA_BD[[#This Row],[Fault Clearance time]]-IGA_BD[[#This Row],[Fault Start TimeStamp]])*24</f>
        <v>6.666666666666643E-2</v>
      </c>
      <c r="R104" t="s">
        <v>4298</v>
      </c>
      <c r="S104" s="4" t="s">
        <v>255</v>
      </c>
      <c r="T104" s="302">
        <f>IFERROR(IGA_BD[[#This Row],[Breakdown Time]]*IGA_BD[[#This Row],[Plant Equivalent Weightage]],"")</f>
        <v>3.3333333333333215E-2</v>
      </c>
      <c r="U104" s="302"/>
      <c r="V104" s="302"/>
      <c r="W104">
        <v>1011</v>
      </c>
    </row>
    <row r="105" spans="1:23">
      <c r="A105" s="10">
        <f t="shared" si="1"/>
        <v>101</v>
      </c>
      <c r="B105" s="10">
        <f>YEAR(IGA_BD[[#This Row],[Date]])+IF(MONTH(IGA_BD[[#This Row],[Date]])&gt;=4,1,0)</f>
        <v>2026</v>
      </c>
      <c r="C105" s="10">
        <v>2025</v>
      </c>
      <c r="D105" s="10" t="s">
        <v>4478</v>
      </c>
      <c r="E105" s="309">
        <f>IGA_BD[[#This Row],[Date]]-DAY(IGA_BD[[#This Row],[Date]])+1</f>
        <v>45778</v>
      </c>
      <c r="F105" s="32">
        <v>45799</v>
      </c>
      <c r="G105" t="s">
        <v>390</v>
      </c>
      <c r="H105" s="4">
        <f>IFERROR(VLOOKUP(IGA_BD[[#This Row],[Affected Feeder ]],'Basic Data'!$A$3:$E$50,2,0),"")</f>
        <v>0</v>
      </c>
      <c r="I105" s="4">
        <f>IFERROR(VLOOKUP(IGA_BD[[#This Row],[Affected Feeder ]],'Basic Data'!$A$3:$E$50,3,0),"")</f>
        <v>0</v>
      </c>
      <c r="J105" s="9">
        <f>IFERROR(VLOOKUP(IGA_BD[[#This Row],[Affected Feeder ]],'Basic Data'!$A$3:$E$50,5,0),"")</f>
        <v>0.5</v>
      </c>
      <c r="K105" t="s">
        <v>389</v>
      </c>
      <c r="L105" s="35">
        <v>0.69861111111111107</v>
      </c>
      <c r="M105" s="35">
        <v>0.69861111111111107</v>
      </c>
      <c r="N105" s="35">
        <v>0.70486111111111116</v>
      </c>
      <c r="O105" s="6">
        <f>(IGA_BD[[#This Row],[Work Start TimeStamp]]-IGA_BD[[#This Row],[Fault Start TimeStamp]])*24</f>
        <v>0</v>
      </c>
      <c r="P105" s="6">
        <f>(IGA_BD[[#This Row],[Fault Clearance time]]-IGA_BD[[#This Row],[Work Start TimeStamp]])*24</f>
        <v>0.15000000000000213</v>
      </c>
      <c r="Q105" s="6">
        <f>(IGA_BD[[#This Row],[Fault Clearance time]]-IGA_BD[[#This Row],[Fault Start TimeStamp]])*24</f>
        <v>0.15000000000000213</v>
      </c>
      <c r="R105" t="s">
        <v>4298</v>
      </c>
      <c r="S105" s="4" t="s">
        <v>255</v>
      </c>
      <c r="T105" s="302">
        <f>IFERROR(IGA_BD[[#This Row],[Breakdown Time]]*IGA_BD[[#This Row],[Plant Equivalent Weightage]],"")</f>
        <v>7.5000000000001066E-2</v>
      </c>
      <c r="U105" s="302"/>
      <c r="V105" s="302"/>
      <c r="W105">
        <v>2276</v>
      </c>
    </row>
    <row r="106" spans="1:23">
      <c r="A106" s="10">
        <f t="shared" si="1"/>
        <v>102</v>
      </c>
      <c r="B106" s="10">
        <f>YEAR(IGA_BD[[#This Row],[Date]])+IF(MONTH(IGA_BD[[#This Row],[Date]])&gt;=4,1,0)</f>
        <v>2026</v>
      </c>
      <c r="C106" s="10">
        <v>2025</v>
      </c>
      <c r="D106" s="10" t="s">
        <v>4478</v>
      </c>
      <c r="E106" s="309">
        <f>IGA_BD[[#This Row],[Date]]-DAY(IGA_BD[[#This Row],[Date]])+1</f>
        <v>45778</v>
      </c>
      <c r="F106" s="32">
        <v>45799</v>
      </c>
      <c r="G106" t="s">
        <v>390</v>
      </c>
      <c r="H106" s="4">
        <f>IFERROR(VLOOKUP(IGA_BD[[#This Row],[Affected Feeder ]],'Basic Data'!$A$3:$E$50,2,0),"")</f>
        <v>0</v>
      </c>
      <c r="I106" s="4">
        <f>IFERROR(VLOOKUP(IGA_BD[[#This Row],[Affected Feeder ]],'Basic Data'!$A$3:$E$50,3,0),"")</f>
        <v>0</v>
      </c>
      <c r="J106" s="9">
        <f>IFERROR(VLOOKUP(IGA_BD[[#This Row],[Affected Feeder ]],'Basic Data'!$A$3:$E$50,5,0),"")</f>
        <v>0.5</v>
      </c>
      <c r="K106" t="s">
        <v>389</v>
      </c>
      <c r="L106" s="35">
        <v>0.71319444444444446</v>
      </c>
      <c r="M106" s="35">
        <v>0.71319444444444446</v>
      </c>
      <c r="N106" s="35">
        <v>0.72916666666666663</v>
      </c>
      <c r="O106" s="6">
        <f>(IGA_BD[[#This Row],[Work Start TimeStamp]]-IGA_BD[[#This Row],[Fault Start TimeStamp]])*24</f>
        <v>0</v>
      </c>
      <c r="P106" s="6">
        <f>(IGA_BD[[#This Row],[Fault Clearance time]]-IGA_BD[[#This Row],[Work Start TimeStamp]])*24</f>
        <v>0.38333333333333197</v>
      </c>
      <c r="Q106" s="6">
        <f>(IGA_BD[[#This Row],[Fault Clearance time]]-IGA_BD[[#This Row],[Fault Start TimeStamp]])*24</f>
        <v>0.38333333333333197</v>
      </c>
      <c r="R106" t="s">
        <v>4298</v>
      </c>
      <c r="S106" s="4" t="s">
        <v>255</v>
      </c>
      <c r="T106" s="302">
        <f>IFERROR(IGA_BD[[#This Row],[Breakdown Time]]*IGA_BD[[#This Row],[Plant Equivalent Weightage]],"")</f>
        <v>0.19166666666666599</v>
      </c>
      <c r="U106" s="302"/>
      <c r="V106" s="302"/>
      <c r="W106">
        <v>5816</v>
      </c>
    </row>
    <row r="107" spans="1:23">
      <c r="A107" s="10">
        <f t="shared" si="1"/>
        <v>103</v>
      </c>
      <c r="B107" s="10">
        <f>YEAR(IGA_BD[[#This Row],[Date]])+IF(MONTH(IGA_BD[[#This Row],[Date]])&gt;=4,1,0)</f>
        <v>2026</v>
      </c>
      <c r="C107" s="10">
        <v>2025</v>
      </c>
      <c r="D107" s="10" t="s">
        <v>4478</v>
      </c>
      <c r="E107" s="309">
        <f>IGA_BD[[#This Row],[Date]]-DAY(IGA_BD[[#This Row],[Date]])+1</f>
        <v>45778</v>
      </c>
      <c r="F107" s="32">
        <v>45800</v>
      </c>
      <c r="G107" t="s">
        <v>390</v>
      </c>
      <c r="H107" s="4">
        <f>IFERROR(VLOOKUP(IGA_BD[[#This Row],[Affected Feeder ]],'Basic Data'!$A$3:$E$50,2,0),"")</f>
        <v>0</v>
      </c>
      <c r="I107" s="4">
        <f>IFERROR(VLOOKUP(IGA_BD[[#This Row],[Affected Feeder ]],'Basic Data'!$A$3:$E$50,3,0),"")</f>
        <v>0</v>
      </c>
      <c r="J107" s="9">
        <f>IFERROR(VLOOKUP(IGA_BD[[#This Row],[Affected Feeder ]],'Basic Data'!$A$3:$E$50,5,0),"")</f>
        <v>0.5</v>
      </c>
      <c r="K107" t="s">
        <v>388</v>
      </c>
      <c r="L107" s="35">
        <v>0.25694444444444442</v>
      </c>
      <c r="M107" s="35">
        <v>0.25694444444444442</v>
      </c>
      <c r="N107" s="35">
        <v>0.26180555555555557</v>
      </c>
      <c r="O107" s="6">
        <f>(IGA_BD[[#This Row],[Work Start TimeStamp]]-IGA_BD[[#This Row],[Fault Start TimeStamp]])*24</f>
        <v>0</v>
      </c>
      <c r="P107" s="6">
        <f>(IGA_BD[[#This Row],[Fault Clearance time]]-IGA_BD[[#This Row],[Work Start TimeStamp]])*24</f>
        <v>0.11666666666666758</v>
      </c>
      <c r="Q107" s="6">
        <f>(IGA_BD[[#This Row],[Fault Clearance time]]-IGA_BD[[#This Row],[Fault Start TimeStamp]])*24</f>
        <v>0.11666666666666758</v>
      </c>
      <c r="R107" t="s">
        <v>4298</v>
      </c>
      <c r="S107" s="4" t="s">
        <v>255</v>
      </c>
      <c r="T107" s="302">
        <f>IFERROR(IGA_BD[[#This Row],[Breakdown Time]]*IGA_BD[[#This Row],[Plant Equivalent Weightage]],"")</f>
        <v>5.8333333333333792E-2</v>
      </c>
      <c r="U107" s="302"/>
      <c r="V107" s="302"/>
      <c r="W107">
        <v>2293</v>
      </c>
    </row>
    <row r="108" spans="1:23">
      <c r="A108" s="10">
        <f t="shared" si="1"/>
        <v>104</v>
      </c>
      <c r="B108" s="10">
        <f>YEAR(IGA_BD[[#This Row],[Date]])+IF(MONTH(IGA_BD[[#This Row],[Date]])&gt;=4,1,0)</f>
        <v>2026</v>
      </c>
      <c r="C108" s="10">
        <v>2025</v>
      </c>
      <c r="D108" s="10" t="s">
        <v>4478</v>
      </c>
      <c r="E108" s="309">
        <f>IGA_BD[[#This Row],[Date]]-DAY(IGA_BD[[#This Row],[Date]])+1</f>
        <v>45778</v>
      </c>
      <c r="F108" s="32">
        <v>45800</v>
      </c>
      <c r="G108" t="s">
        <v>566</v>
      </c>
      <c r="H108" s="4">
        <f>IFERROR(VLOOKUP(IGA_BD[[#This Row],[Affected Feeder ]],'Basic Data'!$A$3:$E$50,2,0),"")</f>
        <v>0</v>
      </c>
      <c r="I108" s="4">
        <f>IFERROR(VLOOKUP(IGA_BD[[#This Row],[Affected Feeder ]],'Basic Data'!$A$3:$E$50,3,0),"")</f>
        <v>0</v>
      </c>
      <c r="J108" s="9">
        <f>IFERROR(VLOOKUP(IGA_BD[[#This Row],[Affected Feeder ]],'Basic Data'!$A$3:$E$50,5,0),"")</f>
        <v>0.5</v>
      </c>
      <c r="K108" t="s">
        <v>388</v>
      </c>
      <c r="L108" s="35">
        <v>0.26180555555555557</v>
      </c>
      <c r="M108" s="35">
        <v>0.26180555555555557</v>
      </c>
      <c r="N108" s="35">
        <v>0.26666666666666666</v>
      </c>
      <c r="O108" s="6">
        <f>(IGA_BD[[#This Row],[Work Start TimeStamp]]-IGA_BD[[#This Row],[Fault Start TimeStamp]])*24</f>
        <v>0</v>
      </c>
      <c r="P108" s="6">
        <f>(IGA_BD[[#This Row],[Fault Clearance time]]-IGA_BD[[#This Row],[Work Start TimeStamp]])*24</f>
        <v>0.11666666666666625</v>
      </c>
      <c r="Q108" s="6">
        <f>(IGA_BD[[#This Row],[Fault Clearance time]]-IGA_BD[[#This Row],[Fault Start TimeStamp]])*24</f>
        <v>0.11666666666666625</v>
      </c>
      <c r="R108" t="s">
        <v>4298</v>
      </c>
      <c r="S108" s="4" t="s">
        <v>255</v>
      </c>
      <c r="T108" s="302">
        <f>IFERROR(IGA_BD[[#This Row],[Breakdown Time]]*IGA_BD[[#This Row],[Plant Equivalent Weightage]],"")</f>
        <v>5.8333333333333126E-2</v>
      </c>
      <c r="U108" s="302"/>
      <c r="V108" s="302"/>
      <c r="W108">
        <v>2293</v>
      </c>
    </row>
    <row r="109" spans="1:23">
      <c r="A109" s="10">
        <f t="shared" si="1"/>
        <v>105</v>
      </c>
      <c r="B109" s="10">
        <f>YEAR(IGA_BD[[#This Row],[Date]])+IF(MONTH(IGA_BD[[#This Row],[Date]])&gt;=4,1,0)</f>
        <v>2026</v>
      </c>
      <c r="C109" s="10">
        <v>2025</v>
      </c>
      <c r="D109" s="10" t="s">
        <v>4478</v>
      </c>
      <c r="E109" s="309">
        <f>IGA_BD[[#This Row],[Date]]-DAY(IGA_BD[[#This Row],[Date]])+1</f>
        <v>45778</v>
      </c>
      <c r="F109" s="32">
        <v>45801</v>
      </c>
      <c r="G109" t="s">
        <v>390</v>
      </c>
      <c r="H109" s="4">
        <f>IFERROR(VLOOKUP(IGA_BD[[#This Row],[Affected Feeder ]],'Basic Data'!$A$3:$E$50,2,0),"")</f>
        <v>0</v>
      </c>
      <c r="I109" s="4">
        <f>IFERROR(VLOOKUP(IGA_BD[[#This Row],[Affected Feeder ]],'Basic Data'!$A$3:$E$50,3,0),"")</f>
        <v>0</v>
      </c>
      <c r="J109" s="9">
        <f>IFERROR(VLOOKUP(IGA_BD[[#This Row],[Affected Feeder ]],'Basic Data'!$A$3:$E$50,5,0),"")</f>
        <v>0.5</v>
      </c>
      <c r="K109" t="s">
        <v>388</v>
      </c>
      <c r="L109" s="35">
        <v>9.5138888888888884E-2</v>
      </c>
      <c r="M109" s="35">
        <v>9.5138888888888884E-2</v>
      </c>
      <c r="N109" s="35">
        <v>0.10416666666666667</v>
      </c>
      <c r="O109" s="6">
        <f>(IGA_BD[[#This Row],[Work Start TimeStamp]]-IGA_BD[[#This Row],[Fault Start TimeStamp]])*24</f>
        <v>0</v>
      </c>
      <c r="P109" s="6">
        <f>(IGA_BD[[#This Row],[Fault Clearance time]]-IGA_BD[[#This Row],[Work Start TimeStamp]])*24</f>
        <v>0.2166666666666669</v>
      </c>
      <c r="Q109" s="6">
        <f>(IGA_BD[[#This Row],[Fault Clearance time]]-IGA_BD[[#This Row],[Fault Start TimeStamp]])*24</f>
        <v>0.2166666666666669</v>
      </c>
      <c r="R109" t="s">
        <v>4298</v>
      </c>
      <c r="S109" s="4" t="s">
        <v>255</v>
      </c>
      <c r="T109" s="302">
        <f>IFERROR(IGA_BD[[#This Row],[Breakdown Time]]*IGA_BD[[#This Row],[Plant Equivalent Weightage]],"")</f>
        <v>0.10833333333333345</v>
      </c>
      <c r="U109" s="302"/>
      <c r="V109" s="302"/>
      <c r="W109">
        <v>4715</v>
      </c>
    </row>
    <row r="110" spans="1:23">
      <c r="A110" s="10">
        <f t="shared" si="1"/>
        <v>106</v>
      </c>
      <c r="B110" s="10">
        <f>YEAR(IGA_BD[[#This Row],[Date]])+IF(MONTH(IGA_BD[[#This Row],[Date]])&gt;=4,1,0)</f>
        <v>2026</v>
      </c>
      <c r="C110" s="10">
        <v>2025</v>
      </c>
      <c r="D110" s="10" t="s">
        <v>4478</v>
      </c>
      <c r="E110" s="309">
        <f>IGA_BD[[#This Row],[Date]]-DAY(IGA_BD[[#This Row],[Date]])+1</f>
        <v>45778</v>
      </c>
      <c r="F110" s="32">
        <v>45802</v>
      </c>
      <c r="G110" t="s">
        <v>390</v>
      </c>
      <c r="H110" s="4">
        <f>IFERROR(VLOOKUP(IGA_BD[[#This Row],[Affected Feeder ]],'Basic Data'!$A$3:$E$50,2,0),"")</f>
        <v>0</v>
      </c>
      <c r="I110" s="4">
        <f>IFERROR(VLOOKUP(IGA_BD[[#This Row],[Affected Feeder ]],'Basic Data'!$A$3:$E$50,3,0),"")</f>
        <v>0</v>
      </c>
      <c r="J110" s="9">
        <f>IFERROR(VLOOKUP(IGA_BD[[#This Row],[Affected Feeder ]],'Basic Data'!$A$3:$E$50,5,0),"")</f>
        <v>0.5</v>
      </c>
      <c r="K110" t="s">
        <v>388</v>
      </c>
      <c r="L110" s="35">
        <v>0.88888888888888884</v>
      </c>
      <c r="M110" s="35">
        <v>0.88888888888888884</v>
      </c>
      <c r="N110" s="35">
        <v>0.89375000000000004</v>
      </c>
      <c r="O110" s="6">
        <f>(IGA_BD[[#This Row],[Work Start TimeStamp]]-IGA_BD[[#This Row],[Fault Start TimeStamp]])*24</f>
        <v>0</v>
      </c>
      <c r="P110" s="6">
        <f>(IGA_BD[[#This Row],[Fault Clearance time]]-IGA_BD[[#This Row],[Work Start TimeStamp]])*24</f>
        <v>0.11666666666666892</v>
      </c>
      <c r="Q110" s="6">
        <f>(IGA_BD[[#This Row],[Fault Clearance time]]-IGA_BD[[#This Row],[Fault Start TimeStamp]])*24</f>
        <v>0.11666666666666892</v>
      </c>
      <c r="R110" t="s">
        <v>4298</v>
      </c>
      <c r="S110" s="4" t="s">
        <v>255</v>
      </c>
      <c r="T110" s="302">
        <f>IFERROR(IGA_BD[[#This Row],[Breakdown Time]]*IGA_BD[[#This Row],[Plant Equivalent Weightage]],"")</f>
        <v>5.8333333333334458E-2</v>
      </c>
      <c r="U110" s="302"/>
      <c r="V110" s="302"/>
      <c r="W110">
        <v>2866</v>
      </c>
    </row>
    <row r="111" spans="1:23">
      <c r="A111" s="10">
        <f t="shared" si="1"/>
        <v>107</v>
      </c>
      <c r="B111" s="10">
        <f>YEAR(IGA_BD[[#This Row],[Date]])+IF(MONTH(IGA_BD[[#This Row],[Date]])&gt;=4,1,0)</f>
        <v>2026</v>
      </c>
      <c r="C111" s="10">
        <v>2025</v>
      </c>
      <c r="D111" s="10" t="s">
        <v>4478</v>
      </c>
      <c r="E111" s="309">
        <f>IGA_BD[[#This Row],[Date]]-DAY(IGA_BD[[#This Row],[Date]])+1</f>
        <v>45778</v>
      </c>
      <c r="F111" s="32">
        <v>45804</v>
      </c>
      <c r="G111" t="s">
        <v>390</v>
      </c>
      <c r="H111" s="4">
        <f>IFERROR(VLOOKUP(IGA_BD[[#This Row],[Affected Feeder ]],'Basic Data'!$A$3:$E$50,2,0),"")</f>
        <v>0</v>
      </c>
      <c r="I111" s="4">
        <f>IFERROR(VLOOKUP(IGA_BD[[#This Row],[Affected Feeder ]],'Basic Data'!$A$3:$E$50,3,0),"")</f>
        <v>0</v>
      </c>
      <c r="J111" s="9">
        <f>IFERROR(VLOOKUP(IGA_BD[[#This Row],[Affected Feeder ]],'Basic Data'!$A$3:$E$50,5,0),"")</f>
        <v>0.5</v>
      </c>
      <c r="K111" t="s">
        <v>389</v>
      </c>
      <c r="L111" s="35">
        <v>0.13194444444444445</v>
      </c>
      <c r="M111" s="35">
        <v>0.13194444444444445</v>
      </c>
      <c r="N111" s="35">
        <v>0.1388888888888889</v>
      </c>
      <c r="O111" s="6">
        <f>(IGA_BD[[#This Row],[Work Start TimeStamp]]-IGA_BD[[#This Row],[Fault Start TimeStamp]])*24</f>
        <v>0</v>
      </c>
      <c r="P111" s="6">
        <f>(IGA_BD[[#This Row],[Fault Clearance time]]-IGA_BD[[#This Row],[Work Start TimeStamp]])*24</f>
        <v>0.16666666666666674</v>
      </c>
      <c r="Q111" s="6">
        <f>(IGA_BD[[#This Row],[Fault Clearance time]]-IGA_BD[[#This Row],[Fault Start TimeStamp]])*24</f>
        <v>0.16666666666666674</v>
      </c>
      <c r="R111" t="s">
        <v>4298</v>
      </c>
      <c r="S111" s="4" t="s">
        <v>255</v>
      </c>
      <c r="T111" s="302">
        <f>IFERROR(IGA_BD[[#This Row],[Breakdown Time]]*IGA_BD[[#This Row],[Plant Equivalent Weightage]],"")</f>
        <v>8.333333333333337E-2</v>
      </c>
      <c r="U111" s="302"/>
      <c r="V111" s="302"/>
      <c r="W111">
        <v>4397</v>
      </c>
    </row>
    <row r="112" spans="1:23">
      <c r="A112" s="10">
        <f t="shared" si="1"/>
        <v>108</v>
      </c>
      <c r="B112" s="10">
        <f>YEAR(IGA_BD[[#This Row],[Date]])+IF(MONTH(IGA_BD[[#This Row],[Date]])&gt;=4,1,0)</f>
        <v>2026</v>
      </c>
      <c r="C112" s="10">
        <v>2025</v>
      </c>
      <c r="D112" s="10" t="s">
        <v>4478</v>
      </c>
      <c r="E112" s="309">
        <f>IGA_BD[[#This Row],[Date]]-DAY(IGA_BD[[#This Row],[Date]])+1</f>
        <v>45778</v>
      </c>
      <c r="F112" s="32">
        <v>45804</v>
      </c>
      <c r="G112" t="s">
        <v>390</v>
      </c>
      <c r="H112" s="4">
        <f>IFERROR(VLOOKUP(IGA_BD[[#This Row],[Affected Feeder ]],'Basic Data'!$A$3:$E$50,2,0),"")</f>
        <v>0</v>
      </c>
      <c r="I112" s="4">
        <f>IFERROR(VLOOKUP(IGA_BD[[#This Row],[Affected Feeder ]],'Basic Data'!$A$3:$E$50,3,0),"")</f>
        <v>0</v>
      </c>
      <c r="J112" s="9">
        <f>IFERROR(VLOOKUP(IGA_BD[[#This Row],[Affected Feeder ]],'Basic Data'!$A$3:$E$50,5,0),"")</f>
        <v>0.5</v>
      </c>
      <c r="K112" t="s">
        <v>389</v>
      </c>
      <c r="L112" s="35">
        <v>0.75624999999999998</v>
      </c>
      <c r="M112" s="35">
        <v>0.75624999999999998</v>
      </c>
      <c r="N112" s="35">
        <v>0.76111111111111107</v>
      </c>
      <c r="O112" s="6">
        <f>(IGA_BD[[#This Row],[Work Start TimeStamp]]-IGA_BD[[#This Row],[Fault Start TimeStamp]])*24</f>
        <v>0</v>
      </c>
      <c r="P112" s="6">
        <f>(IGA_BD[[#This Row],[Fault Clearance time]]-IGA_BD[[#This Row],[Work Start TimeStamp]])*24</f>
        <v>0.11666666666666625</v>
      </c>
      <c r="Q112" s="6">
        <f>(IGA_BD[[#This Row],[Fault Clearance time]]-IGA_BD[[#This Row],[Fault Start TimeStamp]])*24</f>
        <v>0.11666666666666625</v>
      </c>
      <c r="R112" t="s">
        <v>4298</v>
      </c>
      <c r="S112" s="4" t="s">
        <v>255</v>
      </c>
      <c r="T112" s="302">
        <f>IFERROR(IGA_BD[[#This Row],[Breakdown Time]]*IGA_BD[[#This Row],[Plant Equivalent Weightage]],"")</f>
        <v>5.8333333333333126E-2</v>
      </c>
      <c r="U112" s="302"/>
      <c r="V112" s="302"/>
      <c r="W112">
        <v>3078</v>
      </c>
    </row>
    <row r="113" spans="1:23">
      <c r="A113" s="10">
        <f t="shared" si="1"/>
        <v>109</v>
      </c>
      <c r="B113" s="10">
        <f>YEAR(IGA_BD[[#This Row],[Date]])+IF(MONTH(IGA_BD[[#This Row],[Date]])&gt;=4,1,0)</f>
        <v>2026</v>
      </c>
      <c r="C113" s="10">
        <v>2025</v>
      </c>
      <c r="D113" s="10" t="s">
        <v>4478</v>
      </c>
      <c r="E113" s="309">
        <f>IGA_BD[[#This Row],[Date]]-DAY(IGA_BD[[#This Row],[Date]])+1</f>
        <v>45778</v>
      </c>
      <c r="F113" s="32">
        <v>45804</v>
      </c>
      <c r="G113" t="s">
        <v>390</v>
      </c>
      <c r="H113" s="4">
        <f>IFERROR(VLOOKUP(IGA_BD[[#This Row],[Affected Feeder ]],'Basic Data'!$A$3:$E$50,2,0),"")</f>
        <v>0</v>
      </c>
      <c r="I113" s="4">
        <f>IFERROR(VLOOKUP(IGA_BD[[#This Row],[Affected Feeder ]],'Basic Data'!$A$3:$E$50,3,0),"")</f>
        <v>0</v>
      </c>
      <c r="J113" s="9">
        <f>IFERROR(VLOOKUP(IGA_BD[[#This Row],[Affected Feeder ]],'Basic Data'!$A$3:$E$50,5,0),"")</f>
        <v>0.5</v>
      </c>
      <c r="K113" t="s">
        <v>389</v>
      </c>
      <c r="L113" s="35">
        <v>0.77083333333333337</v>
      </c>
      <c r="M113" s="35">
        <v>0.77083333333333337</v>
      </c>
      <c r="N113" s="35">
        <v>0.78263888888888888</v>
      </c>
      <c r="O113" s="6">
        <f>(IGA_BD[[#This Row],[Work Start TimeStamp]]-IGA_BD[[#This Row],[Fault Start TimeStamp]])*24</f>
        <v>0</v>
      </c>
      <c r="P113" s="6">
        <f>(IGA_BD[[#This Row],[Fault Clearance time]]-IGA_BD[[#This Row],[Work Start TimeStamp]])*24</f>
        <v>0.28333333333333233</v>
      </c>
      <c r="Q113" s="6">
        <f>(IGA_BD[[#This Row],[Fault Clearance time]]-IGA_BD[[#This Row],[Fault Start TimeStamp]])*24</f>
        <v>0.28333333333333233</v>
      </c>
      <c r="R113" t="s">
        <v>4298</v>
      </c>
      <c r="S113" s="4" t="s">
        <v>255</v>
      </c>
      <c r="T113" s="302">
        <f>IFERROR(IGA_BD[[#This Row],[Breakdown Time]]*IGA_BD[[#This Row],[Plant Equivalent Weightage]],"")</f>
        <v>0.14166666666666616</v>
      </c>
      <c r="U113" s="302"/>
      <c r="V113" s="302"/>
      <c r="W113">
        <v>7476</v>
      </c>
    </row>
    <row r="114" spans="1:23">
      <c r="A114" s="10">
        <f t="shared" si="1"/>
        <v>110</v>
      </c>
      <c r="B114" s="10">
        <f>YEAR(IGA_BD[[#This Row],[Date]])+IF(MONTH(IGA_BD[[#This Row],[Date]])&gt;=4,1,0)</f>
        <v>2026</v>
      </c>
      <c r="C114" s="10">
        <v>2025</v>
      </c>
      <c r="D114" s="10" t="s">
        <v>4478</v>
      </c>
      <c r="E114" s="309">
        <f>IGA_BD[[#This Row],[Date]]-DAY(IGA_BD[[#This Row],[Date]])+1</f>
        <v>45778</v>
      </c>
      <c r="F114" s="32">
        <v>45804</v>
      </c>
      <c r="G114" t="s">
        <v>79</v>
      </c>
      <c r="H114" s="4" t="str">
        <f>IFERROR(VLOOKUP(IGA_BD[[#This Row],[Affected Feeder ]],'Basic Data'!$A$3:$E$50,2,0),"")</f>
        <v>O2R3</v>
      </c>
      <c r="I114" s="4" t="str">
        <f>IFERROR(VLOOKUP(IGA_BD[[#This Row],[Affected Feeder ]],'Basic Data'!$A$3:$E$50,3,0),"")</f>
        <v>JK</v>
      </c>
      <c r="J114" s="9">
        <f>IFERROR(VLOOKUP(IGA_BD[[#This Row],[Affected Feeder ]],'Basic Data'!$A$3:$E$50,5,0),"")</f>
        <v>4.3478260869565223E-2</v>
      </c>
      <c r="K114" t="s">
        <v>4320</v>
      </c>
      <c r="L114" s="35">
        <v>0.78263888888888888</v>
      </c>
      <c r="M114" s="35">
        <v>0.78263888888888888</v>
      </c>
      <c r="N114" s="35">
        <v>0.88958333333333328</v>
      </c>
      <c r="O114" s="6">
        <f>(IGA_BD[[#This Row],[Work Start TimeStamp]]-IGA_BD[[#This Row],[Fault Start TimeStamp]])*24</f>
        <v>0</v>
      </c>
      <c r="P114" s="6">
        <f>(IGA_BD[[#This Row],[Fault Clearance time]]-IGA_BD[[#This Row],[Work Start TimeStamp]])*24</f>
        <v>2.5666666666666655</v>
      </c>
      <c r="Q114" s="6">
        <f>(IGA_BD[[#This Row],[Fault Clearance time]]-IGA_BD[[#This Row],[Fault Start TimeStamp]])*24</f>
        <v>2.5666666666666655</v>
      </c>
      <c r="R114" t="s">
        <v>4334</v>
      </c>
      <c r="S114" s="4" t="s">
        <v>255</v>
      </c>
      <c r="T114" s="302">
        <f>IFERROR(IGA_BD[[#This Row],[Breakdown Time]]*IGA_BD[[#This Row],[Plant Equivalent Weightage]],"")</f>
        <v>0.1115942028985507</v>
      </c>
      <c r="U114" s="302"/>
      <c r="V114" s="302"/>
      <c r="W114">
        <v>5643</v>
      </c>
    </row>
    <row r="115" spans="1:23">
      <c r="A115" s="10">
        <f t="shared" si="1"/>
        <v>111</v>
      </c>
      <c r="B115" s="10">
        <f>YEAR(IGA_BD[[#This Row],[Date]])+IF(MONTH(IGA_BD[[#This Row],[Date]])&gt;=4,1,0)</f>
        <v>2026</v>
      </c>
      <c r="C115" s="10">
        <v>2025</v>
      </c>
      <c r="D115" s="10" t="s">
        <v>4478</v>
      </c>
      <c r="E115" s="309">
        <f>IGA_BD[[#This Row],[Date]]-DAY(IGA_BD[[#This Row],[Date]])+1</f>
        <v>45778</v>
      </c>
      <c r="F115" s="32">
        <v>45804</v>
      </c>
      <c r="G115" t="s">
        <v>80</v>
      </c>
      <c r="H115" s="4" t="str">
        <f>IFERROR(VLOOKUP(IGA_BD[[#This Row],[Affected Feeder ]],'Basic Data'!$A$3:$E$50,2,0),"")</f>
        <v>O2R3</v>
      </c>
      <c r="I115" s="4" t="str">
        <f>IFERROR(VLOOKUP(IGA_BD[[#This Row],[Affected Feeder ]],'Basic Data'!$A$3:$E$50,3,0),"")</f>
        <v>JK</v>
      </c>
      <c r="J115" s="9">
        <f>IFERROR(VLOOKUP(IGA_BD[[#This Row],[Affected Feeder ]],'Basic Data'!$A$3:$E$50,5,0),"")</f>
        <v>4.3478260869565223E-2</v>
      </c>
      <c r="K115" t="s">
        <v>4320</v>
      </c>
      <c r="L115" s="35">
        <v>0.78263888888888888</v>
      </c>
      <c r="M115" s="35">
        <v>0.78263888888888888</v>
      </c>
      <c r="N115" s="35">
        <v>0.88958333333333328</v>
      </c>
      <c r="O115" s="6">
        <f>(IGA_BD[[#This Row],[Work Start TimeStamp]]-IGA_BD[[#This Row],[Fault Start TimeStamp]])*24</f>
        <v>0</v>
      </c>
      <c r="P115" s="6">
        <f>(IGA_BD[[#This Row],[Fault Clearance time]]-IGA_BD[[#This Row],[Work Start TimeStamp]])*24</f>
        <v>2.5666666666666655</v>
      </c>
      <c r="Q115" s="6">
        <f>(IGA_BD[[#This Row],[Fault Clearance time]]-IGA_BD[[#This Row],[Fault Start TimeStamp]])*24</f>
        <v>2.5666666666666655</v>
      </c>
      <c r="R115" t="s">
        <v>4334</v>
      </c>
      <c r="S115" s="4" t="s">
        <v>255</v>
      </c>
      <c r="T115" s="302">
        <f>IFERROR(IGA_BD[[#This Row],[Breakdown Time]]*IGA_BD[[#This Row],[Plant Equivalent Weightage]],"")</f>
        <v>0.1115942028985507</v>
      </c>
      <c r="U115" s="302"/>
      <c r="V115" s="302"/>
      <c r="W115">
        <v>5643</v>
      </c>
    </row>
    <row r="116" spans="1:23">
      <c r="A116" s="10">
        <f t="shared" si="1"/>
        <v>112</v>
      </c>
      <c r="B116" s="10">
        <f>YEAR(IGA_BD[[#This Row],[Date]])+IF(MONTH(IGA_BD[[#This Row],[Date]])&gt;=4,1,0)</f>
        <v>2026</v>
      </c>
      <c r="C116" s="10">
        <v>2025</v>
      </c>
      <c r="D116" s="10" t="s">
        <v>4478</v>
      </c>
      <c r="E116" s="309">
        <f>IGA_BD[[#This Row],[Date]]-DAY(IGA_BD[[#This Row],[Date]])+1</f>
        <v>45778</v>
      </c>
      <c r="F116" s="32">
        <v>45804</v>
      </c>
      <c r="G116" t="s">
        <v>84</v>
      </c>
      <c r="H116" s="4" t="str">
        <f>IFERROR(VLOOKUP(IGA_BD[[#This Row],[Affected Feeder ]],'Basic Data'!$A$3:$E$50,2,0),"")</f>
        <v>O2R3</v>
      </c>
      <c r="I116" s="4" t="str">
        <f>IFERROR(VLOOKUP(IGA_BD[[#This Row],[Affected Feeder ]],'Basic Data'!$A$3:$E$50,3,0),"")</f>
        <v>JK</v>
      </c>
      <c r="J116" s="9">
        <f>IFERROR(VLOOKUP(IGA_BD[[#This Row],[Affected Feeder ]],'Basic Data'!$A$3:$E$50,5,0),"")</f>
        <v>4.3478260869565223E-2</v>
      </c>
      <c r="K116" t="s">
        <v>4320</v>
      </c>
      <c r="L116" s="35">
        <v>0.78263888888888888</v>
      </c>
      <c r="M116" s="35">
        <v>0.78263888888888888</v>
      </c>
      <c r="N116" s="35">
        <v>0.88958333333333328</v>
      </c>
      <c r="O116" s="6">
        <f>(IGA_BD[[#This Row],[Work Start TimeStamp]]-IGA_BD[[#This Row],[Fault Start TimeStamp]])*24</f>
        <v>0</v>
      </c>
      <c r="P116" s="6">
        <f>(IGA_BD[[#This Row],[Fault Clearance time]]-IGA_BD[[#This Row],[Work Start TimeStamp]])*24</f>
        <v>2.5666666666666655</v>
      </c>
      <c r="Q116" s="6">
        <f>(IGA_BD[[#This Row],[Fault Clearance time]]-IGA_BD[[#This Row],[Fault Start TimeStamp]])*24</f>
        <v>2.5666666666666655</v>
      </c>
      <c r="R116" t="s">
        <v>4334</v>
      </c>
      <c r="S116" s="4" t="s">
        <v>255</v>
      </c>
      <c r="T116" s="302">
        <f>IFERROR(IGA_BD[[#This Row],[Breakdown Time]]*IGA_BD[[#This Row],[Plant Equivalent Weightage]],"")</f>
        <v>0.1115942028985507</v>
      </c>
      <c r="U116" s="302"/>
      <c r="V116" s="302"/>
      <c r="W116">
        <v>5643</v>
      </c>
    </row>
    <row r="117" spans="1:23">
      <c r="A117" s="10">
        <f t="shared" si="1"/>
        <v>113</v>
      </c>
      <c r="B117" s="10">
        <f>YEAR(IGA_BD[[#This Row],[Date]])+IF(MONTH(IGA_BD[[#This Row],[Date]])&gt;=4,1,0)</f>
        <v>2026</v>
      </c>
      <c r="C117" s="10">
        <v>2025</v>
      </c>
      <c r="D117" s="10" t="s">
        <v>4478</v>
      </c>
      <c r="E117" s="309">
        <f>IGA_BD[[#This Row],[Date]]-DAY(IGA_BD[[#This Row],[Date]])+1</f>
        <v>45778</v>
      </c>
      <c r="F117" s="32">
        <v>45804</v>
      </c>
      <c r="G117" t="s">
        <v>96</v>
      </c>
      <c r="H117" s="4" t="str">
        <f>IFERROR(VLOOKUP(IGA_BD[[#This Row],[Affected Feeder ]],'Basic Data'!$A$3:$E$50,2,0),"")</f>
        <v>O2R3</v>
      </c>
      <c r="I117" s="4" t="str">
        <f>IFERROR(VLOOKUP(IGA_BD[[#This Row],[Affected Feeder ]],'Basic Data'!$A$3:$E$50,3,0),"")</f>
        <v>JK</v>
      </c>
      <c r="J117" s="9">
        <f>IFERROR(VLOOKUP(IGA_BD[[#This Row],[Affected Feeder ]],'Basic Data'!$A$3:$E$50,5,0),"")</f>
        <v>4.3478260869565223E-2</v>
      </c>
      <c r="K117" t="s">
        <v>4320</v>
      </c>
      <c r="L117" s="35">
        <v>0.78263888888888888</v>
      </c>
      <c r="M117" s="35">
        <v>0.78263888888888888</v>
      </c>
      <c r="N117" s="35">
        <v>0.88958333333333328</v>
      </c>
      <c r="O117" s="6">
        <f>(IGA_BD[[#This Row],[Work Start TimeStamp]]-IGA_BD[[#This Row],[Fault Start TimeStamp]])*24</f>
        <v>0</v>
      </c>
      <c r="P117" s="6">
        <f>(IGA_BD[[#This Row],[Fault Clearance time]]-IGA_BD[[#This Row],[Work Start TimeStamp]])*24</f>
        <v>2.5666666666666655</v>
      </c>
      <c r="Q117" s="6">
        <f>(IGA_BD[[#This Row],[Fault Clearance time]]-IGA_BD[[#This Row],[Fault Start TimeStamp]])*24</f>
        <v>2.5666666666666655</v>
      </c>
      <c r="R117" t="s">
        <v>4334</v>
      </c>
      <c r="S117" s="4" t="s">
        <v>255</v>
      </c>
      <c r="T117" s="302">
        <f>IFERROR(IGA_BD[[#This Row],[Breakdown Time]]*IGA_BD[[#This Row],[Plant Equivalent Weightage]],"")</f>
        <v>0.1115942028985507</v>
      </c>
      <c r="U117" s="302"/>
      <c r="V117" s="302"/>
      <c r="W117">
        <v>5643</v>
      </c>
    </row>
    <row r="118" spans="1:23">
      <c r="A118" s="10">
        <f t="shared" si="1"/>
        <v>114</v>
      </c>
      <c r="B118" s="10">
        <f>YEAR(IGA_BD[[#This Row],[Date]])+IF(MONTH(IGA_BD[[#This Row],[Date]])&gt;=4,1,0)</f>
        <v>2026</v>
      </c>
      <c r="C118" s="10">
        <v>2025</v>
      </c>
      <c r="D118" s="10" t="s">
        <v>4478</v>
      </c>
      <c r="E118" s="309">
        <f>IGA_BD[[#This Row],[Date]]-DAY(IGA_BD[[#This Row],[Date]])+1</f>
        <v>45778</v>
      </c>
      <c r="F118" s="32">
        <v>45804</v>
      </c>
      <c r="G118" t="s">
        <v>97</v>
      </c>
      <c r="H118" s="4" t="str">
        <f>IFERROR(VLOOKUP(IGA_BD[[#This Row],[Affected Feeder ]],'Basic Data'!$A$3:$E$50,2,0),"")</f>
        <v>O2R3</v>
      </c>
      <c r="I118" s="4" t="str">
        <f>IFERROR(VLOOKUP(IGA_BD[[#This Row],[Affected Feeder ]],'Basic Data'!$A$3:$E$50,3,0),"")</f>
        <v>JK</v>
      </c>
      <c r="J118" s="9">
        <f>IFERROR(VLOOKUP(IGA_BD[[#This Row],[Affected Feeder ]],'Basic Data'!$A$3:$E$50,5,0),"")</f>
        <v>4.3478260869565223E-2</v>
      </c>
      <c r="K118" t="s">
        <v>4320</v>
      </c>
      <c r="L118" s="35">
        <v>0.78263888888888888</v>
      </c>
      <c r="M118" s="35">
        <v>0.78263888888888888</v>
      </c>
      <c r="N118" s="35">
        <v>0.88958333333333328</v>
      </c>
      <c r="O118" s="6">
        <f>(IGA_BD[[#This Row],[Work Start TimeStamp]]-IGA_BD[[#This Row],[Fault Start TimeStamp]])*24</f>
        <v>0</v>
      </c>
      <c r="P118" s="6">
        <f>(IGA_BD[[#This Row],[Fault Clearance time]]-IGA_BD[[#This Row],[Work Start TimeStamp]])*24</f>
        <v>2.5666666666666655</v>
      </c>
      <c r="Q118" s="6">
        <f>(IGA_BD[[#This Row],[Fault Clearance time]]-IGA_BD[[#This Row],[Fault Start TimeStamp]])*24</f>
        <v>2.5666666666666655</v>
      </c>
      <c r="R118" t="s">
        <v>4334</v>
      </c>
      <c r="S118" s="4" t="s">
        <v>255</v>
      </c>
      <c r="T118" s="302">
        <f>IFERROR(IGA_BD[[#This Row],[Breakdown Time]]*IGA_BD[[#This Row],[Plant Equivalent Weightage]],"")</f>
        <v>0.1115942028985507</v>
      </c>
      <c r="U118" s="302"/>
      <c r="V118" s="302"/>
      <c r="W118">
        <v>5643</v>
      </c>
    </row>
    <row r="119" spans="1:23">
      <c r="A119" s="10">
        <f t="shared" si="1"/>
        <v>115</v>
      </c>
      <c r="B119" s="10">
        <f>YEAR(IGA_BD[[#This Row],[Date]])+IF(MONTH(IGA_BD[[#This Row],[Date]])&gt;=4,1,0)</f>
        <v>2026</v>
      </c>
      <c r="C119" s="10">
        <v>2025</v>
      </c>
      <c r="D119" s="10" t="s">
        <v>4478</v>
      </c>
      <c r="E119" s="309">
        <f>IGA_BD[[#This Row],[Date]]-DAY(IGA_BD[[#This Row],[Date]])+1</f>
        <v>45778</v>
      </c>
      <c r="F119" s="32">
        <v>45804</v>
      </c>
      <c r="G119" t="s">
        <v>98</v>
      </c>
      <c r="H119" s="4" t="str">
        <f>IFERROR(VLOOKUP(IGA_BD[[#This Row],[Affected Feeder ]],'Basic Data'!$A$3:$E$50,2,0),"")</f>
        <v>O2R3</v>
      </c>
      <c r="I119" s="4" t="str">
        <f>IFERROR(VLOOKUP(IGA_BD[[#This Row],[Affected Feeder ]],'Basic Data'!$A$3:$E$50,3,0),"")</f>
        <v>JK</v>
      </c>
      <c r="J119" s="9">
        <f>IFERROR(VLOOKUP(IGA_BD[[#This Row],[Affected Feeder ]],'Basic Data'!$A$3:$E$50,5,0),"")</f>
        <v>4.3478260869565223E-2</v>
      </c>
      <c r="K119" t="s">
        <v>4320</v>
      </c>
      <c r="L119" s="35">
        <v>0.78263888888888888</v>
      </c>
      <c r="M119" s="35">
        <v>0.78263888888888888</v>
      </c>
      <c r="N119" s="35">
        <v>0.88958333333333328</v>
      </c>
      <c r="O119" s="6">
        <f>(IGA_BD[[#This Row],[Work Start TimeStamp]]-IGA_BD[[#This Row],[Fault Start TimeStamp]])*24</f>
        <v>0</v>
      </c>
      <c r="P119" s="6">
        <f>(IGA_BD[[#This Row],[Fault Clearance time]]-IGA_BD[[#This Row],[Work Start TimeStamp]])*24</f>
        <v>2.5666666666666655</v>
      </c>
      <c r="Q119" s="6">
        <f>(IGA_BD[[#This Row],[Fault Clearance time]]-IGA_BD[[#This Row],[Fault Start TimeStamp]])*24</f>
        <v>2.5666666666666655</v>
      </c>
      <c r="R119" t="s">
        <v>4334</v>
      </c>
      <c r="S119" s="4" t="s">
        <v>255</v>
      </c>
      <c r="T119" s="302">
        <f>IFERROR(IGA_BD[[#This Row],[Breakdown Time]]*IGA_BD[[#This Row],[Plant Equivalent Weightage]],"")</f>
        <v>0.1115942028985507</v>
      </c>
      <c r="U119" s="302"/>
      <c r="V119" s="302"/>
      <c r="W119">
        <v>5643</v>
      </c>
    </row>
    <row r="120" spans="1:23">
      <c r="A120" s="10">
        <f t="shared" si="1"/>
        <v>116</v>
      </c>
      <c r="B120" s="10">
        <f>YEAR(IGA_BD[[#This Row],[Date]])+IF(MONTH(IGA_BD[[#This Row],[Date]])&gt;=4,1,0)</f>
        <v>2026</v>
      </c>
      <c r="C120" s="10">
        <v>2025</v>
      </c>
      <c r="D120" s="10" t="s">
        <v>4478</v>
      </c>
      <c r="E120" s="309">
        <f>IGA_BD[[#This Row],[Date]]-DAY(IGA_BD[[#This Row],[Date]])+1</f>
        <v>45778</v>
      </c>
      <c r="F120" s="32">
        <v>45804</v>
      </c>
      <c r="G120" t="s">
        <v>390</v>
      </c>
      <c r="H120" s="4">
        <f>IFERROR(VLOOKUP(IGA_BD[[#This Row],[Affected Feeder ]],'Basic Data'!$A$3:$E$50,2,0),"")</f>
        <v>0</v>
      </c>
      <c r="I120" s="4">
        <f>IFERROR(VLOOKUP(IGA_BD[[#This Row],[Affected Feeder ]],'Basic Data'!$A$3:$E$50,3,0),"")</f>
        <v>0</v>
      </c>
      <c r="J120" s="9">
        <f>IFERROR(VLOOKUP(IGA_BD[[#This Row],[Affected Feeder ]],'Basic Data'!$A$3:$E$50,5,0),"")</f>
        <v>0.5</v>
      </c>
      <c r="K120" t="s">
        <v>4335</v>
      </c>
      <c r="L120" s="35">
        <v>0.88958333333333328</v>
      </c>
      <c r="M120" s="35">
        <v>0.88958333333333328</v>
      </c>
      <c r="N120" s="35">
        <v>0.92569444444444449</v>
      </c>
      <c r="O120" s="6">
        <f>(IGA_BD[[#This Row],[Work Start TimeStamp]]-IGA_BD[[#This Row],[Fault Start TimeStamp]])*24</f>
        <v>0</v>
      </c>
      <c r="P120" s="6">
        <f>(IGA_BD[[#This Row],[Fault Clearance time]]-IGA_BD[[#This Row],[Work Start TimeStamp]])*24</f>
        <v>0.86666666666666892</v>
      </c>
      <c r="Q120" s="6">
        <f>(IGA_BD[[#This Row],[Fault Clearance time]]-IGA_BD[[#This Row],[Fault Start TimeStamp]])*24</f>
        <v>0.86666666666666892</v>
      </c>
      <c r="R120" t="s">
        <v>4336</v>
      </c>
      <c r="S120" s="4" t="s">
        <v>255</v>
      </c>
      <c r="T120" s="302">
        <f>IFERROR(IGA_BD[[#This Row],[Breakdown Time]]*IGA_BD[[#This Row],[Plant Equivalent Weightage]],"")</f>
        <v>0.43333333333333446</v>
      </c>
      <c r="U120" s="302"/>
      <c r="V120" s="302"/>
      <c r="W120">
        <v>22867</v>
      </c>
    </row>
    <row r="121" spans="1:23">
      <c r="A121" s="10">
        <f t="shared" si="1"/>
        <v>117</v>
      </c>
      <c r="B121" s="10">
        <f>YEAR(IGA_BD[[#This Row],[Date]])+IF(MONTH(IGA_BD[[#This Row],[Date]])&gt;=4,1,0)</f>
        <v>2026</v>
      </c>
      <c r="C121" s="10">
        <v>2025</v>
      </c>
      <c r="D121" s="10" t="s">
        <v>4478</v>
      </c>
      <c r="E121" s="309">
        <f>IGA_BD[[#This Row],[Date]]-DAY(IGA_BD[[#This Row],[Date]])+1</f>
        <v>45778</v>
      </c>
      <c r="F121" s="32">
        <v>45805</v>
      </c>
      <c r="G121" t="s">
        <v>390</v>
      </c>
      <c r="H121" s="4">
        <f>IFERROR(VLOOKUP(IGA_BD[[#This Row],[Affected Feeder ]],'Basic Data'!$A$3:$E$50,2,0),"")</f>
        <v>0</v>
      </c>
      <c r="I121" s="4">
        <f>IFERROR(VLOOKUP(IGA_BD[[#This Row],[Affected Feeder ]],'Basic Data'!$A$3:$E$50,3,0),"")</f>
        <v>0</v>
      </c>
      <c r="J121" s="9">
        <f>IFERROR(VLOOKUP(IGA_BD[[#This Row],[Affected Feeder ]],'Basic Data'!$A$3:$E$50,5,0),"")</f>
        <v>0.5</v>
      </c>
      <c r="K121" t="s">
        <v>389</v>
      </c>
      <c r="L121" s="35">
        <v>0.33194444444444443</v>
      </c>
      <c r="M121" s="35">
        <v>0.33194444444444443</v>
      </c>
      <c r="N121" s="35">
        <v>0.33958333333333335</v>
      </c>
      <c r="O121" s="6">
        <f>(IGA_BD[[#This Row],[Work Start TimeStamp]]-IGA_BD[[#This Row],[Fault Start TimeStamp]])*24</f>
        <v>0</v>
      </c>
      <c r="P121" s="6">
        <f>(IGA_BD[[#This Row],[Fault Clearance time]]-IGA_BD[[#This Row],[Work Start TimeStamp]])*24</f>
        <v>0.18333333333333401</v>
      </c>
      <c r="Q121" s="6">
        <f>(IGA_BD[[#This Row],[Fault Clearance time]]-IGA_BD[[#This Row],[Fault Start TimeStamp]])*24</f>
        <v>0.18333333333333401</v>
      </c>
      <c r="R121" t="s">
        <v>4298</v>
      </c>
      <c r="S121" s="4" t="s">
        <v>255</v>
      </c>
      <c r="T121" s="302">
        <f>IFERROR(IGA_BD[[#This Row],[Breakdown Time]]*IGA_BD[[#This Row],[Plant Equivalent Weightage]],"")</f>
        <v>9.1666666666667007E-2</v>
      </c>
      <c r="U121" s="302"/>
      <c r="V121" s="302"/>
      <c r="W121">
        <v>4152</v>
      </c>
    </row>
    <row r="122" spans="1:23">
      <c r="A122" s="10">
        <f t="shared" si="1"/>
        <v>118</v>
      </c>
      <c r="B122" s="10">
        <f>YEAR(IGA_BD[[#This Row],[Date]])+IF(MONTH(IGA_BD[[#This Row],[Date]])&gt;=4,1,0)</f>
        <v>2026</v>
      </c>
      <c r="C122" s="10">
        <v>2025</v>
      </c>
      <c r="D122" s="10" t="s">
        <v>4478</v>
      </c>
      <c r="E122" s="309">
        <f>IGA_BD[[#This Row],[Date]]-DAY(IGA_BD[[#This Row],[Date]])+1</f>
        <v>45778</v>
      </c>
      <c r="F122" s="32">
        <v>45805</v>
      </c>
      <c r="G122" t="s">
        <v>79</v>
      </c>
      <c r="H122" s="4" t="str">
        <f>IFERROR(VLOOKUP(IGA_BD[[#This Row],[Affected Feeder ]],'Basic Data'!$A$3:$E$50,2,0),"")</f>
        <v>O2R3</v>
      </c>
      <c r="I122" s="4" t="str">
        <f>IFERROR(VLOOKUP(IGA_BD[[#This Row],[Affected Feeder ]],'Basic Data'!$A$3:$E$50,3,0),"")</f>
        <v>JK</v>
      </c>
      <c r="J122" s="9">
        <f>IFERROR(VLOOKUP(IGA_BD[[#This Row],[Affected Feeder ]],'Basic Data'!$A$3:$E$50,5,0),"")</f>
        <v>4.3478260869565223E-2</v>
      </c>
      <c r="K122" t="s">
        <v>4320</v>
      </c>
      <c r="L122" s="35">
        <v>0.33958333333333335</v>
      </c>
      <c r="M122" s="35">
        <v>0.33958333333333335</v>
      </c>
      <c r="N122" s="35">
        <v>0.45416666666666666</v>
      </c>
      <c r="O122" s="6">
        <f>(IGA_BD[[#This Row],[Work Start TimeStamp]]-IGA_BD[[#This Row],[Fault Start TimeStamp]])*24</f>
        <v>0</v>
      </c>
      <c r="P122" s="6">
        <f>(IGA_BD[[#This Row],[Fault Clearance time]]-IGA_BD[[#This Row],[Work Start TimeStamp]])*24</f>
        <v>2.7499999999999996</v>
      </c>
      <c r="Q122" s="6">
        <f>(IGA_BD[[#This Row],[Fault Clearance time]]-IGA_BD[[#This Row],[Fault Start TimeStamp]])*24</f>
        <v>2.7499999999999996</v>
      </c>
      <c r="R122" t="s">
        <v>4334</v>
      </c>
      <c r="S122" s="4" t="s">
        <v>255</v>
      </c>
      <c r="T122" s="302">
        <f>IFERROR(IGA_BD[[#This Row],[Breakdown Time]]*IGA_BD[[#This Row],[Plant Equivalent Weightage]],"")</f>
        <v>0.11956521739130434</v>
      </c>
      <c r="U122" s="302"/>
      <c r="V122" s="302"/>
      <c r="W122">
        <v>5189</v>
      </c>
    </row>
    <row r="123" spans="1:23">
      <c r="A123" s="10">
        <f t="shared" si="1"/>
        <v>119</v>
      </c>
      <c r="B123" s="10">
        <f>YEAR(IGA_BD[[#This Row],[Date]])+IF(MONTH(IGA_BD[[#This Row],[Date]])&gt;=4,1,0)</f>
        <v>2026</v>
      </c>
      <c r="C123" s="10">
        <v>2025</v>
      </c>
      <c r="D123" s="10" t="s">
        <v>4478</v>
      </c>
      <c r="E123" s="309">
        <f>IGA_BD[[#This Row],[Date]]-DAY(IGA_BD[[#This Row],[Date]])+1</f>
        <v>45778</v>
      </c>
      <c r="F123" s="32">
        <v>45805</v>
      </c>
      <c r="G123" t="s">
        <v>80</v>
      </c>
      <c r="H123" s="4" t="str">
        <f>IFERROR(VLOOKUP(IGA_BD[[#This Row],[Affected Feeder ]],'Basic Data'!$A$3:$E$50,2,0),"")</f>
        <v>O2R3</v>
      </c>
      <c r="I123" s="4" t="str">
        <f>IFERROR(VLOOKUP(IGA_BD[[#This Row],[Affected Feeder ]],'Basic Data'!$A$3:$E$50,3,0),"")</f>
        <v>JK</v>
      </c>
      <c r="J123" s="9">
        <f>IFERROR(VLOOKUP(IGA_BD[[#This Row],[Affected Feeder ]],'Basic Data'!$A$3:$E$50,5,0),"")</f>
        <v>4.3478260869565223E-2</v>
      </c>
      <c r="K123" t="s">
        <v>4320</v>
      </c>
      <c r="L123" s="35">
        <v>0.33958333333333335</v>
      </c>
      <c r="M123" s="35">
        <v>0.33958333333333335</v>
      </c>
      <c r="N123" s="35">
        <v>0.45416666666666666</v>
      </c>
      <c r="O123" s="6">
        <f>(IGA_BD[[#This Row],[Work Start TimeStamp]]-IGA_BD[[#This Row],[Fault Start TimeStamp]])*24</f>
        <v>0</v>
      </c>
      <c r="P123" s="6">
        <f>(IGA_BD[[#This Row],[Fault Clearance time]]-IGA_BD[[#This Row],[Work Start TimeStamp]])*24</f>
        <v>2.7499999999999996</v>
      </c>
      <c r="Q123" s="6">
        <f>(IGA_BD[[#This Row],[Fault Clearance time]]-IGA_BD[[#This Row],[Fault Start TimeStamp]])*24</f>
        <v>2.7499999999999996</v>
      </c>
      <c r="R123" t="s">
        <v>4334</v>
      </c>
      <c r="S123" s="4" t="s">
        <v>255</v>
      </c>
      <c r="T123" s="302">
        <f>IFERROR(IGA_BD[[#This Row],[Breakdown Time]]*IGA_BD[[#This Row],[Plant Equivalent Weightage]],"")</f>
        <v>0.11956521739130434</v>
      </c>
      <c r="U123" s="302"/>
      <c r="V123" s="302"/>
      <c r="W123">
        <v>5189</v>
      </c>
    </row>
    <row r="124" spans="1:23">
      <c r="A124" s="10">
        <f t="shared" si="1"/>
        <v>120</v>
      </c>
      <c r="B124" s="10">
        <f>YEAR(IGA_BD[[#This Row],[Date]])+IF(MONTH(IGA_BD[[#This Row],[Date]])&gt;=4,1,0)</f>
        <v>2026</v>
      </c>
      <c r="C124" s="10">
        <v>2025</v>
      </c>
      <c r="D124" s="10" t="s">
        <v>4478</v>
      </c>
      <c r="E124" s="309">
        <f>IGA_BD[[#This Row],[Date]]-DAY(IGA_BD[[#This Row],[Date]])+1</f>
        <v>45778</v>
      </c>
      <c r="F124" s="32">
        <v>45805</v>
      </c>
      <c r="G124" t="s">
        <v>84</v>
      </c>
      <c r="H124" s="4" t="str">
        <f>IFERROR(VLOOKUP(IGA_BD[[#This Row],[Affected Feeder ]],'Basic Data'!$A$3:$E$50,2,0),"")</f>
        <v>O2R3</v>
      </c>
      <c r="I124" s="4" t="str">
        <f>IFERROR(VLOOKUP(IGA_BD[[#This Row],[Affected Feeder ]],'Basic Data'!$A$3:$E$50,3,0),"")</f>
        <v>JK</v>
      </c>
      <c r="J124" s="9">
        <f>IFERROR(VLOOKUP(IGA_BD[[#This Row],[Affected Feeder ]],'Basic Data'!$A$3:$E$50,5,0),"")</f>
        <v>4.3478260869565223E-2</v>
      </c>
      <c r="K124" t="s">
        <v>4320</v>
      </c>
      <c r="L124" s="35">
        <v>0.33958333333333335</v>
      </c>
      <c r="M124" s="35">
        <v>0.33958333333333335</v>
      </c>
      <c r="N124" s="35">
        <v>0.45416666666666666</v>
      </c>
      <c r="O124" s="6">
        <f>(IGA_BD[[#This Row],[Work Start TimeStamp]]-IGA_BD[[#This Row],[Fault Start TimeStamp]])*24</f>
        <v>0</v>
      </c>
      <c r="P124" s="6">
        <f>(IGA_BD[[#This Row],[Fault Clearance time]]-IGA_BD[[#This Row],[Work Start TimeStamp]])*24</f>
        <v>2.7499999999999996</v>
      </c>
      <c r="Q124" s="6">
        <f>(IGA_BD[[#This Row],[Fault Clearance time]]-IGA_BD[[#This Row],[Fault Start TimeStamp]])*24</f>
        <v>2.7499999999999996</v>
      </c>
      <c r="R124" t="s">
        <v>4334</v>
      </c>
      <c r="S124" s="4" t="s">
        <v>255</v>
      </c>
      <c r="T124" s="302">
        <f>IFERROR(IGA_BD[[#This Row],[Breakdown Time]]*IGA_BD[[#This Row],[Plant Equivalent Weightage]],"")</f>
        <v>0.11956521739130434</v>
      </c>
      <c r="U124" s="302"/>
      <c r="V124" s="302"/>
      <c r="W124">
        <v>5189</v>
      </c>
    </row>
    <row r="125" spans="1:23">
      <c r="A125" s="10">
        <f t="shared" si="1"/>
        <v>121</v>
      </c>
      <c r="B125" s="10">
        <f>YEAR(IGA_BD[[#This Row],[Date]])+IF(MONTH(IGA_BD[[#This Row],[Date]])&gt;=4,1,0)</f>
        <v>2026</v>
      </c>
      <c r="C125" s="10">
        <v>2025</v>
      </c>
      <c r="D125" s="10" t="s">
        <v>4478</v>
      </c>
      <c r="E125" s="309">
        <f>IGA_BD[[#This Row],[Date]]-DAY(IGA_BD[[#This Row],[Date]])+1</f>
        <v>45778</v>
      </c>
      <c r="F125" s="32">
        <v>45805</v>
      </c>
      <c r="G125" t="s">
        <v>96</v>
      </c>
      <c r="H125" s="4" t="str">
        <f>IFERROR(VLOOKUP(IGA_BD[[#This Row],[Affected Feeder ]],'Basic Data'!$A$3:$E$50,2,0),"")</f>
        <v>O2R3</v>
      </c>
      <c r="I125" s="4" t="str">
        <f>IFERROR(VLOOKUP(IGA_BD[[#This Row],[Affected Feeder ]],'Basic Data'!$A$3:$E$50,3,0),"")</f>
        <v>JK</v>
      </c>
      <c r="J125" s="9">
        <f>IFERROR(VLOOKUP(IGA_BD[[#This Row],[Affected Feeder ]],'Basic Data'!$A$3:$E$50,5,0),"")</f>
        <v>4.3478260869565223E-2</v>
      </c>
      <c r="K125" t="s">
        <v>4320</v>
      </c>
      <c r="L125" s="35">
        <v>0.33958333333333335</v>
      </c>
      <c r="M125" s="35">
        <v>0.33958333333333335</v>
      </c>
      <c r="N125" s="35">
        <v>0.45416666666666666</v>
      </c>
      <c r="O125" s="6">
        <f>(IGA_BD[[#This Row],[Work Start TimeStamp]]-IGA_BD[[#This Row],[Fault Start TimeStamp]])*24</f>
        <v>0</v>
      </c>
      <c r="P125" s="6">
        <f>(IGA_BD[[#This Row],[Fault Clearance time]]-IGA_BD[[#This Row],[Work Start TimeStamp]])*24</f>
        <v>2.7499999999999996</v>
      </c>
      <c r="Q125" s="6">
        <f>(IGA_BD[[#This Row],[Fault Clearance time]]-IGA_BD[[#This Row],[Fault Start TimeStamp]])*24</f>
        <v>2.7499999999999996</v>
      </c>
      <c r="R125" t="s">
        <v>4334</v>
      </c>
      <c r="S125" s="4" t="s">
        <v>255</v>
      </c>
      <c r="T125" s="302">
        <f>IFERROR(IGA_BD[[#This Row],[Breakdown Time]]*IGA_BD[[#This Row],[Plant Equivalent Weightage]],"")</f>
        <v>0.11956521739130434</v>
      </c>
      <c r="U125" s="302"/>
      <c r="V125" s="302"/>
      <c r="W125">
        <v>5189</v>
      </c>
    </row>
    <row r="126" spans="1:23">
      <c r="A126" s="10">
        <f t="shared" si="1"/>
        <v>122</v>
      </c>
      <c r="B126" s="10">
        <f>YEAR(IGA_BD[[#This Row],[Date]])+IF(MONTH(IGA_BD[[#This Row],[Date]])&gt;=4,1,0)</f>
        <v>2026</v>
      </c>
      <c r="C126" s="10">
        <v>2025</v>
      </c>
      <c r="D126" s="10" t="s">
        <v>4478</v>
      </c>
      <c r="E126" s="309">
        <f>IGA_BD[[#This Row],[Date]]-DAY(IGA_BD[[#This Row],[Date]])+1</f>
        <v>45778</v>
      </c>
      <c r="F126" s="32">
        <v>45805</v>
      </c>
      <c r="G126" t="s">
        <v>97</v>
      </c>
      <c r="H126" s="4" t="str">
        <f>IFERROR(VLOOKUP(IGA_BD[[#This Row],[Affected Feeder ]],'Basic Data'!$A$3:$E$50,2,0),"")</f>
        <v>O2R3</v>
      </c>
      <c r="I126" s="4" t="str">
        <f>IFERROR(VLOOKUP(IGA_BD[[#This Row],[Affected Feeder ]],'Basic Data'!$A$3:$E$50,3,0),"")</f>
        <v>JK</v>
      </c>
      <c r="J126" s="9">
        <f>IFERROR(VLOOKUP(IGA_BD[[#This Row],[Affected Feeder ]],'Basic Data'!$A$3:$E$50,5,0),"")</f>
        <v>4.3478260869565223E-2</v>
      </c>
      <c r="K126" t="s">
        <v>4320</v>
      </c>
      <c r="L126" s="35">
        <v>0.33958333333333335</v>
      </c>
      <c r="M126" s="35">
        <v>0.33958333333333335</v>
      </c>
      <c r="N126" s="35">
        <v>0.45416666666666666</v>
      </c>
      <c r="O126" s="6">
        <f>(IGA_BD[[#This Row],[Work Start TimeStamp]]-IGA_BD[[#This Row],[Fault Start TimeStamp]])*24</f>
        <v>0</v>
      </c>
      <c r="P126" s="6">
        <f>(IGA_BD[[#This Row],[Fault Clearance time]]-IGA_BD[[#This Row],[Work Start TimeStamp]])*24</f>
        <v>2.7499999999999996</v>
      </c>
      <c r="Q126" s="6">
        <f>(IGA_BD[[#This Row],[Fault Clearance time]]-IGA_BD[[#This Row],[Fault Start TimeStamp]])*24</f>
        <v>2.7499999999999996</v>
      </c>
      <c r="R126" t="s">
        <v>4334</v>
      </c>
      <c r="S126" s="4" t="s">
        <v>255</v>
      </c>
      <c r="T126" s="302">
        <f>IFERROR(IGA_BD[[#This Row],[Breakdown Time]]*IGA_BD[[#This Row],[Plant Equivalent Weightage]],"")</f>
        <v>0.11956521739130434</v>
      </c>
      <c r="U126" s="302"/>
      <c r="V126" s="302"/>
      <c r="W126">
        <v>5189</v>
      </c>
    </row>
    <row r="127" spans="1:23">
      <c r="A127" s="10">
        <f t="shared" si="1"/>
        <v>123</v>
      </c>
      <c r="B127" s="10">
        <f>YEAR(IGA_BD[[#This Row],[Date]])+IF(MONTH(IGA_BD[[#This Row],[Date]])&gt;=4,1,0)</f>
        <v>2026</v>
      </c>
      <c r="C127" s="10">
        <v>2025</v>
      </c>
      <c r="D127" s="10" t="s">
        <v>4478</v>
      </c>
      <c r="E127" s="309">
        <f>IGA_BD[[#This Row],[Date]]-DAY(IGA_BD[[#This Row],[Date]])+1</f>
        <v>45778</v>
      </c>
      <c r="F127" s="32">
        <v>45805</v>
      </c>
      <c r="G127" t="s">
        <v>98</v>
      </c>
      <c r="H127" s="4" t="str">
        <f>IFERROR(VLOOKUP(IGA_BD[[#This Row],[Affected Feeder ]],'Basic Data'!$A$3:$E$50,2,0),"")</f>
        <v>O2R3</v>
      </c>
      <c r="I127" s="4" t="str">
        <f>IFERROR(VLOOKUP(IGA_BD[[#This Row],[Affected Feeder ]],'Basic Data'!$A$3:$E$50,3,0),"")</f>
        <v>JK</v>
      </c>
      <c r="J127" s="9">
        <f>IFERROR(VLOOKUP(IGA_BD[[#This Row],[Affected Feeder ]],'Basic Data'!$A$3:$E$50,5,0),"")</f>
        <v>4.3478260869565223E-2</v>
      </c>
      <c r="K127" t="s">
        <v>4320</v>
      </c>
      <c r="L127" s="35">
        <v>0.33958333333333335</v>
      </c>
      <c r="M127" s="35">
        <v>0.33958333333333335</v>
      </c>
      <c r="N127" s="35">
        <v>0.45416666666666666</v>
      </c>
      <c r="O127" s="6">
        <f>(IGA_BD[[#This Row],[Work Start TimeStamp]]-IGA_BD[[#This Row],[Fault Start TimeStamp]])*24</f>
        <v>0</v>
      </c>
      <c r="P127" s="6">
        <f>(IGA_BD[[#This Row],[Fault Clearance time]]-IGA_BD[[#This Row],[Work Start TimeStamp]])*24</f>
        <v>2.7499999999999996</v>
      </c>
      <c r="Q127" s="6">
        <f>(IGA_BD[[#This Row],[Fault Clearance time]]-IGA_BD[[#This Row],[Fault Start TimeStamp]])*24</f>
        <v>2.7499999999999996</v>
      </c>
      <c r="R127" t="s">
        <v>4334</v>
      </c>
      <c r="S127" s="4" t="s">
        <v>255</v>
      </c>
      <c r="T127" s="302">
        <f>IFERROR(IGA_BD[[#This Row],[Breakdown Time]]*IGA_BD[[#This Row],[Plant Equivalent Weightage]],"")</f>
        <v>0.11956521739130434</v>
      </c>
      <c r="U127" s="302"/>
      <c r="V127" s="302"/>
      <c r="W127">
        <v>5189</v>
      </c>
    </row>
    <row r="128" spans="1:23">
      <c r="A128" s="10">
        <f t="shared" si="1"/>
        <v>124</v>
      </c>
      <c r="B128" s="10">
        <f>YEAR(IGA_BD[[#This Row],[Date]])+IF(MONTH(IGA_BD[[#This Row],[Date]])&gt;=4,1,0)</f>
        <v>2026</v>
      </c>
      <c r="C128" s="10">
        <v>2025</v>
      </c>
      <c r="D128" s="10" t="s">
        <v>4478</v>
      </c>
      <c r="E128" s="309">
        <f>IGA_BD[[#This Row],[Date]]-DAY(IGA_BD[[#This Row],[Date]])+1</f>
        <v>45778</v>
      </c>
      <c r="F128" s="32">
        <v>45805</v>
      </c>
      <c r="G128" t="s">
        <v>390</v>
      </c>
      <c r="H128" s="4">
        <f>IFERROR(VLOOKUP(IGA_BD[[#This Row],[Affected Feeder ]],'Basic Data'!$A$3:$E$50,2,0),"")</f>
        <v>0</v>
      </c>
      <c r="I128" s="4">
        <f>IFERROR(VLOOKUP(IGA_BD[[#This Row],[Affected Feeder ]],'Basic Data'!$A$3:$E$50,3,0),"")</f>
        <v>0</v>
      </c>
      <c r="J128" s="9">
        <f>IFERROR(VLOOKUP(IGA_BD[[#This Row],[Affected Feeder ]],'Basic Data'!$A$3:$E$50,5,0),"")</f>
        <v>0.5</v>
      </c>
      <c r="K128" t="s">
        <v>4335</v>
      </c>
      <c r="L128" s="35">
        <v>0.45416666666666666</v>
      </c>
      <c r="M128" s="35">
        <v>0.45416666666666666</v>
      </c>
      <c r="N128" s="35">
        <v>0.48541666666666666</v>
      </c>
      <c r="O128" s="6">
        <f>(IGA_BD[[#This Row],[Work Start TimeStamp]]-IGA_BD[[#This Row],[Fault Start TimeStamp]])*24</f>
        <v>0</v>
      </c>
      <c r="P128" s="6">
        <f>(IGA_BD[[#This Row],[Fault Clearance time]]-IGA_BD[[#This Row],[Work Start TimeStamp]])*24</f>
        <v>0.75</v>
      </c>
      <c r="Q128" s="6">
        <f>(IGA_BD[[#This Row],[Fault Clearance time]]-IGA_BD[[#This Row],[Fault Start TimeStamp]])*24</f>
        <v>0.75</v>
      </c>
      <c r="R128" t="s">
        <v>4336</v>
      </c>
      <c r="S128" s="4" t="s">
        <v>255</v>
      </c>
      <c r="T128" s="302">
        <f>IFERROR(IGA_BD[[#This Row],[Breakdown Time]]*IGA_BD[[#This Row],[Plant Equivalent Weightage]],"")</f>
        <v>0.375</v>
      </c>
      <c r="U128" s="302"/>
      <c r="V128" s="302"/>
      <c r="W128">
        <v>16984</v>
      </c>
    </row>
    <row r="129" spans="1:23">
      <c r="A129" s="10">
        <f t="shared" si="1"/>
        <v>125</v>
      </c>
      <c r="B129" s="10">
        <f>YEAR(IGA_BD[[#This Row],[Date]])+IF(MONTH(IGA_BD[[#This Row],[Date]])&gt;=4,1,0)</f>
        <v>2026</v>
      </c>
      <c r="C129" s="10">
        <v>2025</v>
      </c>
      <c r="D129" s="10" t="s">
        <v>4478</v>
      </c>
      <c r="E129" s="309">
        <f>IGA_BD[[#This Row],[Date]]-DAY(IGA_BD[[#This Row],[Date]])+1</f>
        <v>45778</v>
      </c>
      <c r="F129" s="32">
        <v>45805</v>
      </c>
      <c r="G129" t="s">
        <v>390</v>
      </c>
      <c r="H129" s="4">
        <f>IFERROR(VLOOKUP(IGA_BD[[#This Row],[Affected Feeder ]],'Basic Data'!$A$3:$E$50,2,0),"")</f>
        <v>0</v>
      </c>
      <c r="I129" s="4">
        <f>IFERROR(VLOOKUP(IGA_BD[[#This Row],[Affected Feeder ]],'Basic Data'!$A$3:$E$50,3,0),"")</f>
        <v>0</v>
      </c>
      <c r="J129" s="9">
        <f>IFERROR(VLOOKUP(IGA_BD[[#This Row],[Affected Feeder ]],'Basic Data'!$A$3:$E$50,5,0),"")</f>
        <v>0.5</v>
      </c>
      <c r="K129" t="s">
        <v>389</v>
      </c>
      <c r="L129" s="35">
        <v>0.92361111111111116</v>
      </c>
      <c r="M129" s="35">
        <v>0.92361111111111116</v>
      </c>
      <c r="N129" s="35">
        <v>0.93402777777777779</v>
      </c>
      <c r="O129" s="6">
        <f>(IGA_BD[[#This Row],[Work Start TimeStamp]]-IGA_BD[[#This Row],[Fault Start TimeStamp]])*24</f>
        <v>0</v>
      </c>
      <c r="P129" s="6">
        <f>(IGA_BD[[#This Row],[Fault Clearance time]]-IGA_BD[[#This Row],[Work Start TimeStamp]])*24</f>
        <v>0.24999999999999911</v>
      </c>
      <c r="Q129" s="6">
        <f>(IGA_BD[[#This Row],[Fault Clearance time]]-IGA_BD[[#This Row],[Fault Start TimeStamp]])*24</f>
        <v>0.24999999999999911</v>
      </c>
      <c r="R129" t="s">
        <v>4298</v>
      </c>
      <c r="S129" s="4" t="s">
        <v>255</v>
      </c>
      <c r="T129" s="302">
        <f>IFERROR(IGA_BD[[#This Row],[Breakdown Time]]*IGA_BD[[#This Row],[Plant Equivalent Weightage]],"")</f>
        <v>0.12499999999999956</v>
      </c>
      <c r="U129" s="302"/>
      <c r="V129" s="302"/>
      <c r="W129">
        <v>5661</v>
      </c>
    </row>
    <row r="130" spans="1:23">
      <c r="A130" s="10">
        <f t="shared" si="1"/>
        <v>126</v>
      </c>
      <c r="B130" s="10">
        <f>YEAR(IGA_BD[[#This Row],[Date]])+IF(MONTH(IGA_BD[[#This Row],[Date]])&gt;=4,1,0)</f>
        <v>2026</v>
      </c>
      <c r="C130" s="10">
        <v>2025</v>
      </c>
      <c r="D130" s="10" t="s">
        <v>4478</v>
      </c>
      <c r="E130" s="309">
        <f>IGA_BD[[#This Row],[Date]]-DAY(IGA_BD[[#This Row],[Date]])+1</f>
        <v>45778</v>
      </c>
      <c r="F130" s="32">
        <v>45806</v>
      </c>
      <c r="G130" t="s">
        <v>390</v>
      </c>
      <c r="H130" s="4">
        <f>IFERROR(VLOOKUP(IGA_BD[[#This Row],[Affected Feeder ]],'Basic Data'!$A$3:$E$50,2,0),"")</f>
        <v>0</v>
      </c>
      <c r="I130" s="4">
        <f>IFERROR(VLOOKUP(IGA_BD[[#This Row],[Affected Feeder ]],'Basic Data'!$A$3:$E$50,3,0),"")</f>
        <v>0</v>
      </c>
      <c r="J130" s="9">
        <f>IFERROR(VLOOKUP(IGA_BD[[#This Row],[Affected Feeder ]],'Basic Data'!$A$3:$E$50,5,0),"")</f>
        <v>0.5</v>
      </c>
      <c r="K130" t="s">
        <v>4608</v>
      </c>
      <c r="L130" s="35">
        <v>0.77569444444444446</v>
      </c>
      <c r="M130" s="35">
        <v>0.77569444444444446</v>
      </c>
      <c r="N130" s="35">
        <v>0.82291666666666663</v>
      </c>
      <c r="O130" s="6">
        <f>(IGA_BD[[#This Row],[Work Start TimeStamp]]-IGA_BD[[#This Row],[Fault Start TimeStamp]])*24</f>
        <v>0</v>
      </c>
      <c r="P130" s="6">
        <f>(IGA_BD[[#This Row],[Fault Clearance time]]-IGA_BD[[#This Row],[Work Start TimeStamp]])*24</f>
        <v>1.133333333333332</v>
      </c>
      <c r="Q130" s="6">
        <f>(IGA_BD[[#This Row],[Fault Clearance time]]-IGA_BD[[#This Row],[Fault Start TimeStamp]])*24</f>
        <v>1.133333333333332</v>
      </c>
      <c r="R130" t="s">
        <v>4298</v>
      </c>
      <c r="S130" s="4" t="s">
        <v>255</v>
      </c>
      <c r="T130" s="302">
        <f>IFERROR(IGA_BD[[#This Row],[Breakdown Time]]*IGA_BD[[#This Row],[Plant Equivalent Weightage]],"")</f>
        <v>0.56666666666666599</v>
      </c>
      <c r="U130" s="302"/>
      <c r="V130" s="302"/>
      <c r="W130">
        <v>19774</v>
      </c>
    </row>
    <row r="131" spans="1:23">
      <c r="A131" s="10">
        <f t="shared" si="1"/>
        <v>127</v>
      </c>
      <c r="B131" s="10">
        <f>YEAR(IGA_BD[[#This Row],[Date]])+IF(MONTH(IGA_BD[[#This Row],[Date]])&gt;=4,1,0)</f>
        <v>2026</v>
      </c>
      <c r="C131" s="10">
        <v>2025</v>
      </c>
      <c r="D131" s="10" t="s">
        <v>4478</v>
      </c>
      <c r="E131" s="309">
        <f>IGA_BD[[#This Row],[Date]]-DAY(IGA_BD[[#This Row],[Date]])+1</f>
        <v>45809</v>
      </c>
      <c r="F131" s="32">
        <v>45809</v>
      </c>
      <c r="G131" t="s">
        <v>390</v>
      </c>
      <c r="H131" s="4">
        <f>IFERROR(VLOOKUP(IGA_BD[[#This Row],[Affected Feeder ]],'Basic Data'!$A$3:$E$50,2,0),"")</f>
        <v>0</v>
      </c>
      <c r="I131" s="4">
        <f>IFERROR(VLOOKUP(IGA_BD[[#This Row],[Affected Feeder ]],'Basic Data'!$A$3:$E$50,3,0),"")</f>
        <v>0</v>
      </c>
      <c r="J131" s="9">
        <f>IFERROR(VLOOKUP(IGA_BD[[#This Row],[Affected Feeder ]],'Basic Data'!$A$3:$E$50,5,0),"")</f>
        <v>0.5</v>
      </c>
      <c r="K131" t="s">
        <v>389</v>
      </c>
      <c r="L131" s="35">
        <v>0.68055555555555558</v>
      </c>
      <c r="M131" s="35">
        <v>0.68055555555555558</v>
      </c>
      <c r="N131" s="35">
        <v>0.68611111111111112</v>
      </c>
      <c r="O131" s="6">
        <f>(IGA_BD[[#This Row],[Work Start TimeStamp]]-IGA_BD[[#This Row],[Fault Start TimeStamp]])*24</f>
        <v>0</v>
      </c>
      <c r="P131" s="6">
        <f>(IGA_BD[[#This Row],[Fault Clearance time]]-IGA_BD[[#This Row],[Work Start TimeStamp]])*24</f>
        <v>0.13333333333333286</v>
      </c>
      <c r="Q131" s="6">
        <f>(IGA_BD[[#This Row],[Fault Clearance time]]-IGA_BD[[#This Row],[Fault Start TimeStamp]])*24</f>
        <v>0.13333333333333286</v>
      </c>
      <c r="R131" t="s">
        <v>4298</v>
      </c>
      <c r="S131" s="4" t="s">
        <v>255</v>
      </c>
      <c r="T131" s="302">
        <f>IFERROR(IGA_BD[[#This Row],[Breakdown Time]]*IGA_BD[[#This Row],[Plant Equivalent Weightage]],"")</f>
        <v>6.666666666666643E-2</v>
      </c>
      <c r="U131" s="302"/>
      <c r="V131" s="302"/>
      <c r="W131">
        <v>1862</v>
      </c>
    </row>
    <row r="132" spans="1:23">
      <c r="A132" s="10">
        <f t="shared" si="1"/>
        <v>128</v>
      </c>
      <c r="B132" s="10">
        <f>YEAR(IGA_BD[[#This Row],[Date]])+IF(MONTH(IGA_BD[[#This Row],[Date]])&gt;=4,1,0)</f>
        <v>2026</v>
      </c>
      <c r="C132" s="10">
        <v>2025</v>
      </c>
      <c r="D132" s="10" t="s">
        <v>4478</v>
      </c>
      <c r="E132" s="309">
        <f>IGA_BD[[#This Row],[Date]]-DAY(IGA_BD[[#This Row],[Date]])+1</f>
        <v>45809</v>
      </c>
      <c r="F132" s="32">
        <v>45809</v>
      </c>
      <c r="G132" t="s">
        <v>390</v>
      </c>
      <c r="H132" s="4">
        <f>IFERROR(VLOOKUP(IGA_BD[[#This Row],[Affected Feeder ]],'Basic Data'!$A$3:$E$50,2,0),"")</f>
        <v>0</v>
      </c>
      <c r="I132" s="4">
        <f>IFERROR(VLOOKUP(IGA_BD[[#This Row],[Affected Feeder ]],'Basic Data'!$A$3:$E$50,3,0),"")</f>
        <v>0</v>
      </c>
      <c r="J132" s="9">
        <f>IFERROR(VLOOKUP(IGA_BD[[#This Row],[Affected Feeder ]],'Basic Data'!$A$3:$E$50,5,0),"")</f>
        <v>0.5</v>
      </c>
      <c r="K132" t="s">
        <v>389</v>
      </c>
      <c r="L132" s="35">
        <v>0.69652777777777775</v>
      </c>
      <c r="M132" s="35">
        <v>0.69652777777777775</v>
      </c>
      <c r="N132" s="35">
        <v>0.70833333333333337</v>
      </c>
      <c r="O132" s="6">
        <f>(IGA_BD[[#This Row],[Work Start TimeStamp]]-IGA_BD[[#This Row],[Fault Start TimeStamp]])*24</f>
        <v>0</v>
      </c>
      <c r="P132" s="6">
        <f>(IGA_BD[[#This Row],[Fault Clearance time]]-IGA_BD[[#This Row],[Work Start TimeStamp]])*24</f>
        <v>0.28333333333333499</v>
      </c>
      <c r="Q132" s="6">
        <f>(IGA_BD[[#This Row],[Fault Clearance time]]-IGA_BD[[#This Row],[Fault Start TimeStamp]])*24</f>
        <v>0.28333333333333499</v>
      </c>
      <c r="R132" t="s">
        <v>4298</v>
      </c>
      <c r="S132" s="4" t="s">
        <v>255</v>
      </c>
      <c r="T132" s="302">
        <f>IFERROR(IGA_BD[[#This Row],[Breakdown Time]]*IGA_BD[[#This Row],[Plant Equivalent Weightage]],"")</f>
        <v>0.1416666666666675</v>
      </c>
      <c r="U132" s="302"/>
      <c r="V132" s="302"/>
      <c r="W132">
        <v>1862</v>
      </c>
    </row>
    <row r="133" spans="1:23">
      <c r="A133" s="10">
        <f t="shared" si="1"/>
        <v>129</v>
      </c>
      <c r="B133" s="10">
        <f>YEAR(IGA_BD[[#This Row],[Date]])+IF(MONTH(IGA_BD[[#This Row],[Date]])&gt;=4,1,0)</f>
        <v>2026</v>
      </c>
      <c r="C133" s="10">
        <v>2025</v>
      </c>
      <c r="D133" s="10" t="s">
        <v>4478</v>
      </c>
      <c r="E133" s="309">
        <f>IGA_BD[[#This Row],[Date]]-DAY(IGA_BD[[#This Row],[Date]])+1</f>
        <v>45809</v>
      </c>
      <c r="F133" s="32">
        <v>45810</v>
      </c>
      <c r="G133" t="s">
        <v>390</v>
      </c>
      <c r="H133" s="4">
        <f>IFERROR(VLOOKUP(IGA_BD[[#This Row],[Affected Feeder ]],'Basic Data'!$A$3:$E$50,2,0),"")</f>
        <v>0</v>
      </c>
      <c r="I133" s="4">
        <f>IFERROR(VLOOKUP(IGA_BD[[#This Row],[Affected Feeder ]],'Basic Data'!$A$3:$E$50,3,0),"")</f>
        <v>0</v>
      </c>
      <c r="J133" s="9">
        <f>IFERROR(VLOOKUP(IGA_BD[[#This Row],[Affected Feeder ]],'Basic Data'!$A$3:$E$50,5,0),"")</f>
        <v>0.5</v>
      </c>
      <c r="K133" s="333" t="s">
        <v>4612</v>
      </c>
      <c r="L133" s="35">
        <v>0.56527777777777777</v>
      </c>
      <c r="M133" s="35">
        <v>0.56527777777777777</v>
      </c>
      <c r="N133" s="35">
        <v>0.59791666666666665</v>
      </c>
      <c r="O133" s="6">
        <f>(IGA_BD[[#This Row],[Work Start TimeStamp]]-IGA_BD[[#This Row],[Fault Start TimeStamp]])*24</f>
        <v>0</v>
      </c>
      <c r="P133" s="6">
        <f>(IGA_BD[[#This Row],[Fault Clearance time]]-IGA_BD[[#This Row],[Work Start TimeStamp]])*24</f>
        <v>0.78333333333333321</v>
      </c>
      <c r="Q133" s="6">
        <f>(IGA_BD[[#This Row],[Fault Clearance time]]-IGA_BD[[#This Row],[Fault Start TimeStamp]])*24</f>
        <v>0.78333333333333321</v>
      </c>
      <c r="R133" s="33" t="s">
        <v>4613</v>
      </c>
      <c r="S133" s="4" t="s">
        <v>255</v>
      </c>
      <c r="T133" s="302">
        <f>IFERROR(IGA_BD[[#This Row],[Breakdown Time]]*IGA_BD[[#This Row],[Plant Equivalent Weightage]],"")</f>
        <v>0.39166666666666661</v>
      </c>
      <c r="U133" s="302"/>
      <c r="V133" s="302"/>
      <c r="W133">
        <v>10611</v>
      </c>
    </row>
    <row r="134" spans="1:23">
      <c r="A134" s="10">
        <f t="shared" si="1"/>
        <v>130</v>
      </c>
      <c r="B134" s="10">
        <f>YEAR(IGA_BD[[#This Row],[Date]])+IF(MONTH(IGA_BD[[#This Row],[Date]])&gt;=4,1,0)</f>
        <v>2026</v>
      </c>
      <c r="C134" s="10">
        <v>2025</v>
      </c>
      <c r="D134" s="10" t="s">
        <v>4478</v>
      </c>
      <c r="E134" s="309">
        <f>IGA_BD[[#This Row],[Date]]-DAY(IGA_BD[[#This Row],[Date]])+1</f>
        <v>45809</v>
      </c>
      <c r="F134" s="32">
        <v>45810</v>
      </c>
      <c r="G134" t="s">
        <v>390</v>
      </c>
      <c r="H134" s="4">
        <f>IFERROR(VLOOKUP(IGA_BD[[#This Row],[Affected Feeder ]],'Basic Data'!$A$3:$E$50,2,0),"")</f>
        <v>0</v>
      </c>
      <c r="I134" s="4">
        <f>IFERROR(VLOOKUP(IGA_BD[[#This Row],[Affected Feeder ]],'Basic Data'!$A$3:$E$50,3,0),"")</f>
        <v>0</v>
      </c>
      <c r="J134" s="9">
        <f>IFERROR(VLOOKUP(IGA_BD[[#This Row],[Affected Feeder ]],'Basic Data'!$A$3:$E$50,5,0),"")</f>
        <v>0.5</v>
      </c>
      <c r="K134" t="s">
        <v>389</v>
      </c>
      <c r="L134" s="35">
        <v>0.67569444444444449</v>
      </c>
      <c r="M134" s="35">
        <v>0.67569444444444449</v>
      </c>
      <c r="N134" s="35">
        <v>0.68611111111111112</v>
      </c>
      <c r="O134" s="6">
        <f>(IGA_BD[[#This Row],[Work Start TimeStamp]]-IGA_BD[[#This Row],[Fault Start TimeStamp]])*24</f>
        <v>0</v>
      </c>
      <c r="P134" s="6">
        <f>(IGA_BD[[#This Row],[Fault Clearance time]]-IGA_BD[[#This Row],[Work Start TimeStamp]])*24</f>
        <v>0.24999999999999911</v>
      </c>
      <c r="Q134" s="6">
        <f>(IGA_BD[[#This Row],[Fault Clearance time]]-IGA_BD[[#This Row],[Fault Start TimeStamp]])*24</f>
        <v>0.24999999999999911</v>
      </c>
      <c r="R134" t="s">
        <v>4298</v>
      </c>
      <c r="S134" s="4" t="s">
        <v>255</v>
      </c>
      <c r="T134" s="302">
        <f>IFERROR(IGA_BD[[#This Row],[Breakdown Time]]*IGA_BD[[#This Row],[Plant Equivalent Weightage]],"")</f>
        <v>0.12499999999999956</v>
      </c>
      <c r="U134" s="302"/>
      <c r="V134" s="302"/>
      <c r="W134">
        <v>3387</v>
      </c>
    </row>
    <row r="135" spans="1:23">
      <c r="A135" s="10">
        <f>A134+1</f>
        <v>131</v>
      </c>
      <c r="B135" s="10">
        <f>YEAR(IGA_BD[[#This Row],[Date]])+IF(MONTH(IGA_BD[[#This Row],[Date]])&gt;=4,1,0)</f>
        <v>2026</v>
      </c>
      <c r="C135" s="10">
        <v>2025</v>
      </c>
      <c r="D135" s="10" t="s">
        <v>4478</v>
      </c>
      <c r="E135" s="309">
        <f>IGA_BD[[#This Row],[Date]]-DAY(IGA_BD[[#This Row],[Date]])+1</f>
        <v>45809</v>
      </c>
      <c r="F135" s="32">
        <v>45813</v>
      </c>
      <c r="G135" t="s">
        <v>390</v>
      </c>
      <c r="H135" s="4">
        <f>IFERROR(VLOOKUP(IGA_BD[[#This Row],[Affected Feeder ]],'Basic Data'!$A$3:$E$50,2,0),"")</f>
        <v>0</v>
      </c>
      <c r="I135" s="4">
        <f>IFERROR(VLOOKUP(IGA_BD[[#This Row],[Affected Feeder ]],'Basic Data'!$A$3:$E$50,3,0),"")</f>
        <v>0</v>
      </c>
      <c r="J135" s="9">
        <f>IFERROR(VLOOKUP(IGA_BD[[#This Row],[Affected Feeder ]],'Basic Data'!$A$3:$E$50,5,0),"")</f>
        <v>0.5</v>
      </c>
      <c r="K135" t="s">
        <v>388</v>
      </c>
      <c r="L135" s="35">
        <v>0.58680555555555558</v>
      </c>
      <c r="M135" s="35">
        <v>0.58680555555555558</v>
      </c>
      <c r="N135" s="35">
        <v>0.60624999999999996</v>
      </c>
      <c r="O135" s="6">
        <f>(IGA_BD[[#This Row],[Work Start TimeStamp]]-IGA_BD[[#This Row],[Fault Start TimeStamp]])*24</f>
        <v>0</v>
      </c>
      <c r="P135" s="6">
        <f>(IGA_BD[[#This Row],[Fault Clearance time]]-IGA_BD[[#This Row],[Work Start TimeStamp]])*24</f>
        <v>0.46666666666666501</v>
      </c>
      <c r="Q135" s="6">
        <f>(IGA_BD[[#This Row],[Fault Clearance time]]-IGA_BD[[#This Row],[Fault Start TimeStamp]])*24</f>
        <v>0.46666666666666501</v>
      </c>
      <c r="R135" t="s">
        <v>4298</v>
      </c>
      <c r="S135" s="4" t="s">
        <v>255</v>
      </c>
      <c r="T135" s="302">
        <f>IFERROR(IGA_BD[[#This Row],[Breakdown Time]]*IGA_BD[[#This Row],[Plant Equivalent Weightage]],"")</f>
        <v>0.2333333333333325</v>
      </c>
      <c r="U135" s="4"/>
      <c r="V135" s="4"/>
      <c r="W135">
        <v>3332</v>
      </c>
    </row>
    <row r="136" spans="1:23">
      <c r="A136" s="10">
        <f t="shared" ref="A136:A176" si="2">A135+1</f>
        <v>132</v>
      </c>
      <c r="B136" s="10">
        <f>YEAR(IGA_BD[[#This Row],[Date]])+IF(MONTH(IGA_BD[[#This Row],[Date]])&gt;=4,1,0)</f>
        <v>2026</v>
      </c>
      <c r="C136" s="10">
        <v>2025</v>
      </c>
      <c r="D136" s="10" t="s">
        <v>4478</v>
      </c>
      <c r="E136" s="309">
        <f>IGA_BD[[#This Row],[Date]]-DAY(IGA_BD[[#This Row],[Date]])+1</f>
        <v>45809</v>
      </c>
      <c r="F136" s="32">
        <v>45813</v>
      </c>
      <c r="G136" t="s">
        <v>566</v>
      </c>
      <c r="H136" s="4">
        <f>IFERROR(VLOOKUP(IGA_BD[[#This Row],[Affected Feeder ]],'Basic Data'!$A$3:$E$50,2,0),"")</f>
        <v>0</v>
      </c>
      <c r="I136" s="4">
        <f>IFERROR(VLOOKUP(IGA_BD[[#This Row],[Affected Feeder ]],'Basic Data'!$A$3:$E$50,3,0),"")</f>
        <v>0</v>
      </c>
      <c r="J136" s="9">
        <f>IFERROR(VLOOKUP(IGA_BD[[#This Row],[Affected Feeder ]],'Basic Data'!$A$3:$E$50,5,0),"")</f>
        <v>0.5</v>
      </c>
      <c r="K136" t="s">
        <v>388</v>
      </c>
      <c r="L136" s="35">
        <v>0.58680555555555558</v>
      </c>
      <c r="M136" s="35">
        <v>0.58680555555555558</v>
      </c>
      <c r="N136" s="35">
        <v>0.60624999999999996</v>
      </c>
      <c r="O136" s="6">
        <f>(IGA_BD[[#This Row],[Work Start TimeStamp]]-IGA_BD[[#This Row],[Fault Start TimeStamp]])*24</f>
        <v>0</v>
      </c>
      <c r="P136" s="6">
        <f>(IGA_BD[[#This Row],[Fault Clearance time]]-IGA_BD[[#This Row],[Work Start TimeStamp]])*24</f>
        <v>0.46666666666666501</v>
      </c>
      <c r="Q136" s="6">
        <f>(IGA_BD[[#This Row],[Fault Clearance time]]-IGA_BD[[#This Row],[Fault Start TimeStamp]])*24</f>
        <v>0.46666666666666501</v>
      </c>
      <c r="R136" t="s">
        <v>4298</v>
      </c>
      <c r="S136" s="4" t="s">
        <v>255</v>
      </c>
      <c r="T136" s="302">
        <f>IFERROR(IGA_BD[[#This Row],[Breakdown Time]]*IGA_BD[[#This Row],[Plant Equivalent Weightage]],"")</f>
        <v>0.2333333333333325</v>
      </c>
      <c r="U136" s="4"/>
      <c r="V136" s="4"/>
      <c r="W136">
        <v>3054</v>
      </c>
    </row>
    <row r="137" spans="1:23">
      <c r="A137" s="10">
        <f t="shared" si="2"/>
        <v>133</v>
      </c>
      <c r="B137" s="10">
        <f>YEAR(IGA_BD[[#This Row],[Date]])+IF(MONTH(IGA_BD[[#This Row],[Date]])&gt;=4,1,0)</f>
        <v>2026</v>
      </c>
      <c r="C137" s="10">
        <v>2025</v>
      </c>
      <c r="D137" s="10" t="s">
        <v>4478</v>
      </c>
      <c r="E137" s="309">
        <f>IGA_BD[[#This Row],[Date]]-DAY(IGA_BD[[#This Row],[Date]])+1</f>
        <v>45809</v>
      </c>
      <c r="F137" s="32">
        <v>45813</v>
      </c>
      <c r="G137" t="s">
        <v>390</v>
      </c>
      <c r="H137" s="4">
        <f>IFERROR(VLOOKUP(IGA_BD[[#This Row],[Affected Feeder ]],'Basic Data'!$A$3:$E$50,2,0),"")</f>
        <v>0</v>
      </c>
      <c r="I137" s="4">
        <f>IFERROR(VLOOKUP(IGA_BD[[#This Row],[Affected Feeder ]],'Basic Data'!$A$3:$E$50,3,0),"")</f>
        <v>0</v>
      </c>
      <c r="J137" s="9">
        <f>IFERROR(VLOOKUP(IGA_BD[[#This Row],[Affected Feeder ]],'Basic Data'!$A$3:$E$50,5,0),"")</f>
        <v>0.5</v>
      </c>
      <c r="K137" t="s">
        <v>4633</v>
      </c>
      <c r="L137" s="35">
        <v>0.74722222222222223</v>
      </c>
      <c r="M137" s="35">
        <v>0.74722222222222223</v>
      </c>
      <c r="N137" s="35">
        <v>0.76388888888888884</v>
      </c>
      <c r="O137" s="6">
        <f>(IGA_BD[[#This Row],[Work Start TimeStamp]]-IGA_BD[[#This Row],[Fault Start TimeStamp]])*24</f>
        <v>0</v>
      </c>
      <c r="P137" s="6">
        <f>(IGA_BD[[#This Row],[Fault Clearance time]]-IGA_BD[[#This Row],[Work Start TimeStamp]])*24</f>
        <v>0.39999999999999858</v>
      </c>
      <c r="Q137" s="6">
        <f>(IGA_BD[[#This Row],[Fault Clearance time]]-IGA_BD[[#This Row],[Fault Start TimeStamp]])*24</f>
        <v>0.39999999999999858</v>
      </c>
      <c r="R137" t="s">
        <v>4634</v>
      </c>
      <c r="S137" s="4" t="s">
        <v>255</v>
      </c>
      <c r="T137" s="302">
        <f>IFERROR(IGA_BD[[#This Row],[Breakdown Time]]*IGA_BD[[#This Row],[Plant Equivalent Weightage]],"")</f>
        <v>0.19999999999999929</v>
      </c>
      <c r="U137" s="4"/>
      <c r="V137" s="4"/>
      <c r="W137">
        <v>2856</v>
      </c>
    </row>
    <row r="138" spans="1:23">
      <c r="A138" s="10">
        <f t="shared" si="2"/>
        <v>134</v>
      </c>
      <c r="B138" s="10">
        <f>YEAR(IGA_BD[[#This Row],[Date]])+IF(MONTH(IGA_BD[[#This Row],[Date]])&gt;=4,1,0)</f>
        <v>2026</v>
      </c>
      <c r="C138" s="10">
        <v>2025</v>
      </c>
      <c r="D138" s="10" t="s">
        <v>4478</v>
      </c>
      <c r="E138" s="309">
        <f>IGA_BD[[#This Row],[Date]]-DAY(IGA_BD[[#This Row],[Date]])+1</f>
        <v>45809</v>
      </c>
      <c r="F138" s="32">
        <v>45814</v>
      </c>
      <c r="G138" t="s">
        <v>390</v>
      </c>
      <c r="H138" s="4">
        <f>IFERROR(VLOOKUP(IGA_BD[[#This Row],[Affected Feeder ]],'Basic Data'!$A$3:$E$50,2,0),"")</f>
        <v>0</v>
      </c>
      <c r="I138" s="4">
        <f>IFERROR(VLOOKUP(IGA_BD[[#This Row],[Affected Feeder ]],'Basic Data'!$A$3:$E$50,3,0),"")</f>
        <v>0</v>
      </c>
      <c r="J138" s="9">
        <f>IFERROR(VLOOKUP(IGA_BD[[#This Row],[Affected Feeder ]],'Basic Data'!$A$3:$E$50,5,0),"")</f>
        <v>0.5</v>
      </c>
      <c r="K138" t="s">
        <v>388</v>
      </c>
      <c r="L138" s="35">
        <v>0.67361111111111116</v>
      </c>
      <c r="M138" s="35">
        <v>0.67361111111111116</v>
      </c>
      <c r="N138" s="35">
        <v>0.67708333333333337</v>
      </c>
      <c r="O138" s="6">
        <f>(IGA_BD[[#This Row],[Work Start TimeStamp]]-IGA_BD[[#This Row],[Fault Start TimeStamp]])*24</f>
        <v>0</v>
      </c>
      <c r="P138" s="6">
        <f>(IGA_BD[[#This Row],[Fault Clearance time]]-IGA_BD[[#This Row],[Work Start TimeStamp]])*24</f>
        <v>8.3333333333333037E-2</v>
      </c>
      <c r="Q138" s="6">
        <f>(IGA_BD[[#This Row],[Fault Clearance time]]-IGA_BD[[#This Row],[Fault Start TimeStamp]])*24</f>
        <v>8.3333333333333037E-2</v>
      </c>
      <c r="R138" t="s">
        <v>4298</v>
      </c>
      <c r="S138" s="4" t="s">
        <v>255</v>
      </c>
      <c r="T138" s="302">
        <f>IFERROR(IGA_BD[[#This Row],[Breakdown Time]]*IGA_BD[[#This Row],[Plant Equivalent Weightage]],"")</f>
        <v>4.1666666666666519E-2</v>
      </c>
      <c r="U138" s="4"/>
      <c r="V138" s="4"/>
      <c r="W138">
        <v>500</v>
      </c>
    </row>
    <row r="139" spans="1:23">
      <c r="A139" s="10">
        <f t="shared" si="2"/>
        <v>135</v>
      </c>
      <c r="B139" s="10">
        <f>YEAR(IGA_BD[[#This Row],[Date]])+IF(MONTH(IGA_BD[[#This Row],[Date]])&gt;=4,1,0)</f>
        <v>2026</v>
      </c>
      <c r="C139" s="10">
        <v>2025</v>
      </c>
      <c r="D139" s="10" t="s">
        <v>4478</v>
      </c>
      <c r="E139" s="309">
        <f>IGA_BD[[#This Row],[Date]]-DAY(IGA_BD[[#This Row],[Date]])+1</f>
        <v>45809</v>
      </c>
      <c r="F139" s="32">
        <v>45816</v>
      </c>
      <c r="G139" t="s">
        <v>390</v>
      </c>
      <c r="H139" s="4">
        <f>IFERROR(VLOOKUP(IGA_BD[[#This Row],[Affected Feeder ]],'Basic Data'!$A$3:$E$50,2,0),"")</f>
        <v>0</v>
      </c>
      <c r="I139" s="4">
        <f>IFERROR(VLOOKUP(IGA_BD[[#This Row],[Affected Feeder ]],'Basic Data'!$A$3:$E$50,3,0),"")</f>
        <v>0</v>
      </c>
      <c r="J139" s="9">
        <f>IFERROR(VLOOKUP(IGA_BD[[#This Row],[Affected Feeder ]],'Basic Data'!$A$3:$E$50,5,0),"")</f>
        <v>0.5</v>
      </c>
      <c r="K139" t="s">
        <v>388</v>
      </c>
      <c r="L139" s="35">
        <v>0.33541666666666664</v>
      </c>
      <c r="M139" s="35">
        <v>0.33541666666666664</v>
      </c>
      <c r="N139" s="35">
        <v>0.34097222222222223</v>
      </c>
      <c r="O139" s="6">
        <f>(IGA_BD[[#This Row],[Work Start TimeStamp]]-IGA_BD[[#This Row],[Fault Start TimeStamp]])*24</f>
        <v>0</v>
      </c>
      <c r="P139" s="6">
        <f>(IGA_BD[[#This Row],[Fault Clearance time]]-IGA_BD[[#This Row],[Work Start TimeStamp]])*24</f>
        <v>0.13333333333333419</v>
      </c>
      <c r="Q139" s="6">
        <f>(IGA_BD[[#This Row],[Fault Clearance time]]-IGA_BD[[#This Row],[Fault Start TimeStamp]])*24</f>
        <v>0.13333333333333419</v>
      </c>
      <c r="R139" t="s">
        <v>4298</v>
      </c>
      <c r="S139" s="4" t="s">
        <v>255</v>
      </c>
      <c r="T139" s="302">
        <f>IFERROR(IGA_BD[[#This Row],[Breakdown Time]]*IGA_BD[[#This Row],[Plant Equivalent Weightage]],"")</f>
        <v>6.6666666666667096E-2</v>
      </c>
      <c r="U139" s="4"/>
      <c r="V139" s="4"/>
      <c r="W139">
        <v>1316</v>
      </c>
    </row>
    <row r="140" spans="1:23">
      <c r="A140" s="10">
        <f t="shared" si="2"/>
        <v>136</v>
      </c>
      <c r="B140" s="10">
        <f>YEAR(IGA_BD[[#This Row],[Date]])+IF(MONTH(IGA_BD[[#This Row],[Date]])&gt;=4,1,0)</f>
        <v>2026</v>
      </c>
      <c r="C140" s="10">
        <v>2025</v>
      </c>
      <c r="D140" s="10" t="s">
        <v>4478</v>
      </c>
      <c r="E140" s="309">
        <f>IGA_BD[[#This Row],[Date]]-DAY(IGA_BD[[#This Row],[Date]])+1</f>
        <v>45809</v>
      </c>
      <c r="F140" s="32">
        <v>45817</v>
      </c>
      <c r="G140" t="s">
        <v>390</v>
      </c>
      <c r="H140" s="4">
        <f>IFERROR(VLOOKUP(IGA_BD[[#This Row],[Affected Feeder ]],'Basic Data'!$A$3:$E$50,2,0),"")</f>
        <v>0</v>
      </c>
      <c r="I140" s="4">
        <f>IFERROR(VLOOKUP(IGA_BD[[#This Row],[Affected Feeder ]],'Basic Data'!$A$3:$E$50,3,0),"")</f>
        <v>0</v>
      </c>
      <c r="J140" s="9">
        <f>IFERROR(VLOOKUP(IGA_BD[[#This Row],[Affected Feeder ]],'Basic Data'!$A$3:$E$50,5,0),"")</f>
        <v>0.5</v>
      </c>
      <c r="K140" s="333" t="s">
        <v>4639</v>
      </c>
      <c r="L140" s="35">
        <v>2.2222222222222223E-2</v>
      </c>
      <c r="M140" s="35">
        <v>2.2222222222222223E-2</v>
      </c>
      <c r="N140" s="35">
        <v>0.26458333333333334</v>
      </c>
      <c r="O140" s="6">
        <f>(IGA_BD[[#This Row],[Work Start TimeStamp]]-IGA_BD[[#This Row],[Fault Start TimeStamp]])*24</f>
        <v>0</v>
      </c>
      <c r="P140" s="6">
        <f>(IGA_BD[[#This Row],[Fault Clearance time]]-IGA_BD[[#This Row],[Work Start TimeStamp]])*24</f>
        <v>5.8166666666666664</v>
      </c>
      <c r="Q140" s="6">
        <f>(IGA_BD[[#This Row],[Fault Clearance time]]-IGA_BD[[#This Row],[Fault Start TimeStamp]])*24</f>
        <v>5.8166666666666664</v>
      </c>
      <c r="R140" t="s">
        <v>4636</v>
      </c>
      <c r="S140" s="4" t="s">
        <v>255</v>
      </c>
      <c r="T140" s="302">
        <f>IFERROR(IGA_BD[[#This Row],[Breakdown Time]]*IGA_BD[[#This Row],[Plant Equivalent Weightage]],"")</f>
        <v>2.9083333333333332</v>
      </c>
      <c r="U140" s="4"/>
      <c r="V140" s="4"/>
      <c r="W140">
        <v>60024</v>
      </c>
    </row>
    <row r="141" spans="1:23">
      <c r="A141" s="10">
        <f t="shared" si="2"/>
        <v>137</v>
      </c>
      <c r="B141" s="10">
        <f>YEAR(IGA_BD[[#This Row],[Date]])+IF(MONTH(IGA_BD[[#This Row],[Date]])&gt;=4,1,0)</f>
        <v>2026</v>
      </c>
      <c r="C141" s="10">
        <v>2025</v>
      </c>
      <c r="D141" s="10" t="s">
        <v>4478</v>
      </c>
      <c r="E141" s="309">
        <f>IGA_BD[[#This Row],[Date]]-DAY(IGA_BD[[#This Row],[Date]])+1</f>
        <v>45809</v>
      </c>
      <c r="F141" s="32">
        <v>45820</v>
      </c>
      <c r="G141" t="s">
        <v>390</v>
      </c>
      <c r="H141" s="4">
        <f>IFERROR(VLOOKUP(IGA_BD[[#This Row],[Affected Feeder ]],'Basic Data'!$A$3:$E$50,2,0),"")</f>
        <v>0</v>
      </c>
      <c r="I141" s="4">
        <f>IFERROR(VLOOKUP(IGA_BD[[#This Row],[Affected Feeder ]],'Basic Data'!$A$3:$E$50,3,0),"")</f>
        <v>0</v>
      </c>
      <c r="J141" s="9">
        <f>IFERROR(VLOOKUP(IGA_BD[[#This Row],[Affected Feeder ]],'Basic Data'!$A$3:$E$50,5,0),"")</f>
        <v>0.5</v>
      </c>
      <c r="K141" s="33" t="s">
        <v>4645</v>
      </c>
      <c r="L141" s="35">
        <v>0.67361111111111116</v>
      </c>
      <c r="M141" s="35">
        <v>0.67361111111111116</v>
      </c>
      <c r="N141" s="35">
        <v>0.70138888888888884</v>
      </c>
      <c r="O141" s="6">
        <f>(IGA_BD[[#This Row],[Work Start TimeStamp]]-IGA_BD[[#This Row],[Fault Start TimeStamp]])*24</f>
        <v>0</v>
      </c>
      <c r="P141" s="6">
        <f>(IGA_BD[[#This Row],[Fault Clearance time]]-IGA_BD[[#This Row],[Work Start TimeStamp]])*24</f>
        <v>0.6666666666666643</v>
      </c>
      <c r="Q141" s="6">
        <f>(IGA_BD[[#This Row],[Fault Clearance time]]-IGA_BD[[#This Row],[Fault Start TimeStamp]])*24</f>
        <v>0.6666666666666643</v>
      </c>
      <c r="R141" s="33" t="s">
        <v>4643</v>
      </c>
      <c r="S141" s="4" t="s">
        <v>255</v>
      </c>
      <c r="T141" s="302">
        <f>IFERROR(IGA_BD[[#This Row],[Breakdown Time]]*IGA_BD[[#This Row],[Plant Equivalent Weightage]],"")</f>
        <v>0.33333333333333215</v>
      </c>
      <c r="U141" s="4"/>
      <c r="V141" s="4"/>
      <c r="W141">
        <v>5114</v>
      </c>
    </row>
    <row r="142" spans="1:23">
      <c r="A142" s="10">
        <f t="shared" si="2"/>
        <v>138</v>
      </c>
      <c r="B142" s="10">
        <f>YEAR(IGA_BD[[#This Row],[Date]])+IF(MONTH(IGA_BD[[#This Row],[Date]])&gt;=4,1,0)</f>
        <v>2026</v>
      </c>
      <c r="C142" s="10">
        <v>2025</v>
      </c>
      <c r="D142" s="10" t="s">
        <v>4478</v>
      </c>
      <c r="E142" s="309">
        <f>IGA_BD[[#This Row],[Date]]-DAY(IGA_BD[[#This Row],[Date]])+1</f>
        <v>45809</v>
      </c>
      <c r="F142" s="32">
        <v>45824</v>
      </c>
      <c r="G142" t="s">
        <v>390</v>
      </c>
      <c r="H142" s="4">
        <f>IFERROR(VLOOKUP(IGA_BD[[#This Row],[Affected Feeder ]],'Basic Data'!$A$3:$E$50,2,0),"")</f>
        <v>0</v>
      </c>
      <c r="I142" s="4">
        <f>IFERROR(VLOOKUP(IGA_BD[[#This Row],[Affected Feeder ]],'Basic Data'!$A$3:$E$50,3,0),"")</f>
        <v>0</v>
      </c>
      <c r="J142" s="9">
        <f>IFERROR(VLOOKUP(IGA_BD[[#This Row],[Affected Feeder ]],'Basic Data'!$A$3:$E$50,5,0),"")</f>
        <v>0.5</v>
      </c>
      <c r="K142" t="s">
        <v>388</v>
      </c>
      <c r="L142" s="35">
        <v>0.66874999999999996</v>
      </c>
      <c r="M142" s="35">
        <v>0.66874999999999996</v>
      </c>
      <c r="N142" s="35">
        <v>0.67361111111111116</v>
      </c>
      <c r="O142" s="6">
        <f>(IGA_BD[[#This Row],[Work Start TimeStamp]]-IGA_BD[[#This Row],[Fault Start TimeStamp]])*24</f>
        <v>0</v>
      </c>
      <c r="P142" s="6">
        <f>(IGA_BD[[#This Row],[Fault Clearance time]]-IGA_BD[[#This Row],[Work Start TimeStamp]])*24</f>
        <v>0.11666666666666892</v>
      </c>
      <c r="Q142" s="6">
        <f>(IGA_BD[[#This Row],[Fault Clearance time]]-IGA_BD[[#This Row],[Fault Start TimeStamp]])*24</f>
        <v>0.11666666666666892</v>
      </c>
      <c r="R142" t="s">
        <v>4298</v>
      </c>
      <c r="S142" s="4" t="s">
        <v>255</v>
      </c>
      <c r="T142" s="302">
        <f>IFERROR(IGA_BD[[#This Row],[Breakdown Time]]*IGA_BD[[#This Row],[Plant Equivalent Weightage]],"")</f>
        <v>5.8333333333334458E-2</v>
      </c>
      <c r="U142" s="4"/>
      <c r="V142" s="4"/>
      <c r="W142">
        <v>3077</v>
      </c>
    </row>
    <row r="143" spans="1:23">
      <c r="A143" s="10">
        <f t="shared" si="2"/>
        <v>139</v>
      </c>
      <c r="B143" s="10">
        <f>YEAR(IGA_BD[[#This Row],[Date]])+IF(MONTH(IGA_BD[[#This Row],[Date]])&gt;=4,1,0)</f>
        <v>2026</v>
      </c>
      <c r="C143" s="10">
        <v>2025</v>
      </c>
      <c r="D143" s="10" t="s">
        <v>4478</v>
      </c>
      <c r="E143" s="309">
        <f>IGA_BD[[#This Row],[Date]]-DAY(IGA_BD[[#This Row],[Date]])+1</f>
        <v>45809</v>
      </c>
      <c r="F143" s="32">
        <v>45828</v>
      </c>
      <c r="G143" t="s">
        <v>390</v>
      </c>
      <c r="H143" s="4">
        <f>IFERROR(VLOOKUP(IGA_BD[[#This Row],[Affected Feeder ]],'Basic Data'!$A$3:$E$50,2,0),"")</f>
        <v>0</v>
      </c>
      <c r="I143" s="4">
        <f>IFERROR(VLOOKUP(IGA_BD[[#This Row],[Affected Feeder ]],'Basic Data'!$A$3:$E$50,3,0),"")</f>
        <v>0</v>
      </c>
      <c r="J143" s="9">
        <f>IFERROR(VLOOKUP(IGA_BD[[#This Row],[Affected Feeder ]],'Basic Data'!$A$3:$E$50,5,0),"")</f>
        <v>0.5</v>
      </c>
      <c r="K143" t="s">
        <v>388</v>
      </c>
      <c r="L143" s="35">
        <v>0.26874999999999999</v>
      </c>
      <c r="M143" s="35">
        <v>0.26874999999999999</v>
      </c>
      <c r="N143" s="35">
        <v>0.27708333333333335</v>
      </c>
      <c r="O143" s="6">
        <f>(IGA_BD[[#This Row],[Work Start TimeStamp]]-IGA_BD[[#This Row],[Fault Start TimeStamp]])*24</f>
        <v>0</v>
      </c>
      <c r="P143" s="6">
        <f>(IGA_BD[[#This Row],[Fault Clearance time]]-IGA_BD[[#This Row],[Work Start TimeStamp]])*24</f>
        <v>0.20000000000000062</v>
      </c>
      <c r="Q143" s="6">
        <f>(IGA_BD[[#This Row],[Fault Clearance time]]-IGA_BD[[#This Row],[Fault Start TimeStamp]])*24</f>
        <v>0.20000000000000062</v>
      </c>
      <c r="R143" t="s">
        <v>4298</v>
      </c>
      <c r="S143" s="4" t="s">
        <v>255</v>
      </c>
      <c r="T143" s="302">
        <f>IFERROR(IGA_BD[[#This Row],[Breakdown Time]]*IGA_BD[[#This Row],[Plant Equivalent Weightage]],"")</f>
        <v>0.10000000000000031</v>
      </c>
      <c r="U143" s="4"/>
      <c r="V143" s="4"/>
      <c r="W143">
        <v>4951</v>
      </c>
    </row>
    <row r="144" spans="1:23">
      <c r="A144" s="10">
        <f t="shared" si="2"/>
        <v>140</v>
      </c>
      <c r="B144" s="10">
        <f>YEAR(IGA_BD[[#This Row],[Date]])+IF(MONTH(IGA_BD[[#This Row],[Date]])&gt;=4,1,0)</f>
        <v>2026</v>
      </c>
      <c r="C144" s="10">
        <v>2025</v>
      </c>
      <c r="D144" s="10" t="s">
        <v>4478</v>
      </c>
      <c r="E144" s="309">
        <f>IGA_BD[[#This Row],[Date]]-DAY(IGA_BD[[#This Row],[Date]])+1</f>
        <v>45809</v>
      </c>
      <c r="F144" s="32">
        <v>45833</v>
      </c>
      <c r="G144" t="s">
        <v>390</v>
      </c>
      <c r="H144" s="4">
        <f>IFERROR(VLOOKUP(IGA_BD[[#This Row],[Affected Feeder ]],'Basic Data'!$A$3:$E$50,2,0),"")</f>
        <v>0</v>
      </c>
      <c r="I144" s="4">
        <f>IFERROR(VLOOKUP(IGA_BD[[#This Row],[Affected Feeder ]],'Basic Data'!$A$3:$E$50,3,0),"")</f>
        <v>0</v>
      </c>
      <c r="J144" s="9">
        <f>IFERROR(VLOOKUP(IGA_BD[[#This Row],[Affected Feeder ]],'Basic Data'!$A$3:$E$50,5,0),"")</f>
        <v>0.5</v>
      </c>
      <c r="K144" t="s">
        <v>389</v>
      </c>
      <c r="L144" s="35">
        <v>0.75</v>
      </c>
      <c r="M144" s="35">
        <v>0.75</v>
      </c>
      <c r="N144" s="35">
        <v>0.75555555555555554</v>
      </c>
      <c r="O144" s="6">
        <f>(IGA_BD[[#This Row],[Work Start TimeStamp]]-IGA_BD[[#This Row],[Fault Start TimeStamp]])*24</f>
        <v>0</v>
      </c>
      <c r="P144" s="6">
        <f>(IGA_BD[[#This Row],[Fault Clearance time]]-IGA_BD[[#This Row],[Work Start TimeStamp]])*24</f>
        <v>0.13333333333333286</v>
      </c>
      <c r="Q144" s="6">
        <f>(IGA_BD[[#This Row],[Fault Clearance time]]-IGA_BD[[#This Row],[Fault Start TimeStamp]])*24</f>
        <v>0.13333333333333286</v>
      </c>
      <c r="R144" t="s">
        <v>4298</v>
      </c>
      <c r="S144" s="4" t="s">
        <v>255</v>
      </c>
      <c r="T144" s="302">
        <f>IFERROR(IGA_BD[[#This Row],[Breakdown Time]]*IGA_BD[[#This Row],[Plant Equivalent Weightage]],"")</f>
        <v>6.666666666666643E-2</v>
      </c>
      <c r="U144" s="4"/>
      <c r="V144" s="4"/>
      <c r="W144">
        <v>3421</v>
      </c>
    </row>
    <row r="145" spans="1:23">
      <c r="A145" s="10">
        <f t="shared" si="2"/>
        <v>141</v>
      </c>
      <c r="B145" s="10">
        <f>YEAR(IGA_BD[[#This Row],[Date]])+IF(MONTH(IGA_BD[[#This Row],[Date]])&gt;=4,1,0)</f>
        <v>2026</v>
      </c>
      <c r="C145" s="10">
        <v>2025</v>
      </c>
      <c r="D145" s="10" t="s">
        <v>4478</v>
      </c>
      <c r="E145" s="309">
        <f>IGA_BD[[#This Row],[Date]]-DAY(IGA_BD[[#This Row],[Date]])+1</f>
        <v>45809</v>
      </c>
      <c r="F145" s="32">
        <v>45834</v>
      </c>
      <c r="G145" t="s">
        <v>566</v>
      </c>
      <c r="H145" s="4">
        <f>IFERROR(VLOOKUP(IGA_BD[[#This Row],[Affected Feeder ]],'Basic Data'!$A$3:$E$50,2,0),"")</f>
        <v>0</v>
      </c>
      <c r="I145" s="4">
        <f>IFERROR(VLOOKUP(IGA_BD[[#This Row],[Affected Feeder ]],'Basic Data'!$A$3:$E$50,3,0),"")</f>
        <v>0</v>
      </c>
      <c r="J145" s="9">
        <f>IFERROR(VLOOKUP(IGA_BD[[#This Row],[Affected Feeder ]],'Basic Data'!$A$3:$E$50,5,0),"")</f>
        <v>0.5</v>
      </c>
      <c r="K145" t="s">
        <v>388</v>
      </c>
      <c r="L145" s="35">
        <v>0.68888888888888888</v>
      </c>
      <c r="M145" s="35">
        <v>0.68888888888888888</v>
      </c>
      <c r="N145" s="35">
        <v>0.69444444444444442</v>
      </c>
      <c r="O145" s="6">
        <f>(IGA_BD[[#This Row],[Work Start TimeStamp]]-IGA_BD[[#This Row],[Fault Start TimeStamp]])*24</f>
        <v>0</v>
      </c>
      <c r="P145" s="6">
        <f>(IGA_BD[[#This Row],[Fault Clearance time]]-IGA_BD[[#This Row],[Work Start TimeStamp]])*24</f>
        <v>0.13333333333333286</v>
      </c>
      <c r="Q145" s="6">
        <f>(IGA_BD[[#This Row],[Fault Clearance time]]-IGA_BD[[#This Row],[Fault Start TimeStamp]])*24</f>
        <v>0.13333333333333286</v>
      </c>
      <c r="R145" t="s">
        <v>4298</v>
      </c>
      <c r="S145" s="4" t="s">
        <v>255</v>
      </c>
      <c r="T145" s="302">
        <f>IFERROR(IGA_BD[[#This Row],[Breakdown Time]]*IGA_BD[[#This Row],[Plant Equivalent Weightage]],"")</f>
        <v>6.666666666666643E-2</v>
      </c>
      <c r="U145" s="4"/>
      <c r="V145" s="4"/>
      <c r="W145">
        <v>3093</v>
      </c>
    </row>
    <row r="146" spans="1:23">
      <c r="A146" s="10">
        <f t="shared" si="2"/>
        <v>142</v>
      </c>
      <c r="B146" s="10">
        <f>YEAR(IGA_BD[[#This Row],[Date]])+IF(MONTH(IGA_BD[[#This Row],[Date]])&gt;=4,1,0)</f>
        <v>2026</v>
      </c>
      <c r="C146" s="10">
        <v>2025</v>
      </c>
      <c r="D146" s="10" t="s">
        <v>4478</v>
      </c>
      <c r="E146" s="309">
        <f>IGA_BD[[#This Row],[Date]]-DAY(IGA_BD[[#This Row],[Date]])+1</f>
        <v>45809</v>
      </c>
      <c r="F146" s="32">
        <v>45835</v>
      </c>
      <c r="G146" t="s">
        <v>390</v>
      </c>
      <c r="H146" s="4">
        <f>IFERROR(VLOOKUP(IGA_BD[[#This Row],[Affected Feeder ]],'Basic Data'!$A$3:$E$50,2,0),"")</f>
        <v>0</v>
      </c>
      <c r="I146" s="4">
        <f>IFERROR(VLOOKUP(IGA_BD[[#This Row],[Affected Feeder ]],'Basic Data'!$A$3:$E$50,3,0),"")</f>
        <v>0</v>
      </c>
      <c r="J146" s="9">
        <f>IFERROR(VLOOKUP(IGA_BD[[#This Row],[Affected Feeder ]],'Basic Data'!$A$3:$E$50,5,0),"")</f>
        <v>0.5</v>
      </c>
      <c r="K146" t="s">
        <v>4662</v>
      </c>
      <c r="L146" s="35">
        <v>0.64166666666666672</v>
      </c>
      <c r="M146" s="35">
        <v>0.64166666666666672</v>
      </c>
      <c r="N146" s="35">
        <v>0.84097222222222223</v>
      </c>
      <c r="O146" s="6">
        <f>(IGA_BD[[#This Row],[Work Start TimeStamp]]-IGA_BD[[#This Row],[Fault Start TimeStamp]])*24</f>
        <v>0</v>
      </c>
      <c r="P146" s="6">
        <f>(IGA_BD[[#This Row],[Fault Clearance time]]-IGA_BD[[#This Row],[Work Start TimeStamp]])*24</f>
        <v>4.7833333333333323</v>
      </c>
      <c r="Q146" s="6">
        <f>(IGA_BD[[#This Row],[Fault Clearance time]]-IGA_BD[[#This Row],[Fault Start TimeStamp]])*24</f>
        <v>4.7833333333333323</v>
      </c>
      <c r="R146" t="s">
        <v>4660</v>
      </c>
      <c r="S146" s="4" t="s">
        <v>255</v>
      </c>
      <c r="T146" s="302">
        <f>IFERROR(IGA_BD[[#This Row],[Breakdown Time]]*IGA_BD[[#This Row],[Plant Equivalent Weightage]],"")</f>
        <v>2.3916666666666662</v>
      </c>
      <c r="U146" s="4"/>
      <c r="V146" s="4"/>
      <c r="W146">
        <v>117521</v>
      </c>
    </row>
    <row r="147" spans="1:23">
      <c r="A147" s="10">
        <f t="shared" si="2"/>
        <v>143</v>
      </c>
      <c r="B147" s="10">
        <f>YEAR(IGA_BD[[#This Row],[Date]])+IF(MONTH(IGA_BD[[#This Row],[Date]])&gt;=4,1,0)</f>
        <v>2026</v>
      </c>
      <c r="C147" s="10">
        <v>2025</v>
      </c>
      <c r="D147" s="10" t="s">
        <v>4478</v>
      </c>
      <c r="E147" s="309">
        <f>IGA_BD[[#This Row],[Date]]-DAY(IGA_BD[[#This Row],[Date]])+1</f>
        <v>45809</v>
      </c>
      <c r="F147" s="32">
        <v>45835</v>
      </c>
      <c r="G147" t="s">
        <v>387</v>
      </c>
      <c r="H147" s="4">
        <f>IFERROR(VLOOKUP(IGA_BD[[#This Row],[Affected Feeder ]],'Basic Data'!$A$3:$E$50,2,0),"")</f>
        <v>0</v>
      </c>
      <c r="I147" s="4">
        <f>IFERROR(VLOOKUP(IGA_BD[[#This Row],[Affected Feeder ]],'Basic Data'!$A$3:$E$50,3,0),"")</f>
        <v>0</v>
      </c>
      <c r="J147" s="9">
        <f>IFERROR(VLOOKUP(IGA_BD[[#This Row],[Affected Feeder ]],'Basic Data'!$A$3:$E$50,5,0),"")</f>
        <v>0.5</v>
      </c>
      <c r="K147" t="s">
        <v>4659</v>
      </c>
      <c r="L147" s="35">
        <v>0.76944444444444449</v>
      </c>
      <c r="M147" s="35">
        <v>0.76944444444444449</v>
      </c>
      <c r="N147" s="35">
        <v>0.93611111111111112</v>
      </c>
      <c r="O147" s="6">
        <f>(IGA_BD[[#This Row],[Work Start TimeStamp]]-IGA_BD[[#This Row],[Fault Start TimeStamp]])*24</f>
        <v>0</v>
      </c>
      <c r="P147" s="6">
        <f>(IGA_BD[[#This Row],[Fault Clearance time]]-IGA_BD[[#This Row],[Work Start TimeStamp]])*24</f>
        <v>3.9999999999999991</v>
      </c>
      <c r="Q147" s="6">
        <f>(IGA_BD[[#This Row],[Fault Clearance time]]-IGA_BD[[#This Row],[Fault Start TimeStamp]])*24</f>
        <v>3.9999999999999991</v>
      </c>
      <c r="R147" t="s">
        <v>4661</v>
      </c>
      <c r="S147" s="4" t="s">
        <v>255</v>
      </c>
      <c r="T147" s="302">
        <f>IFERROR(IGA_BD[[#This Row],[Breakdown Time]]*IGA_BD[[#This Row],[Plant Equivalent Weightage]],"")</f>
        <v>1.9999999999999996</v>
      </c>
      <c r="U147" s="4"/>
      <c r="V147" s="4"/>
      <c r="W147">
        <v>90086</v>
      </c>
    </row>
    <row r="148" spans="1:23">
      <c r="A148" s="10">
        <f t="shared" si="2"/>
        <v>144</v>
      </c>
      <c r="B148" s="10">
        <v>2026</v>
      </c>
      <c r="C148" s="10">
        <v>2025</v>
      </c>
      <c r="D148" s="10" t="s">
        <v>4478</v>
      </c>
      <c r="E148" s="309">
        <f>IGA_BD[[#This Row],[Date]]-DAY(IGA_BD[[#This Row],[Date]])+1</f>
        <v>45809</v>
      </c>
      <c r="F148" s="32">
        <v>45836</v>
      </c>
      <c r="G148" t="s">
        <v>566</v>
      </c>
      <c r="H148" s="4">
        <f>IFERROR(VLOOKUP(IGA_BD[[#This Row],[Affected Feeder ]],'Basic Data'!$A$3:$E$50,2,0),"")</f>
        <v>0</v>
      </c>
      <c r="I148" s="4">
        <f>IFERROR(VLOOKUP(IGA_BD[[#This Row],[Affected Feeder ]],'Basic Data'!$A$3:$E$50,3,0),"")</f>
        <v>0</v>
      </c>
      <c r="J148" s="9">
        <f>IFERROR(VLOOKUP(IGA_BD[[#This Row],[Affected Feeder ]],'Basic Data'!$A$3:$E$50,5,0),"")</f>
        <v>0.5</v>
      </c>
      <c r="K148" t="s">
        <v>4667</v>
      </c>
      <c r="L148" s="35">
        <v>0.80347222222222225</v>
      </c>
      <c r="M148" s="35">
        <v>0.80347222222222225</v>
      </c>
      <c r="N148" s="35">
        <v>0.81041666666666667</v>
      </c>
      <c r="O148" s="6">
        <f>(IGA_BD[[#This Row],[Work Start TimeStamp]]-IGA_BD[[#This Row],[Fault Start TimeStamp]])*24</f>
        <v>0</v>
      </c>
      <c r="P148" s="6">
        <f>(IGA_BD[[#This Row],[Fault Clearance time]]-IGA_BD[[#This Row],[Work Start TimeStamp]])*24</f>
        <v>0.16666666666666607</v>
      </c>
      <c r="Q148" s="6">
        <f>(IGA_BD[[#This Row],[Fault Clearance time]]-IGA_BD[[#This Row],[Fault Start TimeStamp]])*24</f>
        <v>0.16666666666666607</v>
      </c>
      <c r="R148" t="s">
        <v>4298</v>
      </c>
      <c r="S148" s="4" t="s">
        <v>255</v>
      </c>
      <c r="T148" s="302">
        <f>IFERROR(IGA_BD[[#This Row],[Breakdown Time]]*IGA_BD[[#This Row],[Plant Equivalent Weightage]],"")</f>
        <v>8.3333333333333037E-2</v>
      </c>
      <c r="U148" s="4"/>
      <c r="V148" s="4"/>
      <c r="W148">
        <v>3276</v>
      </c>
    </row>
    <row r="149" spans="1:23">
      <c r="A149" s="10">
        <f t="shared" si="2"/>
        <v>145</v>
      </c>
      <c r="B149" s="10">
        <v>2026</v>
      </c>
      <c r="C149" s="10">
        <v>2025</v>
      </c>
      <c r="D149" s="10" t="s">
        <v>4478</v>
      </c>
      <c r="E149" s="309">
        <f>IGA_BD[[#This Row],[Date]]-DAY(IGA_BD[[#This Row],[Date]])+1</f>
        <v>45809</v>
      </c>
      <c r="F149" s="32">
        <v>45836</v>
      </c>
      <c r="G149" t="s">
        <v>79</v>
      </c>
      <c r="H149" s="4" t="str">
        <f>IFERROR(VLOOKUP(IGA_BD[[#This Row],[Affected Feeder ]],'Basic Data'!$A$3:$E$50,2,0),"")</f>
        <v>O2R3</v>
      </c>
      <c r="I149" s="4" t="str">
        <f>IFERROR(VLOOKUP(IGA_BD[[#This Row],[Affected Feeder ]],'Basic Data'!$A$3:$E$50,3,0),"")</f>
        <v>JK</v>
      </c>
      <c r="J149" s="9">
        <f>IFERROR(VLOOKUP(IGA_BD[[#This Row],[Affected Feeder ]],'Basic Data'!$A$3:$E$50,5,0),"")</f>
        <v>4.3478260869565223E-2</v>
      </c>
      <c r="K149" t="s">
        <v>4320</v>
      </c>
      <c r="L149" s="35">
        <v>0.81041666666666667</v>
      </c>
      <c r="M149" s="35">
        <v>0.81041666666666667</v>
      </c>
      <c r="N149" s="35">
        <v>0.89583333333333337</v>
      </c>
      <c r="O149" s="6">
        <f>(IGA_BD[[#This Row],[Work Start TimeStamp]]-IGA_BD[[#This Row],[Fault Start TimeStamp]])*24</f>
        <v>0</v>
      </c>
      <c r="P149" s="6">
        <f>(IGA_BD[[#This Row],[Fault Clearance time]]-IGA_BD[[#This Row],[Work Start TimeStamp]])*24</f>
        <v>2.0500000000000007</v>
      </c>
      <c r="Q149" s="6">
        <f>(IGA_BD[[#This Row],[Fault Clearance time]]-IGA_BD[[#This Row],[Fault Start TimeStamp]])*24</f>
        <v>2.0500000000000007</v>
      </c>
      <c r="R149" s="351" t="s">
        <v>4334</v>
      </c>
      <c r="S149" s="4" t="s">
        <v>255</v>
      </c>
      <c r="T149" s="302">
        <f>IFERROR(IGA_BD[[#This Row],[Breakdown Time]]*IGA_BD[[#This Row],[Plant Equivalent Weightage]],"")</f>
        <v>8.9130434782608736E-2</v>
      </c>
      <c r="U149" s="4"/>
      <c r="V149" s="4"/>
      <c r="W149">
        <v>3358</v>
      </c>
    </row>
    <row r="150" spans="1:23">
      <c r="A150" s="10">
        <f t="shared" si="2"/>
        <v>146</v>
      </c>
      <c r="B150" s="10">
        <v>2026</v>
      </c>
      <c r="C150" s="10">
        <v>2025</v>
      </c>
      <c r="D150" s="10" t="s">
        <v>4478</v>
      </c>
      <c r="E150" s="309">
        <f>IGA_BD[[#This Row],[Date]]-DAY(IGA_BD[[#This Row],[Date]])+1</f>
        <v>45809</v>
      </c>
      <c r="F150" s="32">
        <v>45836</v>
      </c>
      <c r="G150" t="s">
        <v>80</v>
      </c>
      <c r="H150" s="4" t="str">
        <f>IFERROR(VLOOKUP(IGA_BD[[#This Row],[Affected Feeder ]],'Basic Data'!$A$3:$E$50,2,0),"")</f>
        <v>O2R3</v>
      </c>
      <c r="I150" s="4" t="str">
        <f>IFERROR(VLOOKUP(IGA_BD[[#This Row],[Affected Feeder ]],'Basic Data'!$A$3:$E$50,3,0),"")</f>
        <v>JK</v>
      </c>
      <c r="J150" s="9">
        <f>IFERROR(VLOOKUP(IGA_BD[[#This Row],[Affected Feeder ]],'Basic Data'!$A$3:$E$50,5,0),"")</f>
        <v>4.3478260869565223E-2</v>
      </c>
      <c r="K150" t="s">
        <v>4320</v>
      </c>
      <c r="L150" s="35">
        <v>0.81041666666666667</v>
      </c>
      <c r="M150" s="35">
        <v>0.81041666666666667</v>
      </c>
      <c r="N150" s="35">
        <v>0.89583333333333337</v>
      </c>
      <c r="O150" s="6">
        <f>(IGA_BD[[#This Row],[Work Start TimeStamp]]-IGA_BD[[#This Row],[Fault Start TimeStamp]])*24</f>
        <v>0</v>
      </c>
      <c r="P150" s="6">
        <f>(IGA_BD[[#This Row],[Fault Clearance time]]-IGA_BD[[#This Row],[Work Start TimeStamp]])*24</f>
        <v>2.0500000000000007</v>
      </c>
      <c r="Q150" s="6">
        <f>(IGA_BD[[#This Row],[Fault Clearance time]]-IGA_BD[[#This Row],[Fault Start TimeStamp]])*24</f>
        <v>2.0500000000000007</v>
      </c>
      <c r="R150" t="s">
        <v>4334</v>
      </c>
      <c r="S150" s="4" t="s">
        <v>255</v>
      </c>
      <c r="T150" s="302">
        <f>IFERROR(IGA_BD[[#This Row],[Breakdown Time]]*IGA_BD[[#This Row],[Plant Equivalent Weightage]],"")</f>
        <v>8.9130434782608736E-2</v>
      </c>
      <c r="U150" s="4"/>
      <c r="V150" s="4"/>
      <c r="W150">
        <v>3358</v>
      </c>
    </row>
    <row r="151" spans="1:23">
      <c r="A151" s="10">
        <f t="shared" si="2"/>
        <v>147</v>
      </c>
      <c r="B151" s="10">
        <v>2026</v>
      </c>
      <c r="C151" s="10">
        <v>2025</v>
      </c>
      <c r="D151" s="10" t="s">
        <v>4478</v>
      </c>
      <c r="E151" s="309">
        <f>IGA_BD[[#This Row],[Date]]-DAY(IGA_BD[[#This Row],[Date]])+1</f>
        <v>45809</v>
      </c>
      <c r="F151" s="32">
        <v>45836</v>
      </c>
      <c r="G151" t="s">
        <v>84</v>
      </c>
      <c r="H151" s="4" t="str">
        <f>IFERROR(VLOOKUP(IGA_BD[[#This Row],[Affected Feeder ]],'Basic Data'!$A$3:$E$50,2,0),"")</f>
        <v>O2R3</v>
      </c>
      <c r="I151" s="4" t="str">
        <f>IFERROR(VLOOKUP(IGA_BD[[#This Row],[Affected Feeder ]],'Basic Data'!$A$3:$E$50,3,0),"")</f>
        <v>JK</v>
      </c>
      <c r="J151" s="9">
        <f>IFERROR(VLOOKUP(IGA_BD[[#This Row],[Affected Feeder ]],'Basic Data'!$A$3:$E$50,5,0),"")</f>
        <v>4.3478260869565223E-2</v>
      </c>
      <c r="K151" t="s">
        <v>4320</v>
      </c>
      <c r="L151" s="35">
        <v>0.81041666666666667</v>
      </c>
      <c r="M151" s="35">
        <v>0.81041666666666667</v>
      </c>
      <c r="N151" s="35">
        <v>0.89583333333333337</v>
      </c>
      <c r="O151" s="6">
        <f>(IGA_BD[[#This Row],[Work Start TimeStamp]]-IGA_BD[[#This Row],[Fault Start TimeStamp]])*24</f>
        <v>0</v>
      </c>
      <c r="P151" s="6">
        <f>(IGA_BD[[#This Row],[Fault Clearance time]]-IGA_BD[[#This Row],[Work Start TimeStamp]])*24</f>
        <v>2.0500000000000007</v>
      </c>
      <c r="Q151" s="6">
        <f>(IGA_BD[[#This Row],[Fault Clearance time]]-IGA_BD[[#This Row],[Fault Start TimeStamp]])*24</f>
        <v>2.0500000000000007</v>
      </c>
      <c r="R151" t="s">
        <v>4334</v>
      </c>
      <c r="S151" s="4" t="s">
        <v>255</v>
      </c>
      <c r="T151" s="302">
        <f>IFERROR(IGA_BD[[#This Row],[Breakdown Time]]*IGA_BD[[#This Row],[Plant Equivalent Weightage]],"")</f>
        <v>8.9130434782608736E-2</v>
      </c>
      <c r="U151" s="4"/>
      <c r="V151" s="4"/>
      <c r="W151">
        <v>3358</v>
      </c>
    </row>
    <row r="152" spans="1:23">
      <c r="A152" s="10">
        <f t="shared" si="2"/>
        <v>148</v>
      </c>
      <c r="B152" s="10">
        <v>2026</v>
      </c>
      <c r="C152" s="10">
        <v>2025</v>
      </c>
      <c r="D152" s="10" t="s">
        <v>4478</v>
      </c>
      <c r="E152" s="309">
        <f>IGA_BD[[#This Row],[Date]]-DAY(IGA_BD[[#This Row],[Date]])+1</f>
        <v>45809</v>
      </c>
      <c r="F152" s="32">
        <v>45836</v>
      </c>
      <c r="G152" t="s">
        <v>96</v>
      </c>
      <c r="H152" s="4" t="str">
        <f>IFERROR(VLOOKUP(IGA_BD[[#This Row],[Affected Feeder ]],'Basic Data'!$A$3:$E$50,2,0),"")</f>
        <v>O2R3</v>
      </c>
      <c r="I152" s="4" t="str">
        <f>IFERROR(VLOOKUP(IGA_BD[[#This Row],[Affected Feeder ]],'Basic Data'!$A$3:$E$50,3,0),"")</f>
        <v>JK</v>
      </c>
      <c r="J152" s="9">
        <f>IFERROR(VLOOKUP(IGA_BD[[#This Row],[Affected Feeder ]],'Basic Data'!$A$3:$E$50,5,0),"")</f>
        <v>4.3478260869565223E-2</v>
      </c>
      <c r="K152" t="s">
        <v>4320</v>
      </c>
      <c r="L152" s="35">
        <v>0.81041666666666667</v>
      </c>
      <c r="M152" s="35">
        <v>0.81041666666666667</v>
      </c>
      <c r="N152" s="35">
        <v>0.89583333333333337</v>
      </c>
      <c r="O152" s="6">
        <f>(IGA_BD[[#This Row],[Work Start TimeStamp]]-IGA_BD[[#This Row],[Fault Start TimeStamp]])*24</f>
        <v>0</v>
      </c>
      <c r="P152" s="6">
        <f>(IGA_BD[[#This Row],[Fault Clearance time]]-IGA_BD[[#This Row],[Work Start TimeStamp]])*24</f>
        <v>2.0500000000000007</v>
      </c>
      <c r="Q152" s="6">
        <f>(IGA_BD[[#This Row],[Fault Clearance time]]-IGA_BD[[#This Row],[Fault Start TimeStamp]])*24</f>
        <v>2.0500000000000007</v>
      </c>
      <c r="R152" t="s">
        <v>4334</v>
      </c>
      <c r="S152" s="4" t="s">
        <v>255</v>
      </c>
      <c r="T152" s="302">
        <f>IFERROR(IGA_BD[[#This Row],[Breakdown Time]]*IGA_BD[[#This Row],[Plant Equivalent Weightage]],"")</f>
        <v>8.9130434782608736E-2</v>
      </c>
      <c r="U152" s="4"/>
      <c r="V152" s="4"/>
      <c r="W152">
        <v>3358</v>
      </c>
    </row>
    <row r="153" spans="1:23">
      <c r="A153" s="10">
        <f t="shared" si="2"/>
        <v>149</v>
      </c>
      <c r="B153" s="10">
        <v>2026</v>
      </c>
      <c r="C153" s="10">
        <v>2025</v>
      </c>
      <c r="D153" s="10" t="s">
        <v>4478</v>
      </c>
      <c r="E153" s="309">
        <f>IGA_BD[[#This Row],[Date]]-DAY(IGA_BD[[#This Row],[Date]])+1</f>
        <v>45809</v>
      </c>
      <c r="F153" s="32">
        <v>45836</v>
      </c>
      <c r="G153" t="s">
        <v>97</v>
      </c>
      <c r="H153" s="4" t="str">
        <f>IFERROR(VLOOKUP(IGA_BD[[#This Row],[Affected Feeder ]],'Basic Data'!$A$3:$E$50,2,0),"")</f>
        <v>O2R3</v>
      </c>
      <c r="I153" s="4" t="str">
        <f>IFERROR(VLOOKUP(IGA_BD[[#This Row],[Affected Feeder ]],'Basic Data'!$A$3:$E$50,3,0),"")</f>
        <v>JK</v>
      </c>
      <c r="J153" s="9">
        <f>IFERROR(VLOOKUP(IGA_BD[[#This Row],[Affected Feeder ]],'Basic Data'!$A$3:$E$50,5,0),"")</f>
        <v>4.3478260869565223E-2</v>
      </c>
      <c r="K153" t="s">
        <v>4320</v>
      </c>
      <c r="L153" s="35">
        <v>0.81041666666666667</v>
      </c>
      <c r="M153" s="35">
        <v>0.81041666666666667</v>
      </c>
      <c r="N153" s="35">
        <v>0.89583333333333337</v>
      </c>
      <c r="O153" s="6">
        <f>(IGA_BD[[#This Row],[Work Start TimeStamp]]-IGA_BD[[#This Row],[Fault Start TimeStamp]])*24</f>
        <v>0</v>
      </c>
      <c r="P153" s="6">
        <f>(IGA_BD[[#This Row],[Fault Clearance time]]-IGA_BD[[#This Row],[Work Start TimeStamp]])*24</f>
        <v>2.0500000000000007</v>
      </c>
      <c r="Q153" s="6">
        <f>(IGA_BD[[#This Row],[Fault Clearance time]]-IGA_BD[[#This Row],[Fault Start TimeStamp]])*24</f>
        <v>2.0500000000000007</v>
      </c>
      <c r="R153" t="s">
        <v>4334</v>
      </c>
      <c r="S153" s="4" t="s">
        <v>255</v>
      </c>
      <c r="T153" s="302">
        <f>IFERROR(IGA_BD[[#This Row],[Breakdown Time]]*IGA_BD[[#This Row],[Plant Equivalent Weightage]],"")</f>
        <v>8.9130434782608736E-2</v>
      </c>
      <c r="U153" s="4"/>
      <c r="V153" s="4"/>
      <c r="W153">
        <v>3358</v>
      </c>
    </row>
    <row r="154" spans="1:23">
      <c r="A154" s="10">
        <f t="shared" si="2"/>
        <v>150</v>
      </c>
      <c r="B154" s="10">
        <v>2026</v>
      </c>
      <c r="C154" s="10">
        <v>2025</v>
      </c>
      <c r="D154" s="10" t="s">
        <v>4478</v>
      </c>
      <c r="E154" s="309">
        <f>IGA_BD[[#This Row],[Date]]-DAY(IGA_BD[[#This Row],[Date]])+1</f>
        <v>45809</v>
      </c>
      <c r="F154" s="32">
        <v>45836</v>
      </c>
      <c r="G154" t="s">
        <v>98</v>
      </c>
      <c r="H154" s="4" t="str">
        <f>IFERROR(VLOOKUP(IGA_BD[[#This Row],[Affected Feeder ]],'Basic Data'!$A$3:$E$50,2,0),"")</f>
        <v>O2R3</v>
      </c>
      <c r="I154" s="4" t="str">
        <f>IFERROR(VLOOKUP(IGA_BD[[#This Row],[Affected Feeder ]],'Basic Data'!$A$3:$E$50,3,0),"")</f>
        <v>JK</v>
      </c>
      <c r="J154" s="9">
        <f>IFERROR(VLOOKUP(IGA_BD[[#This Row],[Affected Feeder ]],'Basic Data'!$A$3:$E$50,5,0),"")</f>
        <v>4.3478260869565223E-2</v>
      </c>
      <c r="K154" t="s">
        <v>4320</v>
      </c>
      <c r="L154" s="35">
        <v>0.81041666666666667</v>
      </c>
      <c r="M154" s="35">
        <v>0.81041666666666667</v>
      </c>
      <c r="N154" s="35">
        <v>0.89583333333333337</v>
      </c>
      <c r="O154" s="6">
        <f>(IGA_BD[[#This Row],[Work Start TimeStamp]]-IGA_BD[[#This Row],[Fault Start TimeStamp]])*24</f>
        <v>0</v>
      </c>
      <c r="P154" s="6">
        <f>(IGA_BD[[#This Row],[Fault Clearance time]]-IGA_BD[[#This Row],[Work Start TimeStamp]])*24</f>
        <v>2.0500000000000007</v>
      </c>
      <c r="Q154" s="6">
        <f>(IGA_BD[[#This Row],[Fault Clearance time]]-IGA_BD[[#This Row],[Fault Start TimeStamp]])*24</f>
        <v>2.0500000000000007</v>
      </c>
      <c r="R154" t="s">
        <v>4334</v>
      </c>
      <c r="S154" s="4" t="s">
        <v>255</v>
      </c>
      <c r="T154" s="302">
        <f>IFERROR(IGA_BD[[#This Row],[Breakdown Time]]*IGA_BD[[#This Row],[Plant Equivalent Weightage]],"")</f>
        <v>8.9130434782608736E-2</v>
      </c>
      <c r="U154" s="4"/>
      <c r="V154" s="4"/>
      <c r="W154">
        <v>3358</v>
      </c>
    </row>
    <row r="155" spans="1:23">
      <c r="A155" s="10">
        <f t="shared" si="2"/>
        <v>151</v>
      </c>
      <c r="B155" s="10">
        <v>2026</v>
      </c>
      <c r="C155" s="10">
        <v>2025</v>
      </c>
      <c r="D155" s="10" t="s">
        <v>4478</v>
      </c>
      <c r="E155" s="309">
        <f>IGA_BD[[#This Row],[Date]]-DAY(IGA_BD[[#This Row],[Date]])+1</f>
        <v>45809</v>
      </c>
      <c r="F155" s="32">
        <v>45836</v>
      </c>
      <c r="G155" t="s">
        <v>566</v>
      </c>
      <c r="H155" s="4">
        <f>IFERROR(VLOOKUP(IGA_BD[[#This Row],[Affected Feeder ]],'Basic Data'!$A$3:$E$50,2,0),"")</f>
        <v>0</v>
      </c>
      <c r="I155" s="4">
        <f>IFERROR(VLOOKUP(IGA_BD[[#This Row],[Affected Feeder ]],'Basic Data'!$A$3:$E$50,3,0),"")</f>
        <v>0</v>
      </c>
      <c r="J155" s="9">
        <f>IFERROR(VLOOKUP(IGA_BD[[#This Row],[Affected Feeder ]],'Basic Data'!$A$3:$E$50,5,0),"")</f>
        <v>0.5</v>
      </c>
      <c r="K155" t="s">
        <v>4335</v>
      </c>
      <c r="L155" s="35">
        <v>0.89583333333333337</v>
      </c>
      <c r="M155" s="35">
        <v>0.89583333333333337</v>
      </c>
      <c r="N155" s="35">
        <v>0.9145833333333333</v>
      </c>
      <c r="O155" s="6">
        <f>(IGA_BD[[#This Row],[Work Start TimeStamp]]-IGA_BD[[#This Row],[Fault Start TimeStamp]])*24</f>
        <v>0</v>
      </c>
      <c r="P155" s="6">
        <f>(IGA_BD[[#This Row],[Fault Clearance time]]-IGA_BD[[#This Row],[Work Start TimeStamp]])*24</f>
        <v>0.4499999999999984</v>
      </c>
      <c r="Q155" s="6">
        <f>(IGA_BD[[#This Row],[Fault Clearance time]]-IGA_BD[[#This Row],[Fault Start TimeStamp]])*24</f>
        <v>0.4499999999999984</v>
      </c>
      <c r="R155" t="s">
        <v>4336</v>
      </c>
      <c r="S155" s="4" t="s">
        <v>255</v>
      </c>
      <c r="T155" s="302">
        <f>IFERROR(IGA_BD[[#This Row],[Breakdown Time]]*IGA_BD[[#This Row],[Plant Equivalent Weightage]],"")</f>
        <v>0.2249999999999992</v>
      </c>
      <c r="U155" s="4"/>
      <c r="V155" s="4"/>
      <c r="W155">
        <v>8845</v>
      </c>
    </row>
    <row r="156" spans="1:23">
      <c r="A156" s="10">
        <f t="shared" si="2"/>
        <v>152</v>
      </c>
      <c r="B156" s="10">
        <v>2026</v>
      </c>
      <c r="C156" s="10">
        <v>2025</v>
      </c>
      <c r="D156" s="10" t="s">
        <v>4478</v>
      </c>
      <c r="E156" s="309">
        <f>IGA_BD[[#This Row],[Date]]-DAY(IGA_BD[[#This Row],[Date]])+1</f>
        <v>45809</v>
      </c>
      <c r="F156" s="32">
        <v>45837</v>
      </c>
      <c r="G156" t="s">
        <v>387</v>
      </c>
      <c r="H156" s="4">
        <f>IFERROR(VLOOKUP(IGA_BD[[#This Row],[Affected Feeder ]],'Basic Data'!$A$3:$E$50,2,0),"")</f>
        <v>0</v>
      </c>
      <c r="I156" s="4">
        <f>IFERROR(VLOOKUP(IGA_BD[[#This Row],[Affected Feeder ]],'Basic Data'!$A$3:$E$50,3,0),"")</f>
        <v>0</v>
      </c>
      <c r="J156" s="9">
        <f>IFERROR(VLOOKUP(IGA_BD[[#This Row],[Affected Feeder ]],'Basic Data'!$A$3:$E$50,5,0),"")</f>
        <v>0.5</v>
      </c>
      <c r="K156" t="s">
        <v>388</v>
      </c>
      <c r="L156" s="35">
        <v>0.77708333333333335</v>
      </c>
      <c r="M156" s="35">
        <v>0.77708333333333335</v>
      </c>
      <c r="N156" s="35">
        <v>0.78263888888888888</v>
      </c>
      <c r="O156" s="6">
        <f>(IGA_BD[[#This Row],[Work Start TimeStamp]]-IGA_BD[[#This Row],[Fault Start TimeStamp]])*24</f>
        <v>0</v>
      </c>
      <c r="P156" s="6">
        <f>(IGA_BD[[#This Row],[Fault Clearance time]]-IGA_BD[[#This Row],[Work Start TimeStamp]])*24</f>
        <v>0.13333333333333286</v>
      </c>
      <c r="Q156" s="6">
        <f>(IGA_BD[[#This Row],[Fault Clearance time]]-IGA_BD[[#This Row],[Fault Start TimeStamp]])*24</f>
        <v>0.13333333333333286</v>
      </c>
      <c r="R156" t="s">
        <v>4298</v>
      </c>
      <c r="S156" s="4" t="s">
        <v>255</v>
      </c>
      <c r="T156" s="302">
        <f>IFERROR(IGA_BD[[#This Row],[Breakdown Time]]*IGA_BD[[#This Row],[Plant Equivalent Weightage]],"")</f>
        <v>6.666666666666643E-2</v>
      </c>
      <c r="U156" s="4"/>
      <c r="V156" s="4"/>
      <c r="W156">
        <v>3093</v>
      </c>
    </row>
    <row r="157" spans="1:23">
      <c r="A157" s="10">
        <f t="shared" si="2"/>
        <v>153</v>
      </c>
      <c r="B157" s="10">
        <v>2026</v>
      </c>
      <c r="C157" s="10">
        <v>2025</v>
      </c>
      <c r="D157" s="10" t="s">
        <v>4478</v>
      </c>
      <c r="E157" s="309">
        <f>IGA_BD[[#This Row],[Date]]-DAY(IGA_BD[[#This Row],[Date]])+1</f>
        <v>45839</v>
      </c>
      <c r="F157" s="32">
        <v>45842</v>
      </c>
      <c r="G157" t="s">
        <v>566</v>
      </c>
      <c r="H157" s="4">
        <f>IFERROR(VLOOKUP(IGA_BD[[#This Row],[Affected Feeder ]],'Basic Data'!$A$3:$E$50,2,0),"")</f>
        <v>0</v>
      </c>
      <c r="I157" s="4">
        <f>IFERROR(VLOOKUP(IGA_BD[[#This Row],[Affected Feeder ]],'Basic Data'!$A$3:$E$50,3,0),"")</f>
        <v>0</v>
      </c>
      <c r="J157" s="9">
        <f>IFERROR(VLOOKUP(IGA_BD[[#This Row],[Affected Feeder ]],'Basic Data'!$A$3:$E$50,5,0),"")</f>
        <v>0.5</v>
      </c>
      <c r="K157" t="s">
        <v>388</v>
      </c>
      <c r="L157" s="35">
        <v>0</v>
      </c>
      <c r="M157" s="35">
        <v>0</v>
      </c>
      <c r="N157" s="35">
        <v>9.7222222222222224E-3</v>
      </c>
      <c r="O157" s="6">
        <f>(IGA_BD[[#This Row],[Work Start TimeStamp]]-IGA_BD[[#This Row],[Fault Start TimeStamp]])*24</f>
        <v>0</v>
      </c>
      <c r="P157" s="6">
        <f>(IGA_BD[[#This Row],[Fault Clearance time]]-IGA_BD[[#This Row],[Work Start TimeStamp]])*24</f>
        <v>0.23333333333333334</v>
      </c>
      <c r="Q157" s="6">
        <f>(IGA_BD[[#This Row],[Fault Clearance time]]-IGA_BD[[#This Row],[Fault Start TimeStamp]])*24</f>
        <v>0.23333333333333334</v>
      </c>
      <c r="R157" t="s">
        <v>4298</v>
      </c>
      <c r="S157" s="4" t="s">
        <v>255</v>
      </c>
      <c r="T157" s="302">
        <f>IFERROR(IGA_BD[[#This Row],[Breakdown Time]]*IGA_BD[[#This Row],[Plant Equivalent Weightage]],"")</f>
        <v>0.11666666666666667</v>
      </c>
      <c r="U157" s="4"/>
      <c r="V157" s="4"/>
      <c r="W157">
        <v>6032</v>
      </c>
    </row>
    <row r="158" spans="1:23">
      <c r="A158" s="10">
        <f t="shared" si="2"/>
        <v>154</v>
      </c>
      <c r="B158" s="10">
        <v>2026</v>
      </c>
      <c r="C158" s="10">
        <v>2025</v>
      </c>
      <c r="D158" s="10" t="s">
        <v>4478</v>
      </c>
      <c r="E158" s="309">
        <f>IGA_BD[[#This Row],[Date]]-DAY(IGA_BD[[#This Row],[Date]])+1</f>
        <v>45839</v>
      </c>
      <c r="F158" s="32">
        <v>45849</v>
      </c>
      <c r="G158" t="s">
        <v>566</v>
      </c>
      <c r="H158" s="4">
        <f>IFERROR(VLOOKUP(IGA_BD[[#This Row],[Affected Feeder ]],'Basic Data'!$A$3:$E$50,2,0),"")</f>
        <v>0</v>
      </c>
      <c r="I158" s="4">
        <f>IFERROR(VLOOKUP(IGA_BD[[#This Row],[Affected Feeder ]],'Basic Data'!$A$3:$E$50,3,0),"")</f>
        <v>0</v>
      </c>
      <c r="J158" s="9">
        <f>IFERROR(VLOOKUP(IGA_BD[[#This Row],[Affected Feeder ]],'Basic Data'!$A$3:$E$50,5,0),"")</f>
        <v>0.5</v>
      </c>
      <c r="K158" t="s">
        <v>388</v>
      </c>
      <c r="L158" s="35">
        <v>0.26597222222222222</v>
      </c>
      <c r="M158" s="35">
        <v>0.26597222222222222</v>
      </c>
      <c r="N158" s="35">
        <v>0.27291666666666664</v>
      </c>
      <c r="O158" s="6">
        <f>(IGA_BD[[#This Row],[Work Start TimeStamp]]-IGA_BD[[#This Row],[Fault Start TimeStamp]])*24</f>
        <v>0</v>
      </c>
      <c r="P158" s="6">
        <f>(IGA_BD[[#This Row],[Fault Clearance time]]-IGA_BD[[#This Row],[Work Start TimeStamp]])*24</f>
        <v>0.16666666666666607</v>
      </c>
      <c r="Q158" s="6">
        <f>(IGA_BD[[#This Row],[Fault Clearance time]]-IGA_BD[[#This Row],[Fault Start TimeStamp]])*24</f>
        <v>0.16666666666666607</v>
      </c>
      <c r="R158" t="s">
        <v>4298</v>
      </c>
      <c r="S158" s="4" t="s">
        <v>255</v>
      </c>
      <c r="T158" s="302">
        <f>IFERROR(IGA_BD[[#This Row],[Breakdown Time]]*IGA_BD[[#This Row],[Plant Equivalent Weightage]],"")</f>
        <v>8.3333333333333037E-2</v>
      </c>
      <c r="U158" s="4"/>
      <c r="V158" s="4"/>
      <c r="W158">
        <v>2060</v>
      </c>
    </row>
    <row r="159" spans="1:23">
      <c r="A159" s="10">
        <f t="shared" si="2"/>
        <v>155</v>
      </c>
      <c r="B159" s="10">
        <v>2026</v>
      </c>
      <c r="C159" s="10">
        <v>2025</v>
      </c>
      <c r="D159" s="10" t="s">
        <v>4478</v>
      </c>
      <c r="E159" s="309">
        <f>IGA_BD[[#This Row],[Date]]-DAY(IGA_BD[[#This Row],[Date]])+1</f>
        <v>45839</v>
      </c>
      <c r="F159" s="32">
        <v>45850</v>
      </c>
      <c r="G159" t="s">
        <v>566</v>
      </c>
      <c r="H159" s="4">
        <f>IFERROR(VLOOKUP(IGA_BD[[#This Row],[Affected Feeder ]],'Basic Data'!$A$3:$E$50,2,0),"")</f>
        <v>0</v>
      </c>
      <c r="I159" s="4">
        <f>IFERROR(VLOOKUP(IGA_BD[[#This Row],[Affected Feeder ]],'Basic Data'!$A$3:$E$50,3,0),"")</f>
        <v>0</v>
      </c>
      <c r="J159" s="9">
        <f>IFERROR(VLOOKUP(IGA_BD[[#This Row],[Affected Feeder ]],'Basic Data'!$A$3:$E$50,5,0),"")</f>
        <v>0.5</v>
      </c>
      <c r="K159" s="351" t="s">
        <v>4667</v>
      </c>
      <c r="L159" s="35">
        <v>0.80833333333333335</v>
      </c>
      <c r="M159" s="35">
        <v>0.80833333333333335</v>
      </c>
      <c r="N159" s="35">
        <v>0.82638888888888884</v>
      </c>
      <c r="O159" s="6">
        <f>(IGA_BD[[#This Row],[Work Start TimeStamp]]-IGA_BD[[#This Row],[Fault Start TimeStamp]])*24</f>
        <v>0</v>
      </c>
      <c r="P159" s="6">
        <f>(IGA_BD[[#This Row],[Fault Clearance time]]-IGA_BD[[#This Row],[Work Start TimeStamp]])*24</f>
        <v>0.43333333333333179</v>
      </c>
      <c r="Q159" s="6">
        <f>(IGA_BD[[#This Row],[Fault Clearance time]]-IGA_BD[[#This Row],[Fault Start TimeStamp]])*24</f>
        <v>0.43333333333333179</v>
      </c>
      <c r="R159" t="s">
        <v>4298</v>
      </c>
      <c r="S159" s="4" t="s">
        <v>255</v>
      </c>
      <c r="T159" s="302">
        <f>IFERROR(IGA_BD[[#This Row],[Breakdown Time]]*IGA_BD[[#This Row],[Plant Equivalent Weightage]],"")</f>
        <v>0.2166666666666659</v>
      </c>
      <c r="U159" s="4"/>
      <c r="V159" s="4"/>
      <c r="W159">
        <v>6574</v>
      </c>
    </row>
    <row r="160" spans="1:23">
      <c r="A160" s="10">
        <f t="shared" si="2"/>
        <v>156</v>
      </c>
      <c r="B160" s="10">
        <v>2026</v>
      </c>
      <c r="C160" s="10">
        <v>2025</v>
      </c>
      <c r="D160" s="10" t="s">
        <v>4478</v>
      </c>
      <c r="E160" s="309">
        <f>IGA_BD[[#This Row],[Date]]-DAY(IGA_BD[[#This Row],[Date]])+1</f>
        <v>45839</v>
      </c>
      <c r="F160" s="32">
        <v>45850</v>
      </c>
      <c r="G160" t="s">
        <v>79</v>
      </c>
      <c r="H160" s="4" t="str">
        <f>IFERROR(VLOOKUP(IGA_BD[[#This Row],[Affected Feeder ]],'Basic Data'!$A$3:$E$50,2,0),"")</f>
        <v>O2R3</v>
      </c>
      <c r="I160" s="4" t="str">
        <f>IFERROR(VLOOKUP(IGA_BD[[#This Row],[Affected Feeder ]],'Basic Data'!$A$3:$E$50,3,0),"")</f>
        <v>JK</v>
      </c>
      <c r="J160" s="9">
        <f>IFERROR(VLOOKUP(IGA_BD[[#This Row],[Affected Feeder ]],'Basic Data'!$A$3:$E$50,5,0),"")</f>
        <v>4.3478260869565223E-2</v>
      </c>
      <c r="K160" t="s">
        <v>4320</v>
      </c>
      <c r="L160" s="35">
        <v>0.82638888888888884</v>
      </c>
      <c r="M160" s="35">
        <v>0.82638888888888884</v>
      </c>
      <c r="N160" s="35">
        <v>0.92013888888888884</v>
      </c>
      <c r="O160" s="6">
        <f>(IGA_BD[[#This Row],[Work Start TimeStamp]]-IGA_BD[[#This Row],[Fault Start TimeStamp]])*24</f>
        <v>0</v>
      </c>
      <c r="P160" s="6">
        <f>(IGA_BD[[#This Row],[Fault Clearance time]]-IGA_BD[[#This Row],[Work Start TimeStamp]])*24</f>
        <v>2.25</v>
      </c>
      <c r="Q160" s="6">
        <f>(IGA_BD[[#This Row],[Fault Clearance time]]-IGA_BD[[#This Row],[Fault Start TimeStamp]])*24</f>
        <v>2.25</v>
      </c>
      <c r="R160" s="33" t="s">
        <v>4674</v>
      </c>
      <c r="S160" s="4" t="s">
        <v>255</v>
      </c>
      <c r="T160" s="302">
        <f>IFERROR(IGA_BD[[#This Row],[Breakdown Time]]*IGA_BD[[#This Row],[Plant Equivalent Weightage]],"")</f>
        <v>9.7826086956521757E-2</v>
      </c>
      <c r="U160" s="4"/>
      <c r="V160" s="4"/>
      <c r="W160">
        <v>2845</v>
      </c>
    </row>
    <row r="161" spans="1:23">
      <c r="A161" s="10">
        <f t="shared" si="2"/>
        <v>157</v>
      </c>
      <c r="B161" s="10">
        <v>2026</v>
      </c>
      <c r="C161" s="10">
        <v>2025</v>
      </c>
      <c r="D161" s="10" t="s">
        <v>4478</v>
      </c>
      <c r="E161" s="309">
        <f>IGA_BD[[#This Row],[Date]]-DAY(IGA_BD[[#This Row],[Date]])+1</f>
        <v>45839</v>
      </c>
      <c r="F161" s="32">
        <v>45850</v>
      </c>
      <c r="G161" t="s">
        <v>80</v>
      </c>
      <c r="H161" s="4" t="str">
        <f>IFERROR(VLOOKUP(IGA_BD[[#This Row],[Affected Feeder ]],'Basic Data'!$A$3:$E$50,2,0),"")</f>
        <v>O2R3</v>
      </c>
      <c r="I161" s="4" t="str">
        <f>IFERROR(VLOOKUP(IGA_BD[[#This Row],[Affected Feeder ]],'Basic Data'!$A$3:$E$50,3,0),"")</f>
        <v>JK</v>
      </c>
      <c r="J161" s="9">
        <f>IFERROR(VLOOKUP(IGA_BD[[#This Row],[Affected Feeder ]],'Basic Data'!$A$3:$E$50,5,0),"")</f>
        <v>4.3478260869565223E-2</v>
      </c>
      <c r="K161" t="s">
        <v>4320</v>
      </c>
      <c r="L161" s="35">
        <v>0.82638888888888884</v>
      </c>
      <c r="M161" s="35">
        <v>0.82638888888888884</v>
      </c>
      <c r="N161" s="35">
        <v>0.92013888888888884</v>
      </c>
      <c r="O161" s="6">
        <f>(IGA_BD[[#This Row],[Work Start TimeStamp]]-IGA_BD[[#This Row],[Fault Start TimeStamp]])*24</f>
        <v>0</v>
      </c>
      <c r="P161" s="6">
        <f>(IGA_BD[[#This Row],[Fault Clearance time]]-IGA_BD[[#This Row],[Work Start TimeStamp]])*24</f>
        <v>2.25</v>
      </c>
      <c r="Q161" s="6">
        <f>(IGA_BD[[#This Row],[Fault Clearance time]]-IGA_BD[[#This Row],[Fault Start TimeStamp]])*24</f>
        <v>2.25</v>
      </c>
      <c r="R161" s="33" t="s">
        <v>4674</v>
      </c>
      <c r="S161" s="4" t="s">
        <v>255</v>
      </c>
      <c r="T161" s="302">
        <f>IFERROR(IGA_BD[[#This Row],[Breakdown Time]]*IGA_BD[[#This Row],[Plant Equivalent Weightage]],"")</f>
        <v>9.7826086956521757E-2</v>
      </c>
      <c r="U161" s="4"/>
      <c r="V161" s="4"/>
      <c r="W161">
        <v>2845</v>
      </c>
    </row>
    <row r="162" spans="1:23">
      <c r="A162" s="10">
        <f t="shared" si="2"/>
        <v>158</v>
      </c>
      <c r="B162" s="10">
        <v>2026</v>
      </c>
      <c r="C162" s="10">
        <v>2025</v>
      </c>
      <c r="D162" s="10" t="s">
        <v>4478</v>
      </c>
      <c r="E162" s="309">
        <f>IGA_BD[[#This Row],[Date]]-DAY(IGA_BD[[#This Row],[Date]])+1</f>
        <v>45839</v>
      </c>
      <c r="F162" s="32">
        <v>45850</v>
      </c>
      <c r="G162" t="s">
        <v>84</v>
      </c>
      <c r="H162" s="4" t="str">
        <f>IFERROR(VLOOKUP(IGA_BD[[#This Row],[Affected Feeder ]],'Basic Data'!$A$3:$E$50,2,0),"")</f>
        <v>O2R3</v>
      </c>
      <c r="I162" s="4" t="str">
        <f>IFERROR(VLOOKUP(IGA_BD[[#This Row],[Affected Feeder ]],'Basic Data'!$A$3:$E$50,3,0),"")</f>
        <v>JK</v>
      </c>
      <c r="J162" s="9">
        <f>IFERROR(VLOOKUP(IGA_BD[[#This Row],[Affected Feeder ]],'Basic Data'!$A$3:$E$50,5,0),"")</f>
        <v>4.3478260869565223E-2</v>
      </c>
      <c r="K162" t="s">
        <v>4320</v>
      </c>
      <c r="L162" s="35">
        <v>0.82638888888888884</v>
      </c>
      <c r="M162" s="35">
        <v>0.82638888888888884</v>
      </c>
      <c r="N162" s="35">
        <v>0.92013888888888884</v>
      </c>
      <c r="O162" s="6">
        <f>(IGA_BD[[#This Row],[Work Start TimeStamp]]-IGA_BD[[#This Row],[Fault Start TimeStamp]])*24</f>
        <v>0</v>
      </c>
      <c r="P162" s="6">
        <f>(IGA_BD[[#This Row],[Fault Clearance time]]-IGA_BD[[#This Row],[Work Start TimeStamp]])*24</f>
        <v>2.25</v>
      </c>
      <c r="Q162" s="6">
        <f>(IGA_BD[[#This Row],[Fault Clearance time]]-IGA_BD[[#This Row],[Fault Start TimeStamp]])*24</f>
        <v>2.25</v>
      </c>
      <c r="R162" s="33" t="s">
        <v>4674</v>
      </c>
      <c r="S162" s="4" t="s">
        <v>255</v>
      </c>
      <c r="T162" s="302">
        <f>IFERROR(IGA_BD[[#This Row],[Breakdown Time]]*IGA_BD[[#This Row],[Plant Equivalent Weightage]],"")</f>
        <v>9.7826086956521757E-2</v>
      </c>
      <c r="U162" s="4"/>
      <c r="V162" s="4"/>
      <c r="W162">
        <v>2845</v>
      </c>
    </row>
    <row r="163" spans="1:23">
      <c r="A163" s="10">
        <f t="shared" si="2"/>
        <v>159</v>
      </c>
      <c r="B163" s="10">
        <v>2026</v>
      </c>
      <c r="C163" s="10">
        <v>2025</v>
      </c>
      <c r="D163" s="10" t="s">
        <v>4478</v>
      </c>
      <c r="E163" s="309">
        <f>IGA_BD[[#This Row],[Date]]-DAY(IGA_BD[[#This Row],[Date]])+1</f>
        <v>45839</v>
      </c>
      <c r="F163" s="32">
        <v>45850</v>
      </c>
      <c r="G163" t="s">
        <v>96</v>
      </c>
      <c r="H163" s="4" t="str">
        <f>IFERROR(VLOOKUP(IGA_BD[[#This Row],[Affected Feeder ]],'Basic Data'!$A$3:$E$50,2,0),"")</f>
        <v>O2R3</v>
      </c>
      <c r="I163" s="4" t="str">
        <f>IFERROR(VLOOKUP(IGA_BD[[#This Row],[Affected Feeder ]],'Basic Data'!$A$3:$E$50,3,0),"")</f>
        <v>JK</v>
      </c>
      <c r="J163" s="9">
        <f>IFERROR(VLOOKUP(IGA_BD[[#This Row],[Affected Feeder ]],'Basic Data'!$A$3:$E$50,5,0),"")</f>
        <v>4.3478260869565223E-2</v>
      </c>
      <c r="K163" t="s">
        <v>4320</v>
      </c>
      <c r="L163" s="35">
        <v>0.82638888888888884</v>
      </c>
      <c r="M163" s="35">
        <v>0.82638888888888884</v>
      </c>
      <c r="N163" s="35">
        <v>0.92013888888888884</v>
      </c>
      <c r="O163" s="6">
        <f>(IGA_BD[[#This Row],[Work Start TimeStamp]]-IGA_BD[[#This Row],[Fault Start TimeStamp]])*24</f>
        <v>0</v>
      </c>
      <c r="P163" s="6">
        <f>(IGA_BD[[#This Row],[Fault Clearance time]]-IGA_BD[[#This Row],[Work Start TimeStamp]])*24</f>
        <v>2.25</v>
      </c>
      <c r="Q163" s="6">
        <f>(IGA_BD[[#This Row],[Fault Clearance time]]-IGA_BD[[#This Row],[Fault Start TimeStamp]])*24</f>
        <v>2.25</v>
      </c>
      <c r="R163" s="33" t="s">
        <v>4674</v>
      </c>
      <c r="S163" s="4" t="s">
        <v>255</v>
      </c>
      <c r="T163" s="302">
        <f>IFERROR(IGA_BD[[#This Row],[Breakdown Time]]*IGA_BD[[#This Row],[Plant Equivalent Weightage]],"")</f>
        <v>9.7826086956521757E-2</v>
      </c>
      <c r="U163" s="4"/>
      <c r="V163" s="4"/>
      <c r="W163">
        <v>2845</v>
      </c>
    </row>
    <row r="164" spans="1:23">
      <c r="A164" s="10">
        <f t="shared" si="2"/>
        <v>160</v>
      </c>
      <c r="B164" s="10">
        <v>2026</v>
      </c>
      <c r="C164" s="10">
        <v>2025</v>
      </c>
      <c r="D164" s="10" t="s">
        <v>4478</v>
      </c>
      <c r="E164" s="309">
        <f>IGA_BD[[#This Row],[Date]]-DAY(IGA_BD[[#This Row],[Date]])+1</f>
        <v>45839</v>
      </c>
      <c r="F164" s="32">
        <v>45850</v>
      </c>
      <c r="G164" t="s">
        <v>97</v>
      </c>
      <c r="H164" s="4" t="str">
        <f>IFERROR(VLOOKUP(IGA_BD[[#This Row],[Affected Feeder ]],'Basic Data'!$A$3:$E$50,2,0),"")</f>
        <v>O2R3</v>
      </c>
      <c r="I164" s="4" t="str">
        <f>IFERROR(VLOOKUP(IGA_BD[[#This Row],[Affected Feeder ]],'Basic Data'!$A$3:$E$50,3,0),"")</f>
        <v>JK</v>
      </c>
      <c r="J164" s="9">
        <f>IFERROR(VLOOKUP(IGA_BD[[#This Row],[Affected Feeder ]],'Basic Data'!$A$3:$E$50,5,0),"")</f>
        <v>4.3478260869565223E-2</v>
      </c>
      <c r="K164" t="s">
        <v>4320</v>
      </c>
      <c r="L164" s="35">
        <v>0.82638888888888884</v>
      </c>
      <c r="M164" s="35">
        <v>0.82638888888888884</v>
      </c>
      <c r="N164" s="35">
        <v>0.92013888888888884</v>
      </c>
      <c r="O164" s="6">
        <f>(IGA_BD[[#This Row],[Work Start TimeStamp]]-IGA_BD[[#This Row],[Fault Start TimeStamp]])*24</f>
        <v>0</v>
      </c>
      <c r="P164" s="6">
        <f>(IGA_BD[[#This Row],[Fault Clearance time]]-IGA_BD[[#This Row],[Work Start TimeStamp]])*24</f>
        <v>2.25</v>
      </c>
      <c r="Q164" s="6">
        <f>(IGA_BD[[#This Row],[Fault Clearance time]]-IGA_BD[[#This Row],[Fault Start TimeStamp]])*24</f>
        <v>2.25</v>
      </c>
      <c r="R164" s="33" t="s">
        <v>4674</v>
      </c>
      <c r="S164" s="4" t="s">
        <v>255</v>
      </c>
      <c r="T164" s="302">
        <f>IFERROR(IGA_BD[[#This Row],[Breakdown Time]]*IGA_BD[[#This Row],[Plant Equivalent Weightage]],"")</f>
        <v>9.7826086956521757E-2</v>
      </c>
      <c r="U164" s="4"/>
      <c r="V164" s="4"/>
      <c r="W164">
        <v>2845</v>
      </c>
    </row>
    <row r="165" spans="1:23">
      <c r="A165" s="10">
        <f t="shared" si="2"/>
        <v>161</v>
      </c>
      <c r="B165" s="10">
        <v>2026</v>
      </c>
      <c r="C165" s="10">
        <v>2025</v>
      </c>
      <c r="D165" s="10" t="s">
        <v>4478</v>
      </c>
      <c r="E165" s="309">
        <f>IGA_BD[[#This Row],[Date]]-DAY(IGA_BD[[#This Row],[Date]])+1</f>
        <v>45839</v>
      </c>
      <c r="F165" s="32">
        <v>45850</v>
      </c>
      <c r="G165" t="s">
        <v>98</v>
      </c>
      <c r="H165" s="4" t="str">
        <f>IFERROR(VLOOKUP(IGA_BD[[#This Row],[Affected Feeder ]],'Basic Data'!$A$3:$E$50,2,0),"")</f>
        <v>O2R3</v>
      </c>
      <c r="I165" s="4" t="str">
        <f>IFERROR(VLOOKUP(IGA_BD[[#This Row],[Affected Feeder ]],'Basic Data'!$A$3:$E$50,3,0),"")</f>
        <v>JK</v>
      </c>
      <c r="J165" s="9">
        <f>IFERROR(VLOOKUP(IGA_BD[[#This Row],[Affected Feeder ]],'Basic Data'!$A$3:$E$50,5,0),"")</f>
        <v>4.3478260869565223E-2</v>
      </c>
      <c r="K165" t="s">
        <v>4320</v>
      </c>
      <c r="L165" s="35">
        <v>0.82638888888888884</v>
      </c>
      <c r="M165" s="35">
        <v>0.82638888888888884</v>
      </c>
      <c r="N165" s="35">
        <v>0.92013888888888884</v>
      </c>
      <c r="O165" s="6">
        <f>(IGA_BD[[#This Row],[Work Start TimeStamp]]-IGA_BD[[#This Row],[Fault Start TimeStamp]])*24</f>
        <v>0</v>
      </c>
      <c r="P165" s="6">
        <f>(IGA_BD[[#This Row],[Fault Clearance time]]-IGA_BD[[#This Row],[Work Start TimeStamp]])*24</f>
        <v>2.25</v>
      </c>
      <c r="Q165" s="6">
        <f>(IGA_BD[[#This Row],[Fault Clearance time]]-IGA_BD[[#This Row],[Fault Start TimeStamp]])*24</f>
        <v>2.25</v>
      </c>
      <c r="R165" s="33" t="s">
        <v>4674</v>
      </c>
      <c r="S165" s="4" t="s">
        <v>255</v>
      </c>
      <c r="T165" s="302">
        <f>IFERROR(IGA_BD[[#This Row],[Breakdown Time]]*IGA_BD[[#This Row],[Plant Equivalent Weightage]],"")</f>
        <v>9.7826086956521757E-2</v>
      </c>
      <c r="U165" s="4"/>
      <c r="V165" s="4"/>
      <c r="W165">
        <v>2845</v>
      </c>
    </row>
    <row r="166" spans="1:23">
      <c r="A166" s="10">
        <f t="shared" si="2"/>
        <v>162</v>
      </c>
      <c r="B166" s="10">
        <v>2026</v>
      </c>
      <c r="C166" s="10">
        <v>2025</v>
      </c>
      <c r="D166" s="10" t="s">
        <v>4478</v>
      </c>
      <c r="E166" s="309">
        <f>IGA_BD[[#This Row],[Date]]-DAY(IGA_BD[[#This Row],[Date]])+1</f>
        <v>45839</v>
      </c>
      <c r="F166" s="32">
        <v>45850</v>
      </c>
      <c r="G166" t="s">
        <v>566</v>
      </c>
      <c r="H166" s="4">
        <f>IFERROR(VLOOKUP(IGA_BD[[#This Row],[Affected Feeder ]],'Basic Data'!$A$3:$E$50,2,0),"")</f>
        <v>0</v>
      </c>
      <c r="I166" s="4">
        <f>IFERROR(VLOOKUP(IGA_BD[[#This Row],[Affected Feeder ]],'Basic Data'!$A$3:$E$50,3,0),"")</f>
        <v>0</v>
      </c>
      <c r="J166" s="9">
        <f>IFERROR(VLOOKUP(IGA_BD[[#This Row],[Affected Feeder ]],'Basic Data'!$A$3:$E$50,5,0),"")</f>
        <v>0.5</v>
      </c>
      <c r="K166" t="s">
        <v>4673</v>
      </c>
      <c r="L166" s="35">
        <v>0.92013888888888884</v>
      </c>
      <c r="M166" s="35">
        <v>0.92013888888888884</v>
      </c>
      <c r="N166" s="35">
        <v>0.93958333333333333</v>
      </c>
      <c r="O166" s="6">
        <f>(IGA_BD[[#This Row],[Work Start TimeStamp]]-IGA_BD[[#This Row],[Fault Start TimeStamp]])*24</f>
        <v>0</v>
      </c>
      <c r="P166" s="6">
        <f>(IGA_BD[[#This Row],[Fault Clearance time]]-IGA_BD[[#This Row],[Work Start TimeStamp]])*24</f>
        <v>0.46666666666666767</v>
      </c>
      <c r="Q166" s="6">
        <f>(IGA_BD[[#This Row],[Fault Clearance time]]-IGA_BD[[#This Row],[Fault Start TimeStamp]])*24</f>
        <v>0.46666666666666767</v>
      </c>
      <c r="R166" s="33" t="s">
        <v>4675</v>
      </c>
      <c r="S166" s="4" t="s">
        <v>255</v>
      </c>
      <c r="T166" s="302">
        <f>IFERROR(IGA_BD[[#This Row],[Breakdown Time]]*IGA_BD[[#This Row],[Plant Equivalent Weightage]],"")</f>
        <v>0.23333333333333384</v>
      </c>
      <c r="U166" s="4"/>
      <c r="V166" s="4"/>
      <c r="W166">
        <v>7080</v>
      </c>
    </row>
    <row r="167" spans="1:23">
      <c r="A167" s="10">
        <f t="shared" si="2"/>
        <v>163</v>
      </c>
      <c r="B167" s="10">
        <v>2026</v>
      </c>
      <c r="C167" s="10">
        <v>2025</v>
      </c>
      <c r="D167" s="10" t="s">
        <v>4478</v>
      </c>
      <c r="E167" s="309">
        <f>IGA_BD[[#This Row],[Date]]-DAY(IGA_BD[[#This Row],[Date]])+1</f>
        <v>45839</v>
      </c>
      <c r="F167" s="32">
        <v>45854</v>
      </c>
      <c r="G167" t="s">
        <v>566</v>
      </c>
      <c r="H167" s="4">
        <f>IFERROR(VLOOKUP(IGA_BD[[#This Row],[Affected Feeder ]],'Basic Data'!$A$3:$E$50,2,0),"")</f>
        <v>0</v>
      </c>
      <c r="I167" s="4">
        <f>IFERROR(VLOOKUP(IGA_BD[[#This Row],[Affected Feeder ]],'Basic Data'!$A$3:$E$50,3,0),"")</f>
        <v>0</v>
      </c>
      <c r="J167" s="9">
        <f>IFERROR(VLOOKUP(IGA_BD[[#This Row],[Affected Feeder ]],'Basic Data'!$A$3:$E$50,5,0),"")</f>
        <v>0.5</v>
      </c>
      <c r="K167" t="s">
        <v>4677</v>
      </c>
      <c r="L167" s="35">
        <v>0.71527777777777779</v>
      </c>
      <c r="M167" s="35">
        <v>0.71527777777777779</v>
      </c>
      <c r="N167" s="35">
        <v>0.7416666666666667</v>
      </c>
      <c r="O167" s="6">
        <f>(IGA_BD[[#This Row],[Work Start TimeStamp]]-IGA_BD[[#This Row],[Fault Start TimeStamp]])*24</f>
        <v>0</v>
      </c>
      <c r="P167" s="6">
        <f>(IGA_BD[[#This Row],[Fault Clearance time]]-IGA_BD[[#This Row],[Work Start TimeStamp]])*24</f>
        <v>0.63333333333333375</v>
      </c>
      <c r="Q167" s="6">
        <f>(IGA_BD[[#This Row],[Fault Clearance time]]-IGA_BD[[#This Row],[Fault Start TimeStamp]])*24</f>
        <v>0.63333333333333375</v>
      </c>
      <c r="R167" t="s">
        <v>4678</v>
      </c>
      <c r="S167" s="4" t="s">
        <v>255</v>
      </c>
      <c r="T167" s="302">
        <f>IFERROR(IGA_BD[[#This Row],[Breakdown Time]]*IGA_BD[[#This Row],[Plant Equivalent Weightage]],"")</f>
        <v>0.31666666666666687</v>
      </c>
      <c r="U167" s="4"/>
      <c r="V167" s="4"/>
      <c r="W167">
        <v>4858</v>
      </c>
    </row>
    <row r="168" spans="1:23">
      <c r="A168" s="10">
        <f t="shared" si="2"/>
        <v>164</v>
      </c>
      <c r="B168" s="10">
        <v>2026</v>
      </c>
      <c r="C168" s="10">
        <v>2025</v>
      </c>
      <c r="D168" s="10" t="s">
        <v>4478</v>
      </c>
      <c r="E168" s="309">
        <f>IGA_BD[[#This Row],[Date]]-DAY(IGA_BD[[#This Row],[Date]])+1</f>
        <v>45839</v>
      </c>
      <c r="F168" s="32">
        <v>45855</v>
      </c>
      <c r="G168" t="s">
        <v>566</v>
      </c>
      <c r="H168" s="4">
        <f>IFERROR(VLOOKUP(IGA_BD[[#This Row],[Affected Feeder ]],'Basic Data'!$A$3:$E$50,2,0),"")</f>
        <v>0</v>
      </c>
      <c r="I168" s="4">
        <f>IFERROR(VLOOKUP(IGA_BD[[#This Row],[Affected Feeder ]],'Basic Data'!$A$3:$E$50,3,0),"")</f>
        <v>0</v>
      </c>
      <c r="J168" s="9">
        <f>IFERROR(VLOOKUP(IGA_BD[[#This Row],[Affected Feeder ]],'Basic Data'!$A$3:$E$50,5,0),"")</f>
        <v>0.5</v>
      </c>
      <c r="K168" t="s">
        <v>4679</v>
      </c>
      <c r="L168" s="35">
        <v>0.12638888888888888</v>
      </c>
      <c r="M168" s="35">
        <v>0.12638888888888888</v>
      </c>
      <c r="N168" s="35">
        <v>0.13125000000000001</v>
      </c>
      <c r="O168" s="6">
        <f>(IGA_BD[[#This Row],[Work Start TimeStamp]]-IGA_BD[[#This Row],[Fault Start TimeStamp]])*24</f>
        <v>0</v>
      </c>
      <c r="P168" s="6">
        <f>(IGA_BD[[#This Row],[Fault Clearance time]]-IGA_BD[[#This Row],[Work Start TimeStamp]])*24</f>
        <v>0.11666666666666692</v>
      </c>
      <c r="Q168" s="6">
        <f>(IGA_BD[[#This Row],[Fault Clearance time]]-IGA_BD[[#This Row],[Fault Start TimeStamp]])*24</f>
        <v>0.11666666666666692</v>
      </c>
      <c r="R168" s="46" t="s">
        <v>4298</v>
      </c>
      <c r="S168" s="4" t="s">
        <v>255</v>
      </c>
      <c r="T168" s="302">
        <f>IFERROR(IGA_BD[[#This Row],[Breakdown Time]]*IGA_BD[[#This Row],[Plant Equivalent Weightage]],"")</f>
        <v>5.8333333333333459E-2</v>
      </c>
      <c r="U168" s="4"/>
      <c r="V168" s="4"/>
      <c r="W168">
        <v>1151</v>
      </c>
    </row>
    <row r="169" spans="1:23">
      <c r="A169" s="10">
        <f t="shared" si="2"/>
        <v>165</v>
      </c>
      <c r="B169" s="10">
        <v>2026</v>
      </c>
      <c r="C169" s="10">
        <v>2025</v>
      </c>
      <c r="D169" s="10" t="s">
        <v>4478</v>
      </c>
      <c r="E169" s="309">
        <f>IGA_BD[[#This Row],[Date]]-DAY(IGA_BD[[#This Row],[Date]])+1</f>
        <v>45839</v>
      </c>
      <c r="F169" s="32">
        <v>45855</v>
      </c>
      <c r="G169" t="s">
        <v>79</v>
      </c>
      <c r="H169" s="4" t="str">
        <f>IFERROR(VLOOKUP(IGA_BD[[#This Row],[Affected Feeder ]],'Basic Data'!$A$3:$E$50,2,0),"")</f>
        <v>O2R3</v>
      </c>
      <c r="I169" s="4" t="str">
        <f>IFERROR(VLOOKUP(IGA_BD[[#This Row],[Affected Feeder ]],'Basic Data'!$A$3:$E$50,3,0),"")</f>
        <v>JK</v>
      </c>
      <c r="J169" s="9">
        <f>IFERROR(VLOOKUP(IGA_BD[[#This Row],[Affected Feeder ]],'Basic Data'!$A$3:$E$50,5,0),"")</f>
        <v>4.3478260869565223E-2</v>
      </c>
      <c r="K169" t="s">
        <v>4320</v>
      </c>
      <c r="L169" s="35">
        <v>0.13125000000000001</v>
      </c>
      <c r="M169" s="35">
        <v>0.13125000000000001</v>
      </c>
      <c r="N169" s="35">
        <v>0.22638888888888889</v>
      </c>
      <c r="O169" s="6">
        <f>(IGA_BD[[#This Row],[Work Start TimeStamp]]-IGA_BD[[#This Row],[Fault Start TimeStamp]])*24</f>
        <v>0</v>
      </c>
      <c r="P169" s="6">
        <f>(IGA_BD[[#This Row],[Fault Clearance time]]-IGA_BD[[#This Row],[Work Start TimeStamp]])*24</f>
        <v>2.2833333333333332</v>
      </c>
      <c r="Q169" s="6">
        <f>(IGA_BD[[#This Row],[Fault Clearance time]]-IGA_BD[[#This Row],[Fault Start TimeStamp]])*24</f>
        <v>2.2833333333333332</v>
      </c>
      <c r="R169" s="33" t="s">
        <v>4681</v>
      </c>
      <c r="S169" s="4" t="s">
        <v>255</v>
      </c>
      <c r="T169" s="302">
        <f>IFERROR(IGA_BD[[#This Row],[Breakdown Time]]*IGA_BD[[#This Row],[Plant Equivalent Weightage]],"")</f>
        <v>9.9275362318840585E-2</v>
      </c>
      <c r="U169" s="4"/>
      <c r="V169" s="4"/>
      <c r="W169">
        <v>1877</v>
      </c>
    </row>
    <row r="170" spans="1:23">
      <c r="A170" s="10">
        <f t="shared" si="2"/>
        <v>166</v>
      </c>
      <c r="B170" s="10">
        <v>2026</v>
      </c>
      <c r="C170" s="10">
        <v>2025</v>
      </c>
      <c r="D170" s="10" t="s">
        <v>4478</v>
      </c>
      <c r="E170" s="309">
        <f>IGA_BD[[#This Row],[Date]]-DAY(IGA_BD[[#This Row],[Date]])+1</f>
        <v>45839</v>
      </c>
      <c r="F170" s="32">
        <v>45855</v>
      </c>
      <c r="G170" t="s">
        <v>80</v>
      </c>
      <c r="H170" s="4" t="str">
        <f>IFERROR(VLOOKUP(IGA_BD[[#This Row],[Affected Feeder ]],'Basic Data'!$A$3:$E$50,2,0),"")</f>
        <v>O2R3</v>
      </c>
      <c r="I170" s="4" t="str">
        <f>IFERROR(VLOOKUP(IGA_BD[[#This Row],[Affected Feeder ]],'Basic Data'!$A$3:$E$50,3,0),"")</f>
        <v>JK</v>
      </c>
      <c r="J170" s="9">
        <f>IFERROR(VLOOKUP(IGA_BD[[#This Row],[Affected Feeder ]],'Basic Data'!$A$3:$E$50,5,0),"")</f>
        <v>4.3478260869565223E-2</v>
      </c>
      <c r="K170" t="s">
        <v>4320</v>
      </c>
      <c r="L170" s="35">
        <v>0.13125000000000001</v>
      </c>
      <c r="M170" s="35">
        <v>0.13125000000000001</v>
      </c>
      <c r="N170" s="35">
        <v>0.22638888888888889</v>
      </c>
      <c r="O170" s="6">
        <f>(IGA_BD[[#This Row],[Work Start TimeStamp]]-IGA_BD[[#This Row],[Fault Start TimeStamp]])*24</f>
        <v>0</v>
      </c>
      <c r="P170" s="6">
        <f>(IGA_BD[[#This Row],[Fault Clearance time]]-IGA_BD[[#This Row],[Work Start TimeStamp]])*24</f>
        <v>2.2833333333333332</v>
      </c>
      <c r="Q170" s="6">
        <f>(IGA_BD[[#This Row],[Fault Clearance time]]-IGA_BD[[#This Row],[Fault Start TimeStamp]])*24</f>
        <v>2.2833333333333332</v>
      </c>
      <c r="R170" s="33" t="s">
        <v>4681</v>
      </c>
      <c r="S170" s="4" t="s">
        <v>255</v>
      </c>
      <c r="T170" s="302">
        <f>IFERROR(IGA_BD[[#This Row],[Breakdown Time]]*IGA_BD[[#This Row],[Plant Equivalent Weightage]],"")</f>
        <v>9.9275362318840585E-2</v>
      </c>
      <c r="U170" s="4"/>
      <c r="V170" s="4"/>
      <c r="W170">
        <v>1877</v>
      </c>
    </row>
    <row r="171" spans="1:23">
      <c r="A171" s="10">
        <f t="shared" si="2"/>
        <v>167</v>
      </c>
      <c r="B171" s="10">
        <v>2026</v>
      </c>
      <c r="C171" s="10">
        <v>2025</v>
      </c>
      <c r="D171" s="10" t="s">
        <v>4478</v>
      </c>
      <c r="E171" s="309">
        <f>IGA_BD[[#This Row],[Date]]-DAY(IGA_BD[[#This Row],[Date]])+1</f>
        <v>45839</v>
      </c>
      <c r="F171" s="32">
        <v>45855</v>
      </c>
      <c r="G171" t="s">
        <v>84</v>
      </c>
      <c r="H171" s="4" t="str">
        <f>IFERROR(VLOOKUP(IGA_BD[[#This Row],[Affected Feeder ]],'Basic Data'!$A$3:$E$50,2,0),"")</f>
        <v>O2R3</v>
      </c>
      <c r="I171" s="4" t="str">
        <f>IFERROR(VLOOKUP(IGA_BD[[#This Row],[Affected Feeder ]],'Basic Data'!$A$3:$E$50,3,0),"")</f>
        <v>JK</v>
      </c>
      <c r="J171" s="9">
        <f>IFERROR(VLOOKUP(IGA_BD[[#This Row],[Affected Feeder ]],'Basic Data'!$A$3:$E$50,5,0),"")</f>
        <v>4.3478260869565223E-2</v>
      </c>
      <c r="K171" t="s">
        <v>4320</v>
      </c>
      <c r="L171" s="35">
        <v>0.13125000000000001</v>
      </c>
      <c r="M171" s="35">
        <v>0.13125000000000001</v>
      </c>
      <c r="N171" s="35">
        <v>0.22638888888888889</v>
      </c>
      <c r="O171" s="6">
        <f>(IGA_BD[[#This Row],[Work Start TimeStamp]]-IGA_BD[[#This Row],[Fault Start TimeStamp]])*24</f>
        <v>0</v>
      </c>
      <c r="P171" s="6">
        <f>(IGA_BD[[#This Row],[Fault Clearance time]]-IGA_BD[[#This Row],[Work Start TimeStamp]])*24</f>
        <v>2.2833333333333332</v>
      </c>
      <c r="Q171" s="6">
        <f>(IGA_BD[[#This Row],[Fault Clearance time]]-IGA_BD[[#This Row],[Fault Start TimeStamp]])*24</f>
        <v>2.2833333333333332</v>
      </c>
      <c r="R171" s="33" t="s">
        <v>4681</v>
      </c>
      <c r="S171" s="4" t="s">
        <v>255</v>
      </c>
      <c r="T171" s="302">
        <f>IFERROR(IGA_BD[[#This Row],[Breakdown Time]]*IGA_BD[[#This Row],[Plant Equivalent Weightage]],"")</f>
        <v>9.9275362318840585E-2</v>
      </c>
      <c r="U171" s="4"/>
      <c r="V171" s="4"/>
      <c r="W171">
        <v>1877</v>
      </c>
    </row>
    <row r="172" spans="1:23">
      <c r="A172" s="10">
        <f t="shared" si="2"/>
        <v>168</v>
      </c>
      <c r="B172" s="10">
        <v>2026</v>
      </c>
      <c r="C172" s="10">
        <v>2025</v>
      </c>
      <c r="D172" s="10" t="s">
        <v>4478</v>
      </c>
      <c r="E172" s="309">
        <f>IGA_BD[[#This Row],[Date]]-DAY(IGA_BD[[#This Row],[Date]])+1</f>
        <v>45839</v>
      </c>
      <c r="F172" s="32">
        <v>45855</v>
      </c>
      <c r="G172" t="s">
        <v>96</v>
      </c>
      <c r="H172" s="4" t="str">
        <f>IFERROR(VLOOKUP(IGA_BD[[#This Row],[Affected Feeder ]],'Basic Data'!$A$3:$E$50,2,0),"")</f>
        <v>O2R3</v>
      </c>
      <c r="I172" s="4" t="str">
        <f>IFERROR(VLOOKUP(IGA_BD[[#This Row],[Affected Feeder ]],'Basic Data'!$A$3:$E$50,3,0),"")</f>
        <v>JK</v>
      </c>
      <c r="J172" s="9">
        <f>IFERROR(VLOOKUP(IGA_BD[[#This Row],[Affected Feeder ]],'Basic Data'!$A$3:$E$50,5,0),"")</f>
        <v>4.3478260869565223E-2</v>
      </c>
      <c r="K172" t="s">
        <v>4320</v>
      </c>
      <c r="L172" s="35">
        <v>0.13125000000000001</v>
      </c>
      <c r="M172" s="35">
        <v>0.13125000000000001</v>
      </c>
      <c r="N172" s="35">
        <v>0.22638888888888889</v>
      </c>
      <c r="O172" s="6">
        <f>(IGA_BD[[#This Row],[Work Start TimeStamp]]-IGA_BD[[#This Row],[Fault Start TimeStamp]])*24</f>
        <v>0</v>
      </c>
      <c r="P172" s="6">
        <f>(IGA_BD[[#This Row],[Fault Clearance time]]-IGA_BD[[#This Row],[Work Start TimeStamp]])*24</f>
        <v>2.2833333333333332</v>
      </c>
      <c r="Q172" s="6">
        <f>(IGA_BD[[#This Row],[Fault Clearance time]]-IGA_BD[[#This Row],[Fault Start TimeStamp]])*24</f>
        <v>2.2833333333333332</v>
      </c>
      <c r="R172" s="33" t="s">
        <v>4681</v>
      </c>
      <c r="S172" s="4" t="s">
        <v>255</v>
      </c>
      <c r="T172" s="302">
        <f>IFERROR(IGA_BD[[#This Row],[Breakdown Time]]*IGA_BD[[#This Row],[Plant Equivalent Weightage]],"")</f>
        <v>9.9275362318840585E-2</v>
      </c>
      <c r="U172" s="4"/>
      <c r="V172" s="4"/>
      <c r="W172">
        <v>1877</v>
      </c>
    </row>
    <row r="173" spans="1:23">
      <c r="A173" s="10">
        <f t="shared" si="2"/>
        <v>169</v>
      </c>
      <c r="B173" s="10">
        <v>2026</v>
      </c>
      <c r="C173" s="10">
        <v>2025</v>
      </c>
      <c r="D173" s="10" t="s">
        <v>4478</v>
      </c>
      <c r="E173" s="309">
        <f>IGA_BD[[#This Row],[Date]]-DAY(IGA_BD[[#This Row],[Date]])+1</f>
        <v>45839</v>
      </c>
      <c r="F173" s="32">
        <v>45855</v>
      </c>
      <c r="G173" t="s">
        <v>97</v>
      </c>
      <c r="H173" s="4" t="str">
        <f>IFERROR(VLOOKUP(IGA_BD[[#This Row],[Affected Feeder ]],'Basic Data'!$A$3:$E$50,2,0),"")</f>
        <v>O2R3</v>
      </c>
      <c r="I173" s="4" t="str">
        <f>IFERROR(VLOOKUP(IGA_BD[[#This Row],[Affected Feeder ]],'Basic Data'!$A$3:$E$50,3,0),"")</f>
        <v>JK</v>
      </c>
      <c r="J173" s="9">
        <f>IFERROR(VLOOKUP(IGA_BD[[#This Row],[Affected Feeder ]],'Basic Data'!$A$3:$E$50,5,0),"")</f>
        <v>4.3478260869565223E-2</v>
      </c>
      <c r="K173" t="s">
        <v>4320</v>
      </c>
      <c r="L173" s="35">
        <v>0.13125000000000001</v>
      </c>
      <c r="M173" s="35">
        <v>0.13125000000000001</v>
      </c>
      <c r="N173" s="35">
        <v>0.22638888888888889</v>
      </c>
      <c r="O173" s="6">
        <f>(IGA_BD[[#This Row],[Work Start TimeStamp]]-IGA_BD[[#This Row],[Fault Start TimeStamp]])*24</f>
        <v>0</v>
      </c>
      <c r="P173" s="6">
        <f>(IGA_BD[[#This Row],[Fault Clearance time]]-IGA_BD[[#This Row],[Work Start TimeStamp]])*24</f>
        <v>2.2833333333333332</v>
      </c>
      <c r="Q173" s="6">
        <f>(IGA_BD[[#This Row],[Fault Clearance time]]-IGA_BD[[#This Row],[Fault Start TimeStamp]])*24</f>
        <v>2.2833333333333332</v>
      </c>
      <c r="R173" s="33" t="s">
        <v>4681</v>
      </c>
      <c r="S173" s="4" t="s">
        <v>255</v>
      </c>
      <c r="T173" s="302">
        <f>IFERROR(IGA_BD[[#This Row],[Breakdown Time]]*IGA_BD[[#This Row],[Plant Equivalent Weightage]],"")</f>
        <v>9.9275362318840585E-2</v>
      </c>
      <c r="U173" s="4"/>
      <c r="V173" s="4"/>
      <c r="W173">
        <v>1877</v>
      </c>
    </row>
    <row r="174" spans="1:23">
      <c r="A174" s="10">
        <f t="shared" si="2"/>
        <v>170</v>
      </c>
      <c r="B174" s="10">
        <v>2026</v>
      </c>
      <c r="C174" s="10">
        <v>2025</v>
      </c>
      <c r="D174" s="10" t="s">
        <v>4478</v>
      </c>
      <c r="E174" s="309">
        <f>IGA_BD[[#This Row],[Date]]-DAY(IGA_BD[[#This Row],[Date]])+1</f>
        <v>45839</v>
      </c>
      <c r="F174" s="32">
        <v>45855</v>
      </c>
      <c r="G174" t="s">
        <v>98</v>
      </c>
      <c r="H174" s="4" t="str">
        <f>IFERROR(VLOOKUP(IGA_BD[[#This Row],[Affected Feeder ]],'Basic Data'!$A$3:$E$50,2,0),"")</f>
        <v>O2R3</v>
      </c>
      <c r="I174" s="4" t="str">
        <f>IFERROR(VLOOKUP(IGA_BD[[#This Row],[Affected Feeder ]],'Basic Data'!$A$3:$E$50,3,0),"")</f>
        <v>JK</v>
      </c>
      <c r="J174" s="9">
        <f>IFERROR(VLOOKUP(IGA_BD[[#This Row],[Affected Feeder ]],'Basic Data'!$A$3:$E$50,5,0),"")</f>
        <v>4.3478260869565223E-2</v>
      </c>
      <c r="K174" t="s">
        <v>4320</v>
      </c>
      <c r="L174" s="35">
        <v>0.13125000000000001</v>
      </c>
      <c r="M174" s="35">
        <v>0.13125000000000001</v>
      </c>
      <c r="N174" s="35">
        <v>0.22638888888888889</v>
      </c>
      <c r="O174" s="6">
        <f>(IGA_BD[[#This Row],[Work Start TimeStamp]]-IGA_BD[[#This Row],[Fault Start TimeStamp]])*24</f>
        <v>0</v>
      </c>
      <c r="P174" s="6">
        <f>(IGA_BD[[#This Row],[Fault Clearance time]]-IGA_BD[[#This Row],[Work Start TimeStamp]])*24</f>
        <v>2.2833333333333332</v>
      </c>
      <c r="Q174" s="6">
        <f>(IGA_BD[[#This Row],[Fault Clearance time]]-IGA_BD[[#This Row],[Fault Start TimeStamp]])*24</f>
        <v>2.2833333333333332</v>
      </c>
      <c r="R174" s="33" t="s">
        <v>4681</v>
      </c>
      <c r="S174" s="4" t="s">
        <v>255</v>
      </c>
      <c r="T174" s="302">
        <f>IFERROR(IGA_BD[[#This Row],[Breakdown Time]]*IGA_BD[[#This Row],[Plant Equivalent Weightage]],"")</f>
        <v>9.9275362318840585E-2</v>
      </c>
      <c r="U174" s="4"/>
      <c r="V174" s="4"/>
      <c r="W174">
        <v>1877</v>
      </c>
    </row>
    <row r="175" spans="1:23">
      <c r="A175" s="10">
        <f t="shared" si="2"/>
        <v>171</v>
      </c>
      <c r="B175" s="10">
        <v>2026</v>
      </c>
      <c r="C175" s="10">
        <v>2025</v>
      </c>
      <c r="D175" s="10" t="s">
        <v>4478</v>
      </c>
      <c r="E175" s="309">
        <f>IGA_BD[[#This Row],[Date]]-DAY(IGA_BD[[#This Row],[Date]])+1</f>
        <v>45839</v>
      </c>
      <c r="F175" s="32">
        <v>45855</v>
      </c>
      <c r="G175" t="s">
        <v>566</v>
      </c>
      <c r="H175" s="4">
        <f>IFERROR(VLOOKUP(IGA_BD[[#This Row],[Affected Feeder ]],'Basic Data'!$A$3:$E$50,2,0),"")</f>
        <v>0</v>
      </c>
      <c r="I175" s="4">
        <f>IFERROR(VLOOKUP(IGA_BD[[#This Row],[Affected Feeder ]],'Basic Data'!$A$3:$E$50,3,0),"")</f>
        <v>0</v>
      </c>
      <c r="J175" s="9">
        <f>IFERROR(VLOOKUP(IGA_BD[[#This Row],[Affected Feeder ]],'Basic Data'!$A$3:$E$50,5,0),"")</f>
        <v>0.5</v>
      </c>
      <c r="K175" t="s">
        <v>4673</v>
      </c>
      <c r="L175" s="35">
        <v>0.22638888888888889</v>
      </c>
      <c r="M175" s="35">
        <v>0.22638888888888889</v>
      </c>
      <c r="N175" s="35">
        <v>0.24166666666666667</v>
      </c>
      <c r="O175" s="6">
        <f>(IGA_BD[[#This Row],[Work Start TimeStamp]]-IGA_BD[[#This Row],[Fault Start TimeStamp]])*24</f>
        <v>0</v>
      </c>
      <c r="P175" s="6">
        <f>(IGA_BD[[#This Row],[Fault Clearance time]]-IGA_BD[[#This Row],[Work Start TimeStamp]])*24</f>
        <v>0.3666666666666667</v>
      </c>
      <c r="Q175" s="6">
        <f>(IGA_BD[[#This Row],[Fault Clearance time]]-IGA_BD[[#This Row],[Fault Start TimeStamp]])*24</f>
        <v>0.3666666666666667</v>
      </c>
      <c r="R175" s="33" t="s">
        <v>4682</v>
      </c>
      <c r="S175" s="4" t="s">
        <v>255</v>
      </c>
      <c r="T175" s="302">
        <f>IFERROR(IGA_BD[[#This Row],[Breakdown Time]]*IGA_BD[[#This Row],[Plant Equivalent Weightage]],"")</f>
        <v>0.18333333333333335</v>
      </c>
      <c r="U175" s="4"/>
      <c r="V175" s="4"/>
      <c r="W175">
        <v>3618</v>
      </c>
    </row>
    <row r="176" spans="1:23">
      <c r="A176" s="10">
        <f t="shared" si="2"/>
        <v>172</v>
      </c>
      <c r="B176" s="10">
        <v>2026</v>
      </c>
      <c r="C176" s="10">
        <v>2025</v>
      </c>
      <c r="D176" s="10" t="s">
        <v>4478</v>
      </c>
      <c r="E176" s="309">
        <f>IGA_BD[[#This Row],[Date]]-DAY(IGA_BD[[#This Row],[Date]])+1</f>
        <v>45839</v>
      </c>
      <c r="F176" s="32">
        <v>45857</v>
      </c>
      <c r="G176" t="s">
        <v>566</v>
      </c>
      <c r="H176" s="4">
        <f>IFERROR(VLOOKUP(IGA_BD[[#This Row],[Affected Feeder ]],'Basic Data'!$A$3:$E$50,2,0),"")</f>
        <v>0</v>
      </c>
      <c r="I176" s="4">
        <f>IFERROR(VLOOKUP(IGA_BD[[#This Row],[Affected Feeder ]],'Basic Data'!$A$3:$E$50,3,0),"")</f>
        <v>0</v>
      </c>
      <c r="J176" s="9">
        <f>IFERROR(VLOOKUP(IGA_BD[[#This Row],[Affected Feeder ]],'Basic Data'!$A$3:$E$50,5,0),"")</f>
        <v>0.5</v>
      </c>
      <c r="K176" t="s">
        <v>388</v>
      </c>
      <c r="L176" s="35">
        <v>0.25</v>
      </c>
      <c r="M176" s="35">
        <v>0.25</v>
      </c>
      <c r="N176" s="35">
        <v>0.25694444444444442</v>
      </c>
      <c r="O176" s="6">
        <f>(IGA_BD[[#This Row],[Work Start TimeStamp]]-IGA_BD[[#This Row],[Fault Start TimeStamp]])*24</f>
        <v>0</v>
      </c>
      <c r="P176" s="6">
        <f>(IGA_BD[[#This Row],[Fault Clearance time]]-IGA_BD[[#This Row],[Work Start TimeStamp]])*24</f>
        <v>0.16666666666666607</v>
      </c>
      <c r="Q176" s="6">
        <f>(IGA_BD[[#This Row],[Fault Clearance time]]-IGA_BD[[#This Row],[Fault Start TimeStamp]])*24</f>
        <v>0.16666666666666607</v>
      </c>
      <c r="R176" t="s">
        <v>4298</v>
      </c>
      <c r="S176" s="4" t="s">
        <v>255</v>
      </c>
      <c r="T176" s="302">
        <f>IFERROR(IGA_BD[[#This Row],[Breakdown Time]]*IGA_BD[[#This Row],[Plant Equivalent Weightage]],"")</f>
        <v>8.3333333333333037E-2</v>
      </c>
      <c r="U176" s="4"/>
      <c r="V176" s="4"/>
      <c r="W176">
        <v>2146</v>
      </c>
    </row>
    <row r="177" spans="1:22">
      <c r="A177" s="10"/>
      <c r="B177" s="10"/>
      <c r="C177" s="10"/>
      <c r="D177" s="10"/>
      <c r="E177" s="309">
        <f>IGA_BD[[#This Row],[Date]]-DAY(IGA_BD[[#This Row],[Date]])+1</f>
        <v>1</v>
      </c>
      <c r="F177" s="32"/>
      <c r="H177" s="4" t="str">
        <f>IFERROR(VLOOKUP(IGA_BD[[#This Row],[Affected Feeder ]],'Basic Data'!$A$3:$E$50,2,0),"")</f>
        <v/>
      </c>
      <c r="I177" s="4" t="str">
        <f>IFERROR(VLOOKUP(IGA_BD[[#This Row],[Affected Feeder ]],'Basic Data'!$A$3:$E$50,3,0),"")</f>
        <v/>
      </c>
      <c r="J177" s="9" t="str">
        <f>IFERROR(VLOOKUP(IGA_BD[[#This Row],[Affected Feeder ]],'Basic Data'!$A$3:$E$50,5,0),"")</f>
        <v/>
      </c>
      <c r="O177" s="6">
        <f>(IGA_BD[[#This Row],[Work Start TimeStamp]]-IGA_BD[[#This Row],[Fault Start TimeStamp]])*24</f>
        <v>0</v>
      </c>
      <c r="P177" s="6">
        <f>(IGA_BD[[#This Row],[Fault Clearance time]]-IGA_BD[[#This Row],[Work Start TimeStamp]])*24</f>
        <v>0</v>
      </c>
      <c r="Q177" s="6">
        <f>(IGA_BD[[#This Row],[Fault Clearance time]]-IGA_BD[[#This Row],[Fault Start TimeStamp]])*24</f>
        <v>0</v>
      </c>
      <c r="S177" s="4"/>
      <c r="T177" s="4" t="str">
        <f>IFERROR(IGA_BD[[#This Row],[Breakdown Time]]*IGA_BD[[#This Row],[Plant Equivalent Weightage]],"")</f>
        <v/>
      </c>
      <c r="U177" s="4"/>
      <c r="V177" s="4"/>
    </row>
    <row r="178" spans="1:22">
      <c r="A178" s="10"/>
      <c r="B178" s="10"/>
      <c r="C178" s="10"/>
      <c r="D178" s="10"/>
      <c r="E178" s="309">
        <f>IGA_BD[[#This Row],[Date]]-DAY(IGA_BD[[#This Row],[Date]])+1</f>
        <v>1</v>
      </c>
      <c r="F178" s="32"/>
      <c r="H178" s="4" t="str">
        <f>IFERROR(VLOOKUP(IGA_BD[[#This Row],[Affected Feeder ]],'Basic Data'!$A$3:$E$50,2,0),"")</f>
        <v/>
      </c>
      <c r="I178" s="4" t="str">
        <f>IFERROR(VLOOKUP(IGA_BD[[#This Row],[Affected Feeder ]],'Basic Data'!$A$3:$E$50,3,0),"")</f>
        <v/>
      </c>
      <c r="J178" s="9" t="str">
        <f>IFERROR(VLOOKUP(IGA_BD[[#This Row],[Affected Feeder ]],'Basic Data'!$A$3:$E$50,5,0),"")</f>
        <v/>
      </c>
      <c r="O178" s="6">
        <f>(IGA_BD[[#This Row],[Work Start TimeStamp]]-IGA_BD[[#This Row],[Fault Start TimeStamp]])*24</f>
        <v>0</v>
      </c>
      <c r="P178" s="6">
        <f>(IGA_BD[[#This Row],[Fault Clearance time]]-IGA_BD[[#This Row],[Work Start TimeStamp]])*24</f>
        <v>0</v>
      </c>
      <c r="Q178" s="6">
        <f>(IGA_BD[[#This Row],[Fault Clearance time]]-IGA_BD[[#This Row],[Fault Start TimeStamp]])*24</f>
        <v>0</v>
      </c>
      <c r="R178" s="33"/>
      <c r="S178" s="4"/>
      <c r="T178" s="4" t="str">
        <f>IFERROR(IGA_BD[[#This Row],[Breakdown Time]]*IGA_BD[[#This Row],[Plant Equivalent Weightage]],"")</f>
        <v/>
      </c>
      <c r="U178" s="4"/>
      <c r="V178" s="4"/>
    </row>
    <row r="179" spans="1:22">
      <c r="A179" s="10"/>
      <c r="B179" s="10"/>
      <c r="C179" s="10"/>
      <c r="D179" s="10"/>
      <c r="E179" s="309">
        <f>IGA_BD[[#This Row],[Date]]-DAY(IGA_BD[[#This Row],[Date]])+1</f>
        <v>1</v>
      </c>
      <c r="F179" s="32"/>
      <c r="H179" s="4" t="str">
        <f>IFERROR(VLOOKUP(IGA_BD[[#This Row],[Affected Feeder ]],'Basic Data'!$A$3:$E$50,2,0),"")</f>
        <v/>
      </c>
      <c r="I179" s="4" t="str">
        <f>IFERROR(VLOOKUP(IGA_BD[[#This Row],[Affected Feeder ]],'Basic Data'!$A$3:$E$50,3,0),"")</f>
        <v/>
      </c>
      <c r="J179" s="9" t="str">
        <f>IFERROR(VLOOKUP(IGA_BD[[#This Row],[Affected Feeder ]],'Basic Data'!$A$3:$E$50,5,0),"")</f>
        <v/>
      </c>
      <c r="O179" s="6">
        <f>(IGA_BD[[#This Row],[Work Start TimeStamp]]-IGA_BD[[#This Row],[Fault Start TimeStamp]])*24</f>
        <v>0</v>
      </c>
      <c r="P179" s="6">
        <f>(IGA_BD[[#This Row],[Fault Clearance time]]-IGA_BD[[#This Row],[Work Start TimeStamp]])*24</f>
        <v>0</v>
      </c>
      <c r="Q179" s="6">
        <f>(IGA_BD[[#This Row],[Fault Clearance time]]-IGA_BD[[#This Row],[Fault Start TimeStamp]])*24</f>
        <v>0</v>
      </c>
      <c r="S179" s="4"/>
      <c r="T179" s="4" t="str">
        <f>IFERROR(IGA_BD[[#This Row],[Breakdown Time]]*IGA_BD[[#This Row],[Plant Equivalent Weightage]],"")</f>
        <v/>
      </c>
      <c r="U179" s="4"/>
      <c r="V179" s="4"/>
    </row>
    <row r="180" spans="1:22">
      <c r="A180" s="10"/>
      <c r="B180" s="10"/>
      <c r="C180" s="10"/>
      <c r="D180" s="10"/>
      <c r="E180" s="309">
        <f>IGA_BD[[#This Row],[Date]]-DAY(IGA_BD[[#This Row],[Date]])+1</f>
        <v>1</v>
      </c>
      <c r="F180" s="32"/>
      <c r="H180" s="4" t="str">
        <f>IFERROR(VLOOKUP(IGA_BD[[#This Row],[Affected Feeder ]],'Basic Data'!$A$3:$E$50,2,0),"")</f>
        <v/>
      </c>
      <c r="I180" s="4" t="str">
        <f>IFERROR(VLOOKUP(IGA_BD[[#This Row],[Affected Feeder ]],'Basic Data'!$A$3:$E$50,3,0),"")</f>
        <v/>
      </c>
      <c r="J180" s="9" t="str">
        <f>IFERROR(VLOOKUP(IGA_BD[[#This Row],[Affected Feeder ]],'Basic Data'!$A$3:$E$50,5,0),"")</f>
        <v/>
      </c>
      <c r="O180" s="6">
        <f>(IGA_BD[[#This Row],[Work Start TimeStamp]]-IGA_BD[[#This Row],[Fault Start TimeStamp]])*24</f>
        <v>0</v>
      </c>
      <c r="P180" s="6">
        <f>(IGA_BD[[#This Row],[Fault Clearance time]]-IGA_BD[[#This Row],[Work Start TimeStamp]])*24</f>
        <v>0</v>
      </c>
      <c r="Q180" s="6">
        <f>(IGA_BD[[#This Row],[Fault Clearance time]]-IGA_BD[[#This Row],[Fault Start TimeStamp]])*24</f>
        <v>0</v>
      </c>
      <c r="S180" s="4"/>
      <c r="T180" s="4" t="str">
        <f>IFERROR(IGA_BD[[#This Row],[Breakdown Time]]*IGA_BD[[#This Row],[Plant Equivalent Weightage]],"")</f>
        <v/>
      </c>
      <c r="U180" s="4"/>
      <c r="V180" s="4"/>
    </row>
    <row r="181" spans="1:22">
      <c r="A181" s="10"/>
      <c r="B181" s="10"/>
      <c r="C181" s="10"/>
      <c r="D181" s="10"/>
      <c r="E181" s="309">
        <f>IGA_BD[[#This Row],[Date]]-DAY(IGA_BD[[#This Row],[Date]])+1</f>
        <v>1</v>
      </c>
      <c r="F181" s="32"/>
      <c r="H181" s="4" t="str">
        <f>IFERROR(VLOOKUP(IGA_BD[[#This Row],[Affected Feeder ]],'Basic Data'!$A$3:$E$50,2,0),"")</f>
        <v/>
      </c>
      <c r="I181" s="4" t="str">
        <f>IFERROR(VLOOKUP(IGA_BD[[#This Row],[Affected Feeder ]],'Basic Data'!$A$3:$E$50,3,0),"")</f>
        <v/>
      </c>
      <c r="J181" s="9" t="str">
        <f>IFERROR(VLOOKUP(IGA_BD[[#This Row],[Affected Feeder ]],'Basic Data'!$A$3:$E$50,5,0),"")</f>
        <v/>
      </c>
      <c r="O181" s="6">
        <f>(IGA_BD[[#This Row],[Work Start TimeStamp]]-IGA_BD[[#This Row],[Fault Start TimeStamp]])*24</f>
        <v>0</v>
      </c>
      <c r="P181" s="6">
        <f>(IGA_BD[[#This Row],[Fault Clearance time]]-IGA_BD[[#This Row],[Work Start TimeStamp]])*24</f>
        <v>0</v>
      </c>
      <c r="Q181" s="6">
        <f>(IGA_BD[[#This Row],[Fault Clearance time]]-IGA_BD[[#This Row],[Fault Start TimeStamp]])*24</f>
        <v>0</v>
      </c>
      <c r="S181" s="4"/>
      <c r="T181" s="4" t="str">
        <f>IFERROR(IGA_BD[[#This Row],[Breakdown Time]]*IGA_BD[[#This Row],[Plant Equivalent Weightage]],"")</f>
        <v/>
      </c>
      <c r="U181" s="4"/>
      <c r="V181" s="4"/>
    </row>
    <row r="182" spans="1:22">
      <c r="A182" s="10"/>
      <c r="B182" s="10"/>
      <c r="C182" s="10"/>
      <c r="D182" s="10"/>
      <c r="E182" s="309">
        <f>IGA_BD[[#This Row],[Date]]-DAY(IGA_BD[[#This Row],[Date]])+1</f>
        <v>1</v>
      </c>
      <c r="F182" s="32"/>
      <c r="H182" s="4" t="str">
        <f>IFERROR(VLOOKUP(IGA_BD[[#This Row],[Affected Feeder ]],'Basic Data'!$A$3:$E$50,2,0),"")</f>
        <v/>
      </c>
      <c r="I182" s="4" t="str">
        <f>IFERROR(VLOOKUP(IGA_BD[[#This Row],[Affected Feeder ]],'Basic Data'!$A$3:$E$50,3,0),"")</f>
        <v/>
      </c>
      <c r="J182" s="9" t="str">
        <f>IFERROR(VLOOKUP(IGA_BD[[#This Row],[Affected Feeder ]],'Basic Data'!$A$3:$E$50,5,0),"")</f>
        <v/>
      </c>
      <c r="O182" s="6">
        <f>(IGA_BD[[#This Row],[Work Start TimeStamp]]-IGA_BD[[#This Row],[Fault Start TimeStamp]])*24</f>
        <v>0</v>
      </c>
      <c r="P182" s="6">
        <f>(IGA_BD[[#This Row],[Fault Clearance time]]-IGA_BD[[#This Row],[Work Start TimeStamp]])*24</f>
        <v>0</v>
      </c>
      <c r="Q182" s="6">
        <f>(IGA_BD[[#This Row],[Fault Clearance time]]-IGA_BD[[#This Row],[Fault Start TimeStamp]])*24</f>
        <v>0</v>
      </c>
      <c r="S182" s="4"/>
      <c r="T182" s="4" t="str">
        <f>IFERROR(IGA_BD[[#This Row],[Breakdown Time]]*IGA_BD[[#This Row],[Plant Equivalent Weightage]],"")</f>
        <v/>
      </c>
      <c r="U182" s="4"/>
      <c r="V182" s="4"/>
    </row>
    <row r="183" spans="1:22">
      <c r="A183" s="10"/>
      <c r="B183" s="10"/>
      <c r="C183" s="10"/>
      <c r="D183" s="10"/>
      <c r="E183" s="309">
        <f>IGA_BD[[#This Row],[Date]]-DAY(IGA_BD[[#This Row],[Date]])+1</f>
        <v>1</v>
      </c>
      <c r="F183" s="32"/>
      <c r="H183" s="4" t="str">
        <f>IFERROR(VLOOKUP(IGA_BD[[#This Row],[Affected Feeder ]],'Basic Data'!$A$3:$E$50,2,0),"")</f>
        <v/>
      </c>
      <c r="I183" s="4" t="str">
        <f>IFERROR(VLOOKUP(IGA_BD[[#This Row],[Affected Feeder ]],'Basic Data'!$A$3:$E$50,3,0),"")</f>
        <v/>
      </c>
      <c r="J183" s="9" t="str">
        <f>IFERROR(VLOOKUP(IGA_BD[[#This Row],[Affected Feeder ]],'Basic Data'!$A$3:$E$50,5,0),"")</f>
        <v/>
      </c>
      <c r="O183" s="6">
        <f>(IGA_BD[[#This Row],[Work Start TimeStamp]]-IGA_BD[[#This Row],[Fault Start TimeStamp]])*24</f>
        <v>0</v>
      </c>
      <c r="P183" s="6">
        <f>(IGA_BD[[#This Row],[Fault Clearance time]]-IGA_BD[[#This Row],[Work Start TimeStamp]])*24</f>
        <v>0</v>
      </c>
      <c r="Q183" s="6">
        <f>(IGA_BD[[#This Row],[Fault Clearance time]]-IGA_BD[[#This Row],[Fault Start TimeStamp]])*24</f>
        <v>0</v>
      </c>
      <c r="S183" s="4"/>
      <c r="T183" s="4" t="str">
        <f>IFERROR(IGA_BD[[#This Row],[Breakdown Time]]*IGA_BD[[#This Row],[Plant Equivalent Weightage]],"")</f>
        <v/>
      </c>
      <c r="U183" s="4"/>
      <c r="V183" s="4"/>
    </row>
    <row r="184" spans="1:22">
      <c r="A184" s="10"/>
      <c r="B184" s="10"/>
      <c r="C184" s="10"/>
      <c r="D184" s="10"/>
      <c r="E184" s="309">
        <f>IGA_BD[[#This Row],[Date]]-DAY(IGA_BD[[#This Row],[Date]])+1</f>
        <v>1</v>
      </c>
      <c r="F184" s="32"/>
      <c r="H184" s="4" t="str">
        <f>IFERROR(VLOOKUP(IGA_BD[[#This Row],[Affected Feeder ]],'Basic Data'!$A$3:$E$50,2,0),"")</f>
        <v/>
      </c>
      <c r="I184" s="4" t="str">
        <f>IFERROR(VLOOKUP(IGA_BD[[#This Row],[Affected Feeder ]],'Basic Data'!$A$3:$E$50,3,0),"")</f>
        <v/>
      </c>
      <c r="J184" s="9" t="str">
        <f>IFERROR(VLOOKUP(IGA_BD[[#This Row],[Affected Feeder ]],'Basic Data'!$A$3:$E$50,5,0),"")</f>
        <v/>
      </c>
      <c r="O184" s="6">
        <f>(IGA_BD[[#This Row],[Work Start TimeStamp]]-IGA_BD[[#This Row],[Fault Start TimeStamp]])*24</f>
        <v>0</v>
      </c>
      <c r="P184" s="6">
        <f>(IGA_BD[[#This Row],[Fault Clearance time]]-IGA_BD[[#This Row],[Work Start TimeStamp]])*24</f>
        <v>0</v>
      </c>
      <c r="Q184" s="6">
        <f>(IGA_BD[[#This Row],[Fault Clearance time]]-IGA_BD[[#This Row],[Fault Start TimeStamp]])*24</f>
        <v>0</v>
      </c>
      <c r="S184" s="4"/>
      <c r="T184" s="4" t="str">
        <f>IFERROR(IGA_BD[[#This Row],[Breakdown Time]]*IGA_BD[[#This Row],[Plant Equivalent Weightage]],"")</f>
        <v/>
      </c>
      <c r="U184" s="4"/>
      <c r="V184" s="4"/>
    </row>
    <row r="185" spans="1:22">
      <c r="A185" s="10"/>
      <c r="B185" s="10"/>
      <c r="C185" s="10"/>
      <c r="D185" s="10"/>
      <c r="E185" s="309">
        <f>IGA_BD[[#This Row],[Date]]-DAY(IGA_BD[[#This Row],[Date]])+1</f>
        <v>1</v>
      </c>
      <c r="F185" s="32"/>
      <c r="H185" s="4" t="str">
        <f>IFERROR(VLOOKUP(IGA_BD[[#This Row],[Affected Feeder ]],'Basic Data'!$A$3:$E$50,2,0),"")</f>
        <v/>
      </c>
      <c r="I185" s="4" t="str">
        <f>IFERROR(VLOOKUP(IGA_BD[[#This Row],[Affected Feeder ]],'Basic Data'!$A$3:$E$50,3,0),"")</f>
        <v/>
      </c>
      <c r="J185" s="9" t="str">
        <f>IFERROR(VLOOKUP(IGA_BD[[#This Row],[Affected Feeder ]],'Basic Data'!$A$3:$E$50,5,0),"")</f>
        <v/>
      </c>
      <c r="O185" s="6">
        <f>(IGA_BD[[#This Row],[Work Start TimeStamp]]-IGA_BD[[#This Row],[Fault Start TimeStamp]])*24</f>
        <v>0</v>
      </c>
      <c r="P185" s="6">
        <f>(IGA_BD[[#This Row],[Fault Clearance time]]-IGA_BD[[#This Row],[Work Start TimeStamp]])*24</f>
        <v>0</v>
      </c>
      <c r="Q185" s="6">
        <f>(IGA_BD[[#This Row],[Fault Clearance time]]-IGA_BD[[#This Row],[Fault Start TimeStamp]])*24</f>
        <v>0</v>
      </c>
      <c r="S185" s="4"/>
      <c r="T185" s="4" t="str">
        <f>IFERROR(IGA_BD[[#This Row],[Breakdown Time]]*IGA_BD[[#This Row],[Plant Equivalent Weightage]],"")</f>
        <v/>
      </c>
      <c r="U185" s="4"/>
      <c r="V185" s="4"/>
    </row>
    <row r="186" spans="1:22">
      <c r="A186" s="10"/>
      <c r="B186" s="10"/>
      <c r="C186" s="10"/>
      <c r="D186" s="10"/>
      <c r="E186" s="309">
        <f>IGA_BD[[#This Row],[Date]]-DAY(IGA_BD[[#This Row],[Date]])+1</f>
        <v>1</v>
      </c>
      <c r="F186" s="32"/>
      <c r="H186" s="4" t="str">
        <f>IFERROR(VLOOKUP(IGA_BD[[#This Row],[Affected Feeder ]],'Basic Data'!$A$3:$E$50,2,0),"")</f>
        <v/>
      </c>
      <c r="I186" s="4" t="str">
        <f>IFERROR(VLOOKUP(IGA_BD[[#This Row],[Affected Feeder ]],'Basic Data'!$A$3:$E$50,3,0),"")</f>
        <v/>
      </c>
      <c r="J186" s="9" t="str">
        <f>IFERROR(VLOOKUP(IGA_BD[[#This Row],[Affected Feeder ]],'Basic Data'!$A$3:$E$50,5,0),"")</f>
        <v/>
      </c>
      <c r="O186" s="6">
        <f>(IGA_BD[[#This Row],[Work Start TimeStamp]]-IGA_BD[[#This Row],[Fault Start TimeStamp]])*24</f>
        <v>0</v>
      </c>
      <c r="P186" s="6">
        <f>(IGA_BD[[#This Row],[Fault Clearance time]]-IGA_BD[[#This Row],[Work Start TimeStamp]])*24</f>
        <v>0</v>
      </c>
      <c r="Q186" s="6">
        <f>(IGA_BD[[#This Row],[Fault Clearance time]]-IGA_BD[[#This Row],[Fault Start TimeStamp]])*24</f>
        <v>0</v>
      </c>
      <c r="S186" s="4"/>
      <c r="T186" s="4" t="str">
        <f>IFERROR(IGA_BD[[#This Row],[Breakdown Time]]*IGA_BD[[#This Row],[Plant Equivalent Weightage]],"")</f>
        <v/>
      </c>
      <c r="U186" s="4"/>
      <c r="V186" s="4"/>
    </row>
    <row r="187" spans="1:22">
      <c r="A187" s="10"/>
      <c r="B187" s="10"/>
      <c r="C187" s="10"/>
      <c r="D187" s="10"/>
      <c r="E187" s="309">
        <f>IGA_BD[[#This Row],[Date]]-DAY(IGA_BD[[#This Row],[Date]])+1</f>
        <v>1</v>
      </c>
      <c r="F187" s="32"/>
      <c r="H187" s="4" t="str">
        <f>IFERROR(VLOOKUP(IGA_BD[[#This Row],[Affected Feeder ]],'Basic Data'!$A$3:$E$50,2,0),"")</f>
        <v/>
      </c>
      <c r="I187" s="4" t="str">
        <f>IFERROR(VLOOKUP(IGA_BD[[#This Row],[Affected Feeder ]],'Basic Data'!$A$3:$E$50,3,0),"")</f>
        <v/>
      </c>
      <c r="J187" s="9" t="str">
        <f>IFERROR(VLOOKUP(IGA_BD[[#This Row],[Affected Feeder ]],'Basic Data'!$A$3:$E$50,5,0),"")</f>
        <v/>
      </c>
      <c r="O187" s="6">
        <f>(IGA_BD[[#This Row],[Work Start TimeStamp]]-IGA_BD[[#This Row],[Fault Start TimeStamp]])*24</f>
        <v>0</v>
      </c>
      <c r="P187" s="6">
        <f>(IGA_BD[[#This Row],[Fault Clearance time]]-IGA_BD[[#This Row],[Work Start TimeStamp]])*24</f>
        <v>0</v>
      </c>
      <c r="Q187" s="6">
        <f>(IGA_BD[[#This Row],[Fault Clearance time]]-IGA_BD[[#This Row],[Fault Start TimeStamp]])*24</f>
        <v>0</v>
      </c>
      <c r="S187" s="4"/>
      <c r="T187" s="4" t="str">
        <f>IFERROR(IGA_BD[[#This Row],[Breakdown Time]]*IGA_BD[[#This Row],[Plant Equivalent Weightage]],"")</f>
        <v/>
      </c>
      <c r="U187" s="4"/>
      <c r="V187" s="4"/>
    </row>
    <row r="188" spans="1:22">
      <c r="A188" s="10"/>
      <c r="B188" s="10"/>
      <c r="C188" s="10"/>
      <c r="D188" s="10"/>
      <c r="E188" s="309">
        <f>IGA_BD[[#This Row],[Date]]-DAY(IGA_BD[[#This Row],[Date]])+1</f>
        <v>1</v>
      </c>
      <c r="F188" s="32"/>
      <c r="H188" s="4" t="str">
        <f>IFERROR(VLOOKUP(IGA_BD[[#This Row],[Affected Feeder ]],'Basic Data'!$A$3:$E$50,2,0),"")</f>
        <v/>
      </c>
      <c r="I188" s="4" t="str">
        <f>IFERROR(VLOOKUP(IGA_BD[[#This Row],[Affected Feeder ]],'Basic Data'!$A$3:$E$50,3,0),"")</f>
        <v/>
      </c>
      <c r="J188" s="9" t="str">
        <f>IFERROR(VLOOKUP(IGA_BD[[#This Row],[Affected Feeder ]],'Basic Data'!$A$3:$E$50,5,0),"")</f>
        <v/>
      </c>
      <c r="O188" s="6">
        <f>(IGA_BD[[#This Row],[Work Start TimeStamp]]-IGA_BD[[#This Row],[Fault Start TimeStamp]])*24</f>
        <v>0</v>
      </c>
      <c r="P188" s="6">
        <f>(IGA_BD[[#This Row],[Fault Clearance time]]-IGA_BD[[#This Row],[Work Start TimeStamp]])*24</f>
        <v>0</v>
      </c>
      <c r="Q188" s="6">
        <f>(IGA_BD[[#This Row],[Fault Clearance time]]-IGA_BD[[#This Row],[Fault Start TimeStamp]])*24</f>
        <v>0</v>
      </c>
      <c r="S188" s="4"/>
      <c r="T188" s="4" t="str">
        <f>IFERROR(IGA_BD[[#This Row],[Breakdown Time]]*IGA_BD[[#This Row],[Plant Equivalent Weightage]],"")</f>
        <v/>
      </c>
      <c r="U188" s="4"/>
      <c r="V188" s="4"/>
    </row>
    <row r="189" spans="1:22">
      <c r="A189" s="10"/>
      <c r="B189" s="10"/>
      <c r="C189" s="10"/>
      <c r="D189" s="10"/>
      <c r="E189" s="309">
        <f>IGA_BD[[#This Row],[Date]]-DAY(IGA_BD[[#This Row],[Date]])+1</f>
        <v>1</v>
      </c>
      <c r="F189" s="32"/>
      <c r="H189" s="4" t="str">
        <f>IFERROR(VLOOKUP(IGA_BD[[#This Row],[Affected Feeder ]],'Basic Data'!$A$3:$E$50,2,0),"")</f>
        <v/>
      </c>
      <c r="I189" s="4" t="str">
        <f>IFERROR(VLOOKUP(IGA_BD[[#This Row],[Affected Feeder ]],'Basic Data'!$A$3:$E$50,3,0),"")</f>
        <v/>
      </c>
      <c r="J189" s="9" t="str">
        <f>IFERROR(VLOOKUP(IGA_BD[[#This Row],[Affected Feeder ]],'Basic Data'!$A$3:$E$50,5,0),"")</f>
        <v/>
      </c>
      <c r="O189" s="6">
        <f>(IGA_BD[[#This Row],[Work Start TimeStamp]]-IGA_BD[[#This Row],[Fault Start TimeStamp]])*24</f>
        <v>0</v>
      </c>
      <c r="P189" s="6">
        <f>(IGA_BD[[#This Row],[Fault Clearance time]]-IGA_BD[[#This Row],[Work Start TimeStamp]])*24</f>
        <v>0</v>
      </c>
      <c r="Q189" s="6">
        <f>(IGA_BD[[#This Row],[Fault Clearance time]]-IGA_BD[[#This Row],[Fault Start TimeStamp]])*24</f>
        <v>0</v>
      </c>
      <c r="S189" s="4"/>
      <c r="T189" s="4" t="str">
        <f>IFERROR(IGA_BD[[#This Row],[Breakdown Time]]*IGA_BD[[#This Row],[Plant Equivalent Weightage]],"")</f>
        <v/>
      </c>
      <c r="U189" s="4"/>
      <c r="V189" s="4"/>
    </row>
    <row r="190" spans="1:22">
      <c r="A190" s="10"/>
      <c r="B190" s="10"/>
      <c r="C190" s="10"/>
      <c r="D190" s="10"/>
      <c r="E190" s="309">
        <f>IGA_BD[[#This Row],[Date]]-DAY(IGA_BD[[#This Row],[Date]])+1</f>
        <v>1</v>
      </c>
      <c r="F190" s="32"/>
      <c r="H190" s="4" t="str">
        <f>IFERROR(VLOOKUP(IGA_BD[[#This Row],[Affected Feeder ]],'Basic Data'!$A$3:$E$50,2,0),"")</f>
        <v/>
      </c>
      <c r="I190" s="4" t="str">
        <f>IFERROR(VLOOKUP(IGA_BD[[#This Row],[Affected Feeder ]],'Basic Data'!$A$3:$E$50,3,0),"")</f>
        <v/>
      </c>
      <c r="J190" s="9" t="str">
        <f>IFERROR(VLOOKUP(IGA_BD[[#This Row],[Affected Feeder ]],'Basic Data'!$A$3:$E$50,5,0),"")</f>
        <v/>
      </c>
      <c r="O190" s="6">
        <f>(IGA_BD[[#This Row],[Work Start TimeStamp]]-IGA_BD[[#This Row],[Fault Start TimeStamp]])*24</f>
        <v>0</v>
      </c>
      <c r="P190" s="6">
        <f>(IGA_BD[[#This Row],[Fault Clearance time]]-IGA_BD[[#This Row],[Work Start TimeStamp]])*24</f>
        <v>0</v>
      </c>
      <c r="Q190" s="6">
        <f>(IGA_BD[[#This Row],[Fault Clearance time]]-IGA_BD[[#This Row],[Fault Start TimeStamp]])*24</f>
        <v>0</v>
      </c>
      <c r="S190" s="4"/>
      <c r="T190" s="4" t="str">
        <f>IFERROR(IGA_BD[[#This Row],[Breakdown Time]]*IGA_BD[[#This Row],[Plant Equivalent Weightage]],"")</f>
        <v/>
      </c>
      <c r="U190" s="4"/>
      <c r="V190" s="4"/>
    </row>
    <row r="191" spans="1:22">
      <c r="A191" s="10"/>
      <c r="B191" s="10"/>
      <c r="C191" s="10"/>
      <c r="D191" s="10"/>
      <c r="E191" s="309">
        <f>IGA_BD[[#This Row],[Date]]-DAY(IGA_BD[[#This Row],[Date]])+1</f>
        <v>1</v>
      </c>
      <c r="F191" s="32"/>
      <c r="H191" s="4" t="str">
        <f>IFERROR(VLOOKUP(IGA_BD[[#This Row],[Affected Feeder ]],'Basic Data'!$A$3:$E$50,2,0),"")</f>
        <v/>
      </c>
      <c r="I191" s="4" t="str">
        <f>IFERROR(VLOOKUP(IGA_BD[[#This Row],[Affected Feeder ]],'Basic Data'!$A$3:$E$50,3,0),"")</f>
        <v/>
      </c>
      <c r="J191" s="9" t="str">
        <f>IFERROR(VLOOKUP(IGA_BD[[#This Row],[Affected Feeder ]],'Basic Data'!$A$3:$E$50,5,0),"")</f>
        <v/>
      </c>
      <c r="O191" s="6">
        <f>(IGA_BD[[#This Row],[Work Start TimeStamp]]-IGA_BD[[#This Row],[Fault Start TimeStamp]])*24</f>
        <v>0</v>
      </c>
      <c r="P191" s="6">
        <f>(IGA_BD[[#This Row],[Fault Clearance time]]-IGA_BD[[#This Row],[Work Start TimeStamp]])*24</f>
        <v>0</v>
      </c>
      <c r="Q191" s="6">
        <f>(IGA_BD[[#This Row],[Fault Clearance time]]-IGA_BD[[#This Row],[Fault Start TimeStamp]])*24</f>
        <v>0</v>
      </c>
      <c r="S191" s="4"/>
      <c r="T191" s="4" t="str">
        <f>IFERROR(IGA_BD[[#This Row],[Breakdown Time]]*IGA_BD[[#This Row],[Plant Equivalent Weightage]],"")</f>
        <v/>
      </c>
      <c r="U191" s="4"/>
      <c r="V191" s="4"/>
    </row>
    <row r="192" spans="1:22">
      <c r="A192" s="10"/>
      <c r="B192" s="10"/>
      <c r="C192" s="10"/>
      <c r="D192" s="10"/>
      <c r="E192" s="309">
        <f>IGA_BD[[#This Row],[Date]]-DAY(IGA_BD[[#This Row],[Date]])+1</f>
        <v>1</v>
      </c>
      <c r="F192" s="32"/>
      <c r="H192" s="4" t="str">
        <f>IFERROR(VLOOKUP(IGA_BD[[#This Row],[Affected Feeder ]],'Basic Data'!$A$3:$E$50,2,0),"")</f>
        <v/>
      </c>
      <c r="I192" s="4" t="str">
        <f>IFERROR(VLOOKUP(IGA_BD[[#This Row],[Affected Feeder ]],'Basic Data'!$A$3:$E$50,3,0),"")</f>
        <v/>
      </c>
      <c r="J192" s="9" t="str">
        <f>IFERROR(VLOOKUP(IGA_BD[[#This Row],[Affected Feeder ]],'Basic Data'!$A$3:$E$50,5,0),"")</f>
        <v/>
      </c>
      <c r="O192" s="6">
        <f>(IGA_BD[[#This Row],[Work Start TimeStamp]]-IGA_BD[[#This Row],[Fault Start TimeStamp]])*24</f>
        <v>0</v>
      </c>
      <c r="P192" s="6">
        <f>(IGA_BD[[#This Row],[Fault Clearance time]]-IGA_BD[[#This Row],[Work Start TimeStamp]])*24</f>
        <v>0</v>
      </c>
      <c r="Q192" s="6">
        <f>(IGA_BD[[#This Row],[Fault Clearance time]]-IGA_BD[[#This Row],[Fault Start TimeStamp]])*24</f>
        <v>0</v>
      </c>
      <c r="S192" s="4"/>
      <c r="T192" s="4" t="str">
        <f>IFERROR(IGA_BD[[#This Row],[Breakdown Time]]*IGA_BD[[#This Row],[Plant Equivalent Weightage]],"")</f>
        <v/>
      </c>
      <c r="U192" s="4"/>
      <c r="V192" s="4"/>
    </row>
    <row r="193" spans="1:22">
      <c r="A193" s="10"/>
      <c r="B193" s="10"/>
      <c r="C193" s="10"/>
      <c r="D193" s="10"/>
      <c r="E193" s="309">
        <f>IGA_BD[[#This Row],[Date]]-DAY(IGA_BD[[#This Row],[Date]])+1</f>
        <v>1</v>
      </c>
      <c r="F193" s="32"/>
      <c r="H193" s="4" t="str">
        <f>IFERROR(VLOOKUP(IGA_BD[[#This Row],[Affected Feeder ]],'Basic Data'!$A$3:$E$50,2,0),"")</f>
        <v/>
      </c>
      <c r="I193" s="4" t="str">
        <f>IFERROR(VLOOKUP(IGA_BD[[#This Row],[Affected Feeder ]],'Basic Data'!$A$3:$E$50,3,0),"")</f>
        <v/>
      </c>
      <c r="J193" s="9" t="str">
        <f>IFERROR(VLOOKUP(IGA_BD[[#This Row],[Affected Feeder ]],'Basic Data'!$A$3:$E$50,5,0),"")</f>
        <v/>
      </c>
      <c r="O193" s="6">
        <f>(IGA_BD[[#This Row],[Work Start TimeStamp]]-IGA_BD[[#This Row],[Fault Start TimeStamp]])*24</f>
        <v>0</v>
      </c>
      <c r="P193" s="6">
        <f>(IGA_BD[[#This Row],[Fault Clearance time]]-IGA_BD[[#This Row],[Work Start TimeStamp]])*24</f>
        <v>0</v>
      </c>
      <c r="Q193" s="6">
        <f>(IGA_BD[[#This Row],[Fault Clearance time]]-IGA_BD[[#This Row],[Fault Start TimeStamp]])*24</f>
        <v>0</v>
      </c>
      <c r="S193" s="4"/>
      <c r="T193" s="4" t="str">
        <f>IFERROR(IGA_BD[[#This Row],[Breakdown Time]]*IGA_BD[[#This Row],[Plant Equivalent Weightage]],"")</f>
        <v/>
      </c>
      <c r="U193" s="4"/>
      <c r="V193" s="4"/>
    </row>
    <row r="194" spans="1:22">
      <c r="A194" s="10"/>
      <c r="B194" s="10"/>
      <c r="C194" s="10"/>
      <c r="D194" s="10"/>
      <c r="E194" s="309">
        <f>IGA_BD[[#This Row],[Date]]-DAY(IGA_BD[[#This Row],[Date]])+1</f>
        <v>1</v>
      </c>
      <c r="F194" s="32"/>
      <c r="H194" s="4" t="str">
        <f>IFERROR(VLOOKUP(IGA_BD[[#This Row],[Affected Feeder ]],'Basic Data'!$A$3:$E$50,2,0),"")</f>
        <v/>
      </c>
      <c r="I194" s="4" t="str">
        <f>IFERROR(VLOOKUP(IGA_BD[[#This Row],[Affected Feeder ]],'Basic Data'!$A$3:$E$50,3,0),"")</f>
        <v/>
      </c>
      <c r="J194" s="9" t="str">
        <f>IFERROR(VLOOKUP(IGA_BD[[#This Row],[Affected Feeder ]],'Basic Data'!$A$3:$E$50,5,0),"")</f>
        <v/>
      </c>
      <c r="O194" s="6">
        <f>(IGA_BD[[#This Row],[Work Start TimeStamp]]-IGA_BD[[#This Row],[Fault Start TimeStamp]])*24</f>
        <v>0</v>
      </c>
      <c r="P194" s="6">
        <f>(IGA_BD[[#This Row],[Fault Clearance time]]-IGA_BD[[#This Row],[Work Start TimeStamp]])*24</f>
        <v>0</v>
      </c>
      <c r="Q194" s="6">
        <f>(IGA_BD[[#This Row],[Fault Clearance time]]-IGA_BD[[#This Row],[Fault Start TimeStamp]])*24</f>
        <v>0</v>
      </c>
      <c r="S194" s="4"/>
      <c r="T194" s="4" t="str">
        <f>IFERROR(IGA_BD[[#This Row],[Breakdown Time]]*IGA_BD[[#This Row],[Plant Equivalent Weightage]],"")</f>
        <v/>
      </c>
      <c r="U194" s="4"/>
      <c r="V194" s="4"/>
    </row>
    <row r="195" spans="1:22">
      <c r="A195" s="10"/>
      <c r="B195" s="10"/>
      <c r="C195" s="10"/>
      <c r="D195" s="10"/>
      <c r="E195" s="309">
        <f>IGA_BD[[#This Row],[Date]]-DAY(IGA_BD[[#This Row],[Date]])+1</f>
        <v>1</v>
      </c>
      <c r="F195" s="32"/>
      <c r="H195" s="4" t="str">
        <f>IFERROR(VLOOKUP(IGA_BD[[#This Row],[Affected Feeder ]],'Basic Data'!$A$3:$E$50,2,0),"")</f>
        <v/>
      </c>
      <c r="I195" s="4" t="str">
        <f>IFERROR(VLOOKUP(IGA_BD[[#This Row],[Affected Feeder ]],'Basic Data'!$A$3:$E$50,3,0),"")</f>
        <v/>
      </c>
      <c r="J195" s="9" t="str">
        <f>IFERROR(VLOOKUP(IGA_BD[[#This Row],[Affected Feeder ]],'Basic Data'!$A$3:$E$50,5,0),"")</f>
        <v/>
      </c>
      <c r="O195" s="6">
        <f>(IGA_BD[[#This Row],[Work Start TimeStamp]]-IGA_BD[[#This Row],[Fault Start TimeStamp]])*24</f>
        <v>0</v>
      </c>
      <c r="P195" s="6">
        <f>(IGA_BD[[#This Row],[Fault Clearance time]]-IGA_BD[[#This Row],[Work Start TimeStamp]])*24</f>
        <v>0</v>
      </c>
      <c r="Q195" s="6">
        <f>(IGA_BD[[#This Row],[Fault Clearance time]]-IGA_BD[[#This Row],[Fault Start TimeStamp]])*24</f>
        <v>0</v>
      </c>
      <c r="S195" s="4"/>
      <c r="T195" s="4" t="str">
        <f>IFERROR(IGA_BD[[#This Row],[Breakdown Time]]*IGA_BD[[#This Row],[Plant Equivalent Weightage]],"")</f>
        <v/>
      </c>
      <c r="U195" s="4"/>
      <c r="V195" s="4"/>
    </row>
    <row r="196" spans="1:22">
      <c r="A196" s="10"/>
      <c r="B196" s="10"/>
      <c r="C196" s="10"/>
      <c r="D196" s="10"/>
      <c r="E196" s="309">
        <f>IGA_BD[[#This Row],[Date]]-DAY(IGA_BD[[#This Row],[Date]])+1</f>
        <v>1</v>
      </c>
      <c r="F196" s="32"/>
      <c r="H196" s="4" t="str">
        <f>IFERROR(VLOOKUP(IGA_BD[[#This Row],[Affected Feeder ]],'Basic Data'!$A$3:$E$50,2,0),"")</f>
        <v/>
      </c>
      <c r="I196" s="4" t="str">
        <f>IFERROR(VLOOKUP(IGA_BD[[#This Row],[Affected Feeder ]],'Basic Data'!$A$3:$E$50,3,0),"")</f>
        <v/>
      </c>
      <c r="J196" s="9" t="str">
        <f>IFERROR(VLOOKUP(IGA_BD[[#This Row],[Affected Feeder ]],'Basic Data'!$A$3:$E$50,5,0),"")</f>
        <v/>
      </c>
      <c r="O196" s="6">
        <f>(IGA_BD[[#This Row],[Work Start TimeStamp]]-IGA_BD[[#This Row],[Fault Start TimeStamp]])*24</f>
        <v>0</v>
      </c>
      <c r="P196" s="6">
        <f>(IGA_BD[[#This Row],[Fault Clearance time]]-IGA_BD[[#This Row],[Work Start TimeStamp]])*24</f>
        <v>0</v>
      </c>
      <c r="Q196" s="6">
        <f>(IGA_BD[[#This Row],[Fault Clearance time]]-IGA_BD[[#This Row],[Fault Start TimeStamp]])*24</f>
        <v>0</v>
      </c>
      <c r="S196" s="4"/>
      <c r="T196" s="4" t="str">
        <f>IFERROR(IGA_BD[[#This Row],[Breakdown Time]]*IGA_BD[[#This Row],[Plant Equivalent Weightage]],"")</f>
        <v/>
      </c>
      <c r="U196" s="4"/>
      <c r="V196" s="4"/>
    </row>
    <row r="197" spans="1:22">
      <c r="A197" s="10"/>
      <c r="B197" s="10"/>
      <c r="C197" s="10"/>
      <c r="D197" s="10"/>
      <c r="E197" s="309">
        <f>IGA_BD[[#This Row],[Date]]-DAY(IGA_BD[[#This Row],[Date]])+1</f>
        <v>1</v>
      </c>
      <c r="F197" s="32"/>
      <c r="H197" s="4" t="str">
        <f>IFERROR(VLOOKUP(IGA_BD[[#This Row],[Affected Feeder ]],'Basic Data'!$A$3:$E$50,2,0),"")</f>
        <v/>
      </c>
      <c r="I197" s="4" t="str">
        <f>IFERROR(VLOOKUP(IGA_BD[[#This Row],[Affected Feeder ]],'Basic Data'!$A$3:$E$50,3,0),"")</f>
        <v/>
      </c>
      <c r="J197" s="9" t="str">
        <f>IFERROR(VLOOKUP(IGA_BD[[#This Row],[Affected Feeder ]],'Basic Data'!$A$3:$E$50,5,0),"")</f>
        <v/>
      </c>
      <c r="O197" s="6">
        <f>(IGA_BD[[#This Row],[Work Start TimeStamp]]-IGA_BD[[#This Row],[Fault Start TimeStamp]])*24</f>
        <v>0</v>
      </c>
      <c r="P197" s="6">
        <f>(IGA_BD[[#This Row],[Fault Clearance time]]-IGA_BD[[#This Row],[Work Start TimeStamp]])*24</f>
        <v>0</v>
      </c>
      <c r="Q197" s="6">
        <f>(IGA_BD[[#This Row],[Fault Clearance time]]-IGA_BD[[#This Row],[Fault Start TimeStamp]])*24</f>
        <v>0</v>
      </c>
      <c r="S197" s="4"/>
      <c r="T197" s="4" t="str">
        <f>IFERROR(IGA_BD[[#This Row],[Breakdown Time]]*IGA_BD[[#This Row],[Plant Equivalent Weightage]],"")</f>
        <v/>
      </c>
      <c r="U197" s="4"/>
      <c r="V197" s="4"/>
    </row>
    <row r="198" spans="1:22">
      <c r="A198" s="10"/>
      <c r="B198" s="10"/>
      <c r="C198" s="10"/>
      <c r="D198" s="10"/>
      <c r="E198" s="309">
        <f>IGA_BD[[#This Row],[Date]]-DAY(IGA_BD[[#This Row],[Date]])+1</f>
        <v>1</v>
      </c>
      <c r="F198" s="32"/>
      <c r="H198" s="4" t="str">
        <f>IFERROR(VLOOKUP(IGA_BD[[#This Row],[Affected Feeder ]],'Basic Data'!$A$3:$E$50,2,0),"")</f>
        <v/>
      </c>
      <c r="I198" s="4" t="str">
        <f>IFERROR(VLOOKUP(IGA_BD[[#This Row],[Affected Feeder ]],'Basic Data'!$A$3:$E$50,3,0),"")</f>
        <v/>
      </c>
      <c r="J198" s="9" t="str">
        <f>IFERROR(VLOOKUP(IGA_BD[[#This Row],[Affected Feeder ]],'Basic Data'!$A$3:$E$50,5,0),"")</f>
        <v/>
      </c>
      <c r="O198" s="6">
        <f>(IGA_BD[[#This Row],[Work Start TimeStamp]]-IGA_BD[[#This Row],[Fault Start TimeStamp]])*24</f>
        <v>0</v>
      </c>
      <c r="P198" s="6">
        <f>(IGA_BD[[#This Row],[Fault Clearance time]]-IGA_BD[[#This Row],[Work Start TimeStamp]])*24</f>
        <v>0</v>
      </c>
      <c r="Q198" s="6">
        <f>(IGA_BD[[#This Row],[Fault Clearance time]]-IGA_BD[[#This Row],[Fault Start TimeStamp]])*24</f>
        <v>0</v>
      </c>
      <c r="S198" s="4"/>
      <c r="T198" s="4" t="str">
        <f>IFERROR(IGA_BD[[#This Row],[Breakdown Time]]*IGA_BD[[#This Row],[Plant Equivalent Weightage]],"")</f>
        <v/>
      </c>
      <c r="U198" s="4"/>
      <c r="V198" s="4"/>
    </row>
    <row r="199" spans="1:22">
      <c r="A199" s="10"/>
      <c r="B199" s="10"/>
      <c r="C199" s="10"/>
      <c r="D199" s="10"/>
      <c r="E199" s="309">
        <f>IGA_BD[[#This Row],[Date]]-DAY(IGA_BD[[#This Row],[Date]])+1</f>
        <v>1</v>
      </c>
      <c r="F199" s="32"/>
      <c r="H199" s="4" t="str">
        <f>IFERROR(VLOOKUP(IGA_BD[[#This Row],[Affected Feeder ]],'Basic Data'!$A$3:$E$50,2,0),"")</f>
        <v/>
      </c>
      <c r="I199" s="4" t="str">
        <f>IFERROR(VLOOKUP(IGA_BD[[#This Row],[Affected Feeder ]],'Basic Data'!$A$3:$E$50,3,0),"")</f>
        <v/>
      </c>
      <c r="J199" s="9" t="str">
        <f>IFERROR(VLOOKUP(IGA_BD[[#This Row],[Affected Feeder ]],'Basic Data'!$A$3:$E$50,5,0),"")</f>
        <v/>
      </c>
      <c r="O199" s="6">
        <f>(IGA_BD[[#This Row],[Work Start TimeStamp]]-IGA_BD[[#This Row],[Fault Start TimeStamp]])*24</f>
        <v>0</v>
      </c>
      <c r="P199" s="6">
        <f>(IGA_BD[[#This Row],[Fault Clearance time]]-IGA_BD[[#This Row],[Work Start TimeStamp]])*24</f>
        <v>0</v>
      </c>
      <c r="Q199" s="6">
        <f>(IGA_BD[[#This Row],[Fault Clearance time]]-IGA_BD[[#This Row],[Fault Start TimeStamp]])*24</f>
        <v>0</v>
      </c>
      <c r="S199" s="4"/>
      <c r="T199" s="4" t="str">
        <f>IFERROR(IGA_BD[[#This Row],[Breakdown Time]]*IGA_BD[[#This Row],[Plant Equivalent Weightage]],"")</f>
        <v/>
      </c>
      <c r="U199" s="4"/>
      <c r="V199" s="4"/>
    </row>
    <row r="200" spans="1:22">
      <c r="A200" s="10"/>
      <c r="B200" s="10"/>
      <c r="C200" s="10"/>
      <c r="D200" s="10"/>
      <c r="E200" s="309">
        <f>IGA_BD[[#This Row],[Date]]-DAY(IGA_BD[[#This Row],[Date]])+1</f>
        <v>1</v>
      </c>
      <c r="F200" s="32"/>
      <c r="H200" s="4" t="str">
        <f>IFERROR(VLOOKUP(IGA_BD[[#This Row],[Affected Feeder ]],'Basic Data'!$A$3:$E$50,2,0),"")</f>
        <v/>
      </c>
      <c r="I200" s="4" t="str">
        <f>IFERROR(VLOOKUP(IGA_BD[[#This Row],[Affected Feeder ]],'Basic Data'!$A$3:$E$50,3,0),"")</f>
        <v/>
      </c>
      <c r="J200" s="9" t="str">
        <f>IFERROR(VLOOKUP(IGA_BD[[#This Row],[Affected Feeder ]],'Basic Data'!$A$3:$E$50,5,0),"")</f>
        <v/>
      </c>
      <c r="O200" s="6">
        <f>(IGA_BD[[#This Row],[Work Start TimeStamp]]-IGA_BD[[#This Row],[Fault Start TimeStamp]])*24</f>
        <v>0</v>
      </c>
      <c r="P200" s="6">
        <f>(IGA_BD[[#This Row],[Fault Clearance time]]-IGA_BD[[#This Row],[Work Start TimeStamp]])*24</f>
        <v>0</v>
      </c>
      <c r="Q200" s="6">
        <f>(IGA_BD[[#This Row],[Fault Clearance time]]-IGA_BD[[#This Row],[Fault Start TimeStamp]])*24</f>
        <v>0</v>
      </c>
      <c r="S200" s="4"/>
      <c r="T200" s="4" t="str">
        <f>IFERROR(IGA_BD[[#This Row],[Breakdown Time]]*IGA_BD[[#This Row],[Plant Equivalent Weightage]],"")</f>
        <v/>
      </c>
      <c r="U200" s="4"/>
      <c r="V200" s="4"/>
    </row>
    <row r="201" spans="1:22">
      <c r="A201" s="10"/>
      <c r="B201" s="10"/>
      <c r="C201" s="10"/>
      <c r="D201" s="10"/>
      <c r="E201" s="309">
        <f>IGA_BD[[#This Row],[Date]]-DAY(IGA_BD[[#This Row],[Date]])+1</f>
        <v>1</v>
      </c>
      <c r="F201" s="32"/>
      <c r="H201" s="4" t="str">
        <f>IFERROR(VLOOKUP(IGA_BD[[#This Row],[Affected Feeder ]],'Basic Data'!$A$3:$E$50,2,0),"")</f>
        <v/>
      </c>
      <c r="I201" s="4" t="str">
        <f>IFERROR(VLOOKUP(IGA_BD[[#This Row],[Affected Feeder ]],'Basic Data'!$A$3:$E$50,3,0),"")</f>
        <v/>
      </c>
      <c r="J201" s="9" t="str">
        <f>IFERROR(VLOOKUP(IGA_BD[[#This Row],[Affected Feeder ]],'Basic Data'!$A$3:$E$50,5,0),"")</f>
        <v/>
      </c>
      <c r="O201" s="6">
        <f>(IGA_BD[[#This Row],[Work Start TimeStamp]]-IGA_BD[[#This Row],[Fault Start TimeStamp]])*24</f>
        <v>0</v>
      </c>
      <c r="P201" s="6">
        <f>(IGA_BD[[#This Row],[Fault Clearance time]]-IGA_BD[[#This Row],[Work Start TimeStamp]])*24</f>
        <v>0</v>
      </c>
      <c r="Q201" s="6">
        <f>(IGA_BD[[#This Row],[Fault Clearance time]]-IGA_BD[[#This Row],[Fault Start TimeStamp]])*24</f>
        <v>0</v>
      </c>
      <c r="S201" s="4"/>
      <c r="T201" s="4" t="str">
        <f>IFERROR(IGA_BD[[#This Row],[Breakdown Time]]*IGA_BD[[#This Row],[Plant Equivalent Weightage]],"")</f>
        <v/>
      </c>
      <c r="U201" s="4"/>
      <c r="V201" s="4"/>
    </row>
    <row r="202" spans="1:22">
      <c r="A202" s="10"/>
      <c r="B202" s="10"/>
      <c r="C202" s="10"/>
      <c r="D202" s="10"/>
      <c r="E202" s="309">
        <f>IGA_BD[[#This Row],[Date]]-DAY(IGA_BD[[#This Row],[Date]])+1</f>
        <v>1</v>
      </c>
      <c r="F202" s="32"/>
      <c r="H202" s="4" t="str">
        <f>IFERROR(VLOOKUP(IGA_BD[[#This Row],[Affected Feeder ]],'Basic Data'!$A$3:$E$50,2,0),"")</f>
        <v/>
      </c>
      <c r="I202" s="4" t="str">
        <f>IFERROR(VLOOKUP(IGA_BD[[#This Row],[Affected Feeder ]],'Basic Data'!$A$3:$E$50,3,0),"")</f>
        <v/>
      </c>
      <c r="J202" s="9" t="str">
        <f>IFERROR(VLOOKUP(IGA_BD[[#This Row],[Affected Feeder ]],'Basic Data'!$A$3:$E$50,5,0),"")</f>
        <v/>
      </c>
      <c r="O202" s="6">
        <f>(IGA_BD[[#This Row],[Work Start TimeStamp]]-IGA_BD[[#This Row],[Fault Start TimeStamp]])*24</f>
        <v>0</v>
      </c>
      <c r="P202" s="6">
        <f>(IGA_BD[[#This Row],[Fault Clearance time]]-IGA_BD[[#This Row],[Work Start TimeStamp]])*24</f>
        <v>0</v>
      </c>
      <c r="Q202" s="6">
        <f>(IGA_BD[[#This Row],[Fault Clearance time]]-IGA_BD[[#This Row],[Fault Start TimeStamp]])*24</f>
        <v>0</v>
      </c>
      <c r="S202" s="4"/>
      <c r="T202" s="4" t="str">
        <f>IFERROR(IGA_BD[[#This Row],[Breakdown Time]]*IGA_BD[[#This Row],[Plant Equivalent Weightage]],"")</f>
        <v/>
      </c>
      <c r="U202" s="4"/>
      <c r="V202" s="4"/>
    </row>
    <row r="203" spans="1:22">
      <c r="A203" s="10"/>
      <c r="B203" s="10"/>
      <c r="C203" s="10"/>
      <c r="D203" s="10"/>
      <c r="E203" s="309">
        <f>IGA_BD[[#This Row],[Date]]-DAY(IGA_BD[[#This Row],[Date]])+1</f>
        <v>1</v>
      </c>
      <c r="F203" s="32"/>
      <c r="H203" s="4" t="str">
        <f>IFERROR(VLOOKUP(IGA_BD[[#This Row],[Affected Feeder ]],'Basic Data'!$A$3:$E$50,2,0),"")</f>
        <v/>
      </c>
      <c r="I203" s="4" t="str">
        <f>IFERROR(VLOOKUP(IGA_BD[[#This Row],[Affected Feeder ]],'Basic Data'!$A$3:$E$50,3,0),"")</f>
        <v/>
      </c>
      <c r="J203" s="9" t="str">
        <f>IFERROR(VLOOKUP(IGA_BD[[#This Row],[Affected Feeder ]],'Basic Data'!$A$3:$E$50,5,0),"")</f>
        <v/>
      </c>
      <c r="O203" s="6">
        <f>(IGA_BD[[#This Row],[Work Start TimeStamp]]-IGA_BD[[#This Row],[Fault Start TimeStamp]])*24</f>
        <v>0</v>
      </c>
      <c r="P203" s="6">
        <f>(IGA_BD[[#This Row],[Fault Clearance time]]-IGA_BD[[#This Row],[Work Start TimeStamp]])*24</f>
        <v>0</v>
      </c>
      <c r="Q203" s="6">
        <f>(IGA_BD[[#This Row],[Fault Clearance time]]-IGA_BD[[#This Row],[Fault Start TimeStamp]])*24</f>
        <v>0</v>
      </c>
      <c r="S203" s="4"/>
      <c r="T203" s="4" t="str">
        <f>IFERROR(IGA_BD[[#This Row],[Breakdown Time]]*IGA_BD[[#This Row],[Plant Equivalent Weightage]],"")</f>
        <v/>
      </c>
      <c r="U203" s="4"/>
      <c r="V203" s="4"/>
    </row>
    <row r="204" spans="1:22">
      <c r="A204" s="10"/>
      <c r="B204" s="10"/>
      <c r="C204" s="10"/>
      <c r="D204" s="10"/>
      <c r="E204" s="309">
        <f>IGA_BD[[#This Row],[Date]]-DAY(IGA_BD[[#This Row],[Date]])+1</f>
        <v>1</v>
      </c>
      <c r="F204" s="32"/>
      <c r="H204" s="4" t="str">
        <f>IFERROR(VLOOKUP(IGA_BD[[#This Row],[Affected Feeder ]],'Basic Data'!$A$3:$E$50,2,0),"")</f>
        <v/>
      </c>
      <c r="I204" s="4" t="str">
        <f>IFERROR(VLOOKUP(IGA_BD[[#This Row],[Affected Feeder ]],'Basic Data'!$A$3:$E$50,3,0),"")</f>
        <v/>
      </c>
      <c r="J204" s="9" t="str">
        <f>IFERROR(VLOOKUP(IGA_BD[[#This Row],[Affected Feeder ]],'Basic Data'!$A$3:$E$50,5,0),"")</f>
        <v/>
      </c>
      <c r="O204" s="6">
        <f>(IGA_BD[[#This Row],[Work Start TimeStamp]]-IGA_BD[[#This Row],[Fault Start TimeStamp]])*24</f>
        <v>0</v>
      </c>
      <c r="P204" s="6">
        <f>(IGA_BD[[#This Row],[Fault Clearance time]]-IGA_BD[[#This Row],[Work Start TimeStamp]])*24</f>
        <v>0</v>
      </c>
      <c r="Q204" s="6">
        <f>(IGA_BD[[#This Row],[Fault Clearance time]]-IGA_BD[[#This Row],[Fault Start TimeStamp]])*24</f>
        <v>0</v>
      </c>
      <c r="S204" s="4"/>
      <c r="T204" s="4" t="str">
        <f>IFERROR(IGA_BD[[#This Row],[Breakdown Time]]*IGA_BD[[#This Row],[Plant Equivalent Weightage]],"")</f>
        <v/>
      </c>
      <c r="U204" s="4"/>
      <c r="V204" s="4"/>
    </row>
    <row r="205" spans="1:22">
      <c r="A205" s="10"/>
      <c r="B205" s="10"/>
      <c r="C205" s="10"/>
      <c r="D205" s="10"/>
      <c r="E205" s="309">
        <f>IGA_BD[[#This Row],[Date]]-DAY(IGA_BD[[#This Row],[Date]])+1</f>
        <v>1</v>
      </c>
      <c r="F205" s="32"/>
      <c r="H205" s="4" t="str">
        <f>IFERROR(VLOOKUP(IGA_BD[[#This Row],[Affected Feeder ]],'Basic Data'!$A$3:$E$50,2,0),"")</f>
        <v/>
      </c>
      <c r="I205" s="4" t="str">
        <f>IFERROR(VLOOKUP(IGA_BD[[#This Row],[Affected Feeder ]],'Basic Data'!$A$3:$E$50,3,0),"")</f>
        <v/>
      </c>
      <c r="J205" s="9" t="str">
        <f>IFERROR(VLOOKUP(IGA_BD[[#This Row],[Affected Feeder ]],'Basic Data'!$A$3:$E$50,5,0),"")</f>
        <v/>
      </c>
      <c r="O205" s="6">
        <f>(IGA_BD[[#This Row],[Work Start TimeStamp]]-IGA_BD[[#This Row],[Fault Start TimeStamp]])*24</f>
        <v>0</v>
      </c>
      <c r="P205" s="6">
        <f>(IGA_BD[[#This Row],[Fault Clearance time]]-IGA_BD[[#This Row],[Work Start TimeStamp]])*24</f>
        <v>0</v>
      </c>
      <c r="Q205" s="6">
        <f>(IGA_BD[[#This Row],[Fault Clearance time]]-IGA_BD[[#This Row],[Fault Start TimeStamp]])*24</f>
        <v>0</v>
      </c>
      <c r="S205" s="4"/>
      <c r="T205" s="4" t="str">
        <f>IFERROR(IGA_BD[[#This Row],[Breakdown Time]]*IGA_BD[[#This Row],[Plant Equivalent Weightage]],"")</f>
        <v/>
      </c>
      <c r="U205" s="4"/>
      <c r="V205" s="4"/>
    </row>
    <row r="206" spans="1:22">
      <c r="A206" s="10"/>
      <c r="B206" s="10"/>
      <c r="C206" s="10"/>
      <c r="D206" s="10"/>
      <c r="E206" s="309">
        <f>IGA_BD[[#This Row],[Date]]-DAY(IGA_BD[[#This Row],[Date]])+1</f>
        <v>1</v>
      </c>
      <c r="F206" s="32"/>
      <c r="H206" s="4" t="str">
        <f>IFERROR(VLOOKUP(IGA_BD[[#This Row],[Affected Feeder ]],'Basic Data'!$A$3:$E$50,2,0),"")</f>
        <v/>
      </c>
      <c r="I206" s="4" t="str">
        <f>IFERROR(VLOOKUP(IGA_BD[[#This Row],[Affected Feeder ]],'Basic Data'!$A$3:$E$50,3,0),"")</f>
        <v/>
      </c>
      <c r="J206" s="9" t="str">
        <f>IFERROR(VLOOKUP(IGA_BD[[#This Row],[Affected Feeder ]],'Basic Data'!$A$3:$E$50,5,0),"")</f>
        <v/>
      </c>
      <c r="O206" s="6">
        <f>(IGA_BD[[#This Row],[Work Start TimeStamp]]-IGA_BD[[#This Row],[Fault Start TimeStamp]])*24</f>
        <v>0</v>
      </c>
      <c r="P206" s="6">
        <f>(IGA_BD[[#This Row],[Fault Clearance time]]-IGA_BD[[#This Row],[Work Start TimeStamp]])*24</f>
        <v>0</v>
      </c>
      <c r="Q206" s="6">
        <f>(IGA_BD[[#This Row],[Fault Clearance time]]-IGA_BD[[#This Row],[Fault Start TimeStamp]])*24</f>
        <v>0</v>
      </c>
      <c r="S206" s="4"/>
      <c r="T206" s="4" t="str">
        <f>IFERROR(IGA_BD[[#This Row],[Breakdown Time]]*IGA_BD[[#This Row],[Plant Equivalent Weightage]],"")</f>
        <v/>
      </c>
      <c r="U206" s="4"/>
      <c r="V206" s="4"/>
    </row>
    <row r="207" spans="1:22">
      <c r="A207" s="10"/>
      <c r="B207" s="10"/>
      <c r="C207" s="10"/>
      <c r="D207" s="10"/>
      <c r="E207" s="309">
        <f>IGA_BD[[#This Row],[Date]]-DAY(IGA_BD[[#This Row],[Date]])+1</f>
        <v>1</v>
      </c>
      <c r="F207" s="32"/>
      <c r="H207" s="4" t="str">
        <f>IFERROR(VLOOKUP(IGA_BD[[#This Row],[Affected Feeder ]],'Basic Data'!$A$3:$E$50,2,0),"")</f>
        <v/>
      </c>
      <c r="I207" s="4" t="str">
        <f>IFERROR(VLOOKUP(IGA_BD[[#This Row],[Affected Feeder ]],'Basic Data'!$A$3:$E$50,3,0),"")</f>
        <v/>
      </c>
      <c r="J207" s="9" t="str">
        <f>IFERROR(VLOOKUP(IGA_BD[[#This Row],[Affected Feeder ]],'Basic Data'!$A$3:$E$50,5,0),"")</f>
        <v/>
      </c>
      <c r="O207" s="6">
        <f>(IGA_BD[[#This Row],[Work Start TimeStamp]]-IGA_BD[[#This Row],[Fault Start TimeStamp]])*24</f>
        <v>0</v>
      </c>
      <c r="P207" s="6">
        <f>(IGA_BD[[#This Row],[Fault Clearance time]]-IGA_BD[[#This Row],[Work Start TimeStamp]])*24</f>
        <v>0</v>
      </c>
      <c r="Q207" s="6">
        <f>(IGA_BD[[#This Row],[Fault Clearance time]]-IGA_BD[[#This Row],[Fault Start TimeStamp]])*24</f>
        <v>0</v>
      </c>
      <c r="S207" s="4"/>
      <c r="T207" s="4" t="str">
        <f>IFERROR(IGA_BD[[#This Row],[Breakdown Time]]*IGA_BD[[#This Row],[Plant Equivalent Weightage]],"")</f>
        <v/>
      </c>
      <c r="U207" s="4"/>
      <c r="V207" s="4"/>
    </row>
    <row r="208" spans="1:22">
      <c r="A208" s="10"/>
      <c r="B208" s="10"/>
      <c r="C208" s="10"/>
      <c r="D208" s="10"/>
      <c r="E208" s="309">
        <f>IGA_BD[[#This Row],[Date]]-DAY(IGA_BD[[#This Row],[Date]])+1</f>
        <v>1</v>
      </c>
      <c r="F208" s="32"/>
      <c r="H208" s="4" t="str">
        <f>IFERROR(VLOOKUP(IGA_BD[[#This Row],[Affected Feeder ]],'Basic Data'!$A$3:$E$50,2,0),"")</f>
        <v/>
      </c>
      <c r="I208" s="4" t="str">
        <f>IFERROR(VLOOKUP(IGA_BD[[#This Row],[Affected Feeder ]],'Basic Data'!$A$3:$E$50,3,0),"")</f>
        <v/>
      </c>
      <c r="J208" s="9" t="str">
        <f>IFERROR(VLOOKUP(IGA_BD[[#This Row],[Affected Feeder ]],'Basic Data'!$A$3:$E$50,5,0),"")</f>
        <v/>
      </c>
      <c r="O208" s="6">
        <f>(IGA_BD[[#This Row],[Work Start TimeStamp]]-IGA_BD[[#This Row],[Fault Start TimeStamp]])*24</f>
        <v>0</v>
      </c>
      <c r="P208" s="6">
        <f>(IGA_BD[[#This Row],[Fault Clearance time]]-IGA_BD[[#This Row],[Work Start TimeStamp]])*24</f>
        <v>0</v>
      </c>
      <c r="Q208" s="6">
        <f>(IGA_BD[[#This Row],[Fault Clearance time]]-IGA_BD[[#This Row],[Fault Start TimeStamp]])*24</f>
        <v>0</v>
      </c>
      <c r="S208" s="4"/>
      <c r="T208" s="4" t="str">
        <f>IFERROR(IGA_BD[[#This Row],[Breakdown Time]]*IGA_BD[[#This Row],[Plant Equivalent Weightage]],"")</f>
        <v/>
      </c>
      <c r="U208" s="4"/>
      <c r="V208" s="4"/>
    </row>
    <row r="209" spans="1:22">
      <c r="A209" s="10"/>
      <c r="B209" s="10"/>
      <c r="C209" s="10"/>
      <c r="D209" s="10"/>
      <c r="E209" s="309">
        <f>IGA_BD[[#This Row],[Date]]-DAY(IGA_BD[[#This Row],[Date]])+1</f>
        <v>1</v>
      </c>
      <c r="F209" s="32"/>
      <c r="H209" s="4" t="str">
        <f>IFERROR(VLOOKUP(IGA_BD[[#This Row],[Affected Feeder ]],'Basic Data'!$A$3:$E$50,2,0),"")</f>
        <v/>
      </c>
      <c r="I209" s="4" t="str">
        <f>IFERROR(VLOOKUP(IGA_BD[[#This Row],[Affected Feeder ]],'Basic Data'!$A$3:$E$50,3,0),"")</f>
        <v/>
      </c>
      <c r="J209" s="9" t="str">
        <f>IFERROR(VLOOKUP(IGA_BD[[#This Row],[Affected Feeder ]],'Basic Data'!$A$3:$E$50,5,0),"")</f>
        <v/>
      </c>
      <c r="O209" s="6">
        <f>(IGA_BD[[#This Row],[Work Start TimeStamp]]-IGA_BD[[#This Row],[Fault Start TimeStamp]])*24</f>
        <v>0</v>
      </c>
      <c r="P209" s="6">
        <f>(IGA_BD[[#This Row],[Fault Clearance time]]-IGA_BD[[#This Row],[Work Start TimeStamp]])*24</f>
        <v>0</v>
      </c>
      <c r="Q209" s="6">
        <f>(IGA_BD[[#This Row],[Fault Clearance time]]-IGA_BD[[#This Row],[Fault Start TimeStamp]])*24</f>
        <v>0</v>
      </c>
      <c r="S209" s="4"/>
      <c r="T209" s="4" t="str">
        <f>IFERROR(IGA_BD[[#This Row],[Breakdown Time]]*IGA_BD[[#This Row],[Plant Equivalent Weightage]],"")</f>
        <v/>
      </c>
      <c r="U209" s="4"/>
      <c r="V209" s="4"/>
    </row>
    <row r="210" spans="1:22">
      <c r="A210" s="10"/>
      <c r="B210" s="10"/>
      <c r="C210" s="10"/>
      <c r="D210" s="10"/>
      <c r="E210" s="309">
        <f>IGA_BD[[#This Row],[Date]]-DAY(IGA_BD[[#This Row],[Date]])+1</f>
        <v>1</v>
      </c>
      <c r="F210" s="32"/>
      <c r="H210" s="4" t="str">
        <f>IFERROR(VLOOKUP(IGA_BD[[#This Row],[Affected Feeder ]],'Basic Data'!$A$3:$E$50,2,0),"")</f>
        <v/>
      </c>
      <c r="I210" s="4" t="str">
        <f>IFERROR(VLOOKUP(IGA_BD[[#This Row],[Affected Feeder ]],'Basic Data'!$A$3:$E$50,3,0),"")</f>
        <v/>
      </c>
      <c r="J210" s="9" t="str">
        <f>IFERROR(VLOOKUP(IGA_BD[[#This Row],[Affected Feeder ]],'Basic Data'!$A$3:$E$50,5,0),"")</f>
        <v/>
      </c>
      <c r="O210" s="6">
        <f>(IGA_BD[[#This Row],[Work Start TimeStamp]]-IGA_BD[[#This Row],[Fault Start TimeStamp]])*24</f>
        <v>0</v>
      </c>
      <c r="P210" s="6">
        <f>(IGA_BD[[#This Row],[Fault Clearance time]]-IGA_BD[[#This Row],[Work Start TimeStamp]])*24</f>
        <v>0</v>
      </c>
      <c r="Q210" s="6">
        <f>(IGA_BD[[#This Row],[Fault Clearance time]]-IGA_BD[[#This Row],[Fault Start TimeStamp]])*24</f>
        <v>0</v>
      </c>
      <c r="S210" s="4"/>
      <c r="T210" s="4" t="str">
        <f>IFERROR(IGA_BD[[#This Row],[Breakdown Time]]*IGA_BD[[#This Row],[Plant Equivalent Weightage]],"")</f>
        <v/>
      </c>
      <c r="U210" s="4"/>
      <c r="V210" s="4"/>
    </row>
    <row r="211" spans="1:22">
      <c r="A211" s="10"/>
      <c r="B211" s="10"/>
      <c r="C211" s="10"/>
      <c r="D211" s="10"/>
      <c r="E211" s="309">
        <f>IGA_BD[[#This Row],[Date]]-DAY(IGA_BD[[#This Row],[Date]])+1</f>
        <v>1</v>
      </c>
      <c r="F211" s="32"/>
      <c r="H211" s="4" t="str">
        <f>IFERROR(VLOOKUP(IGA_BD[[#This Row],[Affected Feeder ]],'Basic Data'!$A$3:$E$50,2,0),"")</f>
        <v/>
      </c>
      <c r="I211" s="4" t="str">
        <f>IFERROR(VLOOKUP(IGA_BD[[#This Row],[Affected Feeder ]],'Basic Data'!$A$3:$E$50,3,0),"")</f>
        <v/>
      </c>
      <c r="J211" s="9" t="str">
        <f>IFERROR(VLOOKUP(IGA_BD[[#This Row],[Affected Feeder ]],'Basic Data'!$A$3:$E$50,5,0),"")</f>
        <v/>
      </c>
      <c r="O211" s="6">
        <f>(IGA_BD[[#This Row],[Work Start TimeStamp]]-IGA_BD[[#This Row],[Fault Start TimeStamp]])*24</f>
        <v>0</v>
      </c>
      <c r="P211" s="6">
        <f>(IGA_BD[[#This Row],[Fault Clearance time]]-IGA_BD[[#This Row],[Work Start TimeStamp]])*24</f>
        <v>0</v>
      </c>
      <c r="Q211" s="6">
        <f>(IGA_BD[[#This Row],[Fault Clearance time]]-IGA_BD[[#This Row],[Fault Start TimeStamp]])*24</f>
        <v>0</v>
      </c>
      <c r="S211" s="4"/>
      <c r="T211" s="4" t="str">
        <f>IFERROR(IGA_BD[[#This Row],[Breakdown Time]]*IGA_BD[[#This Row],[Plant Equivalent Weightage]],"")</f>
        <v/>
      </c>
      <c r="U211" s="4"/>
      <c r="V211" s="4"/>
    </row>
    <row r="212" spans="1:22">
      <c r="A212" s="10"/>
      <c r="B212" s="10"/>
      <c r="C212" s="10"/>
      <c r="D212" s="10"/>
      <c r="E212" s="309">
        <f>IGA_BD[[#This Row],[Date]]-DAY(IGA_BD[[#This Row],[Date]])+1</f>
        <v>1</v>
      </c>
      <c r="F212" s="32"/>
      <c r="H212" s="4" t="str">
        <f>IFERROR(VLOOKUP(IGA_BD[[#This Row],[Affected Feeder ]],'Basic Data'!$A$3:$E$50,2,0),"")</f>
        <v/>
      </c>
      <c r="I212" s="4" t="str">
        <f>IFERROR(VLOOKUP(IGA_BD[[#This Row],[Affected Feeder ]],'Basic Data'!$A$3:$E$50,3,0),"")</f>
        <v/>
      </c>
      <c r="J212" s="9" t="str">
        <f>IFERROR(VLOOKUP(IGA_BD[[#This Row],[Affected Feeder ]],'Basic Data'!$A$3:$E$50,5,0),"")</f>
        <v/>
      </c>
      <c r="O212" s="6">
        <f>(IGA_BD[[#This Row],[Work Start TimeStamp]]-IGA_BD[[#This Row],[Fault Start TimeStamp]])*24</f>
        <v>0</v>
      </c>
      <c r="P212" s="6">
        <f>(IGA_BD[[#This Row],[Fault Clearance time]]-IGA_BD[[#This Row],[Work Start TimeStamp]])*24</f>
        <v>0</v>
      </c>
      <c r="Q212" s="6">
        <f>(IGA_BD[[#This Row],[Fault Clearance time]]-IGA_BD[[#This Row],[Fault Start TimeStamp]])*24</f>
        <v>0</v>
      </c>
      <c r="S212" s="4"/>
      <c r="T212" s="4" t="str">
        <f>IFERROR(IGA_BD[[#This Row],[Breakdown Time]]*IGA_BD[[#This Row],[Plant Equivalent Weightage]],"")</f>
        <v/>
      </c>
      <c r="U212" s="4"/>
      <c r="V212" s="4"/>
    </row>
    <row r="213" spans="1:22">
      <c r="A213" s="10"/>
      <c r="B213" s="10"/>
      <c r="C213" s="10"/>
      <c r="D213" s="10"/>
      <c r="E213" s="309">
        <f>IGA_BD[[#This Row],[Date]]-DAY(IGA_BD[[#This Row],[Date]])+1</f>
        <v>1</v>
      </c>
      <c r="F213" s="32"/>
      <c r="H213" s="4" t="str">
        <f>IFERROR(VLOOKUP(IGA_BD[[#This Row],[Affected Feeder ]],'Basic Data'!$A$3:$E$50,2,0),"")</f>
        <v/>
      </c>
      <c r="I213" s="4" t="str">
        <f>IFERROR(VLOOKUP(IGA_BD[[#This Row],[Affected Feeder ]],'Basic Data'!$A$3:$E$50,3,0),"")</f>
        <v/>
      </c>
      <c r="J213" s="9" t="str">
        <f>IFERROR(VLOOKUP(IGA_BD[[#This Row],[Affected Feeder ]],'Basic Data'!$A$3:$E$50,5,0),"")</f>
        <v/>
      </c>
      <c r="O213" s="6">
        <f>(IGA_BD[[#This Row],[Work Start TimeStamp]]-IGA_BD[[#This Row],[Fault Start TimeStamp]])*24</f>
        <v>0</v>
      </c>
      <c r="P213" s="6">
        <f>(IGA_BD[[#This Row],[Fault Clearance time]]-IGA_BD[[#This Row],[Work Start TimeStamp]])*24</f>
        <v>0</v>
      </c>
      <c r="Q213" s="6">
        <f>(IGA_BD[[#This Row],[Fault Clearance time]]-IGA_BD[[#This Row],[Fault Start TimeStamp]])*24</f>
        <v>0</v>
      </c>
      <c r="S213" s="4"/>
      <c r="T213" s="4" t="str">
        <f>IFERROR(IGA_BD[[#This Row],[Breakdown Time]]*IGA_BD[[#This Row],[Plant Equivalent Weightage]],"")</f>
        <v/>
      </c>
      <c r="U213" s="4"/>
      <c r="V213" s="4"/>
    </row>
    <row r="214" spans="1:22">
      <c r="A214" s="10"/>
      <c r="B214" s="10"/>
      <c r="C214" s="10"/>
      <c r="D214" s="10"/>
      <c r="E214" s="309">
        <f>IGA_BD[[#This Row],[Date]]-DAY(IGA_BD[[#This Row],[Date]])+1</f>
        <v>1</v>
      </c>
      <c r="F214" s="32"/>
      <c r="H214" s="4" t="str">
        <f>IFERROR(VLOOKUP(IGA_BD[[#This Row],[Affected Feeder ]],'Basic Data'!$A$3:$E$50,2,0),"")</f>
        <v/>
      </c>
      <c r="I214" s="4" t="str">
        <f>IFERROR(VLOOKUP(IGA_BD[[#This Row],[Affected Feeder ]],'Basic Data'!$A$3:$E$50,3,0),"")</f>
        <v/>
      </c>
      <c r="J214" s="9" t="str">
        <f>IFERROR(VLOOKUP(IGA_BD[[#This Row],[Affected Feeder ]],'Basic Data'!$A$3:$E$50,5,0),"")</f>
        <v/>
      </c>
      <c r="O214" s="6">
        <f>(IGA_BD[[#This Row],[Work Start TimeStamp]]-IGA_BD[[#This Row],[Fault Start TimeStamp]])*24</f>
        <v>0</v>
      </c>
      <c r="P214" s="6">
        <f>(IGA_BD[[#This Row],[Fault Clearance time]]-IGA_BD[[#This Row],[Work Start TimeStamp]])*24</f>
        <v>0</v>
      </c>
      <c r="Q214" s="6">
        <f>(IGA_BD[[#This Row],[Fault Clearance time]]-IGA_BD[[#This Row],[Fault Start TimeStamp]])*24</f>
        <v>0</v>
      </c>
      <c r="S214" s="4"/>
      <c r="T214" s="4" t="str">
        <f>IFERROR(IGA_BD[[#This Row],[Breakdown Time]]*IGA_BD[[#This Row],[Plant Equivalent Weightage]],"")</f>
        <v/>
      </c>
      <c r="U214" s="4"/>
      <c r="V214" s="4"/>
    </row>
    <row r="215" spans="1:22">
      <c r="A215" s="10"/>
      <c r="B215" s="10"/>
      <c r="C215" s="10"/>
      <c r="D215" s="10"/>
      <c r="E215" s="309">
        <f>IGA_BD[[#This Row],[Date]]-DAY(IGA_BD[[#This Row],[Date]])+1</f>
        <v>1</v>
      </c>
      <c r="F215" s="32"/>
      <c r="H215" s="4" t="str">
        <f>IFERROR(VLOOKUP(IGA_BD[[#This Row],[Affected Feeder ]],'Basic Data'!$A$3:$E$50,2,0),"")</f>
        <v/>
      </c>
      <c r="I215" s="4" t="str">
        <f>IFERROR(VLOOKUP(IGA_BD[[#This Row],[Affected Feeder ]],'Basic Data'!$A$3:$E$50,3,0),"")</f>
        <v/>
      </c>
      <c r="J215" s="9" t="str">
        <f>IFERROR(VLOOKUP(IGA_BD[[#This Row],[Affected Feeder ]],'Basic Data'!$A$3:$E$50,5,0),"")</f>
        <v/>
      </c>
      <c r="O215" s="6">
        <f>(IGA_BD[[#This Row],[Work Start TimeStamp]]-IGA_BD[[#This Row],[Fault Start TimeStamp]])*24</f>
        <v>0</v>
      </c>
      <c r="P215" s="6">
        <f>(IGA_BD[[#This Row],[Fault Clearance time]]-IGA_BD[[#This Row],[Work Start TimeStamp]])*24</f>
        <v>0</v>
      </c>
      <c r="Q215" s="6">
        <f>(IGA_BD[[#This Row],[Fault Clearance time]]-IGA_BD[[#This Row],[Fault Start TimeStamp]])*24</f>
        <v>0</v>
      </c>
      <c r="S215" s="4"/>
      <c r="T215" s="4" t="str">
        <f>IFERROR(IGA_BD[[#This Row],[Breakdown Time]]*IGA_BD[[#This Row],[Plant Equivalent Weightage]],"")</f>
        <v/>
      </c>
      <c r="U215" s="4"/>
      <c r="V215" s="4"/>
    </row>
    <row r="216" spans="1:22">
      <c r="A216" s="10"/>
      <c r="B216" s="10"/>
      <c r="C216" s="10"/>
      <c r="D216" s="10"/>
      <c r="E216" s="309">
        <f>IGA_BD[[#This Row],[Date]]-DAY(IGA_BD[[#This Row],[Date]])+1</f>
        <v>1</v>
      </c>
      <c r="F216" s="32"/>
      <c r="H216" s="4" t="str">
        <f>IFERROR(VLOOKUP(IGA_BD[[#This Row],[Affected Feeder ]],'Basic Data'!$A$3:$E$50,2,0),"")</f>
        <v/>
      </c>
      <c r="I216" s="4" t="str">
        <f>IFERROR(VLOOKUP(IGA_BD[[#This Row],[Affected Feeder ]],'Basic Data'!$A$3:$E$50,3,0),"")</f>
        <v/>
      </c>
      <c r="J216" s="9" t="str">
        <f>IFERROR(VLOOKUP(IGA_BD[[#This Row],[Affected Feeder ]],'Basic Data'!$A$3:$E$50,5,0),"")</f>
        <v/>
      </c>
      <c r="O216" s="6">
        <f>(IGA_BD[[#This Row],[Work Start TimeStamp]]-IGA_BD[[#This Row],[Fault Start TimeStamp]])*24</f>
        <v>0</v>
      </c>
      <c r="P216" s="6">
        <f>(IGA_BD[[#This Row],[Fault Clearance time]]-IGA_BD[[#This Row],[Work Start TimeStamp]])*24</f>
        <v>0</v>
      </c>
      <c r="Q216" s="6">
        <f>(IGA_BD[[#This Row],[Fault Clearance time]]-IGA_BD[[#This Row],[Fault Start TimeStamp]])*24</f>
        <v>0</v>
      </c>
      <c r="S216" s="4"/>
      <c r="T216" s="4" t="str">
        <f>IFERROR(IGA_BD[[#This Row],[Breakdown Time]]*IGA_BD[[#This Row],[Plant Equivalent Weightage]],"")</f>
        <v/>
      </c>
      <c r="U216" s="4"/>
      <c r="V216" s="4"/>
    </row>
    <row r="217" spans="1:22">
      <c r="A217" s="10"/>
      <c r="B217" s="10"/>
      <c r="C217" s="10"/>
      <c r="D217" s="10"/>
      <c r="E217" s="309">
        <f>IGA_BD[[#This Row],[Date]]-DAY(IGA_BD[[#This Row],[Date]])+1</f>
        <v>1</v>
      </c>
      <c r="F217" s="32"/>
      <c r="H217" s="4" t="str">
        <f>IFERROR(VLOOKUP(IGA_BD[[#This Row],[Affected Feeder ]],'Basic Data'!$A$3:$E$50,2,0),"")</f>
        <v/>
      </c>
      <c r="I217" s="4" t="str">
        <f>IFERROR(VLOOKUP(IGA_BD[[#This Row],[Affected Feeder ]],'Basic Data'!$A$3:$E$50,3,0),"")</f>
        <v/>
      </c>
      <c r="J217" s="9" t="str">
        <f>IFERROR(VLOOKUP(IGA_BD[[#This Row],[Affected Feeder ]],'Basic Data'!$A$3:$E$50,5,0),"")</f>
        <v/>
      </c>
      <c r="O217" s="6">
        <f>(IGA_BD[[#This Row],[Work Start TimeStamp]]-IGA_BD[[#This Row],[Fault Start TimeStamp]])*24</f>
        <v>0</v>
      </c>
      <c r="P217" s="6">
        <f>(IGA_BD[[#This Row],[Fault Clearance time]]-IGA_BD[[#This Row],[Work Start TimeStamp]])*24</f>
        <v>0</v>
      </c>
      <c r="Q217" s="6">
        <f>(IGA_BD[[#This Row],[Fault Clearance time]]-IGA_BD[[#This Row],[Fault Start TimeStamp]])*24</f>
        <v>0</v>
      </c>
      <c r="S217" s="4"/>
      <c r="T217" s="4" t="str">
        <f>IFERROR(IGA_BD[[#This Row],[Breakdown Time]]*IGA_BD[[#This Row],[Plant Equivalent Weightage]],"")</f>
        <v/>
      </c>
      <c r="U217" s="4"/>
      <c r="V217" s="4"/>
    </row>
    <row r="218" spans="1:22">
      <c r="A218" s="10"/>
      <c r="B218" s="10"/>
      <c r="C218" s="10"/>
      <c r="D218" s="10"/>
      <c r="E218" s="309">
        <f>IGA_BD[[#This Row],[Date]]-DAY(IGA_BD[[#This Row],[Date]])+1</f>
        <v>1</v>
      </c>
      <c r="F218" s="32"/>
      <c r="H218" s="4" t="str">
        <f>IFERROR(VLOOKUP(IGA_BD[[#This Row],[Affected Feeder ]],'Basic Data'!$A$3:$E$50,2,0),"")</f>
        <v/>
      </c>
      <c r="I218" s="4" t="str">
        <f>IFERROR(VLOOKUP(IGA_BD[[#This Row],[Affected Feeder ]],'Basic Data'!$A$3:$E$50,3,0),"")</f>
        <v/>
      </c>
      <c r="J218" s="9" t="str">
        <f>IFERROR(VLOOKUP(IGA_BD[[#This Row],[Affected Feeder ]],'Basic Data'!$A$3:$E$50,5,0),"")</f>
        <v/>
      </c>
      <c r="O218" s="6">
        <f>(IGA_BD[[#This Row],[Work Start TimeStamp]]-IGA_BD[[#This Row],[Fault Start TimeStamp]])*24</f>
        <v>0</v>
      </c>
      <c r="P218" s="6">
        <f>(IGA_BD[[#This Row],[Fault Clearance time]]-IGA_BD[[#This Row],[Work Start TimeStamp]])*24</f>
        <v>0</v>
      </c>
      <c r="Q218" s="6">
        <f>(IGA_BD[[#This Row],[Fault Clearance time]]-IGA_BD[[#This Row],[Fault Start TimeStamp]])*24</f>
        <v>0</v>
      </c>
      <c r="S218" s="4"/>
      <c r="T218" s="4" t="str">
        <f>IFERROR(IGA_BD[[#This Row],[Breakdown Time]]*IGA_BD[[#This Row],[Plant Equivalent Weightage]],"")</f>
        <v/>
      </c>
      <c r="U218" s="4"/>
      <c r="V218" s="4"/>
    </row>
    <row r="219" spans="1:22">
      <c r="A219" s="10"/>
      <c r="B219" s="10"/>
      <c r="C219" s="10"/>
      <c r="D219" s="10"/>
      <c r="E219" s="309">
        <f>IGA_BD[[#This Row],[Date]]-DAY(IGA_BD[[#This Row],[Date]])+1</f>
        <v>1</v>
      </c>
      <c r="F219" s="32"/>
      <c r="H219" s="4" t="str">
        <f>IFERROR(VLOOKUP(IGA_BD[[#This Row],[Affected Feeder ]],'Basic Data'!$A$3:$E$50,2,0),"")</f>
        <v/>
      </c>
      <c r="I219" s="4" t="str">
        <f>IFERROR(VLOOKUP(IGA_BD[[#This Row],[Affected Feeder ]],'Basic Data'!$A$3:$E$50,3,0),"")</f>
        <v/>
      </c>
      <c r="J219" s="9" t="str">
        <f>IFERROR(VLOOKUP(IGA_BD[[#This Row],[Affected Feeder ]],'Basic Data'!$A$3:$E$50,5,0),"")</f>
        <v/>
      </c>
      <c r="O219" s="6">
        <f>(IGA_BD[[#This Row],[Work Start TimeStamp]]-IGA_BD[[#This Row],[Fault Start TimeStamp]])*24</f>
        <v>0</v>
      </c>
      <c r="P219" s="6">
        <f>(IGA_BD[[#This Row],[Fault Clearance time]]-IGA_BD[[#This Row],[Work Start TimeStamp]])*24</f>
        <v>0</v>
      </c>
      <c r="Q219" s="6">
        <f>(IGA_BD[[#This Row],[Fault Clearance time]]-IGA_BD[[#This Row],[Fault Start TimeStamp]])*24</f>
        <v>0</v>
      </c>
      <c r="S219" s="4"/>
      <c r="T219" s="4" t="str">
        <f>IFERROR(IGA_BD[[#This Row],[Breakdown Time]]*IGA_BD[[#This Row],[Plant Equivalent Weightage]],"")</f>
        <v/>
      </c>
      <c r="U219" s="4"/>
      <c r="V219" s="4"/>
    </row>
    <row r="220" spans="1:22">
      <c r="A220" s="10"/>
      <c r="B220" s="10"/>
      <c r="C220" s="10"/>
      <c r="D220" s="10"/>
      <c r="E220" s="309">
        <f>IGA_BD[[#This Row],[Date]]-DAY(IGA_BD[[#This Row],[Date]])+1</f>
        <v>1</v>
      </c>
      <c r="F220" s="32"/>
      <c r="H220" s="4" t="str">
        <f>IFERROR(VLOOKUP(IGA_BD[[#This Row],[Affected Feeder ]],'Basic Data'!$A$3:$E$50,2,0),"")</f>
        <v/>
      </c>
      <c r="I220" s="4" t="str">
        <f>IFERROR(VLOOKUP(IGA_BD[[#This Row],[Affected Feeder ]],'Basic Data'!$A$3:$E$50,3,0),"")</f>
        <v/>
      </c>
      <c r="J220" s="9" t="str">
        <f>IFERROR(VLOOKUP(IGA_BD[[#This Row],[Affected Feeder ]],'Basic Data'!$A$3:$E$50,5,0),"")</f>
        <v/>
      </c>
      <c r="O220" s="6">
        <f>(IGA_BD[[#This Row],[Work Start TimeStamp]]-IGA_BD[[#This Row],[Fault Start TimeStamp]])*24</f>
        <v>0</v>
      </c>
      <c r="P220" s="6">
        <f>(IGA_BD[[#This Row],[Fault Clearance time]]-IGA_BD[[#This Row],[Work Start TimeStamp]])*24</f>
        <v>0</v>
      </c>
      <c r="Q220" s="6">
        <f>(IGA_BD[[#This Row],[Fault Clearance time]]-IGA_BD[[#This Row],[Fault Start TimeStamp]])*24</f>
        <v>0</v>
      </c>
      <c r="S220" s="4"/>
      <c r="T220" s="4" t="str">
        <f>IFERROR(IGA_BD[[#This Row],[Breakdown Time]]*IGA_BD[[#This Row],[Plant Equivalent Weightage]],"")</f>
        <v/>
      </c>
      <c r="U220" s="4"/>
      <c r="V220" s="4"/>
    </row>
    <row r="221" spans="1:22">
      <c r="A221" s="10"/>
      <c r="B221" s="10"/>
      <c r="C221" s="10"/>
      <c r="D221" s="10"/>
      <c r="E221" s="309">
        <f>IGA_BD[[#This Row],[Date]]-DAY(IGA_BD[[#This Row],[Date]])+1</f>
        <v>1</v>
      </c>
      <c r="F221" s="32"/>
      <c r="H221" s="4" t="str">
        <f>IFERROR(VLOOKUP(IGA_BD[[#This Row],[Affected Feeder ]],'Basic Data'!$A$3:$E$50,2,0),"")</f>
        <v/>
      </c>
      <c r="I221" s="4" t="str">
        <f>IFERROR(VLOOKUP(IGA_BD[[#This Row],[Affected Feeder ]],'Basic Data'!$A$3:$E$50,3,0),"")</f>
        <v/>
      </c>
      <c r="J221" s="9" t="str">
        <f>IFERROR(VLOOKUP(IGA_BD[[#This Row],[Affected Feeder ]],'Basic Data'!$A$3:$E$50,5,0),"")</f>
        <v/>
      </c>
      <c r="O221" s="6">
        <f>(IGA_BD[[#This Row],[Work Start TimeStamp]]-IGA_BD[[#This Row],[Fault Start TimeStamp]])*24</f>
        <v>0</v>
      </c>
      <c r="P221" s="6">
        <f>(IGA_BD[[#This Row],[Fault Clearance time]]-IGA_BD[[#This Row],[Work Start TimeStamp]])*24</f>
        <v>0</v>
      </c>
      <c r="Q221" s="6">
        <f>(IGA_BD[[#This Row],[Fault Clearance time]]-IGA_BD[[#This Row],[Fault Start TimeStamp]])*24</f>
        <v>0</v>
      </c>
      <c r="S221" s="4"/>
      <c r="T221" s="4" t="str">
        <f>IFERROR(IGA_BD[[#This Row],[Breakdown Time]]*IGA_BD[[#This Row],[Plant Equivalent Weightage]],"")</f>
        <v/>
      </c>
      <c r="U221" s="4"/>
      <c r="V221" s="4"/>
    </row>
    <row r="222" spans="1:22">
      <c r="A222" s="10"/>
      <c r="B222" s="10"/>
      <c r="C222" s="10"/>
      <c r="D222" s="10"/>
      <c r="E222" s="309">
        <f>IGA_BD[[#This Row],[Date]]-DAY(IGA_BD[[#This Row],[Date]])+1</f>
        <v>1</v>
      </c>
      <c r="F222" s="32"/>
      <c r="H222" s="4" t="str">
        <f>IFERROR(VLOOKUP(IGA_BD[[#This Row],[Affected Feeder ]],'Basic Data'!$A$3:$E$50,2,0),"")</f>
        <v/>
      </c>
      <c r="I222" s="4" t="str">
        <f>IFERROR(VLOOKUP(IGA_BD[[#This Row],[Affected Feeder ]],'Basic Data'!$A$3:$E$50,3,0),"")</f>
        <v/>
      </c>
      <c r="J222" s="9" t="str">
        <f>IFERROR(VLOOKUP(IGA_BD[[#This Row],[Affected Feeder ]],'Basic Data'!$A$3:$E$50,5,0),"")</f>
        <v/>
      </c>
      <c r="O222" s="6">
        <f>(IGA_BD[[#This Row],[Work Start TimeStamp]]-IGA_BD[[#This Row],[Fault Start TimeStamp]])*24</f>
        <v>0</v>
      </c>
      <c r="P222" s="6">
        <f>(IGA_BD[[#This Row],[Fault Clearance time]]-IGA_BD[[#This Row],[Work Start TimeStamp]])*24</f>
        <v>0</v>
      </c>
      <c r="Q222" s="6">
        <f>(IGA_BD[[#This Row],[Fault Clearance time]]-IGA_BD[[#This Row],[Fault Start TimeStamp]])*24</f>
        <v>0</v>
      </c>
      <c r="S222" s="4"/>
      <c r="T222" s="4" t="str">
        <f>IFERROR(IGA_BD[[#This Row],[Breakdown Time]]*IGA_BD[[#This Row],[Plant Equivalent Weightage]],"")</f>
        <v/>
      </c>
      <c r="U222" s="4"/>
      <c r="V222" s="4"/>
    </row>
    <row r="223" spans="1:22">
      <c r="A223" s="10"/>
      <c r="B223" s="10"/>
      <c r="C223" s="10"/>
      <c r="D223" s="10"/>
      <c r="E223" s="309">
        <f>IGA_BD[[#This Row],[Date]]-DAY(IGA_BD[[#This Row],[Date]])+1</f>
        <v>1</v>
      </c>
      <c r="F223" s="32"/>
      <c r="H223" s="4" t="str">
        <f>IFERROR(VLOOKUP(IGA_BD[[#This Row],[Affected Feeder ]],'Basic Data'!$A$3:$E$50,2,0),"")</f>
        <v/>
      </c>
      <c r="I223" s="4" t="str">
        <f>IFERROR(VLOOKUP(IGA_BD[[#This Row],[Affected Feeder ]],'Basic Data'!$A$3:$E$50,3,0),"")</f>
        <v/>
      </c>
      <c r="J223" s="9" t="str">
        <f>IFERROR(VLOOKUP(IGA_BD[[#This Row],[Affected Feeder ]],'Basic Data'!$A$3:$E$50,5,0),"")</f>
        <v/>
      </c>
      <c r="O223" s="6">
        <f>(IGA_BD[[#This Row],[Work Start TimeStamp]]-IGA_BD[[#This Row],[Fault Start TimeStamp]])*24</f>
        <v>0</v>
      </c>
      <c r="P223" s="6">
        <f>(IGA_BD[[#This Row],[Fault Clearance time]]-IGA_BD[[#This Row],[Work Start TimeStamp]])*24</f>
        <v>0</v>
      </c>
      <c r="Q223" s="6">
        <f>(IGA_BD[[#This Row],[Fault Clearance time]]-IGA_BD[[#This Row],[Fault Start TimeStamp]])*24</f>
        <v>0</v>
      </c>
      <c r="S223" s="4"/>
      <c r="T223" s="4" t="str">
        <f>IFERROR(IGA_BD[[#This Row],[Breakdown Time]]*IGA_BD[[#This Row],[Plant Equivalent Weightage]],"")</f>
        <v/>
      </c>
      <c r="U223" s="4"/>
      <c r="V223" s="4"/>
    </row>
    <row r="224" spans="1:22">
      <c r="A224" s="10"/>
      <c r="B224" s="10"/>
      <c r="C224" s="10"/>
      <c r="D224" s="10"/>
      <c r="E224" s="309">
        <f>IGA_BD[[#This Row],[Date]]-DAY(IGA_BD[[#This Row],[Date]])+1</f>
        <v>1</v>
      </c>
      <c r="F224" s="32"/>
      <c r="H224" s="4" t="str">
        <f>IFERROR(VLOOKUP(IGA_BD[[#This Row],[Affected Feeder ]],'Basic Data'!$A$3:$E$50,2,0),"")</f>
        <v/>
      </c>
      <c r="I224" s="4" t="str">
        <f>IFERROR(VLOOKUP(IGA_BD[[#This Row],[Affected Feeder ]],'Basic Data'!$A$3:$E$50,3,0),"")</f>
        <v/>
      </c>
      <c r="J224" s="9" t="str">
        <f>IFERROR(VLOOKUP(IGA_BD[[#This Row],[Affected Feeder ]],'Basic Data'!$A$3:$E$50,5,0),"")</f>
        <v/>
      </c>
      <c r="O224" s="6">
        <f>(IGA_BD[[#This Row],[Work Start TimeStamp]]-IGA_BD[[#This Row],[Fault Start TimeStamp]])*24</f>
        <v>0</v>
      </c>
      <c r="P224" s="6">
        <f>(IGA_BD[[#This Row],[Fault Clearance time]]-IGA_BD[[#This Row],[Work Start TimeStamp]])*24</f>
        <v>0</v>
      </c>
      <c r="Q224" s="6">
        <f>(IGA_BD[[#This Row],[Fault Clearance time]]-IGA_BD[[#This Row],[Fault Start TimeStamp]])*24</f>
        <v>0</v>
      </c>
      <c r="S224" s="4"/>
      <c r="T224" s="4" t="str">
        <f>IFERROR(IGA_BD[[#This Row],[Breakdown Time]]*IGA_BD[[#This Row],[Plant Equivalent Weightage]],"")</f>
        <v/>
      </c>
      <c r="U224" s="4"/>
      <c r="V224" s="4"/>
    </row>
    <row r="225" spans="1:22">
      <c r="A225" s="10"/>
      <c r="B225" s="10"/>
      <c r="C225" s="10"/>
      <c r="D225" s="10"/>
      <c r="E225" s="309">
        <f>IGA_BD[[#This Row],[Date]]-DAY(IGA_BD[[#This Row],[Date]])+1</f>
        <v>1</v>
      </c>
      <c r="F225" s="32"/>
      <c r="H225" s="4" t="str">
        <f>IFERROR(VLOOKUP(IGA_BD[[#This Row],[Affected Feeder ]],'Basic Data'!$A$3:$E$50,2,0),"")</f>
        <v/>
      </c>
      <c r="I225" s="4" t="str">
        <f>IFERROR(VLOOKUP(IGA_BD[[#This Row],[Affected Feeder ]],'Basic Data'!$A$3:$E$50,3,0),"")</f>
        <v/>
      </c>
      <c r="J225" s="9" t="str">
        <f>IFERROR(VLOOKUP(IGA_BD[[#This Row],[Affected Feeder ]],'Basic Data'!$A$3:$E$50,5,0),"")</f>
        <v/>
      </c>
      <c r="O225" s="6">
        <f>(IGA_BD[[#This Row],[Work Start TimeStamp]]-IGA_BD[[#This Row],[Fault Start TimeStamp]])*24</f>
        <v>0</v>
      </c>
      <c r="P225" s="6">
        <f>(IGA_BD[[#This Row],[Fault Clearance time]]-IGA_BD[[#This Row],[Work Start TimeStamp]])*24</f>
        <v>0</v>
      </c>
      <c r="Q225" s="6">
        <f>(IGA_BD[[#This Row],[Fault Clearance time]]-IGA_BD[[#This Row],[Fault Start TimeStamp]])*24</f>
        <v>0</v>
      </c>
      <c r="S225" s="4"/>
      <c r="T225" s="4" t="str">
        <f>IFERROR(IGA_BD[[#This Row],[Breakdown Time]]*IGA_BD[[#This Row],[Plant Equivalent Weightage]],"")</f>
        <v/>
      </c>
      <c r="U225" s="4"/>
      <c r="V225" s="4"/>
    </row>
    <row r="226" spans="1:22">
      <c r="A226" s="10"/>
      <c r="B226" s="10"/>
      <c r="C226" s="10"/>
      <c r="D226" s="10"/>
      <c r="E226" s="309">
        <f>IGA_BD[[#This Row],[Date]]-DAY(IGA_BD[[#This Row],[Date]])+1</f>
        <v>1</v>
      </c>
      <c r="F226" s="32"/>
      <c r="H226" s="4" t="str">
        <f>IFERROR(VLOOKUP(IGA_BD[[#This Row],[Affected Feeder ]],'Basic Data'!$A$3:$E$50,2,0),"")</f>
        <v/>
      </c>
      <c r="I226" s="4" t="str">
        <f>IFERROR(VLOOKUP(IGA_BD[[#This Row],[Affected Feeder ]],'Basic Data'!$A$3:$E$50,3,0),"")</f>
        <v/>
      </c>
      <c r="J226" s="9" t="str">
        <f>IFERROR(VLOOKUP(IGA_BD[[#This Row],[Affected Feeder ]],'Basic Data'!$A$3:$E$50,5,0),"")</f>
        <v/>
      </c>
      <c r="O226" s="6">
        <f>(IGA_BD[[#This Row],[Work Start TimeStamp]]-IGA_BD[[#This Row],[Fault Start TimeStamp]])*24</f>
        <v>0</v>
      </c>
      <c r="P226" s="6">
        <f>(IGA_BD[[#This Row],[Fault Clearance time]]-IGA_BD[[#This Row],[Work Start TimeStamp]])*24</f>
        <v>0</v>
      </c>
      <c r="Q226" s="6">
        <f>(IGA_BD[[#This Row],[Fault Clearance time]]-IGA_BD[[#This Row],[Fault Start TimeStamp]])*24</f>
        <v>0</v>
      </c>
      <c r="S226" s="4"/>
      <c r="T226" s="4" t="str">
        <f>IFERROR(IGA_BD[[#This Row],[Breakdown Time]]*IGA_BD[[#This Row],[Plant Equivalent Weightage]],"")</f>
        <v/>
      </c>
      <c r="U226" s="4"/>
      <c r="V226" s="4"/>
    </row>
    <row r="227" spans="1:22">
      <c r="A227" s="10"/>
      <c r="B227" s="10"/>
      <c r="C227" s="10"/>
      <c r="D227" s="10"/>
      <c r="E227" s="309">
        <f>IGA_BD[[#This Row],[Date]]-DAY(IGA_BD[[#This Row],[Date]])+1</f>
        <v>1</v>
      </c>
      <c r="F227" s="32"/>
      <c r="H227" s="4" t="str">
        <f>IFERROR(VLOOKUP(IGA_BD[[#This Row],[Affected Feeder ]],'Basic Data'!$A$3:$E$50,2,0),"")</f>
        <v/>
      </c>
      <c r="I227" s="4" t="str">
        <f>IFERROR(VLOOKUP(IGA_BD[[#This Row],[Affected Feeder ]],'Basic Data'!$A$3:$E$50,3,0),"")</f>
        <v/>
      </c>
      <c r="J227" s="9" t="str">
        <f>IFERROR(VLOOKUP(IGA_BD[[#This Row],[Affected Feeder ]],'Basic Data'!$A$3:$E$50,5,0),"")</f>
        <v/>
      </c>
      <c r="O227" s="6">
        <f>(IGA_BD[[#This Row],[Work Start TimeStamp]]-IGA_BD[[#This Row],[Fault Start TimeStamp]])*24</f>
        <v>0</v>
      </c>
      <c r="P227" s="6">
        <f>(IGA_BD[[#This Row],[Fault Clearance time]]-IGA_BD[[#This Row],[Work Start TimeStamp]])*24</f>
        <v>0</v>
      </c>
      <c r="Q227" s="6">
        <f>(IGA_BD[[#This Row],[Fault Clearance time]]-IGA_BD[[#This Row],[Fault Start TimeStamp]])*24</f>
        <v>0</v>
      </c>
      <c r="S227" s="4"/>
      <c r="T227" s="4" t="str">
        <f>IFERROR(IGA_BD[[#This Row],[Breakdown Time]]*IGA_BD[[#This Row],[Plant Equivalent Weightage]],"")</f>
        <v/>
      </c>
      <c r="U227" s="4"/>
      <c r="V227" s="4"/>
    </row>
    <row r="228" spans="1:22">
      <c r="A228" s="10"/>
      <c r="B228" s="10"/>
      <c r="C228" s="10"/>
      <c r="D228" s="10"/>
      <c r="E228" s="309">
        <f>IGA_BD[[#This Row],[Date]]-DAY(IGA_BD[[#This Row],[Date]])+1</f>
        <v>1</v>
      </c>
      <c r="F228" s="32"/>
      <c r="H228" s="4" t="str">
        <f>IFERROR(VLOOKUP(IGA_BD[[#This Row],[Affected Feeder ]],'Basic Data'!$A$3:$E$50,2,0),"")</f>
        <v/>
      </c>
      <c r="I228" s="4" t="str">
        <f>IFERROR(VLOOKUP(IGA_BD[[#This Row],[Affected Feeder ]],'Basic Data'!$A$3:$E$50,3,0),"")</f>
        <v/>
      </c>
      <c r="J228" s="9" t="str">
        <f>IFERROR(VLOOKUP(IGA_BD[[#This Row],[Affected Feeder ]],'Basic Data'!$A$3:$E$50,5,0),"")</f>
        <v/>
      </c>
      <c r="O228" s="6">
        <f>(IGA_BD[[#This Row],[Work Start TimeStamp]]-IGA_BD[[#This Row],[Fault Start TimeStamp]])*24</f>
        <v>0</v>
      </c>
      <c r="P228" s="6">
        <f>(IGA_BD[[#This Row],[Fault Clearance time]]-IGA_BD[[#This Row],[Work Start TimeStamp]])*24</f>
        <v>0</v>
      </c>
      <c r="Q228" s="6">
        <f>(IGA_BD[[#This Row],[Fault Clearance time]]-IGA_BD[[#This Row],[Fault Start TimeStamp]])*24</f>
        <v>0</v>
      </c>
      <c r="S228" s="4"/>
      <c r="T228" s="4" t="str">
        <f>IFERROR(IGA_BD[[#This Row],[Breakdown Time]]*IGA_BD[[#This Row],[Plant Equivalent Weightage]],"")</f>
        <v/>
      </c>
      <c r="U228" s="4"/>
      <c r="V228" s="4"/>
    </row>
    <row r="229" spans="1:22">
      <c r="A229" s="10"/>
      <c r="B229" s="10"/>
      <c r="C229" s="10"/>
      <c r="D229" s="10"/>
      <c r="E229" s="309">
        <f>IGA_BD[[#This Row],[Date]]-DAY(IGA_BD[[#This Row],[Date]])+1</f>
        <v>1</v>
      </c>
      <c r="F229" s="32"/>
      <c r="H229" s="4" t="str">
        <f>IFERROR(VLOOKUP(IGA_BD[[#This Row],[Affected Feeder ]],'Basic Data'!$A$3:$E$50,2,0),"")</f>
        <v/>
      </c>
      <c r="I229" s="4" t="str">
        <f>IFERROR(VLOOKUP(IGA_BD[[#This Row],[Affected Feeder ]],'Basic Data'!$A$3:$E$50,3,0),"")</f>
        <v/>
      </c>
      <c r="J229" s="9" t="str">
        <f>IFERROR(VLOOKUP(IGA_BD[[#This Row],[Affected Feeder ]],'Basic Data'!$A$3:$E$50,5,0),"")</f>
        <v/>
      </c>
      <c r="O229" s="6">
        <f>(IGA_BD[[#This Row],[Work Start TimeStamp]]-IGA_BD[[#This Row],[Fault Start TimeStamp]])*24</f>
        <v>0</v>
      </c>
      <c r="P229" s="6">
        <f>(IGA_BD[[#This Row],[Fault Clearance time]]-IGA_BD[[#This Row],[Work Start TimeStamp]])*24</f>
        <v>0</v>
      </c>
      <c r="Q229" s="6">
        <f>(IGA_BD[[#This Row],[Fault Clearance time]]-IGA_BD[[#This Row],[Fault Start TimeStamp]])*24</f>
        <v>0</v>
      </c>
      <c r="S229" s="4"/>
      <c r="T229" s="4" t="str">
        <f>IFERROR(IGA_BD[[#This Row],[Breakdown Time]]*IGA_BD[[#This Row],[Plant Equivalent Weightage]],"")</f>
        <v/>
      </c>
      <c r="U229" s="4"/>
      <c r="V229" s="4"/>
    </row>
    <row r="230" spans="1:22">
      <c r="A230" s="10"/>
      <c r="B230" s="10"/>
      <c r="C230" s="10"/>
      <c r="D230" s="10"/>
      <c r="E230" s="309">
        <f>IGA_BD[[#This Row],[Date]]-DAY(IGA_BD[[#This Row],[Date]])+1</f>
        <v>1</v>
      </c>
      <c r="F230" s="32"/>
      <c r="H230" s="4" t="str">
        <f>IFERROR(VLOOKUP(IGA_BD[[#This Row],[Affected Feeder ]],'Basic Data'!$A$3:$E$50,2,0),"")</f>
        <v/>
      </c>
      <c r="I230" s="4" t="str">
        <f>IFERROR(VLOOKUP(IGA_BD[[#This Row],[Affected Feeder ]],'Basic Data'!$A$3:$E$50,3,0),"")</f>
        <v/>
      </c>
      <c r="J230" s="9" t="str">
        <f>IFERROR(VLOOKUP(IGA_BD[[#This Row],[Affected Feeder ]],'Basic Data'!$A$3:$E$50,5,0),"")</f>
        <v/>
      </c>
      <c r="O230" s="6">
        <f>(IGA_BD[[#This Row],[Work Start TimeStamp]]-IGA_BD[[#This Row],[Fault Start TimeStamp]])*24</f>
        <v>0</v>
      </c>
      <c r="P230" s="6">
        <f>(IGA_BD[[#This Row],[Fault Clearance time]]-IGA_BD[[#This Row],[Work Start TimeStamp]])*24</f>
        <v>0</v>
      </c>
      <c r="Q230" s="6">
        <f>(IGA_BD[[#This Row],[Fault Clearance time]]-IGA_BD[[#This Row],[Fault Start TimeStamp]])*24</f>
        <v>0</v>
      </c>
      <c r="S230" s="4"/>
      <c r="T230" s="4" t="str">
        <f>IFERROR(IGA_BD[[#This Row],[Breakdown Time]]*IGA_BD[[#This Row],[Plant Equivalent Weightage]],"")</f>
        <v/>
      </c>
      <c r="U230" s="4"/>
      <c r="V230" s="4"/>
    </row>
    <row r="231" spans="1:22">
      <c r="A231" s="10"/>
      <c r="B231" s="10"/>
      <c r="C231" s="10"/>
      <c r="D231" s="10"/>
      <c r="E231" s="309">
        <f>IGA_BD[[#This Row],[Date]]-DAY(IGA_BD[[#This Row],[Date]])+1</f>
        <v>1</v>
      </c>
      <c r="F231" s="32"/>
      <c r="H231" s="4" t="str">
        <f>IFERROR(VLOOKUP(IGA_BD[[#This Row],[Affected Feeder ]],'Basic Data'!$A$3:$E$50,2,0),"")</f>
        <v/>
      </c>
      <c r="I231" s="4" t="str">
        <f>IFERROR(VLOOKUP(IGA_BD[[#This Row],[Affected Feeder ]],'Basic Data'!$A$3:$E$50,3,0),"")</f>
        <v/>
      </c>
      <c r="J231" s="9" t="str">
        <f>IFERROR(VLOOKUP(IGA_BD[[#This Row],[Affected Feeder ]],'Basic Data'!$A$3:$E$50,5,0),"")</f>
        <v/>
      </c>
      <c r="O231" s="6">
        <f>(IGA_BD[[#This Row],[Work Start TimeStamp]]-IGA_BD[[#This Row],[Fault Start TimeStamp]])*24</f>
        <v>0</v>
      </c>
      <c r="P231" s="6">
        <f>(IGA_BD[[#This Row],[Fault Clearance time]]-IGA_BD[[#This Row],[Work Start TimeStamp]])*24</f>
        <v>0</v>
      </c>
      <c r="Q231" s="6">
        <f>(IGA_BD[[#This Row],[Fault Clearance time]]-IGA_BD[[#This Row],[Fault Start TimeStamp]])*24</f>
        <v>0</v>
      </c>
      <c r="S231" s="4"/>
      <c r="T231" s="4" t="str">
        <f>IFERROR(IGA_BD[[#This Row],[Breakdown Time]]*IGA_BD[[#This Row],[Plant Equivalent Weightage]],"")</f>
        <v/>
      </c>
      <c r="U231" s="4"/>
      <c r="V231" s="4"/>
    </row>
    <row r="232" spans="1:22">
      <c r="A232" s="10"/>
      <c r="B232" s="10"/>
      <c r="C232" s="10"/>
      <c r="D232" s="10"/>
      <c r="E232" s="309">
        <f>IGA_BD[[#This Row],[Date]]-DAY(IGA_BD[[#This Row],[Date]])+1</f>
        <v>1</v>
      </c>
      <c r="F232" s="32"/>
      <c r="H232" s="4" t="str">
        <f>IFERROR(VLOOKUP(IGA_BD[[#This Row],[Affected Feeder ]],'Basic Data'!$A$3:$E$50,2,0),"")</f>
        <v/>
      </c>
      <c r="I232" s="4" t="str">
        <f>IFERROR(VLOOKUP(IGA_BD[[#This Row],[Affected Feeder ]],'Basic Data'!$A$3:$E$50,3,0),"")</f>
        <v/>
      </c>
      <c r="J232" s="9" t="str">
        <f>IFERROR(VLOOKUP(IGA_BD[[#This Row],[Affected Feeder ]],'Basic Data'!$A$3:$E$50,5,0),"")</f>
        <v/>
      </c>
      <c r="O232" s="6">
        <f>(IGA_BD[[#This Row],[Work Start TimeStamp]]-IGA_BD[[#This Row],[Fault Start TimeStamp]])*24</f>
        <v>0</v>
      </c>
      <c r="P232" s="6">
        <f>(IGA_BD[[#This Row],[Fault Clearance time]]-IGA_BD[[#This Row],[Work Start TimeStamp]])*24</f>
        <v>0</v>
      </c>
      <c r="Q232" s="6">
        <f>(IGA_BD[[#This Row],[Fault Clearance time]]-IGA_BD[[#This Row],[Fault Start TimeStamp]])*24</f>
        <v>0</v>
      </c>
      <c r="S232" s="4"/>
      <c r="T232" s="4" t="str">
        <f>IFERROR(IGA_BD[[#This Row],[Breakdown Time]]*IGA_BD[[#This Row],[Plant Equivalent Weightage]],"")</f>
        <v/>
      </c>
      <c r="U232" s="4"/>
      <c r="V232" s="4"/>
    </row>
    <row r="233" spans="1:22">
      <c r="A233" s="10"/>
      <c r="B233" s="10"/>
      <c r="C233" s="10"/>
      <c r="D233" s="10"/>
      <c r="E233" s="309">
        <f>IGA_BD[[#This Row],[Date]]-DAY(IGA_BD[[#This Row],[Date]])+1</f>
        <v>1</v>
      </c>
      <c r="F233" s="32"/>
      <c r="H233" s="4" t="str">
        <f>IFERROR(VLOOKUP(IGA_BD[[#This Row],[Affected Feeder ]],'Basic Data'!$A$3:$E$50,2,0),"")</f>
        <v/>
      </c>
      <c r="I233" s="4" t="str">
        <f>IFERROR(VLOOKUP(IGA_BD[[#This Row],[Affected Feeder ]],'Basic Data'!$A$3:$E$50,3,0),"")</f>
        <v/>
      </c>
      <c r="J233" s="9" t="str">
        <f>IFERROR(VLOOKUP(IGA_BD[[#This Row],[Affected Feeder ]],'Basic Data'!$A$3:$E$50,5,0),"")</f>
        <v/>
      </c>
      <c r="O233" s="6">
        <f>(IGA_BD[[#This Row],[Work Start TimeStamp]]-IGA_BD[[#This Row],[Fault Start TimeStamp]])*24</f>
        <v>0</v>
      </c>
      <c r="P233" s="6">
        <f>(IGA_BD[[#This Row],[Fault Clearance time]]-IGA_BD[[#This Row],[Work Start TimeStamp]])*24</f>
        <v>0</v>
      </c>
      <c r="Q233" s="6">
        <f>(IGA_BD[[#This Row],[Fault Clearance time]]-IGA_BD[[#This Row],[Fault Start TimeStamp]])*24</f>
        <v>0</v>
      </c>
      <c r="S233" s="4"/>
      <c r="T233" s="4" t="str">
        <f>IFERROR(IGA_BD[[#This Row],[Breakdown Time]]*IGA_BD[[#This Row],[Plant Equivalent Weightage]],"")</f>
        <v/>
      </c>
      <c r="U233" s="4"/>
      <c r="V233" s="4"/>
    </row>
    <row r="234" spans="1:22">
      <c r="A234" s="10"/>
      <c r="B234" s="10"/>
      <c r="C234" s="10"/>
      <c r="D234" s="10"/>
      <c r="E234" s="309">
        <f>IGA_BD[[#This Row],[Date]]-DAY(IGA_BD[[#This Row],[Date]])+1</f>
        <v>1</v>
      </c>
      <c r="F234" s="32"/>
      <c r="H234" s="4" t="str">
        <f>IFERROR(VLOOKUP(IGA_BD[[#This Row],[Affected Feeder ]],'Basic Data'!$A$3:$E$50,2,0),"")</f>
        <v/>
      </c>
      <c r="I234" s="4" t="str">
        <f>IFERROR(VLOOKUP(IGA_BD[[#This Row],[Affected Feeder ]],'Basic Data'!$A$3:$E$50,3,0),"")</f>
        <v/>
      </c>
      <c r="J234" s="9" t="str">
        <f>IFERROR(VLOOKUP(IGA_BD[[#This Row],[Affected Feeder ]],'Basic Data'!$A$3:$E$50,5,0),"")</f>
        <v/>
      </c>
      <c r="O234" s="6">
        <f>(IGA_BD[[#This Row],[Work Start TimeStamp]]-IGA_BD[[#This Row],[Fault Start TimeStamp]])*24</f>
        <v>0</v>
      </c>
      <c r="P234" s="6">
        <f>(IGA_BD[[#This Row],[Fault Clearance time]]-IGA_BD[[#This Row],[Work Start TimeStamp]])*24</f>
        <v>0</v>
      </c>
      <c r="Q234" s="6">
        <f>(IGA_BD[[#This Row],[Fault Clearance time]]-IGA_BD[[#This Row],[Fault Start TimeStamp]])*24</f>
        <v>0</v>
      </c>
      <c r="S234" s="4"/>
      <c r="T234" s="4" t="str">
        <f>IFERROR(IGA_BD[[#This Row],[Breakdown Time]]*IGA_BD[[#This Row],[Plant Equivalent Weightage]],"")</f>
        <v/>
      </c>
      <c r="U234" s="4"/>
      <c r="V234" s="4"/>
    </row>
    <row r="235" spans="1:22">
      <c r="A235" s="10"/>
      <c r="B235" s="10"/>
      <c r="C235" s="10"/>
      <c r="D235" s="10"/>
      <c r="E235" s="309">
        <f>IGA_BD[[#This Row],[Date]]-DAY(IGA_BD[[#This Row],[Date]])+1</f>
        <v>1</v>
      </c>
      <c r="F235" s="32"/>
      <c r="H235" s="4" t="str">
        <f>IFERROR(VLOOKUP(IGA_BD[[#This Row],[Affected Feeder ]],'Basic Data'!$A$3:$E$50,2,0),"")</f>
        <v/>
      </c>
      <c r="I235" s="4" t="str">
        <f>IFERROR(VLOOKUP(IGA_BD[[#This Row],[Affected Feeder ]],'Basic Data'!$A$3:$E$50,3,0),"")</f>
        <v/>
      </c>
      <c r="J235" s="9" t="str">
        <f>IFERROR(VLOOKUP(IGA_BD[[#This Row],[Affected Feeder ]],'Basic Data'!$A$3:$E$50,5,0),"")</f>
        <v/>
      </c>
      <c r="O235" s="6">
        <f>(IGA_BD[[#This Row],[Work Start TimeStamp]]-IGA_BD[[#This Row],[Fault Start TimeStamp]])*24</f>
        <v>0</v>
      </c>
      <c r="P235" s="6">
        <f>(IGA_BD[[#This Row],[Fault Clearance time]]-IGA_BD[[#This Row],[Work Start TimeStamp]])*24</f>
        <v>0</v>
      </c>
      <c r="Q235" s="6">
        <f>(IGA_BD[[#This Row],[Fault Clearance time]]-IGA_BD[[#This Row],[Fault Start TimeStamp]])*24</f>
        <v>0</v>
      </c>
      <c r="S235" s="4"/>
      <c r="T235" s="4" t="str">
        <f>IFERROR(IGA_BD[[#This Row],[Breakdown Time]]*IGA_BD[[#This Row],[Plant Equivalent Weightage]],"")</f>
        <v/>
      </c>
      <c r="U235" s="4"/>
      <c r="V235" s="4"/>
    </row>
    <row r="236" spans="1:22">
      <c r="A236" s="10"/>
      <c r="B236" s="10"/>
      <c r="C236" s="10"/>
      <c r="D236" s="10"/>
      <c r="E236" s="309">
        <f>IGA_BD[[#This Row],[Date]]-DAY(IGA_BD[[#This Row],[Date]])+1</f>
        <v>1</v>
      </c>
      <c r="F236" s="32"/>
      <c r="H236" s="4" t="str">
        <f>IFERROR(VLOOKUP(IGA_BD[[#This Row],[Affected Feeder ]],'Basic Data'!$A$3:$E$50,2,0),"")</f>
        <v/>
      </c>
      <c r="I236" s="4" t="str">
        <f>IFERROR(VLOOKUP(IGA_BD[[#This Row],[Affected Feeder ]],'Basic Data'!$A$3:$E$50,3,0),"")</f>
        <v/>
      </c>
      <c r="J236" s="9" t="str">
        <f>IFERROR(VLOOKUP(IGA_BD[[#This Row],[Affected Feeder ]],'Basic Data'!$A$3:$E$50,5,0),"")</f>
        <v/>
      </c>
      <c r="O236" s="6">
        <f>(IGA_BD[[#This Row],[Work Start TimeStamp]]-IGA_BD[[#This Row],[Fault Start TimeStamp]])*24</f>
        <v>0</v>
      </c>
      <c r="P236" s="6">
        <f>(IGA_BD[[#This Row],[Fault Clearance time]]-IGA_BD[[#This Row],[Work Start TimeStamp]])*24</f>
        <v>0</v>
      </c>
      <c r="Q236" s="6">
        <f>(IGA_BD[[#This Row],[Fault Clearance time]]-IGA_BD[[#This Row],[Fault Start TimeStamp]])*24</f>
        <v>0</v>
      </c>
      <c r="S236" s="4"/>
      <c r="T236" s="4" t="str">
        <f>IFERROR(IGA_BD[[#This Row],[Breakdown Time]]*IGA_BD[[#This Row],[Plant Equivalent Weightage]],"")</f>
        <v/>
      </c>
      <c r="U236" s="4"/>
      <c r="V236" s="4"/>
    </row>
    <row r="237" spans="1:22">
      <c r="A237" s="10"/>
      <c r="B237" s="10"/>
      <c r="C237" s="10"/>
      <c r="D237" s="10"/>
      <c r="E237" s="309">
        <f>IGA_BD[[#This Row],[Date]]-DAY(IGA_BD[[#This Row],[Date]])+1</f>
        <v>1</v>
      </c>
      <c r="F237" s="32"/>
      <c r="H237" s="4" t="str">
        <f>IFERROR(VLOOKUP(IGA_BD[[#This Row],[Affected Feeder ]],'Basic Data'!$A$3:$E$50,2,0),"")</f>
        <v/>
      </c>
      <c r="I237" s="4" t="str">
        <f>IFERROR(VLOOKUP(IGA_BD[[#This Row],[Affected Feeder ]],'Basic Data'!$A$3:$E$50,3,0),"")</f>
        <v/>
      </c>
      <c r="J237" s="9" t="str">
        <f>IFERROR(VLOOKUP(IGA_BD[[#This Row],[Affected Feeder ]],'Basic Data'!$A$3:$E$50,5,0),"")</f>
        <v/>
      </c>
      <c r="O237" s="6">
        <f>(IGA_BD[[#This Row],[Work Start TimeStamp]]-IGA_BD[[#This Row],[Fault Start TimeStamp]])*24</f>
        <v>0</v>
      </c>
      <c r="P237" s="6">
        <f>(IGA_BD[[#This Row],[Fault Clearance time]]-IGA_BD[[#This Row],[Work Start TimeStamp]])*24</f>
        <v>0</v>
      </c>
      <c r="Q237" s="6">
        <f>(IGA_BD[[#This Row],[Fault Clearance time]]-IGA_BD[[#This Row],[Fault Start TimeStamp]])*24</f>
        <v>0</v>
      </c>
      <c r="S237" s="4"/>
      <c r="T237" s="4" t="str">
        <f>IFERROR(IGA_BD[[#This Row],[Breakdown Time]]*IGA_BD[[#This Row],[Plant Equivalent Weightage]],"")</f>
        <v/>
      </c>
      <c r="U237" s="4"/>
      <c r="V237" s="4"/>
    </row>
    <row r="238" spans="1:22">
      <c r="A238" s="10"/>
      <c r="B238" s="10"/>
      <c r="C238" s="10"/>
      <c r="D238" s="10"/>
      <c r="E238" s="309">
        <f>IGA_BD[[#This Row],[Date]]-DAY(IGA_BD[[#This Row],[Date]])+1</f>
        <v>1</v>
      </c>
      <c r="F238" s="32"/>
      <c r="H238" s="4" t="str">
        <f>IFERROR(VLOOKUP(IGA_BD[[#This Row],[Affected Feeder ]],'Basic Data'!$A$3:$E$50,2,0),"")</f>
        <v/>
      </c>
      <c r="I238" s="4" t="str">
        <f>IFERROR(VLOOKUP(IGA_BD[[#This Row],[Affected Feeder ]],'Basic Data'!$A$3:$E$50,3,0),"")</f>
        <v/>
      </c>
      <c r="J238" s="9" t="str">
        <f>IFERROR(VLOOKUP(IGA_BD[[#This Row],[Affected Feeder ]],'Basic Data'!$A$3:$E$50,5,0),"")</f>
        <v/>
      </c>
      <c r="O238" s="6">
        <f>(IGA_BD[[#This Row],[Work Start TimeStamp]]-IGA_BD[[#This Row],[Fault Start TimeStamp]])*24</f>
        <v>0</v>
      </c>
      <c r="P238" s="6">
        <f>(IGA_BD[[#This Row],[Fault Clearance time]]-IGA_BD[[#This Row],[Work Start TimeStamp]])*24</f>
        <v>0</v>
      </c>
      <c r="Q238" s="6">
        <f>(IGA_BD[[#This Row],[Fault Clearance time]]-IGA_BD[[#This Row],[Fault Start TimeStamp]])*24</f>
        <v>0</v>
      </c>
      <c r="S238" s="4"/>
      <c r="T238" s="4" t="str">
        <f>IFERROR(IGA_BD[[#This Row],[Breakdown Time]]*IGA_BD[[#This Row],[Plant Equivalent Weightage]],"")</f>
        <v/>
      </c>
      <c r="U238" s="4"/>
      <c r="V238" s="4"/>
    </row>
    <row r="239" spans="1:22">
      <c r="A239" s="10"/>
      <c r="B239" s="10"/>
      <c r="C239" s="10"/>
      <c r="D239" s="10"/>
      <c r="E239" s="309">
        <f>IGA_BD[[#This Row],[Date]]-DAY(IGA_BD[[#This Row],[Date]])+1</f>
        <v>1</v>
      </c>
      <c r="F239" s="32"/>
      <c r="H239" s="4" t="str">
        <f>IFERROR(VLOOKUP(IGA_BD[[#This Row],[Affected Feeder ]],'Basic Data'!$A$3:$E$50,2,0),"")</f>
        <v/>
      </c>
      <c r="I239" s="4" t="str">
        <f>IFERROR(VLOOKUP(IGA_BD[[#This Row],[Affected Feeder ]],'Basic Data'!$A$3:$E$50,3,0),"")</f>
        <v/>
      </c>
      <c r="J239" s="9" t="str">
        <f>IFERROR(VLOOKUP(IGA_BD[[#This Row],[Affected Feeder ]],'Basic Data'!$A$3:$E$50,5,0),"")</f>
        <v/>
      </c>
      <c r="O239" s="6">
        <f>(IGA_BD[[#This Row],[Work Start TimeStamp]]-IGA_BD[[#This Row],[Fault Start TimeStamp]])*24</f>
        <v>0</v>
      </c>
      <c r="P239" s="6">
        <f>(IGA_BD[[#This Row],[Fault Clearance time]]-IGA_BD[[#This Row],[Work Start TimeStamp]])*24</f>
        <v>0</v>
      </c>
      <c r="Q239" s="6">
        <f>(IGA_BD[[#This Row],[Fault Clearance time]]-IGA_BD[[#This Row],[Fault Start TimeStamp]])*24</f>
        <v>0</v>
      </c>
      <c r="S239" s="4"/>
      <c r="T239" s="4" t="str">
        <f>IFERROR(IGA_BD[[#This Row],[Breakdown Time]]*IGA_BD[[#This Row],[Plant Equivalent Weightage]],"")</f>
        <v/>
      </c>
      <c r="U239" s="4"/>
      <c r="V239" s="4"/>
    </row>
    <row r="240" spans="1:22">
      <c r="A240" s="10"/>
      <c r="B240" s="10"/>
      <c r="C240" s="10"/>
      <c r="D240" s="10"/>
      <c r="E240" s="309">
        <f>IGA_BD[[#This Row],[Date]]-DAY(IGA_BD[[#This Row],[Date]])+1</f>
        <v>1</v>
      </c>
      <c r="F240" s="32"/>
      <c r="H240" s="4" t="str">
        <f>IFERROR(VLOOKUP(IGA_BD[[#This Row],[Affected Feeder ]],'Basic Data'!$A$3:$E$50,2,0),"")</f>
        <v/>
      </c>
      <c r="I240" s="4" t="str">
        <f>IFERROR(VLOOKUP(IGA_BD[[#This Row],[Affected Feeder ]],'Basic Data'!$A$3:$E$50,3,0),"")</f>
        <v/>
      </c>
      <c r="J240" s="9" t="str">
        <f>IFERROR(VLOOKUP(IGA_BD[[#This Row],[Affected Feeder ]],'Basic Data'!$A$3:$E$50,5,0),"")</f>
        <v/>
      </c>
      <c r="O240" s="6">
        <f>(IGA_BD[[#This Row],[Work Start TimeStamp]]-IGA_BD[[#This Row],[Fault Start TimeStamp]])*24</f>
        <v>0</v>
      </c>
      <c r="P240" s="6">
        <f>(IGA_BD[[#This Row],[Fault Clearance time]]-IGA_BD[[#This Row],[Work Start TimeStamp]])*24</f>
        <v>0</v>
      </c>
      <c r="Q240" s="6">
        <f>(IGA_BD[[#This Row],[Fault Clearance time]]-IGA_BD[[#This Row],[Fault Start TimeStamp]])*24</f>
        <v>0</v>
      </c>
      <c r="S240" s="4"/>
      <c r="T240" s="4" t="str">
        <f>IFERROR(IGA_BD[[#This Row],[Breakdown Time]]*IGA_BD[[#This Row],[Plant Equivalent Weightage]],"")</f>
        <v/>
      </c>
      <c r="U240" s="4"/>
      <c r="V240" s="4"/>
    </row>
    <row r="241" spans="1:22">
      <c r="A241" s="10"/>
      <c r="B241" s="10"/>
      <c r="C241" s="10"/>
      <c r="D241" s="10"/>
      <c r="E241" s="309">
        <f>IGA_BD[[#This Row],[Date]]-DAY(IGA_BD[[#This Row],[Date]])+1</f>
        <v>1</v>
      </c>
      <c r="F241" s="32"/>
      <c r="H241" s="4" t="str">
        <f>IFERROR(VLOOKUP(IGA_BD[[#This Row],[Affected Feeder ]],'Basic Data'!$A$3:$E$50,2,0),"")</f>
        <v/>
      </c>
      <c r="I241" s="4" t="str">
        <f>IFERROR(VLOOKUP(IGA_BD[[#This Row],[Affected Feeder ]],'Basic Data'!$A$3:$E$50,3,0),"")</f>
        <v/>
      </c>
      <c r="J241" s="9" t="str">
        <f>IFERROR(VLOOKUP(IGA_BD[[#This Row],[Affected Feeder ]],'Basic Data'!$A$3:$E$50,5,0),"")</f>
        <v/>
      </c>
      <c r="O241" s="6">
        <f>(IGA_BD[[#This Row],[Work Start TimeStamp]]-IGA_BD[[#This Row],[Fault Start TimeStamp]])*24</f>
        <v>0</v>
      </c>
      <c r="P241" s="6">
        <f>(IGA_BD[[#This Row],[Fault Clearance time]]-IGA_BD[[#This Row],[Work Start TimeStamp]])*24</f>
        <v>0</v>
      </c>
      <c r="Q241" s="6">
        <f>(IGA_BD[[#This Row],[Fault Clearance time]]-IGA_BD[[#This Row],[Fault Start TimeStamp]])*24</f>
        <v>0</v>
      </c>
      <c r="S241" s="4"/>
      <c r="T241" s="4" t="str">
        <f>IFERROR(IGA_BD[[#This Row],[Breakdown Time]]*IGA_BD[[#This Row],[Plant Equivalent Weightage]],"")</f>
        <v/>
      </c>
      <c r="U241" s="4"/>
      <c r="V241" s="4"/>
    </row>
    <row r="242" spans="1:22">
      <c r="A242" s="10"/>
      <c r="B242" s="10"/>
      <c r="C242" s="10"/>
      <c r="D242" s="10"/>
      <c r="E242" s="309">
        <f>IGA_BD[[#This Row],[Date]]-DAY(IGA_BD[[#This Row],[Date]])+1</f>
        <v>1</v>
      </c>
      <c r="F242" s="32"/>
      <c r="H242" s="4" t="str">
        <f>IFERROR(VLOOKUP(IGA_BD[[#This Row],[Affected Feeder ]],'Basic Data'!$A$3:$E$50,2,0),"")</f>
        <v/>
      </c>
      <c r="I242" s="4" t="str">
        <f>IFERROR(VLOOKUP(IGA_BD[[#This Row],[Affected Feeder ]],'Basic Data'!$A$3:$E$50,3,0),"")</f>
        <v/>
      </c>
      <c r="J242" s="9" t="str">
        <f>IFERROR(VLOOKUP(IGA_BD[[#This Row],[Affected Feeder ]],'Basic Data'!$A$3:$E$50,5,0),"")</f>
        <v/>
      </c>
      <c r="O242" s="6">
        <f>(IGA_BD[[#This Row],[Work Start TimeStamp]]-IGA_BD[[#This Row],[Fault Start TimeStamp]])*24</f>
        <v>0</v>
      </c>
      <c r="P242" s="6">
        <f>(IGA_BD[[#This Row],[Fault Clearance time]]-IGA_BD[[#This Row],[Work Start TimeStamp]])*24</f>
        <v>0</v>
      </c>
      <c r="Q242" s="6">
        <f>(IGA_BD[[#This Row],[Fault Clearance time]]-IGA_BD[[#This Row],[Fault Start TimeStamp]])*24</f>
        <v>0</v>
      </c>
      <c r="S242" s="4"/>
      <c r="T242" s="4" t="str">
        <f>IFERROR(IGA_BD[[#This Row],[Breakdown Time]]*IGA_BD[[#This Row],[Plant Equivalent Weightage]],"")</f>
        <v/>
      </c>
      <c r="U242" s="4"/>
      <c r="V242" s="4"/>
    </row>
    <row r="243" spans="1:22">
      <c r="A243" s="10"/>
      <c r="B243" s="10"/>
      <c r="C243" s="10"/>
      <c r="D243" s="10"/>
      <c r="E243" s="309">
        <f>IGA_BD[[#This Row],[Date]]-DAY(IGA_BD[[#This Row],[Date]])+1</f>
        <v>1</v>
      </c>
      <c r="F243" s="32"/>
      <c r="H243" s="4" t="str">
        <f>IFERROR(VLOOKUP(IGA_BD[[#This Row],[Affected Feeder ]],'Basic Data'!$A$3:$E$50,2,0),"")</f>
        <v/>
      </c>
      <c r="I243" s="4" t="str">
        <f>IFERROR(VLOOKUP(IGA_BD[[#This Row],[Affected Feeder ]],'Basic Data'!$A$3:$E$50,3,0),"")</f>
        <v/>
      </c>
      <c r="J243" s="9" t="str">
        <f>IFERROR(VLOOKUP(IGA_BD[[#This Row],[Affected Feeder ]],'Basic Data'!$A$3:$E$50,5,0),"")</f>
        <v/>
      </c>
      <c r="O243" s="6">
        <f>(IGA_BD[[#This Row],[Work Start TimeStamp]]-IGA_BD[[#This Row],[Fault Start TimeStamp]])*24</f>
        <v>0</v>
      </c>
      <c r="P243" s="6">
        <f>(IGA_BD[[#This Row],[Fault Clearance time]]-IGA_BD[[#This Row],[Work Start TimeStamp]])*24</f>
        <v>0</v>
      </c>
      <c r="Q243" s="6">
        <f>(IGA_BD[[#This Row],[Fault Clearance time]]-IGA_BD[[#This Row],[Fault Start TimeStamp]])*24</f>
        <v>0</v>
      </c>
      <c r="S243" s="4"/>
      <c r="T243" s="4" t="str">
        <f>IFERROR(IGA_BD[[#This Row],[Breakdown Time]]*IGA_BD[[#This Row],[Plant Equivalent Weightage]],"")</f>
        <v/>
      </c>
      <c r="U243" s="4"/>
      <c r="V243" s="4"/>
    </row>
    <row r="244" spans="1:22">
      <c r="A244" s="10"/>
      <c r="B244" s="10"/>
      <c r="C244" s="10"/>
      <c r="D244" s="10"/>
      <c r="E244" s="309">
        <f>IGA_BD[[#This Row],[Date]]-DAY(IGA_BD[[#This Row],[Date]])+1</f>
        <v>1</v>
      </c>
      <c r="F244" s="32"/>
      <c r="H244" s="4" t="str">
        <f>IFERROR(VLOOKUP(IGA_BD[[#This Row],[Affected Feeder ]],'Basic Data'!$A$3:$E$50,2,0),"")</f>
        <v/>
      </c>
      <c r="I244" s="4" t="str">
        <f>IFERROR(VLOOKUP(IGA_BD[[#This Row],[Affected Feeder ]],'Basic Data'!$A$3:$E$50,3,0),"")</f>
        <v/>
      </c>
      <c r="J244" s="9" t="str">
        <f>IFERROR(VLOOKUP(IGA_BD[[#This Row],[Affected Feeder ]],'Basic Data'!$A$3:$E$50,5,0),"")</f>
        <v/>
      </c>
      <c r="O244" s="6">
        <f>(IGA_BD[[#This Row],[Work Start TimeStamp]]-IGA_BD[[#This Row],[Fault Start TimeStamp]])*24</f>
        <v>0</v>
      </c>
      <c r="P244" s="6">
        <f>(IGA_BD[[#This Row],[Fault Clearance time]]-IGA_BD[[#This Row],[Work Start TimeStamp]])*24</f>
        <v>0</v>
      </c>
      <c r="Q244" s="6">
        <f>(IGA_BD[[#This Row],[Fault Clearance time]]-IGA_BD[[#This Row],[Fault Start TimeStamp]])*24</f>
        <v>0</v>
      </c>
      <c r="S244" s="4"/>
      <c r="T244" s="4" t="str">
        <f>IFERROR(IGA_BD[[#This Row],[Breakdown Time]]*IGA_BD[[#This Row],[Plant Equivalent Weightage]],"")</f>
        <v/>
      </c>
      <c r="U244" s="4"/>
      <c r="V244" s="4"/>
    </row>
    <row r="245" spans="1:22">
      <c r="A245" s="10"/>
      <c r="B245" s="10"/>
      <c r="C245" s="10"/>
      <c r="D245" s="10"/>
      <c r="E245" s="309">
        <f>IGA_BD[[#This Row],[Date]]-DAY(IGA_BD[[#This Row],[Date]])+1</f>
        <v>1</v>
      </c>
      <c r="F245" s="32"/>
      <c r="H245" s="4" t="str">
        <f>IFERROR(VLOOKUP(IGA_BD[[#This Row],[Affected Feeder ]],'Basic Data'!$A$3:$E$50,2,0),"")</f>
        <v/>
      </c>
      <c r="I245" s="4" t="str">
        <f>IFERROR(VLOOKUP(IGA_BD[[#This Row],[Affected Feeder ]],'Basic Data'!$A$3:$E$50,3,0),"")</f>
        <v/>
      </c>
      <c r="J245" s="9" t="str">
        <f>IFERROR(VLOOKUP(IGA_BD[[#This Row],[Affected Feeder ]],'Basic Data'!$A$3:$E$50,5,0),"")</f>
        <v/>
      </c>
      <c r="O245" s="6">
        <f>(IGA_BD[[#This Row],[Work Start TimeStamp]]-IGA_BD[[#This Row],[Fault Start TimeStamp]])*24</f>
        <v>0</v>
      </c>
      <c r="P245" s="6">
        <f>(IGA_BD[[#This Row],[Fault Clearance time]]-IGA_BD[[#This Row],[Work Start TimeStamp]])*24</f>
        <v>0</v>
      </c>
      <c r="Q245" s="6">
        <f>(IGA_BD[[#This Row],[Fault Clearance time]]-IGA_BD[[#This Row],[Fault Start TimeStamp]])*24</f>
        <v>0</v>
      </c>
      <c r="S245" s="4"/>
      <c r="T245" s="4" t="str">
        <f>IFERROR(IGA_BD[[#This Row],[Breakdown Time]]*IGA_BD[[#This Row],[Plant Equivalent Weightage]],"")</f>
        <v/>
      </c>
      <c r="U245" s="4"/>
      <c r="V245" s="4"/>
    </row>
    <row r="246" spans="1:22">
      <c r="A246" s="10"/>
      <c r="B246" s="10"/>
      <c r="C246" s="10"/>
      <c r="D246" s="10"/>
      <c r="E246" s="309">
        <f>IGA_BD[[#This Row],[Date]]-DAY(IGA_BD[[#This Row],[Date]])+1</f>
        <v>1</v>
      </c>
      <c r="F246" s="32"/>
      <c r="H246" s="4" t="str">
        <f>IFERROR(VLOOKUP(IGA_BD[[#This Row],[Affected Feeder ]],'Basic Data'!$A$3:$E$50,2,0),"")</f>
        <v/>
      </c>
      <c r="I246" s="4" t="str">
        <f>IFERROR(VLOOKUP(IGA_BD[[#This Row],[Affected Feeder ]],'Basic Data'!$A$3:$E$50,3,0),"")</f>
        <v/>
      </c>
      <c r="J246" s="9" t="str">
        <f>IFERROR(VLOOKUP(IGA_BD[[#This Row],[Affected Feeder ]],'Basic Data'!$A$3:$E$50,5,0),"")</f>
        <v/>
      </c>
      <c r="O246" s="6">
        <f>(IGA_BD[[#This Row],[Work Start TimeStamp]]-IGA_BD[[#This Row],[Fault Start TimeStamp]])*24</f>
        <v>0</v>
      </c>
      <c r="P246" s="6">
        <f>(IGA_BD[[#This Row],[Fault Clearance time]]-IGA_BD[[#This Row],[Work Start TimeStamp]])*24</f>
        <v>0</v>
      </c>
      <c r="Q246" s="6">
        <f>(IGA_BD[[#This Row],[Fault Clearance time]]-IGA_BD[[#This Row],[Fault Start TimeStamp]])*24</f>
        <v>0</v>
      </c>
      <c r="S246" s="4"/>
      <c r="T246" s="4" t="str">
        <f>IFERROR(IGA_BD[[#This Row],[Breakdown Time]]*IGA_BD[[#This Row],[Plant Equivalent Weightage]],"")</f>
        <v/>
      </c>
      <c r="U246" s="4"/>
      <c r="V246" s="4"/>
    </row>
    <row r="247" spans="1:22">
      <c r="A247" s="10"/>
      <c r="B247" s="10"/>
      <c r="C247" s="10"/>
      <c r="D247" s="10"/>
      <c r="E247" s="309">
        <f>IGA_BD[[#This Row],[Date]]-DAY(IGA_BD[[#This Row],[Date]])+1</f>
        <v>1</v>
      </c>
      <c r="F247" s="32"/>
      <c r="H247" s="4" t="str">
        <f>IFERROR(VLOOKUP(IGA_BD[[#This Row],[Affected Feeder ]],'Basic Data'!$A$3:$E$50,2,0),"")</f>
        <v/>
      </c>
      <c r="I247" s="4" t="str">
        <f>IFERROR(VLOOKUP(IGA_BD[[#This Row],[Affected Feeder ]],'Basic Data'!$A$3:$E$50,3,0),"")</f>
        <v/>
      </c>
      <c r="J247" s="9" t="str">
        <f>IFERROR(VLOOKUP(IGA_BD[[#This Row],[Affected Feeder ]],'Basic Data'!$A$3:$E$50,5,0),"")</f>
        <v/>
      </c>
      <c r="O247" s="6">
        <f>(IGA_BD[[#This Row],[Work Start TimeStamp]]-IGA_BD[[#This Row],[Fault Start TimeStamp]])*24</f>
        <v>0</v>
      </c>
      <c r="P247" s="6">
        <f>(IGA_BD[[#This Row],[Fault Clearance time]]-IGA_BD[[#This Row],[Work Start TimeStamp]])*24</f>
        <v>0</v>
      </c>
      <c r="Q247" s="6">
        <f>(IGA_BD[[#This Row],[Fault Clearance time]]-IGA_BD[[#This Row],[Fault Start TimeStamp]])*24</f>
        <v>0</v>
      </c>
      <c r="S247" s="4"/>
      <c r="T247" s="4" t="str">
        <f>IFERROR(IGA_BD[[#This Row],[Breakdown Time]]*IGA_BD[[#This Row],[Plant Equivalent Weightage]],"")</f>
        <v/>
      </c>
      <c r="U247" s="4"/>
      <c r="V247" s="4"/>
    </row>
    <row r="248" spans="1:22">
      <c r="A248" s="10"/>
      <c r="B248" s="10"/>
      <c r="C248" s="10"/>
      <c r="D248" s="10"/>
      <c r="E248" s="309">
        <f>IGA_BD[[#This Row],[Date]]-DAY(IGA_BD[[#This Row],[Date]])+1</f>
        <v>1</v>
      </c>
      <c r="F248" s="32"/>
      <c r="H248" s="4" t="str">
        <f>IFERROR(VLOOKUP(IGA_BD[[#This Row],[Affected Feeder ]],'Basic Data'!$A$3:$E$50,2,0),"")</f>
        <v/>
      </c>
      <c r="I248" s="4" t="str">
        <f>IFERROR(VLOOKUP(IGA_BD[[#This Row],[Affected Feeder ]],'Basic Data'!$A$3:$E$50,3,0),"")</f>
        <v/>
      </c>
      <c r="J248" s="9" t="str">
        <f>IFERROR(VLOOKUP(IGA_BD[[#This Row],[Affected Feeder ]],'Basic Data'!$A$3:$E$50,5,0),"")</f>
        <v/>
      </c>
      <c r="O248" s="6">
        <f>(IGA_BD[[#This Row],[Work Start TimeStamp]]-IGA_BD[[#This Row],[Fault Start TimeStamp]])*24</f>
        <v>0</v>
      </c>
      <c r="P248" s="6">
        <f>(IGA_BD[[#This Row],[Fault Clearance time]]-IGA_BD[[#This Row],[Work Start TimeStamp]])*24</f>
        <v>0</v>
      </c>
      <c r="Q248" s="6">
        <f>(IGA_BD[[#This Row],[Fault Clearance time]]-IGA_BD[[#This Row],[Fault Start TimeStamp]])*24</f>
        <v>0</v>
      </c>
      <c r="S248" s="4"/>
      <c r="T248" s="4" t="str">
        <f>IFERROR(IGA_BD[[#This Row],[Breakdown Time]]*IGA_BD[[#This Row],[Plant Equivalent Weightage]],"")</f>
        <v/>
      </c>
      <c r="U248" s="4"/>
      <c r="V248" s="4"/>
    </row>
    <row r="249" spans="1:22">
      <c r="A249" s="10"/>
      <c r="B249" s="10"/>
      <c r="C249" s="10"/>
      <c r="D249" s="10"/>
      <c r="E249" s="309">
        <f>IGA_BD[[#This Row],[Date]]-DAY(IGA_BD[[#This Row],[Date]])+1</f>
        <v>1</v>
      </c>
      <c r="F249" s="32"/>
      <c r="H249" s="4" t="str">
        <f>IFERROR(VLOOKUP(IGA_BD[[#This Row],[Affected Feeder ]],'Basic Data'!$A$3:$E$50,2,0),"")</f>
        <v/>
      </c>
      <c r="I249" s="4" t="str">
        <f>IFERROR(VLOOKUP(IGA_BD[[#This Row],[Affected Feeder ]],'Basic Data'!$A$3:$E$50,3,0),"")</f>
        <v/>
      </c>
      <c r="J249" s="9" t="str">
        <f>IFERROR(VLOOKUP(IGA_BD[[#This Row],[Affected Feeder ]],'Basic Data'!$A$3:$E$50,5,0),"")</f>
        <v/>
      </c>
      <c r="O249" s="6">
        <f>(IGA_BD[[#This Row],[Work Start TimeStamp]]-IGA_BD[[#This Row],[Fault Start TimeStamp]])*24</f>
        <v>0</v>
      </c>
      <c r="P249" s="6">
        <f>(IGA_BD[[#This Row],[Fault Clearance time]]-IGA_BD[[#This Row],[Work Start TimeStamp]])*24</f>
        <v>0</v>
      </c>
      <c r="Q249" s="6">
        <f>(IGA_BD[[#This Row],[Fault Clearance time]]-IGA_BD[[#This Row],[Fault Start TimeStamp]])*24</f>
        <v>0</v>
      </c>
      <c r="S249" s="4"/>
      <c r="T249" s="4" t="str">
        <f>IFERROR(IGA_BD[[#This Row],[Breakdown Time]]*IGA_BD[[#This Row],[Plant Equivalent Weightage]],"")</f>
        <v/>
      </c>
      <c r="U249" s="4"/>
      <c r="V249" s="4"/>
    </row>
    <row r="250" spans="1:22">
      <c r="A250" s="10"/>
      <c r="B250" s="10"/>
      <c r="C250" s="10"/>
      <c r="D250" s="10"/>
      <c r="E250" s="309">
        <f>IGA_BD[[#This Row],[Date]]-DAY(IGA_BD[[#This Row],[Date]])+1</f>
        <v>1</v>
      </c>
      <c r="F250" s="32"/>
      <c r="H250" s="4" t="str">
        <f>IFERROR(VLOOKUP(IGA_BD[[#This Row],[Affected Feeder ]],'Basic Data'!$A$3:$E$50,2,0),"")</f>
        <v/>
      </c>
      <c r="I250" s="4" t="str">
        <f>IFERROR(VLOOKUP(IGA_BD[[#This Row],[Affected Feeder ]],'Basic Data'!$A$3:$E$50,3,0),"")</f>
        <v/>
      </c>
      <c r="J250" s="9" t="str">
        <f>IFERROR(VLOOKUP(IGA_BD[[#This Row],[Affected Feeder ]],'Basic Data'!$A$3:$E$50,5,0),"")</f>
        <v/>
      </c>
      <c r="O250" s="6">
        <f>(IGA_BD[[#This Row],[Work Start TimeStamp]]-IGA_BD[[#This Row],[Fault Start TimeStamp]])*24</f>
        <v>0</v>
      </c>
      <c r="P250" s="6">
        <f>(IGA_BD[[#This Row],[Fault Clearance time]]-IGA_BD[[#This Row],[Work Start TimeStamp]])*24</f>
        <v>0</v>
      </c>
      <c r="Q250" s="6">
        <f>(IGA_BD[[#This Row],[Fault Clearance time]]-IGA_BD[[#This Row],[Fault Start TimeStamp]])*24</f>
        <v>0</v>
      </c>
      <c r="S250" s="4"/>
      <c r="T250" s="4" t="str">
        <f>IFERROR(IGA_BD[[#This Row],[Breakdown Time]]*IGA_BD[[#This Row],[Plant Equivalent Weightage]],"")</f>
        <v/>
      </c>
      <c r="U250" s="4"/>
      <c r="V250" s="4"/>
    </row>
    <row r="251" spans="1:22">
      <c r="A251" s="10"/>
      <c r="B251" s="10"/>
      <c r="C251" s="10"/>
      <c r="D251" s="10"/>
      <c r="E251" s="309">
        <f>IGA_BD[[#This Row],[Date]]-DAY(IGA_BD[[#This Row],[Date]])+1</f>
        <v>1</v>
      </c>
      <c r="F251" s="32"/>
      <c r="H251" s="4" t="str">
        <f>IFERROR(VLOOKUP(IGA_BD[[#This Row],[Affected Feeder ]],'Basic Data'!$A$3:$E$50,2,0),"")</f>
        <v/>
      </c>
      <c r="I251" s="4" t="str">
        <f>IFERROR(VLOOKUP(IGA_BD[[#This Row],[Affected Feeder ]],'Basic Data'!$A$3:$E$50,3,0),"")</f>
        <v/>
      </c>
      <c r="J251" s="9" t="str">
        <f>IFERROR(VLOOKUP(IGA_BD[[#This Row],[Affected Feeder ]],'Basic Data'!$A$3:$E$50,5,0),"")</f>
        <v/>
      </c>
      <c r="O251" s="6">
        <f>(IGA_BD[[#This Row],[Work Start TimeStamp]]-IGA_BD[[#This Row],[Fault Start TimeStamp]])*24</f>
        <v>0</v>
      </c>
      <c r="P251" s="6">
        <f>(IGA_BD[[#This Row],[Fault Clearance time]]-IGA_BD[[#This Row],[Work Start TimeStamp]])*24</f>
        <v>0</v>
      </c>
      <c r="Q251" s="6">
        <f>(IGA_BD[[#This Row],[Fault Clearance time]]-IGA_BD[[#This Row],[Fault Start TimeStamp]])*24</f>
        <v>0</v>
      </c>
      <c r="S251" s="4"/>
      <c r="T251" s="4" t="str">
        <f>IFERROR(IGA_BD[[#This Row],[Breakdown Time]]*IGA_BD[[#This Row],[Plant Equivalent Weightage]],"")</f>
        <v/>
      </c>
      <c r="U251" s="4"/>
      <c r="V251" s="4"/>
    </row>
    <row r="252" spans="1:22">
      <c r="A252" s="10"/>
      <c r="B252" s="10"/>
      <c r="C252" s="10"/>
      <c r="D252" s="10"/>
      <c r="E252" s="309">
        <f>IGA_BD[[#This Row],[Date]]-DAY(IGA_BD[[#This Row],[Date]])+1</f>
        <v>1</v>
      </c>
      <c r="F252" s="32"/>
      <c r="H252" s="4" t="str">
        <f>IFERROR(VLOOKUP(IGA_BD[[#This Row],[Affected Feeder ]],'Basic Data'!$A$3:$E$50,2,0),"")</f>
        <v/>
      </c>
      <c r="I252" s="4" t="str">
        <f>IFERROR(VLOOKUP(IGA_BD[[#This Row],[Affected Feeder ]],'Basic Data'!$A$3:$E$50,3,0),"")</f>
        <v/>
      </c>
      <c r="J252" s="9" t="str">
        <f>IFERROR(VLOOKUP(IGA_BD[[#This Row],[Affected Feeder ]],'Basic Data'!$A$3:$E$50,5,0),"")</f>
        <v/>
      </c>
      <c r="O252" s="6">
        <f>(IGA_BD[[#This Row],[Work Start TimeStamp]]-IGA_BD[[#This Row],[Fault Start TimeStamp]])*24</f>
        <v>0</v>
      </c>
      <c r="P252" s="6">
        <f>(IGA_BD[[#This Row],[Fault Clearance time]]-IGA_BD[[#This Row],[Work Start TimeStamp]])*24</f>
        <v>0</v>
      </c>
      <c r="Q252" s="6">
        <f>(IGA_BD[[#This Row],[Fault Clearance time]]-IGA_BD[[#This Row],[Fault Start TimeStamp]])*24</f>
        <v>0</v>
      </c>
      <c r="S252" s="4"/>
      <c r="T252" s="4" t="str">
        <f>IFERROR(IGA_BD[[#This Row],[Breakdown Time]]*IGA_BD[[#This Row],[Plant Equivalent Weightage]],"")</f>
        <v/>
      </c>
      <c r="U252" s="4"/>
      <c r="V252" s="4"/>
    </row>
    <row r="253" spans="1:22">
      <c r="A253" s="10"/>
      <c r="B253" s="10"/>
      <c r="C253" s="10"/>
      <c r="D253" s="10"/>
      <c r="E253" s="309">
        <f>IGA_BD[[#This Row],[Date]]-DAY(IGA_BD[[#This Row],[Date]])+1</f>
        <v>1</v>
      </c>
      <c r="F253" s="32"/>
      <c r="H253" s="4" t="str">
        <f>IFERROR(VLOOKUP(IGA_BD[[#This Row],[Affected Feeder ]],'Basic Data'!$A$3:$E$50,2,0),"")</f>
        <v/>
      </c>
      <c r="I253" s="4" t="str">
        <f>IFERROR(VLOOKUP(IGA_BD[[#This Row],[Affected Feeder ]],'Basic Data'!$A$3:$E$50,3,0),"")</f>
        <v/>
      </c>
      <c r="J253" s="9" t="str">
        <f>IFERROR(VLOOKUP(IGA_BD[[#This Row],[Affected Feeder ]],'Basic Data'!$A$3:$E$50,5,0),"")</f>
        <v/>
      </c>
      <c r="O253" s="6">
        <f>(IGA_BD[[#This Row],[Work Start TimeStamp]]-IGA_BD[[#This Row],[Fault Start TimeStamp]])*24</f>
        <v>0</v>
      </c>
      <c r="P253" s="6">
        <f>(IGA_BD[[#This Row],[Fault Clearance time]]-IGA_BD[[#This Row],[Work Start TimeStamp]])*24</f>
        <v>0</v>
      </c>
      <c r="Q253" s="6">
        <f>(IGA_BD[[#This Row],[Fault Clearance time]]-IGA_BD[[#This Row],[Fault Start TimeStamp]])*24</f>
        <v>0</v>
      </c>
      <c r="S253" s="4"/>
      <c r="T253" s="4" t="str">
        <f>IFERROR(IGA_BD[[#This Row],[Breakdown Time]]*IGA_BD[[#This Row],[Plant Equivalent Weightage]],"")</f>
        <v/>
      </c>
      <c r="U253" s="4"/>
      <c r="V253" s="4"/>
    </row>
    <row r="254" spans="1:22">
      <c r="A254" s="10"/>
      <c r="B254" s="10"/>
      <c r="C254" s="10"/>
      <c r="D254" s="10"/>
      <c r="E254" s="309">
        <f>IGA_BD[[#This Row],[Date]]-DAY(IGA_BD[[#This Row],[Date]])+1</f>
        <v>1</v>
      </c>
      <c r="F254" s="32"/>
      <c r="H254" s="4" t="str">
        <f>IFERROR(VLOOKUP(IGA_BD[[#This Row],[Affected Feeder ]],'Basic Data'!$A$3:$E$50,2,0),"")</f>
        <v/>
      </c>
      <c r="I254" s="4" t="str">
        <f>IFERROR(VLOOKUP(IGA_BD[[#This Row],[Affected Feeder ]],'Basic Data'!$A$3:$E$50,3,0),"")</f>
        <v/>
      </c>
      <c r="J254" s="9" t="str">
        <f>IFERROR(VLOOKUP(IGA_BD[[#This Row],[Affected Feeder ]],'Basic Data'!$A$3:$E$50,5,0),"")</f>
        <v/>
      </c>
      <c r="O254" s="6">
        <f>(IGA_BD[[#This Row],[Work Start TimeStamp]]-IGA_BD[[#This Row],[Fault Start TimeStamp]])*24</f>
        <v>0</v>
      </c>
      <c r="P254" s="6">
        <f>(IGA_BD[[#This Row],[Fault Clearance time]]-IGA_BD[[#This Row],[Work Start TimeStamp]])*24</f>
        <v>0</v>
      </c>
      <c r="Q254" s="6">
        <f>(IGA_BD[[#This Row],[Fault Clearance time]]-IGA_BD[[#This Row],[Fault Start TimeStamp]])*24</f>
        <v>0</v>
      </c>
      <c r="S254" s="4"/>
      <c r="T254" s="4" t="str">
        <f>IFERROR(IGA_BD[[#This Row],[Breakdown Time]]*IGA_BD[[#This Row],[Plant Equivalent Weightage]],"")</f>
        <v/>
      </c>
      <c r="U254" s="4"/>
      <c r="V254" s="4"/>
    </row>
    <row r="255" spans="1:22">
      <c r="A255" s="10"/>
      <c r="B255" s="10"/>
      <c r="C255" s="10"/>
      <c r="D255" s="10"/>
      <c r="E255" s="309">
        <f>IGA_BD[[#This Row],[Date]]-DAY(IGA_BD[[#This Row],[Date]])+1</f>
        <v>1</v>
      </c>
      <c r="F255" s="32"/>
      <c r="H255" s="4" t="str">
        <f>IFERROR(VLOOKUP(IGA_BD[[#This Row],[Affected Feeder ]],'Basic Data'!$A$3:$E$50,2,0),"")</f>
        <v/>
      </c>
      <c r="I255" s="4" t="str">
        <f>IFERROR(VLOOKUP(IGA_BD[[#This Row],[Affected Feeder ]],'Basic Data'!$A$3:$E$50,3,0),"")</f>
        <v/>
      </c>
      <c r="J255" s="9" t="str">
        <f>IFERROR(VLOOKUP(IGA_BD[[#This Row],[Affected Feeder ]],'Basic Data'!$A$3:$E$50,5,0),"")</f>
        <v/>
      </c>
      <c r="O255" s="6">
        <f>(IGA_BD[[#This Row],[Work Start TimeStamp]]-IGA_BD[[#This Row],[Fault Start TimeStamp]])*24</f>
        <v>0</v>
      </c>
      <c r="P255" s="6">
        <f>(IGA_BD[[#This Row],[Fault Clearance time]]-IGA_BD[[#This Row],[Work Start TimeStamp]])*24</f>
        <v>0</v>
      </c>
      <c r="Q255" s="6">
        <f>(IGA_BD[[#This Row],[Fault Clearance time]]-IGA_BD[[#This Row],[Fault Start TimeStamp]])*24</f>
        <v>0</v>
      </c>
      <c r="S255" s="4"/>
      <c r="T255" s="4" t="str">
        <f>IFERROR(IGA_BD[[#This Row],[Breakdown Time]]*IGA_BD[[#This Row],[Plant Equivalent Weightage]],"")</f>
        <v/>
      </c>
      <c r="U255" s="4"/>
      <c r="V255" s="4"/>
    </row>
    <row r="256" spans="1:22">
      <c r="A256" s="10"/>
      <c r="B256" s="10"/>
      <c r="C256" s="10"/>
      <c r="D256" s="10"/>
      <c r="E256" s="309">
        <f>IGA_BD[[#This Row],[Date]]-DAY(IGA_BD[[#This Row],[Date]])+1</f>
        <v>1</v>
      </c>
      <c r="F256" s="32"/>
      <c r="H256" s="4" t="str">
        <f>IFERROR(VLOOKUP(IGA_BD[[#This Row],[Affected Feeder ]],'Basic Data'!$A$3:$E$50,2,0),"")</f>
        <v/>
      </c>
      <c r="I256" s="4" t="str">
        <f>IFERROR(VLOOKUP(IGA_BD[[#This Row],[Affected Feeder ]],'Basic Data'!$A$3:$E$50,3,0),"")</f>
        <v/>
      </c>
      <c r="J256" s="9" t="str">
        <f>IFERROR(VLOOKUP(IGA_BD[[#This Row],[Affected Feeder ]],'Basic Data'!$A$3:$E$50,5,0),"")</f>
        <v/>
      </c>
      <c r="O256" s="6">
        <f>(IGA_BD[[#This Row],[Work Start TimeStamp]]-IGA_BD[[#This Row],[Fault Start TimeStamp]])*24</f>
        <v>0</v>
      </c>
      <c r="P256" s="6">
        <f>(IGA_BD[[#This Row],[Fault Clearance time]]-IGA_BD[[#This Row],[Work Start TimeStamp]])*24</f>
        <v>0</v>
      </c>
      <c r="Q256" s="6">
        <f>(IGA_BD[[#This Row],[Fault Clearance time]]-IGA_BD[[#This Row],[Fault Start TimeStamp]])*24</f>
        <v>0</v>
      </c>
      <c r="S256" s="4"/>
      <c r="T256" s="4" t="str">
        <f>IFERROR(IGA_BD[[#This Row],[Breakdown Time]]*IGA_BD[[#This Row],[Plant Equivalent Weightage]],"")</f>
        <v/>
      </c>
      <c r="U256" s="4"/>
      <c r="V256" s="4"/>
    </row>
    <row r="257" spans="1:22">
      <c r="A257" s="10"/>
      <c r="B257" s="10"/>
      <c r="C257" s="10"/>
      <c r="D257" s="10"/>
      <c r="E257" s="309">
        <f>IGA_BD[[#This Row],[Date]]-DAY(IGA_BD[[#This Row],[Date]])+1</f>
        <v>1</v>
      </c>
      <c r="F257" s="32"/>
      <c r="H257" s="4" t="str">
        <f>IFERROR(VLOOKUP(IGA_BD[[#This Row],[Affected Feeder ]],'Basic Data'!$A$3:$E$50,2,0),"")</f>
        <v/>
      </c>
      <c r="I257" s="4" t="str">
        <f>IFERROR(VLOOKUP(IGA_BD[[#This Row],[Affected Feeder ]],'Basic Data'!$A$3:$E$50,3,0),"")</f>
        <v/>
      </c>
      <c r="J257" s="9" t="str">
        <f>IFERROR(VLOOKUP(IGA_BD[[#This Row],[Affected Feeder ]],'Basic Data'!$A$3:$E$50,5,0),"")</f>
        <v/>
      </c>
      <c r="O257" s="6">
        <f>(IGA_BD[[#This Row],[Work Start TimeStamp]]-IGA_BD[[#This Row],[Fault Start TimeStamp]])*24</f>
        <v>0</v>
      </c>
      <c r="P257" s="6">
        <f>(IGA_BD[[#This Row],[Fault Clearance time]]-IGA_BD[[#This Row],[Work Start TimeStamp]])*24</f>
        <v>0</v>
      </c>
      <c r="Q257" s="6">
        <f>(IGA_BD[[#This Row],[Fault Clearance time]]-IGA_BD[[#This Row],[Fault Start TimeStamp]])*24</f>
        <v>0</v>
      </c>
      <c r="S257" s="4"/>
      <c r="T257" s="4" t="str">
        <f>IFERROR(IGA_BD[[#This Row],[Breakdown Time]]*IGA_BD[[#This Row],[Plant Equivalent Weightage]],"")</f>
        <v/>
      </c>
      <c r="U257" s="4"/>
      <c r="V257" s="4"/>
    </row>
    <row r="258" spans="1:22">
      <c r="A258" s="10"/>
      <c r="B258" s="10"/>
      <c r="C258" s="10"/>
      <c r="D258" s="10"/>
      <c r="E258" s="309">
        <f>IGA_BD[[#This Row],[Date]]-DAY(IGA_BD[[#This Row],[Date]])+1</f>
        <v>1</v>
      </c>
      <c r="F258" s="32"/>
      <c r="H258" s="4" t="str">
        <f>IFERROR(VLOOKUP(IGA_BD[[#This Row],[Affected Feeder ]],'Basic Data'!$A$3:$E$50,2,0),"")</f>
        <v/>
      </c>
      <c r="I258" s="4" t="str">
        <f>IFERROR(VLOOKUP(IGA_BD[[#This Row],[Affected Feeder ]],'Basic Data'!$A$3:$E$50,3,0),"")</f>
        <v/>
      </c>
      <c r="J258" s="9" t="str">
        <f>IFERROR(VLOOKUP(IGA_BD[[#This Row],[Affected Feeder ]],'Basic Data'!$A$3:$E$50,5,0),"")</f>
        <v/>
      </c>
      <c r="O258" s="6">
        <f>(IGA_BD[[#This Row],[Work Start TimeStamp]]-IGA_BD[[#This Row],[Fault Start TimeStamp]])*24</f>
        <v>0</v>
      </c>
      <c r="P258" s="6">
        <f>(IGA_BD[[#This Row],[Fault Clearance time]]-IGA_BD[[#This Row],[Work Start TimeStamp]])*24</f>
        <v>0</v>
      </c>
      <c r="Q258" s="6">
        <f>(IGA_BD[[#This Row],[Fault Clearance time]]-IGA_BD[[#This Row],[Fault Start TimeStamp]])*24</f>
        <v>0</v>
      </c>
      <c r="S258" s="4"/>
      <c r="T258" s="4" t="str">
        <f>IFERROR(IGA_BD[[#This Row],[Breakdown Time]]*IGA_BD[[#This Row],[Plant Equivalent Weightage]],"")</f>
        <v/>
      </c>
      <c r="U258" s="4"/>
      <c r="V258" s="4"/>
    </row>
    <row r="259" spans="1:22">
      <c r="A259" s="10"/>
      <c r="B259" s="10"/>
      <c r="C259" s="10"/>
      <c r="D259" s="10"/>
      <c r="E259" s="309">
        <f>IGA_BD[[#This Row],[Date]]-DAY(IGA_BD[[#This Row],[Date]])+1</f>
        <v>1</v>
      </c>
      <c r="F259" s="32"/>
      <c r="H259" s="4" t="str">
        <f>IFERROR(VLOOKUP(IGA_BD[[#This Row],[Affected Feeder ]],'Basic Data'!$A$3:$E$50,2,0),"")</f>
        <v/>
      </c>
      <c r="I259" s="4" t="str">
        <f>IFERROR(VLOOKUP(IGA_BD[[#This Row],[Affected Feeder ]],'Basic Data'!$A$3:$E$50,3,0),"")</f>
        <v/>
      </c>
      <c r="J259" s="9" t="str">
        <f>IFERROR(VLOOKUP(IGA_BD[[#This Row],[Affected Feeder ]],'Basic Data'!$A$3:$E$50,5,0),"")</f>
        <v/>
      </c>
      <c r="O259" s="6">
        <f>(IGA_BD[[#This Row],[Work Start TimeStamp]]-IGA_BD[[#This Row],[Fault Start TimeStamp]])*24</f>
        <v>0</v>
      </c>
      <c r="P259" s="6">
        <f>(IGA_BD[[#This Row],[Fault Clearance time]]-IGA_BD[[#This Row],[Work Start TimeStamp]])*24</f>
        <v>0</v>
      </c>
      <c r="Q259" s="6">
        <f>(IGA_BD[[#This Row],[Fault Clearance time]]-IGA_BD[[#This Row],[Fault Start TimeStamp]])*24</f>
        <v>0</v>
      </c>
      <c r="S259" s="4"/>
      <c r="T259" s="4" t="str">
        <f>IFERROR(IGA_BD[[#This Row],[Breakdown Time]]*IGA_BD[[#This Row],[Plant Equivalent Weightage]],"")</f>
        <v/>
      </c>
      <c r="U259" s="4"/>
      <c r="V259" s="4"/>
    </row>
    <row r="260" spans="1:22">
      <c r="A260" s="10"/>
      <c r="B260" s="10"/>
      <c r="C260" s="10"/>
      <c r="D260" s="10"/>
      <c r="E260" s="309">
        <f>IGA_BD[[#This Row],[Date]]-DAY(IGA_BD[[#This Row],[Date]])+1</f>
        <v>1</v>
      </c>
      <c r="F260" s="32"/>
      <c r="H260" s="4" t="str">
        <f>IFERROR(VLOOKUP(IGA_BD[[#This Row],[Affected Feeder ]],'Basic Data'!$A$3:$E$50,2,0),"")</f>
        <v/>
      </c>
      <c r="I260" s="4" t="str">
        <f>IFERROR(VLOOKUP(IGA_BD[[#This Row],[Affected Feeder ]],'Basic Data'!$A$3:$E$50,3,0),"")</f>
        <v/>
      </c>
      <c r="J260" s="9" t="str">
        <f>IFERROR(VLOOKUP(IGA_BD[[#This Row],[Affected Feeder ]],'Basic Data'!$A$3:$E$50,5,0),"")</f>
        <v/>
      </c>
      <c r="O260" s="6">
        <f>(IGA_BD[[#This Row],[Work Start TimeStamp]]-IGA_BD[[#This Row],[Fault Start TimeStamp]])*24</f>
        <v>0</v>
      </c>
      <c r="P260" s="6">
        <f>(IGA_BD[[#This Row],[Fault Clearance time]]-IGA_BD[[#This Row],[Work Start TimeStamp]])*24</f>
        <v>0</v>
      </c>
      <c r="Q260" s="6">
        <f>(IGA_BD[[#This Row],[Fault Clearance time]]-IGA_BD[[#This Row],[Fault Start TimeStamp]])*24</f>
        <v>0</v>
      </c>
      <c r="S260" s="4"/>
      <c r="T260" s="4" t="str">
        <f>IFERROR(IGA_BD[[#This Row],[Breakdown Time]]*IGA_BD[[#This Row],[Plant Equivalent Weightage]],"")</f>
        <v/>
      </c>
      <c r="U260" s="4"/>
      <c r="V260" s="4"/>
    </row>
    <row r="261" spans="1:22">
      <c r="A261" s="10"/>
      <c r="B261" s="10"/>
      <c r="C261" s="10"/>
      <c r="D261" s="10"/>
      <c r="E261" s="309">
        <f>IGA_BD[[#This Row],[Date]]-DAY(IGA_BD[[#This Row],[Date]])+1</f>
        <v>1</v>
      </c>
      <c r="F261" s="32"/>
      <c r="H261" s="4" t="str">
        <f>IFERROR(VLOOKUP(IGA_BD[[#This Row],[Affected Feeder ]],'Basic Data'!$A$3:$E$50,2,0),"")</f>
        <v/>
      </c>
      <c r="I261" s="4" t="str">
        <f>IFERROR(VLOOKUP(IGA_BD[[#This Row],[Affected Feeder ]],'Basic Data'!$A$3:$E$50,3,0),"")</f>
        <v/>
      </c>
      <c r="J261" s="9" t="str">
        <f>IFERROR(VLOOKUP(IGA_BD[[#This Row],[Affected Feeder ]],'Basic Data'!$A$3:$E$50,5,0),"")</f>
        <v/>
      </c>
      <c r="O261" s="6">
        <f>(IGA_BD[[#This Row],[Work Start TimeStamp]]-IGA_BD[[#This Row],[Fault Start TimeStamp]])*24</f>
        <v>0</v>
      </c>
      <c r="P261" s="6">
        <f>(IGA_BD[[#This Row],[Fault Clearance time]]-IGA_BD[[#This Row],[Work Start TimeStamp]])*24</f>
        <v>0</v>
      </c>
      <c r="Q261" s="6">
        <f>(IGA_BD[[#This Row],[Fault Clearance time]]-IGA_BD[[#This Row],[Fault Start TimeStamp]])*24</f>
        <v>0</v>
      </c>
      <c r="S261" s="4"/>
      <c r="T261" s="4" t="str">
        <f>IFERROR(IGA_BD[[#This Row],[Breakdown Time]]*IGA_BD[[#This Row],[Plant Equivalent Weightage]],"")</f>
        <v/>
      </c>
      <c r="U261" s="4"/>
      <c r="V261" s="4"/>
    </row>
    <row r="262" spans="1:22">
      <c r="A262" s="10"/>
      <c r="B262" s="10"/>
      <c r="C262" s="10"/>
      <c r="D262" s="10"/>
      <c r="E262" s="309">
        <f>IGA_BD[[#This Row],[Date]]-DAY(IGA_BD[[#This Row],[Date]])+1</f>
        <v>1</v>
      </c>
      <c r="F262" s="32"/>
      <c r="H262" s="4" t="str">
        <f>IFERROR(VLOOKUP(IGA_BD[[#This Row],[Affected Feeder ]],'Basic Data'!$A$3:$E$50,2,0),"")</f>
        <v/>
      </c>
      <c r="I262" s="4" t="str">
        <f>IFERROR(VLOOKUP(IGA_BD[[#This Row],[Affected Feeder ]],'Basic Data'!$A$3:$E$50,3,0),"")</f>
        <v/>
      </c>
      <c r="J262" s="9" t="str">
        <f>IFERROR(VLOOKUP(IGA_BD[[#This Row],[Affected Feeder ]],'Basic Data'!$A$3:$E$50,5,0),"")</f>
        <v/>
      </c>
      <c r="O262" s="6">
        <f>(IGA_BD[[#This Row],[Work Start TimeStamp]]-IGA_BD[[#This Row],[Fault Start TimeStamp]])*24</f>
        <v>0</v>
      </c>
      <c r="P262" s="6">
        <f>(IGA_BD[[#This Row],[Fault Clearance time]]-IGA_BD[[#This Row],[Work Start TimeStamp]])*24</f>
        <v>0</v>
      </c>
      <c r="Q262" s="6">
        <f>(IGA_BD[[#This Row],[Fault Clearance time]]-IGA_BD[[#This Row],[Fault Start TimeStamp]])*24</f>
        <v>0</v>
      </c>
      <c r="S262" s="4"/>
      <c r="T262" s="4" t="str">
        <f>IFERROR(IGA_BD[[#This Row],[Breakdown Time]]*IGA_BD[[#This Row],[Plant Equivalent Weightage]],"")</f>
        <v/>
      </c>
      <c r="U262" s="4"/>
      <c r="V262" s="4"/>
    </row>
    <row r="263" spans="1:22">
      <c r="A263" s="10"/>
      <c r="B263" s="10"/>
      <c r="C263" s="10"/>
      <c r="D263" s="10"/>
      <c r="E263" s="309">
        <f>IGA_BD[[#This Row],[Date]]-DAY(IGA_BD[[#This Row],[Date]])+1</f>
        <v>1</v>
      </c>
      <c r="F263" s="32"/>
      <c r="H263" s="4" t="str">
        <f>IFERROR(VLOOKUP(IGA_BD[[#This Row],[Affected Feeder ]],'Basic Data'!$A$3:$E$50,2,0),"")</f>
        <v/>
      </c>
      <c r="I263" s="4" t="str">
        <f>IFERROR(VLOOKUP(IGA_BD[[#This Row],[Affected Feeder ]],'Basic Data'!$A$3:$E$50,3,0),"")</f>
        <v/>
      </c>
      <c r="J263" s="9" t="str">
        <f>IFERROR(VLOOKUP(IGA_BD[[#This Row],[Affected Feeder ]],'Basic Data'!$A$3:$E$50,5,0),"")</f>
        <v/>
      </c>
      <c r="O263" s="6">
        <f>(IGA_BD[[#This Row],[Work Start TimeStamp]]-IGA_BD[[#This Row],[Fault Start TimeStamp]])*24</f>
        <v>0</v>
      </c>
      <c r="P263" s="6">
        <f>(IGA_BD[[#This Row],[Fault Clearance time]]-IGA_BD[[#This Row],[Work Start TimeStamp]])*24</f>
        <v>0</v>
      </c>
      <c r="Q263" s="6">
        <f>(IGA_BD[[#This Row],[Fault Clearance time]]-IGA_BD[[#This Row],[Fault Start TimeStamp]])*24</f>
        <v>0</v>
      </c>
      <c r="S263" s="4"/>
      <c r="T263" s="4" t="str">
        <f>IFERROR(IGA_BD[[#This Row],[Breakdown Time]]*IGA_BD[[#This Row],[Plant Equivalent Weightage]],"")</f>
        <v/>
      </c>
      <c r="U263" s="4"/>
      <c r="V263" s="4"/>
    </row>
    <row r="264" spans="1:22">
      <c r="A264" s="10"/>
      <c r="B264" s="10"/>
      <c r="C264" s="10"/>
      <c r="D264" s="10"/>
      <c r="E264" s="309">
        <f>IGA_BD[[#This Row],[Date]]-DAY(IGA_BD[[#This Row],[Date]])+1</f>
        <v>1</v>
      </c>
      <c r="F264" s="32"/>
      <c r="H264" s="4" t="str">
        <f>IFERROR(VLOOKUP(IGA_BD[[#This Row],[Affected Feeder ]],'Basic Data'!$A$3:$E$50,2,0),"")</f>
        <v/>
      </c>
      <c r="I264" s="4" t="str">
        <f>IFERROR(VLOOKUP(IGA_BD[[#This Row],[Affected Feeder ]],'Basic Data'!$A$3:$E$50,3,0),"")</f>
        <v/>
      </c>
      <c r="J264" s="9" t="str">
        <f>IFERROR(VLOOKUP(IGA_BD[[#This Row],[Affected Feeder ]],'Basic Data'!$A$3:$E$50,5,0),"")</f>
        <v/>
      </c>
      <c r="O264" s="6">
        <f>(IGA_BD[[#This Row],[Work Start TimeStamp]]-IGA_BD[[#This Row],[Fault Start TimeStamp]])*24</f>
        <v>0</v>
      </c>
      <c r="P264" s="6">
        <f>(IGA_BD[[#This Row],[Fault Clearance time]]-IGA_BD[[#This Row],[Work Start TimeStamp]])*24</f>
        <v>0</v>
      </c>
      <c r="Q264" s="6">
        <f>(IGA_BD[[#This Row],[Fault Clearance time]]-IGA_BD[[#This Row],[Fault Start TimeStamp]])*24</f>
        <v>0</v>
      </c>
      <c r="S264" s="4"/>
      <c r="T264" s="4" t="str">
        <f>IFERROR(IGA_BD[[#This Row],[Breakdown Time]]*IGA_BD[[#This Row],[Plant Equivalent Weightage]],"")</f>
        <v/>
      </c>
      <c r="U264" s="4"/>
      <c r="V264" s="4"/>
    </row>
    <row r="265" spans="1:22">
      <c r="A265" s="10"/>
      <c r="B265" s="10"/>
      <c r="C265" s="10"/>
      <c r="D265" s="10"/>
      <c r="E265" s="309">
        <f>IGA_BD[[#This Row],[Date]]-DAY(IGA_BD[[#This Row],[Date]])+1</f>
        <v>1</v>
      </c>
      <c r="F265" s="32"/>
      <c r="H265" s="4" t="str">
        <f>IFERROR(VLOOKUP(IGA_BD[[#This Row],[Affected Feeder ]],'Basic Data'!$A$3:$E$50,2,0),"")</f>
        <v/>
      </c>
      <c r="I265" s="4" t="str">
        <f>IFERROR(VLOOKUP(IGA_BD[[#This Row],[Affected Feeder ]],'Basic Data'!$A$3:$E$50,3,0),"")</f>
        <v/>
      </c>
      <c r="J265" s="9" t="str">
        <f>IFERROR(VLOOKUP(IGA_BD[[#This Row],[Affected Feeder ]],'Basic Data'!$A$3:$E$50,5,0),"")</f>
        <v/>
      </c>
      <c r="O265" s="6">
        <f>(IGA_BD[[#This Row],[Work Start TimeStamp]]-IGA_BD[[#This Row],[Fault Start TimeStamp]])*24</f>
        <v>0</v>
      </c>
      <c r="P265" s="6">
        <f>(IGA_BD[[#This Row],[Fault Clearance time]]-IGA_BD[[#This Row],[Work Start TimeStamp]])*24</f>
        <v>0</v>
      </c>
      <c r="Q265" s="6">
        <f>(IGA_BD[[#This Row],[Fault Clearance time]]-IGA_BD[[#This Row],[Fault Start TimeStamp]])*24</f>
        <v>0</v>
      </c>
      <c r="S265" s="4"/>
      <c r="T265" s="4" t="str">
        <f>IFERROR(IGA_BD[[#This Row],[Breakdown Time]]*IGA_BD[[#This Row],[Plant Equivalent Weightage]],"")</f>
        <v/>
      </c>
      <c r="U265" s="4"/>
      <c r="V265" s="4"/>
    </row>
    <row r="266" spans="1:22">
      <c r="A266" s="10"/>
      <c r="B266" s="10"/>
      <c r="C266" s="10"/>
      <c r="D266" s="10"/>
      <c r="E266" s="309">
        <f>IGA_BD[[#This Row],[Date]]-DAY(IGA_BD[[#This Row],[Date]])+1</f>
        <v>1</v>
      </c>
      <c r="F266" s="32"/>
      <c r="H266" s="4" t="str">
        <f>IFERROR(VLOOKUP(IGA_BD[[#This Row],[Affected Feeder ]],'Basic Data'!$A$3:$E$50,2,0),"")</f>
        <v/>
      </c>
      <c r="I266" s="4" t="str">
        <f>IFERROR(VLOOKUP(IGA_BD[[#This Row],[Affected Feeder ]],'Basic Data'!$A$3:$E$50,3,0),"")</f>
        <v/>
      </c>
      <c r="J266" s="9" t="str">
        <f>IFERROR(VLOOKUP(IGA_BD[[#This Row],[Affected Feeder ]],'Basic Data'!$A$3:$E$50,5,0),"")</f>
        <v/>
      </c>
      <c r="O266" s="6">
        <f>(IGA_BD[[#This Row],[Work Start TimeStamp]]-IGA_BD[[#This Row],[Fault Start TimeStamp]])*24</f>
        <v>0</v>
      </c>
      <c r="P266" s="6">
        <f>(IGA_BD[[#This Row],[Fault Clearance time]]-IGA_BD[[#This Row],[Work Start TimeStamp]])*24</f>
        <v>0</v>
      </c>
      <c r="Q266" s="6">
        <f>(IGA_BD[[#This Row],[Fault Clearance time]]-IGA_BD[[#This Row],[Fault Start TimeStamp]])*24</f>
        <v>0</v>
      </c>
      <c r="S266" s="4"/>
      <c r="T266" s="4" t="str">
        <f>IFERROR(IGA_BD[[#This Row],[Breakdown Time]]*IGA_BD[[#This Row],[Plant Equivalent Weightage]],"")</f>
        <v/>
      </c>
      <c r="U266" s="4"/>
      <c r="V266" s="4"/>
    </row>
    <row r="267" spans="1:22">
      <c r="A267" s="10"/>
      <c r="B267" s="10"/>
      <c r="C267" s="10"/>
      <c r="D267" s="10"/>
      <c r="E267" s="309">
        <f>IGA_BD[[#This Row],[Date]]-DAY(IGA_BD[[#This Row],[Date]])+1</f>
        <v>1</v>
      </c>
      <c r="F267" s="32"/>
      <c r="H267" s="4" t="str">
        <f>IFERROR(VLOOKUP(IGA_BD[[#This Row],[Affected Feeder ]],'Basic Data'!$A$3:$E$50,2,0),"")</f>
        <v/>
      </c>
      <c r="I267" s="4" t="str">
        <f>IFERROR(VLOOKUP(IGA_BD[[#This Row],[Affected Feeder ]],'Basic Data'!$A$3:$E$50,3,0),"")</f>
        <v/>
      </c>
      <c r="J267" s="9" t="str">
        <f>IFERROR(VLOOKUP(IGA_BD[[#This Row],[Affected Feeder ]],'Basic Data'!$A$3:$E$50,5,0),"")</f>
        <v/>
      </c>
      <c r="O267" s="6">
        <f>(IGA_BD[[#This Row],[Work Start TimeStamp]]-IGA_BD[[#This Row],[Fault Start TimeStamp]])*24</f>
        <v>0</v>
      </c>
      <c r="P267" s="6">
        <f>(IGA_BD[[#This Row],[Fault Clearance time]]-IGA_BD[[#This Row],[Work Start TimeStamp]])*24</f>
        <v>0</v>
      </c>
      <c r="Q267" s="6">
        <f>(IGA_BD[[#This Row],[Fault Clearance time]]-IGA_BD[[#This Row],[Fault Start TimeStamp]])*24</f>
        <v>0</v>
      </c>
      <c r="S267" s="4"/>
      <c r="T267" s="4" t="str">
        <f>IFERROR(IGA_BD[[#This Row],[Breakdown Time]]*IGA_BD[[#This Row],[Plant Equivalent Weightage]],"")</f>
        <v/>
      </c>
      <c r="U267" s="4"/>
      <c r="V267" s="4"/>
    </row>
    <row r="268" spans="1:22">
      <c r="A268" s="10"/>
      <c r="B268" s="10"/>
      <c r="C268" s="10"/>
      <c r="D268" s="10"/>
      <c r="E268" s="309">
        <f>IGA_BD[[#This Row],[Date]]-DAY(IGA_BD[[#This Row],[Date]])+1</f>
        <v>1</v>
      </c>
      <c r="F268" s="32"/>
      <c r="H268" s="4" t="str">
        <f>IFERROR(VLOOKUP(IGA_BD[[#This Row],[Affected Feeder ]],'Basic Data'!$A$3:$E$50,2,0),"")</f>
        <v/>
      </c>
      <c r="I268" s="4" t="str">
        <f>IFERROR(VLOOKUP(IGA_BD[[#This Row],[Affected Feeder ]],'Basic Data'!$A$3:$E$50,3,0),"")</f>
        <v/>
      </c>
      <c r="J268" s="9" t="str">
        <f>IFERROR(VLOOKUP(IGA_BD[[#This Row],[Affected Feeder ]],'Basic Data'!$A$3:$E$50,5,0),"")</f>
        <v/>
      </c>
      <c r="O268" s="6">
        <f>(IGA_BD[[#This Row],[Work Start TimeStamp]]-IGA_BD[[#This Row],[Fault Start TimeStamp]])*24</f>
        <v>0</v>
      </c>
      <c r="P268" s="6">
        <f>(IGA_BD[[#This Row],[Fault Clearance time]]-IGA_BD[[#This Row],[Work Start TimeStamp]])*24</f>
        <v>0</v>
      </c>
      <c r="Q268" s="6">
        <f>(IGA_BD[[#This Row],[Fault Clearance time]]-IGA_BD[[#This Row],[Fault Start TimeStamp]])*24</f>
        <v>0</v>
      </c>
      <c r="S268" s="4"/>
      <c r="T268" s="4" t="str">
        <f>IFERROR(IGA_BD[[#This Row],[Breakdown Time]]*IGA_BD[[#This Row],[Plant Equivalent Weightage]],"")</f>
        <v/>
      </c>
      <c r="U268" s="4"/>
      <c r="V268" s="4"/>
    </row>
    <row r="269" spans="1:22">
      <c r="A269" s="10"/>
      <c r="B269" s="10"/>
      <c r="C269" s="10"/>
      <c r="D269" s="10"/>
      <c r="E269" s="309">
        <f>IGA_BD[[#This Row],[Date]]-DAY(IGA_BD[[#This Row],[Date]])+1</f>
        <v>1</v>
      </c>
      <c r="F269" s="32"/>
      <c r="H269" s="4" t="str">
        <f>IFERROR(VLOOKUP(IGA_BD[[#This Row],[Affected Feeder ]],'Basic Data'!$A$3:$E$50,2,0),"")</f>
        <v/>
      </c>
      <c r="I269" s="4" t="str">
        <f>IFERROR(VLOOKUP(IGA_BD[[#This Row],[Affected Feeder ]],'Basic Data'!$A$3:$E$50,3,0),"")</f>
        <v/>
      </c>
      <c r="J269" s="9" t="str">
        <f>IFERROR(VLOOKUP(IGA_BD[[#This Row],[Affected Feeder ]],'Basic Data'!$A$3:$E$50,5,0),"")</f>
        <v/>
      </c>
      <c r="O269" s="6">
        <f>(IGA_BD[[#This Row],[Work Start TimeStamp]]-IGA_BD[[#This Row],[Fault Start TimeStamp]])*24</f>
        <v>0</v>
      </c>
      <c r="P269" s="6">
        <f>(IGA_BD[[#This Row],[Fault Clearance time]]-IGA_BD[[#This Row],[Work Start TimeStamp]])*24</f>
        <v>0</v>
      </c>
      <c r="Q269" s="6">
        <f>(IGA_BD[[#This Row],[Fault Clearance time]]-IGA_BD[[#This Row],[Fault Start TimeStamp]])*24</f>
        <v>0</v>
      </c>
      <c r="S269" s="4"/>
      <c r="T269" s="4" t="str">
        <f>IFERROR(IGA_BD[[#This Row],[Breakdown Time]]*IGA_BD[[#This Row],[Plant Equivalent Weightage]],"")</f>
        <v/>
      </c>
      <c r="U269" s="4"/>
      <c r="V269" s="4"/>
    </row>
    <row r="270" spans="1:22">
      <c r="A270" s="10"/>
      <c r="B270" s="10"/>
      <c r="C270" s="10"/>
      <c r="D270" s="10"/>
      <c r="E270" s="309">
        <f>IGA_BD[[#This Row],[Date]]-DAY(IGA_BD[[#This Row],[Date]])+1</f>
        <v>1</v>
      </c>
      <c r="F270" s="32"/>
      <c r="H270" s="4" t="str">
        <f>IFERROR(VLOOKUP(IGA_BD[[#This Row],[Affected Feeder ]],'Basic Data'!$A$3:$E$50,2,0),"")</f>
        <v/>
      </c>
      <c r="I270" s="4" t="str">
        <f>IFERROR(VLOOKUP(IGA_BD[[#This Row],[Affected Feeder ]],'Basic Data'!$A$3:$E$50,3,0),"")</f>
        <v/>
      </c>
      <c r="J270" s="9" t="str">
        <f>IFERROR(VLOOKUP(IGA_BD[[#This Row],[Affected Feeder ]],'Basic Data'!$A$3:$E$50,5,0),"")</f>
        <v/>
      </c>
      <c r="O270" s="6">
        <f>(IGA_BD[[#This Row],[Work Start TimeStamp]]-IGA_BD[[#This Row],[Fault Start TimeStamp]])*24</f>
        <v>0</v>
      </c>
      <c r="P270" s="6">
        <f>(IGA_BD[[#This Row],[Fault Clearance time]]-IGA_BD[[#This Row],[Work Start TimeStamp]])*24</f>
        <v>0</v>
      </c>
      <c r="Q270" s="6">
        <f>(IGA_BD[[#This Row],[Fault Clearance time]]-IGA_BD[[#This Row],[Fault Start TimeStamp]])*24</f>
        <v>0</v>
      </c>
      <c r="S270" s="4"/>
      <c r="T270" s="4" t="str">
        <f>IFERROR(IGA_BD[[#This Row],[Breakdown Time]]*IGA_BD[[#This Row],[Plant Equivalent Weightage]],"")</f>
        <v/>
      </c>
      <c r="U270" s="4"/>
      <c r="V270" s="4"/>
    </row>
    <row r="271" spans="1:22">
      <c r="A271" s="10"/>
      <c r="B271" s="10"/>
      <c r="C271" s="10"/>
      <c r="D271" s="10"/>
      <c r="E271" s="309">
        <f>IGA_BD[[#This Row],[Date]]-DAY(IGA_BD[[#This Row],[Date]])+1</f>
        <v>1</v>
      </c>
      <c r="F271" s="32"/>
      <c r="H271" s="4" t="str">
        <f>IFERROR(VLOOKUP(IGA_BD[[#This Row],[Affected Feeder ]],'Basic Data'!$A$3:$E$50,2,0),"")</f>
        <v/>
      </c>
      <c r="I271" s="4" t="str">
        <f>IFERROR(VLOOKUP(IGA_BD[[#This Row],[Affected Feeder ]],'Basic Data'!$A$3:$E$50,3,0),"")</f>
        <v/>
      </c>
      <c r="J271" s="9" t="str">
        <f>IFERROR(VLOOKUP(IGA_BD[[#This Row],[Affected Feeder ]],'Basic Data'!$A$3:$E$50,5,0),"")</f>
        <v/>
      </c>
      <c r="O271" s="6">
        <f>(IGA_BD[[#This Row],[Work Start TimeStamp]]-IGA_BD[[#This Row],[Fault Start TimeStamp]])*24</f>
        <v>0</v>
      </c>
      <c r="P271" s="6">
        <f>(IGA_BD[[#This Row],[Fault Clearance time]]-IGA_BD[[#This Row],[Work Start TimeStamp]])*24</f>
        <v>0</v>
      </c>
      <c r="Q271" s="6">
        <f>(IGA_BD[[#This Row],[Fault Clearance time]]-IGA_BD[[#This Row],[Fault Start TimeStamp]])*24</f>
        <v>0</v>
      </c>
      <c r="S271" s="4"/>
      <c r="T271" s="4" t="str">
        <f>IFERROR(IGA_BD[[#This Row],[Breakdown Time]]*IGA_BD[[#This Row],[Plant Equivalent Weightage]],"")</f>
        <v/>
      </c>
      <c r="U271" s="4"/>
      <c r="V271" s="4"/>
    </row>
    <row r="272" spans="1:22">
      <c r="A272" s="10"/>
      <c r="B272" s="10"/>
      <c r="C272" s="10"/>
      <c r="D272" s="10"/>
      <c r="E272" s="309">
        <f>IGA_BD[[#This Row],[Date]]-DAY(IGA_BD[[#This Row],[Date]])+1</f>
        <v>1</v>
      </c>
      <c r="F272" s="32"/>
      <c r="H272" s="4" t="str">
        <f>IFERROR(VLOOKUP(IGA_BD[[#This Row],[Affected Feeder ]],'Basic Data'!$A$3:$E$50,2,0),"")</f>
        <v/>
      </c>
      <c r="I272" s="4" t="str">
        <f>IFERROR(VLOOKUP(IGA_BD[[#This Row],[Affected Feeder ]],'Basic Data'!$A$3:$E$50,3,0),"")</f>
        <v/>
      </c>
      <c r="J272" s="9" t="str">
        <f>IFERROR(VLOOKUP(IGA_BD[[#This Row],[Affected Feeder ]],'Basic Data'!$A$3:$E$50,5,0),"")</f>
        <v/>
      </c>
      <c r="O272" s="6">
        <f>(IGA_BD[[#This Row],[Work Start TimeStamp]]-IGA_BD[[#This Row],[Fault Start TimeStamp]])*24</f>
        <v>0</v>
      </c>
      <c r="P272" s="6">
        <f>(IGA_BD[[#This Row],[Fault Clearance time]]-IGA_BD[[#This Row],[Work Start TimeStamp]])*24</f>
        <v>0</v>
      </c>
      <c r="Q272" s="6">
        <f>(IGA_BD[[#This Row],[Fault Clearance time]]-IGA_BD[[#This Row],[Fault Start TimeStamp]])*24</f>
        <v>0</v>
      </c>
      <c r="S272" s="4"/>
      <c r="T272" s="4" t="str">
        <f>IFERROR(IGA_BD[[#This Row],[Breakdown Time]]*IGA_BD[[#This Row],[Plant Equivalent Weightage]],"")</f>
        <v/>
      </c>
      <c r="U272" s="4"/>
      <c r="V272" s="4"/>
    </row>
    <row r="273" spans="1:22">
      <c r="A273" s="10"/>
      <c r="B273" s="10"/>
      <c r="C273" s="10"/>
      <c r="D273" s="10"/>
      <c r="E273" s="309">
        <f>IGA_BD[[#This Row],[Date]]-DAY(IGA_BD[[#This Row],[Date]])+1</f>
        <v>1</v>
      </c>
      <c r="F273" s="32"/>
      <c r="H273" s="4" t="str">
        <f>IFERROR(VLOOKUP(IGA_BD[[#This Row],[Affected Feeder ]],'Basic Data'!$A$3:$E$50,2,0),"")</f>
        <v/>
      </c>
      <c r="I273" s="4" t="str">
        <f>IFERROR(VLOOKUP(IGA_BD[[#This Row],[Affected Feeder ]],'Basic Data'!$A$3:$E$50,3,0),"")</f>
        <v/>
      </c>
      <c r="J273" s="9" t="str">
        <f>IFERROR(VLOOKUP(IGA_BD[[#This Row],[Affected Feeder ]],'Basic Data'!$A$3:$E$50,5,0),"")</f>
        <v/>
      </c>
      <c r="O273" s="6">
        <f>(IGA_BD[[#This Row],[Work Start TimeStamp]]-IGA_BD[[#This Row],[Fault Start TimeStamp]])*24</f>
        <v>0</v>
      </c>
      <c r="P273" s="6">
        <f>(IGA_BD[[#This Row],[Fault Clearance time]]-IGA_BD[[#This Row],[Work Start TimeStamp]])*24</f>
        <v>0</v>
      </c>
      <c r="Q273" s="6">
        <f>(IGA_BD[[#This Row],[Fault Clearance time]]-IGA_BD[[#This Row],[Fault Start TimeStamp]])*24</f>
        <v>0</v>
      </c>
      <c r="S273" s="4"/>
      <c r="T273" s="4" t="str">
        <f>IFERROR(IGA_BD[[#This Row],[Breakdown Time]]*IGA_BD[[#This Row],[Plant Equivalent Weightage]],"")</f>
        <v/>
      </c>
      <c r="U273" s="4"/>
      <c r="V273" s="4"/>
    </row>
    <row r="274" spans="1:22">
      <c r="A274" s="10"/>
      <c r="B274" s="10"/>
      <c r="C274" s="10"/>
      <c r="D274" s="10"/>
      <c r="E274" s="309">
        <f>IGA_BD[[#This Row],[Date]]-DAY(IGA_BD[[#This Row],[Date]])+1</f>
        <v>1</v>
      </c>
      <c r="F274" s="32"/>
      <c r="H274" s="4" t="str">
        <f>IFERROR(VLOOKUP(IGA_BD[[#This Row],[Affected Feeder ]],'Basic Data'!$A$3:$E$50,2,0),"")</f>
        <v/>
      </c>
      <c r="I274" s="4" t="str">
        <f>IFERROR(VLOOKUP(IGA_BD[[#This Row],[Affected Feeder ]],'Basic Data'!$A$3:$E$50,3,0),"")</f>
        <v/>
      </c>
      <c r="J274" s="9" t="str">
        <f>IFERROR(VLOOKUP(IGA_BD[[#This Row],[Affected Feeder ]],'Basic Data'!$A$3:$E$50,5,0),"")</f>
        <v/>
      </c>
      <c r="O274" s="6">
        <f>(IGA_BD[[#This Row],[Work Start TimeStamp]]-IGA_BD[[#This Row],[Fault Start TimeStamp]])*24</f>
        <v>0</v>
      </c>
      <c r="P274" s="6">
        <f>(IGA_BD[[#This Row],[Fault Clearance time]]-IGA_BD[[#This Row],[Work Start TimeStamp]])*24</f>
        <v>0</v>
      </c>
      <c r="Q274" s="6">
        <f>(IGA_BD[[#This Row],[Fault Clearance time]]-IGA_BD[[#This Row],[Fault Start TimeStamp]])*24</f>
        <v>0</v>
      </c>
      <c r="S274" s="4"/>
      <c r="T274" s="4" t="str">
        <f>IFERROR(IGA_BD[[#This Row],[Breakdown Time]]*IGA_BD[[#This Row],[Plant Equivalent Weightage]],"")</f>
        <v/>
      </c>
      <c r="U274" s="4"/>
      <c r="V274" s="4"/>
    </row>
    <row r="275" spans="1:22">
      <c r="A275" s="10"/>
      <c r="B275" s="10"/>
      <c r="C275" s="10"/>
      <c r="D275" s="10"/>
      <c r="E275" s="309">
        <f>IGA_BD[[#This Row],[Date]]-DAY(IGA_BD[[#This Row],[Date]])+1</f>
        <v>1</v>
      </c>
      <c r="F275" s="32"/>
      <c r="H275" s="4" t="str">
        <f>IFERROR(VLOOKUP(IGA_BD[[#This Row],[Affected Feeder ]],'Basic Data'!$A$3:$E$50,2,0),"")</f>
        <v/>
      </c>
      <c r="I275" s="4" t="str">
        <f>IFERROR(VLOOKUP(IGA_BD[[#This Row],[Affected Feeder ]],'Basic Data'!$A$3:$E$50,3,0),"")</f>
        <v/>
      </c>
      <c r="J275" s="9" t="str">
        <f>IFERROR(VLOOKUP(IGA_BD[[#This Row],[Affected Feeder ]],'Basic Data'!$A$3:$E$50,5,0),"")</f>
        <v/>
      </c>
      <c r="O275" s="6">
        <f>(IGA_BD[[#This Row],[Work Start TimeStamp]]-IGA_BD[[#This Row],[Fault Start TimeStamp]])*24</f>
        <v>0</v>
      </c>
      <c r="P275" s="6">
        <f>(IGA_BD[[#This Row],[Fault Clearance time]]-IGA_BD[[#This Row],[Work Start TimeStamp]])*24</f>
        <v>0</v>
      </c>
      <c r="Q275" s="6">
        <f>(IGA_BD[[#This Row],[Fault Clearance time]]-IGA_BD[[#This Row],[Fault Start TimeStamp]])*24</f>
        <v>0</v>
      </c>
      <c r="S275" s="4"/>
      <c r="T275" s="4" t="str">
        <f>IFERROR(IGA_BD[[#This Row],[Breakdown Time]]*IGA_BD[[#This Row],[Plant Equivalent Weightage]],"")</f>
        <v/>
      </c>
      <c r="U275" s="4"/>
      <c r="V275" s="4"/>
    </row>
    <row r="276" spans="1:22">
      <c r="A276" s="10"/>
      <c r="B276" s="10"/>
      <c r="C276" s="10"/>
      <c r="D276" s="10"/>
      <c r="E276" s="309">
        <f>IGA_BD[[#This Row],[Date]]-DAY(IGA_BD[[#This Row],[Date]])+1</f>
        <v>1</v>
      </c>
      <c r="F276" s="32"/>
      <c r="H276" s="4" t="str">
        <f>IFERROR(VLOOKUP(IGA_BD[[#This Row],[Affected Feeder ]],'Basic Data'!$A$3:$E$50,2,0),"")</f>
        <v/>
      </c>
      <c r="I276" s="4" t="str">
        <f>IFERROR(VLOOKUP(IGA_BD[[#This Row],[Affected Feeder ]],'Basic Data'!$A$3:$E$50,3,0),"")</f>
        <v/>
      </c>
      <c r="J276" s="9" t="str">
        <f>IFERROR(VLOOKUP(IGA_BD[[#This Row],[Affected Feeder ]],'Basic Data'!$A$3:$E$50,5,0),"")</f>
        <v/>
      </c>
      <c r="O276" s="6">
        <f>(IGA_BD[[#This Row],[Work Start TimeStamp]]-IGA_BD[[#This Row],[Fault Start TimeStamp]])*24</f>
        <v>0</v>
      </c>
      <c r="P276" s="6">
        <f>(IGA_BD[[#This Row],[Fault Clearance time]]-IGA_BD[[#This Row],[Work Start TimeStamp]])*24</f>
        <v>0</v>
      </c>
      <c r="Q276" s="6">
        <f>(IGA_BD[[#This Row],[Fault Clearance time]]-IGA_BD[[#This Row],[Fault Start TimeStamp]])*24</f>
        <v>0</v>
      </c>
      <c r="S276" s="4"/>
      <c r="T276" s="4" t="str">
        <f>IFERROR(IGA_BD[[#This Row],[Breakdown Time]]*IGA_BD[[#This Row],[Plant Equivalent Weightage]],"")</f>
        <v/>
      </c>
      <c r="U276" s="4"/>
      <c r="V276" s="4"/>
    </row>
    <row r="277" spans="1:22">
      <c r="A277" s="10"/>
      <c r="B277" s="10"/>
      <c r="C277" s="10"/>
      <c r="D277" s="10"/>
      <c r="E277" s="309">
        <f>IGA_BD[[#This Row],[Date]]-DAY(IGA_BD[[#This Row],[Date]])+1</f>
        <v>1</v>
      </c>
      <c r="F277" s="32"/>
      <c r="H277" s="4" t="str">
        <f>IFERROR(VLOOKUP(IGA_BD[[#This Row],[Affected Feeder ]],'Basic Data'!$A$3:$E$50,2,0),"")</f>
        <v/>
      </c>
      <c r="I277" s="4" t="str">
        <f>IFERROR(VLOOKUP(IGA_BD[[#This Row],[Affected Feeder ]],'Basic Data'!$A$3:$E$50,3,0),"")</f>
        <v/>
      </c>
      <c r="J277" s="9" t="str">
        <f>IFERROR(VLOOKUP(IGA_BD[[#This Row],[Affected Feeder ]],'Basic Data'!$A$3:$E$50,5,0),"")</f>
        <v/>
      </c>
      <c r="O277" s="6">
        <f>(IGA_BD[[#This Row],[Work Start TimeStamp]]-IGA_BD[[#This Row],[Fault Start TimeStamp]])*24</f>
        <v>0</v>
      </c>
      <c r="P277" s="6">
        <f>(IGA_BD[[#This Row],[Fault Clearance time]]-IGA_BD[[#This Row],[Work Start TimeStamp]])*24</f>
        <v>0</v>
      </c>
      <c r="Q277" s="6">
        <f>(IGA_BD[[#This Row],[Fault Clearance time]]-IGA_BD[[#This Row],[Fault Start TimeStamp]])*24</f>
        <v>0</v>
      </c>
      <c r="S277" s="4"/>
      <c r="T277" s="4" t="str">
        <f>IFERROR(IGA_BD[[#This Row],[Breakdown Time]]*IGA_BD[[#This Row],[Plant Equivalent Weightage]],"")</f>
        <v/>
      </c>
      <c r="U277" s="4"/>
      <c r="V277" s="4"/>
    </row>
    <row r="278" spans="1:22">
      <c r="A278" s="10"/>
      <c r="B278" s="10"/>
      <c r="C278" s="10"/>
      <c r="D278" s="10"/>
      <c r="E278" s="309">
        <f>IGA_BD[[#This Row],[Date]]-DAY(IGA_BD[[#This Row],[Date]])+1</f>
        <v>1</v>
      </c>
      <c r="F278" s="32"/>
      <c r="H278" s="4" t="str">
        <f>IFERROR(VLOOKUP(IGA_BD[[#This Row],[Affected Feeder ]],'Basic Data'!$A$3:$E$50,2,0),"")</f>
        <v/>
      </c>
      <c r="I278" s="4" t="str">
        <f>IFERROR(VLOOKUP(IGA_BD[[#This Row],[Affected Feeder ]],'Basic Data'!$A$3:$E$50,3,0),"")</f>
        <v/>
      </c>
      <c r="J278" s="9" t="str">
        <f>IFERROR(VLOOKUP(IGA_BD[[#This Row],[Affected Feeder ]],'Basic Data'!$A$3:$E$50,5,0),"")</f>
        <v/>
      </c>
      <c r="O278" s="6">
        <f>(IGA_BD[[#This Row],[Work Start TimeStamp]]-IGA_BD[[#This Row],[Fault Start TimeStamp]])*24</f>
        <v>0</v>
      </c>
      <c r="P278" s="6">
        <f>(IGA_BD[[#This Row],[Fault Clearance time]]-IGA_BD[[#This Row],[Work Start TimeStamp]])*24</f>
        <v>0</v>
      </c>
      <c r="Q278" s="6">
        <f>(IGA_BD[[#This Row],[Fault Clearance time]]-IGA_BD[[#This Row],[Fault Start TimeStamp]])*24</f>
        <v>0</v>
      </c>
      <c r="S278" s="4"/>
      <c r="T278" s="4" t="str">
        <f>IFERROR(IGA_BD[[#This Row],[Breakdown Time]]*IGA_BD[[#This Row],[Plant Equivalent Weightage]],"")</f>
        <v/>
      </c>
      <c r="U278" s="4"/>
      <c r="V278" s="4"/>
    </row>
    <row r="279" spans="1:22">
      <c r="A279" s="10"/>
      <c r="B279" s="10"/>
      <c r="C279" s="10"/>
      <c r="D279" s="10"/>
      <c r="E279" s="309">
        <f>IGA_BD[[#This Row],[Date]]-DAY(IGA_BD[[#This Row],[Date]])+1</f>
        <v>1</v>
      </c>
      <c r="F279" s="32"/>
      <c r="H279" s="4" t="str">
        <f>IFERROR(VLOOKUP(IGA_BD[[#This Row],[Affected Feeder ]],'Basic Data'!$A$3:$E$50,2,0),"")</f>
        <v/>
      </c>
      <c r="I279" s="4" t="str">
        <f>IFERROR(VLOOKUP(IGA_BD[[#This Row],[Affected Feeder ]],'Basic Data'!$A$3:$E$50,3,0),"")</f>
        <v/>
      </c>
      <c r="J279" s="9" t="str">
        <f>IFERROR(VLOOKUP(IGA_BD[[#This Row],[Affected Feeder ]],'Basic Data'!$A$3:$E$50,5,0),"")</f>
        <v/>
      </c>
      <c r="O279" s="6">
        <f>(IGA_BD[[#This Row],[Work Start TimeStamp]]-IGA_BD[[#This Row],[Fault Start TimeStamp]])*24</f>
        <v>0</v>
      </c>
      <c r="P279" s="6">
        <f>(IGA_BD[[#This Row],[Fault Clearance time]]-IGA_BD[[#This Row],[Work Start TimeStamp]])*24</f>
        <v>0</v>
      </c>
      <c r="Q279" s="6">
        <f>(IGA_BD[[#This Row],[Fault Clearance time]]-IGA_BD[[#This Row],[Fault Start TimeStamp]])*24</f>
        <v>0</v>
      </c>
      <c r="S279" s="4"/>
      <c r="T279" s="4" t="str">
        <f>IFERROR(IGA_BD[[#This Row],[Breakdown Time]]*IGA_BD[[#This Row],[Plant Equivalent Weightage]],"")</f>
        <v/>
      </c>
      <c r="U279" s="4"/>
      <c r="V279" s="4"/>
    </row>
    <row r="280" spans="1:22">
      <c r="A280" s="10"/>
      <c r="B280" s="10"/>
      <c r="C280" s="10"/>
      <c r="D280" s="10"/>
      <c r="E280" s="309">
        <f>IGA_BD[[#This Row],[Date]]-DAY(IGA_BD[[#This Row],[Date]])+1</f>
        <v>1</v>
      </c>
      <c r="F280" s="32"/>
      <c r="H280" s="4" t="str">
        <f>IFERROR(VLOOKUP(IGA_BD[[#This Row],[Affected Feeder ]],'Basic Data'!$A$3:$E$50,2,0),"")</f>
        <v/>
      </c>
      <c r="I280" s="4" t="str">
        <f>IFERROR(VLOOKUP(IGA_BD[[#This Row],[Affected Feeder ]],'Basic Data'!$A$3:$E$50,3,0),"")</f>
        <v/>
      </c>
      <c r="J280" s="9" t="str">
        <f>IFERROR(VLOOKUP(IGA_BD[[#This Row],[Affected Feeder ]],'Basic Data'!$A$3:$E$50,5,0),"")</f>
        <v/>
      </c>
      <c r="O280" s="6">
        <f>(IGA_BD[[#This Row],[Work Start TimeStamp]]-IGA_BD[[#This Row],[Fault Start TimeStamp]])*24</f>
        <v>0</v>
      </c>
      <c r="P280" s="6">
        <f>(IGA_BD[[#This Row],[Fault Clearance time]]-IGA_BD[[#This Row],[Work Start TimeStamp]])*24</f>
        <v>0</v>
      </c>
      <c r="Q280" s="6">
        <f>(IGA_BD[[#This Row],[Fault Clearance time]]-IGA_BD[[#This Row],[Fault Start TimeStamp]])*24</f>
        <v>0</v>
      </c>
      <c r="S280" s="4"/>
      <c r="T280" s="4" t="str">
        <f>IFERROR(IGA_BD[[#This Row],[Breakdown Time]]*IGA_BD[[#This Row],[Plant Equivalent Weightage]],"")</f>
        <v/>
      </c>
      <c r="U280" s="4"/>
      <c r="V280" s="4"/>
    </row>
    <row r="281" spans="1:22">
      <c r="A281" s="10"/>
      <c r="B281" s="10"/>
      <c r="C281" s="10"/>
      <c r="D281" s="10"/>
      <c r="E281" s="309">
        <f>IGA_BD[[#This Row],[Date]]-DAY(IGA_BD[[#This Row],[Date]])+1</f>
        <v>1</v>
      </c>
      <c r="F281" s="32"/>
      <c r="H281" s="4" t="str">
        <f>IFERROR(VLOOKUP(IGA_BD[[#This Row],[Affected Feeder ]],'Basic Data'!$A$3:$E$50,2,0),"")</f>
        <v/>
      </c>
      <c r="I281" s="4" t="str">
        <f>IFERROR(VLOOKUP(IGA_BD[[#This Row],[Affected Feeder ]],'Basic Data'!$A$3:$E$50,3,0),"")</f>
        <v/>
      </c>
      <c r="J281" s="9" t="str">
        <f>IFERROR(VLOOKUP(IGA_BD[[#This Row],[Affected Feeder ]],'Basic Data'!$A$3:$E$50,5,0),"")</f>
        <v/>
      </c>
      <c r="O281" s="6">
        <f>(IGA_BD[[#This Row],[Work Start TimeStamp]]-IGA_BD[[#This Row],[Fault Start TimeStamp]])*24</f>
        <v>0</v>
      </c>
      <c r="P281" s="6">
        <f>(IGA_BD[[#This Row],[Fault Clearance time]]-IGA_BD[[#This Row],[Work Start TimeStamp]])*24</f>
        <v>0</v>
      </c>
      <c r="Q281" s="6">
        <f>(IGA_BD[[#This Row],[Fault Clearance time]]-IGA_BD[[#This Row],[Fault Start TimeStamp]])*24</f>
        <v>0</v>
      </c>
      <c r="S281" s="4"/>
      <c r="T281" s="4" t="str">
        <f>IFERROR(IGA_BD[[#This Row],[Breakdown Time]]*IGA_BD[[#This Row],[Plant Equivalent Weightage]],"")</f>
        <v/>
      </c>
      <c r="U281" s="4"/>
      <c r="V281" s="4"/>
    </row>
    <row r="282" spans="1:22">
      <c r="A282" s="10"/>
      <c r="B282" s="10"/>
      <c r="C282" s="10"/>
      <c r="D282" s="10"/>
      <c r="E282" s="309">
        <f>IGA_BD[[#This Row],[Date]]-DAY(IGA_BD[[#This Row],[Date]])+1</f>
        <v>1</v>
      </c>
      <c r="F282" s="32"/>
      <c r="H282" s="4" t="str">
        <f>IFERROR(VLOOKUP(IGA_BD[[#This Row],[Affected Feeder ]],'Basic Data'!$A$3:$E$50,2,0),"")</f>
        <v/>
      </c>
      <c r="I282" s="4" t="str">
        <f>IFERROR(VLOOKUP(IGA_BD[[#This Row],[Affected Feeder ]],'Basic Data'!$A$3:$E$50,3,0),"")</f>
        <v/>
      </c>
      <c r="J282" s="9" t="str">
        <f>IFERROR(VLOOKUP(IGA_BD[[#This Row],[Affected Feeder ]],'Basic Data'!$A$3:$E$50,5,0),"")</f>
        <v/>
      </c>
      <c r="O282" s="6">
        <f>(IGA_BD[[#This Row],[Work Start TimeStamp]]-IGA_BD[[#This Row],[Fault Start TimeStamp]])*24</f>
        <v>0</v>
      </c>
      <c r="P282" s="6">
        <f>(IGA_BD[[#This Row],[Fault Clearance time]]-IGA_BD[[#This Row],[Work Start TimeStamp]])*24</f>
        <v>0</v>
      </c>
      <c r="Q282" s="6">
        <f>(IGA_BD[[#This Row],[Fault Clearance time]]-IGA_BD[[#This Row],[Fault Start TimeStamp]])*24</f>
        <v>0</v>
      </c>
      <c r="S282" s="4"/>
      <c r="T282" s="4" t="str">
        <f>IFERROR(IGA_BD[[#This Row],[Breakdown Time]]*IGA_BD[[#This Row],[Plant Equivalent Weightage]],"")</f>
        <v/>
      </c>
      <c r="U282" s="4"/>
      <c r="V282" s="4"/>
    </row>
    <row r="283" spans="1:22">
      <c r="A283" s="10"/>
      <c r="B283" s="10"/>
      <c r="C283" s="10"/>
      <c r="D283" s="10"/>
      <c r="E283" s="309">
        <f>IGA_BD[[#This Row],[Date]]-DAY(IGA_BD[[#This Row],[Date]])+1</f>
        <v>1</v>
      </c>
      <c r="F283" s="32"/>
      <c r="H283" s="4" t="str">
        <f>IFERROR(VLOOKUP(IGA_BD[[#This Row],[Affected Feeder ]],'Basic Data'!$A$3:$E$50,2,0),"")</f>
        <v/>
      </c>
      <c r="I283" s="4" t="str">
        <f>IFERROR(VLOOKUP(IGA_BD[[#This Row],[Affected Feeder ]],'Basic Data'!$A$3:$E$50,3,0),"")</f>
        <v/>
      </c>
      <c r="J283" s="9" t="str">
        <f>IFERROR(VLOOKUP(IGA_BD[[#This Row],[Affected Feeder ]],'Basic Data'!$A$3:$E$50,5,0),"")</f>
        <v/>
      </c>
      <c r="O283" s="6">
        <f>(IGA_BD[[#This Row],[Work Start TimeStamp]]-IGA_BD[[#This Row],[Fault Start TimeStamp]])*24</f>
        <v>0</v>
      </c>
      <c r="P283" s="6">
        <f>(IGA_BD[[#This Row],[Fault Clearance time]]-IGA_BD[[#This Row],[Work Start TimeStamp]])*24</f>
        <v>0</v>
      </c>
      <c r="Q283" s="6">
        <f>(IGA_BD[[#This Row],[Fault Clearance time]]-IGA_BD[[#This Row],[Fault Start TimeStamp]])*24</f>
        <v>0</v>
      </c>
      <c r="S283" s="4"/>
      <c r="T283" s="4" t="str">
        <f>IFERROR(IGA_BD[[#This Row],[Breakdown Time]]*IGA_BD[[#This Row],[Plant Equivalent Weightage]],"")</f>
        <v/>
      </c>
      <c r="U283" s="4"/>
      <c r="V283" s="4"/>
    </row>
    <row r="284" spans="1:22">
      <c r="A284" s="10"/>
      <c r="B284" s="10"/>
      <c r="C284" s="10"/>
      <c r="D284" s="10"/>
      <c r="E284" s="309">
        <f>IGA_BD[[#This Row],[Date]]-DAY(IGA_BD[[#This Row],[Date]])+1</f>
        <v>1</v>
      </c>
      <c r="F284" s="32"/>
      <c r="H284" s="4" t="str">
        <f>IFERROR(VLOOKUP(IGA_BD[[#This Row],[Affected Feeder ]],'Basic Data'!$A$3:$E$50,2,0),"")</f>
        <v/>
      </c>
      <c r="I284" s="4" t="str">
        <f>IFERROR(VLOOKUP(IGA_BD[[#This Row],[Affected Feeder ]],'Basic Data'!$A$3:$E$50,3,0),"")</f>
        <v/>
      </c>
      <c r="J284" s="9" t="str">
        <f>IFERROR(VLOOKUP(IGA_BD[[#This Row],[Affected Feeder ]],'Basic Data'!$A$3:$E$50,5,0),"")</f>
        <v/>
      </c>
      <c r="O284" s="6">
        <f>(IGA_BD[[#This Row],[Work Start TimeStamp]]-IGA_BD[[#This Row],[Fault Start TimeStamp]])*24</f>
        <v>0</v>
      </c>
      <c r="P284" s="6">
        <f>(IGA_BD[[#This Row],[Fault Clearance time]]-IGA_BD[[#This Row],[Work Start TimeStamp]])*24</f>
        <v>0</v>
      </c>
      <c r="Q284" s="6">
        <f>(IGA_BD[[#This Row],[Fault Clearance time]]-IGA_BD[[#This Row],[Fault Start TimeStamp]])*24</f>
        <v>0</v>
      </c>
      <c r="S284" s="4"/>
      <c r="T284" s="4" t="str">
        <f>IFERROR(IGA_BD[[#This Row],[Breakdown Time]]*IGA_BD[[#This Row],[Plant Equivalent Weightage]],"")</f>
        <v/>
      </c>
      <c r="U284" s="4"/>
      <c r="V284" s="4"/>
    </row>
    <row r="285" spans="1:22">
      <c r="A285" s="10"/>
      <c r="B285" s="10"/>
      <c r="C285" s="10"/>
      <c r="D285" s="10"/>
      <c r="E285" s="309">
        <f>IGA_BD[[#This Row],[Date]]-DAY(IGA_BD[[#This Row],[Date]])+1</f>
        <v>1</v>
      </c>
      <c r="F285" s="32"/>
      <c r="H285" s="4" t="str">
        <f>IFERROR(VLOOKUP(IGA_BD[[#This Row],[Affected Feeder ]],'Basic Data'!$A$3:$E$50,2,0),"")</f>
        <v/>
      </c>
      <c r="I285" s="4" t="str">
        <f>IFERROR(VLOOKUP(IGA_BD[[#This Row],[Affected Feeder ]],'Basic Data'!$A$3:$E$50,3,0),"")</f>
        <v/>
      </c>
      <c r="J285" s="9" t="str">
        <f>IFERROR(VLOOKUP(IGA_BD[[#This Row],[Affected Feeder ]],'Basic Data'!$A$3:$E$50,5,0),"")</f>
        <v/>
      </c>
      <c r="O285" s="6">
        <f>(IGA_BD[[#This Row],[Work Start TimeStamp]]-IGA_BD[[#This Row],[Fault Start TimeStamp]])*24</f>
        <v>0</v>
      </c>
      <c r="P285" s="6">
        <f>(IGA_BD[[#This Row],[Fault Clearance time]]-IGA_BD[[#This Row],[Work Start TimeStamp]])*24</f>
        <v>0</v>
      </c>
      <c r="Q285" s="6">
        <f>(IGA_BD[[#This Row],[Fault Clearance time]]-IGA_BD[[#This Row],[Fault Start TimeStamp]])*24</f>
        <v>0</v>
      </c>
      <c r="S285" s="4"/>
      <c r="T285" s="4" t="str">
        <f>IFERROR(IGA_BD[[#This Row],[Breakdown Time]]*IGA_BD[[#This Row],[Plant Equivalent Weightage]],"")</f>
        <v/>
      </c>
      <c r="U285" s="4"/>
      <c r="V285" s="4"/>
    </row>
    <row r="286" spans="1:22">
      <c r="A286" s="10"/>
      <c r="B286" s="10"/>
      <c r="C286" s="10"/>
      <c r="D286" s="10"/>
      <c r="E286" s="309">
        <f>IGA_BD[[#This Row],[Date]]-DAY(IGA_BD[[#This Row],[Date]])+1</f>
        <v>1</v>
      </c>
      <c r="F286" s="32"/>
      <c r="H286" s="4" t="str">
        <f>IFERROR(VLOOKUP(IGA_BD[[#This Row],[Affected Feeder ]],'Basic Data'!$A$3:$E$50,2,0),"")</f>
        <v/>
      </c>
      <c r="I286" s="4" t="str">
        <f>IFERROR(VLOOKUP(IGA_BD[[#This Row],[Affected Feeder ]],'Basic Data'!$A$3:$E$50,3,0),"")</f>
        <v/>
      </c>
      <c r="J286" s="9" t="str">
        <f>IFERROR(VLOOKUP(IGA_BD[[#This Row],[Affected Feeder ]],'Basic Data'!$A$3:$E$50,5,0),"")</f>
        <v/>
      </c>
      <c r="O286" s="6">
        <f>(IGA_BD[[#This Row],[Work Start TimeStamp]]-IGA_BD[[#This Row],[Fault Start TimeStamp]])*24</f>
        <v>0</v>
      </c>
      <c r="P286" s="6">
        <f>(IGA_BD[[#This Row],[Fault Clearance time]]-IGA_BD[[#This Row],[Work Start TimeStamp]])*24</f>
        <v>0</v>
      </c>
      <c r="Q286" s="6">
        <f>(IGA_BD[[#This Row],[Fault Clearance time]]-IGA_BD[[#This Row],[Fault Start TimeStamp]])*24</f>
        <v>0</v>
      </c>
      <c r="S286" s="4"/>
      <c r="T286" s="4" t="str">
        <f>IFERROR(IGA_BD[[#This Row],[Breakdown Time]]*IGA_BD[[#This Row],[Plant Equivalent Weightage]],"")</f>
        <v/>
      </c>
      <c r="U286" s="4"/>
      <c r="V286" s="4"/>
    </row>
    <row r="287" spans="1:22">
      <c r="A287" s="10"/>
      <c r="B287" s="10"/>
      <c r="C287" s="10"/>
      <c r="D287" s="10"/>
      <c r="E287" s="309">
        <f>IGA_BD[[#This Row],[Date]]-DAY(IGA_BD[[#This Row],[Date]])+1</f>
        <v>1</v>
      </c>
      <c r="F287" s="32"/>
      <c r="H287" s="4" t="str">
        <f>IFERROR(VLOOKUP(IGA_BD[[#This Row],[Affected Feeder ]],'Basic Data'!$A$3:$E$50,2,0),"")</f>
        <v/>
      </c>
      <c r="I287" s="4" t="str">
        <f>IFERROR(VLOOKUP(IGA_BD[[#This Row],[Affected Feeder ]],'Basic Data'!$A$3:$E$50,3,0),"")</f>
        <v/>
      </c>
      <c r="J287" s="9" t="str">
        <f>IFERROR(VLOOKUP(IGA_BD[[#This Row],[Affected Feeder ]],'Basic Data'!$A$3:$E$50,5,0),"")</f>
        <v/>
      </c>
      <c r="O287" s="6">
        <f>(IGA_BD[[#This Row],[Work Start TimeStamp]]-IGA_BD[[#This Row],[Fault Start TimeStamp]])*24</f>
        <v>0</v>
      </c>
      <c r="P287" s="6">
        <f>(IGA_BD[[#This Row],[Fault Clearance time]]-IGA_BD[[#This Row],[Work Start TimeStamp]])*24</f>
        <v>0</v>
      </c>
      <c r="Q287" s="6">
        <f>(IGA_BD[[#This Row],[Fault Clearance time]]-IGA_BD[[#This Row],[Fault Start TimeStamp]])*24</f>
        <v>0</v>
      </c>
      <c r="S287" s="4"/>
      <c r="T287" s="4" t="str">
        <f>IFERROR(IGA_BD[[#This Row],[Breakdown Time]]*IGA_BD[[#This Row],[Plant Equivalent Weightage]],"")</f>
        <v/>
      </c>
      <c r="U287" s="4"/>
      <c r="V287" s="4"/>
    </row>
    <row r="288" spans="1:22">
      <c r="A288" s="10"/>
      <c r="B288" s="10"/>
      <c r="C288" s="10"/>
      <c r="D288" s="10"/>
      <c r="E288" s="309">
        <f>IGA_BD[[#This Row],[Date]]-DAY(IGA_BD[[#This Row],[Date]])+1</f>
        <v>1</v>
      </c>
      <c r="F288" s="32"/>
      <c r="H288" s="4" t="str">
        <f>IFERROR(VLOOKUP(IGA_BD[[#This Row],[Affected Feeder ]],'Basic Data'!$A$3:$E$50,2,0),"")</f>
        <v/>
      </c>
      <c r="I288" s="4" t="str">
        <f>IFERROR(VLOOKUP(IGA_BD[[#This Row],[Affected Feeder ]],'Basic Data'!$A$3:$E$50,3,0),"")</f>
        <v/>
      </c>
      <c r="J288" s="9" t="str">
        <f>IFERROR(VLOOKUP(IGA_BD[[#This Row],[Affected Feeder ]],'Basic Data'!$A$3:$E$50,5,0),"")</f>
        <v/>
      </c>
      <c r="O288" s="6">
        <f>(IGA_BD[[#This Row],[Work Start TimeStamp]]-IGA_BD[[#This Row],[Fault Start TimeStamp]])*24</f>
        <v>0</v>
      </c>
      <c r="P288" s="6">
        <f>(IGA_BD[[#This Row],[Fault Clearance time]]-IGA_BD[[#This Row],[Work Start TimeStamp]])*24</f>
        <v>0</v>
      </c>
      <c r="Q288" s="6">
        <f>(IGA_BD[[#This Row],[Fault Clearance time]]-IGA_BD[[#This Row],[Fault Start TimeStamp]])*24</f>
        <v>0</v>
      </c>
      <c r="S288" s="4"/>
      <c r="T288" s="4" t="str">
        <f>IFERROR(IGA_BD[[#This Row],[Breakdown Time]]*IGA_BD[[#This Row],[Plant Equivalent Weightage]],"")</f>
        <v/>
      </c>
      <c r="U288" s="4"/>
      <c r="V288" s="4"/>
    </row>
    <row r="289" spans="1:22">
      <c r="A289" s="10"/>
      <c r="B289" s="10"/>
      <c r="C289" s="10"/>
      <c r="D289" s="10"/>
      <c r="E289" s="309">
        <f>IGA_BD[[#This Row],[Date]]-DAY(IGA_BD[[#This Row],[Date]])+1</f>
        <v>1</v>
      </c>
      <c r="F289" s="32"/>
      <c r="H289" s="4" t="str">
        <f>IFERROR(VLOOKUP(IGA_BD[[#This Row],[Affected Feeder ]],'Basic Data'!$A$3:$E$50,2,0),"")</f>
        <v/>
      </c>
      <c r="I289" s="4" t="str">
        <f>IFERROR(VLOOKUP(IGA_BD[[#This Row],[Affected Feeder ]],'Basic Data'!$A$3:$E$50,3,0),"")</f>
        <v/>
      </c>
      <c r="J289" s="9" t="str">
        <f>IFERROR(VLOOKUP(IGA_BD[[#This Row],[Affected Feeder ]],'Basic Data'!$A$3:$E$50,5,0),"")</f>
        <v/>
      </c>
      <c r="O289" s="6">
        <f>(IGA_BD[[#This Row],[Work Start TimeStamp]]-IGA_BD[[#This Row],[Fault Start TimeStamp]])*24</f>
        <v>0</v>
      </c>
      <c r="P289" s="6">
        <f>(IGA_BD[[#This Row],[Fault Clearance time]]-IGA_BD[[#This Row],[Work Start TimeStamp]])*24</f>
        <v>0</v>
      </c>
      <c r="Q289" s="6">
        <f>(IGA_BD[[#This Row],[Fault Clearance time]]-IGA_BD[[#This Row],[Fault Start TimeStamp]])*24</f>
        <v>0</v>
      </c>
      <c r="S289" s="4"/>
      <c r="T289" s="4" t="str">
        <f>IFERROR(IGA_BD[[#This Row],[Breakdown Time]]*IGA_BD[[#This Row],[Plant Equivalent Weightage]],"")</f>
        <v/>
      </c>
      <c r="U289" s="4"/>
      <c r="V289" s="4"/>
    </row>
    <row r="290" spans="1:22">
      <c r="A290" s="10"/>
      <c r="B290" s="10"/>
      <c r="C290" s="10"/>
      <c r="D290" s="10"/>
      <c r="E290" s="309">
        <f>IGA_BD[[#This Row],[Date]]-DAY(IGA_BD[[#This Row],[Date]])+1</f>
        <v>1</v>
      </c>
      <c r="F290" s="32"/>
      <c r="H290" s="4" t="str">
        <f>IFERROR(VLOOKUP(IGA_BD[[#This Row],[Affected Feeder ]],'Basic Data'!$A$3:$E$50,2,0),"")</f>
        <v/>
      </c>
      <c r="I290" s="4" t="str">
        <f>IFERROR(VLOOKUP(IGA_BD[[#This Row],[Affected Feeder ]],'Basic Data'!$A$3:$E$50,3,0),"")</f>
        <v/>
      </c>
      <c r="J290" s="9" t="str">
        <f>IFERROR(VLOOKUP(IGA_BD[[#This Row],[Affected Feeder ]],'Basic Data'!$A$3:$E$50,5,0),"")</f>
        <v/>
      </c>
      <c r="O290" s="6">
        <f>(IGA_BD[[#This Row],[Work Start TimeStamp]]-IGA_BD[[#This Row],[Fault Start TimeStamp]])*24</f>
        <v>0</v>
      </c>
      <c r="P290" s="6">
        <f>(IGA_BD[[#This Row],[Fault Clearance time]]-IGA_BD[[#This Row],[Work Start TimeStamp]])*24</f>
        <v>0</v>
      </c>
      <c r="Q290" s="6">
        <f>(IGA_BD[[#This Row],[Fault Clearance time]]-IGA_BD[[#This Row],[Fault Start TimeStamp]])*24</f>
        <v>0</v>
      </c>
      <c r="S290" s="4"/>
      <c r="T290" s="4" t="str">
        <f>IFERROR(IGA_BD[[#This Row],[Breakdown Time]]*IGA_BD[[#This Row],[Plant Equivalent Weightage]],"")</f>
        <v/>
      </c>
      <c r="U290" s="4"/>
      <c r="V290" s="4"/>
    </row>
    <row r="291" spans="1:22">
      <c r="A291" s="10"/>
      <c r="B291" s="10"/>
      <c r="C291" s="10"/>
      <c r="D291" s="10"/>
      <c r="E291" s="309">
        <f>IGA_BD[[#This Row],[Date]]-DAY(IGA_BD[[#This Row],[Date]])+1</f>
        <v>1</v>
      </c>
      <c r="F291" s="32"/>
      <c r="H291" s="4" t="str">
        <f>IFERROR(VLOOKUP(IGA_BD[[#This Row],[Affected Feeder ]],'Basic Data'!$A$3:$E$50,2,0),"")</f>
        <v/>
      </c>
      <c r="I291" s="4" t="str">
        <f>IFERROR(VLOOKUP(IGA_BD[[#This Row],[Affected Feeder ]],'Basic Data'!$A$3:$E$50,3,0),"")</f>
        <v/>
      </c>
      <c r="J291" s="9" t="str">
        <f>IFERROR(VLOOKUP(IGA_BD[[#This Row],[Affected Feeder ]],'Basic Data'!$A$3:$E$50,5,0),"")</f>
        <v/>
      </c>
      <c r="O291" s="6">
        <f>(IGA_BD[[#This Row],[Work Start TimeStamp]]-IGA_BD[[#This Row],[Fault Start TimeStamp]])*24</f>
        <v>0</v>
      </c>
      <c r="P291" s="6">
        <f>(IGA_BD[[#This Row],[Fault Clearance time]]-IGA_BD[[#This Row],[Work Start TimeStamp]])*24</f>
        <v>0</v>
      </c>
      <c r="Q291" s="6">
        <f>(IGA_BD[[#This Row],[Fault Clearance time]]-IGA_BD[[#This Row],[Fault Start TimeStamp]])*24</f>
        <v>0</v>
      </c>
      <c r="S291" s="4"/>
      <c r="T291" s="4" t="str">
        <f>IFERROR(IGA_BD[[#This Row],[Breakdown Time]]*IGA_BD[[#This Row],[Plant Equivalent Weightage]],"")</f>
        <v/>
      </c>
      <c r="U291" s="4"/>
      <c r="V291" s="4"/>
    </row>
    <row r="292" spans="1:22">
      <c r="A292" s="10"/>
      <c r="B292" s="10"/>
      <c r="C292" s="10"/>
      <c r="D292" s="10"/>
      <c r="E292" s="309">
        <f>IGA_BD[[#This Row],[Date]]-DAY(IGA_BD[[#This Row],[Date]])+1</f>
        <v>1</v>
      </c>
      <c r="F292" s="32"/>
      <c r="H292" s="4" t="str">
        <f>IFERROR(VLOOKUP(IGA_BD[[#This Row],[Affected Feeder ]],'Basic Data'!$A$3:$E$50,2,0),"")</f>
        <v/>
      </c>
      <c r="I292" s="4" t="str">
        <f>IFERROR(VLOOKUP(IGA_BD[[#This Row],[Affected Feeder ]],'Basic Data'!$A$3:$E$50,3,0),"")</f>
        <v/>
      </c>
      <c r="J292" s="9" t="str">
        <f>IFERROR(VLOOKUP(IGA_BD[[#This Row],[Affected Feeder ]],'Basic Data'!$A$3:$E$50,5,0),"")</f>
        <v/>
      </c>
      <c r="O292" s="6">
        <f>(IGA_BD[[#This Row],[Work Start TimeStamp]]-IGA_BD[[#This Row],[Fault Start TimeStamp]])*24</f>
        <v>0</v>
      </c>
      <c r="P292" s="6">
        <f>(IGA_BD[[#This Row],[Fault Clearance time]]-IGA_BD[[#This Row],[Work Start TimeStamp]])*24</f>
        <v>0</v>
      </c>
      <c r="Q292" s="6">
        <f>(IGA_BD[[#This Row],[Fault Clearance time]]-IGA_BD[[#This Row],[Fault Start TimeStamp]])*24</f>
        <v>0</v>
      </c>
      <c r="S292" s="4"/>
      <c r="T292" s="4" t="str">
        <f>IFERROR(IGA_BD[[#This Row],[Breakdown Time]]*IGA_BD[[#This Row],[Plant Equivalent Weightage]],"")</f>
        <v/>
      </c>
      <c r="U292" s="4"/>
      <c r="V292" s="4"/>
    </row>
    <row r="293" spans="1:22">
      <c r="A293" s="10"/>
      <c r="B293" s="10"/>
      <c r="C293" s="10"/>
      <c r="D293" s="10"/>
      <c r="E293" s="309">
        <f>IGA_BD[[#This Row],[Date]]-DAY(IGA_BD[[#This Row],[Date]])+1</f>
        <v>1</v>
      </c>
      <c r="F293" s="32"/>
      <c r="H293" s="4" t="str">
        <f>IFERROR(VLOOKUP(IGA_BD[[#This Row],[Affected Feeder ]],'Basic Data'!$A$3:$E$50,2,0),"")</f>
        <v/>
      </c>
      <c r="I293" s="4" t="str">
        <f>IFERROR(VLOOKUP(IGA_BD[[#This Row],[Affected Feeder ]],'Basic Data'!$A$3:$E$50,3,0),"")</f>
        <v/>
      </c>
      <c r="J293" s="9" t="str">
        <f>IFERROR(VLOOKUP(IGA_BD[[#This Row],[Affected Feeder ]],'Basic Data'!$A$3:$E$50,5,0),"")</f>
        <v/>
      </c>
      <c r="O293" s="6">
        <f>(IGA_BD[[#This Row],[Work Start TimeStamp]]-IGA_BD[[#This Row],[Fault Start TimeStamp]])*24</f>
        <v>0</v>
      </c>
      <c r="P293" s="6">
        <f>(IGA_BD[[#This Row],[Fault Clearance time]]-IGA_BD[[#This Row],[Work Start TimeStamp]])*24</f>
        <v>0</v>
      </c>
      <c r="Q293" s="6">
        <f>(IGA_BD[[#This Row],[Fault Clearance time]]-IGA_BD[[#This Row],[Fault Start TimeStamp]])*24</f>
        <v>0</v>
      </c>
      <c r="S293" s="4"/>
      <c r="T293" s="4" t="str">
        <f>IFERROR(IGA_BD[[#This Row],[Breakdown Time]]*IGA_BD[[#This Row],[Plant Equivalent Weightage]],"")</f>
        <v/>
      </c>
      <c r="U293" s="4"/>
      <c r="V293" s="4"/>
    </row>
    <row r="294" spans="1:22">
      <c r="A294" s="10"/>
      <c r="B294" s="10"/>
      <c r="C294" s="10"/>
      <c r="D294" s="10"/>
      <c r="E294" s="309">
        <f>IGA_BD[[#This Row],[Date]]-DAY(IGA_BD[[#This Row],[Date]])+1</f>
        <v>1</v>
      </c>
      <c r="F294" s="32"/>
      <c r="H294" s="4" t="str">
        <f>IFERROR(VLOOKUP(IGA_BD[[#This Row],[Affected Feeder ]],'Basic Data'!$A$3:$E$50,2,0),"")</f>
        <v/>
      </c>
      <c r="I294" s="4" t="str">
        <f>IFERROR(VLOOKUP(IGA_BD[[#This Row],[Affected Feeder ]],'Basic Data'!$A$3:$E$50,3,0),"")</f>
        <v/>
      </c>
      <c r="J294" s="9" t="str">
        <f>IFERROR(VLOOKUP(IGA_BD[[#This Row],[Affected Feeder ]],'Basic Data'!$A$3:$E$50,5,0),"")</f>
        <v/>
      </c>
      <c r="O294" s="6">
        <f>(IGA_BD[[#This Row],[Work Start TimeStamp]]-IGA_BD[[#This Row],[Fault Start TimeStamp]])*24</f>
        <v>0</v>
      </c>
      <c r="P294" s="6">
        <f>(IGA_BD[[#This Row],[Fault Clearance time]]-IGA_BD[[#This Row],[Work Start TimeStamp]])*24</f>
        <v>0</v>
      </c>
      <c r="Q294" s="6">
        <f>(IGA_BD[[#This Row],[Fault Clearance time]]-IGA_BD[[#This Row],[Fault Start TimeStamp]])*24</f>
        <v>0</v>
      </c>
      <c r="S294" s="4"/>
      <c r="T294" s="4" t="str">
        <f>IFERROR(IGA_BD[[#This Row],[Breakdown Time]]*IGA_BD[[#This Row],[Plant Equivalent Weightage]],"")</f>
        <v/>
      </c>
      <c r="U294" s="4"/>
      <c r="V294" s="4"/>
    </row>
    <row r="295" spans="1:22">
      <c r="A295" s="10"/>
      <c r="B295" s="10"/>
      <c r="C295" s="10"/>
      <c r="D295" s="10"/>
      <c r="E295" s="309">
        <f>IGA_BD[[#This Row],[Date]]-DAY(IGA_BD[[#This Row],[Date]])+1</f>
        <v>1</v>
      </c>
      <c r="F295" s="32"/>
      <c r="H295" s="4" t="str">
        <f>IFERROR(VLOOKUP(IGA_BD[[#This Row],[Affected Feeder ]],'Basic Data'!$A$3:$E$50,2,0),"")</f>
        <v/>
      </c>
      <c r="I295" s="4" t="str">
        <f>IFERROR(VLOOKUP(IGA_BD[[#This Row],[Affected Feeder ]],'Basic Data'!$A$3:$E$50,3,0),"")</f>
        <v/>
      </c>
      <c r="J295" s="9" t="str">
        <f>IFERROR(VLOOKUP(IGA_BD[[#This Row],[Affected Feeder ]],'Basic Data'!$A$3:$E$50,5,0),"")</f>
        <v/>
      </c>
      <c r="O295" s="6">
        <f>(IGA_BD[[#This Row],[Work Start TimeStamp]]-IGA_BD[[#This Row],[Fault Start TimeStamp]])*24</f>
        <v>0</v>
      </c>
      <c r="P295" s="6">
        <f>(IGA_BD[[#This Row],[Fault Clearance time]]-IGA_BD[[#This Row],[Work Start TimeStamp]])*24</f>
        <v>0</v>
      </c>
      <c r="Q295" s="6">
        <f>(IGA_BD[[#This Row],[Fault Clearance time]]-IGA_BD[[#This Row],[Fault Start TimeStamp]])*24</f>
        <v>0</v>
      </c>
      <c r="S295" s="4"/>
      <c r="T295" s="4" t="str">
        <f>IFERROR(IGA_BD[[#This Row],[Breakdown Time]]*IGA_BD[[#This Row],[Plant Equivalent Weightage]],"")</f>
        <v/>
      </c>
      <c r="U295" s="4"/>
      <c r="V295" s="4"/>
    </row>
    <row r="296" spans="1:22">
      <c r="A296" s="10"/>
      <c r="B296" s="10"/>
      <c r="C296" s="10"/>
      <c r="D296" s="10"/>
      <c r="E296" s="309">
        <f>IGA_BD[[#This Row],[Date]]-DAY(IGA_BD[[#This Row],[Date]])+1</f>
        <v>1</v>
      </c>
      <c r="F296" s="32"/>
      <c r="H296" s="4" t="str">
        <f>IFERROR(VLOOKUP(IGA_BD[[#This Row],[Affected Feeder ]],'Basic Data'!$A$3:$E$50,2,0),"")</f>
        <v/>
      </c>
      <c r="I296" s="4" t="str">
        <f>IFERROR(VLOOKUP(IGA_BD[[#This Row],[Affected Feeder ]],'Basic Data'!$A$3:$E$50,3,0),"")</f>
        <v/>
      </c>
      <c r="J296" s="9" t="str">
        <f>IFERROR(VLOOKUP(IGA_BD[[#This Row],[Affected Feeder ]],'Basic Data'!$A$3:$E$50,5,0),"")</f>
        <v/>
      </c>
      <c r="O296" s="6">
        <f>(IGA_BD[[#This Row],[Work Start TimeStamp]]-IGA_BD[[#This Row],[Fault Start TimeStamp]])*24</f>
        <v>0</v>
      </c>
      <c r="P296" s="6">
        <f>(IGA_BD[[#This Row],[Fault Clearance time]]-IGA_BD[[#This Row],[Work Start TimeStamp]])*24</f>
        <v>0</v>
      </c>
      <c r="Q296" s="6">
        <f>(IGA_BD[[#This Row],[Fault Clearance time]]-IGA_BD[[#This Row],[Fault Start TimeStamp]])*24</f>
        <v>0</v>
      </c>
      <c r="S296" s="4"/>
      <c r="T296" s="4" t="str">
        <f>IFERROR(IGA_BD[[#This Row],[Breakdown Time]]*IGA_BD[[#This Row],[Plant Equivalent Weightage]],"")</f>
        <v/>
      </c>
      <c r="U296" s="4"/>
      <c r="V296" s="4"/>
    </row>
    <row r="297" spans="1:22">
      <c r="A297" s="10"/>
      <c r="B297" s="10"/>
      <c r="C297" s="10"/>
      <c r="D297" s="10"/>
      <c r="E297" s="309">
        <f>IGA_BD[[#This Row],[Date]]-DAY(IGA_BD[[#This Row],[Date]])+1</f>
        <v>1</v>
      </c>
      <c r="F297" s="32"/>
      <c r="H297" s="4" t="str">
        <f>IFERROR(VLOOKUP(IGA_BD[[#This Row],[Affected Feeder ]],'Basic Data'!$A$3:$E$50,2,0),"")</f>
        <v/>
      </c>
      <c r="I297" s="4" t="str">
        <f>IFERROR(VLOOKUP(IGA_BD[[#This Row],[Affected Feeder ]],'Basic Data'!$A$3:$E$50,3,0),"")</f>
        <v/>
      </c>
      <c r="J297" s="9" t="str">
        <f>IFERROR(VLOOKUP(IGA_BD[[#This Row],[Affected Feeder ]],'Basic Data'!$A$3:$E$50,5,0),"")</f>
        <v/>
      </c>
      <c r="O297" s="6">
        <f>(IGA_BD[[#This Row],[Work Start TimeStamp]]-IGA_BD[[#This Row],[Fault Start TimeStamp]])*24</f>
        <v>0</v>
      </c>
      <c r="P297" s="6">
        <f>(IGA_BD[[#This Row],[Fault Clearance time]]-IGA_BD[[#This Row],[Work Start TimeStamp]])*24</f>
        <v>0</v>
      </c>
      <c r="Q297" s="6">
        <f>(IGA_BD[[#This Row],[Fault Clearance time]]-IGA_BD[[#This Row],[Fault Start TimeStamp]])*24</f>
        <v>0</v>
      </c>
      <c r="S297" s="4"/>
      <c r="T297" s="4" t="str">
        <f>IFERROR(IGA_BD[[#This Row],[Breakdown Time]]*IGA_BD[[#This Row],[Plant Equivalent Weightage]],"")</f>
        <v/>
      </c>
      <c r="U297" s="4"/>
      <c r="V297" s="4"/>
    </row>
    <row r="298" spans="1:22">
      <c r="A298" s="10"/>
      <c r="B298" s="10"/>
      <c r="C298" s="10"/>
      <c r="D298" s="10"/>
      <c r="E298" s="309">
        <f>IGA_BD[[#This Row],[Date]]-DAY(IGA_BD[[#This Row],[Date]])+1</f>
        <v>1</v>
      </c>
      <c r="F298" s="32"/>
      <c r="H298" s="4" t="str">
        <f>IFERROR(VLOOKUP(IGA_BD[[#This Row],[Affected Feeder ]],'Basic Data'!$A$3:$E$50,2,0),"")</f>
        <v/>
      </c>
      <c r="I298" s="4" t="str">
        <f>IFERROR(VLOOKUP(IGA_BD[[#This Row],[Affected Feeder ]],'Basic Data'!$A$3:$E$50,3,0),"")</f>
        <v/>
      </c>
      <c r="J298" s="9" t="str">
        <f>IFERROR(VLOOKUP(IGA_BD[[#This Row],[Affected Feeder ]],'Basic Data'!$A$3:$E$50,5,0),"")</f>
        <v/>
      </c>
      <c r="O298" s="6">
        <f>(IGA_BD[[#This Row],[Work Start TimeStamp]]-IGA_BD[[#This Row],[Fault Start TimeStamp]])*24</f>
        <v>0</v>
      </c>
      <c r="P298" s="6">
        <f>(IGA_BD[[#This Row],[Fault Clearance time]]-IGA_BD[[#This Row],[Work Start TimeStamp]])*24</f>
        <v>0</v>
      </c>
      <c r="Q298" s="6">
        <f>(IGA_BD[[#This Row],[Fault Clearance time]]-IGA_BD[[#This Row],[Fault Start TimeStamp]])*24</f>
        <v>0</v>
      </c>
      <c r="S298" s="4"/>
      <c r="T298" s="4" t="str">
        <f>IFERROR(IGA_BD[[#This Row],[Breakdown Time]]*IGA_BD[[#This Row],[Plant Equivalent Weightage]],"")</f>
        <v/>
      </c>
      <c r="U298" s="4"/>
      <c r="V298" s="4"/>
    </row>
    <row r="299" spans="1:22">
      <c r="A299" s="10"/>
      <c r="B299" s="10"/>
      <c r="C299" s="10"/>
      <c r="D299" s="10"/>
      <c r="E299" s="309">
        <f>IGA_BD[[#This Row],[Date]]-DAY(IGA_BD[[#This Row],[Date]])+1</f>
        <v>1</v>
      </c>
      <c r="F299" s="32"/>
      <c r="H299" s="4" t="str">
        <f>IFERROR(VLOOKUP(IGA_BD[[#This Row],[Affected Feeder ]],'Basic Data'!$A$3:$E$50,2,0),"")</f>
        <v/>
      </c>
      <c r="I299" s="4" t="str">
        <f>IFERROR(VLOOKUP(IGA_BD[[#This Row],[Affected Feeder ]],'Basic Data'!$A$3:$E$50,3,0),"")</f>
        <v/>
      </c>
      <c r="J299" s="9" t="str">
        <f>IFERROR(VLOOKUP(IGA_BD[[#This Row],[Affected Feeder ]],'Basic Data'!$A$3:$E$50,5,0),"")</f>
        <v/>
      </c>
      <c r="O299" s="6">
        <f>(IGA_BD[[#This Row],[Work Start TimeStamp]]-IGA_BD[[#This Row],[Fault Start TimeStamp]])*24</f>
        <v>0</v>
      </c>
      <c r="P299" s="6">
        <f>(IGA_BD[[#This Row],[Fault Clearance time]]-IGA_BD[[#This Row],[Work Start TimeStamp]])*24</f>
        <v>0</v>
      </c>
      <c r="Q299" s="6">
        <f>(IGA_BD[[#This Row],[Fault Clearance time]]-IGA_BD[[#This Row],[Fault Start TimeStamp]])*24</f>
        <v>0</v>
      </c>
      <c r="S299" s="4"/>
      <c r="T299" s="4" t="str">
        <f>IFERROR(IGA_BD[[#This Row],[Breakdown Time]]*IGA_BD[[#This Row],[Plant Equivalent Weightage]],"")</f>
        <v/>
      </c>
      <c r="U299" s="4"/>
      <c r="V299" s="4"/>
    </row>
    <row r="300" spans="1:22">
      <c r="A300" s="10"/>
      <c r="B300" s="10"/>
      <c r="C300" s="10"/>
      <c r="D300" s="10"/>
      <c r="E300" s="309">
        <f>IGA_BD[[#This Row],[Date]]-DAY(IGA_BD[[#This Row],[Date]])+1</f>
        <v>1</v>
      </c>
      <c r="F300" s="32"/>
      <c r="H300" s="4" t="str">
        <f>IFERROR(VLOOKUP(IGA_BD[[#This Row],[Affected Feeder ]],'Basic Data'!$A$3:$E$50,2,0),"")</f>
        <v/>
      </c>
      <c r="I300" s="4" t="str">
        <f>IFERROR(VLOOKUP(IGA_BD[[#This Row],[Affected Feeder ]],'Basic Data'!$A$3:$E$50,3,0),"")</f>
        <v/>
      </c>
      <c r="J300" s="9" t="str">
        <f>IFERROR(VLOOKUP(IGA_BD[[#This Row],[Affected Feeder ]],'Basic Data'!$A$3:$E$50,5,0),"")</f>
        <v/>
      </c>
      <c r="O300" s="6">
        <f>(IGA_BD[[#This Row],[Work Start TimeStamp]]-IGA_BD[[#This Row],[Fault Start TimeStamp]])*24</f>
        <v>0</v>
      </c>
      <c r="P300" s="6">
        <f>(IGA_BD[[#This Row],[Fault Clearance time]]-IGA_BD[[#This Row],[Work Start TimeStamp]])*24</f>
        <v>0</v>
      </c>
      <c r="Q300" s="6">
        <f>(IGA_BD[[#This Row],[Fault Clearance time]]-IGA_BD[[#This Row],[Fault Start TimeStamp]])*24</f>
        <v>0</v>
      </c>
      <c r="S300" s="4"/>
      <c r="T300" s="4" t="str">
        <f>IFERROR(IGA_BD[[#This Row],[Breakdown Time]]*IGA_BD[[#This Row],[Plant Equivalent Weightage]],"")</f>
        <v/>
      </c>
      <c r="U300" s="4"/>
      <c r="V300" s="4"/>
    </row>
    <row r="301" spans="1:22">
      <c r="A301" s="10"/>
      <c r="B301" s="10"/>
      <c r="C301" s="10"/>
      <c r="D301" s="10"/>
      <c r="E301" s="309">
        <f>IGA_BD[[#This Row],[Date]]-DAY(IGA_BD[[#This Row],[Date]])+1</f>
        <v>1</v>
      </c>
      <c r="F301" s="32"/>
      <c r="H301" s="4" t="str">
        <f>IFERROR(VLOOKUP(IGA_BD[[#This Row],[Affected Feeder ]],'Basic Data'!$A$3:$E$50,2,0),"")</f>
        <v/>
      </c>
      <c r="I301" s="4" t="str">
        <f>IFERROR(VLOOKUP(IGA_BD[[#This Row],[Affected Feeder ]],'Basic Data'!$A$3:$E$50,3,0),"")</f>
        <v/>
      </c>
      <c r="J301" s="9" t="str">
        <f>IFERROR(VLOOKUP(IGA_BD[[#This Row],[Affected Feeder ]],'Basic Data'!$A$3:$E$50,5,0),"")</f>
        <v/>
      </c>
      <c r="O301" s="6">
        <f>(IGA_BD[[#This Row],[Work Start TimeStamp]]-IGA_BD[[#This Row],[Fault Start TimeStamp]])*24</f>
        <v>0</v>
      </c>
      <c r="P301" s="6">
        <f>(IGA_BD[[#This Row],[Fault Clearance time]]-IGA_BD[[#This Row],[Work Start TimeStamp]])*24</f>
        <v>0</v>
      </c>
      <c r="Q301" s="6">
        <f>(IGA_BD[[#This Row],[Fault Clearance time]]-IGA_BD[[#This Row],[Fault Start TimeStamp]])*24</f>
        <v>0</v>
      </c>
      <c r="S301" s="4"/>
      <c r="T301" s="4" t="str">
        <f>IFERROR(IGA_BD[[#This Row],[Breakdown Time]]*IGA_BD[[#This Row],[Plant Equivalent Weightage]],"")</f>
        <v/>
      </c>
      <c r="U301" s="4"/>
      <c r="V301" s="4"/>
    </row>
    <row r="302" spans="1:22">
      <c r="A302" s="10"/>
      <c r="B302" s="10"/>
      <c r="C302" s="10"/>
      <c r="D302" s="10"/>
      <c r="E302" s="309">
        <f>IGA_BD[[#This Row],[Date]]-DAY(IGA_BD[[#This Row],[Date]])+1</f>
        <v>1</v>
      </c>
      <c r="F302" s="32"/>
      <c r="H302" s="4" t="str">
        <f>IFERROR(VLOOKUP(IGA_BD[[#This Row],[Affected Feeder ]],'Basic Data'!$A$3:$E$50,2,0),"")</f>
        <v/>
      </c>
      <c r="I302" s="4" t="str">
        <f>IFERROR(VLOOKUP(IGA_BD[[#This Row],[Affected Feeder ]],'Basic Data'!$A$3:$E$50,3,0),"")</f>
        <v/>
      </c>
      <c r="J302" s="9" t="str">
        <f>IFERROR(VLOOKUP(IGA_BD[[#This Row],[Affected Feeder ]],'Basic Data'!$A$3:$E$50,5,0),"")</f>
        <v/>
      </c>
      <c r="O302" s="6">
        <f>(IGA_BD[[#This Row],[Work Start TimeStamp]]-IGA_BD[[#This Row],[Fault Start TimeStamp]])*24</f>
        <v>0</v>
      </c>
      <c r="P302" s="6">
        <f>(IGA_BD[[#This Row],[Fault Clearance time]]-IGA_BD[[#This Row],[Work Start TimeStamp]])*24</f>
        <v>0</v>
      </c>
      <c r="Q302" s="6">
        <f>(IGA_BD[[#This Row],[Fault Clearance time]]-IGA_BD[[#This Row],[Fault Start TimeStamp]])*24</f>
        <v>0</v>
      </c>
      <c r="S302" s="4"/>
      <c r="T302" s="4" t="str">
        <f>IFERROR(IGA_BD[[#This Row],[Breakdown Time]]*IGA_BD[[#This Row],[Plant Equivalent Weightage]],"")</f>
        <v/>
      </c>
      <c r="U302" s="4"/>
      <c r="V302" s="4"/>
    </row>
    <row r="303" spans="1:22">
      <c r="A303" s="10"/>
      <c r="B303" s="10"/>
      <c r="C303" s="10"/>
      <c r="D303" s="10"/>
      <c r="E303" s="309">
        <f>IGA_BD[[#This Row],[Date]]-DAY(IGA_BD[[#This Row],[Date]])+1</f>
        <v>1</v>
      </c>
      <c r="F303" s="32"/>
      <c r="H303" s="4" t="str">
        <f>IFERROR(VLOOKUP(IGA_BD[[#This Row],[Affected Feeder ]],'Basic Data'!$A$3:$E$50,2,0),"")</f>
        <v/>
      </c>
      <c r="I303" s="4" t="str">
        <f>IFERROR(VLOOKUP(IGA_BD[[#This Row],[Affected Feeder ]],'Basic Data'!$A$3:$E$50,3,0),"")</f>
        <v/>
      </c>
      <c r="J303" s="9" t="str">
        <f>IFERROR(VLOOKUP(IGA_BD[[#This Row],[Affected Feeder ]],'Basic Data'!$A$3:$E$50,5,0),"")</f>
        <v/>
      </c>
      <c r="O303" s="6">
        <f>(IGA_BD[[#This Row],[Work Start TimeStamp]]-IGA_BD[[#This Row],[Fault Start TimeStamp]])*24</f>
        <v>0</v>
      </c>
      <c r="P303" s="6">
        <f>(IGA_BD[[#This Row],[Fault Clearance time]]-IGA_BD[[#This Row],[Work Start TimeStamp]])*24</f>
        <v>0</v>
      </c>
      <c r="Q303" s="6">
        <f>(IGA_BD[[#This Row],[Fault Clearance time]]-IGA_BD[[#This Row],[Fault Start TimeStamp]])*24</f>
        <v>0</v>
      </c>
      <c r="S303" s="4"/>
      <c r="T303" s="4" t="str">
        <f>IFERROR(IGA_BD[[#This Row],[Breakdown Time]]*IGA_BD[[#This Row],[Plant Equivalent Weightage]],"")</f>
        <v/>
      </c>
      <c r="U303" s="4"/>
      <c r="V303" s="4"/>
    </row>
    <row r="304" spans="1:22">
      <c r="A304" s="10"/>
      <c r="B304" s="10"/>
      <c r="C304" s="10"/>
      <c r="D304" s="10"/>
      <c r="E304" s="309">
        <f>IGA_BD[[#This Row],[Date]]-DAY(IGA_BD[[#This Row],[Date]])+1</f>
        <v>1</v>
      </c>
      <c r="F304" s="32"/>
      <c r="H304" s="4" t="str">
        <f>IFERROR(VLOOKUP(IGA_BD[[#This Row],[Affected Feeder ]],'Basic Data'!$A$3:$E$50,2,0),"")</f>
        <v/>
      </c>
      <c r="I304" s="4" t="str">
        <f>IFERROR(VLOOKUP(IGA_BD[[#This Row],[Affected Feeder ]],'Basic Data'!$A$3:$E$50,3,0),"")</f>
        <v/>
      </c>
      <c r="J304" s="9" t="str">
        <f>IFERROR(VLOOKUP(IGA_BD[[#This Row],[Affected Feeder ]],'Basic Data'!$A$3:$E$50,5,0),"")</f>
        <v/>
      </c>
      <c r="O304" s="6">
        <f>(IGA_BD[[#This Row],[Work Start TimeStamp]]-IGA_BD[[#This Row],[Fault Start TimeStamp]])*24</f>
        <v>0</v>
      </c>
      <c r="P304" s="6">
        <f>(IGA_BD[[#This Row],[Fault Clearance time]]-IGA_BD[[#This Row],[Work Start TimeStamp]])*24</f>
        <v>0</v>
      </c>
      <c r="Q304" s="6">
        <f>(IGA_BD[[#This Row],[Fault Clearance time]]-IGA_BD[[#This Row],[Fault Start TimeStamp]])*24</f>
        <v>0</v>
      </c>
      <c r="S304" s="4"/>
      <c r="T304" s="4" t="str">
        <f>IFERROR(IGA_BD[[#This Row],[Breakdown Time]]*IGA_BD[[#This Row],[Plant Equivalent Weightage]],"")</f>
        <v/>
      </c>
      <c r="U304" s="4"/>
      <c r="V304" s="4"/>
    </row>
    <row r="305" spans="1:22">
      <c r="A305" s="10"/>
      <c r="B305" s="10"/>
      <c r="C305" s="10"/>
      <c r="D305" s="10"/>
      <c r="E305" s="309">
        <f>IGA_BD[[#This Row],[Date]]-DAY(IGA_BD[[#This Row],[Date]])+1</f>
        <v>1</v>
      </c>
      <c r="F305" s="32"/>
      <c r="H305" s="4" t="str">
        <f>IFERROR(VLOOKUP(IGA_BD[[#This Row],[Affected Feeder ]],'Basic Data'!$A$3:$E$50,2,0),"")</f>
        <v/>
      </c>
      <c r="I305" s="4" t="str">
        <f>IFERROR(VLOOKUP(IGA_BD[[#This Row],[Affected Feeder ]],'Basic Data'!$A$3:$E$50,3,0),"")</f>
        <v/>
      </c>
      <c r="J305" s="9" t="str">
        <f>IFERROR(VLOOKUP(IGA_BD[[#This Row],[Affected Feeder ]],'Basic Data'!$A$3:$E$50,5,0),"")</f>
        <v/>
      </c>
      <c r="O305" s="6">
        <f>(IGA_BD[[#This Row],[Work Start TimeStamp]]-IGA_BD[[#This Row],[Fault Start TimeStamp]])*24</f>
        <v>0</v>
      </c>
      <c r="P305" s="6">
        <f>(IGA_BD[[#This Row],[Fault Clearance time]]-IGA_BD[[#This Row],[Work Start TimeStamp]])*24</f>
        <v>0</v>
      </c>
      <c r="Q305" s="6">
        <f>(IGA_BD[[#This Row],[Fault Clearance time]]-IGA_BD[[#This Row],[Fault Start TimeStamp]])*24</f>
        <v>0</v>
      </c>
      <c r="S305" s="4"/>
      <c r="T305" s="4" t="str">
        <f>IFERROR(IGA_BD[[#This Row],[Breakdown Time]]*IGA_BD[[#This Row],[Plant Equivalent Weightage]],"")</f>
        <v/>
      </c>
      <c r="U305" s="4"/>
      <c r="V305" s="4"/>
    </row>
    <row r="306" spans="1:22">
      <c r="A306" s="10"/>
      <c r="B306" s="10"/>
      <c r="C306" s="10"/>
      <c r="D306" s="10"/>
      <c r="E306" s="309">
        <f>IGA_BD[[#This Row],[Date]]-DAY(IGA_BD[[#This Row],[Date]])+1</f>
        <v>1</v>
      </c>
      <c r="F306" s="32"/>
      <c r="H306" s="4" t="str">
        <f>IFERROR(VLOOKUP(IGA_BD[[#This Row],[Affected Feeder ]],'Basic Data'!$A$3:$E$50,2,0),"")</f>
        <v/>
      </c>
      <c r="I306" s="4" t="str">
        <f>IFERROR(VLOOKUP(IGA_BD[[#This Row],[Affected Feeder ]],'Basic Data'!$A$3:$E$50,3,0),"")</f>
        <v/>
      </c>
      <c r="J306" s="9" t="str">
        <f>IFERROR(VLOOKUP(IGA_BD[[#This Row],[Affected Feeder ]],'Basic Data'!$A$3:$E$50,5,0),"")</f>
        <v/>
      </c>
      <c r="O306" s="6">
        <f>(IGA_BD[[#This Row],[Work Start TimeStamp]]-IGA_BD[[#This Row],[Fault Start TimeStamp]])*24</f>
        <v>0</v>
      </c>
      <c r="P306" s="6">
        <f>(IGA_BD[[#This Row],[Fault Clearance time]]-IGA_BD[[#This Row],[Work Start TimeStamp]])*24</f>
        <v>0</v>
      </c>
      <c r="Q306" s="6">
        <f>(IGA_BD[[#This Row],[Fault Clearance time]]-IGA_BD[[#This Row],[Fault Start TimeStamp]])*24</f>
        <v>0</v>
      </c>
      <c r="S306" s="4"/>
      <c r="T306" s="4" t="str">
        <f>IFERROR(IGA_BD[[#This Row],[Breakdown Time]]*IGA_BD[[#This Row],[Plant Equivalent Weightage]],"")</f>
        <v/>
      </c>
      <c r="U306" s="4"/>
      <c r="V306" s="4"/>
    </row>
    <row r="307" spans="1:22">
      <c r="A307" s="10"/>
      <c r="B307" s="10"/>
      <c r="C307" s="10"/>
      <c r="D307" s="10"/>
      <c r="E307" s="309">
        <f>IGA_BD[[#This Row],[Date]]-DAY(IGA_BD[[#This Row],[Date]])+1</f>
        <v>1</v>
      </c>
      <c r="F307" s="32"/>
      <c r="H307" s="4" t="str">
        <f>IFERROR(VLOOKUP(IGA_BD[[#This Row],[Affected Feeder ]],'Basic Data'!$A$3:$E$50,2,0),"")</f>
        <v/>
      </c>
      <c r="I307" s="4" t="str">
        <f>IFERROR(VLOOKUP(IGA_BD[[#This Row],[Affected Feeder ]],'Basic Data'!$A$3:$E$50,3,0),"")</f>
        <v/>
      </c>
      <c r="J307" s="9" t="str">
        <f>IFERROR(VLOOKUP(IGA_BD[[#This Row],[Affected Feeder ]],'Basic Data'!$A$3:$E$50,5,0),"")</f>
        <v/>
      </c>
      <c r="O307" s="6">
        <f>(IGA_BD[[#This Row],[Work Start TimeStamp]]-IGA_BD[[#This Row],[Fault Start TimeStamp]])*24</f>
        <v>0</v>
      </c>
      <c r="P307" s="6">
        <f>(IGA_BD[[#This Row],[Fault Clearance time]]-IGA_BD[[#This Row],[Work Start TimeStamp]])*24</f>
        <v>0</v>
      </c>
      <c r="Q307" s="6">
        <f>(IGA_BD[[#This Row],[Fault Clearance time]]-IGA_BD[[#This Row],[Fault Start TimeStamp]])*24</f>
        <v>0</v>
      </c>
      <c r="S307" s="4"/>
      <c r="T307" s="4" t="str">
        <f>IFERROR(IGA_BD[[#This Row],[Breakdown Time]]*IGA_BD[[#This Row],[Plant Equivalent Weightage]],"")</f>
        <v/>
      </c>
      <c r="U307" s="4"/>
      <c r="V307" s="4"/>
    </row>
    <row r="308" spans="1:22">
      <c r="A308" s="10"/>
      <c r="B308" s="10"/>
      <c r="C308" s="10"/>
      <c r="D308" s="10"/>
      <c r="E308" s="309">
        <f>IGA_BD[[#This Row],[Date]]-DAY(IGA_BD[[#This Row],[Date]])+1</f>
        <v>1</v>
      </c>
      <c r="F308" s="32"/>
      <c r="H308" s="4" t="str">
        <f>IFERROR(VLOOKUP(IGA_BD[[#This Row],[Affected Feeder ]],'Basic Data'!$A$3:$E$50,2,0),"")</f>
        <v/>
      </c>
      <c r="I308" s="4" t="str">
        <f>IFERROR(VLOOKUP(IGA_BD[[#This Row],[Affected Feeder ]],'Basic Data'!$A$3:$E$50,3,0),"")</f>
        <v/>
      </c>
      <c r="J308" s="9" t="str">
        <f>IFERROR(VLOOKUP(IGA_BD[[#This Row],[Affected Feeder ]],'Basic Data'!$A$3:$E$50,5,0),"")</f>
        <v/>
      </c>
      <c r="O308" s="6">
        <f>(IGA_BD[[#This Row],[Work Start TimeStamp]]-IGA_BD[[#This Row],[Fault Start TimeStamp]])*24</f>
        <v>0</v>
      </c>
      <c r="P308" s="6">
        <f>(IGA_BD[[#This Row],[Fault Clearance time]]-IGA_BD[[#This Row],[Work Start TimeStamp]])*24</f>
        <v>0</v>
      </c>
      <c r="Q308" s="6">
        <f>(IGA_BD[[#This Row],[Fault Clearance time]]-IGA_BD[[#This Row],[Fault Start TimeStamp]])*24</f>
        <v>0</v>
      </c>
      <c r="S308" s="4"/>
      <c r="T308" s="4" t="str">
        <f>IFERROR(IGA_BD[[#This Row],[Breakdown Time]]*IGA_BD[[#This Row],[Plant Equivalent Weightage]],"")</f>
        <v/>
      </c>
      <c r="U308" s="4"/>
      <c r="V308" s="4"/>
    </row>
    <row r="309" spans="1:22">
      <c r="A309" s="10"/>
      <c r="B309" s="10"/>
      <c r="C309" s="10"/>
      <c r="D309" s="10"/>
      <c r="E309" s="309">
        <f>IGA_BD[[#This Row],[Date]]-DAY(IGA_BD[[#This Row],[Date]])+1</f>
        <v>1</v>
      </c>
      <c r="F309" s="32"/>
      <c r="H309" s="4" t="str">
        <f>IFERROR(VLOOKUP(IGA_BD[[#This Row],[Affected Feeder ]],'Basic Data'!$A$3:$E$50,2,0),"")</f>
        <v/>
      </c>
      <c r="I309" s="4" t="str">
        <f>IFERROR(VLOOKUP(IGA_BD[[#This Row],[Affected Feeder ]],'Basic Data'!$A$3:$E$50,3,0),"")</f>
        <v/>
      </c>
      <c r="J309" s="9" t="str">
        <f>IFERROR(VLOOKUP(IGA_BD[[#This Row],[Affected Feeder ]],'Basic Data'!$A$3:$E$50,5,0),"")</f>
        <v/>
      </c>
      <c r="O309" s="6">
        <f>(IGA_BD[[#This Row],[Work Start TimeStamp]]-IGA_BD[[#This Row],[Fault Start TimeStamp]])*24</f>
        <v>0</v>
      </c>
      <c r="P309" s="6">
        <f>(IGA_BD[[#This Row],[Fault Clearance time]]-IGA_BD[[#This Row],[Work Start TimeStamp]])*24</f>
        <v>0</v>
      </c>
      <c r="Q309" s="6">
        <f>(IGA_BD[[#This Row],[Fault Clearance time]]-IGA_BD[[#This Row],[Fault Start TimeStamp]])*24</f>
        <v>0</v>
      </c>
      <c r="S309" s="4"/>
      <c r="T309" s="4" t="str">
        <f>IFERROR(IGA_BD[[#This Row],[Breakdown Time]]*IGA_BD[[#This Row],[Plant Equivalent Weightage]],"")</f>
        <v/>
      </c>
      <c r="U309" s="4"/>
      <c r="V309" s="4"/>
    </row>
    <row r="310" spans="1:22">
      <c r="A310" s="10"/>
      <c r="B310" s="10"/>
      <c r="C310" s="10"/>
      <c r="D310" s="10"/>
      <c r="E310" s="309">
        <f>IGA_BD[[#This Row],[Date]]-DAY(IGA_BD[[#This Row],[Date]])+1</f>
        <v>1</v>
      </c>
      <c r="F310" s="32"/>
      <c r="H310" s="4" t="str">
        <f>IFERROR(VLOOKUP(IGA_BD[[#This Row],[Affected Feeder ]],'Basic Data'!$A$3:$E$50,2,0),"")</f>
        <v/>
      </c>
      <c r="I310" s="4" t="str">
        <f>IFERROR(VLOOKUP(IGA_BD[[#This Row],[Affected Feeder ]],'Basic Data'!$A$3:$E$50,3,0),"")</f>
        <v/>
      </c>
      <c r="J310" s="9" t="str">
        <f>IFERROR(VLOOKUP(IGA_BD[[#This Row],[Affected Feeder ]],'Basic Data'!$A$3:$E$50,5,0),"")</f>
        <v/>
      </c>
      <c r="O310" s="6">
        <f>(IGA_BD[[#This Row],[Work Start TimeStamp]]-IGA_BD[[#This Row],[Fault Start TimeStamp]])*24</f>
        <v>0</v>
      </c>
      <c r="P310" s="6">
        <f>(IGA_BD[[#This Row],[Fault Clearance time]]-IGA_BD[[#This Row],[Work Start TimeStamp]])*24</f>
        <v>0</v>
      </c>
      <c r="Q310" s="6">
        <f>(IGA_BD[[#This Row],[Fault Clearance time]]-IGA_BD[[#This Row],[Fault Start TimeStamp]])*24</f>
        <v>0</v>
      </c>
      <c r="S310" s="4"/>
      <c r="T310" s="4" t="str">
        <f>IFERROR(IGA_BD[[#This Row],[Breakdown Time]]*IGA_BD[[#This Row],[Plant Equivalent Weightage]],"")</f>
        <v/>
      </c>
      <c r="U310" s="4"/>
      <c r="V310" s="4"/>
    </row>
    <row r="311" spans="1:22">
      <c r="A311" s="10"/>
      <c r="B311" s="10"/>
      <c r="C311" s="10"/>
      <c r="D311" s="10"/>
      <c r="E311" s="309">
        <f>IGA_BD[[#This Row],[Date]]-DAY(IGA_BD[[#This Row],[Date]])+1</f>
        <v>1</v>
      </c>
      <c r="F311" s="32"/>
      <c r="H311" s="4" t="str">
        <f>IFERROR(VLOOKUP(IGA_BD[[#This Row],[Affected Feeder ]],'Basic Data'!$A$3:$E$50,2,0),"")</f>
        <v/>
      </c>
      <c r="I311" s="4" t="str">
        <f>IFERROR(VLOOKUP(IGA_BD[[#This Row],[Affected Feeder ]],'Basic Data'!$A$3:$E$50,3,0),"")</f>
        <v/>
      </c>
      <c r="J311" s="9" t="str">
        <f>IFERROR(VLOOKUP(IGA_BD[[#This Row],[Affected Feeder ]],'Basic Data'!$A$3:$E$50,5,0),"")</f>
        <v/>
      </c>
      <c r="O311" s="6">
        <f>(IGA_BD[[#This Row],[Work Start TimeStamp]]-IGA_BD[[#This Row],[Fault Start TimeStamp]])*24</f>
        <v>0</v>
      </c>
      <c r="P311" s="6">
        <f>(IGA_BD[[#This Row],[Fault Clearance time]]-IGA_BD[[#This Row],[Work Start TimeStamp]])*24</f>
        <v>0</v>
      </c>
      <c r="Q311" s="6">
        <f>(IGA_BD[[#This Row],[Fault Clearance time]]-IGA_BD[[#This Row],[Fault Start TimeStamp]])*24</f>
        <v>0</v>
      </c>
      <c r="S311" s="4"/>
      <c r="T311" s="4" t="str">
        <f>IFERROR(IGA_BD[[#This Row],[Breakdown Time]]*IGA_BD[[#This Row],[Plant Equivalent Weightage]],"")</f>
        <v/>
      </c>
      <c r="U311" s="4"/>
      <c r="V311" s="4"/>
    </row>
  </sheetData>
  <phoneticPr fontId="81" type="noConversion"/>
  <pageMargins left="0.7" right="0.7" top="0.75" bottom="0.75" header="0.3" footer="0.3"/>
  <pageSetup orientation="portrait"/>
  <headerFooter>
    <oddFooter>&amp;C&amp;1#&amp;"Calibri"&amp;8&amp;K000000Classification: Confidential</oddFooter>
  </headerFooter>
  <ignoredErrors>
    <ignoredError sqref="W5:W142" calculatedColumn="1"/>
  </ignoredErrors>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1000000}">
          <x14:formula1>
            <xm:f>'Basic Data'!$A$3:$A$50</xm:f>
          </x14:formula1>
          <xm:sqref>G5:G149 G156:G176</xm:sqref>
        </x14:dataValidation>
        <x14:dataValidation type="list" allowBlank="1" showInputMessage="1" showErrorMessage="1" xr:uid="{00000000-0002-0000-0800-000002000000}">
          <x14:formula1>
            <xm:f>'Basic Data'!$Q$3:$Q$6</xm:f>
          </x14:formula1>
          <xm:sqref>S5:S176</xm:sqref>
        </x14:dataValidation>
        <x14:dataValidation type="list" allowBlank="1" showInputMessage="1" showErrorMessage="1" xr:uid="{449BAB20-0362-41AB-AEEF-0DFCC5B3B4F4}">
          <x14:formula1>
            <xm:f>'Basic Data'!$BQ$3:$BQ$6</xm:f>
          </x14:formula1>
          <xm:sqref>U5:V1048576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615"/>
  <sheetViews>
    <sheetView zoomScaleNormal="100" workbookViewId="0">
      <pane xSplit="6" ySplit="1" topLeftCell="G8" activePane="bottomRight" state="frozen"/>
      <selection pane="topRight" activeCell="F1" sqref="F1"/>
      <selection pane="bottomLeft" activeCell="A2" sqref="A2"/>
      <selection pane="bottomRight" activeCell="K24" sqref="K24"/>
    </sheetView>
  </sheetViews>
  <sheetFormatPr defaultColWidth="8.7265625" defaultRowHeight="14.5"/>
  <cols>
    <col min="1" max="1" width="10.26953125" customWidth="1"/>
    <col min="2" max="2" width="14.54296875" bestFit="1" customWidth="1"/>
    <col min="3" max="3" width="15.26953125" bestFit="1" customWidth="1"/>
    <col min="4" max="4" width="16.26953125" bestFit="1" customWidth="1"/>
    <col min="5" max="5" width="16.26953125" customWidth="1"/>
    <col min="6" max="6" width="11.26953125" bestFit="1" customWidth="1"/>
    <col min="7" max="7" width="15" bestFit="1" customWidth="1"/>
    <col min="8" max="9" width="7.26953125" hidden="1" customWidth="1"/>
    <col min="10" max="10" width="16.7265625" bestFit="1" customWidth="1"/>
    <col min="11" max="11" width="71.7265625" bestFit="1" customWidth="1"/>
    <col min="12" max="12" width="17.453125" bestFit="1" customWidth="1"/>
    <col min="13" max="13" width="13" style="52" bestFit="1" customWidth="1"/>
    <col min="14" max="14" width="13.7265625" style="52" bestFit="1" customWidth="1"/>
    <col min="15" max="15" width="16.453125" style="52" bestFit="1" customWidth="1"/>
    <col min="16" max="17" width="12.26953125" bestFit="1" customWidth="1"/>
    <col min="18" max="18" width="8.7265625" customWidth="1"/>
    <col min="19" max="19" width="64.7265625" customWidth="1"/>
    <col min="20" max="20" width="13.26953125" customWidth="1"/>
    <col min="21" max="21" width="17.453125" style="29" bestFit="1" customWidth="1"/>
    <col min="22" max="24" width="17.453125" style="29" customWidth="1"/>
    <col min="25" max="26" width="13.7265625" bestFit="1" customWidth="1"/>
    <col min="27" max="27" width="13.453125" bestFit="1" customWidth="1"/>
  </cols>
  <sheetData>
    <row r="1" spans="1:30" ht="42" customHeight="1">
      <c r="A1" s="30" t="s">
        <v>6</v>
      </c>
      <c r="B1" s="30" t="s">
        <v>149</v>
      </c>
      <c r="C1" s="30" t="s">
        <v>150</v>
      </c>
      <c r="D1" s="30" t="s">
        <v>236</v>
      </c>
      <c r="E1" s="30" t="s">
        <v>4264</v>
      </c>
      <c r="F1" s="31" t="s">
        <v>148</v>
      </c>
      <c r="G1" s="30" t="s">
        <v>385</v>
      </c>
      <c r="H1" s="30" t="s">
        <v>39</v>
      </c>
      <c r="I1" s="30" t="s">
        <v>238</v>
      </c>
      <c r="J1" s="30" t="s">
        <v>239</v>
      </c>
      <c r="K1" s="30" t="s">
        <v>242</v>
      </c>
      <c r="L1" s="30" t="s">
        <v>393</v>
      </c>
      <c r="M1" s="30" t="s">
        <v>243</v>
      </c>
      <c r="N1" s="30" t="s">
        <v>244</v>
      </c>
      <c r="O1" s="30" t="s">
        <v>245</v>
      </c>
      <c r="P1" s="30" t="s">
        <v>246</v>
      </c>
      <c r="Q1" s="30" t="s">
        <v>247</v>
      </c>
      <c r="R1" s="30" t="s">
        <v>248</v>
      </c>
      <c r="S1" s="30" t="s">
        <v>249</v>
      </c>
      <c r="T1" s="30" t="s">
        <v>250</v>
      </c>
      <c r="U1" s="36" t="s">
        <v>251</v>
      </c>
      <c r="V1" s="36" t="s">
        <v>4615</v>
      </c>
      <c r="W1" s="353" t="s">
        <v>252</v>
      </c>
      <c r="X1" s="354" t="s">
        <v>4655</v>
      </c>
      <c r="Y1" s="37" t="s">
        <v>253</v>
      </c>
      <c r="Z1" s="37" t="s">
        <v>394</v>
      </c>
      <c r="AA1" s="37" t="s">
        <v>395</v>
      </c>
      <c r="AB1" s="37" t="s">
        <v>4566</v>
      </c>
      <c r="AC1" s="37" t="s">
        <v>4567</v>
      </c>
    </row>
    <row r="2" spans="1:30">
      <c r="A2" s="10">
        <v>1</v>
      </c>
      <c r="B2" s="10">
        <f>YEAR(Grid_BD[[#This Row],[Date]])+IF(MONTH(Grid_BD[[#This Row],[Date]])&gt;=4,1,0)</f>
        <v>2026</v>
      </c>
      <c r="C2" s="10">
        <v>2025</v>
      </c>
      <c r="D2" s="10" t="s">
        <v>4309</v>
      </c>
      <c r="E2" s="309">
        <f>Grid_BD[[#This Row],[Date]]-DAY(Grid_BD[[#This Row],[Date]])+1</f>
        <v>45748</v>
      </c>
      <c r="F2" s="32">
        <v>45767</v>
      </c>
      <c r="G2" t="s">
        <v>396</v>
      </c>
      <c r="H2" t="s">
        <v>4319</v>
      </c>
      <c r="I2" t="s">
        <v>4319</v>
      </c>
      <c r="J2" s="8">
        <f>IFERROR(_xlfn.XLOOKUP(Grid_BD[[#This Row],[Affected Feeder ]],'Basic Data'!$A:$A,'Basic Data'!$E:$E),"")</f>
        <v>1</v>
      </c>
      <c r="K2" t="s">
        <v>4315</v>
      </c>
      <c r="L2" t="s">
        <v>113</v>
      </c>
      <c r="M2" s="35">
        <v>0.89722222222222225</v>
      </c>
      <c r="N2" s="35">
        <v>0.89722222222222225</v>
      </c>
      <c r="O2" s="35">
        <v>0.99930555555555556</v>
      </c>
      <c r="P2" s="34">
        <f>Grid_BD[[#This Row],[Work Start TimeStamp]]-Grid_BD[[#This Row],[Fault Start TimeStamp]]</f>
        <v>0</v>
      </c>
      <c r="Q2" s="34">
        <f>(Grid_BD[[#This Row],[Fault Clearance time]]-Grid_BD[[#This Row],[Work Start TimeStamp]])*24</f>
        <v>2.4499999999999993</v>
      </c>
      <c r="R2" s="34">
        <f>(Grid_BD[[#This Row],[Fault Clearance time]]-Grid_BD[[#This Row],[Fault Start TimeStamp]])*24</f>
        <v>2.4499999999999993</v>
      </c>
      <c r="S2" s="38" t="s">
        <v>4550</v>
      </c>
      <c r="T2" s="4" t="s">
        <v>270</v>
      </c>
      <c r="U2" s="39">
        <f>IFERROR(Grid_BD[[#This Row],[Breakdown Time]]*Grid_BD[[#This Row],[Plant Equivalent Weightage]],"")</f>
        <v>2.4499999999999993</v>
      </c>
      <c r="V2" s="39"/>
      <c r="W2" s="39"/>
      <c r="X2" s="39"/>
      <c r="Y2">
        <v>24250</v>
      </c>
      <c r="AA2" s="3">
        <f>IF(Grid_BD[[#This Row],[Breakdown Type]]="Curtailment Order",(((100%*(24-Grid_BD[[#This Row],[Plant Equivalent breakdown]]))+(((Grid_BD[[#This Row],[Curtailment Order imit.]])/50.6)*Grid_BD[[#This Row],[Plant Equivalent breakdown]]))/24),1)</f>
        <v>1</v>
      </c>
    </row>
    <row r="3" spans="1:30">
      <c r="A3" s="10">
        <f t="shared" ref="A3:A22" si="0">A2+1</f>
        <v>2</v>
      </c>
      <c r="B3" s="10">
        <f>YEAR(Grid_BD[[#This Row],[Date]])+IF(MONTH(Grid_BD[[#This Row],[Date]])&gt;=4,1,0)</f>
        <v>2026</v>
      </c>
      <c r="C3" s="10">
        <v>2025</v>
      </c>
      <c r="D3" s="10" t="s">
        <v>4309</v>
      </c>
      <c r="E3" s="309">
        <f>Grid_BD[[#This Row],[Date]]-DAY(Grid_BD[[#This Row],[Date]])+1</f>
        <v>45748</v>
      </c>
      <c r="F3" s="32">
        <v>45768</v>
      </c>
      <c r="G3" t="s">
        <v>396</v>
      </c>
      <c r="H3" t="s">
        <v>4319</v>
      </c>
      <c r="I3" t="s">
        <v>4319</v>
      </c>
      <c r="J3" s="8">
        <f>IFERROR(_xlfn.XLOOKUP(Grid_BD[[#This Row],[Affected Feeder ]],'Basic Data'!$A:$A,'Basic Data'!$E:$E),"")</f>
        <v>1</v>
      </c>
      <c r="K3" t="s">
        <v>4315</v>
      </c>
      <c r="L3" t="s">
        <v>113</v>
      </c>
      <c r="M3" s="35">
        <v>0</v>
      </c>
      <c r="N3" s="35">
        <v>0</v>
      </c>
      <c r="O3" s="35">
        <v>3.4722222222222224E-2</v>
      </c>
      <c r="P3" s="34">
        <f>Grid_BD[[#This Row],[Work Start TimeStamp]]-Grid_BD[[#This Row],[Fault Start TimeStamp]]</f>
        <v>0</v>
      </c>
      <c r="Q3" s="34">
        <f>(Grid_BD[[#This Row],[Fault Clearance time]]-Grid_BD[[#This Row],[Work Start TimeStamp]])*24</f>
        <v>0.83333333333333337</v>
      </c>
      <c r="R3" s="34">
        <f>(Grid_BD[[#This Row],[Fault Clearance time]]-Grid_BD[[#This Row],[Fault Start TimeStamp]])*24</f>
        <v>0.83333333333333337</v>
      </c>
      <c r="S3" s="208" t="s">
        <v>4316</v>
      </c>
      <c r="T3" s="4" t="s">
        <v>255</v>
      </c>
      <c r="U3" s="39">
        <f>IFERROR(Grid_BD[[#This Row],[Breakdown Time]]*Grid_BD[[#This Row],[Plant Equivalent Weightage]],"")</f>
        <v>0.83333333333333337</v>
      </c>
      <c r="V3" s="39"/>
      <c r="W3" s="39"/>
      <c r="X3" s="39"/>
      <c r="Y3">
        <v>3824</v>
      </c>
      <c r="AA3" s="3">
        <f>IF(Grid_BD[[#This Row],[Breakdown Type]]="Curtailment Order",(((100%*(24-Grid_BD[[#This Row],[Plant Equivalent breakdown]]))+(((Grid_BD[[#This Row],[Curtailment Order imit.]])/50.6)*Grid_BD[[#This Row],[Plant Equivalent breakdown]]))/24),1)</f>
        <v>1</v>
      </c>
    </row>
    <row r="4" spans="1:30">
      <c r="A4" s="10">
        <f t="shared" si="0"/>
        <v>3</v>
      </c>
      <c r="B4" s="10">
        <f>YEAR(Grid_BD[[#This Row],[Date]])+IF(MONTH(Grid_BD[[#This Row],[Date]])&gt;=4,1,0)</f>
        <v>2026</v>
      </c>
      <c r="C4" s="10">
        <v>2025</v>
      </c>
      <c r="D4" s="10" t="s">
        <v>4309</v>
      </c>
      <c r="E4" s="309">
        <f>Grid_BD[[#This Row],[Date]]-DAY(Grid_BD[[#This Row],[Date]])+1</f>
        <v>45748</v>
      </c>
      <c r="F4" s="32">
        <v>45769</v>
      </c>
      <c r="G4" t="s">
        <v>396</v>
      </c>
      <c r="H4" t="s">
        <v>4319</v>
      </c>
      <c r="I4" t="s">
        <v>4319</v>
      </c>
      <c r="J4" s="8">
        <f>IFERROR(_xlfn.XLOOKUP(Grid_BD[[#This Row],[Affected Feeder ]],'Basic Data'!$A:$A,'Basic Data'!$E:$E),"")</f>
        <v>1</v>
      </c>
      <c r="K4" t="s">
        <v>4315</v>
      </c>
      <c r="L4" t="s">
        <v>113</v>
      </c>
      <c r="M4" s="35">
        <v>0.62638888888888888</v>
      </c>
      <c r="N4" s="35">
        <v>0.62638888888888888</v>
      </c>
      <c r="O4" s="35">
        <v>0.65208333333333335</v>
      </c>
      <c r="P4" s="34">
        <f>Grid_BD[[#This Row],[Work Start TimeStamp]]-Grid_BD[[#This Row],[Fault Start TimeStamp]]</f>
        <v>0</v>
      </c>
      <c r="Q4" s="34">
        <f>(Grid_BD[[#This Row],[Fault Clearance time]]-Grid_BD[[#This Row],[Work Start TimeStamp]])*24</f>
        <v>0.61666666666666714</v>
      </c>
      <c r="R4" s="34">
        <f>(Grid_BD[[#This Row],[Fault Clearance time]]-Grid_BD[[#This Row],[Fault Start TimeStamp]])*24</f>
        <v>0.61666666666666714</v>
      </c>
      <c r="S4" s="38" t="s">
        <v>4316</v>
      </c>
      <c r="T4" s="4" t="s">
        <v>255</v>
      </c>
      <c r="U4" s="39">
        <f>IFERROR(Grid_BD[[#This Row],[Breakdown Time]]*Grid_BD[[#This Row],[Plant Equivalent Weightage]],"")</f>
        <v>0.61666666666666714</v>
      </c>
      <c r="V4" s="39"/>
      <c r="W4" s="39"/>
      <c r="X4" s="39"/>
      <c r="Y4">
        <v>1685</v>
      </c>
      <c r="AA4" s="3">
        <f>IF(Grid_BD[[#This Row],[Breakdown Type]]="Curtailment Order",(((100%*(24-Grid_BD[[#This Row],[Plant Equivalent breakdown]]))+(((Grid_BD[[#This Row],[Curtailment Order imit.]])/50.6)*Grid_BD[[#This Row],[Plant Equivalent breakdown]]))/24),1)</f>
        <v>1</v>
      </c>
      <c r="AD4" t="s">
        <v>4340</v>
      </c>
    </row>
    <row r="5" spans="1:30">
      <c r="A5" s="10">
        <f t="shared" si="0"/>
        <v>4</v>
      </c>
      <c r="B5" s="10">
        <f>YEAR(Grid_BD[[#This Row],[Date]])+IF(MONTH(Grid_BD[[#This Row],[Date]])&gt;=4,1,0)</f>
        <v>2026</v>
      </c>
      <c r="C5" s="10">
        <v>2025</v>
      </c>
      <c r="D5" s="10" t="s">
        <v>4309</v>
      </c>
      <c r="E5" s="309">
        <f>Grid_BD[[#This Row],[Date]]-DAY(Grid_BD[[#This Row],[Date]])+1</f>
        <v>45748</v>
      </c>
      <c r="F5" s="32">
        <v>45769</v>
      </c>
      <c r="G5" t="s">
        <v>396</v>
      </c>
      <c r="H5" t="s">
        <v>4319</v>
      </c>
      <c r="I5" t="s">
        <v>4319</v>
      </c>
      <c r="J5" s="8">
        <f>IFERROR(_xlfn.XLOOKUP(Grid_BD[[#This Row],[Affected Feeder ]],'Basic Data'!$A:$A,'Basic Data'!$E:$E),"")</f>
        <v>1</v>
      </c>
      <c r="K5" t="s">
        <v>4315</v>
      </c>
      <c r="L5" t="s">
        <v>113</v>
      </c>
      <c r="M5" s="35">
        <v>0.72916666666666663</v>
      </c>
      <c r="N5" s="35">
        <v>0.72916666666666663</v>
      </c>
      <c r="O5" s="35">
        <v>0.7319444444444444</v>
      </c>
      <c r="P5" s="34">
        <f>Grid_BD[[#This Row],[Work Start TimeStamp]]-Grid_BD[[#This Row],[Fault Start TimeStamp]]</f>
        <v>0</v>
      </c>
      <c r="Q5" s="34">
        <f>(Grid_BD[[#This Row],[Fault Clearance time]]-Grid_BD[[#This Row],[Work Start TimeStamp]])*24</f>
        <v>6.666666666666643E-2</v>
      </c>
      <c r="R5" s="34">
        <f>(Grid_BD[[#This Row],[Fault Clearance time]]-Grid_BD[[#This Row],[Fault Start TimeStamp]])*24</f>
        <v>6.666666666666643E-2</v>
      </c>
      <c r="S5" s="38" t="s">
        <v>4316</v>
      </c>
      <c r="T5" s="4" t="s">
        <v>255</v>
      </c>
      <c r="U5" s="39">
        <f>IFERROR(Grid_BD[[#This Row],[Breakdown Time]]*Grid_BD[[#This Row],[Plant Equivalent Weightage]],"")</f>
        <v>6.666666666666643E-2</v>
      </c>
      <c r="V5" s="39"/>
      <c r="W5" s="39"/>
      <c r="X5" s="39"/>
      <c r="Y5">
        <v>210</v>
      </c>
      <c r="AA5" s="3">
        <f>IF(Grid_BD[[#This Row],[Breakdown Type]]="Curtailment Order",(((100%*(24-Grid_BD[[#This Row],[Plant Equivalent breakdown]]))+(((Grid_BD[[#This Row],[Curtailment Order imit.]])/50.6)*Grid_BD[[#This Row],[Plant Equivalent breakdown]]))/24),1)</f>
        <v>1</v>
      </c>
    </row>
    <row r="6" spans="1:30">
      <c r="A6" s="10">
        <f t="shared" si="0"/>
        <v>5</v>
      </c>
      <c r="B6" s="10">
        <f>YEAR(Grid_BD[[#This Row],[Date]])+IF(MONTH(Grid_BD[[#This Row],[Date]])&gt;=4,1,0)</f>
        <v>2026</v>
      </c>
      <c r="C6" s="10">
        <v>2025</v>
      </c>
      <c r="D6" s="10" t="s">
        <v>4309</v>
      </c>
      <c r="E6" s="309">
        <f>Grid_BD[[#This Row],[Date]]-DAY(Grid_BD[[#This Row],[Date]])+1</f>
        <v>45748</v>
      </c>
      <c r="F6" s="32">
        <v>45774</v>
      </c>
      <c r="G6" t="s">
        <v>396</v>
      </c>
      <c r="H6" t="s">
        <v>4319</v>
      </c>
      <c r="I6" t="s">
        <v>4319</v>
      </c>
      <c r="J6" s="8">
        <f>IFERROR(_xlfn.XLOOKUP(Grid_BD[[#This Row],[Affected Feeder ]],'Basic Data'!$A:$A,'Basic Data'!$E:$E),"")</f>
        <v>1</v>
      </c>
      <c r="K6" t="s">
        <v>397</v>
      </c>
      <c r="L6" t="s">
        <v>113</v>
      </c>
      <c r="M6" s="35">
        <v>0.49652777777777779</v>
      </c>
      <c r="N6" s="35">
        <v>0.49652777777777779</v>
      </c>
      <c r="O6" s="35">
        <v>0.52083333333333337</v>
      </c>
      <c r="P6" s="34">
        <f>Grid_BD[[#This Row],[Work Start TimeStamp]]-Grid_BD[[#This Row],[Fault Start TimeStamp]]</f>
        <v>0</v>
      </c>
      <c r="Q6" s="34">
        <f>(Grid_BD[[#This Row],[Fault Clearance time]]-Grid_BD[[#This Row],[Work Start TimeStamp]])*24</f>
        <v>0.58333333333333393</v>
      </c>
      <c r="R6" s="34">
        <f>(Grid_BD[[#This Row],[Fault Clearance time]]-Grid_BD[[#This Row],[Fault Start TimeStamp]])*24</f>
        <v>0.58333333333333393</v>
      </c>
      <c r="S6" s="38" t="s">
        <v>4314</v>
      </c>
      <c r="T6" s="4" t="s">
        <v>255</v>
      </c>
      <c r="U6" s="39">
        <f>IFERROR(Grid_BD[[#This Row],[Breakdown Time]]*Grid_BD[[#This Row],[Plant Equivalent Weightage]],"")</f>
        <v>0.58333333333333393</v>
      </c>
      <c r="V6" s="39"/>
      <c r="W6" s="39"/>
      <c r="X6" s="39"/>
      <c r="Y6">
        <v>1842</v>
      </c>
      <c r="AA6" s="3">
        <f>IF(Grid_BD[[#This Row],[Breakdown Type]]="Curtailment Order",(((100%*(24-Grid_BD[[#This Row],[Plant Equivalent breakdown]]))+(((Grid_BD[[#This Row],[Curtailment Order imit.]])/50.6)*Grid_BD[[#This Row],[Plant Equivalent breakdown]]))/24),1)</f>
        <v>1</v>
      </c>
    </row>
    <row r="7" spans="1:30">
      <c r="A7" s="10">
        <f t="shared" si="0"/>
        <v>6</v>
      </c>
      <c r="B7" s="10">
        <f>YEAR(Grid_BD[[#This Row],[Date]])+IF(MONTH(Grid_BD[[#This Row],[Date]])&gt;=4,1,0)</f>
        <v>2026</v>
      </c>
      <c r="C7" s="10">
        <v>2025</v>
      </c>
      <c r="D7" s="10" t="s">
        <v>4309</v>
      </c>
      <c r="E7" s="309">
        <f>Grid_BD[[#This Row],[Date]]-DAY(Grid_BD[[#This Row],[Date]])+1</f>
        <v>45778</v>
      </c>
      <c r="F7" s="32">
        <v>45799</v>
      </c>
      <c r="G7" t="s">
        <v>396</v>
      </c>
      <c r="H7" t="s">
        <v>4319</v>
      </c>
      <c r="I7" t="s">
        <v>4319</v>
      </c>
      <c r="J7" s="8">
        <f>IFERROR(_xlfn.XLOOKUP(Grid_BD[[#This Row],[Affected Feeder ]],'Basic Data'!$A:$A,'Basic Data'!$E:$E),"")</f>
        <v>1</v>
      </c>
      <c r="K7" t="s">
        <v>397</v>
      </c>
      <c r="L7" t="s">
        <v>113</v>
      </c>
      <c r="M7" s="35">
        <v>0.47361111111111109</v>
      </c>
      <c r="N7" s="35">
        <v>0.47361111111111109</v>
      </c>
      <c r="O7" s="35">
        <v>0.61458333333333337</v>
      </c>
      <c r="P7" s="34">
        <f>Grid_BD[[#This Row],[Work Start TimeStamp]]-Grid_BD[[#This Row],[Fault Start TimeStamp]]</f>
        <v>0</v>
      </c>
      <c r="Q7" s="34">
        <f>(Grid_BD[[#This Row],[Fault Clearance time]]-Grid_BD[[#This Row],[Work Start TimeStamp]])*24</f>
        <v>3.3833333333333346</v>
      </c>
      <c r="R7" s="34">
        <f>(Grid_BD[[#This Row],[Fault Clearance time]]-Grid_BD[[#This Row],[Fault Start TimeStamp]])*24</f>
        <v>3.3833333333333346</v>
      </c>
      <c r="S7" s="38" t="s">
        <v>4314</v>
      </c>
      <c r="T7" s="4" t="s">
        <v>255</v>
      </c>
      <c r="U7" s="39">
        <f>IFERROR(Grid_BD[[#This Row],[Breakdown Time]]*Grid_BD[[#This Row],[Plant Equivalent Weightage]],"")</f>
        <v>3.3833333333333346</v>
      </c>
      <c r="V7" s="39"/>
      <c r="W7" s="39"/>
      <c r="X7" s="39"/>
      <c r="Y7">
        <v>98380</v>
      </c>
      <c r="AA7" s="3">
        <f>IF(Grid_BD[[#This Row],[Breakdown Type]]="Curtailment Order",(((100%*(24-Grid_BD[[#This Row],[Plant Equivalent breakdown]]))+(((Grid_BD[[#This Row],[Curtailment Order imit.]])/50.6)*Grid_BD[[#This Row],[Plant Equivalent breakdown]]))/24),1)</f>
        <v>1</v>
      </c>
    </row>
    <row r="8" spans="1:30">
      <c r="A8" s="10">
        <f t="shared" si="0"/>
        <v>7</v>
      </c>
      <c r="B8" s="10">
        <f>YEAR(Grid_BD[[#This Row],[Date]])+IF(MONTH(Grid_BD[[#This Row],[Date]])&gt;=4,1,0)</f>
        <v>2026</v>
      </c>
      <c r="C8" s="10">
        <v>2025</v>
      </c>
      <c r="D8" s="10" t="s">
        <v>4309</v>
      </c>
      <c r="E8" s="309">
        <f>Grid_BD[[#This Row],[Date]]-DAY(Grid_BD[[#This Row],[Date]])+1</f>
        <v>45778</v>
      </c>
      <c r="F8" s="32">
        <v>45800</v>
      </c>
      <c r="G8" t="s">
        <v>396</v>
      </c>
      <c r="H8" t="s">
        <v>4319</v>
      </c>
      <c r="I8" t="s">
        <v>4319</v>
      </c>
      <c r="J8" s="8">
        <f>IFERROR(_xlfn.XLOOKUP(Grid_BD[[#This Row],[Affected Feeder ]],'Basic Data'!$A:$A,'Basic Data'!$E:$E),"")</f>
        <v>1</v>
      </c>
      <c r="K8" t="s">
        <v>397</v>
      </c>
      <c r="L8" t="s">
        <v>113</v>
      </c>
      <c r="M8" s="35">
        <v>0.46597222222222223</v>
      </c>
      <c r="N8" s="35">
        <v>0.46597222222222223</v>
      </c>
      <c r="O8" s="35">
        <v>0.57708333333333328</v>
      </c>
      <c r="P8" s="34">
        <f>Grid_BD[[#This Row],[Work Start TimeStamp]]-Grid_BD[[#This Row],[Fault Start TimeStamp]]</f>
        <v>0</v>
      </c>
      <c r="Q8" s="34">
        <f>(Grid_BD[[#This Row],[Fault Clearance time]]-Grid_BD[[#This Row],[Work Start TimeStamp]])*24</f>
        <v>2.6666666666666652</v>
      </c>
      <c r="R8" s="34">
        <f>(Grid_BD[[#This Row],[Fault Clearance time]]-Grid_BD[[#This Row],[Fault Start TimeStamp]])*24</f>
        <v>2.6666666666666652</v>
      </c>
      <c r="S8" s="38" t="s">
        <v>4314</v>
      </c>
      <c r="T8" s="4" t="s">
        <v>255</v>
      </c>
      <c r="U8" s="39">
        <f>IFERROR(Grid_BD[[#This Row],[Breakdown Time]]*Grid_BD[[#This Row],[Plant Equivalent Weightage]],"")</f>
        <v>2.6666666666666652</v>
      </c>
      <c r="V8" s="39"/>
      <c r="W8" s="39"/>
      <c r="X8" s="39"/>
      <c r="Y8">
        <v>100457</v>
      </c>
      <c r="AA8" s="3">
        <f>IF(Grid_BD[[#This Row],[Breakdown Type]]="Curtailment Order",(((100%*(24-Grid_BD[[#This Row],[Plant Equivalent breakdown]]))+(((Grid_BD[[#This Row],[Curtailment Order imit.]])/50.6)*Grid_BD[[#This Row],[Plant Equivalent breakdown]]))/24),1)</f>
        <v>1</v>
      </c>
    </row>
    <row r="9" spans="1:30">
      <c r="A9" s="10">
        <f t="shared" si="0"/>
        <v>8</v>
      </c>
      <c r="B9" s="10">
        <f>YEAR(Grid_BD[[#This Row],[Date]])+IF(MONTH(Grid_BD[[#This Row],[Date]])&gt;=4,1,0)</f>
        <v>2026</v>
      </c>
      <c r="C9" s="10">
        <v>2025</v>
      </c>
      <c r="D9" s="10" t="s">
        <v>4309</v>
      </c>
      <c r="E9" s="309">
        <f>Grid_BD[[#This Row],[Date]]-DAY(Grid_BD[[#This Row],[Date]])+1</f>
        <v>45778</v>
      </c>
      <c r="F9" s="32">
        <v>45807</v>
      </c>
      <c r="G9" t="s">
        <v>396</v>
      </c>
      <c r="H9" t="s">
        <v>4319</v>
      </c>
      <c r="I9" t="s">
        <v>4319</v>
      </c>
      <c r="J9" s="8">
        <f>IFERROR(_xlfn.XLOOKUP(Grid_BD[[#This Row],[Affected Feeder ]],'Basic Data'!$A:$A,'Basic Data'!$E:$E),"")</f>
        <v>1</v>
      </c>
      <c r="K9" t="s">
        <v>397</v>
      </c>
      <c r="L9" t="s">
        <v>113</v>
      </c>
      <c r="M9" s="35">
        <v>0.46666666666666667</v>
      </c>
      <c r="N9" s="35">
        <v>0.46666666666666667</v>
      </c>
      <c r="O9" s="35">
        <v>0.52361111111111114</v>
      </c>
      <c r="P9" s="34">
        <f>Grid_BD[[#This Row],[Work Start TimeStamp]]-Grid_BD[[#This Row],[Fault Start TimeStamp]]</f>
        <v>0</v>
      </c>
      <c r="Q9" s="34">
        <f>(Grid_BD[[#This Row],[Fault Clearance time]]-Grid_BD[[#This Row],[Work Start TimeStamp]])*24</f>
        <v>1.3666666666666671</v>
      </c>
      <c r="R9" s="34">
        <f>(Grid_BD[[#This Row],[Fault Clearance time]]-Grid_BD[[#This Row],[Fault Start TimeStamp]])*24</f>
        <v>1.3666666666666671</v>
      </c>
      <c r="S9" s="38" t="s">
        <v>4314</v>
      </c>
      <c r="T9" s="4" t="s">
        <v>255</v>
      </c>
      <c r="U9" s="39">
        <f>IFERROR(Grid_BD[[#This Row],[Breakdown Time]]*Grid_BD[[#This Row],[Plant Equivalent Weightage]],"")</f>
        <v>1.3666666666666671</v>
      </c>
      <c r="V9" s="39"/>
      <c r="W9" s="39"/>
      <c r="X9" s="39"/>
      <c r="Y9">
        <v>66812</v>
      </c>
      <c r="AA9" s="3">
        <f>IF(Grid_BD[[#This Row],[Breakdown Type]]="Curtailment Order",(((100%*(24-Grid_BD[[#This Row],[Plant Equivalent breakdown]]))+(((Grid_BD[[#This Row],[Curtailment Order imit.]])/50.6)*Grid_BD[[#This Row],[Plant Equivalent breakdown]]))/24),1)</f>
        <v>1</v>
      </c>
    </row>
    <row r="10" spans="1:30">
      <c r="A10" s="10">
        <f t="shared" si="0"/>
        <v>9</v>
      </c>
      <c r="B10" s="10">
        <f>YEAR(Grid_BD[[#This Row],[Date]])+IF(MONTH(Grid_BD[[#This Row],[Date]])&gt;=4,1,0)</f>
        <v>2026</v>
      </c>
      <c r="C10" s="10">
        <v>2025</v>
      </c>
      <c r="D10" s="10" t="s">
        <v>4309</v>
      </c>
      <c r="E10" s="309">
        <f>Grid_BD[[#This Row],[Date]]-DAY(Grid_BD[[#This Row],[Date]])+1</f>
        <v>45778</v>
      </c>
      <c r="F10" s="32">
        <v>45807</v>
      </c>
      <c r="G10" t="s">
        <v>396</v>
      </c>
      <c r="H10" t="s">
        <v>4319</v>
      </c>
      <c r="I10" t="s">
        <v>4319</v>
      </c>
      <c r="J10" s="8">
        <f>IFERROR(_xlfn.XLOOKUP(Grid_BD[[#This Row],[Affected Feeder ]],'Basic Data'!$A:$A,'Basic Data'!$E:$E),"")</f>
        <v>1</v>
      </c>
      <c r="K10" t="s">
        <v>397</v>
      </c>
      <c r="L10" t="s">
        <v>113</v>
      </c>
      <c r="M10" s="35">
        <v>0.54097222222222219</v>
      </c>
      <c r="N10" s="35">
        <v>0.54097222222222219</v>
      </c>
      <c r="O10" s="35">
        <v>0.57222222222222219</v>
      </c>
      <c r="P10" s="34">
        <f>Grid_BD[[#This Row],[Work Start TimeStamp]]-Grid_BD[[#This Row],[Fault Start TimeStamp]]</f>
        <v>0</v>
      </c>
      <c r="Q10" s="34">
        <f>(Grid_BD[[#This Row],[Fault Clearance time]]-Grid_BD[[#This Row],[Work Start TimeStamp]])*24</f>
        <v>0.75</v>
      </c>
      <c r="R10" s="34">
        <f>(Grid_BD[[#This Row],[Fault Clearance time]]-Grid_BD[[#This Row],[Fault Start TimeStamp]])*24</f>
        <v>0.75</v>
      </c>
      <c r="S10" s="38" t="s">
        <v>4314</v>
      </c>
      <c r="T10" s="4" t="s">
        <v>255</v>
      </c>
      <c r="U10" s="39">
        <f>IFERROR(Grid_BD[[#This Row],[Breakdown Time]]*Grid_BD[[#This Row],[Plant Equivalent Weightage]],"")</f>
        <v>0.75</v>
      </c>
      <c r="V10" s="39"/>
      <c r="W10" s="39"/>
      <c r="X10" s="39"/>
      <c r="Y10">
        <v>36665</v>
      </c>
      <c r="AA10" s="3">
        <f>IF(Grid_BD[[#This Row],[Breakdown Type]]="Curtailment Order",(((100%*(24-Grid_BD[[#This Row],[Plant Equivalent breakdown]]))+(((Grid_BD[[#This Row],[Curtailment Order imit.]])/50.6)*Grid_BD[[#This Row],[Plant Equivalent breakdown]]))/24),1)</f>
        <v>1</v>
      </c>
    </row>
    <row r="11" spans="1:30">
      <c r="A11" s="10">
        <f t="shared" si="0"/>
        <v>10</v>
      </c>
      <c r="B11" s="10">
        <f>YEAR(Grid_BD[[#This Row],[Date]])+IF(MONTH(Grid_BD[[#This Row],[Date]])&gt;=4,1,0)</f>
        <v>2026</v>
      </c>
      <c r="C11" s="10">
        <v>2025</v>
      </c>
      <c r="D11" s="10" t="s">
        <v>4309</v>
      </c>
      <c r="E11" s="309">
        <f>Grid_BD[[#This Row],[Date]]-DAY(Grid_BD[[#This Row],[Date]])+1</f>
        <v>45809</v>
      </c>
      <c r="F11" s="32">
        <v>45818</v>
      </c>
      <c r="G11" t="s">
        <v>396</v>
      </c>
      <c r="H11" t="s">
        <v>4319</v>
      </c>
      <c r="I11" t="s">
        <v>4319</v>
      </c>
      <c r="J11" s="8">
        <f>IFERROR(_xlfn.XLOOKUP(Grid_BD[[#This Row],[Affected Feeder ]],'Basic Data'!$A:$A,'Basic Data'!$E:$E),"")</f>
        <v>1</v>
      </c>
      <c r="K11" t="s">
        <v>397</v>
      </c>
      <c r="L11" t="s">
        <v>113</v>
      </c>
      <c r="M11" s="35">
        <v>0.42152777777777778</v>
      </c>
      <c r="N11" s="35">
        <v>0.42152777777777778</v>
      </c>
      <c r="O11" s="35">
        <v>0.44444444444444442</v>
      </c>
      <c r="P11" s="34">
        <f>Grid_BD[[#This Row],[Work Start TimeStamp]]-Grid_BD[[#This Row],[Fault Start TimeStamp]]</f>
        <v>0</v>
      </c>
      <c r="Q11" s="34">
        <f>(Grid_BD[[#This Row],[Fault Clearance time]]-Grid_BD[[#This Row],[Work Start TimeStamp]])*24</f>
        <v>0.54999999999999938</v>
      </c>
      <c r="R11" s="34">
        <f>(Grid_BD[[#This Row],[Fault Clearance time]]-Grid_BD[[#This Row],[Fault Start TimeStamp]])*24</f>
        <v>0.54999999999999938</v>
      </c>
      <c r="S11" s="38" t="s">
        <v>4314</v>
      </c>
      <c r="T11" s="4" t="s">
        <v>255</v>
      </c>
      <c r="U11" s="39">
        <f>IFERROR(Grid_BD[[#This Row],[Breakdown Time]]*Grid_BD[[#This Row],[Plant Equivalent Weightage]],"")</f>
        <v>0.54999999999999938</v>
      </c>
      <c r="V11" s="39"/>
      <c r="W11" s="39"/>
      <c r="X11" s="39"/>
      <c r="Y11">
        <v>10401</v>
      </c>
      <c r="AA11" s="3">
        <f>IF(Grid_BD[[#This Row],[Breakdown Type]]="Curtailment Order",(((100%*(24-Grid_BD[[#This Row],[Plant Equivalent breakdown]]))+(((Grid_BD[[#This Row],[Curtailment Order imit.]])/50.6)*Grid_BD[[#This Row],[Plant Equivalent breakdown]]))/24),1)</f>
        <v>1</v>
      </c>
    </row>
    <row r="12" spans="1:30">
      <c r="A12" s="10">
        <f t="shared" si="0"/>
        <v>11</v>
      </c>
      <c r="B12" s="10">
        <f>YEAR(Grid_BD[[#This Row],[Date]])+IF(MONTH(Grid_BD[[#This Row],[Date]])&gt;=4,1,0)</f>
        <v>2026</v>
      </c>
      <c r="C12" s="10">
        <v>2025</v>
      </c>
      <c r="D12" s="10" t="s">
        <v>4309</v>
      </c>
      <c r="E12" s="309">
        <f>Grid_BD[[#This Row],[Date]]-DAY(Grid_BD[[#This Row],[Date]])+1</f>
        <v>45809</v>
      </c>
      <c r="F12" s="32">
        <v>45820</v>
      </c>
      <c r="G12" t="s">
        <v>396</v>
      </c>
      <c r="H12" t="s">
        <v>4319</v>
      </c>
      <c r="I12" t="s">
        <v>4319</v>
      </c>
      <c r="J12" s="8">
        <f>IFERROR(_xlfn.XLOOKUP(Grid_BD[[#This Row],[Affected Feeder ]],'Basic Data'!$A:$A,'Basic Data'!$E:$E),"")</f>
        <v>1</v>
      </c>
      <c r="K12" t="s">
        <v>397</v>
      </c>
      <c r="L12" t="s">
        <v>113</v>
      </c>
      <c r="M12" s="35">
        <v>0.78680555555555554</v>
      </c>
      <c r="N12" s="35">
        <v>0.78680555555555554</v>
      </c>
      <c r="O12" s="35">
        <v>0.8125</v>
      </c>
      <c r="P12" s="34">
        <f>Grid_BD[[#This Row],[Work Start TimeStamp]]-Grid_BD[[#This Row],[Fault Start TimeStamp]]</f>
        <v>0</v>
      </c>
      <c r="Q12" s="34">
        <f>(Grid_BD[[#This Row],[Fault Clearance time]]-Grid_BD[[#This Row],[Work Start TimeStamp]])*24</f>
        <v>0.61666666666666714</v>
      </c>
      <c r="R12" s="34">
        <f>(Grid_BD[[#This Row],[Fault Clearance time]]-Grid_BD[[#This Row],[Fault Start TimeStamp]])*24</f>
        <v>0.61666666666666714</v>
      </c>
      <c r="S12" s="38" t="s">
        <v>4314</v>
      </c>
      <c r="T12" s="4" t="s">
        <v>255</v>
      </c>
      <c r="U12" s="39">
        <f>IFERROR(Grid_BD[[#This Row],[Breakdown Time]]*Grid_BD[[#This Row],[Plant Equivalent Weightage]],"")</f>
        <v>0.61666666666666714</v>
      </c>
      <c r="V12" s="39"/>
      <c r="W12" s="39"/>
      <c r="X12" s="39"/>
      <c r="Y12">
        <v>9067</v>
      </c>
      <c r="AA12" s="3">
        <f>IF(Grid_BD[[#This Row],[Breakdown Type]]="Curtailment Order",(((100%*(24-Grid_BD[[#This Row],[Plant Equivalent breakdown]]))+(((Grid_BD[[#This Row],[Curtailment Order imit.]])/50.6)*Grid_BD[[#This Row],[Plant Equivalent breakdown]]))/24),1)</f>
        <v>1</v>
      </c>
    </row>
    <row r="13" spans="1:30">
      <c r="A13" s="10">
        <f t="shared" si="0"/>
        <v>12</v>
      </c>
      <c r="B13" s="10">
        <f>YEAR(Grid_BD[[#This Row],[Date]])+IF(MONTH(Grid_BD[[#This Row],[Date]])&gt;=4,1,0)</f>
        <v>2026</v>
      </c>
      <c r="C13" s="10">
        <v>2025</v>
      </c>
      <c r="D13" s="10" t="s">
        <v>4309</v>
      </c>
      <c r="E13" s="309">
        <f>Grid_BD[[#This Row],[Date]]-DAY(Grid_BD[[#This Row],[Date]])+1</f>
        <v>45809</v>
      </c>
      <c r="F13" s="32">
        <v>45824</v>
      </c>
      <c r="G13" t="s">
        <v>396</v>
      </c>
      <c r="H13" t="s">
        <v>4319</v>
      </c>
      <c r="I13" t="s">
        <v>4319</v>
      </c>
      <c r="J13" s="8">
        <f>IFERROR(_xlfn.XLOOKUP(Grid_BD[[#This Row],[Affected Feeder ]],'Basic Data'!$A:$A,'Basic Data'!$E:$E),"")</f>
        <v>1</v>
      </c>
      <c r="K13" t="s">
        <v>397</v>
      </c>
      <c r="L13" t="s">
        <v>113</v>
      </c>
      <c r="M13" s="35">
        <v>0.54374999999999996</v>
      </c>
      <c r="N13" s="35">
        <v>0.54374999999999996</v>
      </c>
      <c r="O13" s="35">
        <v>0.57291666666666663</v>
      </c>
      <c r="P13" s="34">
        <f>Grid_BD[[#This Row],[Work Start TimeStamp]]-Grid_BD[[#This Row],[Fault Start TimeStamp]]</f>
        <v>0</v>
      </c>
      <c r="Q13" s="34">
        <f>(Grid_BD[[#This Row],[Fault Clearance time]]-Grid_BD[[#This Row],[Work Start TimeStamp]])*24</f>
        <v>0.70000000000000018</v>
      </c>
      <c r="R13" s="34">
        <f>(Grid_BD[[#This Row],[Fault Clearance time]]-Grid_BD[[#This Row],[Fault Start TimeStamp]])*24</f>
        <v>0.70000000000000018</v>
      </c>
      <c r="S13" s="38" t="s">
        <v>4314</v>
      </c>
      <c r="T13" s="4" t="s">
        <v>255</v>
      </c>
      <c r="U13" s="39">
        <f>IFERROR(Grid_BD[[#This Row],[Breakdown Time]]*Grid_BD[[#This Row],[Plant Equivalent Weightage]],"")</f>
        <v>0.70000000000000018</v>
      </c>
      <c r="V13" s="39"/>
      <c r="W13" s="39"/>
      <c r="X13" s="39"/>
      <c r="Y13">
        <v>35384</v>
      </c>
      <c r="AA13" s="3">
        <f>IF(Grid_BD[[#This Row],[Breakdown Type]]="Curtailment Order",(((100%*(24-Grid_BD[[#This Row],[Plant Equivalent breakdown]]))+(((Grid_BD[[#This Row],[Curtailment Order imit.]])/50.6)*Grid_BD[[#This Row],[Plant Equivalent breakdown]]))/24),1)</f>
        <v>1</v>
      </c>
    </row>
    <row r="14" spans="1:30">
      <c r="A14" s="10">
        <f t="shared" si="0"/>
        <v>13</v>
      </c>
      <c r="B14" s="10">
        <f>YEAR(Grid_BD[[#This Row],[Date]])+IF(MONTH(Grid_BD[[#This Row],[Date]])&gt;=4,1,0)</f>
        <v>2026</v>
      </c>
      <c r="C14" s="10">
        <v>2025</v>
      </c>
      <c r="D14" s="10" t="s">
        <v>4309</v>
      </c>
      <c r="E14" s="309">
        <f>Grid_BD[[#This Row],[Date]]-DAY(Grid_BD[[#This Row],[Date]])+1</f>
        <v>45809</v>
      </c>
      <c r="F14" s="32">
        <v>45825</v>
      </c>
      <c r="G14" t="s">
        <v>396</v>
      </c>
      <c r="H14" t="s">
        <v>4319</v>
      </c>
      <c r="I14" t="s">
        <v>4319</v>
      </c>
      <c r="J14" s="8">
        <f>IFERROR(_xlfn.XLOOKUP(Grid_BD[[#This Row],[Affected Feeder ]],'Basic Data'!$A:$A,'Basic Data'!$E:$E),"")</f>
        <v>1</v>
      </c>
      <c r="K14" t="s">
        <v>397</v>
      </c>
      <c r="L14" t="s">
        <v>113</v>
      </c>
      <c r="M14" s="35">
        <v>0.47222222222222221</v>
      </c>
      <c r="N14" s="35">
        <v>0.47222222222222221</v>
      </c>
      <c r="O14" s="35">
        <v>0.50347222222222221</v>
      </c>
      <c r="P14" s="34">
        <f>Grid_BD[[#This Row],[Work Start TimeStamp]]-Grid_BD[[#This Row],[Fault Start TimeStamp]]</f>
        <v>0</v>
      </c>
      <c r="Q14" s="34">
        <f>(Grid_BD[[#This Row],[Fault Clearance time]]-Grid_BD[[#This Row],[Work Start TimeStamp]])*24</f>
        <v>0.75</v>
      </c>
      <c r="R14" s="34">
        <f>(Grid_BD[[#This Row],[Fault Clearance time]]-Grid_BD[[#This Row],[Fault Start TimeStamp]])*24</f>
        <v>0.75</v>
      </c>
      <c r="S14" s="38" t="s">
        <v>4314</v>
      </c>
      <c r="T14" s="4" t="s">
        <v>255</v>
      </c>
      <c r="U14" s="39">
        <f>IFERROR(Grid_BD[[#This Row],[Breakdown Time]]*Grid_BD[[#This Row],[Plant Equivalent Weightage]],"")</f>
        <v>0.75</v>
      </c>
      <c r="V14" s="39"/>
      <c r="W14" s="39"/>
      <c r="X14" s="39"/>
      <c r="Y14">
        <v>27112</v>
      </c>
      <c r="AA14" s="3">
        <f>IF(Grid_BD[[#This Row],[Breakdown Type]]="Curtailment Order",(((100%*(24-Grid_BD[[#This Row],[Plant Equivalent breakdown]]))+(((Grid_BD[[#This Row],[Curtailment Order imit.]])/50.6)*Grid_BD[[#This Row],[Plant Equivalent breakdown]]))/24),1)</f>
        <v>1</v>
      </c>
    </row>
    <row r="15" spans="1:30">
      <c r="A15" s="10">
        <f t="shared" si="0"/>
        <v>14</v>
      </c>
      <c r="B15" s="10">
        <f>YEAR(Grid_BD[[#This Row],[Date]])+IF(MONTH(Grid_BD[[#This Row],[Date]])&gt;=4,1,0)</f>
        <v>2026</v>
      </c>
      <c r="C15" s="10">
        <v>2025</v>
      </c>
      <c r="D15" s="10" t="s">
        <v>4309</v>
      </c>
      <c r="E15" s="309">
        <f>Grid_BD[[#This Row],[Date]]-DAY(Grid_BD[[#This Row],[Date]])+1</f>
        <v>45809</v>
      </c>
      <c r="F15" s="32">
        <v>45825</v>
      </c>
      <c r="G15" t="s">
        <v>396</v>
      </c>
      <c r="H15" t="s">
        <v>4319</v>
      </c>
      <c r="I15" t="s">
        <v>4319</v>
      </c>
      <c r="J15" s="8">
        <f>IFERROR(_xlfn.XLOOKUP(Grid_BD[[#This Row],[Affected Feeder ]],'Basic Data'!$A:$A,'Basic Data'!$E:$E),"")</f>
        <v>1</v>
      </c>
      <c r="K15" t="s">
        <v>397</v>
      </c>
      <c r="L15" t="s">
        <v>113</v>
      </c>
      <c r="M15" s="35">
        <v>0.57430555555555551</v>
      </c>
      <c r="N15" s="35">
        <v>0.57430555555555551</v>
      </c>
      <c r="O15" s="35">
        <v>0.6020833333333333</v>
      </c>
      <c r="P15" s="34">
        <f>Grid_BD[[#This Row],[Work Start TimeStamp]]-Grid_BD[[#This Row],[Fault Start TimeStamp]]</f>
        <v>0</v>
      </c>
      <c r="Q15" s="34">
        <f>(Grid_BD[[#This Row],[Fault Clearance time]]-Grid_BD[[#This Row],[Work Start TimeStamp]])*24</f>
        <v>0.66666666666666696</v>
      </c>
      <c r="R15" s="34">
        <f>(Grid_BD[[#This Row],[Fault Clearance time]]-Grid_BD[[#This Row],[Fault Start TimeStamp]])*24</f>
        <v>0.66666666666666696</v>
      </c>
      <c r="S15" s="38" t="s">
        <v>4314</v>
      </c>
      <c r="T15" s="4" t="s">
        <v>255</v>
      </c>
      <c r="U15" s="39">
        <f>IFERROR(Grid_BD[[#This Row],[Breakdown Time]]*Grid_BD[[#This Row],[Plant Equivalent Weightage]],"")</f>
        <v>0.66666666666666696</v>
      </c>
      <c r="V15" s="39"/>
      <c r="W15" s="39"/>
      <c r="X15" s="39"/>
      <c r="Y15">
        <v>24099</v>
      </c>
      <c r="AA15" s="3">
        <f>IF(Grid_BD[[#This Row],[Breakdown Type]]="Curtailment Order",(((100%*(24-Grid_BD[[#This Row],[Plant Equivalent breakdown]]))+(((Grid_BD[[#This Row],[Curtailment Order imit.]])/50.6)*Grid_BD[[#This Row],[Plant Equivalent breakdown]]))/24),1)</f>
        <v>1</v>
      </c>
    </row>
    <row r="16" spans="1:30">
      <c r="A16" s="10">
        <f t="shared" si="0"/>
        <v>15</v>
      </c>
      <c r="B16" s="10">
        <f>YEAR(Grid_BD[[#This Row],[Date]])+IF(MONTH(Grid_BD[[#This Row],[Date]])&gt;=4,1,0)</f>
        <v>2026</v>
      </c>
      <c r="C16" s="10">
        <v>2025</v>
      </c>
      <c r="D16" s="10" t="s">
        <v>4309</v>
      </c>
      <c r="E16" s="309">
        <f>Grid_BD[[#This Row],[Date]]-DAY(Grid_BD[[#This Row],[Date]])+1</f>
        <v>45809</v>
      </c>
      <c r="F16" s="32">
        <v>45826</v>
      </c>
      <c r="G16" t="s">
        <v>396</v>
      </c>
      <c r="H16" t="s">
        <v>4319</v>
      </c>
      <c r="I16" t="s">
        <v>4319</v>
      </c>
      <c r="J16" s="8">
        <f>IFERROR(_xlfn.XLOOKUP(Grid_BD[[#This Row],[Affected Feeder ]],'Basic Data'!$A:$A,'Basic Data'!$E:$E),"")</f>
        <v>1</v>
      </c>
      <c r="K16" t="s">
        <v>397</v>
      </c>
      <c r="L16" t="s">
        <v>113</v>
      </c>
      <c r="M16" s="35">
        <v>0.44166666666666665</v>
      </c>
      <c r="N16" s="35">
        <v>0.44166666666666665</v>
      </c>
      <c r="O16" s="35">
        <v>0.46388888888888891</v>
      </c>
      <c r="P16" s="34">
        <f>Grid_BD[[#This Row],[Work Start TimeStamp]]-Grid_BD[[#This Row],[Fault Start TimeStamp]]</f>
        <v>0</v>
      </c>
      <c r="Q16" s="34">
        <f>(Grid_BD[[#This Row],[Fault Clearance time]]-Grid_BD[[#This Row],[Work Start TimeStamp]])*24</f>
        <v>0.5333333333333341</v>
      </c>
      <c r="R16" s="34">
        <f>(Grid_BD[[#This Row],[Fault Clearance time]]-Grid_BD[[#This Row],[Fault Start TimeStamp]])*24</f>
        <v>0.5333333333333341</v>
      </c>
      <c r="S16" s="38" t="s">
        <v>4314</v>
      </c>
      <c r="T16" s="4" t="s">
        <v>255</v>
      </c>
      <c r="U16" s="39">
        <f>IFERROR(Grid_BD[[#This Row],[Breakdown Time]]*Grid_BD[[#This Row],[Plant Equivalent Weightage]],"")</f>
        <v>0.5333333333333341</v>
      </c>
      <c r="V16" s="39"/>
      <c r="W16" s="39"/>
      <c r="X16" s="39"/>
      <c r="Y16">
        <v>21871</v>
      </c>
      <c r="AA16" s="3">
        <f>IF(Grid_BD[[#This Row],[Breakdown Type]]="Curtailment Order",(((100%*(24-Grid_BD[[#This Row],[Plant Equivalent breakdown]]))+(((Grid_BD[[#This Row],[Curtailment Order imit.]])/50.6)*Grid_BD[[#This Row],[Plant Equivalent breakdown]]))/24),1)</f>
        <v>1</v>
      </c>
    </row>
    <row r="17" spans="1:27">
      <c r="A17" s="10">
        <f t="shared" si="0"/>
        <v>16</v>
      </c>
      <c r="B17" s="10">
        <f>YEAR(Grid_BD[[#This Row],[Date]])+IF(MONTH(Grid_BD[[#This Row],[Date]])&gt;=4,1,0)</f>
        <v>2026</v>
      </c>
      <c r="C17" s="10">
        <v>2025</v>
      </c>
      <c r="D17" s="10" t="s">
        <v>4309</v>
      </c>
      <c r="E17" s="309">
        <f>Grid_BD[[#This Row],[Date]]-DAY(Grid_BD[[#This Row],[Date]])+1</f>
        <v>45809</v>
      </c>
      <c r="F17" s="32">
        <v>45827</v>
      </c>
      <c r="G17" t="s">
        <v>396</v>
      </c>
      <c r="H17" t="s">
        <v>4319</v>
      </c>
      <c r="I17" t="s">
        <v>4319</v>
      </c>
      <c r="J17" s="8">
        <f>IFERROR(_xlfn.XLOOKUP(Grid_BD[[#This Row],[Affected Feeder ]],'Basic Data'!$A:$A,'Basic Data'!$E:$E),"")</f>
        <v>1</v>
      </c>
      <c r="K17" t="s">
        <v>397</v>
      </c>
      <c r="L17" t="s">
        <v>113</v>
      </c>
      <c r="M17" s="35">
        <v>0.49652777777777779</v>
      </c>
      <c r="N17" s="35">
        <v>0.49652777777777779</v>
      </c>
      <c r="O17" s="35">
        <v>0.51388888888888884</v>
      </c>
      <c r="P17" s="34">
        <f>Grid_BD[[#This Row],[Work Start TimeStamp]]-Grid_BD[[#This Row],[Fault Start TimeStamp]]</f>
        <v>0</v>
      </c>
      <c r="Q17" s="34">
        <f>(Grid_BD[[#This Row],[Fault Clearance time]]-Grid_BD[[#This Row],[Work Start TimeStamp]])*24</f>
        <v>0.41666666666666519</v>
      </c>
      <c r="R17" s="34">
        <f>(Grid_BD[[#This Row],[Fault Clearance time]]-Grid_BD[[#This Row],[Fault Start TimeStamp]])*24</f>
        <v>0.41666666666666519</v>
      </c>
      <c r="S17" s="38" t="s">
        <v>4314</v>
      </c>
      <c r="T17" s="4" t="s">
        <v>255</v>
      </c>
      <c r="U17" s="39">
        <f>IFERROR(Grid_BD[[#This Row],[Breakdown Time]]*Grid_BD[[#This Row],[Plant Equivalent Weightage]],"")</f>
        <v>0.41666666666666519</v>
      </c>
      <c r="V17" s="39"/>
      <c r="W17" s="39"/>
      <c r="X17" s="39"/>
      <c r="Y17">
        <v>20966</v>
      </c>
      <c r="AA17" s="3">
        <f>IF(Grid_BD[[#This Row],[Breakdown Type]]="Curtailment Order",(((100%*(24-Grid_BD[[#This Row],[Plant Equivalent breakdown]]))+(((Grid_BD[[#This Row],[Curtailment Order imit.]])/50.6)*Grid_BD[[#This Row],[Plant Equivalent breakdown]]))/24),1)</f>
        <v>1</v>
      </c>
    </row>
    <row r="18" spans="1:27">
      <c r="A18" s="10">
        <f t="shared" si="0"/>
        <v>17</v>
      </c>
      <c r="B18" s="10">
        <f>YEAR(Grid_BD[[#This Row],[Date]])+IF(MONTH(Grid_BD[[#This Row],[Date]])&gt;=4,1,0)</f>
        <v>2026</v>
      </c>
      <c r="C18" s="10">
        <v>2025</v>
      </c>
      <c r="D18" s="10" t="s">
        <v>4309</v>
      </c>
      <c r="E18" s="309">
        <f>Grid_BD[[#This Row],[Date]]-DAY(Grid_BD[[#This Row],[Date]])+1</f>
        <v>45809</v>
      </c>
      <c r="F18" s="32">
        <v>45827</v>
      </c>
      <c r="G18" t="s">
        <v>396</v>
      </c>
      <c r="H18" t="s">
        <v>4319</v>
      </c>
      <c r="I18" t="s">
        <v>4319</v>
      </c>
      <c r="J18" s="8">
        <f>IFERROR(_xlfn.XLOOKUP(Grid_BD[[#This Row],[Affected Feeder ]],'Basic Data'!$A:$A,'Basic Data'!$E:$E),"")</f>
        <v>1</v>
      </c>
      <c r="K18" t="s">
        <v>397</v>
      </c>
      <c r="L18" t="s">
        <v>113</v>
      </c>
      <c r="M18" s="35">
        <v>0.53472222222222221</v>
      </c>
      <c r="N18" s="35">
        <v>0.53472222222222221</v>
      </c>
      <c r="O18" s="35">
        <v>0.55138888888888893</v>
      </c>
      <c r="P18" s="34">
        <f>Grid_BD[[#This Row],[Work Start TimeStamp]]-Grid_BD[[#This Row],[Fault Start TimeStamp]]</f>
        <v>0</v>
      </c>
      <c r="Q18" s="34">
        <f>(Grid_BD[[#This Row],[Fault Clearance time]]-Grid_BD[[#This Row],[Work Start TimeStamp]])*24</f>
        <v>0.40000000000000124</v>
      </c>
      <c r="R18" s="34">
        <f>(Grid_BD[[#This Row],[Fault Clearance time]]-Grid_BD[[#This Row],[Fault Start TimeStamp]])*24</f>
        <v>0.40000000000000124</v>
      </c>
      <c r="S18" s="38" t="s">
        <v>4314</v>
      </c>
      <c r="T18" s="4" t="s">
        <v>255</v>
      </c>
      <c r="U18" s="39">
        <f>IFERROR(Grid_BD[[#This Row],[Breakdown Time]]*Grid_BD[[#This Row],[Plant Equivalent Weightage]],"")</f>
        <v>0.40000000000000124</v>
      </c>
      <c r="V18" s="39"/>
      <c r="W18" s="39"/>
      <c r="X18" s="39"/>
      <c r="Y18">
        <v>20127</v>
      </c>
      <c r="AA18" s="3">
        <f>IF(Grid_BD[[#This Row],[Breakdown Type]]="Curtailment Order",(((100%*(24-Grid_BD[[#This Row],[Plant Equivalent breakdown]]))+(((Grid_BD[[#This Row],[Curtailment Order imit.]])/50.6)*Grid_BD[[#This Row],[Plant Equivalent breakdown]]))/24),1)</f>
        <v>1</v>
      </c>
    </row>
    <row r="19" spans="1:27">
      <c r="A19" s="10">
        <f t="shared" si="0"/>
        <v>18</v>
      </c>
      <c r="B19" s="10">
        <f>YEAR(Grid_BD[[#This Row],[Date]])+IF(MONTH(Grid_BD[[#This Row],[Date]])&gt;=4,1,0)</f>
        <v>2026</v>
      </c>
      <c r="C19" s="10">
        <v>2025</v>
      </c>
      <c r="D19" s="10" t="s">
        <v>4309</v>
      </c>
      <c r="E19" s="309">
        <f>Grid_BD[[#This Row],[Date]]-DAY(Grid_BD[[#This Row],[Date]])+1</f>
        <v>45809</v>
      </c>
      <c r="F19" s="32">
        <v>45827</v>
      </c>
      <c r="G19" t="s">
        <v>396</v>
      </c>
      <c r="H19" t="s">
        <v>4319</v>
      </c>
      <c r="I19" t="s">
        <v>4319</v>
      </c>
      <c r="J19" s="8">
        <f>IFERROR(_xlfn.XLOOKUP(Grid_BD[[#This Row],[Affected Feeder ]],'Basic Data'!$A:$A,'Basic Data'!$E:$E),"")</f>
        <v>1</v>
      </c>
      <c r="K19" t="s">
        <v>397</v>
      </c>
      <c r="L19" t="s">
        <v>113</v>
      </c>
      <c r="M19" s="35">
        <v>0.56736111111111109</v>
      </c>
      <c r="N19" s="35">
        <v>0.56736111111111109</v>
      </c>
      <c r="O19" s="35">
        <v>0.58958333333333335</v>
      </c>
      <c r="P19" s="34">
        <f>Grid_BD[[#This Row],[Work Start TimeStamp]]-Grid_BD[[#This Row],[Fault Start TimeStamp]]</f>
        <v>0</v>
      </c>
      <c r="Q19" s="34">
        <f>(Grid_BD[[#This Row],[Fault Clearance time]]-Grid_BD[[#This Row],[Work Start TimeStamp]])*24</f>
        <v>0.5333333333333341</v>
      </c>
      <c r="R19" s="34">
        <f>(Grid_BD[[#This Row],[Fault Clearance time]]-Grid_BD[[#This Row],[Fault Start TimeStamp]])*24</f>
        <v>0.5333333333333341</v>
      </c>
      <c r="S19" s="38" t="s">
        <v>4314</v>
      </c>
      <c r="T19" s="4" t="s">
        <v>255</v>
      </c>
      <c r="U19" s="39">
        <f>IFERROR(Grid_BD[[#This Row],[Breakdown Time]]*Grid_BD[[#This Row],[Plant Equivalent Weightage]],"")</f>
        <v>0.5333333333333341</v>
      </c>
      <c r="V19" s="39"/>
      <c r="W19" s="39"/>
      <c r="X19" s="39"/>
      <c r="Y19">
        <v>26836</v>
      </c>
      <c r="AA19" s="3">
        <f>IF(Grid_BD[[#This Row],[Breakdown Type]]="Curtailment Order",(((100%*(24-Grid_BD[[#This Row],[Plant Equivalent breakdown]]))+(((Grid_BD[[#This Row],[Curtailment Order imit.]])/50.6)*Grid_BD[[#This Row],[Plant Equivalent breakdown]]))/24),1)</f>
        <v>1</v>
      </c>
    </row>
    <row r="20" spans="1:27">
      <c r="A20" s="10">
        <f t="shared" si="0"/>
        <v>19</v>
      </c>
      <c r="B20" s="357">
        <f>YEAR(Grid_BD[[#This Row],[Date]])+IF(MONTH(Grid_BD[[#This Row],[Date]])&gt;=4,1,0)</f>
        <v>2026</v>
      </c>
      <c r="C20" s="10">
        <v>2025</v>
      </c>
      <c r="D20" s="10" t="s">
        <v>4309</v>
      </c>
      <c r="E20" s="309">
        <f>Grid_BD[[#This Row],[Date]]-DAY(Grid_BD[[#This Row],[Date]])+1</f>
        <v>45809</v>
      </c>
      <c r="F20" s="32">
        <v>45828</v>
      </c>
      <c r="G20" t="s">
        <v>396</v>
      </c>
      <c r="H20" t="s">
        <v>4656</v>
      </c>
      <c r="I20" t="s">
        <v>4657</v>
      </c>
      <c r="J20" s="8">
        <f>IFERROR(_xlfn.XLOOKUP(Grid_BD[[#This Row],[Affected Feeder ]],'Basic Data'!$A:$A,'Basic Data'!$E:$E),"")</f>
        <v>1</v>
      </c>
      <c r="K20" t="s">
        <v>397</v>
      </c>
      <c r="L20" t="s">
        <v>113</v>
      </c>
      <c r="M20" s="35">
        <v>0.45833333333333331</v>
      </c>
      <c r="N20" s="35">
        <v>0.45833333333333331</v>
      </c>
      <c r="O20" s="35">
        <v>0.47499999999999998</v>
      </c>
      <c r="P20" s="34">
        <f>Grid_BD[[#This Row],[Work Start TimeStamp]]-Grid_BD[[#This Row],[Fault Start TimeStamp]]</f>
        <v>0</v>
      </c>
      <c r="Q20" s="34">
        <f>(Grid_BD[[#This Row],[Fault Clearance time]]-Grid_BD[[#This Row],[Work Start TimeStamp]])*24</f>
        <v>0.39999999999999991</v>
      </c>
      <c r="R20" s="34">
        <f>(Grid_BD[[#This Row],[Fault Clearance time]]-Grid_BD[[#This Row],[Fault Start TimeStamp]])*24</f>
        <v>0.39999999999999991</v>
      </c>
      <c r="S20" s="38" t="s">
        <v>4314</v>
      </c>
      <c r="T20" s="4" t="s">
        <v>255</v>
      </c>
      <c r="U20" s="50">
        <f>IFERROR(Grid_BD[[#This Row],[Breakdown Time]]*Grid_BD[[#This Row],[Plant Equivalent Weightage]],"")</f>
        <v>0.39999999999999991</v>
      </c>
      <c r="V20" s="39"/>
      <c r="W20" s="39"/>
      <c r="X20" s="39"/>
      <c r="Y20">
        <v>18978</v>
      </c>
      <c r="AA20" s="3">
        <f>IF(Grid_BD[[#This Row],[Breakdown Type]]="Curtailment Order",(((100%*(24-Grid_BD[[#This Row],[Plant Equivalent breakdown]]))+(((Grid_BD[[#This Row],[Curtailment Order imit.]])/50.6)*Grid_BD[[#This Row],[Plant Equivalent breakdown]]))/24),1)</f>
        <v>1</v>
      </c>
    </row>
    <row r="21" spans="1:27">
      <c r="A21" s="10">
        <f t="shared" si="0"/>
        <v>20</v>
      </c>
      <c r="B21" s="10">
        <f>YEAR(Grid_BD[[#This Row],[Date]])+IF(MONTH(Grid_BD[[#This Row],[Date]])&gt;=4,1,0)</f>
        <v>2026</v>
      </c>
      <c r="C21" s="10">
        <v>2025</v>
      </c>
      <c r="D21" s="10" t="s">
        <v>4309</v>
      </c>
      <c r="E21" s="309">
        <f>Grid_BD[[#This Row],[Date]]-DAY(Grid_BD[[#This Row],[Date]])+1</f>
        <v>45809</v>
      </c>
      <c r="F21" s="32">
        <v>45831</v>
      </c>
      <c r="G21" t="s">
        <v>396</v>
      </c>
      <c r="J21" s="8">
        <f>IFERROR(_xlfn.XLOOKUP(Grid_BD[[#This Row],[Affected Feeder ]],'Basic Data'!$A:$A,'Basic Data'!$E:$E),"")</f>
        <v>1</v>
      </c>
      <c r="K21" t="s">
        <v>397</v>
      </c>
      <c r="L21" t="s">
        <v>113</v>
      </c>
      <c r="M21" s="35">
        <v>0.50694444444444442</v>
      </c>
      <c r="N21" s="35">
        <v>0.50694444444444442</v>
      </c>
      <c r="O21" s="35">
        <v>0.52361111111111114</v>
      </c>
      <c r="P21" s="34">
        <f>Grid_BD[[#This Row],[Work Start TimeStamp]]-Grid_BD[[#This Row],[Fault Start TimeStamp]]</f>
        <v>0</v>
      </c>
      <c r="Q21" s="34">
        <f>(Grid_BD[[#This Row],[Fault Clearance time]]-Grid_BD[[#This Row],[Work Start TimeStamp]])*24</f>
        <v>0.40000000000000124</v>
      </c>
      <c r="R21" s="34">
        <f>(Grid_BD[[#This Row],[Fault Clearance time]]-Grid_BD[[#This Row],[Fault Start TimeStamp]])*24</f>
        <v>0.40000000000000124</v>
      </c>
      <c r="S21" s="38" t="s">
        <v>4314</v>
      </c>
      <c r="T21" s="4" t="s">
        <v>255</v>
      </c>
      <c r="U21" s="50">
        <f>IFERROR(Grid_BD[[#This Row],[Breakdown Time]]*Grid_BD[[#This Row],[Plant Equivalent Weightage]],"")</f>
        <v>0.40000000000000124</v>
      </c>
      <c r="V21" s="39"/>
      <c r="W21" s="39"/>
      <c r="X21" s="39"/>
      <c r="Y21">
        <v>19818</v>
      </c>
      <c r="AA21" s="3">
        <f>IF(Grid_BD[[#This Row],[Breakdown Type]]="Curtailment Order",(((100%*(24-Grid_BD[[#This Row],[Plant Equivalent breakdown]]))+(((Grid_BD[[#This Row],[Curtailment Order imit.]])/50.6)*Grid_BD[[#This Row],[Plant Equivalent breakdown]]))/24),1)</f>
        <v>1</v>
      </c>
    </row>
    <row r="22" spans="1:27">
      <c r="A22" s="10">
        <f t="shared" si="0"/>
        <v>21</v>
      </c>
      <c r="B22" s="357">
        <f>YEAR(Grid_BD[[#This Row],[Date]])+IF(MONTH(Grid_BD[[#This Row],[Date]])&gt;=4,1,0)</f>
        <v>2026</v>
      </c>
      <c r="C22" s="10">
        <v>2025</v>
      </c>
      <c r="D22" s="10" t="s">
        <v>4309</v>
      </c>
      <c r="E22" s="309">
        <f>Grid_BD[[#This Row],[Date]]-DAY(Grid_BD[[#This Row],[Date]])+1</f>
        <v>45809</v>
      </c>
      <c r="F22" s="32">
        <v>45832</v>
      </c>
      <c r="G22" t="s">
        <v>396</v>
      </c>
      <c r="J22" s="8">
        <f>IFERROR(_xlfn.XLOOKUP(Grid_BD[[#This Row],[Affected Feeder ]],'Basic Data'!$A:$A,'Basic Data'!$E:$E),"")</f>
        <v>1</v>
      </c>
      <c r="K22" t="s">
        <v>397</v>
      </c>
      <c r="L22" t="s">
        <v>113</v>
      </c>
      <c r="M22" s="35">
        <v>0.42430555555555555</v>
      </c>
      <c r="N22" s="35">
        <v>0.42430555555555555</v>
      </c>
      <c r="O22" s="35">
        <v>0.4548611111111111</v>
      </c>
      <c r="P22" s="34">
        <f>Grid_BD[[#This Row],[Work Start TimeStamp]]-Grid_BD[[#This Row],[Fault Start TimeStamp]]</f>
        <v>0</v>
      </c>
      <c r="Q22" s="34">
        <f>(Grid_BD[[#This Row],[Fault Clearance time]]-Grid_BD[[#This Row],[Work Start TimeStamp]])*24</f>
        <v>0.73333333333333339</v>
      </c>
      <c r="R22" s="34">
        <f>(Grid_BD[[#This Row],[Fault Clearance time]]-Grid_BD[[#This Row],[Fault Start TimeStamp]])*24</f>
        <v>0.73333333333333339</v>
      </c>
      <c r="S22" s="38" t="s">
        <v>4314</v>
      </c>
      <c r="T22" s="4" t="s">
        <v>255</v>
      </c>
      <c r="U22" s="50">
        <f>IFERROR(Grid_BD[[#This Row],[Breakdown Time]]*Grid_BD[[#This Row],[Plant Equivalent Weightage]],"")</f>
        <v>0.73333333333333339</v>
      </c>
      <c r="V22" s="39"/>
      <c r="W22" s="39"/>
      <c r="X22" s="39"/>
      <c r="Y22">
        <v>37101</v>
      </c>
      <c r="AA22" s="3">
        <f>IF(Grid_BD[[#This Row],[Breakdown Type]]="Curtailment Order",(((100%*(24-Grid_BD[[#This Row],[Plant Equivalent breakdown]]))+(((Grid_BD[[#This Row],[Curtailment Order imit.]])/50.6)*Grid_BD[[#This Row],[Plant Equivalent breakdown]]))/24),1)</f>
        <v>1</v>
      </c>
    </row>
    <row r="555" spans="7:7">
      <c r="G555" t="s">
        <v>4299</v>
      </c>
    </row>
    <row r="615" spans="7:7">
      <c r="G615" t="s">
        <v>4300</v>
      </c>
    </row>
  </sheetData>
  <phoneticPr fontId="99" type="noConversion"/>
  <dataValidations count="1">
    <dataValidation type="decimal" allowBlank="1" showInputMessage="1" showErrorMessage="1" sqref="Z2:Z22" xr:uid="{00000000-0002-0000-0900-000000000000}">
      <formula1>0</formula1>
      <formula2>50.6</formula2>
    </dataValidation>
  </dataValidations>
  <pageMargins left="0.7" right="0.7" top="0.75" bottom="0.75" header="0.3" footer="0.3"/>
  <pageSetup orientation="portrait"/>
  <headerFooter>
    <oddFooter>&amp;C&amp;1#&amp;"Calibri"&amp;8&amp;K000000Classification: Confidential</oddFooter>
  </headerFooter>
  <ignoredErrors>
    <ignoredError sqref="A2" calculatedColumn="1"/>
  </ignoredErrors>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900-000001000000}">
          <x14:formula1>
            <xm:f>'Basic Data'!$A$39</xm:f>
          </x14:formula1>
          <xm:sqref>H20:I20 G2:G22</xm:sqref>
        </x14:dataValidation>
        <x14:dataValidation type="list" allowBlank="1" showInputMessage="1" showErrorMessage="1" xr:uid="{00000000-0002-0000-0900-000003000000}">
          <x14:formula1>
            <xm:f>'Basic Data'!$Q$3:$Q$6</xm:f>
          </x14:formula1>
          <xm:sqref>T2:T22</xm:sqref>
        </x14:dataValidation>
        <x14:dataValidation type="list" allowBlank="1" showInputMessage="1" showErrorMessage="1" xr:uid="{00000000-0002-0000-0900-000002000000}">
          <x14:formula1>
            <xm:f>'Basic Data'!$AB$1:$AB$3</xm:f>
          </x14:formula1>
          <xm:sqref>L4:L1048576</xm:sqref>
        </x14:dataValidation>
        <x14:dataValidation type="list" allowBlank="1" showInputMessage="1" showErrorMessage="1" xr:uid="{A1C7FD63-2BB3-4D05-BD13-4217CA5955BE}">
          <x14:formula1>
            <xm:f>'Basic Data'!$BR$3:$BR$6</xm:f>
          </x14:formula1>
          <xm:sqref>V2:X1048576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L186"/>
  <sheetViews>
    <sheetView zoomScaleNormal="100" workbookViewId="0">
      <pane xSplit="2" ySplit="2" topLeftCell="C174" activePane="bottomRight" state="frozen"/>
      <selection pane="topRight" activeCell="C1" sqref="C1"/>
      <selection pane="bottomLeft" activeCell="A3" sqref="A3"/>
      <selection pane="bottomRight" activeCell="C192" sqref="C192"/>
    </sheetView>
  </sheetViews>
  <sheetFormatPr defaultColWidth="9.26953125" defaultRowHeight="14"/>
  <cols>
    <col min="1" max="1" width="12.453125" style="28" customWidth="1"/>
    <col min="2" max="2" width="18.26953125" style="28" customWidth="1"/>
    <col min="3" max="3" width="20" style="28" customWidth="1"/>
    <col min="4" max="4" width="9.26953125" style="28" customWidth="1"/>
    <col min="5" max="5" width="8.453125" style="28" customWidth="1"/>
    <col min="6" max="6" width="15.26953125" style="28" customWidth="1"/>
    <col min="7" max="7" width="16.26953125" style="28" customWidth="1"/>
    <col min="8" max="8" width="14" style="28" customWidth="1"/>
    <col min="9" max="9" width="30" style="28" customWidth="1"/>
    <col min="10" max="10" width="31" style="28" customWidth="1"/>
    <col min="11" max="11" width="11.26953125" style="28" customWidth="1"/>
    <col min="12" max="16384" width="9.26953125" style="28"/>
  </cols>
  <sheetData>
    <row r="2" spans="1:12" s="27" customFormat="1">
      <c r="A2" s="27" t="s">
        <v>6</v>
      </c>
      <c r="B2" s="27" t="s">
        <v>398</v>
      </c>
      <c r="C2" s="27" t="s">
        <v>399</v>
      </c>
      <c r="D2" s="27" t="s">
        <v>400</v>
      </c>
      <c r="E2" s="27" t="s">
        <v>401</v>
      </c>
      <c r="F2" s="27" t="s">
        <v>402</v>
      </c>
      <c r="G2" s="27" t="s">
        <v>403</v>
      </c>
      <c r="H2" s="27" t="s">
        <v>404</v>
      </c>
      <c r="I2" s="27" t="s">
        <v>405</v>
      </c>
      <c r="J2" s="27" t="s">
        <v>406</v>
      </c>
      <c r="K2" s="27" t="s">
        <v>407</v>
      </c>
      <c r="L2" s="27" t="s">
        <v>408</v>
      </c>
    </row>
    <row r="3" spans="1:12">
      <c r="A3" s="337">
        <v>1</v>
      </c>
      <c r="B3" s="337" t="s">
        <v>76</v>
      </c>
      <c r="C3" s="337" t="s">
        <v>4595</v>
      </c>
      <c r="D3" s="337" t="s">
        <v>409</v>
      </c>
      <c r="E3" s="337">
        <v>2023</v>
      </c>
      <c r="F3" s="337" t="s">
        <v>4596</v>
      </c>
      <c r="G3" s="337" t="s">
        <v>4597</v>
      </c>
      <c r="H3" s="337" t="s">
        <v>410</v>
      </c>
      <c r="I3" s="338">
        <v>45069</v>
      </c>
      <c r="J3" s="338">
        <v>45082</v>
      </c>
      <c r="K3" s="339">
        <f>J3-I3</f>
        <v>13</v>
      </c>
      <c r="L3" s="337"/>
    </row>
    <row r="4" spans="1:12">
      <c r="A4" s="337">
        <v>2</v>
      </c>
      <c r="B4" s="337" t="s">
        <v>77</v>
      </c>
      <c r="C4" s="337" t="s">
        <v>4595</v>
      </c>
      <c r="D4" s="337" t="s">
        <v>409</v>
      </c>
      <c r="E4" s="337">
        <v>2023</v>
      </c>
      <c r="F4" s="337" t="s">
        <v>4596</v>
      </c>
      <c r="G4" s="337" t="s">
        <v>4597</v>
      </c>
      <c r="H4" s="337" t="s">
        <v>410</v>
      </c>
      <c r="I4" s="338">
        <v>45170</v>
      </c>
      <c r="J4" s="338">
        <v>45163</v>
      </c>
      <c r="K4" s="339">
        <f t="shared" ref="K4:K67" si="0">J4-I4</f>
        <v>-7</v>
      </c>
      <c r="L4" s="337"/>
    </row>
    <row r="5" spans="1:12">
      <c r="A5" s="337">
        <v>3</v>
      </c>
      <c r="B5" s="337" t="s">
        <v>78</v>
      </c>
      <c r="C5" s="337" t="s">
        <v>4595</v>
      </c>
      <c r="D5" s="337" t="s">
        <v>409</v>
      </c>
      <c r="E5" s="337">
        <v>2023</v>
      </c>
      <c r="F5" s="337" t="s">
        <v>4596</v>
      </c>
      <c r="G5" s="337" t="s">
        <v>4597</v>
      </c>
      <c r="H5" s="337" t="s">
        <v>410</v>
      </c>
      <c r="I5" s="338">
        <v>45154</v>
      </c>
      <c r="J5" s="338">
        <v>45159</v>
      </c>
      <c r="K5" s="339">
        <f t="shared" si="0"/>
        <v>5</v>
      </c>
      <c r="L5" s="337"/>
    </row>
    <row r="6" spans="1:12">
      <c r="A6" s="337">
        <v>4</v>
      </c>
      <c r="B6" s="337" t="s">
        <v>79</v>
      </c>
      <c r="C6" s="337" t="s">
        <v>4595</v>
      </c>
      <c r="D6" s="337" t="s">
        <v>409</v>
      </c>
      <c r="E6" s="337">
        <v>2023</v>
      </c>
      <c r="F6" s="337" t="s">
        <v>4596</v>
      </c>
      <c r="G6" s="337" t="s">
        <v>4597</v>
      </c>
      <c r="H6" s="337" t="s">
        <v>410</v>
      </c>
      <c r="I6" s="338">
        <v>45156</v>
      </c>
      <c r="J6" s="338">
        <v>45155</v>
      </c>
      <c r="K6" s="339">
        <f t="shared" si="0"/>
        <v>-1</v>
      </c>
      <c r="L6" s="337"/>
    </row>
    <row r="7" spans="1:12">
      <c r="A7" s="337">
        <v>5</v>
      </c>
      <c r="B7" s="337" t="s">
        <v>80</v>
      </c>
      <c r="C7" s="337" t="s">
        <v>4595</v>
      </c>
      <c r="D7" s="337" t="s">
        <v>409</v>
      </c>
      <c r="E7" s="337">
        <v>2023</v>
      </c>
      <c r="F7" s="337" t="s">
        <v>4596</v>
      </c>
      <c r="G7" s="337" t="s">
        <v>4597</v>
      </c>
      <c r="H7" s="337" t="s">
        <v>410</v>
      </c>
      <c r="I7" s="338">
        <v>45158</v>
      </c>
      <c r="J7" s="338">
        <v>45089</v>
      </c>
      <c r="K7" s="339">
        <f t="shared" si="0"/>
        <v>-69</v>
      </c>
      <c r="L7" s="337"/>
    </row>
    <row r="8" spans="1:12">
      <c r="A8" s="337">
        <v>6</v>
      </c>
      <c r="B8" s="337" t="s">
        <v>81</v>
      </c>
      <c r="C8" s="337" t="s">
        <v>4595</v>
      </c>
      <c r="D8" s="337" t="s">
        <v>409</v>
      </c>
      <c r="E8" s="337">
        <v>2023</v>
      </c>
      <c r="F8" s="337" t="s">
        <v>4596</v>
      </c>
      <c r="G8" s="337" t="s">
        <v>4597</v>
      </c>
      <c r="H8" s="337" t="s">
        <v>410</v>
      </c>
      <c r="I8" s="338">
        <v>45159</v>
      </c>
      <c r="J8" s="338">
        <v>45161</v>
      </c>
      <c r="K8" s="339">
        <f t="shared" si="0"/>
        <v>2</v>
      </c>
      <c r="L8" s="337"/>
    </row>
    <row r="9" spans="1:12">
      <c r="A9" s="337">
        <v>7</v>
      </c>
      <c r="B9" s="337" t="s">
        <v>82</v>
      </c>
      <c r="C9" s="337" t="s">
        <v>4595</v>
      </c>
      <c r="D9" s="337" t="s">
        <v>409</v>
      </c>
      <c r="E9" s="337">
        <v>2023</v>
      </c>
      <c r="F9" s="337" t="s">
        <v>4596</v>
      </c>
      <c r="G9" s="337" t="s">
        <v>4597</v>
      </c>
      <c r="H9" s="337" t="s">
        <v>410</v>
      </c>
      <c r="I9" s="338">
        <v>45161</v>
      </c>
      <c r="J9" s="338">
        <v>45196</v>
      </c>
      <c r="K9" s="339">
        <f t="shared" si="0"/>
        <v>35</v>
      </c>
      <c r="L9" s="337"/>
    </row>
    <row r="10" spans="1:12">
      <c r="A10" s="337">
        <v>8</v>
      </c>
      <c r="B10" s="337" t="s">
        <v>83</v>
      </c>
      <c r="C10" s="337" t="s">
        <v>4595</v>
      </c>
      <c r="D10" s="337" t="s">
        <v>409</v>
      </c>
      <c r="E10" s="337">
        <v>2023</v>
      </c>
      <c r="F10" s="337" t="s">
        <v>4596</v>
      </c>
      <c r="G10" s="337" t="s">
        <v>4597</v>
      </c>
      <c r="H10" s="337" t="s">
        <v>410</v>
      </c>
      <c r="I10" s="338">
        <v>45163</v>
      </c>
      <c r="J10" s="338">
        <v>45197</v>
      </c>
      <c r="K10" s="339">
        <f t="shared" si="0"/>
        <v>34</v>
      </c>
      <c r="L10" s="337"/>
    </row>
    <row r="11" spans="1:12">
      <c r="A11" s="337">
        <v>9</v>
      </c>
      <c r="B11" s="337" t="s">
        <v>84</v>
      </c>
      <c r="C11" s="337" t="s">
        <v>4595</v>
      </c>
      <c r="D11" s="337" t="s">
        <v>409</v>
      </c>
      <c r="E11" s="337">
        <v>2023</v>
      </c>
      <c r="F11" s="337" t="s">
        <v>4596</v>
      </c>
      <c r="G11" s="337" t="s">
        <v>4597</v>
      </c>
      <c r="H11" s="337" t="s">
        <v>410</v>
      </c>
      <c r="I11" s="338">
        <v>45166</v>
      </c>
      <c r="J11" s="338">
        <v>45166</v>
      </c>
      <c r="K11" s="339">
        <f t="shared" si="0"/>
        <v>0</v>
      </c>
      <c r="L11" s="337"/>
    </row>
    <row r="12" spans="1:12">
      <c r="A12" s="337">
        <v>10</v>
      </c>
      <c r="B12" s="337" t="s">
        <v>85</v>
      </c>
      <c r="C12" s="337" t="s">
        <v>4595</v>
      </c>
      <c r="D12" s="337" t="s">
        <v>409</v>
      </c>
      <c r="E12" s="337">
        <v>2023</v>
      </c>
      <c r="F12" s="337" t="s">
        <v>4596</v>
      </c>
      <c r="G12" s="337" t="s">
        <v>4597</v>
      </c>
      <c r="H12" s="337" t="s">
        <v>410</v>
      </c>
      <c r="I12" s="338">
        <v>45057</v>
      </c>
      <c r="J12" s="338">
        <v>45057</v>
      </c>
      <c r="K12" s="339">
        <f t="shared" si="0"/>
        <v>0</v>
      </c>
      <c r="L12" s="337"/>
    </row>
    <row r="13" spans="1:12">
      <c r="A13" s="337">
        <v>11</v>
      </c>
      <c r="B13" s="337" t="s">
        <v>86</v>
      </c>
      <c r="C13" s="337" t="s">
        <v>4595</v>
      </c>
      <c r="D13" s="337" t="s">
        <v>409</v>
      </c>
      <c r="E13" s="337">
        <v>2023</v>
      </c>
      <c r="F13" s="337" t="s">
        <v>4596</v>
      </c>
      <c r="G13" s="337" t="s">
        <v>4597</v>
      </c>
      <c r="H13" s="337" t="s">
        <v>410</v>
      </c>
      <c r="I13" s="338">
        <v>45059</v>
      </c>
      <c r="J13" s="338">
        <v>45062</v>
      </c>
      <c r="K13" s="339">
        <f t="shared" si="0"/>
        <v>3</v>
      </c>
      <c r="L13" s="337"/>
    </row>
    <row r="14" spans="1:12">
      <c r="A14" s="337">
        <v>12</v>
      </c>
      <c r="B14" s="337" t="s">
        <v>87</v>
      </c>
      <c r="C14" s="337" t="s">
        <v>4595</v>
      </c>
      <c r="D14" s="337" t="s">
        <v>409</v>
      </c>
      <c r="E14" s="337">
        <v>2023</v>
      </c>
      <c r="F14" s="337" t="s">
        <v>4596</v>
      </c>
      <c r="G14" s="337" t="s">
        <v>4597</v>
      </c>
      <c r="H14" s="337" t="s">
        <v>410</v>
      </c>
      <c r="I14" s="338">
        <v>45061</v>
      </c>
      <c r="J14" s="338">
        <v>45065</v>
      </c>
      <c r="K14" s="339">
        <f t="shared" si="0"/>
        <v>4</v>
      </c>
      <c r="L14" s="337"/>
    </row>
    <row r="15" spans="1:12">
      <c r="A15" s="337">
        <v>13</v>
      </c>
      <c r="B15" s="337" t="s">
        <v>88</v>
      </c>
      <c r="C15" s="337" t="s">
        <v>4595</v>
      </c>
      <c r="D15" s="337" t="s">
        <v>409</v>
      </c>
      <c r="E15" s="337">
        <v>2023</v>
      </c>
      <c r="F15" s="337" t="s">
        <v>4596</v>
      </c>
      <c r="G15" s="337" t="s">
        <v>4597</v>
      </c>
      <c r="H15" s="337" t="s">
        <v>410</v>
      </c>
      <c r="I15" s="338">
        <v>45062</v>
      </c>
      <c r="J15" s="338">
        <v>45071</v>
      </c>
      <c r="K15" s="339">
        <f t="shared" si="0"/>
        <v>9</v>
      </c>
      <c r="L15" s="337"/>
    </row>
    <row r="16" spans="1:12">
      <c r="A16" s="337">
        <v>14</v>
      </c>
      <c r="B16" s="337" t="s">
        <v>89</v>
      </c>
      <c r="C16" s="337" t="s">
        <v>4595</v>
      </c>
      <c r="D16" s="337" t="s">
        <v>409</v>
      </c>
      <c r="E16" s="337">
        <v>2023</v>
      </c>
      <c r="F16" s="337" t="s">
        <v>4596</v>
      </c>
      <c r="G16" s="337" t="s">
        <v>4597</v>
      </c>
      <c r="H16" s="337" t="s">
        <v>410</v>
      </c>
      <c r="I16" s="338">
        <v>45064</v>
      </c>
      <c r="J16" s="338">
        <v>45101</v>
      </c>
      <c r="K16" s="339">
        <f t="shared" si="0"/>
        <v>37</v>
      </c>
      <c r="L16" s="337"/>
    </row>
    <row r="17" spans="1:12">
      <c r="A17" s="337">
        <v>15</v>
      </c>
      <c r="B17" s="337" t="s">
        <v>90</v>
      </c>
      <c r="C17" s="337" t="s">
        <v>4595</v>
      </c>
      <c r="D17" s="337" t="s">
        <v>409</v>
      </c>
      <c r="E17" s="337">
        <v>2023</v>
      </c>
      <c r="F17" s="337" t="s">
        <v>4596</v>
      </c>
      <c r="G17" s="337" t="s">
        <v>4597</v>
      </c>
      <c r="H17" s="337" t="s">
        <v>410</v>
      </c>
      <c r="I17" s="338">
        <v>45073</v>
      </c>
      <c r="J17" s="338">
        <v>45091</v>
      </c>
      <c r="K17" s="339">
        <f t="shared" si="0"/>
        <v>18</v>
      </c>
      <c r="L17" s="337"/>
    </row>
    <row r="18" spans="1:12">
      <c r="A18" s="337">
        <v>16</v>
      </c>
      <c r="B18" s="337" t="s">
        <v>91</v>
      </c>
      <c r="C18" s="337" t="s">
        <v>4595</v>
      </c>
      <c r="D18" s="337" t="s">
        <v>409</v>
      </c>
      <c r="E18" s="337">
        <v>2023</v>
      </c>
      <c r="F18" s="337" t="s">
        <v>4596</v>
      </c>
      <c r="G18" s="337" t="s">
        <v>4597</v>
      </c>
      <c r="H18" s="337" t="s">
        <v>410</v>
      </c>
      <c r="I18" s="338">
        <v>45076</v>
      </c>
      <c r="J18" s="338">
        <v>45094</v>
      </c>
      <c r="K18" s="339">
        <f t="shared" si="0"/>
        <v>18</v>
      </c>
      <c r="L18" s="337"/>
    </row>
    <row r="19" spans="1:12">
      <c r="A19" s="337">
        <v>17</v>
      </c>
      <c r="B19" s="337" t="s">
        <v>92</v>
      </c>
      <c r="C19" s="337" t="s">
        <v>4595</v>
      </c>
      <c r="D19" s="337" t="s">
        <v>409</v>
      </c>
      <c r="E19" s="337">
        <v>2023</v>
      </c>
      <c r="F19" s="337" t="s">
        <v>4596</v>
      </c>
      <c r="G19" s="337" t="s">
        <v>4597</v>
      </c>
      <c r="H19" s="337" t="s">
        <v>410</v>
      </c>
      <c r="I19" s="338">
        <v>45078</v>
      </c>
      <c r="J19" s="338">
        <v>45115</v>
      </c>
      <c r="K19" s="339">
        <f t="shared" si="0"/>
        <v>37</v>
      </c>
      <c r="L19" s="337"/>
    </row>
    <row r="20" spans="1:12">
      <c r="A20" s="337">
        <v>18</v>
      </c>
      <c r="B20" s="337" t="s">
        <v>93</v>
      </c>
      <c r="C20" s="337" t="s">
        <v>4595</v>
      </c>
      <c r="D20" s="337" t="s">
        <v>409</v>
      </c>
      <c r="E20" s="337">
        <v>2023</v>
      </c>
      <c r="F20" s="337" t="s">
        <v>4596</v>
      </c>
      <c r="G20" s="337" t="s">
        <v>4597</v>
      </c>
      <c r="H20" s="337" t="s">
        <v>410</v>
      </c>
      <c r="I20" s="338">
        <v>45168</v>
      </c>
      <c r="J20" s="338">
        <v>45175</v>
      </c>
      <c r="K20" s="339">
        <f t="shared" si="0"/>
        <v>7</v>
      </c>
      <c r="L20" s="337"/>
    </row>
    <row r="21" spans="1:12">
      <c r="A21" s="337">
        <v>19</v>
      </c>
      <c r="B21" s="337" t="s">
        <v>94</v>
      </c>
      <c r="C21" s="337" t="s">
        <v>4595</v>
      </c>
      <c r="D21" s="337" t="s">
        <v>409</v>
      </c>
      <c r="E21" s="337">
        <v>2023</v>
      </c>
      <c r="F21" s="337" t="s">
        <v>4596</v>
      </c>
      <c r="G21" s="337" t="s">
        <v>4597</v>
      </c>
      <c r="H21" s="337" t="s">
        <v>410</v>
      </c>
      <c r="I21" s="338">
        <v>45170</v>
      </c>
      <c r="J21" s="338">
        <v>45076</v>
      </c>
      <c r="K21" s="339">
        <f t="shared" si="0"/>
        <v>-94</v>
      </c>
      <c r="L21" s="337"/>
    </row>
    <row r="22" spans="1:12">
      <c r="A22" s="337">
        <v>20</v>
      </c>
      <c r="B22" s="337" t="s">
        <v>95</v>
      </c>
      <c r="C22" s="337" t="s">
        <v>4595</v>
      </c>
      <c r="D22" s="337" t="s">
        <v>409</v>
      </c>
      <c r="E22" s="337">
        <v>2023</v>
      </c>
      <c r="F22" s="337" t="s">
        <v>4596</v>
      </c>
      <c r="G22" s="337" t="s">
        <v>4597</v>
      </c>
      <c r="H22" s="337" t="s">
        <v>410</v>
      </c>
      <c r="I22" s="338">
        <v>45173</v>
      </c>
      <c r="J22" s="338">
        <v>45099</v>
      </c>
      <c r="K22" s="339">
        <f t="shared" si="0"/>
        <v>-74</v>
      </c>
      <c r="L22" s="337"/>
    </row>
    <row r="23" spans="1:12">
      <c r="A23" s="337">
        <v>21</v>
      </c>
      <c r="B23" s="337" t="s">
        <v>96</v>
      </c>
      <c r="C23" s="337" t="s">
        <v>4595</v>
      </c>
      <c r="D23" s="337" t="s">
        <v>409</v>
      </c>
      <c r="E23" s="337">
        <v>2023</v>
      </c>
      <c r="F23" s="337" t="s">
        <v>4596</v>
      </c>
      <c r="G23" s="337" t="s">
        <v>4597</v>
      </c>
      <c r="H23" s="337" t="s">
        <v>410</v>
      </c>
      <c r="I23" s="338">
        <v>45177</v>
      </c>
      <c r="J23" s="338">
        <v>45170</v>
      </c>
      <c r="K23" s="339">
        <f t="shared" si="0"/>
        <v>-7</v>
      </c>
      <c r="L23" s="337"/>
    </row>
    <row r="24" spans="1:12">
      <c r="A24" s="337">
        <v>22</v>
      </c>
      <c r="B24" s="337" t="s">
        <v>97</v>
      </c>
      <c r="C24" s="337" t="s">
        <v>4595</v>
      </c>
      <c r="D24" s="337" t="s">
        <v>409</v>
      </c>
      <c r="E24" s="337">
        <v>2023</v>
      </c>
      <c r="F24" s="337" t="s">
        <v>4596</v>
      </c>
      <c r="G24" s="337" t="s">
        <v>4597</v>
      </c>
      <c r="H24" s="337" t="s">
        <v>410</v>
      </c>
      <c r="I24" s="338">
        <v>45175</v>
      </c>
      <c r="J24" s="338">
        <v>45173</v>
      </c>
      <c r="K24" s="339">
        <f t="shared" si="0"/>
        <v>-2</v>
      </c>
      <c r="L24" s="337"/>
    </row>
    <row r="25" spans="1:12">
      <c r="A25" s="337">
        <v>23</v>
      </c>
      <c r="B25" s="337" t="s">
        <v>98</v>
      </c>
      <c r="C25" s="337" t="s">
        <v>4595</v>
      </c>
      <c r="D25" s="337" t="s">
        <v>409</v>
      </c>
      <c r="E25" s="337">
        <v>2023</v>
      </c>
      <c r="F25" s="337" t="s">
        <v>4596</v>
      </c>
      <c r="G25" s="337" t="s">
        <v>4597</v>
      </c>
      <c r="H25" s="337" t="s">
        <v>410</v>
      </c>
      <c r="I25" s="338">
        <v>45173</v>
      </c>
      <c r="J25" s="338">
        <v>45168</v>
      </c>
      <c r="K25" s="339">
        <f t="shared" si="0"/>
        <v>-5</v>
      </c>
      <c r="L25" s="337"/>
    </row>
    <row r="26" spans="1:12">
      <c r="A26" s="337">
        <v>24</v>
      </c>
      <c r="B26" s="337" t="s">
        <v>76</v>
      </c>
      <c r="C26" s="337" t="s">
        <v>4595</v>
      </c>
      <c r="D26" s="337" t="s">
        <v>409</v>
      </c>
      <c r="E26" s="337">
        <v>2023</v>
      </c>
      <c r="F26" s="337" t="s">
        <v>4598</v>
      </c>
      <c r="G26" s="337" t="s">
        <v>4597</v>
      </c>
      <c r="H26" s="337" t="s">
        <v>410</v>
      </c>
      <c r="I26" s="338">
        <v>45070</v>
      </c>
      <c r="J26" s="338">
        <v>45084</v>
      </c>
      <c r="K26" s="339">
        <f t="shared" si="0"/>
        <v>14</v>
      </c>
      <c r="L26" s="337"/>
    </row>
    <row r="27" spans="1:12">
      <c r="A27" s="337">
        <v>25</v>
      </c>
      <c r="B27" s="337" t="s">
        <v>77</v>
      </c>
      <c r="C27" s="337" t="s">
        <v>4595</v>
      </c>
      <c r="D27" s="337" t="s">
        <v>409</v>
      </c>
      <c r="E27" s="337">
        <v>2023</v>
      </c>
      <c r="F27" s="337" t="s">
        <v>4598</v>
      </c>
      <c r="G27" s="337" t="s">
        <v>4597</v>
      </c>
      <c r="H27" s="337" t="s">
        <v>410</v>
      </c>
      <c r="I27" s="338">
        <v>45171</v>
      </c>
      <c r="J27" s="338">
        <v>45164</v>
      </c>
      <c r="K27" s="339">
        <f t="shared" si="0"/>
        <v>-7</v>
      </c>
      <c r="L27" s="337"/>
    </row>
    <row r="28" spans="1:12">
      <c r="A28" s="337">
        <v>26</v>
      </c>
      <c r="B28" s="337" t="s">
        <v>78</v>
      </c>
      <c r="C28" s="337" t="s">
        <v>4595</v>
      </c>
      <c r="D28" s="337" t="s">
        <v>409</v>
      </c>
      <c r="E28" s="337">
        <v>2023</v>
      </c>
      <c r="F28" s="337" t="s">
        <v>4598</v>
      </c>
      <c r="G28" s="337" t="s">
        <v>4597</v>
      </c>
      <c r="H28" s="337" t="s">
        <v>410</v>
      </c>
      <c r="I28" s="338">
        <v>45155</v>
      </c>
      <c r="J28" s="338">
        <v>45160</v>
      </c>
      <c r="K28" s="339">
        <f t="shared" si="0"/>
        <v>5</v>
      </c>
      <c r="L28" s="337"/>
    </row>
    <row r="29" spans="1:12">
      <c r="A29" s="337">
        <v>27</v>
      </c>
      <c r="B29" s="337" t="s">
        <v>79</v>
      </c>
      <c r="C29" s="337" t="s">
        <v>4595</v>
      </c>
      <c r="D29" s="337" t="s">
        <v>409</v>
      </c>
      <c r="E29" s="337">
        <v>2023</v>
      </c>
      <c r="F29" s="337" t="s">
        <v>4598</v>
      </c>
      <c r="G29" s="337" t="s">
        <v>4597</v>
      </c>
      <c r="H29" s="337" t="s">
        <v>410</v>
      </c>
      <c r="I29" s="338">
        <v>45157</v>
      </c>
      <c r="J29" s="338">
        <v>45157</v>
      </c>
      <c r="K29" s="339">
        <f t="shared" si="0"/>
        <v>0</v>
      </c>
      <c r="L29" s="337"/>
    </row>
    <row r="30" spans="1:12">
      <c r="A30" s="337">
        <v>28</v>
      </c>
      <c r="B30" s="337" t="s">
        <v>80</v>
      </c>
      <c r="C30" s="337" t="s">
        <v>4595</v>
      </c>
      <c r="D30" s="337" t="s">
        <v>409</v>
      </c>
      <c r="E30" s="337">
        <v>2023</v>
      </c>
      <c r="F30" s="337" t="s">
        <v>4598</v>
      </c>
      <c r="G30" s="337" t="s">
        <v>4597</v>
      </c>
      <c r="H30" s="337" t="s">
        <v>410</v>
      </c>
      <c r="I30" s="338">
        <v>45159</v>
      </c>
      <c r="J30" s="338">
        <v>45090</v>
      </c>
      <c r="K30" s="339">
        <f t="shared" si="0"/>
        <v>-69</v>
      </c>
      <c r="L30" s="337"/>
    </row>
    <row r="31" spans="1:12">
      <c r="A31" s="337">
        <v>29</v>
      </c>
      <c r="B31" s="337" t="s">
        <v>81</v>
      </c>
      <c r="C31" s="337" t="s">
        <v>4595</v>
      </c>
      <c r="D31" s="337" t="s">
        <v>409</v>
      </c>
      <c r="E31" s="337">
        <v>2023</v>
      </c>
      <c r="F31" s="337" t="s">
        <v>4598</v>
      </c>
      <c r="G31" s="337" t="s">
        <v>4597</v>
      </c>
      <c r="H31" s="337" t="s">
        <v>410</v>
      </c>
      <c r="I31" s="338">
        <v>45160</v>
      </c>
      <c r="J31" s="338">
        <v>45162</v>
      </c>
      <c r="K31" s="339">
        <f t="shared" si="0"/>
        <v>2</v>
      </c>
      <c r="L31" s="337"/>
    </row>
    <row r="32" spans="1:12">
      <c r="A32" s="337">
        <v>30</v>
      </c>
      <c r="B32" s="337" t="s">
        <v>82</v>
      </c>
      <c r="C32" s="337" t="s">
        <v>4595</v>
      </c>
      <c r="D32" s="337" t="s">
        <v>409</v>
      </c>
      <c r="E32" s="337">
        <v>2023</v>
      </c>
      <c r="F32" s="337" t="s">
        <v>4598</v>
      </c>
      <c r="G32" s="337" t="s">
        <v>4597</v>
      </c>
      <c r="H32" s="337" t="s">
        <v>410</v>
      </c>
      <c r="I32" s="338">
        <v>45162</v>
      </c>
      <c r="J32" s="338">
        <v>45199</v>
      </c>
      <c r="K32" s="339">
        <f t="shared" si="0"/>
        <v>37</v>
      </c>
      <c r="L32" s="337"/>
    </row>
    <row r="33" spans="1:12">
      <c r="A33" s="337">
        <v>31</v>
      </c>
      <c r="B33" s="337" t="s">
        <v>83</v>
      </c>
      <c r="C33" s="337" t="s">
        <v>4595</v>
      </c>
      <c r="D33" s="337" t="s">
        <v>409</v>
      </c>
      <c r="E33" s="337">
        <v>2023</v>
      </c>
      <c r="F33" s="337" t="s">
        <v>4598</v>
      </c>
      <c r="G33" s="337" t="s">
        <v>4597</v>
      </c>
      <c r="H33" s="337" t="s">
        <v>410</v>
      </c>
      <c r="I33" s="338">
        <v>45164</v>
      </c>
      <c r="J33" s="338">
        <v>45198</v>
      </c>
      <c r="K33" s="339">
        <f t="shared" si="0"/>
        <v>34</v>
      </c>
      <c r="L33" s="337"/>
    </row>
    <row r="34" spans="1:12">
      <c r="A34" s="337">
        <v>32</v>
      </c>
      <c r="B34" s="337" t="s">
        <v>84</v>
      </c>
      <c r="C34" s="337" t="s">
        <v>4595</v>
      </c>
      <c r="D34" s="337" t="s">
        <v>409</v>
      </c>
      <c r="E34" s="337">
        <v>2023</v>
      </c>
      <c r="F34" s="337" t="s">
        <v>4598</v>
      </c>
      <c r="G34" s="337" t="s">
        <v>4597</v>
      </c>
      <c r="H34" s="337" t="s">
        <v>410</v>
      </c>
      <c r="I34" s="338">
        <v>45167</v>
      </c>
      <c r="J34" s="338">
        <v>45167</v>
      </c>
      <c r="K34" s="339">
        <f t="shared" si="0"/>
        <v>0</v>
      </c>
      <c r="L34" s="337"/>
    </row>
    <row r="35" spans="1:12">
      <c r="A35" s="337">
        <v>33</v>
      </c>
      <c r="B35" s="337" t="s">
        <v>85</v>
      </c>
      <c r="C35" s="337" t="s">
        <v>4595</v>
      </c>
      <c r="D35" s="337" t="s">
        <v>409</v>
      </c>
      <c r="E35" s="337">
        <v>2023</v>
      </c>
      <c r="F35" s="337" t="s">
        <v>4598</v>
      </c>
      <c r="G35" s="337" t="s">
        <v>4597</v>
      </c>
      <c r="H35" s="337" t="s">
        <v>410</v>
      </c>
      <c r="I35" s="338">
        <v>45058</v>
      </c>
      <c r="J35" s="338">
        <v>45061</v>
      </c>
      <c r="K35" s="339">
        <f t="shared" si="0"/>
        <v>3</v>
      </c>
      <c r="L35" s="337"/>
    </row>
    <row r="36" spans="1:12">
      <c r="A36" s="337">
        <v>34</v>
      </c>
      <c r="B36" s="337" t="s">
        <v>86</v>
      </c>
      <c r="C36" s="337" t="s">
        <v>4595</v>
      </c>
      <c r="D36" s="337" t="s">
        <v>409</v>
      </c>
      <c r="E36" s="337">
        <v>2023</v>
      </c>
      <c r="F36" s="337" t="s">
        <v>4598</v>
      </c>
      <c r="G36" s="337" t="s">
        <v>4597</v>
      </c>
      <c r="H36" s="337" t="s">
        <v>410</v>
      </c>
      <c r="I36" s="338">
        <v>45060</v>
      </c>
      <c r="J36" s="338">
        <v>45064</v>
      </c>
      <c r="K36" s="339">
        <f t="shared" si="0"/>
        <v>4</v>
      </c>
      <c r="L36" s="337"/>
    </row>
    <row r="37" spans="1:12">
      <c r="A37" s="337">
        <v>35</v>
      </c>
      <c r="B37" s="337" t="s">
        <v>87</v>
      </c>
      <c r="C37" s="337" t="s">
        <v>4595</v>
      </c>
      <c r="D37" s="337" t="s">
        <v>409</v>
      </c>
      <c r="E37" s="337">
        <v>2023</v>
      </c>
      <c r="F37" s="337" t="s">
        <v>4598</v>
      </c>
      <c r="G37" s="337" t="s">
        <v>4597</v>
      </c>
      <c r="H37" s="337" t="s">
        <v>410</v>
      </c>
      <c r="I37" s="338">
        <v>45062</v>
      </c>
      <c r="J37" s="338">
        <v>45066</v>
      </c>
      <c r="K37" s="339">
        <f t="shared" si="0"/>
        <v>4</v>
      </c>
      <c r="L37" s="337"/>
    </row>
    <row r="38" spans="1:12">
      <c r="A38" s="337">
        <v>36</v>
      </c>
      <c r="B38" s="337" t="s">
        <v>88</v>
      </c>
      <c r="C38" s="337" t="s">
        <v>4595</v>
      </c>
      <c r="D38" s="337" t="s">
        <v>409</v>
      </c>
      <c r="E38" s="337">
        <v>2023</v>
      </c>
      <c r="F38" s="337" t="s">
        <v>4598</v>
      </c>
      <c r="G38" s="337" t="s">
        <v>4597</v>
      </c>
      <c r="H38" s="337" t="s">
        <v>410</v>
      </c>
      <c r="I38" s="338">
        <v>45063</v>
      </c>
      <c r="J38" s="338">
        <v>45073</v>
      </c>
      <c r="K38" s="339">
        <f t="shared" si="0"/>
        <v>10</v>
      </c>
      <c r="L38" s="337"/>
    </row>
    <row r="39" spans="1:12">
      <c r="A39" s="337">
        <v>37</v>
      </c>
      <c r="B39" s="337" t="s">
        <v>89</v>
      </c>
      <c r="C39" s="337" t="s">
        <v>4595</v>
      </c>
      <c r="D39" s="337" t="s">
        <v>409</v>
      </c>
      <c r="E39" s="337">
        <v>2023</v>
      </c>
      <c r="F39" s="337" t="s">
        <v>4598</v>
      </c>
      <c r="G39" s="337" t="s">
        <v>4597</v>
      </c>
      <c r="H39" s="337" t="s">
        <v>410</v>
      </c>
      <c r="I39" s="338">
        <v>45065</v>
      </c>
      <c r="J39" s="338">
        <v>45101</v>
      </c>
      <c r="K39" s="339">
        <f t="shared" si="0"/>
        <v>36</v>
      </c>
      <c r="L39" s="337"/>
    </row>
    <row r="40" spans="1:12">
      <c r="A40" s="337">
        <v>38</v>
      </c>
      <c r="B40" s="337" t="s">
        <v>90</v>
      </c>
      <c r="C40" s="337" t="s">
        <v>4595</v>
      </c>
      <c r="D40" s="337" t="s">
        <v>409</v>
      </c>
      <c r="E40" s="337">
        <v>2023</v>
      </c>
      <c r="F40" s="337" t="s">
        <v>4598</v>
      </c>
      <c r="G40" s="337" t="s">
        <v>4597</v>
      </c>
      <c r="H40" s="337" t="s">
        <v>410</v>
      </c>
      <c r="I40" s="338">
        <v>45074</v>
      </c>
      <c r="J40" s="338">
        <v>45092</v>
      </c>
      <c r="K40" s="339">
        <f t="shared" si="0"/>
        <v>18</v>
      </c>
      <c r="L40" s="337"/>
    </row>
    <row r="41" spans="1:12">
      <c r="A41" s="337">
        <v>39</v>
      </c>
      <c r="B41" s="337" t="s">
        <v>91</v>
      </c>
      <c r="C41" s="337" t="s">
        <v>4595</v>
      </c>
      <c r="D41" s="337" t="s">
        <v>409</v>
      </c>
      <c r="E41" s="337">
        <v>2023</v>
      </c>
      <c r="F41" s="337" t="s">
        <v>4598</v>
      </c>
      <c r="G41" s="337" t="s">
        <v>4597</v>
      </c>
      <c r="H41" s="337" t="s">
        <v>410</v>
      </c>
      <c r="I41" s="338">
        <v>45077</v>
      </c>
      <c r="J41" s="338">
        <v>45096</v>
      </c>
      <c r="K41" s="339">
        <f t="shared" si="0"/>
        <v>19</v>
      </c>
      <c r="L41" s="337"/>
    </row>
    <row r="42" spans="1:12">
      <c r="A42" s="337">
        <v>40</v>
      </c>
      <c r="B42" s="337" t="s">
        <v>92</v>
      </c>
      <c r="C42" s="337" t="s">
        <v>4595</v>
      </c>
      <c r="D42" s="337" t="s">
        <v>409</v>
      </c>
      <c r="E42" s="337">
        <v>2023</v>
      </c>
      <c r="F42" s="337" t="s">
        <v>4598</v>
      </c>
      <c r="G42" s="337" t="s">
        <v>4597</v>
      </c>
      <c r="H42" s="337" t="s">
        <v>410</v>
      </c>
      <c r="I42" s="338">
        <v>45079</v>
      </c>
      <c r="J42" s="338">
        <v>45116</v>
      </c>
      <c r="K42" s="339">
        <f t="shared" si="0"/>
        <v>37</v>
      </c>
      <c r="L42" s="337"/>
    </row>
    <row r="43" spans="1:12">
      <c r="A43" s="337">
        <v>41</v>
      </c>
      <c r="B43" s="337" t="s">
        <v>93</v>
      </c>
      <c r="C43" s="337" t="s">
        <v>4595</v>
      </c>
      <c r="D43" s="337" t="s">
        <v>409</v>
      </c>
      <c r="E43" s="337">
        <v>2023</v>
      </c>
      <c r="F43" s="337" t="s">
        <v>4598</v>
      </c>
      <c r="G43" s="337" t="s">
        <v>4597</v>
      </c>
      <c r="H43" s="337" t="s">
        <v>410</v>
      </c>
      <c r="I43" s="338">
        <v>45169</v>
      </c>
      <c r="J43" s="338">
        <v>45176</v>
      </c>
      <c r="K43" s="339">
        <f t="shared" si="0"/>
        <v>7</v>
      </c>
      <c r="L43" s="337"/>
    </row>
    <row r="44" spans="1:12">
      <c r="A44" s="337">
        <v>42</v>
      </c>
      <c r="B44" s="337" t="s">
        <v>94</v>
      </c>
      <c r="C44" s="337" t="s">
        <v>4595</v>
      </c>
      <c r="D44" s="337" t="s">
        <v>409</v>
      </c>
      <c r="E44" s="337">
        <v>2023</v>
      </c>
      <c r="F44" s="337" t="s">
        <v>4598</v>
      </c>
      <c r="G44" s="337" t="s">
        <v>4597</v>
      </c>
      <c r="H44" s="337" t="s">
        <v>410</v>
      </c>
      <c r="I44" s="338">
        <v>45171</v>
      </c>
      <c r="J44" s="338">
        <v>45079</v>
      </c>
      <c r="K44" s="339">
        <f t="shared" si="0"/>
        <v>-92</v>
      </c>
      <c r="L44" s="337"/>
    </row>
    <row r="45" spans="1:12">
      <c r="A45" s="337">
        <v>43</v>
      </c>
      <c r="B45" s="337" t="s">
        <v>95</v>
      </c>
      <c r="C45" s="337" t="s">
        <v>4595</v>
      </c>
      <c r="D45" s="337" t="s">
        <v>409</v>
      </c>
      <c r="E45" s="337">
        <v>2023</v>
      </c>
      <c r="F45" s="337" t="s">
        <v>4598</v>
      </c>
      <c r="G45" s="337" t="s">
        <v>4597</v>
      </c>
      <c r="H45" s="337" t="s">
        <v>410</v>
      </c>
      <c r="I45" s="338">
        <v>45174</v>
      </c>
      <c r="J45" s="338">
        <v>45099</v>
      </c>
      <c r="K45" s="339">
        <f t="shared" si="0"/>
        <v>-75</v>
      </c>
      <c r="L45" s="337"/>
    </row>
    <row r="46" spans="1:12">
      <c r="A46" s="337">
        <v>44</v>
      </c>
      <c r="B46" s="337" t="s">
        <v>96</v>
      </c>
      <c r="C46" s="337" t="s">
        <v>4595</v>
      </c>
      <c r="D46" s="337" t="s">
        <v>409</v>
      </c>
      <c r="E46" s="337">
        <v>2023</v>
      </c>
      <c r="F46" s="337" t="s">
        <v>4598</v>
      </c>
      <c r="G46" s="337" t="s">
        <v>4597</v>
      </c>
      <c r="H46" s="337" t="s">
        <v>410</v>
      </c>
      <c r="I46" s="338">
        <v>45178</v>
      </c>
      <c r="J46" s="338">
        <v>45171</v>
      </c>
      <c r="K46" s="339">
        <f t="shared" si="0"/>
        <v>-7</v>
      </c>
      <c r="L46" s="337"/>
    </row>
    <row r="47" spans="1:12">
      <c r="A47" s="337">
        <v>45</v>
      </c>
      <c r="B47" s="337" t="s">
        <v>97</v>
      </c>
      <c r="C47" s="337" t="s">
        <v>4595</v>
      </c>
      <c r="D47" s="337" t="s">
        <v>409</v>
      </c>
      <c r="E47" s="337">
        <v>2023</v>
      </c>
      <c r="F47" s="337" t="s">
        <v>4598</v>
      </c>
      <c r="G47" s="337" t="s">
        <v>4597</v>
      </c>
      <c r="H47" s="337" t="s">
        <v>410</v>
      </c>
      <c r="I47" s="338">
        <v>45176</v>
      </c>
      <c r="J47" s="338">
        <v>45174</v>
      </c>
      <c r="K47" s="339">
        <f t="shared" si="0"/>
        <v>-2</v>
      </c>
      <c r="L47" s="337"/>
    </row>
    <row r="48" spans="1:12">
      <c r="A48" s="337">
        <v>46</v>
      </c>
      <c r="B48" s="337" t="s">
        <v>98</v>
      </c>
      <c r="C48" s="337" t="s">
        <v>4595</v>
      </c>
      <c r="D48" s="337" t="s">
        <v>409</v>
      </c>
      <c r="E48" s="337">
        <v>2023</v>
      </c>
      <c r="F48" s="337" t="s">
        <v>4598</v>
      </c>
      <c r="G48" s="337" t="s">
        <v>4597</v>
      </c>
      <c r="H48" s="337" t="s">
        <v>410</v>
      </c>
      <c r="I48" s="338">
        <v>45174</v>
      </c>
      <c r="J48" s="338">
        <v>45169</v>
      </c>
      <c r="K48" s="339">
        <f t="shared" si="0"/>
        <v>-5</v>
      </c>
      <c r="L48" s="337"/>
    </row>
    <row r="49" spans="1:12">
      <c r="A49" s="340">
        <v>47</v>
      </c>
      <c r="B49" s="340" t="s">
        <v>76</v>
      </c>
      <c r="C49" s="340" t="s">
        <v>4595</v>
      </c>
      <c r="D49" s="340" t="s">
        <v>409</v>
      </c>
      <c r="E49" s="340">
        <v>2023</v>
      </c>
      <c r="F49" s="340" t="s">
        <v>4596</v>
      </c>
      <c r="G49" s="340" t="s">
        <v>4597</v>
      </c>
      <c r="H49" s="340" t="s">
        <v>4599</v>
      </c>
      <c r="I49" s="341">
        <v>45212</v>
      </c>
      <c r="J49" s="341">
        <v>45204</v>
      </c>
      <c r="K49" s="342">
        <f t="shared" si="0"/>
        <v>-8</v>
      </c>
      <c r="L49" s="340"/>
    </row>
    <row r="50" spans="1:12">
      <c r="A50" s="337">
        <v>48</v>
      </c>
      <c r="B50" s="337" t="s">
        <v>77</v>
      </c>
      <c r="C50" s="337" t="s">
        <v>4595</v>
      </c>
      <c r="D50" s="337" t="s">
        <v>409</v>
      </c>
      <c r="E50" s="337">
        <v>2023</v>
      </c>
      <c r="F50" s="337" t="s">
        <v>4596</v>
      </c>
      <c r="G50" s="337" t="s">
        <v>4597</v>
      </c>
      <c r="H50" s="337" t="s">
        <v>4599</v>
      </c>
      <c r="I50" s="338">
        <v>45213</v>
      </c>
      <c r="J50" s="338">
        <v>45275</v>
      </c>
      <c r="K50" s="339">
        <f t="shared" si="0"/>
        <v>62</v>
      </c>
      <c r="L50" s="337"/>
    </row>
    <row r="51" spans="1:12">
      <c r="A51" s="337">
        <v>49</v>
      </c>
      <c r="B51" s="337" t="s">
        <v>78</v>
      </c>
      <c r="C51" s="337" t="s">
        <v>4595</v>
      </c>
      <c r="D51" s="337" t="s">
        <v>409</v>
      </c>
      <c r="E51" s="337">
        <v>2023</v>
      </c>
      <c r="F51" s="337" t="s">
        <v>4596</v>
      </c>
      <c r="G51" s="337" t="s">
        <v>4597</v>
      </c>
      <c r="H51" s="337" t="s">
        <v>4599</v>
      </c>
      <c r="I51" s="338">
        <v>45243</v>
      </c>
      <c r="J51" s="338">
        <v>45261</v>
      </c>
      <c r="K51" s="339">
        <f t="shared" si="0"/>
        <v>18</v>
      </c>
      <c r="L51" s="337"/>
    </row>
    <row r="52" spans="1:12">
      <c r="A52" s="337">
        <v>50</v>
      </c>
      <c r="B52" s="337" t="s">
        <v>79</v>
      </c>
      <c r="C52" s="337" t="s">
        <v>4595</v>
      </c>
      <c r="D52" s="337" t="s">
        <v>409</v>
      </c>
      <c r="E52" s="337">
        <v>2023</v>
      </c>
      <c r="F52" s="337" t="s">
        <v>4596</v>
      </c>
      <c r="G52" s="337" t="s">
        <v>4597</v>
      </c>
      <c r="H52" s="337" t="s">
        <v>4599</v>
      </c>
      <c r="I52" s="338">
        <v>45244</v>
      </c>
      <c r="J52" s="338">
        <v>45267</v>
      </c>
      <c r="K52" s="339">
        <f t="shared" si="0"/>
        <v>23</v>
      </c>
      <c r="L52" s="337"/>
    </row>
    <row r="53" spans="1:12">
      <c r="A53" s="337">
        <v>51</v>
      </c>
      <c r="B53" s="337" t="s">
        <v>80</v>
      </c>
      <c r="C53" s="337" t="s">
        <v>4595</v>
      </c>
      <c r="D53" s="337" t="s">
        <v>409</v>
      </c>
      <c r="E53" s="337">
        <v>2023</v>
      </c>
      <c r="F53" s="337" t="s">
        <v>4596</v>
      </c>
      <c r="G53" s="337" t="s">
        <v>4597</v>
      </c>
      <c r="H53" s="337" t="s">
        <v>4599</v>
      </c>
      <c r="I53" s="338">
        <v>45213</v>
      </c>
      <c r="J53" s="338">
        <v>45204</v>
      </c>
      <c r="K53" s="339">
        <f t="shared" si="0"/>
        <v>-9</v>
      </c>
      <c r="L53" s="337"/>
    </row>
    <row r="54" spans="1:12">
      <c r="A54" s="337">
        <v>52</v>
      </c>
      <c r="B54" s="337" t="s">
        <v>81</v>
      </c>
      <c r="C54" s="337" t="s">
        <v>4595</v>
      </c>
      <c r="D54" s="337" t="s">
        <v>409</v>
      </c>
      <c r="E54" s="337">
        <v>2023</v>
      </c>
      <c r="F54" s="337" t="s">
        <v>4596</v>
      </c>
      <c r="G54" s="337" t="s">
        <v>4597</v>
      </c>
      <c r="H54" s="337" t="s">
        <v>4599</v>
      </c>
      <c r="I54" s="338">
        <v>45214</v>
      </c>
      <c r="J54" s="338">
        <v>45245</v>
      </c>
      <c r="K54" s="339">
        <f t="shared" si="0"/>
        <v>31</v>
      </c>
      <c r="L54" s="337"/>
    </row>
    <row r="55" spans="1:12">
      <c r="A55" s="337">
        <v>53</v>
      </c>
      <c r="B55" s="337" t="s">
        <v>82</v>
      </c>
      <c r="C55" s="337" t="s">
        <v>4595</v>
      </c>
      <c r="D55" s="337" t="s">
        <v>409</v>
      </c>
      <c r="E55" s="337">
        <v>2023</v>
      </c>
      <c r="F55" s="337" t="s">
        <v>4596</v>
      </c>
      <c r="G55" s="337" t="s">
        <v>4597</v>
      </c>
      <c r="H55" s="337" t="s">
        <v>4599</v>
      </c>
      <c r="I55" s="338">
        <v>45215</v>
      </c>
      <c r="J55" s="338">
        <v>45246</v>
      </c>
      <c r="K55" s="339">
        <f t="shared" si="0"/>
        <v>31</v>
      </c>
      <c r="L55" s="337"/>
    </row>
    <row r="56" spans="1:12">
      <c r="A56" s="337">
        <v>54</v>
      </c>
      <c r="B56" s="337" t="s">
        <v>83</v>
      </c>
      <c r="C56" s="337" t="s">
        <v>4595</v>
      </c>
      <c r="D56" s="337" t="s">
        <v>409</v>
      </c>
      <c r="E56" s="337">
        <v>2023</v>
      </c>
      <c r="F56" s="337" t="s">
        <v>4596</v>
      </c>
      <c r="G56" s="337" t="s">
        <v>4597</v>
      </c>
      <c r="H56" s="337" t="s">
        <v>4599</v>
      </c>
      <c r="I56" s="338">
        <v>45216</v>
      </c>
      <c r="J56" s="338">
        <v>45247</v>
      </c>
      <c r="K56" s="339">
        <f t="shared" si="0"/>
        <v>31</v>
      </c>
      <c r="L56" s="337"/>
    </row>
    <row r="57" spans="1:12">
      <c r="A57" s="337">
        <v>55</v>
      </c>
      <c r="B57" s="337" t="s">
        <v>84</v>
      </c>
      <c r="C57" s="337" t="s">
        <v>4595</v>
      </c>
      <c r="D57" s="337" t="s">
        <v>409</v>
      </c>
      <c r="E57" s="337">
        <v>2023</v>
      </c>
      <c r="F57" s="337" t="s">
        <v>4596</v>
      </c>
      <c r="G57" s="337" t="s">
        <v>4597</v>
      </c>
      <c r="H57" s="337" t="s">
        <v>4599</v>
      </c>
      <c r="I57" s="338">
        <v>45217</v>
      </c>
      <c r="J57" s="338">
        <v>45248</v>
      </c>
      <c r="K57" s="339">
        <f t="shared" si="0"/>
        <v>31</v>
      </c>
      <c r="L57" s="337"/>
    </row>
    <row r="58" spans="1:12">
      <c r="A58" s="337">
        <v>56</v>
      </c>
      <c r="B58" s="337" t="s">
        <v>85</v>
      </c>
      <c r="C58" s="337" t="s">
        <v>4595</v>
      </c>
      <c r="D58" s="337" t="s">
        <v>409</v>
      </c>
      <c r="E58" s="337">
        <v>2023</v>
      </c>
      <c r="F58" s="337" t="s">
        <v>4596</v>
      </c>
      <c r="G58" s="337" t="s">
        <v>4597</v>
      </c>
      <c r="H58" s="337" t="s">
        <v>4599</v>
      </c>
      <c r="I58" s="338">
        <v>45202</v>
      </c>
      <c r="J58" s="338">
        <v>45209</v>
      </c>
      <c r="K58" s="339">
        <f t="shared" si="0"/>
        <v>7</v>
      </c>
      <c r="L58" s="337"/>
    </row>
    <row r="59" spans="1:12">
      <c r="A59" s="337">
        <v>57</v>
      </c>
      <c r="B59" s="337" t="s">
        <v>86</v>
      </c>
      <c r="C59" s="337" t="s">
        <v>4595</v>
      </c>
      <c r="D59" s="337" t="s">
        <v>409</v>
      </c>
      <c r="E59" s="337">
        <v>2023</v>
      </c>
      <c r="F59" s="337" t="s">
        <v>4596</v>
      </c>
      <c r="G59" s="337" t="s">
        <v>4597</v>
      </c>
      <c r="H59" s="337" t="s">
        <v>4599</v>
      </c>
      <c r="I59" s="338">
        <v>45205</v>
      </c>
      <c r="J59" s="338">
        <v>45202</v>
      </c>
      <c r="K59" s="339">
        <f t="shared" si="0"/>
        <v>-3</v>
      </c>
      <c r="L59" s="337"/>
    </row>
    <row r="60" spans="1:12">
      <c r="A60" s="337">
        <v>58</v>
      </c>
      <c r="B60" s="337" t="s">
        <v>87</v>
      </c>
      <c r="C60" s="337" t="s">
        <v>4595</v>
      </c>
      <c r="D60" s="337" t="s">
        <v>409</v>
      </c>
      <c r="E60" s="337">
        <v>2023</v>
      </c>
      <c r="F60" s="337" t="s">
        <v>4596</v>
      </c>
      <c r="G60" s="337" t="s">
        <v>4597</v>
      </c>
      <c r="H60" s="337" t="s">
        <v>4599</v>
      </c>
      <c r="I60" s="338">
        <v>45203</v>
      </c>
      <c r="J60" s="338">
        <v>45202</v>
      </c>
      <c r="K60" s="339">
        <f t="shared" si="0"/>
        <v>-1</v>
      </c>
      <c r="L60" s="337"/>
    </row>
    <row r="61" spans="1:12">
      <c r="A61" s="337">
        <v>59</v>
      </c>
      <c r="B61" s="337" t="s">
        <v>88</v>
      </c>
      <c r="C61" s="337" t="s">
        <v>4595</v>
      </c>
      <c r="D61" s="337" t="s">
        <v>409</v>
      </c>
      <c r="E61" s="337">
        <v>2023</v>
      </c>
      <c r="F61" s="337" t="s">
        <v>4596</v>
      </c>
      <c r="G61" s="337" t="s">
        <v>4597</v>
      </c>
      <c r="H61" s="337" t="s">
        <v>4599</v>
      </c>
      <c r="I61" s="338">
        <v>45204</v>
      </c>
      <c r="J61" s="338">
        <v>45206</v>
      </c>
      <c r="K61" s="339">
        <f t="shared" si="0"/>
        <v>2</v>
      </c>
      <c r="L61" s="337"/>
    </row>
    <row r="62" spans="1:12">
      <c r="A62" s="337">
        <v>60</v>
      </c>
      <c r="B62" s="337" t="s">
        <v>89</v>
      </c>
      <c r="C62" s="337" t="s">
        <v>4595</v>
      </c>
      <c r="D62" s="337" t="s">
        <v>409</v>
      </c>
      <c r="E62" s="337">
        <v>2023</v>
      </c>
      <c r="F62" s="337" t="s">
        <v>4596</v>
      </c>
      <c r="G62" s="337" t="s">
        <v>4597</v>
      </c>
      <c r="H62" s="337" t="s">
        <v>4599</v>
      </c>
      <c r="I62" s="338">
        <v>45211</v>
      </c>
      <c r="J62" s="338">
        <v>45211</v>
      </c>
      <c r="K62" s="339">
        <f t="shared" si="0"/>
        <v>0</v>
      </c>
      <c r="L62" s="337"/>
    </row>
    <row r="63" spans="1:12">
      <c r="A63" s="337">
        <v>61</v>
      </c>
      <c r="B63" s="337" t="s">
        <v>90</v>
      </c>
      <c r="C63" s="337" t="s">
        <v>4595</v>
      </c>
      <c r="D63" s="337" t="s">
        <v>409</v>
      </c>
      <c r="E63" s="337">
        <v>2023</v>
      </c>
      <c r="F63" s="337" t="s">
        <v>4596</v>
      </c>
      <c r="G63" s="337" t="s">
        <v>4597</v>
      </c>
      <c r="H63" s="337" t="s">
        <v>4599</v>
      </c>
      <c r="I63" s="338">
        <v>45208</v>
      </c>
      <c r="J63" s="338">
        <v>45203</v>
      </c>
      <c r="K63" s="339">
        <f t="shared" si="0"/>
        <v>-5</v>
      </c>
      <c r="L63" s="337"/>
    </row>
    <row r="64" spans="1:12">
      <c r="A64" s="337">
        <v>62</v>
      </c>
      <c r="B64" s="337" t="s">
        <v>91</v>
      </c>
      <c r="C64" s="337" t="s">
        <v>4595</v>
      </c>
      <c r="D64" s="337" t="s">
        <v>409</v>
      </c>
      <c r="E64" s="337">
        <v>2023</v>
      </c>
      <c r="F64" s="337" t="s">
        <v>4596</v>
      </c>
      <c r="G64" s="337" t="s">
        <v>4597</v>
      </c>
      <c r="H64" s="337" t="s">
        <v>4599</v>
      </c>
      <c r="I64" s="338">
        <v>45209</v>
      </c>
      <c r="J64" s="338">
        <v>45203</v>
      </c>
      <c r="K64" s="339">
        <f t="shared" si="0"/>
        <v>-6</v>
      </c>
      <c r="L64" s="337"/>
    </row>
    <row r="65" spans="1:12">
      <c r="A65" s="337">
        <v>63</v>
      </c>
      <c r="B65" s="337" t="s">
        <v>92</v>
      </c>
      <c r="C65" s="337" t="s">
        <v>4595</v>
      </c>
      <c r="D65" s="337" t="s">
        <v>409</v>
      </c>
      <c r="E65" s="337">
        <v>2023</v>
      </c>
      <c r="F65" s="337" t="s">
        <v>4596</v>
      </c>
      <c r="G65" s="337" t="s">
        <v>4597</v>
      </c>
      <c r="H65" s="337" t="s">
        <v>4599</v>
      </c>
      <c r="I65" s="338">
        <v>45210</v>
      </c>
      <c r="J65" s="338">
        <v>45208</v>
      </c>
      <c r="K65" s="339">
        <f t="shared" si="0"/>
        <v>-2</v>
      </c>
      <c r="L65" s="337"/>
    </row>
    <row r="66" spans="1:12">
      <c r="A66" s="337">
        <v>64</v>
      </c>
      <c r="B66" s="337" t="s">
        <v>93</v>
      </c>
      <c r="C66" s="337" t="s">
        <v>4595</v>
      </c>
      <c r="D66" s="337" t="s">
        <v>409</v>
      </c>
      <c r="E66" s="337">
        <v>2023</v>
      </c>
      <c r="F66" s="337" t="s">
        <v>4596</v>
      </c>
      <c r="G66" s="337" t="s">
        <v>4597</v>
      </c>
      <c r="H66" s="337" t="s">
        <v>4599</v>
      </c>
      <c r="I66" s="338">
        <v>45212</v>
      </c>
      <c r="J66" s="338">
        <v>45273</v>
      </c>
      <c r="K66" s="339">
        <f t="shared" si="0"/>
        <v>61</v>
      </c>
      <c r="L66" s="337"/>
    </row>
    <row r="67" spans="1:12">
      <c r="A67" s="337">
        <v>65</v>
      </c>
      <c r="B67" s="337" t="s">
        <v>94</v>
      </c>
      <c r="C67" s="337" t="s">
        <v>4595</v>
      </c>
      <c r="D67" s="337" t="s">
        <v>409</v>
      </c>
      <c r="E67" s="337">
        <v>2023</v>
      </c>
      <c r="F67" s="337" t="s">
        <v>4596</v>
      </c>
      <c r="G67" s="337" t="s">
        <v>4597</v>
      </c>
      <c r="H67" s="337" t="s">
        <v>4599</v>
      </c>
      <c r="I67" s="338">
        <v>45206</v>
      </c>
      <c r="J67" s="338">
        <v>45205</v>
      </c>
      <c r="K67" s="339">
        <f t="shared" si="0"/>
        <v>-1</v>
      </c>
      <c r="L67" s="337"/>
    </row>
    <row r="68" spans="1:12">
      <c r="A68" s="337">
        <v>66</v>
      </c>
      <c r="B68" s="337" t="s">
        <v>95</v>
      </c>
      <c r="C68" s="337" t="s">
        <v>4595</v>
      </c>
      <c r="D68" s="337" t="s">
        <v>409</v>
      </c>
      <c r="E68" s="337">
        <v>2023</v>
      </c>
      <c r="F68" s="337" t="s">
        <v>4596</v>
      </c>
      <c r="G68" s="337" t="s">
        <v>4597</v>
      </c>
      <c r="H68" s="337" t="s">
        <v>4599</v>
      </c>
      <c r="I68" s="338">
        <v>45214</v>
      </c>
      <c r="J68" s="338">
        <v>45206</v>
      </c>
      <c r="K68" s="339">
        <f t="shared" ref="K68:K131" si="1">J68-I68</f>
        <v>-8</v>
      </c>
      <c r="L68" s="337"/>
    </row>
    <row r="69" spans="1:12">
      <c r="A69" s="337">
        <v>67</v>
      </c>
      <c r="B69" s="337" t="s">
        <v>96</v>
      </c>
      <c r="C69" s="337" t="s">
        <v>4595</v>
      </c>
      <c r="D69" s="337" t="s">
        <v>409</v>
      </c>
      <c r="E69" s="337">
        <v>2023</v>
      </c>
      <c r="F69" s="337" t="s">
        <v>4596</v>
      </c>
      <c r="G69" s="337" t="s">
        <v>4597</v>
      </c>
      <c r="H69" s="337" t="s">
        <v>4599</v>
      </c>
      <c r="I69" s="338">
        <v>45215</v>
      </c>
      <c r="J69" s="338">
        <v>45279</v>
      </c>
      <c r="K69" s="339">
        <f t="shared" si="1"/>
        <v>64</v>
      </c>
      <c r="L69" s="337"/>
    </row>
    <row r="70" spans="1:12">
      <c r="A70" s="337">
        <v>68</v>
      </c>
      <c r="B70" s="337" t="s">
        <v>97</v>
      </c>
      <c r="C70" s="337" t="s">
        <v>4595</v>
      </c>
      <c r="D70" s="337" t="s">
        <v>409</v>
      </c>
      <c r="E70" s="337">
        <v>2023</v>
      </c>
      <c r="F70" s="337" t="s">
        <v>4596</v>
      </c>
      <c r="G70" s="337" t="s">
        <v>4597</v>
      </c>
      <c r="H70" s="337" t="s">
        <v>4599</v>
      </c>
      <c r="I70" s="338">
        <v>45216</v>
      </c>
      <c r="J70" s="338">
        <v>45281</v>
      </c>
      <c r="K70" s="339">
        <f t="shared" si="1"/>
        <v>65</v>
      </c>
      <c r="L70" s="337"/>
    </row>
    <row r="71" spans="1:12">
      <c r="A71" s="337">
        <v>69</v>
      </c>
      <c r="B71" s="337" t="s">
        <v>98</v>
      </c>
      <c r="C71" s="337" t="s">
        <v>4595</v>
      </c>
      <c r="D71" s="337" t="s">
        <v>409</v>
      </c>
      <c r="E71" s="337">
        <v>2023</v>
      </c>
      <c r="F71" s="337" t="s">
        <v>4596</v>
      </c>
      <c r="G71" s="337" t="s">
        <v>4597</v>
      </c>
      <c r="H71" s="337" t="s">
        <v>4599</v>
      </c>
      <c r="I71" s="338">
        <v>45217</v>
      </c>
      <c r="J71" s="338">
        <v>45265</v>
      </c>
      <c r="K71" s="339">
        <f t="shared" si="1"/>
        <v>48</v>
      </c>
      <c r="L71" s="337"/>
    </row>
    <row r="72" spans="1:12">
      <c r="A72" s="340">
        <v>70</v>
      </c>
      <c r="B72" s="340" t="s">
        <v>76</v>
      </c>
      <c r="C72" s="340" t="s">
        <v>4595</v>
      </c>
      <c r="D72" s="340" t="s">
        <v>409</v>
      </c>
      <c r="E72" s="340">
        <v>2024</v>
      </c>
      <c r="F72" s="340" t="s">
        <v>4596</v>
      </c>
      <c r="G72" s="340" t="s">
        <v>4597</v>
      </c>
      <c r="H72" s="340" t="s">
        <v>4600</v>
      </c>
      <c r="I72" s="341">
        <v>45383</v>
      </c>
      <c r="J72" s="341">
        <v>45384</v>
      </c>
      <c r="K72" s="342">
        <f t="shared" si="1"/>
        <v>1</v>
      </c>
      <c r="L72" s="340"/>
    </row>
    <row r="73" spans="1:12">
      <c r="A73" s="337">
        <v>71</v>
      </c>
      <c r="B73" s="337" t="s">
        <v>77</v>
      </c>
      <c r="C73" s="337" t="s">
        <v>4595</v>
      </c>
      <c r="D73" s="337" t="s">
        <v>409</v>
      </c>
      <c r="E73" s="337">
        <v>2024</v>
      </c>
      <c r="F73" s="337" t="s">
        <v>4596</v>
      </c>
      <c r="G73" s="337" t="s">
        <v>4597</v>
      </c>
      <c r="H73" s="337" t="s">
        <v>4600</v>
      </c>
      <c r="I73" s="338">
        <v>45385</v>
      </c>
      <c r="J73" s="338">
        <v>45379</v>
      </c>
      <c r="K73" s="339">
        <f t="shared" si="1"/>
        <v>-6</v>
      </c>
      <c r="L73" s="337"/>
    </row>
    <row r="74" spans="1:12">
      <c r="A74" s="337">
        <v>72</v>
      </c>
      <c r="B74" s="337" t="s">
        <v>78</v>
      </c>
      <c r="C74" s="337" t="s">
        <v>4595</v>
      </c>
      <c r="D74" s="337" t="s">
        <v>409</v>
      </c>
      <c r="E74" s="337">
        <v>2024</v>
      </c>
      <c r="F74" s="337" t="s">
        <v>4596</v>
      </c>
      <c r="G74" s="337" t="s">
        <v>4597</v>
      </c>
      <c r="H74" s="337" t="s">
        <v>4600</v>
      </c>
      <c r="I74" s="338">
        <v>45411</v>
      </c>
      <c r="J74" s="338">
        <v>45373</v>
      </c>
      <c r="K74" s="339">
        <f t="shared" si="1"/>
        <v>-38</v>
      </c>
      <c r="L74" s="337"/>
    </row>
    <row r="75" spans="1:12">
      <c r="A75" s="337">
        <v>73</v>
      </c>
      <c r="B75" s="337" t="s">
        <v>79</v>
      </c>
      <c r="C75" s="337" t="s">
        <v>4595</v>
      </c>
      <c r="D75" s="337" t="s">
        <v>409</v>
      </c>
      <c r="E75" s="337">
        <v>2024</v>
      </c>
      <c r="F75" s="337" t="s">
        <v>4596</v>
      </c>
      <c r="G75" s="337" t="s">
        <v>4597</v>
      </c>
      <c r="H75" s="337" t="s">
        <v>4600</v>
      </c>
      <c r="I75" s="338">
        <v>45413</v>
      </c>
      <c r="J75" s="338">
        <v>45376</v>
      </c>
      <c r="K75" s="339">
        <f t="shared" si="1"/>
        <v>-37</v>
      </c>
      <c r="L75" s="337"/>
    </row>
    <row r="76" spans="1:12">
      <c r="A76" s="337">
        <v>74</v>
      </c>
      <c r="B76" s="337" t="s">
        <v>80</v>
      </c>
      <c r="C76" s="337" t="s">
        <v>4595</v>
      </c>
      <c r="D76" s="337" t="s">
        <v>409</v>
      </c>
      <c r="E76" s="337">
        <v>2024</v>
      </c>
      <c r="F76" s="337" t="s">
        <v>4596</v>
      </c>
      <c r="G76" s="337" t="s">
        <v>4597</v>
      </c>
      <c r="H76" s="337" t="s">
        <v>4600</v>
      </c>
      <c r="I76" s="338">
        <v>45386</v>
      </c>
      <c r="J76" s="338">
        <v>45387</v>
      </c>
      <c r="K76" s="339">
        <f t="shared" si="1"/>
        <v>1</v>
      </c>
      <c r="L76" s="337"/>
    </row>
    <row r="77" spans="1:12">
      <c r="A77" s="337">
        <v>75</v>
      </c>
      <c r="B77" s="337" t="s">
        <v>81</v>
      </c>
      <c r="C77" s="337" t="s">
        <v>4595</v>
      </c>
      <c r="D77" s="337" t="s">
        <v>409</v>
      </c>
      <c r="E77" s="337">
        <v>2024</v>
      </c>
      <c r="F77" s="337" t="s">
        <v>4596</v>
      </c>
      <c r="G77" s="337" t="s">
        <v>4597</v>
      </c>
      <c r="H77" s="337" t="s">
        <v>4600</v>
      </c>
      <c r="I77" s="338">
        <v>45390</v>
      </c>
      <c r="J77" s="338">
        <v>45390</v>
      </c>
      <c r="K77" s="339">
        <f t="shared" si="1"/>
        <v>0</v>
      </c>
      <c r="L77" s="337"/>
    </row>
    <row r="78" spans="1:12">
      <c r="A78" s="337">
        <v>76</v>
      </c>
      <c r="B78" s="337" t="s">
        <v>82</v>
      </c>
      <c r="C78" s="337" t="s">
        <v>4595</v>
      </c>
      <c r="D78" s="337" t="s">
        <v>409</v>
      </c>
      <c r="E78" s="337">
        <v>2024</v>
      </c>
      <c r="F78" s="337" t="s">
        <v>4596</v>
      </c>
      <c r="G78" s="337" t="s">
        <v>4597</v>
      </c>
      <c r="H78" s="337" t="s">
        <v>4600</v>
      </c>
      <c r="I78" s="338">
        <v>45393</v>
      </c>
      <c r="J78" s="338">
        <v>45394</v>
      </c>
      <c r="K78" s="339">
        <f t="shared" si="1"/>
        <v>1</v>
      </c>
      <c r="L78" s="337"/>
    </row>
    <row r="79" spans="1:12">
      <c r="A79" s="337">
        <v>77</v>
      </c>
      <c r="B79" s="337" t="s">
        <v>83</v>
      </c>
      <c r="C79" s="337" t="s">
        <v>4595</v>
      </c>
      <c r="D79" s="337" t="s">
        <v>409</v>
      </c>
      <c r="E79" s="337">
        <v>2024</v>
      </c>
      <c r="F79" s="337" t="s">
        <v>4596</v>
      </c>
      <c r="G79" s="337" t="s">
        <v>4597</v>
      </c>
      <c r="H79" s="337" t="s">
        <v>4600</v>
      </c>
      <c r="I79" s="338">
        <v>45397</v>
      </c>
      <c r="J79" s="338">
        <v>45397</v>
      </c>
      <c r="K79" s="339">
        <f t="shared" si="1"/>
        <v>0</v>
      </c>
      <c r="L79" s="337"/>
    </row>
    <row r="80" spans="1:12">
      <c r="A80" s="337">
        <v>78</v>
      </c>
      <c r="B80" s="337" t="s">
        <v>84</v>
      </c>
      <c r="C80" s="337" t="s">
        <v>4595</v>
      </c>
      <c r="D80" s="337" t="s">
        <v>409</v>
      </c>
      <c r="E80" s="337">
        <v>2024</v>
      </c>
      <c r="F80" s="337" t="s">
        <v>4596</v>
      </c>
      <c r="G80" s="337" t="s">
        <v>4597</v>
      </c>
      <c r="H80" s="337" t="s">
        <v>4600</v>
      </c>
      <c r="I80" s="338">
        <v>45400</v>
      </c>
      <c r="J80" s="338">
        <v>45400</v>
      </c>
      <c r="K80" s="339">
        <f t="shared" si="1"/>
        <v>0</v>
      </c>
      <c r="L80" s="337"/>
    </row>
    <row r="81" spans="1:12">
      <c r="A81" s="337">
        <v>79</v>
      </c>
      <c r="B81" s="337" t="s">
        <v>85</v>
      </c>
      <c r="C81" s="337" t="s">
        <v>4595</v>
      </c>
      <c r="D81" s="337" t="s">
        <v>409</v>
      </c>
      <c r="E81" s="337">
        <v>2024</v>
      </c>
      <c r="F81" s="337" t="s">
        <v>4596</v>
      </c>
      <c r="G81" s="337" t="s">
        <v>4597</v>
      </c>
      <c r="H81" s="337" t="s">
        <v>4600</v>
      </c>
      <c r="I81" s="338">
        <v>45407</v>
      </c>
      <c r="J81" s="338">
        <v>45416</v>
      </c>
      <c r="K81" s="339">
        <f t="shared" si="1"/>
        <v>9</v>
      </c>
      <c r="L81" s="337"/>
    </row>
    <row r="82" spans="1:12">
      <c r="A82" s="337">
        <v>80</v>
      </c>
      <c r="B82" s="337" t="s">
        <v>86</v>
      </c>
      <c r="C82" s="337" t="s">
        <v>4595</v>
      </c>
      <c r="D82" s="337" t="s">
        <v>409</v>
      </c>
      <c r="E82" s="337">
        <v>2024</v>
      </c>
      <c r="F82" s="337" t="s">
        <v>4596</v>
      </c>
      <c r="G82" s="337" t="s">
        <v>4597</v>
      </c>
      <c r="H82" s="337" t="s">
        <v>4600</v>
      </c>
      <c r="I82" s="338">
        <v>45410</v>
      </c>
      <c r="J82" s="338">
        <v>45381</v>
      </c>
      <c r="K82" s="339">
        <f t="shared" si="1"/>
        <v>-29</v>
      </c>
      <c r="L82" s="337"/>
    </row>
    <row r="83" spans="1:12">
      <c r="A83" s="337">
        <v>81</v>
      </c>
      <c r="B83" s="337" t="s">
        <v>87</v>
      </c>
      <c r="C83" s="337" t="s">
        <v>4595</v>
      </c>
      <c r="D83" s="337" t="s">
        <v>409</v>
      </c>
      <c r="E83" s="337">
        <v>2024</v>
      </c>
      <c r="F83" s="337" t="s">
        <v>4596</v>
      </c>
      <c r="G83" s="337" t="s">
        <v>4597</v>
      </c>
      <c r="H83" s="337" t="s">
        <v>4600</v>
      </c>
      <c r="I83" s="338">
        <v>45411</v>
      </c>
      <c r="J83" s="338">
        <v>45406</v>
      </c>
      <c r="K83" s="339">
        <f t="shared" si="1"/>
        <v>-5</v>
      </c>
      <c r="L83" s="337"/>
    </row>
    <row r="84" spans="1:12">
      <c r="A84" s="337">
        <v>82</v>
      </c>
      <c r="B84" s="337" t="s">
        <v>88</v>
      </c>
      <c r="C84" s="337" t="s">
        <v>4595</v>
      </c>
      <c r="D84" s="337" t="s">
        <v>409</v>
      </c>
      <c r="E84" s="337">
        <v>2024</v>
      </c>
      <c r="F84" s="337" t="s">
        <v>4596</v>
      </c>
      <c r="G84" s="337" t="s">
        <v>4597</v>
      </c>
      <c r="H84" s="337" t="s">
        <v>4600</v>
      </c>
      <c r="I84" s="338">
        <v>45413</v>
      </c>
      <c r="J84" s="338">
        <v>45408</v>
      </c>
      <c r="K84" s="339">
        <f t="shared" si="1"/>
        <v>-5</v>
      </c>
      <c r="L84" s="337"/>
    </row>
    <row r="85" spans="1:12">
      <c r="A85" s="337">
        <v>83</v>
      </c>
      <c r="B85" s="337" t="s">
        <v>89</v>
      </c>
      <c r="C85" s="337" t="s">
        <v>4595</v>
      </c>
      <c r="D85" s="337" t="s">
        <v>409</v>
      </c>
      <c r="E85" s="337">
        <v>2024</v>
      </c>
      <c r="F85" s="337" t="s">
        <v>4596</v>
      </c>
      <c r="G85" s="337" t="s">
        <v>4597</v>
      </c>
      <c r="H85" s="337" t="s">
        <v>4600</v>
      </c>
      <c r="I85" s="338">
        <v>45415</v>
      </c>
      <c r="J85" s="338">
        <v>45409</v>
      </c>
      <c r="K85" s="339">
        <f t="shared" si="1"/>
        <v>-6</v>
      </c>
      <c r="L85" s="337"/>
    </row>
    <row r="86" spans="1:12">
      <c r="A86" s="337">
        <v>84</v>
      </c>
      <c r="B86" s="337" t="s">
        <v>90</v>
      </c>
      <c r="C86" s="337" t="s">
        <v>4595</v>
      </c>
      <c r="D86" s="337" t="s">
        <v>409</v>
      </c>
      <c r="E86" s="337">
        <v>2024</v>
      </c>
      <c r="F86" s="337" t="s">
        <v>4596</v>
      </c>
      <c r="G86" s="337" t="s">
        <v>4597</v>
      </c>
      <c r="H86" s="337" t="s">
        <v>4600</v>
      </c>
      <c r="I86" s="338">
        <v>45417</v>
      </c>
      <c r="J86" s="338">
        <v>45404</v>
      </c>
      <c r="K86" s="339">
        <f t="shared" si="1"/>
        <v>-13</v>
      </c>
      <c r="L86" s="337"/>
    </row>
    <row r="87" spans="1:12">
      <c r="A87" s="337">
        <v>85</v>
      </c>
      <c r="B87" s="337" t="s">
        <v>91</v>
      </c>
      <c r="C87" s="337" t="s">
        <v>4595</v>
      </c>
      <c r="D87" s="337" t="s">
        <v>409</v>
      </c>
      <c r="E87" s="337">
        <v>2024</v>
      </c>
      <c r="F87" s="337" t="s">
        <v>4596</v>
      </c>
      <c r="G87" s="337" t="s">
        <v>4597</v>
      </c>
      <c r="H87" s="337" t="s">
        <v>4600</v>
      </c>
      <c r="I87" s="338">
        <v>45419</v>
      </c>
      <c r="J87" s="338">
        <v>45369</v>
      </c>
      <c r="K87" s="339">
        <f t="shared" si="1"/>
        <v>-50</v>
      </c>
      <c r="L87" s="337"/>
    </row>
    <row r="88" spans="1:12">
      <c r="A88" s="337">
        <v>86</v>
      </c>
      <c r="B88" s="337" t="s">
        <v>92</v>
      </c>
      <c r="C88" s="337" t="s">
        <v>4595</v>
      </c>
      <c r="D88" s="337" t="s">
        <v>409</v>
      </c>
      <c r="E88" s="337">
        <v>2024</v>
      </c>
      <c r="F88" s="337" t="s">
        <v>4596</v>
      </c>
      <c r="G88" s="337" t="s">
        <v>4597</v>
      </c>
      <c r="H88" s="337" t="s">
        <v>4600</v>
      </c>
      <c r="I88" s="338">
        <v>45422</v>
      </c>
      <c r="J88" s="338">
        <v>45416</v>
      </c>
      <c r="K88" s="339">
        <f t="shared" si="1"/>
        <v>-6</v>
      </c>
      <c r="L88" s="337"/>
    </row>
    <row r="89" spans="1:12">
      <c r="A89" s="337">
        <v>87</v>
      </c>
      <c r="B89" s="337" t="s">
        <v>93</v>
      </c>
      <c r="C89" s="337" t="s">
        <v>4595</v>
      </c>
      <c r="D89" s="337" t="s">
        <v>409</v>
      </c>
      <c r="E89" s="337">
        <v>2024</v>
      </c>
      <c r="F89" s="337" t="s">
        <v>4596</v>
      </c>
      <c r="G89" s="337" t="s">
        <v>4597</v>
      </c>
      <c r="H89" s="337" t="s">
        <v>4600</v>
      </c>
      <c r="I89" s="338">
        <v>45425</v>
      </c>
      <c r="J89" s="338">
        <v>45412</v>
      </c>
      <c r="K89" s="339">
        <f t="shared" si="1"/>
        <v>-13</v>
      </c>
      <c r="L89" s="337"/>
    </row>
    <row r="90" spans="1:12">
      <c r="A90" s="337">
        <v>88</v>
      </c>
      <c r="B90" s="337" t="s">
        <v>94</v>
      </c>
      <c r="C90" s="337" t="s">
        <v>4595</v>
      </c>
      <c r="D90" s="337" t="s">
        <v>409</v>
      </c>
      <c r="E90" s="337">
        <v>2024</v>
      </c>
      <c r="F90" s="337" t="s">
        <v>4596</v>
      </c>
      <c r="G90" s="337" t="s">
        <v>4597</v>
      </c>
      <c r="H90" s="337" t="s">
        <v>4600</v>
      </c>
      <c r="I90" s="338">
        <v>45427</v>
      </c>
      <c r="J90" s="338">
        <v>45423</v>
      </c>
      <c r="K90" s="339">
        <f t="shared" si="1"/>
        <v>-4</v>
      </c>
      <c r="L90" s="337"/>
    </row>
    <row r="91" spans="1:12">
      <c r="A91" s="337">
        <v>89</v>
      </c>
      <c r="B91" s="337" t="s">
        <v>95</v>
      </c>
      <c r="C91" s="337" t="s">
        <v>4595</v>
      </c>
      <c r="D91" s="337" t="s">
        <v>409</v>
      </c>
      <c r="E91" s="337">
        <v>2024</v>
      </c>
      <c r="F91" s="337" t="s">
        <v>4596</v>
      </c>
      <c r="G91" s="337" t="s">
        <v>4597</v>
      </c>
      <c r="H91" s="337" t="s">
        <v>4600</v>
      </c>
      <c r="I91" s="338">
        <v>45429</v>
      </c>
      <c r="J91" s="338">
        <v>45421</v>
      </c>
      <c r="K91" s="339">
        <f t="shared" si="1"/>
        <v>-8</v>
      </c>
      <c r="L91" s="337"/>
    </row>
    <row r="92" spans="1:12">
      <c r="A92" s="337">
        <v>90</v>
      </c>
      <c r="B92" s="337" t="s">
        <v>96</v>
      </c>
      <c r="C92" s="337" t="s">
        <v>4595</v>
      </c>
      <c r="D92" s="337" t="s">
        <v>409</v>
      </c>
      <c r="E92" s="337">
        <v>2024</v>
      </c>
      <c r="F92" s="337" t="s">
        <v>4596</v>
      </c>
      <c r="G92" s="337" t="s">
        <v>4597</v>
      </c>
      <c r="H92" s="337" t="s">
        <v>4600</v>
      </c>
      <c r="I92" s="338">
        <v>45431</v>
      </c>
      <c r="J92" s="338">
        <v>45428</v>
      </c>
      <c r="K92" s="339">
        <f t="shared" si="1"/>
        <v>-3</v>
      </c>
      <c r="L92" s="337"/>
    </row>
    <row r="93" spans="1:12">
      <c r="A93" s="337">
        <v>91</v>
      </c>
      <c r="B93" s="337" t="s">
        <v>97</v>
      </c>
      <c r="C93" s="337" t="s">
        <v>4595</v>
      </c>
      <c r="D93" s="337" t="s">
        <v>409</v>
      </c>
      <c r="E93" s="337">
        <v>2024</v>
      </c>
      <c r="F93" s="337" t="s">
        <v>4596</v>
      </c>
      <c r="G93" s="337" t="s">
        <v>4597</v>
      </c>
      <c r="H93" s="337" t="s">
        <v>4600</v>
      </c>
      <c r="I93" s="338">
        <v>45434</v>
      </c>
      <c r="J93" s="338">
        <v>45428</v>
      </c>
      <c r="K93" s="339">
        <f t="shared" si="1"/>
        <v>-6</v>
      </c>
      <c r="L93" s="337"/>
    </row>
    <row r="94" spans="1:12">
      <c r="A94" s="337">
        <v>92</v>
      </c>
      <c r="B94" s="337" t="s">
        <v>98</v>
      </c>
      <c r="C94" s="337" t="s">
        <v>4595</v>
      </c>
      <c r="D94" s="337" t="s">
        <v>409</v>
      </c>
      <c r="E94" s="337">
        <v>2024</v>
      </c>
      <c r="F94" s="337" t="s">
        <v>4596</v>
      </c>
      <c r="G94" s="337" t="s">
        <v>4597</v>
      </c>
      <c r="H94" s="337" t="s">
        <v>4600</v>
      </c>
      <c r="I94" s="338">
        <v>45436</v>
      </c>
      <c r="J94" s="338">
        <v>45423</v>
      </c>
      <c r="K94" s="339">
        <f t="shared" si="1"/>
        <v>-13</v>
      </c>
      <c r="L94" s="337"/>
    </row>
    <row r="95" spans="1:12">
      <c r="A95" s="337">
        <v>93</v>
      </c>
      <c r="B95" s="337" t="s">
        <v>76</v>
      </c>
      <c r="C95" s="337" t="s">
        <v>4595</v>
      </c>
      <c r="D95" s="337" t="s">
        <v>409</v>
      </c>
      <c r="E95" s="337">
        <v>2024</v>
      </c>
      <c r="F95" s="337" t="s">
        <v>4598</v>
      </c>
      <c r="G95" s="337" t="s">
        <v>4597</v>
      </c>
      <c r="H95" s="337" t="s">
        <v>4600</v>
      </c>
      <c r="I95" s="338">
        <v>45384</v>
      </c>
      <c r="J95" s="338">
        <v>45385</v>
      </c>
      <c r="K95" s="339">
        <f t="shared" si="1"/>
        <v>1</v>
      </c>
      <c r="L95" s="337"/>
    </row>
    <row r="96" spans="1:12">
      <c r="A96" s="337">
        <v>94</v>
      </c>
      <c r="B96" s="337" t="s">
        <v>77</v>
      </c>
      <c r="C96" s="337" t="s">
        <v>4595</v>
      </c>
      <c r="D96" s="337" t="s">
        <v>409</v>
      </c>
      <c r="E96" s="337">
        <v>2024</v>
      </c>
      <c r="F96" s="337" t="s">
        <v>4598</v>
      </c>
      <c r="G96" s="337" t="s">
        <v>4597</v>
      </c>
      <c r="H96" s="337" t="s">
        <v>4600</v>
      </c>
      <c r="I96" s="338">
        <v>45386</v>
      </c>
      <c r="J96" s="338">
        <v>45383</v>
      </c>
      <c r="K96" s="339">
        <f t="shared" si="1"/>
        <v>-3</v>
      </c>
      <c r="L96" s="337"/>
    </row>
    <row r="97" spans="1:12">
      <c r="A97" s="337">
        <v>95</v>
      </c>
      <c r="B97" s="337" t="s">
        <v>78</v>
      </c>
      <c r="C97" s="337" t="s">
        <v>4595</v>
      </c>
      <c r="D97" s="337" t="s">
        <v>409</v>
      </c>
      <c r="E97" s="337">
        <v>2024</v>
      </c>
      <c r="F97" s="337" t="s">
        <v>4598</v>
      </c>
      <c r="G97" s="337" t="s">
        <v>4597</v>
      </c>
      <c r="H97" s="337" t="s">
        <v>4600</v>
      </c>
      <c r="I97" s="338">
        <v>45412</v>
      </c>
      <c r="J97" s="338">
        <v>45374</v>
      </c>
      <c r="K97" s="339">
        <f t="shared" si="1"/>
        <v>-38</v>
      </c>
      <c r="L97" s="337"/>
    </row>
    <row r="98" spans="1:12">
      <c r="A98" s="337">
        <v>96</v>
      </c>
      <c r="B98" s="337" t="s">
        <v>79</v>
      </c>
      <c r="C98" s="337" t="s">
        <v>4595</v>
      </c>
      <c r="D98" s="337" t="s">
        <v>409</v>
      </c>
      <c r="E98" s="337">
        <v>2024</v>
      </c>
      <c r="F98" s="337" t="s">
        <v>4598</v>
      </c>
      <c r="G98" s="337" t="s">
        <v>4597</v>
      </c>
      <c r="H98" s="337" t="s">
        <v>4600</v>
      </c>
      <c r="I98" s="338">
        <v>45414</v>
      </c>
      <c r="J98" s="338">
        <v>45378</v>
      </c>
      <c r="K98" s="339">
        <f t="shared" si="1"/>
        <v>-36</v>
      </c>
      <c r="L98" s="337"/>
    </row>
    <row r="99" spans="1:12">
      <c r="A99" s="337">
        <v>97</v>
      </c>
      <c r="B99" s="337" t="s">
        <v>80</v>
      </c>
      <c r="C99" s="337" t="s">
        <v>4595</v>
      </c>
      <c r="D99" s="337" t="s">
        <v>409</v>
      </c>
      <c r="E99" s="337">
        <v>2024</v>
      </c>
      <c r="F99" s="337" t="s">
        <v>4598</v>
      </c>
      <c r="G99" s="337" t="s">
        <v>4597</v>
      </c>
      <c r="H99" s="337" t="s">
        <v>4600</v>
      </c>
      <c r="I99" s="338">
        <v>45387</v>
      </c>
      <c r="J99" s="338">
        <v>45388</v>
      </c>
      <c r="K99" s="339">
        <f t="shared" si="1"/>
        <v>1</v>
      </c>
      <c r="L99" s="337"/>
    </row>
    <row r="100" spans="1:12">
      <c r="A100" s="337">
        <v>98</v>
      </c>
      <c r="B100" s="337" t="s">
        <v>81</v>
      </c>
      <c r="C100" s="337" t="s">
        <v>4595</v>
      </c>
      <c r="D100" s="337" t="s">
        <v>409</v>
      </c>
      <c r="E100" s="337">
        <v>2024</v>
      </c>
      <c r="F100" s="337" t="s">
        <v>4598</v>
      </c>
      <c r="G100" s="337" t="s">
        <v>4597</v>
      </c>
      <c r="H100" s="337" t="s">
        <v>4600</v>
      </c>
      <c r="I100" s="338">
        <v>45391</v>
      </c>
      <c r="J100" s="338">
        <v>45392</v>
      </c>
      <c r="K100" s="339">
        <f t="shared" si="1"/>
        <v>1</v>
      </c>
      <c r="L100" s="337"/>
    </row>
    <row r="101" spans="1:12">
      <c r="A101" s="337">
        <v>99</v>
      </c>
      <c r="B101" s="337" t="s">
        <v>82</v>
      </c>
      <c r="C101" s="337" t="s">
        <v>4595</v>
      </c>
      <c r="D101" s="337" t="s">
        <v>409</v>
      </c>
      <c r="E101" s="337">
        <v>2024</v>
      </c>
      <c r="F101" s="337" t="s">
        <v>4598</v>
      </c>
      <c r="G101" s="337" t="s">
        <v>4597</v>
      </c>
      <c r="H101" s="337" t="s">
        <v>4600</v>
      </c>
      <c r="I101" s="338">
        <v>45394</v>
      </c>
      <c r="J101" s="338">
        <v>45395</v>
      </c>
      <c r="K101" s="339">
        <f t="shared" si="1"/>
        <v>1</v>
      </c>
      <c r="L101" s="337"/>
    </row>
    <row r="102" spans="1:12">
      <c r="A102" s="337">
        <v>100</v>
      </c>
      <c r="B102" s="337" t="s">
        <v>83</v>
      </c>
      <c r="C102" s="337" t="s">
        <v>4595</v>
      </c>
      <c r="D102" s="337" t="s">
        <v>409</v>
      </c>
      <c r="E102" s="337">
        <v>2024</v>
      </c>
      <c r="F102" s="337" t="s">
        <v>4598</v>
      </c>
      <c r="G102" s="337" t="s">
        <v>4597</v>
      </c>
      <c r="H102" s="337" t="s">
        <v>4600</v>
      </c>
      <c r="I102" s="338">
        <v>45398</v>
      </c>
      <c r="J102" s="338">
        <v>45399</v>
      </c>
      <c r="K102" s="339">
        <f t="shared" si="1"/>
        <v>1</v>
      </c>
      <c r="L102" s="337"/>
    </row>
    <row r="103" spans="1:12">
      <c r="A103" s="337">
        <v>101</v>
      </c>
      <c r="B103" s="337" t="s">
        <v>84</v>
      </c>
      <c r="C103" s="337" t="s">
        <v>4595</v>
      </c>
      <c r="D103" s="337" t="s">
        <v>409</v>
      </c>
      <c r="E103" s="337">
        <v>2024</v>
      </c>
      <c r="F103" s="337" t="s">
        <v>4598</v>
      </c>
      <c r="G103" s="337" t="s">
        <v>4597</v>
      </c>
      <c r="H103" s="337" t="s">
        <v>4600</v>
      </c>
      <c r="I103" s="338">
        <v>45401</v>
      </c>
      <c r="J103" s="338">
        <v>45401</v>
      </c>
      <c r="K103" s="339">
        <f t="shared" si="1"/>
        <v>0</v>
      </c>
      <c r="L103" s="337"/>
    </row>
    <row r="104" spans="1:12">
      <c r="A104" s="337">
        <v>102</v>
      </c>
      <c r="B104" s="337" t="s">
        <v>85</v>
      </c>
      <c r="C104" s="337" t="s">
        <v>4595</v>
      </c>
      <c r="D104" s="337" t="s">
        <v>409</v>
      </c>
      <c r="E104" s="337">
        <v>2024</v>
      </c>
      <c r="F104" s="337" t="s">
        <v>4598</v>
      </c>
      <c r="G104" s="337" t="s">
        <v>4597</v>
      </c>
      <c r="H104" s="337" t="s">
        <v>4600</v>
      </c>
      <c r="I104" s="338">
        <v>45408</v>
      </c>
      <c r="J104" s="338">
        <v>45418</v>
      </c>
      <c r="K104" s="339">
        <f t="shared" si="1"/>
        <v>10</v>
      </c>
      <c r="L104" s="337"/>
    </row>
    <row r="105" spans="1:12">
      <c r="A105" s="337">
        <v>103</v>
      </c>
      <c r="B105" s="337" t="s">
        <v>86</v>
      </c>
      <c r="C105" s="337" t="s">
        <v>4595</v>
      </c>
      <c r="D105" s="337" t="s">
        <v>409</v>
      </c>
      <c r="E105" s="337">
        <v>2024</v>
      </c>
      <c r="F105" s="337" t="s">
        <v>4598</v>
      </c>
      <c r="G105" s="337" t="s">
        <v>4597</v>
      </c>
      <c r="H105" s="337" t="s">
        <v>4600</v>
      </c>
      <c r="I105" s="338">
        <v>45411</v>
      </c>
      <c r="J105" s="338">
        <v>45398</v>
      </c>
      <c r="K105" s="339">
        <f t="shared" si="1"/>
        <v>-13</v>
      </c>
      <c r="L105" s="337"/>
    </row>
    <row r="106" spans="1:12">
      <c r="A106" s="337">
        <v>104</v>
      </c>
      <c r="B106" s="337" t="s">
        <v>87</v>
      </c>
      <c r="C106" s="337" t="s">
        <v>4595</v>
      </c>
      <c r="D106" s="337" t="s">
        <v>409</v>
      </c>
      <c r="E106" s="337">
        <v>2024</v>
      </c>
      <c r="F106" s="337" t="s">
        <v>4598</v>
      </c>
      <c r="G106" s="337" t="s">
        <v>4597</v>
      </c>
      <c r="H106" s="337" t="s">
        <v>4600</v>
      </c>
      <c r="I106" s="338">
        <v>45412</v>
      </c>
      <c r="J106" s="338">
        <v>45405</v>
      </c>
      <c r="K106" s="339">
        <f t="shared" si="1"/>
        <v>-7</v>
      </c>
      <c r="L106" s="337"/>
    </row>
    <row r="107" spans="1:12">
      <c r="A107" s="337">
        <v>105</v>
      </c>
      <c r="B107" s="337" t="s">
        <v>88</v>
      </c>
      <c r="C107" s="337" t="s">
        <v>4595</v>
      </c>
      <c r="D107" s="337" t="s">
        <v>409</v>
      </c>
      <c r="E107" s="337">
        <v>2024</v>
      </c>
      <c r="F107" s="337" t="s">
        <v>4598</v>
      </c>
      <c r="G107" s="337" t="s">
        <v>4597</v>
      </c>
      <c r="H107" s="337" t="s">
        <v>4600</v>
      </c>
      <c r="I107" s="338">
        <v>45414</v>
      </c>
      <c r="J107" s="338">
        <v>45409</v>
      </c>
      <c r="K107" s="339">
        <f t="shared" si="1"/>
        <v>-5</v>
      </c>
      <c r="L107" s="337"/>
    </row>
    <row r="108" spans="1:12">
      <c r="A108" s="337">
        <v>106</v>
      </c>
      <c r="B108" s="337" t="s">
        <v>89</v>
      </c>
      <c r="C108" s="337" t="s">
        <v>4595</v>
      </c>
      <c r="D108" s="337" t="s">
        <v>4601</v>
      </c>
      <c r="E108" s="337">
        <v>2024</v>
      </c>
      <c r="F108" s="337" t="s">
        <v>4598</v>
      </c>
      <c r="G108" s="337" t="s">
        <v>4597</v>
      </c>
      <c r="H108" s="337" t="s">
        <v>4600</v>
      </c>
      <c r="I108" s="338">
        <v>45416</v>
      </c>
      <c r="J108" s="338">
        <v>45411</v>
      </c>
      <c r="K108" s="339">
        <f t="shared" si="1"/>
        <v>-5</v>
      </c>
      <c r="L108" s="337"/>
    </row>
    <row r="109" spans="1:12">
      <c r="A109" s="337">
        <v>107</v>
      </c>
      <c r="B109" s="337" t="s">
        <v>90</v>
      </c>
      <c r="C109" s="337" t="s">
        <v>4595</v>
      </c>
      <c r="D109" s="337" t="s">
        <v>4601</v>
      </c>
      <c r="E109" s="337">
        <v>2024</v>
      </c>
      <c r="F109" s="337" t="s">
        <v>4598</v>
      </c>
      <c r="G109" s="337" t="s">
        <v>4597</v>
      </c>
      <c r="H109" s="337" t="s">
        <v>4600</v>
      </c>
      <c r="I109" s="338">
        <v>45418</v>
      </c>
      <c r="J109" s="338">
        <v>45405</v>
      </c>
      <c r="K109" s="339">
        <f t="shared" si="1"/>
        <v>-13</v>
      </c>
      <c r="L109" s="337"/>
    </row>
    <row r="110" spans="1:12">
      <c r="A110" s="337">
        <v>108</v>
      </c>
      <c r="B110" s="337" t="s">
        <v>91</v>
      </c>
      <c r="C110" s="337" t="s">
        <v>4595</v>
      </c>
      <c r="D110" s="337" t="s">
        <v>4601</v>
      </c>
      <c r="E110" s="337">
        <v>2024</v>
      </c>
      <c r="F110" s="337" t="s">
        <v>4598</v>
      </c>
      <c r="G110" s="337" t="s">
        <v>4597</v>
      </c>
      <c r="H110" s="337" t="s">
        <v>4600</v>
      </c>
      <c r="I110" s="338">
        <v>45420</v>
      </c>
      <c r="J110" s="338">
        <v>45370</v>
      </c>
      <c r="K110" s="339">
        <f t="shared" si="1"/>
        <v>-50</v>
      </c>
      <c r="L110" s="337"/>
    </row>
    <row r="111" spans="1:12">
      <c r="A111" s="337">
        <v>109</v>
      </c>
      <c r="B111" s="337" t="s">
        <v>92</v>
      </c>
      <c r="C111" s="337" t="s">
        <v>4595</v>
      </c>
      <c r="D111" s="337" t="s">
        <v>4601</v>
      </c>
      <c r="E111" s="337">
        <v>2024</v>
      </c>
      <c r="F111" s="337" t="s">
        <v>4598</v>
      </c>
      <c r="G111" s="337" t="s">
        <v>4597</v>
      </c>
      <c r="H111" s="337" t="s">
        <v>4600</v>
      </c>
      <c r="I111" s="338">
        <v>45423</v>
      </c>
      <c r="J111" s="338">
        <v>45418</v>
      </c>
      <c r="K111" s="339">
        <f t="shared" si="1"/>
        <v>-5</v>
      </c>
      <c r="L111" s="337"/>
    </row>
    <row r="112" spans="1:12">
      <c r="A112" s="337">
        <v>110</v>
      </c>
      <c r="B112" s="337" t="s">
        <v>93</v>
      </c>
      <c r="C112" s="337" t="s">
        <v>4595</v>
      </c>
      <c r="D112" s="337" t="s">
        <v>4601</v>
      </c>
      <c r="E112" s="337">
        <v>2024</v>
      </c>
      <c r="F112" s="337" t="s">
        <v>4598</v>
      </c>
      <c r="G112" s="337" t="s">
        <v>4597</v>
      </c>
      <c r="H112" s="337" t="s">
        <v>4600</v>
      </c>
      <c r="I112" s="338">
        <v>45426</v>
      </c>
      <c r="J112" s="338">
        <v>45414</v>
      </c>
      <c r="K112" s="339">
        <f t="shared" si="1"/>
        <v>-12</v>
      </c>
      <c r="L112" s="337"/>
    </row>
    <row r="113" spans="1:12">
      <c r="A113" s="337">
        <v>111</v>
      </c>
      <c r="B113" s="337" t="s">
        <v>94</v>
      </c>
      <c r="C113" s="337" t="s">
        <v>4595</v>
      </c>
      <c r="D113" s="337" t="s">
        <v>4601</v>
      </c>
      <c r="E113" s="337">
        <v>2024</v>
      </c>
      <c r="F113" s="337" t="s">
        <v>4598</v>
      </c>
      <c r="G113" s="337" t="s">
        <v>4597</v>
      </c>
      <c r="H113" s="337" t="s">
        <v>4600</v>
      </c>
      <c r="I113" s="338">
        <v>45428</v>
      </c>
      <c r="J113" s="338">
        <v>45426</v>
      </c>
      <c r="K113" s="339">
        <f t="shared" si="1"/>
        <v>-2</v>
      </c>
      <c r="L113" s="337"/>
    </row>
    <row r="114" spans="1:12">
      <c r="A114" s="337">
        <v>112</v>
      </c>
      <c r="B114" s="337" t="s">
        <v>95</v>
      </c>
      <c r="C114" s="337" t="s">
        <v>4595</v>
      </c>
      <c r="D114" s="337" t="s">
        <v>4601</v>
      </c>
      <c r="E114" s="337">
        <v>2024</v>
      </c>
      <c r="F114" s="337" t="s">
        <v>4598</v>
      </c>
      <c r="G114" s="337" t="s">
        <v>4597</v>
      </c>
      <c r="H114" s="337" t="s">
        <v>4600</v>
      </c>
      <c r="I114" s="338">
        <v>45430</v>
      </c>
      <c r="J114" s="338">
        <v>45422</v>
      </c>
      <c r="K114" s="339">
        <f t="shared" si="1"/>
        <v>-8</v>
      </c>
      <c r="L114" s="337"/>
    </row>
    <row r="115" spans="1:12">
      <c r="A115" s="337">
        <v>113</v>
      </c>
      <c r="B115" s="337" t="s">
        <v>96</v>
      </c>
      <c r="C115" s="337" t="s">
        <v>4595</v>
      </c>
      <c r="D115" s="337" t="s">
        <v>4601</v>
      </c>
      <c r="E115" s="337">
        <v>2024</v>
      </c>
      <c r="F115" s="337" t="s">
        <v>4598</v>
      </c>
      <c r="G115" s="337" t="s">
        <v>4597</v>
      </c>
      <c r="H115" s="337" t="s">
        <v>4600</v>
      </c>
      <c r="I115" s="338">
        <v>45432</v>
      </c>
      <c r="J115" s="338">
        <v>45430</v>
      </c>
      <c r="K115" s="339">
        <f t="shared" si="1"/>
        <v>-2</v>
      </c>
      <c r="L115" s="337"/>
    </row>
    <row r="116" spans="1:12">
      <c r="A116" s="337">
        <v>114</v>
      </c>
      <c r="B116" s="337" t="s">
        <v>97</v>
      </c>
      <c r="C116" s="337" t="s">
        <v>4595</v>
      </c>
      <c r="D116" s="337" t="s">
        <v>4601</v>
      </c>
      <c r="E116" s="337">
        <v>2024</v>
      </c>
      <c r="F116" s="337" t="s">
        <v>4598</v>
      </c>
      <c r="G116" s="337" t="s">
        <v>4597</v>
      </c>
      <c r="H116" s="337" t="s">
        <v>4600</v>
      </c>
      <c r="I116" s="338">
        <v>45435</v>
      </c>
      <c r="J116" s="338">
        <v>45429</v>
      </c>
      <c r="K116" s="339">
        <f t="shared" si="1"/>
        <v>-6</v>
      </c>
      <c r="L116" s="337"/>
    </row>
    <row r="117" spans="1:12">
      <c r="A117" s="337">
        <v>115</v>
      </c>
      <c r="B117" s="337" t="s">
        <v>98</v>
      </c>
      <c r="C117" s="337" t="s">
        <v>4595</v>
      </c>
      <c r="D117" s="337" t="s">
        <v>4601</v>
      </c>
      <c r="E117" s="337">
        <v>2024</v>
      </c>
      <c r="F117" s="337" t="s">
        <v>4598</v>
      </c>
      <c r="G117" s="337" t="s">
        <v>4597</v>
      </c>
      <c r="H117" s="337" t="s">
        <v>4600</v>
      </c>
      <c r="I117" s="338">
        <v>45437</v>
      </c>
      <c r="J117" s="338">
        <v>45427</v>
      </c>
      <c r="K117" s="339">
        <f t="shared" si="1"/>
        <v>-10</v>
      </c>
      <c r="L117" s="337"/>
    </row>
    <row r="118" spans="1:12">
      <c r="A118" s="340">
        <v>116</v>
      </c>
      <c r="B118" s="340" t="s">
        <v>76</v>
      </c>
      <c r="C118" s="340" t="s">
        <v>4595</v>
      </c>
      <c r="D118" s="340" t="s">
        <v>4601</v>
      </c>
      <c r="E118" s="340">
        <v>2024</v>
      </c>
      <c r="F118" s="340" t="s">
        <v>4596</v>
      </c>
      <c r="G118" s="340" t="s">
        <v>4597</v>
      </c>
      <c r="H118" s="340" t="s">
        <v>4599</v>
      </c>
      <c r="I118" s="341">
        <v>45563</v>
      </c>
      <c r="J118" s="341">
        <v>45563</v>
      </c>
      <c r="K118" s="342">
        <f t="shared" si="1"/>
        <v>0</v>
      </c>
      <c r="L118" s="340"/>
    </row>
    <row r="119" spans="1:12">
      <c r="A119" s="337">
        <v>117</v>
      </c>
      <c r="B119" s="337" t="s">
        <v>77</v>
      </c>
      <c r="C119" s="337" t="s">
        <v>4595</v>
      </c>
      <c r="D119" s="337" t="s">
        <v>4601</v>
      </c>
      <c r="E119" s="337">
        <v>2024</v>
      </c>
      <c r="F119" s="337" t="s">
        <v>4596</v>
      </c>
      <c r="G119" s="337" t="s">
        <v>4597</v>
      </c>
      <c r="H119" s="337" t="s">
        <v>4599</v>
      </c>
      <c r="I119" s="338">
        <v>45558</v>
      </c>
      <c r="J119" s="338">
        <v>45558</v>
      </c>
      <c r="K119" s="339">
        <f t="shared" si="1"/>
        <v>0</v>
      </c>
      <c r="L119" s="337"/>
    </row>
    <row r="120" spans="1:12">
      <c r="A120" s="337">
        <v>118</v>
      </c>
      <c r="B120" s="337" t="s">
        <v>78</v>
      </c>
      <c r="C120" s="337" t="s">
        <v>4595</v>
      </c>
      <c r="D120" s="337" t="s">
        <v>4601</v>
      </c>
      <c r="E120" s="337">
        <v>2024</v>
      </c>
      <c r="F120" s="337" t="s">
        <v>4596</v>
      </c>
      <c r="G120" s="337" t="s">
        <v>4597</v>
      </c>
      <c r="H120" s="337" t="s">
        <v>4599</v>
      </c>
      <c r="I120" s="338">
        <v>45563</v>
      </c>
      <c r="J120" s="338">
        <v>45563</v>
      </c>
      <c r="K120" s="339">
        <f t="shared" si="1"/>
        <v>0</v>
      </c>
      <c r="L120" s="337"/>
    </row>
    <row r="121" spans="1:12">
      <c r="A121" s="337">
        <v>119</v>
      </c>
      <c r="B121" s="337" t="s">
        <v>79</v>
      </c>
      <c r="C121" s="337" t="s">
        <v>4595</v>
      </c>
      <c r="D121" s="337" t="s">
        <v>4601</v>
      </c>
      <c r="E121" s="337">
        <v>2024</v>
      </c>
      <c r="F121" s="337" t="s">
        <v>4596</v>
      </c>
      <c r="G121" s="337" t="s">
        <v>4597</v>
      </c>
      <c r="H121" s="337" t="s">
        <v>4599</v>
      </c>
      <c r="I121" s="338">
        <v>45564</v>
      </c>
      <c r="J121" s="338">
        <v>45564</v>
      </c>
      <c r="K121" s="339">
        <f t="shared" si="1"/>
        <v>0</v>
      </c>
      <c r="L121" s="337"/>
    </row>
    <row r="122" spans="1:12">
      <c r="A122" s="337">
        <v>120</v>
      </c>
      <c r="B122" s="337" t="s">
        <v>80</v>
      </c>
      <c r="C122" s="337" t="s">
        <v>4595</v>
      </c>
      <c r="D122" s="337" t="s">
        <v>4601</v>
      </c>
      <c r="E122" s="337">
        <v>2024</v>
      </c>
      <c r="F122" s="337" t="s">
        <v>4596</v>
      </c>
      <c r="G122" s="337" t="s">
        <v>4597</v>
      </c>
      <c r="H122" s="337" t="s">
        <v>4599</v>
      </c>
      <c r="I122" s="338">
        <v>45564</v>
      </c>
      <c r="J122" s="338">
        <v>45564</v>
      </c>
      <c r="K122" s="339">
        <f t="shared" si="1"/>
        <v>0</v>
      </c>
      <c r="L122" s="337"/>
    </row>
    <row r="123" spans="1:12">
      <c r="A123" s="337">
        <v>121</v>
      </c>
      <c r="B123" s="337" t="s">
        <v>81</v>
      </c>
      <c r="C123" s="337" t="s">
        <v>4595</v>
      </c>
      <c r="D123" s="337" t="s">
        <v>4601</v>
      </c>
      <c r="E123" s="337">
        <v>2024</v>
      </c>
      <c r="F123" s="337" t="s">
        <v>4596</v>
      </c>
      <c r="G123" s="337" t="s">
        <v>4597</v>
      </c>
      <c r="H123" s="337" t="s">
        <v>4599</v>
      </c>
      <c r="I123" s="338">
        <v>45568</v>
      </c>
      <c r="J123" s="338">
        <v>45574</v>
      </c>
      <c r="K123" s="339">
        <f t="shared" si="1"/>
        <v>6</v>
      </c>
      <c r="L123" s="337"/>
    </row>
    <row r="124" spans="1:12">
      <c r="A124" s="337">
        <v>122</v>
      </c>
      <c r="B124" s="337" t="s">
        <v>82</v>
      </c>
      <c r="C124" s="337" t="s">
        <v>4595</v>
      </c>
      <c r="D124" s="337" t="s">
        <v>4601</v>
      </c>
      <c r="E124" s="337">
        <v>2024</v>
      </c>
      <c r="F124" s="337" t="s">
        <v>4596</v>
      </c>
      <c r="G124" s="337" t="s">
        <v>4597</v>
      </c>
      <c r="H124" s="337" t="s">
        <v>4599</v>
      </c>
      <c r="I124" s="338">
        <v>45569</v>
      </c>
      <c r="J124" s="338">
        <v>45575</v>
      </c>
      <c r="K124" s="339">
        <f t="shared" si="1"/>
        <v>6</v>
      </c>
      <c r="L124" s="337"/>
    </row>
    <row r="125" spans="1:12">
      <c r="A125" s="337">
        <v>123</v>
      </c>
      <c r="B125" s="337" t="s">
        <v>83</v>
      </c>
      <c r="C125" s="337" t="s">
        <v>4595</v>
      </c>
      <c r="D125" s="337" t="s">
        <v>4601</v>
      </c>
      <c r="E125" s="337">
        <v>2024</v>
      </c>
      <c r="F125" s="337" t="s">
        <v>4596</v>
      </c>
      <c r="G125" s="337" t="s">
        <v>4597</v>
      </c>
      <c r="H125" s="337" t="s">
        <v>4599</v>
      </c>
      <c r="I125" s="338">
        <v>45579</v>
      </c>
      <c r="J125" s="338">
        <v>45577</v>
      </c>
      <c r="K125" s="339">
        <f t="shared" si="1"/>
        <v>-2</v>
      </c>
      <c r="L125" s="337"/>
    </row>
    <row r="126" spans="1:12">
      <c r="A126" s="337">
        <v>124</v>
      </c>
      <c r="B126" s="337" t="s">
        <v>84</v>
      </c>
      <c r="C126" s="337" t="s">
        <v>4595</v>
      </c>
      <c r="D126" s="337" t="s">
        <v>4601</v>
      </c>
      <c r="E126" s="337">
        <v>2024</v>
      </c>
      <c r="F126" s="337" t="s">
        <v>4596</v>
      </c>
      <c r="G126" s="337" t="s">
        <v>4597</v>
      </c>
      <c r="H126" s="337" t="s">
        <v>4599</v>
      </c>
      <c r="I126" s="338">
        <v>45580</v>
      </c>
      <c r="J126" s="338">
        <v>45568</v>
      </c>
      <c r="K126" s="339">
        <f t="shared" si="1"/>
        <v>-12</v>
      </c>
      <c r="L126" s="337"/>
    </row>
    <row r="127" spans="1:12">
      <c r="A127" s="337">
        <v>125</v>
      </c>
      <c r="B127" s="337" t="s">
        <v>85</v>
      </c>
      <c r="C127" s="337" t="s">
        <v>4595</v>
      </c>
      <c r="D127" s="337" t="s">
        <v>4601</v>
      </c>
      <c r="E127" s="337">
        <v>2024</v>
      </c>
      <c r="F127" s="337" t="s">
        <v>4596</v>
      </c>
      <c r="G127" s="337" t="s">
        <v>4597</v>
      </c>
      <c r="H127" s="337" t="s">
        <v>4599</v>
      </c>
      <c r="I127" s="338">
        <v>45582</v>
      </c>
      <c r="J127" s="338">
        <v>45579</v>
      </c>
      <c r="K127" s="339">
        <f t="shared" si="1"/>
        <v>-3</v>
      </c>
      <c r="L127" s="337"/>
    </row>
    <row r="128" spans="1:12">
      <c r="A128" s="337">
        <v>126</v>
      </c>
      <c r="B128" s="337" t="s">
        <v>86</v>
      </c>
      <c r="C128" s="337" t="s">
        <v>4595</v>
      </c>
      <c r="D128" s="337" t="s">
        <v>4601</v>
      </c>
      <c r="E128" s="337">
        <v>2024</v>
      </c>
      <c r="F128" s="337" t="s">
        <v>4596</v>
      </c>
      <c r="G128" s="337" t="s">
        <v>4597</v>
      </c>
      <c r="H128" s="337" t="s">
        <v>4599</v>
      </c>
      <c r="I128" s="338">
        <v>45583</v>
      </c>
      <c r="J128" s="338">
        <v>45609</v>
      </c>
      <c r="K128" s="339">
        <f t="shared" si="1"/>
        <v>26</v>
      </c>
      <c r="L128" s="337"/>
    </row>
    <row r="129" spans="1:12">
      <c r="A129" s="337">
        <v>127</v>
      </c>
      <c r="B129" s="337" t="s">
        <v>87</v>
      </c>
      <c r="C129" s="337" t="s">
        <v>4595</v>
      </c>
      <c r="D129" s="337" t="s">
        <v>4601</v>
      </c>
      <c r="E129" s="337">
        <v>2024</v>
      </c>
      <c r="F129" s="337" t="s">
        <v>4596</v>
      </c>
      <c r="G129" s="337" t="s">
        <v>4597</v>
      </c>
      <c r="H129" s="337" t="s">
        <v>4599</v>
      </c>
      <c r="I129" s="338">
        <v>45586</v>
      </c>
      <c r="J129" s="338">
        <v>45587</v>
      </c>
      <c r="K129" s="339">
        <f t="shared" si="1"/>
        <v>1</v>
      </c>
      <c r="L129" s="337"/>
    </row>
    <row r="130" spans="1:12">
      <c r="A130" s="337">
        <v>128</v>
      </c>
      <c r="B130" s="337" t="s">
        <v>88</v>
      </c>
      <c r="C130" s="337" t="s">
        <v>4595</v>
      </c>
      <c r="D130" s="337" t="s">
        <v>4601</v>
      </c>
      <c r="E130" s="337">
        <v>2024</v>
      </c>
      <c r="F130" s="337" t="s">
        <v>4596</v>
      </c>
      <c r="G130" s="337" t="s">
        <v>4597</v>
      </c>
      <c r="H130" s="337" t="s">
        <v>4599</v>
      </c>
      <c r="I130" s="338">
        <v>45578</v>
      </c>
      <c r="J130" s="338">
        <v>45589</v>
      </c>
      <c r="K130" s="339">
        <f t="shared" si="1"/>
        <v>11</v>
      </c>
      <c r="L130" s="337"/>
    </row>
    <row r="131" spans="1:12">
      <c r="A131" s="337">
        <v>129</v>
      </c>
      <c r="B131" s="337" t="s">
        <v>89</v>
      </c>
      <c r="C131" s="337" t="s">
        <v>4595</v>
      </c>
      <c r="D131" s="337" t="s">
        <v>4601</v>
      </c>
      <c r="E131" s="337">
        <v>2024</v>
      </c>
      <c r="F131" s="337" t="s">
        <v>4596</v>
      </c>
      <c r="G131" s="337" t="s">
        <v>4597</v>
      </c>
      <c r="H131" s="337" t="s">
        <v>4599</v>
      </c>
      <c r="I131" s="338">
        <v>45593</v>
      </c>
      <c r="J131" s="338">
        <v>45608</v>
      </c>
      <c r="K131" s="339">
        <f t="shared" si="1"/>
        <v>15</v>
      </c>
      <c r="L131" s="337"/>
    </row>
    <row r="132" spans="1:12">
      <c r="A132" s="337">
        <v>130</v>
      </c>
      <c r="B132" s="337" t="s">
        <v>90</v>
      </c>
      <c r="C132" s="337" t="s">
        <v>4595</v>
      </c>
      <c r="D132" s="337" t="s">
        <v>4601</v>
      </c>
      <c r="E132" s="337">
        <v>2024</v>
      </c>
      <c r="F132" s="337" t="s">
        <v>4596</v>
      </c>
      <c r="G132" s="337" t="s">
        <v>4597</v>
      </c>
      <c r="H132" s="337" t="s">
        <v>4599</v>
      </c>
      <c r="I132" s="338">
        <v>45594</v>
      </c>
      <c r="J132" s="338">
        <v>45590</v>
      </c>
      <c r="K132" s="339">
        <f t="shared" ref="K132:K186" si="2">J132-I132</f>
        <v>-4</v>
      </c>
      <c r="L132" s="337"/>
    </row>
    <row r="133" spans="1:12">
      <c r="A133" s="337">
        <v>131</v>
      </c>
      <c r="B133" s="337" t="s">
        <v>91</v>
      </c>
      <c r="C133" s="337" t="s">
        <v>4595</v>
      </c>
      <c r="D133" s="337" t="s">
        <v>4601</v>
      </c>
      <c r="E133" s="337">
        <v>2024</v>
      </c>
      <c r="F133" s="337" t="s">
        <v>4596</v>
      </c>
      <c r="G133" s="337" t="s">
        <v>4597</v>
      </c>
      <c r="H133" s="337" t="s">
        <v>4599</v>
      </c>
      <c r="I133" s="338">
        <v>45598</v>
      </c>
      <c r="J133" s="338">
        <v>45600</v>
      </c>
      <c r="K133" s="339">
        <f t="shared" si="2"/>
        <v>2</v>
      </c>
      <c r="L133" s="337"/>
    </row>
    <row r="134" spans="1:12">
      <c r="A134" s="337">
        <v>132</v>
      </c>
      <c r="B134" s="337" t="s">
        <v>92</v>
      </c>
      <c r="C134" s="337" t="s">
        <v>4595</v>
      </c>
      <c r="D134" s="337" t="s">
        <v>4601</v>
      </c>
      <c r="E134" s="337">
        <v>2024</v>
      </c>
      <c r="F134" s="337" t="s">
        <v>4596</v>
      </c>
      <c r="G134" s="337" t="s">
        <v>4597</v>
      </c>
      <c r="H134" s="337" t="s">
        <v>4599</v>
      </c>
      <c r="I134" s="338">
        <v>45600</v>
      </c>
      <c r="J134" s="338">
        <v>45610</v>
      </c>
      <c r="K134" s="339">
        <f t="shared" si="2"/>
        <v>10</v>
      </c>
      <c r="L134" s="337"/>
    </row>
    <row r="135" spans="1:12">
      <c r="A135" s="337">
        <v>133</v>
      </c>
      <c r="B135" s="337" t="s">
        <v>93</v>
      </c>
      <c r="C135" s="337" t="s">
        <v>4595</v>
      </c>
      <c r="D135" s="337" t="s">
        <v>4601</v>
      </c>
      <c r="E135" s="337">
        <v>2024</v>
      </c>
      <c r="F135" s="337" t="s">
        <v>4596</v>
      </c>
      <c r="G135" s="337" t="s">
        <v>4597</v>
      </c>
      <c r="H135" s="337" t="s">
        <v>4599</v>
      </c>
      <c r="I135" s="338">
        <v>45601</v>
      </c>
      <c r="J135" s="338">
        <v>45601</v>
      </c>
      <c r="K135" s="339">
        <f t="shared" si="2"/>
        <v>0</v>
      </c>
      <c r="L135" s="337"/>
    </row>
    <row r="136" spans="1:12">
      <c r="A136" s="337">
        <v>134</v>
      </c>
      <c r="B136" s="337" t="s">
        <v>94</v>
      </c>
      <c r="C136" s="337" t="s">
        <v>4595</v>
      </c>
      <c r="D136" s="337" t="s">
        <v>4601</v>
      </c>
      <c r="E136" s="337">
        <v>2024</v>
      </c>
      <c r="F136" s="337" t="s">
        <v>4596</v>
      </c>
      <c r="G136" s="337" t="s">
        <v>4597</v>
      </c>
      <c r="H136" s="337" t="s">
        <v>4599</v>
      </c>
      <c r="I136" s="338">
        <v>45602</v>
      </c>
      <c r="J136" s="338">
        <v>45602</v>
      </c>
      <c r="K136" s="339">
        <f t="shared" si="2"/>
        <v>0</v>
      </c>
      <c r="L136" s="337"/>
    </row>
    <row r="137" spans="1:12">
      <c r="A137" s="337">
        <v>135</v>
      </c>
      <c r="B137" s="337" t="s">
        <v>95</v>
      </c>
      <c r="C137" s="337" t="s">
        <v>4595</v>
      </c>
      <c r="D137" s="337" t="s">
        <v>4601</v>
      </c>
      <c r="E137" s="337">
        <v>2024</v>
      </c>
      <c r="F137" s="337" t="s">
        <v>4596</v>
      </c>
      <c r="G137" s="337" t="s">
        <v>4597</v>
      </c>
      <c r="H137" s="337" t="s">
        <v>4599</v>
      </c>
      <c r="I137" s="338">
        <v>45604</v>
      </c>
      <c r="J137" s="338">
        <v>45605</v>
      </c>
      <c r="K137" s="339">
        <f t="shared" si="2"/>
        <v>1</v>
      </c>
      <c r="L137" s="337"/>
    </row>
    <row r="138" spans="1:12">
      <c r="A138" s="337">
        <v>136</v>
      </c>
      <c r="B138" s="337" t="s">
        <v>96</v>
      </c>
      <c r="C138" s="337" t="s">
        <v>4595</v>
      </c>
      <c r="D138" s="337" t="s">
        <v>4601</v>
      </c>
      <c r="E138" s="337">
        <v>2024</v>
      </c>
      <c r="F138" s="337" t="s">
        <v>4596</v>
      </c>
      <c r="G138" s="337" t="s">
        <v>4597</v>
      </c>
      <c r="H138" s="337" t="s">
        <v>4599</v>
      </c>
      <c r="I138" s="338">
        <v>45607</v>
      </c>
      <c r="J138" s="338">
        <v>45645</v>
      </c>
      <c r="K138" s="339">
        <f t="shared" si="2"/>
        <v>38</v>
      </c>
      <c r="L138" s="337"/>
    </row>
    <row r="139" spans="1:12">
      <c r="A139" s="337">
        <v>137</v>
      </c>
      <c r="B139" s="337" t="s">
        <v>97</v>
      </c>
      <c r="C139" s="337" t="s">
        <v>4595</v>
      </c>
      <c r="D139" s="337" t="s">
        <v>4601</v>
      </c>
      <c r="E139" s="337">
        <v>2024</v>
      </c>
      <c r="F139" s="337" t="s">
        <v>4596</v>
      </c>
      <c r="G139" s="337" t="s">
        <v>4597</v>
      </c>
      <c r="H139" s="337" t="s">
        <v>4599</v>
      </c>
      <c r="I139" s="338">
        <v>45608</v>
      </c>
      <c r="J139" s="338">
        <v>45607</v>
      </c>
      <c r="K139" s="339">
        <f t="shared" si="2"/>
        <v>-1</v>
      </c>
      <c r="L139" s="337"/>
    </row>
    <row r="140" spans="1:12">
      <c r="A140" s="337">
        <v>138</v>
      </c>
      <c r="B140" s="337" t="s">
        <v>98</v>
      </c>
      <c r="C140" s="337" t="s">
        <v>4595</v>
      </c>
      <c r="D140" s="337" t="s">
        <v>4601</v>
      </c>
      <c r="E140" s="337">
        <v>2024</v>
      </c>
      <c r="F140" s="337" t="s">
        <v>4596</v>
      </c>
      <c r="G140" s="337" t="s">
        <v>4597</v>
      </c>
      <c r="H140" s="337" t="s">
        <v>4599</v>
      </c>
      <c r="I140" s="338">
        <v>45609</v>
      </c>
      <c r="J140" s="338">
        <v>45631</v>
      </c>
      <c r="K140" s="339">
        <f t="shared" si="2"/>
        <v>22</v>
      </c>
      <c r="L140" s="337"/>
    </row>
    <row r="141" spans="1:12">
      <c r="A141" s="340">
        <v>139</v>
      </c>
      <c r="B141" s="340" t="s">
        <v>76</v>
      </c>
      <c r="C141" s="340" t="s">
        <v>4595</v>
      </c>
      <c r="D141" s="340" t="s">
        <v>4602</v>
      </c>
      <c r="E141" s="340">
        <v>2025</v>
      </c>
      <c r="F141" s="340" t="s">
        <v>4596</v>
      </c>
      <c r="G141" s="340" t="s">
        <v>4597</v>
      </c>
      <c r="H141" s="340" t="s">
        <v>4600</v>
      </c>
      <c r="I141" s="341">
        <v>45720</v>
      </c>
      <c r="J141" s="341">
        <v>45764</v>
      </c>
      <c r="K141" s="342">
        <f t="shared" si="2"/>
        <v>44</v>
      </c>
      <c r="L141" s="340"/>
    </row>
    <row r="142" spans="1:12">
      <c r="A142" s="337">
        <v>140</v>
      </c>
      <c r="B142" s="337" t="s">
        <v>77</v>
      </c>
      <c r="C142" s="337" t="s">
        <v>4595</v>
      </c>
      <c r="D142" s="337" t="s">
        <v>4602</v>
      </c>
      <c r="E142" s="337">
        <v>2025</v>
      </c>
      <c r="F142" s="337" t="s">
        <v>4596</v>
      </c>
      <c r="G142" s="337" t="s">
        <v>4597</v>
      </c>
      <c r="H142" s="337" t="s">
        <v>4600</v>
      </c>
      <c r="I142" s="338">
        <v>45722</v>
      </c>
      <c r="J142" s="338">
        <v>45728</v>
      </c>
      <c r="K142" s="339">
        <f t="shared" si="2"/>
        <v>6</v>
      </c>
      <c r="L142" s="337"/>
    </row>
    <row r="143" spans="1:12">
      <c r="A143" s="337">
        <v>141</v>
      </c>
      <c r="B143" s="337" t="s">
        <v>78</v>
      </c>
      <c r="C143" s="337" t="s">
        <v>4595</v>
      </c>
      <c r="D143" s="337" t="s">
        <v>4602</v>
      </c>
      <c r="E143" s="337">
        <v>2025</v>
      </c>
      <c r="F143" s="337" t="s">
        <v>4596</v>
      </c>
      <c r="G143" s="337" t="s">
        <v>4597</v>
      </c>
      <c r="H143" s="337" t="s">
        <v>4600</v>
      </c>
      <c r="I143" s="338">
        <v>45725</v>
      </c>
      <c r="J143" s="338">
        <v>45741</v>
      </c>
      <c r="K143" s="339">
        <f t="shared" si="2"/>
        <v>16</v>
      </c>
      <c r="L143" s="337"/>
    </row>
    <row r="144" spans="1:12">
      <c r="A144" s="337">
        <v>142</v>
      </c>
      <c r="B144" s="337" t="s">
        <v>79</v>
      </c>
      <c r="C144" s="337" t="s">
        <v>4595</v>
      </c>
      <c r="D144" s="337" t="s">
        <v>4602</v>
      </c>
      <c r="E144" s="337">
        <v>2025</v>
      </c>
      <c r="F144" s="337" t="s">
        <v>4596</v>
      </c>
      <c r="G144" s="337" t="s">
        <v>4597</v>
      </c>
      <c r="H144" s="337" t="s">
        <v>4600</v>
      </c>
      <c r="I144" s="338">
        <v>45728</v>
      </c>
      <c r="J144" s="338">
        <v>45756</v>
      </c>
      <c r="K144" s="339">
        <f t="shared" si="2"/>
        <v>28</v>
      </c>
      <c r="L144" s="337"/>
    </row>
    <row r="145" spans="1:12">
      <c r="A145" s="337">
        <v>143</v>
      </c>
      <c r="B145" s="337" t="s">
        <v>80</v>
      </c>
      <c r="C145" s="337" t="s">
        <v>4595</v>
      </c>
      <c r="D145" s="337" t="s">
        <v>4602</v>
      </c>
      <c r="E145" s="337">
        <v>2025</v>
      </c>
      <c r="F145" s="337" t="s">
        <v>4596</v>
      </c>
      <c r="G145" s="337" t="s">
        <v>4597</v>
      </c>
      <c r="H145" s="337" t="s">
        <v>4600</v>
      </c>
      <c r="I145" s="338">
        <v>45730</v>
      </c>
      <c r="J145" s="338">
        <v>45731</v>
      </c>
      <c r="K145" s="339">
        <f t="shared" si="2"/>
        <v>1</v>
      </c>
      <c r="L145" s="337"/>
    </row>
    <row r="146" spans="1:12">
      <c r="A146" s="337">
        <v>144</v>
      </c>
      <c r="B146" s="337" t="s">
        <v>81</v>
      </c>
      <c r="C146" s="337" t="s">
        <v>4595</v>
      </c>
      <c r="D146" s="337" t="s">
        <v>4602</v>
      </c>
      <c r="E146" s="337">
        <v>2025</v>
      </c>
      <c r="F146" s="337" t="s">
        <v>4596</v>
      </c>
      <c r="G146" s="337" t="s">
        <v>4597</v>
      </c>
      <c r="H146" s="337" t="s">
        <v>4600</v>
      </c>
      <c r="I146" s="338">
        <v>45733</v>
      </c>
      <c r="J146" s="338">
        <v>45743</v>
      </c>
      <c r="K146" s="339">
        <f t="shared" si="2"/>
        <v>10</v>
      </c>
      <c r="L146" s="337"/>
    </row>
    <row r="147" spans="1:12">
      <c r="A147" s="337">
        <v>145</v>
      </c>
      <c r="B147" s="337" t="s">
        <v>82</v>
      </c>
      <c r="C147" s="337" t="s">
        <v>4595</v>
      </c>
      <c r="D147" s="337" t="s">
        <v>4602</v>
      </c>
      <c r="E147" s="337">
        <v>2025</v>
      </c>
      <c r="F147" s="337" t="s">
        <v>4596</v>
      </c>
      <c r="G147" s="337" t="s">
        <v>4597</v>
      </c>
      <c r="H147" s="337" t="s">
        <v>4600</v>
      </c>
      <c r="I147" s="338">
        <v>45736</v>
      </c>
      <c r="J147" s="338">
        <v>45749</v>
      </c>
      <c r="K147" s="339">
        <f t="shared" si="2"/>
        <v>13</v>
      </c>
      <c r="L147" s="337"/>
    </row>
    <row r="148" spans="1:12">
      <c r="A148" s="337">
        <v>146</v>
      </c>
      <c r="B148" s="337" t="s">
        <v>83</v>
      </c>
      <c r="C148" s="337" t="s">
        <v>4595</v>
      </c>
      <c r="D148" s="337" t="s">
        <v>4602</v>
      </c>
      <c r="E148" s="337">
        <v>2025</v>
      </c>
      <c r="F148" s="337" t="s">
        <v>4596</v>
      </c>
      <c r="G148" s="337" t="s">
        <v>4597</v>
      </c>
      <c r="H148" s="337" t="s">
        <v>4600</v>
      </c>
      <c r="I148" s="338">
        <v>45738</v>
      </c>
      <c r="J148" s="338">
        <v>45754</v>
      </c>
      <c r="K148" s="339">
        <f t="shared" si="2"/>
        <v>16</v>
      </c>
      <c r="L148" s="337"/>
    </row>
    <row r="149" spans="1:12">
      <c r="A149" s="337">
        <v>147</v>
      </c>
      <c r="B149" s="337" t="s">
        <v>84</v>
      </c>
      <c r="C149" s="337" t="s">
        <v>4595</v>
      </c>
      <c r="D149" s="337" t="s">
        <v>4602</v>
      </c>
      <c r="E149" s="337">
        <v>2025</v>
      </c>
      <c r="F149" s="337" t="s">
        <v>4596</v>
      </c>
      <c r="G149" s="337" t="s">
        <v>4597</v>
      </c>
      <c r="H149" s="337" t="s">
        <v>4600</v>
      </c>
      <c r="I149" s="338">
        <v>45742</v>
      </c>
      <c r="J149" s="338">
        <v>45775</v>
      </c>
      <c r="K149" s="339">
        <f t="shared" si="2"/>
        <v>33</v>
      </c>
      <c r="L149" s="337"/>
    </row>
    <row r="150" spans="1:12">
      <c r="A150" s="337">
        <v>148</v>
      </c>
      <c r="B150" s="337" t="s">
        <v>85</v>
      </c>
      <c r="C150" s="337" t="s">
        <v>4595</v>
      </c>
      <c r="D150" s="337" t="s">
        <v>4602</v>
      </c>
      <c r="E150" s="337">
        <v>2025</v>
      </c>
      <c r="F150" s="337" t="s">
        <v>4596</v>
      </c>
      <c r="G150" s="337" t="s">
        <v>4597</v>
      </c>
      <c r="H150" s="337" t="s">
        <v>4600</v>
      </c>
      <c r="I150" s="338">
        <v>45749</v>
      </c>
      <c r="J150" s="338">
        <v>45784</v>
      </c>
      <c r="K150" s="339">
        <f t="shared" si="2"/>
        <v>35</v>
      </c>
      <c r="L150" s="337"/>
    </row>
    <row r="151" spans="1:12">
      <c r="A151" s="337">
        <v>149</v>
      </c>
      <c r="B151" s="337" t="s">
        <v>86</v>
      </c>
      <c r="C151" s="337" t="s">
        <v>4595</v>
      </c>
      <c r="D151" s="337" t="s">
        <v>4602</v>
      </c>
      <c r="E151" s="337">
        <v>2025</v>
      </c>
      <c r="F151" s="337" t="s">
        <v>4596</v>
      </c>
      <c r="G151" s="337" t="s">
        <v>4597</v>
      </c>
      <c r="H151" s="337" t="s">
        <v>4600</v>
      </c>
      <c r="I151" s="338">
        <v>45754</v>
      </c>
      <c r="J151" s="338">
        <v>45763</v>
      </c>
      <c r="K151" s="339">
        <f t="shared" si="2"/>
        <v>9</v>
      </c>
      <c r="L151" s="337"/>
    </row>
    <row r="152" spans="1:12">
      <c r="A152" s="337">
        <v>150</v>
      </c>
      <c r="B152" s="337" t="s">
        <v>87</v>
      </c>
      <c r="C152" s="337" t="s">
        <v>4595</v>
      </c>
      <c r="D152" s="337" t="s">
        <v>4602</v>
      </c>
      <c r="E152" s="337">
        <v>2025</v>
      </c>
      <c r="F152" s="337" t="s">
        <v>4596</v>
      </c>
      <c r="G152" s="337" t="s">
        <v>4597</v>
      </c>
      <c r="H152" s="337" t="s">
        <v>4600</v>
      </c>
      <c r="I152" s="338">
        <v>45757</v>
      </c>
      <c r="J152" s="338">
        <v>45770</v>
      </c>
      <c r="K152" s="339">
        <f t="shared" si="2"/>
        <v>13</v>
      </c>
      <c r="L152" s="337"/>
    </row>
    <row r="153" spans="1:12">
      <c r="A153" s="337">
        <v>151</v>
      </c>
      <c r="B153" s="337" t="s">
        <v>88</v>
      </c>
      <c r="C153" s="337" t="s">
        <v>4595</v>
      </c>
      <c r="D153" s="337" t="s">
        <v>4602</v>
      </c>
      <c r="E153" s="337">
        <v>2025</v>
      </c>
      <c r="F153" s="337" t="s">
        <v>4596</v>
      </c>
      <c r="G153" s="337" t="s">
        <v>4597</v>
      </c>
      <c r="H153" s="337" t="s">
        <v>4600</v>
      </c>
      <c r="I153" s="338">
        <v>45761</v>
      </c>
      <c r="J153" s="338">
        <v>45751</v>
      </c>
      <c r="K153" s="339">
        <f t="shared" si="2"/>
        <v>-10</v>
      </c>
      <c r="L153" s="337"/>
    </row>
    <row r="154" spans="1:12">
      <c r="A154" s="337">
        <v>152</v>
      </c>
      <c r="B154" s="337" t="s">
        <v>89</v>
      </c>
      <c r="C154" s="337" t="s">
        <v>4595</v>
      </c>
      <c r="D154" s="337" t="s">
        <v>4602</v>
      </c>
      <c r="E154" s="337">
        <v>2025</v>
      </c>
      <c r="F154" s="337" t="s">
        <v>4596</v>
      </c>
      <c r="G154" s="337" t="s">
        <v>4597</v>
      </c>
      <c r="H154" s="337" t="s">
        <v>4600</v>
      </c>
      <c r="I154" s="338">
        <v>45764</v>
      </c>
      <c r="J154" s="338">
        <v>45777</v>
      </c>
      <c r="K154" s="339">
        <f t="shared" si="2"/>
        <v>13</v>
      </c>
      <c r="L154" s="337"/>
    </row>
    <row r="155" spans="1:12">
      <c r="A155" s="337">
        <v>153</v>
      </c>
      <c r="B155" s="337" t="s">
        <v>90</v>
      </c>
      <c r="C155" s="337" t="s">
        <v>4595</v>
      </c>
      <c r="D155" s="337" t="s">
        <v>4602</v>
      </c>
      <c r="E155" s="337">
        <v>2025</v>
      </c>
      <c r="F155" s="337" t="s">
        <v>4596</v>
      </c>
      <c r="G155" s="337" t="s">
        <v>4597</v>
      </c>
      <c r="H155" s="337" t="s">
        <v>4600</v>
      </c>
      <c r="I155" s="338">
        <v>45768</v>
      </c>
      <c r="J155" s="338">
        <v>45759</v>
      </c>
      <c r="K155" s="339">
        <f t="shared" si="2"/>
        <v>-9</v>
      </c>
      <c r="L155" s="337"/>
    </row>
    <row r="156" spans="1:12">
      <c r="A156" s="337">
        <v>154</v>
      </c>
      <c r="B156" s="337" t="s">
        <v>91</v>
      </c>
      <c r="C156" s="337" t="s">
        <v>4595</v>
      </c>
      <c r="D156" s="337" t="s">
        <v>4602</v>
      </c>
      <c r="E156" s="337">
        <v>2025</v>
      </c>
      <c r="F156" s="337" t="s">
        <v>4596</v>
      </c>
      <c r="G156" s="337" t="s">
        <v>4597</v>
      </c>
      <c r="H156" s="337" t="s">
        <v>4600</v>
      </c>
      <c r="I156" s="338">
        <v>45771</v>
      </c>
      <c r="J156" s="338">
        <v>45789</v>
      </c>
      <c r="K156" s="339">
        <f t="shared" si="2"/>
        <v>18</v>
      </c>
      <c r="L156" s="337"/>
    </row>
    <row r="157" spans="1:12">
      <c r="A157" s="337">
        <v>155</v>
      </c>
      <c r="B157" s="337" t="s">
        <v>92</v>
      </c>
      <c r="C157" s="337" t="s">
        <v>4595</v>
      </c>
      <c r="D157" s="337" t="s">
        <v>4602</v>
      </c>
      <c r="E157" s="337">
        <v>2025</v>
      </c>
      <c r="F157" s="337" t="s">
        <v>4596</v>
      </c>
      <c r="G157" s="337" t="s">
        <v>4597</v>
      </c>
      <c r="H157" s="337" t="s">
        <v>4600</v>
      </c>
      <c r="I157" s="338">
        <v>45775</v>
      </c>
      <c r="J157" s="338">
        <v>45773</v>
      </c>
      <c r="K157" s="339">
        <f t="shared" si="2"/>
        <v>-2</v>
      </c>
      <c r="L157" s="337"/>
    </row>
    <row r="158" spans="1:12">
      <c r="A158" s="337">
        <v>156</v>
      </c>
      <c r="B158" s="337" t="s">
        <v>93</v>
      </c>
      <c r="C158" s="337" t="s">
        <v>4595</v>
      </c>
      <c r="D158" s="337" t="s">
        <v>4602</v>
      </c>
      <c r="E158" s="337">
        <v>2025</v>
      </c>
      <c r="F158" s="337" t="s">
        <v>4596</v>
      </c>
      <c r="G158" s="337" t="s">
        <v>4597</v>
      </c>
      <c r="H158" s="337" t="s">
        <v>4600</v>
      </c>
      <c r="I158" s="338">
        <v>45779</v>
      </c>
      <c r="J158" s="338">
        <v>45783</v>
      </c>
      <c r="K158" s="339">
        <f t="shared" si="2"/>
        <v>4</v>
      </c>
      <c r="L158" s="337"/>
    </row>
    <row r="159" spans="1:12">
      <c r="A159" s="337">
        <v>157</v>
      </c>
      <c r="B159" s="337" t="s">
        <v>94</v>
      </c>
      <c r="C159" s="337" t="s">
        <v>4595</v>
      </c>
      <c r="D159" s="337" t="s">
        <v>4602</v>
      </c>
      <c r="E159" s="337">
        <v>2025</v>
      </c>
      <c r="F159" s="337" t="s">
        <v>4596</v>
      </c>
      <c r="G159" s="337" t="s">
        <v>4597</v>
      </c>
      <c r="H159" s="337" t="s">
        <v>4600</v>
      </c>
      <c r="I159" s="338">
        <v>45782</v>
      </c>
      <c r="J159" s="338">
        <v>45791</v>
      </c>
      <c r="K159" s="339">
        <f t="shared" si="2"/>
        <v>9</v>
      </c>
      <c r="L159" s="337"/>
    </row>
    <row r="160" spans="1:12">
      <c r="A160" s="337">
        <v>158</v>
      </c>
      <c r="B160" s="337" t="s">
        <v>95</v>
      </c>
      <c r="C160" s="337" t="s">
        <v>4595</v>
      </c>
      <c r="D160" s="337" t="s">
        <v>4602</v>
      </c>
      <c r="E160" s="337">
        <v>2025</v>
      </c>
      <c r="F160" s="337" t="s">
        <v>4596</v>
      </c>
      <c r="G160" s="337" t="s">
        <v>4597</v>
      </c>
      <c r="H160" s="337" t="s">
        <v>4600</v>
      </c>
      <c r="I160" s="338">
        <v>45785</v>
      </c>
      <c r="J160" s="338">
        <v>45782</v>
      </c>
      <c r="K160" s="339">
        <f t="shared" si="2"/>
        <v>-3</v>
      </c>
      <c r="L160" s="337"/>
    </row>
    <row r="161" spans="1:12">
      <c r="A161" s="337">
        <v>159</v>
      </c>
      <c r="B161" s="337" t="s">
        <v>96</v>
      </c>
      <c r="C161" s="337" t="s">
        <v>4595</v>
      </c>
      <c r="D161" s="337" t="s">
        <v>4602</v>
      </c>
      <c r="E161" s="337">
        <v>2025</v>
      </c>
      <c r="F161" s="337" t="s">
        <v>4596</v>
      </c>
      <c r="G161" s="337" t="s">
        <v>4597</v>
      </c>
      <c r="H161" s="337" t="s">
        <v>4600</v>
      </c>
      <c r="I161" s="338">
        <v>45789</v>
      </c>
      <c r="J161" s="338">
        <v>45787</v>
      </c>
      <c r="K161" s="339">
        <f t="shared" si="2"/>
        <v>-2</v>
      </c>
      <c r="L161" s="337"/>
    </row>
    <row r="162" spans="1:12">
      <c r="A162" s="337">
        <v>160</v>
      </c>
      <c r="B162" s="337" t="s">
        <v>97</v>
      </c>
      <c r="C162" s="337" t="s">
        <v>4595</v>
      </c>
      <c r="D162" s="337" t="s">
        <v>4602</v>
      </c>
      <c r="E162" s="337">
        <v>2025</v>
      </c>
      <c r="F162" s="337" t="s">
        <v>4596</v>
      </c>
      <c r="G162" s="337" t="s">
        <v>4597</v>
      </c>
      <c r="H162" s="337" t="s">
        <v>4600</v>
      </c>
      <c r="I162" s="338">
        <v>45792</v>
      </c>
      <c r="J162" s="338">
        <v>45794</v>
      </c>
      <c r="K162" s="339">
        <f t="shared" si="2"/>
        <v>2</v>
      </c>
      <c r="L162" s="337"/>
    </row>
    <row r="163" spans="1:12">
      <c r="A163" s="337">
        <v>161</v>
      </c>
      <c r="B163" s="337" t="s">
        <v>98</v>
      </c>
      <c r="C163" s="337" t="s">
        <v>4595</v>
      </c>
      <c r="D163" s="337" t="s">
        <v>4602</v>
      </c>
      <c r="E163" s="337">
        <v>2025</v>
      </c>
      <c r="F163" s="337" t="s">
        <v>4596</v>
      </c>
      <c r="G163" s="337" t="s">
        <v>4597</v>
      </c>
      <c r="H163" s="337" t="s">
        <v>4600</v>
      </c>
      <c r="I163" s="338">
        <v>45795</v>
      </c>
      <c r="J163" s="338">
        <v>45794</v>
      </c>
      <c r="K163" s="339">
        <f t="shared" si="2"/>
        <v>-1</v>
      </c>
      <c r="L163" s="337"/>
    </row>
    <row r="164" spans="1:12">
      <c r="A164" s="337">
        <v>162</v>
      </c>
      <c r="B164" s="337" t="s">
        <v>76</v>
      </c>
      <c r="C164" s="337" t="s">
        <v>4595</v>
      </c>
      <c r="D164" s="337" t="s">
        <v>4602</v>
      </c>
      <c r="E164" s="337">
        <v>2025</v>
      </c>
      <c r="F164" s="337" t="s">
        <v>4598</v>
      </c>
      <c r="G164" s="337" t="s">
        <v>4597</v>
      </c>
      <c r="H164" s="337" t="s">
        <v>4600</v>
      </c>
      <c r="I164" s="338">
        <v>45721</v>
      </c>
      <c r="J164" s="338">
        <v>45769</v>
      </c>
      <c r="K164" s="339">
        <f t="shared" si="2"/>
        <v>48</v>
      </c>
      <c r="L164" s="337"/>
    </row>
    <row r="165" spans="1:12">
      <c r="A165" s="337">
        <v>163</v>
      </c>
      <c r="B165" s="337" t="s">
        <v>77</v>
      </c>
      <c r="C165" s="337" t="s">
        <v>4595</v>
      </c>
      <c r="D165" s="337" t="s">
        <v>4602</v>
      </c>
      <c r="E165" s="337">
        <v>2025</v>
      </c>
      <c r="F165" s="337" t="s">
        <v>4598</v>
      </c>
      <c r="G165" s="337" t="s">
        <v>4597</v>
      </c>
      <c r="H165" s="337" t="s">
        <v>4600</v>
      </c>
      <c r="I165" s="338">
        <v>45723</v>
      </c>
      <c r="J165" s="338">
        <v>45737</v>
      </c>
      <c r="K165" s="339">
        <f t="shared" si="2"/>
        <v>14</v>
      </c>
      <c r="L165" s="337"/>
    </row>
    <row r="166" spans="1:12">
      <c r="A166" s="337">
        <v>164</v>
      </c>
      <c r="B166" s="337" t="s">
        <v>78</v>
      </c>
      <c r="C166" s="337" t="s">
        <v>4595</v>
      </c>
      <c r="D166" s="337" t="s">
        <v>4602</v>
      </c>
      <c r="E166" s="337">
        <v>2025</v>
      </c>
      <c r="F166" s="337" t="s">
        <v>4598</v>
      </c>
      <c r="G166" s="337" t="s">
        <v>4597</v>
      </c>
      <c r="H166" s="337" t="s">
        <v>4600</v>
      </c>
      <c r="I166" s="338">
        <v>45726</v>
      </c>
      <c r="J166" s="338">
        <v>45742</v>
      </c>
      <c r="K166" s="339">
        <f t="shared" si="2"/>
        <v>16</v>
      </c>
      <c r="L166" s="337"/>
    </row>
    <row r="167" spans="1:12">
      <c r="A167" s="337">
        <v>165</v>
      </c>
      <c r="B167" s="337" t="s">
        <v>79</v>
      </c>
      <c r="C167" s="337" t="s">
        <v>4595</v>
      </c>
      <c r="D167" s="337" t="s">
        <v>4602</v>
      </c>
      <c r="E167" s="337">
        <v>2025</v>
      </c>
      <c r="F167" s="337" t="s">
        <v>4598</v>
      </c>
      <c r="G167" s="337" t="s">
        <v>4597</v>
      </c>
      <c r="H167" s="337" t="s">
        <v>4600</v>
      </c>
      <c r="I167" s="338">
        <v>45729</v>
      </c>
      <c r="J167" s="338">
        <v>45757</v>
      </c>
      <c r="K167" s="339">
        <f t="shared" si="2"/>
        <v>28</v>
      </c>
      <c r="L167" s="337"/>
    </row>
    <row r="168" spans="1:12">
      <c r="A168" s="337">
        <v>166</v>
      </c>
      <c r="B168" s="337" t="s">
        <v>80</v>
      </c>
      <c r="C168" s="337" t="s">
        <v>4595</v>
      </c>
      <c r="D168" s="337" t="s">
        <v>4602</v>
      </c>
      <c r="E168" s="337">
        <v>2025</v>
      </c>
      <c r="F168" s="337" t="s">
        <v>4598</v>
      </c>
      <c r="G168" s="337" t="s">
        <v>4597</v>
      </c>
      <c r="H168" s="337" t="s">
        <v>4600</v>
      </c>
      <c r="I168" s="338">
        <v>45731</v>
      </c>
      <c r="J168" s="338">
        <v>45736</v>
      </c>
      <c r="K168" s="339">
        <f t="shared" si="2"/>
        <v>5</v>
      </c>
      <c r="L168" s="337"/>
    </row>
    <row r="169" spans="1:12">
      <c r="A169" s="337">
        <v>167</v>
      </c>
      <c r="B169" s="337" t="s">
        <v>81</v>
      </c>
      <c r="C169" s="337" t="s">
        <v>4595</v>
      </c>
      <c r="D169" s="337" t="s">
        <v>4602</v>
      </c>
      <c r="E169" s="337">
        <v>2025</v>
      </c>
      <c r="F169" s="337" t="s">
        <v>4598</v>
      </c>
      <c r="G169" s="337" t="s">
        <v>4597</v>
      </c>
      <c r="H169" s="337" t="s">
        <v>4600</v>
      </c>
      <c r="I169" s="338">
        <v>45734</v>
      </c>
      <c r="J169" s="338">
        <v>45744</v>
      </c>
      <c r="K169" s="339">
        <f t="shared" si="2"/>
        <v>10</v>
      </c>
      <c r="L169" s="337"/>
    </row>
    <row r="170" spans="1:12">
      <c r="A170" s="337">
        <v>168</v>
      </c>
      <c r="B170" s="337" t="s">
        <v>82</v>
      </c>
      <c r="C170" s="337" t="s">
        <v>4595</v>
      </c>
      <c r="D170" s="337" t="s">
        <v>4602</v>
      </c>
      <c r="E170" s="337">
        <v>2025</v>
      </c>
      <c r="F170" s="337" t="s">
        <v>4598</v>
      </c>
      <c r="G170" s="337" t="s">
        <v>4597</v>
      </c>
      <c r="H170" s="337" t="s">
        <v>4600</v>
      </c>
      <c r="I170" s="338">
        <v>45737</v>
      </c>
      <c r="J170" s="338">
        <v>45750</v>
      </c>
      <c r="K170" s="339">
        <f t="shared" si="2"/>
        <v>13</v>
      </c>
      <c r="L170" s="337"/>
    </row>
    <row r="171" spans="1:12">
      <c r="A171" s="337">
        <v>169</v>
      </c>
      <c r="B171" s="337" t="s">
        <v>83</v>
      </c>
      <c r="C171" s="337" t="s">
        <v>4595</v>
      </c>
      <c r="D171" s="337" t="s">
        <v>4602</v>
      </c>
      <c r="E171" s="337">
        <v>2025</v>
      </c>
      <c r="F171" s="337" t="s">
        <v>4598</v>
      </c>
      <c r="G171" s="337" t="s">
        <v>4597</v>
      </c>
      <c r="H171" s="337" t="s">
        <v>4600</v>
      </c>
      <c r="I171" s="338">
        <v>45739</v>
      </c>
      <c r="J171" s="338">
        <v>45755</v>
      </c>
      <c r="K171" s="339">
        <f t="shared" si="2"/>
        <v>16</v>
      </c>
      <c r="L171" s="337"/>
    </row>
    <row r="172" spans="1:12">
      <c r="A172" s="337">
        <v>170</v>
      </c>
      <c r="B172" s="337" t="s">
        <v>84</v>
      </c>
      <c r="C172" s="337" t="s">
        <v>4595</v>
      </c>
      <c r="D172" s="337" t="s">
        <v>4602</v>
      </c>
      <c r="E172" s="337">
        <v>2025</v>
      </c>
      <c r="F172" s="337" t="s">
        <v>4598</v>
      </c>
      <c r="G172" s="337" t="s">
        <v>4597</v>
      </c>
      <c r="H172" s="337" t="s">
        <v>4600</v>
      </c>
      <c r="I172" s="338">
        <v>45743</v>
      </c>
      <c r="J172" s="338">
        <v>45776</v>
      </c>
      <c r="K172" s="339">
        <f t="shared" si="2"/>
        <v>33</v>
      </c>
      <c r="L172" s="337"/>
    </row>
    <row r="173" spans="1:12">
      <c r="A173" s="337">
        <v>171</v>
      </c>
      <c r="B173" s="337" t="s">
        <v>85</v>
      </c>
      <c r="C173" s="337" t="s">
        <v>4595</v>
      </c>
      <c r="D173" s="337" t="s">
        <v>4602</v>
      </c>
      <c r="E173" s="337">
        <v>2025</v>
      </c>
      <c r="F173" s="337" t="s">
        <v>4598</v>
      </c>
      <c r="G173" s="337" t="s">
        <v>4597</v>
      </c>
      <c r="H173" s="337" t="s">
        <v>4600</v>
      </c>
      <c r="I173" s="338">
        <v>45750</v>
      </c>
      <c r="J173" s="338">
        <v>45785</v>
      </c>
      <c r="K173" s="339">
        <f t="shared" si="2"/>
        <v>35</v>
      </c>
      <c r="L173" s="337"/>
    </row>
    <row r="174" spans="1:12">
      <c r="A174" s="337">
        <v>172</v>
      </c>
      <c r="B174" s="337" t="s">
        <v>86</v>
      </c>
      <c r="C174" s="337" t="s">
        <v>4595</v>
      </c>
      <c r="D174" s="337" t="s">
        <v>4602</v>
      </c>
      <c r="E174" s="337">
        <v>2025</v>
      </c>
      <c r="F174" s="337" t="s">
        <v>4598</v>
      </c>
      <c r="G174" s="337" t="s">
        <v>4597</v>
      </c>
      <c r="H174" s="337" t="s">
        <v>4600</v>
      </c>
      <c r="I174" s="338">
        <v>45755</v>
      </c>
      <c r="J174" s="338">
        <v>45766</v>
      </c>
      <c r="K174" s="339">
        <f t="shared" si="2"/>
        <v>11</v>
      </c>
      <c r="L174" s="337"/>
    </row>
    <row r="175" spans="1:12">
      <c r="A175" s="337">
        <v>173</v>
      </c>
      <c r="B175" s="337" t="s">
        <v>87</v>
      </c>
      <c r="C175" s="337" t="s">
        <v>4595</v>
      </c>
      <c r="D175" s="337" t="s">
        <v>4602</v>
      </c>
      <c r="E175" s="337">
        <v>2025</v>
      </c>
      <c r="F175" s="337" t="s">
        <v>4598</v>
      </c>
      <c r="G175" s="337" t="s">
        <v>4597</v>
      </c>
      <c r="H175" s="337" t="s">
        <v>4600</v>
      </c>
      <c r="I175" s="338">
        <v>45758</v>
      </c>
      <c r="J175" s="338">
        <v>45771</v>
      </c>
      <c r="K175" s="339">
        <f t="shared" si="2"/>
        <v>13</v>
      </c>
      <c r="L175" s="337"/>
    </row>
    <row r="176" spans="1:12">
      <c r="A176" s="337">
        <v>174</v>
      </c>
      <c r="B176" s="337" t="s">
        <v>88</v>
      </c>
      <c r="C176" s="337" t="s">
        <v>4595</v>
      </c>
      <c r="D176" s="337" t="s">
        <v>4602</v>
      </c>
      <c r="E176" s="337">
        <v>2025</v>
      </c>
      <c r="F176" s="337" t="s">
        <v>4598</v>
      </c>
      <c r="G176" s="337" t="s">
        <v>4597</v>
      </c>
      <c r="H176" s="337" t="s">
        <v>4600</v>
      </c>
      <c r="I176" s="338">
        <v>45762</v>
      </c>
      <c r="J176" s="338">
        <v>45752</v>
      </c>
      <c r="K176" s="339">
        <f t="shared" si="2"/>
        <v>-10</v>
      </c>
      <c r="L176" s="337"/>
    </row>
    <row r="177" spans="1:12">
      <c r="A177" s="337">
        <v>175</v>
      </c>
      <c r="B177" s="337" t="s">
        <v>89</v>
      </c>
      <c r="C177" s="337" t="s">
        <v>4595</v>
      </c>
      <c r="D177" s="337" t="s">
        <v>4602</v>
      </c>
      <c r="E177" s="337">
        <v>2025</v>
      </c>
      <c r="F177" s="337" t="s">
        <v>4598</v>
      </c>
      <c r="G177" s="337" t="s">
        <v>4597</v>
      </c>
      <c r="H177" s="337" t="s">
        <v>4600</v>
      </c>
      <c r="I177" s="338">
        <v>45765</v>
      </c>
      <c r="J177" s="338">
        <v>45779</v>
      </c>
      <c r="K177" s="339">
        <f t="shared" si="2"/>
        <v>14</v>
      </c>
      <c r="L177" s="337"/>
    </row>
    <row r="178" spans="1:12">
      <c r="A178" s="337">
        <v>176</v>
      </c>
      <c r="B178" s="337" t="s">
        <v>90</v>
      </c>
      <c r="C178" s="337" t="s">
        <v>4595</v>
      </c>
      <c r="D178" s="337" t="s">
        <v>4602</v>
      </c>
      <c r="E178" s="337">
        <v>2025</v>
      </c>
      <c r="F178" s="337" t="s">
        <v>4598</v>
      </c>
      <c r="G178" s="337" t="s">
        <v>4597</v>
      </c>
      <c r="H178" s="337" t="s">
        <v>4600</v>
      </c>
      <c r="I178" s="338">
        <v>45769</v>
      </c>
      <c r="J178" s="338">
        <v>45786</v>
      </c>
      <c r="K178" s="339">
        <f t="shared" si="2"/>
        <v>17</v>
      </c>
      <c r="L178" s="337"/>
    </row>
    <row r="179" spans="1:12">
      <c r="A179" s="337">
        <v>177</v>
      </c>
      <c r="B179" s="337" t="s">
        <v>91</v>
      </c>
      <c r="C179" s="337" t="s">
        <v>4595</v>
      </c>
      <c r="D179" s="337" t="s">
        <v>4602</v>
      </c>
      <c r="E179" s="337">
        <v>2025</v>
      </c>
      <c r="F179" s="337" t="s">
        <v>4598</v>
      </c>
      <c r="G179" s="337" t="s">
        <v>4597</v>
      </c>
      <c r="H179" s="337" t="s">
        <v>4600</v>
      </c>
      <c r="I179" s="338">
        <v>45772</v>
      </c>
      <c r="J179" s="338">
        <v>45790</v>
      </c>
      <c r="K179" s="339">
        <f t="shared" si="2"/>
        <v>18</v>
      </c>
      <c r="L179" s="337"/>
    </row>
    <row r="180" spans="1:12">
      <c r="A180" s="337">
        <v>178</v>
      </c>
      <c r="B180" s="337" t="s">
        <v>92</v>
      </c>
      <c r="C180" s="337" t="s">
        <v>4595</v>
      </c>
      <c r="D180" s="337" t="s">
        <v>4602</v>
      </c>
      <c r="E180" s="337">
        <v>2025</v>
      </c>
      <c r="F180" s="337" t="s">
        <v>4598</v>
      </c>
      <c r="G180" s="337" t="s">
        <v>4597</v>
      </c>
      <c r="H180" s="337" t="s">
        <v>4600</v>
      </c>
      <c r="I180" s="338">
        <v>45776</v>
      </c>
      <c r="J180" s="338">
        <v>45774</v>
      </c>
      <c r="K180" s="339">
        <f t="shared" si="2"/>
        <v>-2</v>
      </c>
      <c r="L180" s="337"/>
    </row>
    <row r="181" spans="1:12">
      <c r="A181" s="337">
        <v>179</v>
      </c>
      <c r="B181" s="337" t="s">
        <v>93</v>
      </c>
      <c r="C181" s="337" t="s">
        <v>4595</v>
      </c>
      <c r="D181" s="337" t="s">
        <v>4602</v>
      </c>
      <c r="E181" s="337">
        <v>2025</v>
      </c>
      <c r="F181" s="337" t="s">
        <v>4598</v>
      </c>
      <c r="G181" s="337" t="s">
        <v>4597</v>
      </c>
      <c r="H181" s="337" t="s">
        <v>4600</v>
      </c>
      <c r="I181" s="338">
        <v>45780</v>
      </c>
      <c r="J181" s="338">
        <v>45786</v>
      </c>
      <c r="K181" s="339">
        <f t="shared" si="2"/>
        <v>6</v>
      </c>
      <c r="L181" s="337"/>
    </row>
    <row r="182" spans="1:12">
      <c r="A182" s="337">
        <v>180</v>
      </c>
      <c r="B182" s="337" t="s">
        <v>94</v>
      </c>
      <c r="C182" s="337" t="s">
        <v>4595</v>
      </c>
      <c r="D182" s="337" t="s">
        <v>4602</v>
      </c>
      <c r="E182" s="337">
        <v>2025</v>
      </c>
      <c r="F182" s="337" t="s">
        <v>4598</v>
      </c>
      <c r="G182" s="337" t="s">
        <v>4597</v>
      </c>
      <c r="H182" s="337" t="s">
        <v>4600</v>
      </c>
      <c r="I182" s="338">
        <v>45783</v>
      </c>
      <c r="J182" s="338">
        <v>45800</v>
      </c>
      <c r="K182" s="339">
        <v>17</v>
      </c>
      <c r="L182" s="337"/>
    </row>
    <row r="183" spans="1:12">
      <c r="A183" s="337">
        <v>181</v>
      </c>
      <c r="B183" s="337" t="s">
        <v>95</v>
      </c>
      <c r="C183" s="337" t="s">
        <v>4595</v>
      </c>
      <c r="D183" s="337" t="s">
        <v>4602</v>
      </c>
      <c r="E183" s="337">
        <v>2025</v>
      </c>
      <c r="F183" s="337" t="s">
        <v>4598</v>
      </c>
      <c r="G183" s="337" t="s">
        <v>4597</v>
      </c>
      <c r="H183" s="337" t="s">
        <v>4600</v>
      </c>
      <c r="I183" s="338">
        <v>45786</v>
      </c>
      <c r="J183" s="338">
        <v>45792</v>
      </c>
      <c r="K183" s="339">
        <f t="shared" si="2"/>
        <v>6</v>
      </c>
      <c r="L183" s="337"/>
    </row>
    <row r="184" spans="1:12">
      <c r="A184" s="337">
        <v>182</v>
      </c>
      <c r="B184" s="337" t="s">
        <v>96</v>
      </c>
      <c r="C184" s="337" t="s">
        <v>4595</v>
      </c>
      <c r="D184" s="337" t="s">
        <v>4602</v>
      </c>
      <c r="E184" s="337">
        <v>2025</v>
      </c>
      <c r="F184" s="337" t="s">
        <v>4598</v>
      </c>
      <c r="G184" s="337" t="s">
        <v>4597</v>
      </c>
      <c r="H184" s="337" t="s">
        <v>4600</v>
      </c>
      <c r="I184" s="338">
        <v>45790</v>
      </c>
      <c r="J184" s="338">
        <v>45793</v>
      </c>
      <c r="K184" s="339">
        <f t="shared" si="2"/>
        <v>3</v>
      </c>
      <c r="L184" s="337"/>
    </row>
    <row r="185" spans="1:12">
      <c r="A185" s="337">
        <v>183</v>
      </c>
      <c r="B185" s="337" t="s">
        <v>97</v>
      </c>
      <c r="C185" s="337" t="s">
        <v>4595</v>
      </c>
      <c r="D185" s="337" t="s">
        <v>4602</v>
      </c>
      <c r="E185" s="337">
        <v>2025</v>
      </c>
      <c r="F185" s="337" t="s">
        <v>4598</v>
      </c>
      <c r="G185" s="337" t="s">
        <v>4597</v>
      </c>
      <c r="H185" s="337" t="s">
        <v>4600</v>
      </c>
      <c r="I185" s="338">
        <v>45793</v>
      </c>
      <c r="J185" s="338">
        <v>45796</v>
      </c>
      <c r="K185" s="339">
        <f t="shared" si="2"/>
        <v>3</v>
      </c>
      <c r="L185" s="337"/>
    </row>
    <row r="186" spans="1:12">
      <c r="A186" s="337">
        <v>184</v>
      </c>
      <c r="B186" s="337" t="s">
        <v>98</v>
      </c>
      <c r="C186" s="337" t="s">
        <v>4595</v>
      </c>
      <c r="D186" s="337" t="s">
        <v>4602</v>
      </c>
      <c r="E186" s="337">
        <v>2025</v>
      </c>
      <c r="F186" s="337" t="s">
        <v>4598</v>
      </c>
      <c r="G186" s="337" t="s">
        <v>4597</v>
      </c>
      <c r="H186" s="337" t="s">
        <v>4600</v>
      </c>
      <c r="I186" s="338">
        <v>45796</v>
      </c>
      <c r="J186" s="338">
        <v>45798</v>
      </c>
      <c r="K186" s="339">
        <f t="shared" si="2"/>
        <v>2</v>
      </c>
      <c r="L186" s="337"/>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39"/>
  <sheetViews>
    <sheetView workbookViewId="0">
      <pane xSplit="4" ySplit="1" topLeftCell="E28" activePane="bottomRight" state="frozen"/>
      <selection activeCell="C1" sqref="C1"/>
      <selection pane="topRight" activeCell="C1" sqref="C1"/>
      <selection pane="bottomLeft" activeCell="C1" sqref="C1"/>
      <selection pane="bottomRight" activeCell="Y5" sqref="Y5"/>
    </sheetView>
  </sheetViews>
  <sheetFormatPr defaultColWidth="8.7265625" defaultRowHeight="14.5"/>
  <cols>
    <col min="1" max="1" width="8.7265625" style="10"/>
    <col min="2" max="2" width="9.7265625" style="10" bestFit="1" customWidth="1"/>
    <col min="3" max="3" width="15.7265625" style="10" customWidth="1"/>
    <col min="4" max="6" width="8.7265625" style="10"/>
    <col min="7" max="7" width="20.54296875" style="10" customWidth="1"/>
    <col min="8" max="8" width="8.7265625" style="10"/>
    <col min="9" max="9" width="9.453125" style="10" bestFit="1" customWidth="1"/>
    <col min="10" max="14" width="8.7265625" style="10"/>
    <col min="15" max="15" width="9.7265625" style="10" bestFit="1" customWidth="1"/>
    <col min="16" max="16" width="11" style="10" customWidth="1"/>
    <col min="17" max="17" width="15.26953125" style="10" customWidth="1"/>
    <col min="18" max="19" width="10.7265625" style="10" customWidth="1"/>
    <col min="20" max="20" width="13" style="10" customWidth="1"/>
    <col min="21" max="25" width="12.7265625" style="10" customWidth="1"/>
    <col min="26" max="27" width="14.54296875" style="10" customWidth="1"/>
    <col min="28" max="29" width="15.54296875" style="10" customWidth="1"/>
    <col min="30" max="38" width="9.7265625" style="10" customWidth="1"/>
    <col min="39" max="39" width="12" style="10" bestFit="1" customWidth="1"/>
    <col min="40" max="41" width="12" style="10" customWidth="1"/>
    <col min="42" max="42" width="27.54296875" style="10" bestFit="1" customWidth="1"/>
    <col min="43" max="16384" width="8.7265625" style="10"/>
  </cols>
  <sheetData>
    <row r="1" spans="1:43" ht="43.5">
      <c r="A1" s="255" t="s">
        <v>6</v>
      </c>
      <c r="B1" s="255" t="s">
        <v>4343</v>
      </c>
      <c r="C1" s="255" t="s">
        <v>4344</v>
      </c>
      <c r="D1" s="255" t="s">
        <v>4264</v>
      </c>
      <c r="E1" s="255" t="s">
        <v>401</v>
      </c>
      <c r="F1" s="255" t="s">
        <v>400</v>
      </c>
      <c r="G1" s="255" t="s">
        <v>4345</v>
      </c>
      <c r="H1" s="255" t="s">
        <v>4346</v>
      </c>
      <c r="I1" s="255" t="s">
        <v>4347</v>
      </c>
      <c r="J1" s="255" t="s">
        <v>4348</v>
      </c>
      <c r="K1" s="255" t="s">
        <v>4349</v>
      </c>
      <c r="L1" s="255" t="s">
        <v>4350</v>
      </c>
      <c r="M1" s="255" t="s">
        <v>4351</v>
      </c>
      <c r="N1" s="255" t="s">
        <v>4352</v>
      </c>
      <c r="O1" s="255" t="s">
        <v>4353</v>
      </c>
      <c r="P1" s="255" t="s">
        <v>4354</v>
      </c>
      <c r="Q1" s="255" t="s">
        <v>4355</v>
      </c>
      <c r="R1" s="255" t="s">
        <v>4356</v>
      </c>
      <c r="S1" s="255" t="s">
        <v>4357</v>
      </c>
      <c r="T1" s="255" t="s">
        <v>4358</v>
      </c>
      <c r="U1" s="255" t="s">
        <v>4359</v>
      </c>
      <c r="V1" s="255" t="s">
        <v>4360</v>
      </c>
      <c r="W1" s="255" t="s">
        <v>4361</v>
      </c>
      <c r="X1" s="255" t="s">
        <v>4362</v>
      </c>
      <c r="Y1" s="255" t="s">
        <v>4363</v>
      </c>
      <c r="Z1" s="255" t="s">
        <v>4364</v>
      </c>
      <c r="AA1" s="255" t="s">
        <v>4365</v>
      </c>
      <c r="AB1" s="255" t="s">
        <v>4366</v>
      </c>
      <c r="AC1" s="255" t="s">
        <v>4265</v>
      </c>
      <c r="AD1" s="255" t="s">
        <v>4266</v>
      </c>
      <c r="AE1" s="255" t="s">
        <v>4367</v>
      </c>
      <c r="AF1" s="255" t="s">
        <v>4368</v>
      </c>
      <c r="AG1" s="255" t="s">
        <v>4369</v>
      </c>
      <c r="AH1" s="255" t="s">
        <v>4370</v>
      </c>
      <c r="AI1" s="255" t="s">
        <v>4371</v>
      </c>
      <c r="AJ1" s="255" t="s">
        <v>4372</v>
      </c>
      <c r="AK1" s="255" t="s">
        <v>4373</v>
      </c>
      <c r="AL1" s="255" t="s">
        <v>4374</v>
      </c>
      <c r="AM1" s="255" t="s">
        <v>4508</v>
      </c>
      <c r="AN1" s="255" t="s">
        <v>4509</v>
      </c>
      <c r="AP1" s="10" t="s">
        <v>4425</v>
      </c>
      <c r="AQ1" s="236">
        <v>50.6</v>
      </c>
    </row>
    <row r="2" spans="1:43">
      <c r="A2" s="256">
        <v>1</v>
      </c>
      <c r="B2" s="257" t="s">
        <v>4385</v>
      </c>
      <c r="C2" s="258">
        <v>2</v>
      </c>
      <c r="D2" s="257">
        <v>44958</v>
      </c>
      <c r="E2" s="259">
        <f>YEAR(D2)</f>
        <v>2023</v>
      </c>
      <c r="F2" s="259" t="s">
        <v>4376</v>
      </c>
      <c r="G2" s="256">
        <f>DAY(EOMONTH(D2,0))</f>
        <v>28</v>
      </c>
      <c r="H2" s="260"/>
      <c r="I2" s="260"/>
      <c r="J2" s="261">
        <v>6.4041034581308942</v>
      </c>
      <c r="K2" s="260"/>
      <c r="L2" s="256"/>
      <c r="M2" s="262">
        <v>5226.9829064947617</v>
      </c>
      <c r="N2" s="262"/>
      <c r="O2" s="263"/>
      <c r="P2" s="261"/>
      <c r="Q2" s="256">
        <f>COUNTIFS('Daily KPI'!D:D,D2,'Daily KPI'!M:M,"&gt;0")</f>
        <v>0</v>
      </c>
      <c r="R2" s="262"/>
      <c r="S2" s="262"/>
      <c r="T2" s="261">
        <f t="shared" ref="T2:T25" si="0">M2/G2</f>
        <v>186.67796094624148</v>
      </c>
      <c r="U2" s="262">
        <f t="shared" ref="U2:U25" si="1">M2/G2*Q2</f>
        <v>0</v>
      </c>
      <c r="V2" s="262">
        <f>SUMIF($F$2:F2,F2,$U$2:U2)</f>
        <v>0</v>
      </c>
      <c r="W2" s="263" t="str">
        <f t="shared" ref="W2:W27" si="2">IFERROR(T2/(24*N2),"")</f>
        <v/>
      </c>
      <c r="X2" s="263" t="str">
        <f t="shared" ref="X2:X39" si="3">IFERROR(U2/(24*N2*Q2),"")</f>
        <v/>
      </c>
      <c r="Y2" s="263" t="str">
        <f t="shared" ref="Y2:Y27" si="4">IFERROR(V2/(24*N2*SUMIFS($Q:$Q,$F:$F,$F2,$D:$D,"&lt;="&amp;D2)),"")</f>
        <v/>
      </c>
      <c r="Z2" s="261" t="str">
        <f>IFERROR(AVERAGEIF('Daily KPI'!D:D,Table14[[#This Row],[Month]],'Daily KPI'!AB:AB),"")</f>
        <v/>
      </c>
      <c r="AA2" s="260" t="str">
        <f>IFERROR(AVERAGEIF($F$2:F2,F2,$Z$2:Z2),"")</f>
        <v/>
      </c>
      <c r="AB2" s="262"/>
      <c r="AC2" s="261">
        <v>6.4041034581308942</v>
      </c>
      <c r="AD2" s="261">
        <f>AVERAGEIF($F$2:F2,F2,$AC$2:AC2)</f>
        <v>6.4041034581308942</v>
      </c>
      <c r="AE2" s="263">
        <f t="shared" ref="AE2:AE27" si="5">IFERROR(AF2*AH2*AI2,"")</f>
        <v>0.95549849999999992</v>
      </c>
      <c r="AF2" s="263">
        <v>0.995</v>
      </c>
      <c r="AG2" s="263"/>
      <c r="AH2" s="263">
        <v>0.97</v>
      </c>
      <c r="AI2" s="263">
        <v>0.99</v>
      </c>
      <c r="AJ2" s="263">
        <v>0.95</v>
      </c>
      <c r="AK2" s="263">
        <v>0.05</v>
      </c>
      <c r="AL2" s="263">
        <v>0.05</v>
      </c>
      <c r="AM2" s="316"/>
      <c r="AN2" s="316"/>
      <c r="AP2" s="277" t="s">
        <v>4491</v>
      </c>
      <c r="AQ2" s="10">
        <f>AQ1*5%</f>
        <v>2.5300000000000002</v>
      </c>
    </row>
    <row r="3" spans="1:43">
      <c r="A3" s="258">
        <f>A2+1</f>
        <v>2</v>
      </c>
      <c r="B3" s="264" t="s">
        <v>4386</v>
      </c>
      <c r="C3" s="258">
        <v>3</v>
      </c>
      <c r="D3" s="264">
        <v>44986</v>
      </c>
      <c r="E3" s="265">
        <f>YEAR(D3)</f>
        <v>2023</v>
      </c>
      <c r="F3" s="265" t="s">
        <v>4376</v>
      </c>
      <c r="G3" s="258">
        <f>DAY(EOMONTH(D3,0))</f>
        <v>31</v>
      </c>
      <c r="H3" s="266"/>
      <c r="I3" s="266"/>
      <c r="J3" s="267">
        <v>5.9681800514432695</v>
      </c>
      <c r="K3" s="266"/>
      <c r="L3" s="258"/>
      <c r="M3" s="268">
        <v>2550.8419096803382</v>
      </c>
      <c r="N3" s="268"/>
      <c r="O3" s="269"/>
      <c r="P3" s="267"/>
      <c r="Q3" s="258">
        <f>COUNTIFS('Daily KPI'!D:D,D3,'Daily KPI'!M:M,"&gt;0")</f>
        <v>0</v>
      </c>
      <c r="R3" s="268"/>
      <c r="S3" s="268"/>
      <c r="T3" s="267">
        <f t="shared" si="0"/>
        <v>82.285222892914135</v>
      </c>
      <c r="U3" s="268">
        <f t="shared" si="1"/>
        <v>0</v>
      </c>
      <c r="V3" s="268">
        <f>SUMIF($F$2:F3,F3,$U$2:U3)</f>
        <v>0</v>
      </c>
      <c r="W3" s="269" t="str">
        <f t="shared" si="2"/>
        <v/>
      </c>
      <c r="X3" s="269" t="str">
        <f t="shared" si="3"/>
        <v/>
      </c>
      <c r="Y3" s="269" t="str">
        <f t="shared" si="4"/>
        <v/>
      </c>
      <c r="Z3" s="267" t="str">
        <f>IFERROR(AVERAGEIF('Daily KPI'!D:D,Table14[[#This Row],[Month]],'Daily KPI'!AB:AB),"")</f>
        <v/>
      </c>
      <c r="AA3" s="260" t="str">
        <f>IFERROR(AVERAGEIF($F$2:F3,F3,$Z$2:Z3),"")</f>
        <v/>
      </c>
      <c r="AB3" s="268"/>
      <c r="AC3" s="267">
        <v>5.9681800514432695</v>
      </c>
      <c r="AD3" s="267">
        <f>AVERAGEIF($F$2:F3,F3,$AC$2:AC3)</f>
        <v>6.1861417547870818</v>
      </c>
      <c r="AE3" s="269">
        <f t="shared" si="5"/>
        <v>0.95549849999999992</v>
      </c>
      <c r="AF3" s="269">
        <v>0.995</v>
      </c>
      <c r="AG3" s="269"/>
      <c r="AH3" s="269">
        <v>0.97</v>
      </c>
      <c r="AI3" s="269">
        <v>0.99</v>
      </c>
      <c r="AJ3" s="269">
        <v>0.95</v>
      </c>
      <c r="AK3" s="269">
        <v>0.05</v>
      </c>
      <c r="AL3" s="269">
        <v>0.05</v>
      </c>
      <c r="AM3" s="315"/>
      <c r="AN3" s="315"/>
      <c r="AP3" s="277" t="s">
        <v>124</v>
      </c>
      <c r="AQ3" s="10">
        <f>AQ2*24</f>
        <v>60.720000000000006</v>
      </c>
    </row>
    <row r="4" spans="1:43">
      <c r="A4" s="258">
        <f t="shared" ref="A4:A39" si="6">A3+1</f>
        <v>3</v>
      </c>
      <c r="B4" s="257" t="s">
        <v>4375</v>
      </c>
      <c r="C4" s="258">
        <v>4</v>
      </c>
      <c r="D4" s="257">
        <v>45017</v>
      </c>
      <c r="E4" s="259">
        <f t="shared" ref="E4:E23" si="7">YEAR(D4)</f>
        <v>2023</v>
      </c>
      <c r="F4" s="259" t="s">
        <v>4376</v>
      </c>
      <c r="G4" s="256">
        <f t="shared" ref="G4:G23" si="8">DAY(EOMONTH(D4,0))</f>
        <v>30</v>
      </c>
      <c r="H4" s="260"/>
      <c r="I4" s="260"/>
      <c r="J4" s="261">
        <v>5.6310997427836513</v>
      </c>
      <c r="K4" s="260"/>
      <c r="L4" s="256"/>
      <c r="M4" s="262">
        <v>5913.5255369407487</v>
      </c>
      <c r="N4" s="262">
        <v>26.399999999999984</v>
      </c>
      <c r="O4" s="263"/>
      <c r="P4" s="261"/>
      <c r="Q4" s="256">
        <f>COUNTIFS('Daily KPI'!D:D,D4,'Daily KPI'!M:M,"&gt;0")</f>
        <v>0</v>
      </c>
      <c r="R4" s="262"/>
      <c r="S4" s="262"/>
      <c r="T4" s="261">
        <f t="shared" si="0"/>
        <v>197.11751789802494</v>
      </c>
      <c r="U4" s="262">
        <f t="shared" si="1"/>
        <v>0</v>
      </c>
      <c r="V4" s="262">
        <f>SUMIF($F$2:F4,F4,$U$2:U4)</f>
        <v>0</v>
      </c>
      <c r="W4" s="263">
        <f t="shared" si="2"/>
        <v>0.31110719365218598</v>
      </c>
      <c r="X4" s="263" t="str">
        <f t="shared" si="3"/>
        <v/>
      </c>
      <c r="Y4" s="263" t="str">
        <f t="shared" si="4"/>
        <v/>
      </c>
      <c r="Z4" s="261" t="str">
        <f>IFERROR(AVERAGEIF('Daily KPI'!D:D,Table14[[#This Row],[Month]],'Daily KPI'!AB:AB),"")</f>
        <v/>
      </c>
      <c r="AA4" s="260" t="str">
        <f>IFERROR(AVERAGEIF($F$2:F4,F4,$Z$2:Z4),"")</f>
        <v/>
      </c>
      <c r="AB4" s="262"/>
      <c r="AC4" s="261">
        <v>5.6310997427836513</v>
      </c>
      <c r="AD4" s="261">
        <f>AVERAGEIF($F$2:F4,F4,$AC$2:AC4)</f>
        <v>6.0011277507859377</v>
      </c>
      <c r="AE4" s="263">
        <f t="shared" si="5"/>
        <v>0.95549849999999992</v>
      </c>
      <c r="AF4" s="263">
        <v>0.995</v>
      </c>
      <c r="AG4" s="263"/>
      <c r="AH4" s="263">
        <v>0.97</v>
      </c>
      <c r="AI4" s="263">
        <v>0.99</v>
      </c>
      <c r="AJ4" s="263">
        <v>0.95</v>
      </c>
      <c r="AK4" s="263">
        <v>0.05</v>
      </c>
      <c r="AL4" s="263">
        <v>0.05</v>
      </c>
      <c r="AM4" s="315"/>
      <c r="AN4" s="315"/>
    </row>
    <row r="5" spans="1:43">
      <c r="A5" s="258">
        <f t="shared" si="6"/>
        <v>4</v>
      </c>
      <c r="B5" s="264" t="s">
        <v>4267</v>
      </c>
      <c r="C5" s="258">
        <v>5</v>
      </c>
      <c r="D5" s="264">
        <v>45047</v>
      </c>
      <c r="E5" s="265">
        <f t="shared" si="7"/>
        <v>2023</v>
      </c>
      <c r="F5" s="265" t="s">
        <v>4376</v>
      </c>
      <c r="G5" s="258">
        <f t="shared" si="8"/>
        <v>31</v>
      </c>
      <c r="H5" s="266"/>
      <c r="I5" s="266"/>
      <c r="J5" s="267">
        <v>7.1310648756787653</v>
      </c>
      <c r="K5" s="266"/>
      <c r="L5" s="258"/>
      <c r="M5" s="268">
        <v>11097.957122441292</v>
      </c>
      <c r="N5" s="268">
        <v>50.59999999999998</v>
      </c>
      <c r="O5" s="269"/>
      <c r="P5" s="267"/>
      <c r="Q5" s="258">
        <f>COUNTIFS('Daily KPI'!D:D,D5,'Daily KPI'!M:M,"&gt;0")</f>
        <v>0</v>
      </c>
      <c r="R5" s="268"/>
      <c r="S5" s="268"/>
      <c r="T5" s="267">
        <f t="shared" si="0"/>
        <v>357.99861685294491</v>
      </c>
      <c r="U5" s="268">
        <f t="shared" si="1"/>
        <v>0</v>
      </c>
      <c r="V5" s="268">
        <f>SUMIF($F$2:F5,F5,$U$2:U5)</f>
        <v>0</v>
      </c>
      <c r="W5" s="269">
        <f t="shared" si="2"/>
        <v>0.29479464497113389</v>
      </c>
      <c r="X5" s="269" t="str">
        <f t="shared" si="3"/>
        <v/>
      </c>
      <c r="Y5" s="269" t="str">
        <f t="shared" si="4"/>
        <v/>
      </c>
      <c r="Z5" s="267" t="str">
        <f>IFERROR(AVERAGEIF('Daily KPI'!D:D,Table14[[#This Row],[Month]],'Daily KPI'!AB:AB),"")</f>
        <v/>
      </c>
      <c r="AA5" s="260" t="str">
        <f>IFERROR(AVERAGEIF($F$2:F5,F5,$Z$2:Z5),"")</f>
        <v/>
      </c>
      <c r="AB5" s="268"/>
      <c r="AC5" s="267">
        <v>7.1310648756787653</v>
      </c>
      <c r="AD5" s="267">
        <f>AVERAGEIF($F$2:F5,F5,$AC$2:AC5)</f>
        <v>6.2836120320091453</v>
      </c>
      <c r="AE5" s="269">
        <f t="shared" si="5"/>
        <v>0.95549849999999992</v>
      </c>
      <c r="AF5" s="269">
        <v>0.995</v>
      </c>
      <c r="AG5" s="269"/>
      <c r="AH5" s="269">
        <v>0.97</v>
      </c>
      <c r="AI5" s="269">
        <v>0.99</v>
      </c>
      <c r="AJ5" s="269">
        <v>0.95</v>
      </c>
      <c r="AK5" s="269">
        <v>0.05</v>
      </c>
      <c r="AL5" s="269">
        <v>0.05</v>
      </c>
      <c r="AM5" s="315"/>
      <c r="AN5" s="315"/>
    </row>
    <row r="6" spans="1:43">
      <c r="A6" s="258">
        <f t="shared" si="6"/>
        <v>5</v>
      </c>
      <c r="B6" s="257" t="s">
        <v>4377</v>
      </c>
      <c r="C6" s="258">
        <v>6</v>
      </c>
      <c r="D6" s="257">
        <v>45078</v>
      </c>
      <c r="E6" s="259">
        <f t="shared" si="7"/>
        <v>2023</v>
      </c>
      <c r="F6" s="259" t="s">
        <v>4376</v>
      </c>
      <c r="G6" s="256">
        <f t="shared" si="8"/>
        <v>30</v>
      </c>
      <c r="H6" s="260"/>
      <c r="I6" s="260"/>
      <c r="J6" s="261">
        <v>9.4530328665332952</v>
      </c>
      <c r="K6" s="260"/>
      <c r="L6" s="256"/>
      <c r="M6" s="262">
        <v>19352.47842606439</v>
      </c>
      <c r="N6" s="262">
        <v>50.599999999999987</v>
      </c>
      <c r="O6" s="263"/>
      <c r="P6" s="261"/>
      <c r="Q6" s="256">
        <f>COUNTIFS('Daily KPI'!D:D,D6,'Daily KPI'!M:M,"&gt;0")</f>
        <v>0</v>
      </c>
      <c r="R6" s="262"/>
      <c r="S6" s="262"/>
      <c r="T6" s="261">
        <f t="shared" si="0"/>
        <v>645.08261420214637</v>
      </c>
      <c r="U6" s="262">
        <f t="shared" si="1"/>
        <v>0</v>
      </c>
      <c r="V6" s="262">
        <f>SUMIF($F$2:F6,F6,$U$2:U6)</f>
        <v>0</v>
      </c>
      <c r="W6" s="263">
        <f t="shared" si="2"/>
        <v>0.53119451103602322</v>
      </c>
      <c r="X6" s="263" t="str">
        <f t="shared" si="3"/>
        <v/>
      </c>
      <c r="Y6" s="263" t="str">
        <f t="shared" si="4"/>
        <v/>
      </c>
      <c r="Z6" s="261" t="str">
        <f>IFERROR(AVERAGEIF('Daily KPI'!D:D,Table14[[#This Row],[Month]],'Daily KPI'!AB:AB),"")</f>
        <v/>
      </c>
      <c r="AA6" s="260" t="str">
        <f>IFERROR(AVERAGEIF($F$2:F6,F6,$Z$2:Z6),"")</f>
        <v/>
      </c>
      <c r="AB6" s="262"/>
      <c r="AC6" s="261">
        <v>9.4530328665332952</v>
      </c>
      <c r="AD6" s="261">
        <f>AVERAGEIF($F$2:F6,F6,$AC$2:AC6)</f>
        <v>6.9174961989139749</v>
      </c>
      <c r="AE6" s="263">
        <f t="shared" si="5"/>
        <v>0.95549849999999992</v>
      </c>
      <c r="AF6" s="263">
        <v>0.995</v>
      </c>
      <c r="AG6" s="263"/>
      <c r="AH6" s="263">
        <v>0.97</v>
      </c>
      <c r="AI6" s="263">
        <v>0.99</v>
      </c>
      <c r="AJ6" s="263">
        <v>0.95</v>
      </c>
      <c r="AK6" s="263">
        <v>0.05</v>
      </c>
      <c r="AL6" s="263">
        <v>0.05</v>
      </c>
      <c r="AM6" s="315"/>
      <c r="AN6" s="315"/>
      <c r="AQ6" s="207"/>
    </row>
    <row r="7" spans="1:43">
      <c r="A7" s="258">
        <f t="shared" si="6"/>
        <v>6</v>
      </c>
      <c r="B7" s="264" t="s">
        <v>4378</v>
      </c>
      <c r="C7" s="258">
        <v>7</v>
      </c>
      <c r="D7" s="264">
        <v>45108</v>
      </c>
      <c r="E7" s="265">
        <f t="shared" si="7"/>
        <v>2023</v>
      </c>
      <c r="F7" s="265" t="s">
        <v>4376</v>
      </c>
      <c r="G7" s="258">
        <f t="shared" si="8"/>
        <v>31</v>
      </c>
      <c r="H7" s="266"/>
      <c r="I7" s="266"/>
      <c r="J7" s="267">
        <v>10.303759359817088</v>
      </c>
      <c r="K7" s="266"/>
      <c r="L7" s="258"/>
      <c r="M7" s="268">
        <v>23096.435792463973</v>
      </c>
      <c r="N7" s="268">
        <v>50.59999999999998</v>
      </c>
      <c r="O7" s="269"/>
      <c r="P7" s="267"/>
      <c r="Q7" s="258">
        <f>COUNTIFS('Daily KPI'!D:D,D7,'Daily KPI'!M:M,"&gt;0")</f>
        <v>0</v>
      </c>
      <c r="R7" s="268"/>
      <c r="S7" s="268"/>
      <c r="T7" s="267">
        <f t="shared" si="0"/>
        <v>745.04631588593463</v>
      </c>
      <c r="U7" s="268">
        <f t="shared" si="1"/>
        <v>0</v>
      </c>
      <c r="V7" s="268">
        <f>SUMIF($F$2:F7,F7,$U$2:U7)</f>
        <v>0</v>
      </c>
      <c r="W7" s="269">
        <f t="shared" si="2"/>
        <v>0.61350981215903722</v>
      </c>
      <c r="X7" s="269" t="str">
        <f t="shared" si="3"/>
        <v/>
      </c>
      <c r="Y7" s="269" t="str">
        <f t="shared" si="4"/>
        <v/>
      </c>
      <c r="Z7" s="267" t="str">
        <f>IFERROR(AVERAGEIF('Daily KPI'!D:D,Table14[[#This Row],[Month]],'Daily KPI'!AB:AB),"")</f>
        <v/>
      </c>
      <c r="AA7" s="260" t="str">
        <f>IFERROR(AVERAGEIF($F$2:F7,F7,$Z$2:Z7),"")</f>
        <v/>
      </c>
      <c r="AB7" s="268"/>
      <c r="AC7" s="267">
        <v>10.303759359817088</v>
      </c>
      <c r="AD7" s="267">
        <f>AVERAGEIF($F$2:F7,F7,$AC$2:AC7)</f>
        <v>7.4818733923978264</v>
      </c>
      <c r="AE7" s="269">
        <f t="shared" si="5"/>
        <v>0.95549849999999992</v>
      </c>
      <c r="AF7" s="269">
        <v>0.995</v>
      </c>
      <c r="AG7" s="269"/>
      <c r="AH7" s="269">
        <v>0.97</v>
      </c>
      <c r="AI7" s="269">
        <v>0.99</v>
      </c>
      <c r="AJ7" s="269">
        <v>0.95</v>
      </c>
      <c r="AK7" s="269">
        <v>0.05</v>
      </c>
      <c r="AL7" s="269">
        <v>0.05</v>
      </c>
      <c r="AM7" s="315"/>
      <c r="AN7" s="315"/>
    </row>
    <row r="8" spans="1:43">
      <c r="A8" s="258">
        <f t="shared" si="6"/>
        <v>7</v>
      </c>
      <c r="B8" s="257" t="s">
        <v>4379</v>
      </c>
      <c r="C8" s="258">
        <v>8</v>
      </c>
      <c r="D8" s="257">
        <v>45139</v>
      </c>
      <c r="E8" s="259">
        <f t="shared" si="7"/>
        <v>2023</v>
      </c>
      <c r="F8" s="259" t="s">
        <v>4376</v>
      </c>
      <c r="G8" s="256">
        <f t="shared" si="8"/>
        <v>31</v>
      </c>
      <c r="H8" s="260"/>
      <c r="I8" s="260"/>
      <c r="J8" s="261">
        <v>8.5195147184909956</v>
      </c>
      <c r="K8" s="260"/>
      <c r="L8" s="256"/>
      <c r="M8" s="262">
        <v>19809.769724995982</v>
      </c>
      <c r="N8" s="262">
        <v>50.59999999999998</v>
      </c>
      <c r="O8" s="263"/>
      <c r="P8" s="261"/>
      <c r="Q8" s="256">
        <f>COUNTIFS('Daily KPI'!D:D,D8,'Daily KPI'!M:M,"&gt;0")</f>
        <v>0</v>
      </c>
      <c r="R8" s="262"/>
      <c r="S8" s="262"/>
      <c r="T8" s="261">
        <f t="shared" si="0"/>
        <v>639.0248298385801</v>
      </c>
      <c r="U8" s="262">
        <f t="shared" si="1"/>
        <v>0</v>
      </c>
      <c r="V8" s="262">
        <f>SUMIF($F$2:F8,F8,$U$2:U8)</f>
        <v>0</v>
      </c>
      <c r="W8" s="263">
        <f t="shared" si="2"/>
        <v>0.52620621692900227</v>
      </c>
      <c r="X8" s="263" t="str">
        <f t="shared" si="3"/>
        <v/>
      </c>
      <c r="Y8" s="263" t="str">
        <f t="shared" si="4"/>
        <v/>
      </c>
      <c r="Z8" s="261" t="str">
        <f>IFERROR(AVERAGEIF('Daily KPI'!D:D,Table14[[#This Row],[Month]],'Daily KPI'!AB:AB),"")</f>
        <v/>
      </c>
      <c r="AA8" s="260" t="str">
        <f>IFERROR(AVERAGEIF($F$2:F8,F8,$Z$2:Z8),"")</f>
        <v/>
      </c>
      <c r="AB8" s="262"/>
      <c r="AC8" s="261">
        <v>8.5195147184909956</v>
      </c>
      <c r="AD8" s="261">
        <f>AVERAGEIF($F$2:F8,F8,$AC$2:AC8)</f>
        <v>7.6301078675539937</v>
      </c>
      <c r="AE8" s="263">
        <f t="shared" si="5"/>
        <v>0.95549849999999992</v>
      </c>
      <c r="AF8" s="263">
        <v>0.995</v>
      </c>
      <c r="AG8" s="263"/>
      <c r="AH8" s="263">
        <v>0.97</v>
      </c>
      <c r="AI8" s="263">
        <v>0.99</v>
      </c>
      <c r="AJ8" s="263">
        <v>0.95</v>
      </c>
      <c r="AK8" s="263">
        <v>0.05</v>
      </c>
      <c r="AL8" s="263">
        <v>0.05</v>
      </c>
      <c r="AM8" s="315"/>
      <c r="AN8" s="315"/>
    </row>
    <row r="9" spans="1:43">
      <c r="A9" s="258">
        <f t="shared" si="6"/>
        <v>8</v>
      </c>
      <c r="B9" s="264" t="s">
        <v>4380</v>
      </c>
      <c r="C9" s="258">
        <v>9</v>
      </c>
      <c r="D9" s="264">
        <v>45170</v>
      </c>
      <c r="E9" s="265">
        <f t="shared" si="7"/>
        <v>2023</v>
      </c>
      <c r="F9" s="265" t="s">
        <v>4376</v>
      </c>
      <c r="G9" s="258">
        <f t="shared" si="8"/>
        <v>30</v>
      </c>
      <c r="H9" s="266"/>
      <c r="I9" s="266"/>
      <c r="J9" s="267">
        <v>7.2366664761360369</v>
      </c>
      <c r="K9" s="266"/>
      <c r="L9" s="258"/>
      <c r="M9" s="268">
        <v>11411.019122936803</v>
      </c>
      <c r="N9" s="268">
        <v>50.599999999999987</v>
      </c>
      <c r="O9" s="269"/>
      <c r="P9" s="267"/>
      <c r="Q9" s="258">
        <f>COUNTIFS('Daily KPI'!D:D,D9,'Daily KPI'!M:M,"&gt;0")</f>
        <v>0</v>
      </c>
      <c r="R9" s="268"/>
      <c r="S9" s="268"/>
      <c r="T9" s="267">
        <f t="shared" si="0"/>
        <v>380.36730409789345</v>
      </c>
      <c r="U9" s="268">
        <f t="shared" si="1"/>
        <v>0</v>
      </c>
      <c r="V9" s="268">
        <f>SUMIF($F$2:F9,F9,$U$2:U9)</f>
        <v>0</v>
      </c>
      <c r="W9" s="269">
        <f t="shared" si="2"/>
        <v>0.3132141832163155</v>
      </c>
      <c r="X9" s="269" t="str">
        <f t="shared" si="3"/>
        <v/>
      </c>
      <c r="Y9" s="269" t="str">
        <f t="shared" si="4"/>
        <v/>
      </c>
      <c r="Z9" s="267" t="str">
        <f>IFERROR(AVERAGEIF('Daily KPI'!D:D,Table14[[#This Row],[Month]],'Daily KPI'!AB:AB),"")</f>
        <v/>
      </c>
      <c r="AA9" s="260" t="str">
        <f>IFERROR(AVERAGEIF($F$2:F9,F9,$Z$2:Z9),"")</f>
        <v/>
      </c>
      <c r="AB9" s="268"/>
      <c r="AC9" s="267">
        <v>7.2366664761360369</v>
      </c>
      <c r="AD9" s="267">
        <f>AVERAGEIF($F$2:F9,F9,$AC$2:AC9)</f>
        <v>7.5809276936267489</v>
      </c>
      <c r="AE9" s="269">
        <f t="shared" si="5"/>
        <v>0.95549849999999992</v>
      </c>
      <c r="AF9" s="269">
        <v>0.995</v>
      </c>
      <c r="AG9" s="269"/>
      <c r="AH9" s="269">
        <v>0.97</v>
      </c>
      <c r="AI9" s="269">
        <v>0.99</v>
      </c>
      <c r="AJ9" s="269">
        <v>0.95</v>
      </c>
      <c r="AK9" s="269">
        <v>0.05</v>
      </c>
      <c r="AL9" s="269">
        <v>0.05</v>
      </c>
      <c r="AM9" s="315"/>
      <c r="AN9" s="315"/>
    </row>
    <row r="10" spans="1:43">
      <c r="A10" s="258">
        <f t="shared" si="6"/>
        <v>9</v>
      </c>
      <c r="B10" s="257" t="s">
        <v>4381</v>
      </c>
      <c r="C10" s="258">
        <v>10</v>
      </c>
      <c r="D10" s="257">
        <v>45200</v>
      </c>
      <c r="E10" s="259">
        <f t="shared" si="7"/>
        <v>2023</v>
      </c>
      <c r="F10" s="259" t="s">
        <v>4376</v>
      </c>
      <c r="G10" s="256">
        <f t="shared" si="8"/>
        <v>31</v>
      </c>
      <c r="H10" s="260"/>
      <c r="I10" s="260"/>
      <c r="J10" s="261">
        <v>6.0015501571877659</v>
      </c>
      <c r="K10" s="260"/>
      <c r="L10" s="256"/>
      <c r="M10" s="262">
        <v>6390.164646168625</v>
      </c>
      <c r="N10" s="262">
        <v>50.59999999999998</v>
      </c>
      <c r="O10" s="263"/>
      <c r="P10" s="261"/>
      <c r="Q10" s="256">
        <f>COUNTIFS('Daily KPI'!D:D,D10,'Daily KPI'!M:M,"&gt;0")</f>
        <v>0</v>
      </c>
      <c r="R10" s="262"/>
      <c r="S10" s="262"/>
      <c r="T10" s="261">
        <f t="shared" si="0"/>
        <v>206.13434342479437</v>
      </c>
      <c r="U10" s="262">
        <f t="shared" si="1"/>
        <v>0</v>
      </c>
      <c r="V10" s="262">
        <f>SUMIF($F$2:F10,F10,$U$2:U10)</f>
        <v>0</v>
      </c>
      <c r="W10" s="263">
        <f t="shared" si="2"/>
        <v>0.1697417188939348</v>
      </c>
      <c r="X10" s="263" t="str">
        <f t="shared" si="3"/>
        <v/>
      </c>
      <c r="Y10" s="263" t="str">
        <f t="shared" si="4"/>
        <v/>
      </c>
      <c r="Z10" s="261" t="str">
        <f>IFERROR(AVERAGEIF('Daily KPI'!D:D,Table14[[#This Row],[Month]],'Daily KPI'!AB:AB),"")</f>
        <v/>
      </c>
      <c r="AA10" s="260" t="str">
        <f>IFERROR(AVERAGEIF($F$2:F10,F10,$Z$2:Z10),"")</f>
        <v/>
      </c>
      <c r="AB10" s="262"/>
      <c r="AC10" s="261">
        <v>6.0015501571877659</v>
      </c>
      <c r="AD10" s="261">
        <f>AVERAGEIF($F$2:F10,F10,$AC$2:AC10)</f>
        <v>7.4054413006890849</v>
      </c>
      <c r="AE10" s="263">
        <f t="shared" si="5"/>
        <v>0.95549849999999992</v>
      </c>
      <c r="AF10" s="263">
        <v>0.995</v>
      </c>
      <c r="AG10" s="263"/>
      <c r="AH10" s="263">
        <v>0.97</v>
      </c>
      <c r="AI10" s="263">
        <v>0.99</v>
      </c>
      <c r="AJ10" s="263">
        <v>0.95</v>
      </c>
      <c r="AK10" s="263">
        <v>0.05</v>
      </c>
      <c r="AL10" s="263">
        <v>0.05</v>
      </c>
      <c r="AM10" s="315"/>
      <c r="AN10" s="315"/>
    </row>
    <row r="11" spans="1:43">
      <c r="A11" s="258">
        <f t="shared" si="6"/>
        <v>10</v>
      </c>
      <c r="B11" s="264" t="s">
        <v>4382</v>
      </c>
      <c r="C11" s="258">
        <v>11</v>
      </c>
      <c r="D11" s="264">
        <v>45231</v>
      </c>
      <c r="E11" s="265">
        <f t="shared" si="7"/>
        <v>2023</v>
      </c>
      <c r="F11" s="265" t="s">
        <v>4376</v>
      </c>
      <c r="G11" s="258">
        <f t="shared" si="8"/>
        <v>30</v>
      </c>
      <c r="H11" s="266"/>
      <c r="I11" s="266"/>
      <c r="J11" s="267">
        <v>6.7073912546441834</v>
      </c>
      <c r="K11" s="266"/>
      <c r="L11" s="258"/>
      <c r="M11" s="268">
        <v>9585.0870933943734</v>
      </c>
      <c r="N11" s="268">
        <v>50.599999999999987</v>
      </c>
      <c r="O11" s="269"/>
      <c r="P11" s="267"/>
      <c r="Q11" s="258">
        <f>COUNTIFS('Daily KPI'!D:D,D11,'Daily KPI'!M:M,"&gt;0")</f>
        <v>0</v>
      </c>
      <c r="R11" s="268"/>
      <c r="S11" s="268"/>
      <c r="T11" s="267">
        <f t="shared" si="0"/>
        <v>319.50290311314581</v>
      </c>
      <c r="U11" s="268">
        <f t="shared" si="1"/>
        <v>0</v>
      </c>
      <c r="V11" s="268">
        <f>SUMIF($F$2:F11,F11,$U$2:U11)</f>
        <v>0</v>
      </c>
      <c r="W11" s="269">
        <f t="shared" si="2"/>
        <v>0.26309527594956017</v>
      </c>
      <c r="X11" s="269" t="str">
        <f t="shared" si="3"/>
        <v/>
      </c>
      <c r="Y11" s="269" t="str">
        <f t="shared" si="4"/>
        <v/>
      </c>
      <c r="Z11" s="267" t="str">
        <f>IFERROR(AVERAGEIF('Daily KPI'!D:D,Table14[[#This Row],[Month]],'Daily KPI'!AB:AB),"")</f>
        <v/>
      </c>
      <c r="AA11" s="260" t="str">
        <f>IFERROR(AVERAGEIF($F$2:F11,F11,$Z$2:Z11),"")</f>
        <v/>
      </c>
      <c r="AB11" s="268"/>
      <c r="AC11" s="267">
        <v>6.7073912546441834</v>
      </c>
      <c r="AD11" s="267">
        <f>AVERAGEIF($F$2:F11,F11,$AC$2:AC11)</f>
        <v>7.3356362960845942</v>
      </c>
      <c r="AE11" s="269">
        <f t="shared" si="5"/>
        <v>0.95549849999999992</v>
      </c>
      <c r="AF11" s="269">
        <v>0.995</v>
      </c>
      <c r="AG11" s="269"/>
      <c r="AH11" s="269">
        <v>0.97</v>
      </c>
      <c r="AI11" s="269">
        <v>0.99</v>
      </c>
      <c r="AJ11" s="269">
        <v>0.95</v>
      </c>
      <c r="AK11" s="269">
        <v>0.05</v>
      </c>
      <c r="AL11" s="269">
        <v>0.05</v>
      </c>
      <c r="AM11" s="315"/>
      <c r="AN11" s="315"/>
    </row>
    <row r="12" spans="1:43">
      <c r="A12" s="258">
        <f t="shared" si="6"/>
        <v>11</v>
      </c>
      <c r="B12" s="257" t="s">
        <v>4383</v>
      </c>
      <c r="C12" s="258">
        <v>12</v>
      </c>
      <c r="D12" s="257">
        <v>45261</v>
      </c>
      <c r="E12" s="259">
        <f t="shared" si="7"/>
        <v>2023</v>
      </c>
      <c r="F12" s="259" t="s">
        <v>4376</v>
      </c>
      <c r="G12" s="256">
        <f t="shared" si="8"/>
        <v>31</v>
      </c>
      <c r="H12" s="260"/>
      <c r="I12" s="260"/>
      <c r="J12" s="261">
        <v>7.0533420977422105</v>
      </c>
      <c r="K12" s="260"/>
      <c r="L12" s="256"/>
      <c r="M12" s="262">
        <v>12506.528980333129</v>
      </c>
      <c r="N12" s="262">
        <v>50.59999999999998</v>
      </c>
      <c r="O12" s="263"/>
      <c r="P12" s="261"/>
      <c r="Q12" s="256">
        <f>COUNTIFS('Daily KPI'!D:D,D12,'Daily KPI'!M:M,"&gt;0")</f>
        <v>0</v>
      </c>
      <c r="R12" s="262"/>
      <c r="S12" s="262"/>
      <c r="T12" s="261">
        <f t="shared" si="0"/>
        <v>403.43641872042349</v>
      </c>
      <c r="U12" s="262">
        <f t="shared" si="1"/>
        <v>0</v>
      </c>
      <c r="V12" s="262">
        <f>SUMIF($F$2:F12,F12,$U$2:U12)</f>
        <v>0</v>
      </c>
      <c r="W12" s="263">
        <f t="shared" si="2"/>
        <v>0.33221048972366896</v>
      </c>
      <c r="X12" s="263" t="str">
        <f t="shared" si="3"/>
        <v/>
      </c>
      <c r="Y12" s="263" t="str">
        <f t="shared" si="4"/>
        <v/>
      </c>
      <c r="Z12" s="261" t="str">
        <f>IFERROR(AVERAGEIF('Daily KPI'!D:D,Table14[[#This Row],[Month]],'Daily KPI'!AB:AB),"")</f>
        <v/>
      </c>
      <c r="AA12" s="260" t="str">
        <f>IFERROR(AVERAGEIF($F$2:F12,F12,$Z$2:Z12),"")</f>
        <v/>
      </c>
      <c r="AB12" s="262"/>
      <c r="AC12" s="261">
        <v>7.0533420977422105</v>
      </c>
      <c r="AD12" s="261">
        <f>AVERAGEIF($F$2:F12,F12,$AC$2:AC12)</f>
        <v>7.3099731871443785</v>
      </c>
      <c r="AE12" s="263">
        <f t="shared" si="5"/>
        <v>0.95549849999999992</v>
      </c>
      <c r="AF12" s="263">
        <v>0.995</v>
      </c>
      <c r="AG12" s="263"/>
      <c r="AH12" s="263">
        <v>0.97</v>
      </c>
      <c r="AI12" s="263">
        <v>0.99</v>
      </c>
      <c r="AJ12" s="263">
        <v>0.95</v>
      </c>
      <c r="AK12" s="263">
        <v>0.05</v>
      </c>
      <c r="AL12" s="263">
        <v>0.05</v>
      </c>
      <c r="AM12" s="315"/>
      <c r="AN12" s="315"/>
    </row>
    <row r="13" spans="1:43">
      <c r="A13" s="258">
        <f t="shared" si="6"/>
        <v>12</v>
      </c>
      <c r="B13" s="264" t="s">
        <v>4384</v>
      </c>
      <c r="C13" s="258">
        <f>C2</f>
        <v>2</v>
      </c>
      <c r="D13" s="264">
        <v>45292</v>
      </c>
      <c r="E13" s="265">
        <f t="shared" si="7"/>
        <v>2024</v>
      </c>
      <c r="F13" s="265" t="s">
        <v>4376</v>
      </c>
      <c r="G13" s="258">
        <f t="shared" si="8"/>
        <v>31</v>
      </c>
      <c r="H13" s="266"/>
      <c r="I13" s="266"/>
      <c r="J13" s="267">
        <v>7.411120320091455</v>
      </c>
      <c r="K13" s="266"/>
      <c r="L13" s="258"/>
      <c r="M13" s="268">
        <v>11958.607545312278</v>
      </c>
      <c r="N13" s="268">
        <v>50.59999999999998</v>
      </c>
      <c r="O13" s="269"/>
      <c r="P13" s="267"/>
      <c r="Q13" s="258">
        <f>COUNTIFS('Daily KPI'!D:D,D13,'Daily KPI'!M:M,"&gt;0")</f>
        <v>0</v>
      </c>
      <c r="R13" s="268"/>
      <c r="S13" s="268"/>
      <c r="T13" s="267">
        <f t="shared" si="0"/>
        <v>385.7615337197509</v>
      </c>
      <c r="U13" s="268">
        <f t="shared" si="1"/>
        <v>0</v>
      </c>
      <c r="V13" s="268">
        <f>SUMIF($F$2:F13,F13,$U$2:U13)</f>
        <v>0</v>
      </c>
      <c r="W13" s="269">
        <f t="shared" si="2"/>
        <v>0.31765607190361578</v>
      </c>
      <c r="X13" s="269" t="str">
        <f t="shared" si="3"/>
        <v/>
      </c>
      <c r="Y13" s="269" t="str">
        <f t="shared" si="4"/>
        <v/>
      </c>
      <c r="Z13" s="267" t="str">
        <f>IFERROR(AVERAGEIF('Daily KPI'!D:D,Table14[[#This Row],[Month]],'Daily KPI'!AB:AB),"")</f>
        <v/>
      </c>
      <c r="AA13" s="260" t="str">
        <f>IFERROR(AVERAGEIF($F$2:F13,F13,$Z$2:Z13),"")</f>
        <v/>
      </c>
      <c r="AB13" s="268"/>
      <c r="AC13" s="267">
        <v>7.411120320091455</v>
      </c>
      <c r="AD13" s="267">
        <f>AVERAGEIF($F$2:F13,F13,$AC$2:AC13)</f>
        <v>7.3184021148899676</v>
      </c>
      <c r="AE13" s="269">
        <f t="shared" si="5"/>
        <v>0.95549849999999992</v>
      </c>
      <c r="AF13" s="269">
        <v>0.995</v>
      </c>
      <c r="AG13" s="269"/>
      <c r="AH13" s="269">
        <v>0.97</v>
      </c>
      <c r="AI13" s="269">
        <v>0.99</v>
      </c>
      <c r="AJ13" s="269">
        <v>0.95</v>
      </c>
      <c r="AK13" s="269">
        <v>0.05</v>
      </c>
      <c r="AL13" s="269">
        <v>0.05</v>
      </c>
      <c r="AM13" s="315"/>
      <c r="AN13" s="315"/>
    </row>
    <row r="14" spans="1:43">
      <c r="A14" s="258">
        <f t="shared" si="6"/>
        <v>13</v>
      </c>
      <c r="B14" s="257" t="s">
        <v>4385</v>
      </c>
      <c r="C14" s="258">
        <f t="shared" ref="C14:C39" si="9">C3</f>
        <v>3</v>
      </c>
      <c r="D14" s="257">
        <v>45323</v>
      </c>
      <c r="E14" s="259">
        <f t="shared" si="7"/>
        <v>2024</v>
      </c>
      <c r="F14" s="259" t="s">
        <v>4387</v>
      </c>
      <c r="G14" s="256">
        <f t="shared" si="8"/>
        <v>29</v>
      </c>
      <c r="H14" s="260"/>
      <c r="I14" s="260"/>
      <c r="J14" s="261">
        <v>6.4041034581308942</v>
      </c>
      <c r="K14" s="260"/>
      <c r="L14" s="256"/>
      <c r="M14" s="262">
        <v>9128.6623465024513</v>
      </c>
      <c r="N14" s="262">
        <v>50.599999999999987</v>
      </c>
      <c r="O14" s="263"/>
      <c r="P14" s="261"/>
      <c r="Q14" s="256">
        <f>COUNTIFS('Daily KPI'!D:D,D14,'Daily KPI'!M:M,"&gt;0")</f>
        <v>0</v>
      </c>
      <c r="R14" s="262"/>
      <c r="S14" s="262"/>
      <c r="T14" s="261">
        <f t="shared" si="0"/>
        <v>314.78146022422249</v>
      </c>
      <c r="U14" s="262">
        <f t="shared" si="1"/>
        <v>0</v>
      </c>
      <c r="V14" s="262">
        <f>SUMIF($F$2:F14,F14,$U$2:U14)</f>
        <v>0</v>
      </c>
      <c r="W14" s="263">
        <f t="shared" si="2"/>
        <v>0.25920739478279198</v>
      </c>
      <c r="X14" s="263" t="str">
        <f t="shared" si="3"/>
        <v/>
      </c>
      <c r="Y14" s="263" t="str">
        <f t="shared" si="4"/>
        <v/>
      </c>
      <c r="Z14" s="261" t="str">
        <f>IFERROR(AVERAGEIF('Daily KPI'!D:D,Table14[[#This Row],[Month]],'Daily KPI'!AB:AB),"")</f>
        <v/>
      </c>
      <c r="AA14" s="260" t="str">
        <f>IFERROR(AVERAGEIF($F$2:F14,F14,$Z$2:Z14),"")</f>
        <v/>
      </c>
      <c r="AB14" s="262"/>
      <c r="AC14" s="261">
        <v>6.4041034581308942</v>
      </c>
      <c r="AD14" s="261">
        <f>AVERAGEIF($F$2:F14,F14,$AC$2:AC14)</f>
        <v>6.4041034581308942</v>
      </c>
      <c r="AE14" s="263">
        <f t="shared" si="5"/>
        <v>0.95549849999999992</v>
      </c>
      <c r="AF14" s="263">
        <v>0.995</v>
      </c>
      <c r="AG14" s="263"/>
      <c r="AH14" s="263">
        <v>0.97</v>
      </c>
      <c r="AI14" s="263">
        <v>0.99</v>
      </c>
      <c r="AJ14" s="263">
        <v>0.95</v>
      </c>
      <c r="AK14" s="263">
        <v>0.05</v>
      </c>
      <c r="AL14" s="263">
        <v>0.05</v>
      </c>
      <c r="AM14" s="315"/>
      <c r="AN14" s="315"/>
    </row>
    <row r="15" spans="1:43">
      <c r="A15" s="258">
        <f t="shared" si="6"/>
        <v>14</v>
      </c>
      <c r="B15" s="264" t="s">
        <v>4386</v>
      </c>
      <c r="C15" s="258">
        <f t="shared" si="9"/>
        <v>4</v>
      </c>
      <c r="D15" s="264">
        <v>45352</v>
      </c>
      <c r="E15" s="265">
        <f t="shared" si="7"/>
        <v>2024</v>
      </c>
      <c r="F15" s="265" t="s">
        <v>4387</v>
      </c>
      <c r="G15" s="258">
        <f t="shared" si="8"/>
        <v>31</v>
      </c>
      <c r="H15" s="266"/>
      <c r="I15" s="266"/>
      <c r="J15" s="267">
        <v>5.9681800514432695</v>
      </c>
      <c r="K15" s="266"/>
      <c r="L15" s="258"/>
      <c r="M15" s="268">
        <v>7942.2128218916105</v>
      </c>
      <c r="N15" s="268">
        <v>50.59999999999998</v>
      </c>
      <c r="O15" s="269"/>
      <c r="P15" s="267"/>
      <c r="Q15" s="258">
        <f>COUNTIFS('Daily KPI'!D:D,D15,'Daily KPI'!M:M,"&gt;0")</f>
        <v>0</v>
      </c>
      <c r="R15" s="268"/>
      <c r="S15" s="268"/>
      <c r="T15" s="267">
        <f t="shared" si="0"/>
        <v>256.20041360940678</v>
      </c>
      <c r="U15" s="268">
        <f t="shared" si="1"/>
        <v>0</v>
      </c>
      <c r="V15" s="268">
        <f>SUMIF($F$2:F15,F15,$U$2:U15)</f>
        <v>0</v>
      </c>
      <c r="W15" s="269">
        <f t="shared" si="2"/>
        <v>0.21096872003409656</v>
      </c>
      <c r="X15" s="269" t="str">
        <f t="shared" si="3"/>
        <v/>
      </c>
      <c r="Y15" s="269" t="str">
        <f t="shared" si="4"/>
        <v/>
      </c>
      <c r="Z15" s="267" t="str">
        <f>IFERROR(AVERAGEIF('Daily KPI'!D:D,Table14[[#This Row],[Month]],'Daily KPI'!AB:AB),"")</f>
        <v/>
      </c>
      <c r="AA15" s="260" t="str">
        <f>IFERROR(AVERAGEIF($F$2:F15,F15,$Z$2:Z15),"")</f>
        <v/>
      </c>
      <c r="AB15" s="268"/>
      <c r="AC15" s="267">
        <v>5.9681800514432695</v>
      </c>
      <c r="AD15" s="267">
        <f>AVERAGEIF($F$2:F15,F15,$AC$2:AC15)</f>
        <v>6.1861417547870818</v>
      </c>
      <c r="AE15" s="269">
        <f t="shared" si="5"/>
        <v>0.95549849999999992</v>
      </c>
      <c r="AF15" s="269">
        <v>0.995</v>
      </c>
      <c r="AG15" s="269"/>
      <c r="AH15" s="269">
        <v>0.97</v>
      </c>
      <c r="AI15" s="269">
        <v>0.99</v>
      </c>
      <c r="AJ15" s="269">
        <v>0.95</v>
      </c>
      <c r="AK15" s="269">
        <v>0.05</v>
      </c>
      <c r="AL15" s="269">
        <v>0.05</v>
      </c>
      <c r="AM15" s="315"/>
      <c r="AN15" s="315"/>
    </row>
    <row r="16" spans="1:43">
      <c r="A16" s="258">
        <f t="shared" si="6"/>
        <v>15</v>
      </c>
      <c r="B16" s="257" t="s">
        <v>4375</v>
      </c>
      <c r="C16" s="258">
        <f t="shared" si="9"/>
        <v>5</v>
      </c>
      <c r="D16" s="257">
        <v>45383</v>
      </c>
      <c r="E16" s="259">
        <f t="shared" si="7"/>
        <v>2024</v>
      </c>
      <c r="F16" s="259" t="s">
        <v>4387</v>
      </c>
      <c r="G16" s="256">
        <f t="shared" si="8"/>
        <v>30</v>
      </c>
      <c r="H16" s="260"/>
      <c r="I16" s="260"/>
      <c r="J16" s="261">
        <v>5.6310997427836513</v>
      </c>
      <c r="K16" s="260"/>
      <c r="L16" s="256"/>
      <c r="M16" s="262">
        <v>8198.5345603727201</v>
      </c>
      <c r="N16" s="262">
        <v>50.599999999999987</v>
      </c>
      <c r="O16" s="263"/>
      <c r="P16" s="261"/>
      <c r="Q16" s="256">
        <f>COUNTIFS('Daily KPI'!D:D,D16,'Daily KPI'!M:M,"&gt;0")</f>
        <v>0</v>
      </c>
      <c r="R16" s="262"/>
      <c r="S16" s="262"/>
      <c r="T16" s="261">
        <f t="shared" si="0"/>
        <v>273.28448534575733</v>
      </c>
      <c r="U16" s="262">
        <f t="shared" si="1"/>
        <v>0</v>
      </c>
      <c r="V16" s="262">
        <f>SUMIF($F$2:F16,F16,$U$2:U16)</f>
        <v>0</v>
      </c>
      <c r="W16" s="263">
        <f t="shared" si="2"/>
        <v>0.22503663154294912</v>
      </c>
      <c r="X16" s="263" t="str">
        <f t="shared" si="3"/>
        <v/>
      </c>
      <c r="Y16" s="263" t="str">
        <f t="shared" si="4"/>
        <v/>
      </c>
      <c r="Z16" s="261" t="str">
        <f>IFERROR(AVERAGEIF('Daily KPI'!D:D,Table14[[#This Row],[Month]],'Daily KPI'!AB:AB),"")</f>
        <v/>
      </c>
      <c r="AA16" s="260" t="str">
        <f>IFERROR(AVERAGEIF($F$2:F16,F16,$Z$2:Z16),"")</f>
        <v/>
      </c>
      <c r="AB16" s="262"/>
      <c r="AC16" s="261">
        <v>5.6310997427836513</v>
      </c>
      <c r="AD16" s="261">
        <f>AVERAGEIF($F$2:F16,F16,$AC$2:AC16)</f>
        <v>6.0011277507859377</v>
      </c>
      <c r="AE16" s="263">
        <f t="shared" si="5"/>
        <v>0.95549849999999992</v>
      </c>
      <c r="AF16" s="263">
        <v>0.995</v>
      </c>
      <c r="AG16" s="263"/>
      <c r="AH16" s="263">
        <v>0.97</v>
      </c>
      <c r="AI16" s="263">
        <v>0.99</v>
      </c>
      <c r="AJ16" s="263">
        <v>0.95</v>
      </c>
      <c r="AK16" s="263">
        <v>0.05</v>
      </c>
      <c r="AL16" s="263">
        <v>0.05</v>
      </c>
      <c r="AM16" s="315"/>
      <c r="AN16" s="315"/>
    </row>
    <row r="17" spans="1:40">
      <c r="A17" s="258">
        <f t="shared" si="6"/>
        <v>16</v>
      </c>
      <c r="B17" s="264" t="s">
        <v>4267</v>
      </c>
      <c r="C17" s="258">
        <f t="shared" si="9"/>
        <v>6</v>
      </c>
      <c r="D17" s="264">
        <v>45413</v>
      </c>
      <c r="E17" s="265">
        <f t="shared" si="7"/>
        <v>2024</v>
      </c>
      <c r="F17" s="265" t="s">
        <v>4387</v>
      </c>
      <c r="G17" s="258">
        <f t="shared" si="8"/>
        <v>31</v>
      </c>
      <c r="H17" s="266"/>
      <c r="I17" s="266"/>
      <c r="J17" s="267">
        <v>7.1310648756787653</v>
      </c>
      <c r="K17" s="266"/>
      <c r="L17" s="258"/>
      <c r="M17" s="268">
        <v>13797.53377233458</v>
      </c>
      <c r="N17" s="268">
        <v>50.59999999999998</v>
      </c>
      <c r="O17" s="269"/>
      <c r="P17" s="267"/>
      <c r="Q17" s="258">
        <f>COUNTIFS('Daily KPI'!D:D,D17,'Daily KPI'!M:M,"&gt;0")</f>
        <v>0</v>
      </c>
      <c r="R17" s="268"/>
      <c r="S17" s="268"/>
      <c r="T17" s="267">
        <f t="shared" si="0"/>
        <v>445.08173459143808</v>
      </c>
      <c r="U17" s="268">
        <f t="shared" si="1"/>
        <v>0</v>
      </c>
      <c r="V17" s="268">
        <f>SUMIF($F$2:F17,F17,$U$2:U17)</f>
        <v>0</v>
      </c>
      <c r="W17" s="269">
        <f t="shared" si="2"/>
        <v>0.36650340463721853</v>
      </c>
      <c r="X17" s="269" t="str">
        <f t="shared" si="3"/>
        <v/>
      </c>
      <c r="Y17" s="269" t="str">
        <f t="shared" si="4"/>
        <v/>
      </c>
      <c r="Z17" s="267" t="str">
        <f>IFERROR(AVERAGEIF('Daily KPI'!D:D,Table14[[#This Row],[Month]],'Daily KPI'!AB:AB),"")</f>
        <v/>
      </c>
      <c r="AA17" s="260" t="str">
        <f>IFERROR(AVERAGEIF($F$2:F17,F17,$Z$2:Z17),"")</f>
        <v/>
      </c>
      <c r="AB17" s="268"/>
      <c r="AC17" s="267">
        <v>7.1310648756787653</v>
      </c>
      <c r="AD17" s="267">
        <f>AVERAGEIF($F$2:F17,F17,$AC$2:AC17)</f>
        <v>6.2836120320091453</v>
      </c>
      <c r="AE17" s="269">
        <f t="shared" si="5"/>
        <v>0.95549849999999992</v>
      </c>
      <c r="AF17" s="269">
        <v>0.995</v>
      </c>
      <c r="AG17" s="269"/>
      <c r="AH17" s="269">
        <v>0.97</v>
      </c>
      <c r="AI17" s="269">
        <v>0.99</v>
      </c>
      <c r="AJ17" s="269">
        <v>0.95</v>
      </c>
      <c r="AK17" s="269">
        <v>0.05</v>
      </c>
      <c r="AL17" s="269">
        <v>0.05</v>
      </c>
      <c r="AM17" s="315"/>
      <c r="AN17" s="315"/>
    </row>
    <row r="18" spans="1:40">
      <c r="A18" s="258">
        <f t="shared" si="6"/>
        <v>17</v>
      </c>
      <c r="B18" s="257" t="s">
        <v>4377</v>
      </c>
      <c r="C18" s="258">
        <f t="shared" si="9"/>
        <v>7</v>
      </c>
      <c r="D18" s="257">
        <v>45444</v>
      </c>
      <c r="E18" s="259">
        <f t="shared" si="7"/>
        <v>2024</v>
      </c>
      <c r="F18" s="259" t="s">
        <v>4387</v>
      </c>
      <c r="G18" s="256">
        <f t="shared" si="8"/>
        <v>30</v>
      </c>
      <c r="H18" s="260"/>
      <c r="I18" s="260"/>
      <c r="J18" s="261">
        <v>9.4530328665332952</v>
      </c>
      <c r="K18" s="260"/>
      <c r="L18" s="256"/>
      <c r="M18" s="262">
        <v>21196.211302427037</v>
      </c>
      <c r="N18" s="262">
        <v>50.599999999999987</v>
      </c>
      <c r="O18" s="263"/>
      <c r="P18" s="261"/>
      <c r="Q18" s="256">
        <f>COUNTIFS('Daily KPI'!D:D,D18,'Daily KPI'!M:M,"&gt;0")</f>
        <v>0</v>
      </c>
      <c r="R18" s="262"/>
      <c r="S18" s="262"/>
      <c r="T18" s="261">
        <f t="shared" si="0"/>
        <v>706.54037674756785</v>
      </c>
      <c r="U18" s="262">
        <f t="shared" si="1"/>
        <v>0</v>
      </c>
      <c r="V18" s="262">
        <f>SUMIF($F$2:F18,F18,$U$2:U18)</f>
        <v>0</v>
      </c>
      <c r="W18" s="263">
        <f t="shared" si="2"/>
        <v>0.58180202301347828</v>
      </c>
      <c r="X18" s="263" t="str">
        <f t="shared" si="3"/>
        <v/>
      </c>
      <c r="Y18" s="263" t="str">
        <f t="shared" si="4"/>
        <v/>
      </c>
      <c r="Z18" s="261" t="str">
        <f>IFERROR(AVERAGEIF('Daily KPI'!D:D,Table14[[#This Row],[Month]],'Daily KPI'!AB:AB),"")</f>
        <v/>
      </c>
      <c r="AA18" s="260" t="str">
        <f>IFERROR(AVERAGEIF($F$2:F18,F18,$Z$2:Z18),"")</f>
        <v/>
      </c>
      <c r="AB18" s="262"/>
      <c r="AC18" s="261">
        <v>9.4530328665332952</v>
      </c>
      <c r="AD18" s="261">
        <f>AVERAGEIF($F$2:F18,F18,$AC$2:AC18)</f>
        <v>6.9174961989139749</v>
      </c>
      <c r="AE18" s="263">
        <f t="shared" si="5"/>
        <v>0.95549849999999992</v>
      </c>
      <c r="AF18" s="263">
        <v>0.995</v>
      </c>
      <c r="AG18" s="263"/>
      <c r="AH18" s="263">
        <v>0.97</v>
      </c>
      <c r="AI18" s="263">
        <v>0.99</v>
      </c>
      <c r="AJ18" s="263">
        <v>0.95</v>
      </c>
      <c r="AK18" s="263">
        <v>0.05</v>
      </c>
      <c r="AL18" s="263">
        <v>0.05</v>
      </c>
      <c r="AM18" s="315"/>
      <c r="AN18" s="315"/>
    </row>
    <row r="19" spans="1:40">
      <c r="A19" s="258">
        <f t="shared" si="6"/>
        <v>18</v>
      </c>
      <c r="B19" s="264" t="s">
        <v>4378</v>
      </c>
      <c r="C19" s="258">
        <f t="shared" si="9"/>
        <v>8</v>
      </c>
      <c r="D19" s="264">
        <v>45474</v>
      </c>
      <c r="E19" s="265">
        <f t="shared" si="7"/>
        <v>2024</v>
      </c>
      <c r="F19" s="265" t="s">
        <v>4387</v>
      </c>
      <c r="G19" s="258">
        <f t="shared" si="8"/>
        <v>31</v>
      </c>
      <c r="H19" s="266"/>
      <c r="I19" s="266"/>
      <c r="J19" s="267">
        <v>10.303759359817088</v>
      </c>
      <c r="K19" s="266"/>
      <c r="L19" s="258"/>
      <c r="M19" s="268">
        <v>25295.478582613396</v>
      </c>
      <c r="N19" s="268">
        <v>50.59999999999998</v>
      </c>
      <c r="O19" s="269"/>
      <c r="P19" s="267"/>
      <c r="Q19" s="258">
        <f>COUNTIFS('Daily KPI'!D:D,D19,'Daily KPI'!M:M,"&gt;0")</f>
        <v>0</v>
      </c>
      <c r="R19" s="268"/>
      <c r="S19" s="268"/>
      <c r="T19" s="267">
        <f t="shared" si="0"/>
        <v>815.98318008430306</v>
      </c>
      <c r="U19" s="268">
        <f t="shared" si="1"/>
        <v>0</v>
      </c>
      <c r="V19" s="268">
        <f>SUMIF($F$2:F19,F19,$U$2:U19)</f>
        <v>0</v>
      </c>
      <c r="W19" s="269">
        <f t="shared" si="2"/>
        <v>0.67192290850156733</v>
      </c>
      <c r="X19" s="269" t="str">
        <f t="shared" si="3"/>
        <v/>
      </c>
      <c r="Y19" s="269" t="str">
        <f t="shared" si="4"/>
        <v/>
      </c>
      <c r="Z19" s="267" t="str">
        <f>IFERROR(AVERAGEIF('Daily KPI'!D:D,Table14[[#This Row],[Month]],'Daily KPI'!AB:AB),"")</f>
        <v/>
      </c>
      <c r="AA19" s="260" t="str">
        <f>IFERROR(AVERAGEIF($F$2:F19,F19,$Z$2:Z19),"")</f>
        <v/>
      </c>
      <c r="AB19" s="268"/>
      <c r="AC19" s="267">
        <v>10.303759359817088</v>
      </c>
      <c r="AD19" s="267">
        <f>AVERAGEIF($F$2:F19,F19,$AC$2:AC19)</f>
        <v>7.4818733923978264</v>
      </c>
      <c r="AE19" s="269">
        <f t="shared" si="5"/>
        <v>0.95549849999999992</v>
      </c>
      <c r="AF19" s="269">
        <v>0.995</v>
      </c>
      <c r="AG19" s="269"/>
      <c r="AH19" s="269">
        <v>0.97</v>
      </c>
      <c r="AI19" s="269">
        <v>0.99</v>
      </c>
      <c r="AJ19" s="269">
        <v>0.95</v>
      </c>
      <c r="AK19" s="269">
        <v>0.05</v>
      </c>
      <c r="AL19" s="269">
        <v>0.05</v>
      </c>
      <c r="AM19" s="315"/>
      <c r="AN19" s="315"/>
    </row>
    <row r="20" spans="1:40">
      <c r="A20" s="258">
        <f t="shared" si="6"/>
        <v>19</v>
      </c>
      <c r="B20" s="257" t="s">
        <v>4379</v>
      </c>
      <c r="C20" s="258">
        <f t="shared" si="9"/>
        <v>9</v>
      </c>
      <c r="D20" s="257">
        <v>45505</v>
      </c>
      <c r="E20" s="259">
        <f t="shared" si="7"/>
        <v>2024</v>
      </c>
      <c r="F20" s="259" t="s">
        <v>4387</v>
      </c>
      <c r="G20" s="256">
        <f t="shared" si="8"/>
        <v>31</v>
      </c>
      <c r="H20" s="260"/>
      <c r="I20" s="260"/>
      <c r="J20" s="261">
        <v>8.5195147184909956</v>
      </c>
      <c r="K20" s="260"/>
      <c r="L20" s="256"/>
      <c r="M20" s="262">
        <v>21696.121946352199</v>
      </c>
      <c r="N20" s="262">
        <v>50.59999999999998</v>
      </c>
      <c r="O20" s="263"/>
      <c r="P20" s="261"/>
      <c r="Q20" s="256">
        <f>COUNTIFS('Daily KPI'!D:D,D20,'Daily KPI'!M:M,"&gt;0")</f>
        <v>0</v>
      </c>
      <c r="R20" s="262"/>
      <c r="S20" s="262"/>
      <c r="T20" s="261">
        <f t="shared" si="0"/>
        <v>699.87490149523228</v>
      </c>
      <c r="U20" s="262">
        <f t="shared" si="1"/>
        <v>0</v>
      </c>
      <c r="V20" s="262">
        <f>SUMIF($F$2:F20,F20,$U$2:U20)</f>
        <v>0</v>
      </c>
      <c r="W20" s="263">
        <f t="shared" si="2"/>
        <v>0.57631332468316243</v>
      </c>
      <c r="X20" s="263" t="str">
        <f t="shared" si="3"/>
        <v/>
      </c>
      <c r="Y20" s="263" t="str">
        <f t="shared" si="4"/>
        <v/>
      </c>
      <c r="Z20" s="261" t="str">
        <f>IFERROR(AVERAGEIF('Daily KPI'!D:D,Table14[[#This Row],[Month]],'Daily KPI'!AB:AB),"")</f>
        <v/>
      </c>
      <c r="AA20" s="260" t="str">
        <f>IFERROR(AVERAGEIF($F$2:F20,F20,$Z$2:Z20),"")</f>
        <v/>
      </c>
      <c r="AB20" s="262"/>
      <c r="AC20" s="261">
        <v>8.5195147184909956</v>
      </c>
      <c r="AD20" s="261">
        <f>AVERAGEIF($F$2:F20,F20,$AC$2:AC20)</f>
        <v>7.6301078675539937</v>
      </c>
      <c r="AE20" s="263">
        <f t="shared" si="5"/>
        <v>0.95549849999999992</v>
      </c>
      <c r="AF20" s="263">
        <v>0.995</v>
      </c>
      <c r="AG20" s="263"/>
      <c r="AH20" s="263">
        <v>0.97</v>
      </c>
      <c r="AI20" s="263">
        <v>0.99</v>
      </c>
      <c r="AJ20" s="263">
        <v>0.95</v>
      </c>
      <c r="AK20" s="263">
        <v>0.05</v>
      </c>
      <c r="AL20" s="263">
        <v>0.05</v>
      </c>
      <c r="AM20" s="315"/>
      <c r="AN20" s="315"/>
    </row>
    <row r="21" spans="1:40">
      <c r="A21" s="258">
        <f t="shared" si="6"/>
        <v>20</v>
      </c>
      <c r="B21" s="264" t="s">
        <v>4380</v>
      </c>
      <c r="C21" s="258">
        <f t="shared" si="9"/>
        <v>10</v>
      </c>
      <c r="D21" s="264">
        <v>45536</v>
      </c>
      <c r="E21" s="265">
        <f t="shared" si="7"/>
        <v>2024</v>
      </c>
      <c r="F21" s="265" t="s">
        <v>4387</v>
      </c>
      <c r="G21" s="258">
        <f t="shared" si="8"/>
        <v>30</v>
      </c>
      <c r="H21" s="266"/>
      <c r="I21" s="266"/>
      <c r="J21" s="267">
        <v>7.2366664761360369</v>
      </c>
      <c r="K21" s="266"/>
      <c r="L21" s="258"/>
      <c r="M21" s="268">
        <v>12497.766098129148</v>
      </c>
      <c r="N21" s="268">
        <v>50.599999999999987</v>
      </c>
      <c r="O21" s="269"/>
      <c r="P21" s="267"/>
      <c r="Q21" s="258">
        <f>COUNTIFS('Daily KPI'!D:D,D21,'Daily KPI'!M:M,"&gt;0")</f>
        <v>0</v>
      </c>
      <c r="R21" s="268"/>
      <c r="S21" s="268"/>
      <c r="T21" s="267">
        <f t="shared" si="0"/>
        <v>416.59220327097159</v>
      </c>
      <c r="U21" s="268">
        <f t="shared" si="1"/>
        <v>0</v>
      </c>
      <c r="V21" s="268">
        <f>SUMIF($F$2:F21,F21,$U$2:U21)</f>
        <v>0</v>
      </c>
      <c r="W21" s="269">
        <f t="shared" si="2"/>
        <v>0.34304364564473955</v>
      </c>
      <c r="X21" s="269" t="str">
        <f t="shared" si="3"/>
        <v/>
      </c>
      <c r="Y21" s="269" t="str">
        <f t="shared" si="4"/>
        <v/>
      </c>
      <c r="Z21" s="267" t="str">
        <f>IFERROR(AVERAGEIF('Daily KPI'!D:D,Table14[[#This Row],[Month]],'Daily KPI'!AB:AB),"")</f>
        <v/>
      </c>
      <c r="AA21" s="260" t="str">
        <f>IFERROR(AVERAGEIF($F$2:F21,F21,$Z$2:Z21),"")</f>
        <v/>
      </c>
      <c r="AB21" s="268"/>
      <c r="AC21" s="267">
        <v>7.2366664761360369</v>
      </c>
      <c r="AD21" s="267">
        <f>AVERAGEIF($F$2:F21,F21,$AC$2:AC21)</f>
        <v>7.5809276936267489</v>
      </c>
      <c r="AE21" s="269">
        <f t="shared" si="5"/>
        <v>0.95549849999999992</v>
      </c>
      <c r="AF21" s="269">
        <v>0.995</v>
      </c>
      <c r="AG21" s="269"/>
      <c r="AH21" s="269">
        <v>0.97</v>
      </c>
      <c r="AI21" s="269">
        <v>0.99</v>
      </c>
      <c r="AJ21" s="269">
        <v>0.95</v>
      </c>
      <c r="AK21" s="269">
        <v>0.05</v>
      </c>
      <c r="AL21" s="269">
        <v>0.05</v>
      </c>
      <c r="AM21" s="315"/>
      <c r="AN21" s="315"/>
    </row>
    <row r="22" spans="1:40">
      <c r="A22" s="258">
        <f t="shared" si="6"/>
        <v>21</v>
      </c>
      <c r="B22" s="257" t="s">
        <v>4381</v>
      </c>
      <c r="C22" s="258">
        <f t="shared" si="9"/>
        <v>11</v>
      </c>
      <c r="D22" s="257">
        <v>45566</v>
      </c>
      <c r="E22" s="259">
        <f t="shared" si="7"/>
        <v>2024</v>
      </c>
      <c r="F22" s="259" t="s">
        <v>4387</v>
      </c>
      <c r="G22" s="256">
        <f t="shared" si="8"/>
        <v>31</v>
      </c>
      <c r="H22" s="260"/>
      <c r="I22" s="260"/>
      <c r="J22" s="261">
        <v>6.0015501571877659</v>
      </c>
      <c r="K22" s="260"/>
      <c r="L22" s="256"/>
      <c r="M22" s="262">
        <v>6998.7490149523246</v>
      </c>
      <c r="N22" s="262">
        <v>50.59999999999998</v>
      </c>
      <c r="O22" s="263"/>
      <c r="P22" s="261"/>
      <c r="Q22" s="256">
        <f>COUNTIFS('Daily KPI'!D:D,D22,'Daily KPI'!M:M,"&gt;0")</f>
        <v>0</v>
      </c>
      <c r="R22" s="262"/>
      <c r="S22" s="262"/>
      <c r="T22" s="261">
        <f t="shared" si="0"/>
        <v>225.76609725652659</v>
      </c>
      <c r="U22" s="262">
        <f t="shared" si="1"/>
        <v>0</v>
      </c>
      <c r="V22" s="262">
        <f>SUMIF($F$2:F22,F22,$U$2:U22)</f>
        <v>0</v>
      </c>
      <c r="W22" s="263">
        <f t="shared" si="2"/>
        <v>0.18590752409134276</v>
      </c>
      <c r="X22" s="263" t="str">
        <f t="shared" si="3"/>
        <v/>
      </c>
      <c r="Y22" s="263" t="str">
        <f t="shared" si="4"/>
        <v/>
      </c>
      <c r="Z22" s="261" t="str">
        <f>IFERROR(AVERAGEIF('Daily KPI'!D:D,Table14[[#This Row],[Month]],'Daily KPI'!AB:AB),"")</f>
        <v/>
      </c>
      <c r="AA22" s="260" t="str">
        <f>IFERROR(AVERAGEIF($F$2:F22,F22,$Z$2:Z22),"")</f>
        <v/>
      </c>
      <c r="AB22" s="262"/>
      <c r="AC22" s="261">
        <v>6.0015501571877659</v>
      </c>
      <c r="AD22" s="261">
        <f>AVERAGEIF($F$2:F22,F22,$AC$2:AC22)</f>
        <v>7.4054413006890849</v>
      </c>
      <c r="AE22" s="263">
        <f t="shared" si="5"/>
        <v>0.95549849999999992</v>
      </c>
      <c r="AF22" s="263">
        <v>0.995</v>
      </c>
      <c r="AG22" s="263"/>
      <c r="AH22" s="263">
        <v>0.97</v>
      </c>
      <c r="AI22" s="263">
        <v>0.99</v>
      </c>
      <c r="AJ22" s="263">
        <v>0.95</v>
      </c>
      <c r="AK22" s="263">
        <v>0.05</v>
      </c>
      <c r="AL22" s="263">
        <v>0.05</v>
      </c>
      <c r="AM22" s="315"/>
      <c r="AN22" s="315"/>
    </row>
    <row r="23" spans="1:40">
      <c r="A23" s="258">
        <f t="shared" si="6"/>
        <v>22</v>
      </c>
      <c r="B23" s="264" t="s">
        <v>4382</v>
      </c>
      <c r="C23" s="258">
        <f t="shared" si="9"/>
        <v>12</v>
      </c>
      <c r="D23" s="264">
        <v>45597</v>
      </c>
      <c r="E23" s="265">
        <f t="shared" si="7"/>
        <v>2024</v>
      </c>
      <c r="F23" s="265" t="s">
        <v>4387</v>
      </c>
      <c r="G23" s="258">
        <f t="shared" si="8"/>
        <v>30</v>
      </c>
      <c r="H23" s="266"/>
      <c r="I23" s="266"/>
      <c r="J23" s="267">
        <v>6.7073912546441834</v>
      </c>
      <c r="K23" s="266"/>
      <c r="L23" s="258"/>
      <c r="M23" s="268">
        <v>10498.123522428483</v>
      </c>
      <c r="N23" s="268">
        <v>50.599999999999987</v>
      </c>
      <c r="O23" s="269"/>
      <c r="P23" s="267"/>
      <c r="Q23" s="258">
        <f>COUNTIFS('Daily KPI'!D:D,D23,'Daily KPI'!M:M,"&gt;0")</f>
        <v>0</v>
      </c>
      <c r="R23" s="268"/>
      <c r="S23" s="268"/>
      <c r="T23" s="267">
        <f t="shared" si="0"/>
        <v>349.93745074761608</v>
      </c>
      <c r="U23" s="268">
        <f t="shared" si="1"/>
        <v>0</v>
      </c>
      <c r="V23" s="268">
        <f>SUMIF($F$2:F23,F23,$U$2:U23)</f>
        <v>0</v>
      </c>
      <c r="W23" s="269">
        <f t="shared" si="2"/>
        <v>0.28815666234158116</v>
      </c>
      <c r="X23" s="269" t="str">
        <f t="shared" si="3"/>
        <v/>
      </c>
      <c r="Y23" s="269" t="str">
        <f t="shared" si="4"/>
        <v/>
      </c>
      <c r="Z23" s="267" t="str">
        <f>IFERROR(AVERAGEIF('Daily KPI'!D:D,Table14[[#This Row],[Month]],'Daily KPI'!AB:AB),"")</f>
        <v/>
      </c>
      <c r="AA23" s="260" t="str">
        <f>IFERROR(AVERAGEIF($F$2:F23,F23,$Z$2:Z23),"")</f>
        <v/>
      </c>
      <c r="AB23" s="268"/>
      <c r="AC23" s="267">
        <v>6.7073912546441834</v>
      </c>
      <c r="AD23" s="267">
        <f>AVERAGEIF($F$2:F23,F23,$AC$2:AC23)</f>
        <v>7.3356362960845942</v>
      </c>
      <c r="AE23" s="269">
        <f t="shared" si="5"/>
        <v>0.95549849999999992</v>
      </c>
      <c r="AF23" s="269">
        <v>0.995</v>
      </c>
      <c r="AG23" s="269"/>
      <c r="AH23" s="269">
        <v>0.97</v>
      </c>
      <c r="AI23" s="269">
        <v>0.99</v>
      </c>
      <c r="AJ23" s="269">
        <v>0.95</v>
      </c>
      <c r="AK23" s="269">
        <v>0.05</v>
      </c>
      <c r="AL23" s="269">
        <v>0.05</v>
      </c>
      <c r="AM23" s="315"/>
      <c r="AN23" s="315"/>
    </row>
    <row r="24" spans="1:40">
      <c r="A24" s="258">
        <f t="shared" si="6"/>
        <v>23</v>
      </c>
      <c r="B24" s="257" t="s">
        <v>4383</v>
      </c>
      <c r="C24" s="258">
        <f t="shared" si="9"/>
        <v>2</v>
      </c>
      <c r="D24" s="257">
        <v>45627</v>
      </c>
      <c r="E24" s="259">
        <f>YEAR(D24)</f>
        <v>2024</v>
      </c>
      <c r="F24" s="259" t="s">
        <v>4387</v>
      </c>
      <c r="G24" s="256">
        <f>DAY(EOMONTH(D24,0))</f>
        <v>31</v>
      </c>
      <c r="H24" s="260"/>
      <c r="I24" s="260"/>
      <c r="J24" s="261">
        <v>7.0533420977422105</v>
      </c>
      <c r="K24" s="260"/>
      <c r="L24" s="256"/>
      <c r="M24" s="262">
        <v>13697.551643549546</v>
      </c>
      <c r="N24" s="262">
        <v>50.59999999999998</v>
      </c>
      <c r="O24" s="263"/>
      <c r="P24" s="261"/>
      <c r="Q24" s="256">
        <f>COUNTIFS('Daily KPI'!D:D,D24,'Daily KPI'!M:M,"&gt;0")</f>
        <v>0</v>
      </c>
      <c r="R24" s="262"/>
      <c r="S24" s="262"/>
      <c r="T24" s="261">
        <f t="shared" si="0"/>
        <v>441.85650463063052</v>
      </c>
      <c r="U24" s="262">
        <f t="shared" si="1"/>
        <v>0</v>
      </c>
      <c r="V24" s="262">
        <f>SUMIF($F$2:F24,F24,$U$2:U24)</f>
        <v>0</v>
      </c>
      <c r="W24" s="263">
        <f t="shared" si="2"/>
        <v>0.36384758286448504</v>
      </c>
      <c r="X24" s="263" t="str">
        <f t="shared" si="3"/>
        <v/>
      </c>
      <c r="Y24" s="263" t="str">
        <f t="shared" si="4"/>
        <v/>
      </c>
      <c r="Z24" s="261" t="str">
        <f>IFERROR(AVERAGEIF('Daily KPI'!D:D,Table14[[#This Row],[Month]],'Daily KPI'!AB:AB),"")</f>
        <v/>
      </c>
      <c r="AA24" s="260" t="str">
        <f>IFERROR(AVERAGEIF($F$2:F24,F24,$Z$2:Z24),"")</f>
        <v/>
      </c>
      <c r="AB24" s="262"/>
      <c r="AC24" s="261">
        <v>7.0533420977422105</v>
      </c>
      <c r="AD24" s="261">
        <f>AVERAGEIF($F$2:F24,F24,$AC$2:AC24)</f>
        <v>7.3099731871443785</v>
      </c>
      <c r="AE24" s="263">
        <f t="shared" si="5"/>
        <v>0.95549849999999992</v>
      </c>
      <c r="AF24" s="263">
        <v>0.995</v>
      </c>
      <c r="AG24" s="263"/>
      <c r="AH24" s="263">
        <v>0.97</v>
      </c>
      <c r="AI24" s="263">
        <v>0.99</v>
      </c>
      <c r="AJ24" s="263">
        <v>0.95</v>
      </c>
      <c r="AK24" s="263">
        <v>0.05</v>
      </c>
      <c r="AL24" s="263">
        <v>0.05</v>
      </c>
      <c r="AM24" s="315"/>
      <c r="AN24" s="315"/>
    </row>
    <row r="25" spans="1:40">
      <c r="A25" s="258">
        <f t="shared" si="6"/>
        <v>24</v>
      </c>
      <c r="B25" s="264" t="s">
        <v>4384</v>
      </c>
      <c r="C25" s="258">
        <f t="shared" si="9"/>
        <v>3</v>
      </c>
      <c r="D25" s="264">
        <v>45658</v>
      </c>
      <c r="E25" s="265">
        <f>YEAR(D25)</f>
        <v>2025</v>
      </c>
      <c r="F25" s="265" t="s">
        <v>4387</v>
      </c>
      <c r="G25" s="258">
        <f>DAY(EOMONTH(D25,0))</f>
        <v>31</v>
      </c>
      <c r="H25" s="266"/>
      <c r="I25" s="266"/>
      <c r="J25" s="267">
        <v>7.411120320091455</v>
      </c>
      <c r="K25" s="266"/>
      <c r="L25" s="258"/>
      <c r="M25" s="268">
        <v>13097.658870839346</v>
      </c>
      <c r="N25" s="268">
        <v>50.59999999999998</v>
      </c>
      <c r="O25" s="269"/>
      <c r="P25" s="267"/>
      <c r="Q25" s="258">
        <f>COUNTIFS('Daily KPI'!D:D,D25,'Daily KPI'!M:M,"&gt;0")</f>
        <v>0</v>
      </c>
      <c r="R25" s="268"/>
      <c r="S25" s="268"/>
      <c r="T25" s="267">
        <f t="shared" si="0"/>
        <v>422.50512486578538</v>
      </c>
      <c r="U25" s="268">
        <f t="shared" si="1"/>
        <v>0</v>
      </c>
      <c r="V25" s="268">
        <f>SUMIF($F$2:F25,F25,$U$2:U25)</f>
        <v>0</v>
      </c>
      <c r="W25" s="269">
        <f t="shared" si="2"/>
        <v>0.34791265222808426</v>
      </c>
      <c r="X25" s="269" t="str">
        <f t="shared" si="3"/>
        <v/>
      </c>
      <c r="Y25" s="269" t="str">
        <f t="shared" si="4"/>
        <v/>
      </c>
      <c r="Z25" s="267" t="str">
        <f>IFERROR(AVERAGEIF('Daily KPI'!D:D,Table14[[#This Row],[Month]],'Daily KPI'!AB:AB),"")</f>
        <v/>
      </c>
      <c r="AA25" s="260" t="str">
        <f>IFERROR(AVERAGEIF($F$2:F25,F25,$Z$2:Z25),"")</f>
        <v/>
      </c>
      <c r="AB25" s="268"/>
      <c r="AC25" s="267">
        <v>7.411120320091455</v>
      </c>
      <c r="AD25" s="267">
        <f>AVERAGEIF($F$2:F25,F25,$AC$2:AC25)</f>
        <v>7.3184021148899676</v>
      </c>
      <c r="AE25" s="269">
        <f t="shared" si="5"/>
        <v>0.95549849999999992</v>
      </c>
      <c r="AF25" s="269">
        <v>0.995</v>
      </c>
      <c r="AG25" s="269"/>
      <c r="AH25" s="269">
        <v>0.97</v>
      </c>
      <c r="AI25" s="269">
        <v>0.99</v>
      </c>
      <c r="AJ25" s="269">
        <v>0.95</v>
      </c>
      <c r="AK25" s="269">
        <v>0.05</v>
      </c>
      <c r="AL25" s="269">
        <v>0.05</v>
      </c>
      <c r="AM25" s="315"/>
      <c r="AN25" s="315"/>
    </row>
    <row r="26" spans="1:40">
      <c r="A26" s="258">
        <f t="shared" si="6"/>
        <v>25</v>
      </c>
      <c r="B26" s="264" t="s">
        <v>4385</v>
      </c>
      <c r="C26" s="258">
        <f t="shared" si="9"/>
        <v>4</v>
      </c>
      <c r="D26" s="264">
        <v>45689</v>
      </c>
      <c r="E26" s="265">
        <f t="shared" ref="E26:E27" si="10">YEAR(D26)</f>
        <v>2025</v>
      </c>
      <c r="F26" s="265" t="s">
        <v>4387</v>
      </c>
      <c r="G26" s="258">
        <f t="shared" ref="G26:G27" si="11">DAY(EOMONTH(D26,0))</f>
        <v>28</v>
      </c>
      <c r="H26" s="266"/>
      <c r="I26" s="266"/>
      <c r="J26" s="267">
        <v>6.4041034581308942</v>
      </c>
      <c r="K26" s="266"/>
      <c r="L26" s="258"/>
      <c r="M26" s="268">
        <v>9998.2128785033201</v>
      </c>
      <c r="N26" s="268">
        <v>50.599999999999987</v>
      </c>
      <c r="O26" s="269"/>
      <c r="P26" s="267"/>
      <c r="Q26" s="258">
        <f>COUNTIFS('Daily KPI'!D:D,D26,'Daily KPI'!M:M,"&gt;0")</f>
        <v>0</v>
      </c>
      <c r="R26" s="268"/>
      <c r="S26" s="268"/>
      <c r="T26" s="267">
        <f t="shared" ref="T26:T27" si="12">M26/G26</f>
        <v>357.07903137511857</v>
      </c>
      <c r="U26" s="268">
        <f t="shared" ref="U26:U27" si="13">M26/G26*Q26</f>
        <v>0</v>
      </c>
      <c r="V26" s="268">
        <f>SUMIF($F$2:F39,F26,$U$2:U39)</f>
        <v>841.78501977076326</v>
      </c>
      <c r="W26" s="269">
        <f t="shared" si="2"/>
        <v>0.29403741055263394</v>
      </c>
      <c r="X26" s="269" t="str">
        <f t="shared" si="3"/>
        <v/>
      </c>
      <c r="Y26" s="269" t="str">
        <f t="shared" si="4"/>
        <v/>
      </c>
      <c r="Z26" s="267" t="str">
        <f>IFERROR(AVERAGEIF('Daily KPI'!D:D,Table14[[#This Row],[Month]],'Daily KPI'!AB:AB),"")</f>
        <v/>
      </c>
      <c r="AA26" s="260" t="str">
        <f>IFERROR(AVERAGEIF($F$2:F26,F26,$Z$2:Z26),"")</f>
        <v/>
      </c>
      <c r="AB26" s="268"/>
      <c r="AC26" s="267">
        <v>6.4041034581308942</v>
      </c>
      <c r="AD26" s="267">
        <f>AVERAGEIF($F$2:F26,F26,$AC$2:AC26)</f>
        <v>7.2480714489854234</v>
      </c>
      <c r="AE26" s="269">
        <f t="shared" si="5"/>
        <v>0.95549849999999992</v>
      </c>
      <c r="AF26" s="269">
        <v>0.995</v>
      </c>
      <c r="AG26" s="269"/>
      <c r="AH26" s="269">
        <v>0.97</v>
      </c>
      <c r="AI26" s="269">
        <v>0.99</v>
      </c>
      <c r="AJ26" s="269">
        <v>0.95</v>
      </c>
      <c r="AK26" s="269">
        <v>0.05</v>
      </c>
      <c r="AL26" s="269">
        <v>0.05</v>
      </c>
      <c r="AM26" s="315"/>
      <c r="AN26" s="315"/>
    </row>
    <row r="27" spans="1:40">
      <c r="A27" s="258">
        <f t="shared" si="6"/>
        <v>26</v>
      </c>
      <c r="B27" s="264" t="s">
        <v>4386</v>
      </c>
      <c r="C27" s="258">
        <f t="shared" si="9"/>
        <v>5</v>
      </c>
      <c r="D27" s="264">
        <v>45717</v>
      </c>
      <c r="E27" s="265">
        <f t="shared" si="10"/>
        <v>2025</v>
      </c>
      <c r="F27" s="265" t="s">
        <v>4387</v>
      </c>
      <c r="G27" s="258">
        <f t="shared" si="11"/>
        <v>31</v>
      </c>
      <c r="H27" s="266"/>
      <c r="I27" s="266"/>
      <c r="J27" s="267">
        <v>5.9681800514432695</v>
      </c>
      <c r="K27" s="266"/>
      <c r="L27" s="258"/>
      <c r="M27" s="268">
        <v>8698.4452042978864</v>
      </c>
      <c r="N27" s="268">
        <v>50.59999999999998</v>
      </c>
      <c r="O27" s="269"/>
      <c r="P27" s="267"/>
      <c r="Q27" s="258">
        <f>COUNTIFS('Daily KPI'!D:D,D27,'Daily KPI'!M:M,"&gt;0")</f>
        <v>3</v>
      </c>
      <c r="R27" s="268"/>
      <c r="S27" s="268"/>
      <c r="T27" s="267">
        <f t="shared" si="12"/>
        <v>280.5950065902544</v>
      </c>
      <c r="U27" s="268">
        <f t="shared" si="13"/>
        <v>841.78501977076326</v>
      </c>
      <c r="V27" s="268">
        <f>SUMIF($F$2:F39,F27,$U$2:U39)</f>
        <v>841.78501977076326</v>
      </c>
      <c r="W27" s="269">
        <f t="shared" si="2"/>
        <v>0.23105649422781166</v>
      </c>
      <c r="X27" s="269">
        <f t="shared" si="3"/>
        <v>0.23105649422781169</v>
      </c>
      <c r="Y27" s="269">
        <f t="shared" si="4"/>
        <v>0.23105649422781169</v>
      </c>
      <c r="Z27" s="267">
        <f>IFERROR(AVERAGEIF('Daily KPI'!D:D,Table14[[#This Row],[Month]],'Daily KPI'!AB:AB),"")</f>
        <v>50.6</v>
      </c>
      <c r="AA27" s="260">
        <f>IFERROR(AVERAGEIF($F$2:F27,F27,$Z$2:Z27),"")</f>
        <v>50.6</v>
      </c>
      <c r="AB27" s="268"/>
      <c r="AC27" s="267">
        <v>5.9681800514432695</v>
      </c>
      <c r="AD27" s="267">
        <f>AVERAGEIF($F$2:F39,F27,$AC$2:AC39)</f>
        <v>7.1566506348752696</v>
      </c>
      <c r="AE27" s="269">
        <f t="shared" si="5"/>
        <v>0.95549849999999992</v>
      </c>
      <c r="AF27" s="269">
        <v>0.995</v>
      </c>
      <c r="AG27" s="269"/>
      <c r="AH27" s="269">
        <v>0.97</v>
      </c>
      <c r="AI27" s="269">
        <v>0.99</v>
      </c>
      <c r="AJ27" s="269">
        <v>0.95</v>
      </c>
      <c r="AK27" s="269">
        <v>0.05</v>
      </c>
      <c r="AL27" s="269">
        <v>0.05</v>
      </c>
      <c r="AM27" s="315"/>
      <c r="AN27" s="315"/>
    </row>
    <row r="28" spans="1:40">
      <c r="A28" s="258">
        <f t="shared" si="6"/>
        <v>27</v>
      </c>
      <c r="B28" s="264" t="s">
        <v>4375</v>
      </c>
      <c r="C28" s="258">
        <f t="shared" si="9"/>
        <v>6</v>
      </c>
      <c r="D28" s="264">
        <v>45748</v>
      </c>
      <c r="E28" s="265">
        <f t="shared" ref="E28:E39" si="14">YEAR(D28)</f>
        <v>2025</v>
      </c>
      <c r="F28" s="265" t="s">
        <v>4461</v>
      </c>
      <c r="G28" s="258">
        <f t="shared" ref="G28:G39" si="15">DAY(EOMONTH(D28,0))</f>
        <v>30</v>
      </c>
      <c r="H28" s="266"/>
      <c r="I28" s="266"/>
      <c r="J28" s="267">
        <f>J16</f>
        <v>5.6310997427836513</v>
      </c>
      <c r="K28" s="266"/>
      <c r="L28" s="258"/>
      <c r="M28" s="268">
        <v>8198.5300000000007</v>
      </c>
      <c r="N28" s="268">
        <v>50.59999999999998</v>
      </c>
      <c r="O28" s="269"/>
      <c r="P28" s="267"/>
      <c r="Q28" s="258">
        <f>COUNTIFS('Daily KPI'!D:D,D28,'Daily KPI'!M:M,"&gt;0")</f>
        <v>30</v>
      </c>
      <c r="R28" s="268"/>
      <c r="S28" s="268"/>
      <c r="T28" s="267">
        <f t="shared" ref="T28:T39" si="16">M28/G28</f>
        <v>273.28433333333334</v>
      </c>
      <c r="U28" s="268">
        <f t="shared" ref="U28:U39" si="17">M28/G28*Q28</f>
        <v>8198.5300000000007</v>
      </c>
      <c r="V28" s="268">
        <f>SUMIF($F$2:F28,F28,$U$2:U28)</f>
        <v>8198.5300000000007</v>
      </c>
      <c r="W28" s="269">
        <f t="shared" ref="W28:W39" si="18">IFERROR(T28/(24*N28),"")</f>
        <v>0.22503650636802819</v>
      </c>
      <c r="X28" s="269">
        <f t="shared" si="3"/>
        <v>0.22503650636802822</v>
      </c>
      <c r="Y28" s="269">
        <f t="shared" ref="Y28:Y39" si="19">IFERROR(V28/(24*N28*SUMIFS($Q:$Q,$F:$F,$F28,$D:$D,"&lt;="&amp;D28)),"")</f>
        <v>0.22503650636802822</v>
      </c>
      <c r="Z28" s="267">
        <f>IFERROR(AVERAGEIF('Daily KPI'!D:D,Table14[[#This Row],[Month]],'Daily KPI'!AB:AB),"")</f>
        <v>50.599999999999987</v>
      </c>
      <c r="AA28" s="260">
        <f>IFERROR(AVERAGEIF($F$2:F28,F28,$Z$2:Z28),"")</f>
        <v>50.599999999999987</v>
      </c>
      <c r="AB28" s="268"/>
      <c r="AC28" s="267">
        <f>AC16</f>
        <v>5.6310997427836513</v>
      </c>
      <c r="AD28" s="267">
        <f>AVERAGEIF($F$2:F28,F28,$AC$2:AC28)</f>
        <v>5.6310997427836513</v>
      </c>
      <c r="AE28" s="269">
        <f t="shared" ref="AE28:AE39" si="20">IFERROR(AF28*AH28*AI28,"")</f>
        <v>0.95549849999999992</v>
      </c>
      <c r="AF28" s="269">
        <v>0.995</v>
      </c>
      <c r="AG28" s="269"/>
      <c r="AH28" s="269">
        <v>0.97</v>
      </c>
      <c r="AI28" s="269">
        <v>0.99</v>
      </c>
      <c r="AJ28" s="269">
        <v>0.95</v>
      </c>
      <c r="AK28" s="269">
        <v>0.05</v>
      </c>
      <c r="AL28" s="269">
        <v>0.05</v>
      </c>
      <c r="AM28" s="315"/>
      <c r="AN28" s="315"/>
    </row>
    <row r="29" spans="1:40">
      <c r="A29" s="258">
        <f t="shared" si="6"/>
        <v>28</v>
      </c>
      <c r="B29" s="264" t="s">
        <v>4267</v>
      </c>
      <c r="C29" s="258">
        <f t="shared" si="9"/>
        <v>7</v>
      </c>
      <c r="D29" s="264">
        <v>45778</v>
      </c>
      <c r="E29" s="265">
        <f t="shared" si="14"/>
        <v>2025</v>
      </c>
      <c r="F29" s="265" t="s">
        <v>4461</v>
      </c>
      <c r="G29" s="258">
        <f t="shared" si="15"/>
        <v>31</v>
      </c>
      <c r="H29" s="266"/>
      <c r="I29" s="266"/>
      <c r="J29" s="267">
        <f t="shared" ref="J29:J39" si="21">J17</f>
        <v>7.1310648756787653</v>
      </c>
      <c r="K29" s="266"/>
      <c r="L29" s="258"/>
      <c r="M29" s="268">
        <v>13797.53</v>
      </c>
      <c r="N29" s="268">
        <v>50.59999999999998</v>
      </c>
      <c r="O29" s="269"/>
      <c r="P29" s="267"/>
      <c r="Q29" s="258">
        <f>COUNTIFS('Daily KPI'!D:D,D29,'Daily KPI'!M:M,"&gt;0")</f>
        <v>31</v>
      </c>
      <c r="R29" s="268"/>
      <c r="S29" s="268"/>
      <c r="T29" s="267">
        <f t="shared" si="16"/>
        <v>445.08161290322585</v>
      </c>
      <c r="U29" s="268">
        <f t="shared" si="17"/>
        <v>13797.53</v>
      </c>
      <c r="V29" s="268">
        <f>SUMIF($F$2:F29,F29,$U$2:U29)</f>
        <v>21996.06</v>
      </c>
      <c r="W29" s="269">
        <f t="shared" si="18"/>
        <v>0.36650330443282769</v>
      </c>
      <c r="X29" s="269">
        <f t="shared" si="3"/>
        <v>0.36650330443282769</v>
      </c>
      <c r="Y29" s="269">
        <f t="shared" si="19"/>
        <v>0.29692946931899189</v>
      </c>
      <c r="Z29" s="267">
        <f>IFERROR(AVERAGEIF('Daily KPI'!D:D,Table14[[#This Row],[Month]],'Daily KPI'!AB:AB),"")</f>
        <v>50.59999999999998</v>
      </c>
      <c r="AA29" s="260">
        <f>IFERROR(AVERAGEIF($F$2:F29,F29,$Z$2:Z29),"")</f>
        <v>50.59999999999998</v>
      </c>
      <c r="AB29" s="268"/>
      <c r="AC29" s="267">
        <f t="shared" ref="AC29:AC39" si="22">AC17</f>
        <v>7.1310648756787653</v>
      </c>
      <c r="AD29" s="267">
        <f>AVERAGEIF($F$2:F29,F29,$AC$2:AC29)</f>
        <v>6.3810823092312088</v>
      </c>
      <c r="AE29" s="269">
        <f t="shared" si="20"/>
        <v>0.95549849999999992</v>
      </c>
      <c r="AF29" s="269">
        <v>0.995</v>
      </c>
      <c r="AG29" s="269"/>
      <c r="AH29" s="269">
        <v>0.97</v>
      </c>
      <c r="AI29" s="269">
        <v>0.99</v>
      </c>
      <c r="AJ29" s="269">
        <v>0.95</v>
      </c>
      <c r="AK29" s="269">
        <v>0.05</v>
      </c>
      <c r="AL29" s="269">
        <v>0.05</v>
      </c>
      <c r="AM29" s="315"/>
      <c r="AN29" s="315"/>
    </row>
    <row r="30" spans="1:40">
      <c r="A30" s="258">
        <f t="shared" si="6"/>
        <v>29</v>
      </c>
      <c r="B30" s="264" t="s">
        <v>4377</v>
      </c>
      <c r="C30" s="258">
        <f t="shared" si="9"/>
        <v>8</v>
      </c>
      <c r="D30" s="264">
        <v>45809</v>
      </c>
      <c r="E30" s="265">
        <f t="shared" si="14"/>
        <v>2025</v>
      </c>
      <c r="F30" s="265" t="s">
        <v>4461</v>
      </c>
      <c r="G30" s="258">
        <f t="shared" si="15"/>
        <v>30</v>
      </c>
      <c r="H30" s="266"/>
      <c r="I30" s="266"/>
      <c r="J30" s="267">
        <f t="shared" si="21"/>
        <v>9.4530328665332952</v>
      </c>
      <c r="K30" s="266"/>
      <c r="L30" s="258"/>
      <c r="M30" s="268">
        <v>21196.21</v>
      </c>
      <c r="N30" s="268">
        <v>50.59999999999998</v>
      </c>
      <c r="O30" s="269"/>
      <c r="P30" s="267"/>
      <c r="Q30" s="258">
        <f>COUNTIFS('Daily KPI'!D:D,D30,'Daily KPI'!M:M,"&gt;0")</f>
        <v>30</v>
      </c>
      <c r="R30" s="268"/>
      <c r="S30" s="268"/>
      <c r="T30" s="267">
        <f t="shared" si="16"/>
        <v>706.54033333333325</v>
      </c>
      <c r="U30" s="268">
        <f t="shared" si="17"/>
        <v>21196.21</v>
      </c>
      <c r="V30" s="268">
        <f>SUMIF($F$2:F30,F30,$U$2:U30)</f>
        <v>43192.270000000004</v>
      </c>
      <c r="W30" s="269">
        <f t="shared" si="18"/>
        <v>0.58180198726394394</v>
      </c>
      <c r="X30" s="269">
        <f t="shared" si="3"/>
        <v>0.58180198726394394</v>
      </c>
      <c r="Y30" s="269">
        <f t="shared" si="19"/>
        <v>0.39084348622392118</v>
      </c>
      <c r="Z30" s="267">
        <f>IFERROR(AVERAGEIF('Daily KPI'!D:D,Table14[[#This Row],[Month]],'Daily KPI'!AB:AB),"")</f>
        <v>50.599999999999987</v>
      </c>
      <c r="AA30" s="260">
        <f>IFERROR(AVERAGEIF($F$2:F30,F30,$Z$2:Z30),"")</f>
        <v>50.599999999999987</v>
      </c>
      <c r="AB30" s="268"/>
      <c r="AC30" s="267">
        <f t="shared" si="22"/>
        <v>9.4530328665332952</v>
      </c>
      <c r="AD30" s="267">
        <f>AVERAGEIF($F$2:F30,F30,$AC$2:AC30)</f>
        <v>7.405065828331904</v>
      </c>
      <c r="AE30" s="269">
        <f t="shared" si="20"/>
        <v>0.95549849999999992</v>
      </c>
      <c r="AF30" s="269">
        <v>0.995</v>
      </c>
      <c r="AG30" s="269"/>
      <c r="AH30" s="269">
        <v>0.97</v>
      </c>
      <c r="AI30" s="269">
        <v>0.99</v>
      </c>
      <c r="AJ30" s="269">
        <v>0.95</v>
      </c>
      <c r="AK30" s="269">
        <v>0.05</v>
      </c>
      <c r="AL30" s="269">
        <v>0.05</v>
      </c>
      <c r="AM30" s="315"/>
      <c r="AN30" s="315"/>
    </row>
    <row r="31" spans="1:40">
      <c r="A31" s="258">
        <f t="shared" si="6"/>
        <v>30</v>
      </c>
      <c r="B31" s="264" t="s">
        <v>4378</v>
      </c>
      <c r="C31" s="258">
        <f t="shared" si="9"/>
        <v>9</v>
      </c>
      <c r="D31" s="264">
        <v>45839</v>
      </c>
      <c r="E31" s="265">
        <f t="shared" si="14"/>
        <v>2025</v>
      </c>
      <c r="F31" s="265" t="s">
        <v>4461</v>
      </c>
      <c r="G31" s="258">
        <f t="shared" si="15"/>
        <v>31</v>
      </c>
      <c r="H31" s="266"/>
      <c r="I31" s="266"/>
      <c r="J31" s="267">
        <f t="shared" si="21"/>
        <v>10.303759359817088</v>
      </c>
      <c r="K31" s="266"/>
      <c r="L31" s="258"/>
      <c r="M31" s="268">
        <v>25295.48</v>
      </c>
      <c r="N31" s="268">
        <v>50.59999999999998</v>
      </c>
      <c r="O31" s="269"/>
      <c r="P31" s="267"/>
      <c r="Q31" s="258">
        <f>COUNTIFS('Daily KPI'!D:D,D31,'Daily KPI'!M:M,"&gt;0")</f>
        <v>19</v>
      </c>
      <c r="R31" s="268"/>
      <c r="S31" s="268"/>
      <c r="T31" s="267">
        <f t="shared" si="16"/>
        <v>815.98322580645163</v>
      </c>
      <c r="U31" s="268">
        <f t="shared" si="17"/>
        <v>15503.68129032258</v>
      </c>
      <c r="V31" s="268">
        <f>SUMIF($F$2:F31,F31,$U$2:U31)</f>
        <v>58695.951290322584</v>
      </c>
      <c r="W31" s="269">
        <f t="shared" si="18"/>
        <v>0.6719229461515579</v>
      </c>
      <c r="X31" s="269">
        <f t="shared" si="3"/>
        <v>0.6719229461515579</v>
      </c>
      <c r="Y31" s="269">
        <f t="shared" si="19"/>
        <v>0.43939357475687657</v>
      </c>
      <c r="Z31" s="267">
        <f>IFERROR(AVERAGEIF('Daily KPI'!D:D,Table14[[#This Row],[Month]],'Daily KPI'!AB:AB),"")</f>
        <v>50.59999999999998</v>
      </c>
      <c r="AA31" s="260">
        <f>IFERROR(AVERAGEIF($F$2:F31,F31,$Z$2:Z31),"")</f>
        <v>50.59999999999998</v>
      </c>
      <c r="AB31" s="268"/>
      <c r="AC31" s="267">
        <f t="shared" si="22"/>
        <v>10.303759359817088</v>
      </c>
      <c r="AD31" s="267">
        <f>AVERAGEIF($F$2:F31,F31,$AC$2:AC31)</f>
        <v>8.1297392112031996</v>
      </c>
      <c r="AE31" s="269">
        <f t="shared" si="20"/>
        <v>0.95549849999999992</v>
      </c>
      <c r="AF31" s="269">
        <v>0.995</v>
      </c>
      <c r="AG31" s="269"/>
      <c r="AH31" s="269">
        <v>0.97</v>
      </c>
      <c r="AI31" s="269">
        <v>0.99</v>
      </c>
      <c r="AJ31" s="269">
        <v>0.95</v>
      </c>
      <c r="AK31" s="269">
        <v>0.05</v>
      </c>
      <c r="AL31" s="269">
        <v>0.05</v>
      </c>
      <c r="AM31" s="315"/>
      <c r="AN31" s="315"/>
    </row>
    <row r="32" spans="1:40">
      <c r="A32" s="258">
        <f t="shared" si="6"/>
        <v>31</v>
      </c>
      <c r="B32" s="264" t="s">
        <v>4379</v>
      </c>
      <c r="C32" s="258">
        <f t="shared" si="9"/>
        <v>10</v>
      </c>
      <c r="D32" s="264">
        <v>45870</v>
      </c>
      <c r="E32" s="265">
        <f t="shared" si="14"/>
        <v>2025</v>
      </c>
      <c r="F32" s="265" t="s">
        <v>4461</v>
      </c>
      <c r="G32" s="258">
        <f t="shared" si="15"/>
        <v>31</v>
      </c>
      <c r="H32" s="266"/>
      <c r="I32" s="266"/>
      <c r="J32" s="267">
        <f t="shared" si="21"/>
        <v>8.5195147184909956</v>
      </c>
      <c r="K32" s="266"/>
      <c r="L32" s="258"/>
      <c r="M32" s="268">
        <v>21696.12</v>
      </c>
      <c r="N32" s="268">
        <v>50.59999999999998</v>
      </c>
      <c r="O32" s="269"/>
      <c r="P32" s="267"/>
      <c r="Q32" s="258">
        <f>COUNTIFS('Daily KPI'!D:D,D32,'Daily KPI'!M:M,"&gt;0")</f>
        <v>0</v>
      </c>
      <c r="R32" s="268"/>
      <c r="S32" s="268"/>
      <c r="T32" s="267">
        <f t="shared" si="16"/>
        <v>699.87483870967742</v>
      </c>
      <c r="U32" s="268">
        <f t="shared" si="17"/>
        <v>0</v>
      </c>
      <c r="V32" s="268">
        <f>SUMIF($F$2:F32,F32,$U$2:U32)</f>
        <v>58695.951290322584</v>
      </c>
      <c r="W32" s="269">
        <f t="shared" si="18"/>
        <v>0.57631327298227741</v>
      </c>
      <c r="X32" s="269" t="str">
        <f t="shared" si="3"/>
        <v/>
      </c>
      <c r="Y32" s="269">
        <f t="shared" si="19"/>
        <v>0.43939357475687657</v>
      </c>
      <c r="Z32" s="267">
        <f>IFERROR(AVERAGEIF('Daily KPI'!D:D,Table14[[#This Row],[Month]],'Daily KPI'!AB:AB),"")</f>
        <v>50.599999999999987</v>
      </c>
      <c r="AA32" s="260">
        <f>IFERROR(AVERAGEIF($F$2:F32,F32,$Z$2:Z32),"")</f>
        <v>50.59999999999998</v>
      </c>
      <c r="AB32" s="268"/>
      <c r="AC32" s="267">
        <f t="shared" si="22"/>
        <v>8.5195147184909956</v>
      </c>
      <c r="AD32" s="267">
        <f>AVERAGEIF($F$2:F32,F32,$AC$2:AC32)</f>
        <v>8.2076943126607596</v>
      </c>
      <c r="AE32" s="269">
        <f t="shared" si="20"/>
        <v>0.95549849999999992</v>
      </c>
      <c r="AF32" s="269">
        <v>0.995</v>
      </c>
      <c r="AG32" s="269"/>
      <c r="AH32" s="269">
        <v>0.97</v>
      </c>
      <c r="AI32" s="269">
        <v>0.99</v>
      </c>
      <c r="AJ32" s="269">
        <v>0.95</v>
      </c>
      <c r="AK32" s="269">
        <v>0.05</v>
      </c>
      <c r="AL32" s="269">
        <v>0.05</v>
      </c>
      <c r="AM32" s="315"/>
      <c r="AN32" s="315"/>
    </row>
    <row r="33" spans="1:40">
      <c r="A33" s="258">
        <f t="shared" si="6"/>
        <v>32</v>
      </c>
      <c r="B33" s="264" t="s">
        <v>4380</v>
      </c>
      <c r="C33" s="258">
        <f t="shared" si="9"/>
        <v>11</v>
      </c>
      <c r="D33" s="264">
        <v>45901</v>
      </c>
      <c r="E33" s="265">
        <f t="shared" si="14"/>
        <v>2025</v>
      </c>
      <c r="F33" s="265" t="s">
        <v>4461</v>
      </c>
      <c r="G33" s="258">
        <f t="shared" si="15"/>
        <v>30</v>
      </c>
      <c r="H33" s="266"/>
      <c r="I33" s="266"/>
      <c r="J33" s="267">
        <f t="shared" si="21"/>
        <v>7.2366664761360369</v>
      </c>
      <c r="K33" s="266"/>
      <c r="L33" s="258"/>
      <c r="M33" s="268">
        <v>12497.77</v>
      </c>
      <c r="N33" s="268">
        <v>50.59999999999998</v>
      </c>
      <c r="O33" s="269"/>
      <c r="P33" s="267"/>
      <c r="Q33" s="258">
        <f>COUNTIFS('Daily KPI'!D:D,D33,'Daily KPI'!M:M,"&gt;0")</f>
        <v>0</v>
      </c>
      <c r="R33" s="268"/>
      <c r="S33" s="268"/>
      <c r="T33" s="267">
        <f t="shared" si="16"/>
        <v>416.59233333333333</v>
      </c>
      <c r="U33" s="268">
        <f t="shared" si="17"/>
        <v>0</v>
      </c>
      <c r="V33" s="268">
        <f>SUMIF($F$2:F33,F33,$U$2:U33)</f>
        <v>58695.951290322584</v>
      </c>
      <c r="W33" s="269">
        <f t="shared" si="18"/>
        <v>0.34304375274483978</v>
      </c>
      <c r="X33" s="269" t="str">
        <f t="shared" si="3"/>
        <v/>
      </c>
      <c r="Y33" s="269">
        <f t="shared" si="19"/>
        <v>0.43939357475687657</v>
      </c>
      <c r="Z33" s="267" t="str">
        <f>IFERROR(AVERAGEIF('Daily KPI'!D:D,Table14[[#This Row],[Month]],'Daily KPI'!AB:AB),"")</f>
        <v/>
      </c>
      <c r="AA33" s="260">
        <f>IFERROR(AVERAGEIF($F$2:F33,F33,$Z$2:Z33),"")</f>
        <v>50.59999999999998</v>
      </c>
      <c r="AB33" s="268"/>
      <c r="AC33" s="267">
        <f t="shared" si="22"/>
        <v>7.2366664761360369</v>
      </c>
      <c r="AD33" s="267">
        <f>AVERAGEIF($F$2:F33,F33,$AC$2:AC33)</f>
        <v>8.0458563399066385</v>
      </c>
      <c r="AE33" s="269">
        <f t="shared" si="20"/>
        <v>0.95549849999999992</v>
      </c>
      <c r="AF33" s="269">
        <v>0.995</v>
      </c>
      <c r="AG33" s="269"/>
      <c r="AH33" s="269">
        <v>0.97</v>
      </c>
      <c r="AI33" s="269">
        <v>0.99</v>
      </c>
      <c r="AJ33" s="269">
        <v>0.95</v>
      </c>
      <c r="AK33" s="269">
        <v>0.05</v>
      </c>
      <c r="AL33" s="269">
        <v>0.05</v>
      </c>
      <c r="AM33" s="315"/>
      <c r="AN33" s="315"/>
    </row>
    <row r="34" spans="1:40">
      <c r="A34" s="258">
        <f t="shared" si="6"/>
        <v>33</v>
      </c>
      <c r="B34" s="264" t="s">
        <v>4381</v>
      </c>
      <c r="C34" s="258">
        <f t="shared" si="9"/>
        <v>12</v>
      </c>
      <c r="D34" s="264">
        <v>45931</v>
      </c>
      <c r="E34" s="265">
        <f t="shared" si="14"/>
        <v>2025</v>
      </c>
      <c r="F34" s="265" t="s">
        <v>4461</v>
      </c>
      <c r="G34" s="258">
        <f t="shared" si="15"/>
        <v>31</v>
      </c>
      <c r="H34" s="266"/>
      <c r="I34" s="266"/>
      <c r="J34" s="267">
        <f t="shared" si="21"/>
        <v>6.0015501571877659</v>
      </c>
      <c r="K34" s="266"/>
      <c r="L34" s="258"/>
      <c r="M34" s="268">
        <v>6998.75</v>
      </c>
      <c r="N34" s="268">
        <v>50.59999999999998</v>
      </c>
      <c r="O34" s="269"/>
      <c r="P34" s="267"/>
      <c r="Q34" s="258">
        <f>COUNTIFS('Daily KPI'!D:D,D34,'Daily KPI'!M:M,"&gt;0")</f>
        <v>0</v>
      </c>
      <c r="R34" s="268"/>
      <c r="S34" s="268"/>
      <c r="T34" s="267">
        <f t="shared" si="16"/>
        <v>225.76612903225808</v>
      </c>
      <c r="U34" s="268">
        <f t="shared" si="17"/>
        <v>0</v>
      </c>
      <c r="V34" s="268">
        <f>SUMIF($F$2:F34,F34,$U$2:U34)</f>
        <v>58695.951290322584</v>
      </c>
      <c r="W34" s="269">
        <f t="shared" si="18"/>
        <v>0.18590755025712957</v>
      </c>
      <c r="X34" s="269" t="str">
        <f t="shared" si="3"/>
        <v/>
      </c>
      <c r="Y34" s="269">
        <f t="shared" si="19"/>
        <v>0.43939357475687657</v>
      </c>
      <c r="Z34" s="267" t="str">
        <f>IFERROR(AVERAGEIF('Daily KPI'!D:D,Table14[[#This Row],[Month]],'Daily KPI'!AB:AB),"")</f>
        <v/>
      </c>
      <c r="AA34" s="260">
        <f>IFERROR(AVERAGEIF($F$2:F34,F34,$Z$2:Z34),"")</f>
        <v>50.59999999999998</v>
      </c>
      <c r="AB34" s="268"/>
      <c r="AC34" s="267">
        <f t="shared" si="22"/>
        <v>6.0015501571877659</v>
      </c>
      <c r="AD34" s="267">
        <f>AVERAGEIF($F$2:F34,F34,$AC$2:AC34)</f>
        <v>7.7538125995182279</v>
      </c>
      <c r="AE34" s="269">
        <f t="shared" si="20"/>
        <v>0.95549849999999992</v>
      </c>
      <c r="AF34" s="269">
        <v>0.995</v>
      </c>
      <c r="AG34" s="269"/>
      <c r="AH34" s="269">
        <v>0.97</v>
      </c>
      <c r="AI34" s="269">
        <v>0.99</v>
      </c>
      <c r="AJ34" s="269">
        <v>0.95</v>
      </c>
      <c r="AK34" s="269">
        <v>0.05</v>
      </c>
      <c r="AL34" s="269">
        <v>0.05</v>
      </c>
      <c r="AM34" s="315"/>
      <c r="AN34" s="315"/>
    </row>
    <row r="35" spans="1:40">
      <c r="A35" s="258">
        <f t="shared" si="6"/>
        <v>34</v>
      </c>
      <c r="B35" s="264" t="s">
        <v>4382</v>
      </c>
      <c r="C35" s="258">
        <f t="shared" si="9"/>
        <v>2</v>
      </c>
      <c r="D35" s="264">
        <v>45962</v>
      </c>
      <c r="E35" s="265">
        <f t="shared" si="14"/>
        <v>2025</v>
      </c>
      <c r="F35" s="265" t="s">
        <v>4461</v>
      </c>
      <c r="G35" s="258">
        <f t="shared" si="15"/>
        <v>30</v>
      </c>
      <c r="H35" s="266"/>
      <c r="I35" s="266"/>
      <c r="J35" s="267">
        <f t="shared" si="21"/>
        <v>6.7073912546441834</v>
      </c>
      <c r="K35" s="266"/>
      <c r="L35" s="258"/>
      <c r="M35" s="268">
        <v>10498.12</v>
      </c>
      <c r="N35" s="268">
        <v>50.59999999999998</v>
      </c>
      <c r="O35" s="269"/>
      <c r="P35" s="267"/>
      <c r="Q35" s="258">
        <f>COUNTIFS('Daily KPI'!D:D,D35,'Daily KPI'!M:M,"&gt;0")</f>
        <v>0</v>
      </c>
      <c r="R35" s="268"/>
      <c r="S35" s="268"/>
      <c r="T35" s="267">
        <f t="shared" si="16"/>
        <v>349.93733333333336</v>
      </c>
      <c r="U35" s="268">
        <f t="shared" si="17"/>
        <v>0</v>
      </c>
      <c r="V35" s="268">
        <f>SUMIF($F$2:F35,F35,$U$2:U35)</f>
        <v>58695.951290322584</v>
      </c>
      <c r="W35" s="269">
        <f t="shared" si="18"/>
        <v>0.28815656565656578</v>
      </c>
      <c r="X35" s="269" t="str">
        <f t="shared" si="3"/>
        <v/>
      </c>
      <c r="Y35" s="269">
        <f t="shared" si="19"/>
        <v>0.43939357475687657</v>
      </c>
      <c r="Z35" s="267" t="str">
        <f>IFERROR(AVERAGEIF('Daily KPI'!D:D,Table14[[#This Row],[Month]],'Daily KPI'!AB:AB),"")</f>
        <v/>
      </c>
      <c r="AA35" s="260">
        <f>IFERROR(AVERAGEIF($F$2:F35,F35,$Z$2:Z35),"")</f>
        <v>50.59999999999998</v>
      </c>
      <c r="AB35" s="268"/>
      <c r="AC35" s="267">
        <f t="shared" si="22"/>
        <v>6.7073912546441834</v>
      </c>
      <c r="AD35" s="267">
        <f>AVERAGEIF($F$2:F35,F35,$AC$2:AC35)</f>
        <v>7.6230099314089728</v>
      </c>
      <c r="AE35" s="269">
        <f t="shared" si="20"/>
        <v>0.95549849999999992</v>
      </c>
      <c r="AF35" s="269">
        <v>0.995</v>
      </c>
      <c r="AG35" s="269"/>
      <c r="AH35" s="269">
        <v>0.97</v>
      </c>
      <c r="AI35" s="269">
        <v>0.99</v>
      </c>
      <c r="AJ35" s="269">
        <v>0.95</v>
      </c>
      <c r="AK35" s="269">
        <v>0.05</v>
      </c>
      <c r="AL35" s="269">
        <v>0.05</v>
      </c>
      <c r="AM35" s="315"/>
      <c r="AN35" s="315"/>
    </row>
    <row r="36" spans="1:40">
      <c r="A36" s="258">
        <f t="shared" si="6"/>
        <v>35</v>
      </c>
      <c r="B36" s="264" t="s">
        <v>4383</v>
      </c>
      <c r="C36" s="258">
        <f t="shared" si="9"/>
        <v>3</v>
      </c>
      <c r="D36" s="264">
        <v>45992</v>
      </c>
      <c r="E36" s="265">
        <f t="shared" si="14"/>
        <v>2025</v>
      </c>
      <c r="F36" s="265" t="s">
        <v>4461</v>
      </c>
      <c r="G36" s="258">
        <f t="shared" si="15"/>
        <v>31</v>
      </c>
      <c r="H36" s="266"/>
      <c r="I36" s="266"/>
      <c r="J36" s="267">
        <f t="shared" si="21"/>
        <v>7.0533420977422105</v>
      </c>
      <c r="K36" s="266"/>
      <c r="L36" s="258"/>
      <c r="M36" s="268">
        <v>13697.55</v>
      </c>
      <c r="N36" s="268">
        <v>50.59999999999998</v>
      </c>
      <c r="O36" s="269"/>
      <c r="P36" s="267"/>
      <c r="Q36" s="258">
        <f>COUNTIFS('Daily KPI'!D:D,D36,'Daily KPI'!M:M,"&gt;0")</f>
        <v>0</v>
      </c>
      <c r="R36" s="268"/>
      <c r="S36" s="268"/>
      <c r="T36" s="267">
        <f t="shared" si="16"/>
        <v>441.85645161290319</v>
      </c>
      <c r="U36" s="268">
        <f t="shared" si="17"/>
        <v>0</v>
      </c>
      <c r="V36" s="268">
        <f>SUMIF($F$2:F36,F36,$U$2:U36)</f>
        <v>58695.951290322584</v>
      </c>
      <c r="W36" s="269">
        <f t="shared" si="18"/>
        <v>0.36384753920693619</v>
      </c>
      <c r="X36" s="269" t="str">
        <f t="shared" si="3"/>
        <v/>
      </c>
      <c r="Y36" s="269">
        <f t="shared" si="19"/>
        <v>0.43939357475687657</v>
      </c>
      <c r="Z36" s="267" t="str">
        <f>IFERROR(AVERAGEIF('Daily KPI'!D:D,Table14[[#This Row],[Month]],'Daily KPI'!AB:AB),"")</f>
        <v/>
      </c>
      <c r="AA36" s="260">
        <f>IFERROR(AVERAGEIF($F$2:F36,F36,$Z$2:Z36),"")</f>
        <v>50.59999999999998</v>
      </c>
      <c r="AB36" s="268"/>
      <c r="AC36" s="267">
        <f t="shared" si="22"/>
        <v>7.0533420977422105</v>
      </c>
      <c r="AD36" s="267">
        <f>AVERAGEIF($F$2:F36,F36,$AC$2:AC36)</f>
        <v>7.5597135054460001</v>
      </c>
      <c r="AE36" s="269">
        <f t="shared" si="20"/>
        <v>0.95549849999999992</v>
      </c>
      <c r="AF36" s="269">
        <v>0.995</v>
      </c>
      <c r="AG36" s="269"/>
      <c r="AH36" s="269">
        <v>0.97</v>
      </c>
      <c r="AI36" s="269">
        <v>0.99</v>
      </c>
      <c r="AJ36" s="269">
        <v>0.95</v>
      </c>
      <c r="AK36" s="269">
        <v>0.05</v>
      </c>
      <c r="AL36" s="269">
        <v>0.05</v>
      </c>
      <c r="AM36" s="315"/>
      <c r="AN36" s="315"/>
    </row>
    <row r="37" spans="1:40">
      <c r="A37" s="258">
        <f t="shared" si="6"/>
        <v>36</v>
      </c>
      <c r="B37" s="264" t="s">
        <v>4384</v>
      </c>
      <c r="C37" s="258">
        <f t="shared" si="9"/>
        <v>4</v>
      </c>
      <c r="D37" s="264">
        <v>46023</v>
      </c>
      <c r="E37" s="265">
        <f t="shared" si="14"/>
        <v>2026</v>
      </c>
      <c r="F37" s="265" t="s">
        <v>4461</v>
      </c>
      <c r="G37" s="258">
        <f t="shared" si="15"/>
        <v>31</v>
      </c>
      <c r="H37" s="266"/>
      <c r="I37" s="266"/>
      <c r="J37" s="267">
        <f t="shared" si="21"/>
        <v>7.411120320091455</v>
      </c>
      <c r="K37" s="266"/>
      <c r="L37" s="258"/>
      <c r="M37" s="268">
        <v>13097.66</v>
      </c>
      <c r="N37" s="268">
        <v>50.59999999999998</v>
      </c>
      <c r="O37" s="269"/>
      <c r="P37" s="267"/>
      <c r="Q37" s="258">
        <f>COUNTIFS('Daily KPI'!D:D,D37,'Daily KPI'!M:M,"&gt;0")</f>
        <v>0</v>
      </c>
      <c r="R37" s="268"/>
      <c r="S37" s="268"/>
      <c r="T37" s="267">
        <f t="shared" si="16"/>
        <v>422.50516129032258</v>
      </c>
      <c r="U37" s="268">
        <f t="shared" si="17"/>
        <v>0</v>
      </c>
      <c r="V37" s="268">
        <f>SUMIF($F$2:F37,F37,$U$2:U37)</f>
        <v>58695.951290322584</v>
      </c>
      <c r="W37" s="269">
        <f t="shared" si="18"/>
        <v>0.347912682221939</v>
      </c>
      <c r="X37" s="269" t="str">
        <f t="shared" si="3"/>
        <v/>
      </c>
      <c r="Y37" s="269">
        <f t="shared" si="19"/>
        <v>0.43939357475687657</v>
      </c>
      <c r="Z37" s="267" t="str">
        <f>IFERROR(AVERAGEIF('Daily KPI'!D:D,Table14[[#This Row],[Month]],'Daily KPI'!AB:AB),"")</f>
        <v/>
      </c>
      <c r="AA37" s="260">
        <f>IFERROR(AVERAGEIF($F$2:F37,F37,$Z$2:Z37),"")</f>
        <v>50.59999999999998</v>
      </c>
      <c r="AB37" s="268"/>
      <c r="AC37" s="267">
        <f t="shared" si="22"/>
        <v>7.411120320091455</v>
      </c>
      <c r="AD37" s="267">
        <f>AVERAGEIF($F$2:F37,F37,$AC$2:AC37)</f>
        <v>7.5448541869105457</v>
      </c>
      <c r="AE37" s="269">
        <f t="shared" si="20"/>
        <v>0.95549849999999992</v>
      </c>
      <c r="AF37" s="269">
        <v>0.995</v>
      </c>
      <c r="AG37" s="269"/>
      <c r="AH37" s="269">
        <v>0.97</v>
      </c>
      <c r="AI37" s="269">
        <v>0.99</v>
      </c>
      <c r="AJ37" s="269">
        <v>0.95</v>
      </c>
      <c r="AK37" s="269">
        <v>0.05</v>
      </c>
      <c r="AL37" s="269">
        <v>0.05</v>
      </c>
      <c r="AM37" s="315"/>
      <c r="AN37" s="315"/>
    </row>
    <row r="38" spans="1:40">
      <c r="A38" s="258">
        <f t="shared" si="6"/>
        <v>37</v>
      </c>
      <c r="B38" s="264" t="s">
        <v>4385</v>
      </c>
      <c r="C38" s="258">
        <f t="shared" si="9"/>
        <v>5</v>
      </c>
      <c r="D38" s="264">
        <v>46054</v>
      </c>
      <c r="E38" s="265">
        <f t="shared" si="14"/>
        <v>2026</v>
      </c>
      <c r="F38" s="265" t="s">
        <v>4461</v>
      </c>
      <c r="G38" s="258">
        <f t="shared" si="15"/>
        <v>28</v>
      </c>
      <c r="H38" s="266"/>
      <c r="I38" s="266"/>
      <c r="J38" s="267">
        <f t="shared" si="21"/>
        <v>6.4041034581308942</v>
      </c>
      <c r="K38" s="266"/>
      <c r="L38" s="258"/>
      <c r="M38" s="268">
        <v>9998.2099999999991</v>
      </c>
      <c r="N38" s="268">
        <v>50.59999999999998</v>
      </c>
      <c r="O38" s="269"/>
      <c r="P38" s="267"/>
      <c r="Q38" s="258">
        <f>COUNTIFS('Daily KPI'!D:D,D38,'Daily KPI'!M:M,"&gt;0")</f>
        <v>0</v>
      </c>
      <c r="R38" s="268"/>
      <c r="S38" s="268"/>
      <c r="T38" s="267">
        <f t="shared" si="16"/>
        <v>357.07892857142855</v>
      </c>
      <c r="U38" s="268">
        <f t="shared" si="17"/>
        <v>0</v>
      </c>
      <c r="V38" s="268">
        <f>SUMIF($F$2:F38,F38,$U$2:U38)</f>
        <v>58695.951290322584</v>
      </c>
      <c r="W38" s="269">
        <f t="shared" si="18"/>
        <v>0.29403732589873899</v>
      </c>
      <c r="X38" s="269" t="str">
        <f t="shared" si="3"/>
        <v/>
      </c>
      <c r="Y38" s="269">
        <f t="shared" si="19"/>
        <v>0.43939357475687657</v>
      </c>
      <c r="Z38" s="267" t="str">
        <f>IFERROR(AVERAGEIF('Daily KPI'!D:D,Table14[[#This Row],[Month]],'Daily KPI'!AB:AB),"")</f>
        <v/>
      </c>
      <c r="AA38" s="260">
        <f>IFERROR(AVERAGEIF($F$2:F38,F38,$Z$2:Z38),"")</f>
        <v>50.59999999999998</v>
      </c>
      <c r="AB38" s="268"/>
      <c r="AC38" s="267">
        <f t="shared" si="22"/>
        <v>6.4041034581308942</v>
      </c>
      <c r="AD38" s="267">
        <f>AVERAGEIF($F$2:F38,F38,$AC$2:AC38)</f>
        <v>7.4411495752033039</v>
      </c>
      <c r="AE38" s="269">
        <f t="shared" si="20"/>
        <v>0.95549849999999992</v>
      </c>
      <c r="AF38" s="269">
        <v>0.995</v>
      </c>
      <c r="AG38" s="269"/>
      <c r="AH38" s="269">
        <v>0.97</v>
      </c>
      <c r="AI38" s="269">
        <v>0.99</v>
      </c>
      <c r="AJ38" s="269">
        <v>0.95</v>
      </c>
      <c r="AK38" s="269">
        <v>0.05</v>
      </c>
      <c r="AL38" s="269">
        <v>0.05</v>
      </c>
      <c r="AM38" s="315"/>
      <c r="AN38" s="315"/>
    </row>
    <row r="39" spans="1:40">
      <c r="A39" s="258">
        <f t="shared" si="6"/>
        <v>38</v>
      </c>
      <c r="B39" s="264" t="s">
        <v>4386</v>
      </c>
      <c r="C39" s="258">
        <f t="shared" si="9"/>
        <v>6</v>
      </c>
      <c r="D39" s="264">
        <v>46082</v>
      </c>
      <c r="E39" s="265">
        <f t="shared" si="14"/>
        <v>2026</v>
      </c>
      <c r="F39" s="265" t="s">
        <v>4461</v>
      </c>
      <c r="G39" s="258">
        <f t="shared" si="15"/>
        <v>31</v>
      </c>
      <c r="H39" s="266"/>
      <c r="I39" s="266"/>
      <c r="J39" s="267">
        <f t="shared" si="21"/>
        <v>5.9681800514432695</v>
      </c>
      <c r="K39" s="266"/>
      <c r="L39" s="258"/>
      <c r="M39" s="268">
        <v>8698.4500000000007</v>
      </c>
      <c r="N39" s="268">
        <v>50.59999999999998</v>
      </c>
      <c r="O39" s="269"/>
      <c r="P39" s="267"/>
      <c r="Q39" s="258">
        <f>COUNTIFS('Daily KPI'!D:D,D39,'Daily KPI'!M:M,"&gt;0")</f>
        <v>0</v>
      </c>
      <c r="R39" s="268"/>
      <c r="S39" s="268"/>
      <c r="T39" s="267">
        <f t="shared" si="16"/>
        <v>280.59516129032261</v>
      </c>
      <c r="U39" s="268">
        <f t="shared" si="17"/>
        <v>0</v>
      </c>
      <c r="V39" s="268">
        <f>SUMIF($F$2:F39,F39,$U$2:U39)</f>
        <v>58695.951290322584</v>
      </c>
      <c r="W39" s="269">
        <f t="shared" si="18"/>
        <v>0.23105662161587837</v>
      </c>
      <c r="X39" s="269" t="str">
        <f t="shared" si="3"/>
        <v/>
      </c>
      <c r="Y39" s="269">
        <f t="shared" si="19"/>
        <v>0.43939357475687657</v>
      </c>
      <c r="Z39" s="267" t="str">
        <f>IFERROR(AVERAGEIF('Daily KPI'!D:D,Table14[[#This Row],[Month]],'Daily KPI'!AB:AB),"")</f>
        <v/>
      </c>
      <c r="AA39" s="260">
        <f>IFERROR(AVERAGEIF($F$2:F39,F39,$Z$2:Z39),"")</f>
        <v>50.59999999999998</v>
      </c>
      <c r="AB39" s="268"/>
      <c r="AC39" s="267">
        <f t="shared" si="22"/>
        <v>5.9681800514432695</v>
      </c>
      <c r="AD39" s="267">
        <f>AVERAGEIF($F$2:F39,F39,$AC$2:AC39)</f>
        <v>7.3184021148899676</v>
      </c>
      <c r="AE39" s="269">
        <f t="shared" si="20"/>
        <v>0.95549849999999992</v>
      </c>
      <c r="AF39" s="269">
        <v>0.995</v>
      </c>
      <c r="AG39" s="269"/>
      <c r="AH39" s="269">
        <v>0.97</v>
      </c>
      <c r="AI39" s="269">
        <v>0.99</v>
      </c>
      <c r="AJ39" s="269">
        <v>0.95</v>
      </c>
      <c r="AK39" s="269">
        <v>0.05</v>
      </c>
      <c r="AL39" s="269">
        <v>0.05</v>
      </c>
      <c r="AM39" s="317"/>
      <c r="AN39" s="317"/>
    </row>
  </sheetData>
  <phoneticPr fontId="71" type="noConversion"/>
  <pageMargins left="0.7" right="0.7" top="0.75" bottom="0.75" header="0.3" footer="0.3"/>
  <ignoredErrors>
    <ignoredError sqref="AD3:AD26" formulaRange="1"/>
    <ignoredError sqref="AA2" calculatedColumn="1"/>
  </ignoredErrors>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R3994"/>
  <sheetViews>
    <sheetView topLeftCell="A57" zoomScale="110" zoomScaleNormal="110" workbookViewId="0">
      <selection activeCell="X1" sqref="X1:X4"/>
    </sheetView>
  </sheetViews>
  <sheetFormatPr defaultColWidth="8.7265625" defaultRowHeight="14.5"/>
  <cols>
    <col min="1" max="1" width="11.453125" customWidth="1"/>
    <col min="2" max="2" width="10.453125" customWidth="1"/>
    <col min="3" max="3" width="9.7265625" customWidth="1"/>
    <col min="5" max="5" width="23" customWidth="1"/>
    <col min="6" max="6" width="8.7265625" style="10" customWidth="1"/>
    <col min="7" max="7" width="14.7265625" style="10" customWidth="1"/>
    <col min="8" max="8" width="13.453125" style="10" customWidth="1"/>
    <col min="9" max="9" width="8.7265625" style="10"/>
    <col min="10" max="10" width="9.26953125" style="4" customWidth="1"/>
    <col min="13" max="13" width="10.26953125" customWidth="1"/>
    <col min="14" max="14" width="8.7265625" style="4"/>
    <col min="19" max="19" width="10.453125" bestFit="1" customWidth="1"/>
    <col min="20" max="20" width="44" bestFit="1" customWidth="1"/>
    <col min="42" max="42" width="1.26953125" customWidth="1"/>
    <col min="44" max="44" width="1.453125" customWidth="1"/>
    <col min="46" max="46" width="1" customWidth="1"/>
    <col min="48" max="48" width="1.7265625" customWidth="1"/>
    <col min="49" max="49" width="15.453125" customWidth="1"/>
    <col min="50" max="50" width="2.26953125" customWidth="1"/>
    <col min="53" max="53" width="16.7265625" customWidth="1"/>
    <col min="54" max="54" width="10.453125" customWidth="1"/>
    <col min="57" max="57" width="18.453125" customWidth="1"/>
    <col min="59" max="59" width="14.7265625" customWidth="1"/>
    <col min="64" max="64" width="25.453125" customWidth="1"/>
    <col min="68" max="68" width="27.81640625" bestFit="1" customWidth="1"/>
    <col min="69" max="69" width="25.7265625" bestFit="1" customWidth="1"/>
    <col min="70" max="70" width="26.1796875" bestFit="1" customWidth="1"/>
  </cols>
  <sheetData>
    <row r="1" spans="1:70">
      <c r="F1" s="10" t="s">
        <v>411</v>
      </c>
      <c r="S1" s="15" t="s">
        <v>412</v>
      </c>
      <c r="T1" s="15" t="s">
        <v>413</v>
      </c>
      <c r="X1" t="s">
        <v>108</v>
      </c>
      <c r="AB1" s="18" t="s">
        <v>113</v>
      </c>
      <c r="AO1" s="23" t="s">
        <v>414</v>
      </c>
      <c r="AQ1" s="23" t="s">
        <v>415</v>
      </c>
      <c r="AS1" s="23" t="s">
        <v>383</v>
      </c>
      <c r="AU1" s="23" t="s">
        <v>416</v>
      </c>
      <c r="AW1" s="23" t="s">
        <v>417</v>
      </c>
      <c r="AY1" s="23" t="s">
        <v>418</v>
      </c>
      <c r="BA1" s="24" t="s">
        <v>419</v>
      </c>
      <c r="BB1" s="24" t="s">
        <v>420</v>
      </c>
      <c r="BC1" s="24" t="s">
        <v>421</v>
      </c>
      <c r="BD1" s="24" t="s">
        <v>422</v>
      </c>
      <c r="BE1" s="24" t="s">
        <v>423</v>
      </c>
      <c r="BF1" s="24" t="s">
        <v>424</v>
      </c>
      <c r="BG1" s="24" t="s">
        <v>102</v>
      </c>
      <c r="BH1" s="24" t="s">
        <v>103</v>
      </c>
      <c r="BI1" s="24" t="s">
        <v>104</v>
      </c>
      <c r="BJ1" s="24" t="s">
        <v>105</v>
      </c>
      <c r="BL1" s="24" t="s">
        <v>425</v>
      </c>
      <c r="BN1" s="24" t="s">
        <v>250</v>
      </c>
      <c r="BP1" s="387" t="s">
        <v>4615</v>
      </c>
      <c r="BQ1" s="388"/>
      <c r="BR1" s="388"/>
    </row>
    <row r="2" spans="1:70">
      <c r="A2" s="2" t="s">
        <v>419</v>
      </c>
      <c r="B2" s="2" t="s">
        <v>420</v>
      </c>
      <c r="C2" s="2" t="s">
        <v>421</v>
      </c>
      <c r="D2" s="2" t="s">
        <v>422</v>
      </c>
      <c r="E2" s="2" t="s">
        <v>423</v>
      </c>
      <c r="F2" s="5" t="s">
        <v>424</v>
      </c>
      <c r="G2" s="5" t="s">
        <v>102</v>
      </c>
      <c r="H2" s="5" t="s">
        <v>103</v>
      </c>
      <c r="I2" s="5" t="s">
        <v>104</v>
      </c>
      <c r="J2" s="5" t="s">
        <v>105</v>
      </c>
      <c r="S2" s="16">
        <v>0</v>
      </c>
      <c r="T2" s="16" t="s">
        <v>426</v>
      </c>
      <c r="U2" s="17">
        <f>COUNTIFS(WTG_BD!L:L,'Basic Data'!T2,WTG_BD!F:F,"&gt;="&amp;O2Summary!$B$6,WTG_BD!F:F,"&lt;="&amp;O2Summary!$B$4)</f>
        <v>0</v>
      </c>
      <c r="V2" s="18">
        <f>RANK(U2,$U$2:$U$3975)</f>
        <v>47</v>
      </c>
      <c r="W2" s="18"/>
      <c r="X2" s="18" t="s">
        <v>113</v>
      </c>
      <c r="Y2" s="18"/>
      <c r="Z2" s="18"/>
      <c r="AA2" s="18"/>
      <c r="AB2" s="18" t="s">
        <v>114</v>
      </c>
      <c r="AC2" s="18"/>
      <c r="AD2" s="18"/>
      <c r="AE2" s="18" t="s">
        <v>20</v>
      </c>
      <c r="AO2" t="s">
        <v>427</v>
      </c>
      <c r="AQ2" t="s">
        <v>428</v>
      </c>
      <c r="AS2" t="s">
        <v>429</v>
      </c>
      <c r="AU2" t="s">
        <v>430</v>
      </c>
      <c r="AW2" t="s">
        <v>382</v>
      </c>
      <c r="AY2" t="s">
        <v>431</v>
      </c>
      <c r="BA2" s="2" t="s">
        <v>432</v>
      </c>
      <c r="BB2" s="11" t="s">
        <v>156</v>
      </c>
      <c r="BC2" s="2" t="s">
        <v>433</v>
      </c>
      <c r="BD2" s="1">
        <v>2011.44</v>
      </c>
      <c r="BE2" s="12">
        <f>BD2/$N$4</f>
        <v>0.47664454976303317</v>
      </c>
      <c r="BF2" s="1" t="s">
        <v>384</v>
      </c>
      <c r="BG2" s="5" t="s">
        <v>434</v>
      </c>
      <c r="BH2" s="1" t="s">
        <v>435</v>
      </c>
      <c r="BI2" s="5" t="s">
        <v>396</v>
      </c>
      <c r="BJ2" s="1" t="s">
        <v>392</v>
      </c>
      <c r="BL2" s="2" t="s">
        <v>383</v>
      </c>
      <c r="BN2" t="s">
        <v>270</v>
      </c>
      <c r="BP2" s="2" t="s">
        <v>4616</v>
      </c>
      <c r="BQ2" s="2" t="s">
        <v>4617</v>
      </c>
      <c r="BR2" s="2" t="s">
        <v>4618</v>
      </c>
    </row>
    <row r="3" spans="1:70">
      <c r="A3" s="2" t="s">
        <v>76</v>
      </c>
      <c r="B3" s="11" t="s">
        <v>152</v>
      </c>
      <c r="C3" s="2" t="s">
        <v>436</v>
      </c>
      <c r="D3" s="1">
        <v>2.2000000000000002</v>
      </c>
      <c r="E3" s="12">
        <f>D3/$N$3</f>
        <v>4.3478260869565223E-2</v>
      </c>
      <c r="F3" s="2" t="s">
        <v>76</v>
      </c>
      <c r="G3" s="5" t="s">
        <v>437</v>
      </c>
      <c r="H3" s="13" t="s">
        <v>387</v>
      </c>
      <c r="I3" s="5" t="s">
        <v>396</v>
      </c>
      <c r="J3" s="1" t="s">
        <v>391</v>
      </c>
      <c r="M3" t="s">
        <v>438</v>
      </c>
      <c r="N3" s="4">
        <v>50.6</v>
      </c>
      <c r="Q3" t="s">
        <v>270</v>
      </c>
      <c r="S3" s="16">
        <v>1</v>
      </c>
      <c r="T3" s="16" t="s">
        <v>439</v>
      </c>
      <c r="U3" s="17">
        <f>COUNTIFS(WTG_BD!L:L,'Basic Data'!T3,WTG_BD!F:F,"&gt;="&amp;O2Summary!$B$6,WTG_BD!F:F,"&lt;="&amp;O2Summary!$B$4)</f>
        <v>0</v>
      </c>
      <c r="V3" s="18">
        <f t="shared" ref="V3:V66" si="0">RANK(U3,$U$2:$U$3975)</f>
        <v>47</v>
      </c>
      <c r="W3" s="19"/>
      <c r="X3" s="18" t="s">
        <v>257</v>
      </c>
      <c r="Y3" s="18"/>
      <c r="Z3" s="20"/>
      <c r="AA3" s="18"/>
      <c r="AB3" s="18" t="s">
        <v>116</v>
      </c>
      <c r="AC3" s="18"/>
      <c r="AD3" s="18"/>
      <c r="AE3" s="18" t="s">
        <v>148</v>
      </c>
      <c r="AF3" s="21">
        <f>O2Summary!B4</f>
        <v>45857</v>
      </c>
      <c r="AG3" s="21">
        <f>AF3-1</f>
        <v>45856</v>
      </c>
      <c r="AH3" s="21">
        <f t="shared" ref="AH3:AL3" si="1">AG3-1</f>
        <v>45855</v>
      </c>
      <c r="AI3" s="21">
        <f t="shared" si="1"/>
        <v>45854</v>
      </c>
      <c r="AJ3" s="21">
        <f t="shared" si="1"/>
        <v>45853</v>
      </c>
      <c r="AK3" s="21">
        <f t="shared" si="1"/>
        <v>45852</v>
      </c>
      <c r="AL3" s="21">
        <f t="shared" si="1"/>
        <v>45851</v>
      </c>
      <c r="AO3" t="s">
        <v>440</v>
      </c>
      <c r="AQ3" t="s">
        <v>441</v>
      </c>
      <c r="AS3" t="s">
        <v>442</v>
      </c>
      <c r="AU3" t="s">
        <v>443</v>
      </c>
      <c r="AW3" t="s">
        <v>444</v>
      </c>
      <c r="AY3" t="s">
        <v>445</v>
      </c>
      <c r="BA3" s="2" t="s">
        <v>446</v>
      </c>
      <c r="BB3" s="11" t="s">
        <v>156</v>
      </c>
      <c r="BC3" s="2" t="s">
        <v>433</v>
      </c>
      <c r="BD3" s="1">
        <v>2046.53</v>
      </c>
      <c r="BE3" s="12">
        <f>BD3/$N$4</f>
        <v>0.48495971563981044</v>
      </c>
      <c r="BF3" s="5" t="s">
        <v>384</v>
      </c>
      <c r="BG3" s="5" t="s">
        <v>434</v>
      </c>
      <c r="BH3" s="1" t="s">
        <v>435</v>
      </c>
      <c r="BI3" s="5" t="s">
        <v>396</v>
      </c>
      <c r="BJ3" s="1" t="s">
        <v>392</v>
      </c>
      <c r="BL3" s="2" t="s">
        <v>447</v>
      </c>
      <c r="BN3" t="s">
        <v>255</v>
      </c>
      <c r="BP3" s="2" t="s">
        <v>4619</v>
      </c>
      <c r="BQ3" s="2" t="s">
        <v>4620</v>
      </c>
      <c r="BR3" s="2" t="s">
        <v>4621</v>
      </c>
    </row>
    <row r="4" spans="1:70">
      <c r="A4" s="2" t="s">
        <v>77</v>
      </c>
      <c r="B4" s="2" t="s">
        <v>153</v>
      </c>
      <c r="C4" s="2" t="s">
        <v>448</v>
      </c>
      <c r="D4" s="1">
        <v>2.2000000000000002</v>
      </c>
      <c r="E4" s="12">
        <f t="shared" ref="E4:E39" si="2">D4/$N$3</f>
        <v>4.3478260869565223E-2</v>
      </c>
      <c r="F4" s="2" t="s">
        <v>77</v>
      </c>
      <c r="G4" s="5" t="s">
        <v>449</v>
      </c>
      <c r="H4" s="13" t="s">
        <v>390</v>
      </c>
      <c r="I4" s="5" t="s">
        <v>396</v>
      </c>
      <c r="J4" s="1" t="s">
        <v>391</v>
      </c>
      <c r="M4" t="s">
        <v>450</v>
      </c>
      <c r="N4" s="4">
        <v>4220</v>
      </c>
      <c r="Q4" t="s">
        <v>255</v>
      </c>
      <c r="S4" s="16">
        <v>2</v>
      </c>
      <c r="T4" s="16" t="s">
        <v>451</v>
      </c>
      <c r="U4" s="17">
        <f>COUNTIFS(WTG_BD!L:L,'Basic Data'!T4,WTG_BD!F:F,"&gt;="&amp;O2Summary!$B$6,WTG_BD!F:F,"&lt;="&amp;O2Summary!$B$4)</f>
        <v>0</v>
      </c>
      <c r="V4" s="18">
        <f t="shared" si="0"/>
        <v>47</v>
      </c>
      <c r="W4" s="18"/>
      <c r="X4" s="18" t="s">
        <v>107</v>
      </c>
      <c r="Y4" s="18"/>
      <c r="Z4" s="20"/>
      <c r="AA4" s="18"/>
      <c r="AB4" s="18"/>
      <c r="AC4" s="18"/>
      <c r="AD4" s="18"/>
      <c r="AE4" s="18" t="s">
        <v>452</v>
      </c>
      <c r="AF4" s="22" t="e">
        <f>VLOOKUP(AF3,#REF!,6,0)/1000</f>
        <v>#REF!</v>
      </c>
      <c r="AG4" s="22" t="e">
        <f>VLOOKUP(AG3,#REF!,6,0)/1000</f>
        <v>#REF!</v>
      </c>
      <c r="AH4" s="22" t="e">
        <f>VLOOKUP(AH3,#REF!,6,0)/1000</f>
        <v>#REF!</v>
      </c>
      <c r="AI4" s="22" t="e">
        <f>VLOOKUP(AI3,#REF!,6,0)/1000</f>
        <v>#REF!</v>
      </c>
      <c r="AJ4" s="22" t="e">
        <f>VLOOKUP(AJ3,#REF!,6,0)/1000</f>
        <v>#REF!</v>
      </c>
      <c r="AK4" s="22" t="e">
        <f>VLOOKUP(AK3,#REF!,6,0)/1000</f>
        <v>#REF!</v>
      </c>
      <c r="AL4" s="22" t="e">
        <f>VLOOKUP(AL3,#REF!,6,0)/1000</f>
        <v>#REF!</v>
      </c>
      <c r="AO4" t="s">
        <v>453</v>
      </c>
      <c r="AQ4" t="s">
        <v>454</v>
      </c>
      <c r="AU4" t="s">
        <v>455</v>
      </c>
      <c r="AW4" t="s">
        <v>456</v>
      </c>
      <c r="AY4" t="s">
        <v>457</v>
      </c>
      <c r="BA4" s="2" t="s">
        <v>458</v>
      </c>
      <c r="BB4" s="2"/>
      <c r="BC4" s="2"/>
      <c r="BD4" s="2"/>
      <c r="BE4" s="2"/>
      <c r="BF4" s="5"/>
      <c r="BG4" s="5"/>
      <c r="BH4" s="5"/>
      <c r="BI4" s="5"/>
      <c r="BJ4" s="1"/>
      <c r="BL4" s="2" t="s">
        <v>459</v>
      </c>
      <c r="BP4" s="2" t="s">
        <v>4622</v>
      </c>
      <c r="BQ4" s="2" t="s">
        <v>4623</v>
      </c>
      <c r="BR4" s="2" t="s">
        <v>4624</v>
      </c>
    </row>
    <row r="5" spans="1:70">
      <c r="A5" s="2" t="s">
        <v>78</v>
      </c>
      <c r="B5" s="11" t="s">
        <v>152</v>
      </c>
      <c r="C5" s="2" t="s">
        <v>436</v>
      </c>
      <c r="D5" s="1">
        <v>2.2000000000000002</v>
      </c>
      <c r="E5" s="12">
        <f t="shared" si="2"/>
        <v>4.3478260869565223E-2</v>
      </c>
      <c r="F5" s="2" t="s">
        <v>78</v>
      </c>
      <c r="G5" s="5" t="s">
        <v>437</v>
      </c>
      <c r="H5" s="13" t="s">
        <v>387</v>
      </c>
      <c r="I5" s="5" t="s">
        <v>396</v>
      </c>
      <c r="J5" s="1" t="s">
        <v>391</v>
      </c>
      <c r="S5" s="16">
        <v>3</v>
      </c>
      <c r="T5" s="16" t="s">
        <v>460</v>
      </c>
      <c r="U5" s="17">
        <f>COUNTIFS(WTG_BD!L:L,'Basic Data'!T5,WTG_BD!F:F,"&gt;="&amp;O2Summary!$B$6,WTG_BD!F:F,"&lt;="&amp;O2Summary!$B$4)</f>
        <v>0</v>
      </c>
      <c r="V5" s="18">
        <f t="shared" si="0"/>
        <v>47</v>
      </c>
      <c r="W5" s="19"/>
      <c r="X5" s="18"/>
      <c r="Y5" s="18"/>
      <c r="Z5" s="20"/>
      <c r="AA5" s="18"/>
      <c r="AB5" s="18"/>
      <c r="AC5" s="18"/>
      <c r="AD5" s="18"/>
      <c r="AE5" s="18" t="s">
        <v>461</v>
      </c>
      <c r="AF5" s="22" t="e">
        <f>VLOOKUP(AF3,#REF!,9,0)</f>
        <v>#REF!</v>
      </c>
      <c r="AG5" s="22" t="e">
        <f>VLOOKUP(AG3,#REF!,9,0)</f>
        <v>#REF!</v>
      </c>
      <c r="AH5" s="22" t="e">
        <f>VLOOKUP(AH3,#REF!,9,0)</f>
        <v>#REF!</v>
      </c>
      <c r="AI5" s="22" t="e">
        <f>VLOOKUP(AI3,#REF!,9,0)</f>
        <v>#REF!</v>
      </c>
      <c r="AJ5" s="22" t="e">
        <f>VLOOKUP(AJ3,#REF!,9,0)</f>
        <v>#REF!</v>
      </c>
      <c r="AK5" s="22" t="e">
        <f>VLOOKUP(AK3,#REF!,9,0)</f>
        <v>#REF!</v>
      </c>
      <c r="AL5" s="22" t="e">
        <f>VLOOKUP(AL3,#REF!,9,0)</f>
        <v>#REF!</v>
      </c>
      <c r="AO5" t="s">
        <v>462</v>
      </c>
      <c r="AQ5" t="s">
        <v>463</v>
      </c>
      <c r="AU5" t="s">
        <v>464</v>
      </c>
      <c r="AW5" t="s">
        <v>465</v>
      </c>
      <c r="AY5" t="s">
        <v>386</v>
      </c>
      <c r="BA5" s="2" t="s">
        <v>466</v>
      </c>
      <c r="BB5" s="2"/>
      <c r="BC5" s="2"/>
      <c r="BD5" s="2"/>
      <c r="BE5" s="2"/>
      <c r="BF5" s="5"/>
      <c r="BG5" s="5"/>
      <c r="BH5" s="5"/>
      <c r="BI5" s="5"/>
      <c r="BJ5" s="1"/>
      <c r="BL5" s="2" t="s">
        <v>416</v>
      </c>
      <c r="BP5" s="2" t="s">
        <v>4625</v>
      </c>
      <c r="BQ5" s="2" t="s">
        <v>4626</v>
      </c>
      <c r="BR5" s="2" t="s">
        <v>4627</v>
      </c>
    </row>
    <row r="6" spans="1:70">
      <c r="A6" s="2" t="s">
        <v>79</v>
      </c>
      <c r="B6" s="2" t="s">
        <v>153</v>
      </c>
      <c r="C6" s="2" t="s">
        <v>448</v>
      </c>
      <c r="D6" s="1">
        <v>2.2000000000000002</v>
      </c>
      <c r="E6" s="12">
        <f t="shared" si="2"/>
        <v>4.3478260869565223E-2</v>
      </c>
      <c r="F6" s="2" t="s">
        <v>79</v>
      </c>
      <c r="G6" s="5" t="s">
        <v>467</v>
      </c>
      <c r="H6" s="13" t="s">
        <v>390</v>
      </c>
      <c r="I6" s="5" t="s">
        <v>396</v>
      </c>
      <c r="J6" s="1" t="s">
        <v>391</v>
      </c>
      <c r="S6" s="16">
        <v>4</v>
      </c>
      <c r="T6" s="16" t="s">
        <v>468</v>
      </c>
      <c r="U6" s="17">
        <f>COUNTIFS(WTG_BD!L:L,'Basic Data'!T6,WTG_BD!F:F,"&gt;="&amp;O2Summary!$B$6,WTG_BD!F:F,"&lt;="&amp;O2Summary!$B$4)</f>
        <v>0</v>
      </c>
      <c r="V6" s="18">
        <f t="shared" si="0"/>
        <v>47</v>
      </c>
      <c r="W6" s="18"/>
      <c r="X6" s="18"/>
      <c r="Y6" s="18"/>
      <c r="Z6" s="20"/>
      <c r="AA6" s="18"/>
      <c r="AB6" s="18"/>
      <c r="AC6" s="18"/>
      <c r="AD6" s="18"/>
      <c r="AO6" t="s">
        <v>469</v>
      </c>
      <c r="AQ6" t="s">
        <v>470</v>
      </c>
      <c r="AU6" t="s">
        <v>471</v>
      </c>
      <c r="AW6" t="s">
        <v>472</v>
      </c>
      <c r="AY6" t="s">
        <v>473</v>
      </c>
      <c r="BA6" s="2" t="s">
        <v>474</v>
      </c>
      <c r="BB6" s="2"/>
      <c r="BC6" s="2"/>
      <c r="BD6" s="2"/>
      <c r="BE6" s="2"/>
      <c r="BF6" s="5"/>
      <c r="BG6" s="5"/>
      <c r="BH6" s="5"/>
      <c r="BI6" s="5"/>
      <c r="BJ6" s="1"/>
      <c r="BL6" s="2" t="s">
        <v>415</v>
      </c>
      <c r="BP6" s="2" t="s">
        <v>4628</v>
      </c>
      <c r="BQ6" s="2" t="s">
        <v>4629</v>
      </c>
      <c r="BR6" s="2" t="s">
        <v>4630</v>
      </c>
    </row>
    <row r="7" spans="1:70">
      <c r="A7" s="2" t="s">
        <v>80</v>
      </c>
      <c r="B7" s="2" t="s">
        <v>153</v>
      </c>
      <c r="C7" s="2" t="s">
        <v>448</v>
      </c>
      <c r="D7" s="1">
        <v>2.2000000000000002</v>
      </c>
      <c r="E7" s="12">
        <f t="shared" si="2"/>
        <v>4.3478260869565223E-2</v>
      </c>
      <c r="F7" s="2" t="s">
        <v>80</v>
      </c>
      <c r="G7" s="5" t="s">
        <v>467</v>
      </c>
      <c r="H7" s="13" t="s">
        <v>390</v>
      </c>
      <c r="I7" s="5" t="s">
        <v>396</v>
      </c>
      <c r="J7" s="1" t="s">
        <v>391</v>
      </c>
      <c r="S7" s="16">
        <v>5</v>
      </c>
      <c r="T7" s="16" t="s">
        <v>475</v>
      </c>
      <c r="U7" s="17">
        <f>COUNTIFS(WTG_BD!L:L,'Basic Data'!T7,WTG_BD!F:F,"&gt;="&amp;O2Summary!$B$6,WTG_BD!F:F,"&lt;="&amp;O2Summary!$B$4)</f>
        <v>0</v>
      </c>
      <c r="V7" s="18">
        <f t="shared" si="0"/>
        <v>47</v>
      </c>
      <c r="W7" s="18"/>
      <c r="X7" s="18"/>
      <c r="Y7" s="18"/>
      <c r="Z7" s="20"/>
      <c r="AA7" s="18"/>
      <c r="AB7" s="18"/>
      <c r="AC7" s="18"/>
      <c r="AD7" s="18"/>
      <c r="AE7" s="18"/>
      <c r="AQ7" t="s">
        <v>476</v>
      </c>
      <c r="AU7" t="s">
        <v>477</v>
      </c>
      <c r="AW7" t="s">
        <v>478</v>
      </c>
      <c r="AY7" t="s">
        <v>479</v>
      </c>
      <c r="BA7" s="2" t="s">
        <v>480</v>
      </c>
      <c r="BB7" s="2"/>
      <c r="BC7" s="2"/>
      <c r="BD7" s="2"/>
      <c r="BE7" s="2"/>
      <c r="BF7" s="5"/>
      <c r="BG7" s="5"/>
      <c r="BH7" s="5"/>
      <c r="BI7" s="5"/>
      <c r="BJ7" s="1"/>
      <c r="BL7" s="2" t="s">
        <v>481</v>
      </c>
      <c r="BP7" s="2" t="s">
        <v>4631</v>
      </c>
      <c r="BQ7" s="2"/>
      <c r="BR7" s="2"/>
    </row>
    <row r="8" spans="1:70">
      <c r="A8" s="2" t="s">
        <v>81</v>
      </c>
      <c r="B8" s="2" t="s">
        <v>153</v>
      </c>
      <c r="C8" s="2" t="s">
        <v>448</v>
      </c>
      <c r="D8" s="1">
        <v>2.2000000000000002</v>
      </c>
      <c r="E8" s="12">
        <f t="shared" si="2"/>
        <v>4.3478260869565223E-2</v>
      </c>
      <c r="F8" s="2" t="s">
        <v>81</v>
      </c>
      <c r="G8" s="5" t="s">
        <v>482</v>
      </c>
      <c r="H8" s="13" t="s">
        <v>390</v>
      </c>
      <c r="I8" s="5" t="s">
        <v>396</v>
      </c>
      <c r="J8" s="1" t="s">
        <v>391</v>
      </c>
      <c r="S8" s="16">
        <v>6</v>
      </c>
      <c r="T8" s="16" t="s">
        <v>483</v>
      </c>
      <c r="U8" s="17">
        <f>COUNTIFS(WTG_BD!L:L,'Basic Data'!T8,WTG_BD!F:F,"&gt;="&amp;O2Summary!$B$6,WTG_BD!F:F,"&lt;="&amp;O2Summary!$B$4)</f>
        <v>0</v>
      </c>
      <c r="V8" s="18">
        <f t="shared" si="0"/>
        <v>47</v>
      </c>
      <c r="W8" s="18"/>
      <c r="X8" s="18"/>
      <c r="Y8" s="18"/>
      <c r="Z8" s="20"/>
      <c r="AA8" s="18"/>
      <c r="AB8" s="18"/>
      <c r="AC8" s="18"/>
      <c r="AD8" s="18"/>
      <c r="AE8" s="18"/>
      <c r="AQ8" t="s">
        <v>484</v>
      </c>
      <c r="AU8" t="s">
        <v>485</v>
      </c>
      <c r="AY8" t="s">
        <v>486</v>
      </c>
      <c r="BA8" s="2" t="s">
        <v>487</v>
      </c>
      <c r="BB8" s="2"/>
      <c r="BC8" s="2"/>
      <c r="BD8" s="2"/>
      <c r="BE8" s="2"/>
      <c r="BF8" s="5"/>
      <c r="BG8" s="5"/>
      <c r="BH8" s="5"/>
      <c r="BI8" s="5"/>
      <c r="BJ8" s="1"/>
      <c r="BL8" s="2" t="s">
        <v>488</v>
      </c>
    </row>
    <row r="9" spans="1:70">
      <c r="A9" s="2" t="s">
        <v>82</v>
      </c>
      <c r="B9" s="2" t="s">
        <v>153</v>
      </c>
      <c r="C9" s="2" t="s">
        <v>448</v>
      </c>
      <c r="D9" s="1">
        <v>2.2000000000000002</v>
      </c>
      <c r="E9" s="12">
        <f t="shared" si="2"/>
        <v>4.3478260869565223E-2</v>
      </c>
      <c r="F9" s="2" t="s">
        <v>82</v>
      </c>
      <c r="G9" s="5" t="s">
        <v>489</v>
      </c>
      <c r="H9" s="13" t="s">
        <v>390</v>
      </c>
      <c r="I9" s="5" t="s">
        <v>396</v>
      </c>
      <c r="J9" s="1" t="s">
        <v>391</v>
      </c>
      <c r="S9" s="16">
        <v>7</v>
      </c>
      <c r="T9" s="16" t="s">
        <v>490</v>
      </c>
      <c r="U9" s="17">
        <f>COUNTIFS(WTG_BD!L:L,'Basic Data'!T9,WTG_BD!F:F,"&gt;="&amp;O2Summary!$B$6,WTG_BD!F:F,"&lt;="&amp;O2Summary!$B$4)</f>
        <v>0</v>
      </c>
      <c r="V9" s="18">
        <f t="shared" si="0"/>
        <v>47</v>
      </c>
      <c r="W9" s="18"/>
      <c r="X9" s="18"/>
      <c r="Y9" s="18"/>
      <c r="Z9" s="20"/>
      <c r="AA9" s="18"/>
      <c r="AB9" s="18"/>
      <c r="AC9" s="18"/>
      <c r="AD9" s="18"/>
      <c r="AE9" s="18"/>
      <c r="AQ9" t="s">
        <v>491</v>
      </c>
      <c r="AU9" t="s">
        <v>492</v>
      </c>
      <c r="AY9" t="s">
        <v>493</v>
      </c>
      <c r="BA9" s="2" t="s">
        <v>494</v>
      </c>
      <c r="BB9" s="2"/>
      <c r="BC9" s="2"/>
      <c r="BD9" s="2"/>
      <c r="BE9" s="2"/>
      <c r="BF9" s="5"/>
      <c r="BG9" s="5"/>
      <c r="BH9" s="5"/>
      <c r="BI9" s="5"/>
      <c r="BJ9" s="1"/>
      <c r="BL9" s="2" t="s">
        <v>495</v>
      </c>
    </row>
    <row r="10" spans="1:70">
      <c r="A10" s="2" t="s">
        <v>83</v>
      </c>
      <c r="B10" s="2" t="s">
        <v>153</v>
      </c>
      <c r="C10" s="2" t="s">
        <v>448</v>
      </c>
      <c r="D10" s="1">
        <v>2.2000000000000002</v>
      </c>
      <c r="E10" s="12">
        <f t="shared" si="2"/>
        <v>4.3478260869565223E-2</v>
      </c>
      <c r="F10" s="2" t="s">
        <v>83</v>
      </c>
      <c r="G10" s="5" t="s">
        <v>496</v>
      </c>
      <c r="H10" s="13" t="s">
        <v>387</v>
      </c>
      <c r="I10" s="5" t="s">
        <v>396</v>
      </c>
      <c r="J10" s="1" t="s">
        <v>391</v>
      </c>
      <c r="S10" s="16">
        <v>8</v>
      </c>
      <c r="T10" s="16" t="s">
        <v>497</v>
      </c>
      <c r="U10" s="17">
        <f>COUNTIFS(WTG_BD!L:L,'Basic Data'!T10,WTG_BD!F:F,"&gt;="&amp;O2Summary!$B$6,WTG_BD!F:F,"&lt;="&amp;O2Summary!$B$4)</f>
        <v>0</v>
      </c>
      <c r="V10" s="18">
        <f t="shared" si="0"/>
        <v>47</v>
      </c>
      <c r="W10" s="18"/>
      <c r="X10" s="18"/>
      <c r="Y10" s="18"/>
      <c r="Z10" s="20"/>
      <c r="AA10" s="18"/>
      <c r="AB10" s="18"/>
      <c r="AC10" s="18"/>
      <c r="AD10" s="18"/>
      <c r="AE10" s="18"/>
      <c r="AU10" t="s">
        <v>498</v>
      </c>
      <c r="AY10" t="s">
        <v>499</v>
      </c>
      <c r="BA10" s="2" t="s">
        <v>500</v>
      </c>
      <c r="BB10" s="2"/>
      <c r="BC10" s="2"/>
      <c r="BD10" s="2"/>
      <c r="BE10" s="2"/>
      <c r="BF10" s="5"/>
      <c r="BG10" s="5"/>
      <c r="BH10" s="5"/>
      <c r="BI10" s="5"/>
      <c r="BJ10" s="1"/>
      <c r="BL10" s="2" t="s">
        <v>501</v>
      </c>
    </row>
    <row r="11" spans="1:70">
      <c r="A11" s="2" t="s">
        <v>84</v>
      </c>
      <c r="B11" s="2" t="s">
        <v>153</v>
      </c>
      <c r="C11" s="2" t="s">
        <v>448</v>
      </c>
      <c r="D11" s="1">
        <v>2.2000000000000002</v>
      </c>
      <c r="E11" s="12">
        <f t="shared" si="2"/>
        <v>4.3478260869565223E-2</v>
      </c>
      <c r="F11" s="2" t="s">
        <v>84</v>
      </c>
      <c r="G11" s="5" t="s">
        <v>467</v>
      </c>
      <c r="H11" s="13" t="s">
        <v>390</v>
      </c>
      <c r="I11" s="5" t="s">
        <v>396</v>
      </c>
      <c r="J11" s="1" t="s">
        <v>391</v>
      </c>
      <c r="S11" s="16">
        <v>9</v>
      </c>
      <c r="T11" s="16" t="s">
        <v>502</v>
      </c>
      <c r="U11" s="17">
        <f>COUNTIFS(WTG_BD!L:L,'Basic Data'!T11,WTG_BD!F:F,"&gt;="&amp;O2Summary!$B$6,WTG_BD!F:F,"&lt;="&amp;O2Summary!$B$4)</f>
        <v>0</v>
      </c>
      <c r="V11" s="18">
        <f t="shared" si="0"/>
        <v>47</v>
      </c>
      <c r="W11" s="18"/>
      <c r="X11" s="18"/>
      <c r="Y11" s="18"/>
      <c r="Z11" s="20"/>
      <c r="AA11" s="18"/>
      <c r="AB11" s="18"/>
      <c r="AC11" s="18"/>
      <c r="AD11" s="18"/>
      <c r="AE11" s="18"/>
      <c r="AU11" t="s">
        <v>503</v>
      </c>
      <c r="AY11" t="s">
        <v>504</v>
      </c>
      <c r="BA11" s="2" t="s">
        <v>505</v>
      </c>
      <c r="BB11" s="2"/>
      <c r="BC11" s="2"/>
      <c r="BD11" s="2"/>
      <c r="BE11" s="2"/>
      <c r="BF11" s="5"/>
      <c r="BG11" s="5"/>
      <c r="BH11" s="5"/>
      <c r="BI11" s="5"/>
      <c r="BJ11" s="1"/>
      <c r="BL11" s="2" t="s">
        <v>506</v>
      </c>
    </row>
    <row r="12" spans="1:70">
      <c r="A12" s="2" t="s">
        <v>85</v>
      </c>
      <c r="B12" s="11" t="s">
        <v>152</v>
      </c>
      <c r="C12" s="2" t="s">
        <v>436</v>
      </c>
      <c r="D12" s="1">
        <v>2.2000000000000002</v>
      </c>
      <c r="E12" s="12">
        <f t="shared" si="2"/>
        <v>4.3478260869565223E-2</v>
      </c>
      <c r="F12" s="2" t="s">
        <v>85</v>
      </c>
      <c r="G12" s="5" t="s">
        <v>437</v>
      </c>
      <c r="H12" s="13" t="s">
        <v>387</v>
      </c>
      <c r="I12" s="5" t="s">
        <v>396</v>
      </c>
      <c r="J12" s="1" t="s">
        <v>391</v>
      </c>
      <c r="S12" s="16">
        <v>10</v>
      </c>
      <c r="T12" s="16" t="s">
        <v>507</v>
      </c>
      <c r="U12" s="17">
        <f>COUNTIFS(WTG_BD!L:L,'Basic Data'!T12,WTG_BD!F:F,"&gt;="&amp;O2Summary!$B$6,WTG_BD!F:F,"&lt;="&amp;O2Summary!$B$4)</f>
        <v>0</v>
      </c>
      <c r="V12" s="18">
        <f t="shared" si="0"/>
        <v>47</v>
      </c>
      <c r="W12" s="19"/>
      <c r="X12" s="18"/>
      <c r="Y12" s="18"/>
      <c r="Z12" s="20"/>
      <c r="AA12" s="18"/>
      <c r="AB12" s="18"/>
      <c r="AC12" s="18"/>
      <c r="AD12" s="18"/>
      <c r="AE12" s="18"/>
      <c r="AU12" t="s">
        <v>508</v>
      </c>
      <c r="BA12" s="2" t="s">
        <v>509</v>
      </c>
      <c r="BB12" s="2"/>
      <c r="BC12" s="2"/>
      <c r="BD12" s="2"/>
      <c r="BE12" s="2"/>
      <c r="BF12" s="5"/>
      <c r="BG12" s="5"/>
      <c r="BH12" s="5"/>
      <c r="BI12" s="5"/>
      <c r="BJ12" s="1"/>
      <c r="BL12" s="2" t="s">
        <v>510</v>
      </c>
    </row>
    <row r="13" spans="1:70">
      <c r="A13" s="2" t="s">
        <v>86</v>
      </c>
      <c r="B13" s="11" t="s">
        <v>152</v>
      </c>
      <c r="C13" s="2" t="s">
        <v>436</v>
      </c>
      <c r="D13" s="1">
        <v>2.2000000000000002</v>
      </c>
      <c r="E13" s="12">
        <f t="shared" si="2"/>
        <v>4.3478260869565223E-2</v>
      </c>
      <c r="F13" s="2" t="s">
        <v>86</v>
      </c>
      <c r="G13" s="5" t="s">
        <v>437</v>
      </c>
      <c r="H13" s="13" t="s">
        <v>387</v>
      </c>
      <c r="I13" s="5" t="s">
        <v>396</v>
      </c>
      <c r="J13" s="1" t="s">
        <v>391</v>
      </c>
      <c r="S13" s="16">
        <v>11</v>
      </c>
      <c r="T13" s="16" t="s">
        <v>511</v>
      </c>
      <c r="U13" s="17">
        <f>COUNTIFS(WTG_BD!L:L,'Basic Data'!T13,WTG_BD!F:F,"&gt;="&amp;O2Summary!$B$6,WTG_BD!F:F,"&lt;="&amp;O2Summary!$B$4)</f>
        <v>0</v>
      </c>
      <c r="V13" s="18">
        <f t="shared" si="0"/>
        <v>47</v>
      </c>
      <c r="W13" s="19"/>
      <c r="X13" s="18"/>
      <c r="Y13" s="18"/>
      <c r="Z13" s="20"/>
      <c r="AA13" s="18"/>
      <c r="AB13" s="18"/>
      <c r="AC13" s="18"/>
      <c r="AD13" s="18"/>
      <c r="AE13" s="18"/>
      <c r="AU13" t="s">
        <v>512</v>
      </c>
      <c r="BA13" s="2" t="s">
        <v>513</v>
      </c>
      <c r="BB13" s="2"/>
      <c r="BC13" s="2"/>
      <c r="BD13" s="2"/>
      <c r="BE13" s="2"/>
      <c r="BF13" s="5"/>
      <c r="BG13" s="5"/>
      <c r="BH13" s="5"/>
      <c r="BI13" s="5"/>
      <c r="BJ13" s="1"/>
      <c r="BL13" s="2" t="s">
        <v>514</v>
      </c>
    </row>
    <row r="14" spans="1:70">
      <c r="A14" s="2" t="s">
        <v>87</v>
      </c>
      <c r="B14" s="11" t="s">
        <v>152</v>
      </c>
      <c r="C14" s="2" t="s">
        <v>436</v>
      </c>
      <c r="D14" s="1">
        <v>2.2000000000000002</v>
      </c>
      <c r="E14" s="12">
        <f t="shared" si="2"/>
        <v>4.3478260869565223E-2</v>
      </c>
      <c r="F14" s="2" t="s">
        <v>87</v>
      </c>
      <c r="G14" s="5" t="s">
        <v>437</v>
      </c>
      <c r="H14" s="13" t="s">
        <v>387</v>
      </c>
      <c r="I14" s="5" t="s">
        <v>396</v>
      </c>
      <c r="J14" s="1" t="s">
        <v>391</v>
      </c>
      <c r="S14" s="16">
        <v>12</v>
      </c>
      <c r="T14" s="16" t="s">
        <v>515</v>
      </c>
      <c r="U14" s="17">
        <f>COUNTIFS(WTG_BD!L:L,'Basic Data'!T14,WTG_BD!F:F,"&gt;="&amp;O2Summary!$B$6,WTG_BD!F:F,"&lt;="&amp;O2Summary!$B$4)</f>
        <v>0</v>
      </c>
      <c r="V14" s="18">
        <f t="shared" si="0"/>
        <v>47</v>
      </c>
      <c r="W14" s="19"/>
      <c r="X14" s="18"/>
      <c r="Y14" s="18"/>
      <c r="Z14" s="20"/>
      <c r="AA14" s="18"/>
      <c r="AB14" s="18"/>
      <c r="AC14" s="18"/>
      <c r="AD14" s="18"/>
      <c r="AE14" s="18"/>
      <c r="AU14" t="s">
        <v>516</v>
      </c>
      <c r="BA14" s="2" t="s">
        <v>517</v>
      </c>
      <c r="BB14" s="2"/>
      <c r="BC14" s="2"/>
      <c r="BD14" s="2"/>
      <c r="BE14" s="2"/>
      <c r="BF14" s="5"/>
      <c r="BG14" s="5"/>
      <c r="BH14" s="5"/>
      <c r="BI14" s="5"/>
      <c r="BJ14" s="1"/>
      <c r="BL14" s="2" t="s">
        <v>518</v>
      </c>
    </row>
    <row r="15" spans="1:70">
      <c r="A15" s="2" t="s">
        <v>88</v>
      </c>
      <c r="B15" s="11" t="s">
        <v>152</v>
      </c>
      <c r="C15" s="2" t="s">
        <v>436</v>
      </c>
      <c r="D15" s="1">
        <v>2.2000000000000002</v>
      </c>
      <c r="E15" s="12">
        <f t="shared" si="2"/>
        <v>4.3478260869565223E-2</v>
      </c>
      <c r="F15" s="2" t="s">
        <v>88</v>
      </c>
      <c r="G15" s="5" t="s">
        <v>437</v>
      </c>
      <c r="H15" s="13" t="s">
        <v>387</v>
      </c>
      <c r="I15" s="5" t="s">
        <v>396</v>
      </c>
      <c r="J15" s="1" t="s">
        <v>391</v>
      </c>
      <c r="S15" s="16">
        <v>13</v>
      </c>
      <c r="T15" s="16" t="s">
        <v>519</v>
      </c>
      <c r="U15" s="17">
        <f>COUNTIFS(WTG_BD!L:L,'Basic Data'!T15,WTG_BD!F:F,"&gt;="&amp;O2Summary!$B$6,WTG_BD!F:F,"&lt;="&amp;O2Summary!$B$4)</f>
        <v>0</v>
      </c>
      <c r="V15" s="18">
        <f t="shared" si="0"/>
        <v>47</v>
      </c>
      <c r="W15" s="19"/>
      <c r="X15" s="18"/>
      <c r="Y15" s="18"/>
      <c r="Z15" s="20"/>
      <c r="AA15" s="18"/>
      <c r="AB15" s="18"/>
      <c r="AC15" s="18"/>
      <c r="AD15" s="18"/>
      <c r="AE15" s="18"/>
      <c r="AU15" t="s">
        <v>520</v>
      </c>
      <c r="BA15" s="2" t="s">
        <v>521</v>
      </c>
      <c r="BB15" s="2"/>
      <c r="BC15" s="2"/>
      <c r="BD15" s="2"/>
      <c r="BE15" s="2"/>
      <c r="BF15" s="5"/>
      <c r="BG15" s="5"/>
      <c r="BH15" s="5"/>
      <c r="BI15" s="5"/>
      <c r="BJ15" s="1"/>
      <c r="BL15" s="2" t="s">
        <v>522</v>
      </c>
    </row>
    <row r="16" spans="1:70">
      <c r="A16" s="2" t="s">
        <v>89</v>
      </c>
      <c r="B16" s="11" t="s">
        <v>152</v>
      </c>
      <c r="C16" s="2" t="s">
        <v>436</v>
      </c>
      <c r="D16" s="1">
        <v>2.2000000000000002</v>
      </c>
      <c r="E16" s="12">
        <f t="shared" si="2"/>
        <v>4.3478260869565223E-2</v>
      </c>
      <c r="F16" s="2" t="s">
        <v>89</v>
      </c>
      <c r="G16" s="5" t="s">
        <v>437</v>
      </c>
      <c r="H16" s="13" t="s">
        <v>387</v>
      </c>
      <c r="I16" s="5" t="s">
        <v>396</v>
      </c>
      <c r="J16" s="1" t="s">
        <v>391</v>
      </c>
      <c r="S16" s="16">
        <v>14</v>
      </c>
      <c r="T16" s="16" t="s">
        <v>523</v>
      </c>
      <c r="U16" s="17">
        <f>COUNTIFS(WTG_BD!L:L,'Basic Data'!T16,WTG_BD!F:F,"&gt;="&amp;O2Summary!$B$6,WTG_BD!F:F,"&lt;="&amp;O2Summary!$B$4)</f>
        <v>0</v>
      </c>
      <c r="V16" s="18">
        <f t="shared" si="0"/>
        <v>47</v>
      </c>
      <c r="W16" s="19"/>
      <c r="X16" s="18"/>
      <c r="Y16" s="18"/>
      <c r="Z16" s="20"/>
      <c r="AA16" s="18"/>
      <c r="AB16" s="18"/>
      <c r="AC16" s="18"/>
      <c r="AD16" s="18"/>
      <c r="AE16" s="18"/>
      <c r="AU16" t="s">
        <v>524</v>
      </c>
      <c r="BA16" s="2" t="s">
        <v>525</v>
      </c>
      <c r="BB16" s="2"/>
      <c r="BC16" s="2"/>
      <c r="BD16" s="2"/>
      <c r="BE16" s="2"/>
      <c r="BF16" s="5"/>
      <c r="BG16" s="5"/>
      <c r="BH16" s="5"/>
      <c r="BI16" s="5"/>
      <c r="BJ16" s="1"/>
      <c r="BL16" s="2" t="s">
        <v>526</v>
      </c>
    </row>
    <row r="17" spans="1:64">
      <c r="A17" s="2" t="s">
        <v>90</v>
      </c>
      <c r="B17" s="11" t="s">
        <v>152</v>
      </c>
      <c r="C17" s="2" t="s">
        <v>436</v>
      </c>
      <c r="D17" s="1">
        <v>2.2000000000000002</v>
      </c>
      <c r="E17" s="12">
        <f t="shared" si="2"/>
        <v>4.3478260869565223E-2</v>
      </c>
      <c r="F17" s="2" t="s">
        <v>90</v>
      </c>
      <c r="G17" s="5" t="s">
        <v>437</v>
      </c>
      <c r="H17" s="13" t="s">
        <v>387</v>
      </c>
      <c r="I17" s="5" t="s">
        <v>396</v>
      </c>
      <c r="J17" s="1" t="s">
        <v>391</v>
      </c>
      <c r="S17" s="16">
        <v>15</v>
      </c>
      <c r="T17" s="16" t="s">
        <v>527</v>
      </c>
      <c r="U17" s="17">
        <f>COUNTIFS(WTG_BD!L:L,'Basic Data'!T17,WTG_BD!F:F,"&gt;="&amp;O2Summary!$B$6,WTG_BD!F:F,"&lt;="&amp;O2Summary!$B$4)</f>
        <v>0</v>
      </c>
      <c r="V17" s="18">
        <f t="shared" si="0"/>
        <v>47</v>
      </c>
      <c r="W17" s="19"/>
      <c r="X17" s="18"/>
      <c r="Y17" s="18"/>
      <c r="Z17" s="20"/>
      <c r="AA17" s="18"/>
      <c r="AB17" s="18"/>
      <c r="AC17" s="18"/>
      <c r="AD17" s="18"/>
      <c r="AE17" s="18"/>
      <c r="AU17" t="s">
        <v>528</v>
      </c>
      <c r="BA17" s="2" t="s">
        <v>529</v>
      </c>
      <c r="BB17" s="2"/>
      <c r="BC17" s="2"/>
      <c r="BD17" s="2"/>
      <c r="BE17" s="2"/>
      <c r="BF17" s="5"/>
      <c r="BG17" s="5"/>
      <c r="BH17" s="5"/>
      <c r="BI17" s="5"/>
      <c r="BJ17" s="1"/>
      <c r="BL17" s="2" t="s">
        <v>530</v>
      </c>
    </row>
    <row r="18" spans="1:64">
      <c r="A18" s="2" t="s">
        <v>91</v>
      </c>
      <c r="B18" s="2" t="s">
        <v>154</v>
      </c>
      <c r="C18" s="2" t="s">
        <v>531</v>
      </c>
      <c r="D18" s="1">
        <v>2.2000000000000002</v>
      </c>
      <c r="E18" s="12">
        <f t="shared" si="2"/>
        <v>4.3478260869565223E-2</v>
      </c>
      <c r="F18" s="2" t="s">
        <v>91</v>
      </c>
      <c r="G18" s="5" t="s">
        <v>532</v>
      </c>
      <c r="H18" s="13" t="s">
        <v>390</v>
      </c>
      <c r="I18" s="5" t="s">
        <v>396</v>
      </c>
      <c r="J18" s="1" t="s">
        <v>391</v>
      </c>
      <c r="S18" s="16">
        <v>16</v>
      </c>
      <c r="T18" s="16" t="s">
        <v>533</v>
      </c>
      <c r="U18" s="17">
        <f>COUNTIFS(WTG_BD!L:L,'Basic Data'!T18,WTG_BD!F:F,"&gt;="&amp;O2Summary!$B$6,WTG_BD!F:F,"&lt;="&amp;O2Summary!$B$4)</f>
        <v>0</v>
      </c>
      <c r="V18" s="18">
        <f t="shared" si="0"/>
        <v>47</v>
      </c>
      <c r="W18" s="18"/>
      <c r="X18" s="18"/>
      <c r="Y18" s="18"/>
      <c r="Z18" s="20"/>
      <c r="AA18" s="18"/>
      <c r="AB18" s="18"/>
      <c r="AC18" s="18"/>
      <c r="AD18" s="18"/>
      <c r="AE18" s="18"/>
      <c r="AU18" t="s">
        <v>534</v>
      </c>
      <c r="BA18" s="2" t="s">
        <v>535</v>
      </c>
      <c r="BB18" s="11" t="s">
        <v>156</v>
      </c>
      <c r="BC18" s="2" t="s">
        <v>433</v>
      </c>
      <c r="BD18" s="1">
        <v>219.24</v>
      </c>
      <c r="BE18" s="12">
        <f t="shared" ref="BE18:BE38" si="3">BD18/$N$4</f>
        <v>5.1952606635071091E-2</v>
      </c>
      <c r="BF18" s="1" t="s">
        <v>384</v>
      </c>
      <c r="BG18" s="5" t="s">
        <v>434</v>
      </c>
      <c r="BH18" s="1" t="s">
        <v>435</v>
      </c>
      <c r="BI18" s="5" t="s">
        <v>396</v>
      </c>
      <c r="BJ18" s="1" t="s">
        <v>392</v>
      </c>
      <c r="BL18" s="2" t="s">
        <v>536</v>
      </c>
    </row>
    <row r="19" spans="1:64">
      <c r="A19" s="2" t="s">
        <v>92</v>
      </c>
      <c r="B19" s="2" t="s">
        <v>154</v>
      </c>
      <c r="C19" s="2" t="s">
        <v>531</v>
      </c>
      <c r="D19" s="1">
        <v>2.2000000000000002</v>
      </c>
      <c r="E19" s="12">
        <f t="shared" si="2"/>
        <v>4.3478260869565223E-2</v>
      </c>
      <c r="F19" s="2" t="s">
        <v>92</v>
      </c>
      <c r="G19" s="5" t="s">
        <v>532</v>
      </c>
      <c r="H19" s="13" t="s">
        <v>390</v>
      </c>
      <c r="I19" s="5" t="s">
        <v>396</v>
      </c>
      <c r="J19" s="1" t="s">
        <v>391</v>
      </c>
      <c r="S19" s="16">
        <v>17</v>
      </c>
      <c r="T19" s="16" t="s">
        <v>537</v>
      </c>
      <c r="U19" s="17">
        <f>COUNTIFS(WTG_BD!L:L,'Basic Data'!T19,WTG_BD!F:F,"&gt;="&amp;O2Summary!$B$6,WTG_BD!F:F,"&lt;="&amp;O2Summary!$B$4)</f>
        <v>0</v>
      </c>
      <c r="V19" s="18">
        <f t="shared" si="0"/>
        <v>47</v>
      </c>
      <c r="W19" s="18"/>
      <c r="X19" s="18"/>
      <c r="Y19" s="18"/>
      <c r="Z19" s="20"/>
      <c r="AA19" s="18"/>
      <c r="AB19" s="18"/>
      <c r="AC19" s="18"/>
      <c r="AD19" s="18"/>
      <c r="AE19" s="18"/>
      <c r="AU19" t="s">
        <v>538</v>
      </c>
      <c r="BA19" s="2" t="s">
        <v>539</v>
      </c>
      <c r="BB19" s="11" t="s">
        <v>156</v>
      </c>
      <c r="BC19" s="2" t="s">
        <v>433</v>
      </c>
      <c r="BD19" s="1">
        <v>219.24</v>
      </c>
      <c r="BE19" s="12">
        <f t="shared" si="3"/>
        <v>5.1952606635071091E-2</v>
      </c>
      <c r="BF19" s="1" t="s">
        <v>384</v>
      </c>
      <c r="BG19" s="5" t="s">
        <v>434</v>
      </c>
      <c r="BH19" s="1" t="s">
        <v>435</v>
      </c>
      <c r="BI19" s="5" t="s">
        <v>396</v>
      </c>
      <c r="BJ19" s="1" t="s">
        <v>392</v>
      </c>
      <c r="BL19" s="2" t="s">
        <v>540</v>
      </c>
    </row>
    <row r="20" spans="1:64">
      <c r="A20" s="2" t="s">
        <v>93</v>
      </c>
      <c r="B20" s="2" t="s">
        <v>155</v>
      </c>
      <c r="C20" s="2" t="s">
        <v>433</v>
      </c>
      <c r="D20" s="1">
        <v>2.2000000000000002</v>
      </c>
      <c r="E20" s="12">
        <f t="shared" si="2"/>
        <v>4.3478260869565223E-2</v>
      </c>
      <c r="F20" s="2" t="s">
        <v>93</v>
      </c>
      <c r="G20" s="5" t="s">
        <v>541</v>
      </c>
      <c r="H20" s="13" t="s">
        <v>390</v>
      </c>
      <c r="I20" s="5" t="s">
        <v>396</v>
      </c>
      <c r="J20" s="1" t="s">
        <v>391</v>
      </c>
      <c r="S20" s="16">
        <v>18</v>
      </c>
      <c r="T20" s="16" t="s">
        <v>542</v>
      </c>
      <c r="U20" s="17">
        <f>COUNTIFS(WTG_BD!L:L,'Basic Data'!T20,WTG_BD!F:F,"&gt;="&amp;O2Summary!$B$6,WTG_BD!F:F,"&lt;="&amp;O2Summary!$B$4)</f>
        <v>0</v>
      </c>
      <c r="V20" s="18">
        <f t="shared" si="0"/>
        <v>47</v>
      </c>
      <c r="W20" s="18"/>
      <c r="X20" s="18"/>
      <c r="Y20" s="18"/>
      <c r="Z20" s="20"/>
      <c r="AA20" s="18"/>
      <c r="AB20" s="18"/>
      <c r="AC20" s="18"/>
      <c r="AD20" s="18"/>
      <c r="AE20" s="18"/>
      <c r="AU20" t="s">
        <v>543</v>
      </c>
      <c r="BA20" s="2" t="s">
        <v>544</v>
      </c>
      <c r="BB20" s="11" t="s">
        <v>156</v>
      </c>
      <c r="BC20" s="2" t="s">
        <v>433</v>
      </c>
      <c r="BD20" s="1">
        <v>219.24</v>
      </c>
      <c r="BE20" s="12">
        <f t="shared" si="3"/>
        <v>5.1952606635071091E-2</v>
      </c>
      <c r="BF20" s="1" t="s">
        <v>384</v>
      </c>
      <c r="BG20" s="5" t="s">
        <v>434</v>
      </c>
      <c r="BH20" s="1" t="s">
        <v>435</v>
      </c>
      <c r="BI20" s="5" t="s">
        <v>396</v>
      </c>
      <c r="BJ20" s="1" t="s">
        <v>392</v>
      </c>
      <c r="BL20" s="25" t="s">
        <v>545</v>
      </c>
    </row>
    <row r="21" spans="1:64">
      <c r="A21" s="2" t="s">
        <v>94</v>
      </c>
      <c r="B21" s="11" t="s">
        <v>152</v>
      </c>
      <c r="C21" s="2" t="s">
        <v>436</v>
      </c>
      <c r="D21" s="1">
        <v>2.2000000000000002</v>
      </c>
      <c r="E21" s="12">
        <f t="shared" si="2"/>
        <v>4.3478260869565223E-2</v>
      </c>
      <c r="F21" s="2" t="s">
        <v>94</v>
      </c>
      <c r="G21" s="5" t="s">
        <v>437</v>
      </c>
      <c r="H21" s="13" t="s">
        <v>387</v>
      </c>
      <c r="I21" s="5" t="s">
        <v>396</v>
      </c>
      <c r="J21" s="1" t="s">
        <v>391</v>
      </c>
      <c r="S21" s="16">
        <v>19</v>
      </c>
      <c r="T21" s="16" t="s">
        <v>546</v>
      </c>
      <c r="U21" s="17">
        <f>COUNTIFS(WTG_BD!L:L,'Basic Data'!T21,WTG_BD!F:F,"&gt;="&amp;O2Summary!$B$6,WTG_BD!F:F,"&lt;="&amp;O2Summary!$B$4)</f>
        <v>0</v>
      </c>
      <c r="V21" s="18">
        <f t="shared" si="0"/>
        <v>47</v>
      </c>
      <c r="W21" s="19"/>
      <c r="X21" s="18"/>
      <c r="Y21" s="18"/>
      <c r="Z21" s="20"/>
      <c r="AA21" s="18"/>
      <c r="AB21" s="18"/>
      <c r="AC21" s="18"/>
      <c r="AD21" s="18"/>
      <c r="AE21" s="18"/>
      <c r="AU21" t="s">
        <v>547</v>
      </c>
      <c r="BA21" s="2" t="s">
        <v>548</v>
      </c>
      <c r="BB21" s="11" t="s">
        <v>156</v>
      </c>
      <c r="BC21" s="2" t="s">
        <v>433</v>
      </c>
      <c r="BD21" s="1">
        <v>219.24</v>
      </c>
      <c r="BE21" s="12">
        <f t="shared" si="3"/>
        <v>5.1952606635071091E-2</v>
      </c>
      <c r="BF21" s="1" t="s">
        <v>384</v>
      </c>
      <c r="BG21" s="5" t="s">
        <v>434</v>
      </c>
      <c r="BH21" s="1" t="s">
        <v>435</v>
      </c>
      <c r="BI21" s="5" t="s">
        <v>396</v>
      </c>
      <c r="BJ21" s="1" t="s">
        <v>392</v>
      </c>
    </row>
    <row r="22" spans="1:64">
      <c r="A22" s="2" t="s">
        <v>95</v>
      </c>
      <c r="B22" s="11" t="s">
        <v>152</v>
      </c>
      <c r="C22" s="2" t="s">
        <v>436</v>
      </c>
      <c r="D22" s="1">
        <v>2.2000000000000002</v>
      </c>
      <c r="E22" s="12">
        <f t="shared" si="2"/>
        <v>4.3478260869565223E-2</v>
      </c>
      <c r="F22" s="2" t="s">
        <v>95</v>
      </c>
      <c r="G22" s="5" t="s">
        <v>437</v>
      </c>
      <c r="H22" s="13" t="s">
        <v>387</v>
      </c>
      <c r="I22" s="5" t="s">
        <v>396</v>
      </c>
      <c r="J22" s="1" t="s">
        <v>391</v>
      </c>
      <c r="S22" s="16">
        <v>20</v>
      </c>
      <c r="T22" s="16" t="s">
        <v>549</v>
      </c>
      <c r="U22" s="17">
        <f>COUNTIFS(WTG_BD!L:L,'Basic Data'!T22,WTG_BD!F:F,"&gt;="&amp;O2Summary!$B$6,WTG_BD!F:F,"&lt;="&amp;O2Summary!$B$4)</f>
        <v>0</v>
      </c>
      <c r="V22" s="18">
        <f t="shared" si="0"/>
        <v>47</v>
      </c>
      <c r="W22" s="19"/>
      <c r="X22" s="18"/>
      <c r="Y22" s="18"/>
      <c r="Z22" s="20"/>
      <c r="AA22" s="18"/>
      <c r="AB22" s="18"/>
      <c r="AC22" s="18"/>
      <c r="AD22" s="18"/>
      <c r="AE22" s="18"/>
      <c r="AU22" t="s">
        <v>550</v>
      </c>
      <c r="BA22" s="2" t="s">
        <v>551</v>
      </c>
      <c r="BB22" s="11" t="s">
        <v>156</v>
      </c>
      <c r="BC22" s="2" t="s">
        <v>433</v>
      </c>
      <c r="BD22" s="1">
        <v>156.6</v>
      </c>
      <c r="BE22" s="12">
        <f t="shared" si="3"/>
        <v>3.7109004739336489E-2</v>
      </c>
      <c r="BF22" s="1" t="s">
        <v>384</v>
      </c>
      <c r="BG22" s="5" t="s">
        <v>434</v>
      </c>
      <c r="BH22" s="1" t="s">
        <v>435</v>
      </c>
      <c r="BI22" s="5" t="s">
        <v>396</v>
      </c>
      <c r="BJ22" s="1" t="s">
        <v>392</v>
      </c>
    </row>
    <row r="23" spans="1:64">
      <c r="A23" s="2" t="s">
        <v>96</v>
      </c>
      <c r="B23" s="2" t="s">
        <v>153</v>
      </c>
      <c r="C23" s="2" t="s">
        <v>448</v>
      </c>
      <c r="D23" s="1">
        <v>2.2000000000000002</v>
      </c>
      <c r="E23" s="12">
        <f t="shared" si="2"/>
        <v>4.3478260869565223E-2</v>
      </c>
      <c r="F23" s="2" t="s">
        <v>96</v>
      </c>
      <c r="G23" s="5" t="s">
        <v>467</v>
      </c>
      <c r="H23" s="13" t="s">
        <v>390</v>
      </c>
      <c r="I23" s="5" t="s">
        <v>396</v>
      </c>
      <c r="J23" s="1" t="s">
        <v>391</v>
      </c>
      <c r="S23" s="16">
        <v>21</v>
      </c>
      <c r="T23" s="16" t="s">
        <v>552</v>
      </c>
      <c r="U23" s="17">
        <f>COUNTIFS(WTG_BD!L:L,'Basic Data'!T23,WTG_BD!F:F,"&gt;="&amp;O2Summary!$B$6,WTG_BD!F:F,"&lt;="&amp;O2Summary!$B$4)</f>
        <v>0</v>
      </c>
      <c r="V23" s="18">
        <f t="shared" si="0"/>
        <v>47</v>
      </c>
      <c r="W23" s="18"/>
      <c r="X23" s="18"/>
      <c r="Y23" s="18"/>
      <c r="Z23" s="20"/>
      <c r="AA23" s="18"/>
      <c r="AB23" s="18"/>
      <c r="AC23" s="18"/>
      <c r="AD23" s="18"/>
      <c r="AE23" s="18"/>
      <c r="AU23" t="s">
        <v>553</v>
      </c>
      <c r="BA23" s="2" t="s">
        <v>554</v>
      </c>
      <c r="BB23" s="11" t="s">
        <v>156</v>
      </c>
      <c r="BC23" s="2" t="s">
        <v>433</v>
      </c>
      <c r="BD23" s="1">
        <v>219.24</v>
      </c>
      <c r="BE23" s="12">
        <f t="shared" si="3"/>
        <v>5.1952606635071091E-2</v>
      </c>
      <c r="BF23" s="1" t="s">
        <v>384</v>
      </c>
      <c r="BG23" s="5" t="s">
        <v>434</v>
      </c>
      <c r="BH23" s="1" t="s">
        <v>435</v>
      </c>
      <c r="BI23" s="5" t="s">
        <v>396</v>
      </c>
      <c r="BJ23" s="1" t="s">
        <v>392</v>
      </c>
    </row>
    <row r="24" spans="1:64">
      <c r="A24" s="2" t="s">
        <v>97</v>
      </c>
      <c r="B24" s="2" t="s">
        <v>153</v>
      </c>
      <c r="C24" s="2" t="s">
        <v>448</v>
      </c>
      <c r="D24" s="1">
        <v>2.2000000000000002</v>
      </c>
      <c r="E24" s="12">
        <f t="shared" si="2"/>
        <v>4.3478260869565223E-2</v>
      </c>
      <c r="F24" s="2" t="s">
        <v>97</v>
      </c>
      <c r="G24" s="5" t="s">
        <v>467</v>
      </c>
      <c r="H24" s="13" t="s">
        <v>390</v>
      </c>
      <c r="I24" s="5" t="s">
        <v>396</v>
      </c>
      <c r="J24" s="1" t="s">
        <v>391</v>
      </c>
      <c r="S24" s="16">
        <v>22</v>
      </c>
      <c r="T24" s="16" t="s">
        <v>555</v>
      </c>
      <c r="U24" s="17">
        <f>COUNTIFS(WTG_BD!L:L,'Basic Data'!T24,WTG_BD!F:F,"&gt;="&amp;O2Summary!$B$6,WTG_BD!F:F,"&lt;="&amp;O2Summary!$B$4)</f>
        <v>0</v>
      </c>
      <c r="V24" s="18">
        <f t="shared" si="0"/>
        <v>47</v>
      </c>
      <c r="W24" s="18"/>
      <c r="X24" s="18"/>
      <c r="Y24" s="18"/>
      <c r="Z24" s="20"/>
      <c r="AA24" s="18"/>
      <c r="AB24" s="18"/>
      <c r="AC24" s="18"/>
      <c r="AD24" s="18"/>
      <c r="AE24" s="18"/>
      <c r="BA24" s="2" t="s">
        <v>556</v>
      </c>
      <c r="BB24" s="11" t="s">
        <v>156</v>
      </c>
      <c r="BC24" s="2" t="s">
        <v>433</v>
      </c>
      <c r="BD24" s="1">
        <v>252.88</v>
      </c>
      <c r="BE24" s="12">
        <f t="shared" si="3"/>
        <v>5.9924170616113742E-2</v>
      </c>
      <c r="BF24" s="1" t="s">
        <v>384</v>
      </c>
      <c r="BG24" s="5" t="s">
        <v>434</v>
      </c>
      <c r="BH24" s="1" t="s">
        <v>435</v>
      </c>
      <c r="BI24" s="5" t="s">
        <v>396</v>
      </c>
      <c r="BJ24" s="1" t="s">
        <v>392</v>
      </c>
    </row>
    <row r="25" spans="1:64">
      <c r="A25" s="2" t="s">
        <v>98</v>
      </c>
      <c r="B25" s="2" t="s">
        <v>153</v>
      </c>
      <c r="C25" s="2" t="s">
        <v>448</v>
      </c>
      <c r="D25" s="1">
        <v>2.2000000000000002</v>
      </c>
      <c r="E25" s="12">
        <f t="shared" si="2"/>
        <v>4.3478260869565223E-2</v>
      </c>
      <c r="F25" s="2" t="s">
        <v>98</v>
      </c>
      <c r="G25" s="5" t="s">
        <v>467</v>
      </c>
      <c r="H25" s="13" t="s">
        <v>390</v>
      </c>
      <c r="I25" s="5" t="s">
        <v>396</v>
      </c>
      <c r="J25" s="1" t="s">
        <v>391</v>
      </c>
      <c r="S25" s="16">
        <v>23</v>
      </c>
      <c r="T25" s="16" t="s">
        <v>557</v>
      </c>
      <c r="U25" s="17">
        <f>COUNTIFS(WTG_BD!L:L,'Basic Data'!T25,WTG_BD!F:F,"&gt;="&amp;O2Summary!$B$6,WTG_BD!F:F,"&lt;="&amp;O2Summary!$B$4)</f>
        <v>0</v>
      </c>
      <c r="V25" s="18">
        <f t="shared" si="0"/>
        <v>47</v>
      </c>
      <c r="W25" s="18"/>
      <c r="X25" s="18"/>
      <c r="Y25" s="18"/>
      <c r="Z25" s="20"/>
      <c r="AA25" s="18"/>
      <c r="AB25" s="18"/>
      <c r="AC25" s="18"/>
      <c r="AD25" s="18"/>
      <c r="AE25" s="18"/>
      <c r="BA25" s="2" t="s">
        <v>558</v>
      </c>
      <c r="BB25" s="11" t="s">
        <v>156</v>
      </c>
      <c r="BC25" s="2" t="s">
        <v>433</v>
      </c>
      <c r="BD25" s="1">
        <v>252.88</v>
      </c>
      <c r="BE25" s="12">
        <f t="shared" si="3"/>
        <v>5.9924170616113742E-2</v>
      </c>
      <c r="BF25" s="1" t="s">
        <v>384</v>
      </c>
      <c r="BG25" s="5" t="s">
        <v>434</v>
      </c>
      <c r="BH25" s="1" t="s">
        <v>435</v>
      </c>
      <c r="BI25" s="5" t="s">
        <v>396</v>
      </c>
      <c r="BJ25" s="1" t="s">
        <v>392</v>
      </c>
    </row>
    <row r="26" spans="1:64">
      <c r="A26" t="s">
        <v>387</v>
      </c>
      <c r="D26" s="4">
        <v>25.3</v>
      </c>
      <c r="E26" s="14">
        <f t="shared" si="2"/>
        <v>0.5</v>
      </c>
      <c r="S26" s="16">
        <v>24</v>
      </c>
      <c r="T26" s="16" t="s">
        <v>559</v>
      </c>
      <c r="U26" s="17">
        <f>COUNTIFS(WTG_BD!L:L,'Basic Data'!T26,WTG_BD!F:F,"&gt;="&amp;O2Summary!$B$6,WTG_BD!F:F,"&lt;="&amp;O2Summary!$B$4)</f>
        <v>0</v>
      </c>
      <c r="V26" s="18">
        <f t="shared" si="0"/>
        <v>47</v>
      </c>
      <c r="BA26" s="2" t="s">
        <v>560</v>
      </c>
      <c r="BB26" s="11" t="s">
        <v>156</v>
      </c>
      <c r="BC26" s="2" t="s">
        <v>433</v>
      </c>
      <c r="BD26" s="1">
        <v>252.88</v>
      </c>
      <c r="BE26" s="12">
        <f t="shared" si="3"/>
        <v>5.9924170616113742E-2</v>
      </c>
      <c r="BF26" s="1" t="s">
        <v>384</v>
      </c>
      <c r="BG26" s="5" t="s">
        <v>434</v>
      </c>
      <c r="BH26" s="1" t="s">
        <v>435</v>
      </c>
      <c r="BI26" s="5" t="s">
        <v>396</v>
      </c>
      <c r="BJ26" s="1" t="s">
        <v>392</v>
      </c>
    </row>
    <row r="27" spans="1:64">
      <c r="A27" t="s">
        <v>390</v>
      </c>
      <c r="D27" s="4">
        <v>25.3</v>
      </c>
      <c r="E27" s="14">
        <f t="shared" si="2"/>
        <v>0.5</v>
      </c>
      <c r="S27" s="16">
        <v>25</v>
      </c>
      <c r="T27" s="16" t="s">
        <v>561</v>
      </c>
      <c r="U27" s="17">
        <f>COUNTIFS(WTG_BD!L:L,'Basic Data'!T27,WTG_BD!F:F,"&gt;="&amp;O2Summary!$B$6,WTG_BD!F:F,"&lt;="&amp;O2Summary!$B$4)</f>
        <v>0</v>
      </c>
      <c r="V27" s="18">
        <f t="shared" si="0"/>
        <v>47</v>
      </c>
      <c r="BA27" s="2" t="s">
        <v>562</v>
      </c>
      <c r="BB27" s="11" t="s">
        <v>156</v>
      </c>
      <c r="BC27" s="2" t="s">
        <v>433</v>
      </c>
      <c r="BD27" s="1">
        <v>0</v>
      </c>
      <c r="BE27" s="12">
        <f t="shared" si="3"/>
        <v>0</v>
      </c>
      <c r="BF27" s="1" t="s">
        <v>384</v>
      </c>
      <c r="BG27" s="5" t="s">
        <v>434</v>
      </c>
      <c r="BH27" s="1" t="s">
        <v>435</v>
      </c>
      <c r="BI27" s="5" t="s">
        <v>396</v>
      </c>
      <c r="BJ27" s="1" t="s">
        <v>392</v>
      </c>
    </row>
    <row r="28" spans="1:64">
      <c r="A28" t="s">
        <v>563</v>
      </c>
      <c r="D28" s="4">
        <v>25.3</v>
      </c>
      <c r="E28" s="14">
        <f t="shared" si="2"/>
        <v>0.5</v>
      </c>
      <c r="S28" s="16">
        <v>26</v>
      </c>
      <c r="T28" s="16" t="s">
        <v>564</v>
      </c>
      <c r="U28" s="17">
        <f>COUNTIFS(WTG_BD!L:L,'Basic Data'!T28,WTG_BD!F:F,"&gt;="&amp;O2Summary!$B$6,WTG_BD!F:F,"&lt;="&amp;O2Summary!$B$4)</f>
        <v>0</v>
      </c>
      <c r="V28" s="18">
        <f t="shared" si="0"/>
        <v>47</v>
      </c>
      <c r="BA28" s="2" t="s">
        <v>565</v>
      </c>
      <c r="BB28" s="11" t="s">
        <v>156</v>
      </c>
      <c r="BC28" s="2" t="s">
        <v>433</v>
      </c>
      <c r="BD28" s="1">
        <v>252.88</v>
      </c>
      <c r="BE28" s="12">
        <f t="shared" si="3"/>
        <v>5.9924170616113742E-2</v>
      </c>
      <c r="BF28" s="1" t="s">
        <v>384</v>
      </c>
      <c r="BG28" s="5" t="s">
        <v>434</v>
      </c>
      <c r="BH28" s="1" t="s">
        <v>435</v>
      </c>
      <c r="BI28" s="5" t="s">
        <v>396</v>
      </c>
      <c r="BJ28" s="1" t="s">
        <v>392</v>
      </c>
    </row>
    <row r="29" spans="1:64">
      <c r="A29" t="s">
        <v>566</v>
      </c>
      <c r="D29" s="4">
        <v>25.3</v>
      </c>
      <c r="E29" s="14">
        <f t="shared" si="2"/>
        <v>0.5</v>
      </c>
      <c r="S29" s="16">
        <v>27</v>
      </c>
      <c r="T29" s="16" t="s">
        <v>567</v>
      </c>
      <c r="U29" s="17">
        <f>COUNTIFS(WTG_BD!L:L,'Basic Data'!T29,WTG_BD!F:F,"&gt;="&amp;O2Summary!$B$6,WTG_BD!F:F,"&lt;="&amp;O2Summary!$B$4)</f>
        <v>0</v>
      </c>
      <c r="V29" s="18">
        <f t="shared" si="0"/>
        <v>47</v>
      </c>
      <c r="BA29" s="2" t="s">
        <v>568</v>
      </c>
      <c r="BB29" s="11" t="s">
        <v>156</v>
      </c>
      <c r="BC29" s="2" t="s">
        <v>433</v>
      </c>
      <c r="BD29" s="1">
        <v>252.88</v>
      </c>
      <c r="BE29" s="12">
        <f t="shared" si="3"/>
        <v>5.9924170616113742E-2</v>
      </c>
      <c r="BF29" s="1" t="s">
        <v>384</v>
      </c>
      <c r="BG29" s="5" t="s">
        <v>434</v>
      </c>
      <c r="BH29" s="1" t="s">
        <v>435</v>
      </c>
      <c r="BI29" s="5" t="s">
        <v>396</v>
      </c>
      <c r="BJ29" s="1" t="s">
        <v>392</v>
      </c>
    </row>
    <row r="30" spans="1:64">
      <c r="A30" t="s">
        <v>435</v>
      </c>
      <c r="D30" s="4">
        <v>0</v>
      </c>
      <c r="E30" s="14">
        <f t="shared" si="2"/>
        <v>0</v>
      </c>
      <c r="S30" s="16">
        <v>28</v>
      </c>
      <c r="T30" s="16" t="s">
        <v>569</v>
      </c>
      <c r="U30" s="17">
        <f>COUNTIFS(WTG_BD!L:L,'Basic Data'!T30,WTG_BD!F:F,"&gt;="&amp;O2Summary!$B$6,WTG_BD!F:F,"&lt;="&amp;O2Summary!$B$4)</f>
        <v>0</v>
      </c>
      <c r="V30" s="18">
        <f t="shared" si="0"/>
        <v>47</v>
      </c>
      <c r="BA30" s="2" t="s">
        <v>570</v>
      </c>
      <c r="BB30" s="11" t="s">
        <v>156</v>
      </c>
      <c r="BC30" s="2" t="s">
        <v>433</v>
      </c>
      <c r="BD30" s="1">
        <v>219.24</v>
      </c>
      <c r="BE30" s="12">
        <f t="shared" si="3"/>
        <v>5.1952606635071091E-2</v>
      </c>
      <c r="BF30" s="1" t="s">
        <v>384</v>
      </c>
      <c r="BG30" s="5" t="s">
        <v>434</v>
      </c>
      <c r="BH30" s="1" t="s">
        <v>435</v>
      </c>
      <c r="BI30" s="5" t="s">
        <v>396</v>
      </c>
      <c r="BJ30" s="1" t="s">
        <v>392</v>
      </c>
    </row>
    <row r="31" spans="1:64">
      <c r="A31" t="s">
        <v>571</v>
      </c>
      <c r="D31" s="4">
        <v>0</v>
      </c>
      <c r="E31" s="14">
        <f t="shared" si="2"/>
        <v>0</v>
      </c>
      <c r="S31" s="16">
        <v>29</v>
      </c>
      <c r="T31" s="16" t="s">
        <v>572</v>
      </c>
      <c r="U31" s="17">
        <f>COUNTIFS(WTG_BD!L:L,'Basic Data'!T31,WTG_BD!F:F,"&gt;="&amp;O2Summary!$B$6,WTG_BD!F:F,"&lt;="&amp;O2Summary!$B$4)</f>
        <v>0</v>
      </c>
      <c r="V31" s="18">
        <f t="shared" si="0"/>
        <v>47</v>
      </c>
      <c r="BA31" s="2" t="s">
        <v>573</v>
      </c>
      <c r="BB31" s="11" t="s">
        <v>156</v>
      </c>
      <c r="BC31" s="2" t="s">
        <v>433</v>
      </c>
      <c r="BD31" s="1">
        <v>219.24</v>
      </c>
      <c r="BE31" s="12">
        <f t="shared" si="3"/>
        <v>5.1952606635071091E-2</v>
      </c>
      <c r="BF31" s="1" t="s">
        <v>384</v>
      </c>
      <c r="BG31" s="5" t="s">
        <v>434</v>
      </c>
      <c r="BH31" s="1" t="s">
        <v>435</v>
      </c>
      <c r="BI31" s="5" t="s">
        <v>396</v>
      </c>
      <c r="BJ31" s="1" t="s">
        <v>392</v>
      </c>
    </row>
    <row r="32" spans="1:64">
      <c r="A32" t="s">
        <v>574</v>
      </c>
      <c r="D32" s="4">
        <v>0</v>
      </c>
      <c r="E32" s="14">
        <f t="shared" si="2"/>
        <v>0</v>
      </c>
      <c r="S32" s="16">
        <v>30</v>
      </c>
      <c r="T32" s="16" t="s">
        <v>363</v>
      </c>
      <c r="U32" s="17">
        <f>COUNTIFS(WTG_BD!L:L,'Basic Data'!T32,WTG_BD!F:F,"&gt;="&amp;O2Summary!$B$6,WTG_BD!F:F,"&lt;="&amp;O2Summary!$B$4)</f>
        <v>0</v>
      </c>
      <c r="V32" s="18">
        <f t="shared" si="0"/>
        <v>47</v>
      </c>
      <c r="BA32" s="2" t="s">
        <v>575</v>
      </c>
      <c r="BB32" s="11" t="s">
        <v>156</v>
      </c>
      <c r="BC32" s="2" t="s">
        <v>433</v>
      </c>
      <c r="BD32" s="1">
        <v>187.92</v>
      </c>
      <c r="BE32" s="12">
        <f t="shared" si="3"/>
        <v>4.4530805687203787E-2</v>
      </c>
      <c r="BF32" s="1" t="s">
        <v>384</v>
      </c>
      <c r="BG32" s="5" t="s">
        <v>434</v>
      </c>
      <c r="BH32" s="1" t="s">
        <v>435</v>
      </c>
      <c r="BI32" s="5" t="s">
        <v>396</v>
      </c>
      <c r="BJ32" s="1" t="s">
        <v>392</v>
      </c>
    </row>
    <row r="33" spans="1:62">
      <c r="A33" t="s">
        <v>576</v>
      </c>
      <c r="D33" s="4">
        <v>0</v>
      </c>
      <c r="E33" s="14">
        <f t="shared" si="2"/>
        <v>0</v>
      </c>
      <c r="S33" s="16">
        <v>31</v>
      </c>
      <c r="T33" s="16" t="s">
        <v>577</v>
      </c>
      <c r="U33" s="17">
        <f>COUNTIFS(WTG_BD!L:L,'Basic Data'!T33,WTG_BD!F:F,"&gt;="&amp;O2Summary!$B$6,WTG_BD!F:F,"&lt;="&amp;O2Summary!$B$4)</f>
        <v>0</v>
      </c>
      <c r="V33" s="18">
        <f t="shared" si="0"/>
        <v>47</v>
      </c>
      <c r="BA33" s="2" t="s">
        <v>578</v>
      </c>
      <c r="BB33" s="11" t="s">
        <v>156</v>
      </c>
      <c r="BC33" s="2" t="s">
        <v>433</v>
      </c>
      <c r="BD33" s="1">
        <v>221.27</v>
      </c>
      <c r="BE33" s="12">
        <f t="shared" si="3"/>
        <v>5.2433649289099528E-2</v>
      </c>
      <c r="BF33" s="1" t="s">
        <v>384</v>
      </c>
      <c r="BG33" s="5" t="s">
        <v>434</v>
      </c>
      <c r="BH33" s="1" t="s">
        <v>435</v>
      </c>
      <c r="BI33" s="5" t="s">
        <v>396</v>
      </c>
      <c r="BJ33" s="1" t="s">
        <v>392</v>
      </c>
    </row>
    <row r="34" spans="1:62">
      <c r="A34" t="s">
        <v>579</v>
      </c>
      <c r="D34" s="4">
        <v>0</v>
      </c>
      <c r="E34" s="14">
        <f t="shared" si="2"/>
        <v>0</v>
      </c>
      <c r="S34" s="16">
        <v>32</v>
      </c>
      <c r="T34" s="16" t="s">
        <v>580</v>
      </c>
      <c r="U34" s="17">
        <f>COUNTIFS(WTG_BD!L:L,'Basic Data'!T34,WTG_BD!F:F,"&gt;="&amp;O2Summary!$B$6,WTG_BD!F:F,"&lt;="&amp;O2Summary!$B$4)</f>
        <v>0</v>
      </c>
      <c r="V34" s="18">
        <f t="shared" si="0"/>
        <v>47</v>
      </c>
      <c r="BA34" s="2" t="s">
        <v>581</v>
      </c>
      <c r="BB34" s="11" t="s">
        <v>156</v>
      </c>
      <c r="BC34" s="2" t="s">
        <v>433</v>
      </c>
      <c r="BD34" s="1">
        <v>250.56</v>
      </c>
      <c r="BE34" s="12">
        <f t="shared" si="3"/>
        <v>5.9374407582938389E-2</v>
      </c>
      <c r="BF34" s="1" t="s">
        <v>384</v>
      </c>
      <c r="BG34" s="5" t="s">
        <v>434</v>
      </c>
      <c r="BH34" s="1" t="s">
        <v>435</v>
      </c>
      <c r="BI34" s="5" t="s">
        <v>396</v>
      </c>
      <c r="BJ34" s="1" t="s">
        <v>392</v>
      </c>
    </row>
    <row r="35" spans="1:62">
      <c r="A35" t="s">
        <v>582</v>
      </c>
      <c r="D35" s="4">
        <v>50.6</v>
      </c>
      <c r="E35" s="14">
        <f t="shared" si="2"/>
        <v>1</v>
      </c>
      <c r="S35" s="16">
        <v>33</v>
      </c>
      <c r="T35" s="16" t="s">
        <v>583</v>
      </c>
      <c r="U35" s="17">
        <f>COUNTIFS(WTG_BD!L:L,'Basic Data'!T35,WTG_BD!F:F,"&gt;="&amp;O2Summary!$B$6,WTG_BD!F:F,"&lt;="&amp;O2Summary!$B$4)</f>
        <v>0</v>
      </c>
      <c r="V35" s="18">
        <f t="shared" si="0"/>
        <v>47</v>
      </c>
      <c r="BA35" s="2" t="s">
        <v>584</v>
      </c>
      <c r="BB35" s="11" t="s">
        <v>156</v>
      </c>
      <c r="BC35" s="2" t="s">
        <v>433</v>
      </c>
      <c r="BD35" s="1">
        <v>221.27</v>
      </c>
      <c r="BE35" s="12">
        <f t="shared" si="3"/>
        <v>5.2433649289099528E-2</v>
      </c>
      <c r="BF35" s="1" t="s">
        <v>384</v>
      </c>
      <c r="BG35" s="5" t="s">
        <v>434</v>
      </c>
      <c r="BH35" s="1" t="s">
        <v>435</v>
      </c>
      <c r="BI35" s="5" t="s">
        <v>396</v>
      </c>
      <c r="BJ35" s="1" t="s">
        <v>392</v>
      </c>
    </row>
    <row r="36" spans="1:62">
      <c r="A36" t="s">
        <v>585</v>
      </c>
      <c r="D36" s="4">
        <v>50.6</v>
      </c>
      <c r="E36" s="14">
        <f t="shared" si="2"/>
        <v>1</v>
      </c>
      <c r="S36" s="16">
        <v>34</v>
      </c>
      <c r="T36" s="16" t="s">
        <v>586</v>
      </c>
      <c r="U36" s="17">
        <f>COUNTIFS(WTG_BD!L:L,'Basic Data'!T36,WTG_BD!F:F,"&gt;="&amp;O2Summary!$B$6,WTG_BD!F:F,"&lt;="&amp;O2Summary!$B$4)</f>
        <v>0</v>
      </c>
      <c r="V36" s="18">
        <f t="shared" si="0"/>
        <v>47</v>
      </c>
      <c r="BA36" s="2" t="s">
        <v>587</v>
      </c>
      <c r="BB36" s="11" t="s">
        <v>156</v>
      </c>
      <c r="BC36" s="2" t="s">
        <v>433</v>
      </c>
      <c r="BD36" s="1">
        <v>221.27</v>
      </c>
      <c r="BE36" s="12">
        <f t="shared" si="3"/>
        <v>5.2433649289099528E-2</v>
      </c>
      <c r="BF36" s="1" t="s">
        <v>384</v>
      </c>
      <c r="BG36" s="5" t="s">
        <v>434</v>
      </c>
      <c r="BH36" s="1" t="s">
        <v>435</v>
      </c>
      <c r="BI36" s="5" t="s">
        <v>396</v>
      </c>
      <c r="BJ36" s="1" t="s">
        <v>392</v>
      </c>
    </row>
    <row r="37" spans="1:62">
      <c r="A37" t="s">
        <v>392</v>
      </c>
      <c r="D37" s="4">
        <v>50.6</v>
      </c>
      <c r="E37" s="14">
        <f t="shared" si="2"/>
        <v>1</v>
      </c>
      <c r="S37" s="16">
        <v>35</v>
      </c>
      <c r="T37" s="16" t="s">
        <v>588</v>
      </c>
      <c r="U37" s="17">
        <f>COUNTIFS(WTG_BD!L:L,'Basic Data'!T37,WTG_BD!F:F,"&gt;="&amp;O2Summary!$B$6,WTG_BD!F:F,"&lt;="&amp;O2Summary!$B$4)</f>
        <v>0</v>
      </c>
      <c r="V37" s="18">
        <f t="shared" si="0"/>
        <v>47</v>
      </c>
      <c r="BA37" s="2" t="s">
        <v>589</v>
      </c>
      <c r="BB37" s="11" t="s">
        <v>156</v>
      </c>
      <c r="BC37" s="2" t="s">
        <v>433</v>
      </c>
      <c r="BD37" s="1">
        <v>0</v>
      </c>
      <c r="BE37" s="12">
        <f t="shared" si="3"/>
        <v>0</v>
      </c>
      <c r="BF37" s="1" t="s">
        <v>384</v>
      </c>
      <c r="BG37" s="5" t="s">
        <v>434</v>
      </c>
      <c r="BH37" s="1" t="s">
        <v>435</v>
      </c>
      <c r="BI37" s="5" t="s">
        <v>396</v>
      </c>
      <c r="BJ37" s="1" t="s">
        <v>392</v>
      </c>
    </row>
    <row r="38" spans="1:62">
      <c r="A38" t="s">
        <v>391</v>
      </c>
      <c r="D38" s="4">
        <v>50.6</v>
      </c>
      <c r="E38" s="14">
        <f t="shared" si="2"/>
        <v>1</v>
      </c>
      <c r="S38" s="16">
        <v>36</v>
      </c>
      <c r="T38" s="16" t="s">
        <v>590</v>
      </c>
      <c r="U38" s="17">
        <f>COUNTIFS(WTG_BD!L:L,'Basic Data'!T38,WTG_BD!F:F,"&gt;="&amp;O2Summary!$B$6,WTG_BD!F:F,"&lt;="&amp;O2Summary!$B$4)</f>
        <v>0</v>
      </c>
      <c r="V38" s="18">
        <f t="shared" si="0"/>
        <v>47</v>
      </c>
      <c r="BA38" s="2" t="s">
        <v>591</v>
      </c>
      <c r="BB38" s="11" t="s">
        <v>156</v>
      </c>
      <c r="BC38" s="2" t="s">
        <v>433</v>
      </c>
      <c r="BD38" s="1">
        <v>4220</v>
      </c>
      <c r="BE38" s="12">
        <f t="shared" si="3"/>
        <v>1</v>
      </c>
      <c r="BF38" s="1" t="s">
        <v>384</v>
      </c>
      <c r="BG38" s="5" t="s">
        <v>434</v>
      </c>
      <c r="BH38" s="1" t="s">
        <v>435</v>
      </c>
      <c r="BI38" s="5" t="s">
        <v>396</v>
      </c>
      <c r="BJ38" s="1" t="s">
        <v>392</v>
      </c>
    </row>
    <row r="39" spans="1:62">
      <c r="A39" t="s">
        <v>396</v>
      </c>
      <c r="D39" s="4">
        <v>50.6</v>
      </c>
      <c r="E39" s="14">
        <f t="shared" si="2"/>
        <v>1</v>
      </c>
      <c r="S39" s="16">
        <v>37</v>
      </c>
      <c r="T39" s="16" t="s">
        <v>592</v>
      </c>
      <c r="U39" s="17">
        <f>COUNTIFS(WTG_BD!L:L,'Basic Data'!T39,WTG_BD!F:F,"&gt;="&amp;O2Summary!$B$6,WTG_BD!F:F,"&lt;="&amp;O2Summary!$B$4)</f>
        <v>0</v>
      </c>
      <c r="V39" s="18">
        <f t="shared" si="0"/>
        <v>47</v>
      </c>
      <c r="BA39" s="2" t="s">
        <v>593</v>
      </c>
      <c r="BB39" s="2"/>
      <c r="BC39" s="2"/>
      <c r="BD39" s="2"/>
      <c r="BE39" s="2"/>
      <c r="BF39" s="2"/>
      <c r="BG39" s="2"/>
      <c r="BH39" s="2"/>
      <c r="BI39" s="2"/>
      <c r="BJ39" s="2"/>
    </row>
    <row r="40" spans="1:62">
      <c r="A40" s="5" t="s">
        <v>437</v>
      </c>
      <c r="S40" s="16">
        <v>38</v>
      </c>
      <c r="T40" s="16" t="s">
        <v>594</v>
      </c>
      <c r="U40" s="17">
        <f>COUNTIFS(WTG_BD!L:L,'Basic Data'!T40,WTG_BD!F:F,"&gt;="&amp;O2Summary!$B$6,WTG_BD!F:F,"&lt;="&amp;O2Summary!$B$4)</f>
        <v>0</v>
      </c>
      <c r="V40" s="18">
        <f t="shared" si="0"/>
        <v>47</v>
      </c>
      <c r="BA40" s="2" t="s">
        <v>595</v>
      </c>
      <c r="BB40" s="2"/>
      <c r="BC40" s="2"/>
      <c r="BD40" s="2"/>
      <c r="BE40" s="2"/>
      <c r="BF40" s="2"/>
      <c r="BG40" s="2"/>
      <c r="BH40" s="2"/>
      <c r="BI40" s="2"/>
      <c r="BJ40" s="2"/>
    </row>
    <row r="41" spans="1:62">
      <c r="A41" s="5" t="s">
        <v>449</v>
      </c>
      <c r="S41" s="16">
        <v>39</v>
      </c>
      <c r="T41" s="16" t="s">
        <v>596</v>
      </c>
      <c r="U41" s="17">
        <f>COUNTIFS(WTG_BD!L:L,'Basic Data'!T41,WTG_BD!F:F,"&gt;="&amp;O2Summary!$B$6,WTG_BD!F:F,"&lt;="&amp;O2Summary!$B$4)</f>
        <v>0</v>
      </c>
      <c r="V41" s="18">
        <f t="shared" si="0"/>
        <v>47</v>
      </c>
      <c r="BA41" s="2" t="s">
        <v>597</v>
      </c>
      <c r="BB41" s="2"/>
      <c r="BC41" s="2"/>
      <c r="BD41" s="2"/>
      <c r="BE41" s="2"/>
      <c r="BF41" s="2"/>
      <c r="BG41" s="2"/>
      <c r="BH41" s="2"/>
      <c r="BI41" s="2"/>
      <c r="BJ41" s="2"/>
    </row>
    <row r="42" spans="1:62">
      <c r="A42" s="5" t="s">
        <v>437</v>
      </c>
      <c r="S42" s="16">
        <v>40</v>
      </c>
      <c r="T42" s="16" t="s">
        <v>598</v>
      </c>
      <c r="U42" s="17">
        <f>COUNTIFS(WTG_BD!L:L,'Basic Data'!T42,WTG_BD!F:F,"&gt;="&amp;O2Summary!$B$6,WTG_BD!F:F,"&lt;="&amp;O2Summary!$B$4)</f>
        <v>0</v>
      </c>
      <c r="V42" s="18">
        <f t="shared" si="0"/>
        <v>47</v>
      </c>
      <c r="BA42" s="2" t="s">
        <v>599</v>
      </c>
      <c r="BB42" s="2"/>
      <c r="BC42" s="2"/>
      <c r="BD42" s="2"/>
      <c r="BE42" s="2"/>
      <c r="BF42" s="2"/>
      <c r="BG42" s="2"/>
      <c r="BH42" s="2"/>
      <c r="BI42" s="2"/>
      <c r="BJ42" s="2"/>
    </row>
    <row r="43" spans="1:62">
      <c r="A43" s="5" t="s">
        <v>467</v>
      </c>
      <c r="S43" s="16">
        <v>41</v>
      </c>
      <c r="T43" s="16" t="s">
        <v>600</v>
      </c>
      <c r="U43" s="17">
        <f>COUNTIFS(WTG_BD!L:L,'Basic Data'!T43,WTG_BD!F:F,"&gt;="&amp;O2Summary!$B$6,WTG_BD!F:F,"&lt;="&amp;O2Summary!$B$4)</f>
        <v>0</v>
      </c>
      <c r="V43" s="18">
        <f t="shared" si="0"/>
        <v>47</v>
      </c>
      <c r="BA43" s="2" t="s">
        <v>601</v>
      </c>
      <c r="BB43" s="11" t="s">
        <v>156</v>
      </c>
      <c r="BC43" s="2" t="s">
        <v>433</v>
      </c>
      <c r="BD43" s="1">
        <v>4220</v>
      </c>
      <c r="BE43" s="12">
        <f t="shared" ref="BE43" si="4">BD43/$N$4</f>
        <v>1</v>
      </c>
      <c r="BF43" s="1" t="s">
        <v>384</v>
      </c>
      <c r="BG43" s="5" t="s">
        <v>434</v>
      </c>
      <c r="BH43" s="1" t="s">
        <v>435</v>
      </c>
      <c r="BI43" s="5" t="s">
        <v>396</v>
      </c>
      <c r="BJ43" s="1" t="s">
        <v>392</v>
      </c>
    </row>
    <row r="44" spans="1:62">
      <c r="A44" s="5" t="s">
        <v>467</v>
      </c>
      <c r="S44" s="16">
        <v>42</v>
      </c>
      <c r="T44" s="16" t="s">
        <v>602</v>
      </c>
      <c r="U44" s="17">
        <f>COUNTIFS(WTG_BD!L:L,'Basic Data'!T44,WTG_BD!F:F,"&gt;="&amp;O2Summary!$B$6,WTG_BD!F:F,"&lt;="&amp;O2Summary!$B$4)</f>
        <v>0</v>
      </c>
      <c r="V44" s="18">
        <f t="shared" si="0"/>
        <v>47</v>
      </c>
      <c r="BA44" s="2" t="s">
        <v>603</v>
      </c>
      <c r="BB44" s="2"/>
      <c r="BC44" s="2"/>
      <c r="BD44" s="2"/>
      <c r="BE44" s="2"/>
      <c r="BF44" s="2"/>
      <c r="BG44" s="2"/>
      <c r="BH44" s="2"/>
      <c r="BI44" s="2"/>
      <c r="BJ44" s="2"/>
    </row>
    <row r="45" spans="1:62">
      <c r="A45" s="5" t="s">
        <v>482</v>
      </c>
      <c r="S45" s="16">
        <v>43</v>
      </c>
      <c r="T45" s="16" t="s">
        <v>604</v>
      </c>
      <c r="U45" s="17">
        <f>COUNTIFS(WTG_BD!L:L,'Basic Data'!T45,WTG_BD!F:F,"&gt;="&amp;O2Summary!$B$6,WTG_BD!F:F,"&lt;="&amp;O2Summary!$B$4)</f>
        <v>0</v>
      </c>
      <c r="V45" s="18">
        <f t="shared" si="0"/>
        <v>47</v>
      </c>
      <c r="BA45" s="2" t="s">
        <v>605</v>
      </c>
      <c r="BB45" s="2"/>
      <c r="BC45" s="2"/>
      <c r="BD45" s="2"/>
      <c r="BE45" s="2"/>
      <c r="BF45" s="2"/>
      <c r="BG45" s="2"/>
      <c r="BH45" s="2"/>
      <c r="BI45" s="2"/>
      <c r="BJ45" s="2"/>
    </row>
    <row r="46" spans="1:62">
      <c r="A46" s="5" t="s">
        <v>489</v>
      </c>
      <c r="S46" s="16">
        <v>44</v>
      </c>
      <c r="T46" s="16" t="s">
        <v>606</v>
      </c>
      <c r="U46" s="17">
        <f>COUNTIFS(WTG_BD!L:L,'Basic Data'!T46,WTG_BD!F:F,"&gt;="&amp;O2Summary!$B$6,WTG_BD!F:F,"&lt;="&amp;O2Summary!$B$4)</f>
        <v>0</v>
      </c>
      <c r="V46" s="18">
        <f t="shared" si="0"/>
        <v>47</v>
      </c>
      <c r="BA46" s="2" t="s">
        <v>607</v>
      </c>
      <c r="BB46" s="2"/>
      <c r="BC46" s="2"/>
      <c r="BD46" s="2"/>
      <c r="BE46" s="2"/>
      <c r="BF46" s="2"/>
      <c r="BG46" s="2"/>
      <c r="BH46" s="2"/>
      <c r="BI46" s="2"/>
      <c r="BJ46" s="2"/>
    </row>
    <row r="47" spans="1:62">
      <c r="A47" s="5" t="s">
        <v>496</v>
      </c>
      <c r="S47" s="16">
        <v>45</v>
      </c>
      <c r="T47" s="16" t="s">
        <v>608</v>
      </c>
      <c r="U47" s="17">
        <f>COUNTIFS(WTG_BD!L:L,'Basic Data'!T47,WTG_BD!F:F,"&gt;="&amp;O2Summary!$B$6,WTG_BD!F:F,"&lt;="&amp;O2Summary!$B$4)</f>
        <v>0</v>
      </c>
      <c r="V47" s="18">
        <f t="shared" si="0"/>
        <v>47</v>
      </c>
      <c r="BA47" s="2" t="s">
        <v>609</v>
      </c>
      <c r="BB47" s="2"/>
      <c r="BC47" s="2"/>
      <c r="BD47" s="2"/>
      <c r="BE47" s="2"/>
      <c r="BF47" s="2"/>
      <c r="BG47" s="2"/>
      <c r="BH47" s="2"/>
      <c r="BI47" s="2"/>
      <c r="BJ47" s="2"/>
    </row>
    <row r="48" spans="1:62">
      <c r="A48" s="5" t="s">
        <v>467</v>
      </c>
      <c r="S48" s="16">
        <v>46</v>
      </c>
      <c r="T48" s="16" t="s">
        <v>610</v>
      </c>
      <c r="U48" s="17">
        <f>COUNTIFS(WTG_BD!L:L,'Basic Data'!T48,WTG_BD!F:F,"&gt;="&amp;O2Summary!$B$6,WTG_BD!F:F,"&lt;="&amp;O2Summary!$B$4)</f>
        <v>0</v>
      </c>
      <c r="V48" s="18">
        <f t="shared" si="0"/>
        <v>47</v>
      </c>
      <c r="BA48" s="2" t="s">
        <v>611</v>
      </c>
      <c r="BB48" s="11" t="s">
        <v>156</v>
      </c>
      <c r="BC48" s="2" t="s">
        <v>433</v>
      </c>
      <c r="BD48" s="1">
        <v>4220</v>
      </c>
      <c r="BE48" s="12">
        <f t="shared" ref="BE48" si="5">BD48/$N$4</f>
        <v>1</v>
      </c>
      <c r="BF48" s="1" t="s">
        <v>384</v>
      </c>
      <c r="BG48" s="5" t="s">
        <v>434</v>
      </c>
      <c r="BH48" s="1" t="s">
        <v>435</v>
      </c>
      <c r="BI48" s="5" t="s">
        <v>396</v>
      </c>
      <c r="BJ48" s="1" t="s">
        <v>392</v>
      </c>
    </row>
    <row r="49" spans="1:62">
      <c r="A49" s="5" t="s">
        <v>437</v>
      </c>
      <c r="S49" s="16">
        <v>47</v>
      </c>
      <c r="T49" s="16" t="s">
        <v>612</v>
      </c>
      <c r="U49" s="17">
        <f>COUNTIFS(WTG_BD!L:L,'Basic Data'!T49,WTG_BD!F:F,"&gt;="&amp;O2Summary!$B$6,WTG_BD!F:F,"&lt;="&amp;O2Summary!$B$4)</f>
        <v>0</v>
      </c>
      <c r="V49" s="18">
        <f t="shared" si="0"/>
        <v>47</v>
      </c>
      <c r="BA49" s="2" t="s">
        <v>613</v>
      </c>
      <c r="BB49" s="2"/>
      <c r="BC49" s="2"/>
      <c r="BD49" s="2"/>
      <c r="BE49" s="2"/>
      <c r="BF49" s="2"/>
      <c r="BG49" s="2"/>
      <c r="BH49" s="2"/>
      <c r="BI49" s="2"/>
      <c r="BJ49" s="2"/>
    </row>
    <row r="50" spans="1:62">
      <c r="A50" s="5" t="s">
        <v>437</v>
      </c>
      <c r="S50" s="16">
        <v>48</v>
      </c>
      <c r="T50" s="16" t="s">
        <v>614</v>
      </c>
      <c r="U50" s="17">
        <f>COUNTIFS(WTG_BD!L:L,'Basic Data'!T50,WTG_BD!F:F,"&gt;="&amp;O2Summary!$B$6,WTG_BD!F:F,"&lt;="&amp;O2Summary!$B$4)</f>
        <v>0</v>
      </c>
      <c r="V50" s="18">
        <f t="shared" si="0"/>
        <v>47</v>
      </c>
      <c r="BA50" s="2" t="s">
        <v>615</v>
      </c>
      <c r="BB50" s="2"/>
      <c r="BC50" s="2"/>
      <c r="BD50" s="2"/>
      <c r="BE50" s="2"/>
      <c r="BF50" s="2"/>
      <c r="BG50" s="2"/>
      <c r="BH50" s="2"/>
      <c r="BI50" s="2"/>
      <c r="BJ50" s="2"/>
    </row>
    <row r="51" spans="1:62">
      <c r="A51" s="5" t="s">
        <v>437</v>
      </c>
      <c r="S51" s="16">
        <v>49</v>
      </c>
      <c r="T51" s="16" t="s">
        <v>616</v>
      </c>
      <c r="U51" s="17">
        <f>COUNTIFS(WTG_BD!L:L,'Basic Data'!T51,WTG_BD!F:F,"&gt;="&amp;O2Summary!$B$6,WTG_BD!F:F,"&lt;="&amp;O2Summary!$B$4)</f>
        <v>0</v>
      </c>
      <c r="V51" s="18">
        <f t="shared" si="0"/>
        <v>47</v>
      </c>
      <c r="BA51" s="2" t="s">
        <v>617</v>
      </c>
      <c r="BB51" s="2"/>
      <c r="BC51" s="2"/>
      <c r="BD51" s="2"/>
      <c r="BE51" s="2"/>
      <c r="BF51" s="2"/>
      <c r="BG51" s="2"/>
      <c r="BH51" s="2"/>
      <c r="BI51" s="2"/>
      <c r="BJ51" s="2"/>
    </row>
    <row r="52" spans="1:62">
      <c r="A52" s="5" t="s">
        <v>437</v>
      </c>
      <c r="S52" s="16">
        <v>50</v>
      </c>
      <c r="T52" s="16" t="s">
        <v>618</v>
      </c>
      <c r="U52" s="17">
        <f>COUNTIFS(WTG_BD!L:L,'Basic Data'!T52,WTG_BD!F:F,"&gt;="&amp;O2Summary!$B$6,WTG_BD!F:F,"&lt;="&amp;O2Summary!$B$4)</f>
        <v>0</v>
      </c>
      <c r="V52" s="18">
        <f t="shared" si="0"/>
        <v>47</v>
      </c>
      <c r="BA52" s="2" t="s">
        <v>619</v>
      </c>
      <c r="BB52" s="2"/>
      <c r="BC52" s="2"/>
      <c r="BD52" s="2"/>
      <c r="BE52" s="2"/>
      <c r="BF52" s="2"/>
      <c r="BG52" s="2"/>
      <c r="BH52" s="2"/>
      <c r="BI52" s="2"/>
      <c r="BJ52" s="2"/>
    </row>
    <row r="53" spans="1:62">
      <c r="A53" s="5" t="s">
        <v>437</v>
      </c>
      <c r="S53" s="16">
        <v>51</v>
      </c>
      <c r="T53" s="16" t="s">
        <v>620</v>
      </c>
      <c r="U53" s="17">
        <f>COUNTIFS(WTG_BD!L:L,'Basic Data'!T53,WTG_BD!F:F,"&gt;="&amp;O2Summary!$B$6,WTG_BD!F:F,"&lt;="&amp;O2Summary!$B$4)</f>
        <v>0</v>
      </c>
      <c r="V53" s="18">
        <f t="shared" si="0"/>
        <v>47</v>
      </c>
      <c r="BA53" s="2" t="s">
        <v>386</v>
      </c>
      <c r="BB53" s="11"/>
      <c r="BC53" s="2"/>
      <c r="BD53" s="1">
        <v>4220</v>
      </c>
      <c r="BE53" s="12">
        <f t="shared" ref="BE53" si="6">BD53/$N$4</f>
        <v>1</v>
      </c>
      <c r="BF53" s="1" t="s">
        <v>384</v>
      </c>
      <c r="BG53" s="5" t="s">
        <v>434</v>
      </c>
      <c r="BH53" s="1" t="s">
        <v>435</v>
      </c>
      <c r="BI53" s="5" t="s">
        <v>396</v>
      </c>
      <c r="BJ53" s="1" t="s">
        <v>392</v>
      </c>
    </row>
    <row r="54" spans="1:62">
      <c r="A54" s="5" t="s">
        <v>437</v>
      </c>
      <c r="S54" s="16">
        <v>52</v>
      </c>
      <c r="T54" s="16" t="s">
        <v>621</v>
      </c>
      <c r="U54" s="17">
        <f>COUNTIFS(WTG_BD!L:L,'Basic Data'!T54,WTG_BD!F:F,"&gt;="&amp;O2Summary!$B$6,WTG_BD!F:F,"&lt;="&amp;O2Summary!$B$4)</f>
        <v>0</v>
      </c>
      <c r="V54" s="18">
        <f t="shared" si="0"/>
        <v>47</v>
      </c>
      <c r="BA54" s="2" t="s">
        <v>473</v>
      </c>
      <c r="BB54" s="2"/>
      <c r="BC54" s="2"/>
      <c r="BD54" s="2"/>
      <c r="BE54" s="2"/>
      <c r="BF54" s="2"/>
      <c r="BG54" s="2"/>
      <c r="BH54" s="2"/>
      <c r="BI54" s="2"/>
      <c r="BJ54" s="2"/>
    </row>
    <row r="55" spans="1:62">
      <c r="A55" s="5" t="s">
        <v>532</v>
      </c>
      <c r="S55" s="16">
        <v>53</v>
      </c>
      <c r="T55" s="16" t="s">
        <v>622</v>
      </c>
      <c r="U55" s="17">
        <f>COUNTIFS(WTG_BD!L:L,'Basic Data'!T55,WTG_BD!F:F,"&gt;="&amp;O2Summary!$B$6,WTG_BD!F:F,"&lt;="&amp;O2Summary!$B$4)</f>
        <v>0</v>
      </c>
      <c r="V55" s="18">
        <f t="shared" si="0"/>
        <v>47</v>
      </c>
      <c r="BA55" s="2" t="s">
        <v>479</v>
      </c>
      <c r="BB55" s="2"/>
      <c r="BC55" s="2"/>
      <c r="BD55" s="2"/>
      <c r="BE55" s="2"/>
      <c r="BF55" s="2"/>
      <c r="BG55" s="2"/>
      <c r="BH55" s="2"/>
      <c r="BI55" s="2"/>
      <c r="BJ55" s="2"/>
    </row>
    <row r="56" spans="1:62">
      <c r="A56" s="5" t="s">
        <v>532</v>
      </c>
      <c r="S56" s="16">
        <v>54</v>
      </c>
      <c r="T56" s="16" t="s">
        <v>623</v>
      </c>
      <c r="U56" s="17">
        <f>COUNTIFS(WTG_BD!L:L,'Basic Data'!T56,WTG_BD!F:F,"&gt;="&amp;O2Summary!$B$6,WTG_BD!F:F,"&lt;="&amp;O2Summary!$B$4)</f>
        <v>0</v>
      </c>
      <c r="V56" s="18">
        <f t="shared" si="0"/>
        <v>47</v>
      </c>
      <c r="BA56" s="2" t="s">
        <v>486</v>
      </c>
      <c r="BB56" s="2"/>
      <c r="BC56" s="2"/>
      <c r="BD56" s="2"/>
      <c r="BE56" s="2"/>
      <c r="BF56" s="2"/>
      <c r="BG56" s="2"/>
      <c r="BH56" s="2"/>
      <c r="BI56" s="2"/>
      <c r="BJ56" s="2"/>
    </row>
    <row r="57" spans="1:62">
      <c r="A57" s="5" t="s">
        <v>541</v>
      </c>
      <c r="S57" s="16">
        <v>55</v>
      </c>
      <c r="T57" s="16" t="s">
        <v>624</v>
      </c>
      <c r="U57" s="17">
        <f>COUNTIFS(WTG_BD!L:L,'Basic Data'!T57,WTG_BD!F:F,"&gt;="&amp;O2Summary!$B$6,WTG_BD!F:F,"&lt;="&amp;O2Summary!$B$4)</f>
        <v>0</v>
      </c>
      <c r="V57" s="18">
        <f t="shared" si="0"/>
        <v>47</v>
      </c>
      <c r="BA57" s="2" t="s">
        <v>493</v>
      </c>
      <c r="BB57" s="2"/>
      <c r="BC57" s="2"/>
      <c r="BD57" s="2"/>
      <c r="BE57" s="2"/>
      <c r="BF57" s="2"/>
      <c r="BG57" s="2"/>
      <c r="BH57" s="2"/>
      <c r="BI57" s="2"/>
      <c r="BJ57" s="2"/>
    </row>
    <row r="58" spans="1:62">
      <c r="A58" s="5" t="s">
        <v>437</v>
      </c>
      <c r="S58" s="16">
        <v>56</v>
      </c>
      <c r="T58" s="16" t="s">
        <v>625</v>
      </c>
      <c r="U58" s="17">
        <f>COUNTIFS(WTG_BD!L:L,'Basic Data'!T58,WTG_BD!F:F,"&gt;="&amp;O2Summary!$B$6,WTG_BD!F:F,"&lt;="&amp;O2Summary!$B$4)</f>
        <v>0</v>
      </c>
      <c r="V58" s="18">
        <f t="shared" si="0"/>
        <v>47</v>
      </c>
      <c r="BA58" s="2" t="s">
        <v>499</v>
      </c>
      <c r="BB58" s="2"/>
      <c r="BC58" s="2"/>
      <c r="BD58" s="2"/>
      <c r="BE58" s="2"/>
      <c r="BF58" s="2"/>
      <c r="BG58" s="2"/>
      <c r="BH58" s="2"/>
      <c r="BI58" s="2"/>
      <c r="BJ58" s="2"/>
    </row>
    <row r="59" spans="1:62">
      <c r="A59" s="5" t="s">
        <v>437</v>
      </c>
      <c r="S59" s="16">
        <v>57</v>
      </c>
      <c r="T59" s="16" t="s">
        <v>626</v>
      </c>
      <c r="U59" s="17">
        <f>COUNTIFS(WTG_BD!L:L,'Basic Data'!T59,WTG_BD!F:F,"&gt;="&amp;O2Summary!$B$6,WTG_BD!F:F,"&lt;="&amp;O2Summary!$B$4)</f>
        <v>0</v>
      </c>
      <c r="V59" s="18">
        <f t="shared" si="0"/>
        <v>47</v>
      </c>
      <c r="BA59" s="2" t="s">
        <v>504</v>
      </c>
      <c r="BB59" s="2"/>
      <c r="BC59" s="2"/>
      <c r="BD59" s="2"/>
      <c r="BE59" s="2"/>
      <c r="BF59" s="2"/>
      <c r="BG59" s="2"/>
      <c r="BH59" s="2"/>
      <c r="BI59" s="2"/>
      <c r="BJ59" s="2"/>
    </row>
    <row r="60" spans="1:62">
      <c r="A60" s="5" t="s">
        <v>467</v>
      </c>
      <c r="S60" s="16">
        <v>58</v>
      </c>
      <c r="T60" s="16" t="s">
        <v>627</v>
      </c>
      <c r="U60" s="17">
        <f>COUNTIFS(WTG_BD!L:L,'Basic Data'!T60,WTG_BD!F:F,"&gt;="&amp;O2Summary!$B$6,WTG_BD!F:F,"&lt;="&amp;O2Summary!$B$4)</f>
        <v>0</v>
      </c>
      <c r="V60" s="18">
        <f t="shared" si="0"/>
        <v>47</v>
      </c>
      <c r="BA60" s="2" t="s">
        <v>382</v>
      </c>
      <c r="BB60" s="2"/>
      <c r="BC60" s="2"/>
      <c r="BD60" s="2">
        <f>0.54*29</f>
        <v>15.66</v>
      </c>
      <c r="BE60" s="12">
        <f t="shared" ref="BE60:BE65" si="7">BD60/$N$4</f>
        <v>3.7109004739336493E-3</v>
      </c>
      <c r="BF60" s="2"/>
      <c r="BG60" s="2"/>
      <c r="BH60" s="2"/>
      <c r="BI60" s="2"/>
      <c r="BJ60" s="2"/>
    </row>
    <row r="61" spans="1:62">
      <c r="A61" s="5" t="s">
        <v>467</v>
      </c>
      <c r="S61" s="16">
        <v>59</v>
      </c>
      <c r="T61" s="16" t="s">
        <v>628</v>
      </c>
      <c r="U61" s="17">
        <f>COUNTIFS(WTG_BD!L:L,'Basic Data'!T61,WTG_BD!F:F,"&gt;="&amp;O2Summary!$B$6,WTG_BD!F:F,"&lt;="&amp;O2Summary!$B$4)</f>
        <v>0</v>
      </c>
      <c r="V61" s="18">
        <f t="shared" si="0"/>
        <v>47</v>
      </c>
      <c r="BA61" s="2" t="s">
        <v>444</v>
      </c>
      <c r="BB61" s="2"/>
      <c r="BC61" s="2"/>
      <c r="BD61" s="2">
        <f>0.545*29</f>
        <v>15.805000000000001</v>
      </c>
      <c r="BE61" s="12">
        <f t="shared" si="7"/>
        <v>3.7452606635071093E-3</v>
      </c>
      <c r="BF61" s="2"/>
      <c r="BG61" s="2"/>
      <c r="BH61" s="2"/>
      <c r="BI61" s="2"/>
      <c r="BJ61" s="2"/>
    </row>
    <row r="62" spans="1:62">
      <c r="A62" s="5" t="s">
        <v>467</v>
      </c>
      <c r="S62" s="16">
        <v>60</v>
      </c>
      <c r="T62" s="16" t="s">
        <v>629</v>
      </c>
      <c r="U62" s="17">
        <f>COUNTIFS(WTG_BD!L:L,'Basic Data'!T62,WTG_BD!F:F,"&gt;="&amp;O2Summary!$B$6,WTG_BD!F:F,"&lt;="&amp;O2Summary!$B$4)</f>
        <v>0</v>
      </c>
      <c r="V62" s="18">
        <f t="shared" si="0"/>
        <v>47</v>
      </c>
      <c r="BA62" s="2" t="s">
        <v>456</v>
      </c>
      <c r="BB62" s="2"/>
      <c r="BC62" s="2"/>
      <c r="BD62" s="2">
        <f>0.55*29</f>
        <v>15.950000000000001</v>
      </c>
      <c r="BE62" s="12">
        <f t="shared" si="7"/>
        <v>3.7796208530805689E-3</v>
      </c>
      <c r="BF62" s="2"/>
      <c r="BG62" s="2"/>
      <c r="BH62" s="2"/>
      <c r="BI62" s="2"/>
      <c r="BJ62" s="2"/>
    </row>
    <row r="63" spans="1:62">
      <c r="S63" s="16">
        <v>61</v>
      </c>
      <c r="T63" s="16" t="s">
        <v>630</v>
      </c>
      <c r="U63" s="17">
        <f>COUNTIFS(WTG_BD!L:L,'Basic Data'!T63,WTG_BD!F:F,"&gt;="&amp;O2Summary!$B$6,WTG_BD!F:F,"&lt;="&amp;O2Summary!$B$4)</f>
        <v>0</v>
      </c>
      <c r="V63" s="18">
        <f t="shared" si="0"/>
        <v>47</v>
      </c>
      <c r="BA63" s="2" t="s">
        <v>465</v>
      </c>
      <c r="BB63" s="2"/>
      <c r="BC63" s="2"/>
      <c r="BD63" s="2">
        <f>0.54*58</f>
        <v>31.32</v>
      </c>
      <c r="BE63" s="12">
        <f t="shared" si="7"/>
        <v>7.4218009478672986E-3</v>
      </c>
      <c r="BF63" s="2"/>
      <c r="BG63" s="2"/>
      <c r="BH63" s="2"/>
      <c r="BI63" s="2"/>
      <c r="BJ63" s="2"/>
    </row>
    <row r="64" spans="1:62">
      <c r="S64" s="16">
        <v>62</v>
      </c>
      <c r="T64" s="16" t="s">
        <v>631</v>
      </c>
      <c r="U64" s="17">
        <f>COUNTIFS(WTG_BD!L:L,'Basic Data'!T64,WTG_BD!F:F,"&gt;="&amp;O2Summary!$B$6,WTG_BD!F:F,"&lt;="&amp;O2Summary!$B$4)</f>
        <v>0</v>
      </c>
      <c r="V64" s="18">
        <f t="shared" si="0"/>
        <v>47</v>
      </c>
      <c r="BA64" s="2" t="s">
        <v>472</v>
      </c>
      <c r="BB64" s="2"/>
      <c r="BC64" s="2"/>
      <c r="BD64" s="2">
        <f>0.545*58</f>
        <v>31.610000000000003</v>
      </c>
      <c r="BE64" s="12">
        <f t="shared" si="7"/>
        <v>7.4905213270142186E-3</v>
      </c>
      <c r="BF64" s="2"/>
      <c r="BG64" s="2"/>
      <c r="BH64" s="2"/>
      <c r="BI64" s="2"/>
      <c r="BJ64" s="2"/>
    </row>
    <row r="65" spans="19:62">
      <c r="S65" s="16">
        <v>63</v>
      </c>
      <c r="T65" s="16" t="s">
        <v>632</v>
      </c>
      <c r="U65" s="17">
        <f>COUNTIFS(WTG_BD!L:L,'Basic Data'!T65,WTG_BD!F:F,"&gt;="&amp;O2Summary!$B$6,WTG_BD!F:F,"&lt;="&amp;O2Summary!$B$4)</f>
        <v>0</v>
      </c>
      <c r="V65" s="18">
        <f t="shared" si="0"/>
        <v>47</v>
      </c>
      <c r="BA65" s="2" t="s">
        <v>478</v>
      </c>
      <c r="BB65" s="2"/>
      <c r="BC65" s="2"/>
      <c r="BD65" s="2">
        <f>0.55*58</f>
        <v>31.900000000000002</v>
      </c>
      <c r="BE65" s="12">
        <f t="shared" si="7"/>
        <v>7.5592417061611378E-3</v>
      </c>
      <c r="BF65" s="2"/>
      <c r="BG65" s="2"/>
      <c r="BH65" s="2"/>
      <c r="BI65" s="2"/>
      <c r="BJ65" s="2"/>
    </row>
    <row r="66" spans="19:62">
      <c r="S66" s="16">
        <v>64</v>
      </c>
      <c r="T66" s="16" t="s">
        <v>633</v>
      </c>
      <c r="U66" s="17">
        <f>COUNTIFS(WTG_BD!L:L,'Basic Data'!T66,WTG_BD!F:F,"&gt;="&amp;O2Summary!$B$6,WTG_BD!F:F,"&lt;="&amp;O2Summary!$B$4)</f>
        <v>0</v>
      </c>
      <c r="V66" s="18">
        <f t="shared" si="0"/>
        <v>47</v>
      </c>
    </row>
    <row r="67" spans="19:62">
      <c r="S67" s="16">
        <v>65</v>
      </c>
      <c r="T67" s="16" t="s">
        <v>634</v>
      </c>
      <c r="U67" s="17">
        <f>COUNTIFS(WTG_BD!L:L,'Basic Data'!T67,WTG_BD!F:F,"&gt;="&amp;O2Summary!$B$6,WTG_BD!F:F,"&lt;="&amp;O2Summary!$B$4)</f>
        <v>0</v>
      </c>
      <c r="V67" s="18">
        <f t="shared" ref="V67:V130" si="8">RANK(U67,$U$2:$U$3975)</f>
        <v>47</v>
      </c>
    </row>
    <row r="68" spans="19:62">
      <c r="S68" s="16">
        <v>66</v>
      </c>
      <c r="T68" s="16" t="s">
        <v>635</v>
      </c>
      <c r="U68" s="17">
        <f>COUNTIFS(WTG_BD!L:L,'Basic Data'!T68,WTG_BD!F:F,"&gt;="&amp;O2Summary!$B$6,WTG_BD!F:F,"&lt;="&amp;O2Summary!$B$4)</f>
        <v>0</v>
      </c>
      <c r="V68" s="18">
        <f t="shared" si="8"/>
        <v>47</v>
      </c>
    </row>
    <row r="69" spans="19:62">
      <c r="S69" s="16">
        <v>67</v>
      </c>
      <c r="T69" s="16" t="s">
        <v>636</v>
      </c>
      <c r="U69" s="17">
        <f>COUNTIFS(WTG_BD!L:L,'Basic Data'!T69,WTG_BD!F:F,"&gt;="&amp;O2Summary!$B$6,WTG_BD!F:F,"&lt;="&amp;O2Summary!$B$4)</f>
        <v>0</v>
      </c>
      <c r="V69" s="18">
        <f t="shared" si="8"/>
        <v>47</v>
      </c>
    </row>
    <row r="70" spans="19:62">
      <c r="S70" s="16">
        <v>68</v>
      </c>
      <c r="T70" s="16" t="s">
        <v>637</v>
      </c>
      <c r="U70" s="17">
        <f>COUNTIFS(WTG_BD!L:L,'Basic Data'!T70,WTG_BD!F:F,"&gt;="&amp;O2Summary!$B$6,WTG_BD!F:F,"&lt;="&amp;O2Summary!$B$4)</f>
        <v>0</v>
      </c>
      <c r="V70" s="18">
        <f t="shared" si="8"/>
        <v>47</v>
      </c>
    </row>
    <row r="71" spans="19:62">
      <c r="S71" s="16">
        <v>69</v>
      </c>
      <c r="T71" s="16" t="s">
        <v>638</v>
      </c>
      <c r="U71" s="17">
        <f>COUNTIFS(WTG_BD!L:L,'Basic Data'!T71,WTG_BD!F:F,"&gt;="&amp;O2Summary!$B$6,WTG_BD!F:F,"&lt;="&amp;O2Summary!$B$4)</f>
        <v>0</v>
      </c>
      <c r="V71" s="18">
        <f t="shared" si="8"/>
        <v>47</v>
      </c>
    </row>
    <row r="72" spans="19:62">
      <c r="S72" s="16">
        <v>70</v>
      </c>
      <c r="T72" s="16" t="s">
        <v>639</v>
      </c>
      <c r="U72" s="17">
        <f>COUNTIFS(WTG_BD!L:L,'Basic Data'!T72,WTG_BD!F:F,"&gt;="&amp;O2Summary!$B$6,WTG_BD!F:F,"&lt;="&amp;O2Summary!$B$4)</f>
        <v>0</v>
      </c>
      <c r="V72" s="18">
        <f t="shared" si="8"/>
        <v>47</v>
      </c>
    </row>
    <row r="73" spans="19:62">
      <c r="S73" s="16">
        <v>71</v>
      </c>
      <c r="T73" s="16" t="s">
        <v>640</v>
      </c>
      <c r="U73" s="17">
        <f>COUNTIFS(WTG_BD!L:L,'Basic Data'!T73,WTG_BD!F:F,"&gt;="&amp;O2Summary!$B$6,WTG_BD!F:F,"&lt;="&amp;O2Summary!$B$4)</f>
        <v>0</v>
      </c>
      <c r="V73" s="18">
        <f t="shared" si="8"/>
        <v>47</v>
      </c>
    </row>
    <row r="74" spans="19:62">
      <c r="S74" s="16">
        <v>72</v>
      </c>
      <c r="T74" s="16" t="s">
        <v>641</v>
      </c>
      <c r="U74" s="17">
        <f>COUNTIFS(WTG_BD!L:L,'Basic Data'!T74,WTG_BD!F:F,"&gt;="&amp;O2Summary!$B$6,WTG_BD!F:F,"&lt;="&amp;O2Summary!$B$4)</f>
        <v>0</v>
      </c>
      <c r="V74" s="18">
        <f t="shared" si="8"/>
        <v>47</v>
      </c>
    </row>
    <row r="75" spans="19:62">
      <c r="S75" s="16">
        <v>73</v>
      </c>
      <c r="T75" s="16" t="s">
        <v>642</v>
      </c>
      <c r="U75" s="17">
        <f>COUNTIFS(WTG_BD!L:L,'Basic Data'!T75,WTG_BD!F:F,"&gt;="&amp;O2Summary!$B$6,WTG_BD!F:F,"&lt;="&amp;O2Summary!$B$4)</f>
        <v>0</v>
      </c>
      <c r="V75" s="18">
        <f t="shared" si="8"/>
        <v>47</v>
      </c>
    </row>
    <row r="76" spans="19:62">
      <c r="S76" s="16">
        <v>74</v>
      </c>
      <c r="T76" s="16" t="s">
        <v>643</v>
      </c>
      <c r="U76" s="17">
        <f>COUNTIFS(WTG_BD!L:L,'Basic Data'!T76,WTG_BD!F:F,"&gt;="&amp;O2Summary!$B$6,WTG_BD!F:F,"&lt;="&amp;O2Summary!$B$4)</f>
        <v>0</v>
      </c>
      <c r="V76" s="18">
        <f t="shared" si="8"/>
        <v>47</v>
      </c>
    </row>
    <row r="77" spans="19:62">
      <c r="S77" s="16">
        <v>75</v>
      </c>
      <c r="T77" s="16" t="s">
        <v>644</v>
      </c>
      <c r="U77" s="17">
        <f>COUNTIFS(WTG_BD!L:L,'Basic Data'!T77,WTG_BD!F:F,"&gt;="&amp;O2Summary!$B$6,WTG_BD!F:F,"&lt;="&amp;O2Summary!$B$4)</f>
        <v>0</v>
      </c>
      <c r="V77" s="18">
        <f t="shared" si="8"/>
        <v>47</v>
      </c>
    </row>
    <row r="78" spans="19:62">
      <c r="S78" s="16">
        <v>76</v>
      </c>
      <c r="T78" s="16" t="s">
        <v>645</v>
      </c>
      <c r="U78" s="17">
        <f>COUNTIFS(WTG_BD!L:L,'Basic Data'!T78,WTG_BD!F:F,"&gt;="&amp;O2Summary!$B$6,WTG_BD!F:F,"&lt;="&amp;O2Summary!$B$4)</f>
        <v>0</v>
      </c>
      <c r="V78" s="18">
        <f t="shared" si="8"/>
        <v>47</v>
      </c>
    </row>
    <row r="79" spans="19:62">
      <c r="S79" s="16">
        <v>77</v>
      </c>
      <c r="T79" s="16" t="s">
        <v>646</v>
      </c>
      <c r="U79" s="17">
        <f>COUNTIFS(WTG_BD!L:L,'Basic Data'!T79,WTG_BD!F:F,"&gt;="&amp;O2Summary!$B$6,WTG_BD!F:F,"&lt;="&amp;O2Summary!$B$4)</f>
        <v>0</v>
      </c>
      <c r="V79" s="18">
        <f t="shared" si="8"/>
        <v>47</v>
      </c>
    </row>
    <row r="80" spans="19:62">
      <c r="S80" s="16">
        <v>78</v>
      </c>
      <c r="T80" s="16" t="s">
        <v>647</v>
      </c>
      <c r="U80" s="17">
        <f>COUNTIFS(WTG_BD!L:L,'Basic Data'!T80,WTG_BD!F:F,"&gt;="&amp;O2Summary!$B$6,WTG_BD!F:F,"&lt;="&amp;O2Summary!$B$4)</f>
        <v>0</v>
      </c>
      <c r="V80" s="18">
        <f t="shared" si="8"/>
        <v>47</v>
      </c>
    </row>
    <row r="81" spans="19:22">
      <c r="S81" s="16">
        <v>79</v>
      </c>
      <c r="T81" s="16" t="s">
        <v>648</v>
      </c>
      <c r="U81" s="17">
        <f>COUNTIFS(WTG_BD!L:L,'Basic Data'!T81,WTG_BD!F:F,"&gt;="&amp;O2Summary!$B$6,WTG_BD!F:F,"&lt;="&amp;O2Summary!$B$4)</f>
        <v>1</v>
      </c>
      <c r="V81" s="18">
        <f t="shared" si="8"/>
        <v>29</v>
      </c>
    </row>
    <row r="82" spans="19:22">
      <c r="S82" s="16">
        <v>80</v>
      </c>
      <c r="T82" s="16" t="s">
        <v>649</v>
      </c>
      <c r="U82" s="17">
        <f>COUNTIFS(WTG_BD!L:L,'Basic Data'!T82,WTG_BD!F:F,"&gt;="&amp;O2Summary!$B$6,WTG_BD!F:F,"&lt;="&amp;O2Summary!$B$4)</f>
        <v>0</v>
      </c>
      <c r="V82" s="18">
        <f t="shared" si="8"/>
        <v>47</v>
      </c>
    </row>
    <row r="83" spans="19:22">
      <c r="S83" s="16">
        <v>81</v>
      </c>
      <c r="T83" s="16" t="s">
        <v>650</v>
      </c>
      <c r="U83" s="17">
        <f>COUNTIFS(WTG_BD!L:L,'Basic Data'!T83,WTG_BD!F:F,"&gt;="&amp;O2Summary!$B$6,WTG_BD!F:F,"&lt;="&amp;O2Summary!$B$4)</f>
        <v>0</v>
      </c>
      <c r="V83" s="18">
        <f t="shared" si="8"/>
        <v>47</v>
      </c>
    </row>
    <row r="84" spans="19:22">
      <c r="S84" s="16">
        <v>82</v>
      </c>
      <c r="T84" s="16" t="s">
        <v>651</v>
      </c>
      <c r="U84" s="17">
        <f>COUNTIFS(WTG_BD!L:L,'Basic Data'!T84,WTG_BD!F:F,"&gt;="&amp;O2Summary!$B$6,WTG_BD!F:F,"&lt;="&amp;O2Summary!$B$4)</f>
        <v>0</v>
      </c>
      <c r="V84" s="18">
        <f t="shared" si="8"/>
        <v>47</v>
      </c>
    </row>
    <row r="85" spans="19:22">
      <c r="S85" s="16">
        <v>83</v>
      </c>
      <c r="T85" s="16" t="s">
        <v>652</v>
      </c>
      <c r="U85" s="17">
        <f>COUNTIFS(WTG_BD!L:L,'Basic Data'!T85,WTG_BD!F:F,"&gt;="&amp;O2Summary!$B$6,WTG_BD!F:F,"&lt;="&amp;O2Summary!$B$4)</f>
        <v>0</v>
      </c>
      <c r="V85" s="18">
        <f t="shared" si="8"/>
        <v>47</v>
      </c>
    </row>
    <row r="86" spans="19:22">
      <c r="S86" s="16">
        <v>84</v>
      </c>
      <c r="T86" s="16" t="s">
        <v>653</v>
      </c>
      <c r="U86" s="17">
        <f>COUNTIFS(WTG_BD!L:L,'Basic Data'!T86,WTG_BD!F:F,"&gt;="&amp;O2Summary!$B$6,WTG_BD!F:F,"&lt;="&amp;O2Summary!$B$4)</f>
        <v>0</v>
      </c>
      <c r="V86" s="18">
        <f t="shared" si="8"/>
        <v>47</v>
      </c>
    </row>
    <row r="87" spans="19:22">
      <c r="S87" s="16">
        <v>85</v>
      </c>
      <c r="T87" s="16" t="s">
        <v>654</v>
      </c>
      <c r="U87" s="17">
        <f>COUNTIFS(WTG_BD!L:L,'Basic Data'!T87,WTG_BD!F:F,"&gt;="&amp;O2Summary!$B$6,WTG_BD!F:F,"&lt;="&amp;O2Summary!$B$4)</f>
        <v>0</v>
      </c>
      <c r="V87" s="18">
        <f t="shared" si="8"/>
        <v>47</v>
      </c>
    </row>
    <row r="88" spans="19:22">
      <c r="S88" s="16">
        <v>86</v>
      </c>
      <c r="T88" s="16" t="s">
        <v>655</v>
      </c>
      <c r="U88" s="17">
        <f>COUNTIFS(WTG_BD!L:L,'Basic Data'!T88,WTG_BD!F:F,"&gt;="&amp;O2Summary!$B$6,WTG_BD!F:F,"&lt;="&amp;O2Summary!$B$4)</f>
        <v>0</v>
      </c>
      <c r="V88" s="18">
        <f t="shared" si="8"/>
        <v>47</v>
      </c>
    </row>
    <row r="89" spans="19:22">
      <c r="S89" s="16">
        <v>87</v>
      </c>
      <c r="T89" s="16" t="s">
        <v>656</v>
      </c>
      <c r="U89" s="17">
        <f>COUNTIFS(WTG_BD!L:L,'Basic Data'!T89,WTG_BD!F:F,"&gt;="&amp;O2Summary!$B$6,WTG_BD!F:F,"&lt;="&amp;O2Summary!$B$4)</f>
        <v>0</v>
      </c>
      <c r="V89" s="18">
        <f t="shared" si="8"/>
        <v>47</v>
      </c>
    </row>
    <row r="90" spans="19:22">
      <c r="S90" s="16">
        <v>88</v>
      </c>
      <c r="T90" s="16" t="s">
        <v>657</v>
      </c>
      <c r="U90" s="17">
        <f>COUNTIFS(WTG_BD!L:L,'Basic Data'!T90,WTG_BD!F:F,"&gt;="&amp;O2Summary!$B$6,WTG_BD!F:F,"&lt;="&amp;O2Summary!$B$4)</f>
        <v>0</v>
      </c>
      <c r="V90" s="18">
        <f t="shared" si="8"/>
        <v>47</v>
      </c>
    </row>
    <row r="91" spans="19:22">
      <c r="S91" s="16">
        <v>89</v>
      </c>
      <c r="T91" s="16" t="s">
        <v>658</v>
      </c>
      <c r="U91" s="17">
        <f>COUNTIFS(WTG_BD!L:L,'Basic Data'!T91,WTG_BD!F:F,"&gt;="&amp;O2Summary!$B$6,WTG_BD!F:F,"&lt;="&amp;O2Summary!$B$4)</f>
        <v>0</v>
      </c>
      <c r="V91" s="18">
        <f t="shared" si="8"/>
        <v>47</v>
      </c>
    </row>
    <row r="92" spans="19:22">
      <c r="S92" s="16">
        <v>90</v>
      </c>
      <c r="T92" s="16" t="s">
        <v>659</v>
      </c>
      <c r="U92" s="17">
        <f>COUNTIFS(WTG_BD!L:L,'Basic Data'!T92,WTG_BD!F:F,"&gt;="&amp;O2Summary!$B$6,WTG_BD!F:F,"&lt;="&amp;O2Summary!$B$4)</f>
        <v>0</v>
      </c>
      <c r="V92" s="18">
        <f t="shared" si="8"/>
        <v>47</v>
      </c>
    </row>
    <row r="93" spans="19:22">
      <c r="S93" s="16">
        <v>91</v>
      </c>
      <c r="T93" s="16" t="s">
        <v>660</v>
      </c>
      <c r="U93" s="17">
        <f>COUNTIFS(WTG_BD!L:L,'Basic Data'!T93,WTG_BD!F:F,"&gt;="&amp;O2Summary!$B$6,WTG_BD!F:F,"&lt;="&amp;O2Summary!$B$4)</f>
        <v>0</v>
      </c>
      <c r="V93" s="18">
        <f t="shared" si="8"/>
        <v>47</v>
      </c>
    </row>
    <row r="94" spans="19:22">
      <c r="S94" s="16">
        <v>92</v>
      </c>
      <c r="T94" s="16" t="s">
        <v>661</v>
      </c>
      <c r="U94" s="17">
        <f>COUNTIFS(WTG_BD!L:L,'Basic Data'!T94,WTG_BD!F:F,"&gt;="&amp;O2Summary!$B$6,WTG_BD!F:F,"&lt;="&amp;O2Summary!$B$4)</f>
        <v>0</v>
      </c>
      <c r="V94" s="18">
        <f t="shared" si="8"/>
        <v>47</v>
      </c>
    </row>
    <row r="95" spans="19:22">
      <c r="S95" s="16">
        <v>93</v>
      </c>
      <c r="T95" s="16" t="s">
        <v>662</v>
      </c>
      <c r="U95" s="17">
        <f>COUNTIFS(WTG_BD!L:L,'Basic Data'!T95,WTG_BD!F:F,"&gt;="&amp;O2Summary!$B$6,WTG_BD!F:F,"&lt;="&amp;O2Summary!$B$4)</f>
        <v>0</v>
      </c>
      <c r="V95" s="18">
        <f t="shared" si="8"/>
        <v>47</v>
      </c>
    </row>
    <row r="96" spans="19:22">
      <c r="S96" s="16">
        <v>94</v>
      </c>
      <c r="T96" s="16" t="s">
        <v>663</v>
      </c>
      <c r="U96" s="17">
        <f>COUNTIFS(WTG_BD!L:L,'Basic Data'!T96,WTG_BD!F:F,"&gt;="&amp;O2Summary!$B$6,WTG_BD!F:F,"&lt;="&amp;O2Summary!$B$4)</f>
        <v>0</v>
      </c>
      <c r="V96" s="18">
        <f t="shared" si="8"/>
        <v>47</v>
      </c>
    </row>
    <row r="97" spans="19:22">
      <c r="S97" s="16">
        <v>95</v>
      </c>
      <c r="T97" s="16" t="s">
        <v>664</v>
      </c>
      <c r="U97" s="17">
        <f>COUNTIFS(WTG_BD!L:L,'Basic Data'!T97,WTG_BD!F:F,"&gt;="&amp;O2Summary!$B$6,WTG_BD!F:F,"&lt;="&amp;O2Summary!$B$4)</f>
        <v>0</v>
      </c>
      <c r="V97" s="18">
        <f t="shared" si="8"/>
        <v>47</v>
      </c>
    </row>
    <row r="98" spans="19:22">
      <c r="S98" s="16">
        <v>96</v>
      </c>
      <c r="T98" s="16" t="s">
        <v>665</v>
      </c>
      <c r="U98" s="17">
        <f>COUNTIFS(WTG_BD!L:L,'Basic Data'!T98,WTG_BD!F:F,"&gt;="&amp;O2Summary!$B$6,WTG_BD!F:F,"&lt;="&amp;O2Summary!$B$4)</f>
        <v>0</v>
      </c>
      <c r="V98" s="18">
        <f t="shared" si="8"/>
        <v>47</v>
      </c>
    </row>
    <row r="99" spans="19:22">
      <c r="S99" s="16">
        <v>97</v>
      </c>
      <c r="T99" s="16" t="s">
        <v>666</v>
      </c>
      <c r="U99" s="17">
        <f>COUNTIFS(WTG_BD!L:L,'Basic Data'!T99,WTG_BD!F:F,"&gt;="&amp;O2Summary!$B$6,WTG_BD!F:F,"&lt;="&amp;O2Summary!$B$4)</f>
        <v>0</v>
      </c>
      <c r="V99" s="18">
        <f t="shared" si="8"/>
        <v>47</v>
      </c>
    </row>
    <row r="100" spans="19:22">
      <c r="S100" s="16">
        <v>98</v>
      </c>
      <c r="T100" s="16" t="s">
        <v>667</v>
      </c>
      <c r="U100" s="17">
        <f>COUNTIFS(WTG_BD!L:L,'Basic Data'!T100,WTG_BD!F:F,"&gt;="&amp;O2Summary!$B$6,WTG_BD!F:F,"&lt;="&amp;O2Summary!$B$4)</f>
        <v>0</v>
      </c>
      <c r="V100" s="18">
        <f t="shared" si="8"/>
        <v>47</v>
      </c>
    </row>
    <row r="101" spans="19:22">
      <c r="S101" s="16">
        <v>99</v>
      </c>
      <c r="T101" s="16" t="s">
        <v>668</v>
      </c>
      <c r="U101" s="17">
        <f>COUNTIFS(WTG_BD!L:L,'Basic Data'!T101,WTG_BD!F:F,"&gt;="&amp;O2Summary!$B$6,WTG_BD!F:F,"&lt;="&amp;O2Summary!$B$4)</f>
        <v>0</v>
      </c>
      <c r="V101" s="18">
        <f t="shared" si="8"/>
        <v>47</v>
      </c>
    </row>
    <row r="102" spans="19:22">
      <c r="S102" s="16">
        <v>100</v>
      </c>
      <c r="T102" s="16" t="s">
        <v>669</v>
      </c>
      <c r="U102" s="17">
        <f>COUNTIFS(WTG_BD!L:L,'Basic Data'!T102,WTG_BD!F:F,"&gt;="&amp;O2Summary!$B$6,WTG_BD!F:F,"&lt;="&amp;O2Summary!$B$4)</f>
        <v>0</v>
      </c>
      <c r="V102" s="18">
        <f t="shared" si="8"/>
        <v>47</v>
      </c>
    </row>
    <row r="103" spans="19:22">
      <c r="S103" s="16">
        <v>101</v>
      </c>
      <c r="T103" s="16" t="s">
        <v>670</v>
      </c>
      <c r="U103" s="17">
        <f>COUNTIFS(WTG_BD!L:L,'Basic Data'!T103,WTG_BD!F:F,"&gt;="&amp;O2Summary!$B$6,WTG_BD!F:F,"&lt;="&amp;O2Summary!$B$4)</f>
        <v>0</v>
      </c>
      <c r="V103" s="18">
        <f t="shared" si="8"/>
        <v>47</v>
      </c>
    </row>
    <row r="104" spans="19:22">
      <c r="S104" s="16">
        <v>102</v>
      </c>
      <c r="T104" s="16" t="s">
        <v>671</v>
      </c>
      <c r="U104" s="17">
        <f>COUNTIFS(WTG_BD!L:L,'Basic Data'!T104,WTG_BD!F:F,"&gt;="&amp;O2Summary!$B$6,WTG_BD!F:F,"&lt;="&amp;O2Summary!$B$4)</f>
        <v>0</v>
      </c>
      <c r="V104" s="18">
        <f t="shared" si="8"/>
        <v>47</v>
      </c>
    </row>
    <row r="105" spans="19:22">
      <c r="S105" s="16">
        <v>103</v>
      </c>
      <c r="T105" s="16" t="s">
        <v>672</v>
      </c>
      <c r="U105" s="17">
        <f>COUNTIFS(WTG_BD!L:L,'Basic Data'!T105,WTG_BD!F:F,"&gt;="&amp;O2Summary!$B$6,WTG_BD!F:F,"&lt;="&amp;O2Summary!$B$4)</f>
        <v>0</v>
      </c>
      <c r="V105" s="18">
        <f t="shared" si="8"/>
        <v>47</v>
      </c>
    </row>
    <row r="106" spans="19:22">
      <c r="S106" s="16">
        <v>104</v>
      </c>
      <c r="T106" s="16" t="s">
        <v>673</v>
      </c>
      <c r="U106" s="17">
        <f>COUNTIFS(WTG_BD!L:L,'Basic Data'!T106,WTG_BD!F:F,"&gt;="&amp;O2Summary!$B$6,WTG_BD!F:F,"&lt;="&amp;O2Summary!$B$4)</f>
        <v>0</v>
      </c>
      <c r="V106" s="18">
        <f t="shared" si="8"/>
        <v>47</v>
      </c>
    </row>
    <row r="107" spans="19:22">
      <c r="S107" s="16">
        <v>105</v>
      </c>
      <c r="T107" s="16" t="s">
        <v>674</v>
      </c>
      <c r="U107" s="17">
        <f>COUNTIFS(WTG_BD!L:L,'Basic Data'!T107,WTG_BD!F:F,"&gt;="&amp;O2Summary!$B$6,WTG_BD!F:F,"&lt;="&amp;O2Summary!$B$4)</f>
        <v>0</v>
      </c>
      <c r="V107" s="18">
        <f t="shared" si="8"/>
        <v>47</v>
      </c>
    </row>
    <row r="108" spans="19:22">
      <c r="S108" s="16">
        <v>106</v>
      </c>
      <c r="T108" s="16" t="s">
        <v>675</v>
      </c>
      <c r="U108" s="17">
        <f>COUNTIFS(WTG_BD!L:L,'Basic Data'!T108,WTG_BD!F:F,"&gt;="&amp;O2Summary!$B$6,WTG_BD!F:F,"&lt;="&amp;O2Summary!$B$4)</f>
        <v>0</v>
      </c>
      <c r="V108" s="18">
        <f t="shared" si="8"/>
        <v>47</v>
      </c>
    </row>
    <row r="109" spans="19:22">
      <c r="S109" s="16">
        <v>107</v>
      </c>
      <c r="T109" s="16" t="s">
        <v>676</v>
      </c>
      <c r="U109" s="17">
        <f>COUNTIFS(WTG_BD!L:L,'Basic Data'!T109,WTG_BD!F:F,"&gt;="&amp;O2Summary!$B$6,WTG_BD!F:F,"&lt;="&amp;O2Summary!$B$4)</f>
        <v>0</v>
      </c>
      <c r="V109" s="18">
        <f t="shared" si="8"/>
        <v>47</v>
      </c>
    </row>
    <row r="110" spans="19:22">
      <c r="S110" s="16">
        <v>108</v>
      </c>
      <c r="T110" s="16" t="s">
        <v>677</v>
      </c>
      <c r="U110" s="17">
        <f>COUNTIFS(WTG_BD!L:L,'Basic Data'!T110,WTG_BD!F:F,"&gt;="&amp;O2Summary!$B$6,WTG_BD!F:F,"&lt;="&amp;O2Summary!$B$4)</f>
        <v>0</v>
      </c>
      <c r="V110" s="18">
        <f t="shared" si="8"/>
        <v>47</v>
      </c>
    </row>
    <row r="111" spans="19:22">
      <c r="S111" s="26">
        <v>109</v>
      </c>
      <c r="T111" s="26" t="s">
        <v>678</v>
      </c>
      <c r="U111" s="17">
        <f>COUNTIFS(WTG_BD!L:L,'Basic Data'!T111,WTG_BD!F:F,"&gt;="&amp;O2Summary!$B$6,WTG_BD!F:F,"&lt;="&amp;O2Summary!$B$4)</f>
        <v>0</v>
      </c>
      <c r="V111" s="18">
        <f t="shared" si="8"/>
        <v>47</v>
      </c>
    </row>
    <row r="112" spans="19:22">
      <c r="S112" s="26">
        <v>110</v>
      </c>
      <c r="T112" s="26" t="s">
        <v>679</v>
      </c>
      <c r="U112" s="17">
        <f>COUNTIFS(WTG_BD!L:L,'Basic Data'!T112,WTG_BD!F:F,"&gt;="&amp;O2Summary!$B$6,WTG_BD!F:F,"&lt;="&amp;O2Summary!$B$4)</f>
        <v>0</v>
      </c>
      <c r="V112" s="18">
        <f t="shared" si="8"/>
        <v>47</v>
      </c>
    </row>
    <row r="113" spans="19:22">
      <c r="S113" s="16">
        <v>111</v>
      </c>
      <c r="T113" s="16" t="s">
        <v>680</v>
      </c>
      <c r="U113" s="17">
        <f>COUNTIFS(WTG_BD!L:L,'Basic Data'!T113,WTG_BD!F:F,"&gt;="&amp;O2Summary!$B$6,WTG_BD!F:F,"&lt;="&amp;O2Summary!$B$4)</f>
        <v>0</v>
      </c>
      <c r="V113" s="18">
        <f t="shared" si="8"/>
        <v>47</v>
      </c>
    </row>
    <row r="114" spans="19:22">
      <c r="S114" s="16">
        <v>112</v>
      </c>
      <c r="T114" s="16" t="s">
        <v>681</v>
      </c>
      <c r="U114" s="17">
        <f>COUNTIFS(WTG_BD!L:L,'Basic Data'!T114,WTG_BD!F:F,"&gt;="&amp;O2Summary!$B$6,WTG_BD!F:F,"&lt;="&amp;O2Summary!$B$4)</f>
        <v>0</v>
      </c>
      <c r="V114" s="18">
        <f t="shared" si="8"/>
        <v>47</v>
      </c>
    </row>
    <row r="115" spans="19:22">
      <c r="S115" s="16">
        <v>113</v>
      </c>
      <c r="T115" s="16" t="s">
        <v>682</v>
      </c>
      <c r="U115" s="17">
        <f>COUNTIFS(WTG_BD!L:L,'Basic Data'!T115,WTG_BD!F:F,"&gt;="&amp;O2Summary!$B$6,WTG_BD!F:F,"&lt;="&amp;O2Summary!$B$4)</f>
        <v>0</v>
      </c>
      <c r="V115" s="18">
        <f t="shared" si="8"/>
        <v>47</v>
      </c>
    </row>
    <row r="116" spans="19:22">
      <c r="S116" s="16">
        <v>114</v>
      </c>
      <c r="T116" s="16" t="s">
        <v>683</v>
      </c>
      <c r="U116" s="17">
        <f>COUNTIFS(WTG_BD!L:L,'Basic Data'!T116,WTG_BD!F:F,"&gt;="&amp;O2Summary!$B$6,WTG_BD!F:F,"&lt;="&amp;O2Summary!$B$4)</f>
        <v>0</v>
      </c>
      <c r="V116" s="18">
        <f t="shared" si="8"/>
        <v>47</v>
      </c>
    </row>
    <row r="117" spans="19:22">
      <c r="S117" s="16">
        <v>115</v>
      </c>
      <c r="T117" s="16" t="s">
        <v>684</v>
      </c>
      <c r="U117" s="17">
        <f>COUNTIFS(WTG_BD!L:L,'Basic Data'!T117,WTG_BD!F:F,"&gt;="&amp;O2Summary!$B$6,WTG_BD!F:F,"&lt;="&amp;O2Summary!$B$4)</f>
        <v>0</v>
      </c>
      <c r="V117" s="18">
        <f t="shared" si="8"/>
        <v>47</v>
      </c>
    </row>
    <row r="118" spans="19:22">
      <c r="S118" s="16">
        <v>116</v>
      </c>
      <c r="T118" s="16" t="s">
        <v>685</v>
      </c>
      <c r="U118" s="17">
        <f>COUNTIFS(WTG_BD!L:L,'Basic Data'!T118,WTG_BD!F:F,"&gt;="&amp;O2Summary!$B$6,WTG_BD!F:F,"&lt;="&amp;O2Summary!$B$4)</f>
        <v>0</v>
      </c>
      <c r="V118" s="18">
        <f t="shared" si="8"/>
        <v>47</v>
      </c>
    </row>
    <row r="119" spans="19:22">
      <c r="S119" s="16">
        <v>117</v>
      </c>
      <c r="T119" s="16" t="s">
        <v>686</v>
      </c>
      <c r="U119" s="17">
        <f>COUNTIFS(WTG_BD!L:L,'Basic Data'!T119,WTG_BD!F:F,"&gt;="&amp;O2Summary!$B$6,WTG_BD!F:F,"&lt;="&amp;O2Summary!$B$4)</f>
        <v>0</v>
      </c>
      <c r="V119" s="18">
        <f t="shared" si="8"/>
        <v>47</v>
      </c>
    </row>
    <row r="120" spans="19:22">
      <c r="S120" s="16">
        <v>118</v>
      </c>
      <c r="T120" s="16" t="s">
        <v>687</v>
      </c>
      <c r="U120" s="17">
        <f>COUNTIFS(WTG_BD!L:L,'Basic Data'!T120,WTG_BD!F:F,"&gt;="&amp;O2Summary!$B$6,WTG_BD!F:F,"&lt;="&amp;O2Summary!$B$4)</f>
        <v>0</v>
      </c>
      <c r="V120" s="18">
        <f t="shared" si="8"/>
        <v>47</v>
      </c>
    </row>
    <row r="121" spans="19:22">
      <c r="S121" s="16">
        <v>119</v>
      </c>
      <c r="T121" s="16" t="s">
        <v>688</v>
      </c>
      <c r="U121" s="17">
        <f>COUNTIFS(WTG_BD!L:L,'Basic Data'!T121,WTG_BD!F:F,"&gt;="&amp;O2Summary!$B$6,WTG_BD!F:F,"&lt;="&amp;O2Summary!$B$4)</f>
        <v>0</v>
      </c>
      <c r="V121" s="18">
        <f t="shared" si="8"/>
        <v>47</v>
      </c>
    </row>
    <row r="122" spans="19:22">
      <c r="S122" s="16">
        <v>120</v>
      </c>
      <c r="T122" s="16" t="s">
        <v>689</v>
      </c>
      <c r="U122" s="17">
        <f>COUNTIFS(WTG_BD!L:L,'Basic Data'!T122,WTG_BD!F:F,"&gt;="&amp;O2Summary!$B$6,WTG_BD!F:F,"&lt;="&amp;O2Summary!$B$4)</f>
        <v>0</v>
      </c>
      <c r="V122" s="18">
        <f t="shared" si="8"/>
        <v>47</v>
      </c>
    </row>
    <row r="123" spans="19:22">
      <c r="S123" s="16">
        <v>121</v>
      </c>
      <c r="T123" s="16" t="s">
        <v>690</v>
      </c>
      <c r="U123" s="17">
        <f>COUNTIFS(WTG_BD!L:L,'Basic Data'!T123,WTG_BD!F:F,"&gt;="&amp;O2Summary!$B$6,WTG_BD!F:F,"&lt;="&amp;O2Summary!$B$4)</f>
        <v>0</v>
      </c>
      <c r="V123" s="18">
        <f t="shared" si="8"/>
        <v>47</v>
      </c>
    </row>
    <row r="124" spans="19:22">
      <c r="S124" s="16">
        <v>122</v>
      </c>
      <c r="T124" s="16" t="s">
        <v>691</v>
      </c>
      <c r="U124" s="17">
        <f>COUNTIFS(WTG_BD!L:L,'Basic Data'!T124,WTG_BD!F:F,"&gt;="&amp;O2Summary!$B$6,WTG_BD!F:F,"&lt;="&amp;O2Summary!$B$4)</f>
        <v>0</v>
      </c>
      <c r="V124" s="18">
        <f t="shared" si="8"/>
        <v>47</v>
      </c>
    </row>
    <row r="125" spans="19:22">
      <c r="S125" s="16">
        <v>123</v>
      </c>
      <c r="T125" s="16" t="s">
        <v>692</v>
      </c>
      <c r="U125" s="17">
        <f>COUNTIFS(WTG_BD!L:L,'Basic Data'!T125,WTG_BD!F:F,"&gt;="&amp;O2Summary!$B$6,WTG_BD!F:F,"&lt;="&amp;O2Summary!$B$4)</f>
        <v>0</v>
      </c>
      <c r="V125" s="18">
        <f t="shared" si="8"/>
        <v>47</v>
      </c>
    </row>
    <row r="126" spans="19:22">
      <c r="S126" s="16">
        <v>124</v>
      </c>
      <c r="T126" s="16" t="s">
        <v>693</v>
      </c>
      <c r="U126" s="17">
        <f>COUNTIFS(WTG_BD!L:L,'Basic Data'!T126,WTG_BD!F:F,"&gt;="&amp;O2Summary!$B$6,WTG_BD!F:F,"&lt;="&amp;O2Summary!$B$4)</f>
        <v>0</v>
      </c>
      <c r="V126" s="18">
        <f t="shared" si="8"/>
        <v>47</v>
      </c>
    </row>
    <row r="127" spans="19:22">
      <c r="S127" s="16">
        <v>125</v>
      </c>
      <c r="T127" s="16" t="s">
        <v>694</v>
      </c>
      <c r="U127" s="17">
        <f>COUNTIFS(WTG_BD!L:L,'Basic Data'!T127,WTG_BD!F:F,"&gt;="&amp;O2Summary!$B$6,WTG_BD!F:F,"&lt;="&amp;O2Summary!$B$4)</f>
        <v>0</v>
      </c>
      <c r="V127" s="18">
        <f t="shared" si="8"/>
        <v>47</v>
      </c>
    </row>
    <row r="128" spans="19:22">
      <c r="S128" s="16">
        <v>126</v>
      </c>
      <c r="T128" s="16" t="s">
        <v>695</v>
      </c>
      <c r="U128" s="17">
        <f>COUNTIFS(WTG_BD!L:L,'Basic Data'!T128,WTG_BD!F:F,"&gt;="&amp;O2Summary!$B$6,WTG_BD!F:F,"&lt;="&amp;O2Summary!$B$4)</f>
        <v>0</v>
      </c>
      <c r="V128" s="18">
        <f t="shared" si="8"/>
        <v>47</v>
      </c>
    </row>
    <row r="129" spans="19:22">
      <c r="S129" s="16">
        <v>127</v>
      </c>
      <c r="T129" s="16" t="s">
        <v>696</v>
      </c>
      <c r="U129" s="17">
        <f>COUNTIFS(WTG_BD!L:L,'Basic Data'!T129,WTG_BD!F:F,"&gt;="&amp;O2Summary!$B$6,WTG_BD!F:F,"&lt;="&amp;O2Summary!$B$4)</f>
        <v>0</v>
      </c>
      <c r="V129" s="18">
        <f t="shared" si="8"/>
        <v>47</v>
      </c>
    </row>
    <row r="130" spans="19:22">
      <c r="S130" s="16">
        <v>128</v>
      </c>
      <c r="T130" s="16" t="s">
        <v>697</v>
      </c>
      <c r="U130" s="17">
        <f>COUNTIFS(WTG_BD!L:L,'Basic Data'!T130,WTG_BD!F:F,"&gt;="&amp;O2Summary!$B$6,WTG_BD!F:F,"&lt;="&amp;O2Summary!$B$4)</f>
        <v>0</v>
      </c>
      <c r="V130" s="18">
        <f t="shared" si="8"/>
        <v>47</v>
      </c>
    </row>
    <row r="131" spans="19:22">
      <c r="S131" s="16">
        <v>129</v>
      </c>
      <c r="T131" s="16" t="s">
        <v>698</v>
      </c>
      <c r="U131" s="17">
        <f>COUNTIFS(WTG_BD!L:L,'Basic Data'!T131,WTG_BD!F:F,"&gt;="&amp;O2Summary!$B$6,WTG_BD!F:F,"&lt;="&amp;O2Summary!$B$4)</f>
        <v>0</v>
      </c>
      <c r="V131" s="18">
        <f t="shared" ref="V131:V194" si="9">RANK(U131,$U$2:$U$3975)</f>
        <v>47</v>
      </c>
    </row>
    <row r="132" spans="19:22">
      <c r="S132" s="16">
        <v>130</v>
      </c>
      <c r="T132" s="16" t="s">
        <v>699</v>
      </c>
      <c r="U132" s="17">
        <f>COUNTIFS(WTG_BD!L:L,'Basic Data'!T132,WTG_BD!F:F,"&gt;="&amp;O2Summary!$B$6,WTG_BD!F:F,"&lt;="&amp;O2Summary!$B$4)</f>
        <v>0</v>
      </c>
      <c r="V132" s="18">
        <f t="shared" si="9"/>
        <v>47</v>
      </c>
    </row>
    <row r="133" spans="19:22">
      <c r="S133" s="16">
        <v>131</v>
      </c>
      <c r="T133" s="16" t="s">
        <v>700</v>
      </c>
      <c r="U133" s="17">
        <f>COUNTIFS(WTG_BD!L:L,'Basic Data'!T133,WTG_BD!F:F,"&gt;="&amp;O2Summary!$B$6,WTG_BD!F:F,"&lt;="&amp;O2Summary!$B$4)</f>
        <v>0</v>
      </c>
      <c r="V133" s="18">
        <f t="shared" si="9"/>
        <v>47</v>
      </c>
    </row>
    <row r="134" spans="19:22">
      <c r="S134" s="16">
        <v>132</v>
      </c>
      <c r="T134" s="16" t="s">
        <v>701</v>
      </c>
      <c r="U134" s="17">
        <f>COUNTIFS(WTG_BD!L:L,'Basic Data'!T134,WTG_BD!F:F,"&gt;="&amp;O2Summary!$B$6,WTG_BD!F:F,"&lt;="&amp;O2Summary!$B$4)</f>
        <v>0</v>
      </c>
      <c r="V134" s="18">
        <f t="shared" si="9"/>
        <v>47</v>
      </c>
    </row>
    <row r="135" spans="19:22">
      <c r="S135" s="16">
        <v>133</v>
      </c>
      <c r="T135" s="16" t="s">
        <v>702</v>
      </c>
      <c r="U135" s="17">
        <f>COUNTIFS(WTG_BD!L:L,'Basic Data'!T135,WTG_BD!F:F,"&gt;="&amp;O2Summary!$B$6,WTG_BD!F:F,"&lt;="&amp;O2Summary!$B$4)</f>
        <v>0</v>
      </c>
      <c r="V135" s="18">
        <f t="shared" si="9"/>
        <v>47</v>
      </c>
    </row>
    <row r="136" spans="19:22">
      <c r="S136" s="16">
        <v>134</v>
      </c>
      <c r="T136" s="16" t="s">
        <v>703</v>
      </c>
      <c r="U136" s="17">
        <f>COUNTIFS(WTG_BD!L:L,'Basic Data'!T136,WTG_BD!F:F,"&gt;="&amp;O2Summary!$B$6,WTG_BD!F:F,"&lt;="&amp;O2Summary!$B$4)</f>
        <v>0</v>
      </c>
      <c r="V136" s="18">
        <f t="shared" si="9"/>
        <v>47</v>
      </c>
    </row>
    <row r="137" spans="19:22">
      <c r="S137" s="16">
        <v>135</v>
      </c>
      <c r="T137" s="16" t="s">
        <v>704</v>
      </c>
      <c r="U137" s="17">
        <f>COUNTIFS(WTG_BD!L:L,'Basic Data'!T137,WTG_BD!F:F,"&gt;="&amp;O2Summary!$B$6,WTG_BD!F:F,"&lt;="&amp;O2Summary!$B$4)</f>
        <v>0</v>
      </c>
      <c r="V137" s="18">
        <f t="shared" si="9"/>
        <v>47</v>
      </c>
    </row>
    <row r="138" spans="19:22">
      <c r="S138" s="16">
        <v>136</v>
      </c>
      <c r="T138" s="16" t="s">
        <v>705</v>
      </c>
      <c r="U138" s="17">
        <f>COUNTIFS(WTG_BD!L:L,'Basic Data'!T138,WTG_BD!F:F,"&gt;="&amp;O2Summary!$B$6,WTG_BD!F:F,"&lt;="&amp;O2Summary!$B$4)</f>
        <v>3</v>
      </c>
      <c r="V138" s="18">
        <f t="shared" si="9"/>
        <v>18</v>
      </c>
    </row>
    <row r="139" spans="19:22">
      <c r="S139" s="16">
        <v>137</v>
      </c>
      <c r="T139" s="16" t="s">
        <v>706</v>
      </c>
      <c r="U139" s="17">
        <f>COUNTIFS(WTG_BD!L:L,'Basic Data'!T139,WTG_BD!F:F,"&gt;="&amp;O2Summary!$B$6,WTG_BD!F:F,"&lt;="&amp;O2Summary!$B$4)</f>
        <v>9</v>
      </c>
      <c r="V139" s="18">
        <f t="shared" si="9"/>
        <v>11</v>
      </c>
    </row>
    <row r="140" spans="19:22">
      <c r="S140" s="16">
        <v>138</v>
      </c>
      <c r="T140" s="16" t="s">
        <v>707</v>
      </c>
      <c r="U140" s="17">
        <f>COUNTIFS(WTG_BD!L:L,'Basic Data'!T140,WTG_BD!F:F,"&gt;="&amp;O2Summary!$B$6,WTG_BD!F:F,"&lt;="&amp;O2Summary!$B$4)</f>
        <v>2</v>
      </c>
      <c r="V140" s="18">
        <f t="shared" si="9"/>
        <v>21</v>
      </c>
    </row>
    <row r="141" spans="19:22">
      <c r="S141" s="16">
        <v>139</v>
      </c>
      <c r="T141" s="16" t="s">
        <v>708</v>
      </c>
      <c r="U141" s="17">
        <f>COUNTIFS(WTG_BD!L:L,'Basic Data'!T141,WTG_BD!F:F,"&gt;="&amp;O2Summary!$B$6,WTG_BD!F:F,"&lt;="&amp;O2Summary!$B$4)</f>
        <v>0</v>
      </c>
      <c r="V141" s="18">
        <f t="shared" si="9"/>
        <v>47</v>
      </c>
    </row>
    <row r="142" spans="19:22">
      <c r="S142" s="16">
        <v>140</v>
      </c>
      <c r="T142" s="16" t="s">
        <v>709</v>
      </c>
      <c r="U142" s="17">
        <f>COUNTIFS(WTG_BD!L:L,'Basic Data'!T142,WTG_BD!F:F,"&gt;="&amp;O2Summary!$B$6,WTG_BD!F:F,"&lt;="&amp;O2Summary!$B$4)</f>
        <v>0</v>
      </c>
      <c r="V142" s="18">
        <f t="shared" si="9"/>
        <v>47</v>
      </c>
    </row>
    <row r="143" spans="19:22">
      <c r="S143" s="16">
        <v>141</v>
      </c>
      <c r="T143" s="16" t="s">
        <v>710</v>
      </c>
      <c r="U143" s="17">
        <f>COUNTIFS(WTG_BD!L:L,'Basic Data'!T143,WTG_BD!F:F,"&gt;="&amp;O2Summary!$B$6,WTG_BD!F:F,"&lt;="&amp;O2Summary!$B$4)</f>
        <v>0</v>
      </c>
      <c r="V143" s="18">
        <f t="shared" si="9"/>
        <v>47</v>
      </c>
    </row>
    <row r="144" spans="19:22">
      <c r="S144" s="16">
        <v>142</v>
      </c>
      <c r="T144" s="16" t="s">
        <v>711</v>
      </c>
      <c r="U144" s="17">
        <f>COUNTIFS(WTG_BD!L:L,'Basic Data'!T144,WTG_BD!F:F,"&gt;="&amp;O2Summary!$B$6,WTG_BD!F:F,"&lt;="&amp;O2Summary!$B$4)</f>
        <v>0</v>
      </c>
      <c r="V144" s="18">
        <f t="shared" si="9"/>
        <v>47</v>
      </c>
    </row>
    <row r="145" spans="19:22">
      <c r="S145" s="16">
        <v>143</v>
      </c>
      <c r="T145" s="16" t="s">
        <v>712</v>
      </c>
      <c r="U145" s="17">
        <f>COUNTIFS(WTG_BD!L:L,'Basic Data'!T145,WTG_BD!F:F,"&gt;="&amp;O2Summary!$B$6,WTG_BD!F:F,"&lt;="&amp;O2Summary!$B$4)</f>
        <v>0</v>
      </c>
      <c r="V145" s="18">
        <f t="shared" si="9"/>
        <v>47</v>
      </c>
    </row>
    <row r="146" spans="19:22">
      <c r="S146" s="16">
        <v>144</v>
      </c>
      <c r="T146" s="16" t="s">
        <v>713</v>
      </c>
      <c r="U146" s="17">
        <f>COUNTIFS(WTG_BD!L:L,'Basic Data'!T146,WTG_BD!F:F,"&gt;="&amp;O2Summary!$B$6,WTG_BD!F:F,"&lt;="&amp;O2Summary!$B$4)</f>
        <v>0</v>
      </c>
      <c r="V146" s="18">
        <f t="shared" si="9"/>
        <v>47</v>
      </c>
    </row>
    <row r="147" spans="19:22">
      <c r="S147" s="16">
        <v>145</v>
      </c>
      <c r="T147" s="16" t="s">
        <v>714</v>
      </c>
      <c r="U147" s="17">
        <f>COUNTIFS(WTG_BD!L:L,'Basic Data'!T147,WTG_BD!F:F,"&gt;="&amp;O2Summary!$B$6,WTG_BD!F:F,"&lt;="&amp;O2Summary!$B$4)</f>
        <v>0</v>
      </c>
      <c r="V147" s="18">
        <f t="shared" si="9"/>
        <v>47</v>
      </c>
    </row>
    <row r="148" spans="19:22">
      <c r="S148" s="16">
        <v>146</v>
      </c>
      <c r="T148" s="16" t="s">
        <v>715</v>
      </c>
      <c r="U148" s="17">
        <f>COUNTIFS(WTG_BD!L:L,'Basic Data'!T148,WTG_BD!F:F,"&gt;="&amp;O2Summary!$B$6,WTG_BD!F:F,"&lt;="&amp;O2Summary!$B$4)</f>
        <v>0</v>
      </c>
      <c r="V148" s="18">
        <f t="shared" si="9"/>
        <v>47</v>
      </c>
    </row>
    <row r="149" spans="19:22">
      <c r="S149" s="16">
        <v>147</v>
      </c>
      <c r="T149" s="16" t="s">
        <v>716</v>
      </c>
      <c r="U149" s="17">
        <f>COUNTIFS(WTG_BD!L:L,'Basic Data'!T149,WTG_BD!F:F,"&gt;="&amp;O2Summary!$B$6,WTG_BD!F:F,"&lt;="&amp;O2Summary!$B$4)</f>
        <v>0</v>
      </c>
      <c r="V149" s="18">
        <f t="shared" si="9"/>
        <v>47</v>
      </c>
    </row>
    <row r="150" spans="19:22">
      <c r="S150" s="16">
        <v>148</v>
      </c>
      <c r="T150" s="16" t="s">
        <v>717</v>
      </c>
      <c r="U150" s="17">
        <f>COUNTIFS(WTG_BD!L:L,'Basic Data'!T150,WTG_BD!F:F,"&gt;="&amp;O2Summary!$B$6,WTG_BD!F:F,"&lt;="&amp;O2Summary!$B$4)</f>
        <v>0</v>
      </c>
      <c r="V150" s="18">
        <f t="shared" si="9"/>
        <v>47</v>
      </c>
    </row>
    <row r="151" spans="19:22">
      <c r="S151" s="16">
        <v>149</v>
      </c>
      <c r="T151" s="16" t="s">
        <v>718</v>
      </c>
      <c r="U151" s="17">
        <f>COUNTIFS(WTG_BD!L:L,'Basic Data'!T151,WTG_BD!F:F,"&gt;="&amp;O2Summary!$B$6,WTG_BD!F:F,"&lt;="&amp;O2Summary!$B$4)</f>
        <v>0</v>
      </c>
      <c r="V151" s="18">
        <f t="shared" si="9"/>
        <v>47</v>
      </c>
    </row>
    <row r="152" spans="19:22">
      <c r="S152" s="16">
        <v>150</v>
      </c>
      <c r="T152" s="16" t="s">
        <v>719</v>
      </c>
      <c r="U152" s="17">
        <f>COUNTIFS(WTG_BD!L:L,'Basic Data'!T152,WTG_BD!F:F,"&gt;="&amp;O2Summary!$B$6,WTG_BD!F:F,"&lt;="&amp;O2Summary!$B$4)</f>
        <v>0</v>
      </c>
      <c r="V152" s="18">
        <f t="shared" si="9"/>
        <v>47</v>
      </c>
    </row>
    <row r="153" spans="19:22">
      <c r="S153" s="16">
        <v>151</v>
      </c>
      <c r="T153" s="16" t="s">
        <v>720</v>
      </c>
      <c r="U153" s="17">
        <f>COUNTIFS(WTG_BD!L:L,'Basic Data'!T153,WTG_BD!F:F,"&gt;="&amp;O2Summary!$B$6,WTG_BD!F:F,"&lt;="&amp;O2Summary!$B$4)</f>
        <v>1</v>
      </c>
      <c r="V153" s="18">
        <f t="shared" si="9"/>
        <v>29</v>
      </c>
    </row>
    <row r="154" spans="19:22">
      <c r="S154" s="16">
        <v>152</v>
      </c>
      <c r="T154" s="16" t="s">
        <v>721</v>
      </c>
      <c r="U154" s="17">
        <f>COUNTIFS(WTG_BD!L:L,'Basic Data'!T154,WTG_BD!F:F,"&gt;="&amp;O2Summary!$B$6,WTG_BD!F:F,"&lt;="&amp;O2Summary!$B$4)</f>
        <v>0</v>
      </c>
      <c r="V154" s="18">
        <f t="shared" si="9"/>
        <v>47</v>
      </c>
    </row>
    <row r="155" spans="19:22">
      <c r="S155" s="16">
        <v>153</v>
      </c>
      <c r="T155" s="16" t="s">
        <v>722</v>
      </c>
      <c r="U155" s="17">
        <f>COUNTIFS(WTG_BD!L:L,'Basic Data'!T155,WTG_BD!F:F,"&gt;="&amp;O2Summary!$B$6,WTG_BD!F:F,"&lt;="&amp;O2Summary!$B$4)</f>
        <v>0</v>
      </c>
      <c r="V155" s="18">
        <f t="shared" si="9"/>
        <v>47</v>
      </c>
    </row>
    <row r="156" spans="19:22">
      <c r="S156" s="16">
        <v>154</v>
      </c>
      <c r="T156" s="16" t="s">
        <v>723</v>
      </c>
      <c r="U156" s="17">
        <f>COUNTIFS(WTG_BD!L:L,'Basic Data'!T156,WTG_BD!F:F,"&gt;="&amp;O2Summary!$B$6,WTG_BD!F:F,"&lt;="&amp;O2Summary!$B$4)</f>
        <v>1</v>
      </c>
      <c r="V156" s="18">
        <f t="shared" si="9"/>
        <v>29</v>
      </c>
    </row>
    <row r="157" spans="19:22">
      <c r="S157" s="16">
        <v>155</v>
      </c>
      <c r="T157" s="16" t="s">
        <v>724</v>
      </c>
      <c r="U157" s="17">
        <f>COUNTIFS(WTG_BD!L:L,'Basic Data'!T157,WTG_BD!F:F,"&gt;="&amp;O2Summary!$B$6,WTG_BD!F:F,"&lt;="&amp;O2Summary!$B$4)</f>
        <v>0</v>
      </c>
      <c r="V157" s="18">
        <f t="shared" si="9"/>
        <v>47</v>
      </c>
    </row>
    <row r="158" spans="19:22">
      <c r="S158" s="16">
        <v>156</v>
      </c>
      <c r="T158" s="16" t="s">
        <v>725</v>
      </c>
      <c r="U158" s="17">
        <f>COUNTIFS(WTG_BD!L:L,'Basic Data'!T158,WTG_BD!F:F,"&gt;="&amp;O2Summary!$B$6,WTG_BD!F:F,"&lt;="&amp;O2Summary!$B$4)</f>
        <v>0</v>
      </c>
      <c r="V158" s="18">
        <f t="shared" si="9"/>
        <v>47</v>
      </c>
    </row>
    <row r="159" spans="19:22">
      <c r="S159" s="16">
        <v>157</v>
      </c>
      <c r="T159" s="16" t="s">
        <v>726</v>
      </c>
      <c r="U159" s="17">
        <f>COUNTIFS(WTG_BD!L:L,'Basic Data'!T159,WTG_BD!F:F,"&gt;="&amp;O2Summary!$B$6,WTG_BD!F:F,"&lt;="&amp;O2Summary!$B$4)</f>
        <v>0</v>
      </c>
      <c r="V159" s="18">
        <f t="shared" si="9"/>
        <v>47</v>
      </c>
    </row>
    <row r="160" spans="19:22">
      <c r="S160" s="16">
        <v>158</v>
      </c>
      <c r="T160" s="16" t="s">
        <v>727</v>
      </c>
      <c r="U160" s="17">
        <f>COUNTIFS(WTG_BD!L:L,'Basic Data'!T160,WTG_BD!F:F,"&gt;="&amp;O2Summary!$B$6,WTG_BD!F:F,"&lt;="&amp;O2Summary!$B$4)</f>
        <v>2</v>
      </c>
      <c r="V160" s="18">
        <f t="shared" si="9"/>
        <v>21</v>
      </c>
    </row>
    <row r="161" spans="19:22">
      <c r="S161" s="16">
        <v>159</v>
      </c>
      <c r="T161" s="16" t="s">
        <v>728</v>
      </c>
      <c r="U161" s="17">
        <f>COUNTIFS(WTG_BD!L:L,'Basic Data'!T161,WTG_BD!F:F,"&gt;="&amp;O2Summary!$B$6,WTG_BD!F:F,"&lt;="&amp;O2Summary!$B$4)</f>
        <v>0</v>
      </c>
      <c r="V161" s="18">
        <f t="shared" si="9"/>
        <v>47</v>
      </c>
    </row>
    <row r="162" spans="19:22">
      <c r="S162" s="16">
        <v>160</v>
      </c>
      <c r="T162" s="16" t="s">
        <v>729</v>
      </c>
      <c r="U162" s="17">
        <f>COUNTIFS(WTG_BD!L:L,'Basic Data'!T162,WTG_BD!F:F,"&gt;="&amp;O2Summary!$B$6,WTG_BD!F:F,"&lt;="&amp;O2Summary!$B$4)</f>
        <v>0</v>
      </c>
      <c r="V162" s="18">
        <f t="shared" si="9"/>
        <v>47</v>
      </c>
    </row>
    <row r="163" spans="19:22">
      <c r="S163" s="16">
        <v>161</v>
      </c>
      <c r="T163" s="16" t="s">
        <v>730</v>
      </c>
      <c r="U163" s="17">
        <f>COUNTIFS(WTG_BD!L:L,'Basic Data'!T163,WTG_BD!F:F,"&gt;="&amp;O2Summary!$B$6,WTG_BD!F:F,"&lt;="&amp;O2Summary!$B$4)</f>
        <v>0</v>
      </c>
      <c r="V163" s="18">
        <f t="shared" si="9"/>
        <v>47</v>
      </c>
    </row>
    <row r="164" spans="19:22">
      <c r="S164" s="16">
        <v>162</v>
      </c>
      <c r="T164" s="16" t="s">
        <v>731</v>
      </c>
      <c r="U164" s="17">
        <f>COUNTIFS(WTG_BD!L:L,'Basic Data'!T164,WTG_BD!F:F,"&gt;="&amp;O2Summary!$B$6,WTG_BD!F:F,"&lt;="&amp;O2Summary!$B$4)</f>
        <v>0</v>
      </c>
      <c r="V164" s="18">
        <f t="shared" si="9"/>
        <v>47</v>
      </c>
    </row>
    <row r="165" spans="19:22">
      <c r="S165" s="16">
        <v>163</v>
      </c>
      <c r="T165" s="16" t="s">
        <v>732</v>
      </c>
      <c r="U165" s="17">
        <f>COUNTIFS(WTG_BD!L:L,'Basic Data'!T165,WTG_BD!F:F,"&gt;="&amp;O2Summary!$B$6,WTG_BD!F:F,"&lt;="&amp;O2Summary!$B$4)</f>
        <v>0</v>
      </c>
      <c r="V165" s="18">
        <f t="shared" si="9"/>
        <v>47</v>
      </c>
    </row>
    <row r="166" spans="19:22">
      <c r="S166" s="16">
        <v>164</v>
      </c>
      <c r="T166" s="16" t="s">
        <v>733</v>
      </c>
      <c r="U166" s="17">
        <f>COUNTIFS(WTG_BD!L:L,'Basic Data'!T166,WTG_BD!F:F,"&gt;="&amp;O2Summary!$B$6,WTG_BD!F:F,"&lt;="&amp;O2Summary!$B$4)</f>
        <v>0</v>
      </c>
      <c r="V166" s="18">
        <f t="shared" si="9"/>
        <v>47</v>
      </c>
    </row>
    <row r="167" spans="19:22">
      <c r="S167" s="16">
        <v>165</v>
      </c>
      <c r="T167" s="16" t="s">
        <v>347</v>
      </c>
      <c r="U167" s="17">
        <f>COUNTIFS(WTG_BD!L:L,'Basic Data'!T167,WTG_BD!F:F,"&gt;="&amp;O2Summary!$B$6,WTG_BD!F:F,"&lt;="&amp;O2Summary!$B$4)</f>
        <v>2</v>
      </c>
      <c r="V167" s="18">
        <f t="shared" si="9"/>
        <v>21</v>
      </c>
    </row>
    <row r="168" spans="19:22">
      <c r="S168" s="16">
        <v>166</v>
      </c>
      <c r="T168" s="16" t="s">
        <v>734</v>
      </c>
      <c r="U168" s="17">
        <f>COUNTIFS(WTG_BD!L:L,'Basic Data'!T168,WTG_BD!F:F,"&gt;="&amp;O2Summary!$B$6,WTG_BD!F:F,"&lt;="&amp;O2Summary!$B$4)</f>
        <v>0</v>
      </c>
      <c r="V168" s="18">
        <f t="shared" si="9"/>
        <v>47</v>
      </c>
    </row>
    <row r="169" spans="19:22">
      <c r="S169" s="16">
        <v>167</v>
      </c>
      <c r="T169" s="16" t="s">
        <v>735</v>
      </c>
      <c r="U169" s="17">
        <f>COUNTIFS(WTG_BD!L:L,'Basic Data'!T169,WTG_BD!F:F,"&gt;="&amp;O2Summary!$B$6,WTG_BD!F:F,"&lt;="&amp;O2Summary!$B$4)</f>
        <v>0</v>
      </c>
      <c r="V169" s="18">
        <f t="shared" si="9"/>
        <v>47</v>
      </c>
    </row>
    <row r="170" spans="19:22">
      <c r="S170" s="16">
        <v>168</v>
      </c>
      <c r="T170" s="16" t="s">
        <v>736</v>
      </c>
      <c r="U170" s="17">
        <f>COUNTIFS(WTG_BD!L:L,'Basic Data'!T170,WTG_BD!F:F,"&gt;="&amp;O2Summary!$B$6,WTG_BD!F:F,"&lt;="&amp;O2Summary!$B$4)</f>
        <v>0</v>
      </c>
      <c r="V170" s="18">
        <f t="shared" si="9"/>
        <v>47</v>
      </c>
    </row>
    <row r="171" spans="19:22">
      <c r="S171" s="16">
        <v>169</v>
      </c>
      <c r="T171" s="16" t="s">
        <v>737</v>
      </c>
      <c r="U171" s="17">
        <f>COUNTIFS(WTG_BD!L:L,'Basic Data'!T171,WTG_BD!F:F,"&gt;="&amp;O2Summary!$B$6,WTG_BD!F:F,"&lt;="&amp;O2Summary!$B$4)</f>
        <v>0</v>
      </c>
      <c r="V171" s="18">
        <f t="shared" si="9"/>
        <v>47</v>
      </c>
    </row>
    <row r="172" spans="19:22">
      <c r="S172" s="16">
        <v>170</v>
      </c>
      <c r="T172" s="16" t="s">
        <v>738</v>
      </c>
      <c r="U172" s="17">
        <f>COUNTIFS(WTG_BD!L:L,'Basic Data'!T172,WTG_BD!F:F,"&gt;="&amp;O2Summary!$B$6,WTG_BD!F:F,"&lt;="&amp;O2Summary!$B$4)</f>
        <v>0</v>
      </c>
      <c r="V172" s="18">
        <f t="shared" si="9"/>
        <v>47</v>
      </c>
    </row>
    <row r="173" spans="19:22">
      <c r="S173" s="16">
        <v>171</v>
      </c>
      <c r="T173" s="16" t="s">
        <v>739</v>
      </c>
      <c r="U173" s="17">
        <f>COUNTIFS(WTG_BD!L:L,'Basic Data'!T173,WTG_BD!F:F,"&gt;="&amp;O2Summary!$B$6,WTG_BD!F:F,"&lt;="&amp;O2Summary!$B$4)</f>
        <v>0</v>
      </c>
      <c r="V173" s="18">
        <f t="shared" si="9"/>
        <v>47</v>
      </c>
    </row>
    <row r="174" spans="19:22">
      <c r="S174" s="16">
        <v>172</v>
      </c>
      <c r="T174" s="16" t="s">
        <v>740</v>
      </c>
      <c r="U174" s="17">
        <f>COUNTIFS(WTG_BD!L:L,'Basic Data'!T174,WTG_BD!F:F,"&gt;="&amp;O2Summary!$B$6,WTG_BD!F:F,"&lt;="&amp;O2Summary!$B$4)</f>
        <v>0</v>
      </c>
      <c r="V174" s="18">
        <f t="shared" si="9"/>
        <v>47</v>
      </c>
    </row>
    <row r="175" spans="19:22">
      <c r="S175" s="16">
        <v>173</v>
      </c>
      <c r="T175" s="16" t="s">
        <v>741</v>
      </c>
      <c r="U175" s="17">
        <f>COUNTIFS(WTG_BD!L:L,'Basic Data'!T175,WTG_BD!F:F,"&gt;="&amp;O2Summary!$B$6,WTG_BD!F:F,"&lt;="&amp;O2Summary!$B$4)</f>
        <v>0</v>
      </c>
      <c r="V175" s="18">
        <f t="shared" si="9"/>
        <v>47</v>
      </c>
    </row>
    <row r="176" spans="19:22">
      <c r="S176" s="16">
        <v>174</v>
      </c>
      <c r="T176" s="16" t="s">
        <v>742</v>
      </c>
      <c r="U176" s="17">
        <f>COUNTIFS(WTG_BD!L:L,'Basic Data'!T176,WTG_BD!F:F,"&gt;="&amp;O2Summary!$B$6,WTG_BD!F:F,"&lt;="&amp;O2Summary!$B$4)</f>
        <v>0</v>
      </c>
      <c r="V176" s="18">
        <f t="shared" si="9"/>
        <v>47</v>
      </c>
    </row>
    <row r="177" spans="19:22">
      <c r="S177" s="16">
        <v>175</v>
      </c>
      <c r="T177" s="16" t="s">
        <v>743</v>
      </c>
      <c r="U177" s="17">
        <f>COUNTIFS(WTG_BD!L:L,'Basic Data'!T177,WTG_BD!F:F,"&gt;="&amp;O2Summary!$B$6,WTG_BD!F:F,"&lt;="&amp;O2Summary!$B$4)</f>
        <v>0</v>
      </c>
      <c r="V177" s="18">
        <f t="shared" si="9"/>
        <v>47</v>
      </c>
    </row>
    <row r="178" spans="19:22">
      <c r="S178" s="16">
        <v>176</v>
      </c>
      <c r="T178" s="16" t="s">
        <v>376</v>
      </c>
      <c r="U178" s="17">
        <f>COUNTIFS(WTG_BD!L:L,'Basic Data'!T178,WTG_BD!F:F,"&gt;="&amp;O2Summary!$B$6,WTG_BD!F:F,"&lt;="&amp;O2Summary!$B$4)</f>
        <v>1</v>
      </c>
      <c r="V178" s="18">
        <f t="shared" si="9"/>
        <v>29</v>
      </c>
    </row>
    <row r="179" spans="19:22">
      <c r="S179" s="16">
        <v>177</v>
      </c>
      <c r="T179" s="16" t="s">
        <v>744</v>
      </c>
      <c r="U179" s="17">
        <f>COUNTIFS(WTG_BD!L:L,'Basic Data'!T179,WTG_BD!F:F,"&gt;="&amp;O2Summary!$B$6,WTG_BD!F:F,"&lt;="&amp;O2Summary!$B$4)</f>
        <v>0</v>
      </c>
      <c r="V179" s="18">
        <f t="shared" si="9"/>
        <v>47</v>
      </c>
    </row>
    <row r="180" spans="19:22">
      <c r="S180" s="16">
        <v>178</v>
      </c>
      <c r="T180" s="16" t="s">
        <v>745</v>
      </c>
      <c r="U180" s="17">
        <f>COUNTIFS(WTG_BD!L:L,'Basic Data'!T180,WTG_BD!F:F,"&gt;="&amp;O2Summary!$B$6,WTG_BD!F:F,"&lt;="&amp;O2Summary!$B$4)</f>
        <v>0</v>
      </c>
      <c r="V180" s="18">
        <f t="shared" si="9"/>
        <v>47</v>
      </c>
    </row>
    <row r="181" spans="19:22">
      <c r="S181" s="16">
        <v>179</v>
      </c>
      <c r="T181" s="16" t="s">
        <v>746</v>
      </c>
      <c r="U181" s="17">
        <f>COUNTIFS(WTG_BD!L:L,'Basic Data'!T181,WTG_BD!F:F,"&gt;="&amp;O2Summary!$B$6,WTG_BD!F:F,"&lt;="&amp;O2Summary!$B$4)</f>
        <v>0</v>
      </c>
      <c r="V181" s="18">
        <f t="shared" si="9"/>
        <v>47</v>
      </c>
    </row>
    <row r="182" spans="19:22">
      <c r="S182" s="16">
        <v>180</v>
      </c>
      <c r="T182" s="16" t="s">
        <v>747</v>
      </c>
      <c r="U182" s="17">
        <f>COUNTIFS(WTG_BD!L:L,'Basic Data'!T182,WTG_BD!F:F,"&gt;="&amp;O2Summary!$B$6,WTG_BD!F:F,"&lt;="&amp;O2Summary!$B$4)</f>
        <v>0</v>
      </c>
      <c r="V182" s="18">
        <f t="shared" si="9"/>
        <v>47</v>
      </c>
    </row>
    <row r="183" spans="19:22">
      <c r="S183" s="16">
        <v>181</v>
      </c>
      <c r="T183" s="16" t="s">
        <v>748</v>
      </c>
      <c r="U183" s="17">
        <f>COUNTIFS(WTG_BD!L:L,'Basic Data'!T183,WTG_BD!F:F,"&gt;="&amp;O2Summary!$B$6,WTG_BD!F:F,"&lt;="&amp;O2Summary!$B$4)</f>
        <v>1</v>
      </c>
      <c r="V183" s="18">
        <f t="shared" si="9"/>
        <v>29</v>
      </c>
    </row>
    <row r="184" spans="19:22">
      <c r="S184" s="16">
        <v>182</v>
      </c>
      <c r="T184" s="16" t="s">
        <v>749</v>
      </c>
      <c r="U184" s="17">
        <f>COUNTIFS(WTG_BD!L:L,'Basic Data'!T184,WTG_BD!F:F,"&gt;="&amp;O2Summary!$B$6,WTG_BD!F:F,"&lt;="&amp;O2Summary!$B$4)</f>
        <v>0</v>
      </c>
      <c r="V184" s="18">
        <f t="shared" si="9"/>
        <v>47</v>
      </c>
    </row>
    <row r="185" spans="19:22">
      <c r="S185" s="16">
        <v>183</v>
      </c>
      <c r="T185" s="16" t="s">
        <v>750</v>
      </c>
      <c r="U185" s="17">
        <f>COUNTIFS(WTG_BD!L:L,'Basic Data'!T185,WTG_BD!F:F,"&gt;="&amp;O2Summary!$B$6,WTG_BD!F:F,"&lt;="&amp;O2Summary!$B$4)</f>
        <v>0</v>
      </c>
      <c r="V185" s="18">
        <f t="shared" si="9"/>
        <v>47</v>
      </c>
    </row>
    <row r="186" spans="19:22">
      <c r="S186" s="16">
        <v>184</v>
      </c>
      <c r="T186" s="16" t="s">
        <v>751</v>
      </c>
      <c r="U186" s="17">
        <f>COUNTIFS(WTG_BD!L:L,'Basic Data'!T186,WTG_BD!F:F,"&gt;="&amp;O2Summary!$B$6,WTG_BD!F:F,"&lt;="&amp;O2Summary!$B$4)</f>
        <v>0</v>
      </c>
      <c r="V186" s="18">
        <f t="shared" si="9"/>
        <v>47</v>
      </c>
    </row>
    <row r="187" spans="19:22">
      <c r="S187" s="16">
        <v>185</v>
      </c>
      <c r="T187" s="16" t="s">
        <v>752</v>
      </c>
      <c r="U187" s="17">
        <f>COUNTIFS(WTG_BD!L:L,'Basic Data'!T187,WTG_BD!F:F,"&gt;="&amp;O2Summary!$B$6,WTG_BD!F:F,"&lt;="&amp;O2Summary!$B$4)</f>
        <v>0</v>
      </c>
      <c r="V187" s="18">
        <f t="shared" si="9"/>
        <v>47</v>
      </c>
    </row>
    <row r="188" spans="19:22">
      <c r="S188" s="16">
        <v>186</v>
      </c>
      <c r="T188" s="16" t="s">
        <v>753</v>
      </c>
      <c r="U188" s="17">
        <f>COUNTIFS(WTG_BD!L:L,'Basic Data'!T188,WTG_BD!F:F,"&gt;="&amp;O2Summary!$B$6,WTG_BD!F:F,"&lt;="&amp;O2Summary!$B$4)</f>
        <v>0</v>
      </c>
      <c r="V188" s="18">
        <f t="shared" si="9"/>
        <v>47</v>
      </c>
    </row>
    <row r="189" spans="19:22">
      <c r="S189" s="16">
        <v>187</v>
      </c>
      <c r="T189" s="16" t="s">
        <v>754</v>
      </c>
      <c r="U189" s="17">
        <f>COUNTIFS(WTG_BD!L:L,'Basic Data'!T189,WTG_BD!F:F,"&gt;="&amp;O2Summary!$B$6,WTG_BD!F:F,"&lt;="&amp;O2Summary!$B$4)</f>
        <v>0</v>
      </c>
      <c r="V189" s="18">
        <f t="shared" si="9"/>
        <v>47</v>
      </c>
    </row>
    <row r="190" spans="19:22">
      <c r="S190" s="16">
        <v>188</v>
      </c>
      <c r="T190" s="16" t="s">
        <v>755</v>
      </c>
      <c r="U190" s="17">
        <f>COUNTIFS(WTG_BD!L:L,'Basic Data'!T190,WTG_BD!F:F,"&gt;="&amp;O2Summary!$B$6,WTG_BD!F:F,"&lt;="&amp;O2Summary!$B$4)</f>
        <v>0</v>
      </c>
      <c r="V190" s="18">
        <f t="shared" si="9"/>
        <v>47</v>
      </c>
    </row>
    <row r="191" spans="19:22">
      <c r="S191" s="16">
        <v>189</v>
      </c>
      <c r="T191" s="16" t="s">
        <v>756</v>
      </c>
      <c r="U191" s="17">
        <f>COUNTIFS(WTG_BD!L:L,'Basic Data'!T191,WTG_BD!F:F,"&gt;="&amp;O2Summary!$B$6,WTG_BD!F:F,"&lt;="&amp;O2Summary!$B$4)</f>
        <v>0</v>
      </c>
      <c r="V191" s="18">
        <f t="shared" si="9"/>
        <v>47</v>
      </c>
    </row>
    <row r="192" spans="19:22">
      <c r="S192" s="16">
        <v>190</v>
      </c>
      <c r="T192" s="16" t="s">
        <v>757</v>
      </c>
      <c r="U192" s="17">
        <f>COUNTIFS(WTG_BD!L:L,'Basic Data'!T192,WTG_BD!F:F,"&gt;="&amp;O2Summary!$B$6,WTG_BD!F:F,"&lt;="&amp;O2Summary!$B$4)</f>
        <v>0</v>
      </c>
      <c r="V192" s="18">
        <f t="shared" si="9"/>
        <v>47</v>
      </c>
    </row>
    <row r="193" spans="19:22">
      <c r="S193" s="16">
        <v>191</v>
      </c>
      <c r="T193" s="16" t="s">
        <v>758</v>
      </c>
      <c r="U193" s="17">
        <f>COUNTIFS(WTG_BD!L:L,'Basic Data'!T193,WTG_BD!F:F,"&gt;="&amp;O2Summary!$B$6,WTG_BD!F:F,"&lt;="&amp;O2Summary!$B$4)</f>
        <v>0</v>
      </c>
      <c r="V193" s="18">
        <f t="shared" si="9"/>
        <v>47</v>
      </c>
    </row>
    <row r="194" spans="19:22">
      <c r="S194" s="16">
        <v>192</v>
      </c>
      <c r="T194" s="16" t="s">
        <v>759</v>
      </c>
      <c r="U194" s="17">
        <f>COUNTIFS(WTG_BD!L:L,'Basic Data'!T194,WTG_BD!F:F,"&gt;="&amp;O2Summary!$B$6,WTG_BD!F:F,"&lt;="&amp;O2Summary!$B$4)</f>
        <v>0</v>
      </c>
      <c r="V194" s="18">
        <f t="shared" si="9"/>
        <v>47</v>
      </c>
    </row>
    <row r="195" spans="19:22">
      <c r="S195" s="16">
        <v>193</v>
      </c>
      <c r="T195" s="16" t="s">
        <v>760</v>
      </c>
      <c r="U195" s="17">
        <f>COUNTIFS(WTG_BD!L:L,'Basic Data'!T195,WTG_BD!F:F,"&gt;="&amp;O2Summary!$B$6,WTG_BD!F:F,"&lt;="&amp;O2Summary!$B$4)</f>
        <v>0</v>
      </c>
      <c r="V195" s="18">
        <f t="shared" ref="V195:V258" si="10">RANK(U195,$U$2:$U$3975)</f>
        <v>47</v>
      </c>
    </row>
    <row r="196" spans="19:22">
      <c r="S196" s="16">
        <v>194</v>
      </c>
      <c r="T196" s="16" t="s">
        <v>761</v>
      </c>
      <c r="U196" s="17">
        <f>COUNTIFS(WTG_BD!L:L,'Basic Data'!T196,WTG_BD!F:F,"&gt;="&amp;O2Summary!$B$6,WTG_BD!F:F,"&lt;="&amp;O2Summary!$B$4)</f>
        <v>0</v>
      </c>
      <c r="V196" s="18">
        <f t="shared" si="10"/>
        <v>47</v>
      </c>
    </row>
    <row r="197" spans="19:22">
      <c r="S197" s="16">
        <v>195</v>
      </c>
      <c r="T197" s="16" t="s">
        <v>762</v>
      </c>
      <c r="U197" s="17">
        <f>COUNTIFS(WTG_BD!L:L,'Basic Data'!T197,WTG_BD!F:F,"&gt;="&amp;O2Summary!$B$6,WTG_BD!F:F,"&lt;="&amp;O2Summary!$B$4)</f>
        <v>0</v>
      </c>
      <c r="V197" s="18">
        <f t="shared" si="10"/>
        <v>47</v>
      </c>
    </row>
    <row r="198" spans="19:22">
      <c r="S198" s="16">
        <v>196</v>
      </c>
      <c r="T198" s="16" t="s">
        <v>722</v>
      </c>
      <c r="U198" s="17">
        <f>COUNTIFS(WTG_BD!L:L,'Basic Data'!T198,WTG_BD!F:F,"&gt;="&amp;O2Summary!$B$6,WTG_BD!F:F,"&lt;="&amp;O2Summary!$B$4)</f>
        <v>0</v>
      </c>
      <c r="V198" s="18">
        <f t="shared" si="10"/>
        <v>47</v>
      </c>
    </row>
    <row r="199" spans="19:22">
      <c r="S199" s="16">
        <v>197</v>
      </c>
      <c r="T199" s="16" t="s">
        <v>763</v>
      </c>
      <c r="U199" s="17">
        <f>COUNTIFS(WTG_BD!L:L,'Basic Data'!T199,WTG_BD!F:F,"&gt;="&amp;O2Summary!$B$6,WTG_BD!F:F,"&lt;="&amp;O2Summary!$B$4)</f>
        <v>0</v>
      </c>
      <c r="V199" s="18">
        <f t="shared" si="10"/>
        <v>47</v>
      </c>
    </row>
    <row r="200" spans="19:22">
      <c r="S200" s="26">
        <v>198</v>
      </c>
      <c r="T200" s="26" t="s">
        <v>764</v>
      </c>
      <c r="U200" s="17">
        <f>COUNTIFS(WTG_BD!L:L,'Basic Data'!T200,WTG_BD!F:F,"&gt;="&amp;O2Summary!$B$6,WTG_BD!F:F,"&lt;="&amp;O2Summary!$B$4)</f>
        <v>0</v>
      </c>
      <c r="V200" s="18">
        <f t="shared" si="10"/>
        <v>47</v>
      </c>
    </row>
    <row r="201" spans="19:22">
      <c r="S201" s="16">
        <v>199</v>
      </c>
      <c r="T201" s="16" t="s">
        <v>765</v>
      </c>
      <c r="U201" s="17">
        <f>COUNTIFS(WTG_BD!L:L,'Basic Data'!T201,WTG_BD!F:F,"&gt;="&amp;O2Summary!$B$6,WTG_BD!F:F,"&lt;="&amp;O2Summary!$B$4)</f>
        <v>0</v>
      </c>
      <c r="V201" s="18">
        <f t="shared" si="10"/>
        <v>47</v>
      </c>
    </row>
    <row r="202" spans="19:22">
      <c r="S202" s="16">
        <v>200</v>
      </c>
      <c r="T202" s="16" t="s">
        <v>766</v>
      </c>
      <c r="U202" s="17">
        <f>COUNTIFS(WTG_BD!L:L,'Basic Data'!T202,WTG_BD!F:F,"&gt;="&amp;O2Summary!$B$6,WTG_BD!F:F,"&lt;="&amp;O2Summary!$B$4)</f>
        <v>0</v>
      </c>
      <c r="V202" s="18">
        <f t="shared" si="10"/>
        <v>47</v>
      </c>
    </row>
    <row r="203" spans="19:22">
      <c r="S203" s="16">
        <v>201</v>
      </c>
      <c r="T203" s="16" t="s">
        <v>767</v>
      </c>
      <c r="U203" s="17">
        <f>COUNTIFS(WTG_BD!L:L,'Basic Data'!T203,WTG_BD!F:F,"&gt;="&amp;O2Summary!$B$6,WTG_BD!F:F,"&lt;="&amp;O2Summary!$B$4)</f>
        <v>0</v>
      </c>
      <c r="V203" s="18">
        <f t="shared" si="10"/>
        <v>47</v>
      </c>
    </row>
    <row r="204" spans="19:22">
      <c r="S204" s="16">
        <v>202</v>
      </c>
      <c r="T204" s="16" t="s">
        <v>768</v>
      </c>
      <c r="U204" s="17">
        <f>COUNTIFS(WTG_BD!L:L,'Basic Data'!T204,WTG_BD!F:F,"&gt;="&amp;O2Summary!$B$6,WTG_BD!F:F,"&lt;="&amp;O2Summary!$B$4)</f>
        <v>0</v>
      </c>
      <c r="V204" s="18">
        <f t="shared" si="10"/>
        <v>47</v>
      </c>
    </row>
    <row r="205" spans="19:22">
      <c r="S205" s="16">
        <v>203</v>
      </c>
      <c r="T205" s="16" t="s">
        <v>769</v>
      </c>
      <c r="U205" s="17">
        <f>COUNTIFS(WTG_BD!L:L,'Basic Data'!T205,WTG_BD!F:F,"&gt;="&amp;O2Summary!$B$6,WTG_BD!F:F,"&lt;="&amp;O2Summary!$B$4)</f>
        <v>0</v>
      </c>
      <c r="V205" s="18">
        <f t="shared" si="10"/>
        <v>47</v>
      </c>
    </row>
    <row r="206" spans="19:22">
      <c r="S206" s="16">
        <v>204</v>
      </c>
      <c r="T206" s="16" t="s">
        <v>770</v>
      </c>
      <c r="U206" s="17">
        <f>COUNTIFS(WTG_BD!L:L,'Basic Data'!T206,WTG_BD!F:F,"&gt;="&amp;O2Summary!$B$6,WTG_BD!F:F,"&lt;="&amp;O2Summary!$B$4)</f>
        <v>0</v>
      </c>
      <c r="V206" s="18">
        <f t="shared" si="10"/>
        <v>47</v>
      </c>
    </row>
    <row r="207" spans="19:22">
      <c r="S207" s="16">
        <v>205</v>
      </c>
      <c r="T207" s="16" t="s">
        <v>771</v>
      </c>
      <c r="U207" s="17">
        <f>COUNTIFS(WTG_BD!L:L,'Basic Data'!T207,WTG_BD!F:F,"&gt;="&amp;O2Summary!$B$6,WTG_BD!F:F,"&lt;="&amp;O2Summary!$B$4)</f>
        <v>0</v>
      </c>
      <c r="V207" s="18">
        <f t="shared" si="10"/>
        <v>47</v>
      </c>
    </row>
    <row r="208" spans="19:22">
      <c r="S208" s="16">
        <v>206</v>
      </c>
      <c r="T208" s="16" t="s">
        <v>772</v>
      </c>
      <c r="U208" s="17">
        <f>COUNTIFS(WTG_BD!L:L,'Basic Data'!T208,WTG_BD!F:F,"&gt;="&amp;O2Summary!$B$6,WTG_BD!F:F,"&lt;="&amp;O2Summary!$B$4)</f>
        <v>0</v>
      </c>
      <c r="V208" s="18">
        <f t="shared" si="10"/>
        <v>47</v>
      </c>
    </row>
    <row r="209" spans="19:22">
      <c r="S209" s="16">
        <v>207</v>
      </c>
      <c r="T209" s="16" t="s">
        <v>773</v>
      </c>
      <c r="U209" s="17">
        <f>COUNTIFS(WTG_BD!L:L,'Basic Data'!T209,WTG_BD!F:F,"&gt;="&amp;O2Summary!$B$6,WTG_BD!F:F,"&lt;="&amp;O2Summary!$B$4)</f>
        <v>0</v>
      </c>
      <c r="V209" s="18">
        <f t="shared" si="10"/>
        <v>47</v>
      </c>
    </row>
    <row r="210" spans="19:22">
      <c r="S210" s="16">
        <v>208</v>
      </c>
      <c r="T210" s="16" t="s">
        <v>774</v>
      </c>
      <c r="U210" s="17">
        <f>COUNTIFS(WTG_BD!L:L,'Basic Data'!T210,WTG_BD!F:F,"&gt;="&amp;O2Summary!$B$6,WTG_BD!F:F,"&lt;="&amp;O2Summary!$B$4)</f>
        <v>0</v>
      </c>
      <c r="V210" s="18">
        <f t="shared" si="10"/>
        <v>47</v>
      </c>
    </row>
    <row r="211" spans="19:22">
      <c r="S211" s="16">
        <v>209</v>
      </c>
      <c r="T211" s="16" t="s">
        <v>775</v>
      </c>
      <c r="U211" s="17">
        <f>COUNTIFS(WTG_BD!L:L,'Basic Data'!T211,WTG_BD!F:F,"&gt;="&amp;O2Summary!$B$6,WTG_BD!F:F,"&lt;="&amp;O2Summary!$B$4)</f>
        <v>0</v>
      </c>
      <c r="V211" s="18">
        <f t="shared" si="10"/>
        <v>47</v>
      </c>
    </row>
    <row r="212" spans="19:22">
      <c r="S212" s="16">
        <v>210</v>
      </c>
      <c r="T212" s="16" t="s">
        <v>776</v>
      </c>
      <c r="U212" s="17">
        <f>COUNTIFS(WTG_BD!L:L,'Basic Data'!T212,WTG_BD!F:F,"&gt;="&amp;O2Summary!$B$6,WTG_BD!F:F,"&lt;="&amp;O2Summary!$B$4)</f>
        <v>0</v>
      </c>
      <c r="V212" s="18">
        <f t="shared" si="10"/>
        <v>47</v>
      </c>
    </row>
    <row r="213" spans="19:22">
      <c r="S213" s="16">
        <v>211</v>
      </c>
      <c r="T213" s="16" t="s">
        <v>777</v>
      </c>
      <c r="U213" s="17">
        <f>COUNTIFS(WTG_BD!L:L,'Basic Data'!T213,WTG_BD!F:F,"&gt;="&amp;O2Summary!$B$6,WTG_BD!F:F,"&lt;="&amp;O2Summary!$B$4)</f>
        <v>0</v>
      </c>
      <c r="V213" s="18">
        <f t="shared" si="10"/>
        <v>47</v>
      </c>
    </row>
    <row r="214" spans="19:22">
      <c r="S214" s="16">
        <v>212</v>
      </c>
      <c r="T214" s="16" t="s">
        <v>778</v>
      </c>
      <c r="U214" s="17">
        <f>COUNTIFS(WTG_BD!L:L,'Basic Data'!T214,WTG_BD!F:F,"&gt;="&amp;O2Summary!$B$6,WTG_BD!F:F,"&lt;="&amp;O2Summary!$B$4)</f>
        <v>0</v>
      </c>
      <c r="V214" s="18">
        <f t="shared" si="10"/>
        <v>47</v>
      </c>
    </row>
    <row r="215" spans="19:22">
      <c r="S215" s="16">
        <v>213</v>
      </c>
      <c r="T215" s="16" t="s">
        <v>779</v>
      </c>
      <c r="U215" s="17">
        <f>COUNTIFS(WTG_BD!L:L,'Basic Data'!T215,WTG_BD!F:F,"&gt;="&amp;O2Summary!$B$6,WTG_BD!F:F,"&lt;="&amp;O2Summary!$B$4)</f>
        <v>0</v>
      </c>
      <c r="V215" s="18">
        <f t="shared" si="10"/>
        <v>47</v>
      </c>
    </row>
    <row r="216" spans="19:22">
      <c r="S216" s="16">
        <v>214</v>
      </c>
      <c r="T216" s="16" t="s">
        <v>780</v>
      </c>
      <c r="U216" s="17">
        <f>COUNTIFS(WTG_BD!L:L,'Basic Data'!T216,WTG_BD!F:F,"&gt;="&amp;O2Summary!$B$6,WTG_BD!F:F,"&lt;="&amp;O2Summary!$B$4)</f>
        <v>0</v>
      </c>
      <c r="V216" s="18">
        <f t="shared" si="10"/>
        <v>47</v>
      </c>
    </row>
    <row r="217" spans="19:22">
      <c r="S217" s="26">
        <v>215</v>
      </c>
      <c r="T217" s="26" t="s">
        <v>781</v>
      </c>
      <c r="U217" s="17">
        <f>COUNTIFS(WTG_BD!L:L,'Basic Data'!T217,WTG_BD!F:F,"&gt;="&amp;O2Summary!$B$6,WTG_BD!F:F,"&lt;="&amp;O2Summary!$B$4)</f>
        <v>0</v>
      </c>
      <c r="V217" s="18">
        <f t="shared" si="10"/>
        <v>47</v>
      </c>
    </row>
    <row r="218" spans="19:22">
      <c r="S218" s="16">
        <v>216</v>
      </c>
      <c r="T218" s="16" t="s">
        <v>782</v>
      </c>
      <c r="U218" s="17">
        <f>COUNTIFS(WTG_BD!L:L,'Basic Data'!T218,WTG_BD!F:F,"&gt;="&amp;O2Summary!$B$6,WTG_BD!F:F,"&lt;="&amp;O2Summary!$B$4)</f>
        <v>0</v>
      </c>
      <c r="V218" s="18">
        <f t="shared" si="10"/>
        <v>47</v>
      </c>
    </row>
    <row r="219" spans="19:22">
      <c r="S219" s="16">
        <v>217</v>
      </c>
      <c r="T219" s="16" t="s">
        <v>145</v>
      </c>
      <c r="U219" s="17">
        <f>COUNTIFS(WTG_BD!L:L,'Basic Data'!T219,WTG_BD!F:F,"&gt;="&amp;O2Summary!$B$6,WTG_BD!F:F,"&lt;="&amp;O2Summary!$B$4)</f>
        <v>0</v>
      </c>
      <c r="V219" s="18">
        <f t="shared" si="10"/>
        <v>47</v>
      </c>
    </row>
    <row r="220" spans="19:22">
      <c r="S220" s="16">
        <v>218</v>
      </c>
      <c r="T220" s="16" t="s">
        <v>783</v>
      </c>
      <c r="U220" s="17">
        <f>COUNTIFS(WTG_BD!L:L,'Basic Data'!T220,WTG_BD!F:F,"&gt;="&amp;O2Summary!$B$6,WTG_BD!F:F,"&lt;="&amp;O2Summary!$B$4)</f>
        <v>0</v>
      </c>
      <c r="V220" s="18">
        <f t="shared" si="10"/>
        <v>47</v>
      </c>
    </row>
    <row r="221" spans="19:22">
      <c r="S221" s="16">
        <v>219</v>
      </c>
      <c r="T221" s="16" t="s">
        <v>784</v>
      </c>
      <c r="U221" s="17">
        <f>COUNTIFS(WTG_BD!L:L,'Basic Data'!T221,WTG_BD!F:F,"&gt;="&amp;O2Summary!$B$6,WTG_BD!F:F,"&lt;="&amp;O2Summary!$B$4)</f>
        <v>0</v>
      </c>
      <c r="V221" s="18">
        <f t="shared" si="10"/>
        <v>47</v>
      </c>
    </row>
    <row r="222" spans="19:22">
      <c r="S222" s="16">
        <v>220</v>
      </c>
      <c r="T222" s="16" t="s">
        <v>785</v>
      </c>
      <c r="U222" s="17">
        <f>COUNTIFS(WTG_BD!L:L,'Basic Data'!T222,WTG_BD!F:F,"&gt;="&amp;O2Summary!$B$6,WTG_BD!F:F,"&lt;="&amp;O2Summary!$B$4)</f>
        <v>0</v>
      </c>
      <c r="V222" s="18">
        <f t="shared" si="10"/>
        <v>47</v>
      </c>
    </row>
    <row r="223" spans="19:22">
      <c r="S223" s="16">
        <v>221</v>
      </c>
      <c r="T223" s="16" t="s">
        <v>786</v>
      </c>
      <c r="U223" s="17">
        <f>COUNTIFS(WTG_BD!L:L,'Basic Data'!T223,WTG_BD!F:F,"&gt;="&amp;O2Summary!$B$6,WTG_BD!F:F,"&lt;="&amp;O2Summary!$B$4)</f>
        <v>0</v>
      </c>
      <c r="V223" s="18">
        <f t="shared" si="10"/>
        <v>47</v>
      </c>
    </row>
    <row r="224" spans="19:22">
      <c r="S224" s="16">
        <v>222</v>
      </c>
      <c r="T224" s="16" t="s">
        <v>787</v>
      </c>
      <c r="U224" s="17">
        <f>COUNTIFS(WTG_BD!L:L,'Basic Data'!T224,WTG_BD!F:F,"&gt;="&amp;O2Summary!$B$6,WTG_BD!F:F,"&lt;="&amp;O2Summary!$B$4)</f>
        <v>0</v>
      </c>
      <c r="V224" s="18">
        <f t="shared" si="10"/>
        <v>47</v>
      </c>
    </row>
    <row r="225" spans="19:22">
      <c r="S225" s="16">
        <v>223</v>
      </c>
      <c r="T225" s="16" t="s">
        <v>788</v>
      </c>
      <c r="U225" s="17">
        <f>COUNTIFS(WTG_BD!L:L,'Basic Data'!T225,WTG_BD!F:F,"&gt;="&amp;O2Summary!$B$6,WTG_BD!F:F,"&lt;="&amp;O2Summary!$B$4)</f>
        <v>0</v>
      </c>
      <c r="V225" s="18">
        <f t="shared" si="10"/>
        <v>47</v>
      </c>
    </row>
    <row r="226" spans="19:22">
      <c r="S226" s="16">
        <v>224</v>
      </c>
      <c r="T226" s="16" t="s">
        <v>789</v>
      </c>
      <c r="U226" s="17">
        <f>COUNTIFS(WTG_BD!L:L,'Basic Data'!T226,WTG_BD!F:F,"&gt;="&amp;O2Summary!$B$6,WTG_BD!F:F,"&lt;="&amp;O2Summary!$B$4)</f>
        <v>0</v>
      </c>
      <c r="V226" s="18">
        <f t="shared" si="10"/>
        <v>47</v>
      </c>
    </row>
    <row r="227" spans="19:22">
      <c r="S227" s="16">
        <v>225</v>
      </c>
      <c r="T227" s="16" t="s">
        <v>790</v>
      </c>
      <c r="U227" s="17">
        <f>COUNTIFS(WTG_BD!L:L,'Basic Data'!T227,WTG_BD!F:F,"&gt;="&amp;O2Summary!$B$6,WTG_BD!F:F,"&lt;="&amp;O2Summary!$B$4)</f>
        <v>0</v>
      </c>
      <c r="V227" s="18">
        <f t="shared" si="10"/>
        <v>47</v>
      </c>
    </row>
    <row r="228" spans="19:22">
      <c r="S228" s="16">
        <v>226</v>
      </c>
      <c r="T228" s="16" t="s">
        <v>791</v>
      </c>
      <c r="U228" s="17">
        <f>COUNTIFS(WTG_BD!L:L,'Basic Data'!T228,WTG_BD!F:F,"&gt;="&amp;O2Summary!$B$6,WTG_BD!F:F,"&lt;="&amp;O2Summary!$B$4)</f>
        <v>0</v>
      </c>
      <c r="V228" s="18">
        <f t="shared" si="10"/>
        <v>47</v>
      </c>
    </row>
    <row r="229" spans="19:22">
      <c r="S229" s="16">
        <v>227</v>
      </c>
      <c r="T229" s="16" t="s">
        <v>792</v>
      </c>
      <c r="U229" s="17">
        <f>COUNTIFS(WTG_BD!L:L,'Basic Data'!T229,WTG_BD!F:F,"&gt;="&amp;O2Summary!$B$6,WTG_BD!F:F,"&lt;="&amp;O2Summary!$B$4)</f>
        <v>0</v>
      </c>
      <c r="V229" s="18">
        <f t="shared" si="10"/>
        <v>47</v>
      </c>
    </row>
    <row r="230" spans="19:22">
      <c r="S230" s="16">
        <v>228</v>
      </c>
      <c r="T230" s="16" t="s">
        <v>793</v>
      </c>
      <c r="U230" s="17">
        <f>COUNTIFS(WTG_BD!L:L,'Basic Data'!T230,WTG_BD!F:F,"&gt;="&amp;O2Summary!$B$6,WTG_BD!F:F,"&lt;="&amp;O2Summary!$B$4)</f>
        <v>0</v>
      </c>
      <c r="V230" s="18">
        <f t="shared" si="10"/>
        <v>47</v>
      </c>
    </row>
    <row r="231" spans="19:22">
      <c r="S231" s="16">
        <v>229</v>
      </c>
      <c r="T231" s="16" t="s">
        <v>794</v>
      </c>
      <c r="U231" s="17">
        <f>COUNTIFS(WTG_BD!L:L,'Basic Data'!T231,WTG_BD!F:F,"&gt;="&amp;O2Summary!$B$6,WTG_BD!F:F,"&lt;="&amp;O2Summary!$B$4)</f>
        <v>0</v>
      </c>
      <c r="V231" s="18">
        <f t="shared" si="10"/>
        <v>47</v>
      </c>
    </row>
    <row r="232" spans="19:22">
      <c r="S232" s="16">
        <v>230</v>
      </c>
      <c r="T232" s="16" t="s">
        <v>795</v>
      </c>
      <c r="U232" s="17">
        <f>COUNTIFS(WTG_BD!L:L,'Basic Data'!T232,WTG_BD!F:F,"&gt;="&amp;O2Summary!$B$6,WTG_BD!F:F,"&lt;="&amp;O2Summary!$B$4)</f>
        <v>0</v>
      </c>
      <c r="V232" s="18">
        <f t="shared" si="10"/>
        <v>47</v>
      </c>
    </row>
    <row r="233" spans="19:22">
      <c r="S233" s="16">
        <v>231</v>
      </c>
      <c r="T233" s="16" t="s">
        <v>796</v>
      </c>
      <c r="U233" s="17">
        <f>COUNTIFS(WTG_BD!L:L,'Basic Data'!T233,WTG_BD!F:F,"&gt;="&amp;O2Summary!$B$6,WTG_BD!F:F,"&lt;="&amp;O2Summary!$B$4)</f>
        <v>0</v>
      </c>
      <c r="V233" s="18">
        <f t="shared" si="10"/>
        <v>47</v>
      </c>
    </row>
    <row r="234" spans="19:22">
      <c r="S234" s="16">
        <v>232</v>
      </c>
      <c r="T234" s="16" t="s">
        <v>375</v>
      </c>
      <c r="U234" s="17">
        <f>COUNTIFS(WTG_BD!L:L,'Basic Data'!T234,WTG_BD!F:F,"&gt;="&amp;O2Summary!$B$6,WTG_BD!F:F,"&lt;="&amp;O2Summary!$B$4)</f>
        <v>0</v>
      </c>
      <c r="V234" s="18">
        <f t="shared" si="10"/>
        <v>47</v>
      </c>
    </row>
    <row r="235" spans="19:22">
      <c r="S235" s="16">
        <v>233</v>
      </c>
      <c r="T235" s="16" t="s">
        <v>797</v>
      </c>
      <c r="U235" s="17">
        <f>COUNTIFS(WTG_BD!L:L,'Basic Data'!T235,WTG_BD!F:F,"&gt;="&amp;O2Summary!$B$6,WTG_BD!F:F,"&lt;="&amp;O2Summary!$B$4)</f>
        <v>0</v>
      </c>
      <c r="V235" s="18">
        <f t="shared" si="10"/>
        <v>47</v>
      </c>
    </row>
    <row r="236" spans="19:22">
      <c r="S236" s="16">
        <v>234</v>
      </c>
      <c r="T236" s="16" t="s">
        <v>798</v>
      </c>
      <c r="U236" s="17">
        <f>COUNTIFS(WTG_BD!L:L,'Basic Data'!T236,WTG_BD!F:F,"&gt;="&amp;O2Summary!$B$6,WTG_BD!F:F,"&lt;="&amp;O2Summary!$B$4)</f>
        <v>0</v>
      </c>
      <c r="V236" s="18">
        <f t="shared" si="10"/>
        <v>47</v>
      </c>
    </row>
    <row r="237" spans="19:22">
      <c r="S237" s="16">
        <v>235</v>
      </c>
      <c r="T237" s="16" t="s">
        <v>799</v>
      </c>
      <c r="U237" s="17">
        <f>COUNTIFS(WTG_BD!L:L,'Basic Data'!T237,WTG_BD!F:F,"&gt;="&amp;O2Summary!$B$6,WTG_BD!F:F,"&lt;="&amp;O2Summary!$B$4)</f>
        <v>0</v>
      </c>
      <c r="V237" s="18">
        <f t="shared" si="10"/>
        <v>47</v>
      </c>
    </row>
    <row r="238" spans="19:22">
      <c r="S238" s="16">
        <v>236</v>
      </c>
      <c r="T238" s="16" t="s">
        <v>800</v>
      </c>
      <c r="U238" s="17">
        <f>COUNTIFS(WTG_BD!L:L,'Basic Data'!T238,WTG_BD!F:F,"&gt;="&amp;O2Summary!$B$6,WTG_BD!F:F,"&lt;="&amp;O2Summary!$B$4)</f>
        <v>0</v>
      </c>
      <c r="V238" s="18">
        <f t="shared" si="10"/>
        <v>47</v>
      </c>
    </row>
    <row r="239" spans="19:22">
      <c r="S239" s="16">
        <v>237</v>
      </c>
      <c r="T239" s="16" t="s">
        <v>801</v>
      </c>
      <c r="U239" s="17">
        <f>COUNTIFS(WTG_BD!L:L,'Basic Data'!T239,WTG_BD!F:F,"&gt;="&amp;O2Summary!$B$6,WTG_BD!F:F,"&lt;="&amp;O2Summary!$B$4)</f>
        <v>0</v>
      </c>
      <c r="V239" s="18">
        <f t="shared" si="10"/>
        <v>47</v>
      </c>
    </row>
    <row r="240" spans="19:22">
      <c r="S240" s="16">
        <v>238</v>
      </c>
      <c r="T240" s="16" t="s">
        <v>802</v>
      </c>
      <c r="U240" s="17">
        <f>COUNTIFS(WTG_BD!L:L,'Basic Data'!T240,WTG_BD!F:F,"&gt;="&amp;O2Summary!$B$6,WTG_BD!F:F,"&lt;="&amp;O2Summary!$B$4)</f>
        <v>0</v>
      </c>
      <c r="V240" s="18">
        <f t="shared" si="10"/>
        <v>47</v>
      </c>
    </row>
    <row r="241" spans="19:22">
      <c r="S241" s="16">
        <v>239</v>
      </c>
      <c r="T241" s="16" t="s">
        <v>803</v>
      </c>
      <c r="U241" s="17">
        <f>COUNTIFS(WTG_BD!L:L,'Basic Data'!T241,WTG_BD!F:F,"&gt;="&amp;O2Summary!$B$6,WTG_BD!F:F,"&lt;="&amp;O2Summary!$B$4)</f>
        <v>0</v>
      </c>
      <c r="V241" s="18">
        <f t="shared" si="10"/>
        <v>47</v>
      </c>
    </row>
    <row r="242" spans="19:22">
      <c r="S242" s="16">
        <v>240</v>
      </c>
      <c r="T242" s="16" t="s">
        <v>803</v>
      </c>
      <c r="U242" s="17">
        <f>COUNTIFS(WTG_BD!L:L,'Basic Data'!T242,WTG_BD!F:F,"&gt;="&amp;O2Summary!$B$6,WTG_BD!F:F,"&lt;="&amp;O2Summary!$B$4)</f>
        <v>0</v>
      </c>
      <c r="V242" s="18">
        <f t="shared" si="10"/>
        <v>47</v>
      </c>
    </row>
    <row r="243" spans="19:22">
      <c r="S243" s="26">
        <v>241</v>
      </c>
      <c r="T243" s="26" t="s">
        <v>804</v>
      </c>
      <c r="U243" s="17">
        <f>COUNTIFS(WTG_BD!L:L,'Basic Data'!T243,WTG_BD!F:F,"&gt;="&amp;O2Summary!$B$6,WTG_BD!F:F,"&lt;="&amp;O2Summary!$B$4)</f>
        <v>0</v>
      </c>
      <c r="V243" s="18">
        <f t="shared" si="10"/>
        <v>47</v>
      </c>
    </row>
    <row r="244" spans="19:22">
      <c r="S244" s="16">
        <v>242</v>
      </c>
      <c r="T244" s="16" t="s">
        <v>805</v>
      </c>
      <c r="U244" s="17">
        <f>COUNTIFS(WTG_BD!L:L,'Basic Data'!T244,WTG_BD!F:F,"&gt;="&amp;O2Summary!$B$6,WTG_BD!F:F,"&lt;="&amp;O2Summary!$B$4)</f>
        <v>0</v>
      </c>
      <c r="V244" s="18">
        <f t="shared" si="10"/>
        <v>47</v>
      </c>
    </row>
    <row r="245" spans="19:22">
      <c r="S245" s="16">
        <v>243</v>
      </c>
      <c r="T245" s="16" t="s">
        <v>806</v>
      </c>
      <c r="U245" s="17">
        <f>COUNTIFS(WTG_BD!L:L,'Basic Data'!T245,WTG_BD!F:F,"&gt;="&amp;O2Summary!$B$6,WTG_BD!F:F,"&lt;="&amp;O2Summary!$B$4)</f>
        <v>0</v>
      </c>
      <c r="V245" s="18">
        <f t="shared" si="10"/>
        <v>47</v>
      </c>
    </row>
    <row r="246" spans="19:22">
      <c r="S246" s="16">
        <v>244</v>
      </c>
      <c r="T246" s="16" t="s">
        <v>807</v>
      </c>
      <c r="U246" s="17">
        <f>COUNTIFS(WTG_BD!L:L,'Basic Data'!T246,WTG_BD!F:F,"&gt;="&amp;O2Summary!$B$6,WTG_BD!F:F,"&lt;="&amp;O2Summary!$B$4)</f>
        <v>0</v>
      </c>
      <c r="V246" s="18">
        <f t="shared" si="10"/>
        <v>47</v>
      </c>
    </row>
    <row r="247" spans="19:22">
      <c r="S247" s="16">
        <v>245</v>
      </c>
      <c r="T247" s="16" t="s">
        <v>808</v>
      </c>
      <c r="U247" s="17">
        <f>COUNTIFS(WTG_BD!L:L,'Basic Data'!T247,WTG_BD!F:F,"&gt;="&amp;O2Summary!$B$6,WTG_BD!F:F,"&lt;="&amp;O2Summary!$B$4)</f>
        <v>0</v>
      </c>
      <c r="V247" s="18">
        <f t="shared" si="10"/>
        <v>47</v>
      </c>
    </row>
    <row r="248" spans="19:22">
      <c r="S248" s="16">
        <v>246</v>
      </c>
      <c r="T248" s="16" t="s">
        <v>809</v>
      </c>
      <c r="U248" s="17">
        <f>COUNTIFS(WTG_BD!L:L,'Basic Data'!T248,WTG_BD!F:F,"&gt;="&amp;O2Summary!$B$6,WTG_BD!F:F,"&lt;="&amp;O2Summary!$B$4)</f>
        <v>0</v>
      </c>
      <c r="V248" s="18">
        <f t="shared" si="10"/>
        <v>47</v>
      </c>
    </row>
    <row r="249" spans="19:22">
      <c r="S249" s="16">
        <v>247</v>
      </c>
      <c r="T249" s="16" t="s">
        <v>810</v>
      </c>
      <c r="U249" s="17">
        <f>COUNTIFS(WTG_BD!L:L,'Basic Data'!T249,WTG_BD!F:F,"&gt;="&amp;O2Summary!$B$6,WTG_BD!F:F,"&lt;="&amp;O2Summary!$B$4)</f>
        <v>0</v>
      </c>
      <c r="V249" s="18">
        <f t="shared" si="10"/>
        <v>47</v>
      </c>
    </row>
    <row r="250" spans="19:22">
      <c r="S250" s="16">
        <v>248</v>
      </c>
      <c r="T250" s="16" t="s">
        <v>811</v>
      </c>
      <c r="U250" s="17">
        <f>COUNTIFS(WTG_BD!L:L,'Basic Data'!T250,WTG_BD!F:F,"&gt;="&amp;O2Summary!$B$6,WTG_BD!F:F,"&lt;="&amp;O2Summary!$B$4)</f>
        <v>0</v>
      </c>
      <c r="V250" s="18">
        <f t="shared" si="10"/>
        <v>47</v>
      </c>
    </row>
    <row r="251" spans="19:22">
      <c r="S251" s="16">
        <v>249</v>
      </c>
      <c r="T251" s="16" t="s">
        <v>812</v>
      </c>
      <c r="U251" s="17">
        <f>COUNTIFS(WTG_BD!L:L,'Basic Data'!T251,WTG_BD!F:F,"&gt;="&amp;O2Summary!$B$6,WTG_BD!F:F,"&lt;="&amp;O2Summary!$B$4)</f>
        <v>0</v>
      </c>
      <c r="V251" s="18">
        <f t="shared" si="10"/>
        <v>47</v>
      </c>
    </row>
    <row r="252" spans="19:22">
      <c r="S252" s="16">
        <v>250</v>
      </c>
      <c r="T252" s="16" t="s">
        <v>813</v>
      </c>
      <c r="U252" s="17">
        <f>COUNTIFS(WTG_BD!L:L,'Basic Data'!T252,WTG_BD!F:F,"&gt;="&amp;O2Summary!$B$6,WTG_BD!F:F,"&lt;="&amp;O2Summary!$B$4)</f>
        <v>0</v>
      </c>
      <c r="V252" s="18">
        <f t="shared" si="10"/>
        <v>47</v>
      </c>
    </row>
    <row r="253" spans="19:22">
      <c r="S253" s="16">
        <v>251</v>
      </c>
      <c r="T253" s="16" t="s">
        <v>814</v>
      </c>
      <c r="U253" s="17">
        <f>COUNTIFS(WTG_BD!L:L,'Basic Data'!T253,WTG_BD!F:F,"&gt;="&amp;O2Summary!$B$6,WTG_BD!F:F,"&lt;="&amp;O2Summary!$B$4)</f>
        <v>0</v>
      </c>
      <c r="V253" s="18">
        <f t="shared" si="10"/>
        <v>47</v>
      </c>
    </row>
    <row r="254" spans="19:22">
      <c r="S254" s="16">
        <v>252</v>
      </c>
      <c r="T254" s="16" t="s">
        <v>815</v>
      </c>
      <c r="U254" s="17">
        <f>COUNTIFS(WTG_BD!L:L,'Basic Data'!T254,WTG_BD!F:F,"&gt;="&amp;O2Summary!$B$6,WTG_BD!F:F,"&lt;="&amp;O2Summary!$B$4)</f>
        <v>0</v>
      </c>
      <c r="V254" s="18">
        <f t="shared" si="10"/>
        <v>47</v>
      </c>
    </row>
    <row r="255" spans="19:22">
      <c r="S255" s="16">
        <v>253</v>
      </c>
      <c r="T255" s="16" t="s">
        <v>816</v>
      </c>
      <c r="U255" s="17">
        <f>COUNTIFS(WTG_BD!L:L,'Basic Data'!T255,WTG_BD!F:F,"&gt;="&amp;O2Summary!$B$6,WTG_BD!F:F,"&lt;="&amp;O2Summary!$B$4)</f>
        <v>0</v>
      </c>
      <c r="V255" s="18">
        <f t="shared" si="10"/>
        <v>47</v>
      </c>
    </row>
    <row r="256" spans="19:22">
      <c r="S256" s="16">
        <v>254</v>
      </c>
      <c r="T256" s="16" t="s">
        <v>817</v>
      </c>
      <c r="U256" s="17">
        <f>COUNTIFS(WTG_BD!L:L,'Basic Data'!T256,WTG_BD!F:F,"&gt;="&amp;O2Summary!$B$6,WTG_BD!F:F,"&lt;="&amp;O2Summary!$B$4)</f>
        <v>0</v>
      </c>
      <c r="V256" s="18">
        <f t="shared" si="10"/>
        <v>47</v>
      </c>
    </row>
    <row r="257" spans="19:22">
      <c r="S257" s="16">
        <v>255</v>
      </c>
      <c r="T257" s="16" t="s">
        <v>818</v>
      </c>
      <c r="U257" s="17">
        <f>COUNTIFS(WTG_BD!L:L,'Basic Data'!T257,WTG_BD!F:F,"&gt;="&amp;O2Summary!$B$6,WTG_BD!F:F,"&lt;="&amp;O2Summary!$B$4)</f>
        <v>0</v>
      </c>
      <c r="V257" s="18">
        <f t="shared" si="10"/>
        <v>47</v>
      </c>
    </row>
    <row r="258" spans="19:22">
      <c r="S258" s="16">
        <v>256</v>
      </c>
      <c r="T258" s="16" t="s">
        <v>819</v>
      </c>
      <c r="U258" s="17">
        <f>COUNTIFS(WTG_BD!L:L,'Basic Data'!T258,WTG_BD!F:F,"&gt;="&amp;O2Summary!$B$6,WTG_BD!F:F,"&lt;="&amp;O2Summary!$B$4)</f>
        <v>0</v>
      </c>
      <c r="V258" s="18">
        <f t="shared" si="10"/>
        <v>47</v>
      </c>
    </row>
    <row r="259" spans="19:22">
      <c r="S259" s="16">
        <v>257</v>
      </c>
      <c r="T259" s="16" t="s">
        <v>820</v>
      </c>
      <c r="U259" s="17">
        <f>COUNTIFS(WTG_BD!L:L,'Basic Data'!T259,WTG_BD!F:F,"&gt;="&amp;O2Summary!$B$6,WTG_BD!F:F,"&lt;="&amp;O2Summary!$B$4)</f>
        <v>0</v>
      </c>
      <c r="V259" s="18">
        <f t="shared" ref="V259:V322" si="11">RANK(U259,$U$2:$U$3975)</f>
        <v>47</v>
      </c>
    </row>
    <row r="260" spans="19:22">
      <c r="S260" s="16">
        <v>258</v>
      </c>
      <c r="T260" s="16" t="s">
        <v>821</v>
      </c>
      <c r="U260" s="17">
        <f>COUNTIFS(WTG_BD!L:L,'Basic Data'!T260,WTG_BD!F:F,"&gt;="&amp;O2Summary!$B$6,WTG_BD!F:F,"&lt;="&amp;O2Summary!$B$4)</f>
        <v>0</v>
      </c>
      <c r="V260" s="18">
        <f t="shared" si="11"/>
        <v>47</v>
      </c>
    </row>
    <row r="261" spans="19:22">
      <c r="S261" s="16">
        <v>259</v>
      </c>
      <c r="T261" s="16" t="s">
        <v>822</v>
      </c>
      <c r="U261" s="17">
        <f>COUNTIFS(WTG_BD!L:L,'Basic Data'!T261,WTG_BD!F:F,"&gt;="&amp;O2Summary!$B$6,WTG_BD!F:F,"&lt;="&amp;O2Summary!$B$4)</f>
        <v>0</v>
      </c>
      <c r="V261" s="18">
        <f t="shared" si="11"/>
        <v>47</v>
      </c>
    </row>
    <row r="262" spans="19:22">
      <c r="S262" s="16">
        <v>260</v>
      </c>
      <c r="T262" s="16" t="s">
        <v>823</v>
      </c>
      <c r="U262" s="17">
        <f>COUNTIFS(WTG_BD!L:L,'Basic Data'!T262,WTG_BD!F:F,"&gt;="&amp;O2Summary!$B$6,WTG_BD!F:F,"&lt;="&amp;O2Summary!$B$4)</f>
        <v>0</v>
      </c>
      <c r="V262" s="18">
        <f t="shared" si="11"/>
        <v>47</v>
      </c>
    </row>
    <row r="263" spans="19:22">
      <c r="S263" s="16">
        <v>261</v>
      </c>
      <c r="T263" s="16" t="s">
        <v>824</v>
      </c>
      <c r="U263" s="17">
        <f>COUNTIFS(WTG_BD!L:L,'Basic Data'!T263,WTG_BD!F:F,"&gt;="&amp;O2Summary!$B$6,WTG_BD!F:F,"&lt;="&amp;O2Summary!$B$4)</f>
        <v>0</v>
      </c>
      <c r="V263" s="18">
        <f t="shared" si="11"/>
        <v>47</v>
      </c>
    </row>
    <row r="264" spans="19:22">
      <c r="S264" s="16">
        <v>262</v>
      </c>
      <c r="T264" s="16" t="s">
        <v>825</v>
      </c>
      <c r="U264" s="17">
        <f>COUNTIFS(WTG_BD!L:L,'Basic Data'!T264,WTG_BD!F:F,"&gt;="&amp;O2Summary!$B$6,WTG_BD!F:F,"&lt;="&amp;O2Summary!$B$4)</f>
        <v>0</v>
      </c>
      <c r="V264" s="18">
        <f t="shared" si="11"/>
        <v>47</v>
      </c>
    </row>
    <row r="265" spans="19:22">
      <c r="S265" s="16">
        <v>263</v>
      </c>
      <c r="T265" s="16" t="s">
        <v>826</v>
      </c>
      <c r="U265" s="17">
        <f>COUNTIFS(WTG_BD!L:L,'Basic Data'!T265,WTG_BD!F:F,"&gt;="&amp;O2Summary!$B$6,WTG_BD!F:F,"&lt;="&amp;O2Summary!$B$4)</f>
        <v>0</v>
      </c>
      <c r="V265" s="18">
        <f t="shared" si="11"/>
        <v>47</v>
      </c>
    </row>
    <row r="266" spans="19:22">
      <c r="S266" s="16">
        <v>264</v>
      </c>
      <c r="T266" s="16" t="s">
        <v>827</v>
      </c>
      <c r="U266" s="17">
        <f>COUNTIFS(WTG_BD!L:L,'Basic Data'!T266,WTG_BD!F:F,"&gt;="&amp;O2Summary!$B$6,WTG_BD!F:F,"&lt;="&amp;O2Summary!$B$4)</f>
        <v>0</v>
      </c>
      <c r="V266" s="18">
        <f t="shared" si="11"/>
        <v>47</v>
      </c>
    </row>
    <row r="267" spans="19:22">
      <c r="S267" s="16">
        <v>265</v>
      </c>
      <c r="T267" s="16" t="s">
        <v>828</v>
      </c>
      <c r="U267" s="17">
        <f>COUNTIFS(WTG_BD!L:L,'Basic Data'!T267,WTG_BD!F:F,"&gt;="&amp;O2Summary!$B$6,WTG_BD!F:F,"&lt;="&amp;O2Summary!$B$4)</f>
        <v>0</v>
      </c>
      <c r="V267" s="18">
        <f t="shared" si="11"/>
        <v>47</v>
      </c>
    </row>
    <row r="268" spans="19:22">
      <c r="S268" s="16">
        <v>266</v>
      </c>
      <c r="T268" s="16" t="s">
        <v>829</v>
      </c>
      <c r="U268" s="17">
        <f>COUNTIFS(WTG_BD!L:L,'Basic Data'!T268,WTG_BD!F:F,"&gt;="&amp;O2Summary!$B$6,WTG_BD!F:F,"&lt;="&amp;O2Summary!$B$4)</f>
        <v>0</v>
      </c>
      <c r="V268" s="18">
        <f t="shared" si="11"/>
        <v>47</v>
      </c>
    </row>
    <row r="269" spans="19:22">
      <c r="S269" s="16">
        <v>267</v>
      </c>
      <c r="T269" s="16" t="s">
        <v>830</v>
      </c>
      <c r="U269" s="17">
        <f>COUNTIFS(WTG_BD!L:L,'Basic Data'!T269,WTG_BD!F:F,"&gt;="&amp;O2Summary!$B$6,WTG_BD!F:F,"&lt;="&amp;O2Summary!$B$4)</f>
        <v>0</v>
      </c>
      <c r="V269" s="18">
        <f t="shared" si="11"/>
        <v>47</v>
      </c>
    </row>
    <row r="270" spans="19:22">
      <c r="S270" s="16">
        <v>268</v>
      </c>
      <c r="T270" s="16" t="s">
        <v>831</v>
      </c>
      <c r="U270" s="17">
        <f>COUNTIFS(WTG_BD!L:L,'Basic Data'!T270,WTG_BD!F:F,"&gt;="&amp;O2Summary!$B$6,WTG_BD!F:F,"&lt;="&amp;O2Summary!$B$4)</f>
        <v>0</v>
      </c>
      <c r="V270" s="18">
        <f t="shared" si="11"/>
        <v>47</v>
      </c>
    </row>
    <row r="271" spans="19:22">
      <c r="S271" s="16">
        <v>269</v>
      </c>
      <c r="T271" s="16" t="s">
        <v>832</v>
      </c>
      <c r="U271" s="17">
        <f>COUNTIFS(WTG_BD!L:L,'Basic Data'!T271,WTG_BD!F:F,"&gt;="&amp;O2Summary!$B$6,WTG_BD!F:F,"&lt;="&amp;O2Summary!$B$4)</f>
        <v>0</v>
      </c>
      <c r="V271" s="18">
        <f t="shared" si="11"/>
        <v>47</v>
      </c>
    </row>
    <row r="272" spans="19:22">
      <c r="S272" s="16">
        <v>270</v>
      </c>
      <c r="T272" s="16" t="s">
        <v>833</v>
      </c>
      <c r="U272" s="17">
        <f>COUNTIFS(WTG_BD!L:L,'Basic Data'!T272,WTG_BD!F:F,"&gt;="&amp;O2Summary!$B$6,WTG_BD!F:F,"&lt;="&amp;O2Summary!$B$4)</f>
        <v>0</v>
      </c>
      <c r="V272" s="18">
        <f t="shared" si="11"/>
        <v>47</v>
      </c>
    </row>
    <row r="273" spans="19:22">
      <c r="S273" s="16">
        <v>271</v>
      </c>
      <c r="T273" s="16" t="s">
        <v>834</v>
      </c>
      <c r="U273" s="17">
        <f>COUNTIFS(WTG_BD!L:L,'Basic Data'!T273,WTG_BD!F:F,"&gt;="&amp;O2Summary!$B$6,WTG_BD!F:F,"&lt;="&amp;O2Summary!$B$4)</f>
        <v>0</v>
      </c>
      <c r="V273" s="18">
        <f t="shared" si="11"/>
        <v>47</v>
      </c>
    </row>
    <row r="274" spans="19:22">
      <c r="S274" s="16">
        <v>272</v>
      </c>
      <c r="T274" s="16" t="s">
        <v>835</v>
      </c>
      <c r="U274" s="17">
        <f>COUNTIFS(WTG_BD!L:L,'Basic Data'!T274,WTG_BD!F:F,"&gt;="&amp;O2Summary!$B$6,WTG_BD!F:F,"&lt;="&amp;O2Summary!$B$4)</f>
        <v>0</v>
      </c>
      <c r="V274" s="18">
        <f t="shared" si="11"/>
        <v>47</v>
      </c>
    </row>
    <row r="275" spans="19:22">
      <c r="S275" s="16">
        <v>273</v>
      </c>
      <c r="T275" s="16" t="s">
        <v>836</v>
      </c>
      <c r="U275" s="17">
        <f>COUNTIFS(WTG_BD!L:L,'Basic Data'!T275,WTG_BD!F:F,"&gt;="&amp;O2Summary!$B$6,WTG_BD!F:F,"&lt;="&amp;O2Summary!$B$4)</f>
        <v>0</v>
      </c>
      <c r="V275" s="18">
        <f t="shared" si="11"/>
        <v>47</v>
      </c>
    </row>
    <row r="276" spans="19:22">
      <c r="S276" s="16">
        <v>274</v>
      </c>
      <c r="T276" s="16" t="s">
        <v>837</v>
      </c>
      <c r="U276" s="17">
        <f>COUNTIFS(WTG_BD!L:L,'Basic Data'!T276,WTG_BD!F:F,"&gt;="&amp;O2Summary!$B$6,WTG_BD!F:F,"&lt;="&amp;O2Summary!$B$4)</f>
        <v>0</v>
      </c>
      <c r="V276" s="18">
        <f t="shared" si="11"/>
        <v>47</v>
      </c>
    </row>
    <row r="277" spans="19:22">
      <c r="S277" s="16">
        <v>275</v>
      </c>
      <c r="T277" s="16" t="s">
        <v>838</v>
      </c>
      <c r="U277" s="17">
        <f>COUNTIFS(WTG_BD!L:L,'Basic Data'!T277,WTG_BD!F:F,"&gt;="&amp;O2Summary!$B$6,WTG_BD!F:F,"&lt;="&amp;O2Summary!$B$4)</f>
        <v>0</v>
      </c>
      <c r="V277" s="18">
        <f t="shared" si="11"/>
        <v>47</v>
      </c>
    </row>
    <row r="278" spans="19:22">
      <c r="S278" s="16">
        <v>276</v>
      </c>
      <c r="T278" s="16" t="s">
        <v>839</v>
      </c>
      <c r="U278" s="17">
        <f>COUNTIFS(WTG_BD!L:L,'Basic Data'!T278,WTG_BD!F:F,"&gt;="&amp;O2Summary!$B$6,WTG_BD!F:F,"&lt;="&amp;O2Summary!$B$4)</f>
        <v>0</v>
      </c>
      <c r="V278" s="18">
        <f t="shared" si="11"/>
        <v>47</v>
      </c>
    </row>
    <row r="279" spans="19:22">
      <c r="S279" s="16">
        <v>277</v>
      </c>
      <c r="T279" s="16" t="s">
        <v>840</v>
      </c>
      <c r="U279" s="17">
        <f>COUNTIFS(WTG_BD!L:L,'Basic Data'!T279,WTG_BD!F:F,"&gt;="&amp;O2Summary!$B$6,WTG_BD!F:F,"&lt;="&amp;O2Summary!$B$4)</f>
        <v>0</v>
      </c>
      <c r="V279" s="18">
        <f t="shared" si="11"/>
        <v>47</v>
      </c>
    </row>
    <row r="280" spans="19:22">
      <c r="S280" s="16">
        <v>278</v>
      </c>
      <c r="T280" s="16" t="s">
        <v>841</v>
      </c>
      <c r="U280" s="17">
        <f>COUNTIFS(WTG_BD!L:L,'Basic Data'!T280,WTG_BD!F:F,"&gt;="&amp;O2Summary!$B$6,WTG_BD!F:F,"&lt;="&amp;O2Summary!$B$4)</f>
        <v>0</v>
      </c>
      <c r="V280" s="18">
        <f t="shared" si="11"/>
        <v>47</v>
      </c>
    </row>
    <row r="281" spans="19:22">
      <c r="S281" s="16">
        <v>279</v>
      </c>
      <c r="T281" s="16" t="s">
        <v>842</v>
      </c>
      <c r="U281" s="17">
        <f>COUNTIFS(WTG_BD!L:L,'Basic Data'!T281,WTG_BD!F:F,"&gt;="&amp;O2Summary!$B$6,WTG_BD!F:F,"&lt;="&amp;O2Summary!$B$4)</f>
        <v>0</v>
      </c>
      <c r="V281" s="18">
        <f t="shared" si="11"/>
        <v>47</v>
      </c>
    </row>
    <row r="282" spans="19:22">
      <c r="S282" s="16">
        <v>280</v>
      </c>
      <c r="T282" s="16" t="s">
        <v>843</v>
      </c>
      <c r="U282" s="17">
        <f>COUNTIFS(WTG_BD!L:L,'Basic Data'!T282,WTG_BD!F:F,"&gt;="&amp;O2Summary!$B$6,WTG_BD!F:F,"&lt;="&amp;O2Summary!$B$4)</f>
        <v>0</v>
      </c>
      <c r="V282" s="18">
        <f t="shared" si="11"/>
        <v>47</v>
      </c>
    </row>
    <row r="283" spans="19:22">
      <c r="S283" s="16">
        <v>281</v>
      </c>
      <c r="T283" s="16" t="s">
        <v>844</v>
      </c>
      <c r="U283" s="17">
        <f>COUNTIFS(WTG_BD!L:L,'Basic Data'!T283,WTG_BD!F:F,"&gt;="&amp;O2Summary!$B$6,WTG_BD!F:F,"&lt;="&amp;O2Summary!$B$4)</f>
        <v>0</v>
      </c>
      <c r="V283" s="18">
        <f t="shared" si="11"/>
        <v>47</v>
      </c>
    </row>
    <row r="284" spans="19:22">
      <c r="S284" s="16">
        <v>282</v>
      </c>
      <c r="T284" s="16" t="s">
        <v>845</v>
      </c>
      <c r="U284" s="17">
        <f>COUNTIFS(WTG_BD!L:L,'Basic Data'!T284,WTG_BD!F:F,"&gt;="&amp;O2Summary!$B$6,WTG_BD!F:F,"&lt;="&amp;O2Summary!$B$4)</f>
        <v>0</v>
      </c>
      <c r="V284" s="18">
        <f t="shared" si="11"/>
        <v>47</v>
      </c>
    </row>
    <row r="285" spans="19:22">
      <c r="S285" s="16">
        <v>283</v>
      </c>
      <c r="T285" s="16" t="s">
        <v>846</v>
      </c>
      <c r="U285" s="17">
        <f>COUNTIFS(WTG_BD!L:L,'Basic Data'!T285,WTG_BD!F:F,"&gt;="&amp;O2Summary!$B$6,WTG_BD!F:F,"&lt;="&amp;O2Summary!$B$4)</f>
        <v>0</v>
      </c>
      <c r="V285" s="18">
        <f t="shared" si="11"/>
        <v>47</v>
      </c>
    </row>
    <row r="286" spans="19:22">
      <c r="S286" s="16">
        <v>284</v>
      </c>
      <c r="T286" s="16" t="s">
        <v>847</v>
      </c>
      <c r="U286" s="17">
        <f>COUNTIFS(WTG_BD!L:L,'Basic Data'!T286,WTG_BD!F:F,"&gt;="&amp;O2Summary!$B$6,WTG_BD!F:F,"&lt;="&amp;O2Summary!$B$4)</f>
        <v>0</v>
      </c>
      <c r="V286" s="18">
        <f t="shared" si="11"/>
        <v>47</v>
      </c>
    </row>
    <row r="287" spans="19:22">
      <c r="S287" s="16">
        <v>285</v>
      </c>
      <c r="T287" s="16" t="s">
        <v>848</v>
      </c>
      <c r="U287" s="17">
        <f>COUNTIFS(WTG_BD!L:L,'Basic Data'!T287,WTG_BD!F:F,"&gt;="&amp;O2Summary!$B$6,WTG_BD!F:F,"&lt;="&amp;O2Summary!$B$4)</f>
        <v>0</v>
      </c>
      <c r="V287" s="18">
        <f t="shared" si="11"/>
        <v>47</v>
      </c>
    </row>
    <row r="288" spans="19:22">
      <c r="S288" s="16">
        <v>286</v>
      </c>
      <c r="T288" s="16" t="s">
        <v>849</v>
      </c>
      <c r="U288" s="17">
        <f>COUNTIFS(WTG_BD!L:L,'Basic Data'!T288,WTG_BD!F:F,"&gt;="&amp;O2Summary!$B$6,WTG_BD!F:F,"&lt;="&amp;O2Summary!$B$4)</f>
        <v>0</v>
      </c>
      <c r="V288" s="18">
        <f t="shared" si="11"/>
        <v>47</v>
      </c>
    </row>
    <row r="289" spans="19:22">
      <c r="S289" s="16">
        <v>287</v>
      </c>
      <c r="T289" s="16" t="s">
        <v>850</v>
      </c>
      <c r="U289" s="17">
        <f>COUNTIFS(WTG_BD!L:L,'Basic Data'!T289,WTG_BD!F:F,"&gt;="&amp;O2Summary!$B$6,WTG_BD!F:F,"&lt;="&amp;O2Summary!$B$4)</f>
        <v>0</v>
      </c>
      <c r="V289" s="18">
        <f t="shared" si="11"/>
        <v>47</v>
      </c>
    </row>
    <row r="290" spans="19:22">
      <c r="S290" s="16">
        <v>288</v>
      </c>
      <c r="T290" s="16" t="s">
        <v>851</v>
      </c>
      <c r="U290" s="17">
        <f>COUNTIFS(WTG_BD!L:L,'Basic Data'!T290,WTG_BD!F:F,"&gt;="&amp;O2Summary!$B$6,WTG_BD!F:F,"&lt;="&amp;O2Summary!$B$4)</f>
        <v>0</v>
      </c>
      <c r="V290" s="18">
        <f t="shared" si="11"/>
        <v>47</v>
      </c>
    </row>
    <row r="291" spans="19:22">
      <c r="S291" s="16">
        <v>289</v>
      </c>
      <c r="T291" s="16" t="s">
        <v>852</v>
      </c>
      <c r="U291" s="17">
        <f>COUNTIFS(WTG_BD!L:L,'Basic Data'!T291,WTG_BD!F:F,"&gt;="&amp;O2Summary!$B$6,WTG_BD!F:F,"&lt;="&amp;O2Summary!$B$4)</f>
        <v>0</v>
      </c>
      <c r="V291" s="18">
        <f t="shared" si="11"/>
        <v>47</v>
      </c>
    </row>
    <row r="292" spans="19:22">
      <c r="S292" s="16">
        <v>290</v>
      </c>
      <c r="T292" s="16" t="s">
        <v>853</v>
      </c>
      <c r="U292" s="17">
        <f>COUNTIFS(WTG_BD!L:L,'Basic Data'!T292,WTG_BD!F:F,"&gt;="&amp;O2Summary!$B$6,WTG_BD!F:F,"&lt;="&amp;O2Summary!$B$4)</f>
        <v>0</v>
      </c>
      <c r="V292" s="18">
        <f t="shared" si="11"/>
        <v>47</v>
      </c>
    </row>
    <row r="293" spans="19:22">
      <c r="S293" s="16">
        <v>291</v>
      </c>
      <c r="T293" s="16" t="s">
        <v>854</v>
      </c>
      <c r="U293" s="17">
        <f>COUNTIFS(WTG_BD!L:L,'Basic Data'!T293,WTG_BD!F:F,"&gt;="&amp;O2Summary!$B$6,WTG_BD!F:F,"&lt;="&amp;O2Summary!$B$4)</f>
        <v>0</v>
      </c>
      <c r="V293" s="18">
        <f t="shared" si="11"/>
        <v>47</v>
      </c>
    </row>
    <row r="294" spans="19:22">
      <c r="S294" s="16">
        <v>292</v>
      </c>
      <c r="T294" s="16" t="s">
        <v>855</v>
      </c>
      <c r="U294" s="17">
        <f>COUNTIFS(WTG_BD!L:L,'Basic Data'!T294,WTG_BD!F:F,"&gt;="&amp;O2Summary!$B$6,WTG_BD!F:F,"&lt;="&amp;O2Summary!$B$4)</f>
        <v>0</v>
      </c>
      <c r="V294" s="18">
        <f t="shared" si="11"/>
        <v>47</v>
      </c>
    </row>
    <row r="295" spans="19:22">
      <c r="S295" s="16">
        <v>293</v>
      </c>
      <c r="T295" s="16" t="s">
        <v>856</v>
      </c>
      <c r="U295" s="17">
        <f>COUNTIFS(WTG_BD!L:L,'Basic Data'!T295,WTG_BD!F:F,"&gt;="&amp;O2Summary!$B$6,WTG_BD!F:F,"&lt;="&amp;O2Summary!$B$4)</f>
        <v>0</v>
      </c>
      <c r="V295" s="18">
        <f t="shared" si="11"/>
        <v>47</v>
      </c>
    </row>
    <row r="296" spans="19:22">
      <c r="S296" s="16">
        <v>294</v>
      </c>
      <c r="T296" s="16" t="s">
        <v>857</v>
      </c>
      <c r="U296" s="17">
        <f>COUNTIFS(WTG_BD!L:L,'Basic Data'!T296,WTG_BD!F:F,"&gt;="&amp;O2Summary!$B$6,WTG_BD!F:F,"&lt;="&amp;O2Summary!$B$4)</f>
        <v>0</v>
      </c>
      <c r="V296" s="18">
        <f t="shared" si="11"/>
        <v>47</v>
      </c>
    </row>
    <row r="297" spans="19:22">
      <c r="S297" s="16">
        <v>295</v>
      </c>
      <c r="T297" s="16" t="s">
        <v>858</v>
      </c>
      <c r="U297" s="17">
        <f>COUNTIFS(WTG_BD!L:L,'Basic Data'!T297,WTG_BD!F:F,"&gt;="&amp;O2Summary!$B$6,WTG_BD!F:F,"&lt;="&amp;O2Summary!$B$4)</f>
        <v>0</v>
      </c>
      <c r="V297" s="18">
        <f t="shared" si="11"/>
        <v>47</v>
      </c>
    </row>
    <row r="298" spans="19:22">
      <c r="S298" s="16">
        <v>296</v>
      </c>
      <c r="T298" s="16" t="s">
        <v>371</v>
      </c>
      <c r="U298" s="17">
        <f>COUNTIFS(WTG_BD!L:L,'Basic Data'!T298,WTG_BD!F:F,"&gt;="&amp;O2Summary!$B$6,WTG_BD!F:F,"&lt;="&amp;O2Summary!$B$4)</f>
        <v>0</v>
      </c>
      <c r="V298" s="18">
        <f t="shared" si="11"/>
        <v>47</v>
      </c>
    </row>
    <row r="299" spans="19:22">
      <c r="S299" s="16">
        <v>297</v>
      </c>
      <c r="T299" s="16" t="s">
        <v>859</v>
      </c>
      <c r="U299" s="17">
        <f>COUNTIFS(WTG_BD!L:L,'Basic Data'!T299,WTG_BD!F:F,"&gt;="&amp;O2Summary!$B$6,WTG_BD!F:F,"&lt;="&amp;O2Summary!$B$4)</f>
        <v>0</v>
      </c>
      <c r="V299" s="18">
        <f t="shared" si="11"/>
        <v>47</v>
      </c>
    </row>
    <row r="300" spans="19:22">
      <c r="S300" s="26">
        <v>298</v>
      </c>
      <c r="T300" s="26" t="s">
        <v>860</v>
      </c>
      <c r="U300" s="17">
        <f>COUNTIFS(WTG_BD!L:L,'Basic Data'!T300,WTG_BD!F:F,"&gt;="&amp;O2Summary!$B$6,WTG_BD!F:F,"&lt;="&amp;O2Summary!$B$4)</f>
        <v>0</v>
      </c>
      <c r="V300" s="18">
        <f t="shared" si="11"/>
        <v>47</v>
      </c>
    </row>
    <row r="301" spans="19:22">
      <c r="S301" s="26">
        <v>299</v>
      </c>
      <c r="T301" s="26" t="s">
        <v>861</v>
      </c>
      <c r="U301" s="17">
        <f>COUNTIFS(WTG_BD!L:L,'Basic Data'!T301,WTG_BD!F:F,"&gt;="&amp;O2Summary!$B$6,WTG_BD!F:F,"&lt;="&amp;O2Summary!$B$4)</f>
        <v>0</v>
      </c>
      <c r="V301" s="18">
        <f t="shared" si="11"/>
        <v>47</v>
      </c>
    </row>
    <row r="302" spans="19:22">
      <c r="S302" s="16">
        <v>300</v>
      </c>
      <c r="T302" s="16" t="s">
        <v>862</v>
      </c>
      <c r="U302" s="17">
        <f>COUNTIFS(WTG_BD!L:L,'Basic Data'!T302,WTG_BD!F:F,"&gt;="&amp;O2Summary!$B$6,WTG_BD!F:F,"&lt;="&amp;O2Summary!$B$4)</f>
        <v>0</v>
      </c>
      <c r="V302" s="18">
        <f t="shared" si="11"/>
        <v>47</v>
      </c>
    </row>
    <row r="303" spans="19:22">
      <c r="S303" s="16">
        <v>301</v>
      </c>
      <c r="T303" s="16" t="s">
        <v>863</v>
      </c>
      <c r="U303" s="17">
        <f>COUNTIFS(WTG_BD!L:L,'Basic Data'!T303,WTG_BD!F:F,"&gt;="&amp;O2Summary!$B$6,WTG_BD!F:F,"&lt;="&amp;O2Summary!$B$4)</f>
        <v>0</v>
      </c>
      <c r="V303" s="18">
        <f t="shared" si="11"/>
        <v>47</v>
      </c>
    </row>
    <row r="304" spans="19:22">
      <c r="S304" s="16">
        <v>302</v>
      </c>
      <c r="T304" s="16" t="s">
        <v>864</v>
      </c>
      <c r="U304" s="17">
        <f>COUNTIFS(WTG_BD!L:L,'Basic Data'!T304,WTG_BD!F:F,"&gt;="&amp;O2Summary!$B$6,WTG_BD!F:F,"&lt;="&amp;O2Summary!$B$4)</f>
        <v>0</v>
      </c>
      <c r="V304" s="18">
        <f t="shared" si="11"/>
        <v>47</v>
      </c>
    </row>
    <row r="305" spans="19:22">
      <c r="S305" s="16">
        <v>303</v>
      </c>
      <c r="T305" s="16" t="s">
        <v>865</v>
      </c>
      <c r="U305" s="17">
        <f>COUNTIFS(WTG_BD!L:L,'Basic Data'!T305,WTG_BD!F:F,"&gt;="&amp;O2Summary!$B$6,WTG_BD!F:F,"&lt;="&amp;O2Summary!$B$4)</f>
        <v>0</v>
      </c>
      <c r="V305" s="18">
        <f t="shared" si="11"/>
        <v>47</v>
      </c>
    </row>
    <row r="306" spans="19:22">
      <c r="S306" s="16">
        <v>304</v>
      </c>
      <c r="T306" s="16" t="s">
        <v>866</v>
      </c>
      <c r="U306" s="17">
        <f>COUNTIFS(WTG_BD!L:L,'Basic Data'!T306,WTG_BD!F:F,"&gt;="&amp;O2Summary!$B$6,WTG_BD!F:F,"&lt;="&amp;O2Summary!$B$4)</f>
        <v>0</v>
      </c>
      <c r="V306" s="18">
        <f t="shared" si="11"/>
        <v>47</v>
      </c>
    </row>
    <row r="307" spans="19:22">
      <c r="S307" s="26">
        <v>305</v>
      </c>
      <c r="T307" s="26" t="s">
        <v>867</v>
      </c>
      <c r="U307" s="17">
        <f>COUNTIFS(WTG_BD!L:L,'Basic Data'!T307,WTG_BD!F:F,"&gt;="&amp;O2Summary!$B$6,WTG_BD!F:F,"&lt;="&amp;O2Summary!$B$4)</f>
        <v>0</v>
      </c>
      <c r="V307" s="18">
        <f t="shared" si="11"/>
        <v>47</v>
      </c>
    </row>
    <row r="308" spans="19:22">
      <c r="S308" s="16">
        <v>306</v>
      </c>
      <c r="T308" s="16" t="s">
        <v>868</v>
      </c>
      <c r="U308" s="17">
        <f>COUNTIFS(WTG_BD!L:L,'Basic Data'!T308,WTG_BD!F:F,"&gt;="&amp;O2Summary!$B$6,WTG_BD!F:F,"&lt;="&amp;O2Summary!$B$4)</f>
        <v>0</v>
      </c>
      <c r="V308" s="18">
        <f t="shared" si="11"/>
        <v>47</v>
      </c>
    </row>
    <row r="309" spans="19:22">
      <c r="S309" s="16">
        <v>307</v>
      </c>
      <c r="T309" s="16" t="s">
        <v>869</v>
      </c>
      <c r="U309" s="17">
        <f>COUNTIFS(WTG_BD!L:L,'Basic Data'!T309,WTG_BD!F:F,"&gt;="&amp;O2Summary!$B$6,WTG_BD!F:F,"&lt;="&amp;O2Summary!$B$4)</f>
        <v>0</v>
      </c>
      <c r="V309" s="18">
        <f t="shared" si="11"/>
        <v>47</v>
      </c>
    </row>
    <row r="310" spans="19:22">
      <c r="S310" s="16">
        <v>308</v>
      </c>
      <c r="T310" s="16" t="s">
        <v>870</v>
      </c>
      <c r="U310" s="17">
        <f>COUNTIFS(WTG_BD!L:L,'Basic Data'!T310,WTG_BD!F:F,"&gt;="&amp;O2Summary!$B$6,WTG_BD!F:F,"&lt;="&amp;O2Summary!$B$4)</f>
        <v>0</v>
      </c>
      <c r="V310" s="18">
        <f t="shared" si="11"/>
        <v>47</v>
      </c>
    </row>
    <row r="311" spans="19:22">
      <c r="S311" s="16">
        <v>309</v>
      </c>
      <c r="T311" s="16" t="s">
        <v>871</v>
      </c>
      <c r="U311" s="17">
        <f>COUNTIFS(WTG_BD!L:L,'Basic Data'!T311,WTG_BD!F:F,"&gt;="&amp;O2Summary!$B$6,WTG_BD!F:F,"&lt;="&amp;O2Summary!$B$4)</f>
        <v>54</v>
      </c>
      <c r="V311" s="18">
        <f t="shared" si="11"/>
        <v>3</v>
      </c>
    </row>
    <row r="312" spans="19:22">
      <c r="S312" s="16">
        <v>309</v>
      </c>
      <c r="T312" s="16" t="s">
        <v>872</v>
      </c>
      <c r="U312" s="17">
        <f>COUNTIFS(WTG_BD!L:L,'Basic Data'!T312,WTG_BD!F:F,"&gt;="&amp;O2Summary!$B$6,WTG_BD!F:F,"&lt;="&amp;O2Summary!$B$4)</f>
        <v>0</v>
      </c>
      <c r="V312" s="18">
        <f t="shared" si="11"/>
        <v>47</v>
      </c>
    </row>
    <row r="313" spans="19:22">
      <c r="S313" s="16">
        <v>309</v>
      </c>
      <c r="T313" s="16" t="s">
        <v>873</v>
      </c>
      <c r="U313" s="17">
        <f>COUNTIFS(WTG_BD!L:L,'Basic Data'!T313,WTG_BD!F:F,"&gt;="&amp;O2Summary!$B$6,WTG_BD!F:F,"&lt;="&amp;O2Summary!$B$4)</f>
        <v>0</v>
      </c>
      <c r="V313" s="18">
        <f t="shared" si="11"/>
        <v>47</v>
      </c>
    </row>
    <row r="314" spans="19:22">
      <c r="S314" s="16">
        <v>309</v>
      </c>
      <c r="T314" s="16" t="s">
        <v>874</v>
      </c>
      <c r="U314" s="17">
        <f>COUNTIFS(WTG_BD!L:L,'Basic Data'!T314,WTG_BD!F:F,"&gt;="&amp;O2Summary!$B$6,WTG_BD!F:F,"&lt;="&amp;O2Summary!$B$4)</f>
        <v>0</v>
      </c>
      <c r="V314" s="18">
        <f t="shared" si="11"/>
        <v>47</v>
      </c>
    </row>
    <row r="315" spans="19:22">
      <c r="S315" s="16">
        <v>309</v>
      </c>
      <c r="T315" s="16" t="s">
        <v>875</v>
      </c>
      <c r="U315" s="17">
        <f>COUNTIFS(WTG_BD!L:L,'Basic Data'!T315,WTG_BD!F:F,"&gt;="&amp;O2Summary!$B$6,WTG_BD!F:F,"&lt;="&amp;O2Summary!$B$4)</f>
        <v>0</v>
      </c>
      <c r="V315" s="18">
        <f t="shared" si="11"/>
        <v>47</v>
      </c>
    </row>
    <row r="316" spans="19:22">
      <c r="S316" s="16">
        <v>309</v>
      </c>
      <c r="T316" s="16" t="s">
        <v>876</v>
      </c>
      <c r="U316" s="17">
        <f>COUNTIFS(WTG_BD!L:L,'Basic Data'!T316,WTG_BD!F:F,"&gt;="&amp;O2Summary!$B$6,WTG_BD!F:F,"&lt;="&amp;O2Summary!$B$4)</f>
        <v>0</v>
      </c>
      <c r="V316" s="18">
        <f t="shared" si="11"/>
        <v>47</v>
      </c>
    </row>
    <row r="317" spans="19:22">
      <c r="S317" s="16">
        <v>309</v>
      </c>
      <c r="T317" s="16" t="s">
        <v>877</v>
      </c>
      <c r="U317" s="17">
        <f>COUNTIFS(WTG_BD!L:L,'Basic Data'!T317,WTG_BD!F:F,"&gt;="&amp;O2Summary!$B$6,WTG_BD!F:F,"&lt;="&amp;O2Summary!$B$4)</f>
        <v>0</v>
      </c>
      <c r="V317" s="18">
        <f t="shared" si="11"/>
        <v>47</v>
      </c>
    </row>
    <row r="318" spans="19:22">
      <c r="S318" s="16">
        <v>309</v>
      </c>
      <c r="T318" s="16" t="s">
        <v>878</v>
      </c>
      <c r="U318" s="17">
        <f>COUNTIFS(WTG_BD!L:L,'Basic Data'!T318,WTG_BD!F:F,"&gt;="&amp;O2Summary!$B$6,WTG_BD!F:F,"&lt;="&amp;O2Summary!$B$4)</f>
        <v>0</v>
      </c>
      <c r="V318" s="18">
        <f t="shared" si="11"/>
        <v>47</v>
      </c>
    </row>
    <row r="319" spans="19:22">
      <c r="S319" s="16">
        <v>309</v>
      </c>
      <c r="T319" s="16" t="s">
        <v>879</v>
      </c>
      <c r="U319" s="17">
        <f>COUNTIFS(WTG_BD!L:L,'Basic Data'!T319,WTG_BD!F:F,"&gt;="&amp;O2Summary!$B$6,WTG_BD!F:F,"&lt;="&amp;O2Summary!$B$4)</f>
        <v>0</v>
      </c>
      <c r="V319" s="18">
        <f t="shared" si="11"/>
        <v>47</v>
      </c>
    </row>
    <row r="320" spans="19:22">
      <c r="S320" s="16">
        <v>309</v>
      </c>
      <c r="T320" s="16" t="s">
        <v>880</v>
      </c>
      <c r="U320" s="17">
        <f>COUNTIFS(WTG_BD!L:L,'Basic Data'!T320,WTG_BD!F:F,"&gt;="&amp;O2Summary!$B$6,WTG_BD!F:F,"&lt;="&amp;O2Summary!$B$4)</f>
        <v>0</v>
      </c>
      <c r="V320" s="18">
        <f t="shared" si="11"/>
        <v>47</v>
      </c>
    </row>
    <row r="321" spans="19:22">
      <c r="S321" s="16">
        <v>309</v>
      </c>
      <c r="T321" s="16" t="s">
        <v>881</v>
      </c>
      <c r="U321" s="17">
        <f>COUNTIFS(WTG_BD!L:L,'Basic Data'!T321,WTG_BD!F:F,"&gt;="&amp;O2Summary!$B$6,WTG_BD!F:F,"&lt;="&amp;O2Summary!$B$4)</f>
        <v>0</v>
      </c>
      <c r="V321" s="18">
        <f t="shared" si="11"/>
        <v>47</v>
      </c>
    </row>
    <row r="322" spans="19:22">
      <c r="S322" s="16">
        <v>309</v>
      </c>
      <c r="T322" s="16" t="s">
        <v>882</v>
      </c>
      <c r="U322" s="17">
        <f>COUNTIFS(WTG_BD!L:L,'Basic Data'!T322,WTG_BD!F:F,"&gt;="&amp;O2Summary!$B$6,WTG_BD!F:F,"&lt;="&amp;O2Summary!$B$4)</f>
        <v>0</v>
      </c>
      <c r="V322" s="18">
        <f t="shared" si="11"/>
        <v>47</v>
      </c>
    </row>
    <row r="323" spans="19:22">
      <c r="S323" s="16">
        <v>310</v>
      </c>
      <c r="T323" s="16" t="s">
        <v>883</v>
      </c>
      <c r="U323" s="17">
        <f>COUNTIFS(WTG_BD!L:L,'Basic Data'!T323,WTG_BD!F:F,"&gt;="&amp;O2Summary!$B$6,WTG_BD!F:F,"&lt;="&amp;O2Summary!$B$4)</f>
        <v>0</v>
      </c>
      <c r="V323" s="18">
        <f t="shared" ref="V323:V386" si="12">RANK(U323,$U$2:$U$3975)</f>
        <v>47</v>
      </c>
    </row>
    <row r="324" spans="19:22">
      <c r="S324" s="16">
        <v>311</v>
      </c>
      <c r="T324" s="16" t="s">
        <v>884</v>
      </c>
      <c r="U324" s="17">
        <f>COUNTIFS(WTG_BD!L:L,'Basic Data'!T324,WTG_BD!F:F,"&gt;="&amp;O2Summary!$B$6,WTG_BD!F:F,"&lt;="&amp;O2Summary!$B$4)</f>
        <v>0</v>
      </c>
      <c r="V324" s="18">
        <f t="shared" si="12"/>
        <v>47</v>
      </c>
    </row>
    <row r="325" spans="19:22">
      <c r="S325" s="16">
        <v>312</v>
      </c>
      <c r="T325" s="16" t="s">
        <v>885</v>
      </c>
      <c r="U325" s="17">
        <f>COUNTIFS(WTG_BD!L:L,'Basic Data'!T325,WTG_BD!F:F,"&gt;="&amp;O2Summary!$B$6,WTG_BD!F:F,"&lt;="&amp;O2Summary!$B$4)</f>
        <v>0</v>
      </c>
      <c r="V325" s="18">
        <f t="shared" si="12"/>
        <v>47</v>
      </c>
    </row>
    <row r="326" spans="19:22">
      <c r="S326" s="16">
        <v>313</v>
      </c>
      <c r="T326" s="16" t="s">
        <v>886</v>
      </c>
      <c r="U326" s="17">
        <f>COUNTIFS(WTG_BD!L:L,'Basic Data'!T326,WTG_BD!F:F,"&gt;="&amp;O2Summary!$B$6,WTG_BD!F:F,"&lt;="&amp;O2Summary!$B$4)</f>
        <v>0</v>
      </c>
      <c r="V326" s="18">
        <f t="shared" si="12"/>
        <v>47</v>
      </c>
    </row>
    <row r="327" spans="19:22">
      <c r="S327" s="16">
        <v>314</v>
      </c>
      <c r="T327" s="16" t="s">
        <v>887</v>
      </c>
      <c r="U327" s="17">
        <f>COUNTIFS(WTG_BD!L:L,'Basic Data'!T327,WTG_BD!F:F,"&gt;="&amp;O2Summary!$B$6,WTG_BD!F:F,"&lt;="&amp;O2Summary!$B$4)</f>
        <v>0</v>
      </c>
      <c r="V327" s="18">
        <f t="shared" si="12"/>
        <v>47</v>
      </c>
    </row>
    <row r="328" spans="19:22">
      <c r="S328" s="16">
        <v>315</v>
      </c>
      <c r="T328" s="16" t="s">
        <v>141</v>
      </c>
      <c r="U328" s="17">
        <f>COUNTIFS(WTG_BD!L:L,'Basic Data'!T328,WTG_BD!F:F,"&gt;="&amp;O2Summary!$B$6,WTG_BD!F:F,"&lt;="&amp;O2Summary!$B$4)</f>
        <v>18</v>
      </c>
      <c r="V328" s="18">
        <f t="shared" si="12"/>
        <v>8</v>
      </c>
    </row>
    <row r="329" spans="19:22">
      <c r="S329" s="16">
        <v>316</v>
      </c>
      <c r="T329" s="16" t="s">
        <v>888</v>
      </c>
      <c r="U329" s="17">
        <f>COUNTIFS(WTG_BD!L:L,'Basic Data'!T329,WTG_BD!F:F,"&gt;="&amp;O2Summary!$B$6,WTG_BD!F:F,"&lt;="&amp;O2Summary!$B$4)</f>
        <v>0</v>
      </c>
      <c r="V329" s="18">
        <f t="shared" si="12"/>
        <v>47</v>
      </c>
    </row>
    <row r="330" spans="19:22">
      <c r="S330" s="16">
        <v>317</v>
      </c>
      <c r="T330" s="16" t="s">
        <v>889</v>
      </c>
      <c r="U330" s="17">
        <f>COUNTIFS(WTG_BD!L:L,'Basic Data'!T330,WTG_BD!F:F,"&gt;="&amp;O2Summary!$B$6,WTG_BD!F:F,"&lt;="&amp;O2Summary!$B$4)</f>
        <v>0</v>
      </c>
      <c r="V330" s="18">
        <f t="shared" si="12"/>
        <v>47</v>
      </c>
    </row>
    <row r="331" spans="19:22">
      <c r="S331" s="16">
        <v>318</v>
      </c>
      <c r="T331" s="16" t="s">
        <v>890</v>
      </c>
      <c r="U331" s="17">
        <f>COUNTIFS(WTG_BD!L:L,'Basic Data'!T331,WTG_BD!F:F,"&gt;="&amp;O2Summary!$B$6,WTG_BD!F:F,"&lt;="&amp;O2Summary!$B$4)</f>
        <v>0</v>
      </c>
      <c r="V331" s="18">
        <f t="shared" si="12"/>
        <v>47</v>
      </c>
    </row>
    <row r="332" spans="19:22">
      <c r="S332" s="16">
        <v>319</v>
      </c>
      <c r="T332" s="16" t="s">
        <v>891</v>
      </c>
      <c r="U332" s="17">
        <f>COUNTIFS(WTG_BD!L:L,'Basic Data'!T332,WTG_BD!F:F,"&gt;="&amp;O2Summary!$B$6,WTG_BD!F:F,"&lt;="&amp;O2Summary!$B$4)</f>
        <v>0</v>
      </c>
      <c r="V332" s="18">
        <f t="shared" si="12"/>
        <v>47</v>
      </c>
    </row>
    <row r="333" spans="19:22">
      <c r="S333" s="16">
        <v>320</v>
      </c>
      <c r="T333" s="16" t="s">
        <v>892</v>
      </c>
      <c r="U333" s="17">
        <f>COUNTIFS(WTG_BD!L:L,'Basic Data'!T333,WTG_BD!F:F,"&gt;="&amp;O2Summary!$B$6,WTG_BD!F:F,"&lt;="&amp;O2Summary!$B$4)</f>
        <v>0</v>
      </c>
      <c r="V333" s="18">
        <f t="shared" si="12"/>
        <v>47</v>
      </c>
    </row>
    <row r="334" spans="19:22">
      <c r="S334" s="16">
        <v>321</v>
      </c>
      <c r="T334" s="16" t="s">
        <v>893</v>
      </c>
      <c r="U334" s="17">
        <f>COUNTIFS(WTG_BD!L:L,'Basic Data'!T334,WTG_BD!F:F,"&gt;="&amp;O2Summary!$B$6,WTG_BD!F:F,"&lt;="&amp;O2Summary!$B$4)</f>
        <v>0</v>
      </c>
      <c r="V334" s="18">
        <f t="shared" si="12"/>
        <v>47</v>
      </c>
    </row>
    <row r="335" spans="19:22">
      <c r="S335" s="16">
        <v>322</v>
      </c>
      <c r="T335" s="16" t="s">
        <v>894</v>
      </c>
      <c r="U335" s="17">
        <f>COUNTIFS(WTG_BD!L:L,'Basic Data'!T335,WTG_BD!F:F,"&gt;="&amp;O2Summary!$B$6,WTG_BD!F:F,"&lt;="&amp;O2Summary!$B$4)</f>
        <v>0</v>
      </c>
      <c r="V335" s="18">
        <f t="shared" si="12"/>
        <v>47</v>
      </c>
    </row>
    <row r="336" spans="19:22">
      <c r="S336" s="16">
        <v>323</v>
      </c>
      <c r="T336" s="16" t="s">
        <v>895</v>
      </c>
      <c r="U336" s="17">
        <f>COUNTIFS(WTG_BD!L:L,'Basic Data'!T336,WTG_BD!F:F,"&gt;="&amp;O2Summary!$B$6,WTG_BD!F:F,"&lt;="&amp;O2Summary!$B$4)</f>
        <v>0</v>
      </c>
      <c r="V336" s="18">
        <f t="shared" si="12"/>
        <v>47</v>
      </c>
    </row>
    <row r="337" spans="19:22">
      <c r="S337" s="16">
        <v>324</v>
      </c>
      <c r="T337" s="16" t="s">
        <v>896</v>
      </c>
      <c r="U337" s="17">
        <f>COUNTIFS(WTG_BD!L:L,'Basic Data'!T337,WTG_BD!F:F,"&gt;="&amp;O2Summary!$B$6,WTG_BD!F:F,"&lt;="&amp;O2Summary!$B$4)</f>
        <v>0</v>
      </c>
      <c r="V337" s="18">
        <f t="shared" si="12"/>
        <v>47</v>
      </c>
    </row>
    <row r="338" spans="19:22">
      <c r="S338" s="16">
        <v>325</v>
      </c>
      <c r="T338" s="16" t="s">
        <v>897</v>
      </c>
      <c r="U338" s="17">
        <f>COUNTIFS(WTG_BD!L:L,'Basic Data'!T338,WTG_BD!F:F,"&gt;="&amp;O2Summary!$B$6,WTG_BD!F:F,"&lt;="&amp;O2Summary!$B$4)</f>
        <v>0</v>
      </c>
      <c r="V338" s="18">
        <f t="shared" si="12"/>
        <v>47</v>
      </c>
    </row>
    <row r="339" spans="19:22">
      <c r="S339" s="16">
        <v>326</v>
      </c>
      <c r="T339" s="16" t="s">
        <v>898</v>
      </c>
      <c r="U339" s="17">
        <f>COUNTIFS(WTG_BD!L:L,'Basic Data'!T339,WTG_BD!F:F,"&gt;="&amp;O2Summary!$B$6,WTG_BD!F:F,"&lt;="&amp;O2Summary!$B$4)</f>
        <v>0</v>
      </c>
      <c r="V339" s="18">
        <f t="shared" si="12"/>
        <v>47</v>
      </c>
    </row>
    <row r="340" spans="19:22">
      <c r="S340" s="16">
        <v>327</v>
      </c>
      <c r="T340" s="16" t="s">
        <v>899</v>
      </c>
      <c r="U340" s="17">
        <f>COUNTIFS(WTG_BD!L:L,'Basic Data'!T340,WTG_BD!F:F,"&gt;="&amp;O2Summary!$B$6,WTG_BD!F:F,"&lt;="&amp;O2Summary!$B$4)</f>
        <v>0</v>
      </c>
      <c r="V340" s="18">
        <f t="shared" si="12"/>
        <v>47</v>
      </c>
    </row>
    <row r="341" spans="19:22">
      <c r="S341" s="16">
        <v>328</v>
      </c>
      <c r="T341" s="16" t="s">
        <v>900</v>
      </c>
      <c r="U341" s="17">
        <f>COUNTIFS(WTG_BD!L:L,'Basic Data'!T341,WTG_BD!F:F,"&gt;="&amp;O2Summary!$B$6,WTG_BD!F:F,"&lt;="&amp;O2Summary!$B$4)</f>
        <v>1</v>
      </c>
      <c r="V341" s="18">
        <f t="shared" si="12"/>
        <v>29</v>
      </c>
    </row>
    <row r="342" spans="19:22">
      <c r="S342" s="16">
        <v>329</v>
      </c>
      <c r="T342" s="16" t="s">
        <v>901</v>
      </c>
      <c r="U342" s="17">
        <f>COUNTIFS(WTG_BD!L:L,'Basic Data'!T342,WTG_BD!F:F,"&gt;="&amp;O2Summary!$B$6,WTG_BD!F:F,"&lt;="&amp;O2Summary!$B$4)</f>
        <v>0</v>
      </c>
      <c r="V342" s="18">
        <f t="shared" si="12"/>
        <v>47</v>
      </c>
    </row>
    <row r="343" spans="19:22">
      <c r="S343" s="16">
        <v>330</v>
      </c>
      <c r="T343" s="16" t="s">
        <v>902</v>
      </c>
      <c r="U343" s="17">
        <f>COUNTIFS(WTG_BD!L:L,'Basic Data'!T343,WTG_BD!F:F,"&gt;="&amp;O2Summary!$B$6,WTG_BD!F:F,"&lt;="&amp;O2Summary!$B$4)</f>
        <v>0</v>
      </c>
      <c r="V343" s="18">
        <f t="shared" si="12"/>
        <v>47</v>
      </c>
    </row>
    <row r="344" spans="19:22">
      <c r="S344" s="16">
        <v>331</v>
      </c>
      <c r="T344" s="16" t="s">
        <v>903</v>
      </c>
      <c r="U344" s="17">
        <f>COUNTIFS(WTG_BD!L:L,'Basic Data'!T344,WTG_BD!F:F,"&gt;="&amp;O2Summary!$B$6,WTG_BD!F:F,"&lt;="&amp;O2Summary!$B$4)</f>
        <v>0</v>
      </c>
      <c r="V344" s="18">
        <f t="shared" si="12"/>
        <v>47</v>
      </c>
    </row>
    <row r="345" spans="19:22">
      <c r="S345" s="16">
        <v>332</v>
      </c>
      <c r="T345" s="16" t="s">
        <v>904</v>
      </c>
      <c r="U345" s="17">
        <f>COUNTIFS(WTG_BD!L:L,'Basic Data'!T345,WTG_BD!F:F,"&gt;="&amp;O2Summary!$B$6,WTG_BD!F:F,"&lt;="&amp;O2Summary!$B$4)</f>
        <v>0</v>
      </c>
      <c r="V345" s="18">
        <f t="shared" si="12"/>
        <v>47</v>
      </c>
    </row>
    <row r="346" spans="19:22">
      <c r="S346" s="16">
        <v>333</v>
      </c>
      <c r="T346" s="16" t="s">
        <v>905</v>
      </c>
      <c r="U346" s="17">
        <f>COUNTIFS(WTG_BD!L:L,'Basic Data'!T346,WTG_BD!F:F,"&gt;="&amp;O2Summary!$B$6,WTG_BD!F:F,"&lt;="&amp;O2Summary!$B$4)</f>
        <v>0</v>
      </c>
      <c r="V346" s="18">
        <f t="shared" si="12"/>
        <v>47</v>
      </c>
    </row>
    <row r="347" spans="19:22">
      <c r="S347" s="16">
        <v>334</v>
      </c>
      <c r="T347" s="16" t="s">
        <v>906</v>
      </c>
      <c r="U347" s="17">
        <f>COUNTIFS(WTG_BD!L:L,'Basic Data'!T347,WTG_BD!F:F,"&gt;="&amp;O2Summary!$B$6,WTG_BD!F:F,"&lt;="&amp;O2Summary!$B$4)</f>
        <v>0</v>
      </c>
      <c r="V347" s="18">
        <f t="shared" si="12"/>
        <v>47</v>
      </c>
    </row>
    <row r="348" spans="19:22">
      <c r="S348" s="16">
        <v>335</v>
      </c>
      <c r="T348" s="16" t="s">
        <v>907</v>
      </c>
      <c r="U348" s="17">
        <f>COUNTIFS(WTG_BD!L:L,'Basic Data'!T348,WTG_BD!F:F,"&gt;="&amp;O2Summary!$B$6,WTG_BD!F:F,"&lt;="&amp;O2Summary!$B$4)</f>
        <v>3</v>
      </c>
      <c r="V348" s="18">
        <f t="shared" si="12"/>
        <v>18</v>
      </c>
    </row>
    <row r="349" spans="19:22">
      <c r="S349" s="16">
        <v>336</v>
      </c>
      <c r="T349" s="16" t="s">
        <v>908</v>
      </c>
      <c r="U349" s="17">
        <f>COUNTIFS(WTG_BD!L:L,'Basic Data'!T349,WTG_BD!F:F,"&gt;="&amp;O2Summary!$B$6,WTG_BD!F:F,"&lt;="&amp;O2Summary!$B$4)</f>
        <v>1</v>
      </c>
      <c r="V349" s="18">
        <f t="shared" si="12"/>
        <v>29</v>
      </c>
    </row>
    <row r="350" spans="19:22">
      <c r="S350" s="16">
        <v>337</v>
      </c>
      <c r="T350" s="16" t="s">
        <v>138</v>
      </c>
      <c r="U350" s="17">
        <f>COUNTIFS(WTG_BD!L:L,'Basic Data'!T350,WTG_BD!F:F,"&gt;="&amp;O2Summary!$B$6,WTG_BD!F:F,"&lt;="&amp;O2Summary!$B$4)</f>
        <v>0</v>
      </c>
      <c r="V350" s="18">
        <f t="shared" si="12"/>
        <v>47</v>
      </c>
    </row>
    <row r="351" spans="19:22">
      <c r="S351" s="16">
        <v>338</v>
      </c>
      <c r="T351" s="16" t="s">
        <v>909</v>
      </c>
      <c r="U351" s="17">
        <f>COUNTIFS(WTG_BD!L:L,'Basic Data'!T351,WTG_BD!F:F,"&gt;="&amp;O2Summary!$B$6,WTG_BD!F:F,"&lt;="&amp;O2Summary!$B$4)</f>
        <v>1</v>
      </c>
      <c r="V351" s="18">
        <f t="shared" si="12"/>
        <v>29</v>
      </c>
    </row>
    <row r="352" spans="19:22">
      <c r="S352" s="16">
        <v>339</v>
      </c>
      <c r="T352" s="16" t="s">
        <v>910</v>
      </c>
      <c r="U352" s="17">
        <f>COUNTIFS(WTG_BD!L:L,'Basic Data'!T352,WTG_BD!F:F,"&gt;="&amp;O2Summary!$B$6,WTG_BD!F:F,"&lt;="&amp;O2Summary!$B$4)</f>
        <v>0</v>
      </c>
      <c r="V352" s="18">
        <f t="shared" si="12"/>
        <v>47</v>
      </c>
    </row>
    <row r="353" spans="19:22">
      <c r="S353" s="16">
        <v>340</v>
      </c>
      <c r="T353" s="16" t="s">
        <v>911</v>
      </c>
      <c r="U353" s="17">
        <f>COUNTIFS(WTG_BD!L:L,'Basic Data'!T353,WTG_BD!F:F,"&gt;="&amp;O2Summary!$B$6,WTG_BD!F:F,"&lt;="&amp;O2Summary!$B$4)</f>
        <v>0</v>
      </c>
      <c r="V353" s="18">
        <f t="shared" si="12"/>
        <v>47</v>
      </c>
    </row>
    <row r="354" spans="19:22">
      <c r="S354" s="16">
        <v>341</v>
      </c>
      <c r="T354" s="16" t="s">
        <v>912</v>
      </c>
      <c r="U354" s="17">
        <f>COUNTIFS(WTG_BD!L:L,'Basic Data'!T354,WTG_BD!F:F,"&gt;="&amp;O2Summary!$B$6,WTG_BD!F:F,"&lt;="&amp;O2Summary!$B$4)</f>
        <v>0</v>
      </c>
      <c r="V354" s="18">
        <f t="shared" si="12"/>
        <v>47</v>
      </c>
    </row>
    <row r="355" spans="19:22">
      <c r="S355" s="16">
        <v>342</v>
      </c>
      <c r="T355" s="16" t="s">
        <v>913</v>
      </c>
      <c r="U355" s="17">
        <f>COUNTIFS(WTG_BD!L:L,'Basic Data'!T355,WTG_BD!F:F,"&gt;="&amp;O2Summary!$B$6,WTG_BD!F:F,"&lt;="&amp;O2Summary!$B$4)</f>
        <v>0</v>
      </c>
      <c r="V355" s="18">
        <f t="shared" si="12"/>
        <v>47</v>
      </c>
    </row>
    <row r="356" spans="19:22">
      <c r="S356" s="16">
        <v>343</v>
      </c>
      <c r="T356" s="16" t="s">
        <v>914</v>
      </c>
      <c r="U356" s="17">
        <f>COUNTIFS(WTG_BD!L:L,'Basic Data'!T356,WTG_BD!F:F,"&gt;="&amp;O2Summary!$B$6,WTG_BD!F:F,"&lt;="&amp;O2Summary!$B$4)</f>
        <v>0</v>
      </c>
      <c r="V356" s="18">
        <f t="shared" si="12"/>
        <v>47</v>
      </c>
    </row>
    <row r="357" spans="19:22">
      <c r="S357" s="16">
        <v>344</v>
      </c>
      <c r="T357" s="16" t="s">
        <v>915</v>
      </c>
      <c r="U357" s="17">
        <f>COUNTIFS(WTG_BD!L:L,'Basic Data'!T357,WTG_BD!F:F,"&gt;="&amp;O2Summary!$B$6,WTG_BD!F:F,"&lt;="&amp;O2Summary!$B$4)</f>
        <v>0</v>
      </c>
      <c r="V357" s="18">
        <f t="shared" si="12"/>
        <v>47</v>
      </c>
    </row>
    <row r="358" spans="19:22">
      <c r="S358" s="16">
        <v>345</v>
      </c>
      <c r="T358" s="16" t="s">
        <v>916</v>
      </c>
      <c r="U358" s="17">
        <f>COUNTIFS(WTG_BD!L:L,'Basic Data'!T358,WTG_BD!F:F,"&gt;="&amp;O2Summary!$B$6,WTG_BD!F:F,"&lt;="&amp;O2Summary!$B$4)</f>
        <v>0</v>
      </c>
      <c r="V358" s="18">
        <f t="shared" si="12"/>
        <v>47</v>
      </c>
    </row>
    <row r="359" spans="19:22">
      <c r="S359" s="16">
        <v>346</v>
      </c>
      <c r="T359" s="16" t="s">
        <v>917</v>
      </c>
      <c r="U359" s="17">
        <f>COUNTIFS(WTG_BD!L:L,'Basic Data'!T359,WTG_BD!F:F,"&gt;="&amp;O2Summary!$B$6,WTG_BD!F:F,"&lt;="&amp;O2Summary!$B$4)</f>
        <v>0</v>
      </c>
      <c r="V359" s="18">
        <f t="shared" si="12"/>
        <v>47</v>
      </c>
    </row>
    <row r="360" spans="19:22">
      <c r="S360" s="16">
        <v>347</v>
      </c>
      <c r="T360" s="16" t="s">
        <v>918</v>
      </c>
      <c r="U360" s="17">
        <f>COUNTIFS(WTG_BD!L:L,'Basic Data'!T360,WTG_BD!F:F,"&gt;="&amp;O2Summary!$B$6,WTG_BD!F:F,"&lt;="&amp;O2Summary!$B$4)</f>
        <v>0</v>
      </c>
      <c r="V360" s="18">
        <f t="shared" si="12"/>
        <v>47</v>
      </c>
    </row>
    <row r="361" spans="19:22">
      <c r="S361" s="16">
        <v>348</v>
      </c>
      <c r="T361" s="16" t="s">
        <v>919</v>
      </c>
      <c r="U361" s="17">
        <f>COUNTIFS(WTG_BD!L:L,'Basic Data'!T361,WTG_BD!F:F,"&gt;="&amp;O2Summary!$B$6,WTG_BD!F:F,"&lt;="&amp;O2Summary!$B$4)</f>
        <v>0</v>
      </c>
      <c r="V361" s="18">
        <f t="shared" si="12"/>
        <v>47</v>
      </c>
    </row>
    <row r="362" spans="19:22">
      <c r="S362" s="16">
        <v>349</v>
      </c>
      <c r="T362" s="16" t="s">
        <v>920</v>
      </c>
      <c r="U362" s="17">
        <f>COUNTIFS(WTG_BD!L:L,'Basic Data'!T362,WTG_BD!F:F,"&gt;="&amp;O2Summary!$B$6,WTG_BD!F:F,"&lt;="&amp;O2Summary!$B$4)</f>
        <v>0</v>
      </c>
      <c r="V362" s="18">
        <f t="shared" si="12"/>
        <v>47</v>
      </c>
    </row>
    <row r="363" spans="19:22">
      <c r="S363" s="16">
        <v>350</v>
      </c>
      <c r="T363" s="16" t="s">
        <v>921</v>
      </c>
      <c r="U363" s="17">
        <f>COUNTIFS(WTG_BD!L:L,'Basic Data'!T363,WTG_BD!F:F,"&gt;="&amp;O2Summary!$B$6,WTG_BD!F:F,"&lt;="&amp;O2Summary!$B$4)</f>
        <v>0</v>
      </c>
      <c r="V363" s="18">
        <f t="shared" si="12"/>
        <v>47</v>
      </c>
    </row>
    <row r="364" spans="19:22">
      <c r="S364" s="16">
        <v>351</v>
      </c>
      <c r="T364" s="16" t="s">
        <v>922</v>
      </c>
      <c r="U364" s="17">
        <f>COUNTIFS(WTG_BD!L:L,'Basic Data'!T364,WTG_BD!F:F,"&gt;="&amp;O2Summary!$B$6,WTG_BD!F:F,"&lt;="&amp;O2Summary!$B$4)</f>
        <v>0</v>
      </c>
      <c r="V364" s="18">
        <f t="shared" si="12"/>
        <v>47</v>
      </c>
    </row>
    <row r="365" spans="19:22">
      <c r="S365" s="16">
        <v>352</v>
      </c>
      <c r="T365" s="16" t="s">
        <v>923</v>
      </c>
      <c r="U365" s="17">
        <f>COUNTIFS(WTG_BD!L:L,'Basic Data'!T365,WTG_BD!F:F,"&gt;="&amp;O2Summary!$B$6,WTG_BD!F:F,"&lt;="&amp;O2Summary!$B$4)</f>
        <v>0</v>
      </c>
      <c r="V365" s="18">
        <f t="shared" si="12"/>
        <v>47</v>
      </c>
    </row>
    <row r="366" spans="19:22">
      <c r="S366" s="16">
        <v>353</v>
      </c>
      <c r="T366" s="16" t="s">
        <v>924</v>
      </c>
      <c r="U366" s="17">
        <f>COUNTIFS(WTG_BD!L:L,'Basic Data'!T366,WTG_BD!F:F,"&gt;="&amp;O2Summary!$B$6,WTG_BD!F:F,"&lt;="&amp;O2Summary!$B$4)</f>
        <v>0</v>
      </c>
      <c r="V366" s="18">
        <f t="shared" si="12"/>
        <v>47</v>
      </c>
    </row>
    <row r="367" spans="19:22">
      <c r="S367" s="16">
        <v>354</v>
      </c>
      <c r="T367" s="16" t="s">
        <v>925</v>
      </c>
      <c r="U367" s="17">
        <f>COUNTIFS(WTG_BD!L:L,'Basic Data'!T367,WTG_BD!F:F,"&gt;="&amp;O2Summary!$B$6,WTG_BD!F:F,"&lt;="&amp;O2Summary!$B$4)</f>
        <v>0</v>
      </c>
      <c r="V367" s="18">
        <f t="shared" si="12"/>
        <v>47</v>
      </c>
    </row>
    <row r="368" spans="19:22">
      <c r="S368" s="16">
        <v>355</v>
      </c>
      <c r="T368" s="16" t="s">
        <v>926</v>
      </c>
      <c r="U368" s="17">
        <f>COUNTIFS(WTG_BD!L:L,'Basic Data'!T368,WTG_BD!F:F,"&gt;="&amp;O2Summary!$B$6,WTG_BD!F:F,"&lt;="&amp;O2Summary!$B$4)</f>
        <v>0</v>
      </c>
      <c r="V368" s="18">
        <f t="shared" si="12"/>
        <v>47</v>
      </c>
    </row>
    <row r="369" spans="19:22">
      <c r="S369" s="16">
        <v>356</v>
      </c>
      <c r="T369" s="16" t="s">
        <v>927</v>
      </c>
      <c r="U369" s="17">
        <f>COUNTIFS(WTG_BD!L:L,'Basic Data'!T369,WTG_BD!F:F,"&gt;="&amp;O2Summary!$B$6,WTG_BD!F:F,"&lt;="&amp;O2Summary!$B$4)</f>
        <v>2</v>
      </c>
      <c r="V369" s="18">
        <f t="shared" si="12"/>
        <v>21</v>
      </c>
    </row>
    <row r="370" spans="19:22">
      <c r="S370" s="16">
        <v>357</v>
      </c>
      <c r="T370" s="16" t="s">
        <v>928</v>
      </c>
      <c r="U370" s="17">
        <f>COUNTIFS(WTG_BD!L:L,'Basic Data'!T370,WTG_BD!F:F,"&gt;="&amp;O2Summary!$B$6,WTG_BD!F:F,"&lt;="&amp;O2Summary!$B$4)</f>
        <v>0</v>
      </c>
      <c r="V370" s="18">
        <f t="shared" si="12"/>
        <v>47</v>
      </c>
    </row>
    <row r="371" spans="19:22">
      <c r="S371" s="16">
        <v>358</v>
      </c>
      <c r="T371" s="16" t="s">
        <v>929</v>
      </c>
      <c r="U371" s="17">
        <f>COUNTIFS(WTG_BD!L:L,'Basic Data'!T371,WTG_BD!F:F,"&gt;="&amp;O2Summary!$B$6,WTG_BD!F:F,"&lt;="&amp;O2Summary!$B$4)</f>
        <v>0</v>
      </c>
      <c r="V371" s="18">
        <f t="shared" si="12"/>
        <v>47</v>
      </c>
    </row>
    <row r="372" spans="19:22">
      <c r="S372" s="16">
        <v>359</v>
      </c>
      <c r="T372" s="16" t="s">
        <v>930</v>
      </c>
      <c r="U372" s="17">
        <f>COUNTIFS(WTG_BD!L:L,'Basic Data'!T372,WTG_BD!F:F,"&gt;="&amp;O2Summary!$B$6,WTG_BD!F:F,"&lt;="&amp;O2Summary!$B$4)</f>
        <v>0</v>
      </c>
      <c r="V372" s="18">
        <f t="shared" si="12"/>
        <v>47</v>
      </c>
    </row>
    <row r="373" spans="19:22">
      <c r="S373" s="16">
        <v>360</v>
      </c>
      <c r="T373" s="16" t="s">
        <v>931</v>
      </c>
      <c r="U373" s="17">
        <f>COUNTIFS(WTG_BD!L:L,'Basic Data'!T373,WTG_BD!F:F,"&gt;="&amp;O2Summary!$B$6,WTG_BD!F:F,"&lt;="&amp;O2Summary!$B$4)</f>
        <v>0</v>
      </c>
      <c r="V373" s="18">
        <f t="shared" si="12"/>
        <v>47</v>
      </c>
    </row>
    <row r="374" spans="19:22">
      <c r="S374" s="16">
        <v>361</v>
      </c>
      <c r="T374" s="16" t="s">
        <v>932</v>
      </c>
      <c r="U374" s="17">
        <f>COUNTIFS(WTG_BD!L:L,'Basic Data'!T374,WTG_BD!F:F,"&gt;="&amp;O2Summary!$B$6,WTG_BD!F:F,"&lt;="&amp;O2Summary!$B$4)</f>
        <v>0</v>
      </c>
      <c r="V374" s="18">
        <f t="shared" si="12"/>
        <v>47</v>
      </c>
    </row>
    <row r="375" spans="19:22">
      <c r="S375" s="16">
        <v>362</v>
      </c>
      <c r="T375" s="16" t="s">
        <v>933</v>
      </c>
      <c r="U375" s="17">
        <f>COUNTIFS(WTG_BD!L:L,'Basic Data'!T375,WTG_BD!F:F,"&gt;="&amp;O2Summary!$B$6,WTG_BD!F:F,"&lt;="&amp;O2Summary!$B$4)</f>
        <v>0</v>
      </c>
      <c r="V375" s="18">
        <f t="shared" si="12"/>
        <v>47</v>
      </c>
    </row>
    <row r="376" spans="19:22">
      <c r="S376" s="16">
        <v>363</v>
      </c>
      <c r="T376" s="16" t="s">
        <v>934</v>
      </c>
      <c r="U376" s="17">
        <f>COUNTIFS(WTG_BD!L:L,'Basic Data'!T376,WTG_BD!F:F,"&gt;="&amp;O2Summary!$B$6,WTG_BD!F:F,"&lt;="&amp;O2Summary!$B$4)</f>
        <v>0</v>
      </c>
      <c r="V376" s="18">
        <f t="shared" si="12"/>
        <v>47</v>
      </c>
    </row>
    <row r="377" spans="19:22">
      <c r="S377" s="16">
        <v>364</v>
      </c>
      <c r="T377" s="16" t="s">
        <v>935</v>
      </c>
      <c r="U377" s="17">
        <f>COUNTIFS(WTG_BD!L:L,'Basic Data'!T377,WTG_BD!F:F,"&gt;="&amp;O2Summary!$B$6,WTG_BD!F:F,"&lt;="&amp;O2Summary!$B$4)</f>
        <v>0</v>
      </c>
      <c r="V377" s="18">
        <f t="shared" si="12"/>
        <v>47</v>
      </c>
    </row>
    <row r="378" spans="19:22">
      <c r="S378" s="16">
        <v>365</v>
      </c>
      <c r="T378" s="16" t="s">
        <v>936</v>
      </c>
      <c r="U378" s="17">
        <f>COUNTIFS(WTG_BD!L:L,'Basic Data'!T378,WTG_BD!F:F,"&gt;="&amp;O2Summary!$B$6,WTG_BD!F:F,"&lt;="&amp;O2Summary!$B$4)</f>
        <v>0</v>
      </c>
      <c r="V378" s="18">
        <f t="shared" si="12"/>
        <v>47</v>
      </c>
    </row>
    <row r="379" spans="19:22">
      <c r="S379" s="16">
        <v>366</v>
      </c>
      <c r="T379" s="16" t="s">
        <v>937</v>
      </c>
      <c r="U379" s="17">
        <f>COUNTIFS(WTG_BD!L:L,'Basic Data'!T379,WTG_BD!F:F,"&gt;="&amp;O2Summary!$B$6,WTG_BD!F:F,"&lt;="&amp;O2Summary!$B$4)</f>
        <v>0</v>
      </c>
      <c r="V379" s="18">
        <f t="shared" si="12"/>
        <v>47</v>
      </c>
    </row>
    <row r="380" spans="19:22">
      <c r="S380" s="16">
        <v>367</v>
      </c>
      <c r="T380" s="16" t="s">
        <v>938</v>
      </c>
      <c r="U380" s="17">
        <f>COUNTIFS(WTG_BD!L:L,'Basic Data'!T380,WTG_BD!F:F,"&gt;="&amp;O2Summary!$B$6,WTG_BD!F:F,"&lt;="&amp;O2Summary!$B$4)</f>
        <v>0</v>
      </c>
      <c r="V380" s="18">
        <f t="shared" si="12"/>
        <v>47</v>
      </c>
    </row>
    <row r="381" spans="19:22">
      <c r="S381" s="16">
        <v>368</v>
      </c>
      <c r="T381" s="16" t="s">
        <v>939</v>
      </c>
      <c r="U381" s="17">
        <f>COUNTIFS(WTG_BD!L:L,'Basic Data'!T381,WTG_BD!F:F,"&gt;="&amp;O2Summary!$B$6,WTG_BD!F:F,"&lt;="&amp;O2Summary!$B$4)</f>
        <v>0</v>
      </c>
      <c r="V381" s="18">
        <f t="shared" si="12"/>
        <v>47</v>
      </c>
    </row>
    <row r="382" spans="19:22">
      <c r="S382" s="16">
        <v>369</v>
      </c>
      <c r="T382" s="16" t="s">
        <v>940</v>
      </c>
      <c r="U382" s="17">
        <f>COUNTIFS(WTG_BD!L:L,'Basic Data'!T382,WTG_BD!F:F,"&gt;="&amp;O2Summary!$B$6,WTG_BD!F:F,"&lt;="&amp;O2Summary!$B$4)</f>
        <v>0</v>
      </c>
      <c r="V382" s="18">
        <f t="shared" si="12"/>
        <v>47</v>
      </c>
    </row>
    <row r="383" spans="19:22">
      <c r="S383" s="16">
        <v>370</v>
      </c>
      <c r="T383" s="16" t="s">
        <v>941</v>
      </c>
      <c r="U383" s="17">
        <f>COUNTIFS(WTG_BD!L:L,'Basic Data'!T383,WTG_BD!F:F,"&gt;="&amp;O2Summary!$B$6,WTG_BD!F:F,"&lt;="&amp;O2Summary!$B$4)</f>
        <v>0</v>
      </c>
      <c r="V383" s="18">
        <f t="shared" si="12"/>
        <v>47</v>
      </c>
    </row>
    <row r="384" spans="19:22">
      <c r="S384" s="16">
        <v>371</v>
      </c>
      <c r="T384" s="16" t="s">
        <v>942</v>
      </c>
      <c r="U384" s="17">
        <f>COUNTIFS(WTG_BD!L:L,'Basic Data'!T384,WTG_BD!F:F,"&gt;="&amp;O2Summary!$B$6,WTG_BD!F:F,"&lt;="&amp;O2Summary!$B$4)</f>
        <v>0</v>
      </c>
      <c r="V384" s="18">
        <f t="shared" si="12"/>
        <v>47</v>
      </c>
    </row>
    <row r="385" spans="19:22">
      <c r="S385" s="16">
        <v>372</v>
      </c>
      <c r="T385" s="16" t="s">
        <v>943</v>
      </c>
      <c r="U385" s="17">
        <f>COUNTIFS(WTG_BD!L:L,'Basic Data'!T385,WTG_BD!F:F,"&gt;="&amp;O2Summary!$B$6,WTG_BD!F:F,"&lt;="&amp;O2Summary!$B$4)</f>
        <v>0</v>
      </c>
      <c r="V385" s="18">
        <f t="shared" si="12"/>
        <v>47</v>
      </c>
    </row>
    <row r="386" spans="19:22">
      <c r="S386" s="16">
        <v>373</v>
      </c>
      <c r="T386" s="16" t="s">
        <v>944</v>
      </c>
      <c r="U386" s="17">
        <f>COUNTIFS(WTG_BD!L:L,'Basic Data'!T386,WTG_BD!F:F,"&gt;="&amp;O2Summary!$B$6,WTG_BD!F:F,"&lt;="&amp;O2Summary!$B$4)</f>
        <v>0</v>
      </c>
      <c r="V386" s="18">
        <f t="shared" si="12"/>
        <v>47</v>
      </c>
    </row>
    <row r="387" spans="19:22">
      <c r="S387" s="16">
        <v>374</v>
      </c>
      <c r="T387" s="16" t="s">
        <v>945</v>
      </c>
      <c r="U387" s="17">
        <f>COUNTIFS(WTG_BD!L:L,'Basic Data'!T387,WTG_BD!F:F,"&gt;="&amp;O2Summary!$B$6,WTG_BD!F:F,"&lt;="&amp;O2Summary!$B$4)</f>
        <v>0</v>
      </c>
      <c r="V387" s="18">
        <f t="shared" ref="V387:V450" si="13">RANK(U387,$U$2:$U$3975)</f>
        <v>47</v>
      </c>
    </row>
    <row r="388" spans="19:22">
      <c r="S388" s="16">
        <v>375</v>
      </c>
      <c r="T388" s="16" t="s">
        <v>946</v>
      </c>
      <c r="U388" s="17">
        <f>COUNTIFS(WTG_BD!L:L,'Basic Data'!T388,WTG_BD!F:F,"&gt;="&amp;O2Summary!$B$6,WTG_BD!F:F,"&lt;="&amp;O2Summary!$B$4)</f>
        <v>0</v>
      </c>
      <c r="V388" s="18">
        <f t="shared" si="13"/>
        <v>47</v>
      </c>
    </row>
    <row r="389" spans="19:22">
      <c r="S389" s="16">
        <v>376</v>
      </c>
      <c r="T389" s="16" t="s">
        <v>947</v>
      </c>
      <c r="U389" s="17">
        <f>COUNTIFS(WTG_BD!L:L,'Basic Data'!T389,WTG_BD!F:F,"&gt;="&amp;O2Summary!$B$6,WTG_BD!F:F,"&lt;="&amp;O2Summary!$B$4)</f>
        <v>0</v>
      </c>
      <c r="V389" s="18">
        <f t="shared" si="13"/>
        <v>47</v>
      </c>
    </row>
    <row r="390" spans="19:22">
      <c r="S390" s="16">
        <v>377</v>
      </c>
      <c r="T390" s="16" t="s">
        <v>948</v>
      </c>
      <c r="U390" s="17">
        <f>COUNTIFS(WTG_BD!L:L,'Basic Data'!T390,WTG_BD!F:F,"&gt;="&amp;O2Summary!$B$6,WTG_BD!F:F,"&lt;="&amp;O2Summary!$B$4)</f>
        <v>0</v>
      </c>
      <c r="V390" s="18">
        <f t="shared" si="13"/>
        <v>47</v>
      </c>
    </row>
    <row r="391" spans="19:22">
      <c r="S391" s="16">
        <v>378</v>
      </c>
      <c r="T391" s="16" t="s">
        <v>949</v>
      </c>
      <c r="U391" s="17">
        <f>COUNTIFS(WTG_BD!L:L,'Basic Data'!T391,WTG_BD!F:F,"&gt;="&amp;O2Summary!$B$6,WTG_BD!F:F,"&lt;="&amp;O2Summary!$B$4)</f>
        <v>0</v>
      </c>
      <c r="V391" s="18">
        <f t="shared" si="13"/>
        <v>47</v>
      </c>
    </row>
    <row r="392" spans="19:22">
      <c r="S392" s="16">
        <v>379</v>
      </c>
      <c r="T392" s="16" t="s">
        <v>950</v>
      </c>
      <c r="U392" s="17">
        <f>COUNTIFS(WTG_BD!L:L,'Basic Data'!T392,WTG_BD!F:F,"&gt;="&amp;O2Summary!$B$6,WTG_BD!F:F,"&lt;="&amp;O2Summary!$B$4)</f>
        <v>0</v>
      </c>
      <c r="V392" s="18">
        <f t="shared" si="13"/>
        <v>47</v>
      </c>
    </row>
    <row r="393" spans="19:22">
      <c r="S393" s="16">
        <v>380</v>
      </c>
      <c r="T393" s="16" t="s">
        <v>951</v>
      </c>
      <c r="U393" s="17">
        <f>COUNTIFS(WTG_BD!L:L,'Basic Data'!T393,WTG_BD!F:F,"&gt;="&amp;O2Summary!$B$6,WTG_BD!F:F,"&lt;="&amp;O2Summary!$B$4)</f>
        <v>0</v>
      </c>
      <c r="V393" s="18">
        <f t="shared" si="13"/>
        <v>47</v>
      </c>
    </row>
    <row r="394" spans="19:22">
      <c r="S394" s="16">
        <v>381</v>
      </c>
      <c r="T394" s="16" t="s">
        <v>952</v>
      </c>
      <c r="U394" s="17">
        <f>COUNTIFS(WTG_BD!L:L,'Basic Data'!T394,WTG_BD!F:F,"&gt;="&amp;O2Summary!$B$6,WTG_BD!F:F,"&lt;="&amp;O2Summary!$B$4)</f>
        <v>0</v>
      </c>
      <c r="V394" s="18">
        <f t="shared" si="13"/>
        <v>47</v>
      </c>
    </row>
    <row r="395" spans="19:22">
      <c r="S395" s="16">
        <v>382</v>
      </c>
      <c r="T395" s="16" t="s">
        <v>953</v>
      </c>
      <c r="U395" s="17">
        <f>COUNTIFS(WTG_BD!L:L,'Basic Data'!T395,WTG_BD!F:F,"&gt;="&amp;O2Summary!$B$6,WTG_BD!F:F,"&lt;="&amp;O2Summary!$B$4)</f>
        <v>0</v>
      </c>
      <c r="V395" s="18">
        <f t="shared" si="13"/>
        <v>47</v>
      </c>
    </row>
    <row r="396" spans="19:22">
      <c r="S396" s="16">
        <v>383</v>
      </c>
      <c r="T396" s="16" t="s">
        <v>954</v>
      </c>
      <c r="U396" s="17">
        <f>COUNTIFS(WTG_BD!L:L,'Basic Data'!T396,WTG_BD!F:F,"&gt;="&amp;O2Summary!$B$6,WTG_BD!F:F,"&lt;="&amp;O2Summary!$B$4)</f>
        <v>0</v>
      </c>
      <c r="V396" s="18">
        <f t="shared" si="13"/>
        <v>47</v>
      </c>
    </row>
    <row r="397" spans="19:22">
      <c r="S397" s="16">
        <v>384</v>
      </c>
      <c r="T397" s="16" t="s">
        <v>955</v>
      </c>
      <c r="U397" s="17">
        <f>COUNTIFS(WTG_BD!L:L,'Basic Data'!T397,WTG_BD!F:F,"&gt;="&amp;O2Summary!$B$6,WTG_BD!F:F,"&lt;="&amp;O2Summary!$B$4)</f>
        <v>0</v>
      </c>
      <c r="V397" s="18">
        <f t="shared" si="13"/>
        <v>47</v>
      </c>
    </row>
    <row r="398" spans="19:22">
      <c r="S398" s="16">
        <v>385</v>
      </c>
      <c r="T398" s="16" t="s">
        <v>956</v>
      </c>
      <c r="U398" s="17">
        <f>COUNTIFS(WTG_BD!L:L,'Basic Data'!T398,WTG_BD!F:F,"&gt;="&amp;O2Summary!$B$6,WTG_BD!F:F,"&lt;="&amp;O2Summary!$B$4)</f>
        <v>0</v>
      </c>
      <c r="V398" s="18">
        <f t="shared" si="13"/>
        <v>47</v>
      </c>
    </row>
    <row r="399" spans="19:22">
      <c r="S399" s="16">
        <v>386</v>
      </c>
      <c r="T399" s="16" t="s">
        <v>957</v>
      </c>
      <c r="U399" s="17">
        <f>COUNTIFS(WTG_BD!L:L,'Basic Data'!T399,WTG_BD!F:F,"&gt;="&amp;O2Summary!$B$6,WTG_BD!F:F,"&lt;="&amp;O2Summary!$B$4)</f>
        <v>0</v>
      </c>
      <c r="V399" s="18">
        <f t="shared" si="13"/>
        <v>47</v>
      </c>
    </row>
    <row r="400" spans="19:22">
      <c r="S400" s="16">
        <v>387</v>
      </c>
      <c r="T400" s="16" t="s">
        <v>958</v>
      </c>
      <c r="U400" s="17">
        <f>COUNTIFS(WTG_BD!L:L,'Basic Data'!T400,WTG_BD!F:F,"&gt;="&amp;O2Summary!$B$6,WTG_BD!F:F,"&lt;="&amp;O2Summary!$B$4)</f>
        <v>0</v>
      </c>
      <c r="V400" s="18">
        <f t="shared" si="13"/>
        <v>47</v>
      </c>
    </row>
    <row r="401" spans="19:22">
      <c r="S401" s="16">
        <v>388</v>
      </c>
      <c r="T401" s="16" t="s">
        <v>959</v>
      </c>
      <c r="U401" s="17">
        <f>COUNTIFS(WTG_BD!L:L,'Basic Data'!T401,WTG_BD!F:F,"&gt;="&amp;O2Summary!$B$6,WTG_BD!F:F,"&lt;="&amp;O2Summary!$B$4)</f>
        <v>0</v>
      </c>
      <c r="V401" s="18">
        <f t="shared" si="13"/>
        <v>47</v>
      </c>
    </row>
    <row r="402" spans="19:22">
      <c r="S402" s="16">
        <v>389</v>
      </c>
      <c r="T402" s="16" t="s">
        <v>960</v>
      </c>
      <c r="U402" s="17">
        <f>COUNTIFS(WTG_BD!L:L,'Basic Data'!T402,WTG_BD!F:F,"&gt;="&amp;O2Summary!$B$6,WTG_BD!F:F,"&lt;="&amp;O2Summary!$B$4)</f>
        <v>0</v>
      </c>
      <c r="V402" s="18">
        <f t="shared" si="13"/>
        <v>47</v>
      </c>
    </row>
    <row r="403" spans="19:22">
      <c r="S403" s="16">
        <v>390</v>
      </c>
      <c r="T403" s="16" t="s">
        <v>961</v>
      </c>
      <c r="U403" s="17">
        <f>COUNTIFS(WTG_BD!L:L,'Basic Data'!T403,WTG_BD!F:F,"&gt;="&amp;O2Summary!$B$6,WTG_BD!F:F,"&lt;="&amp;O2Summary!$B$4)</f>
        <v>0</v>
      </c>
      <c r="V403" s="18">
        <f t="shared" si="13"/>
        <v>47</v>
      </c>
    </row>
    <row r="404" spans="19:22">
      <c r="S404" s="16">
        <v>391</v>
      </c>
      <c r="T404" s="16" t="s">
        <v>962</v>
      </c>
      <c r="U404" s="17">
        <f>COUNTIFS(WTG_BD!L:L,'Basic Data'!T404,WTG_BD!F:F,"&gt;="&amp;O2Summary!$B$6,WTG_BD!F:F,"&lt;="&amp;O2Summary!$B$4)</f>
        <v>0</v>
      </c>
      <c r="V404" s="18">
        <f t="shared" si="13"/>
        <v>47</v>
      </c>
    </row>
    <row r="405" spans="19:22">
      <c r="S405" s="16">
        <v>392</v>
      </c>
      <c r="T405" s="16" t="s">
        <v>963</v>
      </c>
      <c r="U405" s="17">
        <f>COUNTIFS(WTG_BD!L:L,'Basic Data'!T405,WTG_BD!F:F,"&gt;="&amp;O2Summary!$B$6,WTG_BD!F:F,"&lt;="&amp;O2Summary!$B$4)</f>
        <v>0</v>
      </c>
      <c r="V405" s="18">
        <f t="shared" si="13"/>
        <v>47</v>
      </c>
    </row>
    <row r="406" spans="19:22">
      <c r="S406" s="16">
        <v>393</v>
      </c>
      <c r="T406" s="16" t="s">
        <v>964</v>
      </c>
      <c r="U406" s="17">
        <f>COUNTIFS(WTG_BD!L:L,'Basic Data'!T406,WTG_BD!F:F,"&gt;="&amp;O2Summary!$B$6,WTG_BD!F:F,"&lt;="&amp;O2Summary!$B$4)</f>
        <v>0</v>
      </c>
      <c r="V406" s="18">
        <f t="shared" si="13"/>
        <v>47</v>
      </c>
    </row>
    <row r="407" spans="19:22">
      <c r="S407" s="16">
        <v>394</v>
      </c>
      <c r="T407" s="16" t="s">
        <v>965</v>
      </c>
      <c r="U407" s="17">
        <f>COUNTIFS(WTG_BD!L:L,'Basic Data'!T407,WTG_BD!F:F,"&gt;="&amp;O2Summary!$B$6,WTG_BD!F:F,"&lt;="&amp;O2Summary!$B$4)</f>
        <v>0</v>
      </c>
      <c r="V407" s="18">
        <f t="shared" si="13"/>
        <v>47</v>
      </c>
    </row>
    <row r="408" spans="19:22">
      <c r="S408" s="16">
        <v>395</v>
      </c>
      <c r="T408" s="16" t="s">
        <v>966</v>
      </c>
      <c r="U408" s="17">
        <f>COUNTIFS(WTG_BD!L:L,'Basic Data'!T408,WTG_BD!F:F,"&gt;="&amp;O2Summary!$B$6,WTG_BD!F:F,"&lt;="&amp;O2Summary!$B$4)</f>
        <v>0</v>
      </c>
      <c r="V408" s="18">
        <f t="shared" si="13"/>
        <v>47</v>
      </c>
    </row>
    <row r="409" spans="19:22">
      <c r="S409" s="16">
        <v>396</v>
      </c>
      <c r="T409" s="16" t="s">
        <v>967</v>
      </c>
      <c r="U409" s="17">
        <f>COUNTIFS(WTG_BD!L:L,'Basic Data'!T409,WTG_BD!F:F,"&gt;="&amp;O2Summary!$B$6,WTG_BD!F:F,"&lt;="&amp;O2Summary!$B$4)</f>
        <v>0</v>
      </c>
      <c r="V409" s="18">
        <f t="shared" si="13"/>
        <v>47</v>
      </c>
    </row>
    <row r="410" spans="19:22">
      <c r="S410" s="16">
        <v>397</v>
      </c>
      <c r="T410" s="16" t="s">
        <v>968</v>
      </c>
      <c r="U410" s="17">
        <f>COUNTIFS(WTG_BD!L:L,'Basic Data'!T410,WTG_BD!F:F,"&gt;="&amp;O2Summary!$B$6,WTG_BD!F:F,"&lt;="&amp;O2Summary!$B$4)</f>
        <v>0</v>
      </c>
      <c r="V410" s="18">
        <f t="shared" si="13"/>
        <v>47</v>
      </c>
    </row>
    <row r="411" spans="19:22">
      <c r="S411" s="16">
        <v>398</v>
      </c>
      <c r="T411" s="16" t="s">
        <v>969</v>
      </c>
      <c r="U411" s="17">
        <f>COUNTIFS(WTG_BD!L:L,'Basic Data'!T411,WTG_BD!F:F,"&gt;="&amp;O2Summary!$B$6,WTG_BD!F:F,"&lt;="&amp;O2Summary!$B$4)</f>
        <v>0</v>
      </c>
      <c r="V411" s="18">
        <f t="shared" si="13"/>
        <v>47</v>
      </c>
    </row>
    <row r="412" spans="19:22">
      <c r="S412" s="16">
        <v>399</v>
      </c>
      <c r="T412" s="16" t="s">
        <v>970</v>
      </c>
      <c r="U412" s="17">
        <f>COUNTIFS(WTG_BD!L:L,'Basic Data'!T412,WTG_BD!F:F,"&gt;="&amp;O2Summary!$B$6,WTG_BD!F:F,"&lt;="&amp;O2Summary!$B$4)</f>
        <v>0</v>
      </c>
      <c r="V412" s="18">
        <f t="shared" si="13"/>
        <v>47</v>
      </c>
    </row>
    <row r="413" spans="19:22">
      <c r="S413" s="16">
        <v>400</v>
      </c>
      <c r="T413" s="16" t="s">
        <v>971</v>
      </c>
      <c r="U413" s="17">
        <f>COUNTIFS(WTG_BD!L:L,'Basic Data'!T413,WTG_BD!F:F,"&gt;="&amp;O2Summary!$B$6,WTG_BD!F:F,"&lt;="&amp;O2Summary!$B$4)</f>
        <v>0</v>
      </c>
      <c r="V413" s="18">
        <f t="shared" si="13"/>
        <v>47</v>
      </c>
    </row>
    <row r="414" spans="19:22">
      <c r="S414" s="16">
        <v>401</v>
      </c>
      <c r="T414" s="16" t="s">
        <v>972</v>
      </c>
      <c r="U414" s="17">
        <f>COUNTIFS(WTG_BD!L:L,'Basic Data'!T414,WTG_BD!F:F,"&gt;="&amp;O2Summary!$B$6,WTG_BD!F:F,"&lt;="&amp;O2Summary!$B$4)</f>
        <v>0</v>
      </c>
      <c r="V414" s="18">
        <f t="shared" si="13"/>
        <v>47</v>
      </c>
    </row>
    <row r="415" spans="19:22">
      <c r="S415" s="16">
        <v>402</v>
      </c>
      <c r="T415" s="16" t="s">
        <v>973</v>
      </c>
      <c r="U415" s="17">
        <f>COUNTIFS(WTG_BD!L:L,'Basic Data'!T415,WTG_BD!F:F,"&gt;="&amp;O2Summary!$B$6,WTG_BD!F:F,"&lt;="&amp;O2Summary!$B$4)</f>
        <v>0</v>
      </c>
      <c r="V415" s="18">
        <f t="shared" si="13"/>
        <v>47</v>
      </c>
    </row>
    <row r="416" spans="19:22">
      <c r="S416" s="16">
        <v>403</v>
      </c>
      <c r="T416" s="16" t="s">
        <v>974</v>
      </c>
      <c r="U416" s="17">
        <f>COUNTIFS(WTG_BD!L:L,'Basic Data'!T416,WTG_BD!F:F,"&gt;="&amp;O2Summary!$B$6,WTG_BD!F:F,"&lt;="&amp;O2Summary!$B$4)</f>
        <v>0</v>
      </c>
      <c r="V416" s="18">
        <f t="shared" si="13"/>
        <v>47</v>
      </c>
    </row>
    <row r="417" spans="19:22">
      <c r="S417" s="16">
        <v>404</v>
      </c>
      <c r="T417" s="16" t="s">
        <v>975</v>
      </c>
      <c r="U417" s="17">
        <f>COUNTIFS(WTG_BD!L:L,'Basic Data'!T417,WTG_BD!F:F,"&gt;="&amp;O2Summary!$B$6,WTG_BD!F:F,"&lt;="&amp;O2Summary!$B$4)</f>
        <v>0</v>
      </c>
      <c r="V417" s="18">
        <f t="shared" si="13"/>
        <v>47</v>
      </c>
    </row>
    <row r="418" spans="19:22">
      <c r="S418" s="16">
        <v>405</v>
      </c>
      <c r="T418" s="16" t="s">
        <v>976</v>
      </c>
      <c r="U418" s="17">
        <f>COUNTIFS(WTG_BD!L:L,'Basic Data'!T418,WTG_BD!F:F,"&gt;="&amp;O2Summary!$B$6,WTG_BD!F:F,"&lt;="&amp;O2Summary!$B$4)</f>
        <v>0</v>
      </c>
      <c r="V418" s="18">
        <f t="shared" si="13"/>
        <v>47</v>
      </c>
    </row>
    <row r="419" spans="19:22">
      <c r="S419" s="16">
        <v>406</v>
      </c>
      <c r="T419" s="16" t="s">
        <v>977</v>
      </c>
      <c r="U419" s="17">
        <f>COUNTIFS(WTG_BD!L:L,'Basic Data'!T419,WTG_BD!F:F,"&gt;="&amp;O2Summary!$B$6,WTG_BD!F:F,"&lt;="&amp;O2Summary!$B$4)</f>
        <v>0</v>
      </c>
      <c r="V419" s="18">
        <f t="shared" si="13"/>
        <v>47</v>
      </c>
    </row>
    <row r="420" spans="19:22">
      <c r="S420" s="16">
        <v>407</v>
      </c>
      <c r="T420" s="16" t="s">
        <v>978</v>
      </c>
      <c r="U420" s="17">
        <f>COUNTIFS(WTG_BD!L:L,'Basic Data'!T420,WTG_BD!F:F,"&gt;="&amp;O2Summary!$B$6,WTG_BD!F:F,"&lt;="&amp;O2Summary!$B$4)</f>
        <v>0</v>
      </c>
      <c r="V420" s="18">
        <f t="shared" si="13"/>
        <v>47</v>
      </c>
    </row>
    <row r="421" spans="19:22">
      <c r="S421" s="16">
        <v>408</v>
      </c>
      <c r="T421" s="16" t="s">
        <v>979</v>
      </c>
      <c r="U421" s="17">
        <f>COUNTIFS(WTG_BD!L:L,'Basic Data'!T421,WTG_BD!F:F,"&gt;="&amp;O2Summary!$B$6,WTG_BD!F:F,"&lt;="&amp;O2Summary!$B$4)</f>
        <v>0</v>
      </c>
      <c r="V421" s="18">
        <f t="shared" si="13"/>
        <v>47</v>
      </c>
    </row>
    <row r="422" spans="19:22">
      <c r="S422" s="16">
        <v>409</v>
      </c>
      <c r="T422" s="16" t="s">
        <v>980</v>
      </c>
      <c r="U422" s="17">
        <f>COUNTIFS(WTG_BD!L:L,'Basic Data'!T422,WTG_BD!F:F,"&gt;="&amp;O2Summary!$B$6,WTG_BD!F:F,"&lt;="&amp;O2Summary!$B$4)</f>
        <v>0</v>
      </c>
      <c r="V422" s="18">
        <f t="shared" si="13"/>
        <v>47</v>
      </c>
    </row>
    <row r="423" spans="19:22">
      <c r="S423" s="16">
        <v>410</v>
      </c>
      <c r="T423" s="16" t="s">
        <v>981</v>
      </c>
      <c r="U423" s="17">
        <f>COUNTIFS(WTG_BD!L:L,'Basic Data'!T423,WTG_BD!F:F,"&gt;="&amp;O2Summary!$B$6,WTG_BD!F:F,"&lt;="&amp;O2Summary!$B$4)</f>
        <v>0</v>
      </c>
      <c r="V423" s="18">
        <f t="shared" si="13"/>
        <v>47</v>
      </c>
    </row>
    <row r="424" spans="19:22">
      <c r="S424" s="16">
        <v>411</v>
      </c>
      <c r="T424" s="16" t="s">
        <v>982</v>
      </c>
      <c r="U424" s="17">
        <f>COUNTIFS(WTG_BD!L:L,'Basic Data'!T424,WTG_BD!F:F,"&gt;="&amp;O2Summary!$B$6,WTG_BD!F:F,"&lt;="&amp;O2Summary!$B$4)</f>
        <v>0</v>
      </c>
      <c r="V424" s="18">
        <f t="shared" si="13"/>
        <v>47</v>
      </c>
    </row>
    <row r="425" spans="19:22">
      <c r="S425" s="16">
        <v>412</v>
      </c>
      <c r="T425" s="16" t="s">
        <v>983</v>
      </c>
      <c r="U425" s="17">
        <f>COUNTIFS(WTG_BD!L:L,'Basic Data'!T425,WTG_BD!F:F,"&gt;="&amp;O2Summary!$B$6,WTG_BD!F:F,"&lt;="&amp;O2Summary!$B$4)</f>
        <v>0</v>
      </c>
      <c r="V425" s="18">
        <f t="shared" si="13"/>
        <v>47</v>
      </c>
    </row>
    <row r="426" spans="19:22">
      <c r="S426" s="16">
        <v>413</v>
      </c>
      <c r="T426" s="16" t="s">
        <v>984</v>
      </c>
      <c r="U426" s="17">
        <f>COUNTIFS(WTG_BD!L:L,'Basic Data'!T426,WTG_BD!F:F,"&gt;="&amp;O2Summary!$B$6,WTG_BD!F:F,"&lt;="&amp;O2Summary!$B$4)</f>
        <v>0</v>
      </c>
      <c r="V426" s="18">
        <f t="shared" si="13"/>
        <v>47</v>
      </c>
    </row>
    <row r="427" spans="19:22">
      <c r="S427" s="16">
        <v>414</v>
      </c>
      <c r="T427" s="16" t="s">
        <v>985</v>
      </c>
      <c r="U427" s="17">
        <f>COUNTIFS(WTG_BD!L:L,'Basic Data'!T427,WTG_BD!F:F,"&gt;="&amp;O2Summary!$B$6,WTG_BD!F:F,"&lt;="&amp;O2Summary!$B$4)</f>
        <v>0</v>
      </c>
      <c r="V427" s="18">
        <f t="shared" si="13"/>
        <v>47</v>
      </c>
    </row>
    <row r="428" spans="19:22">
      <c r="S428" s="16">
        <v>415</v>
      </c>
      <c r="T428" s="16" t="s">
        <v>986</v>
      </c>
      <c r="U428" s="17">
        <f>COUNTIFS(WTG_BD!L:L,'Basic Data'!T428,WTG_BD!F:F,"&gt;="&amp;O2Summary!$B$6,WTG_BD!F:F,"&lt;="&amp;O2Summary!$B$4)</f>
        <v>0</v>
      </c>
      <c r="V428" s="18">
        <f t="shared" si="13"/>
        <v>47</v>
      </c>
    </row>
    <row r="429" spans="19:22">
      <c r="S429" s="16">
        <v>416</v>
      </c>
      <c r="T429" s="16" t="s">
        <v>987</v>
      </c>
      <c r="U429" s="17">
        <f>COUNTIFS(WTG_BD!L:L,'Basic Data'!T429,WTG_BD!F:F,"&gt;="&amp;O2Summary!$B$6,WTG_BD!F:F,"&lt;="&amp;O2Summary!$B$4)</f>
        <v>0</v>
      </c>
      <c r="V429" s="18">
        <f t="shared" si="13"/>
        <v>47</v>
      </c>
    </row>
    <row r="430" spans="19:22">
      <c r="S430" s="16">
        <v>417</v>
      </c>
      <c r="T430" s="16" t="s">
        <v>988</v>
      </c>
      <c r="U430" s="17">
        <f>COUNTIFS(WTG_BD!L:L,'Basic Data'!T430,WTG_BD!F:F,"&gt;="&amp;O2Summary!$B$6,WTG_BD!F:F,"&lt;="&amp;O2Summary!$B$4)</f>
        <v>0</v>
      </c>
      <c r="V430" s="18">
        <f t="shared" si="13"/>
        <v>47</v>
      </c>
    </row>
    <row r="431" spans="19:22">
      <c r="S431" s="16">
        <v>418</v>
      </c>
      <c r="T431" s="16" t="s">
        <v>989</v>
      </c>
      <c r="U431" s="17">
        <f>COUNTIFS(WTG_BD!L:L,'Basic Data'!T431,WTG_BD!F:F,"&gt;="&amp;O2Summary!$B$6,WTG_BD!F:F,"&lt;="&amp;O2Summary!$B$4)</f>
        <v>0</v>
      </c>
      <c r="V431" s="18">
        <f t="shared" si="13"/>
        <v>47</v>
      </c>
    </row>
    <row r="432" spans="19:22">
      <c r="S432" s="16">
        <v>419</v>
      </c>
      <c r="T432" s="16" t="s">
        <v>990</v>
      </c>
      <c r="U432" s="17">
        <f>COUNTIFS(WTG_BD!L:L,'Basic Data'!T432,WTG_BD!F:F,"&gt;="&amp;O2Summary!$B$6,WTG_BD!F:F,"&lt;="&amp;O2Summary!$B$4)</f>
        <v>0</v>
      </c>
      <c r="V432" s="18">
        <f t="shared" si="13"/>
        <v>47</v>
      </c>
    </row>
    <row r="433" spans="19:22">
      <c r="S433" s="26">
        <v>420</v>
      </c>
      <c r="T433" s="26" t="s">
        <v>991</v>
      </c>
      <c r="U433" s="17">
        <f>COUNTIFS(WTG_BD!L:L,'Basic Data'!T433,WTG_BD!F:F,"&gt;="&amp;O2Summary!$B$6,WTG_BD!F:F,"&lt;="&amp;O2Summary!$B$4)</f>
        <v>0</v>
      </c>
      <c r="V433" s="18">
        <f t="shared" si="13"/>
        <v>47</v>
      </c>
    </row>
    <row r="434" spans="19:22">
      <c r="S434" s="16">
        <v>421</v>
      </c>
      <c r="T434" s="16" t="s">
        <v>992</v>
      </c>
      <c r="U434" s="17">
        <f>COUNTIFS(WTG_BD!L:L,'Basic Data'!T434,WTG_BD!F:F,"&gt;="&amp;O2Summary!$B$6,WTG_BD!F:F,"&lt;="&amp;O2Summary!$B$4)</f>
        <v>0</v>
      </c>
      <c r="V434" s="18">
        <f t="shared" si="13"/>
        <v>47</v>
      </c>
    </row>
    <row r="435" spans="19:22">
      <c r="S435" s="26">
        <v>422</v>
      </c>
      <c r="T435" s="26" t="s">
        <v>993</v>
      </c>
      <c r="U435" s="17">
        <f>COUNTIFS(WTG_BD!L:L,'Basic Data'!T435,WTG_BD!F:F,"&gt;="&amp;O2Summary!$B$6,WTG_BD!F:F,"&lt;="&amp;O2Summary!$B$4)</f>
        <v>0</v>
      </c>
      <c r="V435" s="18">
        <f t="shared" si="13"/>
        <v>47</v>
      </c>
    </row>
    <row r="436" spans="19:22">
      <c r="S436" s="16">
        <v>423</v>
      </c>
      <c r="T436" s="16" t="s">
        <v>994</v>
      </c>
      <c r="U436" s="17">
        <f>COUNTIFS(WTG_BD!L:L,'Basic Data'!T436,WTG_BD!F:F,"&gt;="&amp;O2Summary!$B$6,WTG_BD!F:F,"&lt;="&amp;O2Summary!$B$4)</f>
        <v>0</v>
      </c>
      <c r="V436" s="18">
        <f t="shared" si="13"/>
        <v>47</v>
      </c>
    </row>
    <row r="437" spans="19:22">
      <c r="S437" s="16">
        <v>424</v>
      </c>
      <c r="T437" s="16" t="s">
        <v>995</v>
      </c>
      <c r="U437" s="17">
        <f>COUNTIFS(WTG_BD!L:L,'Basic Data'!T437,WTG_BD!F:F,"&gt;="&amp;O2Summary!$B$6,WTG_BD!F:F,"&lt;="&amp;O2Summary!$B$4)</f>
        <v>0</v>
      </c>
      <c r="V437" s="18">
        <f t="shared" si="13"/>
        <v>47</v>
      </c>
    </row>
    <row r="438" spans="19:22">
      <c r="S438" s="16">
        <v>425</v>
      </c>
      <c r="T438" s="16" t="s">
        <v>996</v>
      </c>
      <c r="U438" s="17">
        <f>COUNTIFS(WTG_BD!L:L,'Basic Data'!T438,WTG_BD!F:F,"&gt;="&amp;O2Summary!$B$6,WTG_BD!F:F,"&lt;="&amp;O2Summary!$B$4)</f>
        <v>0</v>
      </c>
      <c r="V438" s="18">
        <f t="shared" si="13"/>
        <v>47</v>
      </c>
    </row>
    <row r="439" spans="19:22">
      <c r="S439" s="16">
        <v>426</v>
      </c>
      <c r="T439" s="16" t="s">
        <v>997</v>
      </c>
      <c r="U439" s="17">
        <f>COUNTIFS(WTG_BD!L:L,'Basic Data'!T439,WTG_BD!F:F,"&gt;="&amp;O2Summary!$B$6,WTG_BD!F:F,"&lt;="&amp;O2Summary!$B$4)</f>
        <v>0</v>
      </c>
      <c r="V439" s="18">
        <f t="shared" si="13"/>
        <v>47</v>
      </c>
    </row>
    <row r="440" spans="19:22">
      <c r="S440" s="16">
        <v>427</v>
      </c>
      <c r="T440" s="16" t="s">
        <v>998</v>
      </c>
      <c r="U440" s="17">
        <f>COUNTIFS(WTG_BD!L:L,'Basic Data'!T440,WTG_BD!F:F,"&gt;="&amp;O2Summary!$B$6,WTG_BD!F:F,"&lt;="&amp;O2Summary!$B$4)</f>
        <v>0</v>
      </c>
      <c r="V440" s="18">
        <f t="shared" si="13"/>
        <v>47</v>
      </c>
    </row>
    <row r="441" spans="19:22">
      <c r="S441" s="16">
        <v>428</v>
      </c>
      <c r="T441" s="16" t="s">
        <v>996</v>
      </c>
      <c r="U441" s="17">
        <f>COUNTIFS(WTG_BD!L:L,'Basic Data'!T441,WTG_BD!F:F,"&gt;="&amp;O2Summary!$B$6,WTG_BD!F:F,"&lt;="&amp;O2Summary!$B$4)</f>
        <v>0</v>
      </c>
      <c r="V441" s="18">
        <f t="shared" si="13"/>
        <v>47</v>
      </c>
    </row>
    <row r="442" spans="19:22">
      <c r="S442" s="16">
        <v>429</v>
      </c>
      <c r="T442" s="16" t="s">
        <v>999</v>
      </c>
      <c r="U442" s="17">
        <f>COUNTIFS(WTG_BD!L:L,'Basic Data'!T442,WTG_BD!F:F,"&gt;="&amp;O2Summary!$B$6,WTG_BD!F:F,"&lt;="&amp;O2Summary!$B$4)</f>
        <v>0</v>
      </c>
      <c r="V442" s="18">
        <f t="shared" si="13"/>
        <v>47</v>
      </c>
    </row>
    <row r="443" spans="19:22">
      <c r="S443" s="16">
        <v>430</v>
      </c>
      <c r="T443" s="16" t="s">
        <v>1000</v>
      </c>
      <c r="U443" s="17">
        <f>COUNTIFS(WTG_BD!L:L,'Basic Data'!T443,WTG_BD!F:F,"&gt;="&amp;O2Summary!$B$6,WTG_BD!F:F,"&lt;="&amp;O2Summary!$B$4)</f>
        <v>0</v>
      </c>
      <c r="V443" s="18">
        <f t="shared" si="13"/>
        <v>47</v>
      </c>
    </row>
    <row r="444" spans="19:22">
      <c r="S444" s="16">
        <v>431</v>
      </c>
      <c r="T444" s="16" t="s">
        <v>1001</v>
      </c>
      <c r="U444" s="17">
        <f>COUNTIFS(WTG_BD!L:L,'Basic Data'!T444,WTG_BD!F:F,"&gt;="&amp;O2Summary!$B$6,WTG_BD!F:F,"&lt;="&amp;O2Summary!$B$4)</f>
        <v>0</v>
      </c>
      <c r="V444" s="18">
        <f t="shared" si="13"/>
        <v>47</v>
      </c>
    </row>
    <row r="445" spans="19:22">
      <c r="S445" s="16">
        <v>432</v>
      </c>
      <c r="T445" s="16" t="s">
        <v>1002</v>
      </c>
      <c r="U445" s="17">
        <f>COUNTIFS(WTG_BD!L:L,'Basic Data'!T445,WTG_BD!F:F,"&gt;="&amp;O2Summary!$B$6,WTG_BD!F:F,"&lt;="&amp;O2Summary!$B$4)</f>
        <v>0</v>
      </c>
      <c r="V445" s="18">
        <f t="shared" si="13"/>
        <v>47</v>
      </c>
    </row>
    <row r="446" spans="19:22">
      <c r="S446" s="16">
        <v>433</v>
      </c>
      <c r="T446" s="16" t="s">
        <v>1003</v>
      </c>
      <c r="U446" s="17">
        <f>COUNTIFS(WTG_BD!L:L,'Basic Data'!T446,WTG_BD!F:F,"&gt;="&amp;O2Summary!$B$6,WTG_BD!F:F,"&lt;="&amp;O2Summary!$B$4)</f>
        <v>0</v>
      </c>
      <c r="V446" s="18">
        <f t="shared" si="13"/>
        <v>47</v>
      </c>
    </row>
    <row r="447" spans="19:22">
      <c r="S447" s="16">
        <v>434</v>
      </c>
      <c r="T447" s="16" t="s">
        <v>1004</v>
      </c>
      <c r="U447" s="17">
        <f>COUNTIFS(WTG_BD!L:L,'Basic Data'!T447,WTG_BD!F:F,"&gt;="&amp;O2Summary!$B$6,WTG_BD!F:F,"&lt;="&amp;O2Summary!$B$4)</f>
        <v>0</v>
      </c>
      <c r="V447" s="18">
        <f t="shared" si="13"/>
        <v>47</v>
      </c>
    </row>
    <row r="448" spans="19:22">
      <c r="S448" s="16">
        <v>435</v>
      </c>
      <c r="T448" s="16" t="s">
        <v>1005</v>
      </c>
      <c r="U448" s="17">
        <f>COUNTIFS(WTG_BD!L:L,'Basic Data'!T448,WTG_BD!F:F,"&gt;="&amp;O2Summary!$B$6,WTG_BD!F:F,"&lt;="&amp;O2Summary!$B$4)</f>
        <v>0</v>
      </c>
      <c r="V448" s="18">
        <f t="shared" si="13"/>
        <v>47</v>
      </c>
    </row>
    <row r="449" spans="19:22">
      <c r="S449" s="16">
        <v>436</v>
      </c>
      <c r="T449" s="16" t="s">
        <v>1006</v>
      </c>
      <c r="U449" s="17">
        <f>COUNTIFS(WTG_BD!L:L,'Basic Data'!T449,WTG_BD!F:F,"&gt;="&amp;O2Summary!$B$6,WTG_BD!F:F,"&lt;="&amp;O2Summary!$B$4)</f>
        <v>0</v>
      </c>
      <c r="V449" s="18">
        <f t="shared" si="13"/>
        <v>47</v>
      </c>
    </row>
    <row r="450" spans="19:22">
      <c r="S450" s="16">
        <v>437</v>
      </c>
      <c r="T450" s="16" t="s">
        <v>1007</v>
      </c>
      <c r="U450" s="17">
        <f>COUNTIFS(WTG_BD!L:L,'Basic Data'!T450,WTG_BD!F:F,"&gt;="&amp;O2Summary!$B$6,WTG_BD!F:F,"&lt;="&amp;O2Summary!$B$4)</f>
        <v>0</v>
      </c>
      <c r="V450" s="18">
        <f t="shared" si="13"/>
        <v>47</v>
      </c>
    </row>
    <row r="451" spans="19:22">
      <c r="S451" s="16">
        <v>438</v>
      </c>
      <c r="T451" s="16" t="s">
        <v>1008</v>
      </c>
      <c r="U451" s="17">
        <f>COUNTIFS(WTG_BD!L:L,'Basic Data'!T451,WTG_BD!F:F,"&gt;="&amp;O2Summary!$B$6,WTG_BD!F:F,"&lt;="&amp;O2Summary!$B$4)</f>
        <v>0</v>
      </c>
      <c r="V451" s="18">
        <f t="shared" ref="V451:V514" si="14">RANK(U451,$U$2:$U$3975)</f>
        <v>47</v>
      </c>
    </row>
    <row r="452" spans="19:22">
      <c r="S452" s="16">
        <v>439</v>
      </c>
      <c r="T452" s="16" t="s">
        <v>1009</v>
      </c>
      <c r="U452" s="17">
        <f>COUNTIFS(WTG_BD!L:L,'Basic Data'!T452,WTG_BD!F:F,"&gt;="&amp;O2Summary!$B$6,WTG_BD!F:F,"&lt;="&amp;O2Summary!$B$4)</f>
        <v>0</v>
      </c>
      <c r="V452" s="18">
        <f t="shared" si="14"/>
        <v>47</v>
      </c>
    </row>
    <row r="453" spans="19:22">
      <c r="S453" s="16">
        <v>440</v>
      </c>
      <c r="T453" s="16" t="s">
        <v>1010</v>
      </c>
      <c r="U453" s="17">
        <f>COUNTIFS(WTG_BD!L:L,'Basic Data'!T453,WTG_BD!F:F,"&gt;="&amp;O2Summary!$B$6,WTG_BD!F:F,"&lt;="&amp;O2Summary!$B$4)</f>
        <v>0</v>
      </c>
      <c r="V453" s="18">
        <f t="shared" si="14"/>
        <v>47</v>
      </c>
    </row>
    <row r="454" spans="19:22">
      <c r="S454" s="16">
        <v>441</v>
      </c>
      <c r="T454" s="16" t="s">
        <v>1011</v>
      </c>
      <c r="U454" s="17">
        <f>COUNTIFS(WTG_BD!L:L,'Basic Data'!T454,WTG_BD!F:F,"&gt;="&amp;O2Summary!$B$6,WTG_BD!F:F,"&lt;="&amp;O2Summary!$B$4)</f>
        <v>0</v>
      </c>
      <c r="V454" s="18">
        <f t="shared" si="14"/>
        <v>47</v>
      </c>
    </row>
    <row r="455" spans="19:22">
      <c r="S455" s="16">
        <v>442</v>
      </c>
      <c r="T455" s="16" t="s">
        <v>1012</v>
      </c>
      <c r="U455" s="17">
        <f>COUNTIFS(WTG_BD!L:L,'Basic Data'!T455,WTG_BD!F:F,"&gt;="&amp;O2Summary!$B$6,WTG_BD!F:F,"&lt;="&amp;O2Summary!$B$4)</f>
        <v>0</v>
      </c>
      <c r="V455" s="18">
        <f t="shared" si="14"/>
        <v>47</v>
      </c>
    </row>
    <row r="456" spans="19:22">
      <c r="S456" s="16">
        <v>443</v>
      </c>
      <c r="T456" s="16" t="s">
        <v>768</v>
      </c>
      <c r="U456" s="17">
        <f>COUNTIFS(WTG_BD!L:L,'Basic Data'!T456,WTG_BD!F:F,"&gt;="&amp;O2Summary!$B$6,WTG_BD!F:F,"&lt;="&amp;O2Summary!$B$4)</f>
        <v>0</v>
      </c>
      <c r="V456" s="18">
        <f t="shared" si="14"/>
        <v>47</v>
      </c>
    </row>
    <row r="457" spans="19:22">
      <c r="S457" s="16">
        <v>444</v>
      </c>
      <c r="T457" s="16" t="s">
        <v>1013</v>
      </c>
      <c r="U457" s="17">
        <f>COUNTIFS(WTG_BD!L:L,'Basic Data'!T457,WTG_BD!F:F,"&gt;="&amp;O2Summary!$B$6,WTG_BD!F:F,"&lt;="&amp;O2Summary!$B$4)</f>
        <v>0</v>
      </c>
      <c r="V457" s="18">
        <f t="shared" si="14"/>
        <v>47</v>
      </c>
    </row>
    <row r="458" spans="19:22">
      <c r="S458" s="26">
        <v>446</v>
      </c>
      <c r="T458" s="26" t="s">
        <v>1014</v>
      </c>
      <c r="U458" s="17">
        <f>COUNTIFS(WTG_BD!L:L,'Basic Data'!T458,WTG_BD!F:F,"&gt;="&amp;O2Summary!$B$6,WTG_BD!F:F,"&lt;="&amp;O2Summary!$B$4)</f>
        <v>0</v>
      </c>
      <c r="V458" s="18">
        <f t="shared" si="14"/>
        <v>47</v>
      </c>
    </row>
    <row r="459" spans="19:22">
      <c r="S459" s="16">
        <v>447</v>
      </c>
      <c r="T459" s="16" t="s">
        <v>1015</v>
      </c>
      <c r="U459" s="17">
        <f>COUNTIFS(WTG_BD!L:L,'Basic Data'!T459,WTG_BD!F:F,"&gt;="&amp;O2Summary!$B$6,WTG_BD!F:F,"&lt;="&amp;O2Summary!$B$4)</f>
        <v>0</v>
      </c>
      <c r="V459" s="18">
        <f t="shared" si="14"/>
        <v>47</v>
      </c>
    </row>
    <row r="460" spans="19:22">
      <c r="S460" s="16">
        <v>448</v>
      </c>
      <c r="T460" s="16" t="s">
        <v>1016</v>
      </c>
      <c r="U460" s="17">
        <f>COUNTIFS(WTG_BD!L:L,'Basic Data'!T460,WTG_BD!F:F,"&gt;="&amp;O2Summary!$B$6,WTG_BD!F:F,"&lt;="&amp;O2Summary!$B$4)</f>
        <v>0</v>
      </c>
      <c r="V460" s="18">
        <f t="shared" si="14"/>
        <v>47</v>
      </c>
    </row>
    <row r="461" spans="19:22">
      <c r="S461" s="16">
        <v>450</v>
      </c>
      <c r="T461" s="16" t="s">
        <v>368</v>
      </c>
      <c r="U461" s="17">
        <f>COUNTIFS(WTG_BD!L:L,'Basic Data'!T461,WTG_BD!F:F,"&gt;="&amp;O2Summary!$B$6,WTG_BD!F:F,"&lt;="&amp;O2Summary!$B$4)</f>
        <v>27</v>
      </c>
      <c r="V461" s="18">
        <f t="shared" si="14"/>
        <v>6</v>
      </c>
    </row>
    <row r="462" spans="19:22">
      <c r="S462" s="16">
        <v>453</v>
      </c>
      <c r="T462" s="16" t="s">
        <v>373</v>
      </c>
      <c r="U462" s="17">
        <f>COUNTIFS(WTG_BD!L:L,'Basic Data'!T462,WTG_BD!F:F,"&gt;="&amp;O2Summary!$B$6,WTG_BD!F:F,"&lt;="&amp;O2Summary!$B$4)</f>
        <v>0</v>
      </c>
      <c r="V462" s="18">
        <f t="shared" si="14"/>
        <v>47</v>
      </c>
    </row>
    <row r="463" spans="19:22">
      <c r="S463" s="16">
        <v>454</v>
      </c>
      <c r="T463" s="16" t="s">
        <v>1017</v>
      </c>
      <c r="U463" s="17">
        <f>COUNTIFS(WTG_BD!L:L,'Basic Data'!T463,WTG_BD!F:F,"&gt;="&amp;O2Summary!$B$6,WTG_BD!F:F,"&lt;="&amp;O2Summary!$B$4)</f>
        <v>0</v>
      </c>
      <c r="V463" s="18">
        <f t="shared" si="14"/>
        <v>47</v>
      </c>
    </row>
    <row r="464" spans="19:22">
      <c r="S464" s="16">
        <v>455</v>
      </c>
      <c r="T464" s="16" t="s">
        <v>1018</v>
      </c>
      <c r="U464" s="17">
        <f>COUNTIFS(WTG_BD!L:L,'Basic Data'!T464,WTG_BD!F:F,"&gt;="&amp;O2Summary!$B$6,WTG_BD!F:F,"&lt;="&amp;O2Summary!$B$4)</f>
        <v>0</v>
      </c>
      <c r="V464" s="18">
        <f t="shared" si="14"/>
        <v>47</v>
      </c>
    </row>
    <row r="465" spans="19:22">
      <c r="S465" s="16">
        <v>456</v>
      </c>
      <c r="T465" s="16" t="s">
        <v>1019</v>
      </c>
      <c r="U465" s="17">
        <f>COUNTIFS(WTG_BD!L:L,'Basic Data'!T465,WTG_BD!F:F,"&gt;="&amp;O2Summary!$B$6,WTG_BD!F:F,"&lt;="&amp;O2Summary!$B$4)</f>
        <v>0</v>
      </c>
      <c r="V465" s="18">
        <f t="shared" si="14"/>
        <v>47</v>
      </c>
    </row>
    <row r="466" spans="19:22">
      <c r="S466" s="16">
        <v>457</v>
      </c>
      <c r="T466" s="16" t="s">
        <v>1020</v>
      </c>
      <c r="U466" s="17">
        <f>COUNTIFS(WTG_BD!L:L,'Basic Data'!T466,WTG_BD!F:F,"&gt;="&amp;O2Summary!$B$6,WTG_BD!F:F,"&lt;="&amp;O2Summary!$B$4)</f>
        <v>0</v>
      </c>
      <c r="V466" s="18">
        <f t="shared" si="14"/>
        <v>47</v>
      </c>
    </row>
    <row r="467" spans="19:22">
      <c r="S467" s="16">
        <v>460</v>
      </c>
      <c r="T467" s="16" t="s">
        <v>1021</v>
      </c>
      <c r="U467" s="17">
        <f>COUNTIFS(WTG_BD!L:L,'Basic Data'!T467,WTG_BD!F:F,"&gt;="&amp;O2Summary!$B$6,WTG_BD!F:F,"&lt;="&amp;O2Summary!$B$4)</f>
        <v>0</v>
      </c>
      <c r="V467" s="18">
        <f t="shared" si="14"/>
        <v>47</v>
      </c>
    </row>
    <row r="468" spans="19:22">
      <c r="S468" s="26">
        <v>461</v>
      </c>
      <c r="T468" s="26" t="s">
        <v>1022</v>
      </c>
      <c r="U468" s="17">
        <f>COUNTIFS(WTG_BD!L:L,'Basic Data'!T468,WTG_BD!F:F,"&gt;="&amp;O2Summary!$B$6,WTG_BD!F:F,"&lt;="&amp;O2Summary!$B$4)</f>
        <v>0</v>
      </c>
      <c r="V468" s="18">
        <f t="shared" si="14"/>
        <v>47</v>
      </c>
    </row>
    <row r="469" spans="19:22">
      <c r="S469" s="16">
        <v>462</v>
      </c>
      <c r="T469" s="16" t="s">
        <v>1023</v>
      </c>
      <c r="U469" s="17">
        <f>COUNTIFS(WTG_BD!L:L,'Basic Data'!T469,WTG_BD!F:F,"&gt;="&amp;O2Summary!$B$6,WTG_BD!F:F,"&lt;="&amp;O2Summary!$B$4)</f>
        <v>0</v>
      </c>
      <c r="V469" s="18">
        <f t="shared" si="14"/>
        <v>47</v>
      </c>
    </row>
    <row r="470" spans="19:22">
      <c r="S470" s="16">
        <v>463</v>
      </c>
      <c r="T470" s="16" t="s">
        <v>1024</v>
      </c>
      <c r="U470" s="17">
        <f>COUNTIFS(WTG_BD!L:L,'Basic Data'!T470,WTG_BD!F:F,"&gt;="&amp;O2Summary!$B$6,WTG_BD!F:F,"&lt;="&amp;O2Summary!$B$4)</f>
        <v>0</v>
      </c>
      <c r="V470" s="18">
        <f t="shared" si="14"/>
        <v>47</v>
      </c>
    </row>
    <row r="471" spans="19:22">
      <c r="S471" s="16">
        <v>464</v>
      </c>
      <c r="T471" s="16" t="s">
        <v>1025</v>
      </c>
      <c r="U471" s="17">
        <f>COUNTIFS(WTG_BD!L:L,'Basic Data'!T471,WTG_BD!F:F,"&gt;="&amp;O2Summary!$B$6,WTG_BD!F:F,"&lt;="&amp;O2Summary!$B$4)</f>
        <v>0</v>
      </c>
      <c r="V471" s="18">
        <f t="shared" si="14"/>
        <v>47</v>
      </c>
    </row>
    <row r="472" spans="19:22">
      <c r="S472" s="16">
        <v>467</v>
      </c>
      <c r="T472" s="16" t="s">
        <v>1026</v>
      </c>
      <c r="U472" s="17">
        <f>COUNTIFS(WTG_BD!L:L,'Basic Data'!T472,WTG_BD!F:F,"&gt;="&amp;O2Summary!$B$6,WTG_BD!F:F,"&lt;="&amp;O2Summary!$B$4)</f>
        <v>0</v>
      </c>
      <c r="V472" s="18">
        <f t="shared" si="14"/>
        <v>47</v>
      </c>
    </row>
    <row r="473" spans="19:22">
      <c r="S473" s="16">
        <v>469</v>
      </c>
      <c r="T473" s="16" t="s">
        <v>1027</v>
      </c>
      <c r="U473" s="17">
        <f>COUNTIFS(WTG_BD!L:L,'Basic Data'!T473,WTG_BD!F:F,"&gt;="&amp;O2Summary!$B$6,WTG_BD!F:F,"&lt;="&amp;O2Summary!$B$4)</f>
        <v>0</v>
      </c>
      <c r="V473" s="18">
        <f t="shared" si="14"/>
        <v>47</v>
      </c>
    </row>
    <row r="474" spans="19:22">
      <c r="S474" s="16">
        <v>470</v>
      </c>
      <c r="T474" s="16" t="s">
        <v>1028</v>
      </c>
      <c r="U474" s="17">
        <f>COUNTIFS(WTG_BD!L:L,'Basic Data'!T474,WTG_BD!F:F,"&gt;="&amp;O2Summary!$B$6,WTG_BD!F:F,"&lt;="&amp;O2Summary!$B$4)</f>
        <v>0</v>
      </c>
      <c r="V474" s="18">
        <f t="shared" si="14"/>
        <v>47</v>
      </c>
    </row>
    <row r="475" spans="19:22">
      <c r="S475" s="16">
        <v>471</v>
      </c>
      <c r="T475" s="16" t="s">
        <v>1029</v>
      </c>
      <c r="U475" s="17">
        <f>COUNTIFS(WTG_BD!L:L,'Basic Data'!T475,WTG_BD!F:F,"&gt;="&amp;O2Summary!$B$6,WTG_BD!F:F,"&lt;="&amp;O2Summary!$B$4)</f>
        <v>0</v>
      </c>
      <c r="V475" s="18">
        <f t="shared" si="14"/>
        <v>47</v>
      </c>
    </row>
    <row r="476" spans="19:22">
      <c r="S476" s="16">
        <v>472</v>
      </c>
      <c r="T476" s="16" t="s">
        <v>1030</v>
      </c>
      <c r="U476" s="17">
        <f>COUNTIFS(WTG_BD!L:L,'Basic Data'!T476,WTG_BD!F:F,"&gt;="&amp;O2Summary!$B$6,WTG_BD!F:F,"&lt;="&amp;O2Summary!$B$4)</f>
        <v>0</v>
      </c>
      <c r="V476" s="18">
        <f t="shared" si="14"/>
        <v>47</v>
      </c>
    </row>
    <row r="477" spans="19:22">
      <c r="S477" s="16">
        <v>474</v>
      </c>
      <c r="T477" s="16" t="s">
        <v>1031</v>
      </c>
      <c r="U477" s="17">
        <f>COUNTIFS(WTG_BD!L:L,'Basic Data'!T477,WTG_BD!F:F,"&gt;="&amp;O2Summary!$B$6,WTG_BD!F:F,"&lt;="&amp;O2Summary!$B$4)</f>
        <v>0</v>
      </c>
      <c r="V477" s="18">
        <f t="shared" si="14"/>
        <v>47</v>
      </c>
    </row>
    <row r="478" spans="19:22">
      <c r="S478" s="16">
        <v>475</v>
      </c>
      <c r="T478" s="16" t="s">
        <v>1032</v>
      </c>
      <c r="U478" s="17">
        <f>COUNTIFS(WTG_BD!L:L,'Basic Data'!T478,WTG_BD!F:F,"&gt;="&amp;O2Summary!$B$6,WTG_BD!F:F,"&lt;="&amp;O2Summary!$B$4)</f>
        <v>0</v>
      </c>
      <c r="V478" s="18">
        <f t="shared" si="14"/>
        <v>47</v>
      </c>
    </row>
    <row r="479" spans="19:22">
      <c r="S479" s="16">
        <v>478</v>
      </c>
      <c r="T479" s="16" t="s">
        <v>1033</v>
      </c>
      <c r="U479" s="17">
        <f>COUNTIFS(WTG_BD!L:L,'Basic Data'!T479,WTG_BD!F:F,"&gt;="&amp;O2Summary!$B$6,WTG_BD!F:F,"&lt;="&amp;O2Summary!$B$4)</f>
        <v>0</v>
      </c>
      <c r="V479" s="18">
        <f t="shared" si="14"/>
        <v>47</v>
      </c>
    </row>
    <row r="480" spans="19:22">
      <c r="S480" s="16">
        <v>479</v>
      </c>
      <c r="T480" s="16" t="s">
        <v>1034</v>
      </c>
      <c r="U480" s="17">
        <f>COUNTIFS(WTG_BD!L:L,'Basic Data'!T480,WTG_BD!F:F,"&gt;="&amp;O2Summary!$B$6,WTG_BD!F:F,"&lt;="&amp;O2Summary!$B$4)</f>
        <v>0</v>
      </c>
      <c r="V480" s="18">
        <f t="shared" si="14"/>
        <v>47</v>
      </c>
    </row>
    <row r="481" spans="19:22">
      <c r="S481" s="16">
        <v>480</v>
      </c>
      <c r="T481" s="16" t="s">
        <v>1035</v>
      </c>
      <c r="U481" s="17">
        <f>COUNTIFS(WTG_BD!L:L,'Basic Data'!T481,WTG_BD!F:F,"&gt;="&amp;O2Summary!$B$6,WTG_BD!F:F,"&lt;="&amp;O2Summary!$B$4)</f>
        <v>0</v>
      </c>
      <c r="V481" s="18">
        <f t="shared" si="14"/>
        <v>47</v>
      </c>
    </row>
    <row r="482" spans="19:22">
      <c r="S482" s="16">
        <v>481</v>
      </c>
      <c r="T482" s="16" t="s">
        <v>1036</v>
      </c>
      <c r="U482" s="17">
        <f>COUNTIFS(WTG_BD!L:L,'Basic Data'!T482,WTG_BD!F:F,"&gt;="&amp;O2Summary!$B$6,WTG_BD!F:F,"&lt;="&amp;O2Summary!$B$4)</f>
        <v>0</v>
      </c>
      <c r="V482" s="18">
        <f t="shared" si="14"/>
        <v>47</v>
      </c>
    </row>
    <row r="483" spans="19:22">
      <c r="S483" s="16">
        <v>482</v>
      </c>
      <c r="T483" s="16" t="s">
        <v>1037</v>
      </c>
      <c r="U483" s="17">
        <f>COUNTIFS(WTG_BD!L:L,'Basic Data'!T483,WTG_BD!F:F,"&gt;="&amp;O2Summary!$B$6,WTG_BD!F:F,"&lt;="&amp;O2Summary!$B$4)</f>
        <v>0</v>
      </c>
      <c r="V483" s="18">
        <f t="shared" si="14"/>
        <v>47</v>
      </c>
    </row>
    <row r="484" spans="19:22">
      <c r="S484" s="16">
        <v>483</v>
      </c>
      <c r="T484" s="16" t="s">
        <v>1038</v>
      </c>
      <c r="U484" s="17">
        <f>COUNTIFS(WTG_BD!L:L,'Basic Data'!T484,WTG_BD!F:F,"&gt;="&amp;O2Summary!$B$6,WTG_BD!F:F,"&lt;="&amp;O2Summary!$B$4)</f>
        <v>0</v>
      </c>
      <c r="V484" s="18">
        <f t="shared" si="14"/>
        <v>47</v>
      </c>
    </row>
    <row r="485" spans="19:22">
      <c r="S485" s="16">
        <v>484</v>
      </c>
      <c r="T485" s="16" t="s">
        <v>1039</v>
      </c>
      <c r="U485" s="17">
        <f>COUNTIFS(WTG_BD!L:L,'Basic Data'!T485,WTG_BD!F:F,"&gt;="&amp;O2Summary!$B$6,WTG_BD!F:F,"&lt;="&amp;O2Summary!$B$4)</f>
        <v>0</v>
      </c>
      <c r="V485" s="18">
        <f t="shared" si="14"/>
        <v>47</v>
      </c>
    </row>
    <row r="486" spans="19:22">
      <c r="S486" s="16">
        <v>485</v>
      </c>
      <c r="T486" s="16" t="s">
        <v>1040</v>
      </c>
      <c r="U486" s="17">
        <f>COUNTIFS(WTG_BD!L:L,'Basic Data'!T486,WTG_BD!F:F,"&gt;="&amp;O2Summary!$B$6,WTG_BD!F:F,"&lt;="&amp;O2Summary!$B$4)</f>
        <v>0</v>
      </c>
      <c r="V486" s="18">
        <f t="shared" si="14"/>
        <v>47</v>
      </c>
    </row>
    <row r="487" spans="19:22">
      <c r="S487" s="16">
        <v>486</v>
      </c>
      <c r="T487" s="16" t="s">
        <v>1041</v>
      </c>
      <c r="U487" s="17">
        <f>COUNTIFS(WTG_BD!L:L,'Basic Data'!T487,WTG_BD!F:F,"&gt;="&amp;O2Summary!$B$6,WTG_BD!F:F,"&lt;="&amp;O2Summary!$B$4)</f>
        <v>0</v>
      </c>
      <c r="V487" s="18">
        <f t="shared" si="14"/>
        <v>47</v>
      </c>
    </row>
    <row r="488" spans="19:22">
      <c r="S488" s="16">
        <v>487</v>
      </c>
      <c r="T488" s="16" t="s">
        <v>1042</v>
      </c>
      <c r="U488" s="17">
        <f>COUNTIFS(WTG_BD!L:L,'Basic Data'!T488,WTG_BD!F:F,"&gt;="&amp;O2Summary!$B$6,WTG_BD!F:F,"&lt;="&amp;O2Summary!$B$4)</f>
        <v>0</v>
      </c>
      <c r="V488" s="18">
        <f t="shared" si="14"/>
        <v>47</v>
      </c>
    </row>
    <row r="489" spans="19:22">
      <c r="S489" s="16">
        <v>488</v>
      </c>
      <c r="T489" s="16" t="s">
        <v>1043</v>
      </c>
      <c r="U489" s="17">
        <f>COUNTIFS(WTG_BD!L:L,'Basic Data'!T489,WTG_BD!F:F,"&gt;="&amp;O2Summary!$B$6,WTG_BD!F:F,"&lt;="&amp;O2Summary!$B$4)</f>
        <v>0</v>
      </c>
      <c r="V489" s="18">
        <f t="shared" si="14"/>
        <v>47</v>
      </c>
    </row>
    <row r="490" spans="19:22">
      <c r="S490" s="16">
        <v>489</v>
      </c>
      <c r="T490" s="16" t="s">
        <v>1044</v>
      </c>
      <c r="U490" s="17">
        <f>COUNTIFS(WTG_BD!L:L,'Basic Data'!T490,WTG_BD!F:F,"&gt;="&amp;O2Summary!$B$6,WTG_BD!F:F,"&lt;="&amp;O2Summary!$B$4)</f>
        <v>0</v>
      </c>
      <c r="V490" s="18">
        <f t="shared" si="14"/>
        <v>47</v>
      </c>
    </row>
    <row r="491" spans="19:22">
      <c r="S491" s="16">
        <v>490</v>
      </c>
      <c r="T491" s="16" t="s">
        <v>1045</v>
      </c>
      <c r="U491" s="17">
        <f>COUNTIFS(WTG_BD!L:L,'Basic Data'!T491,WTG_BD!F:F,"&gt;="&amp;O2Summary!$B$6,WTG_BD!F:F,"&lt;="&amp;O2Summary!$B$4)</f>
        <v>0</v>
      </c>
      <c r="V491" s="18">
        <f t="shared" si="14"/>
        <v>47</v>
      </c>
    </row>
    <row r="492" spans="19:22">
      <c r="S492" s="16">
        <v>491</v>
      </c>
      <c r="T492" s="16" t="s">
        <v>1046</v>
      </c>
      <c r="U492" s="17">
        <f>COUNTIFS(WTG_BD!L:L,'Basic Data'!T492,WTG_BD!F:F,"&gt;="&amp;O2Summary!$B$6,WTG_BD!F:F,"&lt;="&amp;O2Summary!$B$4)</f>
        <v>0</v>
      </c>
      <c r="V492" s="18">
        <f t="shared" si="14"/>
        <v>47</v>
      </c>
    </row>
    <row r="493" spans="19:22">
      <c r="S493" s="16">
        <v>492</v>
      </c>
      <c r="T493" s="16" t="s">
        <v>1047</v>
      </c>
      <c r="U493" s="17">
        <f>COUNTIFS(WTG_BD!L:L,'Basic Data'!T493,WTG_BD!F:F,"&gt;="&amp;O2Summary!$B$6,WTG_BD!F:F,"&lt;="&amp;O2Summary!$B$4)</f>
        <v>0</v>
      </c>
      <c r="V493" s="18">
        <f t="shared" si="14"/>
        <v>47</v>
      </c>
    </row>
    <row r="494" spans="19:22">
      <c r="S494" s="16">
        <v>493</v>
      </c>
      <c r="T494" s="16" t="s">
        <v>1048</v>
      </c>
      <c r="U494" s="17">
        <f>COUNTIFS(WTG_BD!L:L,'Basic Data'!T494,WTG_BD!F:F,"&gt;="&amp;O2Summary!$B$6,WTG_BD!F:F,"&lt;="&amp;O2Summary!$B$4)</f>
        <v>0</v>
      </c>
      <c r="V494" s="18">
        <f t="shared" si="14"/>
        <v>47</v>
      </c>
    </row>
    <row r="495" spans="19:22">
      <c r="S495" s="16">
        <v>494</v>
      </c>
      <c r="T495" s="16" t="s">
        <v>1049</v>
      </c>
      <c r="U495" s="17">
        <f>COUNTIFS(WTG_BD!L:L,'Basic Data'!T495,WTG_BD!F:F,"&gt;="&amp;O2Summary!$B$6,WTG_BD!F:F,"&lt;="&amp;O2Summary!$B$4)</f>
        <v>0</v>
      </c>
      <c r="V495" s="18">
        <f t="shared" si="14"/>
        <v>47</v>
      </c>
    </row>
    <row r="496" spans="19:22">
      <c r="S496" s="16">
        <v>495</v>
      </c>
      <c r="T496" s="16" t="s">
        <v>1050</v>
      </c>
      <c r="U496" s="17">
        <f>COUNTIFS(WTG_BD!L:L,'Basic Data'!T496,WTG_BD!F:F,"&gt;="&amp;O2Summary!$B$6,WTG_BD!F:F,"&lt;="&amp;O2Summary!$B$4)</f>
        <v>0</v>
      </c>
      <c r="V496" s="18">
        <f t="shared" si="14"/>
        <v>47</v>
      </c>
    </row>
    <row r="497" spans="19:22">
      <c r="S497" s="16">
        <v>496</v>
      </c>
      <c r="T497" s="16" t="s">
        <v>1051</v>
      </c>
      <c r="U497" s="17">
        <f>COUNTIFS(WTG_BD!L:L,'Basic Data'!T497,WTG_BD!F:F,"&gt;="&amp;O2Summary!$B$6,WTG_BD!F:F,"&lt;="&amp;O2Summary!$B$4)</f>
        <v>0</v>
      </c>
      <c r="V497" s="18">
        <f t="shared" si="14"/>
        <v>47</v>
      </c>
    </row>
    <row r="498" spans="19:22">
      <c r="S498" s="16">
        <v>497</v>
      </c>
      <c r="T498" s="16" t="s">
        <v>1052</v>
      </c>
      <c r="U498" s="17">
        <f>COUNTIFS(WTG_BD!L:L,'Basic Data'!T498,WTG_BD!F:F,"&gt;="&amp;O2Summary!$B$6,WTG_BD!F:F,"&lt;="&amp;O2Summary!$B$4)</f>
        <v>0</v>
      </c>
      <c r="V498" s="18">
        <f t="shared" si="14"/>
        <v>47</v>
      </c>
    </row>
    <row r="499" spans="19:22">
      <c r="S499" s="16">
        <v>498</v>
      </c>
      <c r="T499" s="16" t="s">
        <v>1053</v>
      </c>
      <c r="U499" s="17">
        <f>COUNTIFS(WTG_BD!L:L,'Basic Data'!T499,WTG_BD!F:F,"&gt;="&amp;O2Summary!$B$6,WTG_BD!F:F,"&lt;="&amp;O2Summary!$B$4)</f>
        <v>0</v>
      </c>
      <c r="V499" s="18">
        <f t="shared" si="14"/>
        <v>47</v>
      </c>
    </row>
    <row r="500" spans="19:22">
      <c r="S500" s="16">
        <v>499</v>
      </c>
      <c r="T500" s="16" t="s">
        <v>1054</v>
      </c>
      <c r="U500" s="17">
        <f>COUNTIFS(WTG_BD!L:L,'Basic Data'!T500,WTG_BD!F:F,"&gt;="&amp;O2Summary!$B$6,WTG_BD!F:F,"&lt;="&amp;O2Summary!$B$4)</f>
        <v>0</v>
      </c>
      <c r="V500" s="18">
        <f t="shared" si="14"/>
        <v>47</v>
      </c>
    </row>
    <row r="501" spans="19:22">
      <c r="S501" s="16">
        <v>500</v>
      </c>
      <c r="T501" s="16" t="s">
        <v>1055</v>
      </c>
      <c r="U501" s="17">
        <f>COUNTIFS(WTG_BD!L:L,'Basic Data'!T501,WTG_BD!F:F,"&gt;="&amp;O2Summary!$B$6,WTG_BD!F:F,"&lt;="&amp;O2Summary!$B$4)</f>
        <v>0</v>
      </c>
      <c r="V501" s="18">
        <f t="shared" si="14"/>
        <v>47</v>
      </c>
    </row>
    <row r="502" spans="19:22">
      <c r="S502" s="16">
        <v>501</v>
      </c>
      <c r="T502" s="16" t="s">
        <v>1056</v>
      </c>
      <c r="U502" s="17">
        <f>COUNTIFS(WTG_BD!L:L,'Basic Data'!T502,WTG_BD!F:F,"&gt;="&amp;O2Summary!$B$6,WTG_BD!F:F,"&lt;="&amp;O2Summary!$B$4)</f>
        <v>0</v>
      </c>
      <c r="V502" s="18">
        <f t="shared" si="14"/>
        <v>47</v>
      </c>
    </row>
    <row r="503" spans="19:22">
      <c r="S503" s="16">
        <v>502</v>
      </c>
      <c r="T503" s="16" t="s">
        <v>1057</v>
      </c>
      <c r="U503" s="17">
        <f>COUNTIFS(WTG_BD!L:L,'Basic Data'!T503,WTG_BD!F:F,"&gt;="&amp;O2Summary!$B$6,WTG_BD!F:F,"&lt;="&amp;O2Summary!$B$4)</f>
        <v>0</v>
      </c>
      <c r="V503" s="18">
        <f t="shared" si="14"/>
        <v>47</v>
      </c>
    </row>
    <row r="504" spans="19:22">
      <c r="S504" s="16">
        <v>503</v>
      </c>
      <c r="T504" s="16" t="s">
        <v>1058</v>
      </c>
      <c r="U504" s="17">
        <f>COUNTIFS(WTG_BD!L:L,'Basic Data'!T504,WTG_BD!F:F,"&gt;="&amp;O2Summary!$B$6,WTG_BD!F:F,"&lt;="&amp;O2Summary!$B$4)</f>
        <v>0</v>
      </c>
      <c r="V504" s="18">
        <f t="shared" si="14"/>
        <v>47</v>
      </c>
    </row>
    <row r="505" spans="19:22">
      <c r="S505" s="16">
        <v>504</v>
      </c>
      <c r="T505" s="16" t="s">
        <v>1059</v>
      </c>
      <c r="U505" s="17">
        <f>COUNTIFS(WTG_BD!L:L,'Basic Data'!T505,WTG_BD!F:F,"&gt;="&amp;O2Summary!$B$6,WTG_BD!F:F,"&lt;="&amp;O2Summary!$B$4)</f>
        <v>0</v>
      </c>
      <c r="V505" s="18">
        <f t="shared" si="14"/>
        <v>47</v>
      </c>
    </row>
    <row r="506" spans="19:22">
      <c r="S506" s="16">
        <v>505</v>
      </c>
      <c r="T506" s="16" t="s">
        <v>1060</v>
      </c>
      <c r="U506" s="17">
        <f>COUNTIFS(WTG_BD!L:L,'Basic Data'!T506,WTG_BD!F:F,"&gt;="&amp;O2Summary!$B$6,WTG_BD!F:F,"&lt;="&amp;O2Summary!$B$4)</f>
        <v>0</v>
      </c>
      <c r="V506" s="18">
        <f t="shared" si="14"/>
        <v>47</v>
      </c>
    </row>
    <row r="507" spans="19:22">
      <c r="S507" s="16">
        <v>506</v>
      </c>
      <c r="T507" s="16" t="s">
        <v>1061</v>
      </c>
      <c r="U507" s="17">
        <f>COUNTIFS(WTG_BD!L:L,'Basic Data'!T507,WTG_BD!F:F,"&gt;="&amp;O2Summary!$B$6,WTG_BD!F:F,"&lt;="&amp;O2Summary!$B$4)</f>
        <v>0</v>
      </c>
      <c r="V507" s="18">
        <f t="shared" si="14"/>
        <v>47</v>
      </c>
    </row>
    <row r="508" spans="19:22">
      <c r="S508" s="16">
        <v>507</v>
      </c>
      <c r="T508" s="16" t="s">
        <v>1062</v>
      </c>
      <c r="U508" s="17">
        <f>COUNTIFS(WTG_BD!L:L,'Basic Data'!T508,WTG_BD!F:F,"&gt;="&amp;O2Summary!$B$6,WTG_BD!F:F,"&lt;="&amp;O2Summary!$B$4)</f>
        <v>0</v>
      </c>
      <c r="V508" s="18">
        <f t="shared" si="14"/>
        <v>47</v>
      </c>
    </row>
    <row r="509" spans="19:22">
      <c r="S509" s="16">
        <v>508</v>
      </c>
      <c r="T509" s="16" t="s">
        <v>1063</v>
      </c>
      <c r="U509" s="17">
        <f>COUNTIFS(WTG_BD!L:L,'Basic Data'!T509,WTG_BD!F:F,"&gt;="&amp;O2Summary!$B$6,WTG_BD!F:F,"&lt;="&amp;O2Summary!$B$4)</f>
        <v>0</v>
      </c>
      <c r="V509" s="18">
        <f t="shared" si="14"/>
        <v>47</v>
      </c>
    </row>
    <row r="510" spans="19:22">
      <c r="S510" s="16">
        <v>509</v>
      </c>
      <c r="T510" s="16" t="s">
        <v>1064</v>
      </c>
      <c r="U510" s="17">
        <f>COUNTIFS(WTG_BD!L:L,'Basic Data'!T510,WTG_BD!F:F,"&gt;="&amp;O2Summary!$B$6,WTG_BD!F:F,"&lt;="&amp;O2Summary!$B$4)</f>
        <v>0</v>
      </c>
      <c r="V510" s="18">
        <f t="shared" si="14"/>
        <v>47</v>
      </c>
    </row>
    <row r="511" spans="19:22">
      <c r="S511" s="16">
        <v>510</v>
      </c>
      <c r="T511" s="16" t="s">
        <v>1065</v>
      </c>
      <c r="U511" s="17">
        <f>COUNTIFS(WTG_BD!L:L,'Basic Data'!T511,WTG_BD!F:F,"&gt;="&amp;O2Summary!$B$6,WTG_BD!F:F,"&lt;="&amp;O2Summary!$B$4)</f>
        <v>0</v>
      </c>
      <c r="V511" s="18">
        <f t="shared" si="14"/>
        <v>47</v>
      </c>
    </row>
    <row r="512" spans="19:22">
      <c r="S512" s="16">
        <v>511</v>
      </c>
      <c r="T512" s="16" t="s">
        <v>1066</v>
      </c>
      <c r="U512" s="17">
        <f>COUNTIFS(WTG_BD!L:L,'Basic Data'!T512,WTG_BD!F:F,"&gt;="&amp;O2Summary!$B$6,WTG_BD!F:F,"&lt;="&amp;O2Summary!$B$4)</f>
        <v>0</v>
      </c>
      <c r="V512" s="18">
        <f t="shared" si="14"/>
        <v>47</v>
      </c>
    </row>
    <row r="513" spans="19:22">
      <c r="S513" s="16">
        <v>512</v>
      </c>
      <c r="T513" s="16" t="s">
        <v>1067</v>
      </c>
      <c r="U513" s="17">
        <f>COUNTIFS(WTG_BD!L:L,'Basic Data'!T513,WTG_BD!F:F,"&gt;="&amp;O2Summary!$B$6,WTG_BD!F:F,"&lt;="&amp;O2Summary!$B$4)</f>
        <v>0</v>
      </c>
      <c r="V513" s="18">
        <f t="shared" si="14"/>
        <v>47</v>
      </c>
    </row>
    <row r="514" spans="19:22">
      <c r="S514" s="16">
        <v>513</v>
      </c>
      <c r="T514" s="16" t="s">
        <v>1068</v>
      </c>
      <c r="U514" s="17">
        <f>COUNTIFS(WTG_BD!L:L,'Basic Data'!T514,WTG_BD!F:F,"&gt;="&amp;O2Summary!$B$6,WTG_BD!F:F,"&lt;="&amp;O2Summary!$B$4)</f>
        <v>0</v>
      </c>
      <c r="V514" s="18">
        <f t="shared" si="14"/>
        <v>47</v>
      </c>
    </row>
    <row r="515" spans="19:22">
      <c r="S515" s="16">
        <v>514</v>
      </c>
      <c r="T515" s="16" t="s">
        <v>1069</v>
      </c>
      <c r="U515" s="17">
        <f>COUNTIFS(WTG_BD!L:L,'Basic Data'!T515,WTG_BD!F:F,"&gt;="&amp;O2Summary!$B$6,WTG_BD!F:F,"&lt;="&amp;O2Summary!$B$4)</f>
        <v>0</v>
      </c>
      <c r="V515" s="18">
        <f t="shared" ref="V515:V578" si="15">RANK(U515,$U$2:$U$3975)</f>
        <v>47</v>
      </c>
    </row>
    <row r="516" spans="19:22">
      <c r="S516" s="16">
        <v>515</v>
      </c>
      <c r="T516" s="16" t="s">
        <v>1070</v>
      </c>
      <c r="U516" s="17">
        <f>COUNTIFS(WTG_BD!L:L,'Basic Data'!T516,WTG_BD!F:F,"&gt;="&amp;O2Summary!$B$6,WTG_BD!F:F,"&lt;="&amp;O2Summary!$B$4)</f>
        <v>0</v>
      </c>
      <c r="V516" s="18">
        <f t="shared" si="15"/>
        <v>47</v>
      </c>
    </row>
    <row r="517" spans="19:22">
      <c r="S517" s="16">
        <v>516</v>
      </c>
      <c r="T517" s="16" t="s">
        <v>1071</v>
      </c>
      <c r="U517" s="17">
        <f>COUNTIFS(WTG_BD!L:L,'Basic Data'!T517,WTG_BD!F:F,"&gt;="&amp;O2Summary!$B$6,WTG_BD!F:F,"&lt;="&amp;O2Summary!$B$4)</f>
        <v>0</v>
      </c>
      <c r="V517" s="18">
        <f t="shared" si="15"/>
        <v>47</v>
      </c>
    </row>
    <row r="518" spans="19:22">
      <c r="S518" s="16">
        <v>517</v>
      </c>
      <c r="T518" s="16" t="s">
        <v>1072</v>
      </c>
      <c r="U518" s="17">
        <f>COUNTIFS(WTG_BD!L:L,'Basic Data'!T518,WTG_BD!F:F,"&gt;="&amp;O2Summary!$B$6,WTG_BD!F:F,"&lt;="&amp;O2Summary!$B$4)</f>
        <v>0</v>
      </c>
      <c r="V518" s="18">
        <f t="shared" si="15"/>
        <v>47</v>
      </c>
    </row>
    <row r="519" spans="19:22">
      <c r="S519" s="16">
        <v>518</v>
      </c>
      <c r="T519" s="16" t="s">
        <v>1073</v>
      </c>
      <c r="U519" s="17">
        <f>COUNTIFS(WTG_BD!L:L,'Basic Data'!T519,WTG_BD!F:F,"&gt;="&amp;O2Summary!$B$6,WTG_BD!F:F,"&lt;="&amp;O2Summary!$B$4)</f>
        <v>0</v>
      </c>
      <c r="V519" s="18">
        <f t="shared" si="15"/>
        <v>47</v>
      </c>
    </row>
    <row r="520" spans="19:22">
      <c r="S520" s="16">
        <v>519</v>
      </c>
      <c r="T520" s="16" t="s">
        <v>1074</v>
      </c>
      <c r="U520" s="17">
        <f>COUNTIFS(WTG_BD!L:L,'Basic Data'!T520,WTG_BD!F:F,"&gt;="&amp;O2Summary!$B$6,WTG_BD!F:F,"&lt;="&amp;O2Summary!$B$4)</f>
        <v>0</v>
      </c>
      <c r="V520" s="18">
        <f t="shared" si="15"/>
        <v>47</v>
      </c>
    </row>
    <row r="521" spans="19:22">
      <c r="S521" s="16">
        <v>520</v>
      </c>
      <c r="T521" s="16" t="s">
        <v>1075</v>
      </c>
      <c r="U521" s="17">
        <f>COUNTIFS(WTG_BD!L:L,'Basic Data'!T521,WTG_BD!F:F,"&gt;="&amp;O2Summary!$B$6,WTG_BD!F:F,"&lt;="&amp;O2Summary!$B$4)</f>
        <v>0</v>
      </c>
      <c r="V521" s="18">
        <f t="shared" si="15"/>
        <v>47</v>
      </c>
    </row>
    <row r="522" spans="19:22">
      <c r="S522" s="16">
        <v>521</v>
      </c>
      <c r="T522" s="16" t="s">
        <v>1076</v>
      </c>
      <c r="U522" s="17">
        <f>COUNTIFS(WTG_BD!L:L,'Basic Data'!T522,WTG_BD!F:F,"&gt;="&amp;O2Summary!$B$6,WTG_BD!F:F,"&lt;="&amp;O2Summary!$B$4)</f>
        <v>0</v>
      </c>
      <c r="V522" s="18">
        <f t="shared" si="15"/>
        <v>47</v>
      </c>
    </row>
    <row r="523" spans="19:22">
      <c r="S523" s="16">
        <v>522</v>
      </c>
      <c r="T523" s="16" t="s">
        <v>1077</v>
      </c>
      <c r="U523" s="17">
        <f>COUNTIFS(WTG_BD!L:L,'Basic Data'!T523,WTG_BD!F:F,"&gt;="&amp;O2Summary!$B$6,WTG_BD!F:F,"&lt;="&amp;O2Summary!$B$4)</f>
        <v>0</v>
      </c>
      <c r="V523" s="18">
        <f t="shared" si="15"/>
        <v>47</v>
      </c>
    </row>
    <row r="524" spans="19:22">
      <c r="S524" s="16">
        <v>523</v>
      </c>
      <c r="T524" s="16" t="s">
        <v>1078</v>
      </c>
      <c r="U524" s="17">
        <f>COUNTIFS(WTG_BD!L:L,'Basic Data'!T524,WTG_BD!F:F,"&gt;="&amp;O2Summary!$B$6,WTG_BD!F:F,"&lt;="&amp;O2Summary!$B$4)</f>
        <v>0</v>
      </c>
      <c r="V524" s="18">
        <f t="shared" si="15"/>
        <v>47</v>
      </c>
    </row>
    <row r="525" spans="19:22">
      <c r="S525" s="16">
        <v>524</v>
      </c>
      <c r="T525" s="16" t="s">
        <v>1079</v>
      </c>
      <c r="U525" s="17">
        <f>COUNTIFS(WTG_BD!L:L,'Basic Data'!T525,WTG_BD!F:F,"&gt;="&amp;O2Summary!$B$6,WTG_BD!F:F,"&lt;="&amp;O2Summary!$B$4)</f>
        <v>0</v>
      </c>
      <c r="V525" s="18">
        <f t="shared" si="15"/>
        <v>47</v>
      </c>
    </row>
    <row r="526" spans="19:22">
      <c r="S526" s="16">
        <v>525</v>
      </c>
      <c r="T526" s="16" t="s">
        <v>1080</v>
      </c>
      <c r="U526" s="17">
        <f>COUNTIFS(WTG_BD!L:L,'Basic Data'!T526,WTG_BD!F:F,"&gt;="&amp;O2Summary!$B$6,WTG_BD!F:F,"&lt;="&amp;O2Summary!$B$4)</f>
        <v>0</v>
      </c>
      <c r="V526" s="18">
        <f t="shared" si="15"/>
        <v>47</v>
      </c>
    </row>
    <row r="527" spans="19:22">
      <c r="S527" s="16">
        <v>526</v>
      </c>
      <c r="T527" s="16" t="s">
        <v>1081</v>
      </c>
      <c r="U527" s="17">
        <f>COUNTIFS(WTG_BD!L:L,'Basic Data'!T527,WTG_BD!F:F,"&gt;="&amp;O2Summary!$B$6,WTG_BD!F:F,"&lt;="&amp;O2Summary!$B$4)</f>
        <v>0</v>
      </c>
      <c r="V527" s="18">
        <f t="shared" si="15"/>
        <v>47</v>
      </c>
    </row>
    <row r="528" spans="19:22">
      <c r="S528" s="16">
        <v>527</v>
      </c>
      <c r="T528" s="16" t="s">
        <v>1082</v>
      </c>
      <c r="U528" s="17">
        <f>COUNTIFS(WTG_BD!L:L,'Basic Data'!T528,WTG_BD!F:F,"&gt;="&amp;O2Summary!$B$6,WTG_BD!F:F,"&lt;="&amp;O2Summary!$B$4)</f>
        <v>0</v>
      </c>
      <c r="V528" s="18">
        <f t="shared" si="15"/>
        <v>47</v>
      </c>
    </row>
    <row r="529" spans="19:22">
      <c r="S529" s="16">
        <v>528</v>
      </c>
      <c r="T529" s="16" t="s">
        <v>1083</v>
      </c>
      <c r="U529" s="17">
        <f>COUNTIFS(WTG_BD!L:L,'Basic Data'!T529,WTG_BD!F:F,"&gt;="&amp;O2Summary!$B$6,WTG_BD!F:F,"&lt;="&amp;O2Summary!$B$4)</f>
        <v>0</v>
      </c>
      <c r="V529" s="18">
        <f t="shared" si="15"/>
        <v>47</v>
      </c>
    </row>
    <row r="530" spans="19:22">
      <c r="S530" s="16">
        <v>529</v>
      </c>
      <c r="T530" s="16" t="s">
        <v>1084</v>
      </c>
      <c r="U530" s="17">
        <f>COUNTIFS(WTG_BD!L:L,'Basic Data'!T530,WTG_BD!F:F,"&gt;="&amp;O2Summary!$B$6,WTG_BD!F:F,"&lt;="&amp;O2Summary!$B$4)</f>
        <v>0</v>
      </c>
      <c r="V530" s="18">
        <f t="shared" si="15"/>
        <v>47</v>
      </c>
    </row>
    <row r="531" spans="19:22">
      <c r="S531" s="16">
        <v>530</v>
      </c>
      <c r="T531" s="16" t="s">
        <v>1085</v>
      </c>
      <c r="U531" s="17">
        <f>COUNTIFS(WTG_BD!L:L,'Basic Data'!T531,WTG_BD!F:F,"&gt;="&amp;O2Summary!$B$6,WTG_BD!F:F,"&lt;="&amp;O2Summary!$B$4)</f>
        <v>0</v>
      </c>
      <c r="V531" s="18">
        <f t="shared" si="15"/>
        <v>47</v>
      </c>
    </row>
    <row r="532" spans="19:22">
      <c r="S532" s="16">
        <v>531</v>
      </c>
      <c r="T532" s="16" t="s">
        <v>1086</v>
      </c>
      <c r="U532" s="17">
        <f>COUNTIFS(WTG_BD!L:L,'Basic Data'!T532,WTG_BD!F:F,"&gt;="&amp;O2Summary!$B$6,WTG_BD!F:F,"&lt;="&amp;O2Summary!$B$4)</f>
        <v>0</v>
      </c>
      <c r="V532" s="18">
        <f t="shared" si="15"/>
        <v>47</v>
      </c>
    </row>
    <row r="533" spans="19:22">
      <c r="S533" s="16">
        <v>532</v>
      </c>
      <c r="T533" s="16" t="s">
        <v>1087</v>
      </c>
      <c r="U533" s="17">
        <f>COUNTIFS(WTG_BD!L:L,'Basic Data'!T533,WTG_BD!F:F,"&gt;="&amp;O2Summary!$B$6,WTG_BD!F:F,"&lt;="&amp;O2Summary!$B$4)</f>
        <v>0</v>
      </c>
      <c r="V533" s="18">
        <f t="shared" si="15"/>
        <v>47</v>
      </c>
    </row>
    <row r="534" spans="19:22">
      <c r="S534" s="16">
        <v>533</v>
      </c>
      <c r="T534" s="16" t="s">
        <v>1088</v>
      </c>
      <c r="U534" s="17">
        <f>COUNTIFS(WTG_BD!L:L,'Basic Data'!T534,WTG_BD!F:F,"&gt;="&amp;O2Summary!$B$6,WTG_BD!F:F,"&lt;="&amp;O2Summary!$B$4)</f>
        <v>0</v>
      </c>
      <c r="V534" s="18">
        <f t="shared" si="15"/>
        <v>47</v>
      </c>
    </row>
    <row r="535" spans="19:22">
      <c r="S535" s="16">
        <v>534</v>
      </c>
      <c r="T535" s="16" t="s">
        <v>1089</v>
      </c>
      <c r="U535" s="17">
        <f>COUNTIFS(WTG_BD!L:L,'Basic Data'!T535,WTG_BD!F:F,"&gt;="&amp;O2Summary!$B$6,WTG_BD!F:F,"&lt;="&amp;O2Summary!$B$4)</f>
        <v>0</v>
      </c>
      <c r="V535" s="18">
        <f t="shared" si="15"/>
        <v>47</v>
      </c>
    </row>
    <row r="536" spans="19:22">
      <c r="S536" s="16">
        <v>535</v>
      </c>
      <c r="T536" s="16" t="s">
        <v>1090</v>
      </c>
      <c r="U536" s="17">
        <f>COUNTIFS(WTG_BD!L:L,'Basic Data'!T536,WTG_BD!F:F,"&gt;="&amp;O2Summary!$B$6,WTG_BD!F:F,"&lt;="&amp;O2Summary!$B$4)</f>
        <v>0</v>
      </c>
      <c r="V536" s="18">
        <f t="shared" si="15"/>
        <v>47</v>
      </c>
    </row>
    <row r="537" spans="19:22">
      <c r="S537" s="16">
        <v>536</v>
      </c>
      <c r="T537" s="16" t="s">
        <v>1091</v>
      </c>
      <c r="U537" s="17">
        <f>COUNTIFS(WTG_BD!L:L,'Basic Data'!T537,WTG_BD!F:F,"&gt;="&amp;O2Summary!$B$6,WTG_BD!F:F,"&lt;="&amp;O2Summary!$B$4)</f>
        <v>0</v>
      </c>
      <c r="V537" s="18">
        <f t="shared" si="15"/>
        <v>47</v>
      </c>
    </row>
    <row r="538" spans="19:22">
      <c r="S538" s="16">
        <v>537</v>
      </c>
      <c r="T538" s="16" t="s">
        <v>1092</v>
      </c>
      <c r="U538" s="17">
        <f>COUNTIFS(WTG_BD!L:L,'Basic Data'!T538,WTG_BD!F:F,"&gt;="&amp;O2Summary!$B$6,WTG_BD!F:F,"&lt;="&amp;O2Summary!$B$4)</f>
        <v>0</v>
      </c>
      <c r="V538" s="18">
        <f t="shared" si="15"/>
        <v>47</v>
      </c>
    </row>
    <row r="539" spans="19:22">
      <c r="S539" s="16">
        <v>538</v>
      </c>
      <c r="T539" s="16" t="s">
        <v>1093</v>
      </c>
      <c r="U539" s="17">
        <f>COUNTIFS(WTG_BD!L:L,'Basic Data'!T539,WTG_BD!F:F,"&gt;="&amp;O2Summary!$B$6,WTG_BD!F:F,"&lt;="&amp;O2Summary!$B$4)</f>
        <v>0</v>
      </c>
      <c r="V539" s="18">
        <f t="shared" si="15"/>
        <v>47</v>
      </c>
    </row>
    <row r="540" spans="19:22">
      <c r="S540" s="16">
        <v>539</v>
      </c>
      <c r="T540" s="16" t="s">
        <v>1094</v>
      </c>
      <c r="U540" s="17">
        <f>COUNTIFS(WTG_BD!L:L,'Basic Data'!T540,WTG_BD!F:F,"&gt;="&amp;O2Summary!$B$6,WTG_BD!F:F,"&lt;="&amp;O2Summary!$B$4)</f>
        <v>0</v>
      </c>
      <c r="V540" s="18">
        <f t="shared" si="15"/>
        <v>47</v>
      </c>
    </row>
    <row r="541" spans="19:22">
      <c r="S541" s="16">
        <v>540</v>
      </c>
      <c r="T541" s="16" t="s">
        <v>1095</v>
      </c>
      <c r="U541" s="17">
        <f>COUNTIFS(WTG_BD!L:L,'Basic Data'!T541,WTG_BD!F:F,"&gt;="&amp;O2Summary!$B$6,WTG_BD!F:F,"&lt;="&amp;O2Summary!$B$4)</f>
        <v>0</v>
      </c>
      <c r="V541" s="18">
        <f t="shared" si="15"/>
        <v>47</v>
      </c>
    </row>
    <row r="542" spans="19:22">
      <c r="S542" s="16">
        <v>541</v>
      </c>
      <c r="T542" s="16" t="s">
        <v>1096</v>
      </c>
      <c r="U542" s="17">
        <f>COUNTIFS(WTG_BD!L:L,'Basic Data'!T542,WTG_BD!F:F,"&gt;="&amp;O2Summary!$B$6,WTG_BD!F:F,"&lt;="&amp;O2Summary!$B$4)</f>
        <v>0</v>
      </c>
      <c r="V542" s="18">
        <f t="shared" si="15"/>
        <v>47</v>
      </c>
    </row>
    <row r="543" spans="19:22">
      <c r="S543" s="16">
        <v>542</v>
      </c>
      <c r="T543" s="16" t="s">
        <v>1097</v>
      </c>
      <c r="U543" s="17">
        <f>COUNTIFS(WTG_BD!L:L,'Basic Data'!T543,WTG_BD!F:F,"&gt;="&amp;O2Summary!$B$6,WTG_BD!F:F,"&lt;="&amp;O2Summary!$B$4)</f>
        <v>0</v>
      </c>
      <c r="V543" s="18">
        <f t="shared" si="15"/>
        <v>47</v>
      </c>
    </row>
    <row r="544" spans="19:22">
      <c r="S544" s="16">
        <v>543</v>
      </c>
      <c r="T544" s="16" t="s">
        <v>1098</v>
      </c>
      <c r="U544" s="17">
        <f>COUNTIFS(WTG_BD!L:L,'Basic Data'!T544,WTG_BD!F:F,"&gt;="&amp;O2Summary!$B$6,WTG_BD!F:F,"&lt;="&amp;O2Summary!$B$4)</f>
        <v>0</v>
      </c>
      <c r="V544" s="18">
        <f t="shared" si="15"/>
        <v>47</v>
      </c>
    </row>
    <row r="545" spans="19:22">
      <c r="S545" s="16">
        <v>544</v>
      </c>
      <c r="T545" s="16" t="s">
        <v>1099</v>
      </c>
      <c r="U545" s="17">
        <f>COUNTIFS(WTG_BD!L:L,'Basic Data'!T545,WTG_BD!F:F,"&gt;="&amp;O2Summary!$B$6,WTG_BD!F:F,"&lt;="&amp;O2Summary!$B$4)</f>
        <v>0</v>
      </c>
      <c r="V545" s="18">
        <f t="shared" si="15"/>
        <v>47</v>
      </c>
    </row>
    <row r="546" spans="19:22">
      <c r="S546" s="16">
        <v>545</v>
      </c>
      <c r="T546" s="16" t="s">
        <v>1100</v>
      </c>
      <c r="U546" s="17">
        <f>COUNTIFS(WTG_BD!L:L,'Basic Data'!T546,WTG_BD!F:F,"&gt;="&amp;O2Summary!$B$6,WTG_BD!F:F,"&lt;="&amp;O2Summary!$B$4)</f>
        <v>0</v>
      </c>
      <c r="V546" s="18">
        <f t="shared" si="15"/>
        <v>47</v>
      </c>
    </row>
    <row r="547" spans="19:22">
      <c r="S547" s="16">
        <v>546</v>
      </c>
      <c r="T547" s="16" t="s">
        <v>1101</v>
      </c>
      <c r="U547" s="17">
        <f>COUNTIFS(WTG_BD!L:L,'Basic Data'!T547,WTG_BD!F:F,"&gt;="&amp;O2Summary!$B$6,WTG_BD!F:F,"&lt;="&amp;O2Summary!$B$4)</f>
        <v>0</v>
      </c>
      <c r="V547" s="18">
        <f t="shared" si="15"/>
        <v>47</v>
      </c>
    </row>
    <row r="548" spans="19:22">
      <c r="S548" s="16">
        <v>547</v>
      </c>
      <c r="T548" s="16" t="s">
        <v>1102</v>
      </c>
      <c r="U548" s="17">
        <f>COUNTIFS(WTG_BD!L:L,'Basic Data'!T548,WTG_BD!F:F,"&gt;="&amp;O2Summary!$B$6,WTG_BD!F:F,"&lt;="&amp;O2Summary!$B$4)</f>
        <v>0</v>
      </c>
      <c r="V548" s="18">
        <f t="shared" si="15"/>
        <v>47</v>
      </c>
    </row>
    <row r="549" spans="19:22">
      <c r="S549" s="16">
        <v>548</v>
      </c>
      <c r="T549" s="16" t="s">
        <v>1103</v>
      </c>
      <c r="U549" s="17">
        <f>COUNTIFS(WTG_BD!L:L,'Basic Data'!T549,WTG_BD!F:F,"&gt;="&amp;O2Summary!$B$6,WTG_BD!F:F,"&lt;="&amp;O2Summary!$B$4)</f>
        <v>0</v>
      </c>
      <c r="V549" s="18">
        <f t="shared" si="15"/>
        <v>47</v>
      </c>
    </row>
    <row r="550" spans="19:22">
      <c r="S550" s="16">
        <v>549</v>
      </c>
      <c r="T550" s="16" t="s">
        <v>1104</v>
      </c>
      <c r="U550" s="17">
        <f>COUNTIFS(WTG_BD!L:L,'Basic Data'!T550,WTG_BD!F:F,"&gt;="&amp;O2Summary!$B$6,WTG_BD!F:F,"&lt;="&amp;O2Summary!$B$4)</f>
        <v>0</v>
      </c>
      <c r="V550" s="18">
        <f t="shared" si="15"/>
        <v>47</v>
      </c>
    </row>
    <row r="551" spans="19:22">
      <c r="S551" s="16">
        <v>550</v>
      </c>
      <c r="T551" s="16" t="s">
        <v>1105</v>
      </c>
      <c r="U551" s="17">
        <f>COUNTIFS(WTG_BD!L:L,'Basic Data'!T551,WTG_BD!F:F,"&gt;="&amp;O2Summary!$B$6,WTG_BD!F:F,"&lt;="&amp;O2Summary!$B$4)</f>
        <v>0</v>
      </c>
      <c r="V551" s="18">
        <f t="shared" si="15"/>
        <v>47</v>
      </c>
    </row>
    <row r="552" spans="19:22">
      <c r="S552" s="16">
        <v>551</v>
      </c>
      <c r="T552" s="16" t="s">
        <v>1106</v>
      </c>
      <c r="U552" s="17">
        <f>COUNTIFS(WTG_BD!L:L,'Basic Data'!T552,WTG_BD!F:F,"&gt;="&amp;O2Summary!$B$6,WTG_BD!F:F,"&lt;="&amp;O2Summary!$B$4)</f>
        <v>0</v>
      </c>
      <c r="V552" s="18">
        <f t="shared" si="15"/>
        <v>47</v>
      </c>
    </row>
    <row r="553" spans="19:22">
      <c r="S553" s="16">
        <v>552</v>
      </c>
      <c r="T553" s="16" t="s">
        <v>1107</v>
      </c>
      <c r="U553" s="17">
        <f>COUNTIFS(WTG_BD!L:L,'Basic Data'!T553,WTG_BD!F:F,"&gt;="&amp;O2Summary!$B$6,WTG_BD!F:F,"&lt;="&amp;O2Summary!$B$4)</f>
        <v>0</v>
      </c>
      <c r="V553" s="18">
        <f t="shared" si="15"/>
        <v>47</v>
      </c>
    </row>
    <row r="554" spans="19:22">
      <c r="S554" s="16">
        <v>553</v>
      </c>
      <c r="T554" s="16" t="s">
        <v>1108</v>
      </c>
      <c r="U554" s="17">
        <f>COUNTIFS(WTG_BD!L:L,'Basic Data'!T554,WTG_BD!F:F,"&gt;="&amp;O2Summary!$B$6,WTG_BD!F:F,"&lt;="&amp;O2Summary!$B$4)</f>
        <v>0</v>
      </c>
      <c r="V554" s="18">
        <f t="shared" si="15"/>
        <v>47</v>
      </c>
    </row>
    <row r="555" spans="19:22">
      <c r="S555" s="16">
        <v>554</v>
      </c>
      <c r="T555" s="16" t="s">
        <v>1109</v>
      </c>
      <c r="U555" s="17">
        <f>COUNTIFS(WTG_BD!L:L,'Basic Data'!T555,WTG_BD!F:F,"&gt;="&amp;O2Summary!$B$6,WTG_BD!F:F,"&lt;="&amp;O2Summary!$B$4)</f>
        <v>0</v>
      </c>
      <c r="V555" s="18">
        <f t="shared" si="15"/>
        <v>47</v>
      </c>
    </row>
    <row r="556" spans="19:22">
      <c r="S556" s="16">
        <v>555</v>
      </c>
      <c r="T556" s="16" t="s">
        <v>1105</v>
      </c>
      <c r="U556" s="17">
        <f>COUNTIFS(WTG_BD!L:L,'Basic Data'!T556,WTG_BD!F:F,"&gt;="&amp;O2Summary!$B$6,WTG_BD!F:F,"&lt;="&amp;O2Summary!$B$4)</f>
        <v>0</v>
      </c>
      <c r="V556" s="18">
        <f t="shared" si="15"/>
        <v>47</v>
      </c>
    </row>
    <row r="557" spans="19:22">
      <c r="S557" s="16">
        <v>556</v>
      </c>
      <c r="T557" s="16" t="s">
        <v>1110</v>
      </c>
      <c r="U557" s="17">
        <f>COUNTIFS(WTG_BD!L:L,'Basic Data'!T557,WTG_BD!F:F,"&gt;="&amp;O2Summary!$B$6,WTG_BD!F:F,"&lt;="&amp;O2Summary!$B$4)</f>
        <v>0</v>
      </c>
      <c r="V557" s="18">
        <f t="shared" si="15"/>
        <v>47</v>
      </c>
    </row>
    <row r="558" spans="19:22">
      <c r="S558" s="16">
        <v>557</v>
      </c>
      <c r="T558" s="16" t="s">
        <v>1111</v>
      </c>
      <c r="U558" s="17">
        <f>COUNTIFS(WTG_BD!L:L,'Basic Data'!T558,WTG_BD!F:F,"&gt;="&amp;O2Summary!$B$6,WTG_BD!F:F,"&lt;="&amp;O2Summary!$B$4)</f>
        <v>1</v>
      </c>
      <c r="V558" s="18">
        <f t="shared" si="15"/>
        <v>29</v>
      </c>
    </row>
    <row r="559" spans="19:22">
      <c r="S559" s="16">
        <v>558</v>
      </c>
      <c r="T559" s="16" t="s">
        <v>1107</v>
      </c>
      <c r="U559" s="17">
        <f>COUNTIFS(WTG_BD!L:L,'Basic Data'!T559,WTG_BD!F:F,"&gt;="&amp;O2Summary!$B$6,WTG_BD!F:F,"&lt;="&amp;O2Summary!$B$4)</f>
        <v>0</v>
      </c>
      <c r="V559" s="18">
        <f t="shared" si="15"/>
        <v>47</v>
      </c>
    </row>
    <row r="560" spans="19:22">
      <c r="S560" s="16">
        <v>559</v>
      </c>
      <c r="T560" s="16" t="s">
        <v>1108</v>
      </c>
      <c r="U560" s="17">
        <f>COUNTIFS(WTG_BD!L:L,'Basic Data'!T560,WTG_BD!F:F,"&gt;="&amp;O2Summary!$B$6,WTG_BD!F:F,"&lt;="&amp;O2Summary!$B$4)</f>
        <v>0</v>
      </c>
      <c r="V560" s="18">
        <f t="shared" si="15"/>
        <v>47</v>
      </c>
    </row>
    <row r="561" spans="19:22">
      <c r="S561" s="16">
        <v>560</v>
      </c>
      <c r="T561" s="16" t="s">
        <v>1112</v>
      </c>
      <c r="U561" s="17">
        <f>COUNTIFS(WTG_BD!L:L,'Basic Data'!T561,WTG_BD!F:F,"&gt;="&amp;O2Summary!$B$6,WTG_BD!F:F,"&lt;="&amp;O2Summary!$B$4)</f>
        <v>0</v>
      </c>
      <c r="V561" s="18">
        <f t="shared" si="15"/>
        <v>47</v>
      </c>
    </row>
    <row r="562" spans="19:22">
      <c r="S562" s="16">
        <v>561</v>
      </c>
      <c r="T562" s="16" t="s">
        <v>1113</v>
      </c>
      <c r="U562" s="17">
        <f>COUNTIFS(WTG_BD!L:L,'Basic Data'!T562,WTG_BD!F:F,"&gt;="&amp;O2Summary!$B$6,WTG_BD!F:F,"&lt;="&amp;O2Summary!$B$4)</f>
        <v>0</v>
      </c>
      <c r="V562" s="18">
        <f t="shared" si="15"/>
        <v>47</v>
      </c>
    </row>
    <row r="563" spans="19:22">
      <c r="S563" s="16">
        <v>562</v>
      </c>
      <c r="T563" s="16" t="s">
        <v>1114</v>
      </c>
      <c r="U563" s="17">
        <f>COUNTIFS(WTG_BD!L:L,'Basic Data'!T563,WTG_BD!F:F,"&gt;="&amp;O2Summary!$B$6,WTG_BD!F:F,"&lt;="&amp;O2Summary!$B$4)</f>
        <v>0</v>
      </c>
      <c r="V563" s="18">
        <f t="shared" si="15"/>
        <v>47</v>
      </c>
    </row>
    <row r="564" spans="19:22">
      <c r="S564" s="16">
        <v>563</v>
      </c>
      <c r="T564" s="16" t="s">
        <v>1115</v>
      </c>
      <c r="U564" s="17">
        <f>COUNTIFS(WTG_BD!L:L,'Basic Data'!T564,WTG_BD!F:F,"&gt;="&amp;O2Summary!$B$6,WTG_BD!F:F,"&lt;="&amp;O2Summary!$B$4)</f>
        <v>0</v>
      </c>
      <c r="V564" s="18">
        <f t="shared" si="15"/>
        <v>47</v>
      </c>
    </row>
    <row r="565" spans="19:22">
      <c r="S565" s="16">
        <v>564</v>
      </c>
      <c r="T565" s="16" t="s">
        <v>1116</v>
      </c>
      <c r="U565" s="17">
        <f>COUNTIFS(WTG_BD!L:L,'Basic Data'!T565,WTG_BD!F:F,"&gt;="&amp;O2Summary!$B$6,WTG_BD!F:F,"&lt;="&amp;O2Summary!$B$4)</f>
        <v>0</v>
      </c>
      <c r="V565" s="18">
        <f t="shared" si="15"/>
        <v>47</v>
      </c>
    </row>
    <row r="566" spans="19:22">
      <c r="S566" s="16">
        <v>565</v>
      </c>
      <c r="T566" s="16" t="s">
        <v>1117</v>
      </c>
      <c r="U566" s="17">
        <f>COUNTIFS(WTG_BD!L:L,'Basic Data'!T566,WTG_BD!F:F,"&gt;="&amp;O2Summary!$B$6,WTG_BD!F:F,"&lt;="&amp;O2Summary!$B$4)</f>
        <v>0</v>
      </c>
      <c r="V566" s="18">
        <f t="shared" si="15"/>
        <v>47</v>
      </c>
    </row>
    <row r="567" spans="19:22">
      <c r="S567" s="16">
        <v>566</v>
      </c>
      <c r="T567" s="16" t="s">
        <v>1118</v>
      </c>
      <c r="U567" s="17">
        <f>COUNTIFS(WTG_BD!L:L,'Basic Data'!T567,WTG_BD!F:F,"&gt;="&amp;O2Summary!$B$6,WTG_BD!F:F,"&lt;="&amp;O2Summary!$B$4)</f>
        <v>0</v>
      </c>
      <c r="V567" s="18">
        <f t="shared" si="15"/>
        <v>47</v>
      </c>
    </row>
    <row r="568" spans="19:22">
      <c r="S568" s="16">
        <v>567</v>
      </c>
      <c r="T568" s="16" t="s">
        <v>1119</v>
      </c>
      <c r="U568" s="17">
        <f>COUNTIFS(WTG_BD!L:L,'Basic Data'!T568,WTG_BD!F:F,"&gt;="&amp;O2Summary!$B$6,WTG_BD!F:F,"&lt;="&amp;O2Summary!$B$4)</f>
        <v>0</v>
      </c>
      <c r="V568" s="18">
        <f t="shared" si="15"/>
        <v>47</v>
      </c>
    </row>
    <row r="569" spans="19:22">
      <c r="S569" s="16">
        <v>568</v>
      </c>
      <c r="T569" s="16" t="s">
        <v>1120</v>
      </c>
      <c r="U569" s="17">
        <f>COUNTIFS(WTG_BD!L:L,'Basic Data'!T569,WTG_BD!F:F,"&gt;="&amp;O2Summary!$B$6,WTG_BD!F:F,"&lt;="&amp;O2Summary!$B$4)</f>
        <v>0</v>
      </c>
      <c r="V569" s="18">
        <f t="shared" si="15"/>
        <v>47</v>
      </c>
    </row>
    <row r="570" spans="19:22">
      <c r="S570" s="16">
        <v>569</v>
      </c>
      <c r="T570" s="16" t="s">
        <v>1121</v>
      </c>
      <c r="U570" s="17">
        <f>COUNTIFS(WTG_BD!L:L,'Basic Data'!T570,WTG_BD!F:F,"&gt;="&amp;O2Summary!$B$6,WTG_BD!F:F,"&lt;="&amp;O2Summary!$B$4)</f>
        <v>0</v>
      </c>
      <c r="V570" s="18">
        <f t="shared" si="15"/>
        <v>47</v>
      </c>
    </row>
    <row r="571" spans="19:22">
      <c r="S571" s="16">
        <v>570</v>
      </c>
      <c r="T571" s="16" t="s">
        <v>1122</v>
      </c>
      <c r="U571" s="17">
        <f>COUNTIFS(WTG_BD!L:L,'Basic Data'!T571,WTG_BD!F:F,"&gt;="&amp;O2Summary!$B$6,WTG_BD!F:F,"&lt;="&amp;O2Summary!$B$4)</f>
        <v>0</v>
      </c>
      <c r="V571" s="18">
        <f t="shared" si="15"/>
        <v>47</v>
      </c>
    </row>
    <row r="572" spans="19:22">
      <c r="S572" s="16">
        <v>571</v>
      </c>
      <c r="T572" s="16" t="s">
        <v>1123</v>
      </c>
      <c r="U572" s="17">
        <f>COUNTIFS(WTG_BD!L:L,'Basic Data'!T572,WTG_BD!F:F,"&gt;="&amp;O2Summary!$B$6,WTG_BD!F:F,"&lt;="&amp;O2Summary!$B$4)</f>
        <v>0</v>
      </c>
      <c r="V572" s="18">
        <f t="shared" si="15"/>
        <v>47</v>
      </c>
    </row>
    <row r="573" spans="19:22">
      <c r="S573" s="16">
        <v>572</v>
      </c>
      <c r="T573" s="16" t="s">
        <v>1124</v>
      </c>
      <c r="U573" s="17">
        <f>COUNTIFS(WTG_BD!L:L,'Basic Data'!T573,WTG_BD!F:F,"&gt;="&amp;O2Summary!$B$6,WTG_BD!F:F,"&lt;="&amp;O2Summary!$B$4)</f>
        <v>0</v>
      </c>
      <c r="V573" s="18">
        <f t="shared" si="15"/>
        <v>47</v>
      </c>
    </row>
    <row r="574" spans="19:22">
      <c r="S574" s="16">
        <v>573</v>
      </c>
      <c r="T574" s="16" t="s">
        <v>1125</v>
      </c>
      <c r="U574" s="17">
        <f>COUNTIFS(WTG_BD!L:L,'Basic Data'!T574,WTG_BD!F:F,"&gt;="&amp;O2Summary!$B$6,WTG_BD!F:F,"&lt;="&amp;O2Summary!$B$4)</f>
        <v>0</v>
      </c>
      <c r="V574" s="18">
        <f t="shared" si="15"/>
        <v>47</v>
      </c>
    </row>
    <row r="575" spans="19:22">
      <c r="S575" s="16">
        <v>574</v>
      </c>
      <c r="T575" s="16" t="s">
        <v>1126</v>
      </c>
      <c r="U575" s="17">
        <f>COUNTIFS(WTG_BD!L:L,'Basic Data'!T575,WTG_BD!F:F,"&gt;="&amp;O2Summary!$B$6,WTG_BD!F:F,"&lt;="&amp;O2Summary!$B$4)</f>
        <v>0</v>
      </c>
      <c r="V575" s="18">
        <f t="shared" si="15"/>
        <v>47</v>
      </c>
    </row>
    <row r="576" spans="19:22">
      <c r="S576" s="16">
        <v>575</v>
      </c>
      <c r="T576" s="16" t="s">
        <v>1127</v>
      </c>
      <c r="U576" s="17">
        <f>COUNTIFS(WTG_BD!L:L,'Basic Data'!T576,WTG_BD!F:F,"&gt;="&amp;O2Summary!$B$6,WTG_BD!F:F,"&lt;="&amp;O2Summary!$B$4)</f>
        <v>0</v>
      </c>
      <c r="V576" s="18">
        <f t="shared" si="15"/>
        <v>47</v>
      </c>
    </row>
    <row r="577" spans="19:22">
      <c r="S577" s="16">
        <v>576</v>
      </c>
      <c r="T577" s="16" t="s">
        <v>1128</v>
      </c>
      <c r="U577" s="17">
        <f>COUNTIFS(WTG_BD!L:L,'Basic Data'!T577,WTG_BD!F:F,"&gt;="&amp;O2Summary!$B$6,WTG_BD!F:F,"&lt;="&amp;O2Summary!$B$4)</f>
        <v>0</v>
      </c>
      <c r="V577" s="18">
        <f t="shared" si="15"/>
        <v>47</v>
      </c>
    </row>
    <row r="578" spans="19:22">
      <c r="S578" s="16">
        <v>577</v>
      </c>
      <c r="T578" s="16" t="s">
        <v>1129</v>
      </c>
      <c r="U578" s="17">
        <f>COUNTIFS(WTG_BD!L:L,'Basic Data'!T578,WTG_BD!F:F,"&gt;="&amp;O2Summary!$B$6,WTG_BD!F:F,"&lt;="&amp;O2Summary!$B$4)</f>
        <v>0</v>
      </c>
      <c r="V578" s="18">
        <f t="shared" si="15"/>
        <v>47</v>
      </c>
    </row>
    <row r="579" spans="19:22">
      <c r="S579" s="16">
        <v>578</v>
      </c>
      <c r="T579" s="16" t="s">
        <v>1130</v>
      </c>
      <c r="U579" s="17">
        <f>COUNTIFS(WTG_BD!L:L,'Basic Data'!T579,WTG_BD!F:F,"&gt;="&amp;O2Summary!$B$6,WTG_BD!F:F,"&lt;="&amp;O2Summary!$B$4)</f>
        <v>0</v>
      </c>
      <c r="V579" s="18">
        <f t="shared" ref="V579:V642" si="16">RANK(U579,$U$2:$U$3975)</f>
        <v>47</v>
      </c>
    </row>
    <row r="580" spans="19:22">
      <c r="S580" s="16">
        <v>579</v>
      </c>
      <c r="T580" s="16" t="s">
        <v>1131</v>
      </c>
      <c r="U580" s="17">
        <f>COUNTIFS(WTG_BD!L:L,'Basic Data'!T580,WTG_BD!F:F,"&gt;="&amp;O2Summary!$B$6,WTG_BD!F:F,"&lt;="&amp;O2Summary!$B$4)</f>
        <v>0</v>
      </c>
      <c r="V580" s="18">
        <f t="shared" si="16"/>
        <v>47</v>
      </c>
    </row>
    <row r="581" spans="19:22">
      <c r="S581" s="26">
        <v>580</v>
      </c>
      <c r="T581" s="26" t="s">
        <v>1132</v>
      </c>
      <c r="U581" s="17">
        <f>COUNTIFS(WTG_BD!L:L,'Basic Data'!T581,WTG_BD!F:F,"&gt;="&amp;O2Summary!$B$6,WTG_BD!F:F,"&lt;="&amp;O2Summary!$B$4)</f>
        <v>0</v>
      </c>
      <c r="V581" s="18">
        <f t="shared" si="16"/>
        <v>47</v>
      </c>
    </row>
    <row r="582" spans="19:22">
      <c r="S582" s="16">
        <v>581</v>
      </c>
      <c r="T582" s="16" t="s">
        <v>1133</v>
      </c>
      <c r="U582" s="17">
        <f>COUNTIFS(WTG_BD!L:L,'Basic Data'!T582,WTG_BD!F:F,"&gt;="&amp;O2Summary!$B$6,WTG_BD!F:F,"&lt;="&amp;O2Summary!$B$4)</f>
        <v>0</v>
      </c>
      <c r="V582" s="18">
        <f t="shared" si="16"/>
        <v>47</v>
      </c>
    </row>
    <row r="583" spans="19:22">
      <c r="S583" s="16">
        <v>582</v>
      </c>
      <c r="T583" s="16" t="s">
        <v>1134</v>
      </c>
      <c r="U583" s="17">
        <f>COUNTIFS(WTG_BD!L:L,'Basic Data'!T583,WTG_BD!F:F,"&gt;="&amp;O2Summary!$B$6,WTG_BD!F:F,"&lt;="&amp;O2Summary!$B$4)</f>
        <v>0</v>
      </c>
      <c r="V583" s="18">
        <f t="shared" si="16"/>
        <v>47</v>
      </c>
    </row>
    <row r="584" spans="19:22">
      <c r="S584" s="16">
        <v>583</v>
      </c>
      <c r="T584" s="16" t="s">
        <v>1135</v>
      </c>
      <c r="U584" s="17">
        <f>COUNTIFS(WTG_BD!L:L,'Basic Data'!T584,WTG_BD!F:F,"&gt;="&amp;O2Summary!$B$6,WTG_BD!F:F,"&lt;="&amp;O2Summary!$B$4)</f>
        <v>0</v>
      </c>
      <c r="V584" s="18">
        <f t="shared" si="16"/>
        <v>47</v>
      </c>
    </row>
    <row r="585" spans="19:22">
      <c r="S585" s="16">
        <v>584</v>
      </c>
      <c r="T585" s="16" t="s">
        <v>1136</v>
      </c>
      <c r="U585" s="17">
        <f>COUNTIFS(WTG_BD!L:L,'Basic Data'!T585,WTG_BD!F:F,"&gt;="&amp;O2Summary!$B$6,WTG_BD!F:F,"&lt;="&amp;O2Summary!$B$4)</f>
        <v>0</v>
      </c>
      <c r="V585" s="18">
        <f t="shared" si="16"/>
        <v>47</v>
      </c>
    </row>
    <row r="586" spans="19:22">
      <c r="S586" s="16">
        <v>585</v>
      </c>
      <c r="T586" s="16" t="s">
        <v>1137</v>
      </c>
      <c r="U586" s="17">
        <f>COUNTIFS(WTG_BD!L:L,'Basic Data'!T586,WTG_BD!F:F,"&gt;="&amp;O2Summary!$B$6,WTG_BD!F:F,"&lt;="&amp;O2Summary!$B$4)</f>
        <v>0</v>
      </c>
      <c r="V586" s="18">
        <f t="shared" si="16"/>
        <v>47</v>
      </c>
    </row>
    <row r="587" spans="19:22">
      <c r="S587" s="16">
        <v>586</v>
      </c>
      <c r="T587" s="16" t="s">
        <v>1138</v>
      </c>
      <c r="U587" s="17">
        <f>COUNTIFS(WTG_BD!L:L,'Basic Data'!T587,WTG_BD!F:F,"&gt;="&amp;O2Summary!$B$6,WTG_BD!F:F,"&lt;="&amp;O2Summary!$B$4)</f>
        <v>0</v>
      </c>
      <c r="V587" s="18">
        <f t="shared" si="16"/>
        <v>47</v>
      </c>
    </row>
    <row r="588" spans="19:22">
      <c r="S588" s="16">
        <v>587</v>
      </c>
      <c r="T588" s="16" t="s">
        <v>1139</v>
      </c>
      <c r="U588" s="17">
        <f>COUNTIFS(WTG_BD!L:L,'Basic Data'!T588,WTG_BD!F:F,"&gt;="&amp;O2Summary!$B$6,WTG_BD!F:F,"&lt;="&amp;O2Summary!$B$4)</f>
        <v>0</v>
      </c>
      <c r="V588" s="18">
        <f t="shared" si="16"/>
        <v>47</v>
      </c>
    </row>
    <row r="589" spans="19:22">
      <c r="S589" s="16">
        <v>588</v>
      </c>
      <c r="T589" s="16" t="s">
        <v>1140</v>
      </c>
      <c r="U589" s="17">
        <f>COUNTIFS(WTG_BD!L:L,'Basic Data'!T589,WTG_BD!F:F,"&gt;="&amp;O2Summary!$B$6,WTG_BD!F:F,"&lt;="&amp;O2Summary!$B$4)</f>
        <v>0</v>
      </c>
      <c r="V589" s="18">
        <f t="shared" si="16"/>
        <v>47</v>
      </c>
    </row>
    <row r="590" spans="19:22">
      <c r="S590" s="16">
        <v>589</v>
      </c>
      <c r="T590" s="16" t="s">
        <v>1141</v>
      </c>
      <c r="U590" s="17">
        <f>COUNTIFS(WTG_BD!L:L,'Basic Data'!T590,WTG_BD!F:F,"&gt;="&amp;O2Summary!$B$6,WTG_BD!F:F,"&lt;="&amp;O2Summary!$B$4)</f>
        <v>0</v>
      </c>
      <c r="V590" s="18">
        <f t="shared" si="16"/>
        <v>47</v>
      </c>
    </row>
    <row r="591" spans="19:22">
      <c r="S591" s="16">
        <v>590</v>
      </c>
      <c r="T591" s="16" t="s">
        <v>1141</v>
      </c>
      <c r="U591" s="17">
        <f>COUNTIFS(WTG_BD!L:L,'Basic Data'!T591,WTG_BD!F:F,"&gt;="&amp;O2Summary!$B$6,WTG_BD!F:F,"&lt;="&amp;O2Summary!$B$4)</f>
        <v>0</v>
      </c>
      <c r="V591" s="18">
        <f t="shared" si="16"/>
        <v>47</v>
      </c>
    </row>
    <row r="592" spans="19:22">
      <c r="S592" s="16">
        <v>591</v>
      </c>
      <c r="T592" s="16" t="s">
        <v>1142</v>
      </c>
      <c r="U592" s="17">
        <f>COUNTIFS(WTG_BD!L:L,'Basic Data'!T592,WTG_BD!F:F,"&gt;="&amp;O2Summary!$B$6,WTG_BD!F:F,"&lt;="&amp;O2Summary!$B$4)</f>
        <v>0</v>
      </c>
      <c r="V592" s="18">
        <f t="shared" si="16"/>
        <v>47</v>
      </c>
    </row>
    <row r="593" spans="19:22">
      <c r="S593" s="16">
        <v>592</v>
      </c>
      <c r="T593" s="16" t="s">
        <v>1143</v>
      </c>
      <c r="U593" s="17">
        <f>COUNTIFS(WTG_BD!L:L,'Basic Data'!T593,WTG_BD!F:F,"&gt;="&amp;O2Summary!$B$6,WTG_BD!F:F,"&lt;="&amp;O2Summary!$B$4)</f>
        <v>0</v>
      </c>
      <c r="V593" s="18">
        <f t="shared" si="16"/>
        <v>47</v>
      </c>
    </row>
    <row r="594" spans="19:22">
      <c r="S594" s="16">
        <v>593</v>
      </c>
      <c r="T594" s="16" t="s">
        <v>1144</v>
      </c>
      <c r="U594" s="17">
        <f>COUNTIFS(WTG_BD!L:L,'Basic Data'!T594,WTG_BD!F:F,"&gt;="&amp;O2Summary!$B$6,WTG_BD!F:F,"&lt;="&amp;O2Summary!$B$4)</f>
        <v>0</v>
      </c>
      <c r="V594" s="18">
        <f t="shared" si="16"/>
        <v>47</v>
      </c>
    </row>
    <row r="595" spans="19:22">
      <c r="S595" s="16">
        <v>594</v>
      </c>
      <c r="T595" s="16" t="s">
        <v>1145</v>
      </c>
      <c r="U595" s="17">
        <f>COUNTIFS(WTG_BD!L:L,'Basic Data'!T595,WTG_BD!F:F,"&gt;="&amp;O2Summary!$B$6,WTG_BD!F:F,"&lt;="&amp;O2Summary!$B$4)</f>
        <v>0</v>
      </c>
      <c r="V595" s="18">
        <f t="shared" si="16"/>
        <v>47</v>
      </c>
    </row>
    <row r="596" spans="19:22">
      <c r="S596" s="16">
        <v>595</v>
      </c>
      <c r="T596" s="16" t="s">
        <v>1146</v>
      </c>
      <c r="U596" s="17">
        <f>COUNTIFS(WTG_BD!L:L,'Basic Data'!T596,WTG_BD!F:F,"&gt;="&amp;O2Summary!$B$6,WTG_BD!F:F,"&lt;="&amp;O2Summary!$B$4)</f>
        <v>0</v>
      </c>
      <c r="V596" s="18">
        <f t="shared" si="16"/>
        <v>47</v>
      </c>
    </row>
    <row r="597" spans="19:22">
      <c r="S597" s="16">
        <v>596</v>
      </c>
      <c r="T597" s="16" t="s">
        <v>1147</v>
      </c>
      <c r="U597" s="17">
        <f>COUNTIFS(WTG_BD!L:L,'Basic Data'!T597,WTG_BD!F:F,"&gt;="&amp;O2Summary!$B$6,WTG_BD!F:F,"&lt;="&amp;O2Summary!$B$4)</f>
        <v>0</v>
      </c>
      <c r="V597" s="18">
        <f t="shared" si="16"/>
        <v>47</v>
      </c>
    </row>
    <row r="598" spans="19:22">
      <c r="S598" s="16">
        <v>597</v>
      </c>
      <c r="T598" s="16" t="s">
        <v>1148</v>
      </c>
      <c r="U598" s="17">
        <f>COUNTIFS(WTG_BD!L:L,'Basic Data'!T598,WTG_BD!F:F,"&gt;="&amp;O2Summary!$B$6,WTG_BD!F:F,"&lt;="&amp;O2Summary!$B$4)</f>
        <v>0</v>
      </c>
      <c r="V598" s="18">
        <f t="shared" si="16"/>
        <v>47</v>
      </c>
    </row>
    <row r="599" spans="19:22">
      <c r="S599" s="16">
        <v>598</v>
      </c>
      <c r="T599" s="16" t="s">
        <v>1149</v>
      </c>
      <c r="U599" s="17">
        <f>COUNTIFS(WTG_BD!L:L,'Basic Data'!T599,WTG_BD!F:F,"&gt;="&amp;O2Summary!$B$6,WTG_BD!F:F,"&lt;="&amp;O2Summary!$B$4)</f>
        <v>1</v>
      </c>
      <c r="V599" s="18">
        <f t="shared" si="16"/>
        <v>29</v>
      </c>
    </row>
    <row r="600" spans="19:22">
      <c r="S600" s="16">
        <v>599</v>
      </c>
      <c r="T600" s="16" t="s">
        <v>1150</v>
      </c>
      <c r="U600" s="17">
        <f>COUNTIFS(WTG_BD!L:L,'Basic Data'!T600,WTG_BD!F:F,"&gt;="&amp;O2Summary!$B$6,WTG_BD!F:F,"&lt;="&amp;O2Summary!$B$4)</f>
        <v>0</v>
      </c>
      <c r="V600" s="18">
        <f t="shared" si="16"/>
        <v>47</v>
      </c>
    </row>
    <row r="601" spans="19:22">
      <c r="S601" s="16">
        <v>600</v>
      </c>
      <c r="T601" s="16" t="s">
        <v>1151</v>
      </c>
      <c r="U601" s="17">
        <f>COUNTIFS(WTG_BD!L:L,'Basic Data'!T601,WTG_BD!F:F,"&gt;="&amp;O2Summary!$B$6,WTG_BD!F:F,"&lt;="&amp;O2Summary!$B$4)</f>
        <v>0</v>
      </c>
      <c r="V601" s="18">
        <f t="shared" si="16"/>
        <v>47</v>
      </c>
    </row>
    <row r="602" spans="19:22">
      <c r="S602" s="16">
        <v>601</v>
      </c>
      <c r="T602" s="16" t="s">
        <v>1152</v>
      </c>
      <c r="U602" s="17">
        <f>COUNTIFS(WTG_BD!L:L,'Basic Data'!T602,WTG_BD!F:F,"&gt;="&amp;O2Summary!$B$6,WTG_BD!F:F,"&lt;="&amp;O2Summary!$B$4)</f>
        <v>0</v>
      </c>
      <c r="V602" s="18">
        <f t="shared" si="16"/>
        <v>47</v>
      </c>
    </row>
    <row r="603" spans="19:22">
      <c r="S603" s="16">
        <v>602</v>
      </c>
      <c r="T603" s="16" t="s">
        <v>1153</v>
      </c>
      <c r="U603" s="17">
        <f>COUNTIFS(WTG_BD!L:L,'Basic Data'!T603,WTG_BD!F:F,"&gt;="&amp;O2Summary!$B$6,WTG_BD!F:F,"&lt;="&amp;O2Summary!$B$4)</f>
        <v>0</v>
      </c>
      <c r="V603" s="18">
        <f t="shared" si="16"/>
        <v>47</v>
      </c>
    </row>
    <row r="604" spans="19:22">
      <c r="S604" s="16">
        <v>603</v>
      </c>
      <c r="T604" s="16" t="s">
        <v>1154</v>
      </c>
      <c r="U604" s="17">
        <f>COUNTIFS(WTG_BD!L:L,'Basic Data'!T604,WTG_BD!F:F,"&gt;="&amp;O2Summary!$B$6,WTG_BD!F:F,"&lt;="&amp;O2Summary!$B$4)</f>
        <v>0</v>
      </c>
      <c r="V604" s="18">
        <f t="shared" si="16"/>
        <v>47</v>
      </c>
    </row>
    <row r="605" spans="19:22">
      <c r="S605" s="16">
        <v>604</v>
      </c>
      <c r="T605" s="16" t="s">
        <v>1155</v>
      </c>
      <c r="U605" s="17">
        <f>COUNTIFS(WTG_BD!L:L,'Basic Data'!T605,WTG_BD!F:F,"&gt;="&amp;O2Summary!$B$6,WTG_BD!F:F,"&lt;="&amp;O2Summary!$B$4)</f>
        <v>0</v>
      </c>
      <c r="V605" s="18">
        <f t="shared" si="16"/>
        <v>47</v>
      </c>
    </row>
    <row r="606" spans="19:22">
      <c r="S606" s="16">
        <v>605</v>
      </c>
      <c r="T606" s="16" t="s">
        <v>1156</v>
      </c>
      <c r="U606" s="17">
        <f>COUNTIFS(WTG_BD!L:L,'Basic Data'!T606,WTG_BD!F:F,"&gt;="&amp;O2Summary!$B$6,WTG_BD!F:F,"&lt;="&amp;O2Summary!$B$4)</f>
        <v>0</v>
      </c>
      <c r="V606" s="18">
        <f t="shared" si="16"/>
        <v>47</v>
      </c>
    </row>
    <row r="607" spans="19:22">
      <c r="S607" s="16">
        <v>606</v>
      </c>
      <c r="T607" s="16" t="s">
        <v>1157</v>
      </c>
      <c r="U607" s="17">
        <f>COUNTIFS(WTG_BD!L:L,'Basic Data'!T607,WTG_BD!F:F,"&gt;="&amp;O2Summary!$B$6,WTG_BD!F:F,"&lt;="&amp;O2Summary!$B$4)</f>
        <v>0</v>
      </c>
      <c r="V607" s="18">
        <f t="shared" si="16"/>
        <v>47</v>
      </c>
    </row>
    <row r="608" spans="19:22">
      <c r="S608" s="16">
        <v>607</v>
      </c>
      <c r="T608" s="16" t="s">
        <v>1158</v>
      </c>
      <c r="U608" s="17">
        <f>COUNTIFS(WTG_BD!L:L,'Basic Data'!T608,WTG_BD!F:F,"&gt;="&amp;O2Summary!$B$6,WTG_BD!F:F,"&lt;="&amp;O2Summary!$B$4)</f>
        <v>0</v>
      </c>
      <c r="V608" s="18">
        <f t="shared" si="16"/>
        <v>47</v>
      </c>
    </row>
    <row r="609" spans="19:22">
      <c r="S609" s="16">
        <v>608</v>
      </c>
      <c r="T609" s="16" t="s">
        <v>1159</v>
      </c>
      <c r="U609" s="17">
        <f>COUNTIFS(WTG_BD!L:L,'Basic Data'!T609,WTG_BD!F:F,"&gt;="&amp;O2Summary!$B$6,WTG_BD!F:F,"&lt;="&amp;O2Summary!$B$4)</f>
        <v>0</v>
      </c>
      <c r="V609" s="18">
        <f t="shared" si="16"/>
        <v>47</v>
      </c>
    </row>
    <row r="610" spans="19:22">
      <c r="S610" s="16">
        <v>609</v>
      </c>
      <c r="T610" s="16" t="s">
        <v>1160</v>
      </c>
      <c r="U610" s="17">
        <f>COUNTIFS(WTG_BD!L:L,'Basic Data'!T610,WTG_BD!F:F,"&gt;="&amp;O2Summary!$B$6,WTG_BD!F:F,"&lt;="&amp;O2Summary!$B$4)</f>
        <v>0</v>
      </c>
      <c r="V610" s="18">
        <f t="shared" si="16"/>
        <v>47</v>
      </c>
    </row>
    <row r="611" spans="19:22">
      <c r="S611" s="16">
        <v>610</v>
      </c>
      <c r="T611" s="16" t="s">
        <v>1161</v>
      </c>
      <c r="U611" s="17">
        <f>COUNTIFS(WTG_BD!L:L,'Basic Data'!T611,WTG_BD!F:F,"&gt;="&amp;O2Summary!$B$6,WTG_BD!F:F,"&lt;="&amp;O2Summary!$B$4)</f>
        <v>0</v>
      </c>
      <c r="V611" s="18">
        <f t="shared" si="16"/>
        <v>47</v>
      </c>
    </row>
    <row r="612" spans="19:22">
      <c r="S612" s="16">
        <v>611</v>
      </c>
      <c r="T612" s="16" t="s">
        <v>1162</v>
      </c>
      <c r="U612" s="17">
        <f>COUNTIFS(WTG_BD!L:L,'Basic Data'!T612,WTG_BD!F:F,"&gt;="&amp;O2Summary!$B$6,WTG_BD!F:F,"&lt;="&amp;O2Summary!$B$4)</f>
        <v>0</v>
      </c>
      <c r="V612" s="18">
        <f t="shared" si="16"/>
        <v>47</v>
      </c>
    </row>
    <row r="613" spans="19:22">
      <c r="S613" s="16">
        <v>614</v>
      </c>
      <c r="T613" s="16" t="s">
        <v>1163</v>
      </c>
      <c r="U613" s="17">
        <f>COUNTIFS(WTG_BD!L:L,'Basic Data'!T613,WTG_BD!F:F,"&gt;="&amp;O2Summary!$B$6,WTG_BD!F:F,"&lt;="&amp;O2Summary!$B$4)</f>
        <v>0</v>
      </c>
      <c r="V613" s="18">
        <f t="shared" si="16"/>
        <v>47</v>
      </c>
    </row>
    <row r="614" spans="19:22">
      <c r="S614" s="16">
        <v>615</v>
      </c>
      <c r="T614" s="16" t="s">
        <v>1164</v>
      </c>
      <c r="U614" s="17">
        <f>COUNTIFS(WTG_BD!L:L,'Basic Data'!T614,WTG_BD!F:F,"&gt;="&amp;O2Summary!$B$6,WTG_BD!F:F,"&lt;="&amp;O2Summary!$B$4)</f>
        <v>0</v>
      </c>
      <c r="V614" s="18">
        <f t="shared" si="16"/>
        <v>47</v>
      </c>
    </row>
    <row r="615" spans="19:22">
      <c r="S615" s="16">
        <v>616</v>
      </c>
      <c r="T615" s="16" t="s">
        <v>1165</v>
      </c>
      <c r="U615" s="17">
        <f>COUNTIFS(WTG_BD!L:L,'Basic Data'!T615,WTG_BD!F:F,"&gt;="&amp;O2Summary!$B$6,WTG_BD!F:F,"&lt;="&amp;O2Summary!$B$4)</f>
        <v>0</v>
      </c>
      <c r="V615" s="18">
        <f t="shared" si="16"/>
        <v>47</v>
      </c>
    </row>
    <row r="616" spans="19:22">
      <c r="S616" s="16">
        <v>617</v>
      </c>
      <c r="T616" s="16" t="s">
        <v>1166</v>
      </c>
      <c r="U616" s="17">
        <f>COUNTIFS(WTG_BD!L:L,'Basic Data'!T616,WTG_BD!F:F,"&gt;="&amp;O2Summary!$B$6,WTG_BD!F:F,"&lt;="&amp;O2Summary!$B$4)</f>
        <v>0</v>
      </c>
      <c r="V616" s="18">
        <f t="shared" si="16"/>
        <v>47</v>
      </c>
    </row>
    <row r="617" spans="19:22">
      <c r="S617" s="16">
        <v>618</v>
      </c>
      <c r="T617" s="16" t="s">
        <v>1167</v>
      </c>
      <c r="U617" s="17">
        <f>COUNTIFS(WTG_BD!L:L,'Basic Data'!T617,WTG_BD!F:F,"&gt;="&amp;O2Summary!$B$6,WTG_BD!F:F,"&lt;="&amp;O2Summary!$B$4)</f>
        <v>0</v>
      </c>
      <c r="V617" s="18">
        <f t="shared" si="16"/>
        <v>47</v>
      </c>
    </row>
    <row r="618" spans="19:22">
      <c r="S618" s="16">
        <v>619</v>
      </c>
      <c r="T618" s="16" t="s">
        <v>1168</v>
      </c>
      <c r="U618" s="17">
        <f>COUNTIFS(WTG_BD!L:L,'Basic Data'!T618,WTG_BD!F:F,"&gt;="&amp;O2Summary!$B$6,WTG_BD!F:F,"&lt;="&amp;O2Summary!$B$4)</f>
        <v>0</v>
      </c>
      <c r="V618" s="18">
        <f t="shared" si="16"/>
        <v>47</v>
      </c>
    </row>
    <row r="619" spans="19:22">
      <c r="S619" s="16">
        <v>620</v>
      </c>
      <c r="T619" s="16" t="s">
        <v>1169</v>
      </c>
      <c r="U619" s="17">
        <f>COUNTIFS(WTG_BD!L:L,'Basic Data'!T619,WTG_BD!F:F,"&gt;="&amp;O2Summary!$B$6,WTG_BD!F:F,"&lt;="&amp;O2Summary!$B$4)</f>
        <v>0</v>
      </c>
      <c r="V619" s="18">
        <f t="shared" si="16"/>
        <v>47</v>
      </c>
    </row>
    <row r="620" spans="19:22">
      <c r="S620" s="16">
        <v>621</v>
      </c>
      <c r="T620" s="16" t="s">
        <v>1170</v>
      </c>
      <c r="U620" s="17">
        <f>COUNTIFS(WTG_BD!L:L,'Basic Data'!T620,WTG_BD!F:F,"&gt;="&amp;O2Summary!$B$6,WTG_BD!F:F,"&lt;="&amp;O2Summary!$B$4)</f>
        <v>0</v>
      </c>
      <c r="V620" s="18">
        <f t="shared" si="16"/>
        <v>47</v>
      </c>
    </row>
    <row r="621" spans="19:22">
      <c r="S621" s="16">
        <v>622</v>
      </c>
      <c r="T621" s="16" t="s">
        <v>1171</v>
      </c>
      <c r="U621" s="17">
        <f>COUNTIFS(WTG_BD!L:L,'Basic Data'!T621,WTG_BD!F:F,"&gt;="&amp;O2Summary!$B$6,WTG_BD!F:F,"&lt;="&amp;O2Summary!$B$4)</f>
        <v>0</v>
      </c>
      <c r="V621" s="18">
        <f t="shared" si="16"/>
        <v>47</v>
      </c>
    </row>
    <row r="622" spans="19:22">
      <c r="S622" s="16">
        <v>623</v>
      </c>
      <c r="T622" s="16" t="s">
        <v>1172</v>
      </c>
      <c r="U622" s="17">
        <f>COUNTIFS(WTG_BD!L:L,'Basic Data'!T622,WTG_BD!F:F,"&gt;="&amp;O2Summary!$B$6,WTG_BD!F:F,"&lt;="&amp;O2Summary!$B$4)</f>
        <v>0</v>
      </c>
      <c r="V622" s="18">
        <f t="shared" si="16"/>
        <v>47</v>
      </c>
    </row>
    <row r="623" spans="19:22">
      <c r="S623" s="16">
        <v>624</v>
      </c>
      <c r="T623" s="16" t="s">
        <v>1173</v>
      </c>
      <c r="U623" s="17">
        <f>COUNTIFS(WTG_BD!L:L,'Basic Data'!T623,WTG_BD!F:F,"&gt;="&amp;O2Summary!$B$6,WTG_BD!F:F,"&lt;="&amp;O2Summary!$B$4)</f>
        <v>0</v>
      </c>
      <c r="V623" s="18">
        <f t="shared" si="16"/>
        <v>47</v>
      </c>
    </row>
    <row r="624" spans="19:22">
      <c r="S624" s="16">
        <v>625</v>
      </c>
      <c r="T624" s="16" t="s">
        <v>1174</v>
      </c>
      <c r="U624" s="17">
        <f>COUNTIFS(WTG_BD!L:L,'Basic Data'!T624,WTG_BD!F:F,"&gt;="&amp;O2Summary!$B$6,WTG_BD!F:F,"&lt;="&amp;O2Summary!$B$4)</f>
        <v>0</v>
      </c>
      <c r="V624" s="18">
        <f t="shared" si="16"/>
        <v>47</v>
      </c>
    </row>
    <row r="625" spans="19:22">
      <c r="S625" s="16">
        <v>626</v>
      </c>
      <c r="T625" s="16" t="s">
        <v>1175</v>
      </c>
      <c r="U625" s="17">
        <f>COUNTIFS(WTG_BD!L:L,'Basic Data'!T625,WTG_BD!F:F,"&gt;="&amp;O2Summary!$B$6,WTG_BD!F:F,"&lt;="&amp;O2Summary!$B$4)</f>
        <v>0</v>
      </c>
      <c r="V625" s="18">
        <f t="shared" si="16"/>
        <v>47</v>
      </c>
    </row>
    <row r="626" spans="19:22">
      <c r="S626" s="16">
        <v>627</v>
      </c>
      <c r="T626" s="16" t="s">
        <v>1176</v>
      </c>
      <c r="U626" s="17">
        <f>COUNTIFS(WTG_BD!L:L,'Basic Data'!T626,WTG_BD!F:F,"&gt;="&amp;O2Summary!$B$6,WTG_BD!F:F,"&lt;="&amp;O2Summary!$B$4)</f>
        <v>0</v>
      </c>
      <c r="V626" s="18">
        <f t="shared" si="16"/>
        <v>47</v>
      </c>
    </row>
    <row r="627" spans="19:22">
      <c r="S627" s="16">
        <v>628</v>
      </c>
      <c r="T627" s="16" t="s">
        <v>1177</v>
      </c>
      <c r="U627" s="17">
        <f>COUNTIFS(WTG_BD!L:L,'Basic Data'!T627,WTG_BD!F:F,"&gt;="&amp;O2Summary!$B$6,WTG_BD!F:F,"&lt;="&amp;O2Summary!$B$4)</f>
        <v>0</v>
      </c>
      <c r="V627" s="18">
        <f t="shared" si="16"/>
        <v>47</v>
      </c>
    </row>
    <row r="628" spans="19:22">
      <c r="S628" s="16">
        <v>629</v>
      </c>
      <c r="T628" s="16" t="s">
        <v>1178</v>
      </c>
      <c r="U628" s="17">
        <f>COUNTIFS(WTG_BD!L:L,'Basic Data'!T628,WTG_BD!F:F,"&gt;="&amp;O2Summary!$B$6,WTG_BD!F:F,"&lt;="&amp;O2Summary!$B$4)</f>
        <v>0</v>
      </c>
      <c r="V628" s="18">
        <f t="shared" si="16"/>
        <v>47</v>
      </c>
    </row>
    <row r="629" spans="19:22">
      <c r="S629" s="16">
        <v>630</v>
      </c>
      <c r="T629" s="16" t="s">
        <v>1179</v>
      </c>
      <c r="U629" s="17">
        <f>COUNTIFS(WTG_BD!L:L,'Basic Data'!T629,WTG_BD!F:F,"&gt;="&amp;O2Summary!$B$6,WTG_BD!F:F,"&lt;="&amp;O2Summary!$B$4)</f>
        <v>0</v>
      </c>
      <c r="V629" s="18">
        <f t="shared" si="16"/>
        <v>47</v>
      </c>
    </row>
    <row r="630" spans="19:22">
      <c r="S630" s="16">
        <v>631</v>
      </c>
      <c r="T630" s="16" t="s">
        <v>1180</v>
      </c>
      <c r="U630" s="17">
        <f>COUNTIFS(WTG_BD!L:L,'Basic Data'!T630,WTG_BD!F:F,"&gt;="&amp;O2Summary!$B$6,WTG_BD!F:F,"&lt;="&amp;O2Summary!$B$4)</f>
        <v>0</v>
      </c>
      <c r="V630" s="18">
        <f t="shared" si="16"/>
        <v>47</v>
      </c>
    </row>
    <row r="631" spans="19:22">
      <c r="S631" s="16">
        <v>632</v>
      </c>
      <c r="T631" s="16" t="s">
        <v>1181</v>
      </c>
      <c r="U631" s="17">
        <f>COUNTIFS(WTG_BD!L:L,'Basic Data'!T631,WTG_BD!F:F,"&gt;="&amp;O2Summary!$B$6,WTG_BD!F:F,"&lt;="&amp;O2Summary!$B$4)</f>
        <v>0</v>
      </c>
      <c r="V631" s="18">
        <f t="shared" si="16"/>
        <v>47</v>
      </c>
    </row>
    <row r="632" spans="19:22">
      <c r="S632" s="16">
        <v>633</v>
      </c>
      <c r="T632" s="16" t="s">
        <v>1182</v>
      </c>
      <c r="U632" s="17">
        <f>COUNTIFS(WTG_BD!L:L,'Basic Data'!T632,WTG_BD!F:F,"&gt;="&amp;O2Summary!$B$6,WTG_BD!F:F,"&lt;="&amp;O2Summary!$B$4)</f>
        <v>0</v>
      </c>
      <c r="V632" s="18">
        <f t="shared" si="16"/>
        <v>47</v>
      </c>
    </row>
    <row r="633" spans="19:22">
      <c r="S633" s="16">
        <v>634</v>
      </c>
      <c r="T633" s="16" t="s">
        <v>1183</v>
      </c>
      <c r="U633" s="17">
        <f>COUNTIFS(WTG_BD!L:L,'Basic Data'!T633,WTG_BD!F:F,"&gt;="&amp;O2Summary!$B$6,WTG_BD!F:F,"&lt;="&amp;O2Summary!$B$4)</f>
        <v>0</v>
      </c>
      <c r="V633" s="18">
        <f t="shared" si="16"/>
        <v>47</v>
      </c>
    </row>
    <row r="634" spans="19:22">
      <c r="S634" s="16">
        <v>635</v>
      </c>
      <c r="T634" s="16" t="s">
        <v>1184</v>
      </c>
      <c r="U634" s="17">
        <f>COUNTIFS(WTG_BD!L:L,'Basic Data'!T634,WTG_BD!F:F,"&gt;="&amp;O2Summary!$B$6,WTG_BD!F:F,"&lt;="&amp;O2Summary!$B$4)</f>
        <v>0</v>
      </c>
      <c r="V634" s="18">
        <f t="shared" si="16"/>
        <v>47</v>
      </c>
    </row>
    <row r="635" spans="19:22">
      <c r="S635" s="16">
        <v>636</v>
      </c>
      <c r="T635" s="16" t="s">
        <v>1185</v>
      </c>
      <c r="U635" s="17">
        <f>COUNTIFS(WTG_BD!L:L,'Basic Data'!T635,WTG_BD!F:F,"&gt;="&amp;O2Summary!$B$6,WTG_BD!F:F,"&lt;="&amp;O2Summary!$B$4)</f>
        <v>0</v>
      </c>
      <c r="V635" s="18">
        <f t="shared" si="16"/>
        <v>47</v>
      </c>
    </row>
    <row r="636" spans="19:22">
      <c r="S636" s="16">
        <v>637</v>
      </c>
      <c r="T636" s="16" t="s">
        <v>1186</v>
      </c>
      <c r="U636" s="17">
        <f>COUNTIFS(WTG_BD!L:L,'Basic Data'!T636,WTG_BD!F:F,"&gt;="&amp;O2Summary!$B$6,WTG_BD!F:F,"&lt;="&amp;O2Summary!$B$4)</f>
        <v>0</v>
      </c>
      <c r="V636" s="18">
        <f t="shared" si="16"/>
        <v>47</v>
      </c>
    </row>
    <row r="637" spans="19:22">
      <c r="S637" s="16">
        <v>638</v>
      </c>
      <c r="T637" s="16" t="s">
        <v>1187</v>
      </c>
      <c r="U637" s="17">
        <f>COUNTIFS(WTG_BD!L:L,'Basic Data'!T637,WTG_BD!F:F,"&gt;="&amp;O2Summary!$B$6,WTG_BD!F:F,"&lt;="&amp;O2Summary!$B$4)</f>
        <v>0</v>
      </c>
      <c r="V637" s="18">
        <f t="shared" si="16"/>
        <v>47</v>
      </c>
    </row>
    <row r="638" spans="19:22">
      <c r="S638" s="16">
        <v>639</v>
      </c>
      <c r="T638" s="16" t="s">
        <v>1188</v>
      </c>
      <c r="U638" s="17">
        <f>COUNTIFS(WTG_BD!L:L,'Basic Data'!T638,WTG_BD!F:F,"&gt;="&amp;O2Summary!$B$6,WTG_BD!F:F,"&lt;="&amp;O2Summary!$B$4)</f>
        <v>0</v>
      </c>
      <c r="V638" s="18">
        <f t="shared" si="16"/>
        <v>47</v>
      </c>
    </row>
    <row r="639" spans="19:22">
      <c r="S639" s="16">
        <v>640</v>
      </c>
      <c r="T639" s="16" t="s">
        <v>1189</v>
      </c>
      <c r="U639" s="17">
        <f>COUNTIFS(WTG_BD!L:L,'Basic Data'!T639,WTG_BD!F:F,"&gt;="&amp;O2Summary!$B$6,WTG_BD!F:F,"&lt;="&amp;O2Summary!$B$4)</f>
        <v>0</v>
      </c>
      <c r="V639" s="18">
        <f t="shared" si="16"/>
        <v>47</v>
      </c>
    </row>
    <row r="640" spans="19:22">
      <c r="S640" s="16">
        <v>641</v>
      </c>
      <c r="T640" s="16" t="s">
        <v>1190</v>
      </c>
      <c r="U640" s="17">
        <f>COUNTIFS(WTG_BD!L:L,'Basic Data'!T640,WTG_BD!F:F,"&gt;="&amp;O2Summary!$B$6,WTG_BD!F:F,"&lt;="&amp;O2Summary!$B$4)</f>
        <v>0</v>
      </c>
      <c r="V640" s="18">
        <f t="shared" si="16"/>
        <v>47</v>
      </c>
    </row>
    <row r="641" spans="19:22">
      <c r="S641" s="16">
        <v>642</v>
      </c>
      <c r="T641" s="16" t="s">
        <v>1191</v>
      </c>
      <c r="U641" s="17">
        <f>COUNTIFS(WTG_BD!L:L,'Basic Data'!T641,WTG_BD!F:F,"&gt;="&amp;O2Summary!$B$6,WTG_BD!F:F,"&lt;="&amp;O2Summary!$B$4)</f>
        <v>0</v>
      </c>
      <c r="V641" s="18">
        <f t="shared" si="16"/>
        <v>47</v>
      </c>
    </row>
    <row r="642" spans="19:22">
      <c r="S642" s="16">
        <v>643</v>
      </c>
      <c r="T642" s="16" t="s">
        <v>1192</v>
      </c>
      <c r="U642" s="17">
        <f>COUNTIFS(WTG_BD!L:L,'Basic Data'!T642,WTG_BD!F:F,"&gt;="&amp;O2Summary!$B$6,WTG_BD!F:F,"&lt;="&amp;O2Summary!$B$4)</f>
        <v>0</v>
      </c>
      <c r="V642" s="18">
        <f t="shared" si="16"/>
        <v>47</v>
      </c>
    </row>
    <row r="643" spans="19:22">
      <c r="S643" s="16">
        <v>644</v>
      </c>
      <c r="T643" s="16" t="s">
        <v>1193</v>
      </c>
      <c r="U643" s="17">
        <f>COUNTIFS(WTG_BD!L:L,'Basic Data'!T643,WTG_BD!F:F,"&gt;="&amp;O2Summary!$B$6,WTG_BD!F:F,"&lt;="&amp;O2Summary!$B$4)</f>
        <v>0</v>
      </c>
      <c r="V643" s="18">
        <f t="shared" ref="V643:V706" si="17">RANK(U643,$U$2:$U$3975)</f>
        <v>47</v>
      </c>
    </row>
    <row r="644" spans="19:22">
      <c r="S644" s="16">
        <v>645</v>
      </c>
      <c r="T644" s="16" t="s">
        <v>1194</v>
      </c>
      <c r="U644" s="17">
        <f>COUNTIFS(WTG_BD!L:L,'Basic Data'!T644,WTG_BD!F:F,"&gt;="&amp;O2Summary!$B$6,WTG_BD!F:F,"&lt;="&amp;O2Summary!$B$4)</f>
        <v>0</v>
      </c>
      <c r="V644" s="18">
        <f t="shared" si="17"/>
        <v>47</v>
      </c>
    </row>
    <row r="645" spans="19:22">
      <c r="S645" s="16">
        <v>646</v>
      </c>
      <c r="T645" s="16" t="s">
        <v>1195</v>
      </c>
      <c r="U645" s="17">
        <f>COUNTIFS(WTG_BD!L:L,'Basic Data'!T645,WTG_BD!F:F,"&gt;="&amp;O2Summary!$B$6,WTG_BD!F:F,"&lt;="&amp;O2Summary!$B$4)</f>
        <v>0</v>
      </c>
      <c r="V645" s="18">
        <f t="shared" si="17"/>
        <v>47</v>
      </c>
    </row>
    <row r="646" spans="19:22">
      <c r="S646" s="16">
        <v>647</v>
      </c>
      <c r="T646" s="16" t="s">
        <v>1196</v>
      </c>
      <c r="U646" s="17">
        <f>COUNTIFS(WTG_BD!L:L,'Basic Data'!T646,WTG_BD!F:F,"&gt;="&amp;O2Summary!$B$6,WTG_BD!F:F,"&lt;="&amp;O2Summary!$B$4)</f>
        <v>0</v>
      </c>
      <c r="V646" s="18">
        <f t="shared" si="17"/>
        <v>47</v>
      </c>
    </row>
    <row r="647" spans="19:22">
      <c r="S647" s="16">
        <v>648</v>
      </c>
      <c r="T647" s="16" t="s">
        <v>1197</v>
      </c>
      <c r="U647" s="17">
        <f>COUNTIFS(WTG_BD!L:L,'Basic Data'!T647,WTG_BD!F:F,"&gt;="&amp;O2Summary!$B$6,WTG_BD!F:F,"&lt;="&amp;O2Summary!$B$4)</f>
        <v>0</v>
      </c>
      <c r="V647" s="18">
        <f t="shared" si="17"/>
        <v>47</v>
      </c>
    </row>
    <row r="648" spans="19:22">
      <c r="S648" s="16">
        <v>649</v>
      </c>
      <c r="T648" s="16" t="s">
        <v>1198</v>
      </c>
      <c r="U648" s="17">
        <f>COUNTIFS(WTG_BD!L:L,'Basic Data'!T648,WTG_BD!F:F,"&gt;="&amp;O2Summary!$B$6,WTG_BD!F:F,"&lt;="&amp;O2Summary!$B$4)</f>
        <v>0</v>
      </c>
      <c r="V648" s="18">
        <f t="shared" si="17"/>
        <v>47</v>
      </c>
    </row>
    <row r="649" spans="19:22">
      <c r="S649" s="16">
        <v>650</v>
      </c>
      <c r="T649" s="16" t="s">
        <v>1199</v>
      </c>
      <c r="U649" s="17">
        <f>COUNTIFS(WTG_BD!L:L,'Basic Data'!T649,WTG_BD!F:F,"&gt;="&amp;O2Summary!$B$6,WTG_BD!F:F,"&lt;="&amp;O2Summary!$B$4)</f>
        <v>0</v>
      </c>
      <c r="V649" s="18">
        <f t="shared" si="17"/>
        <v>47</v>
      </c>
    </row>
    <row r="650" spans="19:22">
      <c r="S650" s="16">
        <v>651</v>
      </c>
      <c r="T650" s="16" t="s">
        <v>1200</v>
      </c>
      <c r="U650" s="17">
        <f>COUNTIFS(WTG_BD!L:L,'Basic Data'!T650,WTG_BD!F:F,"&gt;="&amp;O2Summary!$B$6,WTG_BD!F:F,"&lt;="&amp;O2Summary!$B$4)</f>
        <v>0</v>
      </c>
      <c r="V650" s="18">
        <f t="shared" si="17"/>
        <v>47</v>
      </c>
    </row>
    <row r="651" spans="19:22">
      <c r="S651" s="16">
        <v>652</v>
      </c>
      <c r="T651" s="16" t="s">
        <v>1201</v>
      </c>
      <c r="U651" s="17">
        <f>COUNTIFS(WTG_BD!L:L,'Basic Data'!T651,WTG_BD!F:F,"&gt;="&amp;O2Summary!$B$6,WTG_BD!F:F,"&lt;="&amp;O2Summary!$B$4)</f>
        <v>0</v>
      </c>
      <c r="V651" s="18">
        <f t="shared" si="17"/>
        <v>47</v>
      </c>
    </row>
    <row r="652" spans="19:22">
      <c r="S652" s="16">
        <v>653</v>
      </c>
      <c r="T652" s="16" t="s">
        <v>1202</v>
      </c>
      <c r="U652" s="17">
        <f>COUNTIFS(WTG_BD!L:L,'Basic Data'!T652,WTG_BD!F:F,"&gt;="&amp;O2Summary!$B$6,WTG_BD!F:F,"&lt;="&amp;O2Summary!$B$4)</f>
        <v>0</v>
      </c>
      <c r="V652" s="18">
        <f t="shared" si="17"/>
        <v>47</v>
      </c>
    </row>
    <row r="653" spans="19:22">
      <c r="S653" s="16">
        <v>654</v>
      </c>
      <c r="T653" s="16" t="s">
        <v>1203</v>
      </c>
      <c r="U653" s="17">
        <f>COUNTIFS(WTG_BD!L:L,'Basic Data'!T653,WTG_BD!F:F,"&gt;="&amp;O2Summary!$B$6,WTG_BD!F:F,"&lt;="&amp;O2Summary!$B$4)</f>
        <v>0</v>
      </c>
      <c r="V653" s="18">
        <f t="shared" si="17"/>
        <v>47</v>
      </c>
    </row>
    <row r="654" spans="19:22">
      <c r="S654" s="16">
        <v>655</v>
      </c>
      <c r="T654" s="16" t="s">
        <v>1204</v>
      </c>
      <c r="U654" s="17">
        <f>COUNTIFS(WTG_BD!L:L,'Basic Data'!T654,WTG_BD!F:F,"&gt;="&amp;O2Summary!$B$6,WTG_BD!F:F,"&lt;="&amp;O2Summary!$B$4)</f>
        <v>0</v>
      </c>
      <c r="V654" s="18">
        <f t="shared" si="17"/>
        <v>47</v>
      </c>
    </row>
    <row r="655" spans="19:22">
      <c r="S655" s="16">
        <v>656</v>
      </c>
      <c r="T655" s="16" t="s">
        <v>1205</v>
      </c>
      <c r="U655" s="17">
        <f>COUNTIFS(WTG_BD!L:L,'Basic Data'!T655,WTG_BD!F:F,"&gt;="&amp;O2Summary!$B$6,WTG_BD!F:F,"&lt;="&amp;O2Summary!$B$4)</f>
        <v>0</v>
      </c>
      <c r="V655" s="18">
        <f t="shared" si="17"/>
        <v>47</v>
      </c>
    </row>
    <row r="656" spans="19:22">
      <c r="S656" s="16">
        <v>657</v>
      </c>
      <c r="T656" s="16" t="s">
        <v>1206</v>
      </c>
      <c r="U656" s="17">
        <f>COUNTIFS(WTG_BD!L:L,'Basic Data'!T656,WTG_BD!F:F,"&gt;="&amp;O2Summary!$B$6,WTG_BD!F:F,"&lt;="&amp;O2Summary!$B$4)</f>
        <v>0</v>
      </c>
      <c r="V656" s="18">
        <f t="shared" si="17"/>
        <v>47</v>
      </c>
    </row>
    <row r="657" spans="19:22">
      <c r="S657" s="16">
        <v>658</v>
      </c>
      <c r="T657" s="16" t="s">
        <v>1207</v>
      </c>
      <c r="U657" s="17">
        <f>COUNTIFS(WTG_BD!L:L,'Basic Data'!T657,WTG_BD!F:F,"&gt;="&amp;O2Summary!$B$6,WTG_BD!F:F,"&lt;="&amp;O2Summary!$B$4)</f>
        <v>0</v>
      </c>
      <c r="V657" s="18">
        <f t="shared" si="17"/>
        <v>47</v>
      </c>
    </row>
    <row r="658" spans="19:22">
      <c r="S658" s="16">
        <v>659</v>
      </c>
      <c r="T658" s="16" t="s">
        <v>1208</v>
      </c>
      <c r="U658" s="17">
        <f>COUNTIFS(WTG_BD!L:L,'Basic Data'!T658,WTG_BD!F:F,"&gt;="&amp;O2Summary!$B$6,WTG_BD!F:F,"&lt;="&amp;O2Summary!$B$4)</f>
        <v>0</v>
      </c>
      <c r="V658" s="18">
        <f t="shared" si="17"/>
        <v>47</v>
      </c>
    </row>
    <row r="659" spans="19:22">
      <c r="S659" s="16">
        <v>660</v>
      </c>
      <c r="T659" s="16" t="s">
        <v>1209</v>
      </c>
      <c r="U659" s="17">
        <f>COUNTIFS(WTG_BD!L:L,'Basic Data'!T659,WTG_BD!F:F,"&gt;="&amp;O2Summary!$B$6,WTG_BD!F:F,"&lt;="&amp;O2Summary!$B$4)</f>
        <v>0</v>
      </c>
      <c r="V659" s="18">
        <f t="shared" si="17"/>
        <v>47</v>
      </c>
    </row>
    <row r="660" spans="19:22">
      <c r="S660" s="16">
        <v>661</v>
      </c>
      <c r="T660" s="16" t="s">
        <v>1210</v>
      </c>
      <c r="U660" s="17">
        <f>COUNTIFS(WTG_BD!L:L,'Basic Data'!T660,WTG_BD!F:F,"&gt;="&amp;O2Summary!$B$6,WTG_BD!F:F,"&lt;="&amp;O2Summary!$B$4)</f>
        <v>0</v>
      </c>
      <c r="V660" s="18">
        <f t="shared" si="17"/>
        <v>47</v>
      </c>
    </row>
    <row r="661" spans="19:22">
      <c r="S661" s="16">
        <v>662</v>
      </c>
      <c r="T661" s="16" t="s">
        <v>1211</v>
      </c>
      <c r="U661" s="17">
        <f>COUNTIFS(WTG_BD!L:L,'Basic Data'!T661,WTG_BD!F:F,"&gt;="&amp;O2Summary!$B$6,WTG_BD!F:F,"&lt;="&amp;O2Summary!$B$4)</f>
        <v>0</v>
      </c>
      <c r="V661" s="18">
        <f t="shared" si="17"/>
        <v>47</v>
      </c>
    </row>
    <row r="662" spans="19:22">
      <c r="S662" s="16">
        <v>663</v>
      </c>
      <c r="T662" s="16" t="s">
        <v>1212</v>
      </c>
      <c r="U662" s="17">
        <f>COUNTIFS(WTG_BD!L:L,'Basic Data'!T662,WTG_BD!F:F,"&gt;="&amp;O2Summary!$B$6,WTG_BD!F:F,"&lt;="&amp;O2Summary!$B$4)</f>
        <v>0</v>
      </c>
      <c r="V662" s="18">
        <f t="shared" si="17"/>
        <v>47</v>
      </c>
    </row>
    <row r="663" spans="19:22">
      <c r="S663" s="16">
        <v>664</v>
      </c>
      <c r="T663" s="16" t="s">
        <v>1213</v>
      </c>
      <c r="U663" s="17">
        <f>COUNTIFS(WTG_BD!L:L,'Basic Data'!T663,WTG_BD!F:F,"&gt;="&amp;O2Summary!$B$6,WTG_BD!F:F,"&lt;="&amp;O2Summary!$B$4)</f>
        <v>0</v>
      </c>
      <c r="V663" s="18">
        <f t="shared" si="17"/>
        <v>47</v>
      </c>
    </row>
    <row r="664" spans="19:22">
      <c r="S664" s="16">
        <v>665</v>
      </c>
      <c r="T664" s="16" t="s">
        <v>1214</v>
      </c>
      <c r="U664" s="17">
        <f>COUNTIFS(WTG_BD!L:L,'Basic Data'!T664,WTG_BD!F:F,"&gt;="&amp;O2Summary!$B$6,WTG_BD!F:F,"&lt;="&amp;O2Summary!$B$4)</f>
        <v>0</v>
      </c>
      <c r="V664" s="18">
        <f t="shared" si="17"/>
        <v>47</v>
      </c>
    </row>
    <row r="665" spans="19:22">
      <c r="S665" s="16">
        <v>666</v>
      </c>
      <c r="T665" s="16" t="s">
        <v>1215</v>
      </c>
      <c r="U665" s="17">
        <f>COUNTIFS(WTG_BD!L:L,'Basic Data'!T665,WTG_BD!F:F,"&gt;="&amp;O2Summary!$B$6,WTG_BD!F:F,"&lt;="&amp;O2Summary!$B$4)</f>
        <v>0</v>
      </c>
      <c r="V665" s="18">
        <f t="shared" si="17"/>
        <v>47</v>
      </c>
    </row>
    <row r="666" spans="19:22">
      <c r="S666" s="16">
        <v>667</v>
      </c>
      <c r="T666" s="16" t="s">
        <v>1216</v>
      </c>
      <c r="U666" s="17">
        <f>COUNTIFS(WTG_BD!L:L,'Basic Data'!T666,WTG_BD!F:F,"&gt;="&amp;O2Summary!$B$6,WTG_BD!F:F,"&lt;="&amp;O2Summary!$B$4)</f>
        <v>0</v>
      </c>
      <c r="V666" s="18">
        <f t="shared" si="17"/>
        <v>47</v>
      </c>
    </row>
    <row r="667" spans="19:22">
      <c r="S667" s="16">
        <v>668</v>
      </c>
      <c r="T667" s="16" t="s">
        <v>1217</v>
      </c>
      <c r="U667" s="17">
        <f>COUNTIFS(WTG_BD!L:L,'Basic Data'!T667,WTG_BD!F:F,"&gt;="&amp;O2Summary!$B$6,WTG_BD!F:F,"&lt;="&amp;O2Summary!$B$4)</f>
        <v>0</v>
      </c>
      <c r="V667" s="18">
        <f t="shared" si="17"/>
        <v>47</v>
      </c>
    </row>
    <row r="668" spans="19:22">
      <c r="S668" s="16">
        <v>669</v>
      </c>
      <c r="T668" s="16" t="s">
        <v>1218</v>
      </c>
      <c r="U668" s="17">
        <f>COUNTIFS(WTG_BD!L:L,'Basic Data'!T668,WTG_BD!F:F,"&gt;="&amp;O2Summary!$B$6,WTG_BD!F:F,"&lt;="&amp;O2Summary!$B$4)</f>
        <v>0</v>
      </c>
      <c r="V668" s="18">
        <f t="shared" si="17"/>
        <v>47</v>
      </c>
    </row>
    <row r="669" spans="19:22">
      <c r="S669" s="16">
        <v>670</v>
      </c>
      <c r="T669" s="16" t="s">
        <v>1219</v>
      </c>
      <c r="U669" s="17">
        <f>COUNTIFS(WTG_BD!L:L,'Basic Data'!T669,WTG_BD!F:F,"&gt;="&amp;O2Summary!$B$6,WTG_BD!F:F,"&lt;="&amp;O2Summary!$B$4)</f>
        <v>0</v>
      </c>
      <c r="V669" s="18">
        <f t="shared" si="17"/>
        <v>47</v>
      </c>
    </row>
    <row r="670" spans="19:22">
      <c r="S670" s="16">
        <v>671</v>
      </c>
      <c r="T670" s="16" t="s">
        <v>1220</v>
      </c>
      <c r="U670" s="17">
        <f>COUNTIFS(WTG_BD!L:L,'Basic Data'!T670,WTG_BD!F:F,"&gt;="&amp;O2Summary!$B$6,WTG_BD!F:F,"&lt;="&amp;O2Summary!$B$4)</f>
        <v>0</v>
      </c>
      <c r="V670" s="18">
        <f t="shared" si="17"/>
        <v>47</v>
      </c>
    </row>
    <row r="671" spans="19:22">
      <c r="S671" s="16">
        <v>672</v>
      </c>
      <c r="T671" s="16" t="s">
        <v>1221</v>
      </c>
      <c r="U671" s="17">
        <f>COUNTIFS(WTG_BD!L:L,'Basic Data'!T671,WTG_BD!F:F,"&gt;="&amp;O2Summary!$B$6,WTG_BD!F:F,"&lt;="&amp;O2Summary!$B$4)</f>
        <v>0</v>
      </c>
      <c r="V671" s="18">
        <f t="shared" si="17"/>
        <v>47</v>
      </c>
    </row>
    <row r="672" spans="19:22">
      <c r="S672" s="16">
        <v>673</v>
      </c>
      <c r="T672" s="16" t="s">
        <v>1222</v>
      </c>
      <c r="U672" s="17">
        <f>COUNTIFS(WTG_BD!L:L,'Basic Data'!T672,WTG_BD!F:F,"&gt;="&amp;O2Summary!$B$6,WTG_BD!F:F,"&lt;="&amp;O2Summary!$B$4)</f>
        <v>0</v>
      </c>
      <c r="V672" s="18">
        <f t="shared" si="17"/>
        <v>47</v>
      </c>
    </row>
    <row r="673" spans="19:22">
      <c r="S673" s="16">
        <v>674</v>
      </c>
      <c r="T673" s="16" t="s">
        <v>1223</v>
      </c>
      <c r="U673" s="17">
        <f>COUNTIFS(WTG_BD!L:L,'Basic Data'!T673,WTG_BD!F:F,"&gt;="&amp;O2Summary!$B$6,WTG_BD!F:F,"&lt;="&amp;O2Summary!$B$4)</f>
        <v>0</v>
      </c>
      <c r="V673" s="18">
        <f t="shared" si="17"/>
        <v>47</v>
      </c>
    </row>
    <row r="674" spans="19:22">
      <c r="S674" s="16">
        <v>675</v>
      </c>
      <c r="T674" s="16" t="s">
        <v>1224</v>
      </c>
      <c r="U674" s="17">
        <f>COUNTIFS(WTG_BD!L:L,'Basic Data'!T674,WTG_BD!F:F,"&gt;="&amp;O2Summary!$B$6,WTG_BD!F:F,"&lt;="&amp;O2Summary!$B$4)</f>
        <v>0</v>
      </c>
      <c r="V674" s="18">
        <f t="shared" si="17"/>
        <v>47</v>
      </c>
    </row>
    <row r="675" spans="19:22">
      <c r="S675" s="16">
        <v>676</v>
      </c>
      <c r="T675" s="16" t="s">
        <v>1225</v>
      </c>
      <c r="U675" s="17">
        <f>COUNTIFS(WTG_BD!L:L,'Basic Data'!T675,WTG_BD!F:F,"&gt;="&amp;O2Summary!$B$6,WTG_BD!F:F,"&lt;="&amp;O2Summary!$B$4)</f>
        <v>0</v>
      </c>
      <c r="V675" s="18">
        <f t="shared" si="17"/>
        <v>47</v>
      </c>
    </row>
    <row r="676" spans="19:22">
      <c r="S676" s="16">
        <v>677</v>
      </c>
      <c r="T676" s="16" t="s">
        <v>1226</v>
      </c>
      <c r="U676" s="17">
        <f>COUNTIFS(WTG_BD!L:L,'Basic Data'!T676,WTG_BD!F:F,"&gt;="&amp;O2Summary!$B$6,WTG_BD!F:F,"&lt;="&amp;O2Summary!$B$4)</f>
        <v>0</v>
      </c>
      <c r="V676" s="18">
        <f t="shared" si="17"/>
        <v>47</v>
      </c>
    </row>
    <row r="677" spans="19:22">
      <c r="S677" s="16">
        <v>678</v>
      </c>
      <c r="T677" s="16" t="s">
        <v>1227</v>
      </c>
      <c r="U677" s="17">
        <f>COUNTIFS(WTG_BD!L:L,'Basic Data'!T677,WTG_BD!F:F,"&gt;="&amp;O2Summary!$B$6,WTG_BD!F:F,"&lt;="&amp;O2Summary!$B$4)</f>
        <v>0</v>
      </c>
      <c r="V677" s="18">
        <f t="shared" si="17"/>
        <v>47</v>
      </c>
    </row>
    <row r="678" spans="19:22">
      <c r="S678" s="16">
        <v>679</v>
      </c>
      <c r="T678" s="16" t="s">
        <v>1228</v>
      </c>
      <c r="U678" s="17">
        <f>COUNTIFS(WTG_BD!L:L,'Basic Data'!T678,WTG_BD!F:F,"&gt;="&amp;O2Summary!$B$6,WTG_BD!F:F,"&lt;="&amp;O2Summary!$B$4)</f>
        <v>0</v>
      </c>
      <c r="V678" s="18">
        <f t="shared" si="17"/>
        <v>47</v>
      </c>
    </row>
    <row r="679" spans="19:22">
      <c r="S679" s="16">
        <v>680</v>
      </c>
      <c r="T679" s="16" t="s">
        <v>1229</v>
      </c>
      <c r="U679" s="17">
        <f>COUNTIFS(WTG_BD!L:L,'Basic Data'!T679,WTG_BD!F:F,"&gt;="&amp;O2Summary!$B$6,WTG_BD!F:F,"&lt;="&amp;O2Summary!$B$4)</f>
        <v>0</v>
      </c>
      <c r="V679" s="18">
        <f t="shared" si="17"/>
        <v>47</v>
      </c>
    </row>
    <row r="680" spans="19:22">
      <c r="S680" s="16">
        <v>681</v>
      </c>
      <c r="T680" s="16" t="s">
        <v>1230</v>
      </c>
      <c r="U680" s="17">
        <f>COUNTIFS(WTG_BD!L:L,'Basic Data'!T680,WTG_BD!F:F,"&gt;="&amp;O2Summary!$B$6,WTG_BD!F:F,"&lt;="&amp;O2Summary!$B$4)</f>
        <v>0</v>
      </c>
      <c r="V680" s="18">
        <f t="shared" si="17"/>
        <v>47</v>
      </c>
    </row>
    <row r="681" spans="19:22">
      <c r="S681" s="16">
        <v>682</v>
      </c>
      <c r="T681" s="16" t="s">
        <v>1231</v>
      </c>
      <c r="U681" s="17">
        <f>COUNTIFS(WTG_BD!L:L,'Basic Data'!T681,WTG_BD!F:F,"&gt;="&amp;O2Summary!$B$6,WTG_BD!F:F,"&lt;="&amp;O2Summary!$B$4)</f>
        <v>0</v>
      </c>
      <c r="V681" s="18">
        <f t="shared" si="17"/>
        <v>47</v>
      </c>
    </row>
    <row r="682" spans="19:22">
      <c r="S682" s="16">
        <v>683</v>
      </c>
      <c r="T682" s="16" t="s">
        <v>1232</v>
      </c>
      <c r="U682" s="17">
        <f>COUNTIFS(WTG_BD!L:L,'Basic Data'!T682,WTG_BD!F:F,"&gt;="&amp;O2Summary!$B$6,WTG_BD!F:F,"&lt;="&amp;O2Summary!$B$4)</f>
        <v>0</v>
      </c>
      <c r="V682" s="18">
        <f t="shared" si="17"/>
        <v>47</v>
      </c>
    </row>
    <row r="683" spans="19:22">
      <c r="S683" s="16">
        <v>684</v>
      </c>
      <c r="T683" s="16" t="s">
        <v>1233</v>
      </c>
      <c r="U683" s="17">
        <f>COUNTIFS(WTG_BD!L:L,'Basic Data'!T683,WTG_BD!F:F,"&gt;="&amp;O2Summary!$B$6,WTG_BD!F:F,"&lt;="&amp;O2Summary!$B$4)</f>
        <v>0</v>
      </c>
      <c r="V683" s="18">
        <f t="shared" si="17"/>
        <v>47</v>
      </c>
    </row>
    <row r="684" spans="19:22">
      <c r="S684" s="16">
        <v>685</v>
      </c>
      <c r="T684" s="16" t="s">
        <v>1234</v>
      </c>
      <c r="U684" s="17">
        <f>COUNTIFS(WTG_BD!L:L,'Basic Data'!T684,WTG_BD!F:F,"&gt;="&amp;O2Summary!$B$6,WTG_BD!F:F,"&lt;="&amp;O2Summary!$B$4)</f>
        <v>0</v>
      </c>
      <c r="V684" s="18">
        <f t="shared" si="17"/>
        <v>47</v>
      </c>
    </row>
    <row r="685" spans="19:22">
      <c r="S685" s="16">
        <v>686</v>
      </c>
      <c r="T685" s="16" t="s">
        <v>1235</v>
      </c>
      <c r="U685" s="17">
        <f>COUNTIFS(WTG_BD!L:L,'Basic Data'!T685,WTG_BD!F:F,"&gt;="&amp;O2Summary!$B$6,WTG_BD!F:F,"&lt;="&amp;O2Summary!$B$4)</f>
        <v>0</v>
      </c>
      <c r="V685" s="18">
        <f t="shared" si="17"/>
        <v>47</v>
      </c>
    </row>
    <row r="686" spans="19:22">
      <c r="S686" s="16">
        <v>687</v>
      </c>
      <c r="T686" s="16" t="s">
        <v>1236</v>
      </c>
      <c r="U686" s="17">
        <f>COUNTIFS(WTG_BD!L:L,'Basic Data'!T686,WTG_BD!F:F,"&gt;="&amp;O2Summary!$B$6,WTG_BD!F:F,"&lt;="&amp;O2Summary!$B$4)</f>
        <v>0</v>
      </c>
      <c r="V686" s="18">
        <f t="shared" si="17"/>
        <v>47</v>
      </c>
    </row>
    <row r="687" spans="19:22">
      <c r="S687" s="16">
        <v>688</v>
      </c>
      <c r="T687" s="16" t="s">
        <v>1237</v>
      </c>
      <c r="U687" s="17">
        <f>COUNTIFS(WTG_BD!L:L,'Basic Data'!T687,WTG_BD!F:F,"&gt;="&amp;O2Summary!$B$6,WTG_BD!F:F,"&lt;="&amp;O2Summary!$B$4)</f>
        <v>0</v>
      </c>
      <c r="V687" s="18">
        <f t="shared" si="17"/>
        <v>47</v>
      </c>
    </row>
    <row r="688" spans="19:22">
      <c r="S688" s="16">
        <v>689</v>
      </c>
      <c r="T688" s="16" t="s">
        <v>1238</v>
      </c>
      <c r="U688" s="17">
        <f>COUNTIFS(WTG_BD!L:L,'Basic Data'!T688,WTG_BD!F:F,"&gt;="&amp;O2Summary!$B$6,WTG_BD!F:F,"&lt;="&amp;O2Summary!$B$4)</f>
        <v>0</v>
      </c>
      <c r="V688" s="18">
        <f t="shared" si="17"/>
        <v>47</v>
      </c>
    </row>
    <row r="689" spans="19:22">
      <c r="S689" s="16">
        <v>690</v>
      </c>
      <c r="T689" s="16" t="s">
        <v>1239</v>
      </c>
      <c r="U689" s="17">
        <f>COUNTIFS(WTG_BD!L:L,'Basic Data'!T689,WTG_BD!F:F,"&gt;="&amp;O2Summary!$B$6,WTG_BD!F:F,"&lt;="&amp;O2Summary!$B$4)</f>
        <v>0</v>
      </c>
      <c r="V689" s="18">
        <f t="shared" si="17"/>
        <v>47</v>
      </c>
    </row>
    <row r="690" spans="19:22">
      <c r="S690" s="16">
        <v>691</v>
      </c>
      <c r="T690" s="16" t="s">
        <v>1240</v>
      </c>
      <c r="U690" s="17">
        <f>COUNTIFS(WTG_BD!L:L,'Basic Data'!T690,WTG_BD!F:F,"&gt;="&amp;O2Summary!$B$6,WTG_BD!F:F,"&lt;="&amp;O2Summary!$B$4)</f>
        <v>0</v>
      </c>
      <c r="V690" s="18">
        <f t="shared" si="17"/>
        <v>47</v>
      </c>
    </row>
    <row r="691" spans="19:22">
      <c r="S691" s="16">
        <v>692</v>
      </c>
      <c r="T691" s="16" t="s">
        <v>1241</v>
      </c>
      <c r="U691" s="17">
        <f>COUNTIFS(WTG_BD!L:L,'Basic Data'!T691,WTG_BD!F:F,"&gt;="&amp;O2Summary!$B$6,WTG_BD!F:F,"&lt;="&amp;O2Summary!$B$4)</f>
        <v>0</v>
      </c>
      <c r="V691" s="18">
        <f t="shared" si="17"/>
        <v>47</v>
      </c>
    </row>
    <row r="692" spans="19:22">
      <c r="S692" s="16">
        <v>693</v>
      </c>
      <c r="T692" s="16" t="s">
        <v>1242</v>
      </c>
      <c r="U692" s="17">
        <f>COUNTIFS(WTG_BD!L:L,'Basic Data'!T692,WTG_BD!F:F,"&gt;="&amp;O2Summary!$B$6,WTG_BD!F:F,"&lt;="&amp;O2Summary!$B$4)</f>
        <v>0</v>
      </c>
      <c r="V692" s="18">
        <f t="shared" si="17"/>
        <v>47</v>
      </c>
    </row>
    <row r="693" spans="19:22">
      <c r="S693" s="16">
        <v>694</v>
      </c>
      <c r="T693" s="16" t="s">
        <v>1243</v>
      </c>
      <c r="U693" s="17">
        <f>COUNTIFS(WTG_BD!L:L,'Basic Data'!T693,WTG_BD!F:F,"&gt;="&amp;O2Summary!$B$6,WTG_BD!F:F,"&lt;="&amp;O2Summary!$B$4)</f>
        <v>0</v>
      </c>
      <c r="V693" s="18">
        <f t="shared" si="17"/>
        <v>47</v>
      </c>
    </row>
    <row r="694" spans="19:22">
      <c r="S694" s="16">
        <v>695</v>
      </c>
      <c r="T694" s="16" t="s">
        <v>1244</v>
      </c>
      <c r="U694" s="17">
        <f>COUNTIFS(WTG_BD!L:L,'Basic Data'!T694,WTG_BD!F:F,"&gt;="&amp;O2Summary!$B$6,WTG_BD!F:F,"&lt;="&amp;O2Summary!$B$4)</f>
        <v>0</v>
      </c>
      <c r="V694" s="18">
        <f t="shared" si="17"/>
        <v>47</v>
      </c>
    </row>
    <row r="695" spans="19:22">
      <c r="S695" s="16">
        <v>696</v>
      </c>
      <c r="T695" s="16" t="s">
        <v>1245</v>
      </c>
      <c r="U695" s="17">
        <f>COUNTIFS(WTG_BD!L:L,'Basic Data'!T695,WTG_BD!F:F,"&gt;="&amp;O2Summary!$B$6,WTG_BD!F:F,"&lt;="&amp;O2Summary!$B$4)</f>
        <v>0</v>
      </c>
      <c r="V695" s="18">
        <f t="shared" si="17"/>
        <v>47</v>
      </c>
    </row>
    <row r="696" spans="19:22">
      <c r="S696" s="16">
        <v>697</v>
      </c>
      <c r="T696" s="16" t="s">
        <v>1246</v>
      </c>
      <c r="U696" s="17">
        <f>COUNTIFS(WTG_BD!L:L,'Basic Data'!T696,WTG_BD!F:F,"&gt;="&amp;O2Summary!$B$6,WTG_BD!F:F,"&lt;="&amp;O2Summary!$B$4)</f>
        <v>0</v>
      </c>
      <c r="V696" s="18">
        <f t="shared" si="17"/>
        <v>47</v>
      </c>
    </row>
    <row r="697" spans="19:22">
      <c r="S697" s="16">
        <v>698</v>
      </c>
      <c r="T697" s="16" t="s">
        <v>1247</v>
      </c>
      <c r="U697" s="17">
        <f>COUNTIFS(WTG_BD!L:L,'Basic Data'!T697,WTG_BD!F:F,"&gt;="&amp;O2Summary!$B$6,WTG_BD!F:F,"&lt;="&amp;O2Summary!$B$4)</f>
        <v>0</v>
      </c>
      <c r="V697" s="18">
        <f t="shared" si="17"/>
        <v>47</v>
      </c>
    </row>
    <row r="698" spans="19:22">
      <c r="S698" s="16">
        <v>699</v>
      </c>
      <c r="T698" s="16" t="s">
        <v>1248</v>
      </c>
      <c r="U698" s="17">
        <f>COUNTIFS(WTG_BD!L:L,'Basic Data'!T698,WTG_BD!F:F,"&gt;="&amp;O2Summary!$B$6,WTG_BD!F:F,"&lt;="&amp;O2Summary!$B$4)</f>
        <v>0</v>
      </c>
      <c r="V698" s="18">
        <f t="shared" si="17"/>
        <v>47</v>
      </c>
    </row>
    <row r="699" spans="19:22">
      <c r="S699" s="16">
        <v>700</v>
      </c>
      <c r="T699" s="16" t="s">
        <v>1249</v>
      </c>
      <c r="U699" s="17">
        <f>COUNTIFS(WTG_BD!L:L,'Basic Data'!T699,WTG_BD!F:F,"&gt;="&amp;O2Summary!$B$6,WTG_BD!F:F,"&lt;="&amp;O2Summary!$B$4)</f>
        <v>0</v>
      </c>
      <c r="V699" s="18">
        <f t="shared" si="17"/>
        <v>47</v>
      </c>
    </row>
    <row r="700" spans="19:22">
      <c r="S700" s="16">
        <v>701</v>
      </c>
      <c r="T700" s="16" t="s">
        <v>1250</v>
      </c>
      <c r="U700" s="17">
        <f>COUNTIFS(WTG_BD!L:L,'Basic Data'!T700,WTG_BD!F:F,"&gt;="&amp;O2Summary!$B$6,WTG_BD!F:F,"&lt;="&amp;O2Summary!$B$4)</f>
        <v>0</v>
      </c>
      <c r="V700" s="18">
        <f t="shared" si="17"/>
        <v>47</v>
      </c>
    </row>
    <row r="701" spans="19:22">
      <c r="S701" s="16">
        <v>702</v>
      </c>
      <c r="T701" s="16" t="s">
        <v>1251</v>
      </c>
      <c r="U701" s="17">
        <f>COUNTIFS(WTG_BD!L:L,'Basic Data'!T701,WTG_BD!F:F,"&gt;="&amp;O2Summary!$B$6,WTG_BD!F:F,"&lt;="&amp;O2Summary!$B$4)</f>
        <v>0</v>
      </c>
      <c r="V701" s="18">
        <f t="shared" si="17"/>
        <v>47</v>
      </c>
    </row>
    <row r="702" spans="19:22">
      <c r="S702" s="16">
        <v>703</v>
      </c>
      <c r="T702" s="16" t="s">
        <v>1252</v>
      </c>
      <c r="U702" s="17">
        <f>COUNTIFS(WTG_BD!L:L,'Basic Data'!T702,WTG_BD!F:F,"&gt;="&amp;O2Summary!$B$6,WTG_BD!F:F,"&lt;="&amp;O2Summary!$B$4)</f>
        <v>0</v>
      </c>
      <c r="V702" s="18">
        <f t="shared" si="17"/>
        <v>47</v>
      </c>
    </row>
    <row r="703" spans="19:22">
      <c r="S703" s="16">
        <v>704</v>
      </c>
      <c r="T703" s="16" t="s">
        <v>372</v>
      </c>
      <c r="U703" s="17">
        <f>COUNTIFS(WTG_BD!L:L,'Basic Data'!T703,WTG_BD!F:F,"&gt;="&amp;O2Summary!$B$6,WTG_BD!F:F,"&lt;="&amp;O2Summary!$B$4)</f>
        <v>93</v>
      </c>
      <c r="V703" s="18">
        <f t="shared" si="17"/>
        <v>2</v>
      </c>
    </row>
    <row r="704" spans="19:22">
      <c r="S704" s="16">
        <v>705</v>
      </c>
      <c r="T704" s="16" t="s">
        <v>1253</v>
      </c>
      <c r="U704" s="17">
        <f>COUNTIFS(WTG_BD!L:L,'Basic Data'!T704,WTG_BD!F:F,"&gt;="&amp;O2Summary!$B$6,WTG_BD!F:F,"&lt;="&amp;O2Summary!$B$4)</f>
        <v>0</v>
      </c>
      <c r="V704" s="18">
        <f t="shared" si="17"/>
        <v>47</v>
      </c>
    </row>
    <row r="705" spans="19:22">
      <c r="S705" s="16">
        <v>706</v>
      </c>
      <c r="T705" s="16" t="s">
        <v>1254</v>
      </c>
      <c r="U705" s="17">
        <f>COUNTIFS(WTG_BD!L:L,'Basic Data'!T705,WTG_BD!F:F,"&gt;="&amp;O2Summary!$B$6,WTG_BD!F:F,"&lt;="&amp;O2Summary!$B$4)</f>
        <v>0</v>
      </c>
      <c r="V705" s="18">
        <f t="shared" si="17"/>
        <v>47</v>
      </c>
    </row>
    <row r="706" spans="19:22">
      <c r="S706" s="16">
        <v>707</v>
      </c>
      <c r="T706" s="16" t="s">
        <v>144</v>
      </c>
      <c r="U706" s="17">
        <f>COUNTIFS(WTG_BD!L:L,'Basic Data'!T706,WTG_BD!F:F,"&gt;="&amp;O2Summary!$B$6,WTG_BD!F:F,"&lt;="&amp;O2Summary!$B$4)</f>
        <v>6</v>
      </c>
      <c r="V706" s="18">
        <f t="shared" si="17"/>
        <v>13</v>
      </c>
    </row>
    <row r="707" spans="19:22">
      <c r="S707" s="16">
        <v>708</v>
      </c>
      <c r="T707" s="16" t="s">
        <v>1255</v>
      </c>
      <c r="U707" s="17">
        <f>COUNTIFS(WTG_BD!L:L,'Basic Data'!T707,WTG_BD!F:F,"&gt;="&amp;O2Summary!$B$6,WTG_BD!F:F,"&lt;="&amp;O2Summary!$B$4)</f>
        <v>0</v>
      </c>
      <c r="V707" s="18">
        <f t="shared" ref="V707:V770" si="18">RANK(U707,$U$2:$U$3975)</f>
        <v>47</v>
      </c>
    </row>
    <row r="708" spans="19:22">
      <c r="S708" s="16">
        <v>709</v>
      </c>
      <c r="T708" s="16" t="s">
        <v>1256</v>
      </c>
      <c r="U708" s="17">
        <f>COUNTIFS(WTG_BD!L:L,'Basic Data'!T708,WTG_BD!F:F,"&gt;="&amp;O2Summary!$B$6,WTG_BD!F:F,"&lt;="&amp;O2Summary!$B$4)</f>
        <v>0</v>
      </c>
      <c r="V708" s="18">
        <f t="shared" si="18"/>
        <v>47</v>
      </c>
    </row>
    <row r="709" spans="19:22">
      <c r="S709" s="16">
        <v>710</v>
      </c>
      <c r="T709" s="16" t="s">
        <v>1257</v>
      </c>
      <c r="U709" s="17">
        <f>COUNTIFS(WTG_BD!L:L,'Basic Data'!T709,WTG_BD!F:F,"&gt;="&amp;O2Summary!$B$6,WTG_BD!F:F,"&lt;="&amp;O2Summary!$B$4)</f>
        <v>0</v>
      </c>
      <c r="V709" s="18">
        <f t="shared" si="18"/>
        <v>47</v>
      </c>
    </row>
    <row r="710" spans="19:22">
      <c r="S710" s="16">
        <v>711</v>
      </c>
      <c r="T710" s="16" t="s">
        <v>1258</v>
      </c>
      <c r="U710" s="17">
        <f>COUNTIFS(WTG_BD!L:L,'Basic Data'!T710,WTG_BD!F:F,"&gt;="&amp;O2Summary!$B$6,WTG_BD!F:F,"&lt;="&amp;O2Summary!$B$4)</f>
        <v>0</v>
      </c>
      <c r="V710" s="18">
        <f t="shared" si="18"/>
        <v>47</v>
      </c>
    </row>
    <row r="711" spans="19:22">
      <c r="S711" s="16">
        <v>712</v>
      </c>
      <c r="T711" s="16" t="s">
        <v>1259</v>
      </c>
      <c r="U711" s="17">
        <f>COUNTIFS(WTG_BD!L:L,'Basic Data'!T711,WTG_BD!F:F,"&gt;="&amp;O2Summary!$B$6,WTG_BD!F:F,"&lt;="&amp;O2Summary!$B$4)</f>
        <v>0</v>
      </c>
      <c r="V711" s="18">
        <f t="shared" si="18"/>
        <v>47</v>
      </c>
    </row>
    <row r="712" spans="19:22">
      <c r="S712" s="16">
        <v>713</v>
      </c>
      <c r="T712" s="16" t="s">
        <v>1260</v>
      </c>
      <c r="U712" s="17">
        <f>COUNTIFS(WTG_BD!L:L,'Basic Data'!T712,WTG_BD!F:F,"&gt;="&amp;O2Summary!$B$6,WTG_BD!F:F,"&lt;="&amp;O2Summary!$B$4)</f>
        <v>0</v>
      </c>
      <c r="V712" s="18">
        <f t="shared" si="18"/>
        <v>47</v>
      </c>
    </row>
    <row r="713" spans="19:22">
      <c r="S713" s="16">
        <v>714</v>
      </c>
      <c r="T713" s="16" t="s">
        <v>1261</v>
      </c>
      <c r="U713" s="17">
        <f>COUNTIFS(WTG_BD!L:L,'Basic Data'!T713,WTG_BD!F:F,"&gt;="&amp;O2Summary!$B$6,WTG_BD!F:F,"&lt;="&amp;O2Summary!$B$4)</f>
        <v>0</v>
      </c>
      <c r="V713" s="18">
        <f t="shared" si="18"/>
        <v>47</v>
      </c>
    </row>
    <row r="714" spans="19:22">
      <c r="S714" s="16">
        <v>715</v>
      </c>
      <c r="T714" s="16" t="s">
        <v>1262</v>
      </c>
      <c r="U714" s="17">
        <f>COUNTIFS(WTG_BD!L:L,'Basic Data'!T714,WTG_BD!F:F,"&gt;="&amp;O2Summary!$B$6,WTG_BD!F:F,"&lt;="&amp;O2Summary!$B$4)</f>
        <v>0</v>
      </c>
      <c r="V714" s="18">
        <f t="shared" si="18"/>
        <v>47</v>
      </c>
    </row>
    <row r="715" spans="19:22">
      <c r="S715" s="16">
        <v>716</v>
      </c>
      <c r="T715" s="16" t="s">
        <v>1263</v>
      </c>
      <c r="U715" s="17">
        <f>COUNTIFS(WTG_BD!L:L,'Basic Data'!T715,WTG_BD!F:F,"&gt;="&amp;O2Summary!$B$6,WTG_BD!F:F,"&lt;="&amp;O2Summary!$B$4)</f>
        <v>0</v>
      </c>
      <c r="V715" s="18">
        <f t="shared" si="18"/>
        <v>47</v>
      </c>
    </row>
    <row r="716" spans="19:22">
      <c r="S716" s="16">
        <v>717</v>
      </c>
      <c r="T716" s="16" t="s">
        <v>1264</v>
      </c>
      <c r="U716" s="17">
        <f>COUNTIFS(WTG_BD!L:L,'Basic Data'!T716,WTG_BD!F:F,"&gt;="&amp;O2Summary!$B$6,WTG_BD!F:F,"&lt;="&amp;O2Summary!$B$4)</f>
        <v>0</v>
      </c>
      <c r="V716" s="18">
        <f t="shared" si="18"/>
        <v>47</v>
      </c>
    </row>
    <row r="717" spans="19:22">
      <c r="S717" s="16">
        <v>718</v>
      </c>
      <c r="T717" s="16" t="s">
        <v>1265</v>
      </c>
      <c r="U717" s="17">
        <f>COUNTIFS(WTG_BD!L:L,'Basic Data'!T717,WTG_BD!F:F,"&gt;="&amp;O2Summary!$B$6,WTG_BD!F:F,"&lt;="&amp;O2Summary!$B$4)</f>
        <v>0</v>
      </c>
      <c r="V717" s="18">
        <f t="shared" si="18"/>
        <v>47</v>
      </c>
    </row>
    <row r="718" spans="19:22">
      <c r="S718" s="16">
        <v>719</v>
      </c>
      <c r="T718" s="16" t="s">
        <v>1266</v>
      </c>
      <c r="U718" s="17">
        <f>COUNTIFS(WTG_BD!L:L,'Basic Data'!T718,WTG_BD!F:F,"&gt;="&amp;O2Summary!$B$6,WTG_BD!F:F,"&lt;="&amp;O2Summary!$B$4)</f>
        <v>0</v>
      </c>
      <c r="V718" s="18">
        <f t="shared" si="18"/>
        <v>47</v>
      </c>
    </row>
    <row r="719" spans="19:22">
      <c r="S719" s="16">
        <v>720</v>
      </c>
      <c r="T719" s="16" t="s">
        <v>1267</v>
      </c>
      <c r="U719" s="17">
        <f>COUNTIFS(WTG_BD!L:L,'Basic Data'!T719,WTG_BD!F:F,"&gt;="&amp;O2Summary!$B$6,WTG_BD!F:F,"&lt;="&amp;O2Summary!$B$4)</f>
        <v>0</v>
      </c>
      <c r="V719" s="18">
        <f t="shared" si="18"/>
        <v>47</v>
      </c>
    </row>
    <row r="720" spans="19:22">
      <c r="S720" s="16">
        <v>721</v>
      </c>
      <c r="T720" s="16" t="s">
        <v>1268</v>
      </c>
      <c r="U720" s="17">
        <f>COUNTIFS(WTG_BD!L:L,'Basic Data'!T720,WTG_BD!F:F,"&gt;="&amp;O2Summary!$B$6,WTG_BD!F:F,"&lt;="&amp;O2Summary!$B$4)</f>
        <v>0</v>
      </c>
      <c r="V720" s="18">
        <f t="shared" si="18"/>
        <v>47</v>
      </c>
    </row>
    <row r="721" spans="19:22">
      <c r="S721" s="16">
        <v>722</v>
      </c>
      <c r="T721" s="16" t="s">
        <v>1269</v>
      </c>
      <c r="U721" s="17">
        <f>COUNTIFS(WTG_BD!L:L,'Basic Data'!T721,WTG_BD!F:F,"&gt;="&amp;O2Summary!$B$6,WTG_BD!F:F,"&lt;="&amp;O2Summary!$B$4)</f>
        <v>0</v>
      </c>
      <c r="V721" s="18">
        <f t="shared" si="18"/>
        <v>47</v>
      </c>
    </row>
    <row r="722" spans="19:22">
      <c r="S722" s="16">
        <v>723</v>
      </c>
      <c r="T722" s="16" t="s">
        <v>1141</v>
      </c>
      <c r="U722" s="17">
        <f>COUNTIFS(WTG_BD!L:L,'Basic Data'!T722,WTG_BD!F:F,"&gt;="&amp;O2Summary!$B$6,WTG_BD!F:F,"&lt;="&amp;O2Summary!$B$4)</f>
        <v>0</v>
      </c>
      <c r="V722" s="18">
        <f t="shared" si="18"/>
        <v>47</v>
      </c>
    </row>
    <row r="723" spans="19:22">
      <c r="S723" s="16">
        <v>724</v>
      </c>
      <c r="T723" s="16" t="s">
        <v>1141</v>
      </c>
      <c r="U723" s="17">
        <f>COUNTIFS(WTG_BD!L:L,'Basic Data'!T723,WTG_BD!F:F,"&gt;="&amp;O2Summary!$B$6,WTG_BD!F:F,"&lt;="&amp;O2Summary!$B$4)</f>
        <v>0</v>
      </c>
      <c r="V723" s="18">
        <f t="shared" si="18"/>
        <v>47</v>
      </c>
    </row>
    <row r="724" spans="19:22">
      <c r="S724" s="16">
        <v>725</v>
      </c>
      <c r="T724" s="16" t="s">
        <v>1270</v>
      </c>
      <c r="U724" s="17">
        <f>COUNTIFS(WTG_BD!L:L,'Basic Data'!T724,WTG_BD!F:F,"&gt;="&amp;O2Summary!$B$6,WTG_BD!F:F,"&lt;="&amp;O2Summary!$B$4)</f>
        <v>0</v>
      </c>
      <c r="V724" s="18">
        <f t="shared" si="18"/>
        <v>47</v>
      </c>
    </row>
    <row r="725" spans="19:22">
      <c r="S725" s="16">
        <v>726</v>
      </c>
      <c r="T725" s="16" t="s">
        <v>1271</v>
      </c>
      <c r="U725" s="17">
        <f>COUNTIFS(WTG_BD!L:L,'Basic Data'!T725,WTG_BD!F:F,"&gt;="&amp;O2Summary!$B$6,WTG_BD!F:F,"&lt;="&amp;O2Summary!$B$4)</f>
        <v>0</v>
      </c>
      <c r="V725" s="18">
        <f t="shared" si="18"/>
        <v>47</v>
      </c>
    </row>
    <row r="726" spans="19:22">
      <c r="S726" s="16">
        <v>727</v>
      </c>
      <c r="T726" s="16" t="s">
        <v>1272</v>
      </c>
      <c r="U726" s="17">
        <f>COUNTIFS(WTG_BD!L:L,'Basic Data'!T726,WTG_BD!F:F,"&gt;="&amp;O2Summary!$B$6,WTG_BD!F:F,"&lt;="&amp;O2Summary!$B$4)</f>
        <v>0</v>
      </c>
      <c r="V726" s="18">
        <f t="shared" si="18"/>
        <v>47</v>
      </c>
    </row>
    <row r="727" spans="19:22">
      <c r="S727" s="16">
        <v>728</v>
      </c>
      <c r="T727" s="16" t="s">
        <v>1273</v>
      </c>
      <c r="U727" s="17">
        <f>COUNTIFS(WTG_BD!L:L,'Basic Data'!T727,WTG_BD!F:F,"&gt;="&amp;O2Summary!$B$6,WTG_BD!F:F,"&lt;="&amp;O2Summary!$B$4)</f>
        <v>0</v>
      </c>
      <c r="V727" s="18">
        <f t="shared" si="18"/>
        <v>47</v>
      </c>
    </row>
    <row r="728" spans="19:22">
      <c r="S728" s="16">
        <v>729</v>
      </c>
      <c r="T728" s="16" t="s">
        <v>1274</v>
      </c>
      <c r="U728" s="17">
        <f>COUNTIFS(WTG_BD!L:L,'Basic Data'!T728,WTG_BD!F:F,"&gt;="&amp;O2Summary!$B$6,WTG_BD!F:F,"&lt;="&amp;O2Summary!$B$4)</f>
        <v>0</v>
      </c>
      <c r="V728" s="18">
        <f t="shared" si="18"/>
        <v>47</v>
      </c>
    </row>
    <row r="729" spans="19:22">
      <c r="S729" s="16">
        <v>730</v>
      </c>
      <c r="T729" s="16" t="s">
        <v>1275</v>
      </c>
      <c r="U729" s="17">
        <f>COUNTIFS(WTG_BD!L:L,'Basic Data'!T729,WTG_BD!F:F,"&gt;="&amp;O2Summary!$B$6,WTG_BD!F:F,"&lt;="&amp;O2Summary!$B$4)</f>
        <v>0</v>
      </c>
      <c r="V729" s="18">
        <f t="shared" si="18"/>
        <v>47</v>
      </c>
    </row>
    <row r="730" spans="19:22">
      <c r="S730" s="16">
        <v>731</v>
      </c>
      <c r="T730" s="16" t="s">
        <v>1276</v>
      </c>
      <c r="U730" s="17">
        <f>COUNTIFS(WTG_BD!L:L,'Basic Data'!T730,WTG_BD!F:F,"&gt;="&amp;O2Summary!$B$6,WTG_BD!F:F,"&lt;="&amp;O2Summary!$B$4)</f>
        <v>0</v>
      </c>
      <c r="V730" s="18">
        <f t="shared" si="18"/>
        <v>47</v>
      </c>
    </row>
    <row r="731" spans="19:22">
      <c r="S731" s="16">
        <v>732</v>
      </c>
      <c r="T731" s="16" t="s">
        <v>1277</v>
      </c>
      <c r="U731" s="17">
        <f>COUNTIFS(WTG_BD!L:L,'Basic Data'!T731,WTG_BD!F:F,"&gt;="&amp;O2Summary!$B$6,WTG_BD!F:F,"&lt;="&amp;O2Summary!$B$4)</f>
        <v>0</v>
      </c>
      <c r="V731" s="18">
        <f t="shared" si="18"/>
        <v>47</v>
      </c>
    </row>
    <row r="732" spans="19:22">
      <c r="S732" s="16">
        <v>733</v>
      </c>
      <c r="T732" s="16" t="s">
        <v>1278</v>
      </c>
      <c r="U732" s="17">
        <f>COUNTIFS(WTG_BD!L:L,'Basic Data'!T732,WTG_BD!F:F,"&gt;="&amp;O2Summary!$B$6,WTG_BD!F:F,"&lt;="&amp;O2Summary!$B$4)</f>
        <v>0</v>
      </c>
      <c r="V732" s="18">
        <f t="shared" si="18"/>
        <v>47</v>
      </c>
    </row>
    <row r="733" spans="19:22">
      <c r="S733" s="16">
        <v>734</v>
      </c>
      <c r="T733" s="16" t="s">
        <v>1279</v>
      </c>
      <c r="U733" s="17">
        <f>COUNTIFS(WTG_BD!L:L,'Basic Data'!T733,WTG_BD!F:F,"&gt;="&amp;O2Summary!$B$6,WTG_BD!F:F,"&lt;="&amp;O2Summary!$B$4)</f>
        <v>0</v>
      </c>
      <c r="V733" s="18">
        <f t="shared" si="18"/>
        <v>47</v>
      </c>
    </row>
    <row r="734" spans="19:22">
      <c r="S734" s="16">
        <v>735</v>
      </c>
      <c r="T734" s="16" t="s">
        <v>1280</v>
      </c>
      <c r="U734" s="17">
        <f>COUNTIFS(WTG_BD!L:L,'Basic Data'!T734,WTG_BD!F:F,"&gt;="&amp;O2Summary!$B$6,WTG_BD!F:F,"&lt;="&amp;O2Summary!$B$4)</f>
        <v>0</v>
      </c>
      <c r="V734" s="18">
        <f t="shared" si="18"/>
        <v>47</v>
      </c>
    </row>
    <row r="735" spans="19:22">
      <c r="S735" s="16">
        <v>736</v>
      </c>
      <c r="T735" s="16" t="s">
        <v>1281</v>
      </c>
      <c r="U735" s="17">
        <f>COUNTIFS(WTG_BD!L:L,'Basic Data'!T735,WTG_BD!F:F,"&gt;="&amp;O2Summary!$B$6,WTG_BD!F:F,"&lt;="&amp;O2Summary!$B$4)</f>
        <v>0</v>
      </c>
      <c r="V735" s="18">
        <f t="shared" si="18"/>
        <v>47</v>
      </c>
    </row>
    <row r="736" spans="19:22">
      <c r="S736" s="16">
        <v>737</v>
      </c>
      <c r="T736" s="16" t="s">
        <v>1282</v>
      </c>
      <c r="U736" s="17">
        <f>COUNTIFS(WTG_BD!L:L,'Basic Data'!T736,WTG_BD!F:F,"&gt;="&amp;O2Summary!$B$6,WTG_BD!F:F,"&lt;="&amp;O2Summary!$B$4)</f>
        <v>0</v>
      </c>
      <c r="V736" s="18">
        <f t="shared" si="18"/>
        <v>47</v>
      </c>
    </row>
    <row r="737" spans="19:22">
      <c r="S737" s="16">
        <v>738</v>
      </c>
      <c r="T737" s="16" t="s">
        <v>1283</v>
      </c>
      <c r="U737" s="17">
        <f>COUNTIFS(WTG_BD!L:L,'Basic Data'!T737,WTG_BD!F:F,"&gt;="&amp;O2Summary!$B$6,WTG_BD!F:F,"&lt;="&amp;O2Summary!$B$4)</f>
        <v>0</v>
      </c>
      <c r="V737" s="18">
        <f t="shared" si="18"/>
        <v>47</v>
      </c>
    </row>
    <row r="738" spans="19:22">
      <c r="S738" s="16">
        <v>739</v>
      </c>
      <c r="T738" s="16" t="s">
        <v>1284</v>
      </c>
      <c r="U738" s="17">
        <f>COUNTIFS(WTG_BD!L:L,'Basic Data'!T738,WTG_BD!F:F,"&gt;="&amp;O2Summary!$B$6,WTG_BD!F:F,"&lt;="&amp;O2Summary!$B$4)</f>
        <v>0</v>
      </c>
      <c r="V738" s="18">
        <f t="shared" si="18"/>
        <v>47</v>
      </c>
    </row>
    <row r="739" spans="19:22">
      <c r="S739" s="16">
        <v>740</v>
      </c>
      <c r="T739" s="16" t="s">
        <v>1285</v>
      </c>
      <c r="U739" s="17">
        <f>COUNTIFS(WTG_BD!L:L,'Basic Data'!T739,WTG_BD!F:F,"&gt;="&amp;O2Summary!$B$6,WTG_BD!F:F,"&lt;="&amp;O2Summary!$B$4)</f>
        <v>0</v>
      </c>
      <c r="V739" s="18">
        <f t="shared" si="18"/>
        <v>47</v>
      </c>
    </row>
    <row r="740" spans="19:22">
      <c r="S740" s="16">
        <v>741</v>
      </c>
      <c r="T740" s="16" t="s">
        <v>1286</v>
      </c>
      <c r="U740" s="17">
        <f>COUNTIFS(WTG_BD!L:L,'Basic Data'!T740,WTG_BD!F:F,"&gt;="&amp;O2Summary!$B$6,WTG_BD!F:F,"&lt;="&amp;O2Summary!$B$4)</f>
        <v>0</v>
      </c>
      <c r="V740" s="18">
        <f t="shared" si="18"/>
        <v>47</v>
      </c>
    </row>
    <row r="741" spans="19:22">
      <c r="S741" s="16">
        <v>742</v>
      </c>
      <c r="T741" s="16" t="s">
        <v>1287</v>
      </c>
      <c r="U741" s="17">
        <f>COUNTIFS(WTG_BD!L:L,'Basic Data'!T741,WTG_BD!F:F,"&gt;="&amp;O2Summary!$B$6,WTG_BD!F:F,"&lt;="&amp;O2Summary!$B$4)</f>
        <v>0</v>
      </c>
      <c r="V741" s="18">
        <f t="shared" si="18"/>
        <v>47</v>
      </c>
    </row>
    <row r="742" spans="19:22">
      <c r="S742" s="16">
        <v>743</v>
      </c>
      <c r="T742" s="16" t="s">
        <v>1288</v>
      </c>
      <c r="U742" s="17">
        <f>COUNTIFS(WTG_BD!L:L,'Basic Data'!T742,WTG_BD!F:F,"&gt;="&amp;O2Summary!$B$6,WTG_BD!F:F,"&lt;="&amp;O2Summary!$B$4)</f>
        <v>0</v>
      </c>
      <c r="V742" s="18">
        <f t="shared" si="18"/>
        <v>47</v>
      </c>
    </row>
    <row r="743" spans="19:22">
      <c r="S743" s="16">
        <v>744</v>
      </c>
      <c r="T743" s="16" t="s">
        <v>1289</v>
      </c>
      <c r="U743" s="17">
        <f>COUNTIFS(WTG_BD!L:L,'Basic Data'!T743,WTG_BD!F:F,"&gt;="&amp;O2Summary!$B$6,WTG_BD!F:F,"&lt;="&amp;O2Summary!$B$4)</f>
        <v>0</v>
      </c>
      <c r="V743" s="18">
        <f t="shared" si="18"/>
        <v>47</v>
      </c>
    </row>
    <row r="744" spans="19:22">
      <c r="S744" s="16">
        <v>745</v>
      </c>
      <c r="T744" s="16" t="s">
        <v>1290</v>
      </c>
      <c r="U744" s="17">
        <f>COUNTIFS(WTG_BD!L:L,'Basic Data'!T744,WTG_BD!F:F,"&gt;="&amp;O2Summary!$B$6,WTG_BD!F:F,"&lt;="&amp;O2Summary!$B$4)</f>
        <v>0</v>
      </c>
      <c r="V744" s="18">
        <f t="shared" si="18"/>
        <v>47</v>
      </c>
    </row>
    <row r="745" spans="19:22">
      <c r="S745" s="16">
        <v>746</v>
      </c>
      <c r="T745" s="16" t="s">
        <v>1291</v>
      </c>
      <c r="U745" s="17">
        <f>COUNTIFS(WTG_BD!L:L,'Basic Data'!T745,WTG_BD!F:F,"&gt;="&amp;O2Summary!$B$6,WTG_BD!F:F,"&lt;="&amp;O2Summary!$B$4)</f>
        <v>0</v>
      </c>
      <c r="V745" s="18">
        <f t="shared" si="18"/>
        <v>47</v>
      </c>
    </row>
    <row r="746" spans="19:22">
      <c r="S746" s="16">
        <v>747</v>
      </c>
      <c r="T746" s="16" t="s">
        <v>1292</v>
      </c>
      <c r="U746" s="17">
        <f>COUNTIFS(WTG_BD!L:L,'Basic Data'!T746,WTG_BD!F:F,"&gt;="&amp;O2Summary!$B$6,WTG_BD!F:F,"&lt;="&amp;O2Summary!$B$4)</f>
        <v>0</v>
      </c>
      <c r="V746" s="18">
        <f t="shared" si="18"/>
        <v>47</v>
      </c>
    </row>
    <row r="747" spans="19:22">
      <c r="S747" s="16">
        <v>748</v>
      </c>
      <c r="T747" s="16" t="s">
        <v>1293</v>
      </c>
      <c r="U747" s="17">
        <f>COUNTIFS(WTG_BD!L:L,'Basic Data'!T747,WTG_BD!F:F,"&gt;="&amp;O2Summary!$B$6,WTG_BD!F:F,"&lt;="&amp;O2Summary!$B$4)</f>
        <v>0</v>
      </c>
      <c r="V747" s="18">
        <f t="shared" si="18"/>
        <v>47</v>
      </c>
    </row>
    <row r="748" spans="19:22">
      <c r="S748" s="16">
        <v>749</v>
      </c>
      <c r="T748" s="16" t="s">
        <v>1294</v>
      </c>
      <c r="U748" s="17">
        <f>COUNTIFS(WTG_BD!L:L,'Basic Data'!T748,WTG_BD!F:F,"&gt;="&amp;O2Summary!$B$6,WTG_BD!F:F,"&lt;="&amp;O2Summary!$B$4)</f>
        <v>0</v>
      </c>
      <c r="V748" s="18">
        <f t="shared" si="18"/>
        <v>47</v>
      </c>
    </row>
    <row r="749" spans="19:22">
      <c r="S749" s="16">
        <v>750</v>
      </c>
      <c r="T749" s="16" t="s">
        <v>1295</v>
      </c>
      <c r="U749" s="17">
        <f>COUNTIFS(WTG_BD!L:L,'Basic Data'!T749,WTG_BD!F:F,"&gt;="&amp;O2Summary!$B$6,WTG_BD!F:F,"&lt;="&amp;O2Summary!$B$4)</f>
        <v>0</v>
      </c>
      <c r="V749" s="18">
        <f t="shared" si="18"/>
        <v>47</v>
      </c>
    </row>
    <row r="750" spans="19:22">
      <c r="S750" s="16">
        <v>751</v>
      </c>
      <c r="T750" s="16" t="s">
        <v>1296</v>
      </c>
      <c r="U750" s="17">
        <f>COUNTIFS(WTG_BD!L:L,'Basic Data'!T750,WTG_BD!F:F,"&gt;="&amp;O2Summary!$B$6,WTG_BD!F:F,"&lt;="&amp;O2Summary!$B$4)</f>
        <v>0</v>
      </c>
      <c r="V750" s="18">
        <f t="shared" si="18"/>
        <v>47</v>
      </c>
    </row>
    <row r="751" spans="19:22">
      <c r="S751" s="16">
        <v>752</v>
      </c>
      <c r="T751" s="16" t="s">
        <v>1297</v>
      </c>
      <c r="U751" s="17">
        <f>COUNTIFS(WTG_BD!L:L,'Basic Data'!T751,WTG_BD!F:F,"&gt;="&amp;O2Summary!$B$6,WTG_BD!F:F,"&lt;="&amp;O2Summary!$B$4)</f>
        <v>0</v>
      </c>
      <c r="V751" s="18">
        <f t="shared" si="18"/>
        <v>47</v>
      </c>
    </row>
    <row r="752" spans="19:22">
      <c r="S752" s="16">
        <v>753</v>
      </c>
      <c r="T752" s="16" t="s">
        <v>1298</v>
      </c>
      <c r="U752" s="17">
        <f>COUNTIFS(WTG_BD!L:L,'Basic Data'!T752,WTG_BD!F:F,"&gt;="&amp;O2Summary!$B$6,WTG_BD!F:F,"&lt;="&amp;O2Summary!$B$4)</f>
        <v>0</v>
      </c>
      <c r="V752" s="18">
        <f t="shared" si="18"/>
        <v>47</v>
      </c>
    </row>
    <row r="753" spans="19:22">
      <c r="S753" s="16">
        <v>754</v>
      </c>
      <c r="T753" s="16" t="s">
        <v>1299</v>
      </c>
      <c r="U753" s="17">
        <f>COUNTIFS(WTG_BD!L:L,'Basic Data'!T753,WTG_BD!F:F,"&gt;="&amp;O2Summary!$B$6,WTG_BD!F:F,"&lt;="&amp;O2Summary!$B$4)</f>
        <v>0</v>
      </c>
      <c r="V753" s="18">
        <f t="shared" si="18"/>
        <v>47</v>
      </c>
    </row>
    <row r="754" spans="19:22">
      <c r="S754" s="16">
        <v>755</v>
      </c>
      <c r="T754" s="16" t="s">
        <v>1300</v>
      </c>
      <c r="U754" s="17">
        <f>COUNTIFS(WTG_BD!L:L,'Basic Data'!T754,WTG_BD!F:F,"&gt;="&amp;O2Summary!$B$6,WTG_BD!F:F,"&lt;="&amp;O2Summary!$B$4)</f>
        <v>0</v>
      </c>
      <c r="V754" s="18">
        <f t="shared" si="18"/>
        <v>47</v>
      </c>
    </row>
    <row r="755" spans="19:22">
      <c r="S755" s="16">
        <v>756</v>
      </c>
      <c r="T755" s="16" t="s">
        <v>1301</v>
      </c>
      <c r="U755" s="17">
        <f>COUNTIFS(WTG_BD!L:L,'Basic Data'!T755,WTG_BD!F:F,"&gt;="&amp;O2Summary!$B$6,WTG_BD!F:F,"&lt;="&amp;O2Summary!$B$4)</f>
        <v>0</v>
      </c>
      <c r="V755" s="18">
        <f t="shared" si="18"/>
        <v>47</v>
      </c>
    </row>
    <row r="756" spans="19:22">
      <c r="S756" s="16">
        <v>757</v>
      </c>
      <c r="T756" s="16" t="s">
        <v>1302</v>
      </c>
      <c r="U756" s="17">
        <f>COUNTIFS(WTG_BD!L:L,'Basic Data'!T756,WTG_BD!F:F,"&gt;="&amp;O2Summary!$B$6,WTG_BD!F:F,"&lt;="&amp;O2Summary!$B$4)</f>
        <v>0</v>
      </c>
      <c r="V756" s="18">
        <f t="shared" si="18"/>
        <v>47</v>
      </c>
    </row>
    <row r="757" spans="19:22">
      <c r="S757" s="16">
        <v>758</v>
      </c>
      <c r="T757" s="16" t="s">
        <v>1303</v>
      </c>
      <c r="U757" s="17">
        <f>COUNTIFS(WTG_BD!L:L,'Basic Data'!T757,WTG_BD!F:F,"&gt;="&amp;O2Summary!$B$6,WTG_BD!F:F,"&lt;="&amp;O2Summary!$B$4)</f>
        <v>0</v>
      </c>
      <c r="V757" s="18">
        <f t="shared" si="18"/>
        <v>47</v>
      </c>
    </row>
    <row r="758" spans="19:22">
      <c r="S758" s="16">
        <v>759</v>
      </c>
      <c r="T758" s="16" t="s">
        <v>1304</v>
      </c>
      <c r="U758" s="17">
        <f>COUNTIFS(WTG_BD!L:L,'Basic Data'!T758,WTG_BD!F:F,"&gt;="&amp;O2Summary!$B$6,WTG_BD!F:F,"&lt;="&amp;O2Summary!$B$4)</f>
        <v>0</v>
      </c>
      <c r="V758" s="18">
        <f t="shared" si="18"/>
        <v>47</v>
      </c>
    </row>
    <row r="759" spans="19:22">
      <c r="S759" s="16">
        <v>760</v>
      </c>
      <c r="T759" s="16" t="s">
        <v>1305</v>
      </c>
      <c r="U759" s="17">
        <f>COUNTIFS(WTG_BD!L:L,'Basic Data'!T759,WTG_BD!F:F,"&gt;="&amp;O2Summary!$B$6,WTG_BD!F:F,"&lt;="&amp;O2Summary!$B$4)</f>
        <v>0</v>
      </c>
      <c r="V759" s="18">
        <f t="shared" si="18"/>
        <v>47</v>
      </c>
    </row>
    <row r="760" spans="19:22">
      <c r="S760" s="16">
        <v>761</v>
      </c>
      <c r="T760" s="16" t="s">
        <v>1306</v>
      </c>
      <c r="U760" s="17">
        <f>COUNTIFS(WTG_BD!L:L,'Basic Data'!T760,WTG_BD!F:F,"&gt;="&amp;O2Summary!$B$6,WTG_BD!F:F,"&lt;="&amp;O2Summary!$B$4)</f>
        <v>0</v>
      </c>
      <c r="V760" s="18">
        <f t="shared" si="18"/>
        <v>47</v>
      </c>
    </row>
    <row r="761" spans="19:22">
      <c r="S761" s="16">
        <v>762</v>
      </c>
      <c r="T761" s="16" t="s">
        <v>1307</v>
      </c>
      <c r="U761" s="17">
        <f>COUNTIFS(WTG_BD!L:L,'Basic Data'!T761,WTG_BD!F:F,"&gt;="&amp;O2Summary!$B$6,WTG_BD!F:F,"&lt;="&amp;O2Summary!$B$4)</f>
        <v>0</v>
      </c>
      <c r="V761" s="18">
        <f t="shared" si="18"/>
        <v>47</v>
      </c>
    </row>
    <row r="762" spans="19:22">
      <c r="S762" s="16">
        <v>763</v>
      </c>
      <c r="T762" s="16" t="s">
        <v>1308</v>
      </c>
      <c r="U762" s="17">
        <f>COUNTIFS(WTG_BD!L:L,'Basic Data'!T762,WTG_BD!F:F,"&gt;="&amp;O2Summary!$B$6,WTG_BD!F:F,"&lt;="&amp;O2Summary!$B$4)</f>
        <v>0</v>
      </c>
      <c r="V762" s="18">
        <f t="shared" si="18"/>
        <v>47</v>
      </c>
    </row>
    <row r="763" spans="19:22">
      <c r="S763" s="16">
        <v>764</v>
      </c>
      <c r="T763" s="16" t="s">
        <v>1309</v>
      </c>
      <c r="U763" s="17">
        <f>COUNTIFS(WTG_BD!L:L,'Basic Data'!T763,WTG_BD!F:F,"&gt;="&amp;O2Summary!$B$6,WTG_BD!F:F,"&lt;="&amp;O2Summary!$B$4)</f>
        <v>0</v>
      </c>
      <c r="V763" s="18">
        <f t="shared" si="18"/>
        <v>47</v>
      </c>
    </row>
    <row r="764" spans="19:22">
      <c r="S764" s="16">
        <v>765</v>
      </c>
      <c r="T764" s="16" t="s">
        <v>1310</v>
      </c>
      <c r="U764" s="17">
        <f>COUNTIFS(WTG_BD!L:L,'Basic Data'!T764,WTG_BD!F:F,"&gt;="&amp;O2Summary!$B$6,WTG_BD!F:F,"&lt;="&amp;O2Summary!$B$4)</f>
        <v>0</v>
      </c>
      <c r="V764" s="18">
        <f t="shared" si="18"/>
        <v>47</v>
      </c>
    </row>
    <row r="765" spans="19:22">
      <c r="S765" s="16">
        <v>766</v>
      </c>
      <c r="T765" s="16" t="s">
        <v>1311</v>
      </c>
      <c r="U765" s="17">
        <f>COUNTIFS(WTG_BD!L:L,'Basic Data'!T765,WTG_BD!F:F,"&gt;="&amp;O2Summary!$B$6,WTG_BD!F:F,"&lt;="&amp;O2Summary!$B$4)</f>
        <v>0</v>
      </c>
      <c r="V765" s="18">
        <f t="shared" si="18"/>
        <v>47</v>
      </c>
    </row>
    <row r="766" spans="19:22">
      <c r="S766" s="16">
        <v>767</v>
      </c>
      <c r="T766" s="16" t="s">
        <v>1312</v>
      </c>
      <c r="U766" s="17">
        <f>COUNTIFS(WTG_BD!L:L,'Basic Data'!T766,WTG_BD!F:F,"&gt;="&amp;O2Summary!$B$6,WTG_BD!F:F,"&lt;="&amp;O2Summary!$B$4)</f>
        <v>0</v>
      </c>
      <c r="V766" s="18">
        <f t="shared" si="18"/>
        <v>47</v>
      </c>
    </row>
    <row r="767" spans="19:22">
      <c r="S767" s="16">
        <v>768</v>
      </c>
      <c r="T767" s="16" t="s">
        <v>1313</v>
      </c>
      <c r="U767" s="17">
        <f>COUNTIFS(WTG_BD!L:L,'Basic Data'!T767,WTG_BD!F:F,"&gt;="&amp;O2Summary!$B$6,WTG_BD!F:F,"&lt;="&amp;O2Summary!$B$4)</f>
        <v>0</v>
      </c>
      <c r="V767" s="18">
        <f t="shared" si="18"/>
        <v>47</v>
      </c>
    </row>
    <row r="768" spans="19:22">
      <c r="S768" s="16">
        <v>769</v>
      </c>
      <c r="T768" s="16" t="s">
        <v>1314</v>
      </c>
      <c r="U768" s="17">
        <f>COUNTIFS(WTG_BD!L:L,'Basic Data'!T768,WTG_BD!F:F,"&gt;="&amp;O2Summary!$B$6,WTG_BD!F:F,"&lt;="&amp;O2Summary!$B$4)</f>
        <v>0</v>
      </c>
      <c r="V768" s="18">
        <f t="shared" si="18"/>
        <v>47</v>
      </c>
    </row>
    <row r="769" spans="19:22">
      <c r="S769" s="16">
        <v>770</v>
      </c>
      <c r="T769" s="16" t="s">
        <v>1315</v>
      </c>
      <c r="U769" s="17">
        <f>COUNTIFS(WTG_BD!L:L,'Basic Data'!T769,WTG_BD!F:F,"&gt;="&amp;O2Summary!$B$6,WTG_BD!F:F,"&lt;="&amp;O2Summary!$B$4)</f>
        <v>0</v>
      </c>
      <c r="V769" s="18">
        <f t="shared" si="18"/>
        <v>47</v>
      </c>
    </row>
    <row r="770" spans="19:22">
      <c r="S770" s="16">
        <v>771</v>
      </c>
      <c r="T770" s="16" t="s">
        <v>1316</v>
      </c>
      <c r="U770" s="17">
        <f>COUNTIFS(WTG_BD!L:L,'Basic Data'!T770,WTG_BD!F:F,"&gt;="&amp;O2Summary!$B$6,WTG_BD!F:F,"&lt;="&amp;O2Summary!$B$4)</f>
        <v>0</v>
      </c>
      <c r="V770" s="18">
        <f t="shared" si="18"/>
        <v>47</v>
      </c>
    </row>
    <row r="771" spans="19:22">
      <c r="S771" s="16">
        <v>772</v>
      </c>
      <c r="T771" s="16" t="s">
        <v>1317</v>
      </c>
      <c r="U771" s="17">
        <f>COUNTIFS(WTG_BD!L:L,'Basic Data'!T771,WTG_BD!F:F,"&gt;="&amp;O2Summary!$B$6,WTG_BD!F:F,"&lt;="&amp;O2Summary!$B$4)</f>
        <v>0</v>
      </c>
      <c r="V771" s="18">
        <f t="shared" ref="V771:V834" si="19">RANK(U771,$U$2:$U$3975)</f>
        <v>47</v>
      </c>
    </row>
    <row r="772" spans="19:22">
      <c r="S772" s="16">
        <v>773</v>
      </c>
      <c r="T772" s="16" t="s">
        <v>1318</v>
      </c>
      <c r="U772" s="17">
        <f>COUNTIFS(WTG_BD!L:L,'Basic Data'!T772,WTG_BD!F:F,"&gt;="&amp;O2Summary!$B$6,WTG_BD!F:F,"&lt;="&amp;O2Summary!$B$4)</f>
        <v>0</v>
      </c>
      <c r="V772" s="18">
        <f t="shared" si="19"/>
        <v>47</v>
      </c>
    </row>
    <row r="773" spans="19:22">
      <c r="S773" s="16">
        <v>774</v>
      </c>
      <c r="T773" s="16" t="s">
        <v>1319</v>
      </c>
      <c r="U773" s="17">
        <f>COUNTIFS(WTG_BD!L:L,'Basic Data'!T773,WTG_BD!F:F,"&gt;="&amp;O2Summary!$B$6,WTG_BD!F:F,"&lt;="&amp;O2Summary!$B$4)</f>
        <v>0</v>
      </c>
      <c r="V773" s="18">
        <f t="shared" si="19"/>
        <v>47</v>
      </c>
    </row>
    <row r="774" spans="19:22">
      <c r="S774" s="16">
        <v>775</v>
      </c>
      <c r="T774" s="16" t="s">
        <v>1320</v>
      </c>
      <c r="U774" s="17">
        <f>COUNTIFS(WTG_BD!L:L,'Basic Data'!T774,WTG_BD!F:F,"&gt;="&amp;O2Summary!$B$6,WTG_BD!F:F,"&lt;="&amp;O2Summary!$B$4)</f>
        <v>0</v>
      </c>
      <c r="V774" s="18">
        <f t="shared" si="19"/>
        <v>47</v>
      </c>
    </row>
    <row r="775" spans="19:22">
      <c r="S775" s="16">
        <v>776</v>
      </c>
      <c r="T775" s="16" t="s">
        <v>1321</v>
      </c>
      <c r="U775" s="17">
        <f>COUNTIFS(WTG_BD!L:L,'Basic Data'!T775,WTG_BD!F:F,"&gt;="&amp;O2Summary!$B$6,WTG_BD!F:F,"&lt;="&amp;O2Summary!$B$4)</f>
        <v>0</v>
      </c>
      <c r="V775" s="18">
        <f t="shared" si="19"/>
        <v>47</v>
      </c>
    </row>
    <row r="776" spans="19:22">
      <c r="S776" s="16">
        <v>777</v>
      </c>
      <c r="T776" s="16" t="s">
        <v>1322</v>
      </c>
      <c r="U776" s="17">
        <f>COUNTIFS(WTG_BD!L:L,'Basic Data'!T776,WTG_BD!F:F,"&gt;="&amp;O2Summary!$B$6,WTG_BD!F:F,"&lt;="&amp;O2Summary!$B$4)</f>
        <v>0</v>
      </c>
      <c r="V776" s="18">
        <f t="shared" si="19"/>
        <v>47</v>
      </c>
    </row>
    <row r="777" spans="19:22">
      <c r="S777" s="16">
        <v>778</v>
      </c>
      <c r="T777" s="16" t="s">
        <v>1323</v>
      </c>
      <c r="U777" s="17">
        <f>COUNTIFS(WTG_BD!L:L,'Basic Data'!T777,WTG_BD!F:F,"&gt;="&amp;O2Summary!$B$6,WTG_BD!F:F,"&lt;="&amp;O2Summary!$B$4)</f>
        <v>0</v>
      </c>
      <c r="V777" s="18">
        <f t="shared" si="19"/>
        <v>47</v>
      </c>
    </row>
    <row r="778" spans="19:22">
      <c r="S778" s="16">
        <v>779</v>
      </c>
      <c r="T778" s="16" t="s">
        <v>1324</v>
      </c>
      <c r="U778" s="17">
        <f>COUNTIFS(WTG_BD!L:L,'Basic Data'!T778,WTG_BD!F:F,"&gt;="&amp;O2Summary!$B$6,WTG_BD!F:F,"&lt;="&amp;O2Summary!$B$4)</f>
        <v>0</v>
      </c>
      <c r="V778" s="18">
        <f t="shared" si="19"/>
        <v>47</v>
      </c>
    </row>
    <row r="779" spans="19:22">
      <c r="S779" s="16">
        <v>780</v>
      </c>
      <c r="T779" s="16" t="s">
        <v>1325</v>
      </c>
      <c r="U779" s="17">
        <f>COUNTIFS(WTG_BD!L:L,'Basic Data'!T779,WTG_BD!F:F,"&gt;="&amp;O2Summary!$B$6,WTG_BD!F:F,"&lt;="&amp;O2Summary!$B$4)</f>
        <v>0</v>
      </c>
      <c r="V779" s="18">
        <f t="shared" si="19"/>
        <v>47</v>
      </c>
    </row>
    <row r="780" spans="19:22">
      <c r="S780" s="16">
        <v>781</v>
      </c>
      <c r="T780" s="16" t="s">
        <v>1326</v>
      </c>
      <c r="U780" s="17">
        <f>COUNTIFS(WTG_BD!L:L,'Basic Data'!T780,WTG_BD!F:F,"&gt;="&amp;O2Summary!$B$6,WTG_BD!F:F,"&lt;="&amp;O2Summary!$B$4)</f>
        <v>0</v>
      </c>
      <c r="V780" s="18">
        <f t="shared" si="19"/>
        <v>47</v>
      </c>
    </row>
    <row r="781" spans="19:22">
      <c r="S781" s="16">
        <v>782</v>
      </c>
      <c r="T781" s="16" t="s">
        <v>1327</v>
      </c>
      <c r="U781" s="17">
        <f>COUNTIFS(WTG_BD!L:L,'Basic Data'!T781,WTG_BD!F:F,"&gt;="&amp;O2Summary!$B$6,WTG_BD!F:F,"&lt;="&amp;O2Summary!$B$4)</f>
        <v>0</v>
      </c>
      <c r="V781" s="18">
        <f t="shared" si="19"/>
        <v>47</v>
      </c>
    </row>
    <row r="782" spans="19:22">
      <c r="S782" s="16">
        <v>783</v>
      </c>
      <c r="T782" s="16" t="s">
        <v>1328</v>
      </c>
      <c r="U782" s="17">
        <f>COUNTIFS(WTG_BD!L:L,'Basic Data'!T782,WTG_BD!F:F,"&gt;="&amp;O2Summary!$B$6,WTG_BD!F:F,"&lt;="&amp;O2Summary!$B$4)</f>
        <v>0</v>
      </c>
      <c r="V782" s="18">
        <f t="shared" si="19"/>
        <v>47</v>
      </c>
    </row>
    <row r="783" spans="19:22">
      <c r="S783" s="16">
        <v>784</v>
      </c>
      <c r="T783" s="16" t="s">
        <v>1329</v>
      </c>
      <c r="U783" s="17">
        <f>COUNTIFS(WTG_BD!L:L,'Basic Data'!T783,WTG_BD!F:F,"&gt;="&amp;O2Summary!$B$6,WTG_BD!F:F,"&lt;="&amp;O2Summary!$B$4)</f>
        <v>0</v>
      </c>
      <c r="V783" s="18">
        <f t="shared" si="19"/>
        <v>47</v>
      </c>
    </row>
    <row r="784" spans="19:22">
      <c r="S784" s="16">
        <v>785</v>
      </c>
      <c r="T784" s="16" t="s">
        <v>1330</v>
      </c>
      <c r="U784" s="17">
        <f>COUNTIFS(WTG_BD!L:L,'Basic Data'!T784,WTG_BD!F:F,"&gt;="&amp;O2Summary!$B$6,WTG_BD!F:F,"&lt;="&amp;O2Summary!$B$4)</f>
        <v>0</v>
      </c>
      <c r="V784" s="18">
        <f t="shared" si="19"/>
        <v>47</v>
      </c>
    </row>
    <row r="785" spans="19:22">
      <c r="S785" s="16">
        <v>786</v>
      </c>
      <c r="T785" s="16" t="s">
        <v>1331</v>
      </c>
      <c r="U785" s="17">
        <f>COUNTIFS(WTG_BD!L:L,'Basic Data'!T785,WTG_BD!F:F,"&gt;="&amp;O2Summary!$B$6,WTG_BD!F:F,"&lt;="&amp;O2Summary!$B$4)</f>
        <v>0</v>
      </c>
      <c r="V785" s="18">
        <f t="shared" si="19"/>
        <v>47</v>
      </c>
    </row>
    <row r="786" spans="19:22">
      <c r="S786" s="16">
        <v>787</v>
      </c>
      <c r="T786" s="16" t="s">
        <v>1332</v>
      </c>
      <c r="U786" s="17">
        <f>COUNTIFS(WTG_BD!L:L,'Basic Data'!T786,WTG_BD!F:F,"&gt;="&amp;O2Summary!$B$6,WTG_BD!F:F,"&lt;="&amp;O2Summary!$B$4)</f>
        <v>0</v>
      </c>
      <c r="V786" s="18">
        <f t="shared" si="19"/>
        <v>47</v>
      </c>
    </row>
    <row r="787" spans="19:22">
      <c r="S787" s="16">
        <v>788</v>
      </c>
      <c r="T787" s="16" t="s">
        <v>1333</v>
      </c>
      <c r="U787" s="17">
        <f>COUNTIFS(WTG_BD!L:L,'Basic Data'!T787,WTG_BD!F:F,"&gt;="&amp;O2Summary!$B$6,WTG_BD!F:F,"&lt;="&amp;O2Summary!$B$4)</f>
        <v>0</v>
      </c>
      <c r="V787" s="18">
        <f t="shared" si="19"/>
        <v>47</v>
      </c>
    </row>
    <row r="788" spans="19:22">
      <c r="S788" s="16">
        <v>789</v>
      </c>
      <c r="T788" s="16" t="s">
        <v>1334</v>
      </c>
      <c r="U788" s="17">
        <f>COUNTIFS(WTG_BD!L:L,'Basic Data'!T788,WTG_BD!F:F,"&gt;="&amp;O2Summary!$B$6,WTG_BD!F:F,"&lt;="&amp;O2Summary!$B$4)</f>
        <v>0</v>
      </c>
      <c r="V788" s="18">
        <f t="shared" si="19"/>
        <v>47</v>
      </c>
    </row>
    <row r="789" spans="19:22">
      <c r="S789" s="16">
        <v>790</v>
      </c>
      <c r="T789" s="16" t="s">
        <v>1335</v>
      </c>
      <c r="U789" s="17">
        <f>COUNTIFS(WTG_BD!L:L,'Basic Data'!T789,WTG_BD!F:F,"&gt;="&amp;O2Summary!$B$6,WTG_BD!F:F,"&lt;="&amp;O2Summary!$B$4)</f>
        <v>0</v>
      </c>
      <c r="V789" s="18">
        <f t="shared" si="19"/>
        <v>47</v>
      </c>
    </row>
    <row r="790" spans="19:22">
      <c r="S790" s="16">
        <v>791</v>
      </c>
      <c r="T790" s="16" t="s">
        <v>1336</v>
      </c>
      <c r="U790" s="17">
        <f>COUNTIFS(WTG_BD!L:L,'Basic Data'!T790,WTG_BD!F:F,"&gt;="&amp;O2Summary!$B$6,WTG_BD!F:F,"&lt;="&amp;O2Summary!$B$4)</f>
        <v>0</v>
      </c>
      <c r="V790" s="18">
        <f t="shared" si="19"/>
        <v>47</v>
      </c>
    </row>
    <row r="791" spans="19:22">
      <c r="S791" s="16">
        <v>792</v>
      </c>
      <c r="T791" s="16" t="s">
        <v>1337</v>
      </c>
      <c r="U791" s="17">
        <f>COUNTIFS(WTG_BD!L:L,'Basic Data'!T791,WTG_BD!F:F,"&gt;="&amp;O2Summary!$B$6,WTG_BD!F:F,"&lt;="&amp;O2Summary!$B$4)</f>
        <v>0</v>
      </c>
      <c r="V791" s="18">
        <f t="shared" si="19"/>
        <v>47</v>
      </c>
    </row>
    <row r="792" spans="19:22">
      <c r="S792" s="16">
        <v>793</v>
      </c>
      <c r="T792" s="16" t="s">
        <v>1338</v>
      </c>
      <c r="U792" s="17">
        <f>COUNTIFS(WTG_BD!L:L,'Basic Data'!T792,WTG_BD!F:F,"&gt;="&amp;O2Summary!$B$6,WTG_BD!F:F,"&lt;="&amp;O2Summary!$B$4)</f>
        <v>0</v>
      </c>
      <c r="V792" s="18">
        <f t="shared" si="19"/>
        <v>47</v>
      </c>
    </row>
    <row r="793" spans="19:22">
      <c r="S793" s="16">
        <v>794</v>
      </c>
      <c r="T793" s="16" t="s">
        <v>1339</v>
      </c>
      <c r="U793" s="17">
        <f>COUNTIFS(WTG_BD!L:L,'Basic Data'!T793,WTG_BD!F:F,"&gt;="&amp;O2Summary!$B$6,WTG_BD!F:F,"&lt;="&amp;O2Summary!$B$4)</f>
        <v>0</v>
      </c>
      <c r="V793" s="18">
        <f t="shared" si="19"/>
        <v>47</v>
      </c>
    </row>
    <row r="794" spans="19:22">
      <c r="S794" s="16">
        <v>795</v>
      </c>
      <c r="T794" s="16" t="s">
        <v>1340</v>
      </c>
      <c r="U794" s="17">
        <f>COUNTIFS(WTG_BD!L:L,'Basic Data'!T794,WTG_BD!F:F,"&gt;="&amp;O2Summary!$B$6,WTG_BD!F:F,"&lt;="&amp;O2Summary!$B$4)</f>
        <v>0</v>
      </c>
      <c r="V794" s="18">
        <f t="shared" si="19"/>
        <v>47</v>
      </c>
    </row>
    <row r="795" spans="19:22">
      <c r="S795" s="16">
        <v>796</v>
      </c>
      <c r="T795" s="16" t="s">
        <v>1341</v>
      </c>
      <c r="U795" s="17">
        <f>COUNTIFS(WTG_BD!L:L,'Basic Data'!T795,WTG_BD!F:F,"&gt;="&amp;O2Summary!$B$6,WTG_BD!F:F,"&lt;="&amp;O2Summary!$B$4)</f>
        <v>0</v>
      </c>
      <c r="V795" s="18">
        <f t="shared" si="19"/>
        <v>47</v>
      </c>
    </row>
    <row r="796" spans="19:22">
      <c r="S796" s="16">
        <v>797</v>
      </c>
      <c r="T796" s="16" t="s">
        <v>1342</v>
      </c>
      <c r="U796" s="17">
        <f>COUNTIFS(WTG_BD!L:L,'Basic Data'!T796,WTG_BD!F:F,"&gt;="&amp;O2Summary!$B$6,WTG_BD!F:F,"&lt;="&amp;O2Summary!$B$4)</f>
        <v>0</v>
      </c>
      <c r="V796" s="18">
        <f t="shared" si="19"/>
        <v>47</v>
      </c>
    </row>
    <row r="797" spans="19:22">
      <c r="S797" s="16">
        <v>798</v>
      </c>
      <c r="T797" s="16" t="s">
        <v>1343</v>
      </c>
      <c r="U797" s="17">
        <f>COUNTIFS(WTG_BD!L:L,'Basic Data'!T797,WTG_BD!F:F,"&gt;="&amp;O2Summary!$B$6,WTG_BD!F:F,"&lt;="&amp;O2Summary!$B$4)</f>
        <v>0</v>
      </c>
      <c r="V797" s="18">
        <f t="shared" si="19"/>
        <v>47</v>
      </c>
    </row>
    <row r="798" spans="19:22">
      <c r="S798" s="16">
        <v>799</v>
      </c>
      <c r="T798" s="16" t="s">
        <v>1344</v>
      </c>
      <c r="U798" s="17">
        <f>COUNTIFS(WTG_BD!L:L,'Basic Data'!T798,WTG_BD!F:F,"&gt;="&amp;O2Summary!$B$6,WTG_BD!F:F,"&lt;="&amp;O2Summary!$B$4)</f>
        <v>0</v>
      </c>
      <c r="V798" s="18">
        <f t="shared" si="19"/>
        <v>47</v>
      </c>
    </row>
    <row r="799" spans="19:22">
      <c r="S799" s="16">
        <v>800</v>
      </c>
      <c r="T799" s="16" t="s">
        <v>1345</v>
      </c>
      <c r="U799" s="17">
        <f>COUNTIFS(WTG_BD!L:L,'Basic Data'!T799,WTG_BD!F:F,"&gt;="&amp;O2Summary!$B$6,WTG_BD!F:F,"&lt;="&amp;O2Summary!$B$4)</f>
        <v>0</v>
      </c>
      <c r="V799" s="18">
        <f t="shared" si="19"/>
        <v>47</v>
      </c>
    </row>
    <row r="800" spans="19:22">
      <c r="S800" s="16">
        <v>801</v>
      </c>
      <c r="T800" s="16" t="s">
        <v>1346</v>
      </c>
      <c r="U800" s="17">
        <f>COUNTIFS(WTG_BD!L:L,'Basic Data'!T800,WTG_BD!F:F,"&gt;="&amp;O2Summary!$B$6,WTG_BD!F:F,"&lt;="&amp;O2Summary!$B$4)</f>
        <v>0</v>
      </c>
      <c r="V800" s="18">
        <f t="shared" si="19"/>
        <v>47</v>
      </c>
    </row>
    <row r="801" spans="19:22">
      <c r="S801" s="16">
        <v>802</v>
      </c>
      <c r="T801" s="16" t="s">
        <v>1347</v>
      </c>
      <c r="U801" s="17">
        <f>COUNTIFS(WTG_BD!L:L,'Basic Data'!T801,WTG_BD!F:F,"&gt;="&amp;O2Summary!$B$6,WTG_BD!F:F,"&lt;="&amp;O2Summary!$B$4)</f>
        <v>0</v>
      </c>
      <c r="V801" s="18">
        <f t="shared" si="19"/>
        <v>47</v>
      </c>
    </row>
    <row r="802" spans="19:22">
      <c r="S802" s="16">
        <v>803</v>
      </c>
      <c r="T802" s="16" t="s">
        <v>1348</v>
      </c>
      <c r="U802" s="17">
        <f>COUNTIFS(WTG_BD!L:L,'Basic Data'!T802,WTG_BD!F:F,"&gt;="&amp;O2Summary!$B$6,WTG_BD!F:F,"&lt;="&amp;O2Summary!$B$4)</f>
        <v>0</v>
      </c>
      <c r="V802" s="18">
        <f t="shared" si="19"/>
        <v>47</v>
      </c>
    </row>
    <row r="803" spans="19:22">
      <c r="S803" s="16">
        <v>804</v>
      </c>
      <c r="T803" s="16" t="s">
        <v>1349</v>
      </c>
      <c r="U803" s="17">
        <f>COUNTIFS(WTG_BD!L:L,'Basic Data'!T803,WTG_BD!F:F,"&gt;="&amp;O2Summary!$B$6,WTG_BD!F:F,"&lt;="&amp;O2Summary!$B$4)</f>
        <v>0</v>
      </c>
      <c r="V803" s="18">
        <f t="shared" si="19"/>
        <v>47</v>
      </c>
    </row>
    <row r="804" spans="19:22">
      <c r="S804" s="16">
        <v>805</v>
      </c>
      <c r="T804" s="16" t="s">
        <v>1350</v>
      </c>
      <c r="U804" s="17">
        <f>COUNTIFS(WTG_BD!L:L,'Basic Data'!T804,WTG_BD!F:F,"&gt;="&amp;O2Summary!$B$6,WTG_BD!F:F,"&lt;="&amp;O2Summary!$B$4)</f>
        <v>0</v>
      </c>
      <c r="V804" s="18">
        <f t="shared" si="19"/>
        <v>47</v>
      </c>
    </row>
    <row r="805" spans="19:22">
      <c r="S805" s="16">
        <v>806</v>
      </c>
      <c r="T805" s="16" t="s">
        <v>1351</v>
      </c>
      <c r="U805" s="17">
        <f>COUNTIFS(WTG_BD!L:L,'Basic Data'!T805,WTG_BD!F:F,"&gt;="&amp;O2Summary!$B$6,WTG_BD!F:F,"&lt;="&amp;O2Summary!$B$4)</f>
        <v>0</v>
      </c>
      <c r="V805" s="18">
        <f t="shared" si="19"/>
        <v>47</v>
      </c>
    </row>
    <row r="806" spans="19:22">
      <c r="S806" s="16">
        <v>807</v>
      </c>
      <c r="T806" s="16" t="s">
        <v>1352</v>
      </c>
      <c r="U806" s="17">
        <f>COUNTIFS(WTG_BD!L:L,'Basic Data'!T806,WTG_BD!F:F,"&gt;="&amp;O2Summary!$B$6,WTG_BD!F:F,"&lt;="&amp;O2Summary!$B$4)</f>
        <v>0</v>
      </c>
      <c r="V806" s="18">
        <f t="shared" si="19"/>
        <v>47</v>
      </c>
    </row>
    <row r="807" spans="19:22">
      <c r="S807" s="16">
        <v>808</v>
      </c>
      <c r="T807" s="16" t="s">
        <v>1353</v>
      </c>
      <c r="U807" s="17">
        <f>COUNTIFS(WTG_BD!L:L,'Basic Data'!T807,WTG_BD!F:F,"&gt;="&amp;O2Summary!$B$6,WTG_BD!F:F,"&lt;="&amp;O2Summary!$B$4)</f>
        <v>0</v>
      </c>
      <c r="V807" s="18">
        <f t="shared" si="19"/>
        <v>47</v>
      </c>
    </row>
    <row r="808" spans="19:22">
      <c r="S808" s="16">
        <v>809</v>
      </c>
      <c r="T808" s="16" t="s">
        <v>1354</v>
      </c>
      <c r="U808" s="17">
        <f>COUNTIFS(WTG_BD!L:L,'Basic Data'!T808,WTG_BD!F:F,"&gt;="&amp;O2Summary!$B$6,WTG_BD!F:F,"&lt;="&amp;O2Summary!$B$4)</f>
        <v>0</v>
      </c>
      <c r="V808" s="18">
        <f t="shared" si="19"/>
        <v>47</v>
      </c>
    </row>
    <row r="809" spans="19:22">
      <c r="S809" s="16">
        <v>810</v>
      </c>
      <c r="T809" s="16" t="s">
        <v>1355</v>
      </c>
      <c r="U809" s="17">
        <f>COUNTIFS(WTG_BD!L:L,'Basic Data'!T809,WTG_BD!F:F,"&gt;="&amp;O2Summary!$B$6,WTG_BD!F:F,"&lt;="&amp;O2Summary!$B$4)</f>
        <v>0</v>
      </c>
      <c r="V809" s="18">
        <f t="shared" si="19"/>
        <v>47</v>
      </c>
    </row>
    <row r="810" spans="19:22">
      <c r="S810" s="16">
        <v>811</v>
      </c>
      <c r="T810" s="16" t="s">
        <v>1356</v>
      </c>
      <c r="U810" s="17">
        <f>COUNTIFS(WTG_BD!L:L,'Basic Data'!T810,WTG_BD!F:F,"&gt;="&amp;O2Summary!$B$6,WTG_BD!F:F,"&lt;="&amp;O2Summary!$B$4)</f>
        <v>0</v>
      </c>
      <c r="V810" s="18">
        <f t="shared" si="19"/>
        <v>47</v>
      </c>
    </row>
    <row r="811" spans="19:22">
      <c r="S811" s="16">
        <v>812</v>
      </c>
      <c r="T811" s="16" t="s">
        <v>1357</v>
      </c>
      <c r="U811" s="17">
        <f>COUNTIFS(WTG_BD!L:L,'Basic Data'!T811,WTG_BD!F:F,"&gt;="&amp;O2Summary!$B$6,WTG_BD!F:F,"&lt;="&amp;O2Summary!$B$4)</f>
        <v>0</v>
      </c>
      <c r="V811" s="18">
        <f t="shared" si="19"/>
        <v>47</v>
      </c>
    </row>
    <row r="812" spans="19:22">
      <c r="S812" s="16">
        <v>813</v>
      </c>
      <c r="T812" s="16" t="s">
        <v>1358</v>
      </c>
      <c r="U812" s="17">
        <f>COUNTIFS(WTG_BD!L:L,'Basic Data'!T812,WTG_BD!F:F,"&gt;="&amp;O2Summary!$B$6,WTG_BD!F:F,"&lt;="&amp;O2Summary!$B$4)</f>
        <v>0</v>
      </c>
      <c r="V812" s="18">
        <f t="shared" si="19"/>
        <v>47</v>
      </c>
    </row>
    <row r="813" spans="19:22">
      <c r="S813" s="16">
        <v>814</v>
      </c>
      <c r="T813" s="16" t="s">
        <v>1359</v>
      </c>
      <c r="U813" s="17">
        <f>COUNTIFS(WTG_BD!L:L,'Basic Data'!T813,WTG_BD!F:F,"&gt;="&amp;O2Summary!$B$6,WTG_BD!F:F,"&lt;="&amp;O2Summary!$B$4)</f>
        <v>0</v>
      </c>
      <c r="V813" s="18">
        <f t="shared" si="19"/>
        <v>47</v>
      </c>
    </row>
    <row r="814" spans="19:22">
      <c r="S814" s="16">
        <v>815</v>
      </c>
      <c r="T814" s="16" t="s">
        <v>1360</v>
      </c>
      <c r="U814" s="17">
        <f>COUNTIFS(WTG_BD!L:L,'Basic Data'!T814,WTG_BD!F:F,"&gt;="&amp;O2Summary!$B$6,WTG_BD!F:F,"&lt;="&amp;O2Summary!$B$4)</f>
        <v>0</v>
      </c>
      <c r="V814" s="18">
        <f t="shared" si="19"/>
        <v>47</v>
      </c>
    </row>
    <row r="815" spans="19:22">
      <c r="S815" s="16">
        <v>816</v>
      </c>
      <c r="T815" s="16" t="s">
        <v>1361</v>
      </c>
      <c r="U815" s="17">
        <f>COUNTIFS(WTG_BD!L:L,'Basic Data'!T815,WTG_BD!F:F,"&gt;="&amp;O2Summary!$B$6,WTG_BD!F:F,"&lt;="&amp;O2Summary!$B$4)</f>
        <v>0</v>
      </c>
      <c r="V815" s="18">
        <f t="shared" si="19"/>
        <v>47</v>
      </c>
    </row>
    <row r="816" spans="19:22">
      <c r="S816" s="16">
        <v>817</v>
      </c>
      <c r="T816" s="16" t="s">
        <v>1362</v>
      </c>
      <c r="U816" s="17">
        <f>COUNTIFS(WTG_BD!L:L,'Basic Data'!T816,WTG_BD!F:F,"&gt;="&amp;O2Summary!$B$6,WTG_BD!F:F,"&lt;="&amp;O2Summary!$B$4)</f>
        <v>0</v>
      </c>
      <c r="V816" s="18">
        <f t="shared" si="19"/>
        <v>47</v>
      </c>
    </row>
    <row r="817" spans="19:22">
      <c r="S817" s="16">
        <v>818</v>
      </c>
      <c r="T817" s="16" t="s">
        <v>1363</v>
      </c>
      <c r="U817" s="17">
        <f>COUNTIFS(WTG_BD!L:L,'Basic Data'!T817,WTG_BD!F:F,"&gt;="&amp;O2Summary!$B$6,WTG_BD!F:F,"&lt;="&amp;O2Summary!$B$4)</f>
        <v>0</v>
      </c>
      <c r="V817" s="18">
        <f t="shared" si="19"/>
        <v>47</v>
      </c>
    </row>
    <row r="818" spans="19:22">
      <c r="S818" s="16">
        <v>819</v>
      </c>
      <c r="T818" s="16" t="s">
        <v>1364</v>
      </c>
      <c r="U818" s="17">
        <f>COUNTIFS(WTG_BD!L:L,'Basic Data'!T818,WTG_BD!F:F,"&gt;="&amp;O2Summary!$B$6,WTG_BD!F:F,"&lt;="&amp;O2Summary!$B$4)</f>
        <v>0</v>
      </c>
      <c r="V818" s="18">
        <f t="shared" si="19"/>
        <v>47</v>
      </c>
    </row>
    <row r="819" spans="19:22">
      <c r="S819" s="16">
        <v>820</v>
      </c>
      <c r="T819" s="16" t="s">
        <v>1365</v>
      </c>
      <c r="U819" s="17">
        <f>COUNTIFS(WTG_BD!L:L,'Basic Data'!T819,WTG_BD!F:F,"&gt;="&amp;O2Summary!$B$6,WTG_BD!F:F,"&lt;="&amp;O2Summary!$B$4)</f>
        <v>0</v>
      </c>
      <c r="V819" s="18">
        <f t="shared" si="19"/>
        <v>47</v>
      </c>
    </row>
    <row r="820" spans="19:22">
      <c r="S820" s="16">
        <v>821</v>
      </c>
      <c r="T820" s="16" t="s">
        <v>1366</v>
      </c>
      <c r="U820" s="17">
        <f>COUNTIFS(WTG_BD!L:L,'Basic Data'!T820,WTG_BD!F:F,"&gt;="&amp;O2Summary!$B$6,WTG_BD!F:F,"&lt;="&amp;O2Summary!$B$4)</f>
        <v>0</v>
      </c>
      <c r="V820" s="18">
        <f t="shared" si="19"/>
        <v>47</v>
      </c>
    </row>
    <row r="821" spans="19:22">
      <c r="S821" s="16">
        <v>822</v>
      </c>
      <c r="T821" s="16" t="s">
        <v>1367</v>
      </c>
      <c r="U821" s="17">
        <f>COUNTIFS(WTG_BD!L:L,'Basic Data'!T821,WTG_BD!F:F,"&gt;="&amp;O2Summary!$B$6,WTG_BD!F:F,"&lt;="&amp;O2Summary!$B$4)</f>
        <v>0</v>
      </c>
      <c r="V821" s="18">
        <f t="shared" si="19"/>
        <v>47</v>
      </c>
    </row>
    <row r="822" spans="19:22">
      <c r="S822" s="16">
        <v>823</v>
      </c>
      <c r="T822" s="16" t="s">
        <v>1368</v>
      </c>
      <c r="U822" s="17">
        <f>COUNTIFS(WTG_BD!L:L,'Basic Data'!T822,WTG_BD!F:F,"&gt;="&amp;O2Summary!$B$6,WTG_BD!F:F,"&lt;="&amp;O2Summary!$B$4)</f>
        <v>0</v>
      </c>
      <c r="V822" s="18">
        <f t="shared" si="19"/>
        <v>47</v>
      </c>
    </row>
    <row r="823" spans="19:22">
      <c r="S823" s="16">
        <v>824</v>
      </c>
      <c r="T823" s="16" t="s">
        <v>1369</v>
      </c>
      <c r="U823" s="17">
        <f>COUNTIFS(WTG_BD!L:L,'Basic Data'!T823,WTG_BD!F:F,"&gt;="&amp;O2Summary!$B$6,WTG_BD!F:F,"&lt;="&amp;O2Summary!$B$4)</f>
        <v>0</v>
      </c>
      <c r="V823" s="18">
        <f t="shared" si="19"/>
        <v>47</v>
      </c>
    </row>
    <row r="824" spans="19:22">
      <c r="S824" s="16">
        <v>825</v>
      </c>
      <c r="T824" s="16" t="s">
        <v>1370</v>
      </c>
      <c r="U824" s="17">
        <f>COUNTIFS(WTG_BD!L:L,'Basic Data'!T824,WTG_BD!F:F,"&gt;="&amp;O2Summary!$B$6,WTG_BD!F:F,"&lt;="&amp;O2Summary!$B$4)</f>
        <v>0</v>
      </c>
      <c r="V824" s="18">
        <f t="shared" si="19"/>
        <v>47</v>
      </c>
    </row>
    <row r="825" spans="19:22">
      <c r="S825" s="16">
        <v>826</v>
      </c>
      <c r="T825" s="16" t="s">
        <v>1371</v>
      </c>
      <c r="U825" s="17">
        <f>COUNTIFS(WTG_BD!L:L,'Basic Data'!T825,WTG_BD!F:F,"&gt;="&amp;O2Summary!$B$6,WTG_BD!F:F,"&lt;="&amp;O2Summary!$B$4)</f>
        <v>0</v>
      </c>
      <c r="V825" s="18">
        <f t="shared" si="19"/>
        <v>47</v>
      </c>
    </row>
    <row r="826" spans="19:22">
      <c r="S826" s="16">
        <v>827</v>
      </c>
      <c r="T826" s="16" t="s">
        <v>1372</v>
      </c>
      <c r="U826" s="17">
        <f>COUNTIFS(WTG_BD!L:L,'Basic Data'!T826,WTG_BD!F:F,"&gt;="&amp;O2Summary!$B$6,WTG_BD!F:F,"&lt;="&amp;O2Summary!$B$4)</f>
        <v>0</v>
      </c>
      <c r="V826" s="18">
        <f t="shared" si="19"/>
        <v>47</v>
      </c>
    </row>
    <row r="827" spans="19:22">
      <c r="S827" s="16">
        <v>828</v>
      </c>
      <c r="T827" s="16" t="s">
        <v>1373</v>
      </c>
      <c r="U827" s="17">
        <f>COUNTIFS(WTG_BD!L:L,'Basic Data'!T827,WTG_BD!F:F,"&gt;="&amp;O2Summary!$B$6,WTG_BD!F:F,"&lt;="&amp;O2Summary!$B$4)</f>
        <v>0</v>
      </c>
      <c r="V827" s="18">
        <f t="shared" si="19"/>
        <v>47</v>
      </c>
    </row>
    <row r="828" spans="19:22">
      <c r="S828" s="16">
        <v>829</v>
      </c>
      <c r="T828" s="16" t="s">
        <v>1374</v>
      </c>
      <c r="U828" s="17">
        <f>COUNTIFS(WTG_BD!L:L,'Basic Data'!T828,WTG_BD!F:F,"&gt;="&amp;O2Summary!$B$6,WTG_BD!F:F,"&lt;="&amp;O2Summary!$B$4)</f>
        <v>0</v>
      </c>
      <c r="V828" s="18">
        <f t="shared" si="19"/>
        <v>47</v>
      </c>
    </row>
    <row r="829" spans="19:22">
      <c r="S829" s="16">
        <v>830</v>
      </c>
      <c r="T829" s="16" t="s">
        <v>1375</v>
      </c>
      <c r="U829" s="17">
        <f>COUNTIFS(WTG_BD!L:L,'Basic Data'!T829,WTG_BD!F:F,"&gt;="&amp;O2Summary!$B$6,WTG_BD!F:F,"&lt;="&amp;O2Summary!$B$4)</f>
        <v>0</v>
      </c>
      <c r="V829" s="18">
        <f t="shared" si="19"/>
        <v>47</v>
      </c>
    </row>
    <row r="830" spans="19:22">
      <c r="S830" s="16">
        <v>831</v>
      </c>
      <c r="T830" s="16" t="s">
        <v>1376</v>
      </c>
      <c r="U830" s="17">
        <f>COUNTIFS(WTG_BD!L:L,'Basic Data'!T830,WTG_BD!F:F,"&gt;="&amp;O2Summary!$B$6,WTG_BD!F:F,"&lt;="&amp;O2Summary!$B$4)</f>
        <v>0</v>
      </c>
      <c r="V830" s="18">
        <f t="shared" si="19"/>
        <v>47</v>
      </c>
    </row>
    <row r="831" spans="19:22">
      <c r="S831" s="16">
        <v>832</v>
      </c>
      <c r="T831" s="16" t="s">
        <v>1377</v>
      </c>
      <c r="U831" s="17">
        <f>COUNTIFS(WTG_BD!L:L,'Basic Data'!T831,WTG_BD!F:F,"&gt;="&amp;O2Summary!$B$6,WTG_BD!F:F,"&lt;="&amp;O2Summary!$B$4)</f>
        <v>0</v>
      </c>
      <c r="V831" s="18">
        <f t="shared" si="19"/>
        <v>47</v>
      </c>
    </row>
    <row r="832" spans="19:22">
      <c r="S832" s="16">
        <v>833</v>
      </c>
      <c r="T832" s="16" t="s">
        <v>1378</v>
      </c>
      <c r="U832" s="17">
        <f>COUNTIFS(WTG_BD!L:L,'Basic Data'!T832,WTG_BD!F:F,"&gt;="&amp;O2Summary!$B$6,WTG_BD!F:F,"&lt;="&amp;O2Summary!$B$4)</f>
        <v>0</v>
      </c>
      <c r="V832" s="18">
        <f t="shared" si="19"/>
        <v>47</v>
      </c>
    </row>
    <row r="833" spans="19:22">
      <c r="S833" s="16">
        <v>834</v>
      </c>
      <c r="T833" s="16" t="s">
        <v>1379</v>
      </c>
      <c r="U833" s="17">
        <f>COUNTIFS(WTG_BD!L:L,'Basic Data'!T833,WTG_BD!F:F,"&gt;="&amp;O2Summary!$B$6,WTG_BD!F:F,"&lt;="&amp;O2Summary!$B$4)</f>
        <v>0</v>
      </c>
      <c r="V833" s="18">
        <f t="shared" si="19"/>
        <v>47</v>
      </c>
    </row>
    <row r="834" spans="19:22">
      <c r="S834" s="16">
        <v>835</v>
      </c>
      <c r="T834" s="16" t="s">
        <v>1380</v>
      </c>
      <c r="U834" s="17">
        <f>COUNTIFS(WTG_BD!L:L,'Basic Data'!T834,WTG_BD!F:F,"&gt;="&amp;O2Summary!$B$6,WTG_BD!F:F,"&lt;="&amp;O2Summary!$B$4)</f>
        <v>0</v>
      </c>
      <c r="V834" s="18">
        <f t="shared" si="19"/>
        <v>47</v>
      </c>
    </row>
    <row r="835" spans="19:22">
      <c r="S835" s="16">
        <v>836</v>
      </c>
      <c r="T835" s="16" t="s">
        <v>1381</v>
      </c>
      <c r="U835" s="17">
        <f>COUNTIFS(WTG_BD!L:L,'Basic Data'!T835,WTG_BD!F:F,"&gt;="&amp;O2Summary!$B$6,WTG_BD!F:F,"&lt;="&amp;O2Summary!$B$4)</f>
        <v>0</v>
      </c>
      <c r="V835" s="18">
        <f t="shared" ref="V835:V898" si="20">RANK(U835,$U$2:$U$3975)</f>
        <v>47</v>
      </c>
    </row>
    <row r="836" spans="19:22">
      <c r="S836" s="16">
        <v>837</v>
      </c>
      <c r="T836" s="16" t="s">
        <v>1382</v>
      </c>
      <c r="U836" s="17">
        <f>COUNTIFS(WTG_BD!L:L,'Basic Data'!T836,WTG_BD!F:F,"&gt;="&amp;O2Summary!$B$6,WTG_BD!F:F,"&lt;="&amp;O2Summary!$B$4)</f>
        <v>0</v>
      </c>
      <c r="V836" s="18">
        <f t="shared" si="20"/>
        <v>47</v>
      </c>
    </row>
    <row r="837" spans="19:22">
      <c r="S837" s="16">
        <v>838</v>
      </c>
      <c r="T837" s="16" t="s">
        <v>1383</v>
      </c>
      <c r="U837" s="17">
        <f>COUNTIFS(WTG_BD!L:L,'Basic Data'!T837,WTG_BD!F:F,"&gt;="&amp;O2Summary!$B$6,WTG_BD!F:F,"&lt;="&amp;O2Summary!$B$4)</f>
        <v>0</v>
      </c>
      <c r="V837" s="18">
        <f t="shared" si="20"/>
        <v>47</v>
      </c>
    </row>
    <row r="838" spans="19:22">
      <c r="S838" s="16">
        <v>839</v>
      </c>
      <c r="T838" s="16" t="s">
        <v>1384</v>
      </c>
      <c r="U838" s="17">
        <f>COUNTIFS(WTG_BD!L:L,'Basic Data'!T838,WTG_BD!F:F,"&gt;="&amp;O2Summary!$B$6,WTG_BD!F:F,"&lt;="&amp;O2Summary!$B$4)</f>
        <v>0</v>
      </c>
      <c r="V838" s="18">
        <f t="shared" si="20"/>
        <v>47</v>
      </c>
    </row>
    <row r="839" spans="19:22">
      <c r="S839" s="16">
        <v>840</v>
      </c>
      <c r="T839" s="16" t="s">
        <v>1385</v>
      </c>
      <c r="U839" s="17">
        <f>COUNTIFS(WTG_BD!L:L,'Basic Data'!T839,WTG_BD!F:F,"&gt;="&amp;O2Summary!$B$6,WTG_BD!F:F,"&lt;="&amp;O2Summary!$B$4)</f>
        <v>0</v>
      </c>
      <c r="V839" s="18">
        <f t="shared" si="20"/>
        <v>47</v>
      </c>
    </row>
    <row r="840" spans="19:22">
      <c r="S840" s="16">
        <v>841</v>
      </c>
      <c r="T840" s="16" t="s">
        <v>1386</v>
      </c>
      <c r="U840" s="17">
        <f>COUNTIFS(WTG_BD!L:L,'Basic Data'!T840,WTG_BD!F:F,"&gt;="&amp;O2Summary!$B$6,WTG_BD!F:F,"&lt;="&amp;O2Summary!$B$4)</f>
        <v>0</v>
      </c>
      <c r="V840" s="18">
        <f t="shared" si="20"/>
        <v>47</v>
      </c>
    </row>
    <row r="841" spans="19:22">
      <c r="S841" s="16">
        <v>842</v>
      </c>
      <c r="T841" s="16" t="s">
        <v>1387</v>
      </c>
      <c r="U841" s="17">
        <f>COUNTIFS(WTG_BD!L:L,'Basic Data'!T841,WTG_BD!F:F,"&gt;="&amp;O2Summary!$B$6,WTG_BD!F:F,"&lt;="&amp;O2Summary!$B$4)</f>
        <v>0</v>
      </c>
      <c r="V841" s="18">
        <f t="shared" si="20"/>
        <v>47</v>
      </c>
    </row>
    <row r="842" spans="19:22">
      <c r="S842" s="16">
        <v>843</v>
      </c>
      <c r="T842" s="16" t="s">
        <v>1388</v>
      </c>
      <c r="U842" s="17">
        <f>COUNTIFS(WTG_BD!L:L,'Basic Data'!T842,WTG_BD!F:F,"&gt;="&amp;O2Summary!$B$6,WTG_BD!F:F,"&lt;="&amp;O2Summary!$B$4)</f>
        <v>0</v>
      </c>
      <c r="V842" s="18">
        <f t="shared" si="20"/>
        <v>47</v>
      </c>
    </row>
    <row r="843" spans="19:22">
      <c r="S843" s="16">
        <v>844</v>
      </c>
      <c r="T843" s="16" t="s">
        <v>1389</v>
      </c>
      <c r="U843" s="17">
        <f>COUNTIFS(WTG_BD!L:L,'Basic Data'!T843,WTG_BD!F:F,"&gt;="&amp;O2Summary!$B$6,WTG_BD!F:F,"&lt;="&amp;O2Summary!$B$4)</f>
        <v>0</v>
      </c>
      <c r="V843" s="18">
        <f t="shared" si="20"/>
        <v>47</v>
      </c>
    </row>
    <row r="844" spans="19:22">
      <c r="S844" s="16">
        <v>845</v>
      </c>
      <c r="T844" s="16" t="s">
        <v>1390</v>
      </c>
      <c r="U844" s="17">
        <f>COUNTIFS(WTG_BD!L:L,'Basic Data'!T844,WTG_BD!F:F,"&gt;="&amp;O2Summary!$B$6,WTG_BD!F:F,"&lt;="&amp;O2Summary!$B$4)</f>
        <v>0</v>
      </c>
      <c r="V844" s="18">
        <f t="shared" si="20"/>
        <v>47</v>
      </c>
    </row>
    <row r="845" spans="19:22">
      <c r="S845" s="16">
        <v>846</v>
      </c>
      <c r="T845" s="16" t="s">
        <v>1391</v>
      </c>
      <c r="U845" s="17">
        <f>COUNTIFS(WTG_BD!L:L,'Basic Data'!T845,WTG_BD!F:F,"&gt;="&amp;O2Summary!$B$6,WTG_BD!F:F,"&lt;="&amp;O2Summary!$B$4)</f>
        <v>0</v>
      </c>
      <c r="V845" s="18">
        <f t="shared" si="20"/>
        <v>47</v>
      </c>
    </row>
    <row r="846" spans="19:22">
      <c r="S846" s="16">
        <v>847</v>
      </c>
      <c r="T846" s="16" t="s">
        <v>1392</v>
      </c>
      <c r="U846" s="17">
        <f>COUNTIFS(WTG_BD!L:L,'Basic Data'!T846,WTG_BD!F:F,"&gt;="&amp;O2Summary!$B$6,WTG_BD!F:F,"&lt;="&amp;O2Summary!$B$4)</f>
        <v>0</v>
      </c>
      <c r="V846" s="18">
        <f t="shared" si="20"/>
        <v>47</v>
      </c>
    </row>
    <row r="847" spans="19:22">
      <c r="S847" s="16">
        <v>848</v>
      </c>
      <c r="T847" s="16" t="s">
        <v>1393</v>
      </c>
      <c r="U847" s="17">
        <f>COUNTIFS(WTG_BD!L:L,'Basic Data'!T847,WTG_BD!F:F,"&gt;="&amp;O2Summary!$B$6,WTG_BD!F:F,"&lt;="&amp;O2Summary!$B$4)</f>
        <v>0</v>
      </c>
      <c r="V847" s="18">
        <f t="shared" si="20"/>
        <v>47</v>
      </c>
    </row>
    <row r="848" spans="19:22">
      <c r="S848" s="16">
        <v>849</v>
      </c>
      <c r="T848" s="16" t="s">
        <v>1394</v>
      </c>
      <c r="U848" s="17">
        <f>COUNTIFS(WTG_BD!L:L,'Basic Data'!T848,WTG_BD!F:F,"&gt;="&amp;O2Summary!$B$6,WTG_BD!F:F,"&lt;="&amp;O2Summary!$B$4)</f>
        <v>0</v>
      </c>
      <c r="V848" s="18">
        <f t="shared" si="20"/>
        <v>47</v>
      </c>
    </row>
    <row r="849" spans="19:22">
      <c r="S849" s="16">
        <v>850</v>
      </c>
      <c r="T849" s="16" t="s">
        <v>1395</v>
      </c>
      <c r="U849" s="17">
        <f>COUNTIFS(WTG_BD!L:L,'Basic Data'!T849,WTG_BD!F:F,"&gt;="&amp;O2Summary!$B$6,WTG_BD!F:F,"&lt;="&amp;O2Summary!$B$4)</f>
        <v>0</v>
      </c>
      <c r="V849" s="18">
        <f t="shared" si="20"/>
        <v>47</v>
      </c>
    </row>
    <row r="850" spans="19:22">
      <c r="S850" s="16">
        <v>851</v>
      </c>
      <c r="T850" s="16" t="s">
        <v>1396</v>
      </c>
      <c r="U850" s="17">
        <f>COUNTIFS(WTG_BD!L:L,'Basic Data'!T850,WTG_BD!F:F,"&gt;="&amp;O2Summary!$B$6,WTG_BD!F:F,"&lt;="&amp;O2Summary!$B$4)</f>
        <v>0</v>
      </c>
      <c r="V850" s="18">
        <f t="shared" si="20"/>
        <v>47</v>
      </c>
    </row>
    <row r="851" spans="19:22">
      <c r="S851" s="16">
        <v>852</v>
      </c>
      <c r="T851" s="16" t="s">
        <v>1397</v>
      </c>
      <c r="U851" s="17">
        <f>COUNTIFS(WTG_BD!L:L,'Basic Data'!T851,WTG_BD!F:F,"&gt;="&amp;O2Summary!$B$6,WTG_BD!F:F,"&lt;="&amp;O2Summary!$B$4)</f>
        <v>0</v>
      </c>
      <c r="V851" s="18">
        <f t="shared" si="20"/>
        <v>47</v>
      </c>
    </row>
    <row r="852" spans="19:22">
      <c r="S852" s="16">
        <v>853</v>
      </c>
      <c r="T852" s="16" t="s">
        <v>1398</v>
      </c>
      <c r="U852" s="17">
        <f>COUNTIFS(WTG_BD!L:L,'Basic Data'!T852,WTG_BD!F:F,"&gt;="&amp;O2Summary!$B$6,WTG_BD!F:F,"&lt;="&amp;O2Summary!$B$4)</f>
        <v>0</v>
      </c>
      <c r="V852" s="18">
        <f t="shared" si="20"/>
        <v>47</v>
      </c>
    </row>
    <row r="853" spans="19:22">
      <c r="S853" s="16">
        <v>854</v>
      </c>
      <c r="T853" s="16" t="s">
        <v>1399</v>
      </c>
      <c r="U853" s="17">
        <f>COUNTIFS(WTG_BD!L:L,'Basic Data'!T853,WTG_BD!F:F,"&gt;="&amp;O2Summary!$B$6,WTG_BD!F:F,"&lt;="&amp;O2Summary!$B$4)</f>
        <v>0</v>
      </c>
      <c r="V853" s="18">
        <f t="shared" si="20"/>
        <v>47</v>
      </c>
    </row>
    <row r="854" spans="19:22">
      <c r="S854" s="16">
        <v>855</v>
      </c>
      <c r="T854" s="16" t="s">
        <v>1400</v>
      </c>
      <c r="U854" s="17">
        <f>COUNTIFS(WTG_BD!L:L,'Basic Data'!T854,WTG_BD!F:F,"&gt;="&amp;O2Summary!$B$6,WTG_BD!F:F,"&lt;="&amp;O2Summary!$B$4)</f>
        <v>0</v>
      </c>
      <c r="V854" s="18">
        <f t="shared" si="20"/>
        <v>47</v>
      </c>
    </row>
    <row r="855" spans="19:22">
      <c r="S855" s="16">
        <v>856</v>
      </c>
      <c r="T855" s="16" t="s">
        <v>1401</v>
      </c>
      <c r="U855" s="17">
        <f>COUNTIFS(WTG_BD!L:L,'Basic Data'!T855,WTG_BD!F:F,"&gt;="&amp;O2Summary!$B$6,WTG_BD!F:F,"&lt;="&amp;O2Summary!$B$4)</f>
        <v>0</v>
      </c>
      <c r="V855" s="18">
        <f t="shared" si="20"/>
        <v>47</v>
      </c>
    </row>
    <row r="856" spans="19:22">
      <c r="S856" s="16">
        <v>857</v>
      </c>
      <c r="T856" s="16" t="s">
        <v>1402</v>
      </c>
      <c r="U856" s="17">
        <f>COUNTIFS(WTG_BD!L:L,'Basic Data'!T856,WTG_BD!F:F,"&gt;="&amp;O2Summary!$B$6,WTG_BD!F:F,"&lt;="&amp;O2Summary!$B$4)</f>
        <v>0</v>
      </c>
      <c r="V856" s="18">
        <f t="shared" si="20"/>
        <v>47</v>
      </c>
    </row>
    <row r="857" spans="19:22">
      <c r="S857" s="16">
        <v>858</v>
      </c>
      <c r="T857" s="16" t="s">
        <v>1403</v>
      </c>
      <c r="U857" s="17">
        <f>COUNTIFS(WTG_BD!L:L,'Basic Data'!T857,WTG_BD!F:F,"&gt;="&amp;O2Summary!$B$6,WTG_BD!F:F,"&lt;="&amp;O2Summary!$B$4)</f>
        <v>0</v>
      </c>
      <c r="V857" s="18">
        <f t="shared" si="20"/>
        <v>47</v>
      </c>
    </row>
    <row r="858" spans="19:22">
      <c r="S858" s="16">
        <v>859</v>
      </c>
      <c r="T858" s="16" t="s">
        <v>1404</v>
      </c>
      <c r="U858" s="17">
        <f>COUNTIFS(WTG_BD!L:L,'Basic Data'!T858,WTG_BD!F:F,"&gt;="&amp;O2Summary!$B$6,WTG_BD!F:F,"&lt;="&amp;O2Summary!$B$4)</f>
        <v>0</v>
      </c>
      <c r="V858" s="18">
        <f t="shared" si="20"/>
        <v>47</v>
      </c>
    </row>
    <row r="859" spans="19:22">
      <c r="S859" s="16">
        <v>860</v>
      </c>
      <c r="T859" s="16" t="s">
        <v>1405</v>
      </c>
      <c r="U859" s="17">
        <f>COUNTIFS(WTG_BD!L:L,'Basic Data'!T859,WTG_BD!F:F,"&gt;="&amp;O2Summary!$B$6,WTG_BD!F:F,"&lt;="&amp;O2Summary!$B$4)</f>
        <v>0</v>
      </c>
      <c r="V859" s="18">
        <f t="shared" si="20"/>
        <v>47</v>
      </c>
    </row>
    <row r="860" spans="19:22">
      <c r="S860" s="16">
        <v>861</v>
      </c>
      <c r="T860" s="16" t="s">
        <v>1406</v>
      </c>
      <c r="U860" s="17">
        <f>COUNTIFS(WTG_BD!L:L,'Basic Data'!T860,WTG_BD!F:F,"&gt;="&amp;O2Summary!$B$6,WTG_BD!F:F,"&lt;="&amp;O2Summary!$B$4)</f>
        <v>0</v>
      </c>
      <c r="V860" s="18">
        <f t="shared" si="20"/>
        <v>47</v>
      </c>
    </row>
    <row r="861" spans="19:22">
      <c r="S861" s="16">
        <v>862</v>
      </c>
      <c r="T861" s="16" t="s">
        <v>1407</v>
      </c>
      <c r="U861" s="17">
        <f>COUNTIFS(WTG_BD!L:L,'Basic Data'!T861,WTG_BD!F:F,"&gt;="&amp;O2Summary!$B$6,WTG_BD!F:F,"&lt;="&amp;O2Summary!$B$4)</f>
        <v>0</v>
      </c>
      <c r="V861" s="18">
        <f t="shared" si="20"/>
        <v>47</v>
      </c>
    </row>
    <row r="862" spans="19:22">
      <c r="S862" s="16">
        <v>863</v>
      </c>
      <c r="T862" s="16" t="s">
        <v>1408</v>
      </c>
      <c r="U862" s="17">
        <f>COUNTIFS(WTG_BD!L:L,'Basic Data'!T862,WTG_BD!F:F,"&gt;="&amp;O2Summary!$B$6,WTG_BD!F:F,"&lt;="&amp;O2Summary!$B$4)</f>
        <v>0</v>
      </c>
      <c r="V862" s="18">
        <f t="shared" si="20"/>
        <v>47</v>
      </c>
    </row>
    <row r="863" spans="19:22">
      <c r="S863" s="16">
        <v>864</v>
      </c>
      <c r="T863" s="16" t="s">
        <v>1409</v>
      </c>
      <c r="U863" s="17">
        <f>COUNTIFS(WTG_BD!L:L,'Basic Data'!T863,WTG_BD!F:F,"&gt;="&amp;O2Summary!$B$6,WTG_BD!F:F,"&lt;="&amp;O2Summary!$B$4)</f>
        <v>0</v>
      </c>
      <c r="V863" s="18">
        <f t="shared" si="20"/>
        <v>47</v>
      </c>
    </row>
    <row r="864" spans="19:22">
      <c r="S864" s="16">
        <v>865</v>
      </c>
      <c r="T864" s="16" t="s">
        <v>1410</v>
      </c>
      <c r="U864" s="17">
        <f>COUNTIFS(WTG_BD!L:L,'Basic Data'!T864,WTG_BD!F:F,"&gt;="&amp;O2Summary!$B$6,WTG_BD!F:F,"&lt;="&amp;O2Summary!$B$4)</f>
        <v>0</v>
      </c>
      <c r="V864" s="18">
        <f t="shared" si="20"/>
        <v>47</v>
      </c>
    </row>
    <row r="865" spans="19:22">
      <c r="S865" s="16">
        <v>866</v>
      </c>
      <c r="T865" s="16" t="s">
        <v>1411</v>
      </c>
      <c r="U865" s="17">
        <f>COUNTIFS(WTG_BD!L:L,'Basic Data'!T865,WTG_BD!F:F,"&gt;="&amp;O2Summary!$B$6,WTG_BD!F:F,"&lt;="&amp;O2Summary!$B$4)</f>
        <v>0</v>
      </c>
      <c r="V865" s="18">
        <f t="shared" si="20"/>
        <v>47</v>
      </c>
    </row>
    <row r="866" spans="19:22">
      <c r="S866" s="16">
        <v>867</v>
      </c>
      <c r="T866" s="16" t="s">
        <v>1412</v>
      </c>
      <c r="U866" s="17">
        <f>COUNTIFS(WTG_BD!L:L,'Basic Data'!T866,WTG_BD!F:F,"&gt;="&amp;O2Summary!$B$6,WTG_BD!F:F,"&lt;="&amp;O2Summary!$B$4)</f>
        <v>0</v>
      </c>
      <c r="V866" s="18">
        <f t="shared" si="20"/>
        <v>47</v>
      </c>
    </row>
    <row r="867" spans="19:22">
      <c r="S867" s="16">
        <v>868</v>
      </c>
      <c r="T867" s="16" t="s">
        <v>1413</v>
      </c>
      <c r="U867" s="17">
        <f>COUNTIFS(WTG_BD!L:L,'Basic Data'!T867,WTG_BD!F:F,"&gt;="&amp;O2Summary!$B$6,WTG_BD!F:F,"&lt;="&amp;O2Summary!$B$4)</f>
        <v>0</v>
      </c>
      <c r="V867" s="18">
        <f t="shared" si="20"/>
        <v>47</v>
      </c>
    </row>
    <row r="868" spans="19:22">
      <c r="S868" s="16">
        <v>869</v>
      </c>
      <c r="T868" s="16" t="s">
        <v>1414</v>
      </c>
      <c r="U868" s="17">
        <f>COUNTIFS(WTG_BD!L:L,'Basic Data'!T868,WTG_BD!F:F,"&gt;="&amp;O2Summary!$B$6,WTG_BD!F:F,"&lt;="&amp;O2Summary!$B$4)</f>
        <v>0</v>
      </c>
      <c r="V868" s="18">
        <f t="shared" si="20"/>
        <v>47</v>
      </c>
    </row>
    <row r="869" spans="19:22">
      <c r="S869" s="16">
        <v>870</v>
      </c>
      <c r="T869" s="16" t="s">
        <v>1415</v>
      </c>
      <c r="U869" s="17">
        <f>COUNTIFS(WTG_BD!L:L,'Basic Data'!T869,WTG_BD!F:F,"&gt;="&amp;O2Summary!$B$6,WTG_BD!F:F,"&lt;="&amp;O2Summary!$B$4)</f>
        <v>0</v>
      </c>
      <c r="V869" s="18">
        <f t="shared" si="20"/>
        <v>47</v>
      </c>
    </row>
    <row r="870" spans="19:22">
      <c r="S870" s="16">
        <v>871</v>
      </c>
      <c r="T870" s="16" t="s">
        <v>1416</v>
      </c>
      <c r="U870" s="17">
        <f>COUNTIFS(WTG_BD!L:L,'Basic Data'!T870,WTG_BD!F:F,"&gt;="&amp;O2Summary!$B$6,WTG_BD!F:F,"&lt;="&amp;O2Summary!$B$4)</f>
        <v>0</v>
      </c>
      <c r="V870" s="18">
        <f t="shared" si="20"/>
        <v>47</v>
      </c>
    </row>
    <row r="871" spans="19:22">
      <c r="S871" s="16">
        <v>872</v>
      </c>
      <c r="T871" s="16" t="s">
        <v>1417</v>
      </c>
      <c r="U871" s="17">
        <f>COUNTIFS(WTG_BD!L:L,'Basic Data'!T871,WTG_BD!F:F,"&gt;="&amp;O2Summary!$B$6,WTG_BD!F:F,"&lt;="&amp;O2Summary!$B$4)</f>
        <v>0</v>
      </c>
      <c r="V871" s="18">
        <f t="shared" si="20"/>
        <v>47</v>
      </c>
    </row>
    <row r="872" spans="19:22">
      <c r="S872" s="16">
        <v>873</v>
      </c>
      <c r="T872" s="16" t="s">
        <v>1418</v>
      </c>
      <c r="U872" s="17">
        <f>COUNTIFS(WTG_BD!L:L,'Basic Data'!T872,WTG_BD!F:F,"&gt;="&amp;O2Summary!$B$6,WTG_BD!F:F,"&lt;="&amp;O2Summary!$B$4)</f>
        <v>0</v>
      </c>
      <c r="V872" s="18">
        <f t="shared" si="20"/>
        <v>47</v>
      </c>
    </row>
    <row r="873" spans="19:22">
      <c r="S873" s="16">
        <v>874</v>
      </c>
      <c r="T873" s="16" t="s">
        <v>1419</v>
      </c>
      <c r="U873" s="17">
        <f>COUNTIFS(WTG_BD!L:L,'Basic Data'!T873,WTG_BD!F:F,"&gt;="&amp;O2Summary!$B$6,WTG_BD!F:F,"&lt;="&amp;O2Summary!$B$4)</f>
        <v>0</v>
      </c>
      <c r="V873" s="18">
        <f t="shared" si="20"/>
        <v>47</v>
      </c>
    </row>
    <row r="874" spans="19:22">
      <c r="S874" s="16">
        <v>875</v>
      </c>
      <c r="T874" s="16" t="s">
        <v>867</v>
      </c>
      <c r="U874" s="17">
        <f>COUNTIFS(WTG_BD!L:L,'Basic Data'!T874,WTG_BD!F:F,"&gt;="&amp;O2Summary!$B$6,WTG_BD!F:F,"&lt;="&amp;O2Summary!$B$4)</f>
        <v>0</v>
      </c>
      <c r="V874" s="18">
        <f t="shared" si="20"/>
        <v>47</v>
      </c>
    </row>
    <row r="875" spans="19:22">
      <c r="S875" s="16">
        <v>876</v>
      </c>
      <c r="T875" s="16" t="s">
        <v>1420</v>
      </c>
      <c r="U875" s="17">
        <f>COUNTIFS(WTG_BD!L:L,'Basic Data'!T875,WTG_BD!F:F,"&gt;="&amp;O2Summary!$B$6,WTG_BD!F:F,"&lt;="&amp;O2Summary!$B$4)</f>
        <v>0</v>
      </c>
      <c r="V875" s="18">
        <f t="shared" si="20"/>
        <v>47</v>
      </c>
    </row>
    <row r="876" spans="19:22">
      <c r="S876" s="16">
        <v>877</v>
      </c>
      <c r="T876" s="16" t="s">
        <v>1421</v>
      </c>
      <c r="U876" s="17">
        <f>COUNTIFS(WTG_BD!L:L,'Basic Data'!T876,WTG_BD!F:F,"&gt;="&amp;O2Summary!$B$6,WTG_BD!F:F,"&lt;="&amp;O2Summary!$B$4)</f>
        <v>0</v>
      </c>
      <c r="V876" s="18">
        <f t="shared" si="20"/>
        <v>47</v>
      </c>
    </row>
    <row r="877" spans="19:22">
      <c r="S877" s="16">
        <v>878</v>
      </c>
      <c r="T877" s="16" t="s">
        <v>1422</v>
      </c>
      <c r="U877" s="17">
        <f>COUNTIFS(WTG_BD!L:L,'Basic Data'!T877,WTG_BD!F:F,"&gt;="&amp;O2Summary!$B$6,WTG_BD!F:F,"&lt;="&amp;O2Summary!$B$4)</f>
        <v>0</v>
      </c>
      <c r="V877" s="18">
        <f t="shared" si="20"/>
        <v>47</v>
      </c>
    </row>
    <row r="878" spans="19:22">
      <c r="S878" s="16">
        <v>879</v>
      </c>
      <c r="T878" s="16" t="s">
        <v>1423</v>
      </c>
      <c r="U878" s="17">
        <f>COUNTIFS(WTG_BD!L:L,'Basic Data'!T878,WTG_BD!F:F,"&gt;="&amp;O2Summary!$B$6,WTG_BD!F:F,"&lt;="&amp;O2Summary!$B$4)</f>
        <v>0</v>
      </c>
      <c r="V878" s="18">
        <f t="shared" si="20"/>
        <v>47</v>
      </c>
    </row>
    <row r="879" spans="19:22">
      <c r="S879" s="16">
        <v>880</v>
      </c>
      <c r="T879" s="16" t="s">
        <v>1424</v>
      </c>
      <c r="U879" s="17">
        <f>COUNTIFS(WTG_BD!L:L,'Basic Data'!T879,WTG_BD!F:F,"&gt;="&amp;O2Summary!$B$6,WTG_BD!F:F,"&lt;="&amp;O2Summary!$B$4)</f>
        <v>0</v>
      </c>
      <c r="V879" s="18">
        <f t="shared" si="20"/>
        <v>47</v>
      </c>
    </row>
    <row r="880" spans="19:22">
      <c r="S880" s="16">
        <v>881</v>
      </c>
      <c r="T880" s="16" t="s">
        <v>1425</v>
      </c>
      <c r="U880" s="17">
        <f>COUNTIFS(WTG_BD!L:L,'Basic Data'!T880,WTG_BD!F:F,"&gt;="&amp;O2Summary!$B$6,WTG_BD!F:F,"&lt;="&amp;O2Summary!$B$4)</f>
        <v>0</v>
      </c>
      <c r="V880" s="18">
        <f t="shared" si="20"/>
        <v>47</v>
      </c>
    </row>
    <row r="881" spans="19:22">
      <c r="S881" s="16">
        <v>882</v>
      </c>
      <c r="T881" s="16" t="s">
        <v>1426</v>
      </c>
      <c r="U881" s="17">
        <f>COUNTIFS(WTG_BD!L:L,'Basic Data'!T881,WTG_BD!F:F,"&gt;="&amp;O2Summary!$B$6,WTG_BD!F:F,"&lt;="&amp;O2Summary!$B$4)</f>
        <v>0</v>
      </c>
      <c r="V881" s="18">
        <f t="shared" si="20"/>
        <v>47</v>
      </c>
    </row>
    <row r="882" spans="19:22">
      <c r="S882" s="16">
        <v>883</v>
      </c>
      <c r="T882" s="16" t="s">
        <v>1427</v>
      </c>
      <c r="U882" s="17">
        <f>COUNTIFS(WTG_BD!L:L,'Basic Data'!T882,WTG_BD!F:F,"&gt;="&amp;O2Summary!$B$6,WTG_BD!F:F,"&lt;="&amp;O2Summary!$B$4)</f>
        <v>0</v>
      </c>
      <c r="V882" s="18">
        <f t="shared" si="20"/>
        <v>47</v>
      </c>
    </row>
    <row r="883" spans="19:22">
      <c r="S883" s="16">
        <v>884</v>
      </c>
      <c r="T883" s="16" t="s">
        <v>1428</v>
      </c>
      <c r="U883" s="17">
        <f>COUNTIFS(WTG_BD!L:L,'Basic Data'!T883,WTG_BD!F:F,"&gt;="&amp;O2Summary!$B$6,WTG_BD!F:F,"&lt;="&amp;O2Summary!$B$4)</f>
        <v>0</v>
      </c>
      <c r="V883" s="18">
        <f t="shared" si="20"/>
        <v>47</v>
      </c>
    </row>
    <row r="884" spans="19:22">
      <c r="S884" s="16">
        <v>885</v>
      </c>
      <c r="T884" s="16" t="s">
        <v>1429</v>
      </c>
      <c r="U884" s="17">
        <f>COUNTIFS(WTG_BD!L:L,'Basic Data'!T884,WTG_BD!F:F,"&gt;="&amp;O2Summary!$B$6,WTG_BD!F:F,"&lt;="&amp;O2Summary!$B$4)</f>
        <v>0</v>
      </c>
      <c r="V884" s="18">
        <f t="shared" si="20"/>
        <v>47</v>
      </c>
    </row>
    <row r="885" spans="19:22">
      <c r="S885" s="16">
        <v>886</v>
      </c>
      <c r="T885" s="16" t="s">
        <v>1430</v>
      </c>
      <c r="U885" s="17">
        <f>COUNTIFS(WTG_BD!L:L,'Basic Data'!T885,WTG_BD!F:F,"&gt;="&amp;O2Summary!$B$6,WTG_BD!F:F,"&lt;="&amp;O2Summary!$B$4)</f>
        <v>0</v>
      </c>
      <c r="V885" s="18">
        <f t="shared" si="20"/>
        <v>47</v>
      </c>
    </row>
    <row r="886" spans="19:22">
      <c r="S886" s="16">
        <v>887</v>
      </c>
      <c r="T886" s="16" t="s">
        <v>1431</v>
      </c>
      <c r="U886" s="17">
        <f>COUNTIFS(WTG_BD!L:L,'Basic Data'!T886,WTG_BD!F:F,"&gt;="&amp;O2Summary!$B$6,WTG_BD!F:F,"&lt;="&amp;O2Summary!$B$4)</f>
        <v>0</v>
      </c>
      <c r="V886" s="18">
        <f t="shared" si="20"/>
        <v>47</v>
      </c>
    </row>
    <row r="887" spans="19:22">
      <c r="S887" s="16">
        <v>888</v>
      </c>
      <c r="T887" s="16" t="s">
        <v>1432</v>
      </c>
      <c r="U887" s="17">
        <f>COUNTIFS(WTG_BD!L:L,'Basic Data'!T887,WTG_BD!F:F,"&gt;="&amp;O2Summary!$B$6,WTG_BD!F:F,"&lt;="&amp;O2Summary!$B$4)</f>
        <v>0</v>
      </c>
      <c r="V887" s="18">
        <f t="shared" si="20"/>
        <v>47</v>
      </c>
    </row>
    <row r="888" spans="19:22">
      <c r="S888" s="16">
        <v>889</v>
      </c>
      <c r="T888" s="16" t="s">
        <v>1433</v>
      </c>
      <c r="U888" s="17">
        <f>COUNTIFS(WTG_BD!L:L,'Basic Data'!T888,WTG_BD!F:F,"&gt;="&amp;O2Summary!$B$6,WTG_BD!F:F,"&lt;="&amp;O2Summary!$B$4)</f>
        <v>0</v>
      </c>
      <c r="V888" s="18">
        <f t="shared" si="20"/>
        <v>47</v>
      </c>
    </row>
    <row r="889" spans="19:22">
      <c r="S889" s="16">
        <v>890</v>
      </c>
      <c r="T889" s="16" t="s">
        <v>1434</v>
      </c>
      <c r="U889" s="17">
        <f>COUNTIFS(WTG_BD!L:L,'Basic Data'!T889,WTG_BD!F:F,"&gt;="&amp;O2Summary!$B$6,WTG_BD!F:F,"&lt;="&amp;O2Summary!$B$4)</f>
        <v>0</v>
      </c>
      <c r="V889" s="18">
        <f t="shared" si="20"/>
        <v>47</v>
      </c>
    </row>
    <row r="890" spans="19:22">
      <c r="S890" s="16">
        <v>891</v>
      </c>
      <c r="T890" s="16" t="s">
        <v>1435</v>
      </c>
      <c r="U890" s="17">
        <f>COUNTIFS(WTG_BD!L:L,'Basic Data'!T890,WTG_BD!F:F,"&gt;="&amp;O2Summary!$B$6,WTG_BD!F:F,"&lt;="&amp;O2Summary!$B$4)</f>
        <v>0</v>
      </c>
      <c r="V890" s="18">
        <f t="shared" si="20"/>
        <v>47</v>
      </c>
    </row>
    <row r="891" spans="19:22">
      <c r="S891" s="16">
        <v>892</v>
      </c>
      <c r="T891" s="16" t="s">
        <v>1436</v>
      </c>
      <c r="U891" s="17">
        <f>COUNTIFS(WTG_BD!L:L,'Basic Data'!T891,WTG_BD!F:F,"&gt;="&amp;O2Summary!$B$6,WTG_BD!F:F,"&lt;="&amp;O2Summary!$B$4)</f>
        <v>0</v>
      </c>
      <c r="V891" s="18">
        <f t="shared" si="20"/>
        <v>47</v>
      </c>
    </row>
    <row r="892" spans="19:22">
      <c r="S892" s="16">
        <v>893</v>
      </c>
      <c r="T892" s="16" t="s">
        <v>1437</v>
      </c>
      <c r="U892" s="17">
        <f>COUNTIFS(WTG_BD!L:L,'Basic Data'!T892,WTG_BD!F:F,"&gt;="&amp;O2Summary!$B$6,WTG_BD!F:F,"&lt;="&amp;O2Summary!$B$4)</f>
        <v>0</v>
      </c>
      <c r="V892" s="18">
        <f t="shared" si="20"/>
        <v>47</v>
      </c>
    </row>
    <row r="893" spans="19:22">
      <c r="S893" s="16">
        <v>894</v>
      </c>
      <c r="T893" s="16" t="s">
        <v>1438</v>
      </c>
      <c r="U893" s="17">
        <f>COUNTIFS(WTG_BD!L:L,'Basic Data'!T893,WTG_BD!F:F,"&gt;="&amp;O2Summary!$B$6,WTG_BD!F:F,"&lt;="&amp;O2Summary!$B$4)</f>
        <v>0</v>
      </c>
      <c r="V893" s="18">
        <f t="shared" si="20"/>
        <v>47</v>
      </c>
    </row>
    <row r="894" spans="19:22">
      <c r="S894" s="16">
        <v>895</v>
      </c>
      <c r="T894" s="16" t="s">
        <v>1439</v>
      </c>
      <c r="U894" s="17">
        <f>COUNTIFS(WTG_BD!L:L,'Basic Data'!T894,WTG_BD!F:F,"&gt;="&amp;O2Summary!$B$6,WTG_BD!F:F,"&lt;="&amp;O2Summary!$B$4)</f>
        <v>0</v>
      </c>
      <c r="V894" s="18">
        <f t="shared" si="20"/>
        <v>47</v>
      </c>
    </row>
    <row r="895" spans="19:22">
      <c r="S895" s="16">
        <v>896</v>
      </c>
      <c r="T895" s="16" t="s">
        <v>1440</v>
      </c>
      <c r="U895" s="17">
        <f>COUNTIFS(WTG_BD!L:L,'Basic Data'!T895,WTG_BD!F:F,"&gt;="&amp;O2Summary!$B$6,WTG_BD!F:F,"&lt;="&amp;O2Summary!$B$4)</f>
        <v>0</v>
      </c>
      <c r="V895" s="18">
        <f t="shared" si="20"/>
        <v>47</v>
      </c>
    </row>
    <row r="896" spans="19:22">
      <c r="S896" s="16">
        <v>897</v>
      </c>
      <c r="T896" s="16" t="s">
        <v>1441</v>
      </c>
      <c r="U896" s="17">
        <f>COUNTIFS(WTG_BD!L:L,'Basic Data'!T896,WTG_BD!F:F,"&gt;="&amp;O2Summary!$B$6,WTG_BD!F:F,"&lt;="&amp;O2Summary!$B$4)</f>
        <v>0</v>
      </c>
      <c r="V896" s="18">
        <f t="shared" si="20"/>
        <v>47</v>
      </c>
    </row>
    <row r="897" spans="19:22">
      <c r="S897" s="16">
        <v>898</v>
      </c>
      <c r="T897" s="16" t="s">
        <v>1442</v>
      </c>
      <c r="U897" s="17">
        <f>COUNTIFS(WTG_BD!L:L,'Basic Data'!T897,WTG_BD!F:F,"&gt;="&amp;O2Summary!$B$6,WTG_BD!F:F,"&lt;="&amp;O2Summary!$B$4)</f>
        <v>0</v>
      </c>
      <c r="V897" s="18">
        <f t="shared" si="20"/>
        <v>47</v>
      </c>
    </row>
    <row r="898" spans="19:22">
      <c r="S898" s="16">
        <v>899</v>
      </c>
      <c r="T898" s="16" t="s">
        <v>1443</v>
      </c>
      <c r="U898" s="17">
        <f>COUNTIFS(WTG_BD!L:L,'Basic Data'!T898,WTG_BD!F:F,"&gt;="&amp;O2Summary!$B$6,WTG_BD!F:F,"&lt;="&amp;O2Summary!$B$4)</f>
        <v>0</v>
      </c>
      <c r="V898" s="18">
        <f t="shared" si="20"/>
        <v>47</v>
      </c>
    </row>
    <row r="899" spans="19:22">
      <c r="S899" s="16">
        <v>900</v>
      </c>
      <c r="T899" s="16" t="s">
        <v>137</v>
      </c>
      <c r="U899" s="17">
        <f>COUNTIFS(WTG_BD!L:L,'Basic Data'!T899,WTG_BD!F:F,"&gt;="&amp;O2Summary!$B$6,WTG_BD!F:F,"&lt;="&amp;O2Summary!$B$4)</f>
        <v>33</v>
      </c>
      <c r="V899" s="18">
        <f t="shared" ref="V899:V962" si="21">RANK(U899,$U$2:$U$3975)</f>
        <v>5</v>
      </c>
    </row>
    <row r="900" spans="19:22">
      <c r="S900" s="16">
        <v>901</v>
      </c>
      <c r="T900" s="16" t="s">
        <v>1444</v>
      </c>
      <c r="U900" s="17">
        <f>COUNTIFS(WTG_BD!L:L,'Basic Data'!T900,WTG_BD!F:F,"&gt;="&amp;O2Summary!$B$6,WTG_BD!F:F,"&lt;="&amp;O2Summary!$B$4)</f>
        <v>0</v>
      </c>
      <c r="V900" s="18">
        <f t="shared" si="21"/>
        <v>47</v>
      </c>
    </row>
    <row r="901" spans="19:22">
      <c r="S901" s="16">
        <v>902</v>
      </c>
      <c r="T901" s="16" t="s">
        <v>681</v>
      </c>
      <c r="U901" s="17">
        <f>COUNTIFS(WTG_BD!L:L,'Basic Data'!T901,WTG_BD!F:F,"&gt;="&amp;O2Summary!$B$6,WTG_BD!F:F,"&lt;="&amp;O2Summary!$B$4)</f>
        <v>0</v>
      </c>
      <c r="V901" s="18">
        <f t="shared" si="21"/>
        <v>47</v>
      </c>
    </row>
    <row r="902" spans="19:22">
      <c r="S902" s="16">
        <v>903</v>
      </c>
      <c r="T902" s="16" t="s">
        <v>780</v>
      </c>
      <c r="U902" s="17">
        <f>COUNTIFS(WTG_BD!L:L,'Basic Data'!T902,WTG_BD!F:F,"&gt;="&amp;O2Summary!$B$6,WTG_BD!F:F,"&lt;="&amp;O2Summary!$B$4)</f>
        <v>0</v>
      </c>
      <c r="V902" s="18">
        <f t="shared" si="21"/>
        <v>47</v>
      </c>
    </row>
    <row r="903" spans="19:22">
      <c r="S903" s="16">
        <v>904</v>
      </c>
      <c r="T903" s="16" t="s">
        <v>1445</v>
      </c>
      <c r="U903" s="17">
        <f>COUNTIFS(WTG_BD!L:L,'Basic Data'!T903,WTG_BD!F:F,"&gt;="&amp;O2Summary!$B$6,WTG_BD!F:F,"&lt;="&amp;O2Summary!$B$4)</f>
        <v>0</v>
      </c>
      <c r="V903" s="18">
        <f t="shared" si="21"/>
        <v>47</v>
      </c>
    </row>
    <row r="904" spans="19:22">
      <c r="S904" s="16">
        <v>905</v>
      </c>
      <c r="T904" s="16" t="s">
        <v>1446</v>
      </c>
      <c r="U904" s="17">
        <f>COUNTIFS(WTG_BD!L:L,'Basic Data'!T904,WTG_BD!F:F,"&gt;="&amp;O2Summary!$B$6,WTG_BD!F:F,"&lt;="&amp;O2Summary!$B$4)</f>
        <v>0</v>
      </c>
      <c r="V904" s="18">
        <f t="shared" si="21"/>
        <v>47</v>
      </c>
    </row>
    <row r="905" spans="19:22">
      <c r="S905" s="16">
        <v>906</v>
      </c>
      <c r="T905" s="16" t="s">
        <v>1447</v>
      </c>
      <c r="U905" s="17">
        <f>COUNTIFS(WTG_BD!L:L,'Basic Data'!T905,WTG_BD!F:F,"&gt;="&amp;O2Summary!$B$6,WTG_BD!F:F,"&lt;="&amp;O2Summary!$B$4)</f>
        <v>0</v>
      </c>
      <c r="V905" s="18">
        <f t="shared" si="21"/>
        <v>47</v>
      </c>
    </row>
    <row r="906" spans="19:22">
      <c r="S906" s="16">
        <v>907</v>
      </c>
      <c r="T906" s="16" t="s">
        <v>1448</v>
      </c>
      <c r="U906" s="17">
        <f>COUNTIFS(WTG_BD!L:L,'Basic Data'!T906,WTG_BD!F:F,"&gt;="&amp;O2Summary!$B$6,WTG_BD!F:F,"&lt;="&amp;O2Summary!$B$4)</f>
        <v>0</v>
      </c>
      <c r="V906" s="18">
        <f t="shared" si="21"/>
        <v>47</v>
      </c>
    </row>
    <row r="907" spans="19:22">
      <c r="S907" s="16">
        <v>908</v>
      </c>
      <c r="T907" s="16" t="s">
        <v>1449</v>
      </c>
      <c r="U907" s="17">
        <f>COUNTIFS(WTG_BD!L:L,'Basic Data'!T907,WTG_BD!F:F,"&gt;="&amp;O2Summary!$B$6,WTG_BD!F:F,"&lt;="&amp;O2Summary!$B$4)</f>
        <v>0</v>
      </c>
      <c r="V907" s="18">
        <f t="shared" si="21"/>
        <v>47</v>
      </c>
    </row>
    <row r="908" spans="19:22">
      <c r="S908" s="16">
        <v>909</v>
      </c>
      <c r="T908" s="16" t="s">
        <v>1450</v>
      </c>
      <c r="U908" s="17">
        <f>COUNTIFS(WTG_BD!L:L,'Basic Data'!T908,WTG_BD!F:F,"&gt;="&amp;O2Summary!$B$6,WTG_BD!F:F,"&lt;="&amp;O2Summary!$B$4)</f>
        <v>0</v>
      </c>
      <c r="V908" s="18">
        <f t="shared" si="21"/>
        <v>47</v>
      </c>
    </row>
    <row r="909" spans="19:22">
      <c r="S909" s="16">
        <v>910</v>
      </c>
      <c r="T909" s="16" t="s">
        <v>1451</v>
      </c>
      <c r="U909" s="17">
        <f>COUNTIFS(WTG_BD!L:L,'Basic Data'!T909,WTG_BD!F:F,"&gt;="&amp;O2Summary!$B$6,WTG_BD!F:F,"&lt;="&amp;O2Summary!$B$4)</f>
        <v>0</v>
      </c>
      <c r="V909" s="18">
        <f t="shared" si="21"/>
        <v>47</v>
      </c>
    </row>
    <row r="910" spans="19:22">
      <c r="S910" s="16">
        <v>911</v>
      </c>
      <c r="T910" s="16" t="s">
        <v>1452</v>
      </c>
      <c r="U910" s="17">
        <f>COUNTIFS(WTG_BD!L:L,'Basic Data'!T910,WTG_BD!F:F,"&gt;="&amp;O2Summary!$B$6,WTG_BD!F:F,"&lt;="&amp;O2Summary!$B$4)</f>
        <v>0</v>
      </c>
      <c r="V910" s="18">
        <f t="shared" si="21"/>
        <v>47</v>
      </c>
    </row>
    <row r="911" spans="19:22">
      <c r="S911" s="16">
        <v>912</v>
      </c>
      <c r="T911" s="16" t="s">
        <v>1453</v>
      </c>
      <c r="U911" s="17">
        <f>COUNTIFS(WTG_BD!L:L,'Basic Data'!T911,WTG_BD!F:F,"&gt;="&amp;O2Summary!$B$6,WTG_BD!F:F,"&lt;="&amp;O2Summary!$B$4)</f>
        <v>0</v>
      </c>
      <c r="V911" s="18">
        <f t="shared" si="21"/>
        <v>47</v>
      </c>
    </row>
    <row r="912" spans="19:22">
      <c r="S912" s="16">
        <v>913</v>
      </c>
      <c r="T912" s="16" t="s">
        <v>1454</v>
      </c>
      <c r="U912" s="17">
        <f>COUNTIFS(WTG_BD!L:L,'Basic Data'!T912,WTG_BD!F:F,"&gt;="&amp;O2Summary!$B$6,WTG_BD!F:F,"&lt;="&amp;O2Summary!$B$4)</f>
        <v>0</v>
      </c>
      <c r="V912" s="18">
        <f t="shared" si="21"/>
        <v>47</v>
      </c>
    </row>
    <row r="913" spans="19:22">
      <c r="S913" s="16">
        <v>914</v>
      </c>
      <c r="T913" s="16" t="s">
        <v>1455</v>
      </c>
      <c r="U913" s="17">
        <f>COUNTIFS(WTG_BD!L:L,'Basic Data'!T913,WTG_BD!F:F,"&gt;="&amp;O2Summary!$B$6,WTG_BD!F:F,"&lt;="&amp;O2Summary!$B$4)</f>
        <v>0</v>
      </c>
      <c r="V913" s="18">
        <f t="shared" si="21"/>
        <v>47</v>
      </c>
    </row>
    <row r="914" spans="19:22">
      <c r="S914" s="16">
        <v>915</v>
      </c>
      <c r="T914" s="16" t="s">
        <v>1456</v>
      </c>
      <c r="U914" s="17">
        <f>COUNTIFS(WTG_BD!L:L,'Basic Data'!T914,WTG_BD!F:F,"&gt;="&amp;O2Summary!$B$6,WTG_BD!F:F,"&lt;="&amp;O2Summary!$B$4)</f>
        <v>0</v>
      </c>
      <c r="V914" s="18">
        <f t="shared" si="21"/>
        <v>47</v>
      </c>
    </row>
    <row r="915" spans="19:22">
      <c r="S915" s="16">
        <v>916</v>
      </c>
      <c r="T915" s="16" t="s">
        <v>1457</v>
      </c>
      <c r="U915" s="17">
        <f>COUNTIFS(WTG_BD!L:L,'Basic Data'!T915,WTG_BD!F:F,"&gt;="&amp;O2Summary!$B$6,WTG_BD!F:F,"&lt;="&amp;O2Summary!$B$4)</f>
        <v>0</v>
      </c>
      <c r="V915" s="18">
        <f t="shared" si="21"/>
        <v>47</v>
      </c>
    </row>
    <row r="916" spans="19:22">
      <c r="S916" s="16">
        <v>917</v>
      </c>
      <c r="T916" s="16" t="s">
        <v>1458</v>
      </c>
      <c r="U916" s="17">
        <f>COUNTIFS(WTG_BD!L:L,'Basic Data'!T916,WTG_BD!F:F,"&gt;="&amp;O2Summary!$B$6,WTG_BD!F:F,"&lt;="&amp;O2Summary!$B$4)</f>
        <v>0</v>
      </c>
      <c r="V916" s="18">
        <f t="shared" si="21"/>
        <v>47</v>
      </c>
    </row>
    <row r="917" spans="19:22">
      <c r="S917" s="16">
        <v>918</v>
      </c>
      <c r="T917" s="16" t="s">
        <v>1459</v>
      </c>
      <c r="U917" s="17">
        <f>COUNTIFS(WTG_BD!L:L,'Basic Data'!T917,WTG_BD!F:F,"&gt;="&amp;O2Summary!$B$6,WTG_BD!F:F,"&lt;="&amp;O2Summary!$B$4)</f>
        <v>0</v>
      </c>
      <c r="V917" s="18">
        <f t="shared" si="21"/>
        <v>47</v>
      </c>
    </row>
    <row r="918" spans="19:22">
      <c r="S918" s="16">
        <v>919</v>
      </c>
      <c r="T918" s="16" t="s">
        <v>1460</v>
      </c>
      <c r="U918" s="17">
        <f>COUNTIFS(WTG_BD!L:L,'Basic Data'!T918,WTG_BD!F:F,"&gt;="&amp;O2Summary!$B$6,WTG_BD!F:F,"&lt;="&amp;O2Summary!$B$4)</f>
        <v>0</v>
      </c>
      <c r="V918" s="18">
        <f t="shared" si="21"/>
        <v>47</v>
      </c>
    </row>
    <row r="919" spans="19:22">
      <c r="S919" s="16">
        <v>920</v>
      </c>
      <c r="T919" s="16" t="s">
        <v>1461</v>
      </c>
      <c r="U919" s="17">
        <f>COUNTIFS(WTG_BD!L:L,'Basic Data'!T919,WTG_BD!F:F,"&gt;="&amp;O2Summary!$B$6,WTG_BD!F:F,"&lt;="&amp;O2Summary!$B$4)</f>
        <v>0</v>
      </c>
      <c r="V919" s="18">
        <f t="shared" si="21"/>
        <v>47</v>
      </c>
    </row>
    <row r="920" spans="19:22">
      <c r="S920" s="16">
        <v>921</v>
      </c>
      <c r="T920" s="16" t="s">
        <v>1462</v>
      </c>
      <c r="U920" s="17">
        <f>COUNTIFS(WTG_BD!L:L,'Basic Data'!T920,WTG_BD!F:F,"&gt;="&amp;O2Summary!$B$6,WTG_BD!F:F,"&lt;="&amp;O2Summary!$B$4)</f>
        <v>0</v>
      </c>
      <c r="V920" s="18">
        <f t="shared" si="21"/>
        <v>47</v>
      </c>
    </row>
    <row r="921" spans="19:22">
      <c r="S921" s="16">
        <v>922</v>
      </c>
      <c r="T921" s="16" t="s">
        <v>1463</v>
      </c>
      <c r="U921" s="17">
        <f>COUNTIFS(WTG_BD!L:L,'Basic Data'!T921,WTG_BD!F:F,"&gt;="&amp;O2Summary!$B$6,WTG_BD!F:F,"&lt;="&amp;O2Summary!$B$4)</f>
        <v>0</v>
      </c>
      <c r="V921" s="18">
        <f t="shared" si="21"/>
        <v>47</v>
      </c>
    </row>
    <row r="922" spans="19:22">
      <c r="S922" s="16">
        <v>923</v>
      </c>
      <c r="T922" s="16" t="s">
        <v>1464</v>
      </c>
      <c r="U922" s="17">
        <f>COUNTIFS(WTG_BD!L:L,'Basic Data'!T922,WTG_BD!F:F,"&gt;="&amp;O2Summary!$B$6,WTG_BD!F:F,"&lt;="&amp;O2Summary!$B$4)</f>
        <v>0</v>
      </c>
      <c r="V922" s="18">
        <f t="shared" si="21"/>
        <v>47</v>
      </c>
    </row>
    <row r="923" spans="19:22">
      <c r="S923" s="16">
        <v>924</v>
      </c>
      <c r="T923" s="16" t="s">
        <v>1465</v>
      </c>
      <c r="U923" s="17">
        <f>COUNTIFS(WTG_BD!L:L,'Basic Data'!T923,WTG_BD!F:F,"&gt;="&amp;O2Summary!$B$6,WTG_BD!F:F,"&lt;="&amp;O2Summary!$B$4)</f>
        <v>0</v>
      </c>
      <c r="V923" s="18">
        <f t="shared" si="21"/>
        <v>47</v>
      </c>
    </row>
    <row r="924" spans="19:22">
      <c r="S924" s="16">
        <v>925</v>
      </c>
      <c r="T924" s="16" t="s">
        <v>1466</v>
      </c>
      <c r="U924" s="17">
        <f>COUNTIFS(WTG_BD!L:L,'Basic Data'!T924,WTG_BD!F:F,"&gt;="&amp;O2Summary!$B$6,WTG_BD!F:F,"&lt;="&amp;O2Summary!$B$4)</f>
        <v>0</v>
      </c>
      <c r="V924" s="18">
        <f t="shared" si="21"/>
        <v>47</v>
      </c>
    </row>
    <row r="925" spans="19:22">
      <c r="S925" s="16">
        <v>926</v>
      </c>
      <c r="T925" s="16" t="s">
        <v>1467</v>
      </c>
      <c r="U925" s="17">
        <f>COUNTIFS(WTG_BD!L:L,'Basic Data'!T925,WTG_BD!F:F,"&gt;="&amp;O2Summary!$B$6,WTG_BD!F:F,"&lt;="&amp;O2Summary!$B$4)</f>
        <v>0</v>
      </c>
      <c r="V925" s="18">
        <f t="shared" si="21"/>
        <v>47</v>
      </c>
    </row>
    <row r="926" spans="19:22">
      <c r="S926" s="16">
        <v>927</v>
      </c>
      <c r="T926" s="16" t="s">
        <v>1468</v>
      </c>
      <c r="U926" s="17">
        <f>COUNTIFS(WTG_BD!L:L,'Basic Data'!T926,WTG_BD!F:F,"&gt;="&amp;O2Summary!$B$6,WTG_BD!F:F,"&lt;="&amp;O2Summary!$B$4)</f>
        <v>0</v>
      </c>
      <c r="V926" s="18">
        <f t="shared" si="21"/>
        <v>47</v>
      </c>
    </row>
    <row r="927" spans="19:22">
      <c r="S927" s="16">
        <v>928</v>
      </c>
      <c r="T927" s="16" t="s">
        <v>1469</v>
      </c>
      <c r="U927" s="17">
        <f>COUNTIFS(WTG_BD!L:L,'Basic Data'!T927,WTG_BD!F:F,"&gt;="&amp;O2Summary!$B$6,WTG_BD!F:F,"&lt;="&amp;O2Summary!$B$4)</f>
        <v>0</v>
      </c>
      <c r="V927" s="18">
        <f t="shared" si="21"/>
        <v>47</v>
      </c>
    </row>
    <row r="928" spans="19:22">
      <c r="S928" s="16">
        <v>929</v>
      </c>
      <c r="T928" s="16" t="s">
        <v>1470</v>
      </c>
      <c r="U928" s="17">
        <f>COUNTIFS(WTG_BD!L:L,'Basic Data'!T928,WTG_BD!F:F,"&gt;="&amp;O2Summary!$B$6,WTG_BD!F:F,"&lt;="&amp;O2Summary!$B$4)</f>
        <v>0</v>
      </c>
      <c r="V928" s="18">
        <f t="shared" si="21"/>
        <v>47</v>
      </c>
    </row>
    <row r="929" spans="19:22">
      <c r="S929" s="16">
        <v>930</v>
      </c>
      <c r="T929" s="16" t="s">
        <v>1471</v>
      </c>
      <c r="U929" s="17">
        <f>COUNTIFS(WTG_BD!L:L,'Basic Data'!T929,WTG_BD!F:F,"&gt;="&amp;O2Summary!$B$6,WTG_BD!F:F,"&lt;="&amp;O2Summary!$B$4)</f>
        <v>0</v>
      </c>
      <c r="V929" s="18">
        <f t="shared" si="21"/>
        <v>47</v>
      </c>
    </row>
    <row r="930" spans="19:22">
      <c r="S930" s="16">
        <v>931</v>
      </c>
      <c r="T930" s="16" t="s">
        <v>1472</v>
      </c>
      <c r="U930" s="17">
        <f>COUNTIFS(WTG_BD!L:L,'Basic Data'!T930,WTG_BD!F:F,"&gt;="&amp;O2Summary!$B$6,WTG_BD!F:F,"&lt;="&amp;O2Summary!$B$4)</f>
        <v>6</v>
      </c>
      <c r="V930" s="18">
        <f t="shared" si="21"/>
        <v>13</v>
      </c>
    </row>
    <row r="931" spans="19:22">
      <c r="S931" s="16">
        <v>932</v>
      </c>
      <c r="T931" s="16" t="s">
        <v>1473</v>
      </c>
      <c r="U931" s="17">
        <f>COUNTIFS(WTG_BD!L:L,'Basic Data'!T931,WTG_BD!F:F,"&gt;="&amp;O2Summary!$B$6,WTG_BD!F:F,"&lt;="&amp;O2Summary!$B$4)</f>
        <v>0</v>
      </c>
      <c r="V931" s="18">
        <f t="shared" si="21"/>
        <v>47</v>
      </c>
    </row>
    <row r="932" spans="19:22">
      <c r="S932" s="16">
        <v>933</v>
      </c>
      <c r="T932" s="16" t="s">
        <v>1474</v>
      </c>
      <c r="U932" s="17">
        <f>COUNTIFS(WTG_BD!L:L,'Basic Data'!T932,WTG_BD!F:F,"&gt;="&amp;O2Summary!$B$6,WTG_BD!F:F,"&lt;="&amp;O2Summary!$B$4)</f>
        <v>0</v>
      </c>
      <c r="V932" s="18">
        <f t="shared" si="21"/>
        <v>47</v>
      </c>
    </row>
    <row r="933" spans="19:22">
      <c r="S933" s="16">
        <v>934</v>
      </c>
      <c r="T933" s="16" t="s">
        <v>1475</v>
      </c>
      <c r="U933" s="17">
        <f>COUNTIFS(WTG_BD!L:L,'Basic Data'!T933,WTG_BD!F:F,"&gt;="&amp;O2Summary!$B$6,WTG_BD!F:F,"&lt;="&amp;O2Summary!$B$4)</f>
        <v>0</v>
      </c>
      <c r="V933" s="18">
        <f t="shared" si="21"/>
        <v>47</v>
      </c>
    </row>
    <row r="934" spans="19:22">
      <c r="S934" s="16">
        <v>935</v>
      </c>
      <c r="T934" s="16" t="s">
        <v>1476</v>
      </c>
      <c r="U934" s="17">
        <f>COUNTIFS(WTG_BD!L:L,'Basic Data'!T934,WTG_BD!F:F,"&gt;="&amp;O2Summary!$B$6,WTG_BD!F:F,"&lt;="&amp;O2Summary!$B$4)</f>
        <v>0</v>
      </c>
      <c r="V934" s="18">
        <f t="shared" si="21"/>
        <v>47</v>
      </c>
    </row>
    <row r="935" spans="19:22">
      <c r="S935" s="16">
        <v>936</v>
      </c>
      <c r="T935" s="16" t="s">
        <v>1477</v>
      </c>
      <c r="U935" s="17">
        <f>COUNTIFS(WTG_BD!L:L,'Basic Data'!T935,WTG_BD!F:F,"&gt;="&amp;O2Summary!$B$6,WTG_BD!F:F,"&lt;="&amp;O2Summary!$B$4)</f>
        <v>0</v>
      </c>
      <c r="V935" s="18">
        <f t="shared" si="21"/>
        <v>47</v>
      </c>
    </row>
    <row r="936" spans="19:22">
      <c r="S936" s="16">
        <v>937</v>
      </c>
      <c r="T936" s="16" t="s">
        <v>1478</v>
      </c>
      <c r="U936" s="17">
        <f>COUNTIFS(WTG_BD!L:L,'Basic Data'!T936,WTG_BD!F:F,"&gt;="&amp;O2Summary!$B$6,WTG_BD!F:F,"&lt;="&amp;O2Summary!$B$4)</f>
        <v>0</v>
      </c>
      <c r="V936" s="18">
        <f t="shared" si="21"/>
        <v>47</v>
      </c>
    </row>
    <row r="937" spans="19:22">
      <c r="S937" s="16">
        <v>938</v>
      </c>
      <c r="T937" s="16" t="s">
        <v>1479</v>
      </c>
      <c r="U937" s="17">
        <f>COUNTIFS(WTG_BD!L:L,'Basic Data'!T937,WTG_BD!F:F,"&gt;="&amp;O2Summary!$B$6,WTG_BD!F:F,"&lt;="&amp;O2Summary!$B$4)</f>
        <v>0</v>
      </c>
      <c r="V937" s="18">
        <f t="shared" si="21"/>
        <v>47</v>
      </c>
    </row>
    <row r="938" spans="19:22">
      <c r="S938" s="16">
        <v>939</v>
      </c>
      <c r="T938" s="16" t="s">
        <v>1480</v>
      </c>
      <c r="U938" s="17">
        <f>COUNTIFS(WTG_BD!L:L,'Basic Data'!T938,WTG_BD!F:F,"&gt;="&amp;O2Summary!$B$6,WTG_BD!F:F,"&lt;="&amp;O2Summary!$B$4)</f>
        <v>0</v>
      </c>
      <c r="V938" s="18">
        <f t="shared" si="21"/>
        <v>47</v>
      </c>
    </row>
    <row r="939" spans="19:22">
      <c r="S939" s="16">
        <v>940</v>
      </c>
      <c r="T939" s="16" t="s">
        <v>1480</v>
      </c>
      <c r="U939" s="17">
        <f>COUNTIFS(WTG_BD!L:L,'Basic Data'!T939,WTG_BD!F:F,"&gt;="&amp;O2Summary!$B$6,WTG_BD!F:F,"&lt;="&amp;O2Summary!$B$4)</f>
        <v>0</v>
      </c>
      <c r="V939" s="18">
        <f t="shared" si="21"/>
        <v>47</v>
      </c>
    </row>
    <row r="940" spans="19:22">
      <c r="S940" s="16">
        <v>941</v>
      </c>
      <c r="T940" s="16" t="s">
        <v>1481</v>
      </c>
      <c r="U940" s="17">
        <f>COUNTIFS(WTG_BD!L:L,'Basic Data'!T940,WTG_BD!F:F,"&gt;="&amp;O2Summary!$B$6,WTG_BD!F:F,"&lt;="&amp;O2Summary!$B$4)</f>
        <v>0</v>
      </c>
      <c r="V940" s="18">
        <f t="shared" si="21"/>
        <v>47</v>
      </c>
    </row>
    <row r="941" spans="19:22">
      <c r="S941" s="16">
        <v>942</v>
      </c>
      <c r="T941" s="16" t="s">
        <v>1482</v>
      </c>
      <c r="U941" s="17">
        <f>COUNTIFS(WTG_BD!L:L,'Basic Data'!T941,WTG_BD!F:F,"&gt;="&amp;O2Summary!$B$6,WTG_BD!F:F,"&lt;="&amp;O2Summary!$B$4)</f>
        <v>0</v>
      </c>
      <c r="V941" s="18">
        <f t="shared" si="21"/>
        <v>47</v>
      </c>
    </row>
    <row r="942" spans="19:22">
      <c r="S942" s="16">
        <v>943</v>
      </c>
      <c r="T942" s="16" t="s">
        <v>1483</v>
      </c>
      <c r="U942" s="17">
        <f>COUNTIFS(WTG_BD!L:L,'Basic Data'!T942,WTG_BD!F:F,"&gt;="&amp;O2Summary!$B$6,WTG_BD!F:F,"&lt;="&amp;O2Summary!$B$4)</f>
        <v>0</v>
      </c>
      <c r="V942" s="18">
        <f t="shared" si="21"/>
        <v>47</v>
      </c>
    </row>
    <row r="943" spans="19:22">
      <c r="S943" s="16">
        <v>944</v>
      </c>
      <c r="T943" s="16" t="s">
        <v>1484</v>
      </c>
      <c r="U943" s="17">
        <f>COUNTIFS(WTG_BD!L:L,'Basic Data'!T943,WTG_BD!F:F,"&gt;="&amp;O2Summary!$B$6,WTG_BD!F:F,"&lt;="&amp;O2Summary!$B$4)</f>
        <v>0</v>
      </c>
      <c r="V943" s="18">
        <f t="shared" si="21"/>
        <v>47</v>
      </c>
    </row>
    <row r="944" spans="19:22">
      <c r="S944" s="16">
        <v>945</v>
      </c>
      <c r="T944" s="16" t="s">
        <v>1485</v>
      </c>
      <c r="U944" s="17">
        <f>COUNTIFS(WTG_BD!L:L,'Basic Data'!T944,WTG_BD!F:F,"&gt;="&amp;O2Summary!$B$6,WTG_BD!F:F,"&lt;="&amp;O2Summary!$B$4)</f>
        <v>0</v>
      </c>
      <c r="V944" s="18">
        <f t="shared" si="21"/>
        <v>47</v>
      </c>
    </row>
    <row r="945" spans="19:22">
      <c r="S945" s="16">
        <v>946</v>
      </c>
      <c r="T945" s="16" t="s">
        <v>1486</v>
      </c>
      <c r="U945" s="17">
        <f>COUNTIFS(WTG_BD!L:L,'Basic Data'!T945,WTG_BD!F:F,"&gt;="&amp;O2Summary!$B$6,WTG_BD!F:F,"&lt;="&amp;O2Summary!$B$4)</f>
        <v>0</v>
      </c>
      <c r="V945" s="18">
        <f t="shared" si="21"/>
        <v>47</v>
      </c>
    </row>
    <row r="946" spans="19:22">
      <c r="S946" s="16">
        <v>947</v>
      </c>
      <c r="T946" s="16" t="s">
        <v>1487</v>
      </c>
      <c r="U946" s="17">
        <f>COUNTIFS(WTG_BD!L:L,'Basic Data'!T946,WTG_BD!F:F,"&gt;="&amp;O2Summary!$B$6,WTG_BD!F:F,"&lt;="&amp;O2Summary!$B$4)</f>
        <v>0</v>
      </c>
      <c r="V946" s="18">
        <f t="shared" si="21"/>
        <v>47</v>
      </c>
    </row>
    <row r="947" spans="19:22">
      <c r="S947" s="16">
        <v>948</v>
      </c>
      <c r="T947" s="16" t="s">
        <v>1488</v>
      </c>
      <c r="U947" s="17">
        <f>COUNTIFS(WTG_BD!L:L,'Basic Data'!T947,WTG_BD!F:F,"&gt;="&amp;O2Summary!$B$6,WTG_BD!F:F,"&lt;="&amp;O2Summary!$B$4)</f>
        <v>0</v>
      </c>
      <c r="V947" s="18">
        <f t="shared" si="21"/>
        <v>47</v>
      </c>
    </row>
    <row r="948" spans="19:22">
      <c r="S948" s="16">
        <v>949</v>
      </c>
      <c r="T948" s="16" t="s">
        <v>1489</v>
      </c>
      <c r="U948" s="17">
        <f>COUNTIFS(WTG_BD!L:L,'Basic Data'!T948,WTG_BD!F:F,"&gt;="&amp;O2Summary!$B$6,WTG_BD!F:F,"&lt;="&amp;O2Summary!$B$4)</f>
        <v>0</v>
      </c>
      <c r="V948" s="18">
        <f t="shared" si="21"/>
        <v>47</v>
      </c>
    </row>
    <row r="949" spans="19:22">
      <c r="S949" s="16">
        <v>950</v>
      </c>
      <c r="T949" s="16" t="s">
        <v>1490</v>
      </c>
      <c r="U949" s="17">
        <f>COUNTIFS(WTG_BD!L:L,'Basic Data'!T949,WTG_BD!F:F,"&gt;="&amp;O2Summary!$B$6,WTG_BD!F:F,"&lt;="&amp;O2Summary!$B$4)</f>
        <v>0</v>
      </c>
      <c r="V949" s="18">
        <f t="shared" si="21"/>
        <v>47</v>
      </c>
    </row>
    <row r="950" spans="19:22">
      <c r="S950" s="16">
        <v>951</v>
      </c>
      <c r="T950" s="16" t="s">
        <v>1491</v>
      </c>
      <c r="U950" s="17">
        <f>COUNTIFS(WTG_BD!L:L,'Basic Data'!T950,WTG_BD!F:F,"&gt;="&amp;O2Summary!$B$6,WTG_BD!F:F,"&lt;="&amp;O2Summary!$B$4)</f>
        <v>0</v>
      </c>
      <c r="V950" s="18">
        <f t="shared" si="21"/>
        <v>47</v>
      </c>
    </row>
    <row r="951" spans="19:22">
      <c r="S951" s="16">
        <v>952</v>
      </c>
      <c r="T951" s="16" t="s">
        <v>1492</v>
      </c>
      <c r="U951" s="17">
        <f>COUNTIFS(WTG_BD!L:L,'Basic Data'!T951,WTG_BD!F:F,"&gt;="&amp;O2Summary!$B$6,WTG_BD!F:F,"&lt;="&amp;O2Summary!$B$4)</f>
        <v>0</v>
      </c>
      <c r="V951" s="18">
        <f t="shared" si="21"/>
        <v>47</v>
      </c>
    </row>
    <row r="952" spans="19:22">
      <c r="S952" s="16">
        <v>953</v>
      </c>
      <c r="T952" s="16" t="s">
        <v>1493</v>
      </c>
      <c r="U952" s="17">
        <f>COUNTIFS(WTG_BD!L:L,'Basic Data'!T952,WTG_BD!F:F,"&gt;="&amp;O2Summary!$B$6,WTG_BD!F:F,"&lt;="&amp;O2Summary!$B$4)</f>
        <v>0</v>
      </c>
      <c r="V952" s="18">
        <f t="shared" si="21"/>
        <v>47</v>
      </c>
    </row>
    <row r="953" spans="19:22">
      <c r="S953" s="16">
        <v>954</v>
      </c>
      <c r="T953" s="16" t="s">
        <v>1494</v>
      </c>
      <c r="U953" s="17">
        <f>COUNTIFS(WTG_BD!L:L,'Basic Data'!T953,WTG_BD!F:F,"&gt;="&amp;O2Summary!$B$6,WTG_BD!F:F,"&lt;="&amp;O2Summary!$B$4)</f>
        <v>0</v>
      </c>
      <c r="V953" s="18">
        <f t="shared" si="21"/>
        <v>47</v>
      </c>
    </row>
    <row r="954" spans="19:22">
      <c r="S954" s="16">
        <v>955</v>
      </c>
      <c r="T954" s="16" t="s">
        <v>1495</v>
      </c>
      <c r="U954" s="17">
        <f>COUNTIFS(WTG_BD!L:L,'Basic Data'!T954,WTG_BD!F:F,"&gt;="&amp;O2Summary!$B$6,WTG_BD!F:F,"&lt;="&amp;O2Summary!$B$4)</f>
        <v>0</v>
      </c>
      <c r="V954" s="18">
        <f t="shared" si="21"/>
        <v>47</v>
      </c>
    </row>
    <row r="955" spans="19:22">
      <c r="S955" s="16">
        <v>956</v>
      </c>
      <c r="T955" s="16" t="s">
        <v>1496</v>
      </c>
      <c r="U955" s="17">
        <f>COUNTIFS(WTG_BD!L:L,'Basic Data'!T955,WTG_BD!F:F,"&gt;="&amp;O2Summary!$B$6,WTG_BD!F:F,"&lt;="&amp;O2Summary!$B$4)</f>
        <v>0</v>
      </c>
      <c r="V955" s="18">
        <f t="shared" si="21"/>
        <v>47</v>
      </c>
    </row>
    <row r="956" spans="19:22">
      <c r="S956" s="16">
        <v>957</v>
      </c>
      <c r="T956" s="16" t="s">
        <v>1497</v>
      </c>
      <c r="U956" s="17">
        <f>COUNTIFS(WTG_BD!L:L,'Basic Data'!T956,WTG_BD!F:F,"&gt;="&amp;O2Summary!$B$6,WTG_BD!F:F,"&lt;="&amp;O2Summary!$B$4)</f>
        <v>0</v>
      </c>
      <c r="V956" s="18">
        <f t="shared" si="21"/>
        <v>47</v>
      </c>
    </row>
    <row r="957" spans="19:22">
      <c r="S957" s="16">
        <v>958</v>
      </c>
      <c r="T957" s="16" t="s">
        <v>1498</v>
      </c>
      <c r="U957" s="17">
        <f>COUNTIFS(WTG_BD!L:L,'Basic Data'!T957,WTG_BD!F:F,"&gt;="&amp;O2Summary!$B$6,WTG_BD!F:F,"&lt;="&amp;O2Summary!$B$4)</f>
        <v>0</v>
      </c>
      <c r="V957" s="18">
        <f t="shared" si="21"/>
        <v>47</v>
      </c>
    </row>
    <row r="958" spans="19:22">
      <c r="S958" s="16">
        <v>959</v>
      </c>
      <c r="T958" s="16" t="s">
        <v>1499</v>
      </c>
      <c r="U958" s="17">
        <f>COUNTIFS(WTG_BD!L:L,'Basic Data'!T958,WTG_BD!F:F,"&gt;="&amp;O2Summary!$B$6,WTG_BD!F:F,"&lt;="&amp;O2Summary!$B$4)</f>
        <v>0</v>
      </c>
      <c r="V958" s="18">
        <f t="shared" si="21"/>
        <v>47</v>
      </c>
    </row>
    <row r="959" spans="19:22">
      <c r="S959" s="16">
        <v>960</v>
      </c>
      <c r="T959" s="16" t="s">
        <v>1500</v>
      </c>
      <c r="U959" s="17">
        <f>COUNTIFS(WTG_BD!L:L,'Basic Data'!T959,WTG_BD!F:F,"&gt;="&amp;O2Summary!$B$6,WTG_BD!F:F,"&lt;="&amp;O2Summary!$B$4)</f>
        <v>0</v>
      </c>
      <c r="V959" s="18">
        <f t="shared" si="21"/>
        <v>47</v>
      </c>
    </row>
    <row r="960" spans="19:22">
      <c r="S960" s="16">
        <v>961</v>
      </c>
      <c r="T960" s="16" t="s">
        <v>1501</v>
      </c>
      <c r="U960" s="17">
        <f>COUNTIFS(WTG_BD!L:L,'Basic Data'!T960,WTG_BD!F:F,"&gt;="&amp;O2Summary!$B$6,WTG_BD!F:F,"&lt;="&amp;O2Summary!$B$4)</f>
        <v>0</v>
      </c>
      <c r="V960" s="18">
        <f t="shared" si="21"/>
        <v>47</v>
      </c>
    </row>
    <row r="961" spans="19:22">
      <c r="S961" s="16">
        <v>962</v>
      </c>
      <c r="T961" s="16" t="s">
        <v>1502</v>
      </c>
      <c r="U961" s="17">
        <f>COUNTIFS(WTG_BD!L:L,'Basic Data'!T961,WTG_BD!F:F,"&gt;="&amp;O2Summary!$B$6,WTG_BD!F:F,"&lt;="&amp;O2Summary!$B$4)</f>
        <v>0</v>
      </c>
      <c r="V961" s="18">
        <f t="shared" si="21"/>
        <v>47</v>
      </c>
    </row>
    <row r="962" spans="19:22">
      <c r="S962" s="16">
        <v>963</v>
      </c>
      <c r="T962" s="16" t="s">
        <v>1503</v>
      </c>
      <c r="U962" s="17">
        <f>COUNTIFS(WTG_BD!L:L,'Basic Data'!T962,WTG_BD!F:F,"&gt;="&amp;O2Summary!$B$6,WTG_BD!F:F,"&lt;="&amp;O2Summary!$B$4)</f>
        <v>0</v>
      </c>
      <c r="V962" s="18">
        <f t="shared" si="21"/>
        <v>47</v>
      </c>
    </row>
    <row r="963" spans="19:22">
      <c r="S963" s="16">
        <v>964</v>
      </c>
      <c r="T963" s="16" t="s">
        <v>1504</v>
      </c>
      <c r="U963" s="17">
        <f>COUNTIFS(WTG_BD!L:L,'Basic Data'!T963,WTG_BD!F:F,"&gt;="&amp;O2Summary!$B$6,WTG_BD!F:F,"&lt;="&amp;O2Summary!$B$4)</f>
        <v>0</v>
      </c>
      <c r="V963" s="18">
        <f t="shared" ref="V963:V1026" si="22">RANK(U963,$U$2:$U$3975)</f>
        <v>47</v>
      </c>
    </row>
    <row r="964" spans="19:22">
      <c r="S964" s="16">
        <v>965</v>
      </c>
      <c r="T964" s="16" t="s">
        <v>1505</v>
      </c>
      <c r="U964" s="17">
        <f>COUNTIFS(WTG_BD!L:L,'Basic Data'!T964,WTG_BD!F:F,"&gt;="&amp;O2Summary!$B$6,WTG_BD!F:F,"&lt;="&amp;O2Summary!$B$4)</f>
        <v>0</v>
      </c>
      <c r="V964" s="18">
        <f t="shared" si="22"/>
        <v>47</v>
      </c>
    </row>
    <row r="965" spans="19:22">
      <c r="S965" s="16">
        <v>966</v>
      </c>
      <c r="T965" s="16" t="s">
        <v>1506</v>
      </c>
      <c r="U965" s="17">
        <f>COUNTIFS(WTG_BD!L:L,'Basic Data'!T965,WTG_BD!F:F,"&gt;="&amp;O2Summary!$B$6,WTG_BD!F:F,"&lt;="&amp;O2Summary!$B$4)</f>
        <v>0</v>
      </c>
      <c r="V965" s="18">
        <f t="shared" si="22"/>
        <v>47</v>
      </c>
    </row>
    <row r="966" spans="19:22">
      <c r="S966" s="16">
        <v>967</v>
      </c>
      <c r="T966" s="16" t="s">
        <v>1507</v>
      </c>
      <c r="U966" s="17">
        <f>COUNTIFS(WTG_BD!L:L,'Basic Data'!T966,WTG_BD!F:F,"&gt;="&amp;O2Summary!$B$6,WTG_BD!F:F,"&lt;="&amp;O2Summary!$B$4)</f>
        <v>0</v>
      </c>
      <c r="V966" s="18">
        <f t="shared" si="22"/>
        <v>47</v>
      </c>
    </row>
    <row r="967" spans="19:22">
      <c r="S967" s="16">
        <v>968</v>
      </c>
      <c r="T967" s="16" t="s">
        <v>1508</v>
      </c>
      <c r="U967" s="17">
        <f>COUNTIFS(WTG_BD!L:L,'Basic Data'!T967,WTG_BD!F:F,"&gt;="&amp;O2Summary!$B$6,WTG_BD!F:F,"&lt;="&amp;O2Summary!$B$4)</f>
        <v>0</v>
      </c>
      <c r="V967" s="18">
        <f t="shared" si="22"/>
        <v>47</v>
      </c>
    </row>
    <row r="968" spans="19:22">
      <c r="S968" s="16">
        <v>969</v>
      </c>
      <c r="T968" s="16" t="s">
        <v>1509</v>
      </c>
      <c r="U968" s="17">
        <f>COUNTIFS(WTG_BD!L:L,'Basic Data'!T968,WTG_BD!F:F,"&gt;="&amp;O2Summary!$B$6,WTG_BD!F:F,"&lt;="&amp;O2Summary!$B$4)</f>
        <v>0</v>
      </c>
      <c r="V968" s="18">
        <f t="shared" si="22"/>
        <v>47</v>
      </c>
    </row>
    <row r="969" spans="19:22">
      <c r="S969" s="16">
        <v>970</v>
      </c>
      <c r="T969" s="16" t="s">
        <v>1510</v>
      </c>
      <c r="U969" s="17">
        <f>COUNTIFS(WTG_BD!L:L,'Basic Data'!T969,WTG_BD!F:F,"&gt;="&amp;O2Summary!$B$6,WTG_BD!F:F,"&lt;="&amp;O2Summary!$B$4)</f>
        <v>0</v>
      </c>
      <c r="V969" s="18">
        <f t="shared" si="22"/>
        <v>47</v>
      </c>
    </row>
    <row r="970" spans="19:22">
      <c r="S970" s="16">
        <v>971</v>
      </c>
      <c r="T970" s="16" t="s">
        <v>1511</v>
      </c>
      <c r="U970" s="17">
        <f>COUNTIFS(WTG_BD!L:L,'Basic Data'!T970,WTG_BD!F:F,"&gt;="&amp;O2Summary!$B$6,WTG_BD!F:F,"&lt;="&amp;O2Summary!$B$4)</f>
        <v>0</v>
      </c>
      <c r="V970" s="18">
        <f t="shared" si="22"/>
        <v>47</v>
      </c>
    </row>
    <row r="971" spans="19:22">
      <c r="S971" s="16">
        <v>972</v>
      </c>
      <c r="T971" s="16" t="s">
        <v>1512</v>
      </c>
      <c r="U971" s="17">
        <f>COUNTIFS(WTG_BD!L:L,'Basic Data'!T971,WTG_BD!F:F,"&gt;="&amp;O2Summary!$B$6,WTG_BD!F:F,"&lt;="&amp;O2Summary!$B$4)</f>
        <v>0</v>
      </c>
      <c r="V971" s="18">
        <f t="shared" si="22"/>
        <v>47</v>
      </c>
    </row>
    <row r="972" spans="19:22">
      <c r="S972" s="16">
        <v>973</v>
      </c>
      <c r="T972" s="16" t="s">
        <v>1513</v>
      </c>
      <c r="U972" s="17">
        <f>COUNTIFS(WTG_BD!L:L,'Basic Data'!T972,WTG_BD!F:F,"&gt;="&amp;O2Summary!$B$6,WTG_BD!F:F,"&lt;="&amp;O2Summary!$B$4)</f>
        <v>0</v>
      </c>
      <c r="V972" s="18">
        <f t="shared" si="22"/>
        <v>47</v>
      </c>
    </row>
    <row r="973" spans="19:22">
      <c r="S973" s="16">
        <v>974</v>
      </c>
      <c r="T973" s="16" t="s">
        <v>1514</v>
      </c>
      <c r="U973" s="17">
        <f>COUNTIFS(WTG_BD!L:L,'Basic Data'!T973,WTG_BD!F:F,"&gt;="&amp;O2Summary!$B$6,WTG_BD!F:F,"&lt;="&amp;O2Summary!$B$4)</f>
        <v>0</v>
      </c>
      <c r="V973" s="18">
        <f t="shared" si="22"/>
        <v>47</v>
      </c>
    </row>
    <row r="974" spans="19:22">
      <c r="S974" s="16">
        <v>975</v>
      </c>
      <c r="T974" s="16" t="s">
        <v>1515</v>
      </c>
      <c r="U974" s="17">
        <f>COUNTIFS(WTG_BD!L:L,'Basic Data'!T974,WTG_BD!F:F,"&gt;="&amp;O2Summary!$B$6,WTG_BD!F:F,"&lt;="&amp;O2Summary!$B$4)</f>
        <v>0</v>
      </c>
      <c r="V974" s="18">
        <f t="shared" si="22"/>
        <v>47</v>
      </c>
    </row>
    <row r="975" spans="19:22">
      <c r="S975" s="16">
        <v>976</v>
      </c>
      <c r="T975" s="16" t="s">
        <v>1516</v>
      </c>
      <c r="U975" s="17">
        <f>COUNTIFS(WTG_BD!L:L,'Basic Data'!T975,WTG_BD!F:F,"&gt;="&amp;O2Summary!$B$6,WTG_BD!F:F,"&lt;="&amp;O2Summary!$B$4)</f>
        <v>0</v>
      </c>
      <c r="V975" s="18">
        <f t="shared" si="22"/>
        <v>47</v>
      </c>
    </row>
    <row r="976" spans="19:22">
      <c r="S976" s="16">
        <v>977</v>
      </c>
      <c r="T976" s="16" t="s">
        <v>1517</v>
      </c>
      <c r="U976" s="17">
        <f>COUNTIFS(WTG_BD!L:L,'Basic Data'!T976,WTG_BD!F:F,"&gt;="&amp;O2Summary!$B$6,WTG_BD!F:F,"&lt;="&amp;O2Summary!$B$4)</f>
        <v>0</v>
      </c>
      <c r="V976" s="18">
        <f t="shared" si="22"/>
        <v>47</v>
      </c>
    </row>
    <row r="977" spans="19:22">
      <c r="S977" s="16">
        <v>978</v>
      </c>
      <c r="T977" s="16" t="s">
        <v>1518</v>
      </c>
      <c r="U977" s="17">
        <f>COUNTIFS(WTG_BD!L:L,'Basic Data'!T977,WTG_BD!F:F,"&gt;="&amp;O2Summary!$B$6,WTG_BD!F:F,"&lt;="&amp;O2Summary!$B$4)</f>
        <v>0</v>
      </c>
      <c r="V977" s="18">
        <f t="shared" si="22"/>
        <v>47</v>
      </c>
    </row>
    <row r="978" spans="19:22">
      <c r="S978" s="16">
        <v>979</v>
      </c>
      <c r="T978" s="16" t="s">
        <v>1479</v>
      </c>
      <c r="U978" s="17">
        <f>COUNTIFS(WTG_BD!L:L,'Basic Data'!T978,WTG_BD!F:F,"&gt;="&amp;O2Summary!$B$6,WTG_BD!F:F,"&lt;="&amp;O2Summary!$B$4)</f>
        <v>0</v>
      </c>
      <c r="V978" s="18">
        <f t="shared" si="22"/>
        <v>47</v>
      </c>
    </row>
    <row r="979" spans="19:22">
      <c r="S979" s="16">
        <v>980</v>
      </c>
      <c r="T979" s="16" t="s">
        <v>1519</v>
      </c>
      <c r="U979" s="17">
        <f>COUNTIFS(WTG_BD!L:L,'Basic Data'!T979,WTG_BD!F:F,"&gt;="&amp;O2Summary!$B$6,WTG_BD!F:F,"&lt;="&amp;O2Summary!$B$4)</f>
        <v>0</v>
      </c>
      <c r="V979" s="18">
        <f t="shared" si="22"/>
        <v>47</v>
      </c>
    </row>
    <row r="980" spans="19:22">
      <c r="S980" s="16">
        <v>981</v>
      </c>
      <c r="T980" s="16" t="s">
        <v>1520</v>
      </c>
      <c r="U980" s="17">
        <f>COUNTIFS(WTG_BD!L:L,'Basic Data'!T980,WTG_BD!F:F,"&gt;="&amp;O2Summary!$B$6,WTG_BD!F:F,"&lt;="&amp;O2Summary!$B$4)</f>
        <v>0</v>
      </c>
      <c r="V980" s="18">
        <f t="shared" si="22"/>
        <v>47</v>
      </c>
    </row>
    <row r="981" spans="19:22">
      <c r="S981" s="16">
        <v>982</v>
      </c>
      <c r="T981" s="16" t="s">
        <v>1521</v>
      </c>
      <c r="U981" s="17">
        <f>COUNTIFS(WTG_BD!L:L,'Basic Data'!T981,WTG_BD!F:F,"&gt;="&amp;O2Summary!$B$6,WTG_BD!F:F,"&lt;="&amp;O2Summary!$B$4)</f>
        <v>0</v>
      </c>
      <c r="V981" s="18">
        <f t="shared" si="22"/>
        <v>47</v>
      </c>
    </row>
    <row r="982" spans="19:22">
      <c r="S982" s="16">
        <v>983</v>
      </c>
      <c r="T982" s="16" t="s">
        <v>1522</v>
      </c>
      <c r="U982" s="17">
        <f>COUNTIFS(WTG_BD!L:L,'Basic Data'!T982,WTG_BD!F:F,"&gt;="&amp;O2Summary!$B$6,WTG_BD!F:F,"&lt;="&amp;O2Summary!$B$4)</f>
        <v>0</v>
      </c>
      <c r="V982" s="18">
        <f t="shared" si="22"/>
        <v>47</v>
      </c>
    </row>
    <row r="983" spans="19:22">
      <c r="S983" s="16">
        <v>984</v>
      </c>
      <c r="T983" s="16" t="s">
        <v>1523</v>
      </c>
      <c r="U983" s="17">
        <f>COUNTIFS(WTG_BD!L:L,'Basic Data'!T983,WTG_BD!F:F,"&gt;="&amp;O2Summary!$B$6,WTG_BD!F:F,"&lt;="&amp;O2Summary!$B$4)</f>
        <v>0</v>
      </c>
      <c r="V983" s="18">
        <f t="shared" si="22"/>
        <v>47</v>
      </c>
    </row>
    <row r="984" spans="19:22">
      <c r="S984" s="26">
        <v>985</v>
      </c>
      <c r="T984" s="26" t="s">
        <v>1524</v>
      </c>
      <c r="U984" s="17">
        <f>COUNTIFS(WTG_BD!L:L,'Basic Data'!T984,WTG_BD!F:F,"&gt;="&amp;O2Summary!$B$6,WTG_BD!F:F,"&lt;="&amp;O2Summary!$B$4)</f>
        <v>0</v>
      </c>
      <c r="V984" s="18">
        <f t="shared" si="22"/>
        <v>47</v>
      </c>
    </row>
    <row r="985" spans="19:22">
      <c r="S985" s="16">
        <v>986</v>
      </c>
      <c r="T985" s="16" t="s">
        <v>1525</v>
      </c>
      <c r="U985" s="17">
        <f>COUNTIFS(WTG_BD!L:L,'Basic Data'!T985,WTG_BD!F:F,"&gt;="&amp;O2Summary!$B$6,WTG_BD!F:F,"&lt;="&amp;O2Summary!$B$4)</f>
        <v>0</v>
      </c>
      <c r="V985" s="18">
        <f t="shared" si="22"/>
        <v>47</v>
      </c>
    </row>
    <row r="986" spans="19:22">
      <c r="S986" s="16">
        <v>987</v>
      </c>
      <c r="T986" s="16" t="s">
        <v>330</v>
      </c>
      <c r="U986" s="17">
        <f>COUNTIFS(WTG_BD!L:L,'Basic Data'!T986,WTG_BD!F:F,"&gt;="&amp;O2Summary!$B$6,WTG_BD!F:F,"&lt;="&amp;O2Summary!$B$4)</f>
        <v>0</v>
      </c>
      <c r="V986" s="18">
        <f t="shared" si="22"/>
        <v>47</v>
      </c>
    </row>
    <row r="987" spans="19:22">
      <c r="S987" s="16">
        <v>988</v>
      </c>
      <c r="T987" s="16" t="s">
        <v>1526</v>
      </c>
      <c r="U987" s="17">
        <f>COUNTIFS(WTG_BD!L:L,'Basic Data'!T987,WTG_BD!F:F,"&gt;="&amp;O2Summary!$B$6,WTG_BD!F:F,"&lt;="&amp;O2Summary!$B$4)</f>
        <v>0</v>
      </c>
      <c r="V987" s="18">
        <f t="shared" si="22"/>
        <v>47</v>
      </c>
    </row>
    <row r="988" spans="19:22">
      <c r="S988" s="16">
        <v>989</v>
      </c>
      <c r="T988" s="16" t="s">
        <v>1527</v>
      </c>
      <c r="U988" s="17">
        <f>COUNTIFS(WTG_BD!L:L,'Basic Data'!T988,WTG_BD!F:F,"&gt;="&amp;O2Summary!$B$6,WTG_BD!F:F,"&lt;="&amp;O2Summary!$B$4)</f>
        <v>0</v>
      </c>
      <c r="V988" s="18">
        <f t="shared" si="22"/>
        <v>47</v>
      </c>
    </row>
    <row r="989" spans="19:22">
      <c r="S989" s="16">
        <v>990</v>
      </c>
      <c r="T989" s="16" t="s">
        <v>1528</v>
      </c>
      <c r="U989" s="17">
        <f>COUNTIFS(WTG_BD!L:L,'Basic Data'!T989,WTG_BD!F:F,"&gt;="&amp;O2Summary!$B$6,WTG_BD!F:F,"&lt;="&amp;O2Summary!$B$4)</f>
        <v>0</v>
      </c>
      <c r="V989" s="18">
        <f t="shared" si="22"/>
        <v>47</v>
      </c>
    </row>
    <row r="990" spans="19:22">
      <c r="S990" s="16">
        <v>991</v>
      </c>
      <c r="T990" s="16" t="s">
        <v>1529</v>
      </c>
      <c r="U990" s="17">
        <f>COUNTIFS(WTG_BD!L:L,'Basic Data'!T990,WTG_BD!F:F,"&gt;="&amp;O2Summary!$B$6,WTG_BD!F:F,"&lt;="&amp;O2Summary!$B$4)</f>
        <v>0</v>
      </c>
      <c r="V990" s="18">
        <f t="shared" si="22"/>
        <v>47</v>
      </c>
    </row>
    <row r="991" spans="19:22">
      <c r="S991" s="16">
        <v>992</v>
      </c>
      <c r="T991" s="16" t="s">
        <v>1530</v>
      </c>
      <c r="U991" s="17">
        <f>COUNTIFS(WTG_BD!L:L,'Basic Data'!T991,WTG_BD!F:F,"&gt;="&amp;O2Summary!$B$6,WTG_BD!F:F,"&lt;="&amp;O2Summary!$B$4)</f>
        <v>0</v>
      </c>
      <c r="V991" s="18">
        <f t="shared" si="22"/>
        <v>47</v>
      </c>
    </row>
    <row r="992" spans="19:22">
      <c r="S992" s="16">
        <v>993</v>
      </c>
      <c r="T992" s="16" t="s">
        <v>1531</v>
      </c>
      <c r="U992" s="17">
        <f>COUNTIFS(WTG_BD!L:L,'Basic Data'!T992,WTG_BD!F:F,"&gt;="&amp;O2Summary!$B$6,WTG_BD!F:F,"&lt;="&amp;O2Summary!$B$4)</f>
        <v>0</v>
      </c>
      <c r="V992" s="18">
        <f t="shared" si="22"/>
        <v>47</v>
      </c>
    </row>
    <row r="993" spans="19:22">
      <c r="S993" s="16">
        <v>994</v>
      </c>
      <c r="T993" s="16" t="s">
        <v>1532</v>
      </c>
      <c r="U993" s="17">
        <f>COUNTIFS(WTG_BD!L:L,'Basic Data'!T993,WTG_BD!F:F,"&gt;="&amp;O2Summary!$B$6,WTG_BD!F:F,"&lt;="&amp;O2Summary!$B$4)</f>
        <v>0</v>
      </c>
      <c r="V993" s="18">
        <f t="shared" si="22"/>
        <v>47</v>
      </c>
    </row>
    <row r="994" spans="19:22">
      <c r="S994" s="16">
        <v>995</v>
      </c>
      <c r="T994" s="16" t="s">
        <v>1533</v>
      </c>
      <c r="U994" s="17">
        <f>COUNTIFS(WTG_BD!L:L,'Basic Data'!T994,WTG_BD!F:F,"&gt;="&amp;O2Summary!$B$6,WTG_BD!F:F,"&lt;="&amp;O2Summary!$B$4)</f>
        <v>0</v>
      </c>
      <c r="V994" s="18">
        <f t="shared" si="22"/>
        <v>47</v>
      </c>
    </row>
    <row r="995" spans="19:22">
      <c r="S995" s="16">
        <v>996</v>
      </c>
      <c r="T995" s="16" t="s">
        <v>1534</v>
      </c>
      <c r="U995" s="17">
        <f>COUNTIFS(WTG_BD!L:L,'Basic Data'!T995,WTG_BD!F:F,"&gt;="&amp;O2Summary!$B$6,WTG_BD!F:F,"&lt;="&amp;O2Summary!$B$4)</f>
        <v>0</v>
      </c>
      <c r="V995" s="18">
        <f t="shared" si="22"/>
        <v>47</v>
      </c>
    </row>
    <row r="996" spans="19:22">
      <c r="S996" s="16">
        <v>997</v>
      </c>
      <c r="T996" s="16" t="s">
        <v>1535</v>
      </c>
      <c r="U996" s="17">
        <f>COUNTIFS(WTG_BD!L:L,'Basic Data'!T996,WTG_BD!F:F,"&gt;="&amp;O2Summary!$B$6,WTG_BD!F:F,"&lt;="&amp;O2Summary!$B$4)</f>
        <v>0</v>
      </c>
      <c r="V996" s="18">
        <f t="shared" si="22"/>
        <v>47</v>
      </c>
    </row>
    <row r="997" spans="19:22">
      <c r="S997" s="16">
        <v>998</v>
      </c>
      <c r="T997" s="16" t="s">
        <v>1536</v>
      </c>
      <c r="U997" s="17">
        <f>COUNTIFS(WTG_BD!L:L,'Basic Data'!T997,WTG_BD!F:F,"&gt;="&amp;O2Summary!$B$6,WTG_BD!F:F,"&lt;="&amp;O2Summary!$B$4)</f>
        <v>0</v>
      </c>
      <c r="V997" s="18">
        <f t="shared" si="22"/>
        <v>47</v>
      </c>
    </row>
    <row r="998" spans="19:22">
      <c r="S998" s="16">
        <v>999</v>
      </c>
      <c r="T998" s="16" t="s">
        <v>1537</v>
      </c>
      <c r="U998" s="17">
        <f>COUNTIFS(WTG_BD!L:L,'Basic Data'!T998,WTG_BD!F:F,"&gt;="&amp;O2Summary!$B$6,WTG_BD!F:F,"&lt;="&amp;O2Summary!$B$4)</f>
        <v>0</v>
      </c>
      <c r="V998" s="18">
        <f t="shared" si="22"/>
        <v>47</v>
      </c>
    </row>
    <row r="999" spans="19:22">
      <c r="S999" s="16">
        <v>1000</v>
      </c>
      <c r="T999" s="16" t="s">
        <v>1538</v>
      </c>
      <c r="U999" s="17">
        <f>COUNTIFS(WTG_BD!L:L,'Basic Data'!T999,WTG_BD!F:F,"&gt;="&amp;O2Summary!$B$6,WTG_BD!F:F,"&lt;="&amp;O2Summary!$B$4)</f>
        <v>0</v>
      </c>
      <c r="V999" s="18">
        <f t="shared" si="22"/>
        <v>47</v>
      </c>
    </row>
    <row r="1000" spans="19:22">
      <c r="S1000" s="16">
        <v>1001</v>
      </c>
      <c r="T1000" s="16" t="s">
        <v>1539</v>
      </c>
      <c r="U1000" s="17">
        <f>COUNTIFS(WTG_BD!L:L,'Basic Data'!T1000,WTG_BD!F:F,"&gt;="&amp;O2Summary!$B$6,WTG_BD!F:F,"&lt;="&amp;O2Summary!$B$4)</f>
        <v>0</v>
      </c>
      <c r="V1000" s="18">
        <f t="shared" si="22"/>
        <v>47</v>
      </c>
    </row>
    <row r="1001" spans="19:22">
      <c r="S1001" s="16">
        <v>1002</v>
      </c>
      <c r="T1001" s="16" t="s">
        <v>1540</v>
      </c>
      <c r="U1001" s="17">
        <f>COUNTIFS(WTG_BD!L:L,'Basic Data'!T1001,WTG_BD!F:F,"&gt;="&amp;O2Summary!$B$6,WTG_BD!F:F,"&lt;="&amp;O2Summary!$B$4)</f>
        <v>0</v>
      </c>
      <c r="V1001" s="18">
        <f t="shared" si="22"/>
        <v>47</v>
      </c>
    </row>
    <row r="1002" spans="19:22">
      <c r="S1002" s="16">
        <v>1003</v>
      </c>
      <c r="T1002" s="16" t="s">
        <v>1483</v>
      </c>
      <c r="U1002" s="17">
        <f>COUNTIFS(WTG_BD!L:L,'Basic Data'!T1002,WTG_BD!F:F,"&gt;="&amp;O2Summary!$B$6,WTG_BD!F:F,"&lt;="&amp;O2Summary!$B$4)</f>
        <v>0</v>
      </c>
      <c r="V1002" s="18">
        <f t="shared" si="22"/>
        <v>47</v>
      </c>
    </row>
    <row r="1003" spans="19:22">
      <c r="S1003" s="16">
        <v>1004</v>
      </c>
      <c r="T1003" s="16" t="s">
        <v>1541</v>
      </c>
      <c r="U1003" s="17">
        <f>COUNTIFS(WTG_BD!L:L,'Basic Data'!T1003,WTG_BD!F:F,"&gt;="&amp;O2Summary!$B$6,WTG_BD!F:F,"&lt;="&amp;O2Summary!$B$4)</f>
        <v>0</v>
      </c>
      <c r="V1003" s="18">
        <f t="shared" si="22"/>
        <v>47</v>
      </c>
    </row>
    <row r="1004" spans="19:22">
      <c r="S1004" s="16">
        <v>1005</v>
      </c>
      <c r="T1004" s="16" t="s">
        <v>1485</v>
      </c>
      <c r="U1004" s="17">
        <f>COUNTIFS(WTG_BD!L:L,'Basic Data'!T1004,WTG_BD!F:F,"&gt;="&amp;O2Summary!$B$6,WTG_BD!F:F,"&lt;="&amp;O2Summary!$B$4)</f>
        <v>0</v>
      </c>
      <c r="V1004" s="18">
        <f t="shared" si="22"/>
        <v>47</v>
      </c>
    </row>
    <row r="1005" spans="19:22">
      <c r="S1005" s="16">
        <v>1006</v>
      </c>
      <c r="T1005" s="16" t="s">
        <v>1542</v>
      </c>
      <c r="U1005" s="17">
        <f>COUNTIFS(WTG_BD!L:L,'Basic Data'!T1005,WTG_BD!F:F,"&gt;="&amp;O2Summary!$B$6,WTG_BD!F:F,"&lt;="&amp;O2Summary!$B$4)</f>
        <v>0</v>
      </c>
      <c r="V1005" s="18">
        <f t="shared" si="22"/>
        <v>47</v>
      </c>
    </row>
    <row r="1006" spans="19:22">
      <c r="S1006" s="16">
        <v>1007</v>
      </c>
      <c r="T1006" s="16" t="s">
        <v>1543</v>
      </c>
      <c r="U1006" s="17">
        <f>COUNTIFS(WTG_BD!L:L,'Basic Data'!T1006,WTG_BD!F:F,"&gt;="&amp;O2Summary!$B$6,WTG_BD!F:F,"&lt;="&amp;O2Summary!$B$4)</f>
        <v>0</v>
      </c>
      <c r="V1006" s="18">
        <f t="shared" si="22"/>
        <v>47</v>
      </c>
    </row>
    <row r="1007" spans="19:22">
      <c r="S1007" s="16">
        <v>1008</v>
      </c>
      <c r="T1007" s="16" t="s">
        <v>1544</v>
      </c>
      <c r="U1007" s="17">
        <f>COUNTIFS(WTG_BD!L:L,'Basic Data'!T1007,WTG_BD!F:F,"&gt;="&amp;O2Summary!$B$6,WTG_BD!F:F,"&lt;="&amp;O2Summary!$B$4)</f>
        <v>0</v>
      </c>
      <c r="V1007" s="18">
        <f t="shared" si="22"/>
        <v>47</v>
      </c>
    </row>
    <row r="1008" spans="19:22">
      <c r="S1008" s="16">
        <v>1009</v>
      </c>
      <c r="T1008" s="16" t="s">
        <v>1545</v>
      </c>
      <c r="U1008" s="17">
        <f>COUNTIFS(WTG_BD!L:L,'Basic Data'!T1008,WTG_BD!F:F,"&gt;="&amp;O2Summary!$B$6,WTG_BD!F:F,"&lt;="&amp;O2Summary!$B$4)</f>
        <v>0</v>
      </c>
      <c r="V1008" s="18">
        <f t="shared" si="22"/>
        <v>47</v>
      </c>
    </row>
    <row r="1009" spans="19:22">
      <c r="S1009" s="16">
        <v>1010</v>
      </c>
      <c r="T1009" s="16" t="s">
        <v>1546</v>
      </c>
      <c r="U1009" s="17">
        <f>COUNTIFS(WTG_BD!L:L,'Basic Data'!T1009,WTG_BD!F:F,"&gt;="&amp;O2Summary!$B$6,WTG_BD!F:F,"&lt;="&amp;O2Summary!$B$4)</f>
        <v>0</v>
      </c>
      <c r="V1009" s="18">
        <f t="shared" si="22"/>
        <v>47</v>
      </c>
    </row>
    <row r="1010" spans="19:22">
      <c r="S1010" s="16">
        <v>1011</v>
      </c>
      <c r="T1010" s="16" t="s">
        <v>1547</v>
      </c>
      <c r="U1010" s="17">
        <f>COUNTIFS(WTG_BD!L:L,'Basic Data'!T1010,WTG_BD!F:F,"&gt;="&amp;O2Summary!$B$6,WTG_BD!F:F,"&lt;="&amp;O2Summary!$B$4)</f>
        <v>0</v>
      </c>
      <c r="V1010" s="18">
        <f t="shared" si="22"/>
        <v>47</v>
      </c>
    </row>
    <row r="1011" spans="19:22">
      <c r="S1011" s="16">
        <v>1709</v>
      </c>
      <c r="T1011" s="16" t="s">
        <v>1548</v>
      </c>
      <c r="U1011" s="17">
        <f>COUNTIFS(WTG_BD!L:L,'Basic Data'!T1011,WTG_BD!F:F,"&gt;="&amp;O2Summary!$B$6,WTG_BD!F:F,"&lt;="&amp;O2Summary!$B$4)</f>
        <v>0</v>
      </c>
      <c r="V1011" s="18">
        <f t="shared" si="22"/>
        <v>47</v>
      </c>
    </row>
    <row r="1012" spans="19:22">
      <c r="S1012" s="16">
        <v>1710</v>
      </c>
      <c r="T1012" s="16" t="s">
        <v>1549</v>
      </c>
      <c r="U1012" s="17">
        <f>COUNTIFS(WTG_BD!L:L,'Basic Data'!T1012,WTG_BD!F:F,"&gt;="&amp;O2Summary!$B$6,WTG_BD!F:F,"&lt;="&amp;O2Summary!$B$4)</f>
        <v>0</v>
      </c>
      <c r="V1012" s="18">
        <f t="shared" si="22"/>
        <v>47</v>
      </c>
    </row>
    <row r="1013" spans="19:22">
      <c r="S1013" s="16">
        <v>1711</v>
      </c>
      <c r="T1013" s="16" t="s">
        <v>1550</v>
      </c>
      <c r="U1013" s="17">
        <f>COUNTIFS(WTG_BD!L:L,'Basic Data'!T1013,WTG_BD!F:F,"&gt;="&amp;O2Summary!$B$6,WTG_BD!F:F,"&lt;="&amp;O2Summary!$B$4)</f>
        <v>0</v>
      </c>
      <c r="V1013" s="18">
        <f t="shared" si="22"/>
        <v>47</v>
      </c>
    </row>
    <row r="1014" spans="19:22">
      <c r="S1014" s="16">
        <v>1712</v>
      </c>
      <c r="T1014" s="16" t="s">
        <v>1551</v>
      </c>
      <c r="U1014" s="17">
        <f>COUNTIFS(WTG_BD!L:L,'Basic Data'!T1014,WTG_BD!F:F,"&gt;="&amp;O2Summary!$B$6,WTG_BD!F:F,"&lt;="&amp;O2Summary!$B$4)</f>
        <v>0</v>
      </c>
      <c r="V1014" s="18">
        <f t="shared" si="22"/>
        <v>47</v>
      </c>
    </row>
    <row r="1015" spans="19:22">
      <c r="S1015" s="16">
        <v>1715</v>
      </c>
      <c r="T1015" s="16" t="s">
        <v>1552</v>
      </c>
      <c r="U1015" s="17">
        <f>COUNTIFS(WTG_BD!L:L,'Basic Data'!T1015,WTG_BD!F:F,"&gt;="&amp;O2Summary!$B$6,WTG_BD!F:F,"&lt;="&amp;O2Summary!$B$4)</f>
        <v>0</v>
      </c>
      <c r="V1015" s="18">
        <f t="shared" si="22"/>
        <v>47</v>
      </c>
    </row>
    <row r="1016" spans="19:22">
      <c r="S1016" s="16">
        <v>1716</v>
      </c>
      <c r="T1016" s="16" t="s">
        <v>1553</v>
      </c>
      <c r="U1016" s="17">
        <f>COUNTIFS(WTG_BD!L:L,'Basic Data'!T1016,WTG_BD!F:F,"&gt;="&amp;O2Summary!$B$6,WTG_BD!F:F,"&lt;="&amp;O2Summary!$B$4)</f>
        <v>0</v>
      </c>
      <c r="V1016" s="18">
        <f t="shared" si="22"/>
        <v>47</v>
      </c>
    </row>
    <row r="1017" spans="19:22">
      <c r="S1017" s="16">
        <v>1717</v>
      </c>
      <c r="T1017" s="16" t="s">
        <v>1554</v>
      </c>
      <c r="U1017" s="17">
        <f>COUNTIFS(WTG_BD!L:L,'Basic Data'!T1017,WTG_BD!F:F,"&gt;="&amp;O2Summary!$B$6,WTG_BD!F:F,"&lt;="&amp;O2Summary!$B$4)</f>
        <v>0</v>
      </c>
      <c r="V1017" s="18">
        <f t="shared" si="22"/>
        <v>47</v>
      </c>
    </row>
    <row r="1018" spans="19:22">
      <c r="S1018" s="16">
        <v>1718</v>
      </c>
      <c r="T1018" s="16" t="s">
        <v>1555</v>
      </c>
      <c r="U1018" s="17">
        <f>COUNTIFS(WTG_BD!L:L,'Basic Data'!T1018,WTG_BD!F:F,"&gt;="&amp;O2Summary!$B$6,WTG_BD!F:F,"&lt;="&amp;O2Summary!$B$4)</f>
        <v>0</v>
      </c>
      <c r="V1018" s="18">
        <f t="shared" si="22"/>
        <v>47</v>
      </c>
    </row>
    <row r="1019" spans="19:22">
      <c r="S1019" s="16">
        <v>1719</v>
      </c>
      <c r="T1019" s="16" t="s">
        <v>1556</v>
      </c>
      <c r="U1019" s="17">
        <f>COUNTIFS(WTG_BD!L:L,'Basic Data'!T1019,WTG_BD!F:F,"&gt;="&amp;O2Summary!$B$6,WTG_BD!F:F,"&lt;="&amp;O2Summary!$B$4)</f>
        <v>0</v>
      </c>
      <c r="V1019" s="18">
        <f t="shared" si="22"/>
        <v>47</v>
      </c>
    </row>
    <row r="1020" spans="19:22">
      <c r="S1020" s="16">
        <v>1721</v>
      </c>
      <c r="T1020" s="16" t="s">
        <v>1557</v>
      </c>
      <c r="U1020" s="17">
        <f>COUNTIFS(WTG_BD!L:L,'Basic Data'!T1020,WTG_BD!F:F,"&gt;="&amp;O2Summary!$B$6,WTG_BD!F:F,"&lt;="&amp;O2Summary!$B$4)</f>
        <v>0</v>
      </c>
      <c r="V1020" s="18">
        <f t="shared" si="22"/>
        <v>47</v>
      </c>
    </row>
    <row r="1021" spans="19:22">
      <c r="S1021" s="16">
        <v>2001</v>
      </c>
      <c r="T1021" s="16" t="s">
        <v>1384</v>
      </c>
      <c r="U1021" s="17">
        <f>COUNTIFS(WTG_BD!L:L,'Basic Data'!T1021,WTG_BD!F:F,"&gt;="&amp;O2Summary!$B$6,WTG_BD!F:F,"&lt;="&amp;O2Summary!$B$4)</f>
        <v>0</v>
      </c>
      <c r="V1021" s="18">
        <f t="shared" si="22"/>
        <v>47</v>
      </c>
    </row>
    <row r="1022" spans="19:22">
      <c r="S1022" s="16">
        <v>2002</v>
      </c>
      <c r="T1022" s="16" t="s">
        <v>1385</v>
      </c>
      <c r="U1022" s="17">
        <f>COUNTIFS(WTG_BD!L:L,'Basic Data'!T1022,WTG_BD!F:F,"&gt;="&amp;O2Summary!$B$6,WTG_BD!F:F,"&lt;="&amp;O2Summary!$B$4)</f>
        <v>0</v>
      </c>
      <c r="V1022" s="18">
        <f t="shared" si="22"/>
        <v>47</v>
      </c>
    </row>
    <row r="1023" spans="19:22">
      <c r="S1023" s="16">
        <v>2003</v>
      </c>
      <c r="T1023" s="16" t="s">
        <v>1386</v>
      </c>
      <c r="U1023" s="17">
        <f>COUNTIFS(WTG_BD!L:L,'Basic Data'!T1023,WTG_BD!F:F,"&gt;="&amp;O2Summary!$B$6,WTG_BD!F:F,"&lt;="&amp;O2Summary!$B$4)</f>
        <v>0</v>
      </c>
      <c r="V1023" s="18">
        <f t="shared" si="22"/>
        <v>47</v>
      </c>
    </row>
    <row r="1024" spans="19:22">
      <c r="S1024" s="16">
        <v>2004</v>
      </c>
      <c r="T1024" s="16" t="s">
        <v>1387</v>
      </c>
      <c r="U1024" s="17">
        <f>COUNTIFS(WTG_BD!L:L,'Basic Data'!T1024,WTG_BD!F:F,"&gt;="&amp;O2Summary!$B$6,WTG_BD!F:F,"&lt;="&amp;O2Summary!$B$4)</f>
        <v>0</v>
      </c>
      <c r="V1024" s="18">
        <f t="shared" si="22"/>
        <v>47</v>
      </c>
    </row>
    <row r="1025" spans="19:22">
      <c r="S1025" s="16">
        <v>2005</v>
      </c>
      <c r="T1025" s="16" t="s">
        <v>1388</v>
      </c>
      <c r="U1025" s="17">
        <f>COUNTIFS(WTG_BD!L:L,'Basic Data'!T1025,WTG_BD!F:F,"&gt;="&amp;O2Summary!$B$6,WTG_BD!F:F,"&lt;="&amp;O2Summary!$B$4)</f>
        <v>0</v>
      </c>
      <c r="V1025" s="18">
        <f t="shared" si="22"/>
        <v>47</v>
      </c>
    </row>
    <row r="1026" spans="19:22">
      <c r="S1026" s="16">
        <v>2006</v>
      </c>
      <c r="T1026" s="16" t="s">
        <v>734</v>
      </c>
      <c r="U1026" s="17">
        <f>COUNTIFS(WTG_BD!L:L,'Basic Data'!T1026,WTG_BD!F:F,"&gt;="&amp;O2Summary!$B$6,WTG_BD!F:F,"&lt;="&amp;O2Summary!$B$4)</f>
        <v>0</v>
      </c>
      <c r="V1026" s="18">
        <f t="shared" si="22"/>
        <v>47</v>
      </c>
    </row>
    <row r="1027" spans="19:22">
      <c r="S1027" s="16">
        <v>2007</v>
      </c>
      <c r="T1027" s="16" t="s">
        <v>968</v>
      </c>
      <c r="U1027" s="17">
        <f>COUNTIFS(WTG_BD!L:L,'Basic Data'!T1027,WTG_BD!F:F,"&gt;="&amp;O2Summary!$B$6,WTG_BD!F:F,"&lt;="&amp;O2Summary!$B$4)</f>
        <v>0</v>
      </c>
      <c r="V1027" s="18">
        <f t="shared" ref="V1027:V1090" si="23">RANK(U1027,$U$2:$U$3975)</f>
        <v>47</v>
      </c>
    </row>
    <row r="1028" spans="19:22">
      <c r="S1028" s="16">
        <v>2008</v>
      </c>
      <c r="T1028" s="16" t="s">
        <v>969</v>
      </c>
      <c r="U1028" s="17">
        <f>COUNTIFS(WTG_BD!L:L,'Basic Data'!T1028,WTG_BD!F:F,"&gt;="&amp;O2Summary!$B$6,WTG_BD!F:F,"&lt;="&amp;O2Summary!$B$4)</f>
        <v>0</v>
      </c>
      <c r="V1028" s="18">
        <f t="shared" si="23"/>
        <v>47</v>
      </c>
    </row>
    <row r="1029" spans="19:22">
      <c r="S1029" s="16">
        <v>2009</v>
      </c>
      <c r="T1029" s="16" t="s">
        <v>1558</v>
      </c>
      <c r="U1029" s="17">
        <f>COUNTIFS(WTG_BD!L:L,'Basic Data'!T1029,WTG_BD!F:F,"&gt;="&amp;O2Summary!$B$6,WTG_BD!F:F,"&lt;="&amp;O2Summary!$B$4)</f>
        <v>0</v>
      </c>
      <c r="V1029" s="18">
        <f t="shared" si="23"/>
        <v>47</v>
      </c>
    </row>
    <row r="1030" spans="19:22">
      <c r="S1030" s="16">
        <v>2648</v>
      </c>
      <c r="T1030" s="16" t="s">
        <v>1559</v>
      </c>
      <c r="U1030" s="17">
        <f>COUNTIFS(WTG_BD!L:L,'Basic Data'!T1030,WTG_BD!F:F,"&gt;="&amp;O2Summary!$B$6,WTG_BD!F:F,"&lt;="&amp;O2Summary!$B$4)</f>
        <v>0</v>
      </c>
      <c r="V1030" s="18">
        <f t="shared" si="23"/>
        <v>47</v>
      </c>
    </row>
    <row r="1031" spans="19:22">
      <c r="S1031" s="16">
        <v>2649</v>
      </c>
      <c r="T1031" s="16" t="s">
        <v>1560</v>
      </c>
      <c r="U1031" s="17">
        <f>COUNTIFS(WTG_BD!L:L,'Basic Data'!T1031,WTG_BD!F:F,"&gt;="&amp;O2Summary!$B$6,WTG_BD!F:F,"&lt;="&amp;O2Summary!$B$4)</f>
        <v>0</v>
      </c>
      <c r="V1031" s="18">
        <f t="shared" si="23"/>
        <v>47</v>
      </c>
    </row>
    <row r="1032" spans="19:22">
      <c r="S1032" s="16">
        <v>2657</v>
      </c>
      <c r="T1032" s="16" t="s">
        <v>1561</v>
      </c>
      <c r="U1032" s="17">
        <f>COUNTIFS(WTG_BD!L:L,'Basic Data'!T1032,WTG_BD!F:F,"&gt;="&amp;O2Summary!$B$6,WTG_BD!F:F,"&lt;="&amp;O2Summary!$B$4)</f>
        <v>0</v>
      </c>
      <c r="V1032" s="18">
        <f t="shared" si="23"/>
        <v>47</v>
      </c>
    </row>
    <row r="1033" spans="19:22">
      <c r="S1033" s="16">
        <v>2658</v>
      </c>
      <c r="T1033" s="16" t="s">
        <v>1562</v>
      </c>
      <c r="U1033" s="17">
        <f>COUNTIFS(WTG_BD!L:L,'Basic Data'!T1033,WTG_BD!F:F,"&gt;="&amp;O2Summary!$B$6,WTG_BD!F:F,"&lt;="&amp;O2Summary!$B$4)</f>
        <v>0</v>
      </c>
      <c r="V1033" s="18">
        <f t="shared" si="23"/>
        <v>47</v>
      </c>
    </row>
    <row r="1034" spans="19:22">
      <c r="S1034" s="16">
        <v>2659</v>
      </c>
      <c r="T1034" s="16" t="s">
        <v>1563</v>
      </c>
      <c r="U1034" s="17">
        <f>COUNTIFS(WTG_BD!L:L,'Basic Data'!T1034,WTG_BD!F:F,"&gt;="&amp;O2Summary!$B$6,WTG_BD!F:F,"&lt;="&amp;O2Summary!$B$4)</f>
        <v>0</v>
      </c>
      <c r="V1034" s="18">
        <f t="shared" si="23"/>
        <v>47</v>
      </c>
    </row>
    <row r="1035" spans="19:22">
      <c r="S1035" s="16">
        <v>2660</v>
      </c>
      <c r="T1035" s="16" t="s">
        <v>1564</v>
      </c>
      <c r="U1035" s="17">
        <f>COUNTIFS(WTG_BD!L:L,'Basic Data'!T1035,WTG_BD!F:F,"&gt;="&amp;O2Summary!$B$6,WTG_BD!F:F,"&lt;="&amp;O2Summary!$B$4)</f>
        <v>0</v>
      </c>
      <c r="V1035" s="18">
        <f t="shared" si="23"/>
        <v>47</v>
      </c>
    </row>
    <row r="1036" spans="19:22">
      <c r="S1036" s="16">
        <v>2661</v>
      </c>
      <c r="T1036" s="16" t="s">
        <v>1565</v>
      </c>
      <c r="U1036" s="17">
        <f>COUNTIFS(WTG_BD!L:L,'Basic Data'!T1036,WTG_BD!F:F,"&gt;="&amp;O2Summary!$B$6,WTG_BD!F:F,"&lt;="&amp;O2Summary!$B$4)</f>
        <v>0</v>
      </c>
      <c r="V1036" s="18">
        <f t="shared" si="23"/>
        <v>47</v>
      </c>
    </row>
    <row r="1037" spans="19:22">
      <c r="S1037" s="16">
        <v>2667</v>
      </c>
      <c r="T1037" s="16" t="s">
        <v>1566</v>
      </c>
      <c r="U1037" s="17">
        <f>COUNTIFS(WTG_BD!L:L,'Basic Data'!T1037,WTG_BD!F:F,"&gt;="&amp;O2Summary!$B$6,WTG_BD!F:F,"&lt;="&amp;O2Summary!$B$4)</f>
        <v>0</v>
      </c>
      <c r="V1037" s="18">
        <f t="shared" si="23"/>
        <v>47</v>
      </c>
    </row>
    <row r="1038" spans="19:22">
      <c r="S1038" s="16">
        <v>2668</v>
      </c>
      <c r="T1038" s="16" t="s">
        <v>1567</v>
      </c>
      <c r="U1038" s="17">
        <f>COUNTIFS(WTG_BD!L:L,'Basic Data'!T1038,WTG_BD!F:F,"&gt;="&amp;O2Summary!$B$6,WTG_BD!F:F,"&lt;="&amp;O2Summary!$B$4)</f>
        <v>0</v>
      </c>
      <c r="V1038" s="18">
        <f t="shared" si="23"/>
        <v>47</v>
      </c>
    </row>
    <row r="1039" spans="19:22">
      <c r="S1039" s="26">
        <v>2669</v>
      </c>
      <c r="T1039" s="26" t="s">
        <v>1568</v>
      </c>
      <c r="U1039" s="17">
        <f>COUNTIFS(WTG_BD!L:L,'Basic Data'!T1039,WTG_BD!F:F,"&gt;="&amp;O2Summary!$B$6,WTG_BD!F:F,"&lt;="&amp;O2Summary!$B$4)</f>
        <v>0</v>
      </c>
      <c r="V1039" s="18">
        <f t="shared" si="23"/>
        <v>47</v>
      </c>
    </row>
    <row r="1040" spans="19:22">
      <c r="S1040" s="26">
        <v>2670</v>
      </c>
      <c r="T1040" s="26" t="s">
        <v>1569</v>
      </c>
      <c r="U1040" s="17">
        <f>COUNTIFS(WTG_BD!L:L,'Basic Data'!T1040,WTG_BD!F:F,"&gt;="&amp;O2Summary!$B$6,WTG_BD!F:F,"&lt;="&amp;O2Summary!$B$4)</f>
        <v>0</v>
      </c>
      <c r="V1040" s="18">
        <f t="shared" si="23"/>
        <v>47</v>
      </c>
    </row>
    <row r="1041" spans="19:22">
      <c r="S1041" s="16">
        <v>2671</v>
      </c>
      <c r="T1041" s="16" t="s">
        <v>1570</v>
      </c>
      <c r="U1041" s="17">
        <f>COUNTIFS(WTG_BD!L:L,'Basic Data'!T1041,WTG_BD!F:F,"&gt;="&amp;O2Summary!$B$6,WTG_BD!F:F,"&lt;="&amp;O2Summary!$B$4)</f>
        <v>0</v>
      </c>
      <c r="V1041" s="18">
        <f t="shared" si="23"/>
        <v>47</v>
      </c>
    </row>
    <row r="1042" spans="19:22">
      <c r="S1042" s="16">
        <v>2672</v>
      </c>
      <c r="T1042" s="16" t="s">
        <v>1571</v>
      </c>
      <c r="U1042" s="17">
        <f>COUNTIFS(WTG_BD!L:L,'Basic Data'!T1042,WTG_BD!F:F,"&gt;="&amp;O2Summary!$B$6,WTG_BD!F:F,"&lt;="&amp;O2Summary!$B$4)</f>
        <v>0</v>
      </c>
      <c r="V1042" s="18">
        <f t="shared" si="23"/>
        <v>47</v>
      </c>
    </row>
    <row r="1043" spans="19:22">
      <c r="S1043" s="16">
        <v>2673</v>
      </c>
      <c r="T1043" s="16" t="s">
        <v>1572</v>
      </c>
      <c r="U1043" s="17">
        <f>COUNTIFS(WTG_BD!L:L,'Basic Data'!T1043,WTG_BD!F:F,"&gt;="&amp;O2Summary!$B$6,WTG_BD!F:F,"&lt;="&amp;O2Summary!$B$4)</f>
        <v>0</v>
      </c>
      <c r="V1043" s="18">
        <f t="shared" si="23"/>
        <v>47</v>
      </c>
    </row>
    <row r="1044" spans="19:22">
      <c r="S1044" s="16">
        <v>2674</v>
      </c>
      <c r="T1044" s="16" t="s">
        <v>1573</v>
      </c>
      <c r="U1044" s="17">
        <f>COUNTIFS(WTG_BD!L:L,'Basic Data'!T1044,WTG_BD!F:F,"&gt;="&amp;O2Summary!$B$6,WTG_BD!F:F,"&lt;="&amp;O2Summary!$B$4)</f>
        <v>0</v>
      </c>
      <c r="V1044" s="18">
        <f t="shared" si="23"/>
        <v>47</v>
      </c>
    </row>
    <row r="1045" spans="19:22">
      <c r="S1045" s="16">
        <v>2675</v>
      </c>
      <c r="T1045" s="16" t="s">
        <v>1574</v>
      </c>
      <c r="U1045" s="17">
        <f>COUNTIFS(WTG_BD!L:L,'Basic Data'!T1045,WTG_BD!F:F,"&gt;="&amp;O2Summary!$B$6,WTG_BD!F:F,"&lt;="&amp;O2Summary!$B$4)</f>
        <v>0</v>
      </c>
      <c r="V1045" s="18">
        <f t="shared" si="23"/>
        <v>47</v>
      </c>
    </row>
    <row r="1046" spans="19:22">
      <c r="S1046" s="16">
        <v>2676</v>
      </c>
      <c r="T1046" s="16" t="s">
        <v>140</v>
      </c>
      <c r="U1046" s="17">
        <f>COUNTIFS(WTG_BD!L:L,'Basic Data'!T1046,WTG_BD!F:F,"&gt;="&amp;O2Summary!$B$6,WTG_BD!F:F,"&lt;="&amp;O2Summary!$B$4)</f>
        <v>10</v>
      </c>
      <c r="V1046" s="18">
        <f t="shared" si="23"/>
        <v>9</v>
      </c>
    </row>
    <row r="1047" spans="19:22">
      <c r="S1047" s="16">
        <v>2677</v>
      </c>
      <c r="T1047" s="16" t="s">
        <v>1575</v>
      </c>
      <c r="U1047" s="17">
        <f>COUNTIFS(WTG_BD!L:L,'Basic Data'!T1047,WTG_BD!F:F,"&gt;="&amp;O2Summary!$B$6,WTG_BD!F:F,"&lt;="&amp;O2Summary!$B$4)</f>
        <v>0</v>
      </c>
      <c r="V1047" s="18">
        <f t="shared" si="23"/>
        <v>47</v>
      </c>
    </row>
    <row r="1048" spans="19:22">
      <c r="S1048" s="16">
        <v>2678</v>
      </c>
      <c r="T1048" s="16" t="s">
        <v>1576</v>
      </c>
      <c r="U1048" s="17">
        <f>COUNTIFS(WTG_BD!L:L,'Basic Data'!T1048,WTG_BD!F:F,"&gt;="&amp;O2Summary!$B$6,WTG_BD!F:F,"&lt;="&amp;O2Summary!$B$4)</f>
        <v>0</v>
      </c>
      <c r="V1048" s="18">
        <f t="shared" si="23"/>
        <v>47</v>
      </c>
    </row>
    <row r="1049" spans="19:22">
      <c r="S1049" s="16">
        <v>2679</v>
      </c>
      <c r="T1049" s="16" t="s">
        <v>1577</v>
      </c>
      <c r="U1049" s="17">
        <f>COUNTIFS(WTG_BD!L:L,'Basic Data'!T1049,WTG_BD!F:F,"&gt;="&amp;O2Summary!$B$6,WTG_BD!F:F,"&lt;="&amp;O2Summary!$B$4)</f>
        <v>0</v>
      </c>
      <c r="V1049" s="18">
        <f t="shared" si="23"/>
        <v>47</v>
      </c>
    </row>
    <row r="1050" spans="19:22">
      <c r="S1050" s="16">
        <v>2680</v>
      </c>
      <c r="T1050" s="16" t="s">
        <v>1578</v>
      </c>
      <c r="U1050" s="17">
        <f>COUNTIFS(WTG_BD!L:L,'Basic Data'!T1050,WTG_BD!F:F,"&gt;="&amp;O2Summary!$B$6,WTG_BD!F:F,"&lt;="&amp;O2Summary!$B$4)</f>
        <v>0</v>
      </c>
      <c r="V1050" s="18">
        <f t="shared" si="23"/>
        <v>47</v>
      </c>
    </row>
    <row r="1051" spans="19:22">
      <c r="S1051" s="16">
        <v>2681</v>
      </c>
      <c r="T1051" s="16" t="s">
        <v>1579</v>
      </c>
      <c r="U1051" s="17">
        <f>COUNTIFS(WTG_BD!L:L,'Basic Data'!T1051,WTG_BD!F:F,"&gt;="&amp;O2Summary!$B$6,WTG_BD!F:F,"&lt;="&amp;O2Summary!$B$4)</f>
        <v>0</v>
      </c>
      <c r="V1051" s="18">
        <f t="shared" si="23"/>
        <v>47</v>
      </c>
    </row>
    <row r="1052" spans="19:22">
      <c r="S1052" s="16">
        <v>2682</v>
      </c>
      <c r="T1052" s="16" t="s">
        <v>1580</v>
      </c>
      <c r="U1052" s="17">
        <f>COUNTIFS(WTG_BD!L:L,'Basic Data'!T1052,WTG_BD!F:F,"&gt;="&amp;O2Summary!$B$6,WTG_BD!F:F,"&lt;="&amp;O2Summary!$B$4)</f>
        <v>0</v>
      </c>
      <c r="V1052" s="18">
        <f t="shared" si="23"/>
        <v>47</v>
      </c>
    </row>
    <row r="1053" spans="19:22">
      <c r="S1053" s="16">
        <v>2683</v>
      </c>
      <c r="T1053" s="16" t="s">
        <v>1581</v>
      </c>
      <c r="U1053" s="17">
        <f>COUNTIFS(WTG_BD!L:L,'Basic Data'!T1053,WTG_BD!F:F,"&gt;="&amp;O2Summary!$B$6,WTG_BD!F:F,"&lt;="&amp;O2Summary!$B$4)</f>
        <v>0</v>
      </c>
      <c r="V1053" s="18">
        <f t="shared" si="23"/>
        <v>47</v>
      </c>
    </row>
    <row r="1054" spans="19:22">
      <c r="S1054" s="16">
        <v>2684</v>
      </c>
      <c r="T1054" s="16" t="s">
        <v>1582</v>
      </c>
      <c r="U1054" s="17">
        <f>COUNTIFS(WTG_BD!L:L,'Basic Data'!T1054,WTG_BD!F:F,"&gt;="&amp;O2Summary!$B$6,WTG_BD!F:F,"&lt;="&amp;O2Summary!$B$4)</f>
        <v>0</v>
      </c>
      <c r="V1054" s="18">
        <f t="shared" si="23"/>
        <v>47</v>
      </c>
    </row>
    <row r="1055" spans="19:22">
      <c r="S1055" s="16">
        <v>2685</v>
      </c>
      <c r="T1055" s="16" t="s">
        <v>1583</v>
      </c>
      <c r="U1055" s="17">
        <f>COUNTIFS(WTG_BD!L:L,'Basic Data'!T1055,WTG_BD!F:F,"&gt;="&amp;O2Summary!$B$6,WTG_BD!F:F,"&lt;="&amp;O2Summary!$B$4)</f>
        <v>0</v>
      </c>
      <c r="V1055" s="18">
        <f t="shared" si="23"/>
        <v>47</v>
      </c>
    </row>
    <row r="1056" spans="19:22">
      <c r="S1056" s="16">
        <v>2686</v>
      </c>
      <c r="T1056" s="16" t="s">
        <v>1584</v>
      </c>
      <c r="U1056" s="17">
        <f>COUNTIFS(WTG_BD!L:L,'Basic Data'!T1056,WTG_BD!F:F,"&gt;="&amp;O2Summary!$B$6,WTG_BD!F:F,"&lt;="&amp;O2Summary!$B$4)</f>
        <v>0</v>
      </c>
      <c r="V1056" s="18">
        <f t="shared" si="23"/>
        <v>47</v>
      </c>
    </row>
    <row r="1057" spans="19:22">
      <c r="S1057" s="16">
        <v>2687</v>
      </c>
      <c r="T1057" s="16" t="s">
        <v>1585</v>
      </c>
      <c r="U1057" s="17">
        <f>COUNTIFS(WTG_BD!L:L,'Basic Data'!T1057,WTG_BD!F:F,"&gt;="&amp;O2Summary!$B$6,WTG_BD!F:F,"&lt;="&amp;O2Summary!$B$4)</f>
        <v>0</v>
      </c>
      <c r="V1057" s="18">
        <f t="shared" si="23"/>
        <v>47</v>
      </c>
    </row>
    <row r="1058" spans="19:22">
      <c r="S1058" s="16">
        <v>2688</v>
      </c>
      <c r="T1058" s="16" t="s">
        <v>1586</v>
      </c>
      <c r="U1058" s="17">
        <f>COUNTIFS(WTG_BD!L:L,'Basic Data'!T1058,WTG_BD!F:F,"&gt;="&amp;O2Summary!$B$6,WTG_BD!F:F,"&lt;="&amp;O2Summary!$B$4)</f>
        <v>0</v>
      </c>
      <c r="V1058" s="18">
        <f t="shared" si="23"/>
        <v>47</v>
      </c>
    </row>
    <row r="1059" spans="19:22">
      <c r="S1059" s="16">
        <v>2689</v>
      </c>
      <c r="T1059" s="16" t="s">
        <v>1587</v>
      </c>
      <c r="U1059" s="17">
        <f>COUNTIFS(WTG_BD!L:L,'Basic Data'!T1059,WTG_BD!F:F,"&gt;="&amp;O2Summary!$B$6,WTG_BD!F:F,"&lt;="&amp;O2Summary!$B$4)</f>
        <v>0</v>
      </c>
      <c r="V1059" s="18">
        <f t="shared" si="23"/>
        <v>47</v>
      </c>
    </row>
    <row r="1060" spans="19:22">
      <c r="S1060" s="16">
        <v>2690</v>
      </c>
      <c r="T1060" s="16" t="s">
        <v>1588</v>
      </c>
      <c r="U1060" s="17">
        <f>COUNTIFS(WTG_BD!L:L,'Basic Data'!T1060,WTG_BD!F:F,"&gt;="&amp;O2Summary!$B$6,WTG_BD!F:F,"&lt;="&amp;O2Summary!$B$4)</f>
        <v>0</v>
      </c>
      <c r="V1060" s="18">
        <f t="shared" si="23"/>
        <v>47</v>
      </c>
    </row>
    <row r="1061" spans="19:22">
      <c r="S1061" s="16">
        <v>2691</v>
      </c>
      <c r="T1061" s="16" t="s">
        <v>1589</v>
      </c>
      <c r="U1061" s="17">
        <f>COUNTIFS(WTG_BD!L:L,'Basic Data'!T1061,WTG_BD!F:F,"&gt;="&amp;O2Summary!$B$6,WTG_BD!F:F,"&lt;="&amp;O2Summary!$B$4)</f>
        <v>0</v>
      </c>
      <c r="V1061" s="18">
        <f t="shared" si="23"/>
        <v>47</v>
      </c>
    </row>
    <row r="1062" spans="19:22">
      <c r="S1062" s="16">
        <v>2692</v>
      </c>
      <c r="T1062" s="16" t="s">
        <v>1590</v>
      </c>
      <c r="U1062" s="17">
        <f>COUNTIFS(WTG_BD!L:L,'Basic Data'!T1062,WTG_BD!F:F,"&gt;="&amp;O2Summary!$B$6,WTG_BD!F:F,"&lt;="&amp;O2Summary!$B$4)</f>
        <v>0</v>
      </c>
      <c r="V1062" s="18">
        <f t="shared" si="23"/>
        <v>47</v>
      </c>
    </row>
    <row r="1063" spans="19:22">
      <c r="S1063" s="16">
        <v>2693</v>
      </c>
      <c r="T1063" s="16" t="s">
        <v>1591</v>
      </c>
      <c r="U1063" s="17">
        <f>COUNTIFS(WTG_BD!L:L,'Basic Data'!T1063,WTG_BD!F:F,"&gt;="&amp;O2Summary!$B$6,WTG_BD!F:F,"&lt;="&amp;O2Summary!$B$4)</f>
        <v>0</v>
      </c>
      <c r="V1063" s="18">
        <f t="shared" si="23"/>
        <v>47</v>
      </c>
    </row>
    <row r="1064" spans="19:22">
      <c r="S1064" s="16">
        <v>2694</v>
      </c>
      <c r="T1064" s="16" t="s">
        <v>1592</v>
      </c>
      <c r="U1064" s="17">
        <f>COUNTIFS(WTG_BD!L:L,'Basic Data'!T1064,WTG_BD!F:F,"&gt;="&amp;O2Summary!$B$6,WTG_BD!F:F,"&lt;="&amp;O2Summary!$B$4)</f>
        <v>0</v>
      </c>
      <c r="V1064" s="18">
        <f t="shared" si="23"/>
        <v>47</v>
      </c>
    </row>
    <row r="1065" spans="19:22">
      <c r="S1065" s="16">
        <v>2695</v>
      </c>
      <c r="T1065" s="16" t="s">
        <v>1593</v>
      </c>
      <c r="U1065" s="17">
        <f>COUNTIFS(WTG_BD!L:L,'Basic Data'!T1065,WTG_BD!F:F,"&gt;="&amp;O2Summary!$B$6,WTG_BD!F:F,"&lt;="&amp;O2Summary!$B$4)</f>
        <v>0</v>
      </c>
      <c r="V1065" s="18">
        <f t="shared" si="23"/>
        <v>47</v>
      </c>
    </row>
    <row r="1066" spans="19:22">
      <c r="S1066" s="16">
        <v>2696</v>
      </c>
      <c r="T1066" s="16" t="s">
        <v>1594</v>
      </c>
      <c r="U1066" s="17">
        <f>COUNTIFS(WTG_BD!L:L,'Basic Data'!T1066,WTG_BD!F:F,"&gt;="&amp;O2Summary!$B$6,WTG_BD!F:F,"&lt;="&amp;O2Summary!$B$4)</f>
        <v>0</v>
      </c>
      <c r="V1066" s="18">
        <f t="shared" si="23"/>
        <v>47</v>
      </c>
    </row>
    <row r="1067" spans="19:22">
      <c r="S1067" s="16">
        <v>2697</v>
      </c>
      <c r="T1067" s="16" t="s">
        <v>1595</v>
      </c>
      <c r="U1067" s="17">
        <f>COUNTIFS(WTG_BD!L:L,'Basic Data'!T1067,WTG_BD!F:F,"&gt;="&amp;O2Summary!$B$6,WTG_BD!F:F,"&lt;="&amp;O2Summary!$B$4)</f>
        <v>0</v>
      </c>
      <c r="V1067" s="18">
        <f t="shared" si="23"/>
        <v>47</v>
      </c>
    </row>
    <row r="1068" spans="19:22">
      <c r="S1068" s="16">
        <v>2698</v>
      </c>
      <c r="T1068" s="16" t="s">
        <v>1596</v>
      </c>
      <c r="U1068" s="17">
        <f>COUNTIFS(WTG_BD!L:L,'Basic Data'!T1068,WTG_BD!F:F,"&gt;="&amp;O2Summary!$B$6,WTG_BD!F:F,"&lt;="&amp;O2Summary!$B$4)</f>
        <v>0</v>
      </c>
      <c r="V1068" s="18">
        <f t="shared" si="23"/>
        <v>47</v>
      </c>
    </row>
    <row r="1069" spans="19:22">
      <c r="S1069" s="16">
        <v>2699</v>
      </c>
      <c r="T1069" s="16" t="s">
        <v>1597</v>
      </c>
      <c r="U1069" s="17">
        <f>COUNTIFS(WTG_BD!L:L,'Basic Data'!T1069,WTG_BD!F:F,"&gt;="&amp;O2Summary!$B$6,WTG_BD!F:F,"&lt;="&amp;O2Summary!$B$4)</f>
        <v>0</v>
      </c>
      <c r="V1069" s="18">
        <f t="shared" si="23"/>
        <v>47</v>
      </c>
    </row>
    <row r="1070" spans="19:22">
      <c r="S1070" s="16">
        <v>2787</v>
      </c>
      <c r="T1070" s="16" t="s">
        <v>1598</v>
      </c>
      <c r="U1070" s="17">
        <f>COUNTIFS(WTG_BD!L:L,'Basic Data'!T1070,WTG_BD!F:F,"&gt;="&amp;O2Summary!$B$6,WTG_BD!F:F,"&lt;="&amp;O2Summary!$B$4)</f>
        <v>0</v>
      </c>
      <c r="V1070" s="18">
        <f t="shared" si="23"/>
        <v>47</v>
      </c>
    </row>
    <row r="1071" spans="19:22">
      <c r="S1071" s="16">
        <v>2803</v>
      </c>
      <c r="T1071" s="16" t="s">
        <v>1599</v>
      </c>
      <c r="U1071" s="17">
        <f>COUNTIFS(WTG_BD!L:L,'Basic Data'!T1071,WTG_BD!F:F,"&gt;="&amp;O2Summary!$B$6,WTG_BD!F:F,"&lt;="&amp;O2Summary!$B$4)</f>
        <v>0</v>
      </c>
      <c r="V1071" s="18">
        <f t="shared" si="23"/>
        <v>47</v>
      </c>
    </row>
    <row r="1072" spans="19:22">
      <c r="S1072" s="26">
        <v>2857</v>
      </c>
      <c r="T1072" s="26" t="s">
        <v>1600</v>
      </c>
      <c r="U1072" s="17">
        <f>COUNTIFS(WTG_BD!L:L,'Basic Data'!T1072,WTG_BD!F:F,"&gt;="&amp;O2Summary!$B$6,WTG_BD!F:F,"&lt;="&amp;O2Summary!$B$4)</f>
        <v>0</v>
      </c>
      <c r="V1072" s="18">
        <f t="shared" si="23"/>
        <v>47</v>
      </c>
    </row>
    <row r="1073" spans="19:22">
      <c r="S1073" s="16">
        <v>2858</v>
      </c>
      <c r="T1073" s="16" t="s">
        <v>1601</v>
      </c>
      <c r="U1073" s="17">
        <f>COUNTIFS(WTG_BD!L:L,'Basic Data'!T1073,WTG_BD!F:F,"&gt;="&amp;O2Summary!$B$6,WTG_BD!F:F,"&lt;="&amp;O2Summary!$B$4)</f>
        <v>0</v>
      </c>
      <c r="V1073" s="18">
        <f t="shared" si="23"/>
        <v>47</v>
      </c>
    </row>
    <row r="1074" spans="19:22">
      <c r="S1074" s="26">
        <v>2859</v>
      </c>
      <c r="T1074" s="26" t="s">
        <v>1602</v>
      </c>
      <c r="U1074" s="17">
        <f>COUNTIFS(WTG_BD!L:L,'Basic Data'!T1074,WTG_BD!F:F,"&gt;="&amp;O2Summary!$B$6,WTG_BD!F:F,"&lt;="&amp;O2Summary!$B$4)</f>
        <v>0</v>
      </c>
      <c r="V1074" s="18">
        <f t="shared" si="23"/>
        <v>47</v>
      </c>
    </row>
    <row r="1075" spans="19:22">
      <c r="S1075" s="16">
        <v>2860</v>
      </c>
      <c r="T1075" s="16" t="s">
        <v>1603</v>
      </c>
      <c r="U1075" s="17">
        <f>COUNTIFS(WTG_BD!L:L,'Basic Data'!T1075,WTG_BD!F:F,"&gt;="&amp;O2Summary!$B$6,WTG_BD!F:F,"&lt;="&amp;O2Summary!$B$4)</f>
        <v>0</v>
      </c>
      <c r="V1075" s="18">
        <f t="shared" si="23"/>
        <v>47</v>
      </c>
    </row>
    <row r="1076" spans="19:22">
      <c r="S1076" s="16">
        <v>2861</v>
      </c>
      <c r="T1076" s="16" t="s">
        <v>1604</v>
      </c>
      <c r="U1076" s="17">
        <f>COUNTIFS(WTG_BD!L:L,'Basic Data'!T1076,WTG_BD!F:F,"&gt;="&amp;O2Summary!$B$6,WTG_BD!F:F,"&lt;="&amp;O2Summary!$B$4)</f>
        <v>0</v>
      </c>
      <c r="V1076" s="18">
        <f t="shared" si="23"/>
        <v>47</v>
      </c>
    </row>
    <row r="1077" spans="19:22">
      <c r="S1077" s="26">
        <v>2862</v>
      </c>
      <c r="T1077" s="26" t="s">
        <v>1605</v>
      </c>
      <c r="U1077" s="17">
        <f>COUNTIFS(WTG_BD!L:L,'Basic Data'!T1077,WTG_BD!F:F,"&gt;="&amp;O2Summary!$B$6,WTG_BD!F:F,"&lt;="&amp;O2Summary!$B$4)</f>
        <v>0</v>
      </c>
      <c r="V1077" s="18">
        <f t="shared" si="23"/>
        <v>47</v>
      </c>
    </row>
    <row r="1078" spans="19:22">
      <c r="S1078" s="16">
        <v>2863</v>
      </c>
      <c r="T1078" s="16" t="s">
        <v>1606</v>
      </c>
      <c r="U1078" s="17">
        <f>COUNTIFS(WTG_BD!L:L,'Basic Data'!T1078,WTG_BD!F:F,"&gt;="&amp;O2Summary!$B$6,WTG_BD!F:F,"&lt;="&amp;O2Summary!$B$4)</f>
        <v>0</v>
      </c>
      <c r="V1078" s="18">
        <f t="shared" si="23"/>
        <v>47</v>
      </c>
    </row>
    <row r="1079" spans="19:22">
      <c r="S1079" s="26">
        <v>2864</v>
      </c>
      <c r="T1079" s="26" t="s">
        <v>1607</v>
      </c>
      <c r="U1079" s="17">
        <f>COUNTIFS(WTG_BD!L:L,'Basic Data'!T1079,WTG_BD!F:F,"&gt;="&amp;O2Summary!$B$6,WTG_BD!F:F,"&lt;="&amp;O2Summary!$B$4)</f>
        <v>0</v>
      </c>
      <c r="V1079" s="18">
        <f t="shared" si="23"/>
        <v>47</v>
      </c>
    </row>
    <row r="1080" spans="19:22">
      <c r="S1080" s="16">
        <v>2865</v>
      </c>
      <c r="T1080" s="16" t="s">
        <v>1608</v>
      </c>
      <c r="U1080" s="17">
        <f>COUNTIFS(WTG_BD!L:L,'Basic Data'!T1080,WTG_BD!F:F,"&gt;="&amp;O2Summary!$B$6,WTG_BD!F:F,"&lt;="&amp;O2Summary!$B$4)</f>
        <v>0</v>
      </c>
      <c r="V1080" s="18">
        <f t="shared" si="23"/>
        <v>47</v>
      </c>
    </row>
    <row r="1081" spans="19:22">
      <c r="S1081" s="16">
        <v>2869</v>
      </c>
      <c r="T1081" s="16" t="s">
        <v>1609</v>
      </c>
      <c r="U1081" s="17">
        <f>COUNTIFS(WTG_BD!L:L,'Basic Data'!T1081,WTG_BD!F:F,"&gt;="&amp;O2Summary!$B$6,WTG_BD!F:F,"&lt;="&amp;O2Summary!$B$4)</f>
        <v>0</v>
      </c>
      <c r="V1081" s="18">
        <f t="shared" si="23"/>
        <v>47</v>
      </c>
    </row>
    <row r="1082" spans="19:22">
      <c r="S1082" s="16">
        <v>2870</v>
      </c>
      <c r="T1082" s="16" t="s">
        <v>1610</v>
      </c>
      <c r="U1082" s="17">
        <f>COUNTIFS(WTG_BD!L:L,'Basic Data'!T1082,WTG_BD!F:F,"&gt;="&amp;O2Summary!$B$6,WTG_BD!F:F,"&lt;="&amp;O2Summary!$B$4)</f>
        <v>0</v>
      </c>
      <c r="V1082" s="18">
        <f t="shared" si="23"/>
        <v>47</v>
      </c>
    </row>
    <row r="1083" spans="19:22">
      <c r="S1083" s="16">
        <v>2871</v>
      </c>
      <c r="T1083" s="16" t="s">
        <v>1611</v>
      </c>
      <c r="U1083" s="17">
        <f>COUNTIFS(WTG_BD!L:L,'Basic Data'!T1083,WTG_BD!F:F,"&gt;="&amp;O2Summary!$B$6,WTG_BD!F:F,"&lt;="&amp;O2Summary!$B$4)</f>
        <v>0</v>
      </c>
      <c r="V1083" s="18">
        <f t="shared" si="23"/>
        <v>47</v>
      </c>
    </row>
    <row r="1084" spans="19:22">
      <c r="S1084" s="16">
        <v>2872</v>
      </c>
      <c r="T1084" s="16" t="s">
        <v>1612</v>
      </c>
      <c r="U1084" s="17">
        <f>COUNTIFS(WTG_BD!L:L,'Basic Data'!T1084,WTG_BD!F:F,"&gt;="&amp;O2Summary!$B$6,WTG_BD!F:F,"&lt;="&amp;O2Summary!$B$4)</f>
        <v>0</v>
      </c>
      <c r="V1084" s="18">
        <f t="shared" si="23"/>
        <v>47</v>
      </c>
    </row>
    <row r="1085" spans="19:22">
      <c r="S1085" s="16">
        <v>2873</v>
      </c>
      <c r="T1085" s="16" t="s">
        <v>1613</v>
      </c>
      <c r="U1085" s="17">
        <f>COUNTIFS(WTG_BD!L:L,'Basic Data'!T1085,WTG_BD!F:F,"&gt;="&amp;O2Summary!$B$6,WTG_BD!F:F,"&lt;="&amp;O2Summary!$B$4)</f>
        <v>0</v>
      </c>
      <c r="V1085" s="18">
        <f t="shared" si="23"/>
        <v>47</v>
      </c>
    </row>
    <row r="1086" spans="19:22">
      <c r="S1086" s="16">
        <v>2874</v>
      </c>
      <c r="T1086" s="16" t="s">
        <v>1614</v>
      </c>
      <c r="U1086" s="17">
        <f>COUNTIFS(WTG_BD!L:L,'Basic Data'!T1086,WTG_BD!F:F,"&gt;="&amp;O2Summary!$B$6,WTG_BD!F:F,"&lt;="&amp;O2Summary!$B$4)</f>
        <v>0</v>
      </c>
      <c r="V1086" s="18">
        <f t="shared" si="23"/>
        <v>47</v>
      </c>
    </row>
    <row r="1087" spans="19:22">
      <c r="S1087" s="16">
        <v>2875</v>
      </c>
      <c r="T1087" s="16" t="s">
        <v>1615</v>
      </c>
      <c r="U1087" s="17">
        <f>COUNTIFS(WTG_BD!L:L,'Basic Data'!T1087,WTG_BD!F:F,"&gt;="&amp;O2Summary!$B$6,WTG_BD!F:F,"&lt;="&amp;O2Summary!$B$4)</f>
        <v>0</v>
      </c>
      <c r="V1087" s="18">
        <f t="shared" si="23"/>
        <v>47</v>
      </c>
    </row>
    <row r="1088" spans="19:22">
      <c r="S1088" s="16">
        <v>2876</v>
      </c>
      <c r="T1088" s="16" t="s">
        <v>1616</v>
      </c>
      <c r="U1088" s="17">
        <f>COUNTIFS(WTG_BD!L:L,'Basic Data'!T1088,WTG_BD!F:F,"&gt;="&amp;O2Summary!$B$6,WTG_BD!F:F,"&lt;="&amp;O2Summary!$B$4)</f>
        <v>0</v>
      </c>
      <c r="V1088" s="18">
        <f t="shared" si="23"/>
        <v>47</v>
      </c>
    </row>
    <row r="1089" spans="19:22">
      <c r="S1089" s="16">
        <v>2877</v>
      </c>
      <c r="T1089" s="16" t="s">
        <v>1617</v>
      </c>
      <c r="U1089" s="17">
        <f>COUNTIFS(WTG_BD!L:L,'Basic Data'!T1089,WTG_BD!F:F,"&gt;="&amp;O2Summary!$B$6,WTG_BD!F:F,"&lt;="&amp;O2Summary!$B$4)</f>
        <v>0</v>
      </c>
      <c r="V1089" s="18">
        <f t="shared" si="23"/>
        <v>47</v>
      </c>
    </row>
    <row r="1090" spans="19:22">
      <c r="S1090" s="16">
        <v>2878</v>
      </c>
      <c r="T1090" s="16" t="s">
        <v>1618</v>
      </c>
      <c r="U1090" s="17">
        <f>COUNTIFS(WTG_BD!L:L,'Basic Data'!T1090,WTG_BD!F:F,"&gt;="&amp;O2Summary!$B$6,WTG_BD!F:F,"&lt;="&amp;O2Summary!$B$4)</f>
        <v>0</v>
      </c>
      <c r="V1090" s="18">
        <f t="shared" si="23"/>
        <v>47</v>
      </c>
    </row>
    <row r="1091" spans="19:22">
      <c r="S1091" s="16">
        <v>2879</v>
      </c>
      <c r="T1091" s="16" t="s">
        <v>1619</v>
      </c>
      <c r="U1091" s="17">
        <f>COUNTIFS(WTG_BD!L:L,'Basic Data'!T1091,WTG_BD!F:F,"&gt;="&amp;O2Summary!$B$6,WTG_BD!F:F,"&lt;="&amp;O2Summary!$B$4)</f>
        <v>0</v>
      </c>
      <c r="V1091" s="18">
        <f t="shared" ref="V1091:V1154" si="24">RANK(U1091,$U$2:$U$3975)</f>
        <v>47</v>
      </c>
    </row>
    <row r="1092" spans="19:22">
      <c r="S1092" s="26">
        <v>2887</v>
      </c>
      <c r="T1092" s="26" t="s">
        <v>1620</v>
      </c>
      <c r="U1092" s="17">
        <f>COUNTIFS(WTG_BD!L:L,'Basic Data'!T1092,WTG_BD!F:F,"&gt;="&amp;O2Summary!$B$6,WTG_BD!F:F,"&lt;="&amp;O2Summary!$B$4)</f>
        <v>0</v>
      </c>
      <c r="V1092" s="18">
        <f t="shared" si="24"/>
        <v>47</v>
      </c>
    </row>
    <row r="1093" spans="19:22">
      <c r="S1093" s="26">
        <v>2888</v>
      </c>
      <c r="T1093" s="26" t="s">
        <v>1621</v>
      </c>
      <c r="U1093" s="17">
        <f>COUNTIFS(WTG_BD!L:L,'Basic Data'!T1093,WTG_BD!F:F,"&gt;="&amp;O2Summary!$B$6,WTG_BD!F:F,"&lt;="&amp;O2Summary!$B$4)</f>
        <v>0</v>
      </c>
      <c r="V1093" s="18">
        <f t="shared" si="24"/>
        <v>47</v>
      </c>
    </row>
    <row r="1094" spans="19:22">
      <c r="S1094" s="26">
        <v>2889</v>
      </c>
      <c r="T1094" s="26" t="s">
        <v>1622</v>
      </c>
      <c r="U1094" s="17">
        <f>COUNTIFS(WTG_BD!L:L,'Basic Data'!T1094,WTG_BD!F:F,"&gt;="&amp;O2Summary!$B$6,WTG_BD!F:F,"&lt;="&amp;O2Summary!$B$4)</f>
        <v>0</v>
      </c>
      <c r="V1094" s="18">
        <f t="shared" si="24"/>
        <v>47</v>
      </c>
    </row>
    <row r="1095" spans="19:22">
      <c r="S1095" s="16">
        <v>2890</v>
      </c>
      <c r="T1095" s="16" t="s">
        <v>1623</v>
      </c>
      <c r="U1095" s="17">
        <f>COUNTIFS(WTG_BD!L:L,'Basic Data'!T1095,WTG_BD!F:F,"&gt;="&amp;O2Summary!$B$6,WTG_BD!F:F,"&lt;="&amp;O2Summary!$B$4)</f>
        <v>0</v>
      </c>
      <c r="V1095" s="18">
        <f t="shared" si="24"/>
        <v>47</v>
      </c>
    </row>
    <row r="1096" spans="19:22">
      <c r="S1096" s="16">
        <v>2891</v>
      </c>
      <c r="T1096" s="16" t="s">
        <v>1624</v>
      </c>
      <c r="U1096" s="17">
        <f>COUNTIFS(WTG_BD!L:L,'Basic Data'!T1096,WTG_BD!F:F,"&gt;="&amp;O2Summary!$B$6,WTG_BD!F:F,"&lt;="&amp;O2Summary!$B$4)</f>
        <v>0</v>
      </c>
      <c r="V1096" s="18">
        <f t="shared" si="24"/>
        <v>47</v>
      </c>
    </row>
    <row r="1097" spans="19:22">
      <c r="S1097" s="26">
        <v>2892</v>
      </c>
      <c r="T1097" s="26" t="s">
        <v>1625</v>
      </c>
      <c r="U1097" s="17">
        <f>COUNTIFS(WTG_BD!L:L,'Basic Data'!T1097,WTG_BD!F:F,"&gt;="&amp;O2Summary!$B$6,WTG_BD!F:F,"&lt;="&amp;O2Summary!$B$4)</f>
        <v>0</v>
      </c>
      <c r="V1097" s="18">
        <f t="shared" si="24"/>
        <v>47</v>
      </c>
    </row>
    <row r="1098" spans="19:22">
      <c r="S1098" s="26">
        <v>2893</v>
      </c>
      <c r="T1098" s="26" t="s">
        <v>1626</v>
      </c>
      <c r="U1098" s="17">
        <f>COUNTIFS(WTG_BD!L:L,'Basic Data'!T1098,WTG_BD!F:F,"&gt;="&amp;O2Summary!$B$6,WTG_BD!F:F,"&lt;="&amp;O2Summary!$B$4)</f>
        <v>0</v>
      </c>
      <c r="V1098" s="18">
        <f t="shared" si="24"/>
        <v>47</v>
      </c>
    </row>
    <row r="1099" spans="19:22">
      <c r="S1099" s="26">
        <v>2894</v>
      </c>
      <c r="T1099" s="26" t="s">
        <v>1627</v>
      </c>
      <c r="U1099" s="17">
        <f>COUNTIFS(WTG_BD!L:L,'Basic Data'!T1099,WTG_BD!F:F,"&gt;="&amp;O2Summary!$B$6,WTG_BD!F:F,"&lt;="&amp;O2Summary!$B$4)</f>
        <v>0</v>
      </c>
      <c r="V1099" s="18">
        <f t="shared" si="24"/>
        <v>47</v>
      </c>
    </row>
    <row r="1100" spans="19:22">
      <c r="S1100" s="16">
        <v>2896</v>
      </c>
      <c r="T1100" s="16" t="s">
        <v>1628</v>
      </c>
      <c r="U1100" s="17">
        <f>COUNTIFS(WTG_BD!L:L,'Basic Data'!T1100,WTG_BD!F:F,"&gt;="&amp;O2Summary!$B$6,WTG_BD!F:F,"&lt;="&amp;O2Summary!$B$4)</f>
        <v>0</v>
      </c>
      <c r="V1100" s="18">
        <f t="shared" si="24"/>
        <v>47</v>
      </c>
    </row>
    <row r="1101" spans="19:22">
      <c r="S1101" s="16">
        <v>2897</v>
      </c>
      <c r="T1101" s="16" t="s">
        <v>1629</v>
      </c>
      <c r="U1101" s="17">
        <f>COUNTIFS(WTG_BD!L:L,'Basic Data'!T1101,WTG_BD!F:F,"&gt;="&amp;O2Summary!$B$6,WTG_BD!F:F,"&lt;="&amp;O2Summary!$B$4)</f>
        <v>0</v>
      </c>
      <c r="V1101" s="18">
        <f t="shared" si="24"/>
        <v>47</v>
      </c>
    </row>
    <row r="1102" spans="19:22">
      <c r="S1102" s="16">
        <v>2898</v>
      </c>
      <c r="T1102" s="16" t="s">
        <v>1630</v>
      </c>
      <c r="U1102" s="17">
        <f>COUNTIFS(WTG_BD!L:L,'Basic Data'!T1102,WTG_BD!F:F,"&gt;="&amp;O2Summary!$B$6,WTG_BD!F:F,"&lt;="&amp;O2Summary!$B$4)</f>
        <v>0</v>
      </c>
      <c r="V1102" s="18">
        <f t="shared" si="24"/>
        <v>47</v>
      </c>
    </row>
    <row r="1103" spans="19:22">
      <c r="S1103" s="16">
        <v>2899</v>
      </c>
      <c r="T1103" s="16" t="s">
        <v>1631</v>
      </c>
      <c r="U1103" s="17">
        <f>COUNTIFS(WTG_BD!L:L,'Basic Data'!T1103,WTG_BD!F:F,"&gt;="&amp;O2Summary!$B$6,WTG_BD!F:F,"&lt;="&amp;O2Summary!$B$4)</f>
        <v>0</v>
      </c>
      <c r="V1103" s="18">
        <f t="shared" si="24"/>
        <v>47</v>
      </c>
    </row>
    <row r="1104" spans="19:22">
      <c r="S1104" s="16">
        <v>2900</v>
      </c>
      <c r="T1104" s="16" t="s">
        <v>1632</v>
      </c>
      <c r="U1104" s="17">
        <f>COUNTIFS(WTG_BD!L:L,'Basic Data'!T1104,WTG_BD!F:F,"&gt;="&amp;O2Summary!$B$6,WTG_BD!F:F,"&lt;="&amp;O2Summary!$B$4)</f>
        <v>0</v>
      </c>
      <c r="V1104" s="18">
        <f t="shared" si="24"/>
        <v>47</v>
      </c>
    </row>
    <row r="1105" spans="19:22">
      <c r="S1105" s="16">
        <v>2901</v>
      </c>
      <c r="T1105" s="16" t="s">
        <v>1633</v>
      </c>
      <c r="U1105" s="17">
        <f>COUNTIFS(WTG_BD!L:L,'Basic Data'!T1105,WTG_BD!F:F,"&gt;="&amp;O2Summary!$B$6,WTG_BD!F:F,"&lt;="&amp;O2Summary!$B$4)</f>
        <v>0</v>
      </c>
      <c r="V1105" s="18">
        <f t="shared" si="24"/>
        <v>47</v>
      </c>
    </row>
    <row r="1106" spans="19:22">
      <c r="S1106" s="16">
        <v>2902</v>
      </c>
      <c r="T1106" s="16" t="s">
        <v>1634</v>
      </c>
      <c r="U1106" s="17">
        <f>COUNTIFS(WTG_BD!L:L,'Basic Data'!T1106,WTG_BD!F:F,"&gt;="&amp;O2Summary!$B$6,WTG_BD!F:F,"&lt;="&amp;O2Summary!$B$4)</f>
        <v>0</v>
      </c>
      <c r="V1106" s="18">
        <f t="shared" si="24"/>
        <v>47</v>
      </c>
    </row>
    <row r="1107" spans="19:22">
      <c r="S1107" s="16">
        <v>2903</v>
      </c>
      <c r="T1107" s="16" t="s">
        <v>1635</v>
      </c>
      <c r="U1107" s="17">
        <f>COUNTIFS(WTG_BD!L:L,'Basic Data'!T1107,WTG_BD!F:F,"&gt;="&amp;O2Summary!$B$6,WTG_BD!F:F,"&lt;="&amp;O2Summary!$B$4)</f>
        <v>0</v>
      </c>
      <c r="V1107" s="18">
        <f t="shared" si="24"/>
        <v>47</v>
      </c>
    </row>
    <row r="1108" spans="19:22">
      <c r="S1108" s="16">
        <v>2904</v>
      </c>
      <c r="T1108" s="16" t="s">
        <v>1636</v>
      </c>
      <c r="U1108" s="17">
        <f>COUNTIFS(WTG_BD!L:L,'Basic Data'!T1108,WTG_BD!F:F,"&gt;="&amp;O2Summary!$B$6,WTG_BD!F:F,"&lt;="&amp;O2Summary!$B$4)</f>
        <v>0</v>
      </c>
      <c r="V1108" s="18">
        <f t="shared" si="24"/>
        <v>47</v>
      </c>
    </row>
    <row r="1109" spans="19:22">
      <c r="S1109" s="26">
        <v>2905</v>
      </c>
      <c r="T1109" s="26" t="s">
        <v>1637</v>
      </c>
      <c r="U1109" s="17">
        <f>COUNTIFS(WTG_BD!L:L,'Basic Data'!T1109,WTG_BD!F:F,"&gt;="&amp;O2Summary!$B$6,WTG_BD!F:F,"&lt;="&amp;O2Summary!$B$4)</f>
        <v>0</v>
      </c>
      <c r="V1109" s="18">
        <f t="shared" si="24"/>
        <v>47</v>
      </c>
    </row>
    <row r="1110" spans="19:22">
      <c r="S1110" s="26">
        <v>2906</v>
      </c>
      <c r="T1110" s="26" t="s">
        <v>1638</v>
      </c>
      <c r="U1110" s="17">
        <f>COUNTIFS(WTG_BD!L:L,'Basic Data'!T1110,WTG_BD!F:F,"&gt;="&amp;O2Summary!$B$6,WTG_BD!F:F,"&lt;="&amp;O2Summary!$B$4)</f>
        <v>0</v>
      </c>
      <c r="V1110" s="18">
        <f t="shared" si="24"/>
        <v>47</v>
      </c>
    </row>
    <row r="1111" spans="19:22">
      <c r="S1111" s="26">
        <v>2907</v>
      </c>
      <c r="T1111" s="26" t="s">
        <v>1639</v>
      </c>
      <c r="U1111" s="17">
        <f>COUNTIFS(WTG_BD!L:L,'Basic Data'!T1111,WTG_BD!F:F,"&gt;="&amp;O2Summary!$B$6,WTG_BD!F:F,"&lt;="&amp;O2Summary!$B$4)</f>
        <v>0</v>
      </c>
      <c r="V1111" s="18">
        <f t="shared" si="24"/>
        <v>47</v>
      </c>
    </row>
    <row r="1112" spans="19:22">
      <c r="S1112" s="16">
        <v>2908</v>
      </c>
      <c r="T1112" s="16" t="s">
        <v>1640</v>
      </c>
      <c r="U1112" s="17">
        <f>COUNTIFS(WTG_BD!L:L,'Basic Data'!T1112,WTG_BD!F:F,"&gt;="&amp;O2Summary!$B$6,WTG_BD!F:F,"&lt;="&amp;O2Summary!$B$4)</f>
        <v>0</v>
      </c>
      <c r="V1112" s="18">
        <f t="shared" si="24"/>
        <v>47</v>
      </c>
    </row>
    <row r="1113" spans="19:22">
      <c r="S1113" s="16">
        <v>2909</v>
      </c>
      <c r="T1113" s="16" t="s">
        <v>1641</v>
      </c>
      <c r="U1113" s="17">
        <f>COUNTIFS(WTG_BD!L:L,'Basic Data'!T1113,WTG_BD!F:F,"&gt;="&amp;O2Summary!$B$6,WTG_BD!F:F,"&lt;="&amp;O2Summary!$B$4)</f>
        <v>0</v>
      </c>
      <c r="V1113" s="18">
        <f t="shared" si="24"/>
        <v>47</v>
      </c>
    </row>
    <row r="1114" spans="19:22">
      <c r="S1114" s="16">
        <v>2910</v>
      </c>
      <c r="T1114" s="16" t="s">
        <v>1642</v>
      </c>
      <c r="U1114" s="17">
        <f>COUNTIFS(WTG_BD!L:L,'Basic Data'!T1114,WTG_BD!F:F,"&gt;="&amp;O2Summary!$B$6,WTG_BD!F:F,"&lt;="&amp;O2Summary!$B$4)</f>
        <v>0</v>
      </c>
      <c r="V1114" s="18">
        <f t="shared" si="24"/>
        <v>47</v>
      </c>
    </row>
    <row r="1115" spans="19:22">
      <c r="S1115" s="16">
        <v>2911</v>
      </c>
      <c r="T1115" s="16" t="s">
        <v>1643</v>
      </c>
      <c r="U1115" s="17">
        <f>COUNTIFS(WTG_BD!L:L,'Basic Data'!T1115,WTG_BD!F:F,"&gt;="&amp;O2Summary!$B$6,WTG_BD!F:F,"&lt;="&amp;O2Summary!$B$4)</f>
        <v>0</v>
      </c>
      <c r="V1115" s="18">
        <f t="shared" si="24"/>
        <v>47</v>
      </c>
    </row>
    <row r="1116" spans="19:22">
      <c r="S1116" s="16">
        <v>2912</v>
      </c>
      <c r="T1116" s="16" t="s">
        <v>1644</v>
      </c>
      <c r="U1116" s="17">
        <f>COUNTIFS(WTG_BD!L:L,'Basic Data'!T1116,WTG_BD!F:F,"&gt;="&amp;O2Summary!$B$6,WTG_BD!F:F,"&lt;="&amp;O2Summary!$B$4)</f>
        <v>0</v>
      </c>
      <c r="V1116" s="18">
        <f t="shared" si="24"/>
        <v>47</v>
      </c>
    </row>
    <row r="1117" spans="19:22">
      <c r="S1117" s="16">
        <v>2913</v>
      </c>
      <c r="T1117" s="16" t="s">
        <v>1645</v>
      </c>
      <c r="U1117" s="17">
        <f>COUNTIFS(WTG_BD!L:L,'Basic Data'!T1117,WTG_BD!F:F,"&gt;="&amp;O2Summary!$B$6,WTG_BD!F:F,"&lt;="&amp;O2Summary!$B$4)</f>
        <v>0</v>
      </c>
      <c r="V1117" s="18">
        <f t="shared" si="24"/>
        <v>47</v>
      </c>
    </row>
    <row r="1118" spans="19:22">
      <c r="S1118" s="16">
        <v>2914</v>
      </c>
      <c r="T1118" s="16" t="s">
        <v>1646</v>
      </c>
      <c r="U1118" s="17">
        <f>COUNTIFS(WTG_BD!L:L,'Basic Data'!T1118,WTG_BD!F:F,"&gt;="&amp;O2Summary!$B$6,WTG_BD!F:F,"&lt;="&amp;O2Summary!$B$4)</f>
        <v>0</v>
      </c>
      <c r="V1118" s="18">
        <f t="shared" si="24"/>
        <v>47</v>
      </c>
    </row>
    <row r="1119" spans="19:22">
      <c r="S1119" s="16">
        <v>2915</v>
      </c>
      <c r="T1119" s="16" t="s">
        <v>1647</v>
      </c>
      <c r="U1119" s="17">
        <f>COUNTIFS(WTG_BD!L:L,'Basic Data'!T1119,WTG_BD!F:F,"&gt;="&amp;O2Summary!$B$6,WTG_BD!F:F,"&lt;="&amp;O2Summary!$B$4)</f>
        <v>0</v>
      </c>
      <c r="V1119" s="18">
        <f t="shared" si="24"/>
        <v>47</v>
      </c>
    </row>
    <row r="1120" spans="19:22">
      <c r="S1120" s="16">
        <v>2916</v>
      </c>
      <c r="T1120" s="16" t="s">
        <v>1648</v>
      </c>
      <c r="U1120" s="17">
        <f>COUNTIFS(WTG_BD!L:L,'Basic Data'!T1120,WTG_BD!F:F,"&gt;="&amp;O2Summary!$B$6,WTG_BD!F:F,"&lt;="&amp;O2Summary!$B$4)</f>
        <v>0</v>
      </c>
      <c r="V1120" s="18">
        <f t="shared" si="24"/>
        <v>47</v>
      </c>
    </row>
    <row r="1121" spans="19:22">
      <c r="S1121" s="16">
        <v>2917</v>
      </c>
      <c r="T1121" s="16" t="s">
        <v>1649</v>
      </c>
      <c r="U1121" s="17">
        <f>COUNTIFS(WTG_BD!L:L,'Basic Data'!T1121,WTG_BD!F:F,"&gt;="&amp;O2Summary!$B$6,WTG_BD!F:F,"&lt;="&amp;O2Summary!$B$4)</f>
        <v>0</v>
      </c>
      <c r="V1121" s="18">
        <f t="shared" si="24"/>
        <v>47</v>
      </c>
    </row>
    <row r="1122" spans="19:22">
      <c r="S1122" s="16">
        <v>2918</v>
      </c>
      <c r="T1122" s="16" t="s">
        <v>1650</v>
      </c>
      <c r="U1122" s="17">
        <f>COUNTIFS(WTG_BD!L:L,'Basic Data'!T1122,WTG_BD!F:F,"&gt;="&amp;O2Summary!$B$6,WTG_BD!F:F,"&lt;="&amp;O2Summary!$B$4)</f>
        <v>0</v>
      </c>
      <c r="V1122" s="18">
        <f t="shared" si="24"/>
        <v>47</v>
      </c>
    </row>
    <row r="1123" spans="19:22">
      <c r="S1123" s="16">
        <v>2919</v>
      </c>
      <c r="T1123" s="16" t="s">
        <v>1651</v>
      </c>
      <c r="U1123" s="17">
        <f>COUNTIFS(WTG_BD!L:L,'Basic Data'!T1123,WTG_BD!F:F,"&gt;="&amp;O2Summary!$B$6,WTG_BD!F:F,"&lt;="&amp;O2Summary!$B$4)</f>
        <v>0</v>
      </c>
      <c r="V1123" s="18">
        <f t="shared" si="24"/>
        <v>47</v>
      </c>
    </row>
    <row r="1124" spans="19:22">
      <c r="S1124" s="16">
        <v>2920</v>
      </c>
      <c r="T1124" s="16" t="s">
        <v>1652</v>
      </c>
      <c r="U1124" s="17">
        <f>COUNTIFS(WTG_BD!L:L,'Basic Data'!T1124,WTG_BD!F:F,"&gt;="&amp;O2Summary!$B$6,WTG_BD!F:F,"&lt;="&amp;O2Summary!$B$4)</f>
        <v>0</v>
      </c>
      <c r="V1124" s="18">
        <f t="shared" si="24"/>
        <v>47</v>
      </c>
    </row>
    <row r="1125" spans="19:22">
      <c r="S1125" s="16">
        <v>2921</v>
      </c>
      <c r="T1125" s="16" t="s">
        <v>1653</v>
      </c>
      <c r="U1125" s="17">
        <f>COUNTIFS(WTG_BD!L:L,'Basic Data'!T1125,WTG_BD!F:F,"&gt;="&amp;O2Summary!$B$6,WTG_BD!F:F,"&lt;="&amp;O2Summary!$B$4)</f>
        <v>0</v>
      </c>
      <c r="V1125" s="18">
        <f t="shared" si="24"/>
        <v>47</v>
      </c>
    </row>
    <row r="1126" spans="19:22">
      <c r="S1126" s="16">
        <v>2922</v>
      </c>
      <c r="T1126" s="16" t="s">
        <v>1654</v>
      </c>
      <c r="U1126" s="17">
        <f>COUNTIFS(WTG_BD!L:L,'Basic Data'!T1126,WTG_BD!F:F,"&gt;="&amp;O2Summary!$B$6,WTG_BD!F:F,"&lt;="&amp;O2Summary!$B$4)</f>
        <v>0</v>
      </c>
      <c r="V1126" s="18">
        <f t="shared" si="24"/>
        <v>47</v>
      </c>
    </row>
    <row r="1127" spans="19:22">
      <c r="S1127" s="16">
        <v>2923</v>
      </c>
      <c r="T1127" s="16" t="s">
        <v>1655</v>
      </c>
      <c r="U1127" s="17">
        <f>COUNTIFS(WTG_BD!L:L,'Basic Data'!T1127,WTG_BD!F:F,"&gt;="&amp;O2Summary!$B$6,WTG_BD!F:F,"&lt;="&amp;O2Summary!$B$4)</f>
        <v>0</v>
      </c>
      <c r="V1127" s="18">
        <f t="shared" si="24"/>
        <v>47</v>
      </c>
    </row>
    <row r="1128" spans="19:22">
      <c r="S1128" s="16">
        <v>2924</v>
      </c>
      <c r="T1128" s="16" t="s">
        <v>1656</v>
      </c>
      <c r="U1128" s="17">
        <f>COUNTIFS(WTG_BD!L:L,'Basic Data'!T1128,WTG_BD!F:F,"&gt;="&amp;O2Summary!$B$6,WTG_BD!F:F,"&lt;="&amp;O2Summary!$B$4)</f>
        <v>0</v>
      </c>
      <c r="V1128" s="18">
        <f t="shared" si="24"/>
        <v>47</v>
      </c>
    </row>
    <row r="1129" spans="19:22">
      <c r="S1129" s="16">
        <v>2925</v>
      </c>
      <c r="T1129" s="16" t="s">
        <v>1657</v>
      </c>
      <c r="U1129" s="17">
        <f>COUNTIFS(WTG_BD!L:L,'Basic Data'!T1129,WTG_BD!F:F,"&gt;="&amp;O2Summary!$B$6,WTG_BD!F:F,"&lt;="&amp;O2Summary!$B$4)</f>
        <v>0</v>
      </c>
      <c r="V1129" s="18">
        <f t="shared" si="24"/>
        <v>47</v>
      </c>
    </row>
    <row r="1130" spans="19:22">
      <c r="S1130" s="16">
        <v>2926</v>
      </c>
      <c r="T1130" s="16" t="s">
        <v>1658</v>
      </c>
      <c r="U1130" s="17">
        <f>COUNTIFS(WTG_BD!L:L,'Basic Data'!T1130,WTG_BD!F:F,"&gt;="&amp;O2Summary!$B$6,WTG_BD!F:F,"&lt;="&amp;O2Summary!$B$4)</f>
        <v>0</v>
      </c>
      <c r="V1130" s="18">
        <f t="shared" si="24"/>
        <v>47</v>
      </c>
    </row>
    <row r="1131" spans="19:22">
      <c r="S1131" s="16">
        <v>2927</v>
      </c>
      <c r="T1131" s="16" t="s">
        <v>1659</v>
      </c>
      <c r="U1131" s="17">
        <f>COUNTIFS(WTG_BD!L:L,'Basic Data'!T1131,WTG_BD!F:F,"&gt;="&amp;O2Summary!$B$6,WTG_BD!F:F,"&lt;="&amp;O2Summary!$B$4)</f>
        <v>0</v>
      </c>
      <c r="V1131" s="18">
        <f t="shared" si="24"/>
        <v>47</v>
      </c>
    </row>
    <row r="1132" spans="19:22">
      <c r="S1132" s="16">
        <v>2928</v>
      </c>
      <c r="T1132" s="16" t="s">
        <v>1660</v>
      </c>
      <c r="U1132" s="17">
        <f>COUNTIFS(WTG_BD!L:L,'Basic Data'!T1132,WTG_BD!F:F,"&gt;="&amp;O2Summary!$B$6,WTG_BD!F:F,"&lt;="&amp;O2Summary!$B$4)</f>
        <v>0</v>
      </c>
      <c r="V1132" s="18">
        <f t="shared" si="24"/>
        <v>47</v>
      </c>
    </row>
    <row r="1133" spans="19:22">
      <c r="S1133" s="16">
        <v>2929</v>
      </c>
      <c r="T1133" s="16" t="s">
        <v>1661</v>
      </c>
      <c r="U1133" s="17">
        <f>COUNTIFS(WTG_BD!L:L,'Basic Data'!T1133,WTG_BD!F:F,"&gt;="&amp;O2Summary!$B$6,WTG_BD!F:F,"&lt;="&amp;O2Summary!$B$4)</f>
        <v>0</v>
      </c>
      <c r="V1133" s="18">
        <f t="shared" si="24"/>
        <v>47</v>
      </c>
    </row>
    <row r="1134" spans="19:22">
      <c r="S1134" s="16">
        <v>2930</v>
      </c>
      <c r="T1134" s="16" t="s">
        <v>1662</v>
      </c>
      <c r="U1134" s="17">
        <f>COUNTIFS(WTG_BD!L:L,'Basic Data'!T1134,WTG_BD!F:F,"&gt;="&amp;O2Summary!$B$6,WTG_BD!F:F,"&lt;="&amp;O2Summary!$B$4)</f>
        <v>0</v>
      </c>
      <c r="V1134" s="18">
        <f t="shared" si="24"/>
        <v>47</v>
      </c>
    </row>
    <row r="1135" spans="19:22">
      <c r="S1135" s="16">
        <v>2931</v>
      </c>
      <c r="T1135" s="16" t="s">
        <v>1663</v>
      </c>
      <c r="U1135" s="17">
        <f>COUNTIFS(WTG_BD!L:L,'Basic Data'!T1135,WTG_BD!F:F,"&gt;="&amp;O2Summary!$B$6,WTG_BD!F:F,"&lt;="&amp;O2Summary!$B$4)</f>
        <v>0</v>
      </c>
      <c r="V1135" s="18">
        <f t="shared" si="24"/>
        <v>47</v>
      </c>
    </row>
    <row r="1136" spans="19:22">
      <c r="S1136" s="16">
        <v>2932</v>
      </c>
      <c r="T1136" s="16" t="s">
        <v>1664</v>
      </c>
      <c r="U1136" s="17">
        <f>COUNTIFS(WTG_BD!L:L,'Basic Data'!T1136,WTG_BD!F:F,"&gt;="&amp;O2Summary!$B$6,WTG_BD!F:F,"&lt;="&amp;O2Summary!$B$4)</f>
        <v>0</v>
      </c>
      <c r="V1136" s="18">
        <f t="shared" si="24"/>
        <v>47</v>
      </c>
    </row>
    <row r="1137" spans="19:22">
      <c r="S1137" s="16">
        <v>2933</v>
      </c>
      <c r="T1137" s="16" t="s">
        <v>1665</v>
      </c>
      <c r="U1137" s="17">
        <f>COUNTIFS(WTG_BD!L:L,'Basic Data'!T1137,WTG_BD!F:F,"&gt;="&amp;O2Summary!$B$6,WTG_BD!F:F,"&lt;="&amp;O2Summary!$B$4)</f>
        <v>0</v>
      </c>
      <c r="V1137" s="18">
        <f t="shared" si="24"/>
        <v>47</v>
      </c>
    </row>
    <row r="1138" spans="19:22">
      <c r="S1138" s="16">
        <v>2934</v>
      </c>
      <c r="T1138" s="16" t="s">
        <v>1666</v>
      </c>
      <c r="U1138" s="17">
        <f>COUNTIFS(WTG_BD!L:L,'Basic Data'!T1138,WTG_BD!F:F,"&gt;="&amp;O2Summary!$B$6,WTG_BD!F:F,"&lt;="&amp;O2Summary!$B$4)</f>
        <v>0</v>
      </c>
      <c r="V1138" s="18">
        <f t="shared" si="24"/>
        <v>47</v>
      </c>
    </row>
    <row r="1139" spans="19:22">
      <c r="S1139" s="16">
        <v>2936</v>
      </c>
      <c r="T1139" s="16" t="s">
        <v>1667</v>
      </c>
      <c r="U1139" s="17">
        <f>COUNTIFS(WTG_BD!L:L,'Basic Data'!T1139,WTG_BD!F:F,"&gt;="&amp;O2Summary!$B$6,WTG_BD!F:F,"&lt;="&amp;O2Summary!$B$4)</f>
        <v>0</v>
      </c>
      <c r="V1139" s="18">
        <f t="shared" si="24"/>
        <v>47</v>
      </c>
    </row>
    <row r="1140" spans="19:22">
      <c r="S1140" s="16">
        <v>2939</v>
      </c>
      <c r="T1140" s="16" t="s">
        <v>1668</v>
      </c>
      <c r="U1140" s="17">
        <f>COUNTIFS(WTG_BD!L:L,'Basic Data'!T1140,WTG_BD!F:F,"&gt;="&amp;O2Summary!$B$6,WTG_BD!F:F,"&lt;="&amp;O2Summary!$B$4)</f>
        <v>0</v>
      </c>
      <c r="V1140" s="18">
        <f t="shared" si="24"/>
        <v>47</v>
      </c>
    </row>
    <row r="1141" spans="19:22">
      <c r="S1141" s="16">
        <v>2942</v>
      </c>
      <c r="T1141" s="16" t="s">
        <v>1669</v>
      </c>
      <c r="U1141" s="17">
        <f>COUNTIFS(WTG_BD!L:L,'Basic Data'!T1141,WTG_BD!F:F,"&gt;="&amp;O2Summary!$B$6,WTG_BD!F:F,"&lt;="&amp;O2Summary!$B$4)</f>
        <v>0</v>
      </c>
      <c r="V1141" s="18">
        <f t="shared" si="24"/>
        <v>47</v>
      </c>
    </row>
    <row r="1142" spans="19:22">
      <c r="S1142" s="16">
        <v>2943</v>
      </c>
      <c r="T1142" s="16" t="s">
        <v>1670</v>
      </c>
      <c r="U1142" s="17">
        <f>COUNTIFS(WTG_BD!L:L,'Basic Data'!T1142,WTG_BD!F:F,"&gt;="&amp;O2Summary!$B$6,WTG_BD!F:F,"&lt;="&amp;O2Summary!$B$4)</f>
        <v>0</v>
      </c>
      <c r="V1142" s="18">
        <f t="shared" si="24"/>
        <v>47</v>
      </c>
    </row>
    <row r="1143" spans="19:22">
      <c r="S1143" s="16">
        <v>2944</v>
      </c>
      <c r="T1143" s="16" t="s">
        <v>1653</v>
      </c>
      <c r="U1143" s="17">
        <f>COUNTIFS(WTG_BD!L:L,'Basic Data'!T1143,WTG_BD!F:F,"&gt;="&amp;O2Summary!$B$6,WTG_BD!F:F,"&lt;="&amp;O2Summary!$B$4)</f>
        <v>0</v>
      </c>
      <c r="V1143" s="18">
        <f t="shared" si="24"/>
        <v>47</v>
      </c>
    </row>
    <row r="1144" spans="19:22">
      <c r="S1144" s="16">
        <v>2945</v>
      </c>
      <c r="T1144" s="16" t="s">
        <v>1671</v>
      </c>
      <c r="U1144" s="17">
        <f>COUNTIFS(WTG_BD!L:L,'Basic Data'!T1144,WTG_BD!F:F,"&gt;="&amp;O2Summary!$B$6,WTG_BD!F:F,"&lt;="&amp;O2Summary!$B$4)</f>
        <v>0</v>
      </c>
      <c r="V1144" s="18">
        <f t="shared" si="24"/>
        <v>47</v>
      </c>
    </row>
    <row r="1145" spans="19:22">
      <c r="S1145" s="16">
        <v>2946</v>
      </c>
      <c r="T1145" s="16" t="s">
        <v>1672</v>
      </c>
      <c r="U1145" s="17">
        <f>COUNTIFS(WTG_BD!L:L,'Basic Data'!T1145,WTG_BD!F:F,"&gt;="&amp;O2Summary!$B$6,WTG_BD!F:F,"&lt;="&amp;O2Summary!$B$4)</f>
        <v>0</v>
      </c>
      <c r="V1145" s="18">
        <f t="shared" si="24"/>
        <v>47</v>
      </c>
    </row>
    <row r="1146" spans="19:22">
      <c r="S1146" s="16">
        <v>2948</v>
      </c>
      <c r="T1146" s="16" t="s">
        <v>1673</v>
      </c>
      <c r="U1146" s="17">
        <f>COUNTIFS(WTG_BD!L:L,'Basic Data'!T1146,WTG_BD!F:F,"&gt;="&amp;O2Summary!$B$6,WTG_BD!F:F,"&lt;="&amp;O2Summary!$B$4)</f>
        <v>0</v>
      </c>
      <c r="V1146" s="18">
        <f t="shared" si="24"/>
        <v>47</v>
      </c>
    </row>
    <row r="1147" spans="19:22">
      <c r="S1147" s="16">
        <v>2949</v>
      </c>
      <c r="T1147" s="16" t="s">
        <v>1674</v>
      </c>
      <c r="U1147" s="17">
        <f>COUNTIFS(WTG_BD!L:L,'Basic Data'!T1147,WTG_BD!F:F,"&gt;="&amp;O2Summary!$B$6,WTG_BD!F:F,"&lt;="&amp;O2Summary!$B$4)</f>
        <v>0</v>
      </c>
      <c r="V1147" s="18">
        <f t="shared" si="24"/>
        <v>47</v>
      </c>
    </row>
    <row r="1148" spans="19:22">
      <c r="S1148" s="16">
        <v>2950</v>
      </c>
      <c r="T1148" s="16" t="s">
        <v>1675</v>
      </c>
      <c r="U1148" s="17">
        <f>COUNTIFS(WTG_BD!L:L,'Basic Data'!T1148,WTG_BD!F:F,"&gt;="&amp;O2Summary!$B$6,WTG_BD!F:F,"&lt;="&amp;O2Summary!$B$4)</f>
        <v>0</v>
      </c>
      <c r="V1148" s="18">
        <f t="shared" si="24"/>
        <v>47</v>
      </c>
    </row>
    <row r="1149" spans="19:22">
      <c r="S1149" s="16">
        <v>2951</v>
      </c>
      <c r="T1149" s="16" t="s">
        <v>1676</v>
      </c>
      <c r="U1149" s="17">
        <f>COUNTIFS(WTG_BD!L:L,'Basic Data'!T1149,WTG_BD!F:F,"&gt;="&amp;O2Summary!$B$6,WTG_BD!F:F,"&lt;="&amp;O2Summary!$B$4)</f>
        <v>0</v>
      </c>
      <c r="V1149" s="18">
        <f t="shared" si="24"/>
        <v>47</v>
      </c>
    </row>
    <row r="1150" spans="19:22">
      <c r="S1150" s="16">
        <v>2952</v>
      </c>
      <c r="T1150" s="16" t="s">
        <v>1677</v>
      </c>
      <c r="U1150" s="17">
        <f>COUNTIFS(WTG_BD!L:L,'Basic Data'!T1150,WTG_BD!F:F,"&gt;="&amp;O2Summary!$B$6,WTG_BD!F:F,"&lt;="&amp;O2Summary!$B$4)</f>
        <v>0</v>
      </c>
      <c r="V1150" s="18">
        <f t="shared" si="24"/>
        <v>47</v>
      </c>
    </row>
    <row r="1151" spans="19:22">
      <c r="S1151" s="16">
        <v>2953</v>
      </c>
      <c r="T1151" s="16" t="s">
        <v>1678</v>
      </c>
      <c r="U1151" s="17">
        <f>COUNTIFS(WTG_BD!L:L,'Basic Data'!T1151,WTG_BD!F:F,"&gt;="&amp;O2Summary!$B$6,WTG_BD!F:F,"&lt;="&amp;O2Summary!$B$4)</f>
        <v>0</v>
      </c>
      <c r="V1151" s="18">
        <f t="shared" si="24"/>
        <v>47</v>
      </c>
    </row>
    <row r="1152" spans="19:22">
      <c r="S1152" s="16">
        <v>2954</v>
      </c>
      <c r="T1152" s="16" t="s">
        <v>1679</v>
      </c>
      <c r="U1152" s="17">
        <f>COUNTIFS(WTG_BD!L:L,'Basic Data'!T1152,WTG_BD!F:F,"&gt;="&amp;O2Summary!$B$6,WTG_BD!F:F,"&lt;="&amp;O2Summary!$B$4)</f>
        <v>0</v>
      </c>
      <c r="V1152" s="18">
        <f t="shared" si="24"/>
        <v>47</v>
      </c>
    </row>
    <row r="1153" spans="19:22">
      <c r="S1153" s="16">
        <v>2955</v>
      </c>
      <c r="T1153" s="16" t="s">
        <v>1680</v>
      </c>
      <c r="U1153" s="17">
        <f>COUNTIFS(WTG_BD!L:L,'Basic Data'!T1153,WTG_BD!F:F,"&gt;="&amp;O2Summary!$B$6,WTG_BD!F:F,"&lt;="&amp;O2Summary!$B$4)</f>
        <v>0</v>
      </c>
      <c r="V1153" s="18">
        <f t="shared" si="24"/>
        <v>47</v>
      </c>
    </row>
    <row r="1154" spans="19:22">
      <c r="S1154" s="16">
        <v>2956</v>
      </c>
      <c r="T1154" s="16" t="s">
        <v>1681</v>
      </c>
      <c r="U1154" s="17">
        <f>COUNTIFS(WTG_BD!L:L,'Basic Data'!T1154,WTG_BD!F:F,"&gt;="&amp;O2Summary!$B$6,WTG_BD!F:F,"&lt;="&amp;O2Summary!$B$4)</f>
        <v>1</v>
      </c>
      <c r="V1154" s="18">
        <f t="shared" si="24"/>
        <v>29</v>
      </c>
    </row>
    <row r="1155" spans="19:22">
      <c r="S1155" s="16">
        <v>2957</v>
      </c>
      <c r="T1155" s="16" t="s">
        <v>1682</v>
      </c>
      <c r="U1155" s="17">
        <f>COUNTIFS(WTG_BD!L:L,'Basic Data'!T1155,WTG_BD!F:F,"&gt;="&amp;O2Summary!$B$6,WTG_BD!F:F,"&lt;="&amp;O2Summary!$B$4)</f>
        <v>0</v>
      </c>
      <c r="V1155" s="18">
        <f t="shared" ref="V1155:V1218" si="25">RANK(U1155,$U$2:$U$3975)</f>
        <v>47</v>
      </c>
    </row>
    <row r="1156" spans="19:22">
      <c r="S1156" s="16">
        <v>2958</v>
      </c>
      <c r="T1156" s="16" t="s">
        <v>1683</v>
      </c>
      <c r="U1156" s="17">
        <f>COUNTIFS(WTG_BD!L:L,'Basic Data'!T1156,WTG_BD!F:F,"&gt;="&amp;O2Summary!$B$6,WTG_BD!F:F,"&lt;="&amp;O2Summary!$B$4)</f>
        <v>0</v>
      </c>
      <c r="V1156" s="18">
        <f t="shared" si="25"/>
        <v>47</v>
      </c>
    </row>
    <row r="1157" spans="19:22">
      <c r="S1157" s="16">
        <v>2959</v>
      </c>
      <c r="T1157" s="16" t="s">
        <v>1684</v>
      </c>
      <c r="U1157" s="17">
        <f>COUNTIFS(WTG_BD!L:L,'Basic Data'!T1157,WTG_BD!F:F,"&gt;="&amp;O2Summary!$B$6,WTG_BD!F:F,"&lt;="&amp;O2Summary!$B$4)</f>
        <v>0</v>
      </c>
      <c r="V1157" s="18">
        <f t="shared" si="25"/>
        <v>47</v>
      </c>
    </row>
    <row r="1158" spans="19:22">
      <c r="S1158" s="16">
        <v>2960</v>
      </c>
      <c r="T1158" s="16" t="s">
        <v>1685</v>
      </c>
      <c r="U1158" s="17">
        <f>COUNTIFS(WTG_BD!L:L,'Basic Data'!T1158,WTG_BD!F:F,"&gt;="&amp;O2Summary!$B$6,WTG_BD!F:F,"&lt;="&amp;O2Summary!$B$4)</f>
        <v>0</v>
      </c>
      <c r="V1158" s="18">
        <f t="shared" si="25"/>
        <v>47</v>
      </c>
    </row>
    <row r="1159" spans="19:22">
      <c r="S1159" s="16">
        <v>2961</v>
      </c>
      <c r="T1159" s="16" t="s">
        <v>1686</v>
      </c>
      <c r="U1159" s="17">
        <f>COUNTIFS(WTG_BD!L:L,'Basic Data'!T1159,WTG_BD!F:F,"&gt;="&amp;O2Summary!$B$6,WTG_BD!F:F,"&lt;="&amp;O2Summary!$B$4)</f>
        <v>0</v>
      </c>
      <c r="V1159" s="18">
        <f t="shared" si="25"/>
        <v>47</v>
      </c>
    </row>
    <row r="1160" spans="19:22">
      <c r="S1160" s="16">
        <v>2962</v>
      </c>
      <c r="T1160" s="16" t="s">
        <v>1687</v>
      </c>
      <c r="U1160" s="17">
        <f>COUNTIFS(WTG_BD!L:L,'Basic Data'!T1160,WTG_BD!F:F,"&gt;="&amp;O2Summary!$B$6,WTG_BD!F:F,"&lt;="&amp;O2Summary!$B$4)</f>
        <v>0</v>
      </c>
      <c r="V1160" s="18">
        <f t="shared" si="25"/>
        <v>47</v>
      </c>
    </row>
    <row r="1161" spans="19:22">
      <c r="S1161" s="16">
        <v>2963</v>
      </c>
      <c r="T1161" s="16" t="s">
        <v>1688</v>
      </c>
      <c r="U1161" s="17">
        <f>COUNTIFS(WTG_BD!L:L,'Basic Data'!T1161,WTG_BD!F:F,"&gt;="&amp;O2Summary!$B$6,WTG_BD!F:F,"&lt;="&amp;O2Summary!$B$4)</f>
        <v>0</v>
      </c>
      <c r="V1161" s="18">
        <f t="shared" si="25"/>
        <v>47</v>
      </c>
    </row>
    <row r="1162" spans="19:22">
      <c r="S1162" s="16">
        <v>2964</v>
      </c>
      <c r="T1162" s="16" t="s">
        <v>1689</v>
      </c>
      <c r="U1162" s="17">
        <f>COUNTIFS(WTG_BD!L:L,'Basic Data'!T1162,WTG_BD!F:F,"&gt;="&amp;O2Summary!$B$6,WTG_BD!F:F,"&lt;="&amp;O2Summary!$B$4)</f>
        <v>0</v>
      </c>
      <c r="V1162" s="18">
        <f t="shared" si="25"/>
        <v>47</v>
      </c>
    </row>
    <row r="1163" spans="19:22">
      <c r="S1163" s="16">
        <v>2965</v>
      </c>
      <c r="T1163" s="16" t="s">
        <v>1690</v>
      </c>
      <c r="U1163" s="17">
        <f>COUNTIFS(WTG_BD!L:L,'Basic Data'!T1163,WTG_BD!F:F,"&gt;="&amp;O2Summary!$B$6,WTG_BD!F:F,"&lt;="&amp;O2Summary!$B$4)</f>
        <v>0</v>
      </c>
      <c r="V1163" s="18">
        <f t="shared" si="25"/>
        <v>47</v>
      </c>
    </row>
    <row r="1164" spans="19:22">
      <c r="S1164" s="16">
        <v>2967</v>
      </c>
      <c r="T1164" s="16" t="s">
        <v>1691</v>
      </c>
      <c r="U1164" s="17">
        <f>COUNTIFS(WTG_BD!L:L,'Basic Data'!T1164,WTG_BD!F:F,"&gt;="&amp;O2Summary!$B$6,WTG_BD!F:F,"&lt;="&amp;O2Summary!$B$4)</f>
        <v>0</v>
      </c>
      <c r="V1164" s="18">
        <f t="shared" si="25"/>
        <v>47</v>
      </c>
    </row>
    <row r="1165" spans="19:22">
      <c r="S1165" s="16">
        <v>2968</v>
      </c>
      <c r="T1165" s="16" t="s">
        <v>1692</v>
      </c>
      <c r="U1165" s="17">
        <f>COUNTIFS(WTG_BD!L:L,'Basic Data'!T1165,WTG_BD!F:F,"&gt;="&amp;O2Summary!$B$6,WTG_BD!F:F,"&lt;="&amp;O2Summary!$B$4)</f>
        <v>0</v>
      </c>
      <c r="V1165" s="18">
        <f t="shared" si="25"/>
        <v>47</v>
      </c>
    </row>
    <row r="1166" spans="19:22">
      <c r="S1166" s="16">
        <v>2969</v>
      </c>
      <c r="T1166" s="16" t="s">
        <v>1693</v>
      </c>
      <c r="U1166" s="17">
        <f>COUNTIFS(WTG_BD!L:L,'Basic Data'!T1166,WTG_BD!F:F,"&gt;="&amp;O2Summary!$B$6,WTG_BD!F:F,"&lt;="&amp;O2Summary!$B$4)</f>
        <v>0</v>
      </c>
      <c r="V1166" s="18">
        <f t="shared" si="25"/>
        <v>47</v>
      </c>
    </row>
    <row r="1167" spans="19:22">
      <c r="S1167" s="16">
        <v>2970</v>
      </c>
      <c r="T1167" s="16" t="s">
        <v>1694</v>
      </c>
      <c r="U1167" s="17">
        <f>COUNTIFS(WTG_BD!L:L,'Basic Data'!T1167,WTG_BD!F:F,"&gt;="&amp;O2Summary!$B$6,WTG_BD!F:F,"&lt;="&amp;O2Summary!$B$4)</f>
        <v>0</v>
      </c>
      <c r="V1167" s="18">
        <f t="shared" si="25"/>
        <v>47</v>
      </c>
    </row>
    <row r="1168" spans="19:22">
      <c r="S1168" s="16">
        <v>2971</v>
      </c>
      <c r="T1168" s="16" t="s">
        <v>1695</v>
      </c>
      <c r="U1168" s="17">
        <f>COUNTIFS(WTG_BD!L:L,'Basic Data'!T1168,WTG_BD!F:F,"&gt;="&amp;O2Summary!$B$6,WTG_BD!F:F,"&lt;="&amp;O2Summary!$B$4)</f>
        <v>0</v>
      </c>
      <c r="V1168" s="18">
        <f t="shared" si="25"/>
        <v>47</v>
      </c>
    </row>
    <row r="1169" spans="19:22">
      <c r="S1169" s="16">
        <v>2972</v>
      </c>
      <c r="T1169" s="16" t="s">
        <v>1696</v>
      </c>
      <c r="U1169" s="17">
        <f>COUNTIFS(WTG_BD!L:L,'Basic Data'!T1169,WTG_BD!F:F,"&gt;="&amp;O2Summary!$B$6,WTG_BD!F:F,"&lt;="&amp;O2Summary!$B$4)</f>
        <v>0</v>
      </c>
      <c r="V1169" s="18">
        <f t="shared" si="25"/>
        <v>47</v>
      </c>
    </row>
    <row r="1170" spans="19:22">
      <c r="S1170" s="16">
        <v>2973</v>
      </c>
      <c r="T1170" s="16" t="s">
        <v>1697</v>
      </c>
      <c r="U1170" s="17">
        <f>COUNTIFS(WTG_BD!L:L,'Basic Data'!T1170,WTG_BD!F:F,"&gt;="&amp;O2Summary!$B$6,WTG_BD!F:F,"&lt;="&amp;O2Summary!$B$4)</f>
        <v>0</v>
      </c>
      <c r="V1170" s="18">
        <f t="shared" si="25"/>
        <v>47</v>
      </c>
    </row>
    <row r="1171" spans="19:22">
      <c r="S1171" s="16">
        <v>2979</v>
      </c>
      <c r="T1171" s="16" t="s">
        <v>1698</v>
      </c>
      <c r="U1171" s="17">
        <f>COUNTIFS(WTG_BD!L:L,'Basic Data'!T1171,WTG_BD!F:F,"&gt;="&amp;O2Summary!$B$6,WTG_BD!F:F,"&lt;="&amp;O2Summary!$B$4)</f>
        <v>0</v>
      </c>
      <c r="V1171" s="18">
        <f t="shared" si="25"/>
        <v>47</v>
      </c>
    </row>
    <row r="1172" spans="19:22">
      <c r="S1172" s="16">
        <v>2980</v>
      </c>
      <c r="T1172" s="16" t="s">
        <v>1699</v>
      </c>
      <c r="U1172" s="17">
        <f>COUNTIFS(WTG_BD!L:L,'Basic Data'!T1172,WTG_BD!F:F,"&gt;="&amp;O2Summary!$B$6,WTG_BD!F:F,"&lt;="&amp;O2Summary!$B$4)</f>
        <v>0</v>
      </c>
      <c r="V1172" s="18">
        <f t="shared" si="25"/>
        <v>47</v>
      </c>
    </row>
    <row r="1173" spans="19:22">
      <c r="S1173" s="16">
        <v>2981</v>
      </c>
      <c r="T1173" s="16" t="s">
        <v>1700</v>
      </c>
      <c r="U1173" s="17">
        <f>COUNTIFS(WTG_BD!L:L,'Basic Data'!T1173,WTG_BD!F:F,"&gt;="&amp;O2Summary!$B$6,WTG_BD!F:F,"&lt;="&amp;O2Summary!$B$4)</f>
        <v>0</v>
      </c>
      <c r="V1173" s="18">
        <f t="shared" si="25"/>
        <v>47</v>
      </c>
    </row>
    <row r="1174" spans="19:22">
      <c r="S1174" s="16">
        <v>2982</v>
      </c>
      <c r="T1174" s="16" t="s">
        <v>1701</v>
      </c>
      <c r="U1174" s="17">
        <f>COUNTIFS(WTG_BD!L:L,'Basic Data'!T1174,WTG_BD!F:F,"&gt;="&amp;O2Summary!$B$6,WTG_BD!F:F,"&lt;="&amp;O2Summary!$B$4)</f>
        <v>0</v>
      </c>
      <c r="V1174" s="18">
        <f t="shared" si="25"/>
        <v>47</v>
      </c>
    </row>
    <row r="1175" spans="19:22">
      <c r="S1175" s="16">
        <v>2983</v>
      </c>
      <c r="T1175" s="16" t="s">
        <v>1699</v>
      </c>
      <c r="U1175" s="17">
        <f>COUNTIFS(WTG_BD!L:L,'Basic Data'!T1175,WTG_BD!F:F,"&gt;="&amp;O2Summary!$B$6,WTG_BD!F:F,"&lt;="&amp;O2Summary!$B$4)</f>
        <v>0</v>
      </c>
      <c r="V1175" s="18">
        <f t="shared" si="25"/>
        <v>47</v>
      </c>
    </row>
    <row r="1176" spans="19:22">
      <c r="S1176" s="16">
        <v>2984</v>
      </c>
      <c r="T1176" s="16" t="s">
        <v>1702</v>
      </c>
      <c r="U1176" s="17">
        <f>COUNTIFS(WTG_BD!L:L,'Basic Data'!T1176,WTG_BD!F:F,"&gt;="&amp;O2Summary!$B$6,WTG_BD!F:F,"&lt;="&amp;O2Summary!$B$4)</f>
        <v>0</v>
      </c>
      <c r="V1176" s="18">
        <f t="shared" si="25"/>
        <v>47</v>
      </c>
    </row>
    <row r="1177" spans="19:22">
      <c r="S1177" s="16">
        <v>2985</v>
      </c>
      <c r="T1177" s="16" t="s">
        <v>1703</v>
      </c>
      <c r="U1177" s="17">
        <f>COUNTIFS(WTG_BD!L:L,'Basic Data'!T1177,WTG_BD!F:F,"&gt;="&amp;O2Summary!$B$6,WTG_BD!F:F,"&lt;="&amp;O2Summary!$B$4)</f>
        <v>0</v>
      </c>
      <c r="V1177" s="18">
        <f t="shared" si="25"/>
        <v>47</v>
      </c>
    </row>
    <row r="1178" spans="19:22">
      <c r="S1178" s="16">
        <v>2986</v>
      </c>
      <c r="T1178" s="16" t="s">
        <v>1704</v>
      </c>
      <c r="U1178" s="17">
        <f>COUNTIFS(WTG_BD!L:L,'Basic Data'!T1178,WTG_BD!F:F,"&gt;="&amp;O2Summary!$B$6,WTG_BD!F:F,"&lt;="&amp;O2Summary!$B$4)</f>
        <v>0</v>
      </c>
      <c r="V1178" s="18">
        <f t="shared" si="25"/>
        <v>47</v>
      </c>
    </row>
    <row r="1179" spans="19:22">
      <c r="S1179" s="16">
        <v>2987</v>
      </c>
      <c r="T1179" s="16" t="s">
        <v>1705</v>
      </c>
      <c r="U1179" s="17">
        <f>COUNTIFS(WTG_BD!L:L,'Basic Data'!T1179,WTG_BD!F:F,"&gt;="&amp;O2Summary!$B$6,WTG_BD!F:F,"&lt;="&amp;O2Summary!$B$4)</f>
        <v>0</v>
      </c>
      <c r="V1179" s="18">
        <f t="shared" si="25"/>
        <v>47</v>
      </c>
    </row>
    <row r="1180" spans="19:22">
      <c r="S1180" s="16">
        <v>2988</v>
      </c>
      <c r="T1180" s="16" t="s">
        <v>1706</v>
      </c>
      <c r="U1180" s="17">
        <f>COUNTIFS(WTG_BD!L:L,'Basic Data'!T1180,WTG_BD!F:F,"&gt;="&amp;O2Summary!$B$6,WTG_BD!F:F,"&lt;="&amp;O2Summary!$B$4)</f>
        <v>0</v>
      </c>
      <c r="V1180" s="18">
        <f t="shared" si="25"/>
        <v>47</v>
      </c>
    </row>
    <row r="1181" spans="19:22">
      <c r="S1181" s="16">
        <v>2989</v>
      </c>
      <c r="T1181" s="16" t="s">
        <v>1707</v>
      </c>
      <c r="U1181" s="17">
        <f>COUNTIFS(WTG_BD!L:L,'Basic Data'!T1181,WTG_BD!F:F,"&gt;="&amp;O2Summary!$B$6,WTG_BD!F:F,"&lt;="&amp;O2Summary!$B$4)</f>
        <v>0</v>
      </c>
      <c r="V1181" s="18">
        <f t="shared" si="25"/>
        <v>47</v>
      </c>
    </row>
    <row r="1182" spans="19:22">
      <c r="S1182" s="16">
        <v>2990</v>
      </c>
      <c r="T1182" s="16" t="s">
        <v>1708</v>
      </c>
      <c r="U1182" s="17">
        <f>COUNTIFS(WTG_BD!L:L,'Basic Data'!T1182,WTG_BD!F:F,"&gt;="&amp;O2Summary!$B$6,WTG_BD!F:F,"&lt;="&amp;O2Summary!$B$4)</f>
        <v>0</v>
      </c>
      <c r="V1182" s="18">
        <f t="shared" si="25"/>
        <v>47</v>
      </c>
    </row>
    <row r="1183" spans="19:22">
      <c r="S1183" s="16">
        <v>2991</v>
      </c>
      <c r="T1183" s="16" t="s">
        <v>1709</v>
      </c>
      <c r="U1183" s="17">
        <f>COUNTIFS(WTG_BD!L:L,'Basic Data'!T1183,WTG_BD!F:F,"&gt;="&amp;O2Summary!$B$6,WTG_BD!F:F,"&lt;="&amp;O2Summary!$B$4)</f>
        <v>0</v>
      </c>
      <c r="V1183" s="18">
        <f t="shared" si="25"/>
        <v>47</v>
      </c>
    </row>
    <row r="1184" spans="19:22">
      <c r="S1184" s="16">
        <v>2992</v>
      </c>
      <c r="T1184" s="16" t="s">
        <v>1710</v>
      </c>
      <c r="U1184" s="17">
        <f>COUNTIFS(WTG_BD!L:L,'Basic Data'!T1184,WTG_BD!F:F,"&gt;="&amp;O2Summary!$B$6,WTG_BD!F:F,"&lt;="&amp;O2Summary!$B$4)</f>
        <v>0</v>
      </c>
      <c r="V1184" s="18">
        <f t="shared" si="25"/>
        <v>47</v>
      </c>
    </row>
    <row r="1185" spans="19:22">
      <c r="S1185" s="16">
        <v>2993</v>
      </c>
      <c r="T1185" s="16" t="s">
        <v>1711</v>
      </c>
      <c r="U1185" s="17">
        <f>COUNTIFS(WTG_BD!L:L,'Basic Data'!T1185,WTG_BD!F:F,"&gt;="&amp;O2Summary!$B$6,WTG_BD!F:F,"&lt;="&amp;O2Summary!$B$4)</f>
        <v>0</v>
      </c>
      <c r="V1185" s="18">
        <f t="shared" si="25"/>
        <v>47</v>
      </c>
    </row>
    <row r="1186" spans="19:22">
      <c r="S1186" s="16">
        <v>2994</v>
      </c>
      <c r="T1186" s="16" t="s">
        <v>1712</v>
      </c>
      <c r="U1186" s="17">
        <f>COUNTIFS(WTG_BD!L:L,'Basic Data'!T1186,WTG_BD!F:F,"&gt;="&amp;O2Summary!$B$6,WTG_BD!F:F,"&lt;="&amp;O2Summary!$B$4)</f>
        <v>0</v>
      </c>
      <c r="V1186" s="18">
        <f t="shared" si="25"/>
        <v>47</v>
      </c>
    </row>
    <row r="1187" spans="19:22">
      <c r="S1187" s="16">
        <v>2995</v>
      </c>
      <c r="T1187" s="16" t="s">
        <v>1713</v>
      </c>
      <c r="U1187" s="17">
        <f>COUNTIFS(WTG_BD!L:L,'Basic Data'!T1187,WTG_BD!F:F,"&gt;="&amp;O2Summary!$B$6,WTG_BD!F:F,"&lt;="&amp;O2Summary!$B$4)</f>
        <v>3</v>
      </c>
      <c r="V1187" s="18">
        <f t="shared" si="25"/>
        <v>18</v>
      </c>
    </row>
    <row r="1188" spans="19:22">
      <c r="S1188" s="16">
        <v>2996</v>
      </c>
      <c r="T1188" s="16" t="s">
        <v>1714</v>
      </c>
      <c r="U1188" s="17">
        <f>COUNTIFS(WTG_BD!L:L,'Basic Data'!T1188,WTG_BD!F:F,"&gt;="&amp;O2Summary!$B$6,WTG_BD!F:F,"&lt;="&amp;O2Summary!$B$4)</f>
        <v>0</v>
      </c>
      <c r="V1188" s="18">
        <f t="shared" si="25"/>
        <v>47</v>
      </c>
    </row>
    <row r="1189" spans="19:22">
      <c r="S1189" s="16">
        <v>2997</v>
      </c>
      <c r="T1189" s="16" t="s">
        <v>1714</v>
      </c>
      <c r="U1189" s="17">
        <f>COUNTIFS(WTG_BD!L:L,'Basic Data'!T1189,WTG_BD!F:F,"&gt;="&amp;O2Summary!$B$6,WTG_BD!F:F,"&lt;="&amp;O2Summary!$B$4)</f>
        <v>0</v>
      </c>
      <c r="V1189" s="18">
        <f t="shared" si="25"/>
        <v>47</v>
      </c>
    </row>
    <row r="1190" spans="19:22">
      <c r="S1190" s="16">
        <v>2998</v>
      </c>
      <c r="T1190" s="16" t="s">
        <v>1715</v>
      </c>
      <c r="U1190" s="17">
        <f>COUNTIFS(WTG_BD!L:L,'Basic Data'!T1190,WTG_BD!F:F,"&gt;="&amp;O2Summary!$B$6,WTG_BD!F:F,"&lt;="&amp;O2Summary!$B$4)</f>
        <v>0</v>
      </c>
      <c r="V1190" s="18">
        <f t="shared" si="25"/>
        <v>47</v>
      </c>
    </row>
    <row r="1191" spans="19:22">
      <c r="S1191" s="16">
        <v>2999</v>
      </c>
      <c r="T1191" s="16" t="s">
        <v>1716</v>
      </c>
      <c r="U1191" s="17">
        <f>COUNTIFS(WTG_BD!L:L,'Basic Data'!T1191,WTG_BD!F:F,"&gt;="&amp;O2Summary!$B$6,WTG_BD!F:F,"&lt;="&amp;O2Summary!$B$4)</f>
        <v>0</v>
      </c>
      <c r="V1191" s="18">
        <f t="shared" si="25"/>
        <v>47</v>
      </c>
    </row>
    <row r="1192" spans="19:22">
      <c r="S1192" s="16">
        <v>3000</v>
      </c>
      <c r="T1192" s="16" t="s">
        <v>1717</v>
      </c>
      <c r="U1192" s="17">
        <f>COUNTIFS(WTG_BD!L:L,'Basic Data'!T1192,WTG_BD!F:F,"&gt;="&amp;O2Summary!$B$6,WTG_BD!F:F,"&lt;="&amp;O2Summary!$B$4)</f>
        <v>0</v>
      </c>
      <c r="V1192" s="18">
        <f t="shared" si="25"/>
        <v>47</v>
      </c>
    </row>
    <row r="1193" spans="19:22">
      <c r="S1193" s="16">
        <v>3001</v>
      </c>
      <c r="T1193" s="16" t="s">
        <v>1718</v>
      </c>
      <c r="U1193" s="17">
        <f>COUNTIFS(WTG_BD!L:L,'Basic Data'!T1193,WTG_BD!F:F,"&gt;="&amp;O2Summary!$B$6,WTG_BD!F:F,"&lt;="&amp;O2Summary!$B$4)</f>
        <v>0</v>
      </c>
      <c r="V1193" s="18">
        <f t="shared" si="25"/>
        <v>47</v>
      </c>
    </row>
    <row r="1194" spans="19:22">
      <c r="S1194" s="16">
        <v>3002</v>
      </c>
      <c r="T1194" s="16" t="s">
        <v>1719</v>
      </c>
      <c r="U1194" s="17">
        <f>COUNTIFS(WTG_BD!L:L,'Basic Data'!T1194,WTG_BD!F:F,"&gt;="&amp;O2Summary!$B$6,WTG_BD!F:F,"&lt;="&amp;O2Summary!$B$4)</f>
        <v>0</v>
      </c>
      <c r="V1194" s="18">
        <f t="shared" si="25"/>
        <v>47</v>
      </c>
    </row>
    <row r="1195" spans="19:22">
      <c r="S1195" s="16">
        <v>3003</v>
      </c>
      <c r="T1195" s="16" t="s">
        <v>1720</v>
      </c>
      <c r="U1195" s="17">
        <f>COUNTIFS(WTG_BD!L:L,'Basic Data'!T1195,WTG_BD!F:F,"&gt;="&amp;O2Summary!$B$6,WTG_BD!F:F,"&lt;="&amp;O2Summary!$B$4)</f>
        <v>0</v>
      </c>
      <c r="V1195" s="18">
        <f t="shared" si="25"/>
        <v>47</v>
      </c>
    </row>
    <row r="1196" spans="19:22">
      <c r="S1196" s="16">
        <v>3004</v>
      </c>
      <c r="T1196" s="16" t="s">
        <v>1721</v>
      </c>
      <c r="U1196" s="17">
        <f>COUNTIFS(WTG_BD!L:L,'Basic Data'!T1196,WTG_BD!F:F,"&gt;="&amp;O2Summary!$B$6,WTG_BD!F:F,"&lt;="&amp;O2Summary!$B$4)</f>
        <v>0</v>
      </c>
      <c r="V1196" s="18">
        <f t="shared" si="25"/>
        <v>47</v>
      </c>
    </row>
    <row r="1197" spans="19:22">
      <c r="S1197" s="16">
        <v>3005</v>
      </c>
      <c r="T1197" s="16" t="s">
        <v>1722</v>
      </c>
      <c r="U1197" s="17">
        <f>COUNTIFS(WTG_BD!L:L,'Basic Data'!T1197,WTG_BD!F:F,"&gt;="&amp;O2Summary!$B$6,WTG_BD!F:F,"&lt;="&amp;O2Summary!$B$4)</f>
        <v>0</v>
      </c>
      <c r="V1197" s="18">
        <f t="shared" si="25"/>
        <v>47</v>
      </c>
    </row>
    <row r="1198" spans="19:22">
      <c r="S1198" s="16">
        <v>3006</v>
      </c>
      <c r="T1198" s="16" t="s">
        <v>1723</v>
      </c>
      <c r="U1198" s="17">
        <f>COUNTIFS(WTG_BD!L:L,'Basic Data'!T1198,WTG_BD!F:F,"&gt;="&amp;O2Summary!$B$6,WTG_BD!F:F,"&lt;="&amp;O2Summary!$B$4)</f>
        <v>0</v>
      </c>
      <c r="V1198" s="18">
        <f t="shared" si="25"/>
        <v>47</v>
      </c>
    </row>
    <row r="1199" spans="19:22">
      <c r="S1199" s="16">
        <v>3007</v>
      </c>
      <c r="T1199" s="16" t="s">
        <v>1724</v>
      </c>
      <c r="U1199" s="17">
        <f>COUNTIFS(WTG_BD!L:L,'Basic Data'!T1199,WTG_BD!F:F,"&gt;="&amp;O2Summary!$B$6,WTG_BD!F:F,"&lt;="&amp;O2Summary!$B$4)</f>
        <v>0</v>
      </c>
      <c r="V1199" s="18">
        <f t="shared" si="25"/>
        <v>47</v>
      </c>
    </row>
    <row r="1200" spans="19:22">
      <c r="S1200" s="16">
        <v>3009</v>
      </c>
      <c r="T1200" s="16" t="s">
        <v>1725</v>
      </c>
      <c r="U1200" s="17">
        <f>COUNTIFS(WTG_BD!L:L,'Basic Data'!T1200,WTG_BD!F:F,"&gt;="&amp;O2Summary!$B$6,WTG_BD!F:F,"&lt;="&amp;O2Summary!$B$4)</f>
        <v>0</v>
      </c>
      <c r="V1200" s="18">
        <f t="shared" si="25"/>
        <v>47</v>
      </c>
    </row>
    <row r="1201" spans="19:22">
      <c r="S1201" s="16">
        <v>3011</v>
      </c>
      <c r="T1201" s="16" t="s">
        <v>1726</v>
      </c>
      <c r="U1201" s="17">
        <f>COUNTIFS(WTG_BD!L:L,'Basic Data'!T1201,WTG_BD!F:F,"&gt;="&amp;O2Summary!$B$6,WTG_BD!F:F,"&lt;="&amp;O2Summary!$B$4)</f>
        <v>0</v>
      </c>
      <c r="V1201" s="18">
        <f t="shared" si="25"/>
        <v>47</v>
      </c>
    </row>
    <row r="1202" spans="19:22">
      <c r="S1202" s="16">
        <v>3012</v>
      </c>
      <c r="T1202" s="16" t="s">
        <v>1727</v>
      </c>
      <c r="U1202" s="17">
        <f>COUNTIFS(WTG_BD!L:L,'Basic Data'!T1202,WTG_BD!F:F,"&gt;="&amp;O2Summary!$B$6,WTG_BD!F:F,"&lt;="&amp;O2Summary!$B$4)</f>
        <v>0</v>
      </c>
      <c r="V1202" s="18">
        <f t="shared" si="25"/>
        <v>47</v>
      </c>
    </row>
    <row r="1203" spans="19:22">
      <c r="S1203" s="16">
        <v>3013</v>
      </c>
      <c r="T1203" s="16" t="s">
        <v>1728</v>
      </c>
      <c r="U1203" s="17">
        <f>COUNTIFS(WTG_BD!L:L,'Basic Data'!T1203,WTG_BD!F:F,"&gt;="&amp;O2Summary!$B$6,WTG_BD!F:F,"&lt;="&amp;O2Summary!$B$4)</f>
        <v>0</v>
      </c>
      <c r="V1203" s="18">
        <f t="shared" si="25"/>
        <v>47</v>
      </c>
    </row>
    <row r="1204" spans="19:22">
      <c r="S1204" s="16">
        <v>3014</v>
      </c>
      <c r="T1204" s="16" t="s">
        <v>1729</v>
      </c>
      <c r="U1204" s="17">
        <f>COUNTIFS(WTG_BD!L:L,'Basic Data'!T1204,WTG_BD!F:F,"&gt;="&amp;O2Summary!$B$6,WTG_BD!F:F,"&lt;="&amp;O2Summary!$B$4)</f>
        <v>0</v>
      </c>
      <c r="V1204" s="18">
        <f t="shared" si="25"/>
        <v>47</v>
      </c>
    </row>
    <row r="1205" spans="19:22">
      <c r="S1205" s="16">
        <v>3015</v>
      </c>
      <c r="T1205" s="16" t="s">
        <v>1730</v>
      </c>
      <c r="U1205" s="17">
        <f>COUNTIFS(WTG_BD!L:L,'Basic Data'!T1205,WTG_BD!F:F,"&gt;="&amp;O2Summary!$B$6,WTG_BD!F:F,"&lt;="&amp;O2Summary!$B$4)</f>
        <v>0</v>
      </c>
      <c r="V1205" s="18">
        <f t="shared" si="25"/>
        <v>47</v>
      </c>
    </row>
    <row r="1206" spans="19:22">
      <c r="S1206" s="16">
        <v>3016</v>
      </c>
      <c r="T1206" s="16" t="s">
        <v>1731</v>
      </c>
      <c r="U1206" s="17">
        <f>COUNTIFS(WTG_BD!L:L,'Basic Data'!T1206,WTG_BD!F:F,"&gt;="&amp;O2Summary!$B$6,WTG_BD!F:F,"&lt;="&amp;O2Summary!$B$4)</f>
        <v>0</v>
      </c>
      <c r="V1206" s="18">
        <f t="shared" si="25"/>
        <v>47</v>
      </c>
    </row>
    <row r="1207" spans="19:22">
      <c r="S1207" s="16">
        <v>3017</v>
      </c>
      <c r="T1207" s="16" t="s">
        <v>1732</v>
      </c>
      <c r="U1207" s="17">
        <f>COUNTIFS(WTG_BD!L:L,'Basic Data'!T1207,WTG_BD!F:F,"&gt;="&amp;O2Summary!$B$6,WTG_BD!F:F,"&lt;="&amp;O2Summary!$B$4)</f>
        <v>0</v>
      </c>
      <c r="V1207" s="18">
        <f t="shared" si="25"/>
        <v>47</v>
      </c>
    </row>
    <row r="1208" spans="19:22">
      <c r="S1208" s="16">
        <v>3018</v>
      </c>
      <c r="T1208" s="16" t="s">
        <v>1733</v>
      </c>
      <c r="U1208" s="17">
        <f>COUNTIFS(WTG_BD!L:L,'Basic Data'!T1208,WTG_BD!F:F,"&gt;="&amp;O2Summary!$B$6,WTG_BD!F:F,"&lt;="&amp;O2Summary!$B$4)</f>
        <v>0</v>
      </c>
      <c r="V1208" s="18">
        <f t="shared" si="25"/>
        <v>47</v>
      </c>
    </row>
    <row r="1209" spans="19:22">
      <c r="S1209" s="16">
        <v>3019</v>
      </c>
      <c r="T1209" s="16" t="s">
        <v>1734</v>
      </c>
      <c r="U1209" s="17">
        <f>COUNTIFS(WTG_BD!L:L,'Basic Data'!T1209,WTG_BD!F:F,"&gt;="&amp;O2Summary!$B$6,WTG_BD!F:F,"&lt;="&amp;O2Summary!$B$4)</f>
        <v>0</v>
      </c>
      <c r="V1209" s="18">
        <f t="shared" si="25"/>
        <v>47</v>
      </c>
    </row>
    <row r="1210" spans="19:22">
      <c r="S1210" s="16">
        <v>3020</v>
      </c>
      <c r="T1210" s="16" t="s">
        <v>1735</v>
      </c>
      <c r="U1210" s="17">
        <f>COUNTIFS(WTG_BD!L:L,'Basic Data'!T1210,WTG_BD!F:F,"&gt;="&amp;O2Summary!$B$6,WTG_BD!F:F,"&lt;="&amp;O2Summary!$B$4)</f>
        <v>0</v>
      </c>
      <c r="V1210" s="18">
        <f t="shared" si="25"/>
        <v>47</v>
      </c>
    </row>
    <row r="1211" spans="19:22">
      <c r="S1211" s="16">
        <v>3021</v>
      </c>
      <c r="T1211" s="16" t="s">
        <v>1736</v>
      </c>
      <c r="U1211" s="17">
        <f>COUNTIFS(WTG_BD!L:L,'Basic Data'!T1211,WTG_BD!F:F,"&gt;="&amp;O2Summary!$B$6,WTG_BD!F:F,"&lt;="&amp;O2Summary!$B$4)</f>
        <v>0</v>
      </c>
      <c r="V1211" s="18">
        <f t="shared" si="25"/>
        <v>47</v>
      </c>
    </row>
    <row r="1212" spans="19:22">
      <c r="S1212" s="16">
        <v>3022</v>
      </c>
      <c r="T1212" s="16" t="s">
        <v>1737</v>
      </c>
      <c r="U1212" s="17">
        <f>COUNTIFS(WTG_BD!L:L,'Basic Data'!T1212,WTG_BD!F:F,"&gt;="&amp;O2Summary!$B$6,WTG_BD!F:F,"&lt;="&amp;O2Summary!$B$4)</f>
        <v>0</v>
      </c>
      <c r="V1212" s="18">
        <f t="shared" si="25"/>
        <v>47</v>
      </c>
    </row>
    <row r="1213" spans="19:22">
      <c r="S1213" s="16">
        <v>3023</v>
      </c>
      <c r="T1213" s="16" t="s">
        <v>1738</v>
      </c>
      <c r="U1213" s="17">
        <f>COUNTIFS(WTG_BD!L:L,'Basic Data'!T1213,WTG_BD!F:F,"&gt;="&amp;O2Summary!$B$6,WTG_BD!F:F,"&lt;="&amp;O2Summary!$B$4)</f>
        <v>0</v>
      </c>
      <c r="V1213" s="18">
        <f t="shared" si="25"/>
        <v>47</v>
      </c>
    </row>
    <row r="1214" spans="19:22">
      <c r="S1214" s="16">
        <v>3024</v>
      </c>
      <c r="T1214" s="16" t="s">
        <v>1739</v>
      </c>
      <c r="U1214" s="17">
        <f>COUNTIFS(WTG_BD!L:L,'Basic Data'!T1214,WTG_BD!F:F,"&gt;="&amp;O2Summary!$B$6,WTG_BD!F:F,"&lt;="&amp;O2Summary!$B$4)</f>
        <v>1</v>
      </c>
      <c r="V1214" s="18">
        <f t="shared" si="25"/>
        <v>29</v>
      </c>
    </row>
    <row r="1215" spans="19:22">
      <c r="S1215" s="26">
        <v>3025</v>
      </c>
      <c r="T1215" s="26" t="s">
        <v>1740</v>
      </c>
      <c r="U1215" s="17">
        <f>COUNTIFS(WTG_BD!L:L,'Basic Data'!T1215,WTG_BD!F:F,"&gt;="&amp;O2Summary!$B$6,WTG_BD!F:F,"&lt;="&amp;O2Summary!$B$4)</f>
        <v>0</v>
      </c>
      <c r="V1215" s="18">
        <f t="shared" si="25"/>
        <v>47</v>
      </c>
    </row>
    <row r="1216" spans="19:22">
      <c r="S1216" s="26">
        <v>3026</v>
      </c>
      <c r="T1216" s="26" t="s">
        <v>1741</v>
      </c>
      <c r="U1216" s="17">
        <f>COUNTIFS(WTG_BD!L:L,'Basic Data'!T1216,WTG_BD!F:F,"&gt;="&amp;O2Summary!$B$6,WTG_BD!F:F,"&lt;="&amp;O2Summary!$B$4)</f>
        <v>0</v>
      </c>
      <c r="V1216" s="18">
        <f t="shared" si="25"/>
        <v>47</v>
      </c>
    </row>
    <row r="1217" spans="19:22">
      <c r="S1217" s="26">
        <v>3027</v>
      </c>
      <c r="T1217" s="26" t="s">
        <v>1742</v>
      </c>
      <c r="U1217" s="17">
        <f>COUNTIFS(WTG_BD!L:L,'Basic Data'!T1217,WTG_BD!F:F,"&gt;="&amp;O2Summary!$B$6,WTG_BD!F:F,"&lt;="&amp;O2Summary!$B$4)</f>
        <v>0</v>
      </c>
      <c r="V1217" s="18">
        <f t="shared" si="25"/>
        <v>47</v>
      </c>
    </row>
    <row r="1218" spans="19:22">
      <c r="S1218" s="26">
        <v>3028</v>
      </c>
      <c r="T1218" s="26" t="s">
        <v>1743</v>
      </c>
      <c r="U1218" s="17">
        <f>COUNTIFS(WTG_BD!L:L,'Basic Data'!T1218,WTG_BD!F:F,"&gt;="&amp;O2Summary!$B$6,WTG_BD!F:F,"&lt;="&amp;O2Summary!$B$4)</f>
        <v>0</v>
      </c>
      <c r="V1218" s="18">
        <f t="shared" si="25"/>
        <v>47</v>
      </c>
    </row>
    <row r="1219" spans="19:22">
      <c r="S1219" s="16">
        <v>3029</v>
      </c>
      <c r="T1219" s="16" t="s">
        <v>1744</v>
      </c>
      <c r="U1219" s="17">
        <f>COUNTIFS(WTG_BD!L:L,'Basic Data'!T1219,WTG_BD!F:F,"&gt;="&amp;O2Summary!$B$6,WTG_BD!F:F,"&lt;="&amp;O2Summary!$B$4)</f>
        <v>0</v>
      </c>
      <c r="V1219" s="18">
        <f t="shared" ref="V1219:V1282" si="26">RANK(U1219,$U$2:$U$3975)</f>
        <v>47</v>
      </c>
    </row>
    <row r="1220" spans="19:22">
      <c r="S1220" s="16">
        <v>3030</v>
      </c>
      <c r="T1220" s="16" t="s">
        <v>1745</v>
      </c>
      <c r="U1220" s="17">
        <f>COUNTIFS(WTG_BD!L:L,'Basic Data'!T1220,WTG_BD!F:F,"&gt;="&amp;O2Summary!$B$6,WTG_BD!F:F,"&lt;="&amp;O2Summary!$B$4)</f>
        <v>0</v>
      </c>
      <c r="V1220" s="18">
        <f t="shared" si="26"/>
        <v>47</v>
      </c>
    </row>
    <row r="1221" spans="19:22">
      <c r="S1221" s="16">
        <v>3031</v>
      </c>
      <c r="T1221" s="16" t="s">
        <v>1746</v>
      </c>
      <c r="U1221" s="17">
        <f>COUNTIFS(WTG_BD!L:L,'Basic Data'!T1221,WTG_BD!F:F,"&gt;="&amp;O2Summary!$B$6,WTG_BD!F:F,"&lt;="&amp;O2Summary!$B$4)</f>
        <v>0</v>
      </c>
      <c r="V1221" s="18">
        <f t="shared" si="26"/>
        <v>47</v>
      </c>
    </row>
    <row r="1222" spans="19:22">
      <c r="S1222" s="16">
        <v>3032</v>
      </c>
      <c r="T1222" s="16" t="s">
        <v>1747</v>
      </c>
      <c r="U1222" s="17">
        <f>COUNTIFS(WTG_BD!L:L,'Basic Data'!T1222,WTG_BD!F:F,"&gt;="&amp;O2Summary!$B$6,WTG_BD!F:F,"&lt;="&amp;O2Summary!$B$4)</f>
        <v>0</v>
      </c>
      <c r="V1222" s="18">
        <f t="shared" si="26"/>
        <v>47</v>
      </c>
    </row>
    <row r="1223" spans="19:22">
      <c r="S1223" s="16">
        <v>3033</v>
      </c>
      <c r="T1223" s="16" t="s">
        <v>1748</v>
      </c>
      <c r="U1223" s="17">
        <f>COUNTIFS(WTG_BD!L:L,'Basic Data'!T1223,WTG_BD!F:F,"&gt;="&amp;O2Summary!$B$6,WTG_BD!F:F,"&lt;="&amp;O2Summary!$B$4)</f>
        <v>0</v>
      </c>
      <c r="V1223" s="18">
        <f t="shared" si="26"/>
        <v>47</v>
      </c>
    </row>
    <row r="1224" spans="19:22">
      <c r="S1224" s="16">
        <v>3034</v>
      </c>
      <c r="T1224" s="16" t="s">
        <v>1749</v>
      </c>
      <c r="U1224" s="17">
        <f>COUNTIFS(WTG_BD!L:L,'Basic Data'!T1224,WTG_BD!F:F,"&gt;="&amp;O2Summary!$B$6,WTG_BD!F:F,"&lt;="&amp;O2Summary!$B$4)</f>
        <v>0</v>
      </c>
      <c r="V1224" s="18">
        <f t="shared" si="26"/>
        <v>47</v>
      </c>
    </row>
    <row r="1225" spans="19:22">
      <c r="S1225" s="16">
        <v>3035</v>
      </c>
      <c r="T1225" s="16" t="s">
        <v>1750</v>
      </c>
      <c r="U1225" s="17">
        <f>COUNTIFS(WTG_BD!L:L,'Basic Data'!T1225,WTG_BD!F:F,"&gt;="&amp;O2Summary!$B$6,WTG_BD!F:F,"&lt;="&amp;O2Summary!$B$4)</f>
        <v>0</v>
      </c>
      <c r="V1225" s="18">
        <f t="shared" si="26"/>
        <v>47</v>
      </c>
    </row>
    <row r="1226" spans="19:22">
      <c r="S1226" s="16">
        <v>3036</v>
      </c>
      <c r="T1226" s="16" t="s">
        <v>1751</v>
      </c>
      <c r="U1226" s="17">
        <f>COUNTIFS(WTG_BD!L:L,'Basic Data'!T1226,WTG_BD!F:F,"&gt;="&amp;O2Summary!$B$6,WTG_BD!F:F,"&lt;="&amp;O2Summary!$B$4)</f>
        <v>0</v>
      </c>
      <c r="V1226" s="18">
        <f t="shared" si="26"/>
        <v>47</v>
      </c>
    </row>
    <row r="1227" spans="19:22">
      <c r="S1227" s="16">
        <v>3037</v>
      </c>
      <c r="T1227" s="16" t="s">
        <v>1752</v>
      </c>
      <c r="U1227" s="17">
        <f>COUNTIFS(WTG_BD!L:L,'Basic Data'!T1227,WTG_BD!F:F,"&gt;="&amp;O2Summary!$B$6,WTG_BD!F:F,"&lt;="&amp;O2Summary!$B$4)</f>
        <v>0</v>
      </c>
      <c r="V1227" s="18">
        <f t="shared" si="26"/>
        <v>47</v>
      </c>
    </row>
    <row r="1228" spans="19:22">
      <c r="S1228" s="16">
        <v>3038</v>
      </c>
      <c r="T1228" s="16" t="s">
        <v>1753</v>
      </c>
      <c r="U1228" s="17">
        <f>COUNTIFS(WTG_BD!L:L,'Basic Data'!T1228,WTG_BD!F:F,"&gt;="&amp;O2Summary!$B$6,WTG_BD!F:F,"&lt;="&amp;O2Summary!$B$4)</f>
        <v>0</v>
      </c>
      <c r="V1228" s="18">
        <f t="shared" si="26"/>
        <v>47</v>
      </c>
    </row>
    <row r="1229" spans="19:22">
      <c r="S1229" s="16">
        <v>3039</v>
      </c>
      <c r="T1229" s="16" t="s">
        <v>1754</v>
      </c>
      <c r="U1229" s="17">
        <f>COUNTIFS(WTG_BD!L:L,'Basic Data'!T1229,WTG_BD!F:F,"&gt;="&amp;O2Summary!$B$6,WTG_BD!F:F,"&lt;="&amp;O2Summary!$B$4)</f>
        <v>0</v>
      </c>
      <c r="V1229" s="18">
        <f t="shared" si="26"/>
        <v>47</v>
      </c>
    </row>
    <row r="1230" spans="19:22">
      <c r="S1230" s="16">
        <v>3040</v>
      </c>
      <c r="T1230" s="16" t="s">
        <v>1755</v>
      </c>
      <c r="U1230" s="17">
        <f>COUNTIFS(WTG_BD!L:L,'Basic Data'!T1230,WTG_BD!F:F,"&gt;="&amp;O2Summary!$B$6,WTG_BD!F:F,"&lt;="&amp;O2Summary!$B$4)</f>
        <v>0</v>
      </c>
      <c r="V1230" s="18">
        <f t="shared" si="26"/>
        <v>47</v>
      </c>
    </row>
    <row r="1231" spans="19:22">
      <c r="S1231" s="16">
        <v>3041</v>
      </c>
      <c r="T1231" s="16" t="s">
        <v>1756</v>
      </c>
      <c r="U1231" s="17">
        <f>COUNTIFS(WTG_BD!L:L,'Basic Data'!T1231,WTG_BD!F:F,"&gt;="&amp;O2Summary!$B$6,WTG_BD!F:F,"&lt;="&amp;O2Summary!$B$4)</f>
        <v>0</v>
      </c>
      <c r="V1231" s="18">
        <f t="shared" si="26"/>
        <v>47</v>
      </c>
    </row>
    <row r="1232" spans="19:22">
      <c r="S1232" s="16">
        <v>3042</v>
      </c>
      <c r="T1232" s="16" t="s">
        <v>1757</v>
      </c>
      <c r="U1232" s="17">
        <f>COUNTIFS(WTG_BD!L:L,'Basic Data'!T1232,WTG_BD!F:F,"&gt;="&amp;O2Summary!$B$6,WTG_BD!F:F,"&lt;="&amp;O2Summary!$B$4)</f>
        <v>0</v>
      </c>
      <c r="V1232" s="18">
        <f t="shared" si="26"/>
        <v>47</v>
      </c>
    </row>
    <row r="1233" spans="19:22">
      <c r="S1233" s="16">
        <v>3043</v>
      </c>
      <c r="T1233" s="16" t="s">
        <v>1758</v>
      </c>
      <c r="U1233" s="17">
        <f>COUNTIFS(WTG_BD!L:L,'Basic Data'!T1233,WTG_BD!F:F,"&gt;="&amp;O2Summary!$B$6,WTG_BD!F:F,"&lt;="&amp;O2Summary!$B$4)</f>
        <v>0</v>
      </c>
      <c r="V1233" s="18">
        <f t="shared" si="26"/>
        <v>47</v>
      </c>
    </row>
    <row r="1234" spans="19:22">
      <c r="S1234" s="16">
        <v>3044</v>
      </c>
      <c r="T1234" s="16" t="s">
        <v>1759</v>
      </c>
      <c r="U1234" s="17">
        <f>COUNTIFS(WTG_BD!L:L,'Basic Data'!T1234,WTG_BD!F:F,"&gt;="&amp;O2Summary!$B$6,WTG_BD!F:F,"&lt;="&amp;O2Summary!$B$4)</f>
        <v>0</v>
      </c>
      <c r="V1234" s="18">
        <f t="shared" si="26"/>
        <v>47</v>
      </c>
    </row>
    <row r="1235" spans="19:22">
      <c r="S1235" s="16">
        <v>3045</v>
      </c>
      <c r="T1235" s="16" t="s">
        <v>1760</v>
      </c>
      <c r="U1235" s="17">
        <f>COUNTIFS(WTG_BD!L:L,'Basic Data'!T1235,WTG_BD!F:F,"&gt;="&amp;O2Summary!$B$6,WTG_BD!F:F,"&lt;="&amp;O2Summary!$B$4)</f>
        <v>0</v>
      </c>
      <c r="V1235" s="18">
        <f t="shared" si="26"/>
        <v>47</v>
      </c>
    </row>
    <row r="1236" spans="19:22">
      <c r="S1236" s="16">
        <v>3046</v>
      </c>
      <c r="T1236" s="16" t="s">
        <v>1761</v>
      </c>
      <c r="U1236" s="17">
        <f>COUNTIFS(WTG_BD!L:L,'Basic Data'!T1236,WTG_BD!F:F,"&gt;="&amp;O2Summary!$B$6,WTG_BD!F:F,"&lt;="&amp;O2Summary!$B$4)</f>
        <v>0</v>
      </c>
      <c r="V1236" s="18">
        <f t="shared" si="26"/>
        <v>47</v>
      </c>
    </row>
    <row r="1237" spans="19:22">
      <c r="S1237" s="16">
        <v>3047</v>
      </c>
      <c r="T1237" s="16" t="s">
        <v>1762</v>
      </c>
      <c r="U1237" s="17">
        <f>COUNTIFS(WTG_BD!L:L,'Basic Data'!T1237,WTG_BD!F:F,"&gt;="&amp;O2Summary!$B$6,WTG_BD!F:F,"&lt;="&amp;O2Summary!$B$4)</f>
        <v>0</v>
      </c>
      <c r="V1237" s="18">
        <f t="shared" si="26"/>
        <v>47</v>
      </c>
    </row>
    <row r="1238" spans="19:22">
      <c r="S1238" s="16">
        <v>3048</v>
      </c>
      <c r="T1238" s="16" t="s">
        <v>1763</v>
      </c>
      <c r="U1238" s="17">
        <f>COUNTIFS(WTG_BD!L:L,'Basic Data'!T1238,WTG_BD!F:F,"&gt;="&amp;O2Summary!$B$6,WTG_BD!F:F,"&lt;="&amp;O2Summary!$B$4)</f>
        <v>0</v>
      </c>
      <c r="V1238" s="18">
        <f t="shared" si="26"/>
        <v>47</v>
      </c>
    </row>
    <row r="1239" spans="19:22">
      <c r="S1239" s="16">
        <v>3049</v>
      </c>
      <c r="T1239" s="16" t="s">
        <v>1764</v>
      </c>
      <c r="U1239" s="17">
        <f>COUNTIFS(WTG_BD!L:L,'Basic Data'!T1239,WTG_BD!F:F,"&gt;="&amp;O2Summary!$B$6,WTG_BD!F:F,"&lt;="&amp;O2Summary!$B$4)</f>
        <v>0</v>
      </c>
      <c r="V1239" s="18">
        <f t="shared" si="26"/>
        <v>47</v>
      </c>
    </row>
    <row r="1240" spans="19:22">
      <c r="S1240" s="16">
        <v>3050</v>
      </c>
      <c r="T1240" s="16" t="s">
        <v>1765</v>
      </c>
      <c r="U1240" s="17">
        <f>COUNTIFS(WTG_BD!L:L,'Basic Data'!T1240,WTG_BD!F:F,"&gt;="&amp;O2Summary!$B$6,WTG_BD!F:F,"&lt;="&amp;O2Summary!$B$4)</f>
        <v>0</v>
      </c>
      <c r="V1240" s="18">
        <f t="shared" si="26"/>
        <v>47</v>
      </c>
    </row>
    <row r="1241" spans="19:22">
      <c r="S1241" s="16">
        <v>3051</v>
      </c>
      <c r="T1241" s="16" t="s">
        <v>1766</v>
      </c>
      <c r="U1241" s="17">
        <f>COUNTIFS(WTG_BD!L:L,'Basic Data'!T1241,WTG_BD!F:F,"&gt;="&amp;O2Summary!$B$6,WTG_BD!F:F,"&lt;="&amp;O2Summary!$B$4)</f>
        <v>0</v>
      </c>
      <c r="V1241" s="18">
        <f t="shared" si="26"/>
        <v>47</v>
      </c>
    </row>
    <row r="1242" spans="19:22">
      <c r="S1242" s="16">
        <v>3052</v>
      </c>
      <c r="T1242" s="16" t="s">
        <v>1767</v>
      </c>
      <c r="U1242" s="17">
        <f>COUNTIFS(WTG_BD!L:L,'Basic Data'!T1242,WTG_BD!F:F,"&gt;="&amp;O2Summary!$B$6,WTG_BD!F:F,"&lt;="&amp;O2Summary!$B$4)</f>
        <v>0</v>
      </c>
      <c r="V1242" s="18">
        <f t="shared" si="26"/>
        <v>47</v>
      </c>
    </row>
    <row r="1243" spans="19:22">
      <c r="S1243" s="16">
        <v>3053</v>
      </c>
      <c r="T1243" s="16" t="s">
        <v>1768</v>
      </c>
      <c r="U1243" s="17">
        <f>COUNTIFS(WTG_BD!L:L,'Basic Data'!T1243,WTG_BD!F:F,"&gt;="&amp;O2Summary!$B$6,WTG_BD!F:F,"&lt;="&amp;O2Summary!$B$4)</f>
        <v>0</v>
      </c>
      <c r="V1243" s="18">
        <f t="shared" si="26"/>
        <v>47</v>
      </c>
    </row>
    <row r="1244" spans="19:22">
      <c r="S1244" s="16">
        <v>3054</v>
      </c>
      <c r="T1244" s="16" t="s">
        <v>1769</v>
      </c>
      <c r="U1244" s="17">
        <f>COUNTIFS(WTG_BD!L:L,'Basic Data'!T1244,WTG_BD!F:F,"&gt;="&amp;O2Summary!$B$6,WTG_BD!F:F,"&lt;="&amp;O2Summary!$B$4)</f>
        <v>0</v>
      </c>
      <c r="V1244" s="18">
        <f t="shared" si="26"/>
        <v>47</v>
      </c>
    </row>
    <row r="1245" spans="19:22">
      <c r="S1245" s="16">
        <v>3055</v>
      </c>
      <c r="T1245" s="16" t="s">
        <v>1770</v>
      </c>
      <c r="U1245" s="17">
        <f>COUNTIFS(WTG_BD!L:L,'Basic Data'!T1245,WTG_BD!F:F,"&gt;="&amp;O2Summary!$B$6,WTG_BD!F:F,"&lt;="&amp;O2Summary!$B$4)</f>
        <v>0</v>
      </c>
      <c r="V1245" s="18">
        <f t="shared" si="26"/>
        <v>47</v>
      </c>
    </row>
    <row r="1246" spans="19:22">
      <c r="S1246" s="16">
        <v>3056</v>
      </c>
      <c r="T1246" s="16" t="s">
        <v>1771</v>
      </c>
      <c r="U1246" s="17">
        <f>COUNTIFS(WTG_BD!L:L,'Basic Data'!T1246,WTG_BD!F:F,"&gt;="&amp;O2Summary!$B$6,WTG_BD!F:F,"&lt;="&amp;O2Summary!$B$4)</f>
        <v>0</v>
      </c>
      <c r="V1246" s="18">
        <f t="shared" si="26"/>
        <v>47</v>
      </c>
    </row>
    <row r="1247" spans="19:22">
      <c r="S1247" s="16">
        <v>3057</v>
      </c>
      <c r="T1247" s="16" t="s">
        <v>1772</v>
      </c>
      <c r="U1247" s="17">
        <f>COUNTIFS(WTG_BD!L:L,'Basic Data'!T1247,WTG_BD!F:F,"&gt;="&amp;O2Summary!$B$6,WTG_BD!F:F,"&lt;="&amp;O2Summary!$B$4)</f>
        <v>0</v>
      </c>
      <c r="V1247" s="18">
        <f t="shared" si="26"/>
        <v>47</v>
      </c>
    </row>
    <row r="1248" spans="19:22">
      <c r="S1248" s="16">
        <v>3059</v>
      </c>
      <c r="T1248" s="16" t="s">
        <v>1773</v>
      </c>
      <c r="U1248" s="17">
        <f>COUNTIFS(WTG_BD!L:L,'Basic Data'!T1248,WTG_BD!F:F,"&gt;="&amp;O2Summary!$B$6,WTG_BD!F:F,"&lt;="&amp;O2Summary!$B$4)</f>
        <v>0</v>
      </c>
      <c r="V1248" s="18">
        <f t="shared" si="26"/>
        <v>47</v>
      </c>
    </row>
    <row r="1249" spans="19:22">
      <c r="S1249" s="16">
        <v>3060</v>
      </c>
      <c r="T1249" s="16" t="s">
        <v>1774</v>
      </c>
      <c r="U1249" s="17">
        <f>COUNTIFS(WTG_BD!L:L,'Basic Data'!T1249,WTG_BD!F:F,"&gt;="&amp;O2Summary!$B$6,WTG_BD!F:F,"&lt;="&amp;O2Summary!$B$4)</f>
        <v>0</v>
      </c>
      <c r="V1249" s="18">
        <f t="shared" si="26"/>
        <v>47</v>
      </c>
    </row>
    <row r="1250" spans="19:22">
      <c r="S1250" s="16">
        <v>3061</v>
      </c>
      <c r="T1250" s="16" t="s">
        <v>1775</v>
      </c>
      <c r="U1250" s="17">
        <f>COUNTIFS(WTG_BD!L:L,'Basic Data'!T1250,WTG_BD!F:F,"&gt;="&amp;O2Summary!$B$6,WTG_BD!F:F,"&lt;="&amp;O2Summary!$B$4)</f>
        <v>0</v>
      </c>
      <c r="V1250" s="18">
        <f t="shared" si="26"/>
        <v>47</v>
      </c>
    </row>
    <row r="1251" spans="19:22">
      <c r="S1251" s="16">
        <v>3062</v>
      </c>
      <c r="T1251" s="16" t="s">
        <v>1776</v>
      </c>
      <c r="U1251" s="17">
        <f>COUNTIFS(WTG_BD!L:L,'Basic Data'!T1251,WTG_BD!F:F,"&gt;="&amp;O2Summary!$B$6,WTG_BD!F:F,"&lt;="&amp;O2Summary!$B$4)</f>
        <v>0</v>
      </c>
      <c r="V1251" s="18">
        <f t="shared" si="26"/>
        <v>47</v>
      </c>
    </row>
    <row r="1252" spans="19:22">
      <c r="S1252" s="16">
        <v>3069</v>
      </c>
      <c r="T1252" s="16" t="s">
        <v>1777</v>
      </c>
      <c r="U1252" s="17">
        <f>COUNTIFS(WTG_BD!L:L,'Basic Data'!T1252,WTG_BD!F:F,"&gt;="&amp;O2Summary!$B$6,WTG_BD!F:F,"&lt;="&amp;O2Summary!$B$4)</f>
        <v>0</v>
      </c>
      <c r="V1252" s="18">
        <f t="shared" si="26"/>
        <v>47</v>
      </c>
    </row>
    <row r="1253" spans="19:22">
      <c r="S1253" s="16">
        <v>3070</v>
      </c>
      <c r="T1253" s="16" t="s">
        <v>1778</v>
      </c>
      <c r="U1253" s="17">
        <f>COUNTIFS(WTG_BD!L:L,'Basic Data'!T1253,WTG_BD!F:F,"&gt;="&amp;O2Summary!$B$6,WTG_BD!F:F,"&lt;="&amp;O2Summary!$B$4)</f>
        <v>0</v>
      </c>
      <c r="V1253" s="18">
        <f t="shared" si="26"/>
        <v>47</v>
      </c>
    </row>
    <row r="1254" spans="19:22">
      <c r="S1254" s="16">
        <v>3071</v>
      </c>
      <c r="T1254" s="16" t="s">
        <v>1779</v>
      </c>
      <c r="U1254" s="17">
        <f>COUNTIFS(WTG_BD!L:L,'Basic Data'!T1254,WTG_BD!F:F,"&gt;="&amp;O2Summary!$B$6,WTG_BD!F:F,"&lt;="&amp;O2Summary!$B$4)</f>
        <v>0</v>
      </c>
      <c r="V1254" s="18">
        <f t="shared" si="26"/>
        <v>47</v>
      </c>
    </row>
    <row r="1255" spans="19:22">
      <c r="S1255" s="16">
        <v>3072</v>
      </c>
      <c r="T1255" s="16" t="s">
        <v>1780</v>
      </c>
      <c r="U1255" s="17">
        <f>COUNTIFS(WTG_BD!L:L,'Basic Data'!T1255,WTG_BD!F:F,"&gt;="&amp;O2Summary!$B$6,WTG_BD!F:F,"&lt;="&amp;O2Summary!$B$4)</f>
        <v>0</v>
      </c>
      <c r="V1255" s="18">
        <f t="shared" si="26"/>
        <v>47</v>
      </c>
    </row>
    <row r="1256" spans="19:22">
      <c r="S1256" s="16">
        <v>3073</v>
      </c>
      <c r="T1256" s="16" t="s">
        <v>374</v>
      </c>
      <c r="U1256" s="17">
        <f>COUNTIFS(WTG_BD!L:L,'Basic Data'!T1256,WTG_BD!F:F,"&gt;="&amp;O2Summary!$B$6,WTG_BD!F:F,"&lt;="&amp;O2Summary!$B$4)</f>
        <v>0</v>
      </c>
      <c r="V1256" s="18">
        <f t="shared" si="26"/>
        <v>47</v>
      </c>
    </row>
    <row r="1257" spans="19:22">
      <c r="S1257" s="16">
        <v>3074</v>
      </c>
      <c r="T1257" s="16" t="s">
        <v>1781</v>
      </c>
      <c r="U1257" s="17">
        <f>COUNTIFS(WTG_BD!L:L,'Basic Data'!T1257,WTG_BD!F:F,"&gt;="&amp;O2Summary!$B$6,WTG_BD!F:F,"&lt;="&amp;O2Summary!$B$4)</f>
        <v>0</v>
      </c>
      <c r="V1257" s="18">
        <f t="shared" si="26"/>
        <v>47</v>
      </c>
    </row>
    <row r="1258" spans="19:22">
      <c r="S1258" s="16">
        <v>3075</v>
      </c>
      <c r="T1258" s="16" t="s">
        <v>1782</v>
      </c>
      <c r="U1258" s="17">
        <f>COUNTIFS(WTG_BD!L:L,'Basic Data'!T1258,WTG_BD!F:F,"&gt;="&amp;O2Summary!$B$6,WTG_BD!F:F,"&lt;="&amp;O2Summary!$B$4)</f>
        <v>0</v>
      </c>
      <c r="V1258" s="18">
        <f t="shared" si="26"/>
        <v>47</v>
      </c>
    </row>
    <row r="1259" spans="19:22">
      <c r="S1259" s="16">
        <v>3076</v>
      </c>
      <c r="T1259" s="16" t="s">
        <v>1783</v>
      </c>
      <c r="U1259" s="17">
        <f>COUNTIFS(WTG_BD!L:L,'Basic Data'!T1259,WTG_BD!F:F,"&gt;="&amp;O2Summary!$B$6,WTG_BD!F:F,"&lt;="&amp;O2Summary!$B$4)</f>
        <v>0</v>
      </c>
      <c r="V1259" s="18">
        <f t="shared" si="26"/>
        <v>47</v>
      </c>
    </row>
    <row r="1260" spans="19:22">
      <c r="S1260" s="16">
        <v>3077</v>
      </c>
      <c r="T1260" s="16" t="s">
        <v>1784</v>
      </c>
      <c r="U1260" s="17">
        <f>COUNTIFS(WTG_BD!L:L,'Basic Data'!T1260,WTG_BD!F:F,"&gt;="&amp;O2Summary!$B$6,WTG_BD!F:F,"&lt;="&amp;O2Summary!$B$4)</f>
        <v>0</v>
      </c>
      <c r="V1260" s="18">
        <f t="shared" si="26"/>
        <v>47</v>
      </c>
    </row>
    <row r="1261" spans="19:22">
      <c r="S1261" s="16">
        <v>3078</v>
      </c>
      <c r="T1261" s="16" t="s">
        <v>1785</v>
      </c>
      <c r="U1261" s="17">
        <f>COUNTIFS(WTG_BD!L:L,'Basic Data'!T1261,WTG_BD!F:F,"&gt;="&amp;O2Summary!$B$6,WTG_BD!F:F,"&lt;="&amp;O2Summary!$B$4)</f>
        <v>0</v>
      </c>
      <c r="V1261" s="18">
        <f t="shared" si="26"/>
        <v>47</v>
      </c>
    </row>
    <row r="1262" spans="19:22">
      <c r="S1262" s="16">
        <v>3079</v>
      </c>
      <c r="T1262" s="16" t="s">
        <v>1786</v>
      </c>
      <c r="U1262" s="17">
        <f>COUNTIFS(WTG_BD!L:L,'Basic Data'!T1262,WTG_BD!F:F,"&gt;="&amp;O2Summary!$B$6,WTG_BD!F:F,"&lt;="&amp;O2Summary!$B$4)</f>
        <v>0</v>
      </c>
      <c r="V1262" s="18">
        <f t="shared" si="26"/>
        <v>47</v>
      </c>
    </row>
    <row r="1263" spans="19:22">
      <c r="S1263" s="16">
        <v>3080</v>
      </c>
      <c r="T1263" s="16" t="s">
        <v>1787</v>
      </c>
      <c r="U1263" s="17">
        <f>COUNTIFS(WTG_BD!L:L,'Basic Data'!T1263,WTG_BD!F:F,"&gt;="&amp;O2Summary!$B$6,WTG_BD!F:F,"&lt;="&amp;O2Summary!$B$4)</f>
        <v>0</v>
      </c>
      <c r="V1263" s="18">
        <f t="shared" si="26"/>
        <v>47</v>
      </c>
    </row>
    <row r="1264" spans="19:22">
      <c r="S1264" s="16">
        <v>3081</v>
      </c>
      <c r="T1264" s="16" t="s">
        <v>1788</v>
      </c>
      <c r="U1264" s="17">
        <f>COUNTIFS(WTG_BD!L:L,'Basic Data'!T1264,WTG_BD!F:F,"&gt;="&amp;O2Summary!$B$6,WTG_BD!F:F,"&lt;="&amp;O2Summary!$B$4)</f>
        <v>0</v>
      </c>
      <c r="V1264" s="18">
        <f t="shared" si="26"/>
        <v>47</v>
      </c>
    </row>
    <row r="1265" spans="19:22">
      <c r="S1265" s="16">
        <v>3082</v>
      </c>
      <c r="T1265" s="16" t="s">
        <v>1789</v>
      </c>
      <c r="U1265" s="17">
        <f>COUNTIFS(WTG_BD!L:L,'Basic Data'!T1265,WTG_BD!F:F,"&gt;="&amp;O2Summary!$B$6,WTG_BD!F:F,"&lt;="&amp;O2Summary!$B$4)</f>
        <v>0</v>
      </c>
      <c r="V1265" s="18">
        <f t="shared" si="26"/>
        <v>47</v>
      </c>
    </row>
    <row r="1266" spans="19:22">
      <c r="S1266" s="16">
        <v>3083</v>
      </c>
      <c r="T1266" s="16" t="s">
        <v>1790</v>
      </c>
      <c r="U1266" s="17">
        <f>COUNTIFS(WTG_BD!L:L,'Basic Data'!T1266,WTG_BD!F:F,"&gt;="&amp;O2Summary!$B$6,WTG_BD!F:F,"&lt;="&amp;O2Summary!$B$4)</f>
        <v>0</v>
      </c>
      <c r="V1266" s="18">
        <f t="shared" si="26"/>
        <v>47</v>
      </c>
    </row>
    <row r="1267" spans="19:22">
      <c r="S1267" s="16">
        <v>3084</v>
      </c>
      <c r="T1267" s="16" t="s">
        <v>1791</v>
      </c>
      <c r="U1267" s="17">
        <f>COUNTIFS(WTG_BD!L:L,'Basic Data'!T1267,WTG_BD!F:F,"&gt;="&amp;O2Summary!$B$6,WTG_BD!F:F,"&lt;="&amp;O2Summary!$B$4)</f>
        <v>0</v>
      </c>
      <c r="V1267" s="18">
        <f t="shared" si="26"/>
        <v>47</v>
      </c>
    </row>
    <row r="1268" spans="19:22">
      <c r="S1268" s="16">
        <v>3085</v>
      </c>
      <c r="T1268" s="16" t="s">
        <v>1792</v>
      </c>
      <c r="U1268" s="17">
        <f>COUNTIFS(WTG_BD!L:L,'Basic Data'!T1268,WTG_BD!F:F,"&gt;="&amp;O2Summary!$B$6,WTG_BD!F:F,"&lt;="&amp;O2Summary!$B$4)</f>
        <v>0</v>
      </c>
      <c r="V1268" s="18">
        <f t="shared" si="26"/>
        <v>47</v>
      </c>
    </row>
    <row r="1269" spans="19:22">
      <c r="S1269" s="16">
        <v>3086</v>
      </c>
      <c r="T1269" s="16" t="s">
        <v>1793</v>
      </c>
      <c r="U1269" s="17">
        <f>COUNTIFS(WTG_BD!L:L,'Basic Data'!T1269,WTG_BD!F:F,"&gt;="&amp;O2Summary!$B$6,WTG_BD!F:F,"&lt;="&amp;O2Summary!$B$4)</f>
        <v>0</v>
      </c>
      <c r="V1269" s="18">
        <f t="shared" si="26"/>
        <v>47</v>
      </c>
    </row>
    <row r="1270" spans="19:22">
      <c r="S1270" s="16">
        <v>3087</v>
      </c>
      <c r="T1270" s="16" t="s">
        <v>1794</v>
      </c>
      <c r="U1270" s="17">
        <f>COUNTIFS(WTG_BD!L:L,'Basic Data'!T1270,WTG_BD!F:F,"&gt;="&amp;O2Summary!$B$6,WTG_BD!F:F,"&lt;="&amp;O2Summary!$B$4)</f>
        <v>0</v>
      </c>
      <c r="V1270" s="18">
        <f t="shared" si="26"/>
        <v>47</v>
      </c>
    </row>
    <row r="1271" spans="19:22">
      <c r="S1271" s="16">
        <v>3088</v>
      </c>
      <c r="T1271" s="16" t="s">
        <v>1795</v>
      </c>
      <c r="U1271" s="17">
        <f>COUNTIFS(WTG_BD!L:L,'Basic Data'!T1271,WTG_BD!F:F,"&gt;="&amp;O2Summary!$B$6,WTG_BD!F:F,"&lt;="&amp;O2Summary!$B$4)</f>
        <v>0</v>
      </c>
      <c r="V1271" s="18">
        <f t="shared" si="26"/>
        <v>47</v>
      </c>
    </row>
    <row r="1272" spans="19:22">
      <c r="S1272" s="16">
        <v>3089</v>
      </c>
      <c r="T1272" s="16" t="s">
        <v>1796</v>
      </c>
      <c r="U1272" s="17">
        <f>COUNTIFS(WTG_BD!L:L,'Basic Data'!T1272,WTG_BD!F:F,"&gt;="&amp;O2Summary!$B$6,WTG_BD!F:F,"&lt;="&amp;O2Summary!$B$4)</f>
        <v>0</v>
      </c>
      <c r="V1272" s="18">
        <f t="shared" si="26"/>
        <v>47</v>
      </c>
    </row>
    <row r="1273" spans="19:22">
      <c r="S1273" s="16">
        <v>3091</v>
      </c>
      <c r="T1273" s="16" t="s">
        <v>1797</v>
      </c>
      <c r="U1273" s="17">
        <f>COUNTIFS(WTG_BD!L:L,'Basic Data'!T1273,WTG_BD!F:F,"&gt;="&amp;O2Summary!$B$6,WTG_BD!F:F,"&lt;="&amp;O2Summary!$B$4)</f>
        <v>0</v>
      </c>
      <c r="V1273" s="18">
        <f t="shared" si="26"/>
        <v>47</v>
      </c>
    </row>
    <row r="1274" spans="19:22">
      <c r="S1274" s="16">
        <v>3092</v>
      </c>
      <c r="T1274" s="16" t="s">
        <v>1798</v>
      </c>
      <c r="U1274" s="17">
        <f>COUNTIFS(WTG_BD!L:L,'Basic Data'!T1274,WTG_BD!F:F,"&gt;="&amp;O2Summary!$B$6,WTG_BD!F:F,"&lt;="&amp;O2Summary!$B$4)</f>
        <v>0</v>
      </c>
      <c r="V1274" s="18">
        <f t="shared" si="26"/>
        <v>47</v>
      </c>
    </row>
    <row r="1275" spans="19:22">
      <c r="S1275" s="16">
        <v>3093</v>
      </c>
      <c r="T1275" s="16" t="s">
        <v>1799</v>
      </c>
      <c r="U1275" s="17">
        <f>COUNTIFS(WTG_BD!L:L,'Basic Data'!T1275,WTG_BD!F:F,"&gt;="&amp;O2Summary!$B$6,WTG_BD!F:F,"&lt;="&amp;O2Summary!$B$4)</f>
        <v>0</v>
      </c>
      <c r="V1275" s="18">
        <f t="shared" si="26"/>
        <v>47</v>
      </c>
    </row>
    <row r="1276" spans="19:22">
      <c r="S1276" s="16">
        <v>3094</v>
      </c>
      <c r="T1276" s="16" t="s">
        <v>1800</v>
      </c>
      <c r="U1276" s="17">
        <f>COUNTIFS(WTG_BD!L:L,'Basic Data'!T1276,WTG_BD!F:F,"&gt;="&amp;O2Summary!$B$6,WTG_BD!F:F,"&lt;="&amp;O2Summary!$B$4)</f>
        <v>0</v>
      </c>
      <c r="V1276" s="18">
        <f t="shared" si="26"/>
        <v>47</v>
      </c>
    </row>
    <row r="1277" spans="19:22">
      <c r="S1277" s="16">
        <v>3095</v>
      </c>
      <c r="T1277" s="16" t="s">
        <v>1801</v>
      </c>
      <c r="U1277" s="17">
        <f>COUNTIFS(WTG_BD!L:L,'Basic Data'!T1277,WTG_BD!F:F,"&gt;="&amp;O2Summary!$B$6,WTG_BD!F:F,"&lt;="&amp;O2Summary!$B$4)</f>
        <v>0</v>
      </c>
      <c r="V1277" s="18">
        <f t="shared" si="26"/>
        <v>47</v>
      </c>
    </row>
    <row r="1278" spans="19:22">
      <c r="S1278" s="16">
        <v>3096</v>
      </c>
      <c r="T1278" s="16" t="s">
        <v>1802</v>
      </c>
      <c r="U1278" s="17">
        <f>COUNTIFS(WTG_BD!L:L,'Basic Data'!T1278,WTG_BD!F:F,"&gt;="&amp;O2Summary!$B$6,WTG_BD!F:F,"&lt;="&amp;O2Summary!$B$4)</f>
        <v>0</v>
      </c>
      <c r="V1278" s="18">
        <f t="shared" si="26"/>
        <v>47</v>
      </c>
    </row>
    <row r="1279" spans="19:22">
      <c r="S1279" s="16">
        <v>3097</v>
      </c>
      <c r="T1279" s="16" t="s">
        <v>1803</v>
      </c>
      <c r="U1279" s="17">
        <f>COUNTIFS(WTG_BD!L:L,'Basic Data'!T1279,WTG_BD!F:F,"&gt;="&amp;O2Summary!$B$6,WTG_BD!F:F,"&lt;="&amp;O2Summary!$B$4)</f>
        <v>0</v>
      </c>
      <c r="V1279" s="18">
        <f t="shared" si="26"/>
        <v>47</v>
      </c>
    </row>
    <row r="1280" spans="19:22">
      <c r="S1280" s="16">
        <v>3098</v>
      </c>
      <c r="T1280" s="16" t="s">
        <v>1804</v>
      </c>
      <c r="U1280" s="17">
        <f>COUNTIFS(WTG_BD!L:L,'Basic Data'!T1280,WTG_BD!F:F,"&gt;="&amp;O2Summary!$B$6,WTG_BD!F:F,"&lt;="&amp;O2Summary!$B$4)</f>
        <v>0</v>
      </c>
      <c r="V1280" s="18">
        <f t="shared" si="26"/>
        <v>47</v>
      </c>
    </row>
    <row r="1281" spans="19:22">
      <c r="S1281" s="16">
        <v>3099</v>
      </c>
      <c r="T1281" s="16" t="s">
        <v>1805</v>
      </c>
      <c r="U1281" s="17">
        <f>COUNTIFS(WTG_BD!L:L,'Basic Data'!T1281,WTG_BD!F:F,"&gt;="&amp;O2Summary!$B$6,WTG_BD!F:F,"&lt;="&amp;O2Summary!$B$4)</f>
        <v>0</v>
      </c>
      <c r="V1281" s="18">
        <f t="shared" si="26"/>
        <v>47</v>
      </c>
    </row>
    <row r="1282" spans="19:22">
      <c r="S1282" s="16">
        <v>3100</v>
      </c>
      <c r="T1282" s="16" t="s">
        <v>1806</v>
      </c>
      <c r="U1282" s="17">
        <f>COUNTIFS(WTG_BD!L:L,'Basic Data'!T1282,WTG_BD!F:F,"&gt;="&amp;O2Summary!$B$6,WTG_BD!F:F,"&lt;="&amp;O2Summary!$B$4)</f>
        <v>0</v>
      </c>
      <c r="V1282" s="18">
        <f t="shared" si="26"/>
        <v>47</v>
      </c>
    </row>
    <row r="1283" spans="19:22">
      <c r="S1283" s="16">
        <v>3101</v>
      </c>
      <c r="T1283" s="16" t="s">
        <v>1807</v>
      </c>
      <c r="U1283" s="17">
        <f>COUNTIFS(WTG_BD!L:L,'Basic Data'!T1283,WTG_BD!F:F,"&gt;="&amp;O2Summary!$B$6,WTG_BD!F:F,"&lt;="&amp;O2Summary!$B$4)</f>
        <v>0</v>
      </c>
      <c r="V1283" s="18">
        <f t="shared" ref="V1283:V1346" si="27">RANK(U1283,$U$2:$U$3975)</f>
        <v>47</v>
      </c>
    </row>
    <row r="1284" spans="19:22">
      <c r="S1284" s="16">
        <v>3102</v>
      </c>
      <c r="T1284" s="16" t="s">
        <v>1808</v>
      </c>
      <c r="U1284" s="17">
        <f>COUNTIFS(WTG_BD!L:L,'Basic Data'!T1284,WTG_BD!F:F,"&gt;="&amp;O2Summary!$B$6,WTG_BD!F:F,"&lt;="&amp;O2Summary!$B$4)</f>
        <v>0</v>
      </c>
      <c r="V1284" s="18">
        <f t="shared" si="27"/>
        <v>47</v>
      </c>
    </row>
    <row r="1285" spans="19:22">
      <c r="S1285" s="16">
        <v>3103</v>
      </c>
      <c r="T1285" s="16" t="s">
        <v>1809</v>
      </c>
      <c r="U1285" s="17">
        <f>COUNTIFS(WTG_BD!L:L,'Basic Data'!T1285,WTG_BD!F:F,"&gt;="&amp;O2Summary!$B$6,WTG_BD!F:F,"&lt;="&amp;O2Summary!$B$4)</f>
        <v>0</v>
      </c>
      <c r="V1285" s="18">
        <f t="shared" si="27"/>
        <v>47</v>
      </c>
    </row>
    <row r="1286" spans="19:22">
      <c r="S1286" s="16">
        <v>3104</v>
      </c>
      <c r="T1286" s="16" t="s">
        <v>1810</v>
      </c>
      <c r="U1286" s="17">
        <f>COUNTIFS(WTG_BD!L:L,'Basic Data'!T1286,WTG_BD!F:F,"&gt;="&amp;O2Summary!$B$6,WTG_BD!F:F,"&lt;="&amp;O2Summary!$B$4)</f>
        <v>0</v>
      </c>
      <c r="V1286" s="18">
        <f t="shared" si="27"/>
        <v>47</v>
      </c>
    </row>
    <row r="1287" spans="19:22">
      <c r="S1287" s="16">
        <v>3105</v>
      </c>
      <c r="T1287" s="16" t="s">
        <v>1811</v>
      </c>
      <c r="U1287" s="17">
        <f>COUNTIFS(WTG_BD!L:L,'Basic Data'!T1287,WTG_BD!F:F,"&gt;="&amp;O2Summary!$B$6,WTG_BD!F:F,"&lt;="&amp;O2Summary!$B$4)</f>
        <v>0</v>
      </c>
      <c r="V1287" s="18">
        <f t="shared" si="27"/>
        <v>47</v>
      </c>
    </row>
    <row r="1288" spans="19:22">
      <c r="S1288" s="16">
        <v>3106</v>
      </c>
      <c r="T1288" s="16" t="s">
        <v>1812</v>
      </c>
      <c r="U1288" s="17">
        <f>COUNTIFS(WTG_BD!L:L,'Basic Data'!T1288,WTG_BD!F:F,"&gt;="&amp;O2Summary!$B$6,WTG_BD!F:F,"&lt;="&amp;O2Summary!$B$4)</f>
        <v>0</v>
      </c>
      <c r="V1288" s="18">
        <f t="shared" si="27"/>
        <v>47</v>
      </c>
    </row>
    <row r="1289" spans="19:22">
      <c r="S1289" s="16">
        <v>3107</v>
      </c>
      <c r="T1289" s="16" t="s">
        <v>1813</v>
      </c>
      <c r="U1289" s="17">
        <f>COUNTIFS(WTG_BD!L:L,'Basic Data'!T1289,WTG_BD!F:F,"&gt;="&amp;O2Summary!$B$6,WTG_BD!F:F,"&lt;="&amp;O2Summary!$B$4)</f>
        <v>0</v>
      </c>
      <c r="V1289" s="18">
        <f t="shared" si="27"/>
        <v>47</v>
      </c>
    </row>
    <row r="1290" spans="19:22">
      <c r="S1290" s="16">
        <v>3108</v>
      </c>
      <c r="T1290" s="16" t="s">
        <v>1814</v>
      </c>
      <c r="U1290" s="17">
        <f>COUNTIFS(WTG_BD!L:L,'Basic Data'!T1290,WTG_BD!F:F,"&gt;="&amp;O2Summary!$B$6,WTG_BD!F:F,"&lt;="&amp;O2Summary!$B$4)</f>
        <v>0</v>
      </c>
      <c r="V1290" s="18">
        <f t="shared" si="27"/>
        <v>47</v>
      </c>
    </row>
    <row r="1291" spans="19:22">
      <c r="S1291" s="16">
        <v>3109</v>
      </c>
      <c r="T1291" s="16" t="s">
        <v>1815</v>
      </c>
      <c r="U1291" s="17">
        <f>COUNTIFS(WTG_BD!L:L,'Basic Data'!T1291,WTG_BD!F:F,"&gt;="&amp;O2Summary!$B$6,WTG_BD!F:F,"&lt;="&amp;O2Summary!$B$4)</f>
        <v>0</v>
      </c>
      <c r="V1291" s="18">
        <f t="shared" si="27"/>
        <v>47</v>
      </c>
    </row>
    <row r="1292" spans="19:22">
      <c r="S1292" s="16">
        <v>3110</v>
      </c>
      <c r="T1292" s="16" t="s">
        <v>1816</v>
      </c>
      <c r="U1292" s="17">
        <f>COUNTIFS(WTG_BD!L:L,'Basic Data'!T1292,WTG_BD!F:F,"&gt;="&amp;O2Summary!$B$6,WTG_BD!F:F,"&lt;="&amp;O2Summary!$B$4)</f>
        <v>0</v>
      </c>
      <c r="V1292" s="18">
        <f t="shared" si="27"/>
        <v>47</v>
      </c>
    </row>
    <row r="1293" spans="19:22">
      <c r="S1293" s="16">
        <v>3111</v>
      </c>
      <c r="T1293" s="16" t="s">
        <v>1817</v>
      </c>
      <c r="U1293" s="17">
        <f>COUNTIFS(WTG_BD!L:L,'Basic Data'!T1293,WTG_BD!F:F,"&gt;="&amp;O2Summary!$B$6,WTG_BD!F:F,"&lt;="&amp;O2Summary!$B$4)</f>
        <v>0</v>
      </c>
      <c r="V1293" s="18">
        <f t="shared" si="27"/>
        <v>47</v>
      </c>
    </row>
    <row r="1294" spans="19:22">
      <c r="S1294" s="16">
        <v>3112</v>
      </c>
      <c r="T1294" s="16" t="s">
        <v>1818</v>
      </c>
      <c r="U1294" s="17">
        <f>COUNTIFS(WTG_BD!L:L,'Basic Data'!T1294,WTG_BD!F:F,"&gt;="&amp;O2Summary!$B$6,WTG_BD!F:F,"&lt;="&amp;O2Summary!$B$4)</f>
        <v>0</v>
      </c>
      <c r="V1294" s="18">
        <f t="shared" si="27"/>
        <v>47</v>
      </c>
    </row>
    <row r="1295" spans="19:22">
      <c r="S1295" s="16">
        <v>3113</v>
      </c>
      <c r="T1295" s="16" t="s">
        <v>1819</v>
      </c>
      <c r="U1295" s="17">
        <f>COUNTIFS(WTG_BD!L:L,'Basic Data'!T1295,WTG_BD!F:F,"&gt;="&amp;O2Summary!$B$6,WTG_BD!F:F,"&lt;="&amp;O2Summary!$B$4)</f>
        <v>0</v>
      </c>
      <c r="V1295" s="18">
        <f t="shared" si="27"/>
        <v>47</v>
      </c>
    </row>
    <row r="1296" spans="19:22">
      <c r="S1296" s="16">
        <v>3114</v>
      </c>
      <c r="T1296" s="16" t="s">
        <v>1820</v>
      </c>
      <c r="U1296" s="17">
        <f>COUNTIFS(WTG_BD!L:L,'Basic Data'!T1296,WTG_BD!F:F,"&gt;="&amp;O2Summary!$B$6,WTG_BD!F:F,"&lt;="&amp;O2Summary!$B$4)</f>
        <v>0</v>
      </c>
      <c r="V1296" s="18">
        <f t="shared" si="27"/>
        <v>47</v>
      </c>
    </row>
    <row r="1297" spans="19:22">
      <c r="S1297" s="16">
        <v>3115</v>
      </c>
      <c r="T1297" s="16" t="s">
        <v>1821</v>
      </c>
      <c r="U1297" s="17">
        <f>COUNTIFS(WTG_BD!L:L,'Basic Data'!T1297,WTG_BD!F:F,"&gt;="&amp;O2Summary!$B$6,WTG_BD!F:F,"&lt;="&amp;O2Summary!$B$4)</f>
        <v>0</v>
      </c>
      <c r="V1297" s="18">
        <f t="shared" si="27"/>
        <v>47</v>
      </c>
    </row>
    <row r="1298" spans="19:22">
      <c r="S1298" s="16">
        <v>3116</v>
      </c>
      <c r="T1298" s="16" t="s">
        <v>1822</v>
      </c>
      <c r="U1298" s="17">
        <f>COUNTIFS(WTG_BD!L:L,'Basic Data'!T1298,WTG_BD!F:F,"&gt;="&amp;O2Summary!$B$6,WTG_BD!F:F,"&lt;="&amp;O2Summary!$B$4)</f>
        <v>0</v>
      </c>
      <c r="V1298" s="18">
        <f t="shared" si="27"/>
        <v>47</v>
      </c>
    </row>
    <row r="1299" spans="19:22">
      <c r="S1299" s="16">
        <v>3117</v>
      </c>
      <c r="T1299" s="16" t="s">
        <v>1823</v>
      </c>
      <c r="U1299" s="17">
        <f>COUNTIFS(WTG_BD!L:L,'Basic Data'!T1299,WTG_BD!F:F,"&gt;="&amp;O2Summary!$B$6,WTG_BD!F:F,"&lt;="&amp;O2Summary!$B$4)</f>
        <v>0</v>
      </c>
      <c r="V1299" s="18">
        <f t="shared" si="27"/>
        <v>47</v>
      </c>
    </row>
    <row r="1300" spans="19:22">
      <c r="S1300" s="16">
        <v>3118</v>
      </c>
      <c r="T1300" s="16" t="s">
        <v>1824</v>
      </c>
      <c r="U1300" s="17">
        <f>COUNTIFS(WTG_BD!L:L,'Basic Data'!T1300,WTG_BD!F:F,"&gt;="&amp;O2Summary!$B$6,WTG_BD!F:F,"&lt;="&amp;O2Summary!$B$4)</f>
        <v>0</v>
      </c>
      <c r="V1300" s="18">
        <f t="shared" si="27"/>
        <v>47</v>
      </c>
    </row>
    <row r="1301" spans="19:22">
      <c r="S1301" s="16">
        <v>3119</v>
      </c>
      <c r="T1301" s="16" t="s">
        <v>1825</v>
      </c>
      <c r="U1301" s="17">
        <f>COUNTIFS(WTG_BD!L:L,'Basic Data'!T1301,WTG_BD!F:F,"&gt;="&amp;O2Summary!$B$6,WTG_BD!F:F,"&lt;="&amp;O2Summary!$B$4)</f>
        <v>0</v>
      </c>
      <c r="V1301" s="18">
        <f t="shared" si="27"/>
        <v>47</v>
      </c>
    </row>
    <row r="1302" spans="19:22">
      <c r="S1302" s="16">
        <v>3120</v>
      </c>
      <c r="T1302" s="16" t="s">
        <v>1826</v>
      </c>
      <c r="U1302" s="17">
        <f>COUNTIFS(WTG_BD!L:L,'Basic Data'!T1302,WTG_BD!F:F,"&gt;="&amp;O2Summary!$B$6,WTG_BD!F:F,"&lt;="&amp;O2Summary!$B$4)</f>
        <v>0</v>
      </c>
      <c r="V1302" s="18">
        <f t="shared" si="27"/>
        <v>47</v>
      </c>
    </row>
    <row r="1303" spans="19:22">
      <c r="S1303" s="16">
        <v>3121</v>
      </c>
      <c r="T1303" s="16" t="s">
        <v>1827</v>
      </c>
      <c r="U1303" s="17">
        <f>COUNTIFS(WTG_BD!L:L,'Basic Data'!T1303,WTG_BD!F:F,"&gt;="&amp;O2Summary!$B$6,WTG_BD!F:F,"&lt;="&amp;O2Summary!$B$4)</f>
        <v>0</v>
      </c>
      <c r="V1303" s="18">
        <f t="shared" si="27"/>
        <v>47</v>
      </c>
    </row>
    <row r="1304" spans="19:22">
      <c r="S1304" s="16">
        <v>3122</v>
      </c>
      <c r="T1304" s="16" t="s">
        <v>1828</v>
      </c>
      <c r="U1304" s="17">
        <f>COUNTIFS(WTG_BD!L:L,'Basic Data'!T1304,WTG_BD!F:F,"&gt;="&amp;O2Summary!$B$6,WTG_BD!F:F,"&lt;="&amp;O2Summary!$B$4)</f>
        <v>0</v>
      </c>
      <c r="V1304" s="18">
        <f t="shared" si="27"/>
        <v>47</v>
      </c>
    </row>
    <row r="1305" spans="19:22">
      <c r="S1305" s="16">
        <v>3123</v>
      </c>
      <c r="T1305" s="16" t="s">
        <v>1829</v>
      </c>
      <c r="U1305" s="17">
        <f>COUNTIFS(WTG_BD!L:L,'Basic Data'!T1305,WTG_BD!F:F,"&gt;="&amp;O2Summary!$B$6,WTG_BD!F:F,"&lt;="&amp;O2Summary!$B$4)</f>
        <v>0</v>
      </c>
      <c r="V1305" s="18">
        <f t="shared" si="27"/>
        <v>47</v>
      </c>
    </row>
    <row r="1306" spans="19:22">
      <c r="S1306" s="16">
        <v>3124</v>
      </c>
      <c r="T1306" s="16" t="s">
        <v>1830</v>
      </c>
      <c r="U1306" s="17">
        <f>COUNTIFS(WTG_BD!L:L,'Basic Data'!T1306,WTG_BD!F:F,"&gt;="&amp;O2Summary!$B$6,WTG_BD!F:F,"&lt;="&amp;O2Summary!$B$4)</f>
        <v>0</v>
      </c>
      <c r="V1306" s="18">
        <f t="shared" si="27"/>
        <v>47</v>
      </c>
    </row>
    <row r="1307" spans="19:22">
      <c r="S1307" s="16">
        <v>3125</v>
      </c>
      <c r="T1307" s="16" t="s">
        <v>1831</v>
      </c>
      <c r="U1307" s="17">
        <f>COUNTIFS(WTG_BD!L:L,'Basic Data'!T1307,WTG_BD!F:F,"&gt;="&amp;O2Summary!$B$6,WTG_BD!F:F,"&lt;="&amp;O2Summary!$B$4)</f>
        <v>0</v>
      </c>
      <c r="V1307" s="18">
        <f t="shared" si="27"/>
        <v>47</v>
      </c>
    </row>
    <row r="1308" spans="19:22">
      <c r="S1308" s="16">
        <v>3126</v>
      </c>
      <c r="T1308" s="16" t="s">
        <v>1832</v>
      </c>
      <c r="U1308" s="17">
        <f>COUNTIFS(WTG_BD!L:L,'Basic Data'!T1308,WTG_BD!F:F,"&gt;="&amp;O2Summary!$B$6,WTG_BD!F:F,"&lt;="&amp;O2Summary!$B$4)</f>
        <v>0</v>
      </c>
      <c r="V1308" s="18">
        <f t="shared" si="27"/>
        <v>47</v>
      </c>
    </row>
    <row r="1309" spans="19:22">
      <c r="S1309" s="16">
        <v>3127</v>
      </c>
      <c r="T1309" s="16" t="s">
        <v>1833</v>
      </c>
      <c r="U1309" s="17">
        <f>COUNTIFS(WTG_BD!L:L,'Basic Data'!T1309,WTG_BD!F:F,"&gt;="&amp;O2Summary!$B$6,WTG_BD!F:F,"&lt;="&amp;O2Summary!$B$4)</f>
        <v>0</v>
      </c>
      <c r="V1309" s="18">
        <f t="shared" si="27"/>
        <v>47</v>
      </c>
    </row>
    <row r="1310" spans="19:22">
      <c r="S1310" s="16">
        <v>3128</v>
      </c>
      <c r="T1310" s="16" t="s">
        <v>1833</v>
      </c>
      <c r="U1310" s="17">
        <f>COUNTIFS(WTG_BD!L:L,'Basic Data'!T1310,WTG_BD!F:F,"&gt;="&amp;O2Summary!$B$6,WTG_BD!F:F,"&lt;="&amp;O2Summary!$B$4)</f>
        <v>0</v>
      </c>
      <c r="V1310" s="18">
        <f t="shared" si="27"/>
        <v>47</v>
      </c>
    </row>
    <row r="1311" spans="19:22">
      <c r="S1311" s="26">
        <v>3129</v>
      </c>
      <c r="T1311" s="26" t="s">
        <v>1834</v>
      </c>
      <c r="U1311" s="17">
        <f>COUNTIFS(WTG_BD!L:L,'Basic Data'!T1311,WTG_BD!F:F,"&gt;="&amp;O2Summary!$B$6,WTG_BD!F:F,"&lt;="&amp;O2Summary!$B$4)</f>
        <v>0</v>
      </c>
      <c r="V1311" s="18">
        <f t="shared" si="27"/>
        <v>47</v>
      </c>
    </row>
    <row r="1312" spans="19:22">
      <c r="S1312" s="16">
        <v>3130</v>
      </c>
      <c r="T1312" s="16" t="s">
        <v>1835</v>
      </c>
      <c r="U1312" s="17">
        <f>COUNTIFS(WTG_BD!L:L,'Basic Data'!T1312,WTG_BD!F:F,"&gt;="&amp;O2Summary!$B$6,WTG_BD!F:F,"&lt;="&amp;O2Summary!$B$4)</f>
        <v>0</v>
      </c>
      <c r="V1312" s="18">
        <f t="shared" si="27"/>
        <v>47</v>
      </c>
    </row>
    <row r="1313" spans="19:22">
      <c r="S1313" s="16">
        <v>3131</v>
      </c>
      <c r="T1313" s="16" t="s">
        <v>1836</v>
      </c>
      <c r="U1313" s="17">
        <f>COUNTIFS(WTG_BD!L:L,'Basic Data'!T1313,WTG_BD!F:F,"&gt;="&amp;O2Summary!$B$6,WTG_BD!F:F,"&lt;="&amp;O2Summary!$B$4)</f>
        <v>0</v>
      </c>
      <c r="V1313" s="18">
        <f t="shared" si="27"/>
        <v>47</v>
      </c>
    </row>
    <row r="1314" spans="19:22">
      <c r="S1314" s="16">
        <v>3132</v>
      </c>
      <c r="T1314" s="16" t="s">
        <v>1837</v>
      </c>
      <c r="U1314" s="17">
        <f>COUNTIFS(WTG_BD!L:L,'Basic Data'!T1314,WTG_BD!F:F,"&gt;="&amp;O2Summary!$B$6,WTG_BD!F:F,"&lt;="&amp;O2Summary!$B$4)</f>
        <v>0</v>
      </c>
      <c r="V1314" s="18">
        <f t="shared" si="27"/>
        <v>47</v>
      </c>
    </row>
    <row r="1315" spans="19:22">
      <c r="S1315" s="16">
        <v>3134</v>
      </c>
      <c r="T1315" s="16" t="s">
        <v>1838</v>
      </c>
      <c r="U1315" s="17">
        <f>COUNTIFS(WTG_BD!L:L,'Basic Data'!T1315,WTG_BD!F:F,"&gt;="&amp;O2Summary!$B$6,WTG_BD!F:F,"&lt;="&amp;O2Summary!$B$4)</f>
        <v>0</v>
      </c>
      <c r="V1315" s="18">
        <f t="shared" si="27"/>
        <v>47</v>
      </c>
    </row>
    <row r="1316" spans="19:22">
      <c r="S1316" s="16">
        <v>3135</v>
      </c>
      <c r="T1316" s="16" t="s">
        <v>1839</v>
      </c>
      <c r="U1316" s="17">
        <f>COUNTIFS(WTG_BD!L:L,'Basic Data'!T1316,WTG_BD!F:F,"&gt;="&amp;O2Summary!$B$6,WTG_BD!F:F,"&lt;="&amp;O2Summary!$B$4)</f>
        <v>0</v>
      </c>
      <c r="V1316" s="18">
        <f t="shared" si="27"/>
        <v>47</v>
      </c>
    </row>
    <row r="1317" spans="19:22">
      <c r="S1317" s="16">
        <v>3136</v>
      </c>
      <c r="T1317" s="16" t="s">
        <v>1840</v>
      </c>
      <c r="U1317" s="17">
        <f>COUNTIFS(WTG_BD!L:L,'Basic Data'!T1317,WTG_BD!F:F,"&gt;="&amp;O2Summary!$B$6,WTG_BD!F:F,"&lt;="&amp;O2Summary!$B$4)</f>
        <v>0</v>
      </c>
      <c r="V1317" s="18">
        <f t="shared" si="27"/>
        <v>47</v>
      </c>
    </row>
    <row r="1318" spans="19:22">
      <c r="S1318" s="16">
        <v>3137</v>
      </c>
      <c r="T1318" s="16" t="s">
        <v>1841</v>
      </c>
      <c r="U1318" s="17">
        <f>COUNTIFS(WTG_BD!L:L,'Basic Data'!T1318,WTG_BD!F:F,"&gt;="&amp;O2Summary!$B$6,WTG_BD!F:F,"&lt;="&amp;O2Summary!$B$4)</f>
        <v>0</v>
      </c>
      <c r="V1318" s="18">
        <f t="shared" si="27"/>
        <v>47</v>
      </c>
    </row>
    <row r="1319" spans="19:22">
      <c r="S1319" s="16">
        <v>3138</v>
      </c>
      <c r="T1319" s="16" t="s">
        <v>1842</v>
      </c>
      <c r="U1319" s="17">
        <f>COUNTIFS(WTG_BD!L:L,'Basic Data'!T1319,WTG_BD!F:F,"&gt;="&amp;O2Summary!$B$6,WTG_BD!F:F,"&lt;="&amp;O2Summary!$B$4)</f>
        <v>0</v>
      </c>
      <c r="V1319" s="18">
        <f t="shared" si="27"/>
        <v>47</v>
      </c>
    </row>
    <row r="1320" spans="19:22">
      <c r="S1320" s="16">
        <v>3139</v>
      </c>
      <c r="T1320" s="16" t="s">
        <v>1843</v>
      </c>
      <c r="U1320" s="17">
        <f>COUNTIFS(WTG_BD!L:L,'Basic Data'!T1320,WTG_BD!F:F,"&gt;="&amp;O2Summary!$B$6,WTG_BD!F:F,"&lt;="&amp;O2Summary!$B$4)</f>
        <v>0</v>
      </c>
      <c r="V1320" s="18">
        <f t="shared" si="27"/>
        <v>47</v>
      </c>
    </row>
    <row r="1321" spans="19:22">
      <c r="S1321" s="16">
        <v>3140</v>
      </c>
      <c r="T1321" s="16" t="s">
        <v>1844</v>
      </c>
      <c r="U1321" s="17">
        <f>COUNTIFS(WTG_BD!L:L,'Basic Data'!T1321,WTG_BD!F:F,"&gt;="&amp;O2Summary!$B$6,WTG_BD!F:F,"&lt;="&amp;O2Summary!$B$4)</f>
        <v>0</v>
      </c>
      <c r="V1321" s="18">
        <f t="shared" si="27"/>
        <v>47</v>
      </c>
    </row>
    <row r="1322" spans="19:22">
      <c r="S1322" s="16">
        <v>3141</v>
      </c>
      <c r="T1322" s="16" t="s">
        <v>1845</v>
      </c>
      <c r="U1322" s="17">
        <f>COUNTIFS(WTG_BD!L:L,'Basic Data'!T1322,WTG_BD!F:F,"&gt;="&amp;O2Summary!$B$6,WTG_BD!F:F,"&lt;="&amp;O2Summary!$B$4)</f>
        <v>0</v>
      </c>
      <c r="V1322" s="18">
        <f t="shared" si="27"/>
        <v>47</v>
      </c>
    </row>
    <row r="1323" spans="19:22">
      <c r="S1323" s="16">
        <v>3143</v>
      </c>
      <c r="T1323" s="16" t="s">
        <v>1846</v>
      </c>
      <c r="U1323" s="17">
        <f>COUNTIFS(WTG_BD!L:L,'Basic Data'!T1323,WTG_BD!F:F,"&gt;="&amp;O2Summary!$B$6,WTG_BD!F:F,"&lt;="&amp;O2Summary!$B$4)</f>
        <v>0</v>
      </c>
      <c r="V1323" s="18">
        <f t="shared" si="27"/>
        <v>47</v>
      </c>
    </row>
    <row r="1324" spans="19:22">
      <c r="S1324" s="16">
        <v>3144</v>
      </c>
      <c r="T1324" s="16" t="s">
        <v>1847</v>
      </c>
      <c r="U1324" s="17">
        <f>COUNTIFS(WTG_BD!L:L,'Basic Data'!T1324,WTG_BD!F:F,"&gt;="&amp;O2Summary!$B$6,WTG_BD!F:F,"&lt;="&amp;O2Summary!$B$4)</f>
        <v>0</v>
      </c>
      <c r="V1324" s="18">
        <f t="shared" si="27"/>
        <v>47</v>
      </c>
    </row>
    <row r="1325" spans="19:22">
      <c r="S1325" s="16">
        <v>3145</v>
      </c>
      <c r="T1325" s="16" t="s">
        <v>1848</v>
      </c>
      <c r="U1325" s="17">
        <f>COUNTIFS(WTG_BD!L:L,'Basic Data'!T1325,WTG_BD!F:F,"&gt;="&amp;O2Summary!$B$6,WTG_BD!F:F,"&lt;="&amp;O2Summary!$B$4)</f>
        <v>0</v>
      </c>
      <c r="V1325" s="18">
        <f t="shared" si="27"/>
        <v>47</v>
      </c>
    </row>
    <row r="1326" spans="19:22">
      <c r="S1326" s="16">
        <v>3146</v>
      </c>
      <c r="T1326" s="16" t="s">
        <v>1849</v>
      </c>
      <c r="U1326" s="17">
        <f>COUNTIFS(WTG_BD!L:L,'Basic Data'!T1326,WTG_BD!F:F,"&gt;="&amp;O2Summary!$B$6,WTG_BD!F:F,"&lt;="&amp;O2Summary!$B$4)</f>
        <v>0</v>
      </c>
      <c r="V1326" s="18">
        <f t="shared" si="27"/>
        <v>47</v>
      </c>
    </row>
    <row r="1327" spans="19:22">
      <c r="S1327" s="16">
        <v>3147</v>
      </c>
      <c r="T1327" s="16" t="s">
        <v>1850</v>
      </c>
      <c r="U1327" s="17">
        <f>COUNTIFS(WTG_BD!L:L,'Basic Data'!T1327,WTG_BD!F:F,"&gt;="&amp;O2Summary!$B$6,WTG_BD!F:F,"&lt;="&amp;O2Summary!$B$4)</f>
        <v>0</v>
      </c>
      <c r="V1327" s="18">
        <f t="shared" si="27"/>
        <v>47</v>
      </c>
    </row>
    <row r="1328" spans="19:22">
      <c r="S1328" s="16">
        <v>3148</v>
      </c>
      <c r="T1328" s="16" t="s">
        <v>1851</v>
      </c>
      <c r="U1328" s="17">
        <f>COUNTIFS(WTG_BD!L:L,'Basic Data'!T1328,WTG_BD!F:F,"&gt;="&amp;O2Summary!$B$6,WTG_BD!F:F,"&lt;="&amp;O2Summary!$B$4)</f>
        <v>0</v>
      </c>
      <c r="V1328" s="18">
        <f t="shared" si="27"/>
        <v>47</v>
      </c>
    </row>
    <row r="1329" spans="19:22">
      <c r="S1329" s="16">
        <v>3149</v>
      </c>
      <c r="T1329" s="16" t="s">
        <v>1852</v>
      </c>
      <c r="U1329" s="17">
        <f>COUNTIFS(WTG_BD!L:L,'Basic Data'!T1329,WTG_BD!F:F,"&gt;="&amp;O2Summary!$B$6,WTG_BD!F:F,"&lt;="&amp;O2Summary!$B$4)</f>
        <v>0</v>
      </c>
      <c r="V1329" s="18">
        <f t="shared" si="27"/>
        <v>47</v>
      </c>
    </row>
    <row r="1330" spans="19:22">
      <c r="S1330" s="16">
        <v>3150</v>
      </c>
      <c r="T1330" s="16" t="s">
        <v>1853</v>
      </c>
      <c r="U1330" s="17">
        <f>COUNTIFS(WTG_BD!L:L,'Basic Data'!T1330,WTG_BD!F:F,"&gt;="&amp;O2Summary!$B$6,WTG_BD!F:F,"&lt;="&amp;O2Summary!$B$4)</f>
        <v>0</v>
      </c>
      <c r="V1330" s="18">
        <f t="shared" si="27"/>
        <v>47</v>
      </c>
    </row>
    <row r="1331" spans="19:22">
      <c r="S1331" s="16">
        <v>3151</v>
      </c>
      <c r="T1331" s="16" t="s">
        <v>1854</v>
      </c>
      <c r="U1331" s="17">
        <f>COUNTIFS(WTG_BD!L:L,'Basic Data'!T1331,WTG_BD!F:F,"&gt;="&amp;O2Summary!$B$6,WTG_BD!F:F,"&lt;="&amp;O2Summary!$B$4)</f>
        <v>0</v>
      </c>
      <c r="V1331" s="18">
        <f t="shared" si="27"/>
        <v>47</v>
      </c>
    </row>
    <row r="1332" spans="19:22">
      <c r="S1332" s="16">
        <v>3152</v>
      </c>
      <c r="T1332" s="16" t="s">
        <v>1855</v>
      </c>
      <c r="U1332" s="17">
        <f>COUNTIFS(WTG_BD!L:L,'Basic Data'!T1332,WTG_BD!F:F,"&gt;="&amp;O2Summary!$B$6,WTG_BD!F:F,"&lt;="&amp;O2Summary!$B$4)</f>
        <v>0</v>
      </c>
      <c r="V1332" s="18">
        <f t="shared" si="27"/>
        <v>47</v>
      </c>
    </row>
    <row r="1333" spans="19:22">
      <c r="S1333" s="16">
        <v>3153</v>
      </c>
      <c r="T1333" s="16" t="s">
        <v>1856</v>
      </c>
      <c r="U1333" s="17">
        <f>COUNTIFS(WTG_BD!L:L,'Basic Data'!T1333,WTG_BD!F:F,"&gt;="&amp;O2Summary!$B$6,WTG_BD!F:F,"&lt;="&amp;O2Summary!$B$4)</f>
        <v>0</v>
      </c>
      <c r="V1333" s="18">
        <f t="shared" si="27"/>
        <v>47</v>
      </c>
    </row>
    <row r="1334" spans="19:22">
      <c r="S1334" s="16">
        <v>3154</v>
      </c>
      <c r="T1334" s="16" t="s">
        <v>1857</v>
      </c>
      <c r="U1334" s="17">
        <f>COUNTIFS(WTG_BD!L:L,'Basic Data'!T1334,WTG_BD!F:F,"&gt;="&amp;O2Summary!$B$6,WTG_BD!F:F,"&lt;="&amp;O2Summary!$B$4)</f>
        <v>0</v>
      </c>
      <c r="V1334" s="18">
        <f t="shared" si="27"/>
        <v>47</v>
      </c>
    </row>
    <row r="1335" spans="19:22">
      <c r="S1335" s="16">
        <v>3155</v>
      </c>
      <c r="T1335" s="16" t="s">
        <v>1858</v>
      </c>
      <c r="U1335" s="17">
        <f>COUNTIFS(WTG_BD!L:L,'Basic Data'!T1335,WTG_BD!F:F,"&gt;="&amp;O2Summary!$B$6,WTG_BD!F:F,"&lt;="&amp;O2Summary!$B$4)</f>
        <v>0</v>
      </c>
      <c r="V1335" s="18">
        <f t="shared" si="27"/>
        <v>47</v>
      </c>
    </row>
    <row r="1336" spans="19:22">
      <c r="S1336" s="16">
        <v>3156</v>
      </c>
      <c r="T1336" s="16" t="s">
        <v>1859</v>
      </c>
      <c r="U1336" s="17">
        <f>COUNTIFS(WTG_BD!L:L,'Basic Data'!T1336,WTG_BD!F:F,"&gt;="&amp;O2Summary!$B$6,WTG_BD!F:F,"&lt;="&amp;O2Summary!$B$4)</f>
        <v>0</v>
      </c>
      <c r="V1336" s="18">
        <f t="shared" si="27"/>
        <v>47</v>
      </c>
    </row>
    <row r="1337" spans="19:22">
      <c r="S1337" s="16">
        <v>3157</v>
      </c>
      <c r="T1337" s="16" t="s">
        <v>1860</v>
      </c>
      <c r="U1337" s="17">
        <f>COUNTIFS(WTG_BD!L:L,'Basic Data'!T1337,WTG_BD!F:F,"&gt;="&amp;O2Summary!$B$6,WTG_BD!F:F,"&lt;="&amp;O2Summary!$B$4)</f>
        <v>0</v>
      </c>
      <c r="V1337" s="18">
        <f t="shared" si="27"/>
        <v>47</v>
      </c>
    </row>
    <row r="1338" spans="19:22">
      <c r="S1338" s="16">
        <v>3158</v>
      </c>
      <c r="T1338" s="16" t="s">
        <v>1861</v>
      </c>
      <c r="U1338" s="17">
        <f>COUNTIFS(WTG_BD!L:L,'Basic Data'!T1338,WTG_BD!F:F,"&gt;="&amp;O2Summary!$B$6,WTG_BD!F:F,"&lt;="&amp;O2Summary!$B$4)</f>
        <v>0</v>
      </c>
      <c r="V1338" s="18">
        <f t="shared" si="27"/>
        <v>47</v>
      </c>
    </row>
    <row r="1339" spans="19:22">
      <c r="S1339" s="16">
        <v>3159</v>
      </c>
      <c r="T1339" s="16" t="s">
        <v>1862</v>
      </c>
      <c r="U1339" s="17">
        <f>COUNTIFS(WTG_BD!L:L,'Basic Data'!T1339,WTG_BD!F:F,"&gt;="&amp;O2Summary!$B$6,WTG_BD!F:F,"&lt;="&amp;O2Summary!$B$4)</f>
        <v>0</v>
      </c>
      <c r="V1339" s="18">
        <f t="shared" si="27"/>
        <v>47</v>
      </c>
    </row>
    <row r="1340" spans="19:22">
      <c r="S1340" s="16">
        <v>3160</v>
      </c>
      <c r="T1340" s="16" t="s">
        <v>1863</v>
      </c>
      <c r="U1340" s="17">
        <f>COUNTIFS(WTG_BD!L:L,'Basic Data'!T1340,WTG_BD!F:F,"&gt;="&amp;O2Summary!$B$6,WTG_BD!F:F,"&lt;="&amp;O2Summary!$B$4)</f>
        <v>0</v>
      </c>
      <c r="V1340" s="18">
        <f t="shared" si="27"/>
        <v>47</v>
      </c>
    </row>
    <row r="1341" spans="19:22">
      <c r="S1341" s="16">
        <v>3161</v>
      </c>
      <c r="T1341" s="16" t="s">
        <v>1864</v>
      </c>
      <c r="U1341" s="17">
        <f>COUNTIFS(WTG_BD!L:L,'Basic Data'!T1341,WTG_BD!F:F,"&gt;="&amp;O2Summary!$B$6,WTG_BD!F:F,"&lt;="&amp;O2Summary!$B$4)</f>
        <v>0</v>
      </c>
      <c r="V1341" s="18">
        <f t="shared" si="27"/>
        <v>47</v>
      </c>
    </row>
    <row r="1342" spans="19:22">
      <c r="S1342" s="16">
        <v>3162</v>
      </c>
      <c r="T1342" s="16" t="s">
        <v>1865</v>
      </c>
      <c r="U1342" s="17">
        <f>COUNTIFS(WTG_BD!L:L,'Basic Data'!T1342,WTG_BD!F:F,"&gt;="&amp;O2Summary!$B$6,WTG_BD!F:F,"&lt;="&amp;O2Summary!$B$4)</f>
        <v>0</v>
      </c>
      <c r="V1342" s="18">
        <f t="shared" si="27"/>
        <v>47</v>
      </c>
    </row>
    <row r="1343" spans="19:22">
      <c r="S1343" s="16">
        <v>3163</v>
      </c>
      <c r="T1343" s="16" t="s">
        <v>1866</v>
      </c>
      <c r="U1343" s="17">
        <f>COUNTIFS(WTG_BD!L:L,'Basic Data'!T1343,WTG_BD!F:F,"&gt;="&amp;O2Summary!$B$6,WTG_BD!F:F,"&lt;="&amp;O2Summary!$B$4)</f>
        <v>0</v>
      </c>
      <c r="V1343" s="18">
        <f t="shared" si="27"/>
        <v>47</v>
      </c>
    </row>
    <row r="1344" spans="19:22">
      <c r="S1344" s="16">
        <v>3164</v>
      </c>
      <c r="T1344" s="16" t="s">
        <v>1867</v>
      </c>
      <c r="U1344" s="17">
        <f>COUNTIFS(WTG_BD!L:L,'Basic Data'!T1344,WTG_BD!F:F,"&gt;="&amp;O2Summary!$B$6,WTG_BD!F:F,"&lt;="&amp;O2Summary!$B$4)</f>
        <v>0</v>
      </c>
      <c r="V1344" s="18">
        <f t="shared" si="27"/>
        <v>47</v>
      </c>
    </row>
    <row r="1345" spans="19:22">
      <c r="S1345" s="16">
        <v>3165</v>
      </c>
      <c r="T1345" s="16" t="s">
        <v>1868</v>
      </c>
      <c r="U1345" s="17">
        <f>COUNTIFS(WTG_BD!L:L,'Basic Data'!T1345,WTG_BD!F:F,"&gt;="&amp;O2Summary!$B$6,WTG_BD!F:F,"&lt;="&amp;O2Summary!$B$4)</f>
        <v>0</v>
      </c>
      <c r="V1345" s="18">
        <f t="shared" si="27"/>
        <v>47</v>
      </c>
    </row>
    <row r="1346" spans="19:22">
      <c r="S1346" s="16">
        <v>3166</v>
      </c>
      <c r="T1346" s="16" t="s">
        <v>1869</v>
      </c>
      <c r="U1346" s="17">
        <f>COUNTIFS(WTG_BD!L:L,'Basic Data'!T1346,WTG_BD!F:F,"&gt;="&amp;O2Summary!$B$6,WTG_BD!F:F,"&lt;="&amp;O2Summary!$B$4)</f>
        <v>0</v>
      </c>
      <c r="V1346" s="18">
        <f t="shared" si="27"/>
        <v>47</v>
      </c>
    </row>
    <row r="1347" spans="19:22">
      <c r="S1347" s="16">
        <v>3172</v>
      </c>
      <c r="T1347" s="16" t="s">
        <v>1870</v>
      </c>
      <c r="U1347" s="17">
        <f>COUNTIFS(WTG_BD!L:L,'Basic Data'!T1347,WTG_BD!F:F,"&gt;="&amp;O2Summary!$B$6,WTG_BD!F:F,"&lt;="&amp;O2Summary!$B$4)</f>
        <v>0</v>
      </c>
      <c r="V1347" s="18">
        <f t="shared" ref="V1347:V1410" si="28">RANK(U1347,$U$2:$U$3975)</f>
        <v>47</v>
      </c>
    </row>
    <row r="1348" spans="19:22">
      <c r="S1348" s="16">
        <v>3173</v>
      </c>
      <c r="T1348" s="16" t="s">
        <v>1871</v>
      </c>
      <c r="U1348" s="17">
        <f>COUNTIFS(WTG_BD!L:L,'Basic Data'!T1348,WTG_BD!F:F,"&gt;="&amp;O2Summary!$B$6,WTG_BD!F:F,"&lt;="&amp;O2Summary!$B$4)</f>
        <v>0</v>
      </c>
      <c r="V1348" s="18">
        <f t="shared" si="28"/>
        <v>47</v>
      </c>
    </row>
    <row r="1349" spans="19:22">
      <c r="S1349" s="16">
        <v>3174</v>
      </c>
      <c r="T1349" s="16" t="s">
        <v>1872</v>
      </c>
      <c r="U1349" s="17">
        <f>COUNTIFS(WTG_BD!L:L,'Basic Data'!T1349,WTG_BD!F:F,"&gt;="&amp;O2Summary!$B$6,WTG_BD!F:F,"&lt;="&amp;O2Summary!$B$4)</f>
        <v>0</v>
      </c>
      <c r="V1349" s="18">
        <f t="shared" si="28"/>
        <v>47</v>
      </c>
    </row>
    <row r="1350" spans="19:22">
      <c r="S1350" s="16">
        <v>3175</v>
      </c>
      <c r="T1350" s="16" t="s">
        <v>1873</v>
      </c>
      <c r="U1350" s="17">
        <f>COUNTIFS(WTG_BD!L:L,'Basic Data'!T1350,WTG_BD!F:F,"&gt;="&amp;O2Summary!$B$6,WTG_BD!F:F,"&lt;="&amp;O2Summary!$B$4)</f>
        <v>0</v>
      </c>
      <c r="V1350" s="18">
        <f t="shared" si="28"/>
        <v>47</v>
      </c>
    </row>
    <row r="1351" spans="19:22">
      <c r="S1351" s="16">
        <v>3178</v>
      </c>
      <c r="T1351" s="16" t="s">
        <v>1874</v>
      </c>
      <c r="U1351" s="17">
        <f>COUNTIFS(WTG_BD!L:L,'Basic Data'!T1351,WTG_BD!F:F,"&gt;="&amp;O2Summary!$B$6,WTG_BD!F:F,"&lt;="&amp;O2Summary!$B$4)</f>
        <v>0</v>
      </c>
      <c r="V1351" s="18">
        <f t="shared" si="28"/>
        <v>47</v>
      </c>
    </row>
    <row r="1352" spans="19:22">
      <c r="S1352" s="16">
        <v>3179</v>
      </c>
      <c r="T1352" s="16" t="s">
        <v>1875</v>
      </c>
      <c r="U1352" s="17">
        <f>COUNTIFS(WTG_BD!L:L,'Basic Data'!T1352,WTG_BD!F:F,"&gt;="&amp;O2Summary!$B$6,WTG_BD!F:F,"&lt;="&amp;O2Summary!$B$4)</f>
        <v>0</v>
      </c>
      <c r="V1352" s="18">
        <f t="shared" si="28"/>
        <v>47</v>
      </c>
    </row>
    <row r="1353" spans="19:22">
      <c r="S1353" s="16">
        <v>3180</v>
      </c>
      <c r="T1353" s="16" t="s">
        <v>1876</v>
      </c>
      <c r="U1353" s="17">
        <f>COUNTIFS(WTG_BD!L:L,'Basic Data'!T1353,WTG_BD!F:F,"&gt;="&amp;O2Summary!$B$6,WTG_BD!F:F,"&lt;="&amp;O2Summary!$B$4)</f>
        <v>0</v>
      </c>
      <c r="V1353" s="18">
        <f t="shared" si="28"/>
        <v>47</v>
      </c>
    </row>
    <row r="1354" spans="19:22">
      <c r="S1354" s="16">
        <v>3181</v>
      </c>
      <c r="T1354" s="16" t="s">
        <v>1876</v>
      </c>
      <c r="U1354" s="17">
        <f>COUNTIFS(WTG_BD!L:L,'Basic Data'!T1354,WTG_BD!F:F,"&gt;="&amp;O2Summary!$B$6,WTG_BD!F:F,"&lt;="&amp;O2Summary!$B$4)</f>
        <v>0</v>
      </c>
      <c r="V1354" s="18">
        <f t="shared" si="28"/>
        <v>47</v>
      </c>
    </row>
    <row r="1355" spans="19:22">
      <c r="S1355" s="16">
        <v>3182</v>
      </c>
      <c r="T1355" s="16" t="s">
        <v>1877</v>
      </c>
      <c r="U1355" s="17">
        <f>COUNTIFS(WTG_BD!L:L,'Basic Data'!T1355,WTG_BD!F:F,"&gt;="&amp;O2Summary!$B$6,WTG_BD!F:F,"&lt;="&amp;O2Summary!$B$4)</f>
        <v>0</v>
      </c>
      <c r="V1355" s="18">
        <f t="shared" si="28"/>
        <v>47</v>
      </c>
    </row>
    <row r="1356" spans="19:22">
      <c r="S1356" s="16">
        <v>3184</v>
      </c>
      <c r="T1356" s="16" t="s">
        <v>1878</v>
      </c>
      <c r="U1356" s="17">
        <f>COUNTIFS(WTG_BD!L:L,'Basic Data'!T1356,WTG_BD!F:F,"&gt;="&amp;O2Summary!$B$6,WTG_BD!F:F,"&lt;="&amp;O2Summary!$B$4)</f>
        <v>0</v>
      </c>
      <c r="V1356" s="18">
        <f t="shared" si="28"/>
        <v>47</v>
      </c>
    </row>
    <row r="1357" spans="19:22">
      <c r="S1357" s="26">
        <v>3185</v>
      </c>
      <c r="T1357" s="26" t="s">
        <v>1879</v>
      </c>
      <c r="U1357" s="17">
        <f>COUNTIFS(WTG_BD!L:L,'Basic Data'!T1357,WTG_BD!F:F,"&gt;="&amp;O2Summary!$B$6,WTG_BD!F:F,"&lt;="&amp;O2Summary!$B$4)</f>
        <v>0</v>
      </c>
      <c r="V1357" s="18">
        <f t="shared" si="28"/>
        <v>47</v>
      </c>
    </row>
    <row r="1358" spans="19:22">
      <c r="S1358" s="16">
        <v>3186</v>
      </c>
      <c r="T1358" s="16" t="s">
        <v>1880</v>
      </c>
      <c r="U1358" s="17">
        <f>COUNTIFS(WTG_BD!L:L,'Basic Data'!T1358,WTG_BD!F:F,"&gt;="&amp;O2Summary!$B$6,WTG_BD!F:F,"&lt;="&amp;O2Summary!$B$4)</f>
        <v>0</v>
      </c>
      <c r="V1358" s="18">
        <f t="shared" si="28"/>
        <v>47</v>
      </c>
    </row>
    <row r="1359" spans="19:22">
      <c r="S1359" s="16">
        <v>3187</v>
      </c>
      <c r="T1359" s="16" t="s">
        <v>1881</v>
      </c>
      <c r="U1359" s="17">
        <f>COUNTIFS(WTG_BD!L:L,'Basic Data'!T1359,WTG_BD!F:F,"&gt;="&amp;O2Summary!$B$6,WTG_BD!F:F,"&lt;="&amp;O2Summary!$B$4)</f>
        <v>0</v>
      </c>
      <c r="V1359" s="18">
        <f t="shared" si="28"/>
        <v>47</v>
      </c>
    </row>
    <row r="1360" spans="19:22">
      <c r="S1360" s="16">
        <v>3188</v>
      </c>
      <c r="T1360" s="16" t="s">
        <v>1882</v>
      </c>
      <c r="U1360" s="17">
        <f>COUNTIFS(WTG_BD!L:L,'Basic Data'!T1360,WTG_BD!F:F,"&gt;="&amp;O2Summary!$B$6,WTG_BD!F:F,"&lt;="&amp;O2Summary!$B$4)</f>
        <v>0</v>
      </c>
      <c r="V1360" s="18">
        <f t="shared" si="28"/>
        <v>47</v>
      </c>
    </row>
    <row r="1361" spans="19:22">
      <c r="S1361" s="16">
        <v>3189</v>
      </c>
      <c r="T1361" s="16" t="s">
        <v>1883</v>
      </c>
      <c r="U1361" s="17">
        <f>COUNTIFS(WTG_BD!L:L,'Basic Data'!T1361,WTG_BD!F:F,"&gt;="&amp;O2Summary!$B$6,WTG_BD!F:F,"&lt;="&amp;O2Summary!$B$4)</f>
        <v>0</v>
      </c>
      <c r="V1361" s="18">
        <f t="shared" si="28"/>
        <v>47</v>
      </c>
    </row>
    <row r="1362" spans="19:22">
      <c r="S1362" s="16">
        <v>3190</v>
      </c>
      <c r="T1362" s="16" t="s">
        <v>1884</v>
      </c>
      <c r="U1362" s="17">
        <f>COUNTIFS(WTG_BD!L:L,'Basic Data'!T1362,WTG_BD!F:F,"&gt;="&amp;O2Summary!$B$6,WTG_BD!F:F,"&lt;="&amp;O2Summary!$B$4)</f>
        <v>0</v>
      </c>
      <c r="V1362" s="18">
        <f t="shared" si="28"/>
        <v>47</v>
      </c>
    </row>
    <row r="1363" spans="19:22">
      <c r="S1363" s="16">
        <v>3191</v>
      </c>
      <c r="T1363" s="16" t="s">
        <v>1885</v>
      </c>
      <c r="U1363" s="17">
        <f>COUNTIFS(WTG_BD!L:L,'Basic Data'!T1363,WTG_BD!F:F,"&gt;="&amp;O2Summary!$B$6,WTG_BD!F:F,"&lt;="&amp;O2Summary!$B$4)</f>
        <v>0</v>
      </c>
      <c r="V1363" s="18">
        <f t="shared" si="28"/>
        <v>47</v>
      </c>
    </row>
    <row r="1364" spans="19:22">
      <c r="S1364" s="16">
        <v>3192</v>
      </c>
      <c r="T1364" s="16" t="s">
        <v>1886</v>
      </c>
      <c r="U1364" s="17">
        <f>COUNTIFS(WTG_BD!L:L,'Basic Data'!T1364,WTG_BD!F:F,"&gt;="&amp;O2Summary!$B$6,WTG_BD!F:F,"&lt;="&amp;O2Summary!$B$4)</f>
        <v>0</v>
      </c>
      <c r="V1364" s="18">
        <f t="shared" si="28"/>
        <v>47</v>
      </c>
    </row>
    <row r="1365" spans="19:22">
      <c r="S1365" s="16">
        <v>3193</v>
      </c>
      <c r="T1365" s="16" t="s">
        <v>1887</v>
      </c>
      <c r="U1365" s="17">
        <f>COUNTIFS(WTG_BD!L:L,'Basic Data'!T1365,WTG_BD!F:F,"&gt;="&amp;O2Summary!$B$6,WTG_BD!F:F,"&lt;="&amp;O2Summary!$B$4)</f>
        <v>0</v>
      </c>
      <c r="V1365" s="18">
        <f t="shared" si="28"/>
        <v>47</v>
      </c>
    </row>
    <row r="1366" spans="19:22">
      <c r="S1366" s="16">
        <v>3194</v>
      </c>
      <c r="T1366" s="16" t="s">
        <v>1888</v>
      </c>
      <c r="U1366" s="17">
        <f>COUNTIFS(WTG_BD!L:L,'Basic Data'!T1366,WTG_BD!F:F,"&gt;="&amp;O2Summary!$B$6,WTG_BD!F:F,"&lt;="&amp;O2Summary!$B$4)</f>
        <v>0</v>
      </c>
      <c r="V1366" s="18">
        <f t="shared" si="28"/>
        <v>47</v>
      </c>
    </row>
    <row r="1367" spans="19:22">
      <c r="S1367" s="16">
        <v>3195</v>
      </c>
      <c r="T1367" s="16" t="s">
        <v>1889</v>
      </c>
      <c r="U1367" s="17">
        <f>COUNTIFS(WTG_BD!L:L,'Basic Data'!T1367,WTG_BD!F:F,"&gt;="&amp;O2Summary!$B$6,WTG_BD!F:F,"&lt;="&amp;O2Summary!$B$4)</f>
        <v>0</v>
      </c>
      <c r="V1367" s="18">
        <f t="shared" si="28"/>
        <v>47</v>
      </c>
    </row>
    <row r="1368" spans="19:22">
      <c r="S1368" s="16">
        <v>3196</v>
      </c>
      <c r="T1368" s="16" t="s">
        <v>1890</v>
      </c>
      <c r="U1368" s="17">
        <f>COUNTIFS(WTG_BD!L:L,'Basic Data'!T1368,WTG_BD!F:F,"&gt;="&amp;O2Summary!$B$6,WTG_BD!F:F,"&lt;="&amp;O2Summary!$B$4)</f>
        <v>0</v>
      </c>
      <c r="V1368" s="18">
        <f t="shared" si="28"/>
        <v>47</v>
      </c>
    </row>
    <row r="1369" spans="19:22">
      <c r="S1369" s="16">
        <v>3197</v>
      </c>
      <c r="T1369" s="16" t="s">
        <v>1891</v>
      </c>
      <c r="U1369" s="17">
        <f>COUNTIFS(WTG_BD!L:L,'Basic Data'!T1369,WTG_BD!F:F,"&gt;="&amp;O2Summary!$B$6,WTG_BD!F:F,"&lt;="&amp;O2Summary!$B$4)</f>
        <v>0</v>
      </c>
      <c r="V1369" s="18">
        <f t="shared" si="28"/>
        <v>47</v>
      </c>
    </row>
    <row r="1370" spans="19:22">
      <c r="S1370" s="16">
        <v>3198</v>
      </c>
      <c r="T1370" s="16" t="s">
        <v>1892</v>
      </c>
      <c r="U1370" s="17">
        <f>COUNTIFS(WTG_BD!L:L,'Basic Data'!T1370,WTG_BD!F:F,"&gt;="&amp;O2Summary!$B$6,WTG_BD!F:F,"&lt;="&amp;O2Summary!$B$4)</f>
        <v>0</v>
      </c>
      <c r="V1370" s="18">
        <f t="shared" si="28"/>
        <v>47</v>
      </c>
    </row>
    <row r="1371" spans="19:22">
      <c r="S1371" s="16">
        <v>3199</v>
      </c>
      <c r="T1371" s="16" t="s">
        <v>1893</v>
      </c>
      <c r="U1371" s="17">
        <f>COUNTIFS(WTG_BD!L:L,'Basic Data'!T1371,WTG_BD!F:F,"&gt;="&amp;O2Summary!$B$6,WTG_BD!F:F,"&lt;="&amp;O2Summary!$B$4)</f>
        <v>0</v>
      </c>
      <c r="V1371" s="18">
        <f t="shared" si="28"/>
        <v>47</v>
      </c>
    </row>
    <row r="1372" spans="19:22">
      <c r="S1372" s="16">
        <v>3200</v>
      </c>
      <c r="T1372" s="16" t="s">
        <v>1894</v>
      </c>
      <c r="U1372" s="17">
        <f>COUNTIFS(WTG_BD!L:L,'Basic Data'!T1372,WTG_BD!F:F,"&gt;="&amp;O2Summary!$B$6,WTG_BD!F:F,"&lt;="&amp;O2Summary!$B$4)</f>
        <v>0</v>
      </c>
      <c r="V1372" s="18">
        <f t="shared" si="28"/>
        <v>47</v>
      </c>
    </row>
    <row r="1373" spans="19:22">
      <c r="S1373" s="16">
        <v>3201</v>
      </c>
      <c r="T1373" s="16" t="s">
        <v>1895</v>
      </c>
      <c r="U1373" s="17">
        <f>COUNTIFS(WTG_BD!L:L,'Basic Data'!T1373,WTG_BD!F:F,"&gt;="&amp;O2Summary!$B$6,WTG_BD!F:F,"&lt;="&amp;O2Summary!$B$4)</f>
        <v>0</v>
      </c>
      <c r="V1373" s="18">
        <f t="shared" si="28"/>
        <v>47</v>
      </c>
    </row>
    <row r="1374" spans="19:22">
      <c r="S1374" s="16">
        <v>3202</v>
      </c>
      <c r="T1374" s="16" t="s">
        <v>1896</v>
      </c>
      <c r="U1374" s="17">
        <f>COUNTIFS(WTG_BD!L:L,'Basic Data'!T1374,WTG_BD!F:F,"&gt;="&amp;O2Summary!$B$6,WTG_BD!F:F,"&lt;="&amp;O2Summary!$B$4)</f>
        <v>0</v>
      </c>
      <c r="V1374" s="18">
        <f t="shared" si="28"/>
        <v>47</v>
      </c>
    </row>
    <row r="1375" spans="19:22">
      <c r="S1375" s="16">
        <v>3203</v>
      </c>
      <c r="T1375" s="16" t="s">
        <v>1897</v>
      </c>
      <c r="U1375" s="17">
        <f>COUNTIFS(WTG_BD!L:L,'Basic Data'!T1375,WTG_BD!F:F,"&gt;="&amp;O2Summary!$B$6,WTG_BD!F:F,"&lt;="&amp;O2Summary!$B$4)</f>
        <v>0</v>
      </c>
      <c r="V1375" s="18">
        <f t="shared" si="28"/>
        <v>47</v>
      </c>
    </row>
    <row r="1376" spans="19:22">
      <c r="S1376" s="26">
        <v>3204</v>
      </c>
      <c r="T1376" s="26" t="s">
        <v>1898</v>
      </c>
      <c r="U1376" s="17">
        <f>COUNTIFS(WTG_BD!L:L,'Basic Data'!T1376,WTG_BD!F:F,"&gt;="&amp;O2Summary!$B$6,WTG_BD!F:F,"&lt;="&amp;O2Summary!$B$4)</f>
        <v>0</v>
      </c>
      <c r="V1376" s="18">
        <f t="shared" si="28"/>
        <v>47</v>
      </c>
    </row>
    <row r="1377" spans="19:22">
      <c r="S1377" s="16">
        <v>3205</v>
      </c>
      <c r="T1377" s="16" t="s">
        <v>1899</v>
      </c>
      <c r="U1377" s="17">
        <f>COUNTIFS(WTG_BD!L:L,'Basic Data'!T1377,WTG_BD!F:F,"&gt;="&amp;O2Summary!$B$6,WTG_BD!F:F,"&lt;="&amp;O2Summary!$B$4)</f>
        <v>0</v>
      </c>
      <c r="V1377" s="18">
        <f t="shared" si="28"/>
        <v>47</v>
      </c>
    </row>
    <row r="1378" spans="19:22">
      <c r="S1378" s="16">
        <v>3206</v>
      </c>
      <c r="T1378" s="16" t="s">
        <v>1900</v>
      </c>
      <c r="U1378" s="17">
        <f>COUNTIFS(WTG_BD!L:L,'Basic Data'!T1378,WTG_BD!F:F,"&gt;="&amp;O2Summary!$B$6,WTG_BD!F:F,"&lt;="&amp;O2Summary!$B$4)</f>
        <v>0</v>
      </c>
      <c r="V1378" s="18">
        <f t="shared" si="28"/>
        <v>47</v>
      </c>
    </row>
    <row r="1379" spans="19:22">
      <c r="S1379" s="26">
        <v>3207</v>
      </c>
      <c r="T1379" s="26" t="s">
        <v>1901</v>
      </c>
      <c r="U1379" s="17">
        <f>COUNTIFS(WTG_BD!L:L,'Basic Data'!T1379,WTG_BD!F:F,"&gt;="&amp;O2Summary!$B$6,WTG_BD!F:F,"&lt;="&amp;O2Summary!$B$4)</f>
        <v>0</v>
      </c>
      <c r="V1379" s="18">
        <f t="shared" si="28"/>
        <v>47</v>
      </c>
    </row>
    <row r="1380" spans="19:22">
      <c r="S1380" s="26">
        <v>3208</v>
      </c>
      <c r="T1380" s="26" t="s">
        <v>1902</v>
      </c>
      <c r="U1380" s="17">
        <f>COUNTIFS(WTG_BD!L:L,'Basic Data'!T1380,WTG_BD!F:F,"&gt;="&amp;O2Summary!$B$6,WTG_BD!F:F,"&lt;="&amp;O2Summary!$B$4)</f>
        <v>0</v>
      </c>
      <c r="V1380" s="18">
        <f t="shared" si="28"/>
        <v>47</v>
      </c>
    </row>
    <row r="1381" spans="19:22">
      <c r="S1381" s="16">
        <v>3209</v>
      </c>
      <c r="T1381" s="16" t="s">
        <v>353</v>
      </c>
      <c r="U1381" s="17">
        <f>COUNTIFS(WTG_BD!L:L,'Basic Data'!T1381,WTG_BD!F:F,"&gt;="&amp;O2Summary!$B$6,WTG_BD!F:F,"&lt;="&amp;O2Summary!$B$4)</f>
        <v>0</v>
      </c>
      <c r="V1381" s="18">
        <f t="shared" si="28"/>
        <v>47</v>
      </c>
    </row>
    <row r="1382" spans="19:22">
      <c r="S1382" s="16">
        <v>3210</v>
      </c>
      <c r="T1382" s="16" t="s">
        <v>1903</v>
      </c>
      <c r="U1382" s="17">
        <f>COUNTIFS(WTG_BD!L:L,'Basic Data'!T1382,WTG_BD!F:F,"&gt;="&amp;O2Summary!$B$6,WTG_BD!F:F,"&lt;="&amp;O2Summary!$B$4)</f>
        <v>0</v>
      </c>
      <c r="V1382" s="18">
        <f t="shared" si="28"/>
        <v>47</v>
      </c>
    </row>
    <row r="1383" spans="19:22">
      <c r="S1383" s="16">
        <v>3211</v>
      </c>
      <c r="T1383" s="16" t="s">
        <v>1904</v>
      </c>
      <c r="U1383" s="17">
        <f>COUNTIFS(WTG_BD!L:L,'Basic Data'!T1383,WTG_BD!F:F,"&gt;="&amp;O2Summary!$B$6,WTG_BD!F:F,"&lt;="&amp;O2Summary!$B$4)</f>
        <v>0</v>
      </c>
      <c r="V1383" s="18">
        <f t="shared" si="28"/>
        <v>47</v>
      </c>
    </row>
    <row r="1384" spans="19:22">
      <c r="S1384" s="16">
        <v>3212</v>
      </c>
      <c r="T1384" s="16" t="s">
        <v>1905</v>
      </c>
      <c r="U1384" s="17">
        <f>COUNTIFS(WTG_BD!L:L,'Basic Data'!T1384,WTG_BD!F:F,"&gt;="&amp;O2Summary!$B$6,WTG_BD!F:F,"&lt;="&amp;O2Summary!$B$4)</f>
        <v>0</v>
      </c>
      <c r="V1384" s="18">
        <f t="shared" si="28"/>
        <v>47</v>
      </c>
    </row>
    <row r="1385" spans="19:22">
      <c r="S1385" s="16">
        <v>3213</v>
      </c>
      <c r="T1385" s="16" t="s">
        <v>1906</v>
      </c>
      <c r="U1385" s="17">
        <f>COUNTIFS(WTG_BD!L:L,'Basic Data'!T1385,WTG_BD!F:F,"&gt;="&amp;O2Summary!$B$6,WTG_BD!F:F,"&lt;="&amp;O2Summary!$B$4)</f>
        <v>0</v>
      </c>
      <c r="V1385" s="18">
        <f t="shared" si="28"/>
        <v>47</v>
      </c>
    </row>
    <row r="1386" spans="19:22">
      <c r="S1386" s="16">
        <v>3214</v>
      </c>
      <c r="T1386" s="16" t="s">
        <v>1907</v>
      </c>
      <c r="U1386" s="17">
        <f>COUNTIFS(WTG_BD!L:L,'Basic Data'!T1386,WTG_BD!F:F,"&gt;="&amp;O2Summary!$B$6,WTG_BD!F:F,"&lt;="&amp;O2Summary!$B$4)</f>
        <v>0</v>
      </c>
      <c r="V1386" s="18">
        <f t="shared" si="28"/>
        <v>47</v>
      </c>
    </row>
    <row r="1387" spans="19:22">
      <c r="S1387" s="16">
        <v>3215</v>
      </c>
      <c r="T1387" s="16" t="s">
        <v>1908</v>
      </c>
      <c r="U1387" s="17">
        <f>COUNTIFS(WTG_BD!L:L,'Basic Data'!T1387,WTG_BD!F:F,"&gt;="&amp;O2Summary!$B$6,WTG_BD!F:F,"&lt;="&amp;O2Summary!$B$4)</f>
        <v>0</v>
      </c>
      <c r="V1387" s="18">
        <f t="shared" si="28"/>
        <v>47</v>
      </c>
    </row>
    <row r="1388" spans="19:22">
      <c r="S1388" s="16">
        <v>3216</v>
      </c>
      <c r="T1388" s="16" t="s">
        <v>1909</v>
      </c>
      <c r="U1388" s="17">
        <f>COUNTIFS(WTG_BD!L:L,'Basic Data'!T1388,WTG_BD!F:F,"&gt;="&amp;O2Summary!$B$6,WTG_BD!F:F,"&lt;="&amp;O2Summary!$B$4)</f>
        <v>0</v>
      </c>
      <c r="V1388" s="18">
        <f t="shared" si="28"/>
        <v>47</v>
      </c>
    </row>
    <row r="1389" spans="19:22">
      <c r="S1389" s="16">
        <v>3217</v>
      </c>
      <c r="T1389" s="16" t="s">
        <v>1910</v>
      </c>
      <c r="U1389" s="17">
        <f>COUNTIFS(WTG_BD!L:L,'Basic Data'!T1389,WTG_BD!F:F,"&gt;="&amp;O2Summary!$B$6,WTG_BD!F:F,"&lt;="&amp;O2Summary!$B$4)</f>
        <v>0</v>
      </c>
      <c r="V1389" s="18">
        <f t="shared" si="28"/>
        <v>47</v>
      </c>
    </row>
    <row r="1390" spans="19:22">
      <c r="S1390" s="16">
        <v>3218</v>
      </c>
      <c r="T1390" s="16" t="s">
        <v>1911</v>
      </c>
      <c r="U1390" s="17">
        <f>COUNTIFS(WTG_BD!L:L,'Basic Data'!T1390,WTG_BD!F:F,"&gt;="&amp;O2Summary!$B$6,WTG_BD!F:F,"&lt;="&amp;O2Summary!$B$4)</f>
        <v>0</v>
      </c>
      <c r="V1390" s="18">
        <f t="shared" si="28"/>
        <v>47</v>
      </c>
    </row>
    <row r="1391" spans="19:22">
      <c r="S1391" s="16">
        <v>3219</v>
      </c>
      <c r="T1391" s="16" t="s">
        <v>1912</v>
      </c>
      <c r="U1391" s="17">
        <f>COUNTIFS(WTG_BD!L:L,'Basic Data'!T1391,WTG_BD!F:F,"&gt;="&amp;O2Summary!$B$6,WTG_BD!F:F,"&lt;="&amp;O2Summary!$B$4)</f>
        <v>0</v>
      </c>
      <c r="V1391" s="18">
        <f t="shared" si="28"/>
        <v>47</v>
      </c>
    </row>
    <row r="1392" spans="19:22">
      <c r="S1392" s="26">
        <v>3220</v>
      </c>
      <c r="T1392" s="26" t="s">
        <v>1913</v>
      </c>
      <c r="U1392" s="17">
        <f>COUNTIFS(WTG_BD!L:L,'Basic Data'!T1392,WTG_BD!F:F,"&gt;="&amp;O2Summary!$B$6,WTG_BD!F:F,"&lt;="&amp;O2Summary!$B$4)</f>
        <v>0</v>
      </c>
      <c r="V1392" s="18">
        <f t="shared" si="28"/>
        <v>47</v>
      </c>
    </row>
    <row r="1393" spans="19:22">
      <c r="S1393" s="16">
        <v>3221</v>
      </c>
      <c r="T1393" s="16" t="s">
        <v>1914</v>
      </c>
      <c r="U1393" s="17">
        <f>COUNTIFS(WTG_BD!L:L,'Basic Data'!T1393,WTG_BD!F:F,"&gt;="&amp;O2Summary!$B$6,WTG_BD!F:F,"&lt;="&amp;O2Summary!$B$4)</f>
        <v>0</v>
      </c>
      <c r="V1393" s="18">
        <f t="shared" si="28"/>
        <v>47</v>
      </c>
    </row>
    <row r="1394" spans="19:22">
      <c r="S1394" s="16">
        <v>3222</v>
      </c>
      <c r="T1394" s="16" t="s">
        <v>1915</v>
      </c>
      <c r="U1394" s="17">
        <f>COUNTIFS(WTG_BD!L:L,'Basic Data'!T1394,WTG_BD!F:F,"&gt;="&amp;O2Summary!$B$6,WTG_BD!F:F,"&lt;="&amp;O2Summary!$B$4)</f>
        <v>0</v>
      </c>
      <c r="V1394" s="18">
        <f t="shared" si="28"/>
        <v>47</v>
      </c>
    </row>
    <row r="1395" spans="19:22">
      <c r="S1395" s="16">
        <v>3223</v>
      </c>
      <c r="T1395" s="16" t="s">
        <v>1916</v>
      </c>
      <c r="U1395" s="17">
        <f>COUNTIFS(WTG_BD!L:L,'Basic Data'!T1395,WTG_BD!F:F,"&gt;="&amp;O2Summary!$B$6,WTG_BD!F:F,"&lt;="&amp;O2Summary!$B$4)</f>
        <v>0</v>
      </c>
      <c r="V1395" s="18">
        <f t="shared" si="28"/>
        <v>47</v>
      </c>
    </row>
    <row r="1396" spans="19:22">
      <c r="S1396" s="16">
        <v>3224</v>
      </c>
      <c r="T1396" s="16" t="s">
        <v>1917</v>
      </c>
      <c r="U1396" s="17">
        <f>COUNTIFS(WTG_BD!L:L,'Basic Data'!T1396,WTG_BD!F:F,"&gt;="&amp;O2Summary!$B$6,WTG_BD!F:F,"&lt;="&amp;O2Summary!$B$4)</f>
        <v>0</v>
      </c>
      <c r="V1396" s="18">
        <f t="shared" si="28"/>
        <v>47</v>
      </c>
    </row>
    <row r="1397" spans="19:22">
      <c r="S1397" s="16">
        <v>3225</v>
      </c>
      <c r="T1397" s="16" t="s">
        <v>1918</v>
      </c>
      <c r="U1397" s="17">
        <f>COUNTIFS(WTG_BD!L:L,'Basic Data'!T1397,WTG_BD!F:F,"&gt;="&amp;O2Summary!$B$6,WTG_BD!F:F,"&lt;="&amp;O2Summary!$B$4)</f>
        <v>0</v>
      </c>
      <c r="V1397" s="18">
        <f t="shared" si="28"/>
        <v>47</v>
      </c>
    </row>
    <row r="1398" spans="19:22">
      <c r="S1398" s="16">
        <v>3226</v>
      </c>
      <c r="T1398" s="16" t="s">
        <v>1919</v>
      </c>
      <c r="U1398" s="17">
        <f>COUNTIFS(WTG_BD!L:L,'Basic Data'!T1398,WTG_BD!F:F,"&gt;="&amp;O2Summary!$B$6,WTG_BD!F:F,"&lt;="&amp;O2Summary!$B$4)</f>
        <v>0</v>
      </c>
      <c r="V1398" s="18">
        <f t="shared" si="28"/>
        <v>47</v>
      </c>
    </row>
    <row r="1399" spans="19:22">
      <c r="S1399" s="16">
        <v>3228</v>
      </c>
      <c r="T1399" s="16" t="s">
        <v>1920</v>
      </c>
      <c r="U1399" s="17">
        <f>COUNTIFS(WTG_BD!L:L,'Basic Data'!T1399,WTG_BD!F:F,"&gt;="&amp;O2Summary!$B$6,WTG_BD!F:F,"&lt;="&amp;O2Summary!$B$4)</f>
        <v>0</v>
      </c>
      <c r="V1399" s="18">
        <f t="shared" si="28"/>
        <v>47</v>
      </c>
    </row>
    <row r="1400" spans="19:22">
      <c r="S1400" s="16">
        <v>3229</v>
      </c>
      <c r="T1400" s="16" t="s">
        <v>1921</v>
      </c>
      <c r="U1400" s="17">
        <f>COUNTIFS(WTG_BD!L:L,'Basic Data'!T1400,WTG_BD!F:F,"&gt;="&amp;O2Summary!$B$6,WTG_BD!F:F,"&lt;="&amp;O2Summary!$B$4)</f>
        <v>0</v>
      </c>
      <c r="V1400" s="18">
        <f t="shared" si="28"/>
        <v>47</v>
      </c>
    </row>
    <row r="1401" spans="19:22">
      <c r="S1401" s="16">
        <v>3230</v>
      </c>
      <c r="T1401" s="16" t="s">
        <v>1922</v>
      </c>
      <c r="U1401" s="17">
        <f>COUNTIFS(WTG_BD!L:L,'Basic Data'!T1401,WTG_BD!F:F,"&gt;="&amp;O2Summary!$B$6,WTG_BD!F:F,"&lt;="&amp;O2Summary!$B$4)</f>
        <v>0</v>
      </c>
      <c r="V1401" s="18">
        <f t="shared" si="28"/>
        <v>47</v>
      </c>
    </row>
    <row r="1402" spans="19:22">
      <c r="S1402" s="26">
        <v>3231</v>
      </c>
      <c r="T1402" s="26" t="s">
        <v>1923</v>
      </c>
      <c r="U1402" s="17">
        <f>COUNTIFS(WTG_BD!L:L,'Basic Data'!T1402,WTG_BD!F:F,"&gt;="&amp;O2Summary!$B$6,WTG_BD!F:F,"&lt;="&amp;O2Summary!$B$4)</f>
        <v>0</v>
      </c>
      <c r="V1402" s="18">
        <f t="shared" si="28"/>
        <v>47</v>
      </c>
    </row>
    <row r="1403" spans="19:22">
      <c r="S1403" s="16">
        <v>3232</v>
      </c>
      <c r="T1403" s="16" t="s">
        <v>1924</v>
      </c>
      <c r="U1403" s="17">
        <f>COUNTIFS(WTG_BD!L:L,'Basic Data'!T1403,WTG_BD!F:F,"&gt;="&amp;O2Summary!$B$6,WTG_BD!F:F,"&lt;="&amp;O2Summary!$B$4)</f>
        <v>0</v>
      </c>
      <c r="V1403" s="18">
        <f t="shared" si="28"/>
        <v>47</v>
      </c>
    </row>
    <row r="1404" spans="19:22">
      <c r="S1404" s="16">
        <v>3233</v>
      </c>
      <c r="T1404" s="16" t="s">
        <v>1925</v>
      </c>
      <c r="U1404" s="17">
        <f>COUNTIFS(WTG_BD!L:L,'Basic Data'!T1404,WTG_BD!F:F,"&gt;="&amp;O2Summary!$B$6,WTG_BD!F:F,"&lt;="&amp;O2Summary!$B$4)</f>
        <v>0</v>
      </c>
      <c r="V1404" s="18">
        <f t="shared" si="28"/>
        <v>47</v>
      </c>
    </row>
    <row r="1405" spans="19:22">
      <c r="S1405" s="16">
        <v>3234</v>
      </c>
      <c r="T1405" s="16" t="s">
        <v>1926</v>
      </c>
      <c r="U1405" s="17">
        <f>COUNTIFS(WTG_BD!L:L,'Basic Data'!T1405,WTG_BD!F:F,"&gt;="&amp;O2Summary!$B$6,WTG_BD!F:F,"&lt;="&amp;O2Summary!$B$4)</f>
        <v>0</v>
      </c>
      <c r="V1405" s="18">
        <f t="shared" si="28"/>
        <v>47</v>
      </c>
    </row>
    <row r="1406" spans="19:22">
      <c r="S1406" s="16">
        <v>3235</v>
      </c>
      <c r="T1406" s="16" t="s">
        <v>1927</v>
      </c>
      <c r="U1406" s="17">
        <f>COUNTIFS(WTG_BD!L:L,'Basic Data'!T1406,WTG_BD!F:F,"&gt;="&amp;O2Summary!$B$6,WTG_BD!F:F,"&lt;="&amp;O2Summary!$B$4)</f>
        <v>0</v>
      </c>
      <c r="V1406" s="18">
        <f t="shared" si="28"/>
        <v>47</v>
      </c>
    </row>
    <row r="1407" spans="19:22">
      <c r="S1407" s="16">
        <v>3236</v>
      </c>
      <c r="T1407" s="16" t="s">
        <v>1928</v>
      </c>
      <c r="U1407" s="17">
        <f>COUNTIFS(WTG_BD!L:L,'Basic Data'!T1407,WTG_BD!F:F,"&gt;="&amp;O2Summary!$B$6,WTG_BD!F:F,"&lt;="&amp;O2Summary!$B$4)</f>
        <v>0</v>
      </c>
      <c r="V1407" s="18">
        <f t="shared" si="28"/>
        <v>47</v>
      </c>
    </row>
    <row r="1408" spans="19:22">
      <c r="S1408" s="26">
        <v>3237</v>
      </c>
      <c r="T1408" s="26" t="s">
        <v>1929</v>
      </c>
      <c r="U1408" s="17">
        <f>COUNTIFS(WTG_BD!L:L,'Basic Data'!T1408,WTG_BD!F:F,"&gt;="&amp;O2Summary!$B$6,WTG_BD!F:F,"&lt;="&amp;O2Summary!$B$4)</f>
        <v>0</v>
      </c>
      <c r="V1408" s="18">
        <f t="shared" si="28"/>
        <v>47</v>
      </c>
    </row>
    <row r="1409" spans="19:22">
      <c r="S1409" s="16">
        <v>3238</v>
      </c>
      <c r="T1409" s="16" t="s">
        <v>1930</v>
      </c>
      <c r="U1409" s="17">
        <f>COUNTIFS(WTG_BD!L:L,'Basic Data'!T1409,WTG_BD!F:F,"&gt;="&amp;O2Summary!$B$6,WTG_BD!F:F,"&lt;="&amp;O2Summary!$B$4)</f>
        <v>0</v>
      </c>
      <c r="V1409" s="18">
        <f t="shared" si="28"/>
        <v>47</v>
      </c>
    </row>
    <row r="1410" spans="19:22">
      <c r="S1410" s="16">
        <v>3239</v>
      </c>
      <c r="T1410" s="16" t="s">
        <v>1931</v>
      </c>
      <c r="U1410" s="17">
        <f>COUNTIFS(WTG_BD!L:L,'Basic Data'!T1410,WTG_BD!F:F,"&gt;="&amp;O2Summary!$B$6,WTG_BD!F:F,"&lt;="&amp;O2Summary!$B$4)</f>
        <v>0</v>
      </c>
      <c r="V1410" s="18">
        <f t="shared" si="28"/>
        <v>47</v>
      </c>
    </row>
    <row r="1411" spans="19:22">
      <c r="S1411" s="26">
        <v>3240</v>
      </c>
      <c r="T1411" s="26" t="s">
        <v>1932</v>
      </c>
      <c r="U1411" s="17">
        <f>COUNTIFS(WTG_BD!L:L,'Basic Data'!T1411,WTG_BD!F:F,"&gt;="&amp;O2Summary!$B$6,WTG_BD!F:F,"&lt;="&amp;O2Summary!$B$4)</f>
        <v>0</v>
      </c>
      <c r="V1411" s="18">
        <f t="shared" ref="V1411:V1474" si="29">RANK(U1411,$U$2:$U$3975)</f>
        <v>47</v>
      </c>
    </row>
    <row r="1412" spans="19:22">
      <c r="S1412" s="16">
        <v>3241</v>
      </c>
      <c r="T1412" s="16" t="s">
        <v>1933</v>
      </c>
      <c r="U1412" s="17">
        <f>COUNTIFS(WTG_BD!L:L,'Basic Data'!T1412,WTG_BD!F:F,"&gt;="&amp;O2Summary!$B$6,WTG_BD!F:F,"&lt;="&amp;O2Summary!$B$4)</f>
        <v>0</v>
      </c>
      <c r="V1412" s="18">
        <f t="shared" si="29"/>
        <v>47</v>
      </c>
    </row>
    <row r="1413" spans="19:22">
      <c r="S1413" s="26">
        <v>3242</v>
      </c>
      <c r="T1413" s="26" t="s">
        <v>1934</v>
      </c>
      <c r="U1413" s="17">
        <f>COUNTIFS(WTG_BD!L:L,'Basic Data'!T1413,WTG_BD!F:F,"&gt;="&amp;O2Summary!$B$6,WTG_BD!F:F,"&lt;="&amp;O2Summary!$B$4)</f>
        <v>0</v>
      </c>
      <c r="V1413" s="18">
        <f t="shared" si="29"/>
        <v>47</v>
      </c>
    </row>
    <row r="1414" spans="19:22">
      <c r="S1414" s="16">
        <v>3243</v>
      </c>
      <c r="T1414" s="16" t="s">
        <v>1935</v>
      </c>
      <c r="U1414" s="17">
        <f>COUNTIFS(WTG_BD!L:L,'Basic Data'!T1414,WTG_BD!F:F,"&gt;="&amp;O2Summary!$B$6,WTG_BD!F:F,"&lt;="&amp;O2Summary!$B$4)</f>
        <v>0</v>
      </c>
      <c r="V1414" s="18">
        <f t="shared" si="29"/>
        <v>47</v>
      </c>
    </row>
    <row r="1415" spans="19:22">
      <c r="S1415" s="16">
        <v>3244</v>
      </c>
      <c r="T1415" s="16" t="s">
        <v>1936</v>
      </c>
      <c r="U1415" s="17">
        <f>COUNTIFS(WTG_BD!L:L,'Basic Data'!T1415,WTG_BD!F:F,"&gt;="&amp;O2Summary!$B$6,WTG_BD!F:F,"&lt;="&amp;O2Summary!$B$4)</f>
        <v>0</v>
      </c>
      <c r="V1415" s="18">
        <f t="shared" si="29"/>
        <v>47</v>
      </c>
    </row>
    <row r="1416" spans="19:22">
      <c r="S1416" s="16">
        <v>3245</v>
      </c>
      <c r="T1416" s="16" t="s">
        <v>1937</v>
      </c>
      <c r="U1416" s="17">
        <f>COUNTIFS(WTG_BD!L:L,'Basic Data'!T1416,WTG_BD!F:F,"&gt;="&amp;O2Summary!$B$6,WTG_BD!F:F,"&lt;="&amp;O2Summary!$B$4)</f>
        <v>0</v>
      </c>
      <c r="V1416" s="18">
        <f t="shared" si="29"/>
        <v>47</v>
      </c>
    </row>
    <row r="1417" spans="19:22">
      <c r="S1417" s="16">
        <v>3246</v>
      </c>
      <c r="T1417" s="16" t="s">
        <v>1938</v>
      </c>
      <c r="U1417" s="17">
        <f>COUNTIFS(WTG_BD!L:L,'Basic Data'!T1417,WTG_BD!F:F,"&gt;="&amp;O2Summary!$B$6,WTG_BD!F:F,"&lt;="&amp;O2Summary!$B$4)</f>
        <v>0</v>
      </c>
      <c r="V1417" s="18">
        <f t="shared" si="29"/>
        <v>47</v>
      </c>
    </row>
    <row r="1418" spans="19:22">
      <c r="S1418" s="16">
        <v>3247</v>
      </c>
      <c r="T1418" s="16" t="s">
        <v>1939</v>
      </c>
      <c r="U1418" s="17">
        <f>COUNTIFS(WTG_BD!L:L,'Basic Data'!T1418,WTG_BD!F:F,"&gt;="&amp;O2Summary!$B$6,WTG_BD!F:F,"&lt;="&amp;O2Summary!$B$4)</f>
        <v>0</v>
      </c>
      <c r="V1418" s="18">
        <f t="shared" si="29"/>
        <v>47</v>
      </c>
    </row>
    <row r="1419" spans="19:22">
      <c r="S1419" s="26">
        <v>3248</v>
      </c>
      <c r="T1419" s="26" t="s">
        <v>1940</v>
      </c>
      <c r="U1419" s="17">
        <f>COUNTIFS(WTG_BD!L:L,'Basic Data'!T1419,WTG_BD!F:F,"&gt;="&amp;O2Summary!$B$6,WTG_BD!F:F,"&lt;="&amp;O2Summary!$B$4)</f>
        <v>0</v>
      </c>
      <c r="V1419" s="18">
        <f t="shared" si="29"/>
        <v>47</v>
      </c>
    </row>
    <row r="1420" spans="19:22">
      <c r="S1420" s="16">
        <v>3249</v>
      </c>
      <c r="T1420" s="16" t="s">
        <v>1941</v>
      </c>
      <c r="U1420" s="17">
        <f>COUNTIFS(WTG_BD!L:L,'Basic Data'!T1420,WTG_BD!F:F,"&gt;="&amp;O2Summary!$B$6,WTG_BD!F:F,"&lt;="&amp;O2Summary!$B$4)</f>
        <v>0</v>
      </c>
      <c r="V1420" s="18">
        <f t="shared" si="29"/>
        <v>47</v>
      </c>
    </row>
    <row r="1421" spans="19:22">
      <c r="S1421" s="16">
        <v>3250</v>
      </c>
      <c r="T1421" s="16" t="s">
        <v>1942</v>
      </c>
      <c r="U1421" s="17">
        <f>COUNTIFS(WTG_BD!L:L,'Basic Data'!T1421,WTG_BD!F:F,"&gt;="&amp;O2Summary!$B$6,WTG_BD!F:F,"&lt;="&amp;O2Summary!$B$4)</f>
        <v>0</v>
      </c>
      <c r="V1421" s="18">
        <f t="shared" si="29"/>
        <v>47</v>
      </c>
    </row>
    <row r="1422" spans="19:22">
      <c r="S1422" s="26">
        <v>3251</v>
      </c>
      <c r="T1422" s="26" t="s">
        <v>1943</v>
      </c>
      <c r="U1422" s="17">
        <f>COUNTIFS(WTG_BD!L:L,'Basic Data'!T1422,WTG_BD!F:F,"&gt;="&amp;O2Summary!$B$6,WTG_BD!F:F,"&lt;="&amp;O2Summary!$B$4)</f>
        <v>0</v>
      </c>
      <c r="V1422" s="18">
        <f t="shared" si="29"/>
        <v>47</v>
      </c>
    </row>
    <row r="1423" spans="19:22">
      <c r="S1423" s="16">
        <v>3252</v>
      </c>
      <c r="T1423" s="16" t="s">
        <v>1944</v>
      </c>
      <c r="U1423" s="17">
        <f>COUNTIFS(WTG_BD!L:L,'Basic Data'!T1423,WTG_BD!F:F,"&gt;="&amp;O2Summary!$B$6,WTG_BD!F:F,"&lt;="&amp;O2Summary!$B$4)</f>
        <v>0</v>
      </c>
      <c r="V1423" s="18">
        <f t="shared" si="29"/>
        <v>47</v>
      </c>
    </row>
    <row r="1424" spans="19:22">
      <c r="S1424" s="16">
        <v>3253</v>
      </c>
      <c r="T1424" s="16" t="s">
        <v>1945</v>
      </c>
      <c r="U1424" s="17">
        <f>COUNTIFS(WTG_BD!L:L,'Basic Data'!T1424,WTG_BD!F:F,"&gt;="&amp;O2Summary!$B$6,WTG_BD!F:F,"&lt;="&amp;O2Summary!$B$4)</f>
        <v>0</v>
      </c>
      <c r="V1424" s="18">
        <f t="shared" si="29"/>
        <v>47</v>
      </c>
    </row>
    <row r="1425" spans="19:22">
      <c r="S1425" s="16">
        <v>3254</v>
      </c>
      <c r="T1425" s="16" t="s">
        <v>1946</v>
      </c>
      <c r="U1425" s="17">
        <f>COUNTIFS(WTG_BD!L:L,'Basic Data'!T1425,WTG_BD!F:F,"&gt;="&amp;O2Summary!$B$6,WTG_BD!F:F,"&lt;="&amp;O2Summary!$B$4)</f>
        <v>0</v>
      </c>
      <c r="V1425" s="18">
        <f t="shared" si="29"/>
        <v>47</v>
      </c>
    </row>
    <row r="1426" spans="19:22">
      <c r="S1426" s="16">
        <v>3255</v>
      </c>
      <c r="T1426" s="16" t="s">
        <v>1947</v>
      </c>
      <c r="U1426" s="17">
        <f>COUNTIFS(WTG_BD!L:L,'Basic Data'!T1426,WTG_BD!F:F,"&gt;="&amp;O2Summary!$B$6,WTG_BD!F:F,"&lt;="&amp;O2Summary!$B$4)</f>
        <v>0</v>
      </c>
      <c r="V1426" s="18">
        <f t="shared" si="29"/>
        <v>47</v>
      </c>
    </row>
    <row r="1427" spans="19:22">
      <c r="S1427" s="16">
        <v>3256</v>
      </c>
      <c r="T1427" s="16" t="s">
        <v>1948</v>
      </c>
      <c r="U1427" s="17">
        <f>COUNTIFS(WTG_BD!L:L,'Basic Data'!T1427,WTG_BD!F:F,"&gt;="&amp;O2Summary!$B$6,WTG_BD!F:F,"&lt;="&amp;O2Summary!$B$4)</f>
        <v>0</v>
      </c>
      <c r="V1427" s="18">
        <f t="shared" si="29"/>
        <v>47</v>
      </c>
    </row>
    <row r="1428" spans="19:22">
      <c r="S1428" s="16">
        <v>3257</v>
      </c>
      <c r="T1428" s="16" t="s">
        <v>1949</v>
      </c>
      <c r="U1428" s="17">
        <f>COUNTIFS(WTG_BD!L:L,'Basic Data'!T1428,WTG_BD!F:F,"&gt;="&amp;O2Summary!$B$6,WTG_BD!F:F,"&lt;="&amp;O2Summary!$B$4)</f>
        <v>0</v>
      </c>
      <c r="V1428" s="18">
        <f t="shared" si="29"/>
        <v>47</v>
      </c>
    </row>
    <row r="1429" spans="19:22">
      <c r="S1429" s="16">
        <v>3258</v>
      </c>
      <c r="T1429" s="16" t="s">
        <v>1950</v>
      </c>
      <c r="U1429" s="17">
        <f>COUNTIFS(WTG_BD!L:L,'Basic Data'!T1429,WTG_BD!F:F,"&gt;="&amp;O2Summary!$B$6,WTG_BD!F:F,"&lt;="&amp;O2Summary!$B$4)</f>
        <v>0</v>
      </c>
      <c r="V1429" s="18">
        <f t="shared" si="29"/>
        <v>47</v>
      </c>
    </row>
    <row r="1430" spans="19:22">
      <c r="S1430" s="16">
        <v>3259</v>
      </c>
      <c r="T1430" s="16" t="s">
        <v>1951</v>
      </c>
      <c r="U1430" s="17">
        <f>COUNTIFS(WTG_BD!L:L,'Basic Data'!T1430,WTG_BD!F:F,"&gt;="&amp;O2Summary!$B$6,WTG_BD!F:F,"&lt;="&amp;O2Summary!$B$4)</f>
        <v>0</v>
      </c>
      <c r="V1430" s="18">
        <f t="shared" si="29"/>
        <v>47</v>
      </c>
    </row>
    <row r="1431" spans="19:22">
      <c r="S1431" s="16">
        <v>3260</v>
      </c>
      <c r="T1431" s="16" t="s">
        <v>1952</v>
      </c>
      <c r="U1431" s="17">
        <f>COUNTIFS(WTG_BD!L:L,'Basic Data'!T1431,WTG_BD!F:F,"&gt;="&amp;O2Summary!$B$6,WTG_BD!F:F,"&lt;="&amp;O2Summary!$B$4)</f>
        <v>0</v>
      </c>
      <c r="V1431" s="18">
        <f t="shared" si="29"/>
        <v>47</v>
      </c>
    </row>
    <row r="1432" spans="19:22">
      <c r="S1432" s="16">
        <v>3261</v>
      </c>
      <c r="T1432" s="16" t="s">
        <v>1953</v>
      </c>
      <c r="U1432" s="17">
        <f>COUNTIFS(WTG_BD!L:L,'Basic Data'!T1432,WTG_BD!F:F,"&gt;="&amp;O2Summary!$B$6,WTG_BD!F:F,"&lt;="&amp;O2Summary!$B$4)</f>
        <v>0</v>
      </c>
      <c r="V1432" s="18">
        <f t="shared" si="29"/>
        <v>47</v>
      </c>
    </row>
    <row r="1433" spans="19:22">
      <c r="S1433" s="16">
        <v>3262</v>
      </c>
      <c r="T1433" s="16" t="s">
        <v>1954</v>
      </c>
      <c r="U1433" s="17">
        <f>COUNTIFS(WTG_BD!L:L,'Basic Data'!T1433,WTG_BD!F:F,"&gt;="&amp;O2Summary!$B$6,WTG_BD!F:F,"&lt;="&amp;O2Summary!$B$4)</f>
        <v>0</v>
      </c>
      <c r="V1433" s="18">
        <f t="shared" si="29"/>
        <v>47</v>
      </c>
    </row>
    <row r="1434" spans="19:22">
      <c r="S1434" s="16">
        <v>3263</v>
      </c>
      <c r="T1434" s="16" t="s">
        <v>1955</v>
      </c>
      <c r="U1434" s="17">
        <f>COUNTIFS(WTG_BD!L:L,'Basic Data'!T1434,WTG_BD!F:F,"&gt;="&amp;O2Summary!$B$6,WTG_BD!F:F,"&lt;="&amp;O2Summary!$B$4)</f>
        <v>0</v>
      </c>
      <c r="V1434" s="18">
        <f t="shared" si="29"/>
        <v>47</v>
      </c>
    </row>
    <row r="1435" spans="19:22">
      <c r="S1435" s="16">
        <v>3264</v>
      </c>
      <c r="T1435" s="16" t="s">
        <v>1956</v>
      </c>
      <c r="U1435" s="17">
        <f>COUNTIFS(WTG_BD!L:L,'Basic Data'!T1435,WTG_BD!F:F,"&gt;="&amp;O2Summary!$B$6,WTG_BD!F:F,"&lt;="&amp;O2Summary!$B$4)</f>
        <v>0</v>
      </c>
      <c r="V1435" s="18">
        <f t="shared" si="29"/>
        <v>47</v>
      </c>
    </row>
    <row r="1436" spans="19:22">
      <c r="S1436" s="16">
        <v>3265</v>
      </c>
      <c r="T1436" s="16" t="s">
        <v>1957</v>
      </c>
      <c r="U1436" s="17">
        <f>COUNTIFS(WTG_BD!L:L,'Basic Data'!T1436,WTG_BD!F:F,"&gt;="&amp;O2Summary!$B$6,WTG_BD!F:F,"&lt;="&amp;O2Summary!$B$4)</f>
        <v>0</v>
      </c>
      <c r="V1436" s="18">
        <f t="shared" si="29"/>
        <v>47</v>
      </c>
    </row>
    <row r="1437" spans="19:22">
      <c r="S1437" s="16">
        <v>3266</v>
      </c>
      <c r="T1437" s="16" t="s">
        <v>1958</v>
      </c>
      <c r="U1437" s="17">
        <f>COUNTIFS(WTG_BD!L:L,'Basic Data'!T1437,WTG_BD!F:F,"&gt;="&amp;O2Summary!$B$6,WTG_BD!F:F,"&lt;="&amp;O2Summary!$B$4)</f>
        <v>0</v>
      </c>
      <c r="V1437" s="18">
        <f t="shared" si="29"/>
        <v>47</v>
      </c>
    </row>
    <row r="1438" spans="19:22">
      <c r="S1438" s="16">
        <v>3267</v>
      </c>
      <c r="T1438" s="16" t="s">
        <v>1959</v>
      </c>
      <c r="U1438" s="17">
        <f>COUNTIFS(WTG_BD!L:L,'Basic Data'!T1438,WTG_BD!F:F,"&gt;="&amp;O2Summary!$B$6,WTG_BD!F:F,"&lt;="&amp;O2Summary!$B$4)</f>
        <v>0</v>
      </c>
      <c r="V1438" s="18">
        <f t="shared" si="29"/>
        <v>47</v>
      </c>
    </row>
    <row r="1439" spans="19:22">
      <c r="S1439" s="16">
        <v>3268</v>
      </c>
      <c r="T1439" s="16" t="s">
        <v>1960</v>
      </c>
      <c r="U1439" s="17">
        <f>COUNTIFS(WTG_BD!L:L,'Basic Data'!T1439,WTG_BD!F:F,"&gt;="&amp;O2Summary!$B$6,WTG_BD!F:F,"&lt;="&amp;O2Summary!$B$4)</f>
        <v>0</v>
      </c>
      <c r="V1439" s="18">
        <f t="shared" si="29"/>
        <v>47</v>
      </c>
    </row>
    <row r="1440" spans="19:22">
      <c r="S1440" s="16">
        <v>3269</v>
      </c>
      <c r="T1440" s="16" t="s">
        <v>1961</v>
      </c>
      <c r="U1440" s="17">
        <f>COUNTIFS(WTG_BD!L:L,'Basic Data'!T1440,WTG_BD!F:F,"&gt;="&amp;O2Summary!$B$6,WTG_BD!F:F,"&lt;="&amp;O2Summary!$B$4)</f>
        <v>0</v>
      </c>
      <c r="V1440" s="18">
        <f t="shared" si="29"/>
        <v>47</v>
      </c>
    </row>
    <row r="1441" spans="19:22">
      <c r="S1441" s="16">
        <v>3270</v>
      </c>
      <c r="T1441" s="16" t="s">
        <v>329</v>
      </c>
      <c r="U1441" s="17">
        <f>COUNTIFS(WTG_BD!L:L,'Basic Data'!T1441,WTG_BD!F:F,"&gt;="&amp;O2Summary!$B$6,WTG_BD!F:F,"&lt;="&amp;O2Summary!$B$4)</f>
        <v>0</v>
      </c>
      <c r="V1441" s="18">
        <f t="shared" si="29"/>
        <v>47</v>
      </c>
    </row>
    <row r="1442" spans="19:22">
      <c r="S1442" s="16">
        <v>3271</v>
      </c>
      <c r="T1442" s="16" t="s">
        <v>1962</v>
      </c>
      <c r="U1442" s="17">
        <f>COUNTIFS(WTG_BD!L:L,'Basic Data'!T1442,WTG_BD!F:F,"&gt;="&amp;O2Summary!$B$6,WTG_BD!F:F,"&lt;="&amp;O2Summary!$B$4)</f>
        <v>0</v>
      </c>
      <c r="V1442" s="18">
        <f t="shared" si="29"/>
        <v>47</v>
      </c>
    </row>
    <row r="1443" spans="19:22">
      <c r="S1443" s="16">
        <v>3272</v>
      </c>
      <c r="T1443" s="16" t="s">
        <v>378</v>
      </c>
      <c r="U1443" s="17">
        <f>COUNTIFS(WTG_BD!L:L,'Basic Data'!T1443,WTG_BD!F:F,"&gt;="&amp;O2Summary!$B$6,WTG_BD!F:F,"&lt;="&amp;O2Summary!$B$4)</f>
        <v>37</v>
      </c>
      <c r="V1443" s="18">
        <f t="shared" si="29"/>
        <v>4</v>
      </c>
    </row>
    <row r="1444" spans="19:22">
      <c r="S1444" s="16">
        <v>3273</v>
      </c>
      <c r="T1444" s="16" t="s">
        <v>1963</v>
      </c>
      <c r="U1444" s="17">
        <f>COUNTIFS(WTG_BD!L:L,'Basic Data'!T1444,WTG_BD!F:F,"&gt;="&amp;O2Summary!$B$6,WTG_BD!F:F,"&lt;="&amp;O2Summary!$B$4)</f>
        <v>193</v>
      </c>
      <c r="V1444" s="18">
        <f t="shared" si="29"/>
        <v>1</v>
      </c>
    </row>
    <row r="1445" spans="19:22">
      <c r="S1445" s="16">
        <v>3274</v>
      </c>
      <c r="T1445" s="16" t="s">
        <v>1964</v>
      </c>
      <c r="U1445" s="17">
        <f>COUNTIFS(WTG_BD!L:L,'Basic Data'!T1445,WTG_BD!F:F,"&gt;="&amp;O2Summary!$B$6,WTG_BD!F:F,"&lt;="&amp;O2Summary!$B$4)</f>
        <v>0</v>
      </c>
      <c r="V1445" s="18">
        <f t="shared" si="29"/>
        <v>47</v>
      </c>
    </row>
    <row r="1446" spans="19:22">
      <c r="S1446" s="26">
        <v>3275</v>
      </c>
      <c r="T1446" s="26" t="s">
        <v>1965</v>
      </c>
      <c r="U1446" s="17">
        <f>COUNTIFS(WTG_BD!L:L,'Basic Data'!T1446,WTG_BD!F:F,"&gt;="&amp;O2Summary!$B$6,WTG_BD!F:F,"&lt;="&amp;O2Summary!$B$4)</f>
        <v>0</v>
      </c>
      <c r="V1446" s="18">
        <f t="shared" si="29"/>
        <v>47</v>
      </c>
    </row>
    <row r="1447" spans="19:22">
      <c r="S1447" s="16">
        <v>3276</v>
      </c>
      <c r="T1447" s="16" t="s">
        <v>1966</v>
      </c>
      <c r="U1447" s="17">
        <f>COUNTIFS(WTG_BD!L:L,'Basic Data'!T1447,WTG_BD!F:F,"&gt;="&amp;O2Summary!$B$6,WTG_BD!F:F,"&lt;="&amp;O2Summary!$B$4)</f>
        <v>0</v>
      </c>
      <c r="V1447" s="18">
        <f t="shared" si="29"/>
        <v>47</v>
      </c>
    </row>
    <row r="1448" spans="19:22">
      <c r="S1448" s="16">
        <v>3277</v>
      </c>
      <c r="T1448" s="16" t="s">
        <v>1967</v>
      </c>
      <c r="U1448" s="17">
        <f>COUNTIFS(WTG_BD!L:L,'Basic Data'!T1448,WTG_BD!F:F,"&gt;="&amp;O2Summary!$B$6,WTG_BD!F:F,"&lt;="&amp;O2Summary!$B$4)</f>
        <v>0</v>
      </c>
      <c r="V1448" s="18">
        <f t="shared" si="29"/>
        <v>47</v>
      </c>
    </row>
    <row r="1449" spans="19:22">
      <c r="S1449" s="16">
        <v>3278</v>
      </c>
      <c r="T1449" s="16" t="s">
        <v>1905</v>
      </c>
      <c r="U1449" s="17">
        <f>COUNTIFS(WTG_BD!L:L,'Basic Data'!T1449,WTG_BD!F:F,"&gt;="&amp;O2Summary!$B$6,WTG_BD!F:F,"&lt;="&amp;O2Summary!$B$4)</f>
        <v>0</v>
      </c>
      <c r="V1449" s="18">
        <f t="shared" si="29"/>
        <v>47</v>
      </c>
    </row>
    <row r="1450" spans="19:22">
      <c r="S1450" s="16">
        <v>3279</v>
      </c>
      <c r="T1450" s="16" t="s">
        <v>1968</v>
      </c>
      <c r="U1450" s="17">
        <f>COUNTIFS(WTG_BD!L:L,'Basic Data'!T1450,WTG_BD!F:F,"&gt;="&amp;O2Summary!$B$6,WTG_BD!F:F,"&lt;="&amp;O2Summary!$B$4)</f>
        <v>0</v>
      </c>
      <c r="V1450" s="18">
        <f t="shared" si="29"/>
        <v>47</v>
      </c>
    </row>
    <row r="1451" spans="19:22">
      <c r="S1451" s="16">
        <v>3280</v>
      </c>
      <c r="T1451" s="16" t="s">
        <v>1969</v>
      </c>
      <c r="U1451" s="17">
        <f>COUNTIFS(WTG_BD!L:L,'Basic Data'!T1451,WTG_BD!F:F,"&gt;="&amp;O2Summary!$B$6,WTG_BD!F:F,"&lt;="&amp;O2Summary!$B$4)</f>
        <v>0</v>
      </c>
      <c r="V1451" s="18">
        <f t="shared" si="29"/>
        <v>47</v>
      </c>
    </row>
    <row r="1452" spans="19:22">
      <c r="S1452" s="16">
        <v>3281</v>
      </c>
      <c r="T1452" s="16" t="s">
        <v>1970</v>
      </c>
      <c r="U1452" s="17">
        <f>COUNTIFS(WTG_BD!L:L,'Basic Data'!T1452,WTG_BD!F:F,"&gt;="&amp;O2Summary!$B$6,WTG_BD!F:F,"&lt;="&amp;O2Summary!$B$4)</f>
        <v>0</v>
      </c>
      <c r="V1452" s="18">
        <f t="shared" si="29"/>
        <v>47</v>
      </c>
    </row>
    <row r="1453" spans="19:22">
      <c r="S1453" s="16">
        <v>3282</v>
      </c>
      <c r="T1453" s="16" t="s">
        <v>1971</v>
      </c>
      <c r="U1453" s="17">
        <f>COUNTIFS(WTG_BD!L:L,'Basic Data'!T1453,WTG_BD!F:F,"&gt;="&amp;O2Summary!$B$6,WTG_BD!F:F,"&lt;="&amp;O2Summary!$B$4)</f>
        <v>0</v>
      </c>
      <c r="V1453" s="18">
        <f t="shared" si="29"/>
        <v>47</v>
      </c>
    </row>
    <row r="1454" spans="19:22">
      <c r="S1454" s="16">
        <v>3283</v>
      </c>
      <c r="T1454" s="16" t="s">
        <v>1972</v>
      </c>
      <c r="U1454" s="17">
        <f>COUNTIFS(WTG_BD!L:L,'Basic Data'!T1454,WTG_BD!F:F,"&gt;="&amp;O2Summary!$B$6,WTG_BD!F:F,"&lt;="&amp;O2Summary!$B$4)</f>
        <v>0</v>
      </c>
      <c r="V1454" s="18">
        <f t="shared" si="29"/>
        <v>47</v>
      </c>
    </row>
    <row r="1455" spans="19:22">
      <c r="S1455" s="16">
        <v>3284</v>
      </c>
      <c r="T1455" s="16" t="s">
        <v>1973</v>
      </c>
      <c r="U1455" s="17">
        <f>COUNTIFS(WTG_BD!L:L,'Basic Data'!T1455,WTG_BD!F:F,"&gt;="&amp;O2Summary!$B$6,WTG_BD!F:F,"&lt;="&amp;O2Summary!$B$4)</f>
        <v>0</v>
      </c>
      <c r="V1455" s="18">
        <f t="shared" si="29"/>
        <v>47</v>
      </c>
    </row>
    <row r="1456" spans="19:22">
      <c r="S1456" s="16">
        <v>3285</v>
      </c>
      <c r="T1456" s="16" t="s">
        <v>1974</v>
      </c>
      <c r="U1456" s="17">
        <f>COUNTIFS(WTG_BD!L:L,'Basic Data'!T1456,WTG_BD!F:F,"&gt;="&amp;O2Summary!$B$6,WTG_BD!F:F,"&lt;="&amp;O2Summary!$B$4)</f>
        <v>0</v>
      </c>
      <c r="V1456" s="18">
        <f t="shared" si="29"/>
        <v>47</v>
      </c>
    </row>
    <row r="1457" spans="19:22">
      <c r="S1457" s="16">
        <v>3286</v>
      </c>
      <c r="T1457" s="16" t="s">
        <v>1975</v>
      </c>
      <c r="U1457" s="17">
        <f>COUNTIFS(WTG_BD!L:L,'Basic Data'!T1457,WTG_BD!F:F,"&gt;="&amp;O2Summary!$B$6,WTG_BD!F:F,"&lt;="&amp;O2Summary!$B$4)</f>
        <v>0</v>
      </c>
      <c r="V1457" s="18">
        <f t="shared" si="29"/>
        <v>47</v>
      </c>
    </row>
    <row r="1458" spans="19:22">
      <c r="S1458" s="16">
        <v>3287</v>
      </c>
      <c r="T1458" s="16" t="s">
        <v>1976</v>
      </c>
      <c r="U1458" s="17">
        <f>COUNTIFS(WTG_BD!L:L,'Basic Data'!T1458,WTG_BD!F:F,"&gt;="&amp;O2Summary!$B$6,WTG_BD!F:F,"&lt;="&amp;O2Summary!$B$4)</f>
        <v>0</v>
      </c>
      <c r="V1458" s="18">
        <f t="shared" si="29"/>
        <v>47</v>
      </c>
    </row>
    <row r="1459" spans="19:22">
      <c r="S1459" s="16">
        <v>3288</v>
      </c>
      <c r="T1459" s="16" t="s">
        <v>1977</v>
      </c>
      <c r="U1459" s="17">
        <f>COUNTIFS(WTG_BD!L:L,'Basic Data'!T1459,WTG_BD!F:F,"&gt;="&amp;O2Summary!$B$6,WTG_BD!F:F,"&lt;="&amp;O2Summary!$B$4)</f>
        <v>0</v>
      </c>
      <c r="V1459" s="18">
        <f t="shared" si="29"/>
        <v>47</v>
      </c>
    </row>
    <row r="1460" spans="19:22">
      <c r="S1460" s="16">
        <v>3289</v>
      </c>
      <c r="T1460" s="16" t="s">
        <v>1978</v>
      </c>
      <c r="U1460" s="17">
        <f>COUNTIFS(WTG_BD!L:L,'Basic Data'!T1460,WTG_BD!F:F,"&gt;="&amp;O2Summary!$B$6,WTG_BD!F:F,"&lt;="&amp;O2Summary!$B$4)</f>
        <v>0</v>
      </c>
      <c r="V1460" s="18">
        <f t="shared" si="29"/>
        <v>47</v>
      </c>
    </row>
    <row r="1461" spans="19:22">
      <c r="S1461" s="16">
        <v>3290</v>
      </c>
      <c r="T1461" s="16" t="s">
        <v>1979</v>
      </c>
      <c r="U1461" s="17">
        <f>COUNTIFS(WTG_BD!L:L,'Basic Data'!T1461,WTG_BD!F:F,"&gt;="&amp;O2Summary!$B$6,WTG_BD!F:F,"&lt;="&amp;O2Summary!$B$4)</f>
        <v>0</v>
      </c>
      <c r="V1461" s="18">
        <f t="shared" si="29"/>
        <v>47</v>
      </c>
    </row>
    <row r="1462" spans="19:22">
      <c r="S1462" s="16">
        <v>3291</v>
      </c>
      <c r="T1462" s="16" t="s">
        <v>1980</v>
      </c>
      <c r="U1462" s="17">
        <f>COUNTIFS(WTG_BD!L:L,'Basic Data'!T1462,WTG_BD!F:F,"&gt;="&amp;O2Summary!$B$6,WTG_BD!F:F,"&lt;="&amp;O2Summary!$B$4)</f>
        <v>0</v>
      </c>
      <c r="V1462" s="18">
        <f t="shared" si="29"/>
        <v>47</v>
      </c>
    </row>
    <row r="1463" spans="19:22">
      <c r="S1463" s="16">
        <v>3292</v>
      </c>
      <c r="T1463" s="16" t="s">
        <v>1981</v>
      </c>
      <c r="U1463" s="17">
        <f>COUNTIFS(WTG_BD!L:L,'Basic Data'!T1463,WTG_BD!F:F,"&gt;="&amp;O2Summary!$B$6,WTG_BD!F:F,"&lt;="&amp;O2Summary!$B$4)</f>
        <v>0</v>
      </c>
      <c r="V1463" s="18">
        <f t="shared" si="29"/>
        <v>47</v>
      </c>
    </row>
    <row r="1464" spans="19:22">
      <c r="S1464" s="16">
        <v>3293</v>
      </c>
      <c r="T1464" s="16" t="s">
        <v>1982</v>
      </c>
      <c r="U1464" s="17">
        <f>COUNTIFS(WTG_BD!L:L,'Basic Data'!T1464,WTG_BD!F:F,"&gt;="&amp;O2Summary!$B$6,WTG_BD!F:F,"&lt;="&amp;O2Summary!$B$4)</f>
        <v>0</v>
      </c>
      <c r="V1464" s="18">
        <f t="shared" si="29"/>
        <v>47</v>
      </c>
    </row>
    <row r="1465" spans="19:22">
      <c r="S1465" s="16">
        <v>3294</v>
      </c>
      <c r="T1465" s="16" t="s">
        <v>1983</v>
      </c>
      <c r="U1465" s="17">
        <f>COUNTIFS(WTG_BD!L:L,'Basic Data'!T1465,WTG_BD!F:F,"&gt;="&amp;O2Summary!$B$6,WTG_BD!F:F,"&lt;="&amp;O2Summary!$B$4)</f>
        <v>0</v>
      </c>
      <c r="V1465" s="18">
        <f t="shared" si="29"/>
        <v>47</v>
      </c>
    </row>
    <row r="1466" spans="19:22">
      <c r="S1466" s="16">
        <v>3295</v>
      </c>
      <c r="T1466" s="16" t="s">
        <v>1984</v>
      </c>
      <c r="U1466" s="17">
        <f>COUNTIFS(WTG_BD!L:L,'Basic Data'!T1466,WTG_BD!F:F,"&gt;="&amp;O2Summary!$B$6,WTG_BD!F:F,"&lt;="&amp;O2Summary!$B$4)</f>
        <v>0</v>
      </c>
      <c r="V1466" s="18">
        <f t="shared" si="29"/>
        <v>47</v>
      </c>
    </row>
    <row r="1467" spans="19:22">
      <c r="S1467" s="16">
        <v>3296</v>
      </c>
      <c r="T1467" s="16" t="s">
        <v>300</v>
      </c>
      <c r="U1467" s="17">
        <f>COUNTIFS(WTG_BD!L:L,'Basic Data'!T1467,WTG_BD!F:F,"&gt;="&amp;O2Summary!$B$6,WTG_BD!F:F,"&lt;="&amp;O2Summary!$B$4)</f>
        <v>0</v>
      </c>
      <c r="V1467" s="18">
        <f t="shared" si="29"/>
        <v>47</v>
      </c>
    </row>
    <row r="1468" spans="19:22">
      <c r="S1468" s="26">
        <v>3297</v>
      </c>
      <c r="T1468" s="26" t="s">
        <v>1985</v>
      </c>
      <c r="U1468" s="17">
        <f>COUNTIFS(WTG_BD!L:L,'Basic Data'!T1468,WTG_BD!F:F,"&gt;="&amp;O2Summary!$B$6,WTG_BD!F:F,"&lt;="&amp;O2Summary!$B$4)</f>
        <v>0</v>
      </c>
      <c r="V1468" s="18">
        <f t="shared" si="29"/>
        <v>47</v>
      </c>
    </row>
    <row r="1469" spans="19:22">
      <c r="S1469" s="16">
        <v>3298</v>
      </c>
      <c r="T1469" s="16" t="s">
        <v>301</v>
      </c>
      <c r="U1469" s="17">
        <f>COUNTIFS(WTG_BD!L:L,'Basic Data'!T1469,WTG_BD!F:F,"&gt;="&amp;O2Summary!$B$6,WTG_BD!F:F,"&lt;="&amp;O2Summary!$B$4)</f>
        <v>10</v>
      </c>
      <c r="V1469" s="18">
        <f t="shared" si="29"/>
        <v>9</v>
      </c>
    </row>
    <row r="1470" spans="19:22">
      <c r="S1470" s="26">
        <v>3312</v>
      </c>
      <c r="T1470" s="26" t="s">
        <v>1986</v>
      </c>
      <c r="U1470" s="17">
        <f>COUNTIFS(WTG_BD!L:L,'Basic Data'!T1470,WTG_BD!F:F,"&gt;="&amp;O2Summary!$B$6,WTG_BD!F:F,"&lt;="&amp;O2Summary!$B$4)</f>
        <v>0</v>
      </c>
      <c r="V1470" s="18">
        <f t="shared" si="29"/>
        <v>47</v>
      </c>
    </row>
    <row r="1471" spans="19:22">
      <c r="S1471" s="26">
        <v>3313</v>
      </c>
      <c r="T1471" s="26" t="s">
        <v>1987</v>
      </c>
      <c r="U1471" s="17">
        <f>COUNTIFS(WTG_BD!L:L,'Basic Data'!T1471,WTG_BD!F:F,"&gt;="&amp;O2Summary!$B$6,WTG_BD!F:F,"&lt;="&amp;O2Summary!$B$4)</f>
        <v>0</v>
      </c>
      <c r="V1471" s="18">
        <f t="shared" si="29"/>
        <v>47</v>
      </c>
    </row>
    <row r="1472" spans="19:22">
      <c r="S1472" s="16">
        <v>3315</v>
      </c>
      <c r="T1472" s="16" t="s">
        <v>1988</v>
      </c>
      <c r="U1472" s="17">
        <f>COUNTIFS(WTG_BD!L:L,'Basic Data'!T1472,WTG_BD!F:F,"&gt;="&amp;O2Summary!$B$6,WTG_BD!F:F,"&lt;="&amp;O2Summary!$B$4)</f>
        <v>0</v>
      </c>
      <c r="V1472" s="18">
        <f t="shared" si="29"/>
        <v>47</v>
      </c>
    </row>
    <row r="1473" spans="19:22">
      <c r="S1473" s="16">
        <v>3316</v>
      </c>
      <c r="T1473" s="16" t="s">
        <v>1989</v>
      </c>
      <c r="U1473" s="17">
        <f>COUNTIFS(WTG_BD!L:L,'Basic Data'!T1473,WTG_BD!F:F,"&gt;="&amp;O2Summary!$B$6,WTG_BD!F:F,"&lt;="&amp;O2Summary!$B$4)</f>
        <v>0</v>
      </c>
      <c r="V1473" s="18">
        <f t="shared" si="29"/>
        <v>47</v>
      </c>
    </row>
    <row r="1474" spans="19:22">
      <c r="S1474" s="16">
        <v>3317</v>
      </c>
      <c r="T1474" s="16" t="s">
        <v>1990</v>
      </c>
      <c r="U1474" s="17">
        <f>COUNTIFS(WTG_BD!L:L,'Basic Data'!T1474,WTG_BD!F:F,"&gt;="&amp;O2Summary!$B$6,WTG_BD!F:F,"&lt;="&amp;O2Summary!$B$4)</f>
        <v>0</v>
      </c>
      <c r="V1474" s="18">
        <f t="shared" si="29"/>
        <v>47</v>
      </c>
    </row>
    <row r="1475" spans="19:22">
      <c r="S1475" s="16">
        <v>3318</v>
      </c>
      <c r="T1475" s="16" t="s">
        <v>1991</v>
      </c>
      <c r="U1475" s="17">
        <f>COUNTIFS(WTG_BD!L:L,'Basic Data'!T1475,WTG_BD!F:F,"&gt;="&amp;O2Summary!$B$6,WTG_BD!F:F,"&lt;="&amp;O2Summary!$B$4)</f>
        <v>0</v>
      </c>
      <c r="V1475" s="18">
        <f t="shared" ref="V1475:V1538" si="30">RANK(U1475,$U$2:$U$3975)</f>
        <v>47</v>
      </c>
    </row>
    <row r="1476" spans="19:22">
      <c r="S1476" s="16">
        <v>3323</v>
      </c>
      <c r="T1476" s="16" t="s">
        <v>1992</v>
      </c>
      <c r="U1476" s="17">
        <f>COUNTIFS(WTG_BD!L:L,'Basic Data'!T1476,WTG_BD!F:F,"&gt;="&amp;O2Summary!$B$6,WTG_BD!F:F,"&lt;="&amp;O2Summary!$B$4)</f>
        <v>0</v>
      </c>
      <c r="V1476" s="18">
        <f t="shared" si="30"/>
        <v>47</v>
      </c>
    </row>
    <row r="1477" spans="19:22">
      <c r="S1477" s="16">
        <v>3324</v>
      </c>
      <c r="T1477" s="16" t="s">
        <v>1993</v>
      </c>
      <c r="U1477" s="17">
        <f>COUNTIFS(WTG_BD!L:L,'Basic Data'!T1477,WTG_BD!F:F,"&gt;="&amp;O2Summary!$B$6,WTG_BD!F:F,"&lt;="&amp;O2Summary!$B$4)</f>
        <v>0</v>
      </c>
      <c r="V1477" s="18">
        <f t="shared" si="30"/>
        <v>47</v>
      </c>
    </row>
    <row r="1478" spans="19:22">
      <c r="S1478" s="26">
        <v>3325</v>
      </c>
      <c r="T1478" s="26" t="s">
        <v>1994</v>
      </c>
      <c r="U1478" s="17">
        <f>COUNTIFS(WTG_BD!L:L,'Basic Data'!T1478,WTG_BD!F:F,"&gt;="&amp;O2Summary!$B$6,WTG_BD!F:F,"&lt;="&amp;O2Summary!$B$4)</f>
        <v>0</v>
      </c>
      <c r="V1478" s="18">
        <f t="shared" si="30"/>
        <v>47</v>
      </c>
    </row>
    <row r="1479" spans="19:22">
      <c r="S1479" s="16">
        <v>3326</v>
      </c>
      <c r="T1479" s="16" t="s">
        <v>1995</v>
      </c>
      <c r="U1479" s="17">
        <f>COUNTIFS(WTG_BD!L:L,'Basic Data'!T1479,WTG_BD!F:F,"&gt;="&amp;O2Summary!$B$6,WTG_BD!F:F,"&lt;="&amp;O2Summary!$B$4)</f>
        <v>0</v>
      </c>
      <c r="V1479" s="18">
        <f t="shared" si="30"/>
        <v>47</v>
      </c>
    </row>
    <row r="1480" spans="19:22">
      <c r="S1480" s="16">
        <v>3327</v>
      </c>
      <c r="T1480" s="16" t="s">
        <v>1996</v>
      </c>
      <c r="U1480" s="17">
        <f>COUNTIFS(WTG_BD!L:L,'Basic Data'!T1480,WTG_BD!F:F,"&gt;="&amp;O2Summary!$B$6,WTG_BD!F:F,"&lt;="&amp;O2Summary!$B$4)</f>
        <v>0</v>
      </c>
      <c r="V1480" s="18">
        <f t="shared" si="30"/>
        <v>47</v>
      </c>
    </row>
    <row r="1481" spans="19:22">
      <c r="S1481" s="16">
        <v>3328</v>
      </c>
      <c r="T1481" s="16" t="s">
        <v>1997</v>
      </c>
      <c r="U1481" s="17">
        <f>COUNTIFS(WTG_BD!L:L,'Basic Data'!T1481,WTG_BD!F:F,"&gt;="&amp;O2Summary!$B$6,WTG_BD!F:F,"&lt;="&amp;O2Summary!$B$4)</f>
        <v>0</v>
      </c>
      <c r="V1481" s="18">
        <f t="shared" si="30"/>
        <v>47</v>
      </c>
    </row>
    <row r="1482" spans="19:22">
      <c r="S1482" s="16">
        <v>3329</v>
      </c>
      <c r="T1482" s="16" t="s">
        <v>1998</v>
      </c>
      <c r="U1482" s="17">
        <f>COUNTIFS(WTG_BD!L:L,'Basic Data'!T1482,WTG_BD!F:F,"&gt;="&amp;O2Summary!$B$6,WTG_BD!F:F,"&lt;="&amp;O2Summary!$B$4)</f>
        <v>0</v>
      </c>
      <c r="V1482" s="18">
        <f t="shared" si="30"/>
        <v>47</v>
      </c>
    </row>
    <row r="1483" spans="19:22">
      <c r="S1483" s="16">
        <v>3330</v>
      </c>
      <c r="T1483" s="16" t="s">
        <v>1999</v>
      </c>
      <c r="U1483" s="17">
        <f>COUNTIFS(WTG_BD!L:L,'Basic Data'!T1483,WTG_BD!F:F,"&gt;="&amp;O2Summary!$B$6,WTG_BD!F:F,"&lt;="&amp;O2Summary!$B$4)</f>
        <v>0</v>
      </c>
      <c r="V1483" s="18">
        <f t="shared" si="30"/>
        <v>47</v>
      </c>
    </row>
    <row r="1484" spans="19:22">
      <c r="S1484" s="16">
        <v>3331</v>
      </c>
      <c r="T1484" s="16" t="s">
        <v>2000</v>
      </c>
      <c r="U1484" s="17">
        <f>COUNTIFS(WTG_BD!L:L,'Basic Data'!T1484,WTG_BD!F:F,"&gt;="&amp;O2Summary!$B$6,WTG_BD!F:F,"&lt;="&amp;O2Summary!$B$4)</f>
        <v>0</v>
      </c>
      <c r="V1484" s="18">
        <f t="shared" si="30"/>
        <v>47</v>
      </c>
    </row>
    <row r="1485" spans="19:22">
      <c r="S1485" s="16">
        <v>3332</v>
      </c>
      <c r="T1485" s="16" t="s">
        <v>2001</v>
      </c>
      <c r="U1485" s="17">
        <f>COUNTIFS(WTG_BD!L:L,'Basic Data'!T1485,WTG_BD!F:F,"&gt;="&amp;O2Summary!$B$6,WTG_BD!F:F,"&lt;="&amp;O2Summary!$B$4)</f>
        <v>0</v>
      </c>
      <c r="V1485" s="18">
        <f t="shared" si="30"/>
        <v>47</v>
      </c>
    </row>
    <row r="1486" spans="19:22">
      <c r="S1486" s="16">
        <v>3333</v>
      </c>
      <c r="T1486" s="16" t="s">
        <v>2002</v>
      </c>
      <c r="U1486" s="17">
        <f>COUNTIFS(WTG_BD!L:L,'Basic Data'!T1486,WTG_BD!F:F,"&gt;="&amp;O2Summary!$B$6,WTG_BD!F:F,"&lt;="&amp;O2Summary!$B$4)</f>
        <v>0</v>
      </c>
      <c r="V1486" s="18">
        <f t="shared" si="30"/>
        <v>47</v>
      </c>
    </row>
    <row r="1487" spans="19:22">
      <c r="S1487" s="16">
        <v>3334</v>
      </c>
      <c r="T1487" s="16" t="s">
        <v>2003</v>
      </c>
      <c r="U1487" s="17">
        <f>COUNTIFS(WTG_BD!L:L,'Basic Data'!T1487,WTG_BD!F:F,"&gt;="&amp;O2Summary!$B$6,WTG_BD!F:F,"&lt;="&amp;O2Summary!$B$4)</f>
        <v>0</v>
      </c>
      <c r="V1487" s="18">
        <f t="shared" si="30"/>
        <v>47</v>
      </c>
    </row>
    <row r="1488" spans="19:22">
      <c r="S1488" s="16">
        <v>3335</v>
      </c>
      <c r="T1488" s="16" t="s">
        <v>2004</v>
      </c>
      <c r="U1488" s="17">
        <f>COUNTIFS(WTG_BD!L:L,'Basic Data'!T1488,WTG_BD!F:F,"&gt;="&amp;O2Summary!$B$6,WTG_BD!F:F,"&lt;="&amp;O2Summary!$B$4)</f>
        <v>0</v>
      </c>
      <c r="V1488" s="18">
        <f t="shared" si="30"/>
        <v>47</v>
      </c>
    </row>
    <row r="1489" spans="19:22">
      <c r="S1489" s="16">
        <v>3336</v>
      </c>
      <c r="T1489" s="16" t="s">
        <v>2005</v>
      </c>
      <c r="U1489" s="17">
        <f>COUNTIFS(WTG_BD!L:L,'Basic Data'!T1489,WTG_BD!F:F,"&gt;="&amp;O2Summary!$B$6,WTG_BD!F:F,"&lt;="&amp;O2Summary!$B$4)</f>
        <v>0</v>
      </c>
      <c r="V1489" s="18">
        <f t="shared" si="30"/>
        <v>47</v>
      </c>
    </row>
    <row r="1490" spans="19:22">
      <c r="S1490" s="16">
        <v>3337</v>
      </c>
      <c r="T1490" s="16" t="s">
        <v>2006</v>
      </c>
      <c r="U1490" s="17">
        <f>COUNTIFS(WTG_BD!L:L,'Basic Data'!T1490,WTG_BD!F:F,"&gt;="&amp;O2Summary!$B$6,WTG_BD!F:F,"&lt;="&amp;O2Summary!$B$4)</f>
        <v>0</v>
      </c>
      <c r="V1490" s="18">
        <f t="shared" si="30"/>
        <v>47</v>
      </c>
    </row>
    <row r="1491" spans="19:22">
      <c r="S1491" s="16">
        <v>3338</v>
      </c>
      <c r="T1491" s="16" t="s">
        <v>2007</v>
      </c>
      <c r="U1491" s="17">
        <f>COUNTIFS(WTG_BD!L:L,'Basic Data'!T1491,WTG_BD!F:F,"&gt;="&amp;O2Summary!$B$6,WTG_BD!F:F,"&lt;="&amp;O2Summary!$B$4)</f>
        <v>0</v>
      </c>
      <c r="V1491" s="18">
        <f t="shared" si="30"/>
        <v>47</v>
      </c>
    </row>
    <row r="1492" spans="19:22">
      <c r="S1492" s="16">
        <v>3339</v>
      </c>
      <c r="T1492" s="16" t="s">
        <v>2008</v>
      </c>
      <c r="U1492" s="17">
        <f>COUNTIFS(WTG_BD!L:L,'Basic Data'!T1492,WTG_BD!F:F,"&gt;="&amp;O2Summary!$B$6,WTG_BD!F:F,"&lt;="&amp;O2Summary!$B$4)</f>
        <v>0</v>
      </c>
      <c r="V1492" s="18">
        <f t="shared" si="30"/>
        <v>47</v>
      </c>
    </row>
    <row r="1493" spans="19:22">
      <c r="S1493" s="16">
        <v>3340</v>
      </c>
      <c r="T1493" s="16" t="s">
        <v>2009</v>
      </c>
      <c r="U1493" s="17">
        <f>COUNTIFS(WTG_BD!L:L,'Basic Data'!T1493,WTG_BD!F:F,"&gt;="&amp;O2Summary!$B$6,WTG_BD!F:F,"&lt;="&amp;O2Summary!$B$4)</f>
        <v>0</v>
      </c>
      <c r="V1493" s="18">
        <f t="shared" si="30"/>
        <v>47</v>
      </c>
    </row>
    <row r="1494" spans="19:22">
      <c r="S1494" s="16">
        <v>3341</v>
      </c>
      <c r="T1494" s="16" t="s">
        <v>2010</v>
      </c>
      <c r="U1494" s="17">
        <f>COUNTIFS(WTG_BD!L:L,'Basic Data'!T1494,WTG_BD!F:F,"&gt;="&amp;O2Summary!$B$6,WTG_BD!F:F,"&lt;="&amp;O2Summary!$B$4)</f>
        <v>0</v>
      </c>
      <c r="V1494" s="18">
        <f t="shared" si="30"/>
        <v>47</v>
      </c>
    </row>
    <row r="1495" spans="19:22">
      <c r="S1495" s="16">
        <v>3342</v>
      </c>
      <c r="T1495" s="16" t="s">
        <v>2011</v>
      </c>
      <c r="U1495" s="17">
        <f>COUNTIFS(WTG_BD!L:L,'Basic Data'!T1495,WTG_BD!F:F,"&gt;="&amp;O2Summary!$B$6,WTG_BD!F:F,"&lt;="&amp;O2Summary!$B$4)</f>
        <v>0</v>
      </c>
      <c r="V1495" s="18">
        <f t="shared" si="30"/>
        <v>47</v>
      </c>
    </row>
    <row r="1496" spans="19:22">
      <c r="S1496" s="16">
        <v>3343</v>
      </c>
      <c r="T1496" s="16" t="s">
        <v>2012</v>
      </c>
      <c r="U1496" s="17">
        <f>COUNTIFS(WTG_BD!L:L,'Basic Data'!T1496,WTG_BD!F:F,"&gt;="&amp;O2Summary!$B$6,WTG_BD!F:F,"&lt;="&amp;O2Summary!$B$4)</f>
        <v>0</v>
      </c>
      <c r="V1496" s="18">
        <f t="shared" si="30"/>
        <v>47</v>
      </c>
    </row>
    <row r="1497" spans="19:22">
      <c r="S1497" s="16">
        <v>3344</v>
      </c>
      <c r="T1497" s="16" t="s">
        <v>2013</v>
      </c>
      <c r="U1497" s="17">
        <f>COUNTIFS(WTG_BD!L:L,'Basic Data'!T1497,WTG_BD!F:F,"&gt;="&amp;O2Summary!$B$6,WTG_BD!F:F,"&lt;="&amp;O2Summary!$B$4)</f>
        <v>0</v>
      </c>
      <c r="V1497" s="18">
        <f t="shared" si="30"/>
        <v>47</v>
      </c>
    </row>
    <row r="1498" spans="19:22">
      <c r="S1498" s="16">
        <v>3345</v>
      </c>
      <c r="T1498" s="16" t="s">
        <v>2014</v>
      </c>
      <c r="U1498" s="17">
        <f>COUNTIFS(WTG_BD!L:L,'Basic Data'!T1498,WTG_BD!F:F,"&gt;="&amp;O2Summary!$B$6,WTG_BD!F:F,"&lt;="&amp;O2Summary!$B$4)</f>
        <v>0</v>
      </c>
      <c r="V1498" s="18">
        <f t="shared" si="30"/>
        <v>47</v>
      </c>
    </row>
    <row r="1499" spans="19:22">
      <c r="S1499" s="16">
        <v>3347</v>
      </c>
      <c r="T1499" s="16" t="s">
        <v>2015</v>
      </c>
      <c r="U1499" s="17">
        <f>COUNTIFS(WTG_BD!L:L,'Basic Data'!T1499,WTG_BD!F:F,"&gt;="&amp;O2Summary!$B$6,WTG_BD!F:F,"&lt;="&amp;O2Summary!$B$4)</f>
        <v>0</v>
      </c>
      <c r="V1499" s="18">
        <f t="shared" si="30"/>
        <v>47</v>
      </c>
    </row>
    <row r="1500" spans="19:22">
      <c r="S1500" s="16">
        <v>3348</v>
      </c>
      <c r="T1500" s="16" t="s">
        <v>2016</v>
      </c>
      <c r="U1500" s="17">
        <f>COUNTIFS(WTG_BD!L:L,'Basic Data'!T1500,WTG_BD!F:F,"&gt;="&amp;O2Summary!$B$6,WTG_BD!F:F,"&lt;="&amp;O2Summary!$B$4)</f>
        <v>0</v>
      </c>
      <c r="V1500" s="18">
        <f t="shared" si="30"/>
        <v>47</v>
      </c>
    </row>
    <row r="1501" spans="19:22">
      <c r="S1501" s="26">
        <v>3349</v>
      </c>
      <c r="T1501" s="26" t="s">
        <v>2017</v>
      </c>
      <c r="U1501" s="17">
        <f>COUNTIFS(WTG_BD!L:L,'Basic Data'!T1501,WTG_BD!F:F,"&gt;="&amp;O2Summary!$B$6,WTG_BD!F:F,"&lt;="&amp;O2Summary!$B$4)</f>
        <v>0</v>
      </c>
      <c r="V1501" s="18">
        <f t="shared" si="30"/>
        <v>47</v>
      </c>
    </row>
    <row r="1502" spans="19:22">
      <c r="S1502" s="26">
        <v>3350</v>
      </c>
      <c r="T1502" s="26" t="s">
        <v>2018</v>
      </c>
      <c r="U1502" s="17">
        <f>COUNTIFS(WTG_BD!L:L,'Basic Data'!T1502,WTG_BD!F:F,"&gt;="&amp;O2Summary!$B$6,WTG_BD!F:F,"&lt;="&amp;O2Summary!$B$4)</f>
        <v>0</v>
      </c>
      <c r="V1502" s="18">
        <f t="shared" si="30"/>
        <v>47</v>
      </c>
    </row>
    <row r="1503" spans="19:22">
      <c r="S1503" s="16">
        <v>3351</v>
      </c>
      <c r="T1503" s="16" t="s">
        <v>2019</v>
      </c>
      <c r="U1503" s="17">
        <f>COUNTIFS(WTG_BD!L:L,'Basic Data'!T1503,WTG_BD!F:F,"&gt;="&amp;O2Summary!$B$6,WTG_BD!F:F,"&lt;="&amp;O2Summary!$B$4)</f>
        <v>0</v>
      </c>
      <c r="V1503" s="18">
        <f t="shared" si="30"/>
        <v>47</v>
      </c>
    </row>
    <row r="1504" spans="19:22">
      <c r="S1504" s="16">
        <v>3352</v>
      </c>
      <c r="T1504" s="16" t="s">
        <v>2020</v>
      </c>
      <c r="U1504" s="17">
        <f>COUNTIFS(WTG_BD!L:L,'Basic Data'!T1504,WTG_BD!F:F,"&gt;="&amp;O2Summary!$B$6,WTG_BD!F:F,"&lt;="&amp;O2Summary!$B$4)</f>
        <v>0</v>
      </c>
      <c r="V1504" s="18">
        <f t="shared" si="30"/>
        <v>47</v>
      </c>
    </row>
    <row r="1505" spans="19:22">
      <c r="S1505" s="16">
        <v>3353</v>
      </c>
      <c r="T1505" s="16" t="s">
        <v>2020</v>
      </c>
      <c r="U1505" s="17">
        <f>COUNTIFS(WTG_BD!L:L,'Basic Data'!T1505,WTG_BD!F:F,"&gt;="&amp;O2Summary!$B$6,WTG_BD!F:F,"&lt;="&amp;O2Summary!$B$4)</f>
        <v>0</v>
      </c>
      <c r="V1505" s="18">
        <f t="shared" si="30"/>
        <v>47</v>
      </c>
    </row>
    <row r="1506" spans="19:22">
      <c r="S1506" s="16">
        <v>3354</v>
      </c>
      <c r="T1506" s="16" t="s">
        <v>2021</v>
      </c>
      <c r="U1506" s="17">
        <f>COUNTIFS(WTG_BD!L:L,'Basic Data'!T1506,WTG_BD!F:F,"&gt;="&amp;O2Summary!$B$6,WTG_BD!F:F,"&lt;="&amp;O2Summary!$B$4)</f>
        <v>0</v>
      </c>
      <c r="V1506" s="18">
        <f t="shared" si="30"/>
        <v>47</v>
      </c>
    </row>
    <row r="1507" spans="19:22">
      <c r="S1507" s="16">
        <v>3355</v>
      </c>
      <c r="T1507" s="16" t="s">
        <v>2022</v>
      </c>
      <c r="U1507" s="17">
        <f>COUNTIFS(WTG_BD!L:L,'Basic Data'!T1507,WTG_BD!F:F,"&gt;="&amp;O2Summary!$B$6,WTG_BD!F:F,"&lt;="&amp;O2Summary!$B$4)</f>
        <v>0</v>
      </c>
      <c r="V1507" s="18">
        <f t="shared" si="30"/>
        <v>47</v>
      </c>
    </row>
    <row r="1508" spans="19:22">
      <c r="S1508" s="16">
        <v>3356</v>
      </c>
      <c r="T1508" s="16" t="s">
        <v>2023</v>
      </c>
      <c r="U1508" s="17">
        <f>COUNTIFS(WTG_BD!L:L,'Basic Data'!T1508,WTG_BD!F:F,"&gt;="&amp;O2Summary!$B$6,WTG_BD!F:F,"&lt;="&amp;O2Summary!$B$4)</f>
        <v>0</v>
      </c>
      <c r="V1508" s="18">
        <f t="shared" si="30"/>
        <v>47</v>
      </c>
    </row>
    <row r="1509" spans="19:22">
      <c r="S1509" s="16">
        <v>3361</v>
      </c>
      <c r="T1509" s="16" t="s">
        <v>2024</v>
      </c>
      <c r="U1509" s="17">
        <f>COUNTIFS(WTG_BD!L:L,'Basic Data'!T1509,WTG_BD!F:F,"&gt;="&amp;O2Summary!$B$6,WTG_BD!F:F,"&lt;="&amp;O2Summary!$B$4)</f>
        <v>0</v>
      </c>
      <c r="V1509" s="18">
        <f t="shared" si="30"/>
        <v>47</v>
      </c>
    </row>
    <row r="1510" spans="19:22">
      <c r="S1510" s="16">
        <v>3362</v>
      </c>
      <c r="T1510" s="16" t="s">
        <v>2025</v>
      </c>
      <c r="U1510" s="17">
        <f>COUNTIFS(WTG_BD!L:L,'Basic Data'!T1510,WTG_BD!F:F,"&gt;="&amp;O2Summary!$B$6,WTG_BD!F:F,"&lt;="&amp;O2Summary!$B$4)</f>
        <v>0</v>
      </c>
      <c r="V1510" s="18">
        <f t="shared" si="30"/>
        <v>47</v>
      </c>
    </row>
    <row r="1511" spans="19:22">
      <c r="S1511" s="16">
        <v>3363</v>
      </c>
      <c r="T1511" s="16" t="s">
        <v>2026</v>
      </c>
      <c r="U1511" s="17">
        <f>COUNTIFS(WTG_BD!L:L,'Basic Data'!T1511,WTG_BD!F:F,"&gt;="&amp;O2Summary!$B$6,WTG_BD!F:F,"&lt;="&amp;O2Summary!$B$4)</f>
        <v>0</v>
      </c>
      <c r="V1511" s="18">
        <f t="shared" si="30"/>
        <v>47</v>
      </c>
    </row>
    <row r="1512" spans="19:22">
      <c r="S1512" s="16">
        <v>3364</v>
      </c>
      <c r="T1512" s="16" t="s">
        <v>2027</v>
      </c>
      <c r="U1512" s="17">
        <f>COUNTIFS(WTG_BD!L:L,'Basic Data'!T1512,WTG_BD!F:F,"&gt;="&amp;O2Summary!$B$6,WTG_BD!F:F,"&lt;="&amp;O2Summary!$B$4)</f>
        <v>0</v>
      </c>
      <c r="V1512" s="18">
        <f t="shared" si="30"/>
        <v>47</v>
      </c>
    </row>
    <row r="1513" spans="19:22">
      <c r="S1513" s="16">
        <v>3365</v>
      </c>
      <c r="T1513" s="16" t="s">
        <v>2028</v>
      </c>
      <c r="U1513" s="17">
        <f>COUNTIFS(WTG_BD!L:L,'Basic Data'!T1513,WTG_BD!F:F,"&gt;="&amp;O2Summary!$B$6,WTG_BD!F:F,"&lt;="&amp;O2Summary!$B$4)</f>
        <v>0</v>
      </c>
      <c r="V1513" s="18">
        <f t="shared" si="30"/>
        <v>47</v>
      </c>
    </row>
    <row r="1514" spans="19:22">
      <c r="S1514" s="16">
        <v>3366</v>
      </c>
      <c r="T1514" s="16" t="s">
        <v>2029</v>
      </c>
      <c r="U1514" s="17">
        <f>COUNTIFS(WTG_BD!L:L,'Basic Data'!T1514,WTG_BD!F:F,"&gt;="&amp;O2Summary!$B$6,WTG_BD!F:F,"&lt;="&amp;O2Summary!$B$4)</f>
        <v>0</v>
      </c>
      <c r="V1514" s="18">
        <f t="shared" si="30"/>
        <v>47</v>
      </c>
    </row>
    <row r="1515" spans="19:22">
      <c r="S1515" s="16">
        <v>3368</v>
      </c>
      <c r="T1515" s="16" t="s">
        <v>2030</v>
      </c>
      <c r="U1515" s="17">
        <f>COUNTIFS(WTG_BD!L:L,'Basic Data'!T1515,WTG_BD!F:F,"&gt;="&amp;O2Summary!$B$6,WTG_BD!F:F,"&lt;="&amp;O2Summary!$B$4)</f>
        <v>0</v>
      </c>
      <c r="V1515" s="18">
        <f t="shared" si="30"/>
        <v>47</v>
      </c>
    </row>
    <row r="1516" spans="19:22">
      <c r="S1516" s="16">
        <v>3369</v>
      </c>
      <c r="T1516" s="16" t="s">
        <v>2031</v>
      </c>
      <c r="U1516" s="17">
        <f>COUNTIFS(WTG_BD!L:L,'Basic Data'!T1516,WTG_BD!F:F,"&gt;="&amp;O2Summary!$B$6,WTG_BD!F:F,"&lt;="&amp;O2Summary!$B$4)</f>
        <v>0</v>
      </c>
      <c r="V1516" s="18">
        <f t="shared" si="30"/>
        <v>47</v>
      </c>
    </row>
    <row r="1517" spans="19:22">
      <c r="S1517" s="16">
        <v>3370</v>
      </c>
      <c r="T1517" s="16" t="s">
        <v>2032</v>
      </c>
      <c r="U1517" s="17">
        <f>COUNTIFS(WTG_BD!L:L,'Basic Data'!T1517,WTG_BD!F:F,"&gt;="&amp;O2Summary!$B$6,WTG_BD!F:F,"&lt;="&amp;O2Summary!$B$4)</f>
        <v>0</v>
      </c>
      <c r="V1517" s="18">
        <f t="shared" si="30"/>
        <v>47</v>
      </c>
    </row>
    <row r="1518" spans="19:22">
      <c r="S1518" s="16">
        <v>3371</v>
      </c>
      <c r="T1518" s="16" t="s">
        <v>2033</v>
      </c>
      <c r="U1518" s="17">
        <f>COUNTIFS(WTG_BD!L:L,'Basic Data'!T1518,WTG_BD!F:F,"&gt;="&amp;O2Summary!$B$6,WTG_BD!F:F,"&lt;="&amp;O2Summary!$B$4)</f>
        <v>0</v>
      </c>
      <c r="V1518" s="18">
        <f t="shared" si="30"/>
        <v>47</v>
      </c>
    </row>
    <row r="1519" spans="19:22">
      <c r="S1519" s="16">
        <v>3372</v>
      </c>
      <c r="T1519" s="16" t="s">
        <v>2034</v>
      </c>
      <c r="U1519" s="17">
        <f>COUNTIFS(WTG_BD!L:L,'Basic Data'!T1519,WTG_BD!F:F,"&gt;="&amp;O2Summary!$B$6,WTG_BD!F:F,"&lt;="&amp;O2Summary!$B$4)</f>
        <v>0</v>
      </c>
      <c r="V1519" s="18">
        <f t="shared" si="30"/>
        <v>47</v>
      </c>
    </row>
    <row r="1520" spans="19:22">
      <c r="S1520" s="16">
        <v>3375</v>
      </c>
      <c r="T1520" s="16" t="s">
        <v>2035</v>
      </c>
      <c r="U1520" s="17">
        <f>COUNTIFS(WTG_BD!L:L,'Basic Data'!T1520,WTG_BD!F:F,"&gt;="&amp;O2Summary!$B$6,WTG_BD!F:F,"&lt;="&amp;O2Summary!$B$4)</f>
        <v>0</v>
      </c>
      <c r="V1520" s="18">
        <f t="shared" si="30"/>
        <v>47</v>
      </c>
    </row>
    <row r="1521" spans="19:22">
      <c r="S1521" s="16">
        <v>3376</v>
      </c>
      <c r="T1521" s="16" t="s">
        <v>2036</v>
      </c>
      <c r="U1521" s="17">
        <f>COUNTIFS(WTG_BD!L:L,'Basic Data'!T1521,WTG_BD!F:F,"&gt;="&amp;O2Summary!$B$6,WTG_BD!F:F,"&lt;="&amp;O2Summary!$B$4)</f>
        <v>0</v>
      </c>
      <c r="V1521" s="18">
        <f t="shared" si="30"/>
        <v>47</v>
      </c>
    </row>
    <row r="1522" spans="19:22">
      <c r="S1522" s="16">
        <v>3377</v>
      </c>
      <c r="T1522" s="16" t="s">
        <v>2037</v>
      </c>
      <c r="U1522" s="17">
        <f>COUNTIFS(WTG_BD!L:L,'Basic Data'!T1522,WTG_BD!F:F,"&gt;="&amp;O2Summary!$B$6,WTG_BD!F:F,"&lt;="&amp;O2Summary!$B$4)</f>
        <v>0</v>
      </c>
      <c r="V1522" s="18">
        <f t="shared" si="30"/>
        <v>47</v>
      </c>
    </row>
    <row r="1523" spans="19:22">
      <c r="S1523" s="16">
        <v>3378</v>
      </c>
      <c r="T1523" s="16" t="s">
        <v>2038</v>
      </c>
      <c r="U1523" s="17">
        <f>COUNTIFS(WTG_BD!L:L,'Basic Data'!T1523,WTG_BD!F:F,"&gt;="&amp;O2Summary!$B$6,WTG_BD!F:F,"&lt;="&amp;O2Summary!$B$4)</f>
        <v>0</v>
      </c>
      <c r="V1523" s="18">
        <f t="shared" si="30"/>
        <v>47</v>
      </c>
    </row>
    <row r="1524" spans="19:22">
      <c r="S1524" s="16">
        <v>3379</v>
      </c>
      <c r="T1524" s="16" t="s">
        <v>2039</v>
      </c>
      <c r="U1524" s="17">
        <f>COUNTIFS(WTG_BD!L:L,'Basic Data'!T1524,WTG_BD!F:F,"&gt;="&amp;O2Summary!$B$6,WTG_BD!F:F,"&lt;="&amp;O2Summary!$B$4)</f>
        <v>0</v>
      </c>
      <c r="V1524" s="18">
        <f t="shared" si="30"/>
        <v>47</v>
      </c>
    </row>
    <row r="1525" spans="19:22">
      <c r="S1525" s="16">
        <v>3380</v>
      </c>
      <c r="T1525" s="16" t="s">
        <v>2040</v>
      </c>
      <c r="U1525" s="17">
        <f>COUNTIFS(WTG_BD!L:L,'Basic Data'!T1525,WTG_BD!F:F,"&gt;="&amp;O2Summary!$B$6,WTG_BD!F:F,"&lt;="&amp;O2Summary!$B$4)</f>
        <v>0</v>
      </c>
      <c r="V1525" s="18">
        <f t="shared" si="30"/>
        <v>47</v>
      </c>
    </row>
    <row r="1526" spans="19:22">
      <c r="S1526" s="16">
        <v>3381</v>
      </c>
      <c r="T1526" s="16" t="s">
        <v>2041</v>
      </c>
      <c r="U1526" s="17">
        <f>COUNTIFS(WTG_BD!L:L,'Basic Data'!T1526,WTG_BD!F:F,"&gt;="&amp;O2Summary!$B$6,WTG_BD!F:F,"&lt;="&amp;O2Summary!$B$4)</f>
        <v>0</v>
      </c>
      <c r="V1526" s="18">
        <f t="shared" si="30"/>
        <v>47</v>
      </c>
    </row>
    <row r="1527" spans="19:22">
      <c r="S1527" s="16">
        <v>3382</v>
      </c>
      <c r="T1527" s="16" t="s">
        <v>2042</v>
      </c>
      <c r="U1527" s="17">
        <f>COUNTIFS(WTG_BD!L:L,'Basic Data'!T1527,WTG_BD!F:F,"&gt;="&amp;O2Summary!$B$6,WTG_BD!F:F,"&lt;="&amp;O2Summary!$B$4)</f>
        <v>0</v>
      </c>
      <c r="V1527" s="18">
        <f t="shared" si="30"/>
        <v>47</v>
      </c>
    </row>
    <row r="1528" spans="19:22">
      <c r="S1528" s="16">
        <v>3383</v>
      </c>
      <c r="T1528" s="16" t="s">
        <v>2043</v>
      </c>
      <c r="U1528" s="17">
        <f>COUNTIFS(WTG_BD!L:L,'Basic Data'!T1528,WTG_BD!F:F,"&gt;="&amp;O2Summary!$B$6,WTG_BD!F:F,"&lt;="&amp;O2Summary!$B$4)</f>
        <v>0</v>
      </c>
      <c r="V1528" s="18">
        <f t="shared" si="30"/>
        <v>47</v>
      </c>
    </row>
    <row r="1529" spans="19:22">
      <c r="S1529" s="16">
        <v>3384</v>
      </c>
      <c r="T1529" s="16" t="s">
        <v>2044</v>
      </c>
      <c r="U1529" s="17">
        <f>COUNTIFS(WTG_BD!L:L,'Basic Data'!T1529,WTG_BD!F:F,"&gt;="&amp;O2Summary!$B$6,WTG_BD!F:F,"&lt;="&amp;O2Summary!$B$4)</f>
        <v>0</v>
      </c>
      <c r="V1529" s="18">
        <f t="shared" si="30"/>
        <v>47</v>
      </c>
    </row>
    <row r="1530" spans="19:22">
      <c r="S1530" s="16">
        <v>3385</v>
      </c>
      <c r="T1530" s="16" t="s">
        <v>2045</v>
      </c>
      <c r="U1530" s="17">
        <f>COUNTIFS(WTG_BD!L:L,'Basic Data'!T1530,WTG_BD!F:F,"&gt;="&amp;O2Summary!$B$6,WTG_BD!F:F,"&lt;="&amp;O2Summary!$B$4)</f>
        <v>0</v>
      </c>
      <c r="V1530" s="18">
        <f t="shared" si="30"/>
        <v>47</v>
      </c>
    </row>
    <row r="1531" spans="19:22">
      <c r="S1531" s="16">
        <v>3386</v>
      </c>
      <c r="T1531" s="16" t="s">
        <v>2046</v>
      </c>
      <c r="U1531" s="17">
        <f>COUNTIFS(WTG_BD!L:L,'Basic Data'!T1531,WTG_BD!F:F,"&gt;="&amp;O2Summary!$B$6,WTG_BD!F:F,"&lt;="&amp;O2Summary!$B$4)</f>
        <v>0</v>
      </c>
      <c r="V1531" s="18">
        <f t="shared" si="30"/>
        <v>47</v>
      </c>
    </row>
    <row r="1532" spans="19:22">
      <c r="S1532" s="26">
        <v>3387</v>
      </c>
      <c r="T1532" s="26" t="s">
        <v>2047</v>
      </c>
      <c r="U1532" s="17">
        <f>COUNTIFS(WTG_BD!L:L,'Basic Data'!T1532,WTG_BD!F:F,"&gt;="&amp;O2Summary!$B$6,WTG_BD!F:F,"&lt;="&amp;O2Summary!$B$4)</f>
        <v>0</v>
      </c>
      <c r="V1532" s="18">
        <f t="shared" si="30"/>
        <v>47</v>
      </c>
    </row>
    <row r="1533" spans="19:22">
      <c r="S1533" s="16">
        <v>3388</v>
      </c>
      <c r="T1533" s="16" t="s">
        <v>2048</v>
      </c>
      <c r="U1533" s="17">
        <f>COUNTIFS(WTG_BD!L:L,'Basic Data'!T1533,WTG_BD!F:F,"&gt;="&amp;O2Summary!$B$6,WTG_BD!F:F,"&lt;="&amp;O2Summary!$B$4)</f>
        <v>0</v>
      </c>
      <c r="V1533" s="18">
        <f t="shared" si="30"/>
        <v>47</v>
      </c>
    </row>
    <row r="1534" spans="19:22">
      <c r="S1534" s="16">
        <v>3411</v>
      </c>
      <c r="T1534" s="16" t="s">
        <v>2049</v>
      </c>
      <c r="U1534" s="17">
        <f>COUNTIFS(WTG_BD!L:L,'Basic Data'!T1534,WTG_BD!F:F,"&gt;="&amp;O2Summary!$B$6,WTG_BD!F:F,"&lt;="&amp;O2Summary!$B$4)</f>
        <v>0</v>
      </c>
      <c r="V1534" s="18">
        <f t="shared" si="30"/>
        <v>47</v>
      </c>
    </row>
    <row r="1535" spans="19:22">
      <c r="S1535" s="16">
        <v>3412</v>
      </c>
      <c r="T1535" s="16" t="s">
        <v>2050</v>
      </c>
      <c r="U1535" s="17">
        <f>COUNTIFS(WTG_BD!L:L,'Basic Data'!T1535,WTG_BD!F:F,"&gt;="&amp;O2Summary!$B$6,WTG_BD!F:F,"&lt;="&amp;O2Summary!$B$4)</f>
        <v>0</v>
      </c>
      <c r="V1535" s="18">
        <f t="shared" si="30"/>
        <v>47</v>
      </c>
    </row>
    <row r="1536" spans="19:22">
      <c r="S1536" s="16">
        <v>3415</v>
      </c>
      <c r="T1536" s="16" t="s">
        <v>2051</v>
      </c>
      <c r="U1536" s="17">
        <f>COUNTIFS(WTG_BD!L:L,'Basic Data'!T1536,WTG_BD!F:F,"&gt;="&amp;O2Summary!$B$6,WTG_BD!F:F,"&lt;="&amp;O2Summary!$B$4)</f>
        <v>0</v>
      </c>
      <c r="V1536" s="18">
        <f t="shared" si="30"/>
        <v>47</v>
      </c>
    </row>
    <row r="1537" spans="19:22">
      <c r="S1537" s="16">
        <v>3416</v>
      </c>
      <c r="T1537" s="16" t="s">
        <v>2052</v>
      </c>
      <c r="U1537" s="17">
        <f>COUNTIFS(WTG_BD!L:L,'Basic Data'!T1537,WTG_BD!F:F,"&gt;="&amp;O2Summary!$B$6,WTG_BD!F:F,"&lt;="&amp;O2Summary!$B$4)</f>
        <v>0</v>
      </c>
      <c r="V1537" s="18">
        <f t="shared" si="30"/>
        <v>47</v>
      </c>
    </row>
    <row r="1538" spans="19:22">
      <c r="S1538" s="16">
        <v>3417</v>
      </c>
      <c r="T1538" s="16" t="s">
        <v>2053</v>
      </c>
      <c r="U1538" s="17">
        <f>COUNTIFS(WTG_BD!L:L,'Basic Data'!T1538,WTG_BD!F:F,"&gt;="&amp;O2Summary!$B$6,WTG_BD!F:F,"&lt;="&amp;O2Summary!$B$4)</f>
        <v>0</v>
      </c>
      <c r="V1538" s="18">
        <f t="shared" si="30"/>
        <v>47</v>
      </c>
    </row>
    <row r="1539" spans="19:22">
      <c r="S1539" s="16">
        <v>3419</v>
      </c>
      <c r="T1539" s="16" t="s">
        <v>2054</v>
      </c>
      <c r="U1539" s="17">
        <f>COUNTIFS(WTG_BD!L:L,'Basic Data'!T1539,WTG_BD!F:F,"&gt;="&amp;O2Summary!$B$6,WTG_BD!F:F,"&lt;="&amp;O2Summary!$B$4)</f>
        <v>0</v>
      </c>
      <c r="V1539" s="18">
        <f t="shared" ref="V1539:V1602" si="31">RANK(U1539,$U$2:$U$3975)</f>
        <v>47</v>
      </c>
    </row>
    <row r="1540" spans="19:22">
      <c r="S1540" s="26">
        <v>3420</v>
      </c>
      <c r="T1540" s="26" t="s">
        <v>2055</v>
      </c>
      <c r="U1540" s="17">
        <f>COUNTIFS(WTG_BD!L:L,'Basic Data'!T1540,WTG_BD!F:F,"&gt;="&amp;O2Summary!$B$6,WTG_BD!F:F,"&lt;="&amp;O2Summary!$B$4)</f>
        <v>0</v>
      </c>
      <c r="V1540" s="18">
        <f t="shared" si="31"/>
        <v>47</v>
      </c>
    </row>
    <row r="1541" spans="19:22">
      <c r="S1541" s="16">
        <v>3421</v>
      </c>
      <c r="T1541" s="16" t="s">
        <v>2056</v>
      </c>
      <c r="U1541" s="17">
        <f>COUNTIFS(WTG_BD!L:L,'Basic Data'!T1541,WTG_BD!F:F,"&gt;="&amp;O2Summary!$B$6,WTG_BD!F:F,"&lt;="&amp;O2Summary!$B$4)</f>
        <v>0</v>
      </c>
      <c r="V1541" s="18">
        <f t="shared" si="31"/>
        <v>47</v>
      </c>
    </row>
    <row r="1542" spans="19:22">
      <c r="S1542" s="16">
        <v>3422</v>
      </c>
      <c r="T1542" s="16" t="s">
        <v>2057</v>
      </c>
      <c r="U1542" s="17">
        <f>COUNTIFS(WTG_BD!L:L,'Basic Data'!T1542,WTG_BD!F:F,"&gt;="&amp;O2Summary!$B$6,WTG_BD!F:F,"&lt;="&amp;O2Summary!$B$4)</f>
        <v>0</v>
      </c>
      <c r="V1542" s="18">
        <f t="shared" si="31"/>
        <v>47</v>
      </c>
    </row>
    <row r="1543" spans="19:22">
      <c r="S1543" s="16">
        <v>3423</v>
      </c>
      <c r="T1543" s="16" t="s">
        <v>1502</v>
      </c>
      <c r="U1543" s="17">
        <f>COUNTIFS(WTG_BD!L:L,'Basic Data'!T1543,WTG_BD!F:F,"&gt;="&amp;O2Summary!$B$6,WTG_BD!F:F,"&lt;="&amp;O2Summary!$B$4)</f>
        <v>0</v>
      </c>
      <c r="V1543" s="18">
        <f t="shared" si="31"/>
        <v>47</v>
      </c>
    </row>
    <row r="1544" spans="19:22">
      <c r="S1544" s="16">
        <v>3424</v>
      </c>
      <c r="T1544" s="16" t="s">
        <v>1376</v>
      </c>
      <c r="U1544" s="17">
        <f>COUNTIFS(WTG_BD!L:L,'Basic Data'!T1544,WTG_BD!F:F,"&gt;="&amp;O2Summary!$B$6,WTG_BD!F:F,"&lt;="&amp;O2Summary!$B$4)</f>
        <v>0</v>
      </c>
      <c r="V1544" s="18">
        <f t="shared" si="31"/>
        <v>47</v>
      </c>
    </row>
    <row r="1545" spans="19:22">
      <c r="S1545" s="16">
        <v>3425</v>
      </c>
      <c r="T1545" s="16" t="s">
        <v>2058</v>
      </c>
      <c r="U1545" s="17">
        <f>COUNTIFS(WTG_BD!L:L,'Basic Data'!T1545,WTG_BD!F:F,"&gt;="&amp;O2Summary!$B$6,WTG_BD!F:F,"&lt;="&amp;O2Summary!$B$4)</f>
        <v>0</v>
      </c>
      <c r="V1545" s="18">
        <f t="shared" si="31"/>
        <v>47</v>
      </c>
    </row>
    <row r="1546" spans="19:22">
      <c r="S1546" s="16">
        <v>3426</v>
      </c>
      <c r="T1546" s="16" t="s">
        <v>2059</v>
      </c>
      <c r="U1546" s="17">
        <f>COUNTIFS(WTG_BD!L:L,'Basic Data'!T1546,WTG_BD!F:F,"&gt;="&amp;O2Summary!$B$6,WTG_BD!F:F,"&lt;="&amp;O2Summary!$B$4)</f>
        <v>0</v>
      </c>
      <c r="V1546" s="18">
        <f t="shared" si="31"/>
        <v>47</v>
      </c>
    </row>
    <row r="1547" spans="19:22">
      <c r="S1547" s="16">
        <v>3427</v>
      </c>
      <c r="T1547" s="16" t="s">
        <v>2060</v>
      </c>
      <c r="U1547" s="17">
        <f>COUNTIFS(WTG_BD!L:L,'Basic Data'!T1547,WTG_BD!F:F,"&gt;="&amp;O2Summary!$B$6,WTG_BD!F:F,"&lt;="&amp;O2Summary!$B$4)</f>
        <v>0</v>
      </c>
      <c r="V1547" s="18">
        <f t="shared" si="31"/>
        <v>47</v>
      </c>
    </row>
    <row r="1548" spans="19:22">
      <c r="S1548" s="16">
        <v>3428</v>
      </c>
      <c r="T1548" s="16" t="s">
        <v>2061</v>
      </c>
      <c r="U1548" s="17">
        <f>COUNTIFS(WTG_BD!L:L,'Basic Data'!T1548,WTG_BD!F:F,"&gt;="&amp;O2Summary!$B$6,WTG_BD!F:F,"&lt;="&amp;O2Summary!$B$4)</f>
        <v>0</v>
      </c>
      <c r="V1548" s="18">
        <f t="shared" si="31"/>
        <v>47</v>
      </c>
    </row>
    <row r="1549" spans="19:22">
      <c r="S1549" s="16">
        <v>3429</v>
      </c>
      <c r="T1549" s="16" t="s">
        <v>2062</v>
      </c>
      <c r="U1549" s="17">
        <f>COUNTIFS(WTG_BD!L:L,'Basic Data'!T1549,WTG_BD!F:F,"&gt;="&amp;O2Summary!$B$6,WTG_BD!F:F,"&lt;="&amp;O2Summary!$B$4)</f>
        <v>0</v>
      </c>
      <c r="V1549" s="18">
        <f t="shared" si="31"/>
        <v>47</v>
      </c>
    </row>
    <row r="1550" spans="19:22">
      <c r="S1550" s="16">
        <v>3430</v>
      </c>
      <c r="T1550" s="16" t="s">
        <v>2063</v>
      </c>
      <c r="U1550" s="17">
        <f>COUNTIFS(WTG_BD!L:L,'Basic Data'!T1550,WTG_BD!F:F,"&gt;="&amp;O2Summary!$B$6,WTG_BD!F:F,"&lt;="&amp;O2Summary!$B$4)</f>
        <v>0</v>
      </c>
      <c r="V1550" s="18">
        <f t="shared" si="31"/>
        <v>47</v>
      </c>
    </row>
    <row r="1551" spans="19:22">
      <c r="S1551" s="16">
        <v>3431</v>
      </c>
      <c r="T1551" s="16" t="s">
        <v>2064</v>
      </c>
      <c r="U1551" s="17">
        <f>COUNTIFS(WTG_BD!L:L,'Basic Data'!T1551,WTG_BD!F:F,"&gt;="&amp;O2Summary!$B$6,WTG_BD!F:F,"&lt;="&amp;O2Summary!$B$4)</f>
        <v>0</v>
      </c>
      <c r="V1551" s="18">
        <f t="shared" si="31"/>
        <v>47</v>
      </c>
    </row>
    <row r="1552" spans="19:22">
      <c r="S1552" s="16">
        <v>3432</v>
      </c>
      <c r="T1552" s="16" t="s">
        <v>2065</v>
      </c>
      <c r="U1552" s="17">
        <f>COUNTIFS(WTG_BD!L:L,'Basic Data'!T1552,WTG_BD!F:F,"&gt;="&amp;O2Summary!$B$6,WTG_BD!F:F,"&lt;="&amp;O2Summary!$B$4)</f>
        <v>0</v>
      </c>
      <c r="V1552" s="18">
        <f t="shared" si="31"/>
        <v>47</v>
      </c>
    </row>
    <row r="1553" spans="19:22">
      <c r="S1553" s="16">
        <v>3433</v>
      </c>
      <c r="T1553" s="16" t="s">
        <v>2066</v>
      </c>
      <c r="U1553" s="17">
        <f>COUNTIFS(WTG_BD!L:L,'Basic Data'!T1553,WTG_BD!F:F,"&gt;="&amp;O2Summary!$B$6,WTG_BD!F:F,"&lt;="&amp;O2Summary!$B$4)</f>
        <v>0</v>
      </c>
      <c r="V1553" s="18">
        <f t="shared" si="31"/>
        <v>47</v>
      </c>
    </row>
    <row r="1554" spans="19:22">
      <c r="S1554" s="16">
        <v>3434</v>
      </c>
      <c r="T1554" s="16" t="s">
        <v>2067</v>
      </c>
      <c r="U1554" s="17">
        <f>COUNTIFS(WTG_BD!L:L,'Basic Data'!T1554,WTG_BD!F:F,"&gt;="&amp;O2Summary!$B$6,WTG_BD!F:F,"&lt;="&amp;O2Summary!$B$4)</f>
        <v>0</v>
      </c>
      <c r="V1554" s="18">
        <f t="shared" si="31"/>
        <v>47</v>
      </c>
    </row>
    <row r="1555" spans="19:22">
      <c r="S1555" s="16">
        <v>3435</v>
      </c>
      <c r="T1555" s="16" t="s">
        <v>2068</v>
      </c>
      <c r="U1555" s="17">
        <f>COUNTIFS(WTG_BD!L:L,'Basic Data'!T1555,WTG_BD!F:F,"&gt;="&amp;O2Summary!$B$6,WTG_BD!F:F,"&lt;="&amp;O2Summary!$B$4)</f>
        <v>0</v>
      </c>
      <c r="V1555" s="18">
        <f t="shared" si="31"/>
        <v>47</v>
      </c>
    </row>
    <row r="1556" spans="19:22">
      <c r="S1556" s="16">
        <v>3436</v>
      </c>
      <c r="T1556" s="16" t="s">
        <v>2069</v>
      </c>
      <c r="U1556" s="17">
        <f>COUNTIFS(WTG_BD!L:L,'Basic Data'!T1556,WTG_BD!F:F,"&gt;="&amp;O2Summary!$B$6,WTG_BD!F:F,"&lt;="&amp;O2Summary!$B$4)</f>
        <v>0</v>
      </c>
      <c r="V1556" s="18">
        <f t="shared" si="31"/>
        <v>47</v>
      </c>
    </row>
    <row r="1557" spans="19:22">
      <c r="S1557" s="16">
        <v>3437</v>
      </c>
      <c r="T1557" s="16" t="s">
        <v>2070</v>
      </c>
      <c r="U1557" s="17">
        <f>COUNTIFS(WTG_BD!L:L,'Basic Data'!T1557,WTG_BD!F:F,"&gt;="&amp;O2Summary!$B$6,WTG_BD!F:F,"&lt;="&amp;O2Summary!$B$4)</f>
        <v>0</v>
      </c>
      <c r="V1557" s="18">
        <f t="shared" si="31"/>
        <v>47</v>
      </c>
    </row>
    <row r="1558" spans="19:22">
      <c r="S1558" s="16">
        <v>3438</v>
      </c>
      <c r="T1558" s="16" t="s">
        <v>2071</v>
      </c>
      <c r="U1558" s="17">
        <f>COUNTIFS(WTG_BD!L:L,'Basic Data'!T1558,WTG_BD!F:F,"&gt;="&amp;O2Summary!$B$6,WTG_BD!F:F,"&lt;="&amp;O2Summary!$B$4)</f>
        <v>0</v>
      </c>
      <c r="V1558" s="18">
        <f t="shared" si="31"/>
        <v>47</v>
      </c>
    </row>
    <row r="1559" spans="19:22">
      <c r="S1559" s="16">
        <v>3439</v>
      </c>
      <c r="T1559" s="16" t="s">
        <v>2072</v>
      </c>
      <c r="U1559" s="17">
        <f>COUNTIFS(WTG_BD!L:L,'Basic Data'!T1559,WTG_BD!F:F,"&gt;="&amp;O2Summary!$B$6,WTG_BD!F:F,"&lt;="&amp;O2Summary!$B$4)</f>
        <v>0</v>
      </c>
      <c r="V1559" s="18">
        <f t="shared" si="31"/>
        <v>47</v>
      </c>
    </row>
    <row r="1560" spans="19:22">
      <c r="S1560" s="16">
        <v>3440</v>
      </c>
      <c r="T1560" s="16" t="s">
        <v>2073</v>
      </c>
      <c r="U1560" s="17">
        <f>COUNTIFS(WTG_BD!L:L,'Basic Data'!T1560,WTG_BD!F:F,"&gt;="&amp;O2Summary!$B$6,WTG_BD!F:F,"&lt;="&amp;O2Summary!$B$4)</f>
        <v>0</v>
      </c>
      <c r="V1560" s="18">
        <f t="shared" si="31"/>
        <v>47</v>
      </c>
    </row>
    <row r="1561" spans="19:22">
      <c r="S1561" s="16">
        <v>3441</v>
      </c>
      <c r="T1561" s="16" t="s">
        <v>2074</v>
      </c>
      <c r="U1561" s="17">
        <f>COUNTIFS(WTG_BD!L:L,'Basic Data'!T1561,WTG_BD!F:F,"&gt;="&amp;O2Summary!$B$6,WTG_BD!F:F,"&lt;="&amp;O2Summary!$B$4)</f>
        <v>0</v>
      </c>
      <c r="V1561" s="18">
        <f t="shared" si="31"/>
        <v>47</v>
      </c>
    </row>
    <row r="1562" spans="19:22">
      <c r="S1562" s="16">
        <v>3442</v>
      </c>
      <c r="T1562" s="16" t="s">
        <v>2075</v>
      </c>
      <c r="U1562" s="17">
        <f>COUNTIFS(WTG_BD!L:L,'Basic Data'!T1562,WTG_BD!F:F,"&gt;="&amp;O2Summary!$B$6,WTG_BD!F:F,"&lt;="&amp;O2Summary!$B$4)</f>
        <v>0</v>
      </c>
      <c r="V1562" s="18">
        <f t="shared" si="31"/>
        <v>47</v>
      </c>
    </row>
    <row r="1563" spans="19:22">
      <c r="S1563" s="16">
        <v>3443</v>
      </c>
      <c r="T1563" s="16" t="s">
        <v>2076</v>
      </c>
      <c r="U1563" s="17">
        <f>COUNTIFS(WTG_BD!L:L,'Basic Data'!T1563,WTG_BD!F:F,"&gt;="&amp;O2Summary!$B$6,WTG_BD!F:F,"&lt;="&amp;O2Summary!$B$4)</f>
        <v>0</v>
      </c>
      <c r="V1563" s="18">
        <f t="shared" si="31"/>
        <v>47</v>
      </c>
    </row>
    <row r="1564" spans="19:22">
      <c r="S1564" s="16">
        <v>3444</v>
      </c>
      <c r="T1564" s="16" t="s">
        <v>2077</v>
      </c>
      <c r="U1564" s="17">
        <f>COUNTIFS(WTG_BD!L:L,'Basic Data'!T1564,WTG_BD!F:F,"&gt;="&amp;O2Summary!$B$6,WTG_BD!F:F,"&lt;="&amp;O2Summary!$B$4)</f>
        <v>0</v>
      </c>
      <c r="V1564" s="18">
        <f t="shared" si="31"/>
        <v>47</v>
      </c>
    </row>
    <row r="1565" spans="19:22">
      <c r="S1565" s="16">
        <v>3445</v>
      </c>
      <c r="T1565" s="16" t="s">
        <v>2078</v>
      </c>
      <c r="U1565" s="17">
        <f>COUNTIFS(WTG_BD!L:L,'Basic Data'!T1565,WTG_BD!F:F,"&gt;="&amp;O2Summary!$B$6,WTG_BD!F:F,"&lt;="&amp;O2Summary!$B$4)</f>
        <v>0</v>
      </c>
      <c r="V1565" s="18">
        <f t="shared" si="31"/>
        <v>47</v>
      </c>
    </row>
    <row r="1566" spans="19:22">
      <c r="S1566" s="16">
        <v>3446</v>
      </c>
      <c r="T1566" s="16" t="s">
        <v>2079</v>
      </c>
      <c r="U1566" s="17">
        <f>COUNTIFS(WTG_BD!L:L,'Basic Data'!T1566,WTG_BD!F:F,"&gt;="&amp;O2Summary!$B$6,WTG_BD!F:F,"&lt;="&amp;O2Summary!$B$4)</f>
        <v>0</v>
      </c>
      <c r="V1566" s="18">
        <f t="shared" si="31"/>
        <v>47</v>
      </c>
    </row>
    <row r="1567" spans="19:22">
      <c r="S1567" s="16">
        <v>3450</v>
      </c>
      <c r="T1567" s="16" t="s">
        <v>2080</v>
      </c>
      <c r="U1567" s="17">
        <f>COUNTIFS(WTG_BD!L:L,'Basic Data'!T1567,WTG_BD!F:F,"&gt;="&amp;O2Summary!$B$6,WTG_BD!F:F,"&lt;="&amp;O2Summary!$B$4)</f>
        <v>0</v>
      </c>
      <c r="V1567" s="18">
        <f t="shared" si="31"/>
        <v>47</v>
      </c>
    </row>
    <row r="1568" spans="19:22">
      <c r="S1568" s="16">
        <v>3451</v>
      </c>
      <c r="T1568" s="16" t="s">
        <v>2081</v>
      </c>
      <c r="U1568" s="17">
        <f>COUNTIFS(WTG_BD!L:L,'Basic Data'!T1568,WTG_BD!F:F,"&gt;="&amp;O2Summary!$B$6,WTG_BD!F:F,"&lt;="&amp;O2Summary!$B$4)</f>
        <v>0</v>
      </c>
      <c r="V1568" s="18">
        <f t="shared" si="31"/>
        <v>47</v>
      </c>
    </row>
    <row r="1569" spans="19:22">
      <c r="S1569" s="16">
        <v>3452</v>
      </c>
      <c r="T1569" s="16" t="s">
        <v>2082</v>
      </c>
      <c r="U1569" s="17">
        <f>COUNTIFS(WTG_BD!L:L,'Basic Data'!T1569,WTG_BD!F:F,"&gt;="&amp;O2Summary!$B$6,WTG_BD!F:F,"&lt;="&amp;O2Summary!$B$4)</f>
        <v>0</v>
      </c>
      <c r="V1569" s="18">
        <f t="shared" si="31"/>
        <v>47</v>
      </c>
    </row>
    <row r="1570" spans="19:22">
      <c r="S1570" s="16">
        <v>3453</v>
      </c>
      <c r="T1570" s="16" t="s">
        <v>2083</v>
      </c>
      <c r="U1570" s="17">
        <f>COUNTIFS(WTG_BD!L:L,'Basic Data'!T1570,WTG_BD!F:F,"&gt;="&amp;O2Summary!$B$6,WTG_BD!F:F,"&lt;="&amp;O2Summary!$B$4)</f>
        <v>0</v>
      </c>
      <c r="V1570" s="18">
        <f t="shared" si="31"/>
        <v>47</v>
      </c>
    </row>
    <row r="1571" spans="19:22">
      <c r="S1571" s="16">
        <v>3455</v>
      </c>
      <c r="T1571" s="16" t="s">
        <v>2084</v>
      </c>
      <c r="U1571" s="17">
        <f>COUNTIFS(WTG_BD!L:L,'Basic Data'!T1571,WTG_BD!F:F,"&gt;="&amp;O2Summary!$B$6,WTG_BD!F:F,"&lt;="&amp;O2Summary!$B$4)</f>
        <v>0</v>
      </c>
      <c r="V1571" s="18">
        <f t="shared" si="31"/>
        <v>47</v>
      </c>
    </row>
    <row r="1572" spans="19:22">
      <c r="S1572" s="16">
        <v>3456</v>
      </c>
      <c r="T1572" s="16" t="s">
        <v>2085</v>
      </c>
      <c r="U1572" s="17">
        <f>COUNTIFS(WTG_BD!L:L,'Basic Data'!T1572,WTG_BD!F:F,"&gt;="&amp;O2Summary!$B$6,WTG_BD!F:F,"&lt;="&amp;O2Summary!$B$4)</f>
        <v>0</v>
      </c>
      <c r="V1572" s="18">
        <f t="shared" si="31"/>
        <v>47</v>
      </c>
    </row>
    <row r="1573" spans="19:22">
      <c r="S1573" s="16">
        <v>3457</v>
      </c>
      <c r="T1573" s="16" t="s">
        <v>2086</v>
      </c>
      <c r="U1573" s="17">
        <f>COUNTIFS(WTG_BD!L:L,'Basic Data'!T1573,WTG_BD!F:F,"&gt;="&amp;O2Summary!$B$6,WTG_BD!F:F,"&lt;="&amp;O2Summary!$B$4)</f>
        <v>0</v>
      </c>
      <c r="V1573" s="18">
        <f t="shared" si="31"/>
        <v>47</v>
      </c>
    </row>
    <row r="1574" spans="19:22">
      <c r="S1574" s="16">
        <v>3458</v>
      </c>
      <c r="T1574" s="16" t="s">
        <v>2087</v>
      </c>
      <c r="U1574" s="17">
        <f>COUNTIFS(WTG_BD!L:L,'Basic Data'!T1574,WTG_BD!F:F,"&gt;="&amp;O2Summary!$B$6,WTG_BD!F:F,"&lt;="&amp;O2Summary!$B$4)</f>
        <v>0</v>
      </c>
      <c r="V1574" s="18">
        <f t="shared" si="31"/>
        <v>47</v>
      </c>
    </row>
    <row r="1575" spans="19:22">
      <c r="S1575" s="16">
        <v>3459</v>
      </c>
      <c r="T1575" s="16" t="s">
        <v>2088</v>
      </c>
      <c r="U1575" s="17">
        <f>COUNTIFS(WTG_BD!L:L,'Basic Data'!T1575,WTG_BD!F:F,"&gt;="&amp;O2Summary!$B$6,WTG_BD!F:F,"&lt;="&amp;O2Summary!$B$4)</f>
        <v>0</v>
      </c>
      <c r="V1575" s="18">
        <f t="shared" si="31"/>
        <v>47</v>
      </c>
    </row>
    <row r="1576" spans="19:22">
      <c r="S1576" s="16">
        <v>3460</v>
      </c>
      <c r="T1576" s="16" t="s">
        <v>2089</v>
      </c>
      <c r="U1576" s="17">
        <f>COUNTIFS(WTG_BD!L:L,'Basic Data'!T1576,WTG_BD!F:F,"&gt;="&amp;O2Summary!$B$6,WTG_BD!F:F,"&lt;="&amp;O2Summary!$B$4)</f>
        <v>0</v>
      </c>
      <c r="V1576" s="18">
        <f t="shared" si="31"/>
        <v>47</v>
      </c>
    </row>
    <row r="1577" spans="19:22">
      <c r="S1577" s="16">
        <v>3461</v>
      </c>
      <c r="T1577" s="16" t="s">
        <v>2090</v>
      </c>
      <c r="U1577" s="17">
        <f>COUNTIFS(WTG_BD!L:L,'Basic Data'!T1577,WTG_BD!F:F,"&gt;="&amp;O2Summary!$B$6,WTG_BD!F:F,"&lt;="&amp;O2Summary!$B$4)</f>
        <v>0</v>
      </c>
      <c r="V1577" s="18">
        <f t="shared" si="31"/>
        <v>47</v>
      </c>
    </row>
    <row r="1578" spans="19:22">
      <c r="S1578" s="16">
        <v>3462</v>
      </c>
      <c r="T1578" s="16" t="s">
        <v>2091</v>
      </c>
      <c r="U1578" s="17">
        <f>COUNTIFS(WTG_BD!L:L,'Basic Data'!T1578,WTG_BD!F:F,"&gt;="&amp;O2Summary!$B$6,WTG_BD!F:F,"&lt;="&amp;O2Summary!$B$4)</f>
        <v>0</v>
      </c>
      <c r="V1578" s="18">
        <f t="shared" si="31"/>
        <v>47</v>
      </c>
    </row>
    <row r="1579" spans="19:22">
      <c r="S1579" s="16">
        <v>3463</v>
      </c>
      <c r="T1579" s="16" t="s">
        <v>2092</v>
      </c>
      <c r="U1579" s="17">
        <f>COUNTIFS(WTG_BD!L:L,'Basic Data'!T1579,WTG_BD!F:F,"&gt;="&amp;O2Summary!$B$6,WTG_BD!F:F,"&lt;="&amp;O2Summary!$B$4)</f>
        <v>0</v>
      </c>
      <c r="V1579" s="18">
        <f t="shared" si="31"/>
        <v>47</v>
      </c>
    </row>
    <row r="1580" spans="19:22">
      <c r="S1580" s="16">
        <v>3464</v>
      </c>
      <c r="T1580" s="16" t="s">
        <v>2093</v>
      </c>
      <c r="U1580" s="17">
        <f>COUNTIFS(WTG_BD!L:L,'Basic Data'!T1580,WTG_BD!F:F,"&gt;="&amp;O2Summary!$B$6,WTG_BD!F:F,"&lt;="&amp;O2Summary!$B$4)</f>
        <v>0</v>
      </c>
      <c r="V1580" s="18">
        <f t="shared" si="31"/>
        <v>47</v>
      </c>
    </row>
    <row r="1581" spans="19:22">
      <c r="S1581" s="16">
        <v>3465</v>
      </c>
      <c r="T1581" s="16" t="s">
        <v>2094</v>
      </c>
      <c r="U1581" s="17">
        <f>COUNTIFS(WTG_BD!L:L,'Basic Data'!T1581,WTG_BD!F:F,"&gt;="&amp;O2Summary!$B$6,WTG_BD!F:F,"&lt;="&amp;O2Summary!$B$4)</f>
        <v>0</v>
      </c>
      <c r="V1581" s="18">
        <f t="shared" si="31"/>
        <v>47</v>
      </c>
    </row>
    <row r="1582" spans="19:22">
      <c r="S1582" s="16">
        <v>3466</v>
      </c>
      <c r="T1582" s="16" t="s">
        <v>2095</v>
      </c>
      <c r="U1582" s="17">
        <f>COUNTIFS(WTG_BD!L:L,'Basic Data'!T1582,WTG_BD!F:F,"&gt;="&amp;O2Summary!$B$6,WTG_BD!F:F,"&lt;="&amp;O2Summary!$B$4)</f>
        <v>0</v>
      </c>
      <c r="V1582" s="18">
        <f t="shared" si="31"/>
        <v>47</v>
      </c>
    </row>
    <row r="1583" spans="19:22">
      <c r="S1583" s="16">
        <v>3467</v>
      </c>
      <c r="T1583" s="16" t="s">
        <v>2096</v>
      </c>
      <c r="U1583" s="17">
        <f>COUNTIFS(WTG_BD!L:L,'Basic Data'!T1583,WTG_BD!F:F,"&gt;="&amp;O2Summary!$B$6,WTG_BD!F:F,"&lt;="&amp;O2Summary!$B$4)</f>
        <v>0</v>
      </c>
      <c r="V1583" s="18">
        <f t="shared" si="31"/>
        <v>47</v>
      </c>
    </row>
    <row r="1584" spans="19:22">
      <c r="S1584" s="16">
        <v>3468</v>
      </c>
      <c r="T1584" s="16" t="s">
        <v>2097</v>
      </c>
      <c r="U1584" s="17">
        <f>COUNTIFS(WTG_BD!L:L,'Basic Data'!T1584,WTG_BD!F:F,"&gt;="&amp;O2Summary!$B$6,WTG_BD!F:F,"&lt;="&amp;O2Summary!$B$4)</f>
        <v>0</v>
      </c>
      <c r="V1584" s="18">
        <f t="shared" si="31"/>
        <v>47</v>
      </c>
    </row>
    <row r="1585" spans="19:22">
      <c r="S1585" s="16">
        <v>3469</v>
      </c>
      <c r="T1585" s="16" t="s">
        <v>2098</v>
      </c>
      <c r="U1585" s="17">
        <f>COUNTIFS(WTG_BD!L:L,'Basic Data'!T1585,WTG_BD!F:F,"&gt;="&amp;O2Summary!$B$6,WTG_BD!F:F,"&lt;="&amp;O2Summary!$B$4)</f>
        <v>0</v>
      </c>
      <c r="V1585" s="18">
        <f t="shared" si="31"/>
        <v>47</v>
      </c>
    </row>
    <row r="1586" spans="19:22">
      <c r="S1586" s="16">
        <v>3470</v>
      </c>
      <c r="T1586" s="16" t="s">
        <v>2099</v>
      </c>
      <c r="U1586" s="17">
        <f>COUNTIFS(WTG_BD!L:L,'Basic Data'!T1586,WTG_BD!F:F,"&gt;="&amp;O2Summary!$B$6,WTG_BD!F:F,"&lt;="&amp;O2Summary!$B$4)</f>
        <v>0</v>
      </c>
      <c r="V1586" s="18">
        <f t="shared" si="31"/>
        <v>47</v>
      </c>
    </row>
    <row r="1587" spans="19:22">
      <c r="S1587" s="16">
        <v>3471</v>
      </c>
      <c r="T1587" s="16" t="s">
        <v>2100</v>
      </c>
      <c r="U1587" s="17">
        <f>COUNTIFS(WTG_BD!L:L,'Basic Data'!T1587,WTG_BD!F:F,"&gt;="&amp;O2Summary!$B$6,WTG_BD!F:F,"&lt;="&amp;O2Summary!$B$4)</f>
        <v>0</v>
      </c>
      <c r="V1587" s="18">
        <f t="shared" si="31"/>
        <v>47</v>
      </c>
    </row>
    <row r="1588" spans="19:22">
      <c r="S1588" s="16">
        <v>3472</v>
      </c>
      <c r="T1588" s="16" t="s">
        <v>2101</v>
      </c>
      <c r="U1588" s="17">
        <f>COUNTIFS(WTG_BD!L:L,'Basic Data'!T1588,WTG_BD!F:F,"&gt;="&amp;O2Summary!$B$6,WTG_BD!F:F,"&lt;="&amp;O2Summary!$B$4)</f>
        <v>0</v>
      </c>
      <c r="V1588" s="18">
        <f t="shared" si="31"/>
        <v>47</v>
      </c>
    </row>
    <row r="1589" spans="19:22">
      <c r="S1589" s="16">
        <v>3473</v>
      </c>
      <c r="T1589" s="16" t="s">
        <v>2102</v>
      </c>
      <c r="U1589" s="17">
        <f>COUNTIFS(WTG_BD!L:L,'Basic Data'!T1589,WTG_BD!F:F,"&gt;="&amp;O2Summary!$B$6,WTG_BD!F:F,"&lt;="&amp;O2Summary!$B$4)</f>
        <v>0</v>
      </c>
      <c r="V1589" s="18">
        <f t="shared" si="31"/>
        <v>47</v>
      </c>
    </row>
    <row r="1590" spans="19:22">
      <c r="S1590" s="16">
        <v>3475</v>
      </c>
      <c r="T1590" s="16" t="s">
        <v>2103</v>
      </c>
      <c r="U1590" s="17">
        <f>COUNTIFS(WTG_BD!L:L,'Basic Data'!T1590,WTG_BD!F:F,"&gt;="&amp;O2Summary!$B$6,WTG_BD!F:F,"&lt;="&amp;O2Summary!$B$4)</f>
        <v>0</v>
      </c>
      <c r="V1590" s="18">
        <f t="shared" si="31"/>
        <v>47</v>
      </c>
    </row>
    <row r="1591" spans="19:22">
      <c r="S1591" s="16">
        <v>3476</v>
      </c>
      <c r="T1591" s="16" t="s">
        <v>2104</v>
      </c>
      <c r="U1591" s="17">
        <f>COUNTIFS(WTG_BD!L:L,'Basic Data'!T1591,WTG_BD!F:F,"&gt;="&amp;O2Summary!$B$6,WTG_BD!F:F,"&lt;="&amp;O2Summary!$B$4)</f>
        <v>0</v>
      </c>
      <c r="V1591" s="18">
        <f t="shared" si="31"/>
        <v>47</v>
      </c>
    </row>
    <row r="1592" spans="19:22">
      <c r="S1592" s="16">
        <v>3477</v>
      </c>
      <c r="T1592" s="16" t="s">
        <v>2105</v>
      </c>
      <c r="U1592" s="17">
        <f>COUNTIFS(WTG_BD!L:L,'Basic Data'!T1592,WTG_BD!F:F,"&gt;="&amp;O2Summary!$B$6,WTG_BD!F:F,"&lt;="&amp;O2Summary!$B$4)</f>
        <v>0</v>
      </c>
      <c r="V1592" s="18">
        <f t="shared" si="31"/>
        <v>47</v>
      </c>
    </row>
    <row r="1593" spans="19:22">
      <c r="S1593" s="16">
        <v>3478</v>
      </c>
      <c r="T1593" s="16" t="s">
        <v>2106</v>
      </c>
      <c r="U1593" s="17">
        <f>COUNTIFS(WTG_BD!L:L,'Basic Data'!T1593,WTG_BD!F:F,"&gt;="&amp;O2Summary!$B$6,WTG_BD!F:F,"&lt;="&amp;O2Summary!$B$4)</f>
        <v>0</v>
      </c>
      <c r="V1593" s="18">
        <f t="shared" si="31"/>
        <v>47</v>
      </c>
    </row>
    <row r="1594" spans="19:22">
      <c r="S1594" s="16">
        <v>3479</v>
      </c>
      <c r="T1594" s="16" t="s">
        <v>2107</v>
      </c>
      <c r="U1594" s="17">
        <f>COUNTIFS(WTG_BD!L:L,'Basic Data'!T1594,WTG_BD!F:F,"&gt;="&amp;O2Summary!$B$6,WTG_BD!F:F,"&lt;="&amp;O2Summary!$B$4)</f>
        <v>0</v>
      </c>
      <c r="V1594" s="18">
        <f t="shared" si="31"/>
        <v>47</v>
      </c>
    </row>
    <row r="1595" spans="19:22">
      <c r="S1595" s="16">
        <v>3480</v>
      </c>
      <c r="T1595" s="16" t="s">
        <v>2108</v>
      </c>
      <c r="U1595" s="17">
        <f>COUNTIFS(WTG_BD!L:L,'Basic Data'!T1595,WTG_BD!F:F,"&gt;="&amp;O2Summary!$B$6,WTG_BD!F:F,"&lt;="&amp;O2Summary!$B$4)</f>
        <v>0</v>
      </c>
      <c r="V1595" s="18">
        <f t="shared" si="31"/>
        <v>47</v>
      </c>
    </row>
    <row r="1596" spans="19:22">
      <c r="S1596" s="16">
        <v>3481</v>
      </c>
      <c r="T1596" s="16" t="s">
        <v>2109</v>
      </c>
      <c r="U1596" s="17">
        <f>COUNTIFS(WTG_BD!L:L,'Basic Data'!T1596,WTG_BD!F:F,"&gt;="&amp;O2Summary!$B$6,WTG_BD!F:F,"&lt;="&amp;O2Summary!$B$4)</f>
        <v>0</v>
      </c>
      <c r="V1596" s="18">
        <f t="shared" si="31"/>
        <v>47</v>
      </c>
    </row>
    <row r="1597" spans="19:22">
      <c r="S1597" s="16">
        <v>3482</v>
      </c>
      <c r="T1597" s="16" t="s">
        <v>2110</v>
      </c>
      <c r="U1597" s="17">
        <f>COUNTIFS(WTG_BD!L:L,'Basic Data'!T1597,WTG_BD!F:F,"&gt;="&amp;O2Summary!$B$6,WTG_BD!F:F,"&lt;="&amp;O2Summary!$B$4)</f>
        <v>0</v>
      </c>
      <c r="V1597" s="18">
        <f t="shared" si="31"/>
        <v>47</v>
      </c>
    </row>
    <row r="1598" spans="19:22">
      <c r="S1598" s="16">
        <v>3483</v>
      </c>
      <c r="T1598" s="16" t="s">
        <v>2111</v>
      </c>
      <c r="U1598" s="17">
        <f>COUNTIFS(WTG_BD!L:L,'Basic Data'!T1598,WTG_BD!F:F,"&gt;="&amp;O2Summary!$B$6,WTG_BD!F:F,"&lt;="&amp;O2Summary!$B$4)</f>
        <v>2</v>
      </c>
      <c r="V1598" s="18">
        <f t="shared" si="31"/>
        <v>21</v>
      </c>
    </row>
    <row r="1599" spans="19:22">
      <c r="S1599" s="16">
        <v>3484</v>
      </c>
      <c r="T1599" s="16" t="s">
        <v>1665</v>
      </c>
      <c r="U1599" s="17">
        <f>COUNTIFS(WTG_BD!L:L,'Basic Data'!T1599,WTG_BD!F:F,"&gt;="&amp;O2Summary!$B$6,WTG_BD!F:F,"&lt;="&amp;O2Summary!$B$4)</f>
        <v>0</v>
      </c>
      <c r="V1599" s="18">
        <f t="shared" si="31"/>
        <v>47</v>
      </c>
    </row>
    <row r="1600" spans="19:22">
      <c r="S1600" s="16">
        <v>3485</v>
      </c>
      <c r="T1600" s="16" t="s">
        <v>2112</v>
      </c>
      <c r="U1600" s="17">
        <f>COUNTIFS(WTG_BD!L:L,'Basic Data'!T1600,WTG_BD!F:F,"&gt;="&amp;O2Summary!$B$6,WTG_BD!F:F,"&lt;="&amp;O2Summary!$B$4)</f>
        <v>0</v>
      </c>
      <c r="V1600" s="18">
        <f t="shared" si="31"/>
        <v>47</v>
      </c>
    </row>
    <row r="1601" spans="19:22">
      <c r="S1601" s="16">
        <v>3486</v>
      </c>
      <c r="T1601" s="16" t="s">
        <v>2113</v>
      </c>
      <c r="U1601" s="17">
        <f>COUNTIFS(WTG_BD!L:L,'Basic Data'!T1601,WTG_BD!F:F,"&gt;="&amp;O2Summary!$B$6,WTG_BD!F:F,"&lt;="&amp;O2Summary!$B$4)</f>
        <v>0</v>
      </c>
      <c r="V1601" s="18">
        <f t="shared" si="31"/>
        <v>47</v>
      </c>
    </row>
    <row r="1602" spans="19:22">
      <c r="S1602" s="16">
        <v>3487</v>
      </c>
      <c r="T1602" s="16" t="s">
        <v>2114</v>
      </c>
      <c r="U1602" s="17">
        <f>COUNTIFS(WTG_BD!L:L,'Basic Data'!T1602,WTG_BD!F:F,"&gt;="&amp;O2Summary!$B$6,WTG_BD!F:F,"&lt;="&amp;O2Summary!$B$4)</f>
        <v>2</v>
      </c>
      <c r="V1602" s="18">
        <f t="shared" si="31"/>
        <v>21</v>
      </c>
    </row>
    <row r="1603" spans="19:22">
      <c r="S1603" s="16">
        <v>3488</v>
      </c>
      <c r="T1603" s="16" t="s">
        <v>2115</v>
      </c>
      <c r="U1603" s="17">
        <f>COUNTIFS(WTG_BD!L:L,'Basic Data'!T1603,WTG_BD!F:F,"&gt;="&amp;O2Summary!$B$6,WTG_BD!F:F,"&lt;="&amp;O2Summary!$B$4)</f>
        <v>0</v>
      </c>
      <c r="V1603" s="18">
        <f t="shared" ref="V1603:V1666" si="32">RANK(U1603,$U$2:$U$3975)</f>
        <v>47</v>
      </c>
    </row>
    <row r="1604" spans="19:22">
      <c r="S1604" s="16">
        <v>3489</v>
      </c>
      <c r="T1604" s="16" t="s">
        <v>2116</v>
      </c>
      <c r="U1604" s="17">
        <f>COUNTIFS(WTG_BD!L:L,'Basic Data'!T1604,WTG_BD!F:F,"&gt;="&amp;O2Summary!$B$6,WTG_BD!F:F,"&lt;="&amp;O2Summary!$B$4)</f>
        <v>0</v>
      </c>
      <c r="V1604" s="18">
        <f t="shared" si="32"/>
        <v>47</v>
      </c>
    </row>
    <row r="1605" spans="19:22">
      <c r="S1605" s="16">
        <v>3490</v>
      </c>
      <c r="T1605" s="16" t="s">
        <v>2117</v>
      </c>
      <c r="U1605" s="17">
        <f>COUNTIFS(WTG_BD!L:L,'Basic Data'!T1605,WTG_BD!F:F,"&gt;="&amp;O2Summary!$B$6,WTG_BD!F:F,"&lt;="&amp;O2Summary!$B$4)</f>
        <v>0</v>
      </c>
      <c r="V1605" s="18">
        <f t="shared" si="32"/>
        <v>47</v>
      </c>
    </row>
    <row r="1606" spans="19:22">
      <c r="S1606" s="16">
        <v>3491</v>
      </c>
      <c r="T1606" s="16" t="s">
        <v>2118</v>
      </c>
      <c r="U1606" s="17">
        <f>COUNTIFS(WTG_BD!L:L,'Basic Data'!T1606,WTG_BD!F:F,"&gt;="&amp;O2Summary!$B$6,WTG_BD!F:F,"&lt;="&amp;O2Summary!$B$4)</f>
        <v>0</v>
      </c>
      <c r="V1606" s="18">
        <f t="shared" si="32"/>
        <v>47</v>
      </c>
    </row>
    <row r="1607" spans="19:22">
      <c r="S1607" s="16">
        <v>3492</v>
      </c>
      <c r="T1607" s="16" t="s">
        <v>2119</v>
      </c>
      <c r="U1607" s="17">
        <f>COUNTIFS(WTG_BD!L:L,'Basic Data'!T1607,WTG_BD!F:F,"&gt;="&amp;O2Summary!$B$6,WTG_BD!F:F,"&lt;="&amp;O2Summary!$B$4)</f>
        <v>0</v>
      </c>
      <c r="V1607" s="18">
        <f t="shared" si="32"/>
        <v>47</v>
      </c>
    </row>
    <row r="1608" spans="19:22">
      <c r="S1608" s="16">
        <v>3493</v>
      </c>
      <c r="T1608" s="16" t="s">
        <v>2120</v>
      </c>
      <c r="U1608" s="17">
        <f>COUNTIFS(WTG_BD!L:L,'Basic Data'!T1608,WTG_BD!F:F,"&gt;="&amp;O2Summary!$B$6,WTG_BD!F:F,"&lt;="&amp;O2Summary!$B$4)</f>
        <v>0</v>
      </c>
      <c r="V1608" s="18">
        <f t="shared" si="32"/>
        <v>47</v>
      </c>
    </row>
    <row r="1609" spans="19:22">
      <c r="S1609" s="16">
        <v>3494</v>
      </c>
      <c r="T1609" s="16" t="s">
        <v>2121</v>
      </c>
      <c r="U1609" s="17">
        <f>COUNTIFS(WTG_BD!L:L,'Basic Data'!T1609,WTG_BD!F:F,"&gt;="&amp;O2Summary!$B$6,WTG_BD!F:F,"&lt;="&amp;O2Summary!$B$4)</f>
        <v>0</v>
      </c>
      <c r="V1609" s="18">
        <f t="shared" si="32"/>
        <v>47</v>
      </c>
    </row>
    <row r="1610" spans="19:22">
      <c r="S1610" s="16">
        <v>3495</v>
      </c>
      <c r="T1610" s="16" t="s">
        <v>2122</v>
      </c>
      <c r="U1610" s="17">
        <f>COUNTIFS(WTG_BD!L:L,'Basic Data'!T1610,WTG_BD!F:F,"&gt;="&amp;O2Summary!$B$6,WTG_BD!F:F,"&lt;="&amp;O2Summary!$B$4)</f>
        <v>0</v>
      </c>
      <c r="V1610" s="18">
        <f t="shared" si="32"/>
        <v>47</v>
      </c>
    </row>
    <row r="1611" spans="19:22">
      <c r="S1611" s="16">
        <v>3496</v>
      </c>
      <c r="T1611" s="16" t="s">
        <v>2123</v>
      </c>
      <c r="U1611" s="17">
        <f>COUNTIFS(WTG_BD!L:L,'Basic Data'!T1611,WTG_BD!F:F,"&gt;="&amp;O2Summary!$B$6,WTG_BD!F:F,"&lt;="&amp;O2Summary!$B$4)</f>
        <v>0</v>
      </c>
      <c r="V1611" s="18">
        <f t="shared" si="32"/>
        <v>47</v>
      </c>
    </row>
    <row r="1612" spans="19:22">
      <c r="S1612" s="16">
        <v>3497</v>
      </c>
      <c r="T1612" s="16" t="s">
        <v>2124</v>
      </c>
      <c r="U1612" s="17">
        <f>COUNTIFS(WTG_BD!L:L,'Basic Data'!T1612,WTG_BD!F:F,"&gt;="&amp;O2Summary!$B$6,WTG_BD!F:F,"&lt;="&amp;O2Summary!$B$4)</f>
        <v>0</v>
      </c>
      <c r="V1612" s="18">
        <f t="shared" si="32"/>
        <v>47</v>
      </c>
    </row>
    <row r="1613" spans="19:22">
      <c r="S1613" s="16">
        <v>3498</v>
      </c>
      <c r="T1613" s="16" t="s">
        <v>2125</v>
      </c>
      <c r="U1613" s="17">
        <f>COUNTIFS(WTG_BD!L:L,'Basic Data'!T1613,WTG_BD!F:F,"&gt;="&amp;O2Summary!$B$6,WTG_BD!F:F,"&lt;="&amp;O2Summary!$B$4)</f>
        <v>0</v>
      </c>
      <c r="V1613" s="18">
        <f t="shared" si="32"/>
        <v>47</v>
      </c>
    </row>
    <row r="1614" spans="19:22">
      <c r="S1614" s="16">
        <v>3501</v>
      </c>
      <c r="T1614" s="16" t="s">
        <v>2126</v>
      </c>
      <c r="U1614" s="17">
        <f>COUNTIFS(WTG_BD!L:L,'Basic Data'!T1614,WTG_BD!F:F,"&gt;="&amp;O2Summary!$B$6,WTG_BD!F:F,"&lt;="&amp;O2Summary!$B$4)</f>
        <v>0</v>
      </c>
      <c r="V1614" s="18">
        <f t="shared" si="32"/>
        <v>47</v>
      </c>
    </row>
    <row r="1615" spans="19:22">
      <c r="S1615" s="16">
        <v>3502</v>
      </c>
      <c r="T1615" s="16" t="s">
        <v>2127</v>
      </c>
      <c r="U1615" s="17">
        <f>COUNTIFS(WTG_BD!L:L,'Basic Data'!T1615,WTG_BD!F:F,"&gt;="&amp;O2Summary!$B$6,WTG_BD!F:F,"&lt;="&amp;O2Summary!$B$4)</f>
        <v>0</v>
      </c>
      <c r="V1615" s="18">
        <f t="shared" si="32"/>
        <v>47</v>
      </c>
    </row>
    <row r="1616" spans="19:22">
      <c r="S1616" s="16">
        <v>3510</v>
      </c>
      <c r="T1616" s="16" t="s">
        <v>2128</v>
      </c>
      <c r="U1616" s="17">
        <f>COUNTIFS(WTG_BD!L:L,'Basic Data'!T1616,WTG_BD!F:F,"&gt;="&amp;O2Summary!$B$6,WTG_BD!F:F,"&lt;="&amp;O2Summary!$B$4)</f>
        <v>0</v>
      </c>
      <c r="V1616" s="18">
        <f t="shared" si="32"/>
        <v>47</v>
      </c>
    </row>
    <row r="1617" spans="19:22">
      <c r="S1617" s="16">
        <v>3511</v>
      </c>
      <c r="T1617" s="16" t="s">
        <v>2129</v>
      </c>
      <c r="U1617" s="17">
        <f>COUNTIFS(WTG_BD!L:L,'Basic Data'!T1617,WTG_BD!F:F,"&gt;="&amp;O2Summary!$B$6,WTG_BD!F:F,"&lt;="&amp;O2Summary!$B$4)</f>
        <v>0</v>
      </c>
      <c r="V1617" s="18">
        <f t="shared" si="32"/>
        <v>47</v>
      </c>
    </row>
    <row r="1618" spans="19:22">
      <c r="S1618" s="16">
        <v>3512</v>
      </c>
      <c r="T1618" s="16" t="s">
        <v>2130</v>
      </c>
      <c r="U1618" s="17">
        <f>COUNTIFS(WTG_BD!L:L,'Basic Data'!T1618,WTG_BD!F:F,"&gt;="&amp;O2Summary!$B$6,WTG_BD!F:F,"&lt;="&amp;O2Summary!$B$4)</f>
        <v>0</v>
      </c>
      <c r="V1618" s="18">
        <f t="shared" si="32"/>
        <v>47</v>
      </c>
    </row>
    <row r="1619" spans="19:22">
      <c r="S1619" s="16">
        <v>3513</v>
      </c>
      <c r="T1619" s="16" t="s">
        <v>2131</v>
      </c>
      <c r="U1619" s="17">
        <f>COUNTIFS(WTG_BD!L:L,'Basic Data'!T1619,WTG_BD!F:F,"&gt;="&amp;O2Summary!$B$6,WTG_BD!F:F,"&lt;="&amp;O2Summary!$B$4)</f>
        <v>0</v>
      </c>
      <c r="V1619" s="18">
        <f t="shared" si="32"/>
        <v>47</v>
      </c>
    </row>
    <row r="1620" spans="19:22">
      <c r="S1620" s="16">
        <v>3514</v>
      </c>
      <c r="T1620" s="16" t="s">
        <v>2132</v>
      </c>
      <c r="U1620" s="17">
        <f>COUNTIFS(WTG_BD!L:L,'Basic Data'!T1620,WTG_BD!F:F,"&gt;="&amp;O2Summary!$B$6,WTG_BD!F:F,"&lt;="&amp;O2Summary!$B$4)</f>
        <v>0</v>
      </c>
      <c r="V1620" s="18">
        <f t="shared" si="32"/>
        <v>47</v>
      </c>
    </row>
    <row r="1621" spans="19:22">
      <c r="S1621" s="16">
        <v>3515</v>
      </c>
      <c r="T1621" s="16" t="s">
        <v>2133</v>
      </c>
      <c r="U1621" s="17">
        <f>COUNTIFS(WTG_BD!L:L,'Basic Data'!T1621,WTG_BD!F:F,"&gt;="&amp;O2Summary!$B$6,WTG_BD!F:F,"&lt;="&amp;O2Summary!$B$4)</f>
        <v>0</v>
      </c>
      <c r="V1621" s="18">
        <f t="shared" si="32"/>
        <v>47</v>
      </c>
    </row>
    <row r="1622" spans="19:22">
      <c r="S1622" s="16">
        <v>3516</v>
      </c>
      <c r="T1622" s="16" t="s">
        <v>2134</v>
      </c>
      <c r="U1622" s="17">
        <f>COUNTIFS(WTG_BD!L:L,'Basic Data'!T1622,WTG_BD!F:F,"&gt;="&amp;O2Summary!$B$6,WTG_BD!F:F,"&lt;="&amp;O2Summary!$B$4)</f>
        <v>0</v>
      </c>
      <c r="V1622" s="18">
        <f t="shared" si="32"/>
        <v>47</v>
      </c>
    </row>
    <row r="1623" spans="19:22">
      <c r="S1623" s="16">
        <v>3517</v>
      </c>
      <c r="T1623" s="16" t="s">
        <v>2135</v>
      </c>
      <c r="U1623" s="17">
        <f>COUNTIFS(WTG_BD!L:L,'Basic Data'!T1623,WTG_BD!F:F,"&gt;="&amp;O2Summary!$B$6,WTG_BD!F:F,"&lt;="&amp;O2Summary!$B$4)</f>
        <v>0</v>
      </c>
      <c r="V1623" s="18">
        <f t="shared" si="32"/>
        <v>47</v>
      </c>
    </row>
    <row r="1624" spans="19:22">
      <c r="S1624" s="16">
        <v>3518</v>
      </c>
      <c r="T1624" s="16" t="s">
        <v>2136</v>
      </c>
      <c r="U1624" s="17">
        <f>COUNTIFS(WTG_BD!L:L,'Basic Data'!T1624,WTG_BD!F:F,"&gt;="&amp;O2Summary!$B$6,WTG_BD!F:F,"&lt;="&amp;O2Summary!$B$4)</f>
        <v>0</v>
      </c>
      <c r="V1624" s="18">
        <f t="shared" si="32"/>
        <v>47</v>
      </c>
    </row>
    <row r="1625" spans="19:22">
      <c r="S1625" s="16">
        <v>3519</v>
      </c>
      <c r="T1625" s="16" t="s">
        <v>2137</v>
      </c>
      <c r="U1625" s="17">
        <f>COUNTIFS(WTG_BD!L:L,'Basic Data'!T1625,WTG_BD!F:F,"&gt;="&amp;O2Summary!$B$6,WTG_BD!F:F,"&lt;="&amp;O2Summary!$B$4)</f>
        <v>0</v>
      </c>
      <c r="V1625" s="18">
        <f t="shared" si="32"/>
        <v>47</v>
      </c>
    </row>
    <row r="1626" spans="19:22">
      <c r="S1626" s="16">
        <v>3520</v>
      </c>
      <c r="T1626" s="16" t="s">
        <v>2138</v>
      </c>
      <c r="U1626" s="17">
        <f>COUNTIFS(WTG_BD!L:L,'Basic Data'!T1626,WTG_BD!F:F,"&gt;="&amp;O2Summary!$B$6,WTG_BD!F:F,"&lt;="&amp;O2Summary!$B$4)</f>
        <v>0</v>
      </c>
      <c r="V1626" s="18">
        <f t="shared" si="32"/>
        <v>47</v>
      </c>
    </row>
    <row r="1627" spans="19:22">
      <c r="S1627" s="16">
        <v>3521</v>
      </c>
      <c r="T1627" s="16" t="s">
        <v>2139</v>
      </c>
      <c r="U1627" s="17">
        <f>COUNTIFS(WTG_BD!L:L,'Basic Data'!T1627,WTG_BD!F:F,"&gt;="&amp;O2Summary!$B$6,WTG_BD!F:F,"&lt;="&amp;O2Summary!$B$4)</f>
        <v>0</v>
      </c>
      <c r="V1627" s="18">
        <f t="shared" si="32"/>
        <v>47</v>
      </c>
    </row>
    <row r="1628" spans="19:22">
      <c r="S1628" s="16">
        <v>3522</v>
      </c>
      <c r="T1628" s="16" t="s">
        <v>2140</v>
      </c>
      <c r="U1628" s="17">
        <f>COUNTIFS(WTG_BD!L:L,'Basic Data'!T1628,WTG_BD!F:F,"&gt;="&amp;O2Summary!$B$6,WTG_BD!F:F,"&lt;="&amp;O2Summary!$B$4)</f>
        <v>0</v>
      </c>
      <c r="V1628" s="18">
        <f t="shared" si="32"/>
        <v>47</v>
      </c>
    </row>
    <row r="1629" spans="19:22">
      <c r="S1629" s="16">
        <v>3523</v>
      </c>
      <c r="T1629" s="16" t="s">
        <v>2141</v>
      </c>
      <c r="U1629" s="17">
        <f>COUNTIFS(WTG_BD!L:L,'Basic Data'!T1629,WTG_BD!F:F,"&gt;="&amp;O2Summary!$B$6,WTG_BD!F:F,"&lt;="&amp;O2Summary!$B$4)</f>
        <v>0</v>
      </c>
      <c r="V1629" s="18">
        <f t="shared" si="32"/>
        <v>47</v>
      </c>
    </row>
    <row r="1630" spans="19:22">
      <c r="S1630" s="16">
        <v>3524</v>
      </c>
      <c r="T1630" s="16" t="s">
        <v>2142</v>
      </c>
      <c r="U1630" s="17">
        <f>COUNTIFS(WTG_BD!L:L,'Basic Data'!T1630,WTG_BD!F:F,"&gt;="&amp;O2Summary!$B$6,WTG_BD!F:F,"&lt;="&amp;O2Summary!$B$4)</f>
        <v>0</v>
      </c>
      <c r="V1630" s="18">
        <f t="shared" si="32"/>
        <v>47</v>
      </c>
    </row>
    <row r="1631" spans="19:22">
      <c r="S1631" s="16">
        <v>3525</v>
      </c>
      <c r="T1631" s="16" t="s">
        <v>2143</v>
      </c>
      <c r="U1631" s="17">
        <f>COUNTIFS(WTG_BD!L:L,'Basic Data'!T1631,WTG_BD!F:F,"&gt;="&amp;O2Summary!$B$6,WTG_BD!F:F,"&lt;="&amp;O2Summary!$B$4)</f>
        <v>0</v>
      </c>
      <c r="V1631" s="18">
        <f t="shared" si="32"/>
        <v>47</v>
      </c>
    </row>
    <row r="1632" spans="19:22">
      <c r="S1632" s="16">
        <v>3526</v>
      </c>
      <c r="T1632" s="16" t="s">
        <v>2144</v>
      </c>
      <c r="U1632" s="17">
        <f>COUNTIFS(WTG_BD!L:L,'Basic Data'!T1632,WTG_BD!F:F,"&gt;="&amp;O2Summary!$B$6,WTG_BD!F:F,"&lt;="&amp;O2Summary!$B$4)</f>
        <v>0</v>
      </c>
      <c r="V1632" s="18">
        <f t="shared" si="32"/>
        <v>47</v>
      </c>
    </row>
    <row r="1633" spans="19:22">
      <c r="S1633" s="16">
        <v>3527</v>
      </c>
      <c r="T1633" s="16" t="s">
        <v>2145</v>
      </c>
      <c r="U1633" s="17">
        <f>COUNTIFS(WTG_BD!L:L,'Basic Data'!T1633,WTG_BD!F:F,"&gt;="&amp;O2Summary!$B$6,WTG_BD!F:F,"&lt;="&amp;O2Summary!$B$4)</f>
        <v>0</v>
      </c>
      <c r="V1633" s="18">
        <f t="shared" si="32"/>
        <v>47</v>
      </c>
    </row>
    <row r="1634" spans="19:22">
      <c r="S1634" s="16">
        <v>3537</v>
      </c>
      <c r="T1634" s="16" t="s">
        <v>2146</v>
      </c>
      <c r="U1634" s="17">
        <f>COUNTIFS(WTG_BD!L:L,'Basic Data'!T1634,WTG_BD!F:F,"&gt;="&amp;O2Summary!$B$6,WTG_BD!F:F,"&lt;="&amp;O2Summary!$B$4)</f>
        <v>0</v>
      </c>
      <c r="V1634" s="18">
        <f t="shared" si="32"/>
        <v>47</v>
      </c>
    </row>
    <row r="1635" spans="19:22">
      <c r="S1635" s="16">
        <v>3538</v>
      </c>
      <c r="T1635" s="16" t="s">
        <v>2147</v>
      </c>
      <c r="U1635" s="17">
        <f>COUNTIFS(WTG_BD!L:L,'Basic Data'!T1635,WTG_BD!F:F,"&gt;="&amp;O2Summary!$B$6,WTG_BD!F:F,"&lt;="&amp;O2Summary!$B$4)</f>
        <v>0</v>
      </c>
      <c r="V1635" s="18">
        <f t="shared" si="32"/>
        <v>47</v>
      </c>
    </row>
    <row r="1636" spans="19:22">
      <c r="S1636" s="16">
        <v>3539</v>
      </c>
      <c r="T1636" s="16" t="s">
        <v>2148</v>
      </c>
      <c r="U1636" s="17">
        <f>COUNTIFS(WTG_BD!L:L,'Basic Data'!T1636,WTG_BD!F:F,"&gt;="&amp;O2Summary!$B$6,WTG_BD!F:F,"&lt;="&amp;O2Summary!$B$4)</f>
        <v>0</v>
      </c>
      <c r="V1636" s="18">
        <f t="shared" si="32"/>
        <v>47</v>
      </c>
    </row>
    <row r="1637" spans="19:22">
      <c r="S1637" s="16">
        <v>3540</v>
      </c>
      <c r="T1637" s="16" t="s">
        <v>2149</v>
      </c>
      <c r="U1637" s="17">
        <f>COUNTIFS(WTG_BD!L:L,'Basic Data'!T1637,WTG_BD!F:F,"&gt;="&amp;O2Summary!$B$6,WTG_BD!F:F,"&lt;="&amp;O2Summary!$B$4)</f>
        <v>0</v>
      </c>
      <c r="V1637" s="18">
        <f t="shared" si="32"/>
        <v>47</v>
      </c>
    </row>
    <row r="1638" spans="19:22">
      <c r="S1638" s="16">
        <v>3541</v>
      </c>
      <c r="T1638" s="16" t="s">
        <v>2149</v>
      </c>
      <c r="U1638" s="17">
        <f>COUNTIFS(WTG_BD!L:L,'Basic Data'!T1638,WTG_BD!F:F,"&gt;="&amp;O2Summary!$B$6,WTG_BD!F:F,"&lt;="&amp;O2Summary!$B$4)</f>
        <v>0</v>
      </c>
      <c r="V1638" s="18">
        <f t="shared" si="32"/>
        <v>47</v>
      </c>
    </row>
    <row r="1639" spans="19:22">
      <c r="S1639" s="16">
        <v>3542</v>
      </c>
      <c r="T1639" s="16" t="s">
        <v>2150</v>
      </c>
      <c r="U1639" s="17">
        <f>COUNTIFS(WTG_BD!L:L,'Basic Data'!T1639,WTG_BD!F:F,"&gt;="&amp;O2Summary!$B$6,WTG_BD!F:F,"&lt;="&amp;O2Summary!$B$4)</f>
        <v>0</v>
      </c>
      <c r="V1639" s="18">
        <f t="shared" si="32"/>
        <v>47</v>
      </c>
    </row>
    <row r="1640" spans="19:22">
      <c r="S1640" s="16">
        <v>3543</v>
      </c>
      <c r="T1640" s="16" t="s">
        <v>2151</v>
      </c>
      <c r="U1640" s="17">
        <f>COUNTIFS(WTG_BD!L:L,'Basic Data'!T1640,WTG_BD!F:F,"&gt;="&amp;O2Summary!$B$6,WTG_BD!F:F,"&lt;="&amp;O2Summary!$B$4)</f>
        <v>0</v>
      </c>
      <c r="V1640" s="18">
        <f t="shared" si="32"/>
        <v>47</v>
      </c>
    </row>
    <row r="1641" spans="19:22">
      <c r="S1641" s="16">
        <v>3544</v>
      </c>
      <c r="T1641" s="16" t="s">
        <v>2150</v>
      </c>
      <c r="U1641" s="17">
        <f>COUNTIFS(WTG_BD!L:L,'Basic Data'!T1641,WTG_BD!F:F,"&gt;="&amp;O2Summary!$B$6,WTG_BD!F:F,"&lt;="&amp;O2Summary!$B$4)</f>
        <v>0</v>
      </c>
      <c r="V1641" s="18">
        <f t="shared" si="32"/>
        <v>47</v>
      </c>
    </row>
    <row r="1642" spans="19:22">
      <c r="S1642" s="16">
        <v>3545</v>
      </c>
      <c r="T1642" s="16" t="s">
        <v>2152</v>
      </c>
      <c r="U1642" s="17">
        <f>COUNTIFS(WTG_BD!L:L,'Basic Data'!T1642,WTG_BD!F:F,"&gt;="&amp;O2Summary!$B$6,WTG_BD!F:F,"&lt;="&amp;O2Summary!$B$4)</f>
        <v>0</v>
      </c>
      <c r="V1642" s="18">
        <f t="shared" si="32"/>
        <v>47</v>
      </c>
    </row>
    <row r="1643" spans="19:22">
      <c r="S1643" s="16">
        <v>3546</v>
      </c>
      <c r="T1643" s="16" t="s">
        <v>2153</v>
      </c>
      <c r="U1643" s="17">
        <f>COUNTIFS(WTG_BD!L:L,'Basic Data'!T1643,WTG_BD!F:F,"&gt;="&amp;O2Summary!$B$6,WTG_BD!F:F,"&lt;="&amp;O2Summary!$B$4)</f>
        <v>0</v>
      </c>
      <c r="V1643" s="18">
        <f t="shared" si="32"/>
        <v>47</v>
      </c>
    </row>
    <row r="1644" spans="19:22">
      <c r="S1644" s="16">
        <v>3547</v>
      </c>
      <c r="T1644" s="16" t="s">
        <v>2154</v>
      </c>
      <c r="U1644" s="17">
        <f>COUNTIFS(WTG_BD!L:L,'Basic Data'!T1644,WTG_BD!F:F,"&gt;="&amp;O2Summary!$B$6,WTG_BD!F:F,"&lt;="&amp;O2Summary!$B$4)</f>
        <v>0</v>
      </c>
      <c r="V1644" s="18">
        <f t="shared" si="32"/>
        <v>47</v>
      </c>
    </row>
    <row r="1645" spans="19:22">
      <c r="S1645" s="16">
        <v>3548</v>
      </c>
      <c r="T1645" s="16" t="s">
        <v>2155</v>
      </c>
      <c r="U1645" s="17">
        <f>COUNTIFS(WTG_BD!L:L,'Basic Data'!T1645,WTG_BD!F:F,"&gt;="&amp;O2Summary!$B$6,WTG_BD!F:F,"&lt;="&amp;O2Summary!$B$4)</f>
        <v>0</v>
      </c>
      <c r="V1645" s="18">
        <f t="shared" si="32"/>
        <v>47</v>
      </c>
    </row>
    <row r="1646" spans="19:22">
      <c r="S1646" s="16">
        <v>3549</v>
      </c>
      <c r="T1646" s="16" t="s">
        <v>2156</v>
      </c>
      <c r="U1646" s="17">
        <f>COUNTIFS(WTG_BD!L:L,'Basic Data'!T1646,WTG_BD!F:F,"&gt;="&amp;O2Summary!$B$6,WTG_BD!F:F,"&lt;="&amp;O2Summary!$B$4)</f>
        <v>0</v>
      </c>
      <c r="V1646" s="18">
        <f t="shared" si="32"/>
        <v>47</v>
      </c>
    </row>
    <row r="1647" spans="19:22">
      <c r="S1647" s="16">
        <v>3550</v>
      </c>
      <c r="T1647" s="16" t="s">
        <v>2157</v>
      </c>
      <c r="U1647" s="17">
        <f>COUNTIFS(WTG_BD!L:L,'Basic Data'!T1647,WTG_BD!F:F,"&gt;="&amp;O2Summary!$B$6,WTG_BD!F:F,"&lt;="&amp;O2Summary!$B$4)</f>
        <v>0</v>
      </c>
      <c r="V1647" s="18">
        <f t="shared" si="32"/>
        <v>47</v>
      </c>
    </row>
    <row r="1648" spans="19:22">
      <c r="S1648" s="16">
        <v>3551</v>
      </c>
      <c r="T1648" s="16" t="s">
        <v>1666</v>
      </c>
      <c r="U1648" s="17">
        <f>COUNTIFS(WTG_BD!L:L,'Basic Data'!T1648,WTG_BD!F:F,"&gt;="&amp;O2Summary!$B$6,WTG_BD!F:F,"&lt;="&amp;O2Summary!$B$4)</f>
        <v>0</v>
      </c>
      <c r="V1648" s="18">
        <f t="shared" si="32"/>
        <v>47</v>
      </c>
    </row>
    <row r="1649" spans="19:22">
      <c r="S1649" s="16">
        <v>3552</v>
      </c>
      <c r="T1649" s="16" t="s">
        <v>2158</v>
      </c>
      <c r="U1649" s="17">
        <f>COUNTIFS(WTG_BD!L:L,'Basic Data'!T1649,WTG_BD!F:F,"&gt;="&amp;O2Summary!$B$6,WTG_BD!F:F,"&lt;="&amp;O2Summary!$B$4)</f>
        <v>0</v>
      </c>
      <c r="V1649" s="18">
        <f t="shared" si="32"/>
        <v>47</v>
      </c>
    </row>
    <row r="1650" spans="19:22">
      <c r="S1650" s="16">
        <v>3555</v>
      </c>
      <c r="T1650" s="16" t="s">
        <v>2159</v>
      </c>
      <c r="U1650" s="17">
        <f>COUNTIFS(WTG_BD!L:L,'Basic Data'!T1650,WTG_BD!F:F,"&gt;="&amp;O2Summary!$B$6,WTG_BD!F:F,"&lt;="&amp;O2Summary!$B$4)</f>
        <v>0</v>
      </c>
      <c r="V1650" s="18">
        <f t="shared" si="32"/>
        <v>47</v>
      </c>
    </row>
    <row r="1651" spans="19:22">
      <c r="S1651" s="16">
        <v>3556</v>
      </c>
      <c r="T1651" s="16" t="s">
        <v>2160</v>
      </c>
      <c r="U1651" s="17">
        <f>COUNTIFS(WTG_BD!L:L,'Basic Data'!T1651,WTG_BD!F:F,"&gt;="&amp;O2Summary!$B$6,WTG_BD!F:F,"&lt;="&amp;O2Summary!$B$4)</f>
        <v>0</v>
      </c>
      <c r="V1651" s="18">
        <f t="shared" si="32"/>
        <v>47</v>
      </c>
    </row>
    <row r="1652" spans="19:22">
      <c r="S1652" s="16">
        <v>3557</v>
      </c>
      <c r="T1652" s="16" t="s">
        <v>2161</v>
      </c>
      <c r="U1652" s="17">
        <f>COUNTIFS(WTG_BD!L:L,'Basic Data'!T1652,WTG_BD!F:F,"&gt;="&amp;O2Summary!$B$6,WTG_BD!F:F,"&lt;="&amp;O2Summary!$B$4)</f>
        <v>0</v>
      </c>
      <c r="V1652" s="18">
        <f t="shared" si="32"/>
        <v>47</v>
      </c>
    </row>
    <row r="1653" spans="19:22">
      <c r="S1653" s="16">
        <v>3558</v>
      </c>
      <c r="T1653" s="16" t="s">
        <v>2162</v>
      </c>
      <c r="U1653" s="17">
        <f>COUNTIFS(WTG_BD!L:L,'Basic Data'!T1653,WTG_BD!F:F,"&gt;="&amp;O2Summary!$B$6,WTG_BD!F:F,"&lt;="&amp;O2Summary!$B$4)</f>
        <v>0</v>
      </c>
      <c r="V1653" s="18">
        <f t="shared" si="32"/>
        <v>47</v>
      </c>
    </row>
    <row r="1654" spans="19:22">
      <c r="S1654" s="16">
        <v>3559</v>
      </c>
      <c r="T1654" s="16" t="s">
        <v>2163</v>
      </c>
      <c r="U1654" s="17">
        <f>COUNTIFS(WTG_BD!L:L,'Basic Data'!T1654,WTG_BD!F:F,"&gt;="&amp;O2Summary!$B$6,WTG_BD!F:F,"&lt;="&amp;O2Summary!$B$4)</f>
        <v>0</v>
      </c>
      <c r="V1654" s="18">
        <f t="shared" si="32"/>
        <v>47</v>
      </c>
    </row>
    <row r="1655" spans="19:22">
      <c r="S1655" s="16">
        <v>3562</v>
      </c>
      <c r="T1655" s="16" t="s">
        <v>2164</v>
      </c>
      <c r="U1655" s="17">
        <f>COUNTIFS(WTG_BD!L:L,'Basic Data'!T1655,WTG_BD!F:F,"&gt;="&amp;O2Summary!$B$6,WTG_BD!F:F,"&lt;="&amp;O2Summary!$B$4)</f>
        <v>0</v>
      </c>
      <c r="V1655" s="18">
        <f t="shared" si="32"/>
        <v>47</v>
      </c>
    </row>
    <row r="1656" spans="19:22">
      <c r="S1656" s="16">
        <v>3563</v>
      </c>
      <c r="T1656" s="16" t="s">
        <v>2165</v>
      </c>
      <c r="U1656" s="17">
        <f>COUNTIFS(WTG_BD!L:L,'Basic Data'!T1656,WTG_BD!F:F,"&gt;="&amp;O2Summary!$B$6,WTG_BD!F:F,"&lt;="&amp;O2Summary!$B$4)</f>
        <v>0</v>
      </c>
      <c r="V1656" s="18">
        <f t="shared" si="32"/>
        <v>47</v>
      </c>
    </row>
    <row r="1657" spans="19:22">
      <c r="S1657" s="16">
        <v>3564</v>
      </c>
      <c r="T1657" s="16" t="s">
        <v>2166</v>
      </c>
      <c r="U1657" s="17">
        <f>COUNTIFS(WTG_BD!L:L,'Basic Data'!T1657,WTG_BD!F:F,"&gt;="&amp;O2Summary!$B$6,WTG_BD!F:F,"&lt;="&amp;O2Summary!$B$4)</f>
        <v>0</v>
      </c>
      <c r="V1657" s="18">
        <f t="shared" si="32"/>
        <v>47</v>
      </c>
    </row>
    <row r="1658" spans="19:22">
      <c r="S1658" s="16">
        <v>3565</v>
      </c>
      <c r="T1658" s="16" t="s">
        <v>2167</v>
      </c>
      <c r="U1658" s="17">
        <f>COUNTIFS(WTG_BD!L:L,'Basic Data'!T1658,WTG_BD!F:F,"&gt;="&amp;O2Summary!$B$6,WTG_BD!F:F,"&lt;="&amp;O2Summary!$B$4)</f>
        <v>0</v>
      </c>
      <c r="V1658" s="18">
        <f t="shared" si="32"/>
        <v>47</v>
      </c>
    </row>
    <row r="1659" spans="19:22">
      <c r="S1659" s="16">
        <v>3566</v>
      </c>
      <c r="T1659" s="16" t="s">
        <v>2168</v>
      </c>
      <c r="U1659" s="17">
        <f>COUNTIFS(WTG_BD!L:L,'Basic Data'!T1659,WTG_BD!F:F,"&gt;="&amp;O2Summary!$B$6,WTG_BD!F:F,"&lt;="&amp;O2Summary!$B$4)</f>
        <v>0</v>
      </c>
      <c r="V1659" s="18">
        <f t="shared" si="32"/>
        <v>47</v>
      </c>
    </row>
    <row r="1660" spans="19:22">
      <c r="S1660" s="16">
        <v>3567</v>
      </c>
      <c r="T1660" s="16" t="s">
        <v>2169</v>
      </c>
      <c r="U1660" s="17">
        <f>COUNTIFS(WTG_BD!L:L,'Basic Data'!T1660,WTG_BD!F:F,"&gt;="&amp;O2Summary!$B$6,WTG_BD!F:F,"&lt;="&amp;O2Summary!$B$4)</f>
        <v>0</v>
      </c>
      <c r="V1660" s="18">
        <f t="shared" si="32"/>
        <v>47</v>
      </c>
    </row>
    <row r="1661" spans="19:22">
      <c r="S1661" s="16">
        <v>3568</v>
      </c>
      <c r="T1661" s="16" t="s">
        <v>2170</v>
      </c>
      <c r="U1661" s="17">
        <f>COUNTIFS(WTG_BD!L:L,'Basic Data'!T1661,WTG_BD!F:F,"&gt;="&amp;O2Summary!$B$6,WTG_BD!F:F,"&lt;="&amp;O2Summary!$B$4)</f>
        <v>0</v>
      </c>
      <c r="V1661" s="18">
        <f t="shared" si="32"/>
        <v>47</v>
      </c>
    </row>
    <row r="1662" spans="19:22">
      <c r="S1662" s="16">
        <v>3569</v>
      </c>
      <c r="T1662" s="16" t="s">
        <v>2171</v>
      </c>
      <c r="U1662" s="17">
        <f>COUNTIFS(WTG_BD!L:L,'Basic Data'!T1662,WTG_BD!F:F,"&gt;="&amp;O2Summary!$B$6,WTG_BD!F:F,"&lt;="&amp;O2Summary!$B$4)</f>
        <v>0</v>
      </c>
      <c r="V1662" s="18">
        <f t="shared" si="32"/>
        <v>47</v>
      </c>
    </row>
    <row r="1663" spans="19:22">
      <c r="S1663" s="16">
        <v>3570</v>
      </c>
      <c r="T1663" s="16" t="s">
        <v>2172</v>
      </c>
      <c r="U1663" s="17">
        <f>COUNTIFS(WTG_BD!L:L,'Basic Data'!T1663,WTG_BD!F:F,"&gt;="&amp;O2Summary!$B$6,WTG_BD!F:F,"&lt;="&amp;O2Summary!$B$4)</f>
        <v>0</v>
      </c>
      <c r="V1663" s="18">
        <f t="shared" si="32"/>
        <v>47</v>
      </c>
    </row>
    <row r="1664" spans="19:22">
      <c r="S1664" s="16">
        <v>3571</v>
      </c>
      <c r="T1664" s="16" t="s">
        <v>2173</v>
      </c>
      <c r="U1664" s="17">
        <f>COUNTIFS(WTG_BD!L:L,'Basic Data'!T1664,WTG_BD!F:F,"&gt;="&amp;O2Summary!$B$6,WTG_BD!F:F,"&lt;="&amp;O2Summary!$B$4)</f>
        <v>0</v>
      </c>
      <c r="V1664" s="18">
        <f t="shared" si="32"/>
        <v>47</v>
      </c>
    </row>
    <row r="1665" spans="19:22">
      <c r="S1665" s="16">
        <v>3572</v>
      </c>
      <c r="T1665" s="16" t="s">
        <v>2174</v>
      </c>
      <c r="U1665" s="17">
        <f>COUNTIFS(WTG_BD!L:L,'Basic Data'!T1665,WTG_BD!F:F,"&gt;="&amp;O2Summary!$B$6,WTG_BD!F:F,"&lt;="&amp;O2Summary!$B$4)</f>
        <v>0</v>
      </c>
      <c r="V1665" s="18">
        <f t="shared" si="32"/>
        <v>47</v>
      </c>
    </row>
    <row r="1666" spans="19:22">
      <c r="S1666" s="16">
        <v>3573</v>
      </c>
      <c r="T1666" s="16" t="s">
        <v>2175</v>
      </c>
      <c r="U1666" s="17">
        <f>COUNTIFS(WTG_BD!L:L,'Basic Data'!T1666,WTG_BD!F:F,"&gt;="&amp;O2Summary!$B$6,WTG_BD!F:F,"&lt;="&amp;O2Summary!$B$4)</f>
        <v>0</v>
      </c>
      <c r="V1666" s="18">
        <f t="shared" si="32"/>
        <v>47</v>
      </c>
    </row>
    <row r="1667" spans="19:22">
      <c r="S1667" s="16">
        <v>3574</v>
      </c>
      <c r="T1667" s="16" t="s">
        <v>2176</v>
      </c>
      <c r="U1667" s="17">
        <f>COUNTIFS(WTG_BD!L:L,'Basic Data'!T1667,WTG_BD!F:F,"&gt;="&amp;O2Summary!$B$6,WTG_BD!F:F,"&lt;="&amp;O2Summary!$B$4)</f>
        <v>0</v>
      </c>
      <c r="V1667" s="18">
        <f t="shared" ref="V1667:V1730" si="33">RANK(U1667,$U$2:$U$3975)</f>
        <v>47</v>
      </c>
    </row>
    <row r="1668" spans="19:22">
      <c r="S1668" s="16">
        <v>3575</v>
      </c>
      <c r="T1668" s="16" t="s">
        <v>2177</v>
      </c>
      <c r="U1668" s="17">
        <f>COUNTIFS(WTG_BD!L:L,'Basic Data'!T1668,WTG_BD!F:F,"&gt;="&amp;O2Summary!$B$6,WTG_BD!F:F,"&lt;="&amp;O2Summary!$B$4)</f>
        <v>0</v>
      </c>
      <c r="V1668" s="18">
        <f t="shared" si="33"/>
        <v>47</v>
      </c>
    </row>
    <row r="1669" spans="19:22">
      <c r="S1669" s="16">
        <v>3576</v>
      </c>
      <c r="T1669" s="16" t="s">
        <v>2178</v>
      </c>
      <c r="U1669" s="17">
        <f>COUNTIFS(WTG_BD!L:L,'Basic Data'!T1669,WTG_BD!F:F,"&gt;="&amp;O2Summary!$B$6,WTG_BD!F:F,"&lt;="&amp;O2Summary!$B$4)</f>
        <v>0</v>
      </c>
      <c r="V1669" s="18">
        <f t="shared" si="33"/>
        <v>47</v>
      </c>
    </row>
    <row r="1670" spans="19:22">
      <c r="S1670" s="16">
        <v>3577</v>
      </c>
      <c r="T1670" s="16" t="s">
        <v>2179</v>
      </c>
      <c r="U1670" s="17">
        <f>COUNTIFS(WTG_BD!L:L,'Basic Data'!T1670,WTG_BD!F:F,"&gt;="&amp;O2Summary!$B$6,WTG_BD!F:F,"&lt;="&amp;O2Summary!$B$4)</f>
        <v>0</v>
      </c>
      <c r="V1670" s="18">
        <f t="shared" si="33"/>
        <v>47</v>
      </c>
    </row>
    <row r="1671" spans="19:22">
      <c r="S1671" s="16">
        <v>3578</v>
      </c>
      <c r="T1671" s="16" t="s">
        <v>2180</v>
      </c>
      <c r="U1671" s="17">
        <f>COUNTIFS(WTG_BD!L:L,'Basic Data'!T1671,WTG_BD!F:F,"&gt;="&amp;O2Summary!$B$6,WTG_BD!F:F,"&lt;="&amp;O2Summary!$B$4)</f>
        <v>0</v>
      </c>
      <c r="V1671" s="18">
        <f t="shared" si="33"/>
        <v>47</v>
      </c>
    </row>
    <row r="1672" spans="19:22">
      <c r="S1672" s="16">
        <v>3579</v>
      </c>
      <c r="T1672" s="16" t="s">
        <v>2181</v>
      </c>
      <c r="U1672" s="17">
        <f>COUNTIFS(WTG_BD!L:L,'Basic Data'!T1672,WTG_BD!F:F,"&gt;="&amp;O2Summary!$B$6,WTG_BD!F:F,"&lt;="&amp;O2Summary!$B$4)</f>
        <v>0</v>
      </c>
      <c r="V1672" s="18">
        <f t="shared" si="33"/>
        <v>47</v>
      </c>
    </row>
    <row r="1673" spans="19:22">
      <c r="S1673" s="16">
        <v>3580</v>
      </c>
      <c r="T1673" s="16" t="s">
        <v>2182</v>
      </c>
      <c r="U1673" s="17">
        <f>COUNTIFS(WTG_BD!L:L,'Basic Data'!T1673,WTG_BD!F:F,"&gt;="&amp;O2Summary!$B$6,WTG_BD!F:F,"&lt;="&amp;O2Summary!$B$4)</f>
        <v>0</v>
      </c>
      <c r="V1673" s="18">
        <f t="shared" si="33"/>
        <v>47</v>
      </c>
    </row>
    <row r="1674" spans="19:22">
      <c r="S1674" s="16">
        <v>3581</v>
      </c>
      <c r="T1674" s="16" t="s">
        <v>2183</v>
      </c>
      <c r="U1674" s="17">
        <f>COUNTIFS(WTG_BD!L:L,'Basic Data'!T1674,WTG_BD!F:F,"&gt;="&amp;O2Summary!$B$6,WTG_BD!F:F,"&lt;="&amp;O2Summary!$B$4)</f>
        <v>0</v>
      </c>
      <c r="V1674" s="18">
        <f t="shared" si="33"/>
        <v>47</v>
      </c>
    </row>
    <row r="1675" spans="19:22">
      <c r="S1675" s="16">
        <v>3582</v>
      </c>
      <c r="T1675" s="16" t="s">
        <v>2184</v>
      </c>
      <c r="U1675" s="17">
        <f>COUNTIFS(WTG_BD!L:L,'Basic Data'!T1675,WTG_BD!F:F,"&gt;="&amp;O2Summary!$B$6,WTG_BD!F:F,"&lt;="&amp;O2Summary!$B$4)</f>
        <v>0</v>
      </c>
      <c r="V1675" s="18">
        <f t="shared" si="33"/>
        <v>47</v>
      </c>
    </row>
    <row r="1676" spans="19:22">
      <c r="S1676" s="16">
        <v>3583</v>
      </c>
      <c r="T1676" s="16" t="s">
        <v>2185</v>
      </c>
      <c r="U1676" s="17">
        <f>COUNTIFS(WTG_BD!L:L,'Basic Data'!T1676,WTG_BD!F:F,"&gt;="&amp;O2Summary!$B$6,WTG_BD!F:F,"&lt;="&amp;O2Summary!$B$4)</f>
        <v>0</v>
      </c>
      <c r="V1676" s="18">
        <f t="shared" si="33"/>
        <v>47</v>
      </c>
    </row>
    <row r="1677" spans="19:22">
      <c r="S1677" s="26">
        <v>3584</v>
      </c>
      <c r="T1677" s="26" t="s">
        <v>2186</v>
      </c>
      <c r="U1677" s="17">
        <f>COUNTIFS(WTG_BD!L:L,'Basic Data'!T1677,WTG_BD!F:F,"&gt;="&amp;O2Summary!$B$6,WTG_BD!F:F,"&lt;="&amp;O2Summary!$B$4)</f>
        <v>0</v>
      </c>
      <c r="V1677" s="18">
        <f t="shared" si="33"/>
        <v>47</v>
      </c>
    </row>
    <row r="1678" spans="19:22">
      <c r="S1678" s="16">
        <v>3585</v>
      </c>
      <c r="T1678" s="16" t="s">
        <v>2187</v>
      </c>
      <c r="U1678" s="17">
        <f>COUNTIFS(WTG_BD!L:L,'Basic Data'!T1678,WTG_BD!F:F,"&gt;="&amp;O2Summary!$B$6,WTG_BD!F:F,"&lt;="&amp;O2Summary!$B$4)</f>
        <v>0</v>
      </c>
      <c r="V1678" s="18">
        <f t="shared" si="33"/>
        <v>47</v>
      </c>
    </row>
    <row r="1679" spans="19:22">
      <c r="S1679" s="16">
        <v>3586</v>
      </c>
      <c r="T1679" s="16" t="s">
        <v>2188</v>
      </c>
      <c r="U1679" s="17">
        <f>COUNTIFS(WTG_BD!L:L,'Basic Data'!T1679,WTG_BD!F:F,"&gt;="&amp;O2Summary!$B$6,WTG_BD!F:F,"&lt;="&amp;O2Summary!$B$4)</f>
        <v>0</v>
      </c>
      <c r="V1679" s="18">
        <f t="shared" si="33"/>
        <v>47</v>
      </c>
    </row>
    <row r="1680" spans="19:22">
      <c r="S1680" s="16">
        <v>3587</v>
      </c>
      <c r="T1680" s="16" t="s">
        <v>2189</v>
      </c>
      <c r="U1680" s="17">
        <f>COUNTIFS(WTG_BD!L:L,'Basic Data'!T1680,WTG_BD!F:F,"&gt;="&amp;O2Summary!$B$6,WTG_BD!F:F,"&lt;="&amp;O2Summary!$B$4)</f>
        <v>0</v>
      </c>
      <c r="V1680" s="18">
        <f t="shared" si="33"/>
        <v>47</v>
      </c>
    </row>
    <row r="1681" spans="19:22">
      <c r="S1681" s="16">
        <v>3588</v>
      </c>
      <c r="T1681" s="16" t="s">
        <v>2190</v>
      </c>
      <c r="U1681" s="17">
        <f>COUNTIFS(WTG_BD!L:L,'Basic Data'!T1681,WTG_BD!F:F,"&gt;="&amp;O2Summary!$B$6,WTG_BD!F:F,"&lt;="&amp;O2Summary!$B$4)</f>
        <v>0</v>
      </c>
      <c r="V1681" s="18">
        <f t="shared" si="33"/>
        <v>47</v>
      </c>
    </row>
    <row r="1682" spans="19:22">
      <c r="S1682" s="16">
        <v>3589</v>
      </c>
      <c r="T1682" s="16" t="s">
        <v>2187</v>
      </c>
      <c r="U1682" s="17">
        <f>COUNTIFS(WTG_BD!L:L,'Basic Data'!T1682,WTG_BD!F:F,"&gt;="&amp;O2Summary!$B$6,WTG_BD!F:F,"&lt;="&amp;O2Summary!$B$4)</f>
        <v>0</v>
      </c>
      <c r="V1682" s="18">
        <f t="shared" si="33"/>
        <v>47</v>
      </c>
    </row>
    <row r="1683" spans="19:22">
      <c r="S1683" s="16">
        <v>3590</v>
      </c>
      <c r="T1683" s="16" t="s">
        <v>2191</v>
      </c>
      <c r="U1683" s="17">
        <f>COUNTIFS(WTG_BD!L:L,'Basic Data'!T1683,WTG_BD!F:F,"&gt;="&amp;O2Summary!$B$6,WTG_BD!F:F,"&lt;="&amp;O2Summary!$B$4)</f>
        <v>0</v>
      </c>
      <c r="V1683" s="18">
        <f t="shared" si="33"/>
        <v>47</v>
      </c>
    </row>
    <row r="1684" spans="19:22">
      <c r="S1684" s="16">
        <v>3591</v>
      </c>
      <c r="T1684" s="16" t="s">
        <v>2188</v>
      </c>
      <c r="U1684" s="17">
        <f>COUNTIFS(WTG_BD!L:L,'Basic Data'!T1684,WTG_BD!F:F,"&gt;="&amp;O2Summary!$B$6,WTG_BD!F:F,"&lt;="&amp;O2Summary!$B$4)</f>
        <v>0</v>
      </c>
      <c r="V1684" s="18">
        <f t="shared" si="33"/>
        <v>47</v>
      </c>
    </row>
    <row r="1685" spans="19:22">
      <c r="S1685" s="16">
        <v>3592</v>
      </c>
      <c r="T1685" s="16" t="s">
        <v>2189</v>
      </c>
      <c r="U1685" s="17">
        <f>COUNTIFS(WTG_BD!L:L,'Basic Data'!T1685,WTG_BD!F:F,"&gt;="&amp;O2Summary!$B$6,WTG_BD!F:F,"&lt;="&amp;O2Summary!$B$4)</f>
        <v>0</v>
      </c>
      <c r="V1685" s="18">
        <f t="shared" si="33"/>
        <v>47</v>
      </c>
    </row>
    <row r="1686" spans="19:22">
      <c r="S1686" s="16">
        <v>3593</v>
      </c>
      <c r="T1686" s="16" t="s">
        <v>2190</v>
      </c>
      <c r="U1686" s="17">
        <f>COUNTIFS(WTG_BD!L:L,'Basic Data'!T1686,WTG_BD!F:F,"&gt;="&amp;O2Summary!$B$6,WTG_BD!F:F,"&lt;="&amp;O2Summary!$B$4)</f>
        <v>0</v>
      </c>
      <c r="V1686" s="18">
        <f t="shared" si="33"/>
        <v>47</v>
      </c>
    </row>
    <row r="1687" spans="19:22">
      <c r="S1687" s="16">
        <v>3595</v>
      </c>
      <c r="T1687" s="16" t="s">
        <v>2192</v>
      </c>
      <c r="U1687" s="17">
        <f>COUNTIFS(WTG_BD!L:L,'Basic Data'!T1687,WTG_BD!F:F,"&gt;="&amp;O2Summary!$B$6,WTG_BD!F:F,"&lt;="&amp;O2Summary!$B$4)</f>
        <v>0</v>
      </c>
      <c r="V1687" s="18">
        <f t="shared" si="33"/>
        <v>47</v>
      </c>
    </row>
    <row r="1688" spans="19:22">
      <c r="S1688" s="16">
        <v>3596</v>
      </c>
      <c r="T1688" s="16" t="s">
        <v>2193</v>
      </c>
      <c r="U1688" s="17">
        <f>COUNTIFS(WTG_BD!L:L,'Basic Data'!T1688,WTG_BD!F:F,"&gt;="&amp;O2Summary!$B$6,WTG_BD!F:F,"&lt;="&amp;O2Summary!$B$4)</f>
        <v>0</v>
      </c>
      <c r="V1688" s="18">
        <f t="shared" si="33"/>
        <v>47</v>
      </c>
    </row>
    <row r="1689" spans="19:22">
      <c r="S1689" s="16">
        <v>3599</v>
      </c>
      <c r="T1689" s="16" t="s">
        <v>2194</v>
      </c>
      <c r="U1689" s="17">
        <f>COUNTIFS(WTG_BD!L:L,'Basic Data'!T1689,WTG_BD!F:F,"&gt;="&amp;O2Summary!$B$6,WTG_BD!F:F,"&lt;="&amp;O2Summary!$B$4)</f>
        <v>0</v>
      </c>
      <c r="V1689" s="18">
        <f t="shared" si="33"/>
        <v>47</v>
      </c>
    </row>
    <row r="1690" spans="19:22">
      <c r="S1690" s="16">
        <v>3600</v>
      </c>
      <c r="T1690" s="16" t="s">
        <v>2195</v>
      </c>
      <c r="U1690" s="17">
        <f>COUNTIFS(WTG_BD!L:L,'Basic Data'!T1690,WTG_BD!F:F,"&gt;="&amp;O2Summary!$B$6,WTG_BD!F:F,"&lt;="&amp;O2Summary!$B$4)</f>
        <v>0</v>
      </c>
      <c r="V1690" s="18">
        <f t="shared" si="33"/>
        <v>47</v>
      </c>
    </row>
    <row r="1691" spans="19:22">
      <c r="S1691" s="16">
        <v>3601</v>
      </c>
      <c r="T1691" s="16" t="s">
        <v>377</v>
      </c>
      <c r="U1691" s="17">
        <f>COUNTIFS(WTG_BD!L:L,'Basic Data'!T1691,WTG_BD!F:F,"&gt;="&amp;O2Summary!$B$6,WTG_BD!F:F,"&lt;="&amp;O2Summary!$B$4)</f>
        <v>0</v>
      </c>
      <c r="V1691" s="18">
        <f t="shared" si="33"/>
        <v>47</v>
      </c>
    </row>
    <row r="1692" spans="19:22">
      <c r="S1692" s="16">
        <v>3604</v>
      </c>
      <c r="T1692" s="16" t="s">
        <v>2196</v>
      </c>
      <c r="U1692" s="17">
        <f>COUNTIFS(WTG_BD!L:L,'Basic Data'!T1692,WTG_BD!F:F,"&gt;="&amp;O2Summary!$B$6,WTG_BD!F:F,"&lt;="&amp;O2Summary!$B$4)</f>
        <v>0</v>
      </c>
      <c r="V1692" s="18">
        <f t="shared" si="33"/>
        <v>47</v>
      </c>
    </row>
    <row r="1693" spans="19:22">
      <c r="S1693" s="16">
        <v>3605</v>
      </c>
      <c r="T1693" s="16" t="s">
        <v>2197</v>
      </c>
      <c r="U1693" s="17">
        <f>COUNTIFS(WTG_BD!L:L,'Basic Data'!T1693,WTG_BD!F:F,"&gt;="&amp;O2Summary!$B$6,WTG_BD!F:F,"&lt;="&amp;O2Summary!$B$4)</f>
        <v>0</v>
      </c>
      <c r="V1693" s="18">
        <f t="shared" si="33"/>
        <v>47</v>
      </c>
    </row>
    <row r="1694" spans="19:22">
      <c r="S1694" s="16">
        <v>3606</v>
      </c>
      <c r="T1694" s="16" t="s">
        <v>1619</v>
      </c>
      <c r="U1694" s="17">
        <f>COUNTIFS(WTG_BD!L:L,'Basic Data'!T1694,WTG_BD!F:F,"&gt;="&amp;O2Summary!$B$6,WTG_BD!F:F,"&lt;="&amp;O2Summary!$B$4)</f>
        <v>0</v>
      </c>
      <c r="V1694" s="18">
        <f t="shared" si="33"/>
        <v>47</v>
      </c>
    </row>
    <row r="1695" spans="19:22">
      <c r="S1695" s="16">
        <v>3608</v>
      </c>
      <c r="T1695" s="16" t="s">
        <v>2198</v>
      </c>
      <c r="U1695" s="17">
        <f>COUNTIFS(WTG_BD!L:L,'Basic Data'!T1695,WTG_BD!F:F,"&gt;="&amp;O2Summary!$B$6,WTG_BD!F:F,"&lt;="&amp;O2Summary!$B$4)</f>
        <v>0</v>
      </c>
      <c r="V1695" s="18">
        <f t="shared" si="33"/>
        <v>47</v>
      </c>
    </row>
    <row r="1696" spans="19:22">
      <c r="S1696" s="16">
        <v>3609</v>
      </c>
      <c r="T1696" s="16" t="s">
        <v>2199</v>
      </c>
      <c r="U1696" s="17">
        <f>COUNTIFS(WTG_BD!L:L,'Basic Data'!T1696,WTG_BD!F:F,"&gt;="&amp;O2Summary!$B$6,WTG_BD!F:F,"&lt;="&amp;O2Summary!$B$4)</f>
        <v>0</v>
      </c>
      <c r="V1696" s="18">
        <f t="shared" si="33"/>
        <v>47</v>
      </c>
    </row>
    <row r="1697" spans="19:22">
      <c r="S1697" s="16">
        <v>3610</v>
      </c>
      <c r="T1697" s="16" t="s">
        <v>2200</v>
      </c>
      <c r="U1697" s="17">
        <f>COUNTIFS(WTG_BD!L:L,'Basic Data'!T1697,WTG_BD!F:F,"&gt;="&amp;O2Summary!$B$6,WTG_BD!F:F,"&lt;="&amp;O2Summary!$B$4)</f>
        <v>0</v>
      </c>
      <c r="V1697" s="18">
        <f t="shared" si="33"/>
        <v>47</v>
      </c>
    </row>
    <row r="1698" spans="19:22">
      <c r="S1698" s="16">
        <v>3611</v>
      </c>
      <c r="T1698" s="16" t="s">
        <v>2201</v>
      </c>
      <c r="U1698" s="17">
        <f>COUNTIFS(WTG_BD!L:L,'Basic Data'!T1698,WTG_BD!F:F,"&gt;="&amp;O2Summary!$B$6,WTG_BD!F:F,"&lt;="&amp;O2Summary!$B$4)</f>
        <v>0</v>
      </c>
      <c r="V1698" s="18">
        <f t="shared" si="33"/>
        <v>47</v>
      </c>
    </row>
    <row r="1699" spans="19:22">
      <c r="S1699" s="16">
        <v>3612</v>
      </c>
      <c r="T1699" s="16" t="s">
        <v>2202</v>
      </c>
      <c r="U1699" s="17">
        <f>COUNTIFS(WTG_BD!L:L,'Basic Data'!T1699,WTG_BD!F:F,"&gt;="&amp;O2Summary!$B$6,WTG_BD!F:F,"&lt;="&amp;O2Summary!$B$4)</f>
        <v>0</v>
      </c>
      <c r="V1699" s="18">
        <f t="shared" si="33"/>
        <v>47</v>
      </c>
    </row>
    <row r="1700" spans="19:22">
      <c r="S1700" s="16">
        <v>3613</v>
      </c>
      <c r="T1700" s="16" t="s">
        <v>2203</v>
      </c>
      <c r="U1700" s="17">
        <f>COUNTIFS(WTG_BD!L:L,'Basic Data'!T1700,WTG_BD!F:F,"&gt;="&amp;O2Summary!$B$6,WTG_BD!F:F,"&lt;="&amp;O2Summary!$B$4)</f>
        <v>0</v>
      </c>
      <c r="V1700" s="18">
        <f t="shared" si="33"/>
        <v>47</v>
      </c>
    </row>
    <row r="1701" spans="19:22">
      <c r="S1701" s="16">
        <v>3614</v>
      </c>
      <c r="T1701" s="16" t="s">
        <v>2204</v>
      </c>
      <c r="U1701" s="17">
        <f>COUNTIFS(WTG_BD!L:L,'Basic Data'!T1701,WTG_BD!F:F,"&gt;="&amp;O2Summary!$B$6,WTG_BD!F:F,"&lt;="&amp;O2Summary!$B$4)</f>
        <v>0</v>
      </c>
      <c r="V1701" s="18">
        <f t="shared" si="33"/>
        <v>47</v>
      </c>
    </row>
    <row r="1702" spans="19:22">
      <c r="S1702" s="16">
        <v>3615</v>
      </c>
      <c r="T1702" s="16" t="s">
        <v>2205</v>
      </c>
      <c r="U1702" s="17">
        <f>COUNTIFS(WTG_BD!L:L,'Basic Data'!T1702,WTG_BD!F:F,"&gt;="&amp;O2Summary!$B$6,WTG_BD!F:F,"&lt;="&amp;O2Summary!$B$4)</f>
        <v>0</v>
      </c>
      <c r="V1702" s="18">
        <f t="shared" si="33"/>
        <v>47</v>
      </c>
    </row>
    <row r="1703" spans="19:22">
      <c r="S1703" s="16">
        <v>3616</v>
      </c>
      <c r="T1703" s="16" t="s">
        <v>2206</v>
      </c>
      <c r="U1703" s="17">
        <f>COUNTIFS(WTG_BD!L:L,'Basic Data'!T1703,WTG_BD!F:F,"&gt;="&amp;O2Summary!$B$6,WTG_BD!F:F,"&lt;="&amp;O2Summary!$B$4)</f>
        <v>0</v>
      </c>
      <c r="V1703" s="18">
        <f t="shared" si="33"/>
        <v>47</v>
      </c>
    </row>
    <row r="1704" spans="19:22">
      <c r="S1704" s="16">
        <v>3617</v>
      </c>
      <c r="T1704" s="16" t="s">
        <v>2207</v>
      </c>
      <c r="U1704" s="17">
        <f>COUNTIFS(WTG_BD!L:L,'Basic Data'!T1704,WTG_BD!F:F,"&gt;="&amp;O2Summary!$B$6,WTG_BD!F:F,"&lt;="&amp;O2Summary!$B$4)</f>
        <v>0</v>
      </c>
      <c r="V1704" s="18">
        <f t="shared" si="33"/>
        <v>47</v>
      </c>
    </row>
    <row r="1705" spans="19:22">
      <c r="S1705" s="16">
        <v>3618</v>
      </c>
      <c r="T1705" s="16" t="s">
        <v>2208</v>
      </c>
      <c r="U1705" s="17">
        <f>COUNTIFS(WTG_BD!L:L,'Basic Data'!T1705,WTG_BD!F:F,"&gt;="&amp;O2Summary!$B$6,WTG_BD!F:F,"&lt;="&amp;O2Summary!$B$4)</f>
        <v>0</v>
      </c>
      <c r="V1705" s="18">
        <f t="shared" si="33"/>
        <v>47</v>
      </c>
    </row>
    <row r="1706" spans="19:22">
      <c r="S1706" s="16">
        <v>3619</v>
      </c>
      <c r="T1706" s="16" t="s">
        <v>2209</v>
      </c>
      <c r="U1706" s="17">
        <f>COUNTIFS(WTG_BD!L:L,'Basic Data'!T1706,WTG_BD!F:F,"&gt;="&amp;O2Summary!$B$6,WTG_BD!F:F,"&lt;="&amp;O2Summary!$B$4)</f>
        <v>0</v>
      </c>
      <c r="V1706" s="18">
        <f t="shared" si="33"/>
        <v>47</v>
      </c>
    </row>
    <row r="1707" spans="19:22">
      <c r="S1707" s="16">
        <v>3620</v>
      </c>
      <c r="T1707" s="16" t="s">
        <v>2210</v>
      </c>
      <c r="U1707" s="17">
        <f>COUNTIFS(WTG_BD!L:L,'Basic Data'!T1707,WTG_BD!F:F,"&gt;="&amp;O2Summary!$B$6,WTG_BD!F:F,"&lt;="&amp;O2Summary!$B$4)</f>
        <v>0</v>
      </c>
      <c r="V1707" s="18">
        <f t="shared" si="33"/>
        <v>47</v>
      </c>
    </row>
    <row r="1708" spans="19:22">
      <c r="S1708" s="16">
        <v>3621</v>
      </c>
      <c r="T1708" s="16" t="s">
        <v>2211</v>
      </c>
      <c r="U1708" s="17">
        <f>COUNTIFS(WTG_BD!L:L,'Basic Data'!T1708,WTG_BD!F:F,"&gt;="&amp;O2Summary!$B$6,WTG_BD!F:F,"&lt;="&amp;O2Summary!$B$4)</f>
        <v>0</v>
      </c>
      <c r="V1708" s="18">
        <f t="shared" si="33"/>
        <v>47</v>
      </c>
    </row>
    <row r="1709" spans="19:22">
      <c r="S1709" s="16">
        <v>3622</v>
      </c>
      <c r="T1709" s="16" t="s">
        <v>2212</v>
      </c>
      <c r="U1709" s="17">
        <f>COUNTIFS(WTG_BD!L:L,'Basic Data'!T1709,WTG_BD!F:F,"&gt;="&amp;O2Summary!$B$6,WTG_BD!F:F,"&lt;="&amp;O2Summary!$B$4)</f>
        <v>0</v>
      </c>
      <c r="V1709" s="18">
        <f t="shared" si="33"/>
        <v>47</v>
      </c>
    </row>
    <row r="1710" spans="19:22">
      <c r="S1710" s="16">
        <v>3623</v>
      </c>
      <c r="T1710" s="16" t="s">
        <v>2213</v>
      </c>
      <c r="U1710" s="17">
        <f>COUNTIFS(WTG_BD!L:L,'Basic Data'!T1710,WTG_BD!F:F,"&gt;="&amp;O2Summary!$B$6,WTG_BD!F:F,"&lt;="&amp;O2Summary!$B$4)</f>
        <v>0</v>
      </c>
      <c r="V1710" s="18">
        <f t="shared" si="33"/>
        <v>47</v>
      </c>
    </row>
    <row r="1711" spans="19:22">
      <c r="S1711" s="26">
        <v>3624</v>
      </c>
      <c r="T1711" s="26" t="s">
        <v>2214</v>
      </c>
      <c r="U1711" s="17">
        <f>COUNTIFS(WTG_BD!L:L,'Basic Data'!T1711,WTG_BD!F:F,"&gt;="&amp;O2Summary!$B$6,WTG_BD!F:F,"&lt;="&amp;O2Summary!$B$4)</f>
        <v>0</v>
      </c>
      <c r="V1711" s="18">
        <f t="shared" si="33"/>
        <v>47</v>
      </c>
    </row>
    <row r="1712" spans="19:22">
      <c r="S1712" s="26">
        <v>3625</v>
      </c>
      <c r="T1712" s="26" t="s">
        <v>2215</v>
      </c>
      <c r="U1712" s="17">
        <f>COUNTIFS(WTG_BD!L:L,'Basic Data'!T1712,WTG_BD!F:F,"&gt;="&amp;O2Summary!$B$6,WTG_BD!F:F,"&lt;="&amp;O2Summary!$B$4)</f>
        <v>0</v>
      </c>
      <c r="V1712" s="18">
        <f t="shared" si="33"/>
        <v>47</v>
      </c>
    </row>
    <row r="1713" spans="19:22">
      <c r="S1713" s="16">
        <v>3626</v>
      </c>
      <c r="T1713" s="16" t="s">
        <v>2216</v>
      </c>
      <c r="U1713" s="17">
        <f>COUNTIFS(WTG_BD!L:L,'Basic Data'!T1713,WTG_BD!F:F,"&gt;="&amp;O2Summary!$B$6,WTG_BD!F:F,"&lt;="&amp;O2Summary!$B$4)</f>
        <v>0</v>
      </c>
      <c r="V1713" s="18">
        <f t="shared" si="33"/>
        <v>47</v>
      </c>
    </row>
    <row r="1714" spans="19:22">
      <c r="S1714" s="16">
        <v>3627</v>
      </c>
      <c r="T1714" s="16" t="s">
        <v>2217</v>
      </c>
      <c r="U1714" s="17">
        <f>COUNTIFS(WTG_BD!L:L,'Basic Data'!T1714,WTG_BD!F:F,"&gt;="&amp;O2Summary!$B$6,WTG_BD!F:F,"&lt;="&amp;O2Summary!$B$4)</f>
        <v>0</v>
      </c>
      <c r="V1714" s="18">
        <f t="shared" si="33"/>
        <v>47</v>
      </c>
    </row>
    <row r="1715" spans="19:22">
      <c r="S1715" s="16">
        <v>3628</v>
      </c>
      <c r="T1715" s="16" t="s">
        <v>2218</v>
      </c>
      <c r="U1715" s="17">
        <f>COUNTIFS(WTG_BD!L:L,'Basic Data'!T1715,WTG_BD!F:F,"&gt;="&amp;O2Summary!$B$6,WTG_BD!F:F,"&lt;="&amp;O2Summary!$B$4)</f>
        <v>0</v>
      </c>
      <c r="V1715" s="18">
        <f t="shared" si="33"/>
        <v>47</v>
      </c>
    </row>
    <row r="1716" spans="19:22">
      <c r="S1716" s="16">
        <v>3629</v>
      </c>
      <c r="T1716" s="16" t="s">
        <v>2219</v>
      </c>
      <c r="U1716" s="17">
        <f>COUNTIFS(WTG_BD!L:L,'Basic Data'!T1716,WTG_BD!F:F,"&gt;="&amp;O2Summary!$B$6,WTG_BD!F:F,"&lt;="&amp;O2Summary!$B$4)</f>
        <v>0</v>
      </c>
      <c r="V1716" s="18">
        <f t="shared" si="33"/>
        <v>47</v>
      </c>
    </row>
    <row r="1717" spans="19:22">
      <c r="S1717" s="16">
        <v>3630</v>
      </c>
      <c r="T1717" s="16" t="s">
        <v>2220</v>
      </c>
      <c r="U1717" s="17">
        <f>COUNTIFS(WTG_BD!L:L,'Basic Data'!T1717,WTG_BD!F:F,"&gt;="&amp;O2Summary!$B$6,WTG_BD!F:F,"&lt;="&amp;O2Summary!$B$4)</f>
        <v>0</v>
      </c>
      <c r="V1717" s="18">
        <f t="shared" si="33"/>
        <v>47</v>
      </c>
    </row>
    <row r="1718" spans="19:22">
      <c r="S1718" s="16">
        <v>3631</v>
      </c>
      <c r="T1718" s="16" t="s">
        <v>2221</v>
      </c>
      <c r="U1718" s="17">
        <f>COUNTIFS(WTG_BD!L:L,'Basic Data'!T1718,WTG_BD!F:F,"&gt;="&amp;O2Summary!$B$6,WTG_BD!F:F,"&lt;="&amp;O2Summary!$B$4)</f>
        <v>0</v>
      </c>
      <c r="V1718" s="18">
        <f t="shared" si="33"/>
        <v>47</v>
      </c>
    </row>
    <row r="1719" spans="19:22">
      <c r="S1719" s="16">
        <v>3632</v>
      </c>
      <c r="T1719" s="16" t="s">
        <v>337</v>
      </c>
      <c r="U1719" s="17">
        <f>COUNTIFS(WTG_BD!L:L,'Basic Data'!T1719,WTG_BD!F:F,"&gt;="&amp;O2Summary!$B$6,WTG_BD!F:F,"&lt;="&amp;O2Summary!$B$4)</f>
        <v>0</v>
      </c>
      <c r="V1719" s="18">
        <f t="shared" si="33"/>
        <v>47</v>
      </c>
    </row>
    <row r="1720" spans="19:22">
      <c r="S1720" s="16">
        <v>3633</v>
      </c>
      <c r="T1720" s="16" t="s">
        <v>279</v>
      </c>
      <c r="U1720" s="17">
        <f>COUNTIFS(WTG_BD!L:L,'Basic Data'!T1720,WTG_BD!F:F,"&gt;="&amp;O2Summary!$B$6,WTG_BD!F:F,"&lt;="&amp;O2Summary!$B$4)</f>
        <v>0</v>
      </c>
      <c r="V1720" s="18">
        <f t="shared" si="33"/>
        <v>47</v>
      </c>
    </row>
    <row r="1721" spans="19:22">
      <c r="S1721" s="16">
        <v>3634</v>
      </c>
      <c r="T1721" s="16" t="s">
        <v>2222</v>
      </c>
      <c r="U1721" s="17">
        <f>COUNTIFS(WTG_BD!L:L,'Basic Data'!T1721,WTG_BD!F:F,"&gt;="&amp;O2Summary!$B$6,WTG_BD!F:F,"&lt;="&amp;O2Summary!$B$4)</f>
        <v>0</v>
      </c>
      <c r="V1721" s="18">
        <f t="shared" si="33"/>
        <v>47</v>
      </c>
    </row>
    <row r="1722" spans="19:22">
      <c r="S1722" s="16">
        <v>3635</v>
      </c>
      <c r="T1722" s="16" t="s">
        <v>2223</v>
      </c>
      <c r="U1722" s="17">
        <f>COUNTIFS(WTG_BD!L:L,'Basic Data'!T1722,WTG_BD!F:F,"&gt;="&amp;O2Summary!$B$6,WTG_BD!F:F,"&lt;="&amp;O2Summary!$B$4)</f>
        <v>0</v>
      </c>
      <c r="V1722" s="18">
        <f t="shared" si="33"/>
        <v>47</v>
      </c>
    </row>
    <row r="1723" spans="19:22">
      <c r="S1723" s="16">
        <v>3636</v>
      </c>
      <c r="T1723" s="16" t="s">
        <v>2224</v>
      </c>
      <c r="U1723" s="17">
        <f>COUNTIFS(WTG_BD!L:L,'Basic Data'!T1723,WTG_BD!F:F,"&gt;="&amp;O2Summary!$B$6,WTG_BD!F:F,"&lt;="&amp;O2Summary!$B$4)</f>
        <v>0</v>
      </c>
      <c r="V1723" s="18">
        <f t="shared" si="33"/>
        <v>47</v>
      </c>
    </row>
    <row r="1724" spans="19:22">
      <c r="S1724" s="16">
        <v>3637</v>
      </c>
      <c r="T1724" s="16" t="s">
        <v>2225</v>
      </c>
      <c r="U1724" s="17">
        <f>COUNTIFS(WTG_BD!L:L,'Basic Data'!T1724,WTG_BD!F:F,"&gt;="&amp;O2Summary!$B$6,WTG_BD!F:F,"&lt;="&amp;O2Summary!$B$4)</f>
        <v>0</v>
      </c>
      <c r="V1724" s="18">
        <f t="shared" si="33"/>
        <v>47</v>
      </c>
    </row>
    <row r="1725" spans="19:22">
      <c r="S1725" s="16">
        <v>3638</v>
      </c>
      <c r="T1725" s="16" t="s">
        <v>2226</v>
      </c>
      <c r="U1725" s="17">
        <f>COUNTIFS(WTG_BD!L:L,'Basic Data'!T1725,WTG_BD!F:F,"&gt;="&amp;O2Summary!$B$6,WTG_BD!F:F,"&lt;="&amp;O2Summary!$B$4)</f>
        <v>0</v>
      </c>
      <c r="V1725" s="18">
        <f t="shared" si="33"/>
        <v>47</v>
      </c>
    </row>
    <row r="1726" spans="19:22">
      <c r="S1726" s="16">
        <v>3639</v>
      </c>
      <c r="T1726" s="16" t="s">
        <v>2227</v>
      </c>
      <c r="U1726" s="17">
        <f>COUNTIFS(WTG_BD!L:L,'Basic Data'!T1726,WTG_BD!F:F,"&gt;="&amp;O2Summary!$B$6,WTG_BD!F:F,"&lt;="&amp;O2Summary!$B$4)</f>
        <v>0</v>
      </c>
      <c r="V1726" s="18">
        <f t="shared" si="33"/>
        <v>47</v>
      </c>
    </row>
    <row r="1727" spans="19:22">
      <c r="S1727" s="16">
        <v>3640</v>
      </c>
      <c r="T1727" s="16" t="s">
        <v>2228</v>
      </c>
      <c r="U1727" s="17">
        <f>COUNTIFS(WTG_BD!L:L,'Basic Data'!T1727,WTG_BD!F:F,"&gt;="&amp;O2Summary!$B$6,WTG_BD!F:F,"&lt;="&amp;O2Summary!$B$4)</f>
        <v>0</v>
      </c>
      <c r="V1727" s="18">
        <f t="shared" si="33"/>
        <v>47</v>
      </c>
    </row>
    <row r="1728" spans="19:22">
      <c r="S1728" s="16">
        <v>3641</v>
      </c>
      <c r="T1728" s="16" t="s">
        <v>2229</v>
      </c>
      <c r="U1728" s="17">
        <f>COUNTIFS(WTG_BD!L:L,'Basic Data'!T1728,WTG_BD!F:F,"&gt;="&amp;O2Summary!$B$6,WTG_BD!F:F,"&lt;="&amp;O2Summary!$B$4)</f>
        <v>0</v>
      </c>
      <c r="V1728" s="18">
        <f t="shared" si="33"/>
        <v>47</v>
      </c>
    </row>
    <row r="1729" spans="19:22">
      <c r="S1729" s="16">
        <v>3642</v>
      </c>
      <c r="T1729" s="16" t="s">
        <v>2230</v>
      </c>
      <c r="U1729" s="17">
        <f>COUNTIFS(WTG_BD!L:L,'Basic Data'!T1729,WTG_BD!F:F,"&gt;="&amp;O2Summary!$B$6,WTG_BD!F:F,"&lt;="&amp;O2Summary!$B$4)</f>
        <v>0</v>
      </c>
      <c r="V1729" s="18">
        <f t="shared" si="33"/>
        <v>47</v>
      </c>
    </row>
    <row r="1730" spans="19:22">
      <c r="S1730" s="16">
        <v>3643</v>
      </c>
      <c r="T1730" s="16" t="s">
        <v>2231</v>
      </c>
      <c r="U1730" s="17">
        <f>COUNTIFS(WTG_BD!L:L,'Basic Data'!T1730,WTG_BD!F:F,"&gt;="&amp;O2Summary!$B$6,WTG_BD!F:F,"&lt;="&amp;O2Summary!$B$4)</f>
        <v>0</v>
      </c>
      <c r="V1730" s="18">
        <f t="shared" si="33"/>
        <v>47</v>
      </c>
    </row>
    <row r="1731" spans="19:22">
      <c r="S1731" s="16">
        <v>3644</v>
      </c>
      <c r="T1731" s="16" t="s">
        <v>2232</v>
      </c>
      <c r="U1731" s="17">
        <f>COUNTIFS(WTG_BD!L:L,'Basic Data'!T1731,WTG_BD!F:F,"&gt;="&amp;O2Summary!$B$6,WTG_BD!F:F,"&lt;="&amp;O2Summary!$B$4)</f>
        <v>0</v>
      </c>
      <c r="V1731" s="18">
        <f t="shared" ref="V1731:V1794" si="34">RANK(U1731,$U$2:$U$3975)</f>
        <v>47</v>
      </c>
    </row>
    <row r="1732" spans="19:22">
      <c r="S1732" s="16">
        <v>3645</v>
      </c>
      <c r="T1732" s="16" t="s">
        <v>2233</v>
      </c>
      <c r="U1732" s="17">
        <f>COUNTIFS(WTG_BD!L:L,'Basic Data'!T1732,WTG_BD!F:F,"&gt;="&amp;O2Summary!$B$6,WTG_BD!F:F,"&lt;="&amp;O2Summary!$B$4)</f>
        <v>0</v>
      </c>
      <c r="V1732" s="18">
        <f t="shared" si="34"/>
        <v>47</v>
      </c>
    </row>
    <row r="1733" spans="19:22">
      <c r="S1733" s="16">
        <v>3646</v>
      </c>
      <c r="T1733" s="16" t="s">
        <v>2234</v>
      </c>
      <c r="U1733" s="17">
        <f>COUNTIFS(WTG_BD!L:L,'Basic Data'!T1733,WTG_BD!F:F,"&gt;="&amp;O2Summary!$B$6,WTG_BD!F:F,"&lt;="&amp;O2Summary!$B$4)</f>
        <v>0</v>
      </c>
      <c r="V1733" s="18">
        <f t="shared" si="34"/>
        <v>47</v>
      </c>
    </row>
    <row r="1734" spans="19:22">
      <c r="S1734" s="16">
        <v>3647</v>
      </c>
      <c r="T1734" s="16" t="s">
        <v>2235</v>
      </c>
      <c r="U1734" s="17">
        <f>COUNTIFS(WTG_BD!L:L,'Basic Data'!T1734,WTG_BD!F:F,"&gt;="&amp;O2Summary!$B$6,WTG_BD!F:F,"&lt;="&amp;O2Summary!$B$4)</f>
        <v>0</v>
      </c>
      <c r="V1734" s="18">
        <f t="shared" si="34"/>
        <v>47</v>
      </c>
    </row>
    <row r="1735" spans="19:22">
      <c r="S1735" s="16">
        <v>3648</v>
      </c>
      <c r="T1735" s="16" t="s">
        <v>2236</v>
      </c>
      <c r="U1735" s="17">
        <f>COUNTIFS(WTG_BD!L:L,'Basic Data'!T1735,WTG_BD!F:F,"&gt;="&amp;O2Summary!$B$6,WTG_BD!F:F,"&lt;="&amp;O2Summary!$B$4)</f>
        <v>0</v>
      </c>
      <c r="V1735" s="18">
        <f t="shared" si="34"/>
        <v>47</v>
      </c>
    </row>
    <row r="1736" spans="19:22">
      <c r="S1736" s="16">
        <v>3649</v>
      </c>
      <c r="T1736" s="16" t="s">
        <v>2237</v>
      </c>
      <c r="U1736" s="17">
        <f>COUNTIFS(WTG_BD!L:L,'Basic Data'!T1736,WTG_BD!F:F,"&gt;="&amp;O2Summary!$B$6,WTG_BD!F:F,"&lt;="&amp;O2Summary!$B$4)</f>
        <v>0</v>
      </c>
      <c r="V1736" s="18">
        <f t="shared" si="34"/>
        <v>47</v>
      </c>
    </row>
    <row r="1737" spans="19:22">
      <c r="S1737" s="16">
        <v>3650</v>
      </c>
      <c r="T1737" s="16" t="s">
        <v>2238</v>
      </c>
      <c r="U1737" s="17">
        <f>COUNTIFS(WTG_BD!L:L,'Basic Data'!T1737,WTG_BD!F:F,"&gt;="&amp;O2Summary!$B$6,WTG_BD!F:F,"&lt;="&amp;O2Summary!$B$4)</f>
        <v>0</v>
      </c>
      <c r="V1737" s="18">
        <f t="shared" si="34"/>
        <v>47</v>
      </c>
    </row>
    <row r="1738" spans="19:22">
      <c r="S1738" s="16">
        <v>3651</v>
      </c>
      <c r="T1738" s="16" t="s">
        <v>2239</v>
      </c>
      <c r="U1738" s="17">
        <f>COUNTIFS(WTG_BD!L:L,'Basic Data'!T1738,WTG_BD!F:F,"&gt;="&amp;O2Summary!$B$6,WTG_BD!F:F,"&lt;="&amp;O2Summary!$B$4)</f>
        <v>0</v>
      </c>
      <c r="V1738" s="18">
        <f t="shared" si="34"/>
        <v>47</v>
      </c>
    </row>
    <row r="1739" spans="19:22">
      <c r="S1739" s="26">
        <v>3652</v>
      </c>
      <c r="T1739" s="26" t="s">
        <v>2240</v>
      </c>
      <c r="U1739" s="17">
        <f>COUNTIFS(WTG_BD!L:L,'Basic Data'!T1739,WTG_BD!F:F,"&gt;="&amp;O2Summary!$B$6,WTG_BD!F:F,"&lt;="&amp;O2Summary!$B$4)</f>
        <v>0</v>
      </c>
      <c r="V1739" s="18">
        <f t="shared" si="34"/>
        <v>47</v>
      </c>
    </row>
    <row r="1740" spans="19:22">
      <c r="S1740" s="16">
        <v>3653</v>
      </c>
      <c r="T1740" s="16" t="s">
        <v>2241</v>
      </c>
      <c r="U1740" s="17">
        <f>COUNTIFS(WTG_BD!L:L,'Basic Data'!T1740,WTG_BD!F:F,"&gt;="&amp;O2Summary!$B$6,WTG_BD!F:F,"&lt;="&amp;O2Summary!$B$4)</f>
        <v>0</v>
      </c>
      <c r="V1740" s="18">
        <f t="shared" si="34"/>
        <v>47</v>
      </c>
    </row>
    <row r="1741" spans="19:22">
      <c r="S1741" s="16">
        <v>3654</v>
      </c>
      <c r="T1741" s="16" t="s">
        <v>2242</v>
      </c>
      <c r="U1741" s="17">
        <f>COUNTIFS(WTG_BD!L:L,'Basic Data'!T1741,WTG_BD!F:F,"&gt;="&amp;O2Summary!$B$6,WTG_BD!F:F,"&lt;="&amp;O2Summary!$B$4)</f>
        <v>0</v>
      </c>
      <c r="V1741" s="18">
        <f t="shared" si="34"/>
        <v>47</v>
      </c>
    </row>
    <row r="1742" spans="19:22">
      <c r="S1742" s="16">
        <v>3655</v>
      </c>
      <c r="T1742" s="16" t="s">
        <v>2243</v>
      </c>
      <c r="U1742" s="17">
        <f>COUNTIFS(WTG_BD!L:L,'Basic Data'!T1742,WTG_BD!F:F,"&gt;="&amp;O2Summary!$B$6,WTG_BD!F:F,"&lt;="&amp;O2Summary!$B$4)</f>
        <v>0</v>
      </c>
      <c r="V1742" s="18">
        <f t="shared" si="34"/>
        <v>47</v>
      </c>
    </row>
    <row r="1743" spans="19:22">
      <c r="S1743" s="16">
        <v>3656</v>
      </c>
      <c r="T1743" s="16" t="s">
        <v>2244</v>
      </c>
      <c r="U1743" s="17">
        <f>COUNTIFS(WTG_BD!L:L,'Basic Data'!T1743,WTG_BD!F:F,"&gt;="&amp;O2Summary!$B$6,WTG_BD!F:F,"&lt;="&amp;O2Summary!$B$4)</f>
        <v>0</v>
      </c>
      <c r="V1743" s="18">
        <f t="shared" si="34"/>
        <v>47</v>
      </c>
    </row>
    <row r="1744" spans="19:22">
      <c r="S1744" s="16">
        <v>3657</v>
      </c>
      <c r="T1744" s="16" t="s">
        <v>2245</v>
      </c>
      <c r="U1744" s="17">
        <f>COUNTIFS(WTG_BD!L:L,'Basic Data'!T1744,WTG_BD!F:F,"&gt;="&amp;O2Summary!$B$6,WTG_BD!F:F,"&lt;="&amp;O2Summary!$B$4)</f>
        <v>0</v>
      </c>
      <c r="V1744" s="18">
        <f t="shared" si="34"/>
        <v>47</v>
      </c>
    </row>
    <row r="1745" spans="19:22">
      <c r="S1745" s="16">
        <v>3658</v>
      </c>
      <c r="T1745" s="16" t="s">
        <v>2246</v>
      </c>
      <c r="U1745" s="17">
        <f>COUNTIFS(WTG_BD!L:L,'Basic Data'!T1745,WTG_BD!F:F,"&gt;="&amp;O2Summary!$B$6,WTG_BD!F:F,"&lt;="&amp;O2Summary!$B$4)</f>
        <v>0</v>
      </c>
      <c r="V1745" s="18">
        <f t="shared" si="34"/>
        <v>47</v>
      </c>
    </row>
    <row r="1746" spans="19:22">
      <c r="S1746" s="16">
        <v>3659</v>
      </c>
      <c r="T1746" s="16" t="s">
        <v>380</v>
      </c>
      <c r="U1746" s="17">
        <f>COUNTIFS(WTG_BD!L:L,'Basic Data'!T1746,WTG_BD!F:F,"&gt;="&amp;O2Summary!$B$6,WTG_BD!F:F,"&lt;="&amp;O2Summary!$B$4)</f>
        <v>0</v>
      </c>
      <c r="V1746" s="18">
        <f t="shared" si="34"/>
        <v>47</v>
      </c>
    </row>
    <row r="1747" spans="19:22">
      <c r="S1747" s="16">
        <v>3660</v>
      </c>
      <c r="T1747" s="16" t="s">
        <v>2247</v>
      </c>
      <c r="U1747" s="17">
        <f>COUNTIFS(WTG_BD!L:L,'Basic Data'!T1747,WTG_BD!F:F,"&gt;="&amp;O2Summary!$B$6,WTG_BD!F:F,"&lt;="&amp;O2Summary!$B$4)</f>
        <v>0</v>
      </c>
      <c r="V1747" s="18">
        <f t="shared" si="34"/>
        <v>47</v>
      </c>
    </row>
    <row r="1748" spans="19:22">
      <c r="S1748" s="16">
        <v>3661</v>
      </c>
      <c r="T1748" s="16" t="s">
        <v>379</v>
      </c>
      <c r="U1748" s="17">
        <f>COUNTIFS(WTG_BD!L:L,'Basic Data'!T1748,WTG_BD!F:F,"&gt;="&amp;O2Summary!$B$6,WTG_BD!F:F,"&lt;="&amp;O2Summary!$B$4)</f>
        <v>0</v>
      </c>
      <c r="V1748" s="18">
        <f t="shared" si="34"/>
        <v>47</v>
      </c>
    </row>
    <row r="1749" spans="19:22">
      <c r="S1749" s="16">
        <v>3662</v>
      </c>
      <c r="T1749" s="16" t="s">
        <v>2248</v>
      </c>
      <c r="U1749" s="17">
        <f>COUNTIFS(WTG_BD!L:L,'Basic Data'!T1749,WTG_BD!F:F,"&gt;="&amp;O2Summary!$B$6,WTG_BD!F:F,"&lt;="&amp;O2Summary!$B$4)</f>
        <v>0</v>
      </c>
      <c r="V1749" s="18">
        <f t="shared" si="34"/>
        <v>47</v>
      </c>
    </row>
    <row r="1750" spans="19:22">
      <c r="S1750" s="16">
        <v>3663</v>
      </c>
      <c r="T1750" s="16" t="s">
        <v>2249</v>
      </c>
      <c r="U1750" s="17">
        <f>COUNTIFS(WTG_BD!L:L,'Basic Data'!T1750,WTG_BD!F:F,"&gt;="&amp;O2Summary!$B$6,WTG_BD!F:F,"&lt;="&amp;O2Summary!$B$4)</f>
        <v>0</v>
      </c>
      <c r="V1750" s="18">
        <f t="shared" si="34"/>
        <v>47</v>
      </c>
    </row>
    <row r="1751" spans="19:22">
      <c r="S1751" s="16">
        <v>3664</v>
      </c>
      <c r="T1751" s="16" t="s">
        <v>2250</v>
      </c>
      <c r="U1751" s="17">
        <f>COUNTIFS(WTG_BD!L:L,'Basic Data'!T1751,WTG_BD!F:F,"&gt;="&amp;O2Summary!$B$6,WTG_BD!F:F,"&lt;="&amp;O2Summary!$B$4)</f>
        <v>0</v>
      </c>
      <c r="V1751" s="18">
        <f t="shared" si="34"/>
        <v>47</v>
      </c>
    </row>
    <row r="1752" spans="19:22">
      <c r="S1752" s="16">
        <v>3665</v>
      </c>
      <c r="T1752" s="16" t="s">
        <v>2251</v>
      </c>
      <c r="U1752" s="17">
        <f>COUNTIFS(WTG_BD!L:L,'Basic Data'!T1752,WTG_BD!F:F,"&gt;="&amp;O2Summary!$B$6,WTG_BD!F:F,"&lt;="&amp;O2Summary!$B$4)</f>
        <v>0</v>
      </c>
      <c r="V1752" s="18">
        <f t="shared" si="34"/>
        <v>47</v>
      </c>
    </row>
    <row r="1753" spans="19:22">
      <c r="S1753" s="16">
        <v>3666</v>
      </c>
      <c r="T1753" s="16" t="s">
        <v>2252</v>
      </c>
      <c r="U1753" s="17">
        <f>COUNTIFS(WTG_BD!L:L,'Basic Data'!T1753,WTG_BD!F:F,"&gt;="&amp;O2Summary!$B$6,WTG_BD!F:F,"&lt;="&amp;O2Summary!$B$4)</f>
        <v>0</v>
      </c>
      <c r="V1753" s="18">
        <f t="shared" si="34"/>
        <v>47</v>
      </c>
    </row>
    <row r="1754" spans="19:22">
      <c r="S1754" s="16">
        <v>3667</v>
      </c>
      <c r="T1754" s="16" t="s">
        <v>2253</v>
      </c>
      <c r="U1754" s="17">
        <f>COUNTIFS(WTG_BD!L:L,'Basic Data'!T1754,WTG_BD!F:F,"&gt;="&amp;O2Summary!$B$6,WTG_BD!F:F,"&lt;="&amp;O2Summary!$B$4)</f>
        <v>0</v>
      </c>
      <c r="V1754" s="18">
        <f t="shared" si="34"/>
        <v>47</v>
      </c>
    </row>
    <row r="1755" spans="19:22">
      <c r="S1755" s="16">
        <v>3668</v>
      </c>
      <c r="T1755" s="16" t="s">
        <v>2254</v>
      </c>
      <c r="U1755" s="17">
        <f>COUNTIFS(WTG_BD!L:L,'Basic Data'!T1755,WTG_BD!F:F,"&gt;="&amp;O2Summary!$B$6,WTG_BD!F:F,"&lt;="&amp;O2Summary!$B$4)</f>
        <v>0</v>
      </c>
      <c r="V1755" s="18">
        <f t="shared" si="34"/>
        <v>47</v>
      </c>
    </row>
    <row r="1756" spans="19:22">
      <c r="S1756" s="16">
        <v>3669</v>
      </c>
      <c r="T1756" s="16" t="s">
        <v>2255</v>
      </c>
      <c r="U1756" s="17">
        <f>COUNTIFS(WTG_BD!L:L,'Basic Data'!T1756,WTG_BD!F:F,"&gt;="&amp;O2Summary!$B$6,WTG_BD!F:F,"&lt;="&amp;O2Summary!$B$4)</f>
        <v>0</v>
      </c>
      <c r="V1756" s="18">
        <f t="shared" si="34"/>
        <v>47</v>
      </c>
    </row>
    <row r="1757" spans="19:22">
      <c r="S1757" s="16">
        <v>3670</v>
      </c>
      <c r="T1757" s="16" t="s">
        <v>2256</v>
      </c>
      <c r="U1757" s="17">
        <f>COUNTIFS(WTG_BD!L:L,'Basic Data'!T1757,WTG_BD!F:F,"&gt;="&amp;O2Summary!$B$6,WTG_BD!F:F,"&lt;="&amp;O2Summary!$B$4)</f>
        <v>0</v>
      </c>
      <c r="V1757" s="18">
        <f t="shared" si="34"/>
        <v>47</v>
      </c>
    </row>
    <row r="1758" spans="19:22">
      <c r="S1758" s="16">
        <v>3671</v>
      </c>
      <c r="T1758" s="16" t="s">
        <v>2257</v>
      </c>
      <c r="U1758" s="17">
        <f>COUNTIFS(WTG_BD!L:L,'Basic Data'!T1758,WTG_BD!F:F,"&gt;="&amp;O2Summary!$B$6,WTG_BD!F:F,"&lt;="&amp;O2Summary!$B$4)</f>
        <v>0</v>
      </c>
      <c r="V1758" s="18">
        <f t="shared" si="34"/>
        <v>47</v>
      </c>
    </row>
    <row r="1759" spans="19:22">
      <c r="S1759" s="16">
        <v>3672</v>
      </c>
      <c r="T1759" s="16" t="s">
        <v>2258</v>
      </c>
      <c r="U1759" s="17">
        <f>COUNTIFS(WTG_BD!L:L,'Basic Data'!T1759,WTG_BD!F:F,"&gt;="&amp;O2Summary!$B$6,WTG_BD!F:F,"&lt;="&amp;O2Summary!$B$4)</f>
        <v>0</v>
      </c>
      <c r="V1759" s="18">
        <f t="shared" si="34"/>
        <v>47</v>
      </c>
    </row>
    <row r="1760" spans="19:22">
      <c r="S1760" s="16">
        <v>3673</v>
      </c>
      <c r="T1760" s="16" t="s">
        <v>2259</v>
      </c>
      <c r="U1760" s="17">
        <f>COUNTIFS(WTG_BD!L:L,'Basic Data'!T1760,WTG_BD!F:F,"&gt;="&amp;O2Summary!$B$6,WTG_BD!F:F,"&lt;="&amp;O2Summary!$B$4)</f>
        <v>0</v>
      </c>
      <c r="V1760" s="18">
        <f t="shared" si="34"/>
        <v>47</v>
      </c>
    </row>
    <row r="1761" spans="19:22">
      <c r="S1761" s="16">
        <v>3674</v>
      </c>
      <c r="T1761" s="16" t="s">
        <v>2260</v>
      </c>
      <c r="U1761" s="17">
        <f>COUNTIFS(WTG_BD!L:L,'Basic Data'!T1761,WTG_BD!F:F,"&gt;="&amp;O2Summary!$B$6,WTG_BD!F:F,"&lt;="&amp;O2Summary!$B$4)</f>
        <v>0</v>
      </c>
      <c r="V1761" s="18">
        <f t="shared" si="34"/>
        <v>47</v>
      </c>
    </row>
    <row r="1762" spans="19:22">
      <c r="S1762" s="26">
        <v>3675</v>
      </c>
      <c r="T1762" s="26" t="s">
        <v>2261</v>
      </c>
      <c r="U1762" s="17">
        <f>COUNTIFS(WTG_BD!L:L,'Basic Data'!T1762,WTG_BD!F:F,"&gt;="&amp;O2Summary!$B$6,WTG_BD!F:F,"&lt;="&amp;O2Summary!$B$4)</f>
        <v>0</v>
      </c>
      <c r="V1762" s="18">
        <f t="shared" si="34"/>
        <v>47</v>
      </c>
    </row>
    <row r="1763" spans="19:22">
      <c r="S1763" s="26">
        <v>3676</v>
      </c>
      <c r="T1763" s="26" t="s">
        <v>2262</v>
      </c>
      <c r="U1763" s="17">
        <f>COUNTIFS(WTG_BD!L:L,'Basic Data'!T1763,WTG_BD!F:F,"&gt;="&amp;O2Summary!$B$6,WTG_BD!F:F,"&lt;="&amp;O2Summary!$B$4)</f>
        <v>0</v>
      </c>
      <c r="V1763" s="18">
        <f t="shared" si="34"/>
        <v>47</v>
      </c>
    </row>
    <row r="1764" spans="19:22">
      <c r="S1764" s="26">
        <v>3677</v>
      </c>
      <c r="T1764" s="26" t="s">
        <v>2263</v>
      </c>
      <c r="U1764" s="17">
        <f>COUNTIFS(WTG_BD!L:L,'Basic Data'!T1764,WTG_BD!F:F,"&gt;="&amp;O2Summary!$B$6,WTG_BD!F:F,"&lt;="&amp;O2Summary!$B$4)</f>
        <v>0</v>
      </c>
      <c r="V1764" s="18">
        <f t="shared" si="34"/>
        <v>47</v>
      </c>
    </row>
    <row r="1765" spans="19:22">
      <c r="S1765" s="16">
        <v>3678</v>
      </c>
      <c r="T1765" s="16" t="s">
        <v>2264</v>
      </c>
      <c r="U1765" s="17">
        <f>COUNTIFS(WTG_BD!L:L,'Basic Data'!T1765,WTG_BD!F:F,"&gt;="&amp;O2Summary!$B$6,WTG_BD!F:F,"&lt;="&amp;O2Summary!$B$4)</f>
        <v>0</v>
      </c>
      <c r="V1765" s="18">
        <f t="shared" si="34"/>
        <v>47</v>
      </c>
    </row>
    <row r="1766" spans="19:22">
      <c r="S1766" s="26">
        <v>3679</v>
      </c>
      <c r="T1766" s="26" t="s">
        <v>2265</v>
      </c>
      <c r="U1766" s="17">
        <f>COUNTIFS(WTG_BD!L:L,'Basic Data'!T1766,WTG_BD!F:F,"&gt;="&amp;O2Summary!$B$6,WTG_BD!F:F,"&lt;="&amp;O2Summary!$B$4)</f>
        <v>0</v>
      </c>
      <c r="V1766" s="18">
        <f t="shared" si="34"/>
        <v>47</v>
      </c>
    </row>
    <row r="1767" spans="19:22">
      <c r="S1767" s="16">
        <v>3680</v>
      </c>
      <c r="T1767" s="16" t="s">
        <v>2266</v>
      </c>
      <c r="U1767" s="17">
        <f>COUNTIFS(WTG_BD!L:L,'Basic Data'!T1767,WTG_BD!F:F,"&gt;="&amp;O2Summary!$B$6,WTG_BD!F:F,"&lt;="&amp;O2Summary!$B$4)</f>
        <v>0</v>
      </c>
      <c r="V1767" s="18">
        <f t="shared" si="34"/>
        <v>47</v>
      </c>
    </row>
    <row r="1768" spans="19:22">
      <c r="S1768" s="16">
        <v>3681</v>
      </c>
      <c r="T1768" s="16" t="s">
        <v>2267</v>
      </c>
      <c r="U1768" s="17">
        <f>COUNTIFS(WTG_BD!L:L,'Basic Data'!T1768,WTG_BD!F:F,"&gt;="&amp;O2Summary!$B$6,WTG_BD!F:F,"&lt;="&amp;O2Summary!$B$4)</f>
        <v>0</v>
      </c>
      <c r="V1768" s="18">
        <f t="shared" si="34"/>
        <v>47</v>
      </c>
    </row>
    <row r="1769" spans="19:22">
      <c r="S1769" s="16">
        <v>3682</v>
      </c>
      <c r="T1769" s="16" t="s">
        <v>2268</v>
      </c>
      <c r="U1769" s="17">
        <f>COUNTIFS(WTG_BD!L:L,'Basic Data'!T1769,WTG_BD!F:F,"&gt;="&amp;O2Summary!$B$6,WTG_BD!F:F,"&lt;="&amp;O2Summary!$B$4)</f>
        <v>0</v>
      </c>
      <c r="V1769" s="18">
        <f t="shared" si="34"/>
        <v>47</v>
      </c>
    </row>
    <row r="1770" spans="19:22">
      <c r="S1770" s="16">
        <v>3683</v>
      </c>
      <c r="T1770" s="16" t="s">
        <v>2269</v>
      </c>
      <c r="U1770" s="17">
        <f>COUNTIFS(WTG_BD!L:L,'Basic Data'!T1770,WTG_BD!F:F,"&gt;="&amp;O2Summary!$B$6,WTG_BD!F:F,"&lt;="&amp;O2Summary!$B$4)</f>
        <v>0</v>
      </c>
      <c r="V1770" s="18">
        <f t="shared" si="34"/>
        <v>47</v>
      </c>
    </row>
    <row r="1771" spans="19:22">
      <c r="S1771" s="16">
        <v>3684</v>
      </c>
      <c r="T1771" s="16" t="s">
        <v>2270</v>
      </c>
      <c r="U1771" s="17">
        <f>COUNTIFS(WTG_BD!L:L,'Basic Data'!T1771,WTG_BD!F:F,"&gt;="&amp;O2Summary!$B$6,WTG_BD!F:F,"&lt;="&amp;O2Summary!$B$4)</f>
        <v>0</v>
      </c>
      <c r="V1771" s="18">
        <f t="shared" si="34"/>
        <v>47</v>
      </c>
    </row>
    <row r="1772" spans="19:22">
      <c r="S1772" s="16">
        <v>3685</v>
      </c>
      <c r="T1772" s="16" t="s">
        <v>2024</v>
      </c>
      <c r="U1772" s="17">
        <f>COUNTIFS(WTG_BD!L:L,'Basic Data'!T1772,WTG_BD!F:F,"&gt;="&amp;O2Summary!$B$6,WTG_BD!F:F,"&lt;="&amp;O2Summary!$B$4)</f>
        <v>0</v>
      </c>
      <c r="V1772" s="18">
        <f t="shared" si="34"/>
        <v>47</v>
      </c>
    </row>
    <row r="1773" spans="19:22">
      <c r="S1773" s="16">
        <v>3686</v>
      </c>
      <c r="T1773" s="16" t="s">
        <v>2271</v>
      </c>
      <c r="U1773" s="17">
        <f>COUNTIFS(WTG_BD!L:L,'Basic Data'!T1773,WTG_BD!F:F,"&gt;="&amp;O2Summary!$B$6,WTG_BD!F:F,"&lt;="&amp;O2Summary!$B$4)</f>
        <v>0</v>
      </c>
      <c r="V1773" s="18">
        <f t="shared" si="34"/>
        <v>47</v>
      </c>
    </row>
    <row r="1774" spans="19:22">
      <c r="S1774" s="16">
        <v>3687</v>
      </c>
      <c r="T1774" s="16" t="s">
        <v>2272</v>
      </c>
      <c r="U1774" s="17">
        <f>COUNTIFS(WTG_BD!L:L,'Basic Data'!T1774,WTG_BD!F:F,"&gt;="&amp;O2Summary!$B$6,WTG_BD!F:F,"&lt;="&amp;O2Summary!$B$4)</f>
        <v>0</v>
      </c>
      <c r="V1774" s="18">
        <f t="shared" si="34"/>
        <v>47</v>
      </c>
    </row>
    <row r="1775" spans="19:22">
      <c r="S1775" s="16">
        <v>3688</v>
      </c>
      <c r="T1775" s="16" t="s">
        <v>2273</v>
      </c>
      <c r="U1775" s="17">
        <f>COUNTIFS(WTG_BD!L:L,'Basic Data'!T1775,WTG_BD!F:F,"&gt;="&amp;O2Summary!$B$6,WTG_BD!F:F,"&lt;="&amp;O2Summary!$B$4)</f>
        <v>0</v>
      </c>
      <c r="V1775" s="18">
        <f t="shared" si="34"/>
        <v>47</v>
      </c>
    </row>
    <row r="1776" spans="19:22">
      <c r="S1776" s="16">
        <v>3690</v>
      </c>
      <c r="T1776" s="16" t="s">
        <v>2274</v>
      </c>
      <c r="U1776" s="17">
        <f>COUNTIFS(WTG_BD!L:L,'Basic Data'!T1776,WTG_BD!F:F,"&gt;="&amp;O2Summary!$B$6,WTG_BD!F:F,"&lt;="&amp;O2Summary!$B$4)</f>
        <v>0</v>
      </c>
      <c r="V1776" s="18">
        <f t="shared" si="34"/>
        <v>47</v>
      </c>
    </row>
    <row r="1777" spans="19:22">
      <c r="S1777" s="16">
        <v>3691</v>
      </c>
      <c r="T1777" s="16" t="s">
        <v>2275</v>
      </c>
      <c r="U1777" s="17">
        <f>COUNTIFS(WTG_BD!L:L,'Basic Data'!T1777,WTG_BD!F:F,"&gt;="&amp;O2Summary!$B$6,WTG_BD!F:F,"&lt;="&amp;O2Summary!$B$4)</f>
        <v>0</v>
      </c>
      <c r="V1777" s="18">
        <f t="shared" si="34"/>
        <v>47</v>
      </c>
    </row>
    <row r="1778" spans="19:22">
      <c r="S1778" s="16">
        <v>3692</v>
      </c>
      <c r="T1778" s="16" t="s">
        <v>2276</v>
      </c>
      <c r="U1778" s="17">
        <f>COUNTIFS(WTG_BD!L:L,'Basic Data'!T1778,WTG_BD!F:F,"&gt;="&amp;O2Summary!$B$6,WTG_BD!F:F,"&lt;="&amp;O2Summary!$B$4)</f>
        <v>0</v>
      </c>
      <c r="V1778" s="18">
        <f t="shared" si="34"/>
        <v>47</v>
      </c>
    </row>
    <row r="1779" spans="19:22">
      <c r="S1779" s="16">
        <v>3693</v>
      </c>
      <c r="T1779" s="16" t="s">
        <v>2277</v>
      </c>
      <c r="U1779" s="17">
        <f>COUNTIFS(WTG_BD!L:L,'Basic Data'!T1779,WTG_BD!F:F,"&gt;="&amp;O2Summary!$B$6,WTG_BD!F:F,"&lt;="&amp;O2Summary!$B$4)</f>
        <v>0</v>
      </c>
      <c r="V1779" s="18">
        <f t="shared" si="34"/>
        <v>47</v>
      </c>
    </row>
    <row r="1780" spans="19:22">
      <c r="S1780" s="16">
        <v>3694</v>
      </c>
      <c r="T1780" s="16" t="s">
        <v>2278</v>
      </c>
      <c r="U1780" s="17">
        <f>COUNTIFS(WTG_BD!L:L,'Basic Data'!T1780,WTG_BD!F:F,"&gt;="&amp;O2Summary!$B$6,WTG_BD!F:F,"&lt;="&amp;O2Summary!$B$4)</f>
        <v>0</v>
      </c>
      <c r="V1780" s="18">
        <f t="shared" si="34"/>
        <v>47</v>
      </c>
    </row>
    <row r="1781" spans="19:22">
      <c r="S1781" s="16">
        <v>3695</v>
      </c>
      <c r="T1781" s="16" t="s">
        <v>2279</v>
      </c>
      <c r="U1781" s="17">
        <f>COUNTIFS(WTG_BD!L:L,'Basic Data'!T1781,WTG_BD!F:F,"&gt;="&amp;O2Summary!$B$6,WTG_BD!F:F,"&lt;="&amp;O2Summary!$B$4)</f>
        <v>0</v>
      </c>
      <c r="V1781" s="18">
        <f t="shared" si="34"/>
        <v>47</v>
      </c>
    </row>
    <row r="1782" spans="19:22">
      <c r="S1782" s="16">
        <v>3696</v>
      </c>
      <c r="T1782" s="16" t="s">
        <v>2280</v>
      </c>
      <c r="U1782" s="17">
        <f>COUNTIFS(WTG_BD!L:L,'Basic Data'!T1782,WTG_BD!F:F,"&gt;="&amp;O2Summary!$B$6,WTG_BD!F:F,"&lt;="&amp;O2Summary!$B$4)</f>
        <v>0</v>
      </c>
      <c r="V1782" s="18">
        <f t="shared" si="34"/>
        <v>47</v>
      </c>
    </row>
    <row r="1783" spans="19:22">
      <c r="S1783" s="16">
        <v>3699</v>
      </c>
      <c r="T1783" s="16" t="s">
        <v>2281</v>
      </c>
      <c r="U1783" s="17">
        <f>COUNTIFS(WTG_BD!L:L,'Basic Data'!T1783,WTG_BD!F:F,"&gt;="&amp;O2Summary!$B$6,WTG_BD!F:F,"&lt;="&amp;O2Summary!$B$4)</f>
        <v>0</v>
      </c>
      <c r="V1783" s="18">
        <f t="shared" si="34"/>
        <v>47</v>
      </c>
    </row>
    <row r="1784" spans="19:22">
      <c r="S1784" s="16">
        <v>3700</v>
      </c>
      <c r="T1784" s="16" t="s">
        <v>2282</v>
      </c>
      <c r="U1784" s="17">
        <f>COUNTIFS(WTG_BD!L:L,'Basic Data'!T1784,WTG_BD!F:F,"&gt;="&amp;O2Summary!$B$6,WTG_BD!F:F,"&lt;="&amp;O2Summary!$B$4)</f>
        <v>0</v>
      </c>
      <c r="V1784" s="18">
        <f t="shared" si="34"/>
        <v>47</v>
      </c>
    </row>
    <row r="1785" spans="19:22">
      <c r="S1785" s="16">
        <v>3701</v>
      </c>
      <c r="T1785" s="16" t="s">
        <v>2283</v>
      </c>
      <c r="U1785" s="17">
        <f>COUNTIFS(WTG_BD!L:L,'Basic Data'!T1785,WTG_BD!F:F,"&gt;="&amp;O2Summary!$B$6,WTG_BD!F:F,"&lt;="&amp;O2Summary!$B$4)</f>
        <v>0</v>
      </c>
      <c r="V1785" s="18">
        <f t="shared" si="34"/>
        <v>47</v>
      </c>
    </row>
    <row r="1786" spans="19:22">
      <c r="S1786" s="16">
        <v>3702</v>
      </c>
      <c r="T1786" s="16" t="s">
        <v>2284</v>
      </c>
      <c r="U1786" s="17">
        <f>COUNTIFS(WTG_BD!L:L,'Basic Data'!T1786,WTG_BD!F:F,"&gt;="&amp;O2Summary!$B$6,WTG_BD!F:F,"&lt;="&amp;O2Summary!$B$4)</f>
        <v>0</v>
      </c>
      <c r="V1786" s="18">
        <f t="shared" si="34"/>
        <v>47</v>
      </c>
    </row>
    <row r="1787" spans="19:22">
      <c r="S1787" s="26">
        <v>3703</v>
      </c>
      <c r="T1787" s="26" t="s">
        <v>2285</v>
      </c>
      <c r="U1787" s="17">
        <f>COUNTIFS(WTG_BD!L:L,'Basic Data'!T1787,WTG_BD!F:F,"&gt;="&amp;O2Summary!$B$6,WTG_BD!F:F,"&lt;="&amp;O2Summary!$B$4)</f>
        <v>0</v>
      </c>
      <c r="V1787" s="18">
        <f t="shared" si="34"/>
        <v>47</v>
      </c>
    </row>
    <row r="1788" spans="19:22">
      <c r="S1788" s="26">
        <v>3704</v>
      </c>
      <c r="T1788" s="26" t="s">
        <v>2286</v>
      </c>
      <c r="U1788" s="17">
        <f>COUNTIFS(WTG_BD!L:L,'Basic Data'!T1788,WTG_BD!F:F,"&gt;="&amp;O2Summary!$B$6,WTG_BD!F:F,"&lt;="&amp;O2Summary!$B$4)</f>
        <v>0</v>
      </c>
      <c r="V1788" s="18">
        <f t="shared" si="34"/>
        <v>47</v>
      </c>
    </row>
    <row r="1789" spans="19:22">
      <c r="S1789" s="26">
        <v>3705</v>
      </c>
      <c r="T1789" s="26" t="s">
        <v>2287</v>
      </c>
      <c r="U1789" s="17">
        <f>COUNTIFS(WTG_BD!L:L,'Basic Data'!T1789,WTG_BD!F:F,"&gt;="&amp;O2Summary!$B$6,WTG_BD!F:F,"&lt;="&amp;O2Summary!$B$4)</f>
        <v>0</v>
      </c>
      <c r="V1789" s="18">
        <f t="shared" si="34"/>
        <v>47</v>
      </c>
    </row>
    <row r="1790" spans="19:22">
      <c r="S1790" s="26">
        <v>3706</v>
      </c>
      <c r="T1790" s="26" t="s">
        <v>2288</v>
      </c>
      <c r="U1790" s="17">
        <f>COUNTIFS(WTG_BD!L:L,'Basic Data'!T1790,WTG_BD!F:F,"&gt;="&amp;O2Summary!$B$6,WTG_BD!F:F,"&lt;="&amp;O2Summary!$B$4)</f>
        <v>0</v>
      </c>
      <c r="V1790" s="18">
        <f t="shared" si="34"/>
        <v>47</v>
      </c>
    </row>
    <row r="1791" spans="19:22">
      <c r="S1791" s="26">
        <v>3707</v>
      </c>
      <c r="T1791" s="26" t="s">
        <v>2289</v>
      </c>
      <c r="U1791" s="17">
        <f>COUNTIFS(WTG_BD!L:L,'Basic Data'!T1791,WTG_BD!F:F,"&gt;="&amp;O2Summary!$B$6,WTG_BD!F:F,"&lt;="&amp;O2Summary!$B$4)</f>
        <v>0</v>
      </c>
      <c r="V1791" s="18">
        <f t="shared" si="34"/>
        <v>47</v>
      </c>
    </row>
    <row r="1792" spans="19:22">
      <c r="S1792" s="26">
        <v>3708</v>
      </c>
      <c r="T1792" s="26" t="s">
        <v>2290</v>
      </c>
      <c r="U1792" s="17">
        <f>COUNTIFS(WTG_BD!L:L,'Basic Data'!T1792,WTG_BD!F:F,"&gt;="&amp;O2Summary!$B$6,WTG_BD!F:F,"&lt;="&amp;O2Summary!$B$4)</f>
        <v>0</v>
      </c>
      <c r="V1792" s="18">
        <f t="shared" si="34"/>
        <v>47</v>
      </c>
    </row>
    <row r="1793" spans="19:22">
      <c r="S1793" s="16">
        <v>3709</v>
      </c>
      <c r="T1793" s="16" t="s">
        <v>2291</v>
      </c>
      <c r="U1793" s="17">
        <f>COUNTIFS(WTG_BD!L:L,'Basic Data'!T1793,WTG_BD!F:F,"&gt;="&amp;O2Summary!$B$6,WTG_BD!F:F,"&lt;="&amp;O2Summary!$B$4)</f>
        <v>0</v>
      </c>
      <c r="V1793" s="18">
        <f t="shared" si="34"/>
        <v>47</v>
      </c>
    </row>
    <row r="1794" spans="19:22">
      <c r="S1794" s="26">
        <v>3710</v>
      </c>
      <c r="T1794" s="26" t="s">
        <v>2292</v>
      </c>
      <c r="U1794" s="17">
        <f>COUNTIFS(WTG_BD!L:L,'Basic Data'!T1794,WTG_BD!F:F,"&gt;="&amp;O2Summary!$B$6,WTG_BD!F:F,"&lt;="&amp;O2Summary!$B$4)</f>
        <v>0</v>
      </c>
      <c r="V1794" s="18">
        <f t="shared" si="34"/>
        <v>47</v>
      </c>
    </row>
    <row r="1795" spans="19:22">
      <c r="S1795" s="26">
        <v>3711</v>
      </c>
      <c r="T1795" s="26" t="s">
        <v>2293</v>
      </c>
      <c r="U1795" s="17">
        <f>COUNTIFS(WTG_BD!L:L,'Basic Data'!T1795,WTG_BD!F:F,"&gt;="&amp;O2Summary!$B$6,WTG_BD!F:F,"&lt;="&amp;O2Summary!$B$4)</f>
        <v>0</v>
      </c>
      <c r="V1795" s="18">
        <f t="shared" ref="V1795:V1858" si="35">RANK(U1795,$U$2:$U$3975)</f>
        <v>47</v>
      </c>
    </row>
    <row r="1796" spans="19:22">
      <c r="S1796" s="26">
        <v>3712</v>
      </c>
      <c r="T1796" s="26" t="s">
        <v>2292</v>
      </c>
      <c r="U1796" s="17">
        <f>COUNTIFS(WTG_BD!L:L,'Basic Data'!T1796,WTG_BD!F:F,"&gt;="&amp;O2Summary!$B$6,WTG_BD!F:F,"&lt;="&amp;O2Summary!$B$4)</f>
        <v>0</v>
      </c>
      <c r="V1796" s="18">
        <f t="shared" si="35"/>
        <v>47</v>
      </c>
    </row>
    <row r="1797" spans="19:22">
      <c r="S1797" s="26">
        <v>3713</v>
      </c>
      <c r="T1797" s="26" t="s">
        <v>2294</v>
      </c>
      <c r="U1797" s="17">
        <f>COUNTIFS(WTG_BD!L:L,'Basic Data'!T1797,WTG_BD!F:F,"&gt;="&amp;O2Summary!$B$6,WTG_BD!F:F,"&lt;="&amp;O2Summary!$B$4)</f>
        <v>0</v>
      </c>
      <c r="V1797" s="18">
        <f t="shared" si="35"/>
        <v>47</v>
      </c>
    </row>
    <row r="1798" spans="19:22">
      <c r="S1798" s="26">
        <v>3714</v>
      </c>
      <c r="T1798" s="26" t="s">
        <v>2295</v>
      </c>
      <c r="U1798" s="17">
        <f>COUNTIFS(WTG_BD!L:L,'Basic Data'!T1798,WTG_BD!F:F,"&gt;="&amp;O2Summary!$B$6,WTG_BD!F:F,"&lt;="&amp;O2Summary!$B$4)</f>
        <v>0</v>
      </c>
      <c r="V1798" s="18">
        <f t="shared" si="35"/>
        <v>47</v>
      </c>
    </row>
    <row r="1799" spans="19:22">
      <c r="S1799" s="26">
        <v>3715</v>
      </c>
      <c r="T1799" s="26" t="s">
        <v>2296</v>
      </c>
      <c r="U1799" s="17">
        <f>COUNTIFS(WTG_BD!L:L,'Basic Data'!T1799,WTG_BD!F:F,"&gt;="&amp;O2Summary!$B$6,WTG_BD!F:F,"&lt;="&amp;O2Summary!$B$4)</f>
        <v>0</v>
      </c>
      <c r="V1799" s="18">
        <f t="shared" si="35"/>
        <v>47</v>
      </c>
    </row>
    <row r="1800" spans="19:22">
      <c r="S1800" s="26">
        <v>3716</v>
      </c>
      <c r="T1800" s="26" t="s">
        <v>2297</v>
      </c>
      <c r="U1800" s="17">
        <f>COUNTIFS(WTG_BD!L:L,'Basic Data'!T1800,WTG_BD!F:F,"&gt;="&amp;O2Summary!$B$6,WTG_BD!F:F,"&lt;="&amp;O2Summary!$B$4)</f>
        <v>0</v>
      </c>
      <c r="V1800" s="18">
        <f t="shared" si="35"/>
        <v>47</v>
      </c>
    </row>
    <row r="1801" spans="19:22">
      <c r="S1801" s="16">
        <v>3717</v>
      </c>
      <c r="T1801" s="16" t="s">
        <v>2298</v>
      </c>
      <c r="U1801" s="17">
        <f>COUNTIFS(WTG_BD!L:L,'Basic Data'!T1801,WTG_BD!F:F,"&gt;="&amp;O2Summary!$B$6,WTG_BD!F:F,"&lt;="&amp;O2Summary!$B$4)</f>
        <v>0</v>
      </c>
      <c r="V1801" s="18">
        <f t="shared" si="35"/>
        <v>47</v>
      </c>
    </row>
    <row r="1802" spans="19:22">
      <c r="S1802" s="16">
        <v>3718</v>
      </c>
      <c r="T1802" s="16" t="s">
        <v>2299</v>
      </c>
      <c r="U1802" s="17">
        <f>COUNTIFS(WTG_BD!L:L,'Basic Data'!T1802,WTG_BD!F:F,"&gt;="&amp;O2Summary!$B$6,WTG_BD!F:F,"&lt;="&amp;O2Summary!$B$4)</f>
        <v>0</v>
      </c>
      <c r="V1802" s="18">
        <f t="shared" si="35"/>
        <v>47</v>
      </c>
    </row>
    <row r="1803" spans="19:22">
      <c r="S1803" s="16">
        <v>3719</v>
      </c>
      <c r="T1803" s="16" t="s">
        <v>2300</v>
      </c>
      <c r="U1803" s="17">
        <f>COUNTIFS(WTG_BD!L:L,'Basic Data'!T1803,WTG_BD!F:F,"&gt;="&amp;O2Summary!$B$6,WTG_BD!F:F,"&lt;="&amp;O2Summary!$B$4)</f>
        <v>0</v>
      </c>
      <c r="V1803" s="18">
        <f t="shared" si="35"/>
        <v>47</v>
      </c>
    </row>
    <row r="1804" spans="19:22">
      <c r="S1804" s="16">
        <v>3720</v>
      </c>
      <c r="T1804" s="16" t="s">
        <v>2301</v>
      </c>
      <c r="U1804" s="17">
        <f>COUNTIFS(WTG_BD!L:L,'Basic Data'!T1804,WTG_BD!F:F,"&gt;="&amp;O2Summary!$B$6,WTG_BD!F:F,"&lt;="&amp;O2Summary!$B$4)</f>
        <v>0</v>
      </c>
      <c r="V1804" s="18">
        <f t="shared" si="35"/>
        <v>47</v>
      </c>
    </row>
    <row r="1805" spans="19:22">
      <c r="S1805" s="16">
        <v>3721</v>
      </c>
      <c r="T1805" s="16" t="s">
        <v>2302</v>
      </c>
      <c r="U1805" s="17">
        <f>COUNTIFS(WTG_BD!L:L,'Basic Data'!T1805,WTG_BD!F:F,"&gt;="&amp;O2Summary!$B$6,WTG_BD!F:F,"&lt;="&amp;O2Summary!$B$4)</f>
        <v>0</v>
      </c>
      <c r="V1805" s="18">
        <f t="shared" si="35"/>
        <v>47</v>
      </c>
    </row>
    <row r="1806" spans="19:22">
      <c r="S1806" s="16">
        <v>3722</v>
      </c>
      <c r="T1806" s="16" t="s">
        <v>2303</v>
      </c>
      <c r="U1806" s="17">
        <f>COUNTIFS(WTG_BD!L:L,'Basic Data'!T1806,WTG_BD!F:F,"&gt;="&amp;O2Summary!$B$6,WTG_BD!F:F,"&lt;="&amp;O2Summary!$B$4)</f>
        <v>0</v>
      </c>
      <c r="V1806" s="18">
        <f t="shared" si="35"/>
        <v>47</v>
      </c>
    </row>
    <row r="1807" spans="19:22">
      <c r="S1807" s="16">
        <v>3723</v>
      </c>
      <c r="T1807" s="16" t="s">
        <v>2304</v>
      </c>
      <c r="U1807" s="17">
        <f>COUNTIFS(WTG_BD!L:L,'Basic Data'!T1807,WTG_BD!F:F,"&gt;="&amp;O2Summary!$B$6,WTG_BD!F:F,"&lt;="&amp;O2Summary!$B$4)</f>
        <v>0</v>
      </c>
      <c r="V1807" s="18">
        <f t="shared" si="35"/>
        <v>47</v>
      </c>
    </row>
    <row r="1808" spans="19:22">
      <c r="S1808" s="16">
        <v>3724</v>
      </c>
      <c r="T1808" s="16" t="s">
        <v>2305</v>
      </c>
      <c r="U1808" s="17">
        <f>COUNTIFS(WTG_BD!L:L,'Basic Data'!T1808,WTG_BD!F:F,"&gt;="&amp;O2Summary!$B$6,WTG_BD!F:F,"&lt;="&amp;O2Summary!$B$4)</f>
        <v>0</v>
      </c>
      <c r="V1808" s="18">
        <f t="shared" si="35"/>
        <v>47</v>
      </c>
    </row>
    <row r="1809" spans="19:22">
      <c r="S1809" s="16">
        <v>3725</v>
      </c>
      <c r="T1809" s="16" t="s">
        <v>2306</v>
      </c>
      <c r="U1809" s="17">
        <f>COUNTIFS(WTG_BD!L:L,'Basic Data'!T1809,WTG_BD!F:F,"&gt;="&amp;O2Summary!$B$6,WTG_BD!F:F,"&lt;="&amp;O2Summary!$B$4)</f>
        <v>0</v>
      </c>
      <c r="V1809" s="18">
        <f t="shared" si="35"/>
        <v>47</v>
      </c>
    </row>
    <row r="1810" spans="19:22">
      <c r="S1810" s="16">
        <v>3726</v>
      </c>
      <c r="T1810" s="16" t="s">
        <v>2307</v>
      </c>
      <c r="U1810" s="17">
        <f>COUNTIFS(WTG_BD!L:L,'Basic Data'!T1810,WTG_BD!F:F,"&gt;="&amp;O2Summary!$B$6,WTG_BD!F:F,"&lt;="&amp;O2Summary!$B$4)</f>
        <v>0</v>
      </c>
      <c r="V1810" s="18">
        <f t="shared" si="35"/>
        <v>47</v>
      </c>
    </row>
    <row r="1811" spans="19:22">
      <c r="S1811" s="16">
        <v>3727</v>
      </c>
      <c r="T1811" s="16" t="s">
        <v>2308</v>
      </c>
      <c r="U1811" s="17">
        <f>COUNTIFS(WTG_BD!L:L,'Basic Data'!T1811,WTG_BD!F:F,"&gt;="&amp;O2Summary!$B$6,WTG_BD!F:F,"&lt;="&amp;O2Summary!$B$4)</f>
        <v>0</v>
      </c>
      <c r="V1811" s="18">
        <f t="shared" si="35"/>
        <v>47</v>
      </c>
    </row>
    <row r="1812" spans="19:22">
      <c r="S1812" s="16">
        <v>3728</v>
      </c>
      <c r="T1812" s="16" t="s">
        <v>2309</v>
      </c>
      <c r="U1812" s="17">
        <f>COUNTIFS(WTG_BD!L:L,'Basic Data'!T1812,WTG_BD!F:F,"&gt;="&amp;O2Summary!$B$6,WTG_BD!F:F,"&lt;="&amp;O2Summary!$B$4)</f>
        <v>0</v>
      </c>
      <c r="V1812" s="18">
        <f t="shared" si="35"/>
        <v>47</v>
      </c>
    </row>
    <row r="1813" spans="19:22">
      <c r="S1813" s="16">
        <v>3729</v>
      </c>
      <c r="T1813" s="16" t="s">
        <v>2310</v>
      </c>
      <c r="U1813" s="17">
        <f>COUNTIFS(WTG_BD!L:L,'Basic Data'!T1813,WTG_BD!F:F,"&gt;="&amp;O2Summary!$B$6,WTG_BD!F:F,"&lt;="&amp;O2Summary!$B$4)</f>
        <v>0</v>
      </c>
      <c r="V1813" s="18">
        <f t="shared" si="35"/>
        <v>47</v>
      </c>
    </row>
    <row r="1814" spans="19:22">
      <c r="S1814" s="16">
        <v>3730</v>
      </c>
      <c r="T1814" s="16" t="s">
        <v>2311</v>
      </c>
      <c r="U1814" s="17">
        <f>COUNTIFS(WTG_BD!L:L,'Basic Data'!T1814,WTG_BD!F:F,"&gt;="&amp;O2Summary!$B$6,WTG_BD!F:F,"&lt;="&amp;O2Summary!$B$4)</f>
        <v>0</v>
      </c>
      <c r="V1814" s="18">
        <f t="shared" si="35"/>
        <v>47</v>
      </c>
    </row>
    <row r="1815" spans="19:22">
      <c r="S1815" s="26">
        <v>3731</v>
      </c>
      <c r="T1815" s="26" t="s">
        <v>2312</v>
      </c>
      <c r="U1815" s="17">
        <f>COUNTIFS(WTG_BD!L:L,'Basic Data'!T1815,WTG_BD!F:F,"&gt;="&amp;O2Summary!$B$6,WTG_BD!F:F,"&lt;="&amp;O2Summary!$B$4)</f>
        <v>0</v>
      </c>
      <c r="V1815" s="18">
        <f t="shared" si="35"/>
        <v>47</v>
      </c>
    </row>
    <row r="1816" spans="19:22">
      <c r="S1816" s="26">
        <v>3732</v>
      </c>
      <c r="T1816" s="26" t="s">
        <v>2313</v>
      </c>
      <c r="U1816" s="17">
        <f>COUNTIFS(WTG_BD!L:L,'Basic Data'!T1816,WTG_BD!F:F,"&gt;="&amp;O2Summary!$B$6,WTG_BD!F:F,"&lt;="&amp;O2Summary!$B$4)</f>
        <v>0</v>
      </c>
      <c r="V1816" s="18">
        <f t="shared" si="35"/>
        <v>47</v>
      </c>
    </row>
    <row r="1817" spans="19:22">
      <c r="S1817" s="16">
        <v>3733</v>
      </c>
      <c r="T1817" s="16" t="s">
        <v>2314</v>
      </c>
      <c r="U1817" s="17">
        <f>COUNTIFS(WTG_BD!L:L,'Basic Data'!T1817,WTG_BD!F:F,"&gt;="&amp;O2Summary!$B$6,WTG_BD!F:F,"&lt;="&amp;O2Summary!$B$4)</f>
        <v>0</v>
      </c>
      <c r="V1817" s="18">
        <f t="shared" si="35"/>
        <v>47</v>
      </c>
    </row>
    <row r="1818" spans="19:22">
      <c r="S1818" s="16">
        <v>3734</v>
      </c>
      <c r="T1818" s="16" t="s">
        <v>2315</v>
      </c>
      <c r="U1818" s="17">
        <f>COUNTIFS(WTG_BD!L:L,'Basic Data'!T1818,WTG_BD!F:F,"&gt;="&amp;O2Summary!$B$6,WTG_BD!F:F,"&lt;="&amp;O2Summary!$B$4)</f>
        <v>0</v>
      </c>
      <c r="V1818" s="18">
        <f t="shared" si="35"/>
        <v>47</v>
      </c>
    </row>
    <row r="1819" spans="19:22">
      <c r="S1819" s="26">
        <v>3735</v>
      </c>
      <c r="T1819" s="26" t="s">
        <v>2316</v>
      </c>
      <c r="U1819" s="17">
        <f>COUNTIFS(WTG_BD!L:L,'Basic Data'!T1819,WTG_BD!F:F,"&gt;="&amp;O2Summary!$B$6,WTG_BD!F:F,"&lt;="&amp;O2Summary!$B$4)</f>
        <v>0</v>
      </c>
      <c r="V1819" s="18">
        <f t="shared" si="35"/>
        <v>47</v>
      </c>
    </row>
    <row r="1820" spans="19:22">
      <c r="S1820" s="16">
        <v>3739</v>
      </c>
      <c r="T1820" s="16" t="s">
        <v>2317</v>
      </c>
      <c r="U1820" s="17">
        <f>COUNTIFS(WTG_BD!L:L,'Basic Data'!T1820,WTG_BD!F:F,"&gt;="&amp;O2Summary!$B$6,WTG_BD!F:F,"&lt;="&amp;O2Summary!$B$4)</f>
        <v>0</v>
      </c>
      <c r="V1820" s="18">
        <f t="shared" si="35"/>
        <v>47</v>
      </c>
    </row>
    <row r="1821" spans="19:22">
      <c r="S1821" s="26">
        <v>3740</v>
      </c>
      <c r="T1821" s="26" t="s">
        <v>2318</v>
      </c>
      <c r="U1821" s="17">
        <f>COUNTIFS(WTG_BD!L:L,'Basic Data'!T1821,WTG_BD!F:F,"&gt;="&amp;O2Summary!$B$6,WTG_BD!F:F,"&lt;="&amp;O2Summary!$B$4)</f>
        <v>0</v>
      </c>
      <c r="V1821" s="18">
        <f t="shared" si="35"/>
        <v>47</v>
      </c>
    </row>
    <row r="1822" spans="19:22">
      <c r="S1822" s="16">
        <v>3741</v>
      </c>
      <c r="T1822" s="16" t="s">
        <v>2319</v>
      </c>
      <c r="U1822" s="17">
        <f>COUNTIFS(WTG_BD!L:L,'Basic Data'!T1822,WTG_BD!F:F,"&gt;="&amp;O2Summary!$B$6,WTG_BD!F:F,"&lt;="&amp;O2Summary!$B$4)</f>
        <v>0</v>
      </c>
      <c r="V1822" s="18">
        <f t="shared" si="35"/>
        <v>47</v>
      </c>
    </row>
    <row r="1823" spans="19:22">
      <c r="S1823" s="16">
        <v>3742</v>
      </c>
      <c r="T1823" s="16" t="s">
        <v>374</v>
      </c>
      <c r="U1823" s="17">
        <f>COUNTIFS(WTG_BD!L:L,'Basic Data'!T1823,WTG_BD!F:F,"&gt;="&amp;O2Summary!$B$6,WTG_BD!F:F,"&lt;="&amp;O2Summary!$B$4)</f>
        <v>0</v>
      </c>
      <c r="V1823" s="18">
        <f t="shared" si="35"/>
        <v>47</v>
      </c>
    </row>
    <row r="1824" spans="19:22">
      <c r="S1824" s="16">
        <v>3746</v>
      </c>
      <c r="T1824" s="16" t="s">
        <v>2320</v>
      </c>
      <c r="U1824" s="17">
        <f>COUNTIFS(WTG_BD!L:L,'Basic Data'!T1824,WTG_BD!F:F,"&gt;="&amp;O2Summary!$B$6,WTG_BD!F:F,"&lt;="&amp;O2Summary!$B$4)</f>
        <v>0</v>
      </c>
      <c r="V1824" s="18">
        <f t="shared" si="35"/>
        <v>47</v>
      </c>
    </row>
    <row r="1825" spans="19:22">
      <c r="S1825" s="16">
        <v>3747</v>
      </c>
      <c r="T1825" s="16" t="s">
        <v>2321</v>
      </c>
      <c r="U1825" s="17">
        <f>COUNTIFS(WTG_BD!L:L,'Basic Data'!T1825,WTG_BD!F:F,"&gt;="&amp;O2Summary!$B$6,WTG_BD!F:F,"&lt;="&amp;O2Summary!$B$4)</f>
        <v>0</v>
      </c>
      <c r="V1825" s="18">
        <f t="shared" si="35"/>
        <v>47</v>
      </c>
    </row>
    <row r="1826" spans="19:22">
      <c r="S1826" s="16">
        <v>3748</v>
      </c>
      <c r="T1826" s="16" t="s">
        <v>2322</v>
      </c>
      <c r="U1826" s="17">
        <f>COUNTIFS(WTG_BD!L:L,'Basic Data'!T1826,WTG_BD!F:F,"&gt;="&amp;O2Summary!$B$6,WTG_BD!F:F,"&lt;="&amp;O2Summary!$B$4)</f>
        <v>0</v>
      </c>
      <c r="V1826" s="18">
        <f t="shared" si="35"/>
        <v>47</v>
      </c>
    </row>
    <row r="1827" spans="19:22">
      <c r="S1827" s="16">
        <v>3749</v>
      </c>
      <c r="T1827" s="16" t="s">
        <v>2323</v>
      </c>
      <c r="U1827" s="17">
        <f>COUNTIFS(WTG_BD!L:L,'Basic Data'!T1827,WTG_BD!F:F,"&gt;="&amp;O2Summary!$B$6,WTG_BD!F:F,"&lt;="&amp;O2Summary!$B$4)</f>
        <v>0</v>
      </c>
      <c r="V1827" s="18">
        <f t="shared" si="35"/>
        <v>47</v>
      </c>
    </row>
    <row r="1828" spans="19:22">
      <c r="S1828" s="16">
        <v>3750</v>
      </c>
      <c r="T1828" s="16" t="s">
        <v>2324</v>
      </c>
      <c r="U1828" s="17">
        <f>COUNTIFS(WTG_BD!L:L,'Basic Data'!T1828,WTG_BD!F:F,"&gt;="&amp;O2Summary!$B$6,WTG_BD!F:F,"&lt;="&amp;O2Summary!$B$4)</f>
        <v>0</v>
      </c>
      <c r="V1828" s="18">
        <f t="shared" si="35"/>
        <v>47</v>
      </c>
    </row>
    <row r="1829" spans="19:22">
      <c r="S1829" s="26">
        <v>3751</v>
      </c>
      <c r="T1829" s="26" t="s">
        <v>2325</v>
      </c>
      <c r="U1829" s="17">
        <f>COUNTIFS(WTG_BD!L:L,'Basic Data'!T1829,WTG_BD!F:F,"&gt;="&amp;O2Summary!$B$6,WTG_BD!F:F,"&lt;="&amp;O2Summary!$B$4)</f>
        <v>0</v>
      </c>
      <c r="V1829" s="18">
        <f t="shared" si="35"/>
        <v>47</v>
      </c>
    </row>
    <row r="1830" spans="19:22">
      <c r="S1830" s="16">
        <v>3752</v>
      </c>
      <c r="T1830" s="16" t="s">
        <v>2326</v>
      </c>
      <c r="U1830" s="17">
        <f>COUNTIFS(WTG_BD!L:L,'Basic Data'!T1830,WTG_BD!F:F,"&gt;="&amp;O2Summary!$B$6,WTG_BD!F:F,"&lt;="&amp;O2Summary!$B$4)</f>
        <v>0</v>
      </c>
      <c r="V1830" s="18">
        <f t="shared" si="35"/>
        <v>47</v>
      </c>
    </row>
    <row r="1831" spans="19:22">
      <c r="S1831" s="26">
        <v>3753</v>
      </c>
      <c r="T1831" s="26" t="s">
        <v>2327</v>
      </c>
      <c r="U1831" s="17">
        <f>COUNTIFS(WTG_BD!L:L,'Basic Data'!T1831,WTG_BD!F:F,"&gt;="&amp;O2Summary!$B$6,WTG_BD!F:F,"&lt;="&amp;O2Summary!$B$4)</f>
        <v>0</v>
      </c>
      <c r="V1831" s="18">
        <f t="shared" si="35"/>
        <v>47</v>
      </c>
    </row>
    <row r="1832" spans="19:22">
      <c r="S1832" s="16">
        <v>3754</v>
      </c>
      <c r="T1832" s="16" t="s">
        <v>259</v>
      </c>
      <c r="U1832" s="17">
        <f>COUNTIFS(WTG_BD!L:L,'Basic Data'!T1832,WTG_BD!F:F,"&gt;="&amp;O2Summary!$B$6,WTG_BD!F:F,"&lt;="&amp;O2Summary!$B$4)</f>
        <v>0</v>
      </c>
      <c r="V1832" s="18">
        <f t="shared" si="35"/>
        <v>47</v>
      </c>
    </row>
    <row r="1833" spans="19:22">
      <c r="S1833" s="16">
        <v>3755</v>
      </c>
      <c r="T1833" s="16" t="s">
        <v>2328</v>
      </c>
      <c r="U1833" s="17">
        <f>COUNTIFS(WTG_BD!L:L,'Basic Data'!T1833,WTG_BD!F:F,"&gt;="&amp;O2Summary!$B$6,WTG_BD!F:F,"&lt;="&amp;O2Summary!$B$4)</f>
        <v>0</v>
      </c>
      <c r="V1833" s="18">
        <f t="shared" si="35"/>
        <v>47</v>
      </c>
    </row>
    <row r="1834" spans="19:22">
      <c r="S1834" s="16">
        <v>3756</v>
      </c>
      <c r="T1834" s="16" t="s">
        <v>2329</v>
      </c>
      <c r="U1834" s="17">
        <f>COUNTIFS(WTG_BD!L:L,'Basic Data'!T1834,WTG_BD!F:F,"&gt;="&amp;O2Summary!$B$6,WTG_BD!F:F,"&lt;="&amp;O2Summary!$B$4)</f>
        <v>0</v>
      </c>
      <c r="V1834" s="18">
        <f t="shared" si="35"/>
        <v>47</v>
      </c>
    </row>
    <row r="1835" spans="19:22">
      <c r="S1835" s="16">
        <v>3757</v>
      </c>
      <c r="T1835" s="16" t="s">
        <v>2330</v>
      </c>
      <c r="U1835" s="17">
        <f>COUNTIFS(WTG_BD!L:L,'Basic Data'!T1835,WTG_BD!F:F,"&gt;="&amp;O2Summary!$B$6,WTG_BD!F:F,"&lt;="&amp;O2Summary!$B$4)</f>
        <v>0</v>
      </c>
      <c r="V1835" s="18">
        <f t="shared" si="35"/>
        <v>47</v>
      </c>
    </row>
    <row r="1836" spans="19:22">
      <c r="S1836" s="16">
        <v>3758</v>
      </c>
      <c r="T1836" s="16" t="s">
        <v>2331</v>
      </c>
      <c r="U1836" s="17">
        <f>COUNTIFS(WTG_BD!L:L,'Basic Data'!T1836,WTG_BD!F:F,"&gt;="&amp;O2Summary!$B$6,WTG_BD!F:F,"&lt;="&amp;O2Summary!$B$4)</f>
        <v>0</v>
      </c>
      <c r="V1836" s="18">
        <f t="shared" si="35"/>
        <v>47</v>
      </c>
    </row>
    <row r="1837" spans="19:22">
      <c r="S1837" s="16">
        <v>3759</v>
      </c>
      <c r="T1837" s="16" t="s">
        <v>2332</v>
      </c>
      <c r="U1837" s="17">
        <f>COUNTIFS(WTG_BD!L:L,'Basic Data'!T1837,WTG_BD!F:F,"&gt;="&amp;O2Summary!$B$6,WTG_BD!F:F,"&lt;="&amp;O2Summary!$B$4)</f>
        <v>0</v>
      </c>
      <c r="V1837" s="18">
        <f t="shared" si="35"/>
        <v>47</v>
      </c>
    </row>
    <row r="1838" spans="19:22">
      <c r="S1838" s="16">
        <v>3760</v>
      </c>
      <c r="T1838" s="16" t="s">
        <v>2333</v>
      </c>
      <c r="U1838" s="17">
        <f>COUNTIFS(WTG_BD!L:L,'Basic Data'!T1838,WTG_BD!F:F,"&gt;="&amp;O2Summary!$B$6,WTG_BD!F:F,"&lt;="&amp;O2Summary!$B$4)</f>
        <v>0</v>
      </c>
      <c r="V1838" s="18">
        <f t="shared" si="35"/>
        <v>47</v>
      </c>
    </row>
    <row r="1839" spans="19:22">
      <c r="S1839" s="16">
        <v>3761</v>
      </c>
      <c r="T1839" s="16" t="s">
        <v>2334</v>
      </c>
      <c r="U1839" s="17">
        <f>COUNTIFS(WTG_BD!L:L,'Basic Data'!T1839,WTG_BD!F:F,"&gt;="&amp;O2Summary!$B$6,WTG_BD!F:F,"&lt;="&amp;O2Summary!$B$4)</f>
        <v>0</v>
      </c>
      <c r="V1839" s="18">
        <f t="shared" si="35"/>
        <v>47</v>
      </c>
    </row>
    <row r="1840" spans="19:22">
      <c r="S1840" s="16">
        <v>3762</v>
      </c>
      <c r="T1840" s="16" t="s">
        <v>2335</v>
      </c>
      <c r="U1840" s="17">
        <f>COUNTIFS(WTG_BD!L:L,'Basic Data'!T1840,WTG_BD!F:F,"&gt;="&amp;O2Summary!$B$6,WTG_BD!F:F,"&lt;="&amp;O2Summary!$B$4)</f>
        <v>0</v>
      </c>
      <c r="V1840" s="18">
        <f t="shared" si="35"/>
        <v>47</v>
      </c>
    </row>
    <row r="1841" spans="19:22">
      <c r="S1841" s="16">
        <v>3763</v>
      </c>
      <c r="T1841" s="16" t="s">
        <v>2336</v>
      </c>
      <c r="U1841" s="17">
        <f>COUNTIFS(WTG_BD!L:L,'Basic Data'!T1841,WTG_BD!F:F,"&gt;="&amp;O2Summary!$B$6,WTG_BD!F:F,"&lt;="&amp;O2Summary!$B$4)</f>
        <v>0</v>
      </c>
      <c r="V1841" s="18">
        <f t="shared" si="35"/>
        <v>47</v>
      </c>
    </row>
    <row r="1842" spans="19:22">
      <c r="S1842" s="16">
        <v>3764</v>
      </c>
      <c r="T1842" s="16" t="s">
        <v>2337</v>
      </c>
      <c r="U1842" s="17">
        <f>COUNTIFS(WTG_BD!L:L,'Basic Data'!T1842,WTG_BD!F:F,"&gt;="&amp;O2Summary!$B$6,WTG_BD!F:F,"&lt;="&amp;O2Summary!$B$4)</f>
        <v>0</v>
      </c>
      <c r="V1842" s="18">
        <f t="shared" si="35"/>
        <v>47</v>
      </c>
    </row>
    <row r="1843" spans="19:22">
      <c r="S1843" s="26">
        <v>3765</v>
      </c>
      <c r="T1843" s="26" t="s">
        <v>2338</v>
      </c>
      <c r="U1843" s="17">
        <f>COUNTIFS(WTG_BD!L:L,'Basic Data'!T1843,WTG_BD!F:F,"&gt;="&amp;O2Summary!$B$6,WTG_BD!F:F,"&lt;="&amp;O2Summary!$B$4)</f>
        <v>0</v>
      </c>
      <c r="V1843" s="18">
        <f t="shared" si="35"/>
        <v>47</v>
      </c>
    </row>
    <row r="1844" spans="19:22">
      <c r="S1844" s="16">
        <v>3766</v>
      </c>
      <c r="T1844" s="16" t="s">
        <v>2339</v>
      </c>
      <c r="U1844" s="17">
        <f>COUNTIFS(WTG_BD!L:L,'Basic Data'!T1844,WTG_BD!F:F,"&gt;="&amp;O2Summary!$B$6,WTG_BD!F:F,"&lt;="&amp;O2Summary!$B$4)</f>
        <v>0</v>
      </c>
      <c r="V1844" s="18">
        <f t="shared" si="35"/>
        <v>47</v>
      </c>
    </row>
    <row r="1845" spans="19:22">
      <c r="S1845" s="26">
        <v>3767</v>
      </c>
      <c r="T1845" s="26" t="s">
        <v>2340</v>
      </c>
      <c r="U1845" s="17">
        <f>COUNTIFS(WTG_BD!L:L,'Basic Data'!T1845,WTG_BD!F:F,"&gt;="&amp;O2Summary!$B$6,WTG_BD!F:F,"&lt;="&amp;O2Summary!$B$4)</f>
        <v>0</v>
      </c>
      <c r="V1845" s="18">
        <f t="shared" si="35"/>
        <v>47</v>
      </c>
    </row>
    <row r="1846" spans="19:22">
      <c r="S1846" s="16">
        <v>3768</v>
      </c>
      <c r="T1846" s="16" t="s">
        <v>2341</v>
      </c>
      <c r="U1846" s="17">
        <f>COUNTIFS(WTG_BD!L:L,'Basic Data'!T1846,WTG_BD!F:F,"&gt;="&amp;O2Summary!$B$6,WTG_BD!F:F,"&lt;="&amp;O2Summary!$B$4)</f>
        <v>0</v>
      </c>
      <c r="V1846" s="18">
        <f t="shared" si="35"/>
        <v>47</v>
      </c>
    </row>
    <row r="1847" spans="19:22">
      <c r="S1847" s="16">
        <v>3769</v>
      </c>
      <c r="T1847" s="16" t="s">
        <v>1725</v>
      </c>
      <c r="U1847" s="17">
        <f>COUNTIFS(WTG_BD!L:L,'Basic Data'!T1847,WTG_BD!F:F,"&gt;="&amp;O2Summary!$B$6,WTG_BD!F:F,"&lt;="&amp;O2Summary!$B$4)</f>
        <v>0</v>
      </c>
      <c r="V1847" s="18">
        <f t="shared" si="35"/>
        <v>47</v>
      </c>
    </row>
    <row r="1848" spans="19:22">
      <c r="S1848" s="16">
        <v>3770</v>
      </c>
      <c r="T1848" s="16" t="s">
        <v>2342</v>
      </c>
      <c r="U1848" s="17">
        <f>COUNTIFS(WTG_BD!L:L,'Basic Data'!T1848,WTG_BD!F:F,"&gt;="&amp;O2Summary!$B$6,WTG_BD!F:F,"&lt;="&amp;O2Summary!$B$4)</f>
        <v>0</v>
      </c>
      <c r="V1848" s="18">
        <f t="shared" si="35"/>
        <v>47</v>
      </c>
    </row>
    <row r="1849" spans="19:22">
      <c r="S1849" s="16">
        <v>3771</v>
      </c>
      <c r="T1849" s="16" t="s">
        <v>2343</v>
      </c>
      <c r="U1849" s="17">
        <f>COUNTIFS(WTG_BD!L:L,'Basic Data'!T1849,WTG_BD!F:F,"&gt;="&amp;O2Summary!$B$6,WTG_BD!F:F,"&lt;="&amp;O2Summary!$B$4)</f>
        <v>0</v>
      </c>
      <c r="V1849" s="18">
        <f t="shared" si="35"/>
        <v>47</v>
      </c>
    </row>
    <row r="1850" spans="19:22">
      <c r="S1850" s="16">
        <v>3772</v>
      </c>
      <c r="T1850" s="16" t="s">
        <v>2344</v>
      </c>
      <c r="U1850" s="17">
        <f>COUNTIFS(WTG_BD!L:L,'Basic Data'!T1850,WTG_BD!F:F,"&gt;="&amp;O2Summary!$B$6,WTG_BD!F:F,"&lt;="&amp;O2Summary!$B$4)</f>
        <v>0</v>
      </c>
      <c r="V1850" s="18">
        <f t="shared" si="35"/>
        <v>47</v>
      </c>
    </row>
    <row r="1851" spans="19:22">
      <c r="S1851" s="16">
        <v>3773</v>
      </c>
      <c r="T1851" s="16" t="s">
        <v>2345</v>
      </c>
      <c r="U1851" s="17">
        <f>COUNTIFS(WTG_BD!L:L,'Basic Data'!T1851,WTG_BD!F:F,"&gt;="&amp;O2Summary!$B$6,WTG_BD!F:F,"&lt;="&amp;O2Summary!$B$4)</f>
        <v>0</v>
      </c>
      <c r="V1851" s="18">
        <f t="shared" si="35"/>
        <v>47</v>
      </c>
    </row>
    <row r="1852" spans="19:22">
      <c r="S1852" s="16">
        <v>3774</v>
      </c>
      <c r="T1852" s="16" t="s">
        <v>2346</v>
      </c>
      <c r="U1852" s="17">
        <f>COUNTIFS(WTG_BD!L:L,'Basic Data'!T1852,WTG_BD!F:F,"&gt;="&amp;O2Summary!$B$6,WTG_BD!F:F,"&lt;="&amp;O2Summary!$B$4)</f>
        <v>0</v>
      </c>
      <c r="V1852" s="18">
        <f t="shared" si="35"/>
        <v>47</v>
      </c>
    </row>
    <row r="1853" spans="19:22">
      <c r="S1853" s="16">
        <v>3775</v>
      </c>
      <c r="T1853" s="16" t="s">
        <v>2347</v>
      </c>
      <c r="U1853" s="17">
        <f>COUNTIFS(WTG_BD!L:L,'Basic Data'!T1853,WTG_BD!F:F,"&gt;="&amp;O2Summary!$B$6,WTG_BD!F:F,"&lt;="&amp;O2Summary!$B$4)</f>
        <v>0</v>
      </c>
      <c r="V1853" s="18">
        <f t="shared" si="35"/>
        <v>47</v>
      </c>
    </row>
    <row r="1854" spans="19:22">
      <c r="S1854" s="16">
        <v>3776</v>
      </c>
      <c r="T1854" s="16" t="s">
        <v>2348</v>
      </c>
      <c r="U1854" s="17">
        <f>COUNTIFS(WTG_BD!L:L,'Basic Data'!T1854,WTG_BD!F:F,"&gt;="&amp;O2Summary!$B$6,WTG_BD!F:F,"&lt;="&amp;O2Summary!$B$4)</f>
        <v>0</v>
      </c>
      <c r="V1854" s="18">
        <f t="shared" si="35"/>
        <v>47</v>
      </c>
    </row>
    <row r="1855" spans="19:22">
      <c r="S1855" s="16">
        <v>3777</v>
      </c>
      <c r="T1855" s="16" t="s">
        <v>2349</v>
      </c>
      <c r="U1855" s="17">
        <f>COUNTIFS(WTG_BD!L:L,'Basic Data'!T1855,WTG_BD!F:F,"&gt;="&amp;O2Summary!$B$6,WTG_BD!F:F,"&lt;="&amp;O2Summary!$B$4)</f>
        <v>0</v>
      </c>
      <c r="V1855" s="18">
        <f t="shared" si="35"/>
        <v>47</v>
      </c>
    </row>
    <row r="1856" spans="19:22">
      <c r="S1856" s="16">
        <v>3778</v>
      </c>
      <c r="T1856" s="16" t="s">
        <v>2350</v>
      </c>
      <c r="U1856" s="17">
        <f>COUNTIFS(WTG_BD!L:L,'Basic Data'!T1856,WTG_BD!F:F,"&gt;="&amp;O2Summary!$B$6,WTG_BD!F:F,"&lt;="&amp;O2Summary!$B$4)</f>
        <v>0</v>
      </c>
      <c r="V1856" s="18">
        <f t="shared" si="35"/>
        <v>47</v>
      </c>
    </row>
    <row r="1857" spans="19:22">
      <c r="S1857" s="16">
        <v>3779</v>
      </c>
      <c r="T1857" s="16" t="s">
        <v>2351</v>
      </c>
      <c r="U1857" s="17">
        <f>COUNTIFS(WTG_BD!L:L,'Basic Data'!T1857,WTG_BD!F:F,"&gt;="&amp;O2Summary!$B$6,WTG_BD!F:F,"&lt;="&amp;O2Summary!$B$4)</f>
        <v>0</v>
      </c>
      <c r="V1857" s="18">
        <f t="shared" si="35"/>
        <v>47</v>
      </c>
    </row>
    <row r="1858" spans="19:22">
      <c r="S1858" s="26">
        <v>3780</v>
      </c>
      <c r="T1858" s="26" t="s">
        <v>2352</v>
      </c>
      <c r="U1858" s="17">
        <f>COUNTIFS(WTG_BD!L:L,'Basic Data'!T1858,WTG_BD!F:F,"&gt;="&amp;O2Summary!$B$6,WTG_BD!F:F,"&lt;="&amp;O2Summary!$B$4)</f>
        <v>0</v>
      </c>
      <c r="V1858" s="18">
        <f t="shared" si="35"/>
        <v>47</v>
      </c>
    </row>
    <row r="1859" spans="19:22">
      <c r="S1859" s="26">
        <v>3781</v>
      </c>
      <c r="T1859" s="26" t="s">
        <v>2353</v>
      </c>
      <c r="U1859" s="17">
        <f>COUNTIFS(WTG_BD!L:L,'Basic Data'!T1859,WTG_BD!F:F,"&gt;="&amp;O2Summary!$B$6,WTG_BD!F:F,"&lt;="&amp;O2Summary!$B$4)</f>
        <v>0</v>
      </c>
      <c r="V1859" s="18">
        <f t="shared" ref="V1859:V1922" si="36">RANK(U1859,$U$2:$U$3975)</f>
        <v>47</v>
      </c>
    </row>
    <row r="1860" spans="19:22">
      <c r="S1860" s="26">
        <v>3782</v>
      </c>
      <c r="T1860" s="26" t="s">
        <v>2354</v>
      </c>
      <c r="U1860" s="17">
        <f>COUNTIFS(WTG_BD!L:L,'Basic Data'!T1860,WTG_BD!F:F,"&gt;="&amp;O2Summary!$B$6,WTG_BD!F:F,"&lt;="&amp;O2Summary!$B$4)</f>
        <v>0</v>
      </c>
      <c r="V1860" s="18">
        <f t="shared" si="36"/>
        <v>47</v>
      </c>
    </row>
    <row r="1861" spans="19:22">
      <c r="S1861" s="26">
        <v>3783</v>
      </c>
      <c r="T1861" s="26" t="s">
        <v>2355</v>
      </c>
      <c r="U1861" s="17">
        <f>COUNTIFS(WTG_BD!L:L,'Basic Data'!T1861,WTG_BD!F:F,"&gt;="&amp;O2Summary!$B$6,WTG_BD!F:F,"&lt;="&amp;O2Summary!$B$4)</f>
        <v>0</v>
      </c>
      <c r="V1861" s="18">
        <f t="shared" si="36"/>
        <v>47</v>
      </c>
    </row>
    <row r="1862" spans="19:22">
      <c r="S1862" s="26">
        <v>3784</v>
      </c>
      <c r="T1862" s="26" t="s">
        <v>2356</v>
      </c>
      <c r="U1862" s="17">
        <f>COUNTIFS(WTG_BD!L:L,'Basic Data'!T1862,WTG_BD!F:F,"&gt;="&amp;O2Summary!$B$6,WTG_BD!F:F,"&lt;="&amp;O2Summary!$B$4)</f>
        <v>0</v>
      </c>
      <c r="V1862" s="18">
        <f t="shared" si="36"/>
        <v>47</v>
      </c>
    </row>
    <row r="1863" spans="19:22">
      <c r="S1863" s="26">
        <v>3785</v>
      </c>
      <c r="T1863" s="26" t="s">
        <v>2357</v>
      </c>
      <c r="U1863" s="17">
        <f>COUNTIFS(WTG_BD!L:L,'Basic Data'!T1863,WTG_BD!F:F,"&gt;="&amp;O2Summary!$B$6,WTG_BD!F:F,"&lt;="&amp;O2Summary!$B$4)</f>
        <v>0</v>
      </c>
      <c r="V1863" s="18">
        <f t="shared" si="36"/>
        <v>47</v>
      </c>
    </row>
    <row r="1864" spans="19:22">
      <c r="S1864" s="16">
        <v>3786</v>
      </c>
      <c r="T1864" s="16" t="s">
        <v>2358</v>
      </c>
      <c r="U1864" s="17">
        <f>COUNTIFS(WTG_BD!L:L,'Basic Data'!T1864,WTG_BD!F:F,"&gt;="&amp;O2Summary!$B$6,WTG_BD!F:F,"&lt;="&amp;O2Summary!$B$4)</f>
        <v>0</v>
      </c>
      <c r="V1864" s="18">
        <f t="shared" si="36"/>
        <v>47</v>
      </c>
    </row>
    <row r="1865" spans="19:22">
      <c r="S1865" s="16">
        <v>3787</v>
      </c>
      <c r="T1865" s="16" t="s">
        <v>2359</v>
      </c>
      <c r="U1865" s="17">
        <f>COUNTIFS(WTG_BD!L:L,'Basic Data'!T1865,WTG_BD!F:F,"&gt;="&amp;O2Summary!$B$6,WTG_BD!F:F,"&lt;="&amp;O2Summary!$B$4)</f>
        <v>0</v>
      </c>
      <c r="V1865" s="18">
        <f t="shared" si="36"/>
        <v>47</v>
      </c>
    </row>
    <row r="1866" spans="19:22">
      <c r="S1866" s="16">
        <v>3788</v>
      </c>
      <c r="T1866" s="16" t="s">
        <v>2360</v>
      </c>
      <c r="U1866" s="17">
        <f>COUNTIFS(WTG_BD!L:L,'Basic Data'!T1866,WTG_BD!F:F,"&gt;="&amp;O2Summary!$B$6,WTG_BD!F:F,"&lt;="&amp;O2Summary!$B$4)</f>
        <v>0</v>
      </c>
      <c r="V1866" s="18">
        <f t="shared" si="36"/>
        <v>47</v>
      </c>
    </row>
    <row r="1867" spans="19:22">
      <c r="S1867" s="16">
        <v>3789</v>
      </c>
      <c r="T1867" s="16" t="s">
        <v>2361</v>
      </c>
      <c r="U1867" s="17">
        <f>COUNTIFS(WTG_BD!L:L,'Basic Data'!T1867,WTG_BD!F:F,"&gt;="&amp;O2Summary!$B$6,WTG_BD!F:F,"&lt;="&amp;O2Summary!$B$4)</f>
        <v>0</v>
      </c>
      <c r="V1867" s="18">
        <f t="shared" si="36"/>
        <v>47</v>
      </c>
    </row>
    <row r="1868" spans="19:22">
      <c r="S1868" s="16">
        <v>3790</v>
      </c>
      <c r="T1868" s="16" t="s">
        <v>2362</v>
      </c>
      <c r="U1868" s="17">
        <f>COUNTIFS(WTG_BD!L:L,'Basic Data'!T1868,WTG_BD!F:F,"&gt;="&amp;O2Summary!$B$6,WTG_BD!F:F,"&lt;="&amp;O2Summary!$B$4)</f>
        <v>0</v>
      </c>
      <c r="V1868" s="18">
        <f t="shared" si="36"/>
        <v>47</v>
      </c>
    </row>
    <row r="1869" spans="19:22">
      <c r="S1869" s="16">
        <v>3791</v>
      </c>
      <c r="T1869" s="16" t="s">
        <v>2363</v>
      </c>
      <c r="U1869" s="17">
        <f>COUNTIFS(WTG_BD!L:L,'Basic Data'!T1869,WTG_BD!F:F,"&gt;="&amp;O2Summary!$B$6,WTG_BD!F:F,"&lt;="&amp;O2Summary!$B$4)</f>
        <v>0</v>
      </c>
      <c r="V1869" s="18">
        <f t="shared" si="36"/>
        <v>47</v>
      </c>
    </row>
    <row r="1870" spans="19:22">
      <c r="S1870" s="16">
        <v>3792</v>
      </c>
      <c r="T1870" s="16" t="s">
        <v>2364</v>
      </c>
      <c r="U1870" s="17">
        <f>COUNTIFS(WTG_BD!L:L,'Basic Data'!T1870,WTG_BD!F:F,"&gt;="&amp;O2Summary!$B$6,WTG_BD!F:F,"&lt;="&amp;O2Summary!$B$4)</f>
        <v>0</v>
      </c>
      <c r="V1870" s="18">
        <f t="shared" si="36"/>
        <v>47</v>
      </c>
    </row>
    <row r="1871" spans="19:22">
      <c r="S1871" s="16">
        <v>3793</v>
      </c>
      <c r="T1871" s="16" t="s">
        <v>2365</v>
      </c>
      <c r="U1871" s="17">
        <f>COUNTIFS(WTG_BD!L:L,'Basic Data'!T1871,WTG_BD!F:F,"&gt;="&amp;O2Summary!$B$6,WTG_BD!F:F,"&lt;="&amp;O2Summary!$B$4)</f>
        <v>0</v>
      </c>
      <c r="V1871" s="18">
        <f t="shared" si="36"/>
        <v>47</v>
      </c>
    </row>
    <row r="1872" spans="19:22">
      <c r="S1872" s="16">
        <v>3794</v>
      </c>
      <c r="T1872" s="16" t="s">
        <v>2366</v>
      </c>
      <c r="U1872" s="17">
        <f>COUNTIFS(WTG_BD!L:L,'Basic Data'!T1872,WTG_BD!F:F,"&gt;="&amp;O2Summary!$B$6,WTG_BD!F:F,"&lt;="&amp;O2Summary!$B$4)</f>
        <v>0</v>
      </c>
      <c r="V1872" s="18">
        <f t="shared" si="36"/>
        <v>47</v>
      </c>
    </row>
    <row r="1873" spans="19:22">
      <c r="S1873" s="16">
        <v>3795</v>
      </c>
      <c r="T1873" s="16" t="s">
        <v>2367</v>
      </c>
      <c r="U1873" s="17">
        <f>COUNTIFS(WTG_BD!L:L,'Basic Data'!T1873,WTG_BD!F:F,"&gt;="&amp;O2Summary!$B$6,WTG_BD!F:F,"&lt;="&amp;O2Summary!$B$4)</f>
        <v>0</v>
      </c>
      <c r="V1873" s="18">
        <f t="shared" si="36"/>
        <v>47</v>
      </c>
    </row>
    <row r="1874" spans="19:22">
      <c r="S1874" s="16">
        <v>3796</v>
      </c>
      <c r="T1874" s="16" t="s">
        <v>2368</v>
      </c>
      <c r="U1874" s="17">
        <f>COUNTIFS(WTG_BD!L:L,'Basic Data'!T1874,WTG_BD!F:F,"&gt;="&amp;O2Summary!$B$6,WTG_BD!F:F,"&lt;="&amp;O2Summary!$B$4)</f>
        <v>0</v>
      </c>
      <c r="V1874" s="18">
        <f t="shared" si="36"/>
        <v>47</v>
      </c>
    </row>
    <row r="1875" spans="19:22">
      <c r="S1875" s="16">
        <v>3797</v>
      </c>
      <c r="T1875" s="16" t="s">
        <v>2369</v>
      </c>
      <c r="U1875" s="17">
        <f>COUNTIFS(WTG_BD!L:L,'Basic Data'!T1875,WTG_BD!F:F,"&gt;="&amp;O2Summary!$B$6,WTG_BD!F:F,"&lt;="&amp;O2Summary!$B$4)</f>
        <v>0</v>
      </c>
      <c r="V1875" s="18">
        <f t="shared" si="36"/>
        <v>47</v>
      </c>
    </row>
    <row r="1876" spans="19:22">
      <c r="S1876" s="16">
        <v>3798</v>
      </c>
      <c r="T1876" s="16" t="s">
        <v>2370</v>
      </c>
      <c r="U1876" s="17">
        <f>COUNTIFS(WTG_BD!L:L,'Basic Data'!T1876,WTG_BD!F:F,"&gt;="&amp;O2Summary!$B$6,WTG_BD!F:F,"&lt;="&amp;O2Summary!$B$4)</f>
        <v>0</v>
      </c>
      <c r="V1876" s="18">
        <f t="shared" si="36"/>
        <v>47</v>
      </c>
    </row>
    <row r="1877" spans="19:22">
      <c r="S1877" s="16">
        <v>3799</v>
      </c>
      <c r="T1877" s="16" t="s">
        <v>2371</v>
      </c>
      <c r="U1877" s="17">
        <f>COUNTIFS(WTG_BD!L:L,'Basic Data'!T1877,WTG_BD!F:F,"&gt;="&amp;O2Summary!$B$6,WTG_BD!F:F,"&lt;="&amp;O2Summary!$B$4)</f>
        <v>0</v>
      </c>
      <c r="V1877" s="18">
        <f t="shared" si="36"/>
        <v>47</v>
      </c>
    </row>
    <row r="1878" spans="19:22">
      <c r="S1878" s="16">
        <v>3800</v>
      </c>
      <c r="T1878" s="16" t="s">
        <v>2372</v>
      </c>
      <c r="U1878" s="17">
        <f>COUNTIFS(WTG_BD!L:L,'Basic Data'!T1878,WTG_BD!F:F,"&gt;="&amp;O2Summary!$B$6,WTG_BD!F:F,"&lt;="&amp;O2Summary!$B$4)</f>
        <v>0</v>
      </c>
      <c r="V1878" s="18">
        <f t="shared" si="36"/>
        <v>47</v>
      </c>
    </row>
    <row r="1879" spans="19:22">
      <c r="S1879" s="16">
        <v>3801</v>
      </c>
      <c r="T1879" s="16" t="s">
        <v>2373</v>
      </c>
      <c r="U1879" s="17">
        <f>COUNTIFS(WTG_BD!L:L,'Basic Data'!T1879,WTG_BD!F:F,"&gt;="&amp;O2Summary!$B$6,WTG_BD!F:F,"&lt;="&amp;O2Summary!$B$4)</f>
        <v>0</v>
      </c>
      <c r="V1879" s="18">
        <f t="shared" si="36"/>
        <v>47</v>
      </c>
    </row>
    <row r="1880" spans="19:22">
      <c r="S1880" s="16">
        <v>3802</v>
      </c>
      <c r="T1880" s="16" t="s">
        <v>2374</v>
      </c>
      <c r="U1880" s="17">
        <f>COUNTIFS(WTG_BD!L:L,'Basic Data'!T1880,WTG_BD!F:F,"&gt;="&amp;O2Summary!$B$6,WTG_BD!F:F,"&lt;="&amp;O2Summary!$B$4)</f>
        <v>0</v>
      </c>
      <c r="V1880" s="18">
        <f t="shared" si="36"/>
        <v>47</v>
      </c>
    </row>
    <row r="1881" spans="19:22">
      <c r="S1881" s="16">
        <v>3803</v>
      </c>
      <c r="T1881" s="16" t="s">
        <v>2375</v>
      </c>
      <c r="U1881" s="17">
        <f>COUNTIFS(WTG_BD!L:L,'Basic Data'!T1881,WTG_BD!F:F,"&gt;="&amp;O2Summary!$B$6,WTG_BD!F:F,"&lt;="&amp;O2Summary!$B$4)</f>
        <v>0</v>
      </c>
      <c r="V1881" s="18">
        <f t="shared" si="36"/>
        <v>47</v>
      </c>
    </row>
    <row r="1882" spans="19:22">
      <c r="S1882" s="16">
        <v>3804</v>
      </c>
      <c r="T1882" s="16" t="s">
        <v>2376</v>
      </c>
      <c r="U1882" s="17">
        <f>COUNTIFS(WTG_BD!L:L,'Basic Data'!T1882,WTG_BD!F:F,"&gt;="&amp;O2Summary!$B$6,WTG_BD!F:F,"&lt;="&amp;O2Summary!$B$4)</f>
        <v>0</v>
      </c>
      <c r="V1882" s="18">
        <f t="shared" si="36"/>
        <v>47</v>
      </c>
    </row>
    <row r="1883" spans="19:22">
      <c r="S1883" s="16">
        <v>3805</v>
      </c>
      <c r="T1883" s="16" t="s">
        <v>2377</v>
      </c>
      <c r="U1883" s="17">
        <f>COUNTIFS(WTG_BD!L:L,'Basic Data'!T1883,WTG_BD!F:F,"&gt;="&amp;O2Summary!$B$6,WTG_BD!F:F,"&lt;="&amp;O2Summary!$B$4)</f>
        <v>4</v>
      </c>
      <c r="V1883" s="18">
        <f t="shared" si="36"/>
        <v>17</v>
      </c>
    </row>
    <row r="1884" spans="19:22">
      <c r="S1884" s="16">
        <v>3806</v>
      </c>
      <c r="T1884" s="16" t="s">
        <v>381</v>
      </c>
      <c r="U1884" s="17">
        <f>COUNTIFS(WTG_BD!L:L,'Basic Data'!T1884,WTG_BD!F:F,"&gt;="&amp;O2Summary!$B$6,WTG_BD!F:F,"&lt;="&amp;O2Summary!$B$4)</f>
        <v>24</v>
      </c>
      <c r="V1884" s="18">
        <f t="shared" si="36"/>
        <v>7</v>
      </c>
    </row>
    <row r="1885" spans="19:22">
      <c r="S1885" s="16">
        <v>3807</v>
      </c>
      <c r="T1885" s="16" t="s">
        <v>2378</v>
      </c>
      <c r="U1885" s="17">
        <f>COUNTIFS(WTG_BD!L:L,'Basic Data'!T1885,WTG_BD!F:F,"&gt;="&amp;O2Summary!$B$6,WTG_BD!F:F,"&lt;="&amp;O2Summary!$B$4)</f>
        <v>2</v>
      </c>
      <c r="V1885" s="18">
        <f t="shared" si="36"/>
        <v>21</v>
      </c>
    </row>
    <row r="1886" spans="19:22">
      <c r="S1886" s="16">
        <v>3808</v>
      </c>
      <c r="T1886" s="16" t="s">
        <v>2379</v>
      </c>
      <c r="U1886" s="17">
        <f>COUNTIFS(WTG_BD!L:L,'Basic Data'!T1886,WTG_BD!F:F,"&gt;="&amp;O2Summary!$B$6,WTG_BD!F:F,"&lt;="&amp;O2Summary!$B$4)</f>
        <v>0</v>
      </c>
      <c r="V1886" s="18">
        <f t="shared" si="36"/>
        <v>47</v>
      </c>
    </row>
    <row r="1887" spans="19:22">
      <c r="S1887" s="16">
        <v>3809</v>
      </c>
      <c r="T1887" s="16" t="s">
        <v>2380</v>
      </c>
      <c r="U1887" s="17">
        <f>COUNTIFS(WTG_BD!L:L,'Basic Data'!T1887,WTG_BD!F:F,"&gt;="&amp;O2Summary!$B$6,WTG_BD!F:F,"&lt;="&amp;O2Summary!$B$4)</f>
        <v>0</v>
      </c>
      <c r="V1887" s="18">
        <f t="shared" si="36"/>
        <v>47</v>
      </c>
    </row>
    <row r="1888" spans="19:22">
      <c r="S1888" s="16">
        <v>3810</v>
      </c>
      <c r="T1888" s="16" t="s">
        <v>2381</v>
      </c>
      <c r="U1888" s="17">
        <f>COUNTIFS(WTG_BD!L:L,'Basic Data'!T1888,WTG_BD!F:F,"&gt;="&amp;O2Summary!$B$6,WTG_BD!F:F,"&lt;="&amp;O2Summary!$B$4)</f>
        <v>0</v>
      </c>
      <c r="V1888" s="18">
        <f t="shared" si="36"/>
        <v>47</v>
      </c>
    </row>
    <row r="1889" spans="19:22">
      <c r="S1889" s="16">
        <v>3811</v>
      </c>
      <c r="T1889" s="16" t="s">
        <v>2382</v>
      </c>
      <c r="U1889" s="17">
        <f>COUNTIFS(WTG_BD!L:L,'Basic Data'!T1889,WTG_BD!F:F,"&gt;="&amp;O2Summary!$B$6,WTG_BD!F:F,"&lt;="&amp;O2Summary!$B$4)</f>
        <v>0</v>
      </c>
      <c r="V1889" s="18">
        <f t="shared" si="36"/>
        <v>47</v>
      </c>
    </row>
    <row r="1890" spans="19:22">
      <c r="S1890" s="16">
        <v>3812</v>
      </c>
      <c r="T1890" s="16" t="s">
        <v>2382</v>
      </c>
      <c r="U1890" s="17">
        <f>COUNTIFS(WTG_BD!L:L,'Basic Data'!T1890,WTG_BD!F:F,"&gt;="&amp;O2Summary!$B$6,WTG_BD!F:F,"&lt;="&amp;O2Summary!$B$4)</f>
        <v>0</v>
      </c>
      <c r="V1890" s="18">
        <f t="shared" si="36"/>
        <v>47</v>
      </c>
    </row>
    <row r="1891" spans="19:22">
      <c r="S1891" s="16">
        <v>3813</v>
      </c>
      <c r="T1891" s="16" t="s">
        <v>2383</v>
      </c>
      <c r="U1891" s="17">
        <f>COUNTIFS(WTG_BD!L:L,'Basic Data'!T1891,WTG_BD!F:F,"&gt;="&amp;O2Summary!$B$6,WTG_BD!F:F,"&lt;="&amp;O2Summary!$B$4)</f>
        <v>0</v>
      </c>
      <c r="V1891" s="18">
        <f t="shared" si="36"/>
        <v>47</v>
      </c>
    </row>
    <row r="1892" spans="19:22">
      <c r="S1892" s="16">
        <v>3814</v>
      </c>
      <c r="T1892" s="16" t="s">
        <v>2384</v>
      </c>
      <c r="U1892" s="17">
        <f>COUNTIFS(WTG_BD!L:L,'Basic Data'!T1892,WTG_BD!F:F,"&gt;="&amp;O2Summary!$B$6,WTG_BD!F:F,"&lt;="&amp;O2Summary!$B$4)</f>
        <v>0</v>
      </c>
      <c r="V1892" s="18">
        <f t="shared" si="36"/>
        <v>47</v>
      </c>
    </row>
    <row r="1893" spans="19:22">
      <c r="S1893" s="16">
        <v>3815</v>
      </c>
      <c r="T1893" s="16" t="s">
        <v>2385</v>
      </c>
      <c r="U1893" s="17">
        <f>COUNTIFS(WTG_BD!L:L,'Basic Data'!T1893,WTG_BD!F:F,"&gt;="&amp;O2Summary!$B$6,WTG_BD!F:F,"&lt;="&amp;O2Summary!$B$4)</f>
        <v>0</v>
      </c>
      <c r="V1893" s="18">
        <f t="shared" si="36"/>
        <v>47</v>
      </c>
    </row>
    <row r="1894" spans="19:22">
      <c r="S1894" s="16">
        <v>3816</v>
      </c>
      <c r="T1894" s="16" t="s">
        <v>2383</v>
      </c>
      <c r="U1894" s="17">
        <f>COUNTIFS(WTG_BD!L:L,'Basic Data'!T1894,WTG_BD!F:F,"&gt;="&amp;O2Summary!$B$6,WTG_BD!F:F,"&lt;="&amp;O2Summary!$B$4)</f>
        <v>0</v>
      </c>
      <c r="V1894" s="18">
        <f t="shared" si="36"/>
        <v>47</v>
      </c>
    </row>
    <row r="1895" spans="19:22">
      <c r="S1895" s="16">
        <v>3817</v>
      </c>
      <c r="T1895" s="16" t="s">
        <v>2384</v>
      </c>
      <c r="U1895" s="17">
        <f>COUNTIFS(WTG_BD!L:L,'Basic Data'!T1895,WTG_BD!F:F,"&gt;="&amp;O2Summary!$B$6,WTG_BD!F:F,"&lt;="&amp;O2Summary!$B$4)</f>
        <v>0</v>
      </c>
      <c r="V1895" s="18">
        <f t="shared" si="36"/>
        <v>47</v>
      </c>
    </row>
    <row r="1896" spans="19:22">
      <c r="S1896" s="16">
        <v>3818</v>
      </c>
      <c r="T1896" s="16" t="s">
        <v>2385</v>
      </c>
      <c r="U1896" s="17">
        <f>COUNTIFS(WTG_BD!L:L,'Basic Data'!T1896,WTG_BD!F:F,"&gt;="&amp;O2Summary!$B$6,WTG_BD!F:F,"&lt;="&amp;O2Summary!$B$4)</f>
        <v>0</v>
      </c>
      <c r="V1896" s="18">
        <f t="shared" si="36"/>
        <v>47</v>
      </c>
    </row>
    <row r="1897" spans="19:22">
      <c r="S1897" s="16">
        <v>3819</v>
      </c>
      <c r="T1897" s="16" t="s">
        <v>2386</v>
      </c>
      <c r="U1897" s="17">
        <f>COUNTIFS(WTG_BD!L:L,'Basic Data'!T1897,WTG_BD!F:F,"&gt;="&amp;O2Summary!$B$6,WTG_BD!F:F,"&lt;="&amp;O2Summary!$B$4)</f>
        <v>0</v>
      </c>
      <c r="V1897" s="18">
        <f t="shared" si="36"/>
        <v>47</v>
      </c>
    </row>
    <row r="1898" spans="19:22">
      <c r="S1898" s="16">
        <v>3820</v>
      </c>
      <c r="T1898" s="16" t="s">
        <v>2387</v>
      </c>
      <c r="U1898" s="17">
        <f>COUNTIFS(WTG_BD!L:L,'Basic Data'!T1898,WTG_BD!F:F,"&gt;="&amp;O2Summary!$B$6,WTG_BD!F:F,"&lt;="&amp;O2Summary!$B$4)</f>
        <v>0</v>
      </c>
      <c r="V1898" s="18">
        <f t="shared" si="36"/>
        <v>47</v>
      </c>
    </row>
    <row r="1899" spans="19:22">
      <c r="S1899" s="16">
        <v>3821</v>
      </c>
      <c r="T1899" s="16" t="s">
        <v>2381</v>
      </c>
      <c r="U1899" s="17">
        <f>COUNTIFS(WTG_BD!L:L,'Basic Data'!T1899,WTG_BD!F:F,"&gt;="&amp;O2Summary!$B$6,WTG_BD!F:F,"&lt;="&amp;O2Summary!$B$4)</f>
        <v>0</v>
      </c>
      <c r="V1899" s="18">
        <f t="shared" si="36"/>
        <v>47</v>
      </c>
    </row>
    <row r="1900" spans="19:22">
      <c r="S1900" s="16">
        <v>3822</v>
      </c>
      <c r="T1900" s="16" t="s">
        <v>2381</v>
      </c>
      <c r="U1900" s="17">
        <f>COUNTIFS(WTG_BD!L:L,'Basic Data'!T1900,WTG_BD!F:F,"&gt;="&amp;O2Summary!$B$6,WTG_BD!F:F,"&lt;="&amp;O2Summary!$B$4)</f>
        <v>0</v>
      </c>
      <c r="V1900" s="18">
        <f t="shared" si="36"/>
        <v>47</v>
      </c>
    </row>
    <row r="1901" spans="19:22">
      <c r="S1901" s="16">
        <v>3823</v>
      </c>
      <c r="T1901" s="16" t="s">
        <v>2388</v>
      </c>
      <c r="U1901" s="17">
        <f>COUNTIFS(WTG_BD!L:L,'Basic Data'!T1901,WTG_BD!F:F,"&gt;="&amp;O2Summary!$B$6,WTG_BD!F:F,"&lt;="&amp;O2Summary!$B$4)</f>
        <v>0</v>
      </c>
      <c r="V1901" s="18">
        <f t="shared" si="36"/>
        <v>47</v>
      </c>
    </row>
    <row r="1902" spans="19:22">
      <c r="S1902" s="16">
        <v>3824</v>
      </c>
      <c r="T1902" s="16" t="s">
        <v>2389</v>
      </c>
      <c r="U1902" s="17">
        <f>COUNTIFS(WTG_BD!L:L,'Basic Data'!T1902,WTG_BD!F:F,"&gt;="&amp;O2Summary!$B$6,WTG_BD!F:F,"&lt;="&amp;O2Summary!$B$4)</f>
        <v>0</v>
      </c>
      <c r="V1902" s="18">
        <f t="shared" si="36"/>
        <v>47</v>
      </c>
    </row>
    <row r="1903" spans="19:22">
      <c r="S1903" s="16">
        <v>3825</v>
      </c>
      <c r="T1903" s="16" t="s">
        <v>2390</v>
      </c>
      <c r="U1903" s="17">
        <f>COUNTIFS(WTG_BD!L:L,'Basic Data'!T1903,WTG_BD!F:F,"&gt;="&amp;O2Summary!$B$6,WTG_BD!F:F,"&lt;="&amp;O2Summary!$B$4)</f>
        <v>0</v>
      </c>
      <c r="V1903" s="18">
        <f t="shared" si="36"/>
        <v>47</v>
      </c>
    </row>
    <row r="1904" spans="19:22">
      <c r="S1904" s="16">
        <v>3828</v>
      </c>
      <c r="T1904" s="16" t="s">
        <v>2391</v>
      </c>
      <c r="U1904" s="17">
        <f>COUNTIFS(WTG_BD!L:L,'Basic Data'!T1904,WTG_BD!F:F,"&gt;="&amp;O2Summary!$B$6,WTG_BD!F:F,"&lt;="&amp;O2Summary!$B$4)</f>
        <v>0</v>
      </c>
      <c r="V1904" s="18">
        <f t="shared" si="36"/>
        <v>47</v>
      </c>
    </row>
    <row r="1905" spans="19:22">
      <c r="S1905" s="16">
        <v>3833</v>
      </c>
      <c r="T1905" s="16" t="s">
        <v>2392</v>
      </c>
      <c r="U1905" s="17">
        <f>COUNTIFS(WTG_BD!L:L,'Basic Data'!T1905,WTG_BD!F:F,"&gt;="&amp;O2Summary!$B$6,WTG_BD!F:F,"&lt;="&amp;O2Summary!$B$4)</f>
        <v>0</v>
      </c>
      <c r="V1905" s="18">
        <f t="shared" si="36"/>
        <v>47</v>
      </c>
    </row>
    <row r="1906" spans="19:22">
      <c r="S1906" s="16">
        <v>3834</v>
      </c>
      <c r="T1906" s="16" t="s">
        <v>2393</v>
      </c>
      <c r="U1906" s="17">
        <f>COUNTIFS(WTG_BD!L:L,'Basic Data'!T1906,WTG_BD!F:F,"&gt;="&amp;O2Summary!$B$6,WTG_BD!F:F,"&lt;="&amp;O2Summary!$B$4)</f>
        <v>0</v>
      </c>
      <c r="V1906" s="18">
        <f t="shared" si="36"/>
        <v>47</v>
      </c>
    </row>
    <row r="1907" spans="19:22">
      <c r="S1907" s="16">
        <v>3835</v>
      </c>
      <c r="T1907" s="16" t="s">
        <v>2394</v>
      </c>
      <c r="U1907" s="17">
        <f>COUNTIFS(WTG_BD!L:L,'Basic Data'!T1907,WTG_BD!F:F,"&gt;="&amp;O2Summary!$B$6,WTG_BD!F:F,"&lt;="&amp;O2Summary!$B$4)</f>
        <v>0</v>
      </c>
      <c r="V1907" s="18">
        <f t="shared" si="36"/>
        <v>47</v>
      </c>
    </row>
    <row r="1908" spans="19:22">
      <c r="S1908" s="16">
        <v>3836</v>
      </c>
      <c r="T1908" s="16" t="s">
        <v>2395</v>
      </c>
      <c r="U1908" s="17">
        <f>COUNTIFS(WTG_BD!L:L,'Basic Data'!T1908,WTG_BD!F:F,"&gt;="&amp;O2Summary!$B$6,WTG_BD!F:F,"&lt;="&amp;O2Summary!$B$4)</f>
        <v>0</v>
      </c>
      <c r="V1908" s="18">
        <f t="shared" si="36"/>
        <v>47</v>
      </c>
    </row>
    <row r="1909" spans="19:22">
      <c r="S1909" s="16">
        <v>3837</v>
      </c>
      <c r="T1909" s="16" t="s">
        <v>2396</v>
      </c>
      <c r="U1909" s="17">
        <f>COUNTIFS(WTG_BD!L:L,'Basic Data'!T1909,WTG_BD!F:F,"&gt;="&amp;O2Summary!$B$6,WTG_BD!F:F,"&lt;="&amp;O2Summary!$B$4)</f>
        <v>0</v>
      </c>
      <c r="V1909" s="18">
        <f t="shared" si="36"/>
        <v>47</v>
      </c>
    </row>
    <row r="1910" spans="19:22">
      <c r="S1910" s="16">
        <v>3838</v>
      </c>
      <c r="T1910" s="16" t="s">
        <v>2397</v>
      </c>
      <c r="U1910" s="17">
        <f>COUNTIFS(WTG_BD!L:L,'Basic Data'!T1910,WTG_BD!F:F,"&gt;="&amp;O2Summary!$B$6,WTG_BD!F:F,"&lt;="&amp;O2Summary!$B$4)</f>
        <v>0</v>
      </c>
      <c r="V1910" s="18">
        <f t="shared" si="36"/>
        <v>47</v>
      </c>
    </row>
    <row r="1911" spans="19:22">
      <c r="S1911" s="16">
        <v>3839</v>
      </c>
      <c r="T1911" s="16" t="s">
        <v>2398</v>
      </c>
      <c r="U1911" s="17">
        <f>COUNTIFS(WTG_BD!L:L,'Basic Data'!T1911,WTG_BD!F:F,"&gt;="&amp;O2Summary!$B$6,WTG_BD!F:F,"&lt;="&amp;O2Summary!$B$4)</f>
        <v>0</v>
      </c>
      <c r="V1911" s="18">
        <f t="shared" si="36"/>
        <v>47</v>
      </c>
    </row>
    <row r="1912" spans="19:22">
      <c r="S1912" s="16">
        <v>3840</v>
      </c>
      <c r="T1912" s="16" t="s">
        <v>2399</v>
      </c>
      <c r="U1912" s="17">
        <f>COUNTIFS(WTG_BD!L:L,'Basic Data'!T1912,WTG_BD!F:F,"&gt;="&amp;O2Summary!$B$6,WTG_BD!F:F,"&lt;="&amp;O2Summary!$B$4)</f>
        <v>0</v>
      </c>
      <c r="V1912" s="18">
        <f t="shared" si="36"/>
        <v>47</v>
      </c>
    </row>
    <row r="1913" spans="19:22">
      <c r="S1913" s="16">
        <v>3841</v>
      </c>
      <c r="T1913" s="16" t="s">
        <v>2400</v>
      </c>
      <c r="U1913" s="17">
        <f>COUNTIFS(WTG_BD!L:L,'Basic Data'!T1913,WTG_BD!F:F,"&gt;="&amp;O2Summary!$B$6,WTG_BD!F:F,"&lt;="&amp;O2Summary!$B$4)</f>
        <v>0</v>
      </c>
      <c r="V1913" s="18">
        <f t="shared" si="36"/>
        <v>47</v>
      </c>
    </row>
    <row r="1914" spans="19:22">
      <c r="S1914" s="16">
        <v>3842</v>
      </c>
      <c r="T1914" s="16" t="s">
        <v>2401</v>
      </c>
      <c r="U1914" s="17">
        <f>COUNTIFS(WTG_BD!L:L,'Basic Data'!T1914,WTG_BD!F:F,"&gt;="&amp;O2Summary!$B$6,WTG_BD!F:F,"&lt;="&amp;O2Summary!$B$4)</f>
        <v>0</v>
      </c>
      <c r="V1914" s="18">
        <f t="shared" si="36"/>
        <v>47</v>
      </c>
    </row>
    <row r="1915" spans="19:22">
      <c r="S1915" s="16">
        <v>3843</v>
      </c>
      <c r="T1915" s="16" t="s">
        <v>2402</v>
      </c>
      <c r="U1915" s="17">
        <f>COUNTIFS(WTG_BD!L:L,'Basic Data'!T1915,WTG_BD!F:F,"&gt;="&amp;O2Summary!$B$6,WTG_BD!F:F,"&lt;="&amp;O2Summary!$B$4)</f>
        <v>0</v>
      </c>
      <c r="V1915" s="18">
        <f t="shared" si="36"/>
        <v>47</v>
      </c>
    </row>
    <row r="1916" spans="19:22">
      <c r="S1916" s="16">
        <v>3844</v>
      </c>
      <c r="T1916" s="16" t="s">
        <v>2403</v>
      </c>
      <c r="U1916" s="17">
        <f>COUNTIFS(WTG_BD!L:L,'Basic Data'!T1916,WTG_BD!F:F,"&gt;="&amp;O2Summary!$B$6,WTG_BD!F:F,"&lt;="&amp;O2Summary!$B$4)</f>
        <v>0</v>
      </c>
      <c r="V1916" s="18">
        <f t="shared" si="36"/>
        <v>47</v>
      </c>
    </row>
    <row r="1917" spans="19:22">
      <c r="S1917" s="16">
        <v>3845</v>
      </c>
      <c r="T1917" s="16" t="s">
        <v>2404</v>
      </c>
      <c r="U1917" s="17">
        <f>COUNTIFS(WTG_BD!L:L,'Basic Data'!T1917,WTG_BD!F:F,"&gt;="&amp;O2Summary!$B$6,WTG_BD!F:F,"&lt;="&amp;O2Summary!$B$4)</f>
        <v>0</v>
      </c>
      <c r="V1917" s="18">
        <f t="shared" si="36"/>
        <v>47</v>
      </c>
    </row>
    <row r="1918" spans="19:22">
      <c r="S1918" s="16">
        <v>3846</v>
      </c>
      <c r="T1918" s="16" t="s">
        <v>2405</v>
      </c>
      <c r="U1918" s="17">
        <f>COUNTIFS(WTG_BD!L:L,'Basic Data'!T1918,WTG_BD!F:F,"&gt;="&amp;O2Summary!$B$6,WTG_BD!F:F,"&lt;="&amp;O2Summary!$B$4)</f>
        <v>0</v>
      </c>
      <c r="V1918" s="18">
        <f t="shared" si="36"/>
        <v>47</v>
      </c>
    </row>
    <row r="1919" spans="19:22">
      <c r="S1919" s="16">
        <v>3847</v>
      </c>
      <c r="T1919" s="16" t="s">
        <v>2406</v>
      </c>
      <c r="U1919" s="17">
        <f>COUNTIFS(WTG_BD!L:L,'Basic Data'!T1919,WTG_BD!F:F,"&gt;="&amp;O2Summary!$B$6,WTG_BD!F:F,"&lt;="&amp;O2Summary!$B$4)</f>
        <v>0</v>
      </c>
      <c r="V1919" s="18">
        <f t="shared" si="36"/>
        <v>47</v>
      </c>
    </row>
    <row r="1920" spans="19:22">
      <c r="S1920" s="26">
        <v>3848</v>
      </c>
      <c r="T1920" s="26" t="s">
        <v>311</v>
      </c>
      <c r="U1920" s="17">
        <f>COUNTIFS(WTG_BD!L:L,'Basic Data'!T1920,WTG_BD!F:F,"&gt;="&amp;O2Summary!$B$6,WTG_BD!F:F,"&lt;="&amp;O2Summary!$B$4)</f>
        <v>0</v>
      </c>
      <c r="V1920" s="18">
        <f t="shared" si="36"/>
        <v>47</v>
      </c>
    </row>
    <row r="1921" spans="19:22">
      <c r="S1921" s="26">
        <v>3849</v>
      </c>
      <c r="T1921" s="26" t="s">
        <v>2407</v>
      </c>
      <c r="U1921" s="17">
        <f>COUNTIFS(WTG_BD!L:L,'Basic Data'!T1921,WTG_BD!F:F,"&gt;="&amp;O2Summary!$B$6,WTG_BD!F:F,"&lt;="&amp;O2Summary!$B$4)</f>
        <v>0</v>
      </c>
      <c r="V1921" s="18">
        <f t="shared" si="36"/>
        <v>47</v>
      </c>
    </row>
    <row r="1922" spans="19:22">
      <c r="S1922" s="26">
        <v>3850</v>
      </c>
      <c r="T1922" s="26" t="s">
        <v>2408</v>
      </c>
      <c r="U1922" s="17">
        <f>COUNTIFS(WTG_BD!L:L,'Basic Data'!T1922,WTG_BD!F:F,"&gt;="&amp;O2Summary!$B$6,WTG_BD!F:F,"&lt;="&amp;O2Summary!$B$4)</f>
        <v>0</v>
      </c>
      <c r="V1922" s="18">
        <f t="shared" si="36"/>
        <v>47</v>
      </c>
    </row>
    <row r="1923" spans="19:22">
      <c r="S1923" s="16">
        <v>3851</v>
      </c>
      <c r="T1923" s="16" t="s">
        <v>2409</v>
      </c>
      <c r="U1923" s="17">
        <f>COUNTIFS(WTG_BD!L:L,'Basic Data'!T1923,WTG_BD!F:F,"&gt;="&amp;O2Summary!$B$6,WTG_BD!F:F,"&lt;="&amp;O2Summary!$B$4)</f>
        <v>0</v>
      </c>
      <c r="V1923" s="18">
        <f t="shared" ref="V1923:V1986" si="37">RANK(U1923,$U$2:$U$3975)</f>
        <v>47</v>
      </c>
    </row>
    <row r="1924" spans="19:22">
      <c r="S1924" s="16">
        <v>3852</v>
      </c>
      <c r="T1924" s="16" t="s">
        <v>2410</v>
      </c>
      <c r="U1924" s="17">
        <f>COUNTIFS(WTG_BD!L:L,'Basic Data'!T1924,WTG_BD!F:F,"&gt;="&amp;O2Summary!$B$6,WTG_BD!F:F,"&lt;="&amp;O2Summary!$B$4)</f>
        <v>0</v>
      </c>
      <c r="V1924" s="18">
        <f t="shared" si="37"/>
        <v>47</v>
      </c>
    </row>
    <row r="1925" spans="19:22">
      <c r="S1925" s="16">
        <v>3853</v>
      </c>
      <c r="T1925" s="16" t="s">
        <v>2411</v>
      </c>
      <c r="U1925" s="17">
        <f>COUNTIFS(WTG_BD!L:L,'Basic Data'!T1925,WTG_BD!F:F,"&gt;="&amp;O2Summary!$B$6,WTG_BD!F:F,"&lt;="&amp;O2Summary!$B$4)</f>
        <v>0</v>
      </c>
      <c r="V1925" s="18">
        <f t="shared" si="37"/>
        <v>47</v>
      </c>
    </row>
    <row r="1926" spans="19:22">
      <c r="S1926" s="16">
        <v>3854</v>
      </c>
      <c r="T1926" s="16" t="s">
        <v>1829</v>
      </c>
      <c r="U1926" s="17">
        <f>COUNTIFS(WTG_BD!L:L,'Basic Data'!T1926,WTG_BD!F:F,"&gt;="&amp;O2Summary!$B$6,WTG_BD!F:F,"&lt;="&amp;O2Summary!$B$4)</f>
        <v>0</v>
      </c>
      <c r="V1926" s="18">
        <f t="shared" si="37"/>
        <v>47</v>
      </c>
    </row>
    <row r="1927" spans="19:22">
      <c r="S1927" s="16">
        <v>3855</v>
      </c>
      <c r="T1927" s="16" t="s">
        <v>2412</v>
      </c>
      <c r="U1927" s="17">
        <f>COUNTIFS(WTG_BD!L:L,'Basic Data'!T1927,WTG_BD!F:F,"&gt;="&amp;O2Summary!$B$6,WTG_BD!F:F,"&lt;="&amp;O2Summary!$B$4)</f>
        <v>0</v>
      </c>
      <c r="V1927" s="18">
        <f t="shared" si="37"/>
        <v>47</v>
      </c>
    </row>
    <row r="1928" spans="19:22">
      <c r="S1928" s="16">
        <v>3856</v>
      </c>
      <c r="T1928" s="16" t="s">
        <v>2413</v>
      </c>
      <c r="U1928" s="17">
        <f>COUNTIFS(WTG_BD!L:L,'Basic Data'!T1928,WTG_BD!F:F,"&gt;="&amp;O2Summary!$B$6,WTG_BD!F:F,"&lt;="&amp;O2Summary!$B$4)</f>
        <v>0</v>
      </c>
      <c r="V1928" s="18">
        <f t="shared" si="37"/>
        <v>47</v>
      </c>
    </row>
    <row r="1929" spans="19:22">
      <c r="S1929" s="16">
        <v>3857</v>
      </c>
      <c r="T1929" s="16" t="s">
        <v>2414</v>
      </c>
      <c r="U1929" s="17">
        <f>COUNTIFS(WTG_BD!L:L,'Basic Data'!T1929,WTG_BD!F:F,"&gt;="&amp;O2Summary!$B$6,WTG_BD!F:F,"&lt;="&amp;O2Summary!$B$4)</f>
        <v>0</v>
      </c>
      <c r="V1929" s="18">
        <f t="shared" si="37"/>
        <v>47</v>
      </c>
    </row>
    <row r="1930" spans="19:22">
      <c r="S1930" s="16">
        <v>3858</v>
      </c>
      <c r="T1930" s="16" t="s">
        <v>2415</v>
      </c>
      <c r="U1930" s="17">
        <f>COUNTIFS(WTG_BD!L:L,'Basic Data'!T1930,WTG_BD!F:F,"&gt;="&amp;O2Summary!$B$6,WTG_BD!F:F,"&lt;="&amp;O2Summary!$B$4)</f>
        <v>0</v>
      </c>
      <c r="V1930" s="18">
        <f t="shared" si="37"/>
        <v>47</v>
      </c>
    </row>
    <row r="1931" spans="19:22">
      <c r="S1931" s="16">
        <v>3859</v>
      </c>
      <c r="T1931" s="16" t="s">
        <v>2416</v>
      </c>
      <c r="U1931" s="17">
        <f>COUNTIFS(WTG_BD!L:L,'Basic Data'!T1931,WTG_BD!F:F,"&gt;="&amp;O2Summary!$B$6,WTG_BD!F:F,"&lt;="&amp;O2Summary!$B$4)</f>
        <v>0</v>
      </c>
      <c r="V1931" s="18">
        <f t="shared" si="37"/>
        <v>47</v>
      </c>
    </row>
    <row r="1932" spans="19:22">
      <c r="S1932" s="16">
        <v>3860</v>
      </c>
      <c r="T1932" s="16" t="s">
        <v>2417</v>
      </c>
      <c r="U1932" s="17">
        <f>COUNTIFS(WTG_BD!L:L,'Basic Data'!T1932,WTG_BD!F:F,"&gt;="&amp;O2Summary!$B$6,WTG_BD!F:F,"&lt;="&amp;O2Summary!$B$4)</f>
        <v>0</v>
      </c>
      <c r="V1932" s="18">
        <f t="shared" si="37"/>
        <v>47</v>
      </c>
    </row>
    <row r="1933" spans="19:22">
      <c r="S1933" s="16">
        <v>3861</v>
      </c>
      <c r="T1933" s="16" t="s">
        <v>2418</v>
      </c>
      <c r="U1933" s="17">
        <f>COUNTIFS(WTG_BD!L:L,'Basic Data'!T1933,WTG_BD!F:F,"&gt;="&amp;O2Summary!$B$6,WTG_BD!F:F,"&lt;="&amp;O2Summary!$B$4)</f>
        <v>0</v>
      </c>
      <c r="V1933" s="18">
        <f t="shared" si="37"/>
        <v>47</v>
      </c>
    </row>
    <row r="1934" spans="19:22">
      <c r="S1934" s="16">
        <v>3862</v>
      </c>
      <c r="T1934" s="16" t="s">
        <v>2101</v>
      </c>
      <c r="U1934" s="17">
        <f>COUNTIFS(WTG_BD!L:L,'Basic Data'!T1934,WTG_BD!F:F,"&gt;="&amp;O2Summary!$B$6,WTG_BD!F:F,"&lt;="&amp;O2Summary!$B$4)</f>
        <v>0</v>
      </c>
      <c r="V1934" s="18">
        <f t="shared" si="37"/>
        <v>47</v>
      </c>
    </row>
    <row r="1935" spans="19:22">
      <c r="S1935" s="16">
        <v>3863</v>
      </c>
      <c r="T1935" s="16" t="s">
        <v>2419</v>
      </c>
      <c r="U1935" s="17">
        <f>COUNTIFS(WTG_BD!L:L,'Basic Data'!T1935,WTG_BD!F:F,"&gt;="&amp;O2Summary!$B$6,WTG_BD!F:F,"&lt;="&amp;O2Summary!$B$4)</f>
        <v>0</v>
      </c>
      <c r="V1935" s="18">
        <f t="shared" si="37"/>
        <v>47</v>
      </c>
    </row>
    <row r="1936" spans="19:22">
      <c r="S1936" s="16">
        <v>3864</v>
      </c>
      <c r="T1936" s="16" t="s">
        <v>2420</v>
      </c>
      <c r="U1936" s="17">
        <f>COUNTIFS(WTG_BD!L:L,'Basic Data'!T1936,WTG_BD!F:F,"&gt;="&amp;O2Summary!$B$6,WTG_BD!F:F,"&lt;="&amp;O2Summary!$B$4)</f>
        <v>0</v>
      </c>
      <c r="V1936" s="18">
        <f t="shared" si="37"/>
        <v>47</v>
      </c>
    </row>
    <row r="1937" spans="19:22">
      <c r="S1937" s="26">
        <v>3865</v>
      </c>
      <c r="T1937" s="26" t="s">
        <v>2421</v>
      </c>
      <c r="U1937" s="17">
        <f>COUNTIFS(WTG_BD!L:L,'Basic Data'!T1937,WTG_BD!F:F,"&gt;="&amp;O2Summary!$B$6,WTG_BD!F:F,"&lt;="&amp;O2Summary!$B$4)</f>
        <v>0</v>
      </c>
      <c r="V1937" s="18">
        <f t="shared" si="37"/>
        <v>47</v>
      </c>
    </row>
    <row r="1938" spans="19:22">
      <c r="S1938" s="26">
        <v>3866</v>
      </c>
      <c r="T1938" s="26" t="s">
        <v>2422</v>
      </c>
      <c r="U1938" s="17">
        <f>COUNTIFS(WTG_BD!L:L,'Basic Data'!T1938,WTG_BD!F:F,"&gt;="&amp;O2Summary!$B$6,WTG_BD!F:F,"&lt;="&amp;O2Summary!$B$4)</f>
        <v>0</v>
      </c>
      <c r="V1938" s="18">
        <f t="shared" si="37"/>
        <v>47</v>
      </c>
    </row>
    <row r="1939" spans="19:22">
      <c r="S1939" s="26">
        <v>3867</v>
      </c>
      <c r="T1939" s="26" t="s">
        <v>2423</v>
      </c>
      <c r="U1939" s="17">
        <f>COUNTIFS(WTG_BD!L:L,'Basic Data'!T1939,WTG_BD!F:F,"&gt;="&amp;O2Summary!$B$6,WTG_BD!F:F,"&lt;="&amp;O2Summary!$B$4)</f>
        <v>0</v>
      </c>
      <c r="V1939" s="18">
        <f t="shared" si="37"/>
        <v>47</v>
      </c>
    </row>
    <row r="1940" spans="19:22">
      <c r="S1940" s="26">
        <v>3868</v>
      </c>
      <c r="T1940" s="26" t="s">
        <v>2424</v>
      </c>
      <c r="U1940" s="17">
        <f>COUNTIFS(WTG_BD!L:L,'Basic Data'!T1940,WTG_BD!F:F,"&gt;="&amp;O2Summary!$B$6,WTG_BD!F:F,"&lt;="&amp;O2Summary!$B$4)</f>
        <v>0</v>
      </c>
      <c r="V1940" s="18">
        <f t="shared" si="37"/>
        <v>47</v>
      </c>
    </row>
    <row r="1941" spans="19:22">
      <c r="S1941" s="16">
        <v>3869</v>
      </c>
      <c r="T1941" s="16" t="s">
        <v>2425</v>
      </c>
      <c r="U1941" s="17">
        <f>COUNTIFS(WTG_BD!L:L,'Basic Data'!T1941,WTG_BD!F:F,"&gt;="&amp;O2Summary!$B$6,WTG_BD!F:F,"&lt;="&amp;O2Summary!$B$4)</f>
        <v>0</v>
      </c>
      <c r="V1941" s="18">
        <f t="shared" si="37"/>
        <v>47</v>
      </c>
    </row>
    <row r="1942" spans="19:22">
      <c r="S1942" s="26">
        <v>3870</v>
      </c>
      <c r="T1942" s="26" t="s">
        <v>2426</v>
      </c>
      <c r="U1942" s="17">
        <f>COUNTIFS(WTG_BD!L:L,'Basic Data'!T1942,WTG_BD!F:F,"&gt;="&amp;O2Summary!$B$6,WTG_BD!F:F,"&lt;="&amp;O2Summary!$B$4)</f>
        <v>0</v>
      </c>
      <c r="V1942" s="18">
        <f t="shared" si="37"/>
        <v>47</v>
      </c>
    </row>
    <row r="1943" spans="19:22">
      <c r="S1943" s="26">
        <v>3871</v>
      </c>
      <c r="T1943" s="26" t="s">
        <v>2427</v>
      </c>
      <c r="U1943" s="17">
        <f>COUNTIFS(WTG_BD!L:L,'Basic Data'!T1943,WTG_BD!F:F,"&gt;="&amp;O2Summary!$B$6,WTG_BD!F:F,"&lt;="&amp;O2Summary!$B$4)</f>
        <v>0</v>
      </c>
      <c r="V1943" s="18">
        <f t="shared" si="37"/>
        <v>47</v>
      </c>
    </row>
    <row r="1944" spans="19:22">
      <c r="S1944" s="26">
        <v>3872</v>
      </c>
      <c r="T1944" s="26" t="s">
        <v>2428</v>
      </c>
      <c r="U1944" s="17">
        <f>COUNTIFS(WTG_BD!L:L,'Basic Data'!T1944,WTG_BD!F:F,"&gt;="&amp;O2Summary!$B$6,WTG_BD!F:F,"&lt;="&amp;O2Summary!$B$4)</f>
        <v>0</v>
      </c>
      <c r="V1944" s="18">
        <f t="shared" si="37"/>
        <v>47</v>
      </c>
    </row>
    <row r="1945" spans="19:22">
      <c r="S1945" s="26">
        <v>3873</v>
      </c>
      <c r="T1945" s="26" t="s">
        <v>2429</v>
      </c>
      <c r="U1945" s="17">
        <f>COUNTIFS(WTG_BD!L:L,'Basic Data'!T1945,WTG_BD!F:F,"&gt;="&amp;O2Summary!$B$6,WTG_BD!F:F,"&lt;="&amp;O2Summary!$B$4)</f>
        <v>0</v>
      </c>
      <c r="V1945" s="18">
        <f t="shared" si="37"/>
        <v>47</v>
      </c>
    </row>
    <row r="1946" spans="19:22">
      <c r="S1946" s="16">
        <v>3874</v>
      </c>
      <c r="T1946" s="16" t="s">
        <v>2430</v>
      </c>
      <c r="U1946" s="17">
        <f>COUNTIFS(WTG_BD!L:L,'Basic Data'!T1946,WTG_BD!F:F,"&gt;="&amp;O2Summary!$B$6,WTG_BD!F:F,"&lt;="&amp;O2Summary!$B$4)</f>
        <v>0</v>
      </c>
      <c r="V1946" s="18">
        <f t="shared" si="37"/>
        <v>47</v>
      </c>
    </row>
    <row r="1947" spans="19:22">
      <c r="S1947" s="26">
        <v>3875</v>
      </c>
      <c r="T1947" s="26" t="s">
        <v>2431</v>
      </c>
      <c r="U1947" s="17">
        <f>COUNTIFS(WTG_BD!L:L,'Basic Data'!T1947,WTG_BD!F:F,"&gt;="&amp;O2Summary!$B$6,WTG_BD!F:F,"&lt;="&amp;O2Summary!$B$4)</f>
        <v>0</v>
      </c>
      <c r="V1947" s="18">
        <f t="shared" si="37"/>
        <v>47</v>
      </c>
    </row>
    <row r="1948" spans="19:22">
      <c r="S1948" s="26">
        <v>3876</v>
      </c>
      <c r="T1948" s="26" t="s">
        <v>2432</v>
      </c>
      <c r="U1948" s="17">
        <f>COUNTIFS(WTG_BD!L:L,'Basic Data'!T1948,WTG_BD!F:F,"&gt;="&amp;O2Summary!$B$6,WTG_BD!F:F,"&lt;="&amp;O2Summary!$B$4)</f>
        <v>0</v>
      </c>
      <c r="V1948" s="18">
        <f t="shared" si="37"/>
        <v>47</v>
      </c>
    </row>
    <row r="1949" spans="19:22">
      <c r="S1949" s="26">
        <v>3877</v>
      </c>
      <c r="T1949" s="26" t="s">
        <v>2433</v>
      </c>
      <c r="U1949" s="17">
        <f>COUNTIFS(WTG_BD!L:L,'Basic Data'!T1949,WTG_BD!F:F,"&gt;="&amp;O2Summary!$B$6,WTG_BD!F:F,"&lt;="&amp;O2Summary!$B$4)</f>
        <v>0</v>
      </c>
      <c r="V1949" s="18">
        <f t="shared" si="37"/>
        <v>47</v>
      </c>
    </row>
    <row r="1950" spans="19:22">
      <c r="S1950" s="16">
        <v>3878</v>
      </c>
      <c r="T1950" s="16" t="s">
        <v>2430</v>
      </c>
      <c r="U1950" s="17">
        <f>COUNTIFS(WTG_BD!L:L,'Basic Data'!T1950,WTG_BD!F:F,"&gt;="&amp;O2Summary!$B$6,WTG_BD!F:F,"&lt;="&amp;O2Summary!$B$4)</f>
        <v>0</v>
      </c>
      <c r="V1950" s="18">
        <f t="shared" si="37"/>
        <v>47</v>
      </c>
    </row>
    <row r="1951" spans="19:22">
      <c r="S1951" s="16">
        <v>3879</v>
      </c>
      <c r="T1951" s="16" t="s">
        <v>2434</v>
      </c>
      <c r="U1951" s="17">
        <f>COUNTIFS(WTG_BD!L:L,'Basic Data'!T1951,WTG_BD!F:F,"&gt;="&amp;O2Summary!$B$6,WTG_BD!F:F,"&lt;="&amp;O2Summary!$B$4)</f>
        <v>0</v>
      </c>
      <c r="V1951" s="18">
        <f t="shared" si="37"/>
        <v>47</v>
      </c>
    </row>
    <row r="1952" spans="19:22">
      <c r="S1952" s="16">
        <v>3880</v>
      </c>
      <c r="T1952" s="16" t="s">
        <v>2435</v>
      </c>
      <c r="U1952" s="17">
        <f>COUNTIFS(WTG_BD!L:L,'Basic Data'!T1952,WTG_BD!F:F,"&gt;="&amp;O2Summary!$B$6,WTG_BD!F:F,"&lt;="&amp;O2Summary!$B$4)</f>
        <v>0</v>
      </c>
      <c r="V1952" s="18">
        <f t="shared" si="37"/>
        <v>47</v>
      </c>
    </row>
    <row r="1953" spans="19:22">
      <c r="S1953" s="16">
        <v>3881</v>
      </c>
      <c r="T1953" s="16" t="s">
        <v>2436</v>
      </c>
      <c r="U1953" s="17">
        <f>COUNTIFS(WTG_BD!L:L,'Basic Data'!T1953,WTG_BD!F:F,"&gt;="&amp;O2Summary!$B$6,WTG_BD!F:F,"&lt;="&amp;O2Summary!$B$4)</f>
        <v>0</v>
      </c>
      <c r="V1953" s="18">
        <f t="shared" si="37"/>
        <v>47</v>
      </c>
    </row>
    <row r="1954" spans="19:22">
      <c r="S1954" s="16">
        <v>3882</v>
      </c>
      <c r="T1954" s="16" t="s">
        <v>2437</v>
      </c>
      <c r="U1954" s="17">
        <f>COUNTIFS(WTG_BD!L:L,'Basic Data'!T1954,WTG_BD!F:F,"&gt;="&amp;O2Summary!$B$6,WTG_BD!F:F,"&lt;="&amp;O2Summary!$B$4)</f>
        <v>0</v>
      </c>
      <c r="V1954" s="18">
        <f t="shared" si="37"/>
        <v>47</v>
      </c>
    </row>
    <row r="1955" spans="19:22">
      <c r="S1955" s="16">
        <v>3883</v>
      </c>
      <c r="T1955" s="16" t="s">
        <v>2438</v>
      </c>
      <c r="U1955" s="17">
        <f>COUNTIFS(WTG_BD!L:L,'Basic Data'!T1955,WTG_BD!F:F,"&gt;="&amp;O2Summary!$B$6,WTG_BD!F:F,"&lt;="&amp;O2Summary!$B$4)</f>
        <v>0</v>
      </c>
      <c r="V1955" s="18">
        <f t="shared" si="37"/>
        <v>47</v>
      </c>
    </row>
    <row r="1956" spans="19:22">
      <c r="S1956" s="16">
        <v>3884</v>
      </c>
      <c r="T1956" s="16" t="s">
        <v>2439</v>
      </c>
      <c r="U1956" s="17">
        <f>COUNTIFS(WTG_BD!L:L,'Basic Data'!T1956,WTG_BD!F:F,"&gt;="&amp;O2Summary!$B$6,WTG_BD!F:F,"&lt;="&amp;O2Summary!$B$4)</f>
        <v>0</v>
      </c>
      <c r="V1956" s="18">
        <f t="shared" si="37"/>
        <v>47</v>
      </c>
    </row>
    <row r="1957" spans="19:22">
      <c r="S1957" s="16">
        <v>3885</v>
      </c>
      <c r="T1957" s="16" t="s">
        <v>2440</v>
      </c>
      <c r="U1957" s="17">
        <f>COUNTIFS(WTG_BD!L:L,'Basic Data'!T1957,WTG_BD!F:F,"&gt;="&amp;O2Summary!$B$6,WTG_BD!F:F,"&lt;="&amp;O2Summary!$B$4)</f>
        <v>0</v>
      </c>
      <c r="V1957" s="18">
        <f t="shared" si="37"/>
        <v>47</v>
      </c>
    </row>
    <row r="1958" spans="19:22">
      <c r="S1958" s="16">
        <v>3886</v>
      </c>
      <c r="T1958" s="16" t="s">
        <v>2441</v>
      </c>
      <c r="U1958" s="17">
        <f>COUNTIFS(WTG_BD!L:L,'Basic Data'!T1958,WTG_BD!F:F,"&gt;="&amp;O2Summary!$B$6,WTG_BD!F:F,"&lt;="&amp;O2Summary!$B$4)</f>
        <v>0</v>
      </c>
      <c r="V1958" s="18">
        <f t="shared" si="37"/>
        <v>47</v>
      </c>
    </row>
    <row r="1959" spans="19:22">
      <c r="S1959" s="16">
        <v>3887</v>
      </c>
      <c r="T1959" s="16" t="s">
        <v>2442</v>
      </c>
      <c r="U1959" s="17">
        <f>COUNTIFS(WTG_BD!L:L,'Basic Data'!T1959,WTG_BD!F:F,"&gt;="&amp;O2Summary!$B$6,WTG_BD!F:F,"&lt;="&amp;O2Summary!$B$4)</f>
        <v>0</v>
      </c>
      <c r="V1959" s="18">
        <f t="shared" si="37"/>
        <v>47</v>
      </c>
    </row>
    <row r="1960" spans="19:22">
      <c r="S1960" s="16">
        <v>3888</v>
      </c>
      <c r="T1960" s="16" t="s">
        <v>2443</v>
      </c>
      <c r="U1960" s="17">
        <f>COUNTIFS(WTG_BD!L:L,'Basic Data'!T1960,WTG_BD!F:F,"&gt;="&amp;O2Summary!$B$6,WTG_BD!F:F,"&lt;="&amp;O2Summary!$B$4)</f>
        <v>0</v>
      </c>
      <c r="V1960" s="18">
        <f t="shared" si="37"/>
        <v>47</v>
      </c>
    </row>
    <row r="1961" spans="19:22">
      <c r="S1961" s="16">
        <v>3889</v>
      </c>
      <c r="T1961" s="16" t="s">
        <v>2444</v>
      </c>
      <c r="U1961" s="17">
        <f>COUNTIFS(WTG_BD!L:L,'Basic Data'!T1961,WTG_BD!F:F,"&gt;="&amp;O2Summary!$B$6,WTG_BD!F:F,"&lt;="&amp;O2Summary!$B$4)</f>
        <v>0</v>
      </c>
      <c r="V1961" s="18">
        <f t="shared" si="37"/>
        <v>47</v>
      </c>
    </row>
    <row r="1962" spans="19:22">
      <c r="S1962" s="16">
        <v>3890</v>
      </c>
      <c r="T1962" s="16" t="s">
        <v>2445</v>
      </c>
      <c r="U1962" s="17">
        <f>COUNTIFS(WTG_BD!L:L,'Basic Data'!T1962,WTG_BD!F:F,"&gt;="&amp;O2Summary!$B$6,WTG_BD!F:F,"&lt;="&amp;O2Summary!$B$4)</f>
        <v>0</v>
      </c>
      <c r="V1962" s="18">
        <f t="shared" si="37"/>
        <v>47</v>
      </c>
    </row>
    <row r="1963" spans="19:22">
      <c r="S1963" s="16">
        <v>3891</v>
      </c>
      <c r="T1963" s="16" t="s">
        <v>2446</v>
      </c>
      <c r="U1963" s="17">
        <f>COUNTIFS(WTG_BD!L:L,'Basic Data'!T1963,WTG_BD!F:F,"&gt;="&amp;O2Summary!$B$6,WTG_BD!F:F,"&lt;="&amp;O2Summary!$B$4)</f>
        <v>0</v>
      </c>
      <c r="V1963" s="18">
        <f t="shared" si="37"/>
        <v>47</v>
      </c>
    </row>
    <row r="1964" spans="19:22">
      <c r="S1964" s="16">
        <v>3892</v>
      </c>
      <c r="T1964" s="16" t="s">
        <v>2447</v>
      </c>
      <c r="U1964" s="17">
        <f>COUNTIFS(WTG_BD!L:L,'Basic Data'!T1964,WTG_BD!F:F,"&gt;="&amp;O2Summary!$B$6,WTG_BD!F:F,"&lt;="&amp;O2Summary!$B$4)</f>
        <v>0</v>
      </c>
      <c r="V1964" s="18">
        <f t="shared" si="37"/>
        <v>47</v>
      </c>
    </row>
    <row r="1965" spans="19:22">
      <c r="S1965" s="16">
        <v>3893</v>
      </c>
      <c r="T1965" s="16" t="s">
        <v>2448</v>
      </c>
      <c r="U1965" s="17">
        <f>COUNTIFS(WTG_BD!L:L,'Basic Data'!T1965,WTG_BD!F:F,"&gt;="&amp;O2Summary!$B$6,WTG_BD!F:F,"&lt;="&amp;O2Summary!$B$4)</f>
        <v>0</v>
      </c>
      <c r="V1965" s="18">
        <f t="shared" si="37"/>
        <v>47</v>
      </c>
    </row>
    <row r="1966" spans="19:22">
      <c r="S1966" s="16">
        <v>3894</v>
      </c>
      <c r="T1966" s="16" t="s">
        <v>2449</v>
      </c>
      <c r="U1966" s="17">
        <f>COUNTIFS(WTG_BD!L:L,'Basic Data'!T1966,WTG_BD!F:F,"&gt;="&amp;O2Summary!$B$6,WTG_BD!F:F,"&lt;="&amp;O2Summary!$B$4)</f>
        <v>0</v>
      </c>
      <c r="V1966" s="18">
        <f t="shared" si="37"/>
        <v>47</v>
      </c>
    </row>
    <row r="1967" spans="19:22">
      <c r="S1967" s="16">
        <v>3895</v>
      </c>
      <c r="T1967" s="16" t="s">
        <v>2450</v>
      </c>
      <c r="U1967" s="17">
        <f>COUNTIFS(WTG_BD!L:L,'Basic Data'!T1967,WTG_BD!F:F,"&gt;="&amp;O2Summary!$B$6,WTG_BD!F:F,"&lt;="&amp;O2Summary!$B$4)</f>
        <v>0</v>
      </c>
      <c r="V1967" s="18">
        <f t="shared" si="37"/>
        <v>47</v>
      </c>
    </row>
    <row r="1968" spans="19:22">
      <c r="S1968" s="16">
        <v>3896</v>
      </c>
      <c r="T1968" s="16" t="s">
        <v>2451</v>
      </c>
      <c r="U1968" s="17">
        <f>COUNTIFS(WTG_BD!L:L,'Basic Data'!T1968,WTG_BD!F:F,"&gt;="&amp;O2Summary!$B$6,WTG_BD!F:F,"&lt;="&amp;O2Summary!$B$4)</f>
        <v>0</v>
      </c>
      <c r="V1968" s="18">
        <f t="shared" si="37"/>
        <v>47</v>
      </c>
    </row>
    <row r="1969" spans="19:22">
      <c r="S1969" s="16">
        <v>3897</v>
      </c>
      <c r="T1969" s="16" t="s">
        <v>2452</v>
      </c>
      <c r="U1969" s="17">
        <f>COUNTIFS(WTG_BD!L:L,'Basic Data'!T1969,WTG_BD!F:F,"&gt;="&amp;O2Summary!$B$6,WTG_BD!F:F,"&lt;="&amp;O2Summary!$B$4)</f>
        <v>0</v>
      </c>
      <c r="V1969" s="18">
        <f t="shared" si="37"/>
        <v>47</v>
      </c>
    </row>
    <row r="1970" spans="19:22">
      <c r="S1970" s="16">
        <v>3898</v>
      </c>
      <c r="T1970" s="16" t="s">
        <v>2453</v>
      </c>
      <c r="U1970" s="17">
        <f>COUNTIFS(WTG_BD!L:L,'Basic Data'!T1970,WTG_BD!F:F,"&gt;="&amp;O2Summary!$B$6,WTG_BD!F:F,"&lt;="&amp;O2Summary!$B$4)</f>
        <v>0</v>
      </c>
      <c r="V1970" s="18">
        <f t="shared" si="37"/>
        <v>47</v>
      </c>
    </row>
    <row r="1971" spans="19:22">
      <c r="S1971" s="16">
        <v>3899</v>
      </c>
      <c r="T1971" s="16" t="s">
        <v>2454</v>
      </c>
      <c r="U1971" s="17">
        <f>COUNTIFS(WTG_BD!L:L,'Basic Data'!T1971,WTG_BD!F:F,"&gt;="&amp;O2Summary!$B$6,WTG_BD!F:F,"&lt;="&amp;O2Summary!$B$4)</f>
        <v>0</v>
      </c>
      <c r="V1971" s="18">
        <f t="shared" si="37"/>
        <v>47</v>
      </c>
    </row>
    <row r="1972" spans="19:22">
      <c r="S1972" s="16">
        <v>3900</v>
      </c>
      <c r="T1972" s="16" t="s">
        <v>2455</v>
      </c>
      <c r="U1972" s="17">
        <f>COUNTIFS(WTG_BD!L:L,'Basic Data'!T1972,WTG_BD!F:F,"&gt;="&amp;O2Summary!$B$6,WTG_BD!F:F,"&lt;="&amp;O2Summary!$B$4)</f>
        <v>0</v>
      </c>
      <c r="V1972" s="18">
        <f t="shared" si="37"/>
        <v>47</v>
      </c>
    </row>
    <row r="1973" spans="19:22">
      <c r="S1973" s="16">
        <v>3901</v>
      </c>
      <c r="T1973" s="16" t="s">
        <v>2456</v>
      </c>
      <c r="U1973" s="17">
        <f>COUNTIFS(WTG_BD!L:L,'Basic Data'!T1973,WTG_BD!F:F,"&gt;="&amp;O2Summary!$B$6,WTG_BD!F:F,"&lt;="&amp;O2Summary!$B$4)</f>
        <v>0</v>
      </c>
      <c r="V1973" s="18">
        <f t="shared" si="37"/>
        <v>47</v>
      </c>
    </row>
    <row r="1974" spans="19:22">
      <c r="S1974" s="16">
        <v>3902</v>
      </c>
      <c r="T1974" s="16" t="s">
        <v>2457</v>
      </c>
      <c r="U1974" s="17">
        <f>COUNTIFS(WTG_BD!L:L,'Basic Data'!T1974,WTG_BD!F:F,"&gt;="&amp;O2Summary!$B$6,WTG_BD!F:F,"&lt;="&amp;O2Summary!$B$4)</f>
        <v>0</v>
      </c>
      <c r="V1974" s="18">
        <f t="shared" si="37"/>
        <v>47</v>
      </c>
    </row>
    <row r="1975" spans="19:22">
      <c r="S1975" s="16">
        <v>3903</v>
      </c>
      <c r="T1975" s="16" t="s">
        <v>2458</v>
      </c>
      <c r="U1975" s="17">
        <f>COUNTIFS(WTG_BD!L:L,'Basic Data'!T1975,WTG_BD!F:F,"&gt;="&amp;O2Summary!$B$6,WTG_BD!F:F,"&lt;="&amp;O2Summary!$B$4)</f>
        <v>0</v>
      </c>
      <c r="V1975" s="18">
        <f t="shared" si="37"/>
        <v>47</v>
      </c>
    </row>
    <row r="1976" spans="19:22">
      <c r="S1976" s="16">
        <v>3904</v>
      </c>
      <c r="T1976" s="16" t="s">
        <v>2459</v>
      </c>
      <c r="U1976" s="17">
        <f>COUNTIFS(WTG_BD!L:L,'Basic Data'!T1976,WTG_BD!F:F,"&gt;="&amp;O2Summary!$B$6,WTG_BD!F:F,"&lt;="&amp;O2Summary!$B$4)</f>
        <v>0</v>
      </c>
      <c r="V1976" s="18">
        <f t="shared" si="37"/>
        <v>47</v>
      </c>
    </row>
    <row r="1977" spans="19:22">
      <c r="S1977" s="16">
        <v>3905</v>
      </c>
      <c r="T1977" s="16" t="s">
        <v>2460</v>
      </c>
      <c r="U1977" s="17">
        <f>COUNTIFS(WTG_BD!L:L,'Basic Data'!T1977,WTG_BD!F:F,"&gt;="&amp;O2Summary!$B$6,WTG_BD!F:F,"&lt;="&amp;O2Summary!$B$4)</f>
        <v>0</v>
      </c>
      <c r="V1977" s="18">
        <f t="shared" si="37"/>
        <v>47</v>
      </c>
    </row>
    <row r="1978" spans="19:22">
      <c r="S1978" s="16">
        <v>3906</v>
      </c>
      <c r="T1978" s="16" t="s">
        <v>2461</v>
      </c>
      <c r="U1978" s="17">
        <f>COUNTIFS(WTG_BD!L:L,'Basic Data'!T1978,WTG_BD!F:F,"&gt;="&amp;O2Summary!$B$6,WTG_BD!F:F,"&lt;="&amp;O2Summary!$B$4)</f>
        <v>0</v>
      </c>
      <c r="V1978" s="18">
        <f t="shared" si="37"/>
        <v>47</v>
      </c>
    </row>
    <row r="1979" spans="19:22">
      <c r="S1979" s="16">
        <v>3907</v>
      </c>
      <c r="T1979" s="16" t="s">
        <v>2462</v>
      </c>
      <c r="U1979" s="17">
        <f>COUNTIFS(WTG_BD!L:L,'Basic Data'!T1979,WTG_BD!F:F,"&gt;="&amp;O2Summary!$B$6,WTG_BD!F:F,"&lt;="&amp;O2Summary!$B$4)</f>
        <v>2</v>
      </c>
      <c r="V1979" s="18">
        <f t="shared" si="37"/>
        <v>21</v>
      </c>
    </row>
    <row r="1980" spans="19:22">
      <c r="S1980" s="16">
        <v>3908</v>
      </c>
      <c r="T1980" s="16" t="s">
        <v>2463</v>
      </c>
      <c r="U1980" s="17">
        <f>COUNTIFS(WTG_BD!L:L,'Basic Data'!T1980,WTG_BD!F:F,"&gt;="&amp;O2Summary!$B$6,WTG_BD!F:F,"&lt;="&amp;O2Summary!$B$4)</f>
        <v>0</v>
      </c>
      <c r="V1980" s="18">
        <f t="shared" si="37"/>
        <v>47</v>
      </c>
    </row>
    <row r="1981" spans="19:22">
      <c r="S1981" s="16">
        <v>3909</v>
      </c>
      <c r="T1981" s="16" t="s">
        <v>2464</v>
      </c>
      <c r="U1981" s="17">
        <f>COUNTIFS(WTG_BD!L:L,'Basic Data'!T1981,WTG_BD!F:F,"&gt;="&amp;O2Summary!$B$6,WTG_BD!F:F,"&lt;="&amp;O2Summary!$B$4)</f>
        <v>0</v>
      </c>
      <c r="V1981" s="18">
        <f t="shared" si="37"/>
        <v>47</v>
      </c>
    </row>
    <row r="1982" spans="19:22">
      <c r="S1982" s="16">
        <v>3910</v>
      </c>
      <c r="T1982" s="16" t="s">
        <v>2465</v>
      </c>
      <c r="U1982" s="17">
        <f>COUNTIFS(WTG_BD!L:L,'Basic Data'!T1982,WTG_BD!F:F,"&gt;="&amp;O2Summary!$B$6,WTG_BD!F:F,"&lt;="&amp;O2Summary!$B$4)</f>
        <v>0</v>
      </c>
      <c r="V1982" s="18">
        <f t="shared" si="37"/>
        <v>47</v>
      </c>
    </row>
    <row r="1983" spans="19:22">
      <c r="S1983" s="16">
        <v>3911</v>
      </c>
      <c r="T1983" s="16" t="s">
        <v>2466</v>
      </c>
      <c r="U1983" s="17">
        <f>COUNTIFS(WTG_BD!L:L,'Basic Data'!T1983,WTG_BD!F:F,"&gt;="&amp;O2Summary!$B$6,WTG_BD!F:F,"&lt;="&amp;O2Summary!$B$4)</f>
        <v>0</v>
      </c>
      <c r="V1983" s="18">
        <f t="shared" si="37"/>
        <v>47</v>
      </c>
    </row>
    <row r="1984" spans="19:22">
      <c r="S1984" s="16">
        <v>3912</v>
      </c>
      <c r="T1984" s="16" t="s">
        <v>2467</v>
      </c>
      <c r="U1984" s="17">
        <f>COUNTIFS(WTG_BD!L:L,'Basic Data'!T1984,WTG_BD!F:F,"&gt;="&amp;O2Summary!$B$6,WTG_BD!F:F,"&lt;="&amp;O2Summary!$B$4)</f>
        <v>0</v>
      </c>
      <c r="V1984" s="18">
        <f t="shared" si="37"/>
        <v>47</v>
      </c>
    </row>
    <row r="1985" spans="19:22">
      <c r="S1985" s="16">
        <v>3913</v>
      </c>
      <c r="T1985" s="16" t="s">
        <v>2468</v>
      </c>
      <c r="U1985" s="17">
        <f>COUNTIFS(WTG_BD!L:L,'Basic Data'!T1985,WTG_BD!F:F,"&gt;="&amp;O2Summary!$B$6,WTG_BD!F:F,"&lt;="&amp;O2Summary!$B$4)</f>
        <v>0</v>
      </c>
      <c r="V1985" s="18">
        <f t="shared" si="37"/>
        <v>47</v>
      </c>
    </row>
    <row r="1986" spans="19:22">
      <c r="S1986" s="16">
        <v>3914</v>
      </c>
      <c r="T1986" s="16" t="s">
        <v>2469</v>
      </c>
      <c r="U1986" s="17">
        <f>COUNTIFS(WTG_BD!L:L,'Basic Data'!T1986,WTG_BD!F:F,"&gt;="&amp;O2Summary!$B$6,WTG_BD!F:F,"&lt;="&amp;O2Summary!$B$4)</f>
        <v>0</v>
      </c>
      <c r="V1986" s="18">
        <f t="shared" si="37"/>
        <v>47</v>
      </c>
    </row>
    <row r="1987" spans="19:22">
      <c r="S1987" s="16">
        <v>3915</v>
      </c>
      <c r="T1987" s="16" t="s">
        <v>2470</v>
      </c>
      <c r="U1987" s="17">
        <f>COUNTIFS(WTG_BD!L:L,'Basic Data'!T1987,WTG_BD!F:F,"&gt;="&amp;O2Summary!$B$6,WTG_BD!F:F,"&lt;="&amp;O2Summary!$B$4)</f>
        <v>0</v>
      </c>
      <c r="V1987" s="18">
        <f t="shared" ref="V1987:V2050" si="38">RANK(U1987,$U$2:$U$3975)</f>
        <v>47</v>
      </c>
    </row>
    <row r="1988" spans="19:22">
      <c r="S1988" s="16">
        <v>3916</v>
      </c>
      <c r="T1988" s="16" t="s">
        <v>2471</v>
      </c>
      <c r="U1988" s="17">
        <f>COUNTIFS(WTG_BD!L:L,'Basic Data'!T1988,WTG_BD!F:F,"&gt;="&amp;O2Summary!$B$6,WTG_BD!F:F,"&lt;="&amp;O2Summary!$B$4)</f>
        <v>0</v>
      </c>
      <c r="V1988" s="18">
        <f t="shared" si="38"/>
        <v>47</v>
      </c>
    </row>
    <row r="1989" spans="19:22">
      <c r="S1989" s="16">
        <v>3917</v>
      </c>
      <c r="T1989" s="16" t="s">
        <v>2472</v>
      </c>
      <c r="U1989" s="17">
        <f>COUNTIFS(WTG_BD!L:L,'Basic Data'!T1989,WTG_BD!F:F,"&gt;="&amp;O2Summary!$B$6,WTG_BD!F:F,"&lt;="&amp;O2Summary!$B$4)</f>
        <v>0</v>
      </c>
      <c r="V1989" s="18">
        <f t="shared" si="38"/>
        <v>47</v>
      </c>
    </row>
    <row r="1990" spans="19:22">
      <c r="S1990" s="16">
        <v>3918</v>
      </c>
      <c r="T1990" s="16" t="s">
        <v>2473</v>
      </c>
      <c r="U1990" s="17">
        <f>COUNTIFS(WTG_BD!L:L,'Basic Data'!T1990,WTG_BD!F:F,"&gt;="&amp;O2Summary!$B$6,WTG_BD!F:F,"&lt;="&amp;O2Summary!$B$4)</f>
        <v>0</v>
      </c>
      <c r="V1990" s="18">
        <f t="shared" si="38"/>
        <v>47</v>
      </c>
    </row>
    <row r="1991" spans="19:22">
      <c r="S1991" s="16">
        <v>3919</v>
      </c>
      <c r="T1991" s="16" t="s">
        <v>2474</v>
      </c>
      <c r="U1991" s="17">
        <f>COUNTIFS(WTG_BD!L:L,'Basic Data'!T1991,WTG_BD!F:F,"&gt;="&amp;O2Summary!$B$6,WTG_BD!F:F,"&lt;="&amp;O2Summary!$B$4)</f>
        <v>0</v>
      </c>
      <c r="V1991" s="18">
        <f t="shared" si="38"/>
        <v>47</v>
      </c>
    </row>
    <row r="1992" spans="19:22">
      <c r="S1992" s="16">
        <v>3920</v>
      </c>
      <c r="T1992" s="16" t="s">
        <v>2475</v>
      </c>
      <c r="U1992" s="17">
        <f>COUNTIFS(WTG_BD!L:L,'Basic Data'!T1992,WTG_BD!F:F,"&gt;="&amp;O2Summary!$B$6,WTG_BD!F:F,"&lt;="&amp;O2Summary!$B$4)</f>
        <v>0</v>
      </c>
      <c r="V1992" s="18">
        <f t="shared" si="38"/>
        <v>47</v>
      </c>
    </row>
    <row r="1993" spans="19:22">
      <c r="S1993" s="16">
        <v>3921</v>
      </c>
      <c r="T1993" s="16" t="s">
        <v>2476</v>
      </c>
      <c r="U1993" s="17">
        <f>COUNTIFS(WTG_BD!L:L,'Basic Data'!T1993,WTG_BD!F:F,"&gt;="&amp;O2Summary!$B$6,WTG_BD!F:F,"&lt;="&amp;O2Summary!$B$4)</f>
        <v>0</v>
      </c>
      <c r="V1993" s="18">
        <f t="shared" si="38"/>
        <v>47</v>
      </c>
    </row>
    <row r="1994" spans="19:22">
      <c r="S1994" s="16">
        <v>3922</v>
      </c>
      <c r="T1994" s="16" t="s">
        <v>2477</v>
      </c>
      <c r="U1994" s="17">
        <f>COUNTIFS(WTG_BD!L:L,'Basic Data'!T1994,WTG_BD!F:F,"&gt;="&amp;O2Summary!$B$6,WTG_BD!F:F,"&lt;="&amp;O2Summary!$B$4)</f>
        <v>0</v>
      </c>
      <c r="V1994" s="18">
        <f t="shared" si="38"/>
        <v>47</v>
      </c>
    </row>
    <row r="1995" spans="19:22">
      <c r="S1995" s="16">
        <v>3923</v>
      </c>
      <c r="T1995" s="16" t="s">
        <v>2478</v>
      </c>
      <c r="U1995" s="17">
        <f>COUNTIFS(WTG_BD!L:L,'Basic Data'!T1995,WTG_BD!F:F,"&gt;="&amp;O2Summary!$B$6,WTG_BD!F:F,"&lt;="&amp;O2Summary!$B$4)</f>
        <v>0</v>
      </c>
      <c r="V1995" s="18">
        <f t="shared" si="38"/>
        <v>47</v>
      </c>
    </row>
    <row r="1996" spans="19:22">
      <c r="S1996" s="16">
        <v>3924</v>
      </c>
      <c r="T1996" s="16" t="s">
        <v>2479</v>
      </c>
      <c r="U1996" s="17">
        <f>COUNTIFS(WTG_BD!L:L,'Basic Data'!T1996,WTG_BD!F:F,"&gt;="&amp;O2Summary!$B$6,WTG_BD!F:F,"&lt;="&amp;O2Summary!$B$4)</f>
        <v>0</v>
      </c>
      <c r="V1996" s="18">
        <f t="shared" si="38"/>
        <v>47</v>
      </c>
    </row>
    <row r="1997" spans="19:22">
      <c r="S1997" s="16">
        <v>3925</v>
      </c>
      <c r="T1997" s="16" t="s">
        <v>2480</v>
      </c>
      <c r="U1997" s="17">
        <f>COUNTIFS(WTG_BD!L:L,'Basic Data'!T1997,WTG_BD!F:F,"&gt;="&amp;O2Summary!$B$6,WTG_BD!F:F,"&lt;="&amp;O2Summary!$B$4)</f>
        <v>0</v>
      </c>
      <c r="V1997" s="18">
        <f t="shared" si="38"/>
        <v>47</v>
      </c>
    </row>
    <row r="1998" spans="19:22">
      <c r="S1998" s="16">
        <v>3926</v>
      </c>
      <c r="T1998" s="16" t="s">
        <v>2481</v>
      </c>
      <c r="U1998" s="17">
        <f>COUNTIFS(WTG_BD!L:L,'Basic Data'!T1998,WTG_BD!F:F,"&gt;="&amp;O2Summary!$B$6,WTG_BD!F:F,"&lt;="&amp;O2Summary!$B$4)</f>
        <v>0</v>
      </c>
      <c r="V1998" s="18">
        <f t="shared" si="38"/>
        <v>47</v>
      </c>
    </row>
    <row r="1999" spans="19:22">
      <c r="S1999" s="16">
        <v>3927</v>
      </c>
      <c r="T1999" s="16" t="s">
        <v>2482</v>
      </c>
      <c r="U1999" s="17">
        <f>COUNTIFS(WTG_BD!L:L,'Basic Data'!T1999,WTG_BD!F:F,"&gt;="&amp;O2Summary!$B$6,WTG_BD!F:F,"&lt;="&amp;O2Summary!$B$4)</f>
        <v>0</v>
      </c>
      <c r="V1999" s="18">
        <f t="shared" si="38"/>
        <v>47</v>
      </c>
    </row>
    <row r="2000" spans="19:22">
      <c r="S2000" s="16">
        <v>3928</v>
      </c>
      <c r="T2000" s="16" t="s">
        <v>2483</v>
      </c>
      <c r="U2000" s="17">
        <f>COUNTIFS(WTG_BD!L:L,'Basic Data'!T2000,WTG_BD!F:F,"&gt;="&amp;O2Summary!$B$6,WTG_BD!F:F,"&lt;="&amp;O2Summary!$B$4)</f>
        <v>0</v>
      </c>
      <c r="V2000" s="18">
        <f t="shared" si="38"/>
        <v>47</v>
      </c>
    </row>
    <row r="2001" spans="19:22">
      <c r="S2001" s="16">
        <v>3929</v>
      </c>
      <c r="T2001" s="16" t="s">
        <v>2484</v>
      </c>
      <c r="U2001" s="17">
        <f>COUNTIFS(WTG_BD!L:L,'Basic Data'!T2001,WTG_BD!F:F,"&gt;="&amp;O2Summary!$B$6,WTG_BD!F:F,"&lt;="&amp;O2Summary!$B$4)</f>
        <v>0</v>
      </c>
      <c r="V2001" s="18">
        <f t="shared" si="38"/>
        <v>47</v>
      </c>
    </row>
    <row r="2002" spans="19:22">
      <c r="S2002" s="16">
        <v>3930</v>
      </c>
      <c r="T2002" s="16" t="s">
        <v>2485</v>
      </c>
      <c r="U2002" s="17">
        <f>COUNTIFS(WTG_BD!L:L,'Basic Data'!T2002,WTG_BD!F:F,"&gt;="&amp;O2Summary!$B$6,WTG_BD!F:F,"&lt;="&amp;O2Summary!$B$4)</f>
        <v>0</v>
      </c>
      <c r="V2002" s="18">
        <f t="shared" si="38"/>
        <v>47</v>
      </c>
    </row>
    <row r="2003" spans="19:22">
      <c r="S2003" s="16">
        <v>3931</v>
      </c>
      <c r="T2003" s="16" t="s">
        <v>2486</v>
      </c>
      <c r="U2003" s="17">
        <f>COUNTIFS(WTG_BD!L:L,'Basic Data'!T2003,WTG_BD!F:F,"&gt;="&amp;O2Summary!$B$6,WTG_BD!F:F,"&lt;="&amp;O2Summary!$B$4)</f>
        <v>0</v>
      </c>
      <c r="V2003" s="18">
        <f t="shared" si="38"/>
        <v>47</v>
      </c>
    </row>
    <row r="2004" spans="19:22">
      <c r="S2004" s="16">
        <v>3932</v>
      </c>
      <c r="T2004" s="16" t="s">
        <v>2487</v>
      </c>
      <c r="U2004" s="17">
        <f>COUNTIFS(WTG_BD!L:L,'Basic Data'!T2004,WTG_BD!F:F,"&gt;="&amp;O2Summary!$B$6,WTG_BD!F:F,"&lt;="&amp;O2Summary!$B$4)</f>
        <v>0</v>
      </c>
      <c r="V2004" s="18">
        <f t="shared" si="38"/>
        <v>47</v>
      </c>
    </row>
    <row r="2005" spans="19:22">
      <c r="S2005" s="16">
        <v>3933</v>
      </c>
      <c r="T2005" s="16" t="s">
        <v>2488</v>
      </c>
      <c r="U2005" s="17">
        <f>COUNTIFS(WTG_BD!L:L,'Basic Data'!T2005,WTG_BD!F:F,"&gt;="&amp;O2Summary!$B$6,WTG_BD!F:F,"&lt;="&amp;O2Summary!$B$4)</f>
        <v>0</v>
      </c>
      <c r="V2005" s="18">
        <f t="shared" si="38"/>
        <v>47</v>
      </c>
    </row>
    <row r="2006" spans="19:22">
      <c r="S2006" s="16">
        <v>3934</v>
      </c>
      <c r="T2006" s="16" t="s">
        <v>2489</v>
      </c>
      <c r="U2006" s="17">
        <f>COUNTIFS(WTG_BD!L:L,'Basic Data'!T2006,WTG_BD!F:F,"&gt;="&amp;O2Summary!$B$6,WTG_BD!F:F,"&lt;="&amp;O2Summary!$B$4)</f>
        <v>0</v>
      </c>
      <c r="V2006" s="18">
        <f t="shared" si="38"/>
        <v>47</v>
      </c>
    </row>
    <row r="2007" spans="19:22">
      <c r="S2007" s="16">
        <v>3935</v>
      </c>
      <c r="T2007" s="16" t="s">
        <v>2490</v>
      </c>
      <c r="U2007" s="17">
        <f>COUNTIFS(WTG_BD!L:L,'Basic Data'!T2007,WTG_BD!F:F,"&gt;="&amp;O2Summary!$B$6,WTG_BD!F:F,"&lt;="&amp;O2Summary!$B$4)</f>
        <v>0</v>
      </c>
      <c r="V2007" s="18">
        <f t="shared" si="38"/>
        <v>47</v>
      </c>
    </row>
    <row r="2008" spans="19:22">
      <c r="S2008" s="16">
        <v>3936</v>
      </c>
      <c r="T2008" s="16" t="s">
        <v>2491</v>
      </c>
      <c r="U2008" s="17">
        <f>COUNTIFS(WTG_BD!L:L,'Basic Data'!T2008,WTG_BD!F:F,"&gt;="&amp;O2Summary!$B$6,WTG_BD!F:F,"&lt;="&amp;O2Summary!$B$4)</f>
        <v>0</v>
      </c>
      <c r="V2008" s="18">
        <f t="shared" si="38"/>
        <v>47</v>
      </c>
    </row>
    <row r="2009" spans="19:22">
      <c r="S2009" s="16">
        <v>3937</v>
      </c>
      <c r="T2009" s="16" t="s">
        <v>2492</v>
      </c>
      <c r="U2009" s="17">
        <f>COUNTIFS(WTG_BD!L:L,'Basic Data'!T2009,WTG_BD!F:F,"&gt;="&amp;O2Summary!$B$6,WTG_BD!F:F,"&lt;="&amp;O2Summary!$B$4)</f>
        <v>0</v>
      </c>
      <c r="V2009" s="18">
        <f t="shared" si="38"/>
        <v>47</v>
      </c>
    </row>
    <row r="2010" spans="19:22">
      <c r="S2010" s="16">
        <v>3938</v>
      </c>
      <c r="T2010" s="16" t="s">
        <v>2493</v>
      </c>
      <c r="U2010" s="17">
        <f>COUNTIFS(WTG_BD!L:L,'Basic Data'!T2010,WTG_BD!F:F,"&gt;="&amp;O2Summary!$B$6,WTG_BD!F:F,"&lt;="&amp;O2Summary!$B$4)</f>
        <v>0</v>
      </c>
      <c r="V2010" s="18">
        <f t="shared" si="38"/>
        <v>47</v>
      </c>
    </row>
    <row r="2011" spans="19:22">
      <c r="S2011" s="16">
        <v>3939</v>
      </c>
      <c r="T2011" s="16" t="s">
        <v>2494</v>
      </c>
      <c r="U2011" s="17">
        <f>COUNTIFS(WTG_BD!L:L,'Basic Data'!T2011,WTG_BD!F:F,"&gt;="&amp;O2Summary!$B$6,WTG_BD!F:F,"&lt;="&amp;O2Summary!$B$4)</f>
        <v>0</v>
      </c>
      <c r="V2011" s="18">
        <f t="shared" si="38"/>
        <v>47</v>
      </c>
    </row>
    <row r="2012" spans="19:22">
      <c r="S2012" s="16">
        <v>3940</v>
      </c>
      <c r="T2012" s="16" t="s">
        <v>2495</v>
      </c>
      <c r="U2012" s="17">
        <f>COUNTIFS(WTG_BD!L:L,'Basic Data'!T2012,WTG_BD!F:F,"&gt;="&amp;O2Summary!$B$6,WTG_BD!F:F,"&lt;="&amp;O2Summary!$B$4)</f>
        <v>0</v>
      </c>
      <c r="V2012" s="18">
        <f t="shared" si="38"/>
        <v>47</v>
      </c>
    </row>
    <row r="2013" spans="19:22">
      <c r="S2013" s="16">
        <v>3941</v>
      </c>
      <c r="T2013" s="16" t="s">
        <v>2496</v>
      </c>
      <c r="U2013" s="17">
        <f>COUNTIFS(WTG_BD!L:L,'Basic Data'!T2013,WTG_BD!F:F,"&gt;="&amp;O2Summary!$B$6,WTG_BD!F:F,"&lt;="&amp;O2Summary!$B$4)</f>
        <v>0</v>
      </c>
      <c r="V2013" s="18">
        <f t="shared" si="38"/>
        <v>47</v>
      </c>
    </row>
    <row r="2014" spans="19:22">
      <c r="S2014" s="16">
        <v>3942</v>
      </c>
      <c r="T2014" s="16" t="s">
        <v>2497</v>
      </c>
      <c r="U2014" s="17">
        <f>COUNTIFS(WTG_BD!L:L,'Basic Data'!T2014,WTG_BD!F:F,"&gt;="&amp;O2Summary!$B$6,WTG_BD!F:F,"&lt;="&amp;O2Summary!$B$4)</f>
        <v>0</v>
      </c>
      <c r="V2014" s="18">
        <f t="shared" si="38"/>
        <v>47</v>
      </c>
    </row>
    <row r="2015" spans="19:22">
      <c r="S2015" s="16">
        <v>3944</v>
      </c>
      <c r="T2015" s="16" t="s">
        <v>2498</v>
      </c>
      <c r="U2015" s="17">
        <f>COUNTIFS(WTG_BD!L:L,'Basic Data'!T2015,WTG_BD!F:F,"&gt;="&amp;O2Summary!$B$6,WTG_BD!F:F,"&lt;="&amp;O2Summary!$B$4)</f>
        <v>0</v>
      </c>
      <c r="V2015" s="18">
        <f t="shared" si="38"/>
        <v>47</v>
      </c>
    </row>
    <row r="2016" spans="19:22">
      <c r="S2016" s="16">
        <v>3945</v>
      </c>
      <c r="T2016" s="16" t="s">
        <v>2499</v>
      </c>
      <c r="U2016" s="17">
        <f>COUNTIFS(WTG_BD!L:L,'Basic Data'!T2016,WTG_BD!F:F,"&gt;="&amp;O2Summary!$B$6,WTG_BD!F:F,"&lt;="&amp;O2Summary!$B$4)</f>
        <v>0</v>
      </c>
      <c r="V2016" s="18">
        <f t="shared" si="38"/>
        <v>47</v>
      </c>
    </row>
    <row r="2017" spans="19:22">
      <c r="S2017" s="16">
        <v>3946</v>
      </c>
      <c r="T2017" s="16" t="s">
        <v>2500</v>
      </c>
      <c r="U2017" s="17">
        <f>COUNTIFS(WTG_BD!L:L,'Basic Data'!T2017,WTG_BD!F:F,"&gt;="&amp;O2Summary!$B$6,WTG_BD!F:F,"&lt;="&amp;O2Summary!$B$4)</f>
        <v>0</v>
      </c>
      <c r="V2017" s="18">
        <f t="shared" si="38"/>
        <v>47</v>
      </c>
    </row>
    <row r="2018" spans="19:22">
      <c r="S2018" s="16">
        <v>3947</v>
      </c>
      <c r="T2018" s="16" t="s">
        <v>2501</v>
      </c>
      <c r="U2018" s="17">
        <f>COUNTIFS(WTG_BD!L:L,'Basic Data'!T2018,WTG_BD!F:F,"&gt;="&amp;O2Summary!$B$6,WTG_BD!F:F,"&lt;="&amp;O2Summary!$B$4)</f>
        <v>0</v>
      </c>
      <c r="V2018" s="18">
        <f t="shared" si="38"/>
        <v>47</v>
      </c>
    </row>
    <row r="2019" spans="19:22">
      <c r="S2019" s="16">
        <v>3948</v>
      </c>
      <c r="T2019" s="16" t="s">
        <v>1793</v>
      </c>
      <c r="U2019" s="17">
        <f>COUNTIFS(WTG_BD!L:L,'Basic Data'!T2019,WTG_BD!F:F,"&gt;="&amp;O2Summary!$B$6,WTG_BD!F:F,"&lt;="&amp;O2Summary!$B$4)</f>
        <v>0</v>
      </c>
      <c r="V2019" s="18">
        <f t="shared" si="38"/>
        <v>47</v>
      </c>
    </row>
    <row r="2020" spans="19:22">
      <c r="S2020" s="16">
        <v>3949</v>
      </c>
      <c r="T2020" s="16" t="s">
        <v>2502</v>
      </c>
      <c r="U2020" s="17">
        <f>COUNTIFS(WTG_BD!L:L,'Basic Data'!T2020,WTG_BD!F:F,"&gt;="&amp;O2Summary!$B$6,WTG_BD!F:F,"&lt;="&amp;O2Summary!$B$4)</f>
        <v>0</v>
      </c>
      <c r="V2020" s="18">
        <f t="shared" si="38"/>
        <v>47</v>
      </c>
    </row>
    <row r="2021" spans="19:22">
      <c r="S2021" s="16">
        <v>3950</v>
      </c>
      <c r="T2021" s="16" t="s">
        <v>2503</v>
      </c>
      <c r="U2021" s="17">
        <f>COUNTIFS(WTG_BD!L:L,'Basic Data'!T2021,WTG_BD!F:F,"&gt;="&amp;O2Summary!$B$6,WTG_BD!F:F,"&lt;="&amp;O2Summary!$B$4)</f>
        <v>0</v>
      </c>
      <c r="V2021" s="18">
        <f t="shared" si="38"/>
        <v>47</v>
      </c>
    </row>
    <row r="2022" spans="19:22">
      <c r="S2022" s="16">
        <v>3951</v>
      </c>
      <c r="T2022" s="16" t="s">
        <v>2504</v>
      </c>
      <c r="U2022" s="17">
        <f>COUNTIFS(WTG_BD!L:L,'Basic Data'!T2022,WTG_BD!F:F,"&gt;="&amp;O2Summary!$B$6,WTG_BD!F:F,"&lt;="&amp;O2Summary!$B$4)</f>
        <v>0</v>
      </c>
      <c r="V2022" s="18">
        <f t="shared" si="38"/>
        <v>47</v>
      </c>
    </row>
    <row r="2023" spans="19:22">
      <c r="S2023" s="16">
        <v>3952</v>
      </c>
      <c r="T2023" s="16" t="s">
        <v>2505</v>
      </c>
      <c r="U2023" s="17">
        <f>COUNTIFS(WTG_BD!L:L,'Basic Data'!T2023,WTG_BD!F:F,"&gt;="&amp;O2Summary!$B$6,WTG_BD!F:F,"&lt;="&amp;O2Summary!$B$4)</f>
        <v>0</v>
      </c>
      <c r="V2023" s="18">
        <f t="shared" si="38"/>
        <v>47</v>
      </c>
    </row>
    <row r="2024" spans="19:22">
      <c r="S2024" s="16">
        <v>3953</v>
      </c>
      <c r="T2024" s="16" t="s">
        <v>2506</v>
      </c>
      <c r="U2024" s="17">
        <f>COUNTIFS(WTG_BD!L:L,'Basic Data'!T2024,WTG_BD!F:F,"&gt;="&amp;O2Summary!$B$6,WTG_BD!F:F,"&lt;="&amp;O2Summary!$B$4)</f>
        <v>0</v>
      </c>
      <c r="V2024" s="18">
        <f t="shared" si="38"/>
        <v>47</v>
      </c>
    </row>
    <row r="2025" spans="19:22">
      <c r="S2025" s="16">
        <v>3954</v>
      </c>
      <c r="T2025" s="16" t="s">
        <v>2507</v>
      </c>
      <c r="U2025" s="17">
        <f>COUNTIFS(WTG_BD!L:L,'Basic Data'!T2025,WTG_BD!F:F,"&gt;="&amp;O2Summary!$B$6,WTG_BD!F:F,"&lt;="&amp;O2Summary!$B$4)</f>
        <v>0</v>
      </c>
      <c r="V2025" s="18">
        <f t="shared" si="38"/>
        <v>47</v>
      </c>
    </row>
    <row r="2026" spans="19:22">
      <c r="S2026" s="16">
        <v>3955</v>
      </c>
      <c r="T2026" s="16" t="s">
        <v>2508</v>
      </c>
      <c r="U2026" s="17">
        <f>COUNTIFS(WTG_BD!L:L,'Basic Data'!T2026,WTG_BD!F:F,"&gt;="&amp;O2Summary!$B$6,WTG_BD!F:F,"&lt;="&amp;O2Summary!$B$4)</f>
        <v>0</v>
      </c>
      <c r="V2026" s="18">
        <f t="shared" si="38"/>
        <v>47</v>
      </c>
    </row>
    <row r="2027" spans="19:22">
      <c r="S2027" s="16">
        <v>3956</v>
      </c>
      <c r="T2027" s="16" t="s">
        <v>2509</v>
      </c>
      <c r="U2027" s="17">
        <f>COUNTIFS(WTG_BD!L:L,'Basic Data'!T2027,WTG_BD!F:F,"&gt;="&amp;O2Summary!$B$6,WTG_BD!F:F,"&lt;="&amp;O2Summary!$B$4)</f>
        <v>0</v>
      </c>
      <c r="V2027" s="18">
        <f t="shared" si="38"/>
        <v>47</v>
      </c>
    </row>
    <row r="2028" spans="19:22">
      <c r="S2028" s="16">
        <v>3957</v>
      </c>
      <c r="T2028" s="16" t="s">
        <v>2510</v>
      </c>
      <c r="U2028" s="17">
        <f>COUNTIFS(WTG_BD!L:L,'Basic Data'!T2028,WTG_BD!F:F,"&gt;="&amp;O2Summary!$B$6,WTG_BD!F:F,"&lt;="&amp;O2Summary!$B$4)</f>
        <v>0</v>
      </c>
      <c r="V2028" s="18">
        <f t="shared" si="38"/>
        <v>47</v>
      </c>
    </row>
    <row r="2029" spans="19:22">
      <c r="S2029" s="16">
        <v>3958</v>
      </c>
      <c r="T2029" s="16" t="s">
        <v>2511</v>
      </c>
      <c r="U2029" s="17">
        <f>COUNTIFS(WTG_BD!L:L,'Basic Data'!T2029,WTG_BD!F:F,"&gt;="&amp;O2Summary!$B$6,WTG_BD!F:F,"&lt;="&amp;O2Summary!$B$4)</f>
        <v>0</v>
      </c>
      <c r="V2029" s="18">
        <f t="shared" si="38"/>
        <v>47</v>
      </c>
    </row>
    <row r="2030" spans="19:22">
      <c r="S2030" s="16">
        <v>3959</v>
      </c>
      <c r="T2030" s="16" t="s">
        <v>2512</v>
      </c>
      <c r="U2030" s="17">
        <f>COUNTIFS(WTG_BD!L:L,'Basic Data'!T2030,WTG_BD!F:F,"&gt;="&amp;O2Summary!$B$6,WTG_BD!F:F,"&lt;="&amp;O2Summary!$B$4)</f>
        <v>0</v>
      </c>
      <c r="V2030" s="18">
        <f t="shared" si="38"/>
        <v>47</v>
      </c>
    </row>
    <row r="2031" spans="19:22">
      <c r="S2031" s="16">
        <v>3960</v>
      </c>
      <c r="T2031" s="16" t="s">
        <v>1666</v>
      </c>
      <c r="U2031" s="17">
        <f>COUNTIFS(WTG_BD!L:L,'Basic Data'!T2031,WTG_BD!F:F,"&gt;="&amp;O2Summary!$B$6,WTG_BD!F:F,"&lt;="&amp;O2Summary!$B$4)</f>
        <v>0</v>
      </c>
      <c r="V2031" s="18">
        <f t="shared" si="38"/>
        <v>47</v>
      </c>
    </row>
    <row r="2032" spans="19:22">
      <c r="S2032" s="16">
        <v>3961</v>
      </c>
      <c r="T2032" s="16" t="s">
        <v>2513</v>
      </c>
      <c r="U2032" s="17">
        <f>COUNTIFS(WTG_BD!L:L,'Basic Data'!T2032,WTG_BD!F:F,"&gt;="&amp;O2Summary!$B$6,WTG_BD!F:F,"&lt;="&amp;O2Summary!$B$4)</f>
        <v>0</v>
      </c>
      <c r="V2032" s="18">
        <f t="shared" si="38"/>
        <v>47</v>
      </c>
    </row>
    <row r="2033" spans="19:22">
      <c r="S2033" s="16">
        <v>3962</v>
      </c>
      <c r="T2033" s="16" t="s">
        <v>2514</v>
      </c>
      <c r="U2033" s="17">
        <f>COUNTIFS(WTG_BD!L:L,'Basic Data'!T2033,WTG_BD!F:F,"&gt;="&amp;O2Summary!$B$6,WTG_BD!F:F,"&lt;="&amp;O2Summary!$B$4)</f>
        <v>0</v>
      </c>
      <c r="V2033" s="18">
        <f t="shared" si="38"/>
        <v>47</v>
      </c>
    </row>
    <row r="2034" spans="19:22">
      <c r="S2034" s="16">
        <v>3963</v>
      </c>
      <c r="T2034" s="16" t="s">
        <v>2515</v>
      </c>
      <c r="U2034" s="17">
        <f>COUNTIFS(WTG_BD!L:L,'Basic Data'!T2034,WTG_BD!F:F,"&gt;="&amp;O2Summary!$B$6,WTG_BD!F:F,"&lt;="&amp;O2Summary!$B$4)</f>
        <v>0</v>
      </c>
      <c r="V2034" s="18">
        <f t="shared" si="38"/>
        <v>47</v>
      </c>
    </row>
    <row r="2035" spans="19:22">
      <c r="S2035" s="16">
        <v>3964</v>
      </c>
      <c r="T2035" s="16" t="s">
        <v>2516</v>
      </c>
      <c r="U2035" s="17">
        <f>COUNTIFS(WTG_BD!L:L,'Basic Data'!T2035,WTG_BD!F:F,"&gt;="&amp;O2Summary!$B$6,WTG_BD!F:F,"&lt;="&amp;O2Summary!$B$4)</f>
        <v>0</v>
      </c>
      <c r="V2035" s="18">
        <f t="shared" si="38"/>
        <v>47</v>
      </c>
    </row>
    <row r="2036" spans="19:22">
      <c r="S2036" s="16">
        <v>3965</v>
      </c>
      <c r="T2036" s="16" t="s">
        <v>2517</v>
      </c>
      <c r="U2036" s="17">
        <f>COUNTIFS(WTG_BD!L:L,'Basic Data'!T2036,WTG_BD!F:F,"&gt;="&amp;O2Summary!$B$6,WTG_BD!F:F,"&lt;="&amp;O2Summary!$B$4)</f>
        <v>0</v>
      </c>
      <c r="V2036" s="18">
        <f t="shared" si="38"/>
        <v>47</v>
      </c>
    </row>
    <row r="2037" spans="19:22">
      <c r="S2037" s="16">
        <v>3966</v>
      </c>
      <c r="T2037" s="16" t="s">
        <v>2518</v>
      </c>
      <c r="U2037" s="17">
        <f>COUNTIFS(WTG_BD!L:L,'Basic Data'!T2037,WTG_BD!F:F,"&gt;="&amp;O2Summary!$B$6,WTG_BD!F:F,"&lt;="&amp;O2Summary!$B$4)</f>
        <v>0</v>
      </c>
      <c r="V2037" s="18">
        <f t="shared" si="38"/>
        <v>47</v>
      </c>
    </row>
    <row r="2038" spans="19:22">
      <c r="S2038" s="16">
        <v>3967</v>
      </c>
      <c r="T2038" s="16" t="s">
        <v>2519</v>
      </c>
      <c r="U2038" s="17">
        <f>COUNTIFS(WTG_BD!L:L,'Basic Data'!T2038,WTG_BD!F:F,"&gt;="&amp;O2Summary!$B$6,WTG_BD!F:F,"&lt;="&amp;O2Summary!$B$4)</f>
        <v>0</v>
      </c>
      <c r="V2038" s="18">
        <f t="shared" si="38"/>
        <v>47</v>
      </c>
    </row>
    <row r="2039" spans="19:22">
      <c r="S2039" s="16">
        <v>3968</v>
      </c>
      <c r="T2039" s="16" t="s">
        <v>2520</v>
      </c>
      <c r="U2039" s="17">
        <f>COUNTIFS(WTG_BD!L:L,'Basic Data'!T2039,WTG_BD!F:F,"&gt;="&amp;O2Summary!$B$6,WTG_BD!F:F,"&lt;="&amp;O2Summary!$B$4)</f>
        <v>0</v>
      </c>
      <c r="V2039" s="18">
        <f t="shared" si="38"/>
        <v>47</v>
      </c>
    </row>
    <row r="2040" spans="19:22">
      <c r="S2040" s="16">
        <v>3969</v>
      </c>
      <c r="T2040" s="16" t="s">
        <v>2521</v>
      </c>
      <c r="U2040" s="17">
        <f>COUNTIFS(WTG_BD!L:L,'Basic Data'!T2040,WTG_BD!F:F,"&gt;="&amp;O2Summary!$B$6,WTG_BD!F:F,"&lt;="&amp;O2Summary!$B$4)</f>
        <v>0</v>
      </c>
      <c r="V2040" s="18">
        <f t="shared" si="38"/>
        <v>47</v>
      </c>
    </row>
    <row r="2041" spans="19:22">
      <c r="S2041" s="16">
        <v>3970</v>
      </c>
      <c r="T2041" s="16" t="s">
        <v>2522</v>
      </c>
      <c r="U2041" s="17">
        <f>COUNTIFS(WTG_BD!L:L,'Basic Data'!T2041,WTG_BD!F:F,"&gt;="&amp;O2Summary!$B$6,WTG_BD!F:F,"&lt;="&amp;O2Summary!$B$4)</f>
        <v>0</v>
      </c>
      <c r="V2041" s="18">
        <f t="shared" si="38"/>
        <v>47</v>
      </c>
    </row>
    <row r="2042" spans="19:22">
      <c r="S2042" s="16">
        <v>3971</v>
      </c>
      <c r="T2042" s="16" t="s">
        <v>2523</v>
      </c>
      <c r="U2042" s="17">
        <f>COUNTIFS(WTG_BD!L:L,'Basic Data'!T2042,WTG_BD!F:F,"&gt;="&amp;O2Summary!$B$6,WTG_BD!F:F,"&lt;="&amp;O2Summary!$B$4)</f>
        <v>0</v>
      </c>
      <c r="V2042" s="18">
        <f t="shared" si="38"/>
        <v>47</v>
      </c>
    </row>
    <row r="2043" spans="19:22">
      <c r="S2043" s="16">
        <v>3972</v>
      </c>
      <c r="T2043" s="16" t="s">
        <v>2524</v>
      </c>
      <c r="U2043" s="17">
        <f>COUNTIFS(WTG_BD!L:L,'Basic Data'!T2043,WTG_BD!F:F,"&gt;="&amp;O2Summary!$B$6,WTG_BD!F:F,"&lt;="&amp;O2Summary!$B$4)</f>
        <v>0</v>
      </c>
      <c r="V2043" s="18">
        <f t="shared" si="38"/>
        <v>47</v>
      </c>
    </row>
    <row r="2044" spans="19:22">
      <c r="S2044" s="16">
        <v>3973</v>
      </c>
      <c r="T2044" s="16" t="s">
        <v>2525</v>
      </c>
      <c r="U2044" s="17">
        <f>COUNTIFS(WTG_BD!L:L,'Basic Data'!T2044,WTG_BD!F:F,"&gt;="&amp;O2Summary!$B$6,WTG_BD!F:F,"&lt;="&amp;O2Summary!$B$4)</f>
        <v>0</v>
      </c>
      <c r="V2044" s="18">
        <f t="shared" si="38"/>
        <v>47</v>
      </c>
    </row>
    <row r="2045" spans="19:22">
      <c r="S2045" s="16">
        <v>3974</v>
      </c>
      <c r="T2045" s="16" t="s">
        <v>2526</v>
      </c>
      <c r="U2045" s="17">
        <f>COUNTIFS(WTG_BD!L:L,'Basic Data'!T2045,WTG_BD!F:F,"&gt;="&amp;O2Summary!$B$6,WTG_BD!F:F,"&lt;="&amp;O2Summary!$B$4)</f>
        <v>0</v>
      </c>
      <c r="V2045" s="18">
        <f t="shared" si="38"/>
        <v>47</v>
      </c>
    </row>
    <row r="2046" spans="19:22">
      <c r="S2046" s="16">
        <v>3975</v>
      </c>
      <c r="T2046" s="16" t="s">
        <v>2527</v>
      </c>
      <c r="U2046" s="17">
        <f>COUNTIFS(WTG_BD!L:L,'Basic Data'!T2046,WTG_BD!F:F,"&gt;="&amp;O2Summary!$B$6,WTG_BD!F:F,"&lt;="&amp;O2Summary!$B$4)</f>
        <v>0</v>
      </c>
      <c r="V2046" s="18">
        <f t="shared" si="38"/>
        <v>47</v>
      </c>
    </row>
    <row r="2047" spans="19:22">
      <c r="S2047" s="16">
        <v>3976</v>
      </c>
      <c r="T2047" s="16" t="s">
        <v>2528</v>
      </c>
      <c r="U2047" s="17">
        <f>COUNTIFS(WTG_BD!L:L,'Basic Data'!T2047,WTG_BD!F:F,"&gt;="&amp;O2Summary!$B$6,WTG_BD!F:F,"&lt;="&amp;O2Summary!$B$4)</f>
        <v>0</v>
      </c>
      <c r="V2047" s="18">
        <f t="shared" si="38"/>
        <v>47</v>
      </c>
    </row>
    <row r="2048" spans="19:22">
      <c r="S2048" s="16">
        <v>3977</v>
      </c>
      <c r="T2048" s="16" t="s">
        <v>2529</v>
      </c>
      <c r="U2048" s="17">
        <f>COUNTIFS(WTG_BD!L:L,'Basic Data'!T2048,WTG_BD!F:F,"&gt;="&amp;O2Summary!$B$6,WTG_BD!F:F,"&lt;="&amp;O2Summary!$B$4)</f>
        <v>0</v>
      </c>
      <c r="V2048" s="18">
        <f t="shared" si="38"/>
        <v>47</v>
      </c>
    </row>
    <row r="2049" spans="19:22">
      <c r="S2049" s="16">
        <v>3978</v>
      </c>
      <c r="T2049" s="16" t="s">
        <v>2530</v>
      </c>
      <c r="U2049" s="17">
        <f>COUNTIFS(WTG_BD!L:L,'Basic Data'!T2049,WTG_BD!F:F,"&gt;="&amp;O2Summary!$B$6,WTG_BD!F:F,"&lt;="&amp;O2Summary!$B$4)</f>
        <v>0</v>
      </c>
      <c r="V2049" s="18">
        <f t="shared" si="38"/>
        <v>47</v>
      </c>
    </row>
    <row r="2050" spans="19:22">
      <c r="S2050" s="16">
        <v>3979</v>
      </c>
      <c r="T2050" s="16" t="s">
        <v>2531</v>
      </c>
      <c r="U2050" s="17">
        <f>COUNTIFS(WTG_BD!L:L,'Basic Data'!T2050,WTG_BD!F:F,"&gt;="&amp;O2Summary!$B$6,WTG_BD!F:F,"&lt;="&amp;O2Summary!$B$4)</f>
        <v>0</v>
      </c>
      <c r="V2050" s="18">
        <f t="shared" si="38"/>
        <v>47</v>
      </c>
    </row>
    <row r="2051" spans="19:22">
      <c r="S2051" s="16">
        <v>3980</v>
      </c>
      <c r="T2051" s="16" t="s">
        <v>2532</v>
      </c>
      <c r="U2051" s="17">
        <f>COUNTIFS(WTG_BD!L:L,'Basic Data'!T2051,WTG_BD!F:F,"&gt;="&amp;O2Summary!$B$6,WTG_BD!F:F,"&lt;="&amp;O2Summary!$B$4)</f>
        <v>0</v>
      </c>
      <c r="V2051" s="18">
        <f t="shared" ref="V2051:V2114" si="39">RANK(U2051,$U$2:$U$3975)</f>
        <v>47</v>
      </c>
    </row>
    <row r="2052" spans="19:22">
      <c r="S2052" s="16">
        <v>3981</v>
      </c>
      <c r="T2052" s="16" t="s">
        <v>2533</v>
      </c>
      <c r="U2052" s="17">
        <f>COUNTIFS(WTG_BD!L:L,'Basic Data'!T2052,WTG_BD!F:F,"&gt;="&amp;O2Summary!$B$6,WTG_BD!F:F,"&lt;="&amp;O2Summary!$B$4)</f>
        <v>0</v>
      </c>
      <c r="V2052" s="18">
        <f t="shared" si="39"/>
        <v>47</v>
      </c>
    </row>
    <row r="2053" spans="19:22">
      <c r="S2053" s="16">
        <v>3982</v>
      </c>
      <c r="T2053" s="16" t="s">
        <v>2534</v>
      </c>
      <c r="U2053" s="17">
        <f>COUNTIFS(WTG_BD!L:L,'Basic Data'!T2053,WTG_BD!F:F,"&gt;="&amp;O2Summary!$B$6,WTG_BD!F:F,"&lt;="&amp;O2Summary!$B$4)</f>
        <v>0</v>
      </c>
      <c r="V2053" s="18">
        <f t="shared" si="39"/>
        <v>47</v>
      </c>
    </row>
    <row r="2054" spans="19:22">
      <c r="S2054" s="16">
        <v>3983</v>
      </c>
      <c r="T2054" s="16" t="s">
        <v>2535</v>
      </c>
      <c r="U2054" s="17">
        <f>COUNTIFS(WTG_BD!L:L,'Basic Data'!T2054,WTG_BD!F:F,"&gt;="&amp;O2Summary!$B$6,WTG_BD!F:F,"&lt;="&amp;O2Summary!$B$4)</f>
        <v>0</v>
      </c>
      <c r="V2054" s="18">
        <f t="shared" si="39"/>
        <v>47</v>
      </c>
    </row>
    <row r="2055" spans="19:22">
      <c r="S2055" s="16">
        <v>3984</v>
      </c>
      <c r="T2055" s="16" t="s">
        <v>2536</v>
      </c>
      <c r="U2055" s="17">
        <f>COUNTIFS(WTG_BD!L:L,'Basic Data'!T2055,WTG_BD!F:F,"&gt;="&amp;O2Summary!$B$6,WTG_BD!F:F,"&lt;="&amp;O2Summary!$B$4)</f>
        <v>0</v>
      </c>
      <c r="V2055" s="18">
        <f t="shared" si="39"/>
        <v>47</v>
      </c>
    </row>
    <row r="2056" spans="19:22">
      <c r="S2056" s="16">
        <v>3985</v>
      </c>
      <c r="T2056" s="16" t="s">
        <v>2537</v>
      </c>
      <c r="U2056" s="17">
        <f>COUNTIFS(WTG_BD!L:L,'Basic Data'!T2056,WTG_BD!F:F,"&gt;="&amp;O2Summary!$B$6,WTG_BD!F:F,"&lt;="&amp;O2Summary!$B$4)</f>
        <v>0</v>
      </c>
      <c r="V2056" s="18">
        <f t="shared" si="39"/>
        <v>47</v>
      </c>
    </row>
    <row r="2057" spans="19:22">
      <c r="S2057" s="16">
        <v>3986</v>
      </c>
      <c r="T2057" s="16" t="s">
        <v>2538</v>
      </c>
      <c r="U2057" s="17">
        <f>COUNTIFS(WTG_BD!L:L,'Basic Data'!T2057,WTG_BD!F:F,"&gt;="&amp;O2Summary!$B$6,WTG_BD!F:F,"&lt;="&amp;O2Summary!$B$4)</f>
        <v>0</v>
      </c>
      <c r="V2057" s="18">
        <f t="shared" si="39"/>
        <v>47</v>
      </c>
    </row>
    <row r="2058" spans="19:22">
      <c r="S2058" s="16">
        <v>3987</v>
      </c>
      <c r="T2058" s="16" t="s">
        <v>2539</v>
      </c>
      <c r="U2058" s="17">
        <f>COUNTIFS(WTG_BD!L:L,'Basic Data'!T2058,WTG_BD!F:F,"&gt;="&amp;O2Summary!$B$6,WTG_BD!F:F,"&lt;="&amp;O2Summary!$B$4)</f>
        <v>0</v>
      </c>
      <c r="V2058" s="18">
        <f t="shared" si="39"/>
        <v>47</v>
      </c>
    </row>
    <row r="2059" spans="19:22">
      <c r="S2059" s="16">
        <v>3988</v>
      </c>
      <c r="T2059" s="16" t="s">
        <v>2540</v>
      </c>
      <c r="U2059" s="17">
        <f>COUNTIFS(WTG_BD!L:L,'Basic Data'!T2059,WTG_BD!F:F,"&gt;="&amp;O2Summary!$B$6,WTG_BD!F:F,"&lt;="&amp;O2Summary!$B$4)</f>
        <v>0</v>
      </c>
      <c r="V2059" s="18">
        <f t="shared" si="39"/>
        <v>47</v>
      </c>
    </row>
    <row r="2060" spans="19:22">
      <c r="S2060" s="16">
        <v>3989</v>
      </c>
      <c r="T2060" s="16" t="s">
        <v>2541</v>
      </c>
      <c r="U2060" s="17">
        <f>COUNTIFS(WTG_BD!L:L,'Basic Data'!T2060,WTG_BD!F:F,"&gt;="&amp;O2Summary!$B$6,WTG_BD!F:F,"&lt;="&amp;O2Summary!$B$4)</f>
        <v>0</v>
      </c>
      <c r="V2060" s="18">
        <f t="shared" si="39"/>
        <v>47</v>
      </c>
    </row>
    <row r="2061" spans="19:22">
      <c r="S2061" s="16">
        <v>3990</v>
      </c>
      <c r="T2061" s="16" t="s">
        <v>2542</v>
      </c>
      <c r="U2061" s="17">
        <f>COUNTIFS(WTG_BD!L:L,'Basic Data'!T2061,WTG_BD!F:F,"&gt;="&amp;O2Summary!$B$6,WTG_BD!F:F,"&lt;="&amp;O2Summary!$B$4)</f>
        <v>0</v>
      </c>
      <c r="V2061" s="18">
        <f t="shared" si="39"/>
        <v>47</v>
      </c>
    </row>
    <row r="2062" spans="19:22">
      <c r="S2062" s="16">
        <v>3991</v>
      </c>
      <c r="T2062" s="16" t="s">
        <v>2543</v>
      </c>
      <c r="U2062" s="17">
        <f>COUNTIFS(WTG_BD!L:L,'Basic Data'!T2062,WTG_BD!F:F,"&gt;="&amp;O2Summary!$B$6,WTG_BD!F:F,"&lt;="&amp;O2Summary!$B$4)</f>
        <v>0</v>
      </c>
      <c r="V2062" s="18">
        <f t="shared" si="39"/>
        <v>47</v>
      </c>
    </row>
    <row r="2063" spans="19:22">
      <c r="S2063" s="16">
        <v>3992</v>
      </c>
      <c r="T2063" s="16" t="s">
        <v>2544</v>
      </c>
      <c r="U2063" s="17">
        <f>COUNTIFS(WTG_BD!L:L,'Basic Data'!T2063,WTG_BD!F:F,"&gt;="&amp;O2Summary!$B$6,WTG_BD!F:F,"&lt;="&amp;O2Summary!$B$4)</f>
        <v>0</v>
      </c>
      <c r="V2063" s="18">
        <f t="shared" si="39"/>
        <v>47</v>
      </c>
    </row>
    <row r="2064" spans="19:22">
      <c r="S2064" s="16">
        <v>3993</v>
      </c>
      <c r="T2064" s="16" t="s">
        <v>2545</v>
      </c>
      <c r="U2064" s="17">
        <f>COUNTIFS(WTG_BD!L:L,'Basic Data'!T2064,WTG_BD!F:F,"&gt;="&amp;O2Summary!$B$6,WTG_BD!F:F,"&lt;="&amp;O2Summary!$B$4)</f>
        <v>0</v>
      </c>
      <c r="V2064" s="18">
        <f t="shared" si="39"/>
        <v>47</v>
      </c>
    </row>
    <row r="2065" spans="19:22">
      <c r="S2065" s="16">
        <v>3994</v>
      </c>
      <c r="T2065" s="16" t="s">
        <v>2546</v>
      </c>
      <c r="U2065" s="17">
        <f>COUNTIFS(WTG_BD!L:L,'Basic Data'!T2065,WTG_BD!F:F,"&gt;="&amp;O2Summary!$B$6,WTG_BD!F:F,"&lt;="&amp;O2Summary!$B$4)</f>
        <v>0</v>
      </c>
      <c r="V2065" s="18">
        <f t="shared" si="39"/>
        <v>47</v>
      </c>
    </row>
    <row r="2066" spans="19:22">
      <c r="S2066" s="16">
        <v>4004</v>
      </c>
      <c r="T2066" s="16" t="s">
        <v>2547</v>
      </c>
      <c r="U2066" s="17">
        <f>COUNTIFS(WTG_BD!L:L,'Basic Data'!T2066,WTG_BD!F:F,"&gt;="&amp;O2Summary!$B$6,WTG_BD!F:F,"&lt;="&amp;O2Summary!$B$4)</f>
        <v>0</v>
      </c>
      <c r="V2066" s="18">
        <f t="shared" si="39"/>
        <v>47</v>
      </c>
    </row>
    <row r="2067" spans="19:22">
      <c r="S2067" s="16">
        <v>4005</v>
      </c>
      <c r="T2067" s="16" t="s">
        <v>2548</v>
      </c>
      <c r="U2067" s="17">
        <f>COUNTIFS(WTG_BD!L:L,'Basic Data'!T2067,WTG_BD!F:F,"&gt;="&amp;O2Summary!$B$6,WTG_BD!F:F,"&lt;="&amp;O2Summary!$B$4)</f>
        <v>0</v>
      </c>
      <c r="V2067" s="18">
        <f t="shared" si="39"/>
        <v>47</v>
      </c>
    </row>
    <row r="2068" spans="19:22">
      <c r="S2068" s="16">
        <v>4006</v>
      </c>
      <c r="T2068" s="16" t="s">
        <v>2549</v>
      </c>
      <c r="U2068" s="17">
        <f>COUNTIFS(WTG_BD!L:L,'Basic Data'!T2068,WTG_BD!F:F,"&gt;="&amp;O2Summary!$B$6,WTG_BD!F:F,"&lt;="&amp;O2Summary!$B$4)</f>
        <v>0</v>
      </c>
      <c r="V2068" s="18">
        <f t="shared" si="39"/>
        <v>47</v>
      </c>
    </row>
    <row r="2069" spans="19:22">
      <c r="S2069" s="16">
        <v>4007</v>
      </c>
      <c r="T2069" s="16" t="s">
        <v>2550</v>
      </c>
      <c r="U2069" s="17">
        <f>COUNTIFS(WTG_BD!L:L,'Basic Data'!T2069,WTG_BD!F:F,"&gt;="&amp;O2Summary!$B$6,WTG_BD!F:F,"&lt;="&amp;O2Summary!$B$4)</f>
        <v>0</v>
      </c>
      <c r="V2069" s="18">
        <f t="shared" si="39"/>
        <v>47</v>
      </c>
    </row>
    <row r="2070" spans="19:22">
      <c r="S2070" s="16">
        <v>4008</v>
      </c>
      <c r="T2070" s="16" t="s">
        <v>2551</v>
      </c>
      <c r="U2070" s="17">
        <f>COUNTIFS(WTG_BD!L:L,'Basic Data'!T2070,WTG_BD!F:F,"&gt;="&amp;O2Summary!$B$6,WTG_BD!F:F,"&lt;="&amp;O2Summary!$B$4)</f>
        <v>0</v>
      </c>
      <c r="V2070" s="18">
        <f t="shared" si="39"/>
        <v>47</v>
      </c>
    </row>
    <row r="2071" spans="19:22">
      <c r="S2071" s="16">
        <v>4009</v>
      </c>
      <c r="T2071" s="16" t="s">
        <v>2552</v>
      </c>
      <c r="U2071" s="17">
        <f>COUNTIFS(WTG_BD!L:L,'Basic Data'!T2071,WTG_BD!F:F,"&gt;="&amp;O2Summary!$B$6,WTG_BD!F:F,"&lt;="&amp;O2Summary!$B$4)</f>
        <v>0</v>
      </c>
      <c r="V2071" s="18">
        <f t="shared" si="39"/>
        <v>47</v>
      </c>
    </row>
    <row r="2072" spans="19:22">
      <c r="S2072" s="16">
        <v>4010</v>
      </c>
      <c r="T2072" s="16" t="s">
        <v>2553</v>
      </c>
      <c r="U2072" s="17">
        <f>COUNTIFS(WTG_BD!L:L,'Basic Data'!T2072,WTG_BD!F:F,"&gt;="&amp;O2Summary!$B$6,WTG_BD!F:F,"&lt;="&amp;O2Summary!$B$4)</f>
        <v>0</v>
      </c>
      <c r="V2072" s="18">
        <f t="shared" si="39"/>
        <v>47</v>
      </c>
    </row>
    <row r="2073" spans="19:22">
      <c r="S2073" s="16">
        <v>4011</v>
      </c>
      <c r="T2073" s="16" t="s">
        <v>2554</v>
      </c>
      <c r="U2073" s="17">
        <f>COUNTIFS(WTG_BD!L:L,'Basic Data'!T2073,WTG_BD!F:F,"&gt;="&amp;O2Summary!$B$6,WTG_BD!F:F,"&lt;="&amp;O2Summary!$B$4)</f>
        <v>0</v>
      </c>
      <c r="V2073" s="18">
        <f t="shared" si="39"/>
        <v>47</v>
      </c>
    </row>
    <row r="2074" spans="19:22">
      <c r="S2074" s="16">
        <v>4012</v>
      </c>
      <c r="T2074" s="16" t="s">
        <v>2555</v>
      </c>
      <c r="U2074" s="17">
        <f>COUNTIFS(WTG_BD!L:L,'Basic Data'!T2074,WTG_BD!F:F,"&gt;="&amp;O2Summary!$B$6,WTG_BD!F:F,"&lt;="&amp;O2Summary!$B$4)</f>
        <v>0</v>
      </c>
      <c r="V2074" s="18">
        <f t="shared" si="39"/>
        <v>47</v>
      </c>
    </row>
    <row r="2075" spans="19:22">
      <c r="S2075" s="16">
        <v>4013</v>
      </c>
      <c r="T2075" s="16" t="s">
        <v>2556</v>
      </c>
      <c r="U2075" s="17">
        <f>COUNTIFS(WTG_BD!L:L,'Basic Data'!T2075,WTG_BD!F:F,"&gt;="&amp;O2Summary!$B$6,WTG_BD!F:F,"&lt;="&amp;O2Summary!$B$4)</f>
        <v>0</v>
      </c>
      <c r="V2075" s="18">
        <f t="shared" si="39"/>
        <v>47</v>
      </c>
    </row>
    <row r="2076" spans="19:22">
      <c r="S2076" s="16">
        <v>4014</v>
      </c>
      <c r="T2076" s="16" t="s">
        <v>2557</v>
      </c>
      <c r="U2076" s="17">
        <f>COUNTIFS(WTG_BD!L:L,'Basic Data'!T2076,WTG_BD!F:F,"&gt;="&amp;O2Summary!$B$6,WTG_BD!F:F,"&lt;="&amp;O2Summary!$B$4)</f>
        <v>0</v>
      </c>
      <c r="V2076" s="18">
        <f t="shared" si="39"/>
        <v>47</v>
      </c>
    </row>
    <row r="2077" spans="19:22">
      <c r="S2077" s="16">
        <v>4015</v>
      </c>
      <c r="T2077" s="16" t="s">
        <v>2558</v>
      </c>
      <c r="U2077" s="17">
        <f>COUNTIFS(WTG_BD!L:L,'Basic Data'!T2077,WTG_BD!F:F,"&gt;="&amp;O2Summary!$B$6,WTG_BD!F:F,"&lt;="&amp;O2Summary!$B$4)</f>
        <v>0</v>
      </c>
      <c r="V2077" s="18">
        <f t="shared" si="39"/>
        <v>47</v>
      </c>
    </row>
    <row r="2078" spans="19:22">
      <c r="S2078" s="16">
        <v>4016</v>
      </c>
      <c r="T2078" s="16" t="s">
        <v>2559</v>
      </c>
      <c r="U2078" s="17">
        <f>COUNTIFS(WTG_BD!L:L,'Basic Data'!T2078,WTG_BD!F:F,"&gt;="&amp;O2Summary!$B$6,WTG_BD!F:F,"&lt;="&amp;O2Summary!$B$4)</f>
        <v>0</v>
      </c>
      <c r="V2078" s="18">
        <f t="shared" si="39"/>
        <v>47</v>
      </c>
    </row>
    <row r="2079" spans="19:22">
      <c r="S2079" s="16">
        <v>4017</v>
      </c>
      <c r="T2079" s="16" t="s">
        <v>2560</v>
      </c>
      <c r="U2079" s="17">
        <f>COUNTIFS(WTG_BD!L:L,'Basic Data'!T2079,WTG_BD!F:F,"&gt;="&amp;O2Summary!$B$6,WTG_BD!F:F,"&lt;="&amp;O2Summary!$B$4)</f>
        <v>0</v>
      </c>
      <c r="V2079" s="18">
        <f t="shared" si="39"/>
        <v>47</v>
      </c>
    </row>
    <row r="2080" spans="19:22">
      <c r="S2080" s="16">
        <v>4018</v>
      </c>
      <c r="T2080" s="16" t="s">
        <v>2561</v>
      </c>
      <c r="U2080" s="17">
        <f>COUNTIFS(WTG_BD!L:L,'Basic Data'!T2080,WTG_BD!F:F,"&gt;="&amp;O2Summary!$B$6,WTG_BD!F:F,"&lt;="&amp;O2Summary!$B$4)</f>
        <v>0</v>
      </c>
      <c r="V2080" s="18">
        <f t="shared" si="39"/>
        <v>47</v>
      </c>
    </row>
    <row r="2081" spans="19:22">
      <c r="S2081" s="16">
        <v>4019</v>
      </c>
      <c r="T2081" s="16" t="s">
        <v>2562</v>
      </c>
      <c r="U2081" s="17">
        <f>COUNTIFS(WTG_BD!L:L,'Basic Data'!T2081,WTG_BD!F:F,"&gt;="&amp;O2Summary!$B$6,WTG_BD!F:F,"&lt;="&amp;O2Summary!$B$4)</f>
        <v>0</v>
      </c>
      <c r="V2081" s="18">
        <f t="shared" si="39"/>
        <v>47</v>
      </c>
    </row>
    <row r="2082" spans="19:22">
      <c r="S2082" s="16">
        <v>4025</v>
      </c>
      <c r="T2082" s="16" t="s">
        <v>2563</v>
      </c>
      <c r="U2082" s="17">
        <f>COUNTIFS(WTG_BD!L:L,'Basic Data'!T2082,WTG_BD!F:F,"&gt;="&amp;O2Summary!$B$6,WTG_BD!F:F,"&lt;="&amp;O2Summary!$B$4)</f>
        <v>0</v>
      </c>
      <c r="V2082" s="18">
        <f t="shared" si="39"/>
        <v>47</v>
      </c>
    </row>
    <row r="2083" spans="19:22">
      <c r="S2083" s="16">
        <v>4026</v>
      </c>
      <c r="T2083" s="16" t="s">
        <v>2564</v>
      </c>
      <c r="U2083" s="17">
        <f>COUNTIFS(WTG_BD!L:L,'Basic Data'!T2083,WTG_BD!F:F,"&gt;="&amp;O2Summary!$B$6,WTG_BD!F:F,"&lt;="&amp;O2Summary!$B$4)</f>
        <v>0</v>
      </c>
      <c r="V2083" s="18">
        <f t="shared" si="39"/>
        <v>47</v>
      </c>
    </row>
    <row r="2084" spans="19:22">
      <c r="S2084" s="16">
        <v>4027</v>
      </c>
      <c r="T2084" s="16" t="s">
        <v>2565</v>
      </c>
      <c r="U2084" s="17">
        <f>COUNTIFS(WTG_BD!L:L,'Basic Data'!T2084,WTG_BD!F:F,"&gt;="&amp;O2Summary!$B$6,WTG_BD!F:F,"&lt;="&amp;O2Summary!$B$4)</f>
        <v>0</v>
      </c>
      <c r="V2084" s="18">
        <f t="shared" si="39"/>
        <v>47</v>
      </c>
    </row>
    <row r="2085" spans="19:22">
      <c r="S2085" s="16">
        <v>4028</v>
      </c>
      <c r="T2085" s="16" t="s">
        <v>2566</v>
      </c>
      <c r="U2085" s="17">
        <f>COUNTIFS(WTG_BD!L:L,'Basic Data'!T2085,WTG_BD!F:F,"&gt;="&amp;O2Summary!$B$6,WTG_BD!F:F,"&lt;="&amp;O2Summary!$B$4)</f>
        <v>0</v>
      </c>
      <c r="V2085" s="18">
        <f t="shared" si="39"/>
        <v>47</v>
      </c>
    </row>
    <row r="2086" spans="19:22">
      <c r="S2086" s="16">
        <v>4029</v>
      </c>
      <c r="T2086" s="16" t="s">
        <v>2567</v>
      </c>
      <c r="U2086" s="17">
        <f>COUNTIFS(WTG_BD!L:L,'Basic Data'!T2086,WTG_BD!F:F,"&gt;="&amp;O2Summary!$B$6,WTG_BD!F:F,"&lt;="&amp;O2Summary!$B$4)</f>
        <v>0</v>
      </c>
      <c r="V2086" s="18">
        <f t="shared" si="39"/>
        <v>47</v>
      </c>
    </row>
    <row r="2087" spans="19:22">
      <c r="S2087" s="16">
        <v>4030</v>
      </c>
      <c r="T2087" s="16" t="s">
        <v>2568</v>
      </c>
      <c r="U2087" s="17">
        <f>COUNTIFS(WTG_BD!L:L,'Basic Data'!T2087,WTG_BD!F:F,"&gt;="&amp;O2Summary!$B$6,WTG_BD!F:F,"&lt;="&amp;O2Summary!$B$4)</f>
        <v>0</v>
      </c>
      <c r="V2087" s="18">
        <f t="shared" si="39"/>
        <v>47</v>
      </c>
    </row>
    <row r="2088" spans="19:22">
      <c r="S2088" s="16">
        <v>4033</v>
      </c>
      <c r="T2088" s="16" t="s">
        <v>2569</v>
      </c>
      <c r="U2088" s="17">
        <f>COUNTIFS(WTG_BD!L:L,'Basic Data'!T2088,WTG_BD!F:F,"&gt;="&amp;O2Summary!$B$6,WTG_BD!F:F,"&lt;="&amp;O2Summary!$B$4)</f>
        <v>0</v>
      </c>
      <c r="V2088" s="18">
        <f t="shared" si="39"/>
        <v>47</v>
      </c>
    </row>
    <row r="2089" spans="19:22">
      <c r="S2089" s="16">
        <v>4034</v>
      </c>
      <c r="T2089" s="16" t="s">
        <v>2570</v>
      </c>
      <c r="U2089" s="17">
        <f>COUNTIFS(WTG_BD!L:L,'Basic Data'!T2089,WTG_BD!F:F,"&gt;="&amp;O2Summary!$B$6,WTG_BD!F:F,"&lt;="&amp;O2Summary!$B$4)</f>
        <v>0</v>
      </c>
      <c r="V2089" s="18">
        <f t="shared" si="39"/>
        <v>47</v>
      </c>
    </row>
    <row r="2090" spans="19:22">
      <c r="S2090" s="16">
        <v>4035</v>
      </c>
      <c r="T2090" s="16" t="s">
        <v>2571</v>
      </c>
      <c r="U2090" s="17">
        <f>COUNTIFS(WTG_BD!L:L,'Basic Data'!T2090,WTG_BD!F:F,"&gt;="&amp;O2Summary!$B$6,WTG_BD!F:F,"&lt;="&amp;O2Summary!$B$4)</f>
        <v>0</v>
      </c>
      <c r="V2090" s="18">
        <f t="shared" si="39"/>
        <v>47</v>
      </c>
    </row>
    <row r="2091" spans="19:22">
      <c r="S2091" s="16">
        <v>4036</v>
      </c>
      <c r="T2091" s="16" t="s">
        <v>2572</v>
      </c>
      <c r="U2091" s="17">
        <f>COUNTIFS(WTG_BD!L:L,'Basic Data'!T2091,WTG_BD!F:F,"&gt;="&amp;O2Summary!$B$6,WTG_BD!F:F,"&lt;="&amp;O2Summary!$B$4)</f>
        <v>0</v>
      </c>
      <c r="V2091" s="18">
        <f t="shared" si="39"/>
        <v>47</v>
      </c>
    </row>
    <row r="2092" spans="19:22">
      <c r="S2092" s="16">
        <v>4039</v>
      </c>
      <c r="T2092" s="16" t="s">
        <v>2573</v>
      </c>
      <c r="U2092" s="17">
        <f>COUNTIFS(WTG_BD!L:L,'Basic Data'!T2092,WTG_BD!F:F,"&gt;="&amp;O2Summary!$B$6,WTG_BD!F:F,"&lt;="&amp;O2Summary!$B$4)</f>
        <v>0</v>
      </c>
      <c r="V2092" s="18">
        <f t="shared" si="39"/>
        <v>47</v>
      </c>
    </row>
    <row r="2093" spans="19:22">
      <c r="S2093" s="16">
        <v>4040</v>
      </c>
      <c r="T2093" s="16" t="s">
        <v>2574</v>
      </c>
      <c r="U2093" s="17">
        <f>COUNTIFS(WTG_BD!L:L,'Basic Data'!T2093,WTG_BD!F:F,"&gt;="&amp;O2Summary!$B$6,WTG_BD!F:F,"&lt;="&amp;O2Summary!$B$4)</f>
        <v>0</v>
      </c>
      <c r="V2093" s="18">
        <f t="shared" si="39"/>
        <v>47</v>
      </c>
    </row>
    <row r="2094" spans="19:22">
      <c r="S2094" s="16">
        <v>4041</v>
      </c>
      <c r="T2094" s="16" t="s">
        <v>2575</v>
      </c>
      <c r="U2094" s="17">
        <f>COUNTIFS(WTG_BD!L:L,'Basic Data'!T2094,WTG_BD!F:F,"&gt;="&amp;O2Summary!$B$6,WTG_BD!F:F,"&lt;="&amp;O2Summary!$B$4)</f>
        <v>0</v>
      </c>
      <c r="V2094" s="18">
        <f t="shared" si="39"/>
        <v>47</v>
      </c>
    </row>
    <row r="2095" spans="19:22">
      <c r="S2095" s="16">
        <v>4042</v>
      </c>
      <c r="T2095" s="16" t="s">
        <v>2576</v>
      </c>
      <c r="U2095" s="17">
        <f>COUNTIFS(WTG_BD!L:L,'Basic Data'!T2095,WTG_BD!F:F,"&gt;="&amp;O2Summary!$B$6,WTG_BD!F:F,"&lt;="&amp;O2Summary!$B$4)</f>
        <v>0</v>
      </c>
      <c r="V2095" s="18">
        <f t="shared" si="39"/>
        <v>47</v>
      </c>
    </row>
    <row r="2096" spans="19:22">
      <c r="S2096" s="16">
        <v>4043</v>
      </c>
      <c r="T2096" s="16" t="s">
        <v>2577</v>
      </c>
      <c r="U2096" s="17">
        <f>COUNTIFS(WTG_BD!L:L,'Basic Data'!T2096,WTG_BD!F:F,"&gt;="&amp;O2Summary!$B$6,WTG_BD!F:F,"&lt;="&amp;O2Summary!$B$4)</f>
        <v>0</v>
      </c>
      <c r="V2096" s="18">
        <f t="shared" si="39"/>
        <v>47</v>
      </c>
    </row>
    <row r="2097" spans="19:22">
      <c r="S2097" s="16">
        <v>4044</v>
      </c>
      <c r="T2097" s="16" t="s">
        <v>2578</v>
      </c>
      <c r="U2097" s="17">
        <f>COUNTIFS(WTG_BD!L:L,'Basic Data'!T2097,WTG_BD!F:F,"&gt;="&amp;O2Summary!$B$6,WTG_BD!F:F,"&lt;="&amp;O2Summary!$B$4)</f>
        <v>0</v>
      </c>
      <c r="V2097" s="18">
        <f t="shared" si="39"/>
        <v>47</v>
      </c>
    </row>
    <row r="2098" spans="19:22">
      <c r="S2098" s="16">
        <v>4045</v>
      </c>
      <c r="T2098" s="16" t="s">
        <v>2579</v>
      </c>
      <c r="U2098" s="17">
        <f>COUNTIFS(WTG_BD!L:L,'Basic Data'!T2098,WTG_BD!F:F,"&gt;="&amp;O2Summary!$B$6,WTG_BD!F:F,"&lt;="&amp;O2Summary!$B$4)</f>
        <v>0</v>
      </c>
      <c r="V2098" s="18">
        <f t="shared" si="39"/>
        <v>47</v>
      </c>
    </row>
    <row r="2099" spans="19:22">
      <c r="S2099" s="16">
        <v>4046</v>
      </c>
      <c r="T2099" s="16" t="s">
        <v>2580</v>
      </c>
      <c r="U2099" s="17">
        <f>COUNTIFS(WTG_BD!L:L,'Basic Data'!T2099,WTG_BD!F:F,"&gt;="&amp;O2Summary!$B$6,WTG_BD!F:F,"&lt;="&amp;O2Summary!$B$4)</f>
        <v>0</v>
      </c>
      <c r="V2099" s="18">
        <f t="shared" si="39"/>
        <v>47</v>
      </c>
    </row>
    <row r="2100" spans="19:22">
      <c r="S2100" s="16">
        <v>4047</v>
      </c>
      <c r="T2100" s="16" t="s">
        <v>2581</v>
      </c>
      <c r="U2100" s="17">
        <f>COUNTIFS(WTG_BD!L:L,'Basic Data'!T2100,WTG_BD!F:F,"&gt;="&amp;O2Summary!$B$6,WTG_BD!F:F,"&lt;="&amp;O2Summary!$B$4)</f>
        <v>0</v>
      </c>
      <c r="V2100" s="18">
        <f t="shared" si="39"/>
        <v>47</v>
      </c>
    </row>
    <row r="2101" spans="19:22">
      <c r="S2101" s="16">
        <v>4048</v>
      </c>
      <c r="T2101" s="16" t="s">
        <v>2582</v>
      </c>
      <c r="U2101" s="17">
        <f>COUNTIFS(WTG_BD!L:L,'Basic Data'!T2101,WTG_BD!F:F,"&gt;="&amp;O2Summary!$B$6,WTG_BD!F:F,"&lt;="&amp;O2Summary!$B$4)</f>
        <v>0</v>
      </c>
      <c r="V2101" s="18">
        <f t="shared" si="39"/>
        <v>47</v>
      </c>
    </row>
    <row r="2102" spans="19:22">
      <c r="S2102" s="16">
        <v>4049</v>
      </c>
      <c r="T2102" s="16" t="s">
        <v>2583</v>
      </c>
      <c r="U2102" s="17">
        <f>COUNTIFS(WTG_BD!L:L,'Basic Data'!T2102,WTG_BD!F:F,"&gt;="&amp;O2Summary!$B$6,WTG_BD!F:F,"&lt;="&amp;O2Summary!$B$4)</f>
        <v>0</v>
      </c>
      <c r="V2102" s="18">
        <f t="shared" si="39"/>
        <v>47</v>
      </c>
    </row>
    <row r="2103" spans="19:22">
      <c r="S2103" s="16">
        <v>4050</v>
      </c>
      <c r="T2103" s="16" t="s">
        <v>2584</v>
      </c>
      <c r="U2103" s="17">
        <f>COUNTIFS(WTG_BD!L:L,'Basic Data'!T2103,WTG_BD!F:F,"&gt;="&amp;O2Summary!$B$6,WTG_BD!F:F,"&lt;="&amp;O2Summary!$B$4)</f>
        <v>0</v>
      </c>
      <c r="V2103" s="18">
        <f t="shared" si="39"/>
        <v>47</v>
      </c>
    </row>
    <row r="2104" spans="19:22">
      <c r="S2104" s="16">
        <v>4051</v>
      </c>
      <c r="T2104" s="16" t="s">
        <v>2585</v>
      </c>
      <c r="U2104" s="17">
        <f>COUNTIFS(WTG_BD!L:L,'Basic Data'!T2104,WTG_BD!F:F,"&gt;="&amp;O2Summary!$B$6,WTG_BD!F:F,"&lt;="&amp;O2Summary!$B$4)</f>
        <v>0</v>
      </c>
      <c r="V2104" s="18">
        <f t="shared" si="39"/>
        <v>47</v>
      </c>
    </row>
    <row r="2105" spans="19:22">
      <c r="S2105" s="16">
        <v>4052</v>
      </c>
      <c r="T2105" s="16" t="s">
        <v>2586</v>
      </c>
      <c r="U2105" s="17">
        <f>COUNTIFS(WTG_BD!L:L,'Basic Data'!T2105,WTG_BD!F:F,"&gt;="&amp;O2Summary!$B$6,WTG_BD!F:F,"&lt;="&amp;O2Summary!$B$4)</f>
        <v>0</v>
      </c>
      <c r="V2105" s="18">
        <f t="shared" si="39"/>
        <v>47</v>
      </c>
    </row>
    <row r="2106" spans="19:22">
      <c r="S2106" s="16">
        <v>4053</v>
      </c>
      <c r="T2106" s="16" t="s">
        <v>2587</v>
      </c>
      <c r="U2106" s="17">
        <f>COUNTIFS(WTG_BD!L:L,'Basic Data'!T2106,WTG_BD!F:F,"&gt;="&amp;O2Summary!$B$6,WTG_BD!F:F,"&lt;="&amp;O2Summary!$B$4)</f>
        <v>0</v>
      </c>
      <c r="V2106" s="18">
        <f t="shared" si="39"/>
        <v>47</v>
      </c>
    </row>
    <row r="2107" spans="19:22">
      <c r="S2107" s="16">
        <v>4054</v>
      </c>
      <c r="T2107" s="16" t="s">
        <v>2588</v>
      </c>
      <c r="U2107" s="17">
        <f>COUNTIFS(WTG_BD!L:L,'Basic Data'!T2107,WTG_BD!F:F,"&gt;="&amp;O2Summary!$B$6,WTG_BD!F:F,"&lt;="&amp;O2Summary!$B$4)</f>
        <v>0</v>
      </c>
      <c r="V2107" s="18">
        <f t="shared" si="39"/>
        <v>47</v>
      </c>
    </row>
    <row r="2108" spans="19:22">
      <c r="S2108" s="16">
        <v>4055</v>
      </c>
      <c r="T2108" s="16" t="s">
        <v>2589</v>
      </c>
      <c r="U2108" s="17">
        <f>COUNTIFS(WTG_BD!L:L,'Basic Data'!T2108,WTG_BD!F:F,"&gt;="&amp;O2Summary!$B$6,WTG_BD!F:F,"&lt;="&amp;O2Summary!$B$4)</f>
        <v>0</v>
      </c>
      <c r="V2108" s="18">
        <f t="shared" si="39"/>
        <v>47</v>
      </c>
    </row>
    <row r="2109" spans="19:22">
      <c r="S2109" s="16">
        <v>4056</v>
      </c>
      <c r="T2109" s="16" t="s">
        <v>2590</v>
      </c>
      <c r="U2109" s="17">
        <f>COUNTIFS(WTG_BD!L:L,'Basic Data'!T2109,WTG_BD!F:F,"&gt;="&amp;O2Summary!$B$6,WTG_BD!F:F,"&lt;="&amp;O2Summary!$B$4)</f>
        <v>0</v>
      </c>
      <c r="V2109" s="18">
        <f t="shared" si="39"/>
        <v>47</v>
      </c>
    </row>
    <row r="2110" spans="19:22">
      <c r="S2110" s="16">
        <v>4057</v>
      </c>
      <c r="T2110" s="16" t="s">
        <v>2591</v>
      </c>
      <c r="U2110" s="17">
        <f>COUNTIFS(WTG_BD!L:L,'Basic Data'!T2110,WTG_BD!F:F,"&gt;="&amp;O2Summary!$B$6,WTG_BD!F:F,"&lt;="&amp;O2Summary!$B$4)</f>
        <v>0</v>
      </c>
      <c r="V2110" s="18">
        <f t="shared" si="39"/>
        <v>47</v>
      </c>
    </row>
    <row r="2111" spans="19:22">
      <c r="S2111" s="16">
        <v>4058</v>
      </c>
      <c r="T2111" s="16" t="s">
        <v>2592</v>
      </c>
      <c r="U2111" s="17">
        <f>COUNTIFS(WTG_BD!L:L,'Basic Data'!T2111,WTG_BD!F:F,"&gt;="&amp;O2Summary!$B$6,WTG_BD!F:F,"&lt;="&amp;O2Summary!$B$4)</f>
        <v>0</v>
      </c>
      <c r="V2111" s="18">
        <f t="shared" si="39"/>
        <v>47</v>
      </c>
    </row>
    <row r="2112" spans="19:22">
      <c r="S2112" s="16">
        <v>4059</v>
      </c>
      <c r="T2112" s="16" t="s">
        <v>2593</v>
      </c>
      <c r="U2112" s="17">
        <f>COUNTIFS(WTG_BD!L:L,'Basic Data'!T2112,WTG_BD!F:F,"&gt;="&amp;O2Summary!$B$6,WTG_BD!F:F,"&lt;="&amp;O2Summary!$B$4)</f>
        <v>0</v>
      </c>
      <c r="V2112" s="18">
        <f t="shared" si="39"/>
        <v>47</v>
      </c>
    </row>
    <row r="2113" spans="19:22">
      <c r="S2113" s="16">
        <v>4060</v>
      </c>
      <c r="T2113" s="16" t="s">
        <v>2594</v>
      </c>
      <c r="U2113" s="17">
        <f>COUNTIFS(WTG_BD!L:L,'Basic Data'!T2113,WTG_BD!F:F,"&gt;="&amp;O2Summary!$B$6,WTG_BD!F:F,"&lt;="&amp;O2Summary!$B$4)</f>
        <v>0</v>
      </c>
      <c r="V2113" s="18">
        <f t="shared" si="39"/>
        <v>47</v>
      </c>
    </row>
    <row r="2114" spans="19:22">
      <c r="S2114" s="16">
        <v>4061</v>
      </c>
      <c r="T2114" s="16" t="s">
        <v>2595</v>
      </c>
      <c r="U2114" s="17">
        <f>COUNTIFS(WTG_BD!L:L,'Basic Data'!T2114,WTG_BD!F:F,"&gt;="&amp;O2Summary!$B$6,WTG_BD!F:F,"&lt;="&amp;O2Summary!$B$4)</f>
        <v>0</v>
      </c>
      <c r="V2114" s="18">
        <f t="shared" si="39"/>
        <v>47</v>
      </c>
    </row>
    <row r="2115" spans="19:22">
      <c r="S2115" s="16">
        <v>4062</v>
      </c>
      <c r="T2115" s="16" t="s">
        <v>2596</v>
      </c>
      <c r="U2115" s="17">
        <f>COUNTIFS(WTG_BD!L:L,'Basic Data'!T2115,WTG_BD!F:F,"&gt;="&amp;O2Summary!$B$6,WTG_BD!F:F,"&lt;="&amp;O2Summary!$B$4)</f>
        <v>0</v>
      </c>
      <c r="V2115" s="18">
        <f t="shared" ref="V2115:V2178" si="40">RANK(U2115,$U$2:$U$3975)</f>
        <v>47</v>
      </c>
    </row>
    <row r="2116" spans="19:22">
      <c r="S2116" s="16">
        <v>4063</v>
      </c>
      <c r="T2116" s="16" t="s">
        <v>2597</v>
      </c>
      <c r="U2116" s="17">
        <f>COUNTIFS(WTG_BD!L:L,'Basic Data'!T2116,WTG_BD!F:F,"&gt;="&amp;O2Summary!$B$6,WTG_BD!F:F,"&lt;="&amp;O2Summary!$B$4)</f>
        <v>0</v>
      </c>
      <c r="V2116" s="18">
        <f t="shared" si="40"/>
        <v>47</v>
      </c>
    </row>
    <row r="2117" spans="19:22">
      <c r="S2117" s="16">
        <v>4064</v>
      </c>
      <c r="T2117" s="16" t="s">
        <v>2598</v>
      </c>
      <c r="U2117" s="17">
        <f>COUNTIFS(WTG_BD!L:L,'Basic Data'!T2117,WTG_BD!F:F,"&gt;="&amp;O2Summary!$B$6,WTG_BD!F:F,"&lt;="&amp;O2Summary!$B$4)</f>
        <v>0</v>
      </c>
      <c r="V2117" s="18">
        <f t="shared" si="40"/>
        <v>47</v>
      </c>
    </row>
    <row r="2118" spans="19:22">
      <c r="S2118" s="16">
        <v>4065</v>
      </c>
      <c r="T2118" s="16" t="s">
        <v>2599</v>
      </c>
      <c r="U2118" s="17">
        <f>COUNTIFS(WTG_BD!L:L,'Basic Data'!T2118,WTG_BD!F:F,"&gt;="&amp;O2Summary!$B$6,WTG_BD!F:F,"&lt;="&amp;O2Summary!$B$4)</f>
        <v>0</v>
      </c>
      <c r="V2118" s="18">
        <f t="shared" si="40"/>
        <v>47</v>
      </c>
    </row>
    <row r="2119" spans="19:22">
      <c r="S2119" s="16">
        <v>4066</v>
      </c>
      <c r="T2119" s="16" t="s">
        <v>2600</v>
      </c>
      <c r="U2119" s="17">
        <f>COUNTIFS(WTG_BD!L:L,'Basic Data'!T2119,WTG_BD!F:F,"&gt;="&amp;O2Summary!$B$6,WTG_BD!F:F,"&lt;="&amp;O2Summary!$B$4)</f>
        <v>0</v>
      </c>
      <c r="V2119" s="18">
        <f t="shared" si="40"/>
        <v>47</v>
      </c>
    </row>
    <row r="2120" spans="19:22">
      <c r="S2120" s="16">
        <v>4067</v>
      </c>
      <c r="T2120" s="16" t="s">
        <v>2601</v>
      </c>
      <c r="U2120" s="17">
        <f>COUNTIFS(WTG_BD!L:L,'Basic Data'!T2120,WTG_BD!F:F,"&gt;="&amp;O2Summary!$B$6,WTG_BD!F:F,"&lt;="&amp;O2Summary!$B$4)</f>
        <v>0</v>
      </c>
      <c r="V2120" s="18">
        <f t="shared" si="40"/>
        <v>47</v>
      </c>
    </row>
    <row r="2121" spans="19:22">
      <c r="S2121" s="16">
        <v>4068</v>
      </c>
      <c r="T2121" s="16" t="s">
        <v>2602</v>
      </c>
      <c r="U2121" s="17">
        <f>COUNTIFS(WTG_BD!L:L,'Basic Data'!T2121,WTG_BD!F:F,"&gt;="&amp;O2Summary!$B$6,WTG_BD!F:F,"&lt;="&amp;O2Summary!$B$4)</f>
        <v>0</v>
      </c>
      <c r="V2121" s="18">
        <f t="shared" si="40"/>
        <v>47</v>
      </c>
    </row>
    <row r="2122" spans="19:22">
      <c r="S2122" s="16">
        <v>4069</v>
      </c>
      <c r="T2122" s="16" t="s">
        <v>2603</v>
      </c>
      <c r="U2122" s="17">
        <f>COUNTIFS(WTG_BD!L:L,'Basic Data'!T2122,WTG_BD!F:F,"&gt;="&amp;O2Summary!$B$6,WTG_BD!F:F,"&lt;="&amp;O2Summary!$B$4)</f>
        <v>0</v>
      </c>
      <c r="V2122" s="18">
        <f t="shared" si="40"/>
        <v>47</v>
      </c>
    </row>
    <row r="2123" spans="19:22">
      <c r="S2123" s="16">
        <v>4070</v>
      </c>
      <c r="T2123" s="16" t="s">
        <v>2604</v>
      </c>
      <c r="U2123" s="17">
        <f>COUNTIFS(WTG_BD!L:L,'Basic Data'!T2123,WTG_BD!F:F,"&gt;="&amp;O2Summary!$B$6,WTG_BD!F:F,"&lt;="&amp;O2Summary!$B$4)</f>
        <v>0</v>
      </c>
      <c r="V2123" s="18">
        <f t="shared" si="40"/>
        <v>47</v>
      </c>
    </row>
    <row r="2124" spans="19:22">
      <c r="S2124" s="16">
        <v>4071</v>
      </c>
      <c r="T2124" s="16" t="s">
        <v>2605</v>
      </c>
      <c r="U2124" s="17">
        <f>COUNTIFS(WTG_BD!L:L,'Basic Data'!T2124,WTG_BD!F:F,"&gt;="&amp;O2Summary!$B$6,WTG_BD!F:F,"&lt;="&amp;O2Summary!$B$4)</f>
        <v>0</v>
      </c>
      <c r="V2124" s="18">
        <f t="shared" si="40"/>
        <v>47</v>
      </c>
    </row>
    <row r="2125" spans="19:22">
      <c r="S2125" s="16">
        <v>4072</v>
      </c>
      <c r="T2125" s="16" t="s">
        <v>2606</v>
      </c>
      <c r="U2125" s="17">
        <f>COUNTIFS(WTG_BD!L:L,'Basic Data'!T2125,WTG_BD!F:F,"&gt;="&amp;O2Summary!$B$6,WTG_BD!F:F,"&lt;="&amp;O2Summary!$B$4)</f>
        <v>0</v>
      </c>
      <c r="V2125" s="18">
        <f t="shared" si="40"/>
        <v>47</v>
      </c>
    </row>
    <row r="2126" spans="19:22">
      <c r="S2126" s="16">
        <v>4073</v>
      </c>
      <c r="T2126" s="16" t="s">
        <v>2607</v>
      </c>
      <c r="U2126" s="17">
        <f>COUNTIFS(WTG_BD!L:L,'Basic Data'!T2126,WTG_BD!F:F,"&gt;="&amp;O2Summary!$B$6,WTG_BD!F:F,"&lt;="&amp;O2Summary!$B$4)</f>
        <v>0</v>
      </c>
      <c r="V2126" s="18">
        <f t="shared" si="40"/>
        <v>47</v>
      </c>
    </row>
    <row r="2127" spans="19:22">
      <c r="S2127" s="16">
        <v>4074</v>
      </c>
      <c r="T2127" s="16" t="s">
        <v>2608</v>
      </c>
      <c r="U2127" s="17">
        <f>COUNTIFS(WTG_BD!L:L,'Basic Data'!T2127,WTG_BD!F:F,"&gt;="&amp;O2Summary!$B$6,WTG_BD!F:F,"&lt;="&amp;O2Summary!$B$4)</f>
        <v>0</v>
      </c>
      <c r="V2127" s="18">
        <f t="shared" si="40"/>
        <v>47</v>
      </c>
    </row>
    <row r="2128" spans="19:22">
      <c r="S2128" s="16">
        <v>4075</v>
      </c>
      <c r="T2128" s="16" t="s">
        <v>2609</v>
      </c>
      <c r="U2128" s="17">
        <f>COUNTIFS(WTG_BD!L:L,'Basic Data'!T2128,WTG_BD!F:F,"&gt;="&amp;O2Summary!$B$6,WTG_BD!F:F,"&lt;="&amp;O2Summary!$B$4)</f>
        <v>0</v>
      </c>
      <c r="V2128" s="18">
        <f t="shared" si="40"/>
        <v>47</v>
      </c>
    </row>
    <row r="2129" spans="19:22">
      <c r="S2129" s="16">
        <v>4076</v>
      </c>
      <c r="T2129" s="16" t="s">
        <v>2610</v>
      </c>
      <c r="U2129" s="17">
        <f>COUNTIFS(WTG_BD!L:L,'Basic Data'!T2129,WTG_BD!F:F,"&gt;="&amp;O2Summary!$B$6,WTG_BD!F:F,"&lt;="&amp;O2Summary!$B$4)</f>
        <v>0</v>
      </c>
      <c r="V2129" s="18">
        <f t="shared" si="40"/>
        <v>47</v>
      </c>
    </row>
    <row r="2130" spans="19:22">
      <c r="S2130" s="16">
        <v>4077</v>
      </c>
      <c r="T2130" s="16" t="s">
        <v>2611</v>
      </c>
      <c r="U2130" s="17">
        <f>COUNTIFS(WTG_BD!L:L,'Basic Data'!T2130,WTG_BD!F:F,"&gt;="&amp;O2Summary!$B$6,WTG_BD!F:F,"&lt;="&amp;O2Summary!$B$4)</f>
        <v>0</v>
      </c>
      <c r="V2130" s="18">
        <f t="shared" si="40"/>
        <v>47</v>
      </c>
    </row>
    <row r="2131" spans="19:22">
      <c r="S2131" s="16">
        <v>4078</v>
      </c>
      <c r="T2131" s="16" t="s">
        <v>2612</v>
      </c>
      <c r="U2131" s="17">
        <f>COUNTIFS(WTG_BD!L:L,'Basic Data'!T2131,WTG_BD!F:F,"&gt;="&amp;O2Summary!$B$6,WTG_BD!F:F,"&lt;="&amp;O2Summary!$B$4)</f>
        <v>0</v>
      </c>
      <c r="V2131" s="18">
        <f t="shared" si="40"/>
        <v>47</v>
      </c>
    </row>
    <row r="2132" spans="19:22">
      <c r="S2132" s="16">
        <v>4079</v>
      </c>
      <c r="T2132" s="16" t="s">
        <v>2613</v>
      </c>
      <c r="U2132" s="17">
        <f>COUNTIFS(WTG_BD!L:L,'Basic Data'!T2132,WTG_BD!F:F,"&gt;="&amp;O2Summary!$B$6,WTG_BD!F:F,"&lt;="&amp;O2Summary!$B$4)</f>
        <v>0</v>
      </c>
      <c r="V2132" s="18">
        <f t="shared" si="40"/>
        <v>47</v>
      </c>
    </row>
    <row r="2133" spans="19:22">
      <c r="S2133" s="16">
        <v>4080</v>
      </c>
      <c r="T2133" s="16" t="s">
        <v>2614</v>
      </c>
      <c r="U2133" s="17">
        <f>COUNTIFS(WTG_BD!L:L,'Basic Data'!T2133,WTG_BD!F:F,"&gt;="&amp;O2Summary!$B$6,WTG_BD!F:F,"&lt;="&amp;O2Summary!$B$4)</f>
        <v>0</v>
      </c>
      <c r="V2133" s="18">
        <f t="shared" si="40"/>
        <v>47</v>
      </c>
    </row>
    <row r="2134" spans="19:22">
      <c r="S2134" s="16">
        <v>4081</v>
      </c>
      <c r="T2134" s="16" t="s">
        <v>2615</v>
      </c>
      <c r="U2134" s="17">
        <f>COUNTIFS(WTG_BD!L:L,'Basic Data'!T2134,WTG_BD!F:F,"&gt;="&amp;O2Summary!$B$6,WTG_BD!F:F,"&lt;="&amp;O2Summary!$B$4)</f>
        <v>0</v>
      </c>
      <c r="V2134" s="18">
        <f t="shared" si="40"/>
        <v>47</v>
      </c>
    </row>
    <row r="2135" spans="19:22">
      <c r="S2135" s="16">
        <v>4085</v>
      </c>
      <c r="T2135" s="16" t="s">
        <v>2616</v>
      </c>
      <c r="U2135" s="17">
        <f>COUNTIFS(WTG_BD!L:L,'Basic Data'!T2135,WTG_BD!F:F,"&gt;="&amp;O2Summary!$B$6,WTG_BD!F:F,"&lt;="&amp;O2Summary!$B$4)</f>
        <v>0</v>
      </c>
      <c r="V2135" s="18">
        <f t="shared" si="40"/>
        <v>47</v>
      </c>
    </row>
    <row r="2136" spans="19:22">
      <c r="S2136" s="16">
        <v>4086</v>
      </c>
      <c r="T2136" s="16" t="s">
        <v>2617</v>
      </c>
      <c r="U2136" s="17">
        <f>COUNTIFS(WTG_BD!L:L,'Basic Data'!T2136,WTG_BD!F:F,"&gt;="&amp;O2Summary!$B$6,WTG_BD!F:F,"&lt;="&amp;O2Summary!$B$4)</f>
        <v>0</v>
      </c>
      <c r="V2136" s="18">
        <f t="shared" si="40"/>
        <v>47</v>
      </c>
    </row>
    <row r="2137" spans="19:22">
      <c r="S2137" s="16">
        <v>4087</v>
      </c>
      <c r="T2137" s="16" t="s">
        <v>2618</v>
      </c>
      <c r="U2137" s="17">
        <f>COUNTIFS(WTG_BD!L:L,'Basic Data'!T2137,WTG_BD!F:F,"&gt;="&amp;O2Summary!$B$6,WTG_BD!F:F,"&lt;="&amp;O2Summary!$B$4)</f>
        <v>0</v>
      </c>
      <c r="V2137" s="18">
        <f t="shared" si="40"/>
        <v>47</v>
      </c>
    </row>
    <row r="2138" spans="19:22">
      <c r="S2138" s="16">
        <v>4088</v>
      </c>
      <c r="T2138" s="16" t="s">
        <v>2619</v>
      </c>
      <c r="U2138" s="17">
        <f>COUNTIFS(WTG_BD!L:L,'Basic Data'!T2138,WTG_BD!F:F,"&gt;="&amp;O2Summary!$B$6,WTG_BD!F:F,"&lt;="&amp;O2Summary!$B$4)</f>
        <v>0</v>
      </c>
      <c r="V2138" s="18">
        <f t="shared" si="40"/>
        <v>47</v>
      </c>
    </row>
    <row r="2139" spans="19:22">
      <c r="S2139" s="16">
        <v>4089</v>
      </c>
      <c r="T2139" s="16" t="s">
        <v>2620</v>
      </c>
      <c r="U2139" s="17">
        <f>COUNTIFS(WTG_BD!L:L,'Basic Data'!T2139,WTG_BD!F:F,"&gt;="&amp;O2Summary!$B$6,WTG_BD!F:F,"&lt;="&amp;O2Summary!$B$4)</f>
        <v>0</v>
      </c>
      <c r="V2139" s="18">
        <f t="shared" si="40"/>
        <v>47</v>
      </c>
    </row>
    <row r="2140" spans="19:22">
      <c r="S2140" s="16">
        <v>4090</v>
      </c>
      <c r="T2140" s="16" t="s">
        <v>2621</v>
      </c>
      <c r="U2140" s="17">
        <f>COUNTIFS(WTG_BD!L:L,'Basic Data'!T2140,WTG_BD!F:F,"&gt;="&amp;O2Summary!$B$6,WTG_BD!F:F,"&lt;="&amp;O2Summary!$B$4)</f>
        <v>0</v>
      </c>
      <c r="V2140" s="18">
        <f t="shared" si="40"/>
        <v>47</v>
      </c>
    </row>
    <row r="2141" spans="19:22">
      <c r="S2141" s="16">
        <v>4092</v>
      </c>
      <c r="T2141" s="16" t="s">
        <v>2622</v>
      </c>
      <c r="U2141" s="17">
        <f>COUNTIFS(WTG_BD!L:L,'Basic Data'!T2141,WTG_BD!F:F,"&gt;="&amp;O2Summary!$B$6,WTG_BD!F:F,"&lt;="&amp;O2Summary!$B$4)</f>
        <v>0</v>
      </c>
      <c r="V2141" s="18">
        <f t="shared" si="40"/>
        <v>47</v>
      </c>
    </row>
    <row r="2142" spans="19:22">
      <c r="S2142" s="16">
        <v>4093</v>
      </c>
      <c r="T2142" s="16" t="s">
        <v>2623</v>
      </c>
      <c r="U2142" s="17">
        <f>COUNTIFS(WTG_BD!L:L,'Basic Data'!T2142,WTG_BD!F:F,"&gt;="&amp;O2Summary!$B$6,WTG_BD!F:F,"&lt;="&amp;O2Summary!$B$4)</f>
        <v>0</v>
      </c>
      <c r="V2142" s="18">
        <f t="shared" si="40"/>
        <v>47</v>
      </c>
    </row>
    <row r="2143" spans="19:22">
      <c r="S2143" s="16">
        <v>4094</v>
      </c>
      <c r="T2143" s="16" t="s">
        <v>2624</v>
      </c>
      <c r="U2143" s="17">
        <f>COUNTIFS(WTG_BD!L:L,'Basic Data'!T2143,WTG_BD!F:F,"&gt;="&amp;O2Summary!$B$6,WTG_BD!F:F,"&lt;="&amp;O2Summary!$B$4)</f>
        <v>0</v>
      </c>
      <c r="V2143" s="18">
        <f t="shared" si="40"/>
        <v>47</v>
      </c>
    </row>
    <row r="2144" spans="19:22">
      <c r="S2144" s="16">
        <v>4095</v>
      </c>
      <c r="T2144" s="16" t="s">
        <v>2625</v>
      </c>
      <c r="U2144" s="17">
        <f>COUNTIFS(WTG_BD!L:L,'Basic Data'!T2144,WTG_BD!F:F,"&gt;="&amp;O2Summary!$B$6,WTG_BD!F:F,"&lt;="&amp;O2Summary!$B$4)</f>
        <v>0</v>
      </c>
      <c r="V2144" s="18">
        <f t="shared" si="40"/>
        <v>47</v>
      </c>
    </row>
    <row r="2145" spans="19:22">
      <c r="S2145" s="16">
        <v>4096</v>
      </c>
      <c r="T2145" s="16" t="s">
        <v>2626</v>
      </c>
      <c r="U2145" s="17">
        <f>COUNTIFS(WTG_BD!L:L,'Basic Data'!T2145,WTG_BD!F:F,"&gt;="&amp;O2Summary!$B$6,WTG_BD!F:F,"&lt;="&amp;O2Summary!$B$4)</f>
        <v>0</v>
      </c>
      <c r="V2145" s="18">
        <f t="shared" si="40"/>
        <v>47</v>
      </c>
    </row>
    <row r="2146" spans="19:22">
      <c r="S2146" s="16">
        <v>4097</v>
      </c>
      <c r="T2146" s="16" t="s">
        <v>2627</v>
      </c>
      <c r="U2146" s="17">
        <f>COUNTIFS(WTG_BD!L:L,'Basic Data'!T2146,WTG_BD!F:F,"&gt;="&amp;O2Summary!$B$6,WTG_BD!F:F,"&lt;="&amp;O2Summary!$B$4)</f>
        <v>0</v>
      </c>
      <c r="V2146" s="18">
        <f t="shared" si="40"/>
        <v>47</v>
      </c>
    </row>
    <row r="2147" spans="19:22">
      <c r="S2147" s="16">
        <v>4098</v>
      </c>
      <c r="T2147" s="16" t="s">
        <v>2628</v>
      </c>
      <c r="U2147" s="17">
        <f>COUNTIFS(WTG_BD!L:L,'Basic Data'!T2147,WTG_BD!F:F,"&gt;="&amp;O2Summary!$B$6,WTG_BD!F:F,"&lt;="&amp;O2Summary!$B$4)</f>
        <v>0</v>
      </c>
      <c r="V2147" s="18">
        <f t="shared" si="40"/>
        <v>47</v>
      </c>
    </row>
    <row r="2148" spans="19:22">
      <c r="S2148" s="16">
        <v>4099</v>
      </c>
      <c r="T2148" s="16" t="s">
        <v>2629</v>
      </c>
      <c r="U2148" s="17">
        <f>COUNTIFS(WTG_BD!L:L,'Basic Data'!T2148,WTG_BD!F:F,"&gt;="&amp;O2Summary!$B$6,WTG_BD!F:F,"&lt;="&amp;O2Summary!$B$4)</f>
        <v>0</v>
      </c>
      <c r="V2148" s="18">
        <f t="shared" si="40"/>
        <v>47</v>
      </c>
    </row>
    <row r="2149" spans="19:22">
      <c r="S2149" s="16">
        <v>4100</v>
      </c>
      <c r="T2149" s="16" t="s">
        <v>2630</v>
      </c>
      <c r="U2149" s="17">
        <f>COUNTIFS(WTG_BD!L:L,'Basic Data'!T2149,WTG_BD!F:F,"&gt;="&amp;O2Summary!$B$6,WTG_BD!F:F,"&lt;="&amp;O2Summary!$B$4)</f>
        <v>0</v>
      </c>
      <c r="V2149" s="18">
        <f t="shared" si="40"/>
        <v>47</v>
      </c>
    </row>
    <row r="2150" spans="19:22">
      <c r="S2150" s="16">
        <v>4101</v>
      </c>
      <c r="T2150" s="16" t="s">
        <v>2631</v>
      </c>
      <c r="U2150" s="17">
        <f>COUNTIFS(WTG_BD!L:L,'Basic Data'!T2150,WTG_BD!F:F,"&gt;="&amp;O2Summary!$B$6,WTG_BD!F:F,"&lt;="&amp;O2Summary!$B$4)</f>
        <v>0</v>
      </c>
      <c r="V2150" s="18">
        <f t="shared" si="40"/>
        <v>47</v>
      </c>
    </row>
    <row r="2151" spans="19:22">
      <c r="S2151" s="16">
        <v>4102</v>
      </c>
      <c r="T2151" s="16" t="s">
        <v>2632</v>
      </c>
      <c r="U2151" s="17">
        <f>COUNTIFS(WTG_BD!L:L,'Basic Data'!T2151,WTG_BD!F:F,"&gt;="&amp;O2Summary!$B$6,WTG_BD!F:F,"&lt;="&amp;O2Summary!$B$4)</f>
        <v>0</v>
      </c>
      <c r="V2151" s="18">
        <f t="shared" si="40"/>
        <v>47</v>
      </c>
    </row>
    <row r="2152" spans="19:22">
      <c r="S2152" s="16">
        <v>4103</v>
      </c>
      <c r="T2152" s="16" t="s">
        <v>2633</v>
      </c>
      <c r="U2152" s="17">
        <f>COUNTIFS(WTG_BD!L:L,'Basic Data'!T2152,WTG_BD!F:F,"&gt;="&amp;O2Summary!$B$6,WTG_BD!F:F,"&lt;="&amp;O2Summary!$B$4)</f>
        <v>0</v>
      </c>
      <c r="V2152" s="18">
        <f t="shared" si="40"/>
        <v>47</v>
      </c>
    </row>
    <row r="2153" spans="19:22">
      <c r="S2153" s="16">
        <v>4104</v>
      </c>
      <c r="T2153" s="16" t="s">
        <v>2634</v>
      </c>
      <c r="U2153" s="17">
        <f>COUNTIFS(WTG_BD!L:L,'Basic Data'!T2153,WTG_BD!F:F,"&gt;="&amp;O2Summary!$B$6,WTG_BD!F:F,"&lt;="&amp;O2Summary!$B$4)</f>
        <v>0</v>
      </c>
      <c r="V2153" s="18">
        <f t="shared" si="40"/>
        <v>47</v>
      </c>
    </row>
    <row r="2154" spans="19:22">
      <c r="S2154" s="16">
        <v>4105</v>
      </c>
      <c r="T2154" s="16" t="s">
        <v>2635</v>
      </c>
      <c r="U2154" s="17">
        <f>COUNTIFS(WTG_BD!L:L,'Basic Data'!T2154,WTG_BD!F:F,"&gt;="&amp;O2Summary!$B$6,WTG_BD!F:F,"&lt;="&amp;O2Summary!$B$4)</f>
        <v>0</v>
      </c>
      <c r="V2154" s="18">
        <f t="shared" si="40"/>
        <v>47</v>
      </c>
    </row>
    <row r="2155" spans="19:22">
      <c r="S2155" s="16">
        <v>4106</v>
      </c>
      <c r="T2155" s="16" t="s">
        <v>2636</v>
      </c>
      <c r="U2155" s="17">
        <f>COUNTIFS(WTG_BD!L:L,'Basic Data'!T2155,WTG_BD!F:F,"&gt;="&amp;O2Summary!$B$6,WTG_BD!F:F,"&lt;="&amp;O2Summary!$B$4)</f>
        <v>0</v>
      </c>
      <c r="V2155" s="18">
        <f t="shared" si="40"/>
        <v>47</v>
      </c>
    </row>
    <row r="2156" spans="19:22">
      <c r="S2156" s="16">
        <v>4107</v>
      </c>
      <c r="T2156" s="16" t="s">
        <v>2637</v>
      </c>
      <c r="U2156" s="17">
        <f>COUNTIFS(WTG_BD!L:L,'Basic Data'!T2156,WTG_BD!F:F,"&gt;="&amp;O2Summary!$B$6,WTG_BD!F:F,"&lt;="&amp;O2Summary!$B$4)</f>
        <v>0</v>
      </c>
      <c r="V2156" s="18">
        <f t="shared" si="40"/>
        <v>47</v>
      </c>
    </row>
    <row r="2157" spans="19:22">
      <c r="S2157" s="16">
        <v>4108</v>
      </c>
      <c r="T2157" s="16" t="s">
        <v>2638</v>
      </c>
      <c r="U2157" s="17">
        <f>COUNTIFS(WTG_BD!L:L,'Basic Data'!T2157,WTG_BD!F:F,"&gt;="&amp;O2Summary!$B$6,WTG_BD!F:F,"&lt;="&amp;O2Summary!$B$4)</f>
        <v>0</v>
      </c>
      <c r="V2157" s="18">
        <f t="shared" si="40"/>
        <v>47</v>
      </c>
    </row>
    <row r="2158" spans="19:22">
      <c r="S2158" s="16">
        <v>4109</v>
      </c>
      <c r="T2158" s="16" t="s">
        <v>2639</v>
      </c>
      <c r="U2158" s="17">
        <f>COUNTIFS(WTG_BD!L:L,'Basic Data'!T2158,WTG_BD!F:F,"&gt;="&amp;O2Summary!$B$6,WTG_BD!F:F,"&lt;="&amp;O2Summary!$B$4)</f>
        <v>0</v>
      </c>
      <c r="V2158" s="18">
        <f t="shared" si="40"/>
        <v>47</v>
      </c>
    </row>
    <row r="2159" spans="19:22">
      <c r="S2159" s="16">
        <v>4110</v>
      </c>
      <c r="T2159" s="16" t="s">
        <v>2640</v>
      </c>
      <c r="U2159" s="17">
        <f>COUNTIFS(WTG_BD!L:L,'Basic Data'!T2159,WTG_BD!F:F,"&gt;="&amp;O2Summary!$B$6,WTG_BD!F:F,"&lt;="&amp;O2Summary!$B$4)</f>
        <v>0</v>
      </c>
      <c r="V2159" s="18">
        <f t="shared" si="40"/>
        <v>47</v>
      </c>
    </row>
    <row r="2160" spans="19:22">
      <c r="S2160" s="16">
        <v>4111</v>
      </c>
      <c r="T2160" s="16" t="s">
        <v>2641</v>
      </c>
      <c r="U2160" s="17">
        <f>COUNTIFS(WTG_BD!L:L,'Basic Data'!T2160,WTG_BD!F:F,"&gt;="&amp;O2Summary!$B$6,WTG_BD!F:F,"&lt;="&amp;O2Summary!$B$4)</f>
        <v>0</v>
      </c>
      <c r="V2160" s="18">
        <f t="shared" si="40"/>
        <v>47</v>
      </c>
    </row>
    <row r="2161" spans="19:22">
      <c r="S2161" s="16">
        <v>4112</v>
      </c>
      <c r="T2161" s="16" t="s">
        <v>2642</v>
      </c>
      <c r="U2161" s="17">
        <f>COUNTIFS(WTG_BD!L:L,'Basic Data'!T2161,WTG_BD!F:F,"&gt;="&amp;O2Summary!$B$6,WTG_BD!F:F,"&lt;="&amp;O2Summary!$B$4)</f>
        <v>0</v>
      </c>
      <c r="V2161" s="18">
        <f t="shared" si="40"/>
        <v>47</v>
      </c>
    </row>
    <row r="2162" spans="19:22">
      <c r="S2162" s="16">
        <v>4113</v>
      </c>
      <c r="T2162" s="16" t="s">
        <v>2643</v>
      </c>
      <c r="U2162" s="17">
        <f>COUNTIFS(WTG_BD!L:L,'Basic Data'!T2162,WTG_BD!F:F,"&gt;="&amp;O2Summary!$B$6,WTG_BD!F:F,"&lt;="&amp;O2Summary!$B$4)</f>
        <v>0</v>
      </c>
      <c r="V2162" s="18">
        <f t="shared" si="40"/>
        <v>47</v>
      </c>
    </row>
    <row r="2163" spans="19:22">
      <c r="S2163" s="16">
        <v>4114</v>
      </c>
      <c r="T2163" s="16" t="s">
        <v>2644</v>
      </c>
      <c r="U2163" s="17">
        <f>COUNTIFS(WTG_BD!L:L,'Basic Data'!T2163,WTG_BD!F:F,"&gt;="&amp;O2Summary!$B$6,WTG_BD!F:F,"&lt;="&amp;O2Summary!$B$4)</f>
        <v>0</v>
      </c>
      <c r="V2163" s="18">
        <f t="shared" si="40"/>
        <v>47</v>
      </c>
    </row>
    <row r="2164" spans="19:22">
      <c r="S2164" s="16">
        <v>4115</v>
      </c>
      <c r="T2164" s="16" t="s">
        <v>2645</v>
      </c>
      <c r="U2164" s="17">
        <f>COUNTIFS(WTG_BD!L:L,'Basic Data'!T2164,WTG_BD!F:F,"&gt;="&amp;O2Summary!$B$6,WTG_BD!F:F,"&lt;="&amp;O2Summary!$B$4)</f>
        <v>0</v>
      </c>
      <c r="V2164" s="18">
        <f t="shared" si="40"/>
        <v>47</v>
      </c>
    </row>
    <row r="2165" spans="19:22">
      <c r="S2165" s="16">
        <v>4116</v>
      </c>
      <c r="T2165" s="16" t="s">
        <v>2646</v>
      </c>
      <c r="U2165" s="17">
        <f>COUNTIFS(WTG_BD!L:L,'Basic Data'!T2165,WTG_BD!F:F,"&gt;="&amp;O2Summary!$B$6,WTG_BD!F:F,"&lt;="&amp;O2Summary!$B$4)</f>
        <v>0</v>
      </c>
      <c r="V2165" s="18">
        <f t="shared" si="40"/>
        <v>47</v>
      </c>
    </row>
    <row r="2166" spans="19:22">
      <c r="S2166" s="16">
        <v>4117</v>
      </c>
      <c r="T2166" s="16" t="s">
        <v>2647</v>
      </c>
      <c r="U2166" s="17">
        <f>COUNTIFS(WTG_BD!L:L,'Basic Data'!T2166,WTG_BD!F:F,"&gt;="&amp;O2Summary!$B$6,WTG_BD!F:F,"&lt;="&amp;O2Summary!$B$4)</f>
        <v>0</v>
      </c>
      <c r="V2166" s="18">
        <f t="shared" si="40"/>
        <v>47</v>
      </c>
    </row>
    <row r="2167" spans="19:22">
      <c r="S2167" s="16">
        <v>4118</v>
      </c>
      <c r="T2167" s="16" t="s">
        <v>2648</v>
      </c>
      <c r="U2167" s="17">
        <f>COUNTIFS(WTG_BD!L:L,'Basic Data'!T2167,WTG_BD!F:F,"&gt;="&amp;O2Summary!$B$6,WTG_BD!F:F,"&lt;="&amp;O2Summary!$B$4)</f>
        <v>0</v>
      </c>
      <c r="V2167" s="18">
        <f t="shared" si="40"/>
        <v>47</v>
      </c>
    </row>
    <row r="2168" spans="19:22">
      <c r="S2168" s="16">
        <v>4119</v>
      </c>
      <c r="T2168" s="16" t="s">
        <v>2649</v>
      </c>
      <c r="U2168" s="17">
        <f>COUNTIFS(WTG_BD!L:L,'Basic Data'!T2168,WTG_BD!F:F,"&gt;="&amp;O2Summary!$B$6,WTG_BD!F:F,"&lt;="&amp;O2Summary!$B$4)</f>
        <v>0</v>
      </c>
      <c r="V2168" s="18">
        <f t="shared" si="40"/>
        <v>47</v>
      </c>
    </row>
    <row r="2169" spans="19:22">
      <c r="S2169" s="16">
        <v>4120</v>
      </c>
      <c r="T2169" s="16" t="s">
        <v>2650</v>
      </c>
      <c r="U2169" s="17">
        <f>COUNTIFS(WTG_BD!L:L,'Basic Data'!T2169,WTG_BD!F:F,"&gt;="&amp;O2Summary!$B$6,WTG_BD!F:F,"&lt;="&amp;O2Summary!$B$4)</f>
        <v>0</v>
      </c>
      <c r="V2169" s="18">
        <f t="shared" si="40"/>
        <v>47</v>
      </c>
    </row>
    <row r="2170" spans="19:22">
      <c r="S2170" s="16">
        <v>4121</v>
      </c>
      <c r="T2170" s="16" t="s">
        <v>2651</v>
      </c>
      <c r="U2170" s="17">
        <f>COUNTIFS(WTG_BD!L:L,'Basic Data'!T2170,WTG_BD!F:F,"&gt;="&amp;O2Summary!$B$6,WTG_BD!F:F,"&lt;="&amp;O2Summary!$B$4)</f>
        <v>0</v>
      </c>
      <c r="V2170" s="18">
        <f t="shared" si="40"/>
        <v>47</v>
      </c>
    </row>
    <row r="2171" spans="19:22">
      <c r="S2171" s="16">
        <v>4122</v>
      </c>
      <c r="T2171" s="16" t="s">
        <v>2652</v>
      </c>
      <c r="U2171" s="17">
        <f>COUNTIFS(WTG_BD!L:L,'Basic Data'!T2171,WTG_BD!F:F,"&gt;="&amp;O2Summary!$B$6,WTG_BD!F:F,"&lt;="&amp;O2Summary!$B$4)</f>
        <v>0</v>
      </c>
      <c r="V2171" s="18">
        <f t="shared" si="40"/>
        <v>47</v>
      </c>
    </row>
    <row r="2172" spans="19:22">
      <c r="S2172" s="16">
        <v>4123</v>
      </c>
      <c r="T2172" s="16" t="s">
        <v>2653</v>
      </c>
      <c r="U2172" s="17">
        <f>COUNTIFS(WTG_BD!L:L,'Basic Data'!T2172,WTG_BD!F:F,"&gt;="&amp;O2Summary!$B$6,WTG_BD!F:F,"&lt;="&amp;O2Summary!$B$4)</f>
        <v>0</v>
      </c>
      <c r="V2172" s="18">
        <f t="shared" si="40"/>
        <v>47</v>
      </c>
    </row>
    <row r="2173" spans="19:22">
      <c r="S2173" s="16">
        <v>4124</v>
      </c>
      <c r="T2173" s="16" t="s">
        <v>2654</v>
      </c>
      <c r="U2173" s="17">
        <f>COUNTIFS(WTG_BD!L:L,'Basic Data'!T2173,WTG_BD!F:F,"&gt;="&amp;O2Summary!$B$6,WTG_BD!F:F,"&lt;="&amp;O2Summary!$B$4)</f>
        <v>0</v>
      </c>
      <c r="V2173" s="18">
        <f t="shared" si="40"/>
        <v>47</v>
      </c>
    </row>
    <row r="2174" spans="19:22">
      <c r="S2174" s="16">
        <v>4125</v>
      </c>
      <c r="T2174" s="16" t="s">
        <v>2655</v>
      </c>
      <c r="U2174" s="17">
        <f>COUNTIFS(WTG_BD!L:L,'Basic Data'!T2174,WTG_BD!F:F,"&gt;="&amp;O2Summary!$B$6,WTG_BD!F:F,"&lt;="&amp;O2Summary!$B$4)</f>
        <v>0</v>
      </c>
      <c r="V2174" s="18">
        <f t="shared" si="40"/>
        <v>47</v>
      </c>
    </row>
    <row r="2175" spans="19:22">
      <c r="S2175" s="16">
        <v>4126</v>
      </c>
      <c r="T2175" s="16" t="s">
        <v>2656</v>
      </c>
      <c r="U2175" s="17">
        <f>COUNTIFS(WTG_BD!L:L,'Basic Data'!T2175,WTG_BD!F:F,"&gt;="&amp;O2Summary!$B$6,WTG_BD!F:F,"&lt;="&amp;O2Summary!$B$4)</f>
        <v>0</v>
      </c>
      <c r="V2175" s="18">
        <f t="shared" si="40"/>
        <v>47</v>
      </c>
    </row>
    <row r="2176" spans="19:22">
      <c r="S2176" s="16">
        <v>4127</v>
      </c>
      <c r="T2176" s="16" t="s">
        <v>2657</v>
      </c>
      <c r="U2176" s="17">
        <f>COUNTIFS(WTG_BD!L:L,'Basic Data'!T2176,WTG_BD!F:F,"&gt;="&amp;O2Summary!$B$6,WTG_BD!F:F,"&lt;="&amp;O2Summary!$B$4)</f>
        <v>0</v>
      </c>
      <c r="V2176" s="18">
        <f t="shared" si="40"/>
        <v>47</v>
      </c>
    </row>
    <row r="2177" spans="19:22">
      <c r="S2177" s="16">
        <v>4128</v>
      </c>
      <c r="T2177" s="16" t="s">
        <v>2658</v>
      </c>
      <c r="U2177" s="17">
        <f>COUNTIFS(WTG_BD!L:L,'Basic Data'!T2177,WTG_BD!F:F,"&gt;="&amp;O2Summary!$B$6,WTG_BD!F:F,"&lt;="&amp;O2Summary!$B$4)</f>
        <v>0</v>
      </c>
      <c r="V2177" s="18">
        <f t="shared" si="40"/>
        <v>47</v>
      </c>
    </row>
    <row r="2178" spans="19:22">
      <c r="S2178" s="16">
        <v>4129</v>
      </c>
      <c r="T2178" s="16" t="s">
        <v>2659</v>
      </c>
      <c r="U2178" s="17">
        <f>COUNTIFS(WTG_BD!L:L,'Basic Data'!T2178,WTG_BD!F:F,"&gt;="&amp;O2Summary!$B$6,WTG_BD!F:F,"&lt;="&amp;O2Summary!$B$4)</f>
        <v>0</v>
      </c>
      <c r="V2178" s="18">
        <f t="shared" si="40"/>
        <v>47</v>
      </c>
    </row>
    <row r="2179" spans="19:22">
      <c r="S2179" s="16">
        <v>4130</v>
      </c>
      <c r="T2179" s="16" t="s">
        <v>2660</v>
      </c>
      <c r="U2179" s="17">
        <f>COUNTIFS(WTG_BD!L:L,'Basic Data'!T2179,WTG_BD!F:F,"&gt;="&amp;O2Summary!$B$6,WTG_BD!F:F,"&lt;="&amp;O2Summary!$B$4)</f>
        <v>0</v>
      </c>
      <c r="V2179" s="18">
        <f t="shared" ref="V2179:V2242" si="41">RANK(U2179,$U$2:$U$3975)</f>
        <v>47</v>
      </c>
    </row>
    <row r="2180" spans="19:22">
      <c r="S2180" s="16">
        <v>4131</v>
      </c>
      <c r="T2180" s="16" t="s">
        <v>2661</v>
      </c>
      <c r="U2180" s="17">
        <f>COUNTIFS(WTG_BD!L:L,'Basic Data'!T2180,WTG_BD!F:F,"&gt;="&amp;O2Summary!$B$6,WTG_BD!F:F,"&lt;="&amp;O2Summary!$B$4)</f>
        <v>0</v>
      </c>
      <c r="V2180" s="18">
        <f t="shared" si="41"/>
        <v>47</v>
      </c>
    </row>
    <row r="2181" spans="19:22">
      <c r="S2181" s="16">
        <v>4132</v>
      </c>
      <c r="T2181" s="16" t="s">
        <v>2662</v>
      </c>
      <c r="U2181" s="17">
        <f>COUNTIFS(WTG_BD!L:L,'Basic Data'!T2181,WTG_BD!F:F,"&gt;="&amp;O2Summary!$B$6,WTG_BD!F:F,"&lt;="&amp;O2Summary!$B$4)</f>
        <v>0</v>
      </c>
      <c r="V2181" s="18">
        <f t="shared" si="41"/>
        <v>47</v>
      </c>
    </row>
    <row r="2182" spans="19:22">
      <c r="S2182" s="16">
        <v>4133</v>
      </c>
      <c r="T2182" s="16" t="s">
        <v>2663</v>
      </c>
      <c r="U2182" s="17">
        <f>COUNTIFS(WTG_BD!L:L,'Basic Data'!T2182,WTG_BD!F:F,"&gt;="&amp;O2Summary!$B$6,WTG_BD!F:F,"&lt;="&amp;O2Summary!$B$4)</f>
        <v>0</v>
      </c>
      <c r="V2182" s="18">
        <f t="shared" si="41"/>
        <v>47</v>
      </c>
    </row>
    <row r="2183" spans="19:22">
      <c r="S2183" s="16">
        <v>4134</v>
      </c>
      <c r="T2183" s="16" t="s">
        <v>2664</v>
      </c>
      <c r="U2183" s="17">
        <f>COUNTIFS(WTG_BD!L:L,'Basic Data'!T2183,WTG_BD!F:F,"&gt;="&amp;O2Summary!$B$6,WTG_BD!F:F,"&lt;="&amp;O2Summary!$B$4)</f>
        <v>0</v>
      </c>
      <c r="V2183" s="18">
        <f t="shared" si="41"/>
        <v>47</v>
      </c>
    </row>
    <row r="2184" spans="19:22">
      <c r="S2184" s="16">
        <v>4135</v>
      </c>
      <c r="T2184" s="16" t="s">
        <v>2665</v>
      </c>
      <c r="U2184" s="17">
        <f>COUNTIFS(WTG_BD!L:L,'Basic Data'!T2184,WTG_BD!F:F,"&gt;="&amp;O2Summary!$B$6,WTG_BD!F:F,"&lt;="&amp;O2Summary!$B$4)</f>
        <v>0</v>
      </c>
      <c r="V2184" s="18">
        <f t="shared" si="41"/>
        <v>47</v>
      </c>
    </row>
    <row r="2185" spans="19:22">
      <c r="S2185" s="16">
        <v>4136</v>
      </c>
      <c r="T2185" s="16" t="s">
        <v>2666</v>
      </c>
      <c r="U2185" s="17">
        <f>COUNTIFS(WTG_BD!L:L,'Basic Data'!T2185,WTG_BD!F:F,"&gt;="&amp;O2Summary!$B$6,WTG_BD!F:F,"&lt;="&amp;O2Summary!$B$4)</f>
        <v>0</v>
      </c>
      <c r="V2185" s="18">
        <f t="shared" si="41"/>
        <v>47</v>
      </c>
    </row>
    <row r="2186" spans="19:22">
      <c r="S2186" s="16">
        <v>4137</v>
      </c>
      <c r="T2186" s="16" t="s">
        <v>2667</v>
      </c>
      <c r="U2186" s="17">
        <f>COUNTIFS(WTG_BD!L:L,'Basic Data'!T2186,WTG_BD!F:F,"&gt;="&amp;O2Summary!$B$6,WTG_BD!F:F,"&lt;="&amp;O2Summary!$B$4)</f>
        <v>0</v>
      </c>
      <c r="V2186" s="18">
        <f t="shared" si="41"/>
        <v>47</v>
      </c>
    </row>
    <row r="2187" spans="19:22">
      <c r="S2187" s="16">
        <v>4138</v>
      </c>
      <c r="T2187" s="16" t="s">
        <v>2668</v>
      </c>
      <c r="U2187" s="17">
        <f>COUNTIFS(WTG_BD!L:L,'Basic Data'!T2187,WTG_BD!F:F,"&gt;="&amp;O2Summary!$B$6,WTG_BD!F:F,"&lt;="&amp;O2Summary!$B$4)</f>
        <v>0</v>
      </c>
      <c r="V2187" s="18">
        <f t="shared" si="41"/>
        <v>47</v>
      </c>
    </row>
    <row r="2188" spans="19:22">
      <c r="S2188" s="16">
        <v>4139</v>
      </c>
      <c r="T2188" s="16" t="s">
        <v>2669</v>
      </c>
      <c r="U2188" s="17">
        <f>COUNTIFS(WTG_BD!L:L,'Basic Data'!T2188,WTG_BD!F:F,"&gt;="&amp;O2Summary!$B$6,WTG_BD!F:F,"&lt;="&amp;O2Summary!$B$4)</f>
        <v>0</v>
      </c>
      <c r="V2188" s="18">
        <f t="shared" si="41"/>
        <v>47</v>
      </c>
    </row>
    <row r="2189" spans="19:22">
      <c r="S2189" s="16">
        <v>4140</v>
      </c>
      <c r="T2189" s="16" t="s">
        <v>2670</v>
      </c>
      <c r="U2189" s="17">
        <f>COUNTIFS(WTG_BD!L:L,'Basic Data'!T2189,WTG_BD!F:F,"&gt;="&amp;O2Summary!$B$6,WTG_BD!F:F,"&lt;="&amp;O2Summary!$B$4)</f>
        <v>0</v>
      </c>
      <c r="V2189" s="18">
        <f t="shared" si="41"/>
        <v>47</v>
      </c>
    </row>
    <row r="2190" spans="19:22">
      <c r="S2190" s="16">
        <v>4141</v>
      </c>
      <c r="T2190" s="16" t="s">
        <v>2671</v>
      </c>
      <c r="U2190" s="17">
        <f>COUNTIFS(WTG_BD!L:L,'Basic Data'!T2190,WTG_BD!F:F,"&gt;="&amp;O2Summary!$B$6,WTG_BD!F:F,"&lt;="&amp;O2Summary!$B$4)</f>
        <v>0</v>
      </c>
      <c r="V2190" s="18">
        <f t="shared" si="41"/>
        <v>47</v>
      </c>
    </row>
    <row r="2191" spans="19:22">
      <c r="S2191" s="16">
        <v>4142</v>
      </c>
      <c r="T2191" s="16" t="s">
        <v>2672</v>
      </c>
      <c r="U2191" s="17">
        <f>COUNTIFS(WTG_BD!L:L,'Basic Data'!T2191,WTG_BD!F:F,"&gt;="&amp;O2Summary!$B$6,WTG_BD!F:F,"&lt;="&amp;O2Summary!$B$4)</f>
        <v>0</v>
      </c>
      <c r="V2191" s="18">
        <f t="shared" si="41"/>
        <v>47</v>
      </c>
    </row>
    <row r="2192" spans="19:22">
      <c r="S2192" s="16">
        <v>4143</v>
      </c>
      <c r="T2192" s="16" t="s">
        <v>2673</v>
      </c>
      <c r="U2192" s="17">
        <f>COUNTIFS(WTG_BD!L:L,'Basic Data'!T2192,WTG_BD!F:F,"&gt;="&amp;O2Summary!$B$6,WTG_BD!F:F,"&lt;="&amp;O2Summary!$B$4)</f>
        <v>0</v>
      </c>
      <c r="V2192" s="18">
        <f t="shared" si="41"/>
        <v>47</v>
      </c>
    </row>
    <row r="2193" spans="19:22">
      <c r="S2193" s="16">
        <v>4144</v>
      </c>
      <c r="T2193" s="16" t="s">
        <v>2674</v>
      </c>
      <c r="U2193" s="17">
        <f>COUNTIFS(WTG_BD!L:L,'Basic Data'!T2193,WTG_BD!F:F,"&gt;="&amp;O2Summary!$B$6,WTG_BD!F:F,"&lt;="&amp;O2Summary!$B$4)</f>
        <v>0</v>
      </c>
      <c r="V2193" s="18">
        <f t="shared" si="41"/>
        <v>47</v>
      </c>
    </row>
    <row r="2194" spans="19:22">
      <c r="S2194" s="16">
        <v>4145</v>
      </c>
      <c r="T2194" s="16" t="s">
        <v>2675</v>
      </c>
      <c r="U2194" s="17">
        <f>COUNTIFS(WTG_BD!L:L,'Basic Data'!T2194,WTG_BD!F:F,"&gt;="&amp;O2Summary!$B$6,WTG_BD!F:F,"&lt;="&amp;O2Summary!$B$4)</f>
        <v>0</v>
      </c>
      <c r="V2194" s="18">
        <f t="shared" si="41"/>
        <v>47</v>
      </c>
    </row>
    <row r="2195" spans="19:22">
      <c r="S2195" s="16">
        <v>4146</v>
      </c>
      <c r="T2195" s="16" t="s">
        <v>2676</v>
      </c>
      <c r="U2195" s="17">
        <f>COUNTIFS(WTG_BD!L:L,'Basic Data'!T2195,WTG_BD!F:F,"&gt;="&amp;O2Summary!$B$6,WTG_BD!F:F,"&lt;="&amp;O2Summary!$B$4)</f>
        <v>0</v>
      </c>
      <c r="V2195" s="18">
        <f t="shared" si="41"/>
        <v>47</v>
      </c>
    </row>
    <row r="2196" spans="19:22">
      <c r="S2196" s="16">
        <v>4147</v>
      </c>
      <c r="T2196" s="16" t="s">
        <v>2677</v>
      </c>
      <c r="U2196" s="17">
        <f>COUNTIFS(WTG_BD!L:L,'Basic Data'!T2196,WTG_BD!F:F,"&gt;="&amp;O2Summary!$B$6,WTG_BD!F:F,"&lt;="&amp;O2Summary!$B$4)</f>
        <v>0</v>
      </c>
      <c r="V2196" s="18">
        <f t="shared" si="41"/>
        <v>47</v>
      </c>
    </row>
    <row r="2197" spans="19:22">
      <c r="S2197" s="16">
        <v>4148</v>
      </c>
      <c r="T2197" s="16" t="s">
        <v>2678</v>
      </c>
      <c r="U2197" s="17">
        <f>COUNTIFS(WTG_BD!L:L,'Basic Data'!T2197,WTG_BD!F:F,"&gt;="&amp;O2Summary!$B$6,WTG_BD!F:F,"&lt;="&amp;O2Summary!$B$4)</f>
        <v>0</v>
      </c>
      <c r="V2197" s="18">
        <f t="shared" si="41"/>
        <v>47</v>
      </c>
    </row>
    <row r="2198" spans="19:22">
      <c r="S2198" s="16">
        <v>4149</v>
      </c>
      <c r="T2198" s="16" t="s">
        <v>2679</v>
      </c>
      <c r="U2198" s="17">
        <f>COUNTIFS(WTG_BD!L:L,'Basic Data'!T2198,WTG_BD!F:F,"&gt;="&amp;O2Summary!$B$6,WTG_BD!F:F,"&lt;="&amp;O2Summary!$B$4)</f>
        <v>0</v>
      </c>
      <c r="V2198" s="18">
        <f t="shared" si="41"/>
        <v>47</v>
      </c>
    </row>
    <row r="2199" spans="19:22">
      <c r="S2199" s="16">
        <v>4150</v>
      </c>
      <c r="T2199" s="16" t="s">
        <v>2680</v>
      </c>
      <c r="U2199" s="17">
        <f>COUNTIFS(WTG_BD!L:L,'Basic Data'!T2199,WTG_BD!F:F,"&gt;="&amp;O2Summary!$B$6,WTG_BD!F:F,"&lt;="&amp;O2Summary!$B$4)</f>
        <v>0</v>
      </c>
      <c r="V2199" s="18">
        <f t="shared" si="41"/>
        <v>47</v>
      </c>
    </row>
    <row r="2200" spans="19:22">
      <c r="S2200" s="16">
        <v>4151</v>
      </c>
      <c r="T2200" s="16" t="s">
        <v>2681</v>
      </c>
      <c r="U2200" s="17">
        <f>COUNTIFS(WTG_BD!L:L,'Basic Data'!T2200,WTG_BD!F:F,"&gt;="&amp;O2Summary!$B$6,WTG_BD!F:F,"&lt;="&amp;O2Summary!$B$4)</f>
        <v>0</v>
      </c>
      <c r="V2200" s="18">
        <f t="shared" si="41"/>
        <v>47</v>
      </c>
    </row>
    <row r="2201" spans="19:22">
      <c r="S2201" s="16">
        <v>4152</v>
      </c>
      <c r="T2201" s="16" t="s">
        <v>2682</v>
      </c>
      <c r="U2201" s="17">
        <f>COUNTIFS(WTG_BD!L:L,'Basic Data'!T2201,WTG_BD!F:F,"&gt;="&amp;O2Summary!$B$6,WTG_BD!F:F,"&lt;="&amp;O2Summary!$B$4)</f>
        <v>0</v>
      </c>
      <c r="V2201" s="18">
        <f t="shared" si="41"/>
        <v>47</v>
      </c>
    </row>
    <row r="2202" spans="19:22">
      <c r="S2202" s="16">
        <v>4153</v>
      </c>
      <c r="T2202" s="16" t="s">
        <v>2683</v>
      </c>
      <c r="U2202" s="17">
        <f>COUNTIFS(WTG_BD!L:L,'Basic Data'!T2202,WTG_BD!F:F,"&gt;="&amp;O2Summary!$B$6,WTG_BD!F:F,"&lt;="&amp;O2Summary!$B$4)</f>
        <v>0</v>
      </c>
      <c r="V2202" s="18">
        <f t="shared" si="41"/>
        <v>47</v>
      </c>
    </row>
    <row r="2203" spans="19:22">
      <c r="S2203" s="16">
        <v>4154</v>
      </c>
      <c r="T2203" s="16" t="s">
        <v>2684</v>
      </c>
      <c r="U2203" s="17">
        <f>COUNTIFS(WTG_BD!L:L,'Basic Data'!T2203,WTG_BD!F:F,"&gt;="&amp;O2Summary!$B$6,WTG_BD!F:F,"&lt;="&amp;O2Summary!$B$4)</f>
        <v>0</v>
      </c>
      <c r="V2203" s="18">
        <f t="shared" si="41"/>
        <v>47</v>
      </c>
    </row>
    <row r="2204" spans="19:22">
      <c r="S2204" s="16">
        <v>4155</v>
      </c>
      <c r="T2204" s="16" t="s">
        <v>2685</v>
      </c>
      <c r="U2204" s="17">
        <f>COUNTIFS(WTG_BD!L:L,'Basic Data'!T2204,WTG_BD!F:F,"&gt;="&amp;O2Summary!$B$6,WTG_BD!F:F,"&lt;="&amp;O2Summary!$B$4)</f>
        <v>0</v>
      </c>
      <c r="V2204" s="18">
        <f t="shared" si="41"/>
        <v>47</v>
      </c>
    </row>
    <row r="2205" spans="19:22">
      <c r="S2205" s="16">
        <v>4156</v>
      </c>
      <c r="T2205" s="16" t="s">
        <v>2686</v>
      </c>
      <c r="U2205" s="17">
        <f>COUNTIFS(WTG_BD!L:L,'Basic Data'!T2205,WTG_BD!F:F,"&gt;="&amp;O2Summary!$B$6,WTG_BD!F:F,"&lt;="&amp;O2Summary!$B$4)</f>
        <v>0</v>
      </c>
      <c r="V2205" s="18">
        <f t="shared" si="41"/>
        <v>47</v>
      </c>
    </row>
    <row r="2206" spans="19:22">
      <c r="S2206" s="16">
        <v>4157</v>
      </c>
      <c r="T2206" s="16" t="s">
        <v>2687</v>
      </c>
      <c r="U2206" s="17">
        <f>COUNTIFS(WTG_BD!L:L,'Basic Data'!T2206,WTG_BD!F:F,"&gt;="&amp;O2Summary!$B$6,WTG_BD!F:F,"&lt;="&amp;O2Summary!$B$4)</f>
        <v>0</v>
      </c>
      <c r="V2206" s="18">
        <f t="shared" si="41"/>
        <v>47</v>
      </c>
    </row>
    <row r="2207" spans="19:22">
      <c r="S2207" s="16">
        <v>4158</v>
      </c>
      <c r="T2207" s="16" t="s">
        <v>2688</v>
      </c>
      <c r="U2207" s="17">
        <f>COUNTIFS(WTG_BD!L:L,'Basic Data'!T2207,WTG_BD!F:F,"&gt;="&amp;O2Summary!$B$6,WTG_BD!F:F,"&lt;="&amp;O2Summary!$B$4)</f>
        <v>0</v>
      </c>
      <c r="V2207" s="18">
        <f t="shared" si="41"/>
        <v>47</v>
      </c>
    </row>
    <row r="2208" spans="19:22">
      <c r="S2208" s="16">
        <v>4159</v>
      </c>
      <c r="T2208" s="16" t="s">
        <v>2689</v>
      </c>
      <c r="U2208" s="17">
        <f>COUNTIFS(WTG_BD!L:L,'Basic Data'!T2208,WTG_BD!F:F,"&gt;="&amp;O2Summary!$B$6,WTG_BD!F:F,"&lt;="&amp;O2Summary!$B$4)</f>
        <v>0</v>
      </c>
      <c r="V2208" s="18">
        <f t="shared" si="41"/>
        <v>47</v>
      </c>
    </row>
    <row r="2209" spans="19:22">
      <c r="S2209" s="16">
        <v>4160</v>
      </c>
      <c r="T2209" s="16" t="s">
        <v>2690</v>
      </c>
      <c r="U2209" s="17">
        <f>COUNTIFS(WTG_BD!L:L,'Basic Data'!T2209,WTG_BD!F:F,"&gt;="&amp;O2Summary!$B$6,WTG_BD!F:F,"&lt;="&amp;O2Summary!$B$4)</f>
        <v>0</v>
      </c>
      <c r="V2209" s="18">
        <f t="shared" si="41"/>
        <v>47</v>
      </c>
    </row>
    <row r="2210" spans="19:22">
      <c r="S2210" s="16">
        <v>4161</v>
      </c>
      <c r="T2210" s="16" t="s">
        <v>2691</v>
      </c>
      <c r="U2210" s="17">
        <f>COUNTIFS(WTG_BD!L:L,'Basic Data'!T2210,WTG_BD!F:F,"&gt;="&amp;O2Summary!$B$6,WTG_BD!F:F,"&lt;="&amp;O2Summary!$B$4)</f>
        <v>0</v>
      </c>
      <c r="V2210" s="18">
        <f t="shared" si="41"/>
        <v>47</v>
      </c>
    </row>
    <row r="2211" spans="19:22">
      <c r="S2211" s="16">
        <v>4162</v>
      </c>
      <c r="T2211" s="16" t="s">
        <v>2692</v>
      </c>
      <c r="U2211" s="17">
        <f>COUNTIFS(WTG_BD!L:L,'Basic Data'!T2211,WTG_BD!F:F,"&gt;="&amp;O2Summary!$B$6,WTG_BD!F:F,"&lt;="&amp;O2Summary!$B$4)</f>
        <v>0</v>
      </c>
      <c r="V2211" s="18">
        <f t="shared" si="41"/>
        <v>47</v>
      </c>
    </row>
    <row r="2212" spans="19:22">
      <c r="S2212" s="16">
        <v>4163</v>
      </c>
      <c r="T2212" s="16" t="s">
        <v>2693</v>
      </c>
      <c r="U2212" s="17">
        <f>COUNTIFS(WTG_BD!L:L,'Basic Data'!T2212,WTG_BD!F:F,"&gt;="&amp;O2Summary!$B$6,WTG_BD!F:F,"&lt;="&amp;O2Summary!$B$4)</f>
        <v>0</v>
      </c>
      <c r="V2212" s="18">
        <f t="shared" si="41"/>
        <v>47</v>
      </c>
    </row>
    <row r="2213" spans="19:22">
      <c r="S2213" s="16">
        <v>4164</v>
      </c>
      <c r="T2213" s="16" t="s">
        <v>2694</v>
      </c>
      <c r="U2213" s="17">
        <f>COUNTIFS(WTG_BD!L:L,'Basic Data'!T2213,WTG_BD!F:F,"&gt;="&amp;O2Summary!$B$6,WTG_BD!F:F,"&lt;="&amp;O2Summary!$B$4)</f>
        <v>0</v>
      </c>
      <c r="V2213" s="18">
        <f t="shared" si="41"/>
        <v>47</v>
      </c>
    </row>
    <row r="2214" spans="19:22">
      <c r="S2214" s="16">
        <v>4165</v>
      </c>
      <c r="T2214" s="16" t="s">
        <v>2695</v>
      </c>
      <c r="U2214" s="17">
        <f>COUNTIFS(WTG_BD!L:L,'Basic Data'!T2214,WTG_BD!F:F,"&gt;="&amp;O2Summary!$B$6,WTG_BD!F:F,"&lt;="&amp;O2Summary!$B$4)</f>
        <v>0</v>
      </c>
      <c r="V2214" s="18">
        <f t="shared" si="41"/>
        <v>47</v>
      </c>
    </row>
    <row r="2215" spans="19:22">
      <c r="S2215" s="16">
        <v>4166</v>
      </c>
      <c r="T2215" s="16" t="s">
        <v>2696</v>
      </c>
      <c r="U2215" s="17">
        <f>COUNTIFS(WTG_BD!L:L,'Basic Data'!T2215,WTG_BD!F:F,"&gt;="&amp;O2Summary!$B$6,WTG_BD!F:F,"&lt;="&amp;O2Summary!$B$4)</f>
        <v>0</v>
      </c>
      <c r="V2215" s="18">
        <f t="shared" si="41"/>
        <v>47</v>
      </c>
    </row>
    <row r="2216" spans="19:22">
      <c r="S2216" s="16">
        <v>4167</v>
      </c>
      <c r="T2216" s="16" t="s">
        <v>2697</v>
      </c>
      <c r="U2216" s="17">
        <f>COUNTIFS(WTG_BD!L:L,'Basic Data'!T2216,WTG_BD!F:F,"&gt;="&amp;O2Summary!$B$6,WTG_BD!F:F,"&lt;="&amp;O2Summary!$B$4)</f>
        <v>0</v>
      </c>
      <c r="V2216" s="18">
        <f t="shared" si="41"/>
        <v>47</v>
      </c>
    </row>
    <row r="2217" spans="19:22">
      <c r="S2217" s="16">
        <v>4168</v>
      </c>
      <c r="T2217" s="16" t="s">
        <v>2698</v>
      </c>
      <c r="U2217" s="17">
        <f>COUNTIFS(WTG_BD!L:L,'Basic Data'!T2217,WTG_BD!F:F,"&gt;="&amp;O2Summary!$B$6,WTG_BD!F:F,"&lt;="&amp;O2Summary!$B$4)</f>
        <v>0</v>
      </c>
      <c r="V2217" s="18">
        <f t="shared" si="41"/>
        <v>47</v>
      </c>
    </row>
    <row r="2218" spans="19:22">
      <c r="S2218" s="16">
        <v>4169</v>
      </c>
      <c r="T2218" s="16" t="s">
        <v>2699</v>
      </c>
      <c r="U2218" s="17">
        <f>COUNTIFS(WTG_BD!L:L,'Basic Data'!T2218,WTG_BD!F:F,"&gt;="&amp;O2Summary!$B$6,WTG_BD!F:F,"&lt;="&amp;O2Summary!$B$4)</f>
        <v>0</v>
      </c>
      <c r="V2218" s="18">
        <f t="shared" si="41"/>
        <v>47</v>
      </c>
    </row>
    <row r="2219" spans="19:22">
      <c r="S2219" s="16">
        <v>4170</v>
      </c>
      <c r="T2219" s="16" t="s">
        <v>2700</v>
      </c>
      <c r="U2219" s="17">
        <f>COUNTIFS(WTG_BD!L:L,'Basic Data'!T2219,WTG_BD!F:F,"&gt;="&amp;O2Summary!$B$6,WTG_BD!F:F,"&lt;="&amp;O2Summary!$B$4)</f>
        <v>0</v>
      </c>
      <c r="V2219" s="18">
        <f t="shared" si="41"/>
        <v>47</v>
      </c>
    </row>
    <row r="2220" spans="19:22">
      <c r="S2220" s="16">
        <v>4171</v>
      </c>
      <c r="T2220" s="16" t="s">
        <v>2701</v>
      </c>
      <c r="U2220" s="17">
        <f>COUNTIFS(WTG_BD!L:L,'Basic Data'!T2220,WTG_BD!F:F,"&gt;="&amp;O2Summary!$B$6,WTG_BD!F:F,"&lt;="&amp;O2Summary!$B$4)</f>
        <v>0</v>
      </c>
      <c r="V2220" s="18">
        <f t="shared" si="41"/>
        <v>47</v>
      </c>
    </row>
    <row r="2221" spans="19:22">
      <c r="S2221" s="16">
        <v>4172</v>
      </c>
      <c r="T2221" s="16" t="s">
        <v>2702</v>
      </c>
      <c r="U2221" s="17">
        <f>COUNTIFS(WTG_BD!L:L,'Basic Data'!T2221,WTG_BD!F:F,"&gt;="&amp;O2Summary!$B$6,WTG_BD!F:F,"&lt;="&amp;O2Summary!$B$4)</f>
        <v>0</v>
      </c>
      <c r="V2221" s="18">
        <f t="shared" si="41"/>
        <v>47</v>
      </c>
    </row>
    <row r="2222" spans="19:22">
      <c r="S2222" s="16">
        <v>4173</v>
      </c>
      <c r="T2222" s="16" t="s">
        <v>2703</v>
      </c>
      <c r="U2222" s="17">
        <f>COUNTIFS(WTG_BD!L:L,'Basic Data'!T2222,WTG_BD!F:F,"&gt;="&amp;O2Summary!$B$6,WTG_BD!F:F,"&lt;="&amp;O2Summary!$B$4)</f>
        <v>0</v>
      </c>
      <c r="V2222" s="18">
        <f t="shared" si="41"/>
        <v>47</v>
      </c>
    </row>
    <row r="2223" spans="19:22">
      <c r="S2223" s="16">
        <v>4174</v>
      </c>
      <c r="T2223" s="16" t="s">
        <v>2704</v>
      </c>
      <c r="U2223" s="17">
        <f>COUNTIFS(WTG_BD!L:L,'Basic Data'!T2223,WTG_BD!F:F,"&gt;="&amp;O2Summary!$B$6,WTG_BD!F:F,"&lt;="&amp;O2Summary!$B$4)</f>
        <v>0</v>
      </c>
      <c r="V2223" s="18">
        <f t="shared" si="41"/>
        <v>47</v>
      </c>
    </row>
    <row r="2224" spans="19:22">
      <c r="S2224" s="16">
        <v>4175</v>
      </c>
      <c r="T2224" s="16" t="s">
        <v>2705</v>
      </c>
      <c r="U2224" s="17">
        <f>COUNTIFS(WTG_BD!L:L,'Basic Data'!T2224,WTG_BD!F:F,"&gt;="&amp;O2Summary!$B$6,WTG_BD!F:F,"&lt;="&amp;O2Summary!$B$4)</f>
        <v>0</v>
      </c>
      <c r="V2224" s="18">
        <f t="shared" si="41"/>
        <v>47</v>
      </c>
    </row>
    <row r="2225" spans="19:22">
      <c r="S2225" s="16">
        <v>4176</v>
      </c>
      <c r="T2225" s="16" t="s">
        <v>2706</v>
      </c>
      <c r="U2225" s="17">
        <f>COUNTIFS(WTG_BD!L:L,'Basic Data'!T2225,WTG_BD!F:F,"&gt;="&amp;O2Summary!$B$6,WTG_BD!F:F,"&lt;="&amp;O2Summary!$B$4)</f>
        <v>0</v>
      </c>
      <c r="V2225" s="18">
        <f t="shared" si="41"/>
        <v>47</v>
      </c>
    </row>
    <row r="2226" spans="19:22">
      <c r="S2226" s="16">
        <v>4177</v>
      </c>
      <c r="T2226" s="16" t="s">
        <v>2707</v>
      </c>
      <c r="U2226" s="17">
        <f>COUNTIFS(WTG_BD!L:L,'Basic Data'!T2226,WTG_BD!F:F,"&gt;="&amp;O2Summary!$B$6,WTG_BD!F:F,"&lt;="&amp;O2Summary!$B$4)</f>
        <v>0</v>
      </c>
      <c r="V2226" s="18">
        <f t="shared" si="41"/>
        <v>47</v>
      </c>
    </row>
    <row r="2227" spans="19:22">
      <c r="S2227" s="16">
        <v>4178</v>
      </c>
      <c r="T2227" s="16" t="s">
        <v>2708</v>
      </c>
      <c r="U2227" s="17">
        <f>COUNTIFS(WTG_BD!L:L,'Basic Data'!T2227,WTG_BD!F:F,"&gt;="&amp;O2Summary!$B$6,WTG_BD!F:F,"&lt;="&amp;O2Summary!$B$4)</f>
        <v>0</v>
      </c>
      <c r="V2227" s="18">
        <f t="shared" si="41"/>
        <v>47</v>
      </c>
    </row>
    <row r="2228" spans="19:22">
      <c r="S2228" s="16">
        <v>4179</v>
      </c>
      <c r="T2228" s="16" t="s">
        <v>2709</v>
      </c>
      <c r="U2228" s="17">
        <f>COUNTIFS(WTG_BD!L:L,'Basic Data'!T2228,WTG_BD!F:F,"&gt;="&amp;O2Summary!$B$6,WTG_BD!F:F,"&lt;="&amp;O2Summary!$B$4)</f>
        <v>0</v>
      </c>
      <c r="V2228" s="18">
        <f t="shared" si="41"/>
        <v>47</v>
      </c>
    </row>
    <row r="2229" spans="19:22">
      <c r="S2229" s="16">
        <v>4180</v>
      </c>
      <c r="T2229" s="16" t="s">
        <v>2710</v>
      </c>
      <c r="U2229" s="17">
        <f>COUNTIFS(WTG_BD!L:L,'Basic Data'!T2229,WTG_BD!F:F,"&gt;="&amp;O2Summary!$B$6,WTG_BD!F:F,"&lt;="&amp;O2Summary!$B$4)</f>
        <v>0</v>
      </c>
      <c r="V2229" s="18">
        <f t="shared" si="41"/>
        <v>47</v>
      </c>
    </row>
    <row r="2230" spans="19:22">
      <c r="S2230" s="16">
        <v>4181</v>
      </c>
      <c r="T2230" s="16" t="s">
        <v>2711</v>
      </c>
      <c r="U2230" s="17">
        <f>COUNTIFS(WTG_BD!L:L,'Basic Data'!T2230,WTG_BD!F:F,"&gt;="&amp;O2Summary!$B$6,WTG_BD!F:F,"&lt;="&amp;O2Summary!$B$4)</f>
        <v>0</v>
      </c>
      <c r="V2230" s="18">
        <f t="shared" si="41"/>
        <v>47</v>
      </c>
    </row>
    <row r="2231" spans="19:22">
      <c r="S2231" s="16">
        <v>4182</v>
      </c>
      <c r="T2231" s="16" t="s">
        <v>2712</v>
      </c>
      <c r="U2231" s="17">
        <f>COUNTIFS(WTG_BD!L:L,'Basic Data'!T2231,WTG_BD!F:F,"&gt;="&amp;O2Summary!$B$6,WTG_BD!F:F,"&lt;="&amp;O2Summary!$B$4)</f>
        <v>0</v>
      </c>
      <c r="V2231" s="18">
        <f t="shared" si="41"/>
        <v>47</v>
      </c>
    </row>
    <row r="2232" spans="19:22">
      <c r="S2232" s="16">
        <v>4183</v>
      </c>
      <c r="T2232" s="16" t="s">
        <v>2713</v>
      </c>
      <c r="U2232" s="17">
        <f>COUNTIFS(WTG_BD!L:L,'Basic Data'!T2232,WTG_BD!F:F,"&gt;="&amp;O2Summary!$B$6,WTG_BD!F:F,"&lt;="&amp;O2Summary!$B$4)</f>
        <v>0</v>
      </c>
      <c r="V2232" s="18">
        <f t="shared" si="41"/>
        <v>47</v>
      </c>
    </row>
    <row r="2233" spans="19:22">
      <c r="S2233" s="16">
        <v>4184</v>
      </c>
      <c r="T2233" s="16" t="s">
        <v>2714</v>
      </c>
      <c r="U2233" s="17">
        <f>COUNTIFS(WTG_BD!L:L,'Basic Data'!T2233,WTG_BD!F:F,"&gt;="&amp;O2Summary!$B$6,WTG_BD!F:F,"&lt;="&amp;O2Summary!$B$4)</f>
        <v>0</v>
      </c>
      <c r="V2233" s="18">
        <f t="shared" si="41"/>
        <v>47</v>
      </c>
    </row>
    <row r="2234" spans="19:22">
      <c r="S2234" s="16">
        <v>4185</v>
      </c>
      <c r="T2234" s="16" t="s">
        <v>2715</v>
      </c>
      <c r="U2234" s="17">
        <f>COUNTIFS(WTG_BD!L:L,'Basic Data'!T2234,WTG_BD!F:F,"&gt;="&amp;O2Summary!$B$6,WTG_BD!F:F,"&lt;="&amp;O2Summary!$B$4)</f>
        <v>0</v>
      </c>
      <c r="V2234" s="18">
        <f t="shared" si="41"/>
        <v>47</v>
      </c>
    </row>
    <row r="2235" spans="19:22">
      <c r="S2235" s="16">
        <v>4186</v>
      </c>
      <c r="T2235" s="16" t="s">
        <v>2716</v>
      </c>
      <c r="U2235" s="17">
        <f>COUNTIFS(WTG_BD!L:L,'Basic Data'!T2235,WTG_BD!F:F,"&gt;="&amp;O2Summary!$B$6,WTG_BD!F:F,"&lt;="&amp;O2Summary!$B$4)</f>
        <v>0</v>
      </c>
      <c r="V2235" s="18">
        <f t="shared" si="41"/>
        <v>47</v>
      </c>
    </row>
    <row r="2236" spans="19:22">
      <c r="S2236" s="16">
        <v>4187</v>
      </c>
      <c r="T2236" s="16" t="s">
        <v>2717</v>
      </c>
      <c r="U2236" s="17">
        <f>COUNTIFS(WTG_BD!L:L,'Basic Data'!T2236,WTG_BD!F:F,"&gt;="&amp;O2Summary!$B$6,WTG_BD!F:F,"&lt;="&amp;O2Summary!$B$4)</f>
        <v>0</v>
      </c>
      <c r="V2236" s="18">
        <f t="shared" si="41"/>
        <v>47</v>
      </c>
    </row>
    <row r="2237" spans="19:22">
      <c r="S2237" s="16">
        <v>4188</v>
      </c>
      <c r="T2237" s="16" t="s">
        <v>2718</v>
      </c>
      <c r="U2237" s="17">
        <f>COUNTIFS(WTG_BD!L:L,'Basic Data'!T2237,WTG_BD!F:F,"&gt;="&amp;O2Summary!$B$6,WTG_BD!F:F,"&lt;="&amp;O2Summary!$B$4)</f>
        <v>0</v>
      </c>
      <c r="V2237" s="18">
        <f t="shared" si="41"/>
        <v>47</v>
      </c>
    </row>
    <row r="2238" spans="19:22">
      <c r="S2238" s="16">
        <v>4189</v>
      </c>
      <c r="T2238" s="16" t="s">
        <v>2719</v>
      </c>
      <c r="U2238" s="17">
        <f>COUNTIFS(WTG_BD!L:L,'Basic Data'!T2238,WTG_BD!F:F,"&gt;="&amp;O2Summary!$B$6,WTG_BD!F:F,"&lt;="&amp;O2Summary!$B$4)</f>
        <v>0</v>
      </c>
      <c r="V2238" s="18">
        <f t="shared" si="41"/>
        <v>47</v>
      </c>
    </row>
    <row r="2239" spans="19:22">
      <c r="S2239" s="16">
        <v>4190</v>
      </c>
      <c r="T2239" s="16" t="s">
        <v>2720</v>
      </c>
      <c r="U2239" s="17">
        <f>COUNTIFS(WTG_BD!L:L,'Basic Data'!T2239,WTG_BD!F:F,"&gt;="&amp;O2Summary!$B$6,WTG_BD!F:F,"&lt;="&amp;O2Summary!$B$4)</f>
        <v>0</v>
      </c>
      <c r="V2239" s="18">
        <f t="shared" si="41"/>
        <v>47</v>
      </c>
    </row>
    <row r="2240" spans="19:22">
      <c r="S2240" s="16">
        <v>4191</v>
      </c>
      <c r="T2240" s="16" t="s">
        <v>2721</v>
      </c>
      <c r="U2240" s="17">
        <f>COUNTIFS(WTG_BD!L:L,'Basic Data'!T2240,WTG_BD!F:F,"&gt;="&amp;O2Summary!$B$6,WTG_BD!F:F,"&lt;="&amp;O2Summary!$B$4)</f>
        <v>0</v>
      </c>
      <c r="V2240" s="18">
        <f t="shared" si="41"/>
        <v>47</v>
      </c>
    </row>
    <row r="2241" spans="19:22">
      <c r="S2241" s="16">
        <v>4192</v>
      </c>
      <c r="T2241" s="16" t="s">
        <v>2722</v>
      </c>
      <c r="U2241" s="17">
        <f>COUNTIFS(WTG_BD!L:L,'Basic Data'!T2241,WTG_BD!F:F,"&gt;="&amp;O2Summary!$B$6,WTG_BD!F:F,"&lt;="&amp;O2Summary!$B$4)</f>
        <v>0</v>
      </c>
      <c r="V2241" s="18">
        <f t="shared" si="41"/>
        <v>47</v>
      </c>
    </row>
    <row r="2242" spans="19:22">
      <c r="S2242" s="16">
        <v>4193</v>
      </c>
      <c r="T2242" s="16" t="s">
        <v>2723</v>
      </c>
      <c r="U2242" s="17">
        <f>COUNTIFS(WTG_BD!L:L,'Basic Data'!T2242,WTG_BD!F:F,"&gt;="&amp;O2Summary!$B$6,WTG_BD!F:F,"&lt;="&amp;O2Summary!$B$4)</f>
        <v>0</v>
      </c>
      <c r="V2242" s="18">
        <f t="shared" si="41"/>
        <v>47</v>
      </c>
    </row>
    <row r="2243" spans="19:22">
      <c r="S2243" s="16">
        <v>4194</v>
      </c>
      <c r="T2243" s="16" t="s">
        <v>2724</v>
      </c>
      <c r="U2243" s="17">
        <f>COUNTIFS(WTG_BD!L:L,'Basic Data'!T2243,WTG_BD!F:F,"&gt;="&amp;O2Summary!$B$6,WTG_BD!F:F,"&lt;="&amp;O2Summary!$B$4)</f>
        <v>0</v>
      </c>
      <c r="V2243" s="18">
        <f t="shared" ref="V2243:V2306" si="42">RANK(U2243,$U$2:$U$3975)</f>
        <v>47</v>
      </c>
    </row>
    <row r="2244" spans="19:22">
      <c r="S2244" s="16">
        <v>4195</v>
      </c>
      <c r="T2244" s="16" t="s">
        <v>2725</v>
      </c>
      <c r="U2244" s="17">
        <f>COUNTIFS(WTG_BD!L:L,'Basic Data'!T2244,WTG_BD!F:F,"&gt;="&amp;O2Summary!$B$6,WTG_BD!F:F,"&lt;="&amp;O2Summary!$B$4)</f>
        <v>0</v>
      </c>
      <c r="V2244" s="18">
        <f t="shared" si="42"/>
        <v>47</v>
      </c>
    </row>
    <row r="2245" spans="19:22">
      <c r="S2245" s="16">
        <v>4196</v>
      </c>
      <c r="T2245" s="16" t="s">
        <v>2726</v>
      </c>
      <c r="U2245" s="17">
        <f>COUNTIFS(WTG_BD!L:L,'Basic Data'!T2245,WTG_BD!F:F,"&gt;="&amp;O2Summary!$B$6,WTG_BD!F:F,"&lt;="&amp;O2Summary!$B$4)</f>
        <v>0</v>
      </c>
      <c r="V2245" s="18">
        <f t="shared" si="42"/>
        <v>47</v>
      </c>
    </row>
    <row r="2246" spans="19:22">
      <c r="S2246" s="16">
        <v>4197</v>
      </c>
      <c r="T2246" s="16" t="s">
        <v>2727</v>
      </c>
      <c r="U2246" s="17">
        <f>COUNTIFS(WTG_BD!L:L,'Basic Data'!T2246,WTG_BD!F:F,"&gt;="&amp;O2Summary!$B$6,WTG_BD!F:F,"&lt;="&amp;O2Summary!$B$4)</f>
        <v>0</v>
      </c>
      <c r="V2246" s="18">
        <f t="shared" si="42"/>
        <v>47</v>
      </c>
    </row>
    <row r="2247" spans="19:22">
      <c r="S2247" s="16">
        <v>4198</v>
      </c>
      <c r="T2247" s="16" t="s">
        <v>2728</v>
      </c>
      <c r="U2247" s="17">
        <f>COUNTIFS(WTG_BD!L:L,'Basic Data'!T2247,WTG_BD!F:F,"&gt;="&amp;O2Summary!$B$6,WTG_BD!F:F,"&lt;="&amp;O2Summary!$B$4)</f>
        <v>0</v>
      </c>
      <c r="V2247" s="18">
        <f t="shared" si="42"/>
        <v>47</v>
      </c>
    </row>
    <row r="2248" spans="19:22">
      <c r="S2248" s="16">
        <v>4199</v>
      </c>
      <c r="T2248" s="16" t="s">
        <v>2729</v>
      </c>
      <c r="U2248" s="17">
        <f>COUNTIFS(WTG_BD!L:L,'Basic Data'!T2248,WTG_BD!F:F,"&gt;="&amp;O2Summary!$B$6,WTG_BD!F:F,"&lt;="&amp;O2Summary!$B$4)</f>
        <v>0</v>
      </c>
      <c r="V2248" s="18">
        <f t="shared" si="42"/>
        <v>47</v>
      </c>
    </row>
    <row r="2249" spans="19:22">
      <c r="S2249" s="16">
        <v>4200</v>
      </c>
      <c r="T2249" s="16" t="s">
        <v>2730</v>
      </c>
      <c r="U2249" s="17">
        <f>COUNTIFS(WTG_BD!L:L,'Basic Data'!T2249,WTG_BD!F:F,"&gt;="&amp;O2Summary!$B$6,WTG_BD!F:F,"&lt;="&amp;O2Summary!$B$4)</f>
        <v>0</v>
      </c>
      <c r="V2249" s="18">
        <f t="shared" si="42"/>
        <v>47</v>
      </c>
    </row>
    <row r="2250" spans="19:22">
      <c r="S2250" s="16">
        <v>4201</v>
      </c>
      <c r="T2250" s="16" t="s">
        <v>2731</v>
      </c>
      <c r="U2250" s="17">
        <f>COUNTIFS(WTG_BD!L:L,'Basic Data'!T2250,WTG_BD!F:F,"&gt;="&amp;O2Summary!$B$6,WTG_BD!F:F,"&lt;="&amp;O2Summary!$B$4)</f>
        <v>0</v>
      </c>
      <c r="V2250" s="18">
        <f t="shared" si="42"/>
        <v>47</v>
      </c>
    </row>
    <row r="2251" spans="19:22">
      <c r="S2251" s="16">
        <v>4202</v>
      </c>
      <c r="T2251" s="16" t="s">
        <v>2732</v>
      </c>
      <c r="U2251" s="17">
        <f>COUNTIFS(WTG_BD!L:L,'Basic Data'!T2251,WTG_BD!F:F,"&gt;="&amp;O2Summary!$B$6,WTG_BD!F:F,"&lt;="&amp;O2Summary!$B$4)</f>
        <v>0</v>
      </c>
      <c r="V2251" s="18">
        <f t="shared" si="42"/>
        <v>47</v>
      </c>
    </row>
    <row r="2252" spans="19:22">
      <c r="S2252" s="16">
        <v>4203</v>
      </c>
      <c r="T2252" s="16" t="s">
        <v>2733</v>
      </c>
      <c r="U2252" s="17">
        <f>COUNTIFS(WTG_BD!L:L,'Basic Data'!T2252,WTG_BD!F:F,"&gt;="&amp;O2Summary!$B$6,WTG_BD!F:F,"&lt;="&amp;O2Summary!$B$4)</f>
        <v>0</v>
      </c>
      <c r="V2252" s="18">
        <f t="shared" si="42"/>
        <v>47</v>
      </c>
    </row>
    <row r="2253" spans="19:22">
      <c r="S2253" s="16">
        <v>4204</v>
      </c>
      <c r="T2253" s="16" t="s">
        <v>2734</v>
      </c>
      <c r="U2253" s="17">
        <f>COUNTIFS(WTG_BD!L:L,'Basic Data'!T2253,WTG_BD!F:F,"&gt;="&amp;O2Summary!$B$6,WTG_BD!F:F,"&lt;="&amp;O2Summary!$B$4)</f>
        <v>0</v>
      </c>
      <c r="V2253" s="18">
        <f t="shared" si="42"/>
        <v>47</v>
      </c>
    </row>
    <row r="2254" spans="19:22">
      <c r="S2254" s="16">
        <v>4205</v>
      </c>
      <c r="T2254" s="16" t="s">
        <v>2735</v>
      </c>
      <c r="U2254" s="17">
        <f>COUNTIFS(WTG_BD!L:L,'Basic Data'!T2254,WTG_BD!F:F,"&gt;="&amp;O2Summary!$B$6,WTG_BD!F:F,"&lt;="&amp;O2Summary!$B$4)</f>
        <v>0</v>
      </c>
      <c r="V2254" s="18">
        <f t="shared" si="42"/>
        <v>47</v>
      </c>
    </row>
    <row r="2255" spans="19:22">
      <c r="S2255" s="16">
        <v>4206</v>
      </c>
      <c r="T2255" s="16" t="s">
        <v>2736</v>
      </c>
      <c r="U2255" s="17">
        <f>COUNTIFS(WTG_BD!L:L,'Basic Data'!T2255,WTG_BD!F:F,"&gt;="&amp;O2Summary!$B$6,WTG_BD!F:F,"&lt;="&amp;O2Summary!$B$4)</f>
        <v>0</v>
      </c>
      <c r="V2255" s="18">
        <f t="shared" si="42"/>
        <v>47</v>
      </c>
    </row>
    <row r="2256" spans="19:22">
      <c r="S2256" s="16">
        <v>4207</v>
      </c>
      <c r="T2256" s="16" t="s">
        <v>2737</v>
      </c>
      <c r="U2256" s="17">
        <f>COUNTIFS(WTG_BD!L:L,'Basic Data'!T2256,WTG_BD!F:F,"&gt;="&amp;O2Summary!$B$6,WTG_BD!F:F,"&lt;="&amp;O2Summary!$B$4)</f>
        <v>0</v>
      </c>
      <c r="V2256" s="18">
        <f t="shared" si="42"/>
        <v>47</v>
      </c>
    </row>
    <row r="2257" spans="19:22">
      <c r="S2257" s="16">
        <v>4208</v>
      </c>
      <c r="T2257" s="16" t="s">
        <v>2738</v>
      </c>
      <c r="U2257" s="17">
        <f>COUNTIFS(WTG_BD!L:L,'Basic Data'!T2257,WTG_BD!F:F,"&gt;="&amp;O2Summary!$B$6,WTG_BD!F:F,"&lt;="&amp;O2Summary!$B$4)</f>
        <v>0</v>
      </c>
      <c r="V2257" s="18">
        <f t="shared" si="42"/>
        <v>47</v>
      </c>
    </row>
    <row r="2258" spans="19:22">
      <c r="S2258" s="16">
        <v>4209</v>
      </c>
      <c r="T2258" s="16" t="s">
        <v>2739</v>
      </c>
      <c r="U2258" s="17">
        <f>COUNTIFS(WTG_BD!L:L,'Basic Data'!T2258,WTG_BD!F:F,"&gt;="&amp;O2Summary!$B$6,WTG_BD!F:F,"&lt;="&amp;O2Summary!$B$4)</f>
        <v>0</v>
      </c>
      <c r="V2258" s="18">
        <f t="shared" si="42"/>
        <v>47</v>
      </c>
    </row>
    <row r="2259" spans="19:22">
      <c r="S2259" s="16">
        <v>4210</v>
      </c>
      <c r="T2259" s="16" t="s">
        <v>2740</v>
      </c>
      <c r="U2259" s="17">
        <f>COUNTIFS(WTG_BD!L:L,'Basic Data'!T2259,WTG_BD!F:F,"&gt;="&amp;O2Summary!$B$6,WTG_BD!F:F,"&lt;="&amp;O2Summary!$B$4)</f>
        <v>0</v>
      </c>
      <c r="V2259" s="18">
        <f t="shared" si="42"/>
        <v>47</v>
      </c>
    </row>
    <row r="2260" spans="19:22">
      <c r="S2260" s="16">
        <v>4211</v>
      </c>
      <c r="T2260" s="16" t="s">
        <v>2741</v>
      </c>
      <c r="U2260" s="17">
        <f>COUNTIFS(WTG_BD!L:L,'Basic Data'!T2260,WTG_BD!F:F,"&gt;="&amp;O2Summary!$B$6,WTG_BD!F:F,"&lt;="&amp;O2Summary!$B$4)</f>
        <v>0</v>
      </c>
      <c r="V2260" s="18">
        <f t="shared" si="42"/>
        <v>47</v>
      </c>
    </row>
    <row r="2261" spans="19:22">
      <c r="S2261" s="16">
        <v>4212</v>
      </c>
      <c r="T2261" s="16" t="s">
        <v>2742</v>
      </c>
      <c r="U2261" s="17">
        <f>COUNTIFS(WTG_BD!L:L,'Basic Data'!T2261,WTG_BD!F:F,"&gt;="&amp;O2Summary!$B$6,WTG_BD!F:F,"&lt;="&amp;O2Summary!$B$4)</f>
        <v>0</v>
      </c>
      <c r="V2261" s="18">
        <f t="shared" si="42"/>
        <v>47</v>
      </c>
    </row>
    <row r="2262" spans="19:22">
      <c r="S2262" s="16">
        <v>4213</v>
      </c>
      <c r="T2262" s="16" t="s">
        <v>2743</v>
      </c>
      <c r="U2262" s="17">
        <f>COUNTIFS(WTG_BD!L:L,'Basic Data'!T2262,WTG_BD!F:F,"&gt;="&amp;O2Summary!$B$6,WTG_BD!F:F,"&lt;="&amp;O2Summary!$B$4)</f>
        <v>0</v>
      </c>
      <c r="V2262" s="18">
        <f t="shared" si="42"/>
        <v>47</v>
      </c>
    </row>
    <row r="2263" spans="19:22">
      <c r="S2263" s="16">
        <v>4214</v>
      </c>
      <c r="T2263" s="16" t="s">
        <v>2744</v>
      </c>
      <c r="U2263" s="17">
        <f>COUNTIFS(WTG_BD!L:L,'Basic Data'!T2263,WTG_BD!F:F,"&gt;="&amp;O2Summary!$B$6,WTG_BD!F:F,"&lt;="&amp;O2Summary!$B$4)</f>
        <v>0</v>
      </c>
      <c r="V2263" s="18">
        <f t="shared" si="42"/>
        <v>47</v>
      </c>
    </row>
    <row r="2264" spans="19:22">
      <c r="S2264" s="16">
        <v>4215</v>
      </c>
      <c r="T2264" s="16" t="s">
        <v>2745</v>
      </c>
      <c r="U2264" s="17">
        <f>COUNTIFS(WTG_BD!L:L,'Basic Data'!T2264,WTG_BD!F:F,"&gt;="&amp;O2Summary!$B$6,WTG_BD!F:F,"&lt;="&amp;O2Summary!$B$4)</f>
        <v>0</v>
      </c>
      <c r="V2264" s="18">
        <f t="shared" si="42"/>
        <v>47</v>
      </c>
    </row>
    <row r="2265" spans="19:22">
      <c r="S2265" s="16">
        <v>4216</v>
      </c>
      <c r="T2265" s="16" t="s">
        <v>2746</v>
      </c>
      <c r="U2265" s="17">
        <f>COUNTIFS(WTG_BD!L:L,'Basic Data'!T2265,WTG_BD!F:F,"&gt;="&amp;O2Summary!$B$6,WTG_BD!F:F,"&lt;="&amp;O2Summary!$B$4)</f>
        <v>0</v>
      </c>
      <c r="V2265" s="18">
        <f t="shared" si="42"/>
        <v>47</v>
      </c>
    </row>
    <row r="2266" spans="19:22">
      <c r="S2266" s="16">
        <v>4217</v>
      </c>
      <c r="T2266" s="16" t="s">
        <v>2747</v>
      </c>
      <c r="U2266" s="17">
        <f>COUNTIFS(WTG_BD!L:L,'Basic Data'!T2266,WTG_BD!F:F,"&gt;="&amp;O2Summary!$B$6,WTG_BD!F:F,"&lt;="&amp;O2Summary!$B$4)</f>
        <v>0</v>
      </c>
      <c r="V2266" s="18">
        <f t="shared" si="42"/>
        <v>47</v>
      </c>
    </row>
    <row r="2267" spans="19:22">
      <c r="S2267" s="16">
        <v>4218</v>
      </c>
      <c r="T2267" s="16" t="s">
        <v>1783</v>
      </c>
      <c r="U2267" s="17">
        <f>COUNTIFS(WTG_BD!L:L,'Basic Data'!T2267,WTG_BD!F:F,"&gt;="&amp;O2Summary!$B$6,WTG_BD!F:F,"&lt;="&amp;O2Summary!$B$4)</f>
        <v>0</v>
      </c>
      <c r="V2267" s="18">
        <f t="shared" si="42"/>
        <v>47</v>
      </c>
    </row>
    <row r="2268" spans="19:22">
      <c r="S2268" s="16">
        <v>4219</v>
      </c>
      <c r="T2268" s="16" t="s">
        <v>2748</v>
      </c>
      <c r="U2268" s="17">
        <f>COUNTIFS(WTG_BD!L:L,'Basic Data'!T2268,WTG_BD!F:F,"&gt;="&amp;O2Summary!$B$6,WTG_BD!F:F,"&lt;="&amp;O2Summary!$B$4)</f>
        <v>0</v>
      </c>
      <c r="V2268" s="18">
        <f t="shared" si="42"/>
        <v>47</v>
      </c>
    </row>
    <row r="2269" spans="19:22">
      <c r="S2269" s="16">
        <v>4220</v>
      </c>
      <c r="T2269" s="16" t="s">
        <v>2749</v>
      </c>
      <c r="U2269" s="17">
        <f>COUNTIFS(WTG_BD!L:L,'Basic Data'!T2269,WTG_BD!F:F,"&gt;="&amp;O2Summary!$B$6,WTG_BD!F:F,"&lt;="&amp;O2Summary!$B$4)</f>
        <v>0</v>
      </c>
      <c r="V2269" s="18">
        <f t="shared" si="42"/>
        <v>47</v>
      </c>
    </row>
    <row r="2270" spans="19:22">
      <c r="S2270" s="16">
        <v>4221</v>
      </c>
      <c r="T2270" s="16" t="s">
        <v>2750</v>
      </c>
      <c r="U2270" s="17">
        <f>COUNTIFS(WTG_BD!L:L,'Basic Data'!T2270,WTG_BD!F:F,"&gt;="&amp;O2Summary!$B$6,WTG_BD!F:F,"&lt;="&amp;O2Summary!$B$4)</f>
        <v>0</v>
      </c>
      <c r="V2270" s="18">
        <f t="shared" si="42"/>
        <v>47</v>
      </c>
    </row>
    <row r="2271" spans="19:22">
      <c r="S2271" s="16">
        <v>4222</v>
      </c>
      <c r="T2271" s="16" t="s">
        <v>2751</v>
      </c>
      <c r="U2271" s="17">
        <f>COUNTIFS(WTG_BD!L:L,'Basic Data'!T2271,WTG_BD!F:F,"&gt;="&amp;O2Summary!$B$6,WTG_BD!F:F,"&lt;="&amp;O2Summary!$B$4)</f>
        <v>0</v>
      </c>
      <c r="V2271" s="18">
        <f t="shared" si="42"/>
        <v>47</v>
      </c>
    </row>
    <row r="2272" spans="19:22">
      <c r="S2272" s="16">
        <v>4223</v>
      </c>
      <c r="T2272" s="16" t="s">
        <v>2752</v>
      </c>
      <c r="U2272" s="17">
        <f>COUNTIFS(WTG_BD!L:L,'Basic Data'!T2272,WTG_BD!F:F,"&gt;="&amp;O2Summary!$B$6,WTG_BD!F:F,"&lt;="&amp;O2Summary!$B$4)</f>
        <v>0</v>
      </c>
      <c r="V2272" s="18">
        <f t="shared" si="42"/>
        <v>47</v>
      </c>
    </row>
    <row r="2273" spans="19:22">
      <c r="S2273" s="16">
        <v>4224</v>
      </c>
      <c r="T2273" s="16" t="s">
        <v>2753</v>
      </c>
      <c r="U2273" s="17">
        <f>COUNTIFS(WTG_BD!L:L,'Basic Data'!T2273,WTG_BD!F:F,"&gt;="&amp;O2Summary!$B$6,WTG_BD!F:F,"&lt;="&amp;O2Summary!$B$4)</f>
        <v>0</v>
      </c>
      <c r="V2273" s="18">
        <f t="shared" si="42"/>
        <v>47</v>
      </c>
    </row>
    <row r="2274" spans="19:22">
      <c r="S2274" s="16">
        <v>4225</v>
      </c>
      <c r="T2274" s="16" t="s">
        <v>2754</v>
      </c>
      <c r="U2274" s="17">
        <f>COUNTIFS(WTG_BD!L:L,'Basic Data'!T2274,WTG_BD!F:F,"&gt;="&amp;O2Summary!$B$6,WTG_BD!F:F,"&lt;="&amp;O2Summary!$B$4)</f>
        <v>0</v>
      </c>
      <c r="V2274" s="18">
        <f t="shared" si="42"/>
        <v>47</v>
      </c>
    </row>
    <row r="2275" spans="19:22">
      <c r="S2275" s="16">
        <v>4226</v>
      </c>
      <c r="T2275" s="16" t="s">
        <v>2755</v>
      </c>
      <c r="U2275" s="17">
        <f>COUNTIFS(WTG_BD!L:L,'Basic Data'!T2275,WTG_BD!F:F,"&gt;="&amp;O2Summary!$B$6,WTG_BD!F:F,"&lt;="&amp;O2Summary!$B$4)</f>
        <v>0</v>
      </c>
      <c r="V2275" s="18">
        <f t="shared" si="42"/>
        <v>47</v>
      </c>
    </row>
    <row r="2276" spans="19:22">
      <c r="S2276" s="16">
        <v>4227</v>
      </c>
      <c r="T2276" s="16" t="s">
        <v>2756</v>
      </c>
      <c r="U2276" s="17">
        <f>COUNTIFS(WTG_BD!L:L,'Basic Data'!T2276,WTG_BD!F:F,"&gt;="&amp;O2Summary!$B$6,WTG_BD!F:F,"&lt;="&amp;O2Summary!$B$4)</f>
        <v>0</v>
      </c>
      <c r="V2276" s="18">
        <f t="shared" si="42"/>
        <v>47</v>
      </c>
    </row>
    <row r="2277" spans="19:22">
      <c r="S2277" s="16">
        <v>4228</v>
      </c>
      <c r="T2277" s="16" t="s">
        <v>2757</v>
      </c>
      <c r="U2277" s="17">
        <f>COUNTIFS(WTG_BD!L:L,'Basic Data'!T2277,WTG_BD!F:F,"&gt;="&amp;O2Summary!$B$6,WTG_BD!F:F,"&lt;="&amp;O2Summary!$B$4)</f>
        <v>0</v>
      </c>
      <c r="V2277" s="18">
        <f t="shared" si="42"/>
        <v>47</v>
      </c>
    </row>
    <row r="2278" spans="19:22">
      <c r="S2278" s="16">
        <v>4229</v>
      </c>
      <c r="T2278" s="16" t="s">
        <v>2758</v>
      </c>
      <c r="U2278" s="17">
        <f>COUNTIFS(WTG_BD!L:L,'Basic Data'!T2278,WTG_BD!F:F,"&gt;="&amp;O2Summary!$B$6,WTG_BD!F:F,"&lt;="&amp;O2Summary!$B$4)</f>
        <v>0</v>
      </c>
      <c r="V2278" s="18">
        <f t="shared" si="42"/>
        <v>47</v>
      </c>
    </row>
    <row r="2279" spans="19:22">
      <c r="S2279" s="16">
        <v>4230</v>
      </c>
      <c r="T2279" s="16" t="s">
        <v>2759</v>
      </c>
      <c r="U2279" s="17">
        <f>COUNTIFS(WTG_BD!L:L,'Basic Data'!T2279,WTG_BD!F:F,"&gt;="&amp;O2Summary!$B$6,WTG_BD!F:F,"&lt;="&amp;O2Summary!$B$4)</f>
        <v>0</v>
      </c>
      <c r="V2279" s="18">
        <f t="shared" si="42"/>
        <v>47</v>
      </c>
    </row>
    <row r="2280" spans="19:22">
      <c r="S2280" s="16">
        <v>4231</v>
      </c>
      <c r="T2280" s="16" t="s">
        <v>2760</v>
      </c>
      <c r="U2280" s="17">
        <f>COUNTIFS(WTG_BD!L:L,'Basic Data'!T2280,WTG_BD!F:F,"&gt;="&amp;O2Summary!$B$6,WTG_BD!F:F,"&lt;="&amp;O2Summary!$B$4)</f>
        <v>0</v>
      </c>
      <c r="V2280" s="18">
        <f t="shared" si="42"/>
        <v>47</v>
      </c>
    </row>
    <row r="2281" spans="19:22">
      <c r="S2281" s="16">
        <v>4232</v>
      </c>
      <c r="T2281" s="16" t="s">
        <v>2761</v>
      </c>
      <c r="U2281" s="17">
        <f>COUNTIFS(WTG_BD!L:L,'Basic Data'!T2281,WTG_BD!F:F,"&gt;="&amp;O2Summary!$B$6,WTG_BD!F:F,"&lt;="&amp;O2Summary!$B$4)</f>
        <v>0</v>
      </c>
      <c r="V2281" s="18">
        <f t="shared" si="42"/>
        <v>47</v>
      </c>
    </row>
    <row r="2282" spans="19:22">
      <c r="S2282" s="16">
        <v>4234</v>
      </c>
      <c r="T2282" s="16" t="s">
        <v>331</v>
      </c>
      <c r="U2282" s="17">
        <f>COUNTIFS(WTG_BD!L:L,'Basic Data'!T2282,WTG_BD!F:F,"&gt;="&amp;O2Summary!$B$6,WTG_BD!F:F,"&lt;="&amp;O2Summary!$B$4)</f>
        <v>0</v>
      </c>
      <c r="V2282" s="18">
        <f t="shared" si="42"/>
        <v>47</v>
      </c>
    </row>
    <row r="2283" spans="19:22">
      <c r="S2283" s="16">
        <v>4235</v>
      </c>
      <c r="T2283" s="16" t="s">
        <v>346</v>
      </c>
      <c r="U2283" s="17">
        <f>COUNTIFS(WTG_BD!L:L,'Basic Data'!T2283,WTG_BD!F:F,"&gt;="&amp;O2Summary!$B$6,WTG_BD!F:F,"&lt;="&amp;O2Summary!$B$4)</f>
        <v>0</v>
      </c>
      <c r="V2283" s="18">
        <f t="shared" si="42"/>
        <v>47</v>
      </c>
    </row>
    <row r="2284" spans="19:22">
      <c r="S2284" s="16">
        <v>4236</v>
      </c>
      <c r="T2284" s="16" t="s">
        <v>2762</v>
      </c>
      <c r="U2284" s="17">
        <f>COUNTIFS(WTG_BD!L:L,'Basic Data'!T2284,WTG_BD!F:F,"&gt;="&amp;O2Summary!$B$6,WTG_BD!F:F,"&lt;="&amp;O2Summary!$B$4)</f>
        <v>0</v>
      </c>
      <c r="V2284" s="18">
        <f t="shared" si="42"/>
        <v>47</v>
      </c>
    </row>
    <row r="2285" spans="19:22">
      <c r="S2285" s="16">
        <v>4239</v>
      </c>
      <c r="T2285" s="16" t="s">
        <v>142</v>
      </c>
      <c r="U2285" s="17">
        <f>COUNTIFS(WTG_BD!L:L,'Basic Data'!T2285,WTG_BD!F:F,"&gt;="&amp;O2Summary!$B$6,WTG_BD!F:F,"&lt;="&amp;O2Summary!$B$4)</f>
        <v>0</v>
      </c>
      <c r="V2285" s="18">
        <f t="shared" si="42"/>
        <v>47</v>
      </c>
    </row>
    <row r="2286" spans="19:22">
      <c r="S2286" s="16">
        <v>4240</v>
      </c>
      <c r="T2286" s="16" t="s">
        <v>2763</v>
      </c>
      <c r="U2286" s="17">
        <f>COUNTIFS(WTG_BD!L:L,'Basic Data'!T2286,WTG_BD!F:F,"&gt;="&amp;O2Summary!$B$6,WTG_BD!F:F,"&lt;="&amp;O2Summary!$B$4)</f>
        <v>0</v>
      </c>
      <c r="V2286" s="18">
        <f t="shared" si="42"/>
        <v>47</v>
      </c>
    </row>
    <row r="2287" spans="19:22">
      <c r="S2287" s="16">
        <v>4241</v>
      </c>
      <c r="T2287" s="16" t="s">
        <v>2764</v>
      </c>
      <c r="U2287" s="17">
        <f>COUNTIFS(WTG_BD!L:L,'Basic Data'!T2287,WTG_BD!F:F,"&gt;="&amp;O2Summary!$B$6,WTG_BD!F:F,"&lt;="&amp;O2Summary!$B$4)</f>
        <v>0</v>
      </c>
      <c r="V2287" s="18">
        <f t="shared" si="42"/>
        <v>47</v>
      </c>
    </row>
    <row r="2288" spans="19:22">
      <c r="S2288" s="16">
        <v>4242</v>
      </c>
      <c r="T2288" s="16" t="s">
        <v>2765</v>
      </c>
      <c r="U2288" s="17">
        <f>COUNTIFS(WTG_BD!L:L,'Basic Data'!T2288,WTG_BD!F:F,"&gt;="&amp;O2Summary!$B$6,WTG_BD!F:F,"&lt;="&amp;O2Summary!$B$4)</f>
        <v>0</v>
      </c>
      <c r="V2288" s="18">
        <f t="shared" si="42"/>
        <v>47</v>
      </c>
    </row>
    <row r="2289" spans="19:22">
      <c r="S2289" s="16">
        <v>4243</v>
      </c>
      <c r="T2289" s="16" t="s">
        <v>2766</v>
      </c>
      <c r="U2289" s="17">
        <f>COUNTIFS(WTG_BD!L:L,'Basic Data'!T2289,WTG_BD!F:F,"&gt;="&amp;O2Summary!$B$6,WTG_BD!F:F,"&lt;="&amp;O2Summary!$B$4)</f>
        <v>0</v>
      </c>
      <c r="V2289" s="18">
        <f t="shared" si="42"/>
        <v>47</v>
      </c>
    </row>
    <row r="2290" spans="19:22">
      <c r="S2290" s="16">
        <v>4244</v>
      </c>
      <c r="T2290" s="16" t="s">
        <v>2767</v>
      </c>
      <c r="U2290" s="17">
        <f>COUNTIFS(WTG_BD!L:L,'Basic Data'!T2290,WTG_BD!F:F,"&gt;="&amp;O2Summary!$B$6,WTG_BD!F:F,"&lt;="&amp;O2Summary!$B$4)</f>
        <v>0</v>
      </c>
      <c r="V2290" s="18">
        <f t="shared" si="42"/>
        <v>47</v>
      </c>
    </row>
    <row r="2291" spans="19:22">
      <c r="S2291" s="16">
        <v>4245</v>
      </c>
      <c r="T2291" s="16" t="s">
        <v>2768</v>
      </c>
      <c r="U2291" s="17">
        <f>COUNTIFS(WTG_BD!L:L,'Basic Data'!T2291,WTG_BD!F:F,"&gt;="&amp;O2Summary!$B$6,WTG_BD!F:F,"&lt;="&amp;O2Summary!$B$4)</f>
        <v>0</v>
      </c>
      <c r="V2291" s="18">
        <f t="shared" si="42"/>
        <v>47</v>
      </c>
    </row>
    <row r="2292" spans="19:22">
      <c r="S2292" s="16">
        <v>4246</v>
      </c>
      <c r="T2292" s="16" t="s">
        <v>2769</v>
      </c>
      <c r="U2292" s="17">
        <f>COUNTIFS(WTG_BD!L:L,'Basic Data'!T2292,WTG_BD!F:F,"&gt;="&amp;O2Summary!$B$6,WTG_BD!F:F,"&lt;="&amp;O2Summary!$B$4)</f>
        <v>0</v>
      </c>
      <c r="V2292" s="18">
        <f t="shared" si="42"/>
        <v>47</v>
      </c>
    </row>
    <row r="2293" spans="19:22">
      <c r="S2293" s="16">
        <v>4247</v>
      </c>
      <c r="T2293" s="16" t="s">
        <v>2770</v>
      </c>
      <c r="U2293" s="17">
        <f>COUNTIFS(WTG_BD!L:L,'Basic Data'!T2293,WTG_BD!F:F,"&gt;="&amp;O2Summary!$B$6,WTG_BD!F:F,"&lt;="&amp;O2Summary!$B$4)</f>
        <v>0</v>
      </c>
      <c r="V2293" s="18">
        <f t="shared" si="42"/>
        <v>47</v>
      </c>
    </row>
    <row r="2294" spans="19:22">
      <c r="S2294" s="16">
        <v>4248</v>
      </c>
      <c r="T2294" s="16" t="s">
        <v>2771</v>
      </c>
      <c r="U2294" s="17">
        <f>COUNTIFS(WTG_BD!L:L,'Basic Data'!T2294,WTG_BD!F:F,"&gt;="&amp;O2Summary!$B$6,WTG_BD!F:F,"&lt;="&amp;O2Summary!$B$4)</f>
        <v>0</v>
      </c>
      <c r="V2294" s="18">
        <f t="shared" si="42"/>
        <v>47</v>
      </c>
    </row>
    <row r="2295" spans="19:22">
      <c r="S2295" s="16">
        <v>4249</v>
      </c>
      <c r="T2295" s="16" t="s">
        <v>2772</v>
      </c>
      <c r="U2295" s="17">
        <f>COUNTIFS(WTG_BD!L:L,'Basic Data'!T2295,WTG_BD!F:F,"&gt;="&amp;O2Summary!$B$6,WTG_BD!F:F,"&lt;="&amp;O2Summary!$B$4)</f>
        <v>0</v>
      </c>
      <c r="V2295" s="18">
        <f t="shared" si="42"/>
        <v>47</v>
      </c>
    </row>
    <row r="2296" spans="19:22">
      <c r="S2296" s="16">
        <v>4250</v>
      </c>
      <c r="T2296" s="16" t="s">
        <v>2773</v>
      </c>
      <c r="U2296" s="17">
        <f>COUNTIFS(WTG_BD!L:L,'Basic Data'!T2296,WTG_BD!F:F,"&gt;="&amp;O2Summary!$B$6,WTG_BD!F:F,"&lt;="&amp;O2Summary!$B$4)</f>
        <v>0</v>
      </c>
      <c r="V2296" s="18">
        <f t="shared" si="42"/>
        <v>47</v>
      </c>
    </row>
    <row r="2297" spans="19:22">
      <c r="S2297" s="16">
        <v>4251</v>
      </c>
      <c r="T2297" s="16" t="s">
        <v>2774</v>
      </c>
      <c r="U2297" s="17">
        <f>COUNTIFS(WTG_BD!L:L,'Basic Data'!T2297,WTG_BD!F:F,"&gt;="&amp;O2Summary!$B$6,WTG_BD!F:F,"&lt;="&amp;O2Summary!$B$4)</f>
        <v>0</v>
      </c>
      <c r="V2297" s="18">
        <f t="shared" si="42"/>
        <v>47</v>
      </c>
    </row>
    <row r="2298" spans="19:22">
      <c r="S2298" s="16">
        <v>4252</v>
      </c>
      <c r="T2298" s="16" t="s">
        <v>2775</v>
      </c>
      <c r="U2298" s="17">
        <f>COUNTIFS(WTG_BD!L:L,'Basic Data'!T2298,WTG_BD!F:F,"&gt;="&amp;O2Summary!$B$6,WTG_BD!F:F,"&lt;="&amp;O2Summary!$B$4)</f>
        <v>0</v>
      </c>
      <c r="V2298" s="18">
        <f t="shared" si="42"/>
        <v>47</v>
      </c>
    </row>
    <row r="2299" spans="19:22">
      <c r="S2299" s="16">
        <v>4253</v>
      </c>
      <c r="T2299" s="16" t="s">
        <v>2776</v>
      </c>
      <c r="U2299" s="17">
        <f>COUNTIFS(WTG_BD!L:L,'Basic Data'!T2299,WTG_BD!F:F,"&gt;="&amp;O2Summary!$B$6,WTG_BD!F:F,"&lt;="&amp;O2Summary!$B$4)</f>
        <v>0</v>
      </c>
      <c r="V2299" s="18">
        <f t="shared" si="42"/>
        <v>47</v>
      </c>
    </row>
    <row r="2300" spans="19:22">
      <c r="S2300" s="16">
        <v>4254</v>
      </c>
      <c r="T2300" s="16" t="s">
        <v>2777</v>
      </c>
      <c r="U2300" s="17">
        <f>COUNTIFS(WTG_BD!L:L,'Basic Data'!T2300,WTG_BD!F:F,"&gt;="&amp;O2Summary!$B$6,WTG_BD!F:F,"&lt;="&amp;O2Summary!$B$4)</f>
        <v>0</v>
      </c>
      <c r="V2300" s="18">
        <f t="shared" si="42"/>
        <v>47</v>
      </c>
    </row>
    <row r="2301" spans="19:22">
      <c r="S2301" s="16">
        <v>4255</v>
      </c>
      <c r="T2301" s="16" t="s">
        <v>2778</v>
      </c>
      <c r="U2301" s="17">
        <f>COUNTIFS(WTG_BD!L:L,'Basic Data'!T2301,WTG_BD!F:F,"&gt;="&amp;O2Summary!$B$6,WTG_BD!F:F,"&lt;="&amp;O2Summary!$B$4)</f>
        <v>0</v>
      </c>
      <c r="V2301" s="18">
        <f t="shared" si="42"/>
        <v>47</v>
      </c>
    </row>
    <row r="2302" spans="19:22">
      <c r="S2302" s="16">
        <v>4256</v>
      </c>
      <c r="T2302" s="16" t="s">
        <v>2779</v>
      </c>
      <c r="U2302" s="17">
        <f>COUNTIFS(WTG_BD!L:L,'Basic Data'!T2302,WTG_BD!F:F,"&gt;="&amp;O2Summary!$B$6,WTG_BD!F:F,"&lt;="&amp;O2Summary!$B$4)</f>
        <v>0</v>
      </c>
      <c r="V2302" s="18">
        <f t="shared" si="42"/>
        <v>47</v>
      </c>
    </row>
    <row r="2303" spans="19:22">
      <c r="S2303" s="16">
        <v>4257</v>
      </c>
      <c r="T2303" s="16" t="s">
        <v>2780</v>
      </c>
      <c r="U2303" s="17">
        <f>COUNTIFS(WTG_BD!L:L,'Basic Data'!T2303,WTG_BD!F:F,"&gt;="&amp;O2Summary!$B$6,WTG_BD!F:F,"&lt;="&amp;O2Summary!$B$4)</f>
        <v>0</v>
      </c>
      <c r="V2303" s="18">
        <f t="shared" si="42"/>
        <v>47</v>
      </c>
    </row>
    <row r="2304" spans="19:22">
      <c r="S2304" s="16">
        <v>4258</v>
      </c>
      <c r="T2304" s="16" t="s">
        <v>2781</v>
      </c>
      <c r="U2304" s="17">
        <f>COUNTIFS(WTG_BD!L:L,'Basic Data'!T2304,WTG_BD!F:F,"&gt;="&amp;O2Summary!$B$6,WTG_BD!F:F,"&lt;="&amp;O2Summary!$B$4)</f>
        <v>0</v>
      </c>
      <c r="V2304" s="18">
        <f t="shared" si="42"/>
        <v>47</v>
      </c>
    </row>
    <row r="2305" spans="19:22">
      <c r="S2305" s="16">
        <v>4259</v>
      </c>
      <c r="T2305" s="16" t="s">
        <v>2782</v>
      </c>
      <c r="U2305" s="17">
        <f>COUNTIFS(WTG_BD!L:L,'Basic Data'!T2305,WTG_BD!F:F,"&gt;="&amp;O2Summary!$B$6,WTG_BD!F:F,"&lt;="&amp;O2Summary!$B$4)</f>
        <v>0</v>
      </c>
      <c r="V2305" s="18">
        <f t="shared" si="42"/>
        <v>47</v>
      </c>
    </row>
    <row r="2306" spans="19:22">
      <c r="S2306" s="16">
        <v>4260</v>
      </c>
      <c r="T2306" s="16" t="s">
        <v>2783</v>
      </c>
      <c r="U2306" s="17">
        <f>COUNTIFS(WTG_BD!L:L,'Basic Data'!T2306,WTG_BD!F:F,"&gt;="&amp;O2Summary!$B$6,WTG_BD!F:F,"&lt;="&amp;O2Summary!$B$4)</f>
        <v>0</v>
      </c>
      <c r="V2306" s="18">
        <f t="shared" si="42"/>
        <v>47</v>
      </c>
    </row>
    <row r="2307" spans="19:22">
      <c r="S2307" s="16">
        <v>4261</v>
      </c>
      <c r="T2307" s="16" t="s">
        <v>2784</v>
      </c>
      <c r="U2307" s="17">
        <f>COUNTIFS(WTG_BD!L:L,'Basic Data'!T2307,WTG_BD!F:F,"&gt;="&amp;O2Summary!$B$6,WTG_BD!F:F,"&lt;="&amp;O2Summary!$B$4)</f>
        <v>0</v>
      </c>
      <c r="V2307" s="18">
        <f t="shared" ref="V2307:V2370" si="43">RANK(U2307,$U$2:$U$3975)</f>
        <v>47</v>
      </c>
    </row>
    <row r="2308" spans="19:22">
      <c r="S2308" s="16">
        <v>4262</v>
      </c>
      <c r="T2308" s="16" t="s">
        <v>2785</v>
      </c>
      <c r="U2308" s="17">
        <f>COUNTIFS(WTG_BD!L:L,'Basic Data'!T2308,WTG_BD!F:F,"&gt;="&amp;O2Summary!$B$6,WTG_BD!F:F,"&lt;="&amp;O2Summary!$B$4)</f>
        <v>0</v>
      </c>
      <c r="V2308" s="18">
        <f t="shared" si="43"/>
        <v>47</v>
      </c>
    </row>
    <row r="2309" spans="19:22">
      <c r="S2309" s="16">
        <v>4263</v>
      </c>
      <c r="T2309" s="16" t="s">
        <v>2786</v>
      </c>
      <c r="U2309" s="17">
        <f>COUNTIFS(WTG_BD!L:L,'Basic Data'!T2309,WTG_BD!F:F,"&gt;="&amp;O2Summary!$B$6,WTG_BD!F:F,"&lt;="&amp;O2Summary!$B$4)</f>
        <v>0</v>
      </c>
      <c r="V2309" s="18">
        <f t="shared" si="43"/>
        <v>47</v>
      </c>
    </row>
    <row r="2310" spans="19:22">
      <c r="S2310" s="16">
        <v>4264</v>
      </c>
      <c r="T2310" s="16" t="s">
        <v>2787</v>
      </c>
      <c r="U2310" s="17">
        <f>COUNTIFS(WTG_BD!L:L,'Basic Data'!T2310,WTG_BD!F:F,"&gt;="&amp;O2Summary!$B$6,WTG_BD!F:F,"&lt;="&amp;O2Summary!$B$4)</f>
        <v>0</v>
      </c>
      <c r="V2310" s="18">
        <f t="shared" si="43"/>
        <v>47</v>
      </c>
    </row>
    <row r="2311" spans="19:22">
      <c r="S2311" s="16">
        <v>4265</v>
      </c>
      <c r="T2311" s="16" t="s">
        <v>2788</v>
      </c>
      <c r="U2311" s="17">
        <f>COUNTIFS(WTG_BD!L:L,'Basic Data'!T2311,WTG_BD!F:F,"&gt;="&amp;O2Summary!$B$6,WTG_BD!F:F,"&lt;="&amp;O2Summary!$B$4)</f>
        <v>0</v>
      </c>
      <c r="V2311" s="18">
        <f t="shared" si="43"/>
        <v>47</v>
      </c>
    </row>
    <row r="2312" spans="19:22">
      <c r="S2312" s="16">
        <v>4266</v>
      </c>
      <c r="T2312" s="16" t="s">
        <v>2789</v>
      </c>
      <c r="U2312" s="17">
        <f>COUNTIFS(WTG_BD!L:L,'Basic Data'!T2312,WTG_BD!F:F,"&gt;="&amp;O2Summary!$B$6,WTG_BD!F:F,"&lt;="&amp;O2Summary!$B$4)</f>
        <v>0</v>
      </c>
      <c r="V2312" s="18">
        <f t="shared" si="43"/>
        <v>47</v>
      </c>
    </row>
    <row r="2313" spans="19:22">
      <c r="S2313" s="16">
        <v>4267</v>
      </c>
      <c r="T2313" s="16" t="s">
        <v>2790</v>
      </c>
      <c r="U2313" s="17">
        <f>COUNTIFS(WTG_BD!L:L,'Basic Data'!T2313,WTG_BD!F:F,"&gt;="&amp;O2Summary!$B$6,WTG_BD!F:F,"&lt;="&amp;O2Summary!$B$4)</f>
        <v>0</v>
      </c>
      <c r="V2313" s="18">
        <f t="shared" si="43"/>
        <v>47</v>
      </c>
    </row>
    <row r="2314" spans="19:22">
      <c r="S2314" s="16">
        <v>4268</v>
      </c>
      <c r="T2314" s="16" t="s">
        <v>2791</v>
      </c>
      <c r="U2314" s="17">
        <f>COUNTIFS(WTG_BD!L:L,'Basic Data'!T2314,WTG_BD!F:F,"&gt;="&amp;O2Summary!$B$6,WTG_BD!F:F,"&lt;="&amp;O2Summary!$B$4)</f>
        <v>0</v>
      </c>
      <c r="V2314" s="18">
        <f t="shared" si="43"/>
        <v>47</v>
      </c>
    </row>
    <row r="2315" spans="19:22">
      <c r="S2315" s="16">
        <v>4269</v>
      </c>
      <c r="T2315" s="16" t="s">
        <v>2792</v>
      </c>
      <c r="U2315" s="17">
        <f>COUNTIFS(WTG_BD!L:L,'Basic Data'!T2315,WTG_BD!F:F,"&gt;="&amp;O2Summary!$B$6,WTG_BD!F:F,"&lt;="&amp;O2Summary!$B$4)</f>
        <v>0</v>
      </c>
      <c r="V2315" s="18">
        <f t="shared" si="43"/>
        <v>47</v>
      </c>
    </row>
    <row r="2316" spans="19:22">
      <c r="S2316" s="16">
        <v>4270</v>
      </c>
      <c r="T2316" s="16" t="s">
        <v>2793</v>
      </c>
      <c r="U2316" s="17">
        <f>COUNTIFS(WTG_BD!L:L,'Basic Data'!T2316,WTG_BD!F:F,"&gt;="&amp;O2Summary!$B$6,WTG_BD!F:F,"&lt;="&amp;O2Summary!$B$4)</f>
        <v>0</v>
      </c>
      <c r="V2316" s="18">
        <f t="shared" si="43"/>
        <v>47</v>
      </c>
    </row>
    <row r="2317" spans="19:22">
      <c r="S2317" s="16">
        <v>4271</v>
      </c>
      <c r="T2317" s="16" t="s">
        <v>2794</v>
      </c>
      <c r="U2317" s="17">
        <f>COUNTIFS(WTG_BD!L:L,'Basic Data'!T2317,WTG_BD!F:F,"&gt;="&amp;O2Summary!$B$6,WTG_BD!F:F,"&lt;="&amp;O2Summary!$B$4)</f>
        <v>0</v>
      </c>
      <c r="V2317" s="18">
        <f t="shared" si="43"/>
        <v>47</v>
      </c>
    </row>
    <row r="2318" spans="19:22">
      <c r="S2318" s="16">
        <v>4272</v>
      </c>
      <c r="T2318" s="16" t="s">
        <v>2795</v>
      </c>
      <c r="U2318" s="17">
        <f>COUNTIFS(WTG_BD!L:L,'Basic Data'!T2318,WTG_BD!F:F,"&gt;="&amp;O2Summary!$B$6,WTG_BD!F:F,"&lt;="&amp;O2Summary!$B$4)</f>
        <v>0</v>
      </c>
      <c r="V2318" s="18">
        <f t="shared" si="43"/>
        <v>47</v>
      </c>
    </row>
    <row r="2319" spans="19:22">
      <c r="S2319" s="16">
        <v>4273</v>
      </c>
      <c r="T2319" s="16" t="s">
        <v>2796</v>
      </c>
      <c r="U2319" s="17">
        <f>COUNTIFS(WTG_BD!L:L,'Basic Data'!T2319,WTG_BD!F:F,"&gt;="&amp;O2Summary!$B$6,WTG_BD!F:F,"&lt;="&amp;O2Summary!$B$4)</f>
        <v>0</v>
      </c>
      <c r="V2319" s="18">
        <f t="shared" si="43"/>
        <v>47</v>
      </c>
    </row>
    <row r="2320" spans="19:22">
      <c r="S2320" s="16">
        <v>4274</v>
      </c>
      <c r="T2320" s="16" t="s">
        <v>2797</v>
      </c>
      <c r="U2320" s="17">
        <f>COUNTIFS(WTG_BD!L:L,'Basic Data'!T2320,WTG_BD!F:F,"&gt;="&amp;O2Summary!$B$6,WTG_BD!F:F,"&lt;="&amp;O2Summary!$B$4)</f>
        <v>0</v>
      </c>
      <c r="V2320" s="18">
        <f t="shared" si="43"/>
        <v>47</v>
      </c>
    </row>
    <row r="2321" spans="19:22">
      <c r="S2321" s="16">
        <v>4275</v>
      </c>
      <c r="T2321" s="16" t="s">
        <v>2798</v>
      </c>
      <c r="U2321" s="17">
        <f>COUNTIFS(WTG_BD!L:L,'Basic Data'!T2321,WTG_BD!F:F,"&gt;="&amp;O2Summary!$B$6,WTG_BD!F:F,"&lt;="&amp;O2Summary!$B$4)</f>
        <v>0</v>
      </c>
      <c r="V2321" s="18">
        <f t="shared" si="43"/>
        <v>47</v>
      </c>
    </row>
    <row r="2322" spans="19:22">
      <c r="S2322" s="16">
        <v>4276</v>
      </c>
      <c r="T2322" s="16" t="s">
        <v>2799</v>
      </c>
      <c r="U2322" s="17">
        <f>COUNTIFS(WTG_BD!L:L,'Basic Data'!T2322,WTG_BD!F:F,"&gt;="&amp;O2Summary!$B$6,WTG_BD!F:F,"&lt;="&amp;O2Summary!$B$4)</f>
        <v>0</v>
      </c>
      <c r="V2322" s="18">
        <f t="shared" si="43"/>
        <v>47</v>
      </c>
    </row>
    <row r="2323" spans="19:22">
      <c r="S2323" s="16">
        <v>4277</v>
      </c>
      <c r="T2323" s="16" t="s">
        <v>2800</v>
      </c>
      <c r="U2323" s="17">
        <f>COUNTIFS(WTG_BD!L:L,'Basic Data'!T2323,WTG_BD!F:F,"&gt;="&amp;O2Summary!$B$6,WTG_BD!F:F,"&lt;="&amp;O2Summary!$B$4)</f>
        <v>0</v>
      </c>
      <c r="V2323" s="18">
        <f t="shared" si="43"/>
        <v>47</v>
      </c>
    </row>
    <row r="2324" spans="19:22">
      <c r="S2324" s="16">
        <v>4278</v>
      </c>
      <c r="T2324" s="16" t="s">
        <v>2801</v>
      </c>
      <c r="U2324" s="17">
        <f>COUNTIFS(WTG_BD!L:L,'Basic Data'!T2324,WTG_BD!F:F,"&gt;="&amp;O2Summary!$B$6,WTG_BD!F:F,"&lt;="&amp;O2Summary!$B$4)</f>
        <v>0</v>
      </c>
      <c r="V2324" s="18">
        <f t="shared" si="43"/>
        <v>47</v>
      </c>
    </row>
    <row r="2325" spans="19:22">
      <c r="S2325" s="16">
        <v>4279</v>
      </c>
      <c r="T2325" s="16" t="s">
        <v>2802</v>
      </c>
      <c r="U2325" s="17">
        <f>COUNTIFS(WTG_BD!L:L,'Basic Data'!T2325,WTG_BD!F:F,"&gt;="&amp;O2Summary!$B$6,WTG_BD!F:F,"&lt;="&amp;O2Summary!$B$4)</f>
        <v>0</v>
      </c>
      <c r="V2325" s="18">
        <f t="shared" si="43"/>
        <v>47</v>
      </c>
    </row>
    <row r="2326" spans="19:22">
      <c r="S2326" s="16">
        <v>4280</v>
      </c>
      <c r="T2326" s="16" t="s">
        <v>2803</v>
      </c>
      <c r="U2326" s="17">
        <f>COUNTIFS(WTG_BD!L:L,'Basic Data'!T2326,WTG_BD!F:F,"&gt;="&amp;O2Summary!$B$6,WTG_BD!F:F,"&lt;="&amp;O2Summary!$B$4)</f>
        <v>0</v>
      </c>
      <c r="V2326" s="18">
        <f t="shared" si="43"/>
        <v>47</v>
      </c>
    </row>
    <row r="2327" spans="19:22">
      <c r="S2327" s="16">
        <v>4281</v>
      </c>
      <c r="T2327" s="16" t="s">
        <v>2804</v>
      </c>
      <c r="U2327" s="17">
        <f>COUNTIFS(WTG_BD!L:L,'Basic Data'!T2327,WTG_BD!F:F,"&gt;="&amp;O2Summary!$B$6,WTG_BD!F:F,"&lt;="&amp;O2Summary!$B$4)</f>
        <v>0</v>
      </c>
      <c r="V2327" s="18">
        <f t="shared" si="43"/>
        <v>47</v>
      </c>
    </row>
    <row r="2328" spans="19:22">
      <c r="S2328" s="16">
        <v>4282</v>
      </c>
      <c r="T2328" s="16" t="s">
        <v>2805</v>
      </c>
      <c r="U2328" s="17">
        <f>COUNTIFS(WTG_BD!L:L,'Basic Data'!T2328,WTG_BD!F:F,"&gt;="&amp;O2Summary!$B$6,WTG_BD!F:F,"&lt;="&amp;O2Summary!$B$4)</f>
        <v>0</v>
      </c>
      <c r="V2328" s="18">
        <f t="shared" si="43"/>
        <v>47</v>
      </c>
    </row>
    <row r="2329" spans="19:22">
      <c r="S2329" s="16">
        <v>4283</v>
      </c>
      <c r="T2329" s="16" t="s">
        <v>2806</v>
      </c>
      <c r="U2329" s="17">
        <f>COUNTIFS(WTG_BD!L:L,'Basic Data'!T2329,WTG_BD!F:F,"&gt;="&amp;O2Summary!$B$6,WTG_BD!F:F,"&lt;="&amp;O2Summary!$B$4)</f>
        <v>0</v>
      </c>
      <c r="V2329" s="18">
        <f t="shared" si="43"/>
        <v>47</v>
      </c>
    </row>
    <row r="2330" spans="19:22">
      <c r="S2330" s="16">
        <v>4284</v>
      </c>
      <c r="T2330" s="16" t="s">
        <v>2807</v>
      </c>
      <c r="U2330" s="17">
        <f>COUNTIFS(WTG_BD!L:L,'Basic Data'!T2330,WTG_BD!F:F,"&gt;="&amp;O2Summary!$B$6,WTG_BD!F:F,"&lt;="&amp;O2Summary!$B$4)</f>
        <v>0</v>
      </c>
      <c r="V2330" s="18">
        <f t="shared" si="43"/>
        <v>47</v>
      </c>
    </row>
    <row r="2331" spans="19:22">
      <c r="S2331" s="16">
        <v>4285</v>
      </c>
      <c r="T2331" s="16" t="s">
        <v>2808</v>
      </c>
      <c r="U2331" s="17">
        <f>COUNTIFS(WTG_BD!L:L,'Basic Data'!T2331,WTG_BD!F:F,"&gt;="&amp;O2Summary!$B$6,WTG_BD!F:F,"&lt;="&amp;O2Summary!$B$4)</f>
        <v>0</v>
      </c>
      <c r="V2331" s="18">
        <f t="shared" si="43"/>
        <v>47</v>
      </c>
    </row>
    <row r="2332" spans="19:22">
      <c r="S2332" s="16">
        <v>4286</v>
      </c>
      <c r="T2332" s="16" t="s">
        <v>2809</v>
      </c>
      <c r="U2332" s="17">
        <f>COUNTIFS(WTG_BD!L:L,'Basic Data'!T2332,WTG_BD!F:F,"&gt;="&amp;O2Summary!$B$6,WTG_BD!F:F,"&lt;="&amp;O2Summary!$B$4)</f>
        <v>0</v>
      </c>
      <c r="V2332" s="18">
        <f t="shared" si="43"/>
        <v>47</v>
      </c>
    </row>
    <row r="2333" spans="19:22">
      <c r="S2333" s="16">
        <v>4287</v>
      </c>
      <c r="T2333" s="16" t="s">
        <v>2810</v>
      </c>
      <c r="U2333" s="17">
        <f>COUNTIFS(WTG_BD!L:L,'Basic Data'!T2333,WTG_BD!F:F,"&gt;="&amp;O2Summary!$B$6,WTG_BD!F:F,"&lt;="&amp;O2Summary!$B$4)</f>
        <v>0</v>
      </c>
      <c r="V2333" s="18">
        <f t="shared" si="43"/>
        <v>47</v>
      </c>
    </row>
    <row r="2334" spans="19:22">
      <c r="S2334" s="16">
        <v>4288</v>
      </c>
      <c r="T2334" s="16" t="s">
        <v>2811</v>
      </c>
      <c r="U2334" s="17">
        <f>COUNTIFS(WTG_BD!L:L,'Basic Data'!T2334,WTG_BD!F:F,"&gt;="&amp;O2Summary!$B$6,WTG_BD!F:F,"&lt;="&amp;O2Summary!$B$4)</f>
        <v>0</v>
      </c>
      <c r="V2334" s="18">
        <f t="shared" si="43"/>
        <v>47</v>
      </c>
    </row>
    <row r="2335" spans="19:22">
      <c r="S2335" s="16">
        <v>4289</v>
      </c>
      <c r="T2335" s="16" t="s">
        <v>2812</v>
      </c>
      <c r="U2335" s="17">
        <f>COUNTIFS(WTG_BD!L:L,'Basic Data'!T2335,WTG_BD!F:F,"&gt;="&amp;O2Summary!$B$6,WTG_BD!F:F,"&lt;="&amp;O2Summary!$B$4)</f>
        <v>0</v>
      </c>
      <c r="V2335" s="18">
        <f t="shared" si="43"/>
        <v>47</v>
      </c>
    </row>
    <row r="2336" spans="19:22">
      <c r="S2336" s="16">
        <v>4290</v>
      </c>
      <c r="T2336" s="16" t="s">
        <v>2813</v>
      </c>
      <c r="U2336" s="17">
        <f>COUNTIFS(WTG_BD!L:L,'Basic Data'!T2336,WTG_BD!F:F,"&gt;="&amp;O2Summary!$B$6,WTG_BD!F:F,"&lt;="&amp;O2Summary!$B$4)</f>
        <v>0</v>
      </c>
      <c r="V2336" s="18">
        <f t="shared" si="43"/>
        <v>47</v>
      </c>
    </row>
    <row r="2337" spans="19:22">
      <c r="S2337" s="16">
        <v>4291</v>
      </c>
      <c r="T2337" s="16" t="s">
        <v>2814</v>
      </c>
      <c r="U2337" s="17">
        <f>COUNTIFS(WTG_BD!L:L,'Basic Data'!T2337,WTG_BD!F:F,"&gt;="&amp;O2Summary!$B$6,WTG_BD!F:F,"&lt;="&amp;O2Summary!$B$4)</f>
        <v>0</v>
      </c>
      <c r="V2337" s="18">
        <f t="shared" si="43"/>
        <v>47</v>
      </c>
    </row>
    <row r="2338" spans="19:22">
      <c r="S2338" s="16">
        <v>4292</v>
      </c>
      <c r="T2338" s="16" t="s">
        <v>2815</v>
      </c>
      <c r="U2338" s="17">
        <f>COUNTIFS(WTG_BD!L:L,'Basic Data'!T2338,WTG_BD!F:F,"&gt;="&amp;O2Summary!$B$6,WTG_BD!F:F,"&lt;="&amp;O2Summary!$B$4)</f>
        <v>0</v>
      </c>
      <c r="V2338" s="18">
        <f t="shared" si="43"/>
        <v>47</v>
      </c>
    </row>
    <row r="2339" spans="19:22">
      <c r="S2339" s="16">
        <v>4293</v>
      </c>
      <c r="T2339" s="16" t="s">
        <v>2816</v>
      </c>
      <c r="U2339" s="17">
        <f>COUNTIFS(WTG_BD!L:L,'Basic Data'!T2339,WTG_BD!F:F,"&gt;="&amp;O2Summary!$B$6,WTG_BD!F:F,"&lt;="&amp;O2Summary!$B$4)</f>
        <v>0</v>
      </c>
      <c r="V2339" s="18">
        <f t="shared" si="43"/>
        <v>47</v>
      </c>
    </row>
    <row r="2340" spans="19:22">
      <c r="S2340" s="16">
        <v>4294</v>
      </c>
      <c r="T2340" s="16" t="s">
        <v>2817</v>
      </c>
      <c r="U2340" s="17">
        <f>COUNTIFS(WTG_BD!L:L,'Basic Data'!T2340,WTG_BD!F:F,"&gt;="&amp;O2Summary!$B$6,WTG_BD!F:F,"&lt;="&amp;O2Summary!$B$4)</f>
        <v>0</v>
      </c>
      <c r="V2340" s="18">
        <f t="shared" si="43"/>
        <v>47</v>
      </c>
    </row>
    <row r="2341" spans="19:22">
      <c r="S2341" s="16">
        <v>4295</v>
      </c>
      <c r="T2341" s="16" t="s">
        <v>2818</v>
      </c>
      <c r="U2341" s="17">
        <f>COUNTIFS(WTG_BD!L:L,'Basic Data'!T2341,WTG_BD!F:F,"&gt;="&amp;O2Summary!$B$6,WTG_BD!F:F,"&lt;="&amp;O2Summary!$B$4)</f>
        <v>0</v>
      </c>
      <c r="V2341" s="18">
        <f t="shared" si="43"/>
        <v>47</v>
      </c>
    </row>
    <row r="2342" spans="19:22">
      <c r="S2342" s="16">
        <v>4296</v>
      </c>
      <c r="T2342" s="16" t="s">
        <v>2819</v>
      </c>
      <c r="U2342" s="17">
        <f>COUNTIFS(WTG_BD!L:L,'Basic Data'!T2342,WTG_BD!F:F,"&gt;="&amp;O2Summary!$B$6,WTG_BD!F:F,"&lt;="&amp;O2Summary!$B$4)</f>
        <v>0</v>
      </c>
      <c r="V2342" s="18">
        <f t="shared" si="43"/>
        <v>47</v>
      </c>
    </row>
    <row r="2343" spans="19:22">
      <c r="S2343" s="16">
        <v>4297</v>
      </c>
      <c r="T2343" s="16" t="s">
        <v>2820</v>
      </c>
      <c r="U2343" s="17">
        <f>COUNTIFS(WTG_BD!L:L,'Basic Data'!T2343,WTG_BD!F:F,"&gt;="&amp;O2Summary!$B$6,WTG_BD!F:F,"&lt;="&amp;O2Summary!$B$4)</f>
        <v>0</v>
      </c>
      <c r="V2343" s="18">
        <f t="shared" si="43"/>
        <v>47</v>
      </c>
    </row>
    <row r="2344" spans="19:22">
      <c r="S2344" s="16">
        <v>4298</v>
      </c>
      <c r="T2344" s="16" t="s">
        <v>2821</v>
      </c>
      <c r="U2344" s="17">
        <f>COUNTIFS(WTG_BD!L:L,'Basic Data'!T2344,WTG_BD!F:F,"&gt;="&amp;O2Summary!$B$6,WTG_BD!F:F,"&lt;="&amp;O2Summary!$B$4)</f>
        <v>0</v>
      </c>
      <c r="V2344" s="18">
        <f t="shared" si="43"/>
        <v>47</v>
      </c>
    </row>
    <row r="2345" spans="19:22">
      <c r="S2345" s="16">
        <v>4299</v>
      </c>
      <c r="T2345" s="16" t="s">
        <v>2822</v>
      </c>
      <c r="U2345" s="17">
        <f>COUNTIFS(WTG_BD!L:L,'Basic Data'!T2345,WTG_BD!F:F,"&gt;="&amp;O2Summary!$B$6,WTG_BD!F:F,"&lt;="&amp;O2Summary!$B$4)</f>
        <v>0</v>
      </c>
      <c r="V2345" s="18">
        <f t="shared" si="43"/>
        <v>47</v>
      </c>
    </row>
    <row r="2346" spans="19:22">
      <c r="S2346" s="16">
        <v>4300</v>
      </c>
      <c r="T2346" s="16" t="s">
        <v>2823</v>
      </c>
      <c r="U2346" s="17">
        <f>COUNTIFS(WTG_BD!L:L,'Basic Data'!T2346,WTG_BD!F:F,"&gt;="&amp;O2Summary!$B$6,WTG_BD!F:F,"&lt;="&amp;O2Summary!$B$4)</f>
        <v>0</v>
      </c>
      <c r="V2346" s="18">
        <f t="shared" si="43"/>
        <v>47</v>
      </c>
    </row>
    <row r="2347" spans="19:22">
      <c r="S2347" s="16">
        <v>4301</v>
      </c>
      <c r="T2347" s="16" t="s">
        <v>2824</v>
      </c>
      <c r="U2347" s="17">
        <f>COUNTIFS(WTG_BD!L:L,'Basic Data'!T2347,WTG_BD!F:F,"&gt;="&amp;O2Summary!$B$6,WTG_BD!F:F,"&lt;="&amp;O2Summary!$B$4)</f>
        <v>0</v>
      </c>
      <c r="V2347" s="18">
        <f t="shared" si="43"/>
        <v>47</v>
      </c>
    </row>
    <row r="2348" spans="19:22">
      <c r="S2348" s="16">
        <v>4302</v>
      </c>
      <c r="T2348" s="16" t="s">
        <v>2825</v>
      </c>
      <c r="U2348" s="17">
        <f>COUNTIFS(WTG_BD!L:L,'Basic Data'!T2348,WTG_BD!F:F,"&gt;="&amp;O2Summary!$B$6,WTG_BD!F:F,"&lt;="&amp;O2Summary!$B$4)</f>
        <v>0</v>
      </c>
      <c r="V2348" s="18">
        <f t="shared" si="43"/>
        <v>47</v>
      </c>
    </row>
    <row r="2349" spans="19:22">
      <c r="S2349" s="16">
        <v>4305</v>
      </c>
      <c r="T2349" s="16" t="s">
        <v>2826</v>
      </c>
      <c r="U2349" s="17">
        <f>COUNTIFS(WTG_BD!L:L,'Basic Data'!T2349,WTG_BD!F:F,"&gt;="&amp;O2Summary!$B$6,WTG_BD!F:F,"&lt;="&amp;O2Summary!$B$4)</f>
        <v>0</v>
      </c>
      <c r="V2349" s="18">
        <f t="shared" si="43"/>
        <v>47</v>
      </c>
    </row>
    <row r="2350" spans="19:22">
      <c r="S2350" s="16">
        <v>4306</v>
      </c>
      <c r="T2350" s="16" t="s">
        <v>2811</v>
      </c>
      <c r="U2350" s="17">
        <f>COUNTIFS(WTG_BD!L:L,'Basic Data'!T2350,WTG_BD!F:F,"&gt;="&amp;O2Summary!$B$6,WTG_BD!F:F,"&lt;="&amp;O2Summary!$B$4)</f>
        <v>0</v>
      </c>
      <c r="V2350" s="18">
        <f t="shared" si="43"/>
        <v>47</v>
      </c>
    </row>
    <row r="2351" spans="19:22">
      <c r="S2351" s="16">
        <v>4307</v>
      </c>
      <c r="T2351" s="16" t="s">
        <v>2766</v>
      </c>
      <c r="U2351" s="17">
        <f>COUNTIFS(WTG_BD!L:L,'Basic Data'!T2351,WTG_BD!F:F,"&gt;="&amp;O2Summary!$B$6,WTG_BD!F:F,"&lt;="&amp;O2Summary!$B$4)</f>
        <v>0</v>
      </c>
      <c r="V2351" s="18">
        <f t="shared" si="43"/>
        <v>47</v>
      </c>
    </row>
    <row r="2352" spans="19:22">
      <c r="S2352" s="16">
        <v>4308</v>
      </c>
      <c r="T2352" s="16" t="s">
        <v>2817</v>
      </c>
      <c r="U2352" s="17">
        <f>COUNTIFS(WTG_BD!L:L,'Basic Data'!T2352,WTG_BD!F:F,"&gt;="&amp;O2Summary!$B$6,WTG_BD!F:F,"&lt;="&amp;O2Summary!$B$4)</f>
        <v>0</v>
      </c>
      <c r="V2352" s="18">
        <f t="shared" si="43"/>
        <v>47</v>
      </c>
    </row>
    <row r="2353" spans="19:22">
      <c r="S2353" s="16">
        <v>4309</v>
      </c>
      <c r="T2353" s="16" t="s">
        <v>2818</v>
      </c>
      <c r="U2353" s="17">
        <f>COUNTIFS(WTG_BD!L:L,'Basic Data'!T2353,WTG_BD!F:F,"&gt;="&amp;O2Summary!$B$6,WTG_BD!F:F,"&lt;="&amp;O2Summary!$B$4)</f>
        <v>0</v>
      </c>
      <c r="V2353" s="18">
        <f t="shared" si="43"/>
        <v>47</v>
      </c>
    </row>
    <row r="2354" spans="19:22">
      <c r="S2354" s="16">
        <v>4310</v>
      </c>
      <c r="T2354" s="16" t="s">
        <v>2767</v>
      </c>
      <c r="U2354" s="17">
        <f>COUNTIFS(WTG_BD!L:L,'Basic Data'!T2354,WTG_BD!F:F,"&gt;="&amp;O2Summary!$B$6,WTG_BD!F:F,"&lt;="&amp;O2Summary!$B$4)</f>
        <v>0</v>
      </c>
      <c r="V2354" s="18">
        <f t="shared" si="43"/>
        <v>47</v>
      </c>
    </row>
    <row r="2355" spans="19:22">
      <c r="S2355" s="16">
        <v>4311</v>
      </c>
      <c r="T2355" s="16" t="s">
        <v>2768</v>
      </c>
      <c r="U2355" s="17">
        <f>COUNTIFS(WTG_BD!L:L,'Basic Data'!T2355,WTG_BD!F:F,"&gt;="&amp;O2Summary!$B$6,WTG_BD!F:F,"&lt;="&amp;O2Summary!$B$4)</f>
        <v>0</v>
      </c>
      <c r="V2355" s="18">
        <f t="shared" si="43"/>
        <v>47</v>
      </c>
    </row>
    <row r="2356" spans="19:22">
      <c r="S2356" s="16">
        <v>4312</v>
      </c>
      <c r="T2356" s="16" t="s">
        <v>2785</v>
      </c>
      <c r="U2356" s="17">
        <f>COUNTIFS(WTG_BD!L:L,'Basic Data'!T2356,WTG_BD!F:F,"&gt;="&amp;O2Summary!$B$6,WTG_BD!F:F,"&lt;="&amp;O2Summary!$B$4)</f>
        <v>0</v>
      </c>
      <c r="V2356" s="18">
        <f t="shared" si="43"/>
        <v>47</v>
      </c>
    </row>
    <row r="2357" spans="19:22">
      <c r="S2357" s="16">
        <v>4313</v>
      </c>
      <c r="T2357" s="16" t="s">
        <v>2822</v>
      </c>
      <c r="U2357" s="17">
        <f>COUNTIFS(WTG_BD!L:L,'Basic Data'!T2357,WTG_BD!F:F,"&gt;="&amp;O2Summary!$B$6,WTG_BD!F:F,"&lt;="&amp;O2Summary!$B$4)</f>
        <v>0</v>
      </c>
      <c r="V2357" s="18">
        <f t="shared" si="43"/>
        <v>47</v>
      </c>
    </row>
    <row r="2358" spans="19:22">
      <c r="S2358" s="16">
        <v>4314</v>
      </c>
      <c r="T2358" s="16" t="s">
        <v>2823</v>
      </c>
      <c r="U2358" s="17">
        <f>COUNTIFS(WTG_BD!L:L,'Basic Data'!T2358,WTG_BD!F:F,"&gt;="&amp;O2Summary!$B$6,WTG_BD!F:F,"&lt;="&amp;O2Summary!$B$4)</f>
        <v>0</v>
      </c>
      <c r="V2358" s="18">
        <f t="shared" si="43"/>
        <v>47</v>
      </c>
    </row>
    <row r="2359" spans="19:22">
      <c r="S2359" s="16">
        <v>4315</v>
      </c>
      <c r="T2359" s="16" t="s">
        <v>2827</v>
      </c>
      <c r="U2359" s="17">
        <f>COUNTIFS(WTG_BD!L:L,'Basic Data'!T2359,WTG_BD!F:F,"&gt;="&amp;O2Summary!$B$6,WTG_BD!F:F,"&lt;="&amp;O2Summary!$B$4)</f>
        <v>0</v>
      </c>
      <c r="V2359" s="18">
        <f t="shared" si="43"/>
        <v>47</v>
      </c>
    </row>
    <row r="2360" spans="19:22">
      <c r="S2360" s="16">
        <v>4316</v>
      </c>
      <c r="T2360" s="16" t="s">
        <v>2828</v>
      </c>
      <c r="U2360" s="17">
        <f>COUNTIFS(WTG_BD!L:L,'Basic Data'!T2360,WTG_BD!F:F,"&gt;="&amp;O2Summary!$B$6,WTG_BD!F:F,"&lt;="&amp;O2Summary!$B$4)</f>
        <v>0</v>
      </c>
      <c r="V2360" s="18">
        <f t="shared" si="43"/>
        <v>47</v>
      </c>
    </row>
    <row r="2361" spans="19:22">
      <c r="S2361" s="16">
        <v>4317</v>
      </c>
      <c r="T2361" s="16" t="s">
        <v>2790</v>
      </c>
      <c r="U2361" s="17">
        <f>COUNTIFS(WTG_BD!L:L,'Basic Data'!T2361,WTG_BD!F:F,"&gt;="&amp;O2Summary!$B$6,WTG_BD!F:F,"&lt;="&amp;O2Summary!$B$4)</f>
        <v>0</v>
      </c>
      <c r="V2361" s="18">
        <f t="shared" si="43"/>
        <v>47</v>
      </c>
    </row>
    <row r="2362" spans="19:22">
      <c r="S2362" s="16">
        <v>4318</v>
      </c>
      <c r="T2362" s="16" t="s">
        <v>2829</v>
      </c>
      <c r="U2362" s="17">
        <f>COUNTIFS(WTG_BD!L:L,'Basic Data'!T2362,WTG_BD!F:F,"&gt;="&amp;O2Summary!$B$6,WTG_BD!F:F,"&lt;="&amp;O2Summary!$B$4)</f>
        <v>0</v>
      </c>
      <c r="V2362" s="18">
        <f t="shared" si="43"/>
        <v>47</v>
      </c>
    </row>
    <row r="2363" spans="19:22">
      <c r="S2363" s="16">
        <v>4319</v>
      </c>
      <c r="T2363" s="16" t="s">
        <v>2830</v>
      </c>
      <c r="U2363" s="17">
        <f>COUNTIFS(WTG_BD!L:L,'Basic Data'!T2363,WTG_BD!F:F,"&gt;="&amp;O2Summary!$B$6,WTG_BD!F:F,"&lt;="&amp;O2Summary!$B$4)</f>
        <v>0</v>
      </c>
      <c r="V2363" s="18">
        <f t="shared" si="43"/>
        <v>47</v>
      </c>
    </row>
    <row r="2364" spans="19:22">
      <c r="S2364" s="16">
        <v>4320</v>
      </c>
      <c r="T2364" s="16" t="s">
        <v>2777</v>
      </c>
      <c r="U2364" s="17">
        <f>COUNTIFS(WTG_BD!L:L,'Basic Data'!T2364,WTG_BD!F:F,"&gt;="&amp;O2Summary!$B$6,WTG_BD!F:F,"&lt;="&amp;O2Summary!$B$4)</f>
        <v>0</v>
      </c>
      <c r="V2364" s="18">
        <f t="shared" si="43"/>
        <v>47</v>
      </c>
    </row>
    <row r="2365" spans="19:22">
      <c r="S2365" s="16">
        <v>4321</v>
      </c>
      <c r="T2365" s="16" t="s">
        <v>2831</v>
      </c>
      <c r="U2365" s="17">
        <f>COUNTIFS(WTG_BD!L:L,'Basic Data'!T2365,WTG_BD!F:F,"&gt;="&amp;O2Summary!$B$6,WTG_BD!F:F,"&lt;="&amp;O2Summary!$B$4)</f>
        <v>0</v>
      </c>
      <c r="V2365" s="18">
        <f t="shared" si="43"/>
        <v>47</v>
      </c>
    </row>
    <row r="2366" spans="19:22">
      <c r="S2366" s="16">
        <v>4322</v>
      </c>
      <c r="T2366" s="16" t="s">
        <v>2832</v>
      </c>
      <c r="U2366" s="17">
        <f>COUNTIFS(WTG_BD!L:L,'Basic Data'!T2366,WTG_BD!F:F,"&gt;="&amp;O2Summary!$B$6,WTG_BD!F:F,"&lt;="&amp;O2Summary!$B$4)</f>
        <v>0</v>
      </c>
      <c r="V2366" s="18">
        <f t="shared" si="43"/>
        <v>47</v>
      </c>
    </row>
    <row r="2367" spans="19:22">
      <c r="S2367" s="16">
        <v>4323</v>
      </c>
      <c r="T2367" s="16" t="s">
        <v>2833</v>
      </c>
      <c r="U2367" s="17">
        <f>COUNTIFS(WTG_BD!L:L,'Basic Data'!T2367,WTG_BD!F:F,"&gt;="&amp;O2Summary!$B$6,WTG_BD!F:F,"&lt;="&amp;O2Summary!$B$4)</f>
        <v>0</v>
      </c>
      <c r="V2367" s="18">
        <f t="shared" si="43"/>
        <v>47</v>
      </c>
    </row>
    <row r="2368" spans="19:22">
      <c r="S2368" s="16">
        <v>4324</v>
      </c>
      <c r="T2368" s="16" t="s">
        <v>2834</v>
      </c>
      <c r="U2368" s="17">
        <f>COUNTIFS(WTG_BD!L:L,'Basic Data'!T2368,WTG_BD!F:F,"&gt;="&amp;O2Summary!$B$6,WTG_BD!F:F,"&lt;="&amp;O2Summary!$B$4)</f>
        <v>0</v>
      </c>
      <c r="V2368" s="18">
        <f t="shared" si="43"/>
        <v>47</v>
      </c>
    </row>
    <row r="2369" spans="19:22">
      <c r="S2369" s="16">
        <v>4325</v>
      </c>
      <c r="T2369" s="16" t="s">
        <v>2835</v>
      </c>
      <c r="U2369" s="17">
        <f>COUNTIFS(WTG_BD!L:L,'Basic Data'!T2369,WTG_BD!F:F,"&gt;="&amp;O2Summary!$B$6,WTG_BD!F:F,"&lt;="&amp;O2Summary!$B$4)</f>
        <v>0</v>
      </c>
      <c r="V2369" s="18">
        <f t="shared" si="43"/>
        <v>47</v>
      </c>
    </row>
    <row r="2370" spans="19:22">
      <c r="S2370" s="16">
        <v>4326</v>
      </c>
      <c r="T2370" s="16" t="s">
        <v>2836</v>
      </c>
      <c r="U2370" s="17">
        <f>COUNTIFS(WTG_BD!L:L,'Basic Data'!T2370,WTG_BD!F:F,"&gt;="&amp;O2Summary!$B$6,WTG_BD!F:F,"&lt;="&amp;O2Summary!$B$4)</f>
        <v>0</v>
      </c>
      <c r="V2370" s="18">
        <f t="shared" si="43"/>
        <v>47</v>
      </c>
    </row>
    <row r="2371" spans="19:22">
      <c r="S2371" s="16">
        <v>4327</v>
      </c>
      <c r="T2371" s="16" t="s">
        <v>2837</v>
      </c>
      <c r="U2371" s="17">
        <f>COUNTIFS(WTG_BD!L:L,'Basic Data'!T2371,WTG_BD!F:F,"&gt;="&amp;O2Summary!$B$6,WTG_BD!F:F,"&lt;="&amp;O2Summary!$B$4)</f>
        <v>0</v>
      </c>
      <c r="V2371" s="18">
        <f t="shared" ref="V2371:V2434" si="44">RANK(U2371,$U$2:$U$3975)</f>
        <v>47</v>
      </c>
    </row>
    <row r="2372" spans="19:22">
      <c r="S2372" s="16">
        <v>4328</v>
      </c>
      <c r="T2372" s="16" t="s">
        <v>2838</v>
      </c>
      <c r="U2372" s="17">
        <f>COUNTIFS(WTG_BD!L:L,'Basic Data'!T2372,WTG_BD!F:F,"&gt;="&amp;O2Summary!$B$6,WTG_BD!F:F,"&lt;="&amp;O2Summary!$B$4)</f>
        <v>0</v>
      </c>
      <c r="V2372" s="18">
        <f t="shared" si="44"/>
        <v>47</v>
      </c>
    </row>
    <row r="2373" spans="19:22">
      <c r="S2373" s="16">
        <v>4329</v>
      </c>
      <c r="T2373" s="16" t="s">
        <v>2839</v>
      </c>
      <c r="U2373" s="17">
        <f>COUNTIFS(WTG_BD!L:L,'Basic Data'!T2373,WTG_BD!F:F,"&gt;="&amp;O2Summary!$B$6,WTG_BD!F:F,"&lt;="&amp;O2Summary!$B$4)</f>
        <v>0</v>
      </c>
      <c r="V2373" s="18">
        <f t="shared" si="44"/>
        <v>47</v>
      </c>
    </row>
    <row r="2374" spans="19:22">
      <c r="S2374" s="16">
        <v>4330</v>
      </c>
      <c r="T2374" s="16" t="s">
        <v>2840</v>
      </c>
      <c r="U2374" s="17">
        <f>COUNTIFS(WTG_BD!L:L,'Basic Data'!T2374,WTG_BD!F:F,"&gt;="&amp;O2Summary!$B$6,WTG_BD!F:F,"&lt;="&amp;O2Summary!$B$4)</f>
        <v>0</v>
      </c>
      <c r="V2374" s="18">
        <f t="shared" si="44"/>
        <v>47</v>
      </c>
    </row>
    <row r="2375" spans="19:22">
      <c r="S2375" s="16">
        <v>4331</v>
      </c>
      <c r="T2375" s="16" t="s">
        <v>1838</v>
      </c>
      <c r="U2375" s="17">
        <f>COUNTIFS(WTG_BD!L:L,'Basic Data'!T2375,WTG_BD!F:F,"&gt;="&amp;O2Summary!$B$6,WTG_BD!F:F,"&lt;="&amp;O2Summary!$B$4)</f>
        <v>0</v>
      </c>
      <c r="V2375" s="18">
        <f t="shared" si="44"/>
        <v>47</v>
      </c>
    </row>
    <row r="2376" spans="19:22">
      <c r="S2376" s="16">
        <v>4332</v>
      </c>
      <c r="T2376" s="16" t="s">
        <v>2841</v>
      </c>
      <c r="U2376" s="17">
        <f>COUNTIFS(WTG_BD!L:L,'Basic Data'!T2376,WTG_BD!F:F,"&gt;="&amp;O2Summary!$B$6,WTG_BD!F:F,"&lt;="&amp;O2Summary!$B$4)</f>
        <v>0</v>
      </c>
      <c r="V2376" s="18">
        <f t="shared" si="44"/>
        <v>47</v>
      </c>
    </row>
    <row r="2377" spans="19:22">
      <c r="S2377" s="16">
        <v>4333</v>
      </c>
      <c r="T2377" s="16" t="s">
        <v>2842</v>
      </c>
      <c r="U2377" s="17">
        <f>COUNTIFS(WTG_BD!L:L,'Basic Data'!T2377,WTG_BD!F:F,"&gt;="&amp;O2Summary!$B$6,WTG_BD!F:F,"&lt;="&amp;O2Summary!$B$4)</f>
        <v>0</v>
      </c>
      <c r="V2377" s="18">
        <f t="shared" si="44"/>
        <v>47</v>
      </c>
    </row>
    <row r="2378" spans="19:22">
      <c r="S2378" s="16">
        <v>4334</v>
      </c>
      <c r="T2378" s="16" t="s">
        <v>2843</v>
      </c>
      <c r="U2378" s="17">
        <f>COUNTIFS(WTG_BD!L:L,'Basic Data'!T2378,WTG_BD!F:F,"&gt;="&amp;O2Summary!$B$6,WTG_BD!F:F,"&lt;="&amp;O2Summary!$B$4)</f>
        <v>0</v>
      </c>
      <c r="V2378" s="18">
        <f t="shared" si="44"/>
        <v>47</v>
      </c>
    </row>
    <row r="2379" spans="19:22">
      <c r="S2379" s="16">
        <v>4335</v>
      </c>
      <c r="T2379" s="16" t="s">
        <v>2844</v>
      </c>
      <c r="U2379" s="17">
        <f>COUNTIFS(WTG_BD!L:L,'Basic Data'!T2379,WTG_BD!F:F,"&gt;="&amp;O2Summary!$B$6,WTG_BD!F:F,"&lt;="&amp;O2Summary!$B$4)</f>
        <v>0</v>
      </c>
      <c r="V2379" s="18">
        <f t="shared" si="44"/>
        <v>47</v>
      </c>
    </row>
    <row r="2380" spans="19:22">
      <c r="S2380" s="16">
        <v>4336</v>
      </c>
      <c r="T2380" s="16" t="s">
        <v>1695</v>
      </c>
      <c r="U2380" s="17">
        <f>COUNTIFS(WTG_BD!L:L,'Basic Data'!T2380,WTG_BD!F:F,"&gt;="&amp;O2Summary!$B$6,WTG_BD!F:F,"&lt;="&amp;O2Summary!$B$4)</f>
        <v>0</v>
      </c>
      <c r="V2380" s="18">
        <f t="shared" si="44"/>
        <v>47</v>
      </c>
    </row>
    <row r="2381" spans="19:22">
      <c r="S2381" s="16">
        <v>4337</v>
      </c>
      <c r="T2381" s="16" t="s">
        <v>1696</v>
      </c>
      <c r="U2381" s="17">
        <f>COUNTIFS(WTG_BD!L:L,'Basic Data'!T2381,WTG_BD!F:F,"&gt;="&amp;O2Summary!$B$6,WTG_BD!F:F,"&lt;="&amp;O2Summary!$B$4)</f>
        <v>0</v>
      </c>
      <c r="V2381" s="18">
        <f t="shared" si="44"/>
        <v>47</v>
      </c>
    </row>
    <row r="2382" spans="19:22">
      <c r="S2382" s="16">
        <v>4338</v>
      </c>
      <c r="T2382" s="16" t="s">
        <v>2845</v>
      </c>
      <c r="U2382" s="17">
        <f>COUNTIFS(WTG_BD!L:L,'Basic Data'!T2382,WTG_BD!F:F,"&gt;="&amp;O2Summary!$B$6,WTG_BD!F:F,"&lt;="&amp;O2Summary!$B$4)</f>
        <v>0</v>
      </c>
      <c r="V2382" s="18">
        <f t="shared" si="44"/>
        <v>47</v>
      </c>
    </row>
    <row r="2383" spans="19:22">
      <c r="S2383" s="16">
        <v>4339</v>
      </c>
      <c r="T2383" s="16" t="s">
        <v>2846</v>
      </c>
      <c r="U2383" s="17">
        <f>COUNTIFS(WTG_BD!L:L,'Basic Data'!T2383,WTG_BD!F:F,"&gt;="&amp;O2Summary!$B$6,WTG_BD!F:F,"&lt;="&amp;O2Summary!$B$4)</f>
        <v>0</v>
      </c>
      <c r="V2383" s="18">
        <f t="shared" si="44"/>
        <v>47</v>
      </c>
    </row>
    <row r="2384" spans="19:22">
      <c r="S2384" s="16">
        <v>4340</v>
      </c>
      <c r="T2384" s="16" t="s">
        <v>2847</v>
      </c>
      <c r="U2384" s="17">
        <f>COUNTIFS(WTG_BD!L:L,'Basic Data'!T2384,WTG_BD!F:F,"&gt;="&amp;O2Summary!$B$6,WTG_BD!F:F,"&lt;="&amp;O2Summary!$B$4)</f>
        <v>0</v>
      </c>
      <c r="V2384" s="18">
        <f t="shared" si="44"/>
        <v>47</v>
      </c>
    </row>
    <row r="2385" spans="19:22">
      <c r="S2385" s="16">
        <v>4341</v>
      </c>
      <c r="T2385" s="16" t="s">
        <v>2848</v>
      </c>
      <c r="U2385" s="17">
        <f>COUNTIFS(WTG_BD!L:L,'Basic Data'!T2385,WTG_BD!F:F,"&gt;="&amp;O2Summary!$B$6,WTG_BD!F:F,"&lt;="&amp;O2Summary!$B$4)</f>
        <v>0</v>
      </c>
      <c r="V2385" s="18">
        <f t="shared" si="44"/>
        <v>47</v>
      </c>
    </row>
    <row r="2386" spans="19:22">
      <c r="S2386" s="16">
        <v>4342</v>
      </c>
      <c r="T2386" s="16" t="s">
        <v>2849</v>
      </c>
      <c r="U2386" s="17">
        <f>COUNTIFS(WTG_BD!L:L,'Basic Data'!T2386,WTG_BD!F:F,"&gt;="&amp;O2Summary!$B$6,WTG_BD!F:F,"&lt;="&amp;O2Summary!$B$4)</f>
        <v>0</v>
      </c>
      <c r="V2386" s="18">
        <f t="shared" si="44"/>
        <v>47</v>
      </c>
    </row>
    <row r="2387" spans="19:22">
      <c r="S2387" s="16">
        <v>4343</v>
      </c>
      <c r="T2387" s="16" t="s">
        <v>2850</v>
      </c>
      <c r="U2387" s="17">
        <f>COUNTIFS(WTG_BD!L:L,'Basic Data'!T2387,WTG_BD!F:F,"&gt;="&amp;O2Summary!$B$6,WTG_BD!F:F,"&lt;="&amp;O2Summary!$B$4)</f>
        <v>0</v>
      </c>
      <c r="V2387" s="18">
        <f t="shared" si="44"/>
        <v>47</v>
      </c>
    </row>
    <row r="2388" spans="19:22">
      <c r="S2388" s="16">
        <v>4344</v>
      </c>
      <c r="T2388" s="16" t="s">
        <v>2851</v>
      </c>
      <c r="U2388" s="17">
        <f>COUNTIFS(WTG_BD!L:L,'Basic Data'!T2388,WTG_BD!F:F,"&gt;="&amp;O2Summary!$B$6,WTG_BD!F:F,"&lt;="&amp;O2Summary!$B$4)</f>
        <v>0</v>
      </c>
      <c r="V2388" s="18">
        <f t="shared" si="44"/>
        <v>47</v>
      </c>
    </row>
    <row r="2389" spans="19:22">
      <c r="S2389" s="16">
        <v>4345</v>
      </c>
      <c r="T2389" s="16" t="s">
        <v>2852</v>
      </c>
      <c r="U2389" s="17">
        <f>COUNTIFS(WTG_BD!L:L,'Basic Data'!T2389,WTG_BD!F:F,"&gt;="&amp;O2Summary!$B$6,WTG_BD!F:F,"&lt;="&amp;O2Summary!$B$4)</f>
        <v>0</v>
      </c>
      <c r="V2389" s="18">
        <f t="shared" si="44"/>
        <v>47</v>
      </c>
    </row>
    <row r="2390" spans="19:22">
      <c r="S2390" s="16">
        <v>4346</v>
      </c>
      <c r="T2390" s="16" t="s">
        <v>2853</v>
      </c>
      <c r="U2390" s="17">
        <f>COUNTIFS(WTG_BD!L:L,'Basic Data'!T2390,WTG_BD!F:F,"&gt;="&amp;O2Summary!$B$6,WTG_BD!F:F,"&lt;="&amp;O2Summary!$B$4)</f>
        <v>0</v>
      </c>
      <c r="V2390" s="18">
        <f t="shared" si="44"/>
        <v>47</v>
      </c>
    </row>
    <row r="2391" spans="19:22">
      <c r="S2391" s="16">
        <v>4347</v>
      </c>
      <c r="T2391" s="16" t="s">
        <v>2854</v>
      </c>
      <c r="U2391" s="17">
        <f>COUNTIFS(WTG_BD!L:L,'Basic Data'!T2391,WTG_BD!F:F,"&gt;="&amp;O2Summary!$B$6,WTG_BD!F:F,"&lt;="&amp;O2Summary!$B$4)</f>
        <v>0</v>
      </c>
      <c r="V2391" s="18">
        <f t="shared" si="44"/>
        <v>47</v>
      </c>
    </row>
    <row r="2392" spans="19:22">
      <c r="S2392" s="16">
        <v>4348</v>
      </c>
      <c r="T2392" s="16" t="s">
        <v>2855</v>
      </c>
      <c r="U2392" s="17">
        <f>COUNTIFS(WTG_BD!L:L,'Basic Data'!T2392,WTG_BD!F:F,"&gt;="&amp;O2Summary!$B$6,WTG_BD!F:F,"&lt;="&amp;O2Summary!$B$4)</f>
        <v>0</v>
      </c>
      <c r="V2392" s="18">
        <f t="shared" si="44"/>
        <v>47</v>
      </c>
    </row>
    <row r="2393" spans="19:22">
      <c r="S2393" s="16">
        <v>4349</v>
      </c>
      <c r="T2393" s="16" t="s">
        <v>2856</v>
      </c>
      <c r="U2393" s="17">
        <f>COUNTIFS(WTG_BD!L:L,'Basic Data'!T2393,WTG_BD!F:F,"&gt;="&amp;O2Summary!$B$6,WTG_BD!F:F,"&lt;="&amp;O2Summary!$B$4)</f>
        <v>0</v>
      </c>
      <c r="V2393" s="18">
        <f t="shared" si="44"/>
        <v>47</v>
      </c>
    </row>
    <row r="2394" spans="19:22">
      <c r="S2394" s="16">
        <v>4350</v>
      </c>
      <c r="T2394" s="16" t="s">
        <v>2857</v>
      </c>
      <c r="U2394" s="17">
        <f>COUNTIFS(WTG_BD!L:L,'Basic Data'!T2394,WTG_BD!F:F,"&gt;="&amp;O2Summary!$B$6,WTG_BD!F:F,"&lt;="&amp;O2Summary!$B$4)</f>
        <v>0</v>
      </c>
      <c r="V2394" s="18">
        <f t="shared" si="44"/>
        <v>47</v>
      </c>
    </row>
    <row r="2395" spans="19:22">
      <c r="S2395" s="16">
        <v>4351</v>
      </c>
      <c r="T2395" s="16" t="s">
        <v>2858</v>
      </c>
      <c r="U2395" s="17">
        <f>COUNTIFS(WTG_BD!L:L,'Basic Data'!T2395,WTG_BD!F:F,"&gt;="&amp;O2Summary!$B$6,WTG_BD!F:F,"&lt;="&amp;O2Summary!$B$4)</f>
        <v>0</v>
      </c>
      <c r="V2395" s="18">
        <f t="shared" si="44"/>
        <v>47</v>
      </c>
    </row>
    <row r="2396" spans="19:22">
      <c r="S2396" s="16">
        <v>4352</v>
      </c>
      <c r="T2396" s="16" t="s">
        <v>2859</v>
      </c>
      <c r="U2396" s="17">
        <f>COUNTIFS(WTG_BD!L:L,'Basic Data'!T2396,WTG_BD!F:F,"&gt;="&amp;O2Summary!$B$6,WTG_BD!F:F,"&lt;="&amp;O2Summary!$B$4)</f>
        <v>0</v>
      </c>
      <c r="V2396" s="18">
        <f t="shared" si="44"/>
        <v>47</v>
      </c>
    </row>
    <row r="2397" spans="19:22">
      <c r="S2397" s="16">
        <v>4353</v>
      </c>
      <c r="T2397" s="16" t="s">
        <v>2860</v>
      </c>
      <c r="U2397" s="17">
        <f>COUNTIFS(WTG_BD!L:L,'Basic Data'!T2397,WTG_BD!F:F,"&gt;="&amp;O2Summary!$B$6,WTG_BD!F:F,"&lt;="&amp;O2Summary!$B$4)</f>
        <v>0</v>
      </c>
      <c r="V2397" s="18">
        <f t="shared" si="44"/>
        <v>47</v>
      </c>
    </row>
    <row r="2398" spans="19:22">
      <c r="S2398" s="16">
        <v>4354</v>
      </c>
      <c r="T2398" s="16" t="s">
        <v>2861</v>
      </c>
      <c r="U2398" s="17">
        <f>COUNTIFS(WTG_BD!L:L,'Basic Data'!T2398,WTG_BD!F:F,"&gt;="&amp;O2Summary!$B$6,WTG_BD!F:F,"&lt;="&amp;O2Summary!$B$4)</f>
        <v>0</v>
      </c>
      <c r="V2398" s="18">
        <f t="shared" si="44"/>
        <v>47</v>
      </c>
    </row>
    <row r="2399" spans="19:22">
      <c r="S2399" s="16">
        <v>4355</v>
      </c>
      <c r="T2399" s="16" t="s">
        <v>2862</v>
      </c>
      <c r="U2399" s="17">
        <f>COUNTIFS(WTG_BD!L:L,'Basic Data'!T2399,WTG_BD!F:F,"&gt;="&amp;O2Summary!$B$6,WTG_BD!F:F,"&lt;="&amp;O2Summary!$B$4)</f>
        <v>0</v>
      </c>
      <c r="V2399" s="18">
        <f t="shared" si="44"/>
        <v>47</v>
      </c>
    </row>
    <row r="2400" spans="19:22">
      <c r="S2400" s="16">
        <v>4356</v>
      </c>
      <c r="T2400" s="16" t="s">
        <v>2863</v>
      </c>
      <c r="U2400" s="17">
        <f>COUNTIFS(WTG_BD!L:L,'Basic Data'!T2400,WTG_BD!F:F,"&gt;="&amp;O2Summary!$B$6,WTG_BD!F:F,"&lt;="&amp;O2Summary!$B$4)</f>
        <v>0</v>
      </c>
      <c r="V2400" s="18">
        <f t="shared" si="44"/>
        <v>47</v>
      </c>
    </row>
    <row r="2401" spans="19:22">
      <c r="S2401" s="16">
        <v>4357</v>
      </c>
      <c r="T2401" s="16" t="s">
        <v>2864</v>
      </c>
      <c r="U2401" s="17">
        <f>COUNTIFS(WTG_BD!L:L,'Basic Data'!T2401,WTG_BD!F:F,"&gt;="&amp;O2Summary!$B$6,WTG_BD!F:F,"&lt;="&amp;O2Summary!$B$4)</f>
        <v>0</v>
      </c>
      <c r="V2401" s="18">
        <f t="shared" si="44"/>
        <v>47</v>
      </c>
    </row>
    <row r="2402" spans="19:22">
      <c r="S2402" s="16">
        <v>4358</v>
      </c>
      <c r="T2402" s="16" t="s">
        <v>2865</v>
      </c>
      <c r="U2402" s="17">
        <f>COUNTIFS(WTG_BD!L:L,'Basic Data'!T2402,WTG_BD!F:F,"&gt;="&amp;O2Summary!$B$6,WTG_BD!F:F,"&lt;="&amp;O2Summary!$B$4)</f>
        <v>0</v>
      </c>
      <c r="V2402" s="18">
        <f t="shared" si="44"/>
        <v>47</v>
      </c>
    </row>
    <row r="2403" spans="19:22">
      <c r="S2403" s="16">
        <v>4359</v>
      </c>
      <c r="T2403" s="16" t="s">
        <v>2866</v>
      </c>
      <c r="U2403" s="17">
        <f>COUNTIFS(WTG_BD!L:L,'Basic Data'!T2403,WTG_BD!F:F,"&gt;="&amp;O2Summary!$B$6,WTG_BD!F:F,"&lt;="&amp;O2Summary!$B$4)</f>
        <v>0</v>
      </c>
      <c r="V2403" s="18">
        <f t="shared" si="44"/>
        <v>47</v>
      </c>
    </row>
    <row r="2404" spans="19:22">
      <c r="S2404" s="16">
        <v>4360</v>
      </c>
      <c r="T2404" s="16" t="s">
        <v>2867</v>
      </c>
      <c r="U2404" s="17">
        <f>COUNTIFS(WTG_BD!L:L,'Basic Data'!T2404,WTG_BD!F:F,"&gt;="&amp;O2Summary!$B$6,WTG_BD!F:F,"&lt;="&amp;O2Summary!$B$4)</f>
        <v>0</v>
      </c>
      <c r="V2404" s="18">
        <f t="shared" si="44"/>
        <v>47</v>
      </c>
    </row>
    <row r="2405" spans="19:22">
      <c r="S2405" s="16">
        <v>4361</v>
      </c>
      <c r="T2405" s="16" t="s">
        <v>2868</v>
      </c>
      <c r="U2405" s="17">
        <f>COUNTIFS(WTG_BD!L:L,'Basic Data'!T2405,WTG_BD!F:F,"&gt;="&amp;O2Summary!$B$6,WTG_BD!F:F,"&lt;="&amp;O2Summary!$B$4)</f>
        <v>0</v>
      </c>
      <c r="V2405" s="18">
        <f t="shared" si="44"/>
        <v>47</v>
      </c>
    </row>
    <row r="2406" spans="19:22">
      <c r="S2406" s="16">
        <v>4362</v>
      </c>
      <c r="T2406" s="16" t="s">
        <v>2869</v>
      </c>
      <c r="U2406" s="17">
        <f>COUNTIFS(WTG_BD!L:L,'Basic Data'!T2406,WTG_BD!F:F,"&gt;="&amp;O2Summary!$B$6,WTG_BD!F:F,"&lt;="&amp;O2Summary!$B$4)</f>
        <v>0</v>
      </c>
      <c r="V2406" s="18">
        <f t="shared" si="44"/>
        <v>47</v>
      </c>
    </row>
    <row r="2407" spans="19:22">
      <c r="S2407" s="16">
        <v>4363</v>
      </c>
      <c r="T2407" s="16" t="s">
        <v>2870</v>
      </c>
      <c r="U2407" s="17">
        <f>COUNTIFS(WTG_BD!L:L,'Basic Data'!T2407,WTG_BD!F:F,"&gt;="&amp;O2Summary!$B$6,WTG_BD!F:F,"&lt;="&amp;O2Summary!$B$4)</f>
        <v>0</v>
      </c>
      <c r="V2407" s="18">
        <f t="shared" si="44"/>
        <v>47</v>
      </c>
    </row>
    <row r="2408" spans="19:22">
      <c r="S2408" s="16">
        <v>4364</v>
      </c>
      <c r="T2408" s="16" t="s">
        <v>2871</v>
      </c>
      <c r="U2408" s="17">
        <f>COUNTIFS(WTG_BD!L:L,'Basic Data'!T2408,WTG_BD!F:F,"&gt;="&amp;O2Summary!$B$6,WTG_BD!F:F,"&lt;="&amp;O2Summary!$B$4)</f>
        <v>0</v>
      </c>
      <c r="V2408" s="18">
        <f t="shared" si="44"/>
        <v>47</v>
      </c>
    </row>
    <row r="2409" spans="19:22">
      <c r="S2409" s="16">
        <v>4365</v>
      </c>
      <c r="T2409" s="16" t="s">
        <v>2872</v>
      </c>
      <c r="U2409" s="17">
        <f>COUNTIFS(WTG_BD!L:L,'Basic Data'!T2409,WTG_BD!F:F,"&gt;="&amp;O2Summary!$B$6,WTG_BD!F:F,"&lt;="&amp;O2Summary!$B$4)</f>
        <v>0</v>
      </c>
      <c r="V2409" s="18">
        <f t="shared" si="44"/>
        <v>47</v>
      </c>
    </row>
    <row r="2410" spans="19:22">
      <c r="S2410" s="16">
        <v>4366</v>
      </c>
      <c r="T2410" s="16" t="s">
        <v>2873</v>
      </c>
      <c r="U2410" s="17">
        <f>COUNTIFS(WTG_BD!L:L,'Basic Data'!T2410,WTG_BD!F:F,"&gt;="&amp;O2Summary!$B$6,WTG_BD!F:F,"&lt;="&amp;O2Summary!$B$4)</f>
        <v>0</v>
      </c>
      <c r="V2410" s="18">
        <f t="shared" si="44"/>
        <v>47</v>
      </c>
    </row>
    <row r="2411" spans="19:22">
      <c r="S2411" s="16">
        <v>4367</v>
      </c>
      <c r="T2411" s="16" t="s">
        <v>2874</v>
      </c>
      <c r="U2411" s="17">
        <f>COUNTIFS(WTG_BD!L:L,'Basic Data'!T2411,WTG_BD!F:F,"&gt;="&amp;O2Summary!$B$6,WTG_BD!F:F,"&lt;="&amp;O2Summary!$B$4)</f>
        <v>0</v>
      </c>
      <c r="V2411" s="18">
        <f t="shared" si="44"/>
        <v>47</v>
      </c>
    </row>
    <row r="2412" spans="19:22">
      <c r="S2412" s="16">
        <v>4368</v>
      </c>
      <c r="T2412" s="16" t="s">
        <v>2875</v>
      </c>
      <c r="U2412" s="17">
        <f>COUNTIFS(WTG_BD!L:L,'Basic Data'!T2412,WTG_BD!F:F,"&gt;="&amp;O2Summary!$B$6,WTG_BD!F:F,"&lt;="&amp;O2Summary!$B$4)</f>
        <v>0</v>
      </c>
      <c r="V2412" s="18">
        <f t="shared" si="44"/>
        <v>47</v>
      </c>
    </row>
    <row r="2413" spans="19:22">
      <c r="S2413" s="16">
        <v>4369</v>
      </c>
      <c r="T2413" s="16" t="s">
        <v>2876</v>
      </c>
      <c r="U2413" s="17">
        <f>COUNTIFS(WTG_BD!L:L,'Basic Data'!T2413,WTG_BD!F:F,"&gt;="&amp;O2Summary!$B$6,WTG_BD!F:F,"&lt;="&amp;O2Summary!$B$4)</f>
        <v>0</v>
      </c>
      <c r="V2413" s="18">
        <f t="shared" si="44"/>
        <v>47</v>
      </c>
    </row>
    <row r="2414" spans="19:22">
      <c r="S2414" s="16">
        <v>4370</v>
      </c>
      <c r="T2414" s="16" t="s">
        <v>2877</v>
      </c>
      <c r="U2414" s="17">
        <f>COUNTIFS(WTG_BD!L:L,'Basic Data'!T2414,WTG_BD!F:F,"&gt;="&amp;O2Summary!$B$6,WTG_BD!F:F,"&lt;="&amp;O2Summary!$B$4)</f>
        <v>0</v>
      </c>
      <c r="V2414" s="18">
        <f t="shared" si="44"/>
        <v>47</v>
      </c>
    </row>
    <row r="2415" spans="19:22">
      <c r="S2415" s="16">
        <v>4371</v>
      </c>
      <c r="T2415" s="16" t="s">
        <v>2878</v>
      </c>
      <c r="U2415" s="17">
        <f>COUNTIFS(WTG_BD!L:L,'Basic Data'!T2415,WTG_BD!F:F,"&gt;="&amp;O2Summary!$B$6,WTG_BD!F:F,"&lt;="&amp;O2Summary!$B$4)</f>
        <v>0</v>
      </c>
      <c r="V2415" s="18">
        <f t="shared" si="44"/>
        <v>47</v>
      </c>
    </row>
    <row r="2416" spans="19:22">
      <c r="S2416" s="16">
        <v>4372</v>
      </c>
      <c r="T2416" s="16" t="s">
        <v>2879</v>
      </c>
      <c r="U2416" s="17">
        <f>COUNTIFS(WTG_BD!L:L,'Basic Data'!T2416,WTG_BD!F:F,"&gt;="&amp;O2Summary!$B$6,WTG_BD!F:F,"&lt;="&amp;O2Summary!$B$4)</f>
        <v>0</v>
      </c>
      <c r="V2416" s="18">
        <f t="shared" si="44"/>
        <v>47</v>
      </c>
    </row>
    <row r="2417" spans="19:22">
      <c r="S2417" s="16">
        <v>4373</v>
      </c>
      <c r="T2417" s="16" t="s">
        <v>2880</v>
      </c>
      <c r="U2417" s="17">
        <f>COUNTIFS(WTG_BD!L:L,'Basic Data'!T2417,WTG_BD!F:F,"&gt;="&amp;O2Summary!$B$6,WTG_BD!F:F,"&lt;="&amp;O2Summary!$B$4)</f>
        <v>0</v>
      </c>
      <c r="V2417" s="18">
        <f t="shared" si="44"/>
        <v>47</v>
      </c>
    </row>
    <row r="2418" spans="19:22">
      <c r="S2418" s="16">
        <v>4374</v>
      </c>
      <c r="T2418" s="16" t="s">
        <v>2881</v>
      </c>
      <c r="U2418" s="17">
        <f>COUNTIFS(WTG_BD!L:L,'Basic Data'!T2418,WTG_BD!F:F,"&gt;="&amp;O2Summary!$B$6,WTG_BD!F:F,"&lt;="&amp;O2Summary!$B$4)</f>
        <v>0</v>
      </c>
      <c r="V2418" s="18">
        <f t="shared" si="44"/>
        <v>47</v>
      </c>
    </row>
    <row r="2419" spans="19:22">
      <c r="S2419" s="16">
        <v>4375</v>
      </c>
      <c r="T2419" s="16" t="s">
        <v>2882</v>
      </c>
      <c r="U2419" s="17">
        <f>COUNTIFS(WTG_BD!L:L,'Basic Data'!T2419,WTG_BD!F:F,"&gt;="&amp;O2Summary!$B$6,WTG_BD!F:F,"&lt;="&amp;O2Summary!$B$4)</f>
        <v>0</v>
      </c>
      <c r="V2419" s="18">
        <f t="shared" si="44"/>
        <v>47</v>
      </c>
    </row>
    <row r="2420" spans="19:22">
      <c r="S2420" s="16">
        <v>4376</v>
      </c>
      <c r="T2420" s="16" t="s">
        <v>2883</v>
      </c>
      <c r="U2420" s="17">
        <f>COUNTIFS(WTG_BD!L:L,'Basic Data'!T2420,WTG_BD!F:F,"&gt;="&amp;O2Summary!$B$6,WTG_BD!F:F,"&lt;="&amp;O2Summary!$B$4)</f>
        <v>0</v>
      </c>
      <c r="V2420" s="18">
        <f t="shared" si="44"/>
        <v>47</v>
      </c>
    </row>
    <row r="2421" spans="19:22">
      <c r="S2421" s="16">
        <v>4377</v>
      </c>
      <c r="T2421" s="16" t="s">
        <v>2884</v>
      </c>
      <c r="U2421" s="17">
        <f>COUNTIFS(WTG_BD!L:L,'Basic Data'!T2421,WTG_BD!F:F,"&gt;="&amp;O2Summary!$B$6,WTG_BD!F:F,"&lt;="&amp;O2Summary!$B$4)</f>
        <v>0</v>
      </c>
      <c r="V2421" s="18">
        <f t="shared" si="44"/>
        <v>47</v>
      </c>
    </row>
    <row r="2422" spans="19:22">
      <c r="S2422" s="16">
        <v>4378</v>
      </c>
      <c r="T2422" s="16" t="s">
        <v>2885</v>
      </c>
      <c r="U2422" s="17">
        <f>COUNTIFS(WTG_BD!L:L,'Basic Data'!T2422,WTG_BD!F:F,"&gt;="&amp;O2Summary!$B$6,WTG_BD!F:F,"&lt;="&amp;O2Summary!$B$4)</f>
        <v>0</v>
      </c>
      <c r="V2422" s="18">
        <f t="shared" si="44"/>
        <v>47</v>
      </c>
    </row>
    <row r="2423" spans="19:22">
      <c r="S2423" s="16">
        <v>4379</v>
      </c>
      <c r="T2423" s="16" t="s">
        <v>2886</v>
      </c>
      <c r="U2423" s="17">
        <f>COUNTIFS(WTG_BD!L:L,'Basic Data'!T2423,WTG_BD!F:F,"&gt;="&amp;O2Summary!$B$6,WTG_BD!F:F,"&lt;="&amp;O2Summary!$B$4)</f>
        <v>0</v>
      </c>
      <c r="V2423" s="18">
        <f t="shared" si="44"/>
        <v>47</v>
      </c>
    </row>
    <row r="2424" spans="19:22">
      <c r="S2424" s="16">
        <v>4380</v>
      </c>
      <c r="T2424" s="16" t="s">
        <v>2887</v>
      </c>
      <c r="U2424" s="17">
        <f>COUNTIFS(WTG_BD!L:L,'Basic Data'!T2424,WTG_BD!F:F,"&gt;="&amp;O2Summary!$B$6,WTG_BD!F:F,"&lt;="&amp;O2Summary!$B$4)</f>
        <v>0</v>
      </c>
      <c r="V2424" s="18">
        <f t="shared" si="44"/>
        <v>47</v>
      </c>
    </row>
    <row r="2425" spans="19:22">
      <c r="S2425" s="26">
        <v>4381</v>
      </c>
      <c r="T2425" s="26" t="s">
        <v>2888</v>
      </c>
      <c r="U2425" s="17">
        <f>COUNTIFS(WTG_BD!L:L,'Basic Data'!T2425,WTG_BD!F:F,"&gt;="&amp;O2Summary!$B$6,WTG_BD!F:F,"&lt;="&amp;O2Summary!$B$4)</f>
        <v>0</v>
      </c>
      <c r="V2425" s="18">
        <f t="shared" si="44"/>
        <v>47</v>
      </c>
    </row>
    <row r="2426" spans="19:22">
      <c r="S2426" s="26">
        <v>4382</v>
      </c>
      <c r="T2426" s="26" t="s">
        <v>2889</v>
      </c>
      <c r="U2426" s="17">
        <f>COUNTIFS(WTG_BD!L:L,'Basic Data'!T2426,WTG_BD!F:F,"&gt;="&amp;O2Summary!$B$6,WTG_BD!F:F,"&lt;="&amp;O2Summary!$B$4)</f>
        <v>0</v>
      </c>
      <c r="V2426" s="18">
        <f t="shared" si="44"/>
        <v>47</v>
      </c>
    </row>
    <row r="2427" spans="19:22">
      <c r="S2427" s="26">
        <v>4383</v>
      </c>
      <c r="T2427" s="26" t="s">
        <v>2890</v>
      </c>
      <c r="U2427" s="17">
        <f>COUNTIFS(WTG_BD!L:L,'Basic Data'!T2427,WTG_BD!F:F,"&gt;="&amp;O2Summary!$B$6,WTG_BD!F:F,"&lt;="&amp;O2Summary!$B$4)</f>
        <v>0</v>
      </c>
      <c r="V2427" s="18">
        <f t="shared" si="44"/>
        <v>47</v>
      </c>
    </row>
    <row r="2428" spans="19:22">
      <c r="S2428" s="26">
        <v>4384</v>
      </c>
      <c r="T2428" s="26" t="s">
        <v>2891</v>
      </c>
      <c r="U2428" s="17">
        <f>COUNTIFS(WTG_BD!L:L,'Basic Data'!T2428,WTG_BD!F:F,"&gt;="&amp;O2Summary!$B$6,WTG_BD!F:F,"&lt;="&amp;O2Summary!$B$4)</f>
        <v>0</v>
      </c>
      <c r="V2428" s="18">
        <f t="shared" si="44"/>
        <v>47</v>
      </c>
    </row>
    <row r="2429" spans="19:22">
      <c r="S2429" s="26">
        <v>4385</v>
      </c>
      <c r="T2429" s="26" t="s">
        <v>2892</v>
      </c>
      <c r="U2429" s="17">
        <f>COUNTIFS(WTG_BD!L:L,'Basic Data'!T2429,WTG_BD!F:F,"&gt;="&amp;O2Summary!$B$6,WTG_BD!F:F,"&lt;="&amp;O2Summary!$B$4)</f>
        <v>0</v>
      </c>
      <c r="V2429" s="18">
        <f t="shared" si="44"/>
        <v>47</v>
      </c>
    </row>
    <row r="2430" spans="19:22">
      <c r="S2430" s="26">
        <v>4386</v>
      </c>
      <c r="T2430" s="26" t="s">
        <v>2893</v>
      </c>
      <c r="U2430" s="17">
        <f>COUNTIFS(WTG_BD!L:L,'Basic Data'!T2430,WTG_BD!F:F,"&gt;="&amp;O2Summary!$B$6,WTG_BD!F:F,"&lt;="&amp;O2Summary!$B$4)</f>
        <v>0</v>
      </c>
      <c r="V2430" s="18">
        <f t="shared" si="44"/>
        <v>47</v>
      </c>
    </row>
    <row r="2431" spans="19:22">
      <c r="S2431" s="16">
        <v>4387</v>
      </c>
      <c r="T2431" s="16" t="s">
        <v>2894</v>
      </c>
      <c r="U2431" s="17">
        <f>COUNTIFS(WTG_BD!L:L,'Basic Data'!T2431,WTG_BD!F:F,"&gt;="&amp;O2Summary!$B$6,WTG_BD!F:F,"&lt;="&amp;O2Summary!$B$4)</f>
        <v>0</v>
      </c>
      <c r="V2431" s="18">
        <f t="shared" si="44"/>
        <v>47</v>
      </c>
    </row>
    <row r="2432" spans="19:22">
      <c r="S2432" s="16">
        <v>4388</v>
      </c>
      <c r="T2432" s="16" t="s">
        <v>2895</v>
      </c>
      <c r="U2432" s="17">
        <f>COUNTIFS(WTG_BD!L:L,'Basic Data'!T2432,WTG_BD!F:F,"&gt;="&amp;O2Summary!$B$6,WTG_BD!F:F,"&lt;="&amp;O2Summary!$B$4)</f>
        <v>0</v>
      </c>
      <c r="V2432" s="18">
        <f t="shared" si="44"/>
        <v>47</v>
      </c>
    </row>
    <row r="2433" spans="19:22">
      <c r="S2433" s="16">
        <v>4392</v>
      </c>
      <c r="T2433" s="16" t="s">
        <v>2896</v>
      </c>
      <c r="U2433" s="17">
        <f>COUNTIFS(WTG_BD!L:L,'Basic Data'!T2433,WTG_BD!F:F,"&gt;="&amp;O2Summary!$B$6,WTG_BD!F:F,"&lt;="&amp;O2Summary!$B$4)</f>
        <v>0</v>
      </c>
      <c r="V2433" s="18">
        <f t="shared" si="44"/>
        <v>47</v>
      </c>
    </row>
    <row r="2434" spans="19:22">
      <c r="S2434" s="16">
        <v>4393</v>
      </c>
      <c r="T2434" s="16" t="s">
        <v>2897</v>
      </c>
      <c r="U2434" s="17">
        <f>COUNTIFS(WTG_BD!L:L,'Basic Data'!T2434,WTG_BD!F:F,"&gt;="&amp;O2Summary!$B$6,WTG_BD!F:F,"&lt;="&amp;O2Summary!$B$4)</f>
        <v>0</v>
      </c>
      <c r="V2434" s="18">
        <f t="shared" si="44"/>
        <v>47</v>
      </c>
    </row>
    <row r="2435" spans="19:22">
      <c r="S2435" s="16">
        <v>4395</v>
      </c>
      <c r="T2435" s="16" t="s">
        <v>2898</v>
      </c>
      <c r="U2435" s="17">
        <f>COUNTIFS(WTG_BD!L:L,'Basic Data'!T2435,WTG_BD!F:F,"&gt;="&amp;O2Summary!$B$6,WTG_BD!F:F,"&lt;="&amp;O2Summary!$B$4)</f>
        <v>0</v>
      </c>
      <c r="V2435" s="18">
        <f t="shared" ref="V2435:V2498" si="45">RANK(U2435,$U$2:$U$3975)</f>
        <v>47</v>
      </c>
    </row>
    <row r="2436" spans="19:22">
      <c r="S2436" s="16">
        <v>4396</v>
      </c>
      <c r="T2436" s="16" t="s">
        <v>2899</v>
      </c>
      <c r="U2436" s="17">
        <f>COUNTIFS(WTG_BD!L:L,'Basic Data'!T2436,WTG_BD!F:F,"&gt;="&amp;O2Summary!$B$6,WTG_BD!F:F,"&lt;="&amp;O2Summary!$B$4)</f>
        <v>0</v>
      </c>
      <c r="V2436" s="18">
        <f t="shared" si="45"/>
        <v>47</v>
      </c>
    </row>
    <row r="2437" spans="19:22">
      <c r="S2437" s="16">
        <v>4397</v>
      </c>
      <c r="T2437" s="16" t="s">
        <v>2900</v>
      </c>
      <c r="U2437" s="17">
        <f>COUNTIFS(WTG_BD!L:L,'Basic Data'!T2437,WTG_BD!F:F,"&gt;="&amp;O2Summary!$B$6,WTG_BD!F:F,"&lt;="&amp;O2Summary!$B$4)</f>
        <v>0</v>
      </c>
      <c r="V2437" s="18">
        <f t="shared" si="45"/>
        <v>47</v>
      </c>
    </row>
    <row r="2438" spans="19:22">
      <c r="S2438" s="16">
        <v>4398</v>
      </c>
      <c r="T2438" s="16" t="s">
        <v>2901</v>
      </c>
      <c r="U2438" s="17">
        <f>COUNTIFS(WTG_BD!L:L,'Basic Data'!T2438,WTG_BD!F:F,"&gt;="&amp;O2Summary!$B$6,WTG_BD!F:F,"&lt;="&amp;O2Summary!$B$4)</f>
        <v>0</v>
      </c>
      <c r="V2438" s="18">
        <f t="shared" si="45"/>
        <v>47</v>
      </c>
    </row>
    <row r="2439" spans="19:22">
      <c r="S2439" s="16">
        <v>4400</v>
      </c>
      <c r="T2439" s="16" t="s">
        <v>2902</v>
      </c>
      <c r="U2439" s="17">
        <f>COUNTIFS(WTG_BD!L:L,'Basic Data'!T2439,WTG_BD!F:F,"&gt;="&amp;O2Summary!$B$6,WTG_BD!F:F,"&lt;="&amp;O2Summary!$B$4)</f>
        <v>0</v>
      </c>
      <c r="V2439" s="18">
        <f t="shared" si="45"/>
        <v>47</v>
      </c>
    </row>
    <row r="2440" spans="19:22">
      <c r="S2440" s="16">
        <v>4401</v>
      </c>
      <c r="T2440" s="16" t="s">
        <v>2903</v>
      </c>
      <c r="U2440" s="17">
        <f>COUNTIFS(WTG_BD!L:L,'Basic Data'!T2440,WTG_BD!F:F,"&gt;="&amp;O2Summary!$B$6,WTG_BD!F:F,"&lt;="&amp;O2Summary!$B$4)</f>
        <v>0</v>
      </c>
      <c r="V2440" s="18">
        <f t="shared" si="45"/>
        <v>47</v>
      </c>
    </row>
    <row r="2441" spans="19:22">
      <c r="S2441" s="16">
        <v>4402</v>
      </c>
      <c r="T2441" s="16" t="s">
        <v>2904</v>
      </c>
      <c r="U2441" s="17">
        <f>COUNTIFS(WTG_BD!L:L,'Basic Data'!T2441,WTG_BD!F:F,"&gt;="&amp;O2Summary!$B$6,WTG_BD!F:F,"&lt;="&amp;O2Summary!$B$4)</f>
        <v>0</v>
      </c>
      <c r="V2441" s="18">
        <f t="shared" si="45"/>
        <v>47</v>
      </c>
    </row>
    <row r="2442" spans="19:22">
      <c r="S2442" s="16">
        <v>4403</v>
      </c>
      <c r="T2442" s="16" t="s">
        <v>2905</v>
      </c>
      <c r="U2442" s="17">
        <f>COUNTIFS(WTG_BD!L:L,'Basic Data'!T2442,WTG_BD!F:F,"&gt;="&amp;O2Summary!$B$6,WTG_BD!F:F,"&lt;="&amp;O2Summary!$B$4)</f>
        <v>0</v>
      </c>
      <c r="V2442" s="18">
        <f t="shared" si="45"/>
        <v>47</v>
      </c>
    </row>
    <row r="2443" spans="19:22">
      <c r="S2443" s="16">
        <v>4407</v>
      </c>
      <c r="T2443" s="16" t="s">
        <v>2132</v>
      </c>
      <c r="U2443" s="17">
        <f>COUNTIFS(WTG_BD!L:L,'Basic Data'!T2443,WTG_BD!F:F,"&gt;="&amp;O2Summary!$B$6,WTG_BD!F:F,"&lt;="&amp;O2Summary!$B$4)</f>
        <v>0</v>
      </c>
      <c r="V2443" s="18">
        <f t="shared" si="45"/>
        <v>47</v>
      </c>
    </row>
    <row r="2444" spans="19:22">
      <c r="S2444" s="16">
        <v>4408</v>
      </c>
      <c r="T2444" s="16" t="s">
        <v>2906</v>
      </c>
      <c r="U2444" s="17">
        <f>COUNTIFS(WTG_BD!L:L,'Basic Data'!T2444,WTG_BD!F:F,"&gt;="&amp;O2Summary!$B$6,WTG_BD!F:F,"&lt;="&amp;O2Summary!$B$4)</f>
        <v>0</v>
      </c>
      <c r="V2444" s="18">
        <f t="shared" si="45"/>
        <v>47</v>
      </c>
    </row>
    <row r="2445" spans="19:22">
      <c r="S2445" s="16">
        <v>4409</v>
      </c>
      <c r="T2445" s="16" t="s">
        <v>2907</v>
      </c>
      <c r="U2445" s="17">
        <f>COUNTIFS(WTG_BD!L:L,'Basic Data'!T2445,WTG_BD!F:F,"&gt;="&amp;O2Summary!$B$6,WTG_BD!F:F,"&lt;="&amp;O2Summary!$B$4)</f>
        <v>0</v>
      </c>
      <c r="V2445" s="18">
        <f t="shared" si="45"/>
        <v>47</v>
      </c>
    </row>
    <row r="2446" spans="19:22">
      <c r="S2446" s="16">
        <v>4410</v>
      </c>
      <c r="T2446" s="16" t="s">
        <v>762</v>
      </c>
      <c r="U2446" s="17">
        <f>COUNTIFS(WTG_BD!L:L,'Basic Data'!T2446,WTG_BD!F:F,"&gt;="&amp;O2Summary!$B$6,WTG_BD!F:F,"&lt;="&amp;O2Summary!$B$4)</f>
        <v>0</v>
      </c>
      <c r="V2446" s="18">
        <f t="shared" si="45"/>
        <v>47</v>
      </c>
    </row>
    <row r="2447" spans="19:22">
      <c r="S2447" s="16">
        <v>4411</v>
      </c>
      <c r="T2447" s="16" t="s">
        <v>2908</v>
      </c>
      <c r="U2447" s="17">
        <f>COUNTIFS(WTG_BD!L:L,'Basic Data'!T2447,WTG_BD!F:F,"&gt;="&amp;O2Summary!$B$6,WTG_BD!F:F,"&lt;="&amp;O2Summary!$B$4)</f>
        <v>0</v>
      </c>
      <c r="V2447" s="18">
        <f t="shared" si="45"/>
        <v>47</v>
      </c>
    </row>
    <row r="2448" spans="19:22">
      <c r="S2448" s="16">
        <v>4412</v>
      </c>
      <c r="T2448" s="16" t="s">
        <v>2909</v>
      </c>
      <c r="U2448" s="17">
        <f>COUNTIFS(WTG_BD!L:L,'Basic Data'!T2448,WTG_BD!F:F,"&gt;="&amp;O2Summary!$B$6,WTG_BD!F:F,"&lt;="&amp;O2Summary!$B$4)</f>
        <v>0</v>
      </c>
      <c r="V2448" s="18">
        <f t="shared" si="45"/>
        <v>47</v>
      </c>
    </row>
    <row r="2449" spans="19:22">
      <c r="S2449" s="16">
        <v>4413</v>
      </c>
      <c r="T2449" s="16" t="s">
        <v>2569</v>
      </c>
      <c r="U2449" s="17">
        <f>COUNTIFS(WTG_BD!L:L,'Basic Data'!T2449,WTG_BD!F:F,"&gt;="&amp;O2Summary!$B$6,WTG_BD!F:F,"&lt;="&amp;O2Summary!$B$4)</f>
        <v>0</v>
      </c>
      <c r="V2449" s="18">
        <f t="shared" si="45"/>
        <v>47</v>
      </c>
    </row>
    <row r="2450" spans="19:22">
      <c r="S2450" s="16">
        <v>4414</v>
      </c>
      <c r="T2450" s="16" t="s">
        <v>2570</v>
      </c>
      <c r="U2450" s="17">
        <f>COUNTIFS(WTG_BD!L:L,'Basic Data'!T2450,WTG_BD!F:F,"&gt;="&amp;O2Summary!$B$6,WTG_BD!F:F,"&lt;="&amp;O2Summary!$B$4)</f>
        <v>0</v>
      </c>
      <c r="V2450" s="18">
        <f t="shared" si="45"/>
        <v>47</v>
      </c>
    </row>
    <row r="2451" spans="19:22">
      <c r="S2451" s="16">
        <v>4415</v>
      </c>
      <c r="T2451" s="16" t="s">
        <v>2416</v>
      </c>
      <c r="U2451" s="17">
        <f>COUNTIFS(WTG_BD!L:L,'Basic Data'!T2451,WTG_BD!F:F,"&gt;="&amp;O2Summary!$B$6,WTG_BD!F:F,"&lt;="&amp;O2Summary!$B$4)</f>
        <v>0</v>
      </c>
      <c r="V2451" s="18">
        <f t="shared" si="45"/>
        <v>47</v>
      </c>
    </row>
    <row r="2452" spans="19:22">
      <c r="S2452" s="16">
        <v>4416</v>
      </c>
      <c r="T2452" s="16" t="s">
        <v>2417</v>
      </c>
      <c r="U2452" s="17">
        <f>COUNTIFS(WTG_BD!L:L,'Basic Data'!T2452,WTG_BD!F:F,"&gt;="&amp;O2Summary!$B$6,WTG_BD!F:F,"&lt;="&amp;O2Summary!$B$4)</f>
        <v>0</v>
      </c>
      <c r="V2452" s="18">
        <f t="shared" si="45"/>
        <v>47</v>
      </c>
    </row>
    <row r="2453" spans="19:22">
      <c r="S2453" s="16">
        <v>4417</v>
      </c>
      <c r="T2453" s="16" t="s">
        <v>2910</v>
      </c>
      <c r="U2453" s="17">
        <f>COUNTIFS(WTG_BD!L:L,'Basic Data'!T2453,WTG_BD!F:F,"&gt;="&amp;O2Summary!$B$6,WTG_BD!F:F,"&lt;="&amp;O2Summary!$B$4)</f>
        <v>0</v>
      </c>
      <c r="V2453" s="18">
        <f t="shared" si="45"/>
        <v>47</v>
      </c>
    </row>
    <row r="2454" spans="19:22">
      <c r="S2454" s="16">
        <v>4418</v>
      </c>
      <c r="T2454" s="16" t="s">
        <v>2911</v>
      </c>
      <c r="U2454" s="17">
        <f>COUNTIFS(WTG_BD!L:L,'Basic Data'!T2454,WTG_BD!F:F,"&gt;="&amp;O2Summary!$B$6,WTG_BD!F:F,"&lt;="&amp;O2Summary!$B$4)</f>
        <v>0</v>
      </c>
      <c r="V2454" s="18">
        <f t="shared" si="45"/>
        <v>47</v>
      </c>
    </row>
    <row r="2455" spans="19:22">
      <c r="S2455" s="16">
        <v>4419</v>
      </c>
      <c r="T2455" s="16" t="s">
        <v>2912</v>
      </c>
      <c r="U2455" s="17">
        <f>COUNTIFS(WTG_BD!L:L,'Basic Data'!T2455,WTG_BD!F:F,"&gt;="&amp;O2Summary!$B$6,WTG_BD!F:F,"&lt;="&amp;O2Summary!$B$4)</f>
        <v>0</v>
      </c>
      <c r="V2455" s="18">
        <f t="shared" si="45"/>
        <v>47</v>
      </c>
    </row>
    <row r="2456" spans="19:22">
      <c r="S2456" s="16">
        <v>4420</v>
      </c>
      <c r="T2456" s="16" t="s">
        <v>2913</v>
      </c>
      <c r="U2456" s="17">
        <f>COUNTIFS(WTG_BD!L:L,'Basic Data'!T2456,WTG_BD!F:F,"&gt;="&amp;O2Summary!$B$6,WTG_BD!F:F,"&lt;="&amp;O2Summary!$B$4)</f>
        <v>0</v>
      </c>
      <c r="V2456" s="18">
        <f t="shared" si="45"/>
        <v>47</v>
      </c>
    </row>
    <row r="2457" spans="19:22">
      <c r="S2457" s="16">
        <v>4421</v>
      </c>
      <c r="T2457" s="16" t="s">
        <v>2914</v>
      </c>
      <c r="U2457" s="17">
        <f>COUNTIFS(WTG_BD!L:L,'Basic Data'!T2457,WTG_BD!F:F,"&gt;="&amp;O2Summary!$B$6,WTG_BD!F:F,"&lt;="&amp;O2Summary!$B$4)</f>
        <v>0</v>
      </c>
      <c r="V2457" s="18">
        <f t="shared" si="45"/>
        <v>47</v>
      </c>
    </row>
    <row r="2458" spans="19:22">
      <c r="S2458" s="16">
        <v>4422</v>
      </c>
      <c r="T2458" s="16" t="s">
        <v>2915</v>
      </c>
      <c r="U2458" s="17">
        <f>COUNTIFS(WTG_BD!L:L,'Basic Data'!T2458,WTG_BD!F:F,"&gt;="&amp;O2Summary!$B$6,WTG_BD!F:F,"&lt;="&amp;O2Summary!$B$4)</f>
        <v>0</v>
      </c>
      <c r="V2458" s="18">
        <f t="shared" si="45"/>
        <v>47</v>
      </c>
    </row>
    <row r="2459" spans="19:22">
      <c r="S2459" s="16">
        <v>4423</v>
      </c>
      <c r="T2459" s="16" t="s">
        <v>2916</v>
      </c>
      <c r="U2459" s="17">
        <f>COUNTIFS(WTG_BD!L:L,'Basic Data'!T2459,WTG_BD!F:F,"&gt;="&amp;O2Summary!$B$6,WTG_BD!F:F,"&lt;="&amp;O2Summary!$B$4)</f>
        <v>0</v>
      </c>
      <c r="V2459" s="18">
        <f t="shared" si="45"/>
        <v>47</v>
      </c>
    </row>
    <row r="2460" spans="19:22">
      <c r="S2460" s="16">
        <v>4424</v>
      </c>
      <c r="T2460" s="16" t="s">
        <v>2917</v>
      </c>
      <c r="U2460" s="17">
        <f>COUNTIFS(WTG_BD!L:L,'Basic Data'!T2460,WTG_BD!F:F,"&gt;="&amp;O2Summary!$B$6,WTG_BD!F:F,"&lt;="&amp;O2Summary!$B$4)</f>
        <v>0</v>
      </c>
      <c r="V2460" s="18">
        <f t="shared" si="45"/>
        <v>47</v>
      </c>
    </row>
    <row r="2461" spans="19:22">
      <c r="S2461" s="16">
        <v>4425</v>
      </c>
      <c r="T2461" s="16" t="s">
        <v>2918</v>
      </c>
      <c r="U2461" s="17">
        <f>COUNTIFS(WTG_BD!L:L,'Basic Data'!T2461,WTG_BD!F:F,"&gt;="&amp;O2Summary!$B$6,WTG_BD!F:F,"&lt;="&amp;O2Summary!$B$4)</f>
        <v>0</v>
      </c>
      <c r="V2461" s="18">
        <f t="shared" si="45"/>
        <v>47</v>
      </c>
    </row>
    <row r="2462" spans="19:22">
      <c r="S2462" s="16">
        <v>4426</v>
      </c>
      <c r="T2462" s="16" t="s">
        <v>2919</v>
      </c>
      <c r="U2462" s="17">
        <f>COUNTIFS(WTG_BD!L:L,'Basic Data'!T2462,WTG_BD!F:F,"&gt;="&amp;O2Summary!$B$6,WTG_BD!F:F,"&lt;="&amp;O2Summary!$B$4)</f>
        <v>0</v>
      </c>
      <c r="V2462" s="18">
        <f t="shared" si="45"/>
        <v>47</v>
      </c>
    </row>
    <row r="2463" spans="19:22">
      <c r="S2463" s="16">
        <v>4427</v>
      </c>
      <c r="T2463" s="16" t="s">
        <v>2920</v>
      </c>
      <c r="U2463" s="17">
        <f>COUNTIFS(WTG_BD!L:L,'Basic Data'!T2463,WTG_BD!F:F,"&gt;="&amp;O2Summary!$B$6,WTG_BD!F:F,"&lt;="&amp;O2Summary!$B$4)</f>
        <v>0</v>
      </c>
      <c r="V2463" s="18">
        <f t="shared" si="45"/>
        <v>47</v>
      </c>
    </row>
    <row r="2464" spans="19:22">
      <c r="S2464" s="16">
        <v>4428</v>
      </c>
      <c r="T2464" s="16" t="s">
        <v>2921</v>
      </c>
      <c r="U2464" s="17">
        <f>COUNTIFS(WTG_BD!L:L,'Basic Data'!T2464,WTG_BD!F:F,"&gt;="&amp;O2Summary!$B$6,WTG_BD!F:F,"&lt;="&amp;O2Summary!$B$4)</f>
        <v>0</v>
      </c>
      <c r="V2464" s="18">
        <f t="shared" si="45"/>
        <v>47</v>
      </c>
    </row>
    <row r="2465" spans="19:22">
      <c r="S2465" s="16">
        <v>4429</v>
      </c>
      <c r="T2465" s="16" t="s">
        <v>2922</v>
      </c>
      <c r="U2465" s="17">
        <f>COUNTIFS(WTG_BD!L:L,'Basic Data'!T2465,WTG_BD!F:F,"&gt;="&amp;O2Summary!$B$6,WTG_BD!F:F,"&lt;="&amp;O2Summary!$B$4)</f>
        <v>0</v>
      </c>
      <c r="V2465" s="18">
        <f t="shared" si="45"/>
        <v>47</v>
      </c>
    </row>
    <row r="2466" spans="19:22">
      <c r="S2466" s="16">
        <v>4430</v>
      </c>
      <c r="T2466" s="16" t="s">
        <v>1783</v>
      </c>
      <c r="U2466" s="17">
        <f>COUNTIFS(WTG_BD!L:L,'Basic Data'!T2466,WTG_BD!F:F,"&gt;="&amp;O2Summary!$B$6,WTG_BD!F:F,"&lt;="&amp;O2Summary!$B$4)</f>
        <v>0</v>
      </c>
      <c r="V2466" s="18">
        <f t="shared" si="45"/>
        <v>47</v>
      </c>
    </row>
    <row r="2467" spans="19:22">
      <c r="S2467" s="16">
        <v>4431</v>
      </c>
      <c r="T2467" s="16" t="s">
        <v>1784</v>
      </c>
      <c r="U2467" s="17">
        <f>COUNTIFS(WTG_BD!L:L,'Basic Data'!T2467,WTG_BD!F:F,"&gt;="&amp;O2Summary!$B$6,WTG_BD!F:F,"&lt;="&amp;O2Summary!$B$4)</f>
        <v>0</v>
      </c>
      <c r="V2467" s="18">
        <f t="shared" si="45"/>
        <v>47</v>
      </c>
    </row>
    <row r="2468" spans="19:22">
      <c r="S2468" s="16">
        <v>4432</v>
      </c>
      <c r="T2468" s="16" t="s">
        <v>2923</v>
      </c>
      <c r="U2468" s="17">
        <f>COUNTIFS(WTG_BD!L:L,'Basic Data'!T2468,WTG_BD!F:F,"&gt;="&amp;O2Summary!$B$6,WTG_BD!F:F,"&lt;="&amp;O2Summary!$B$4)</f>
        <v>0</v>
      </c>
      <c r="V2468" s="18">
        <f t="shared" si="45"/>
        <v>47</v>
      </c>
    </row>
    <row r="2469" spans="19:22">
      <c r="S2469" s="16">
        <v>4433</v>
      </c>
      <c r="T2469" s="16" t="s">
        <v>2318</v>
      </c>
      <c r="U2469" s="17">
        <f>COUNTIFS(WTG_BD!L:L,'Basic Data'!T2469,WTG_BD!F:F,"&gt;="&amp;O2Summary!$B$6,WTG_BD!F:F,"&lt;="&amp;O2Summary!$B$4)</f>
        <v>0</v>
      </c>
      <c r="V2469" s="18">
        <f t="shared" si="45"/>
        <v>47</v>
      </c>
    </row>
    <row r="2470" spans="19:22">
      <c r="S2470" s="16">
        <v>4434</v>
      </c>
      <c r="T2470" s="16" t="s">
        <v>2924</v>
      </c>
      <c r="U2470" s="17">
        <f>COUNTIFS(WTG_BD!L:L,'Basic Data'!T2470,WTG_BD!F:F,"&gt;="&amp;O2Summary!$B$6,WTG_BD!F:F,"&lt;="&amp;O2Summary!$B$4)</f>
        <v>0</v>
      </c>
      <c r="V2470" s="18">
        <f t="shared" si="45"/>
        <v>47</v>
      </c>
    </row>
    <row r="2471" spans="19:22">
      <c r="S2471" s="16">
        <v>4435</v>
      </c>
      <c r="T2471" s="16" t="s">
        <v>2925</v>
      </c>
      <c r="U2471" s="17">
        <f>COUNTIFS(WTG_BD!L:L,'Basic Data'!T2471,WTG_BD!F:F,"&gt;="&amp;O2Summary!$B$6,WTG_BD!F:F,"&lt;="&amp;O2Summary!$B$4)</f>
        <v>0</v>
      </c>
      <c r="V2471" s="18">
        <f t="shared" si="45"/>
        <v>47</v>
      </c>
    </row>
    <row r="2472" spans="19:22">
      <c r="S2472" s="16">
        <v>4436</v>
      </c>
      <c r="T2472" s="16" t="s">
        <v>2926</v>
      </c>
      <c r="U2472" s="17">
        <f>COUNTIFS(WTG_BD!L:L,'Basic Data'!T2472,WTG_BD!F:F,"&gt;="&amp;O2Summary!$B$6,WTG_BD!F:F,"&lt;="&amp;O2Summary!$B$4)</f>
        <v>0</v>
      </c>
      <c r="V2472" s="18">
        <f t="shared" si="45"/>
        <v>47</v>
      </c>
    </row>
    <row r="2473" spans="19:22">
      <c r="S2473" s="16">
        <v>4437</v>
      </c>
      <c r="T2473" s="16" t="s">
        <v>2927</v>
      </c>
      <c r="U2473" s="17">
        <f>COUNTIFS(WTG_BD!L:L,'Basic Data'!T2473,WTG_BD!F:F,"&gt;="&amp;O2Summary!$B$6,WTG_BD!F:F,"&lt;="&amp;O2Summary!$B$4)</f>
        <v>0</v>
      </c>
      <c r="V2473" s="18">
        <f t="shared" si="45"/>
        <v>47</v>
      </c>
    </row>
    <row r="2474" spans="19:22">
      <c r="S2474" s="16">
        <v>4438</v>
      </c>
      <c r="T2474" s="16" t="s">
        <v>2928</v>
      </c>
      <c r="U2474" s="17">
        <f>COUNTIFS(WTG_BD!L:L,'Basic Data'!T2474,WTG_BD!F:F,"&gt;="&amp;O2Summary!$B$6,WTG_BD!F:F,"&lt;="&amp;O2Summary!$B$4)</f>
        <v>0</v>
      </c>
      <c r="V2474" s="18">
        <f t="shared" si="45"/>
        <v>47</v>
      </c>
    </row>
    <row r="2475" spans="19:22">
      <c r="S2475" s="16">
        <v>4439</v>
      </c>
      <c r="T2475" s="16" t="s">
        <v>2929</v>
      </c>
      <c r="U2475" s="17">
        <f>COUNTIFS(WTG_BD!L:L,'Basic Data'!T2475,WTG_BD!F:F,"&gt;="&amp;O2Summary!$B$6,WTG_BD!F:F,"&lt;="&amp;O2Summary!$B$4)</f>
        <v>0</v>
      </c>
      <c r="V2475" s="18">
        <f t="shared" si="45"/>
        <v>47</v>
      </c>
    </row>
    <row r="2476" spans="19:22">
      <c r="S2476" s="16">
        <v>4440</v>
      </c>
      <c r="T2476" s="16" t="s">
        <v>2930</v>
      </c>
      <c r="U2476" s="17">
        <f>COUNTIFS(WTG_BD!L:L,'Basic Data'!T2476,WTG_BD!F:F,"&gt;="&amp;O2Summary!$B$6,WTG_BD!F:F,"&lt;="&amp;O2Summary!$B$4)</f>
        <v>0</v>
      </c>
      <c r="V2476" s="18">
        <f t="shared" si="45"/>
        <v>47</v>
      </c>
    </row>
    <row r="2477" spans="19:22">
      <c r="S2477" s="16">
        <v>4441</v>
      </c>
      <c r="T2477" s="16" t="s">
        <v>2931</v>
      </c>
      <c r="U2477" s="17">
        <f>COUNTIFS(WTG_BD!L:L,'Basic Data'!T2477,WTG_BD!F:F,"&gt;="&amp;O2Summary!$B$6,WTG_BD!F:F,"&lt;="&amp;O2Summary!$B$4)</f>
        <v>0</v>
      </c>
      <c r="V2477" s="18">
        <f t="shared" si="45"/>
        <v>47</v>
      </c>
    </row>
    <row r="2478" spans="19:22">
      <c r="S2478" s="16">
        <v>4442</v>
      </c>
      <c r="T2478" s="16" t="s">
        <v>2932</v>
      </c>
      <c r="U2478" s="17">
        <f>COUNTIFS(WTG_BD!L:L,'Basic Data'!T2478,WTG_BD!F:F,"&gt;="&amp;O2Summary!$B$6,WTG_BD!F:F,"&lt;="&amp;O2Summary!$B$4)</f>
        <v>0</v>
      </c>
      <c r="V2478" s="18">
        <f t="shared" si="45"/>
        <v>47</v>
      </c>
    </row>
    <row r="2479" spans="19:22">
      <c r="S2479" s="16">
        <v>4443</v>
      </c>
      <c r="T2479" s="16" t="s">
        <v>2933</v>
      </c>
      <c r="U2479" s="17">
        <f>COUNTIFS(WTG_BD!L:L,'Basic Data'!T2479,WTG_BD!F:F,"&gt;="&amp;O2Summary!$B$6,WTG_BD!F:F,"&lt;="&amp;O2Summary!$B$4)</f>
        <v>0</v>
      </c>
      <c r="V2479" s="18">
        <f t="shared" si="45"/>
        <v>47</v>
      </c>
    </row>
    <row r="2480" spans="19:22">
      <c r="S2480" s="16">
        <v>4444</v>
      </c>
      <c r="T2480" s="16" t="s">
        <v>2934</v>
      </c>
      <c r="U2480" s="17">
        <f>COUNTIFS(WTG_BD!L:L,'Basic Data'!T2480,WTG_BD!F:F,"&gt;="&amp;O2Summary!$B$6,WTG_BD!F:F,"&lt;="&amp;O2Summary!$B$4)</f>
        <v>0</v>
      </c>
      <c r="V2480" s="18">
        <f t="shared" si="45"/>
        <v>47</v>
      </c>
    </row>
    <row r="2481" spans="19:22">
      <c r="S2481" s="16">
        <v>4445</v>
      </c>
      <c r="T2481" s="16" t="s">
        <v>2935</v>
      </c>
      <c r="U2481" s="17">
        <f>COUNTIFS(WTG_BD!L:L,'Basic Data'!T2481,WTG_BD!F:F,"&gt;="&amp;O2Summary!$B$6,WTG_BD!F:F,"&lt;="&amp;O2Summary!$B$4)</f>
        <v>0</v>
      </c>
      <c r="V2481" s="18">
        <f t="shared" si="45"/>
        <v>47</v>
      </c>
    </row>
    <row r="2482" spans="19:22">
      <c r="S2482" s="16">
        <v>4446</v>
      </c>
      <c r="T2482" s="16" t="s">
        <v>2936</v>
      </c>
      <c r="U2482" s="17">
        <f>COUNTIFS(WTG_BD!L:L,'Basic Data'!T2482,WTG_BD!F:F,"&gt;="&amp;O2Summary!$B$6,WTG_BD!F:F,"&lt;="&amp;O2Summary!$B$4)</f>
        <v>0</v>
      </c>
      <c r="V2482" s="18">
        <f t="shared" si="45"/>
        <v>47</v>
      </c>
    </row>
    <row r="2483" spans="19:22">
      <c r="S2483" s="16">
        <v>4447</v>
      </c>
      <c r="T2483" s="16" t="s">
        <v>2937</v>
      </c>
      <c r="U2483" s="17">
        <f>COUNTIFS(WTG_BD!L:L,'Basic Data'!T2483,WTG_BD!F:F,"&gt;="&amp;O2Summary!$B$6,WTG_BD!F:F,"&lt;="&amp;O2Summary!$B$4)</f>
        <v>0</v>
      </c>
      <c r="V2483" s="18">
        <f t="shared" si="45"/>
        <v>47</v>
      </c>
    </row>
    <row r="2484" spans="19:22">
      <c r="S2484" s="16">
        <v>4448</v>
      </c>
      <c r="T2484" s="16" t="s">
        <v>2938</v>
      </c>
      <c r="U2484" s="17">
        <f>COUNTIFS(WTG_BD!L:L,'Basic Data'!T2484,WTG_BD!F:F,"&gt;="&amp;O2Summary!$B$6,WTG_BD!F:F,"&lt;="&amp;O2Summary!$B$4)</f>
        <v>0</v>
      </c>
      <c r="V2484" s="18">
        <f t="shared" si="45"/>
        <v>47</v>
      </c>
    </row>
    <row r="2485" spans="19:22">
      <c r="S2485" s="16">
        <v>4449</v>
      </c>
      <c r="T2485" s="16" t="s">
        <v>2939</v>
      </c>
      <c r="U2485" s="17">
        <f>COUNTIFS(WTG_BD!L:L,'Basic Data'!T2485,WTG_BD!F:F,"&gt;="&amp;O2Summary!$B$6,WTG_BD!F:F,"&lt;="&amp;O2Summary!$B$4)</f>
        <v>0</v>
      </c>
      <c r="V2485" s="18">
        <f t="shared" si="45"/>
        <v>47</v>
      </c>
    </row>
    <row r="2486" spans="19:22">
      <c r="S2486" s="16">
        <v>4450</v>
      </c>
      <c r="T2486" s="16" t="s">
        <v>2940</v>
      </c>
      <c r="U2486" s="17">
        <f>COUNTIFS(WTG_BD!L:L,'Basic Data'!T2486,WTG_BD!F:F,"&gt;="&amp;O2Summary!$B$6,WTG_BD!F:F,"&lt;="&amp;O2Summary!$B$4)</f>
        <v>0</v>
      </c>
      <c r="V2486" s="18">
        <f t="shared" si="45"/>
        <v>47</v>
      </c>
    </row>
    <row r="2487" spans="19:22">
      <c r="S2487" s="16">
        <v>4451</v>
      </c>
      <c r="T2487" s="16" t="s">
        <v>2941</v>
      </c>
      <c r="U2487" s="17">
        <f>COUNTIFS(WTG_BD!L:L,'Basic Data'!T2487,WTG_BD!F:F,"&gt;="&amp;O2Summary!$B$6,WTG_BD!F:F,"&lt;="&amp;O2Summary!$B$4)</f>
        <v>0</v>
      </c>
      <c r="V2487" s="18">
        <f t="shared" si="45"/>
        <v>47</v>
      </c>
    </row>
    <row r="2488" spans="19:22">
      <c r="S2488" s="16">
        <v>4452</v>
      </c>
      <c r="T2488" s="16" t="s">
        <v>2942</v>
      </c>
      <c r="U2488" s="17">
        <f>COUNTIFS(WTG_BD!L:L,'Basic Data'!T2488,WTG_BD!F:F,"&gt;="&amp;O2Summary!$B$6,WTG_BD!F:F,"&lt;="&amp;O2Summary!$B$4)</f>
        <v>0</v>
      </c>
      <c r="V2488" s="18">
        <f t="shared" si="45"/>
        <v>47</v>
      </c>
    </row>
    <row r="2489" spans="19:22">
      <c r="S2489" s="16">
        <v>4453</v>
      </c>
      <c r="T2489" s="16" t="s">
        <v>2943</v>
      </c>
      <c r="U2489" s="17">
        <f>COUNTIFS(WTG_BD!L:L,'Basic Data'!T2489,WTG_BD!F:F,"&gt;="&amp;O2Summary!$B$6,WTG_BD!F:F,"&lt;="&amp;O2Summary!$B$4)</f>
        <v>0</v>
      </c>
      <c r="V2489" s="18">
        <f t="shared" si="45"/>
        <v>47</v>
      </c>
    </row>
    <row r="2490" spans="19:22">
      <c r="S2490" s="16">
        <v>4454</v>
      </c>
      <c r="T2490" s="16" t="s">
        <v>2944</v>
      </c>
      <c r="U2490" s="17">
        <f>COUNTIFS(WTG_BD!L:L,'Basic Data'!T2490,WTG_BD!F:F,"&gt;="&amp;O2Summary!$B$6,WTG_BD!F:F,"&lt;="&amp;O2Summary!$B$4)</f>
        <v>0</v>
      </c>
      <c r="V2490" s="18">
        <f t="shared" si="45"/>
        <v>47</v>
      </c>
    </row>
    <row r="2491" spans="19:22">
      <c r="S2491" s="16">
        <v>4455</v>
      </c>
      <c r="T2491" s="16" t="s">
        <v>2945</v>
      </c>
      <c r="U2491" s="17">
        <f>COUNTIFS(WTG_BD!L:L,'Basic Data'!T2491,WTG_BD!F:F,"&gt;="&amp;O2Summary!$B$6,WTG_BD!F:F,"&lt;="&amp;O2Summary!$B$4)</f>
        <v>0</v>
      </c>
      <c r="V2491" s="18">
        <f t="shared" si="45"/>
        <v>47</v>
      </c>
    </row>
    <row r="2492" spans="19:22">
      <c r="S2492" s="16">
        <v>4456</v>
      </c>
      <c r="T2492" s="16" t="s">
        <v>2946</v>
      </c>
      <c r="U2492" s="17">
        <f>COUNTIFS(WTG_BD!L:L,'Basic Data'!T2492,WTG_BD!F:F,"&gt;="&amp;O2Summary!$B$6,WTG_BD!F:F,"&lt;="&amp;O2Summary!$B$4)</f>
        <v>0</v>
      </c>
      <c r="V2492" s="18">
        <f t="shared" si="45"/>
        <v>47</v>
      </c>
    </row>
    <row r="2493" spans="19:22">
      <c r="S2493" s="16">
        <v>4457</v>
      </c>
      <c r="T2493" s="16" t="s">
        <v>2947</v>
      </c>
      <c r="U2493" s="17">
        <f>COUNTIFS(WTG_BD!L:L,'Basic Data'!T2493,WTG_BD!F:F,"&gt;="&amp;O2Summary!$B$6,WTG_BD!F:F,"&lt;="&amp;O2Summary!$B$4)</f>
        <v>0</v>
      </c>
      <c r="V2493" s="18">
        <f t="shared" si="45"/>
        <v>47</v>
      </c>
    </row>
    <row r="2494" spans="19:22">
      <c r="S2494" s="16">
        <v>4458</v>
      </c>
      <c r="T2494" s="16" t="s">
        <v>2948</v>
      </c>
      <c r="U2494" s="17">
        <f>COUNTIFS(WTG_BD!L:L,'Basic Data'!T2494,WTG_BD!F:F,"&gt;="&amp;O2Summary!$B$6,WTG_BD!F:F,"&lt;="&amp;O2Summary!$B$4)</f>
        <v>0</v>
      </c>
      <c r="V2494" s="18">
        <f t="shared" si="45"/>
        <v>47</v>
      </c>
    </row>
    <row r="2495" spans="19:22">
      <c r="S2495" s="16">
        <v>4459</v>
      </c>
      <c r="T2495" s="16" t="s">
        <v>2949</v>
      </c>
      <c r="U2495" s="17">
        <f>COUNTIFS(WTG_BD!L:L,'Basic Data'!T2495,WTG_BD!F:F,"&gt;="&amp;O2Summary!$B$6,WTG_BD!F:F,"&lt;="&amp;O2Summary!$B$4)</f>
        <v>0</v>
      </c>
      <c r="V2495" s="18">
        <f t="shared" si="45"/>
        <v>47</v>
      </c>
    </row>
    <row r="2496" spans="19:22">
      <c r="S2496" s="16">
        <v>4460</v>
      </c>
      <c r="T2496" s="16" t="s">
        <v>2950</v>
      </c>
      <c r="U2496" s="17">
        <f>COUNTIFS(WTG_BD!L:L,'Basic Data'!T2496,WTG_BD!F:F,"&gt;="&amp;O2Summary!$B$6,WTG_BD!F:F,"&lt;="&amp;O2Summary!$B$4)</f>
        <v>0</v>
      </c>
      <c r="V2496" s="18">
        <f t="shared" si="45"/>
        <v>47</v>
      </c>
    </row>
    <row r="2497" spans="19:22">
      <c r="S2497" s="16">
        <v>4461</v>
      </c>
      <c r="T2497" s="16" t="s">
        <v>2951</v>
      </c>
      <c r="U2497" s="17">
        <f>COUNTIFS(WTG_BD!L:L,'Basic Data'!T2497,WTG_BD!F:F,"&gt;="&amp;O2Summary!$B$6,WTG_BD!F:F,"&lt;="&amp;O2Summary!$B$4)</f>
        <v>0</v>
      </c>
      <c r="V2497" s="18">
        <f t="shared" si="45"/>
        <v>47</v>
      </c>
    </row>
    <row r="2498" spans="19:22">
      <c r="S2498" s="16">
        <v>4462</v>
      </c>
      <c r="T2498" s="16" t="s">
        <v>2952</v>
      </c>
      <c r="U2498" s="17">
        <f>COUNTIFS(WTG_BD!L:L,'Basic Data'!T2498,WTG_BD!F:F,"&gt;="&amp;O2Summary!$B$6,WTG_BD!F:F,"&lt;="&amp;O2Summary!$B$4)</f>
        <v>0</v>
      </c>
      <c r="V2498" s="18">
        <f t="shared" si="45"/>
        <v>47</v>
      </c>
    </row>
    <row r="2499" spans="19:22">
      <c r="S2499" s="16">
        <v>4463</v>
      </c>
      <c r="T2499" s="16" t="s">
        <v>2953</v>
      </c>
      <c r="U2499" s="17">
        <f>COUNTIFS(WTG_BD!L:L,'Basic Data'!T2499,WTG_BD!F:F,"&gt;="&amp;O2Summary!$B$6,WTG_BD!F:F,"&lt;="&amp;O2Summary!$B$4)</f>
        <v>0</v>
      </c>
      <c r="V2499" s="18">
        <f t="shared" ref="V2499:V2562" si="46">RANK(U2499,$U$2:$U$3975)</f>
        <v>47</v>
      </c>
    </row>
    <row r="2500" spans="19:22">
      <c r="S2500" s="16">
        <v>4464</v>
      </c>
      <c r="T2500" s="16" t="s">
        <v>2954</v>
      </c>
      <c r="U2500" s="17">
        <f>COUNTIFS(WTG_BD!L:L,'Basic Data'!T2500,WTG_BD!F:F,"&gt;="&amp;O2Summary!$B$6,WTG_BD!F:F,"&lt;="&amp;O2Summary!$B$4)</f>
        <v>0</v>
      </c>
      <c r="V2500" s="18">
        <f t="shared" si="46"/>
        <v>47</v>
      </c>
    </row>
    <row r="2501" spans="19:22">
      <c r="S2501" s="16">
        <v>4465</v>
      </c>
      <c r="T2501" s="16" t="s">
        <v>2955</v>
      </c>
      <c r="U2501" s="17">
        <f>COUNTIFS(WTG_BD!L:L,'Basic Data'!T2501,WTG_BD!F:F,"&gt;="&amp;O2Summary!$B$6,WTG_BD!F:F,"&lt;="&amp;O2Summary!$B$4)</f>
        <v>0</v>
      </c>
      <c r="V2501" s="18">
        <f t="shared" si="46"/>
        <v>47</v>
      </c>
    </row>
    <row r="2502" spans="19:22">
      <c r="S2502" s="16">
        <v>4466</v>
      </c>
      <c r="T2502" s="16" t="s">
        <v>2956</v>
      </c>
      <c r="U2502" s="17">
        <f>COUNTIFS(WTG_BD!L:L,'Basic Data'!T2502,WTG_BD!F:F,"&gt;="&amp;O2Summary!$B$6,WTG_BD!F:F,"&lt;="&amp;O2Summary!$B$4)</f>
        <v>0</v>
      </c>
      <c r="V2502" s="18">
        <f t="shared" si="46"/>
        <v>47</v>
      </c>
    </row>
    <row r="2503" spans="19:22">
      <c r="S2503" s="16">
        <v>4467</v>
      </c>
      <c r="T2503" s="16" t="s">
        <v>2957</v>
      </c>
      <c r="U2503" s="17">
        <f>COUNTIFS(WTG_BD!L:L,'Basic Data'!T2503,WTG_BD!F:F,"&gt;="&amp;O2Summary!$B$6,WTG_BD!F:F,"&lt;="&amp;O2Summary!$B$4)</f>
        <v>0</v>
      </c>
      <c r="V2503" s="18">
        <f t="shared" si="46"/>
        <v>47</v>
      </c>
    </row>
    <row r="2504" spans="19:22">
      <c r="S2504" s="16">
        <v>4468</v>
      </c>
      <c r="T2504" s="16" t="s">
        <v>2958</v>
      </c>
      <c r="U2504" s="17">
        <f>COUNTIFS(WTG_BD!L:L,'Basic Data'!T2504,WTG_BD!F:F,"&gt;="&amp;O2Summary!$B$6,WTG_BD!F:F,"&lt;="&amp;O2Summary!$B$4)</f>
        <v>0</v>
      </c>
      <c r="V2504" s="18">
        <f t="shared" si="46"/>
        <v>47</v>
      </c>
    </row>
    <row r="2505" spans="19:22">
      <c r="S2505" s="16">
        <v>4469</v>
      </c>
      <c r="T2505" s="16" t="s">
        <v>2959</v>
      </c>
      <c r="U2505" s="17">
        <f>COUNTIFS(WTG_BD!L:L,'Basic Data'!T2505,WTG_BD!F:F,"&gt;="&amp;O2Summary!$B$6,WTG_BD!F:F,"&lt;="&amp;O2Summary!$B$4)</f>
        <v>0</v>
      </c>
      <c r="V2505" s="18">
        <f t="shared" si="46"/>
        <v>47</v>
      </c>
    </row>
    <row r="2506" spans="19:22">
      <c r="S2506" s="16">
        <v>4470</v>
      </c>
      <c r="T2506" s="16" t="s">
        <v>2960</v>
      </c>
      <c r="U2506" s="17">
        <f>COUNTIFS(WTG_BD!L:L,'Basic Data'!T2506,WTG_BD!F:F,"&gt;="&amp;O2Summary!$B$6,WTG_BD!F:F,"&lt;="&amp;O2Summary!$B$4)</f>
        <v>0</v>
      </c>
      <c r="V2506" s="18">
        <f t="shared" si="46"/>
        <v>47</v>
      </c>
    </row>
    <row r="2507" spans="19:22">
      <c r="S2507" s="16">
        <v>4471</v>
      </c>
      <c r="T2507" s="16" t="s">
        <v>2961</v>
      </c>
      <c r="U2507" s="17">
        <f>COUNTIFS(WTG_BD!L:L,'Basic Data'!T2507,WTG_BD!F:F,"&gt;="&amp;O2Summary!$B$6,WTG_BD!F:F,"&lt;="&amp;O2Summary!$B$4)</f>
        <v>0</v>
      </c>
      <c r="V2507" s="18">
        <f t="shared" si="46"/>
        <v>47</v>
      </c>
    </row>
    <row r="2508" spans="19:22">
      <c r="S2508" s="16">
        <v>4472</v>
      </c>
      <c r="T2508" s="16" t="s">
        <v>2962</v>
      </c>
      <c r="U2508" s="17">
        <f>COUNTIFS(WTG_BD!L:L,'Basic Data'!T2508,WTG_BD!F:F,"&gt;="&amp;O2Summary!$B$6,WTG_BD!F:F,"&lt;="&amp;O2Summary!$B$4)</f>
        <v>0</v>
      </c>
      <c r="V2508" s="18">
        <f t="shared" si="46"/>
        <v>47</v>
      </c>
    </row>
    <row r="2509" spans="19:22">
      <c r="S2509" s="16">
        <v>4473</v>
      </c>
      <c r="T2509" s="16" t="s">
        <v>2963</v>
      </c>
      <c r="U2509" s="17">
        <f>COUNTIFS(WTG_BD!L:L,'Basic Data'!T2509,WTG_BD!F:F,"&gt;="&amp;O2Summary!$B$6,WTG_BD!F:F,"&lt;="&amp;O2Summary!$B$4)</f>
        <v>0</v>
      </c>
      <c r="V2509" s="18">
        <f t="shared" si="46"/>
        <v>47</v>
      </c>
    </row>
    <row r="2510" spans="19:22">
      <c r="S2510" s="16">
        <v>4474</v>
      </c>
      <c r="T2510" s="16" t="s">
        <v>2964</v>
      </c>
      <c r="U2510" s="17">
        <f>COUNTIFS(WTG_BD!L:L,'Basic Data'!T2510,WTG_BD!F:F,"&gt;="&amp;O2Summary!$B$6,WTG_BD!F:F,"&lt;="&amp;O2Summary!$B$4)</f>
        <v>0</v>
      </c>
      <c r="V2510" s="18">
        <f t="shared" si="46"/>
        <v>47</v>
      </c>
    </row>
    <row r="2511" spans="19:22">
      <c r="S2511" s="16">
        <v>4475</v>
      </c>
      <c r="T2511" s="16" t="s">
        <v>2965</v>
      </c>
      <c r="U2511" s="17">
        <f>COUNTIFS(WTG_BD!L:L,'Basic Data'!T2511,WTG_BD!F:F,"&gt;="&amp;O2Summary!$B$6,WTG_BD!F:F,"&lt;="&amp;O2Summary!$B$4)</f>
        <v>0</v>
      </c>
      <c r="V2511" s="18">
        <f t="shared" si="46"/>
        <v>47</v>
      </c>
    </row>
    <row r="2512" spans="19:22">
      <c r="S2512" s="16">
        <v>4476</v>
      </c>
      <c r="T2512" s="16" t="s">
        <v>2966</v>
      </c>
      <c r="U2512" s="17">
        <f>COUNTIFS(WTG_BD!L:L,'Basic Data'!T2512,WTG_BD!F:F,"&gt;="&amp;O2Summary!$B$6,WTG_BD!F:F,"&lt;="&amp;O2Summary!$B$4)</f>
        <v>0</v>
      </c>
      <c r="V2512" s="18">
        <f t="shared" si="46"/>
        <v>47</v>
      </c>
    </row>
    <row r="2513" spans="19:22">
      <c r="S2513" s="16">
        <v>4477</v>
      </c>
      <c r="T2513" s="16" t="s">
        <v>2967</v>
      </c>
      <c r="U2513" s="17">
        <f>COUNTIFS(WTG_BD!L:L,'Basic Data'!T2513,WTG_BD!F:F,"&gt;="&amp;O2Summary!$B$6,WTG_BD!F:F,"&lt;="&amp;O2Summary!$B$4)</f>
        <v>0</v>
      </c>
      <c r="V2513" s="18">
        <f t="shared" si="46"/>
        <v>47</v>
      </c>
    </row>
    <row r="2514" spans="19:22">
      <c r="S2514" s="16">
        <v>4478</v>
      </c>
      <c r="T2514" s="16" t="s">
        <v>2968</v>
      </c>
      <c r="U2514" s="17">
        <f>COUNTIFS(WTG_BD!L:L,'Basic Data'!T2514,WTG_BD!F:F,"&gt;="&amp;O2Summary!$B$6,WTG_BD!F:F,"&lt;="&amp;O2Summary!$B$4)</f>
        <v>0</v>
      </c>
      <c r="V2514" s="18">
        <f t="shared" si="46"/>
        <v>47</v>
      </c>
    </row>
    <row r="2515" spans="19:22">
      <c r="S2515" s="16">
        <v>4479</v>
      </c>
      <c r="T2515" s="16" t="s">
        <v>2969</v>
      </c>
      <c r="U2515" s="17">
        <f>COUNTIFS(WTG_BD!L:L,'Basic Data'!T2515,WTG_BD!F:F,"&gt;="&amp;O2Summary!$B$6,WTG_BD!F:F,"&lt;="&amp;O2Summary!$B$4)</f>
        <v>0</v>
      </c>
      <c r="V2515" s="18">
        <f t="shared" si="46"/>
        <v>47</v>
      </c>
    </row>
    <row r="2516" spans="19:22">
      <c r="S2516" s="16">
        <v>4480</v>
      </c>
      <c r="T2516" s="16" t="s">
        <v>2970</v>
      </c>
      <c r="U2516" s="17">
        <f>COUNTIFS(WTG_BD!L:L,'Basic Data'!T2516,WTG_BD!F:F,"&gt;="&amp;O2Summary!$B$6,WTG_BD!F:F,"&lt;="&amp;O2Summary!$B$4)</f>
        <v>0</v>
      </c>
      <c r="V2516" s="18">
        <f t="shared" si="46"/>
        <v>47</v>
      </c>
    </row>
    <row r="2517" spans="19:22">
      <c r="S2517" s="16">
        <v>4481</v>
      </c>
      <c r="T2517" s="16" t="s">
        <v>2971</v>
      </c>
      <c r="U2517" s="17">
        <f>COUNTIFS(WTG_BD!L:L,'Basic Data'!T2517,WTG_BD!F:F,"&gt;="&amp;O2Summary!$B$6,WTG_BD!F:F,"&lt;="&amp;O2Summary!$B$4)</f>
        <v>0</v>
      </c>
      <c r="V2517" s="18">
        <f t="shared" si="46"/>
        <v>47</v>
      </c>
    </row>
    <row r="2518" spans="19:22">
      <c r="S2518" s="16">
        <v>4482</v>
      </c>
      <c r="T2518" s="16" t="s">
        <v>2972</v>
      </c>
      <c r="U2518" s="17">
        <f>COUNTIFS(WTG_BD!L:L,'Basic Data'!T2518,WTG_BD!F:F,"&gt;="&amp;O2Summary!$B$6,WTG_BD!F:F,"&lt;="&amp;O2Summary!$B$4)</f>
        <v>0</v>
      </c>
      <c r="V2518" s="18">
        <f t="shared" si="46"/>
        <v>47</v>
      </c>
    </row>
    <row r="2519" spans="19:22">
      <c r="S2519" s="16">
        <v>4483</v>
      </c>
      <c r="T2519" s="16" t="s">
        <v>2973</v>
      </c>
      <c r="U2519" s="17">
        <f>COUNTIFS(WTG_BD!L:L,'Basic Data'!T2519,WTG_BD!F:F,"&gt;="&amp;O2Summary!$B$6,WTG_BD!F:F,"&lt;="&amp;O2Summary!$B$4)</f>
        <v>0</v>
      </c>
      <c r="V2519" s="18">
        <f t="shared" si="46"/>
        <v>47</v>
      </c>
    </row>
    <row r="2520" spans="19:22">
      <c r="S2520" s="16">
        <v>4484</v>
      </c>
      <c r="T2520" s="16" t="s">
        <v>2974</v>
      </c>
      <c r="U2520" s="17">
        <f>COUNTIFS(WTG_BD!L:L,'Basic Data'!T2520,WTG_BD!F:F,"&gt;="&amp;O2Summary!$B$6,WTG_BD!F:F,"&lt;="&amp;O2Summary!$B$4)</f>
        <v>0</v>
      </c>
      <c r="V2520" s="18">
        <f t="shared" si="46"/>
        <v>47</v>
      </c>
    </row>
    <row r="2521" spans="19:22">
      <c r="S2521" s="16">
        <v>4485</v>
      </c>
      <c r="T2521" s="16" t="s">
        <v>2975</v>
      </c>
      <c r="U2521" s="17">
        <f>COUNTIFS(WTG_BD!L:L,'Basic Data'!T2521,WTG_BD!F:F,"&gt;="&amp;O2Summary!$B$6,WTG_BD!F:F,"&lt;="&amp;O2Summary!$B$4)</f>
        <v>0</v>
      </c>
      <c r="V2521" s="18">
        <f t="shared" si="46"/>
        <v>47</v>
      </c>
    </row>
    <row r="2522" spans="19:22">
      <c r="S2522" s="16">
        <v>4486</v>
      </c>
      <c r="T2522" s="16" t="s">
        <v>2976</v>
      </c>
      <c r="U2522" s="17">
        <f>COUNTIFS(WTG_BD!L:L,'Basic Data'!T2522,WTG_BD!F:F,"&gt;="&amp;O2Summary!$B$6,WTG_BD!F:F,"&lt;="&amp;O2Summary!$B$4)</f>
        <v>0</v>
      </c>
      <c r="V2522" s="18">
        <f t="shared" si="46"/>
        <v>47</v>
      </c>
    </row>
    <row r="2523" spans="19:22">
      <c r="S2523" s="26">
        <v>4487</v>
      </c>
      <c r="T2523" s="26" t="s">
        <v>2977</v>
      </c>
      <c r="U2523" s="17">
        <f>COUNTIFS(WTG_BD!L:L,'Basic Data'!T2523,WTG_BD!F:F,"&gt;="&amp;O2Summary!$B$6,WTG_BD!F:F,"&lt;="&amp;O2Summary!$B$4)</f>
        <v>0</v>
      </c>
      <c r="V2523" s="18">
        <f t="shared" si="46"/>
        <v>47</v>
      </c>
    </row>
    <row r="2524" spans="19:22">
      <c r="S2524" s="26">
        <v>4488</v>
      </c>
      <c r="T2524" s="26" t="s">
        <v>2978</v>
      </c>
      <c r="U2524" s="17">
        <f>COUNTIFS(WTG_BD!L:L,'Basic Data'!T2524,WTG_BD!F:F,"&gt;="&amp;O2Summary!$B$6,WTG_BD!F:F,"&lt;="&amp;O2Summary!$B$4)</f>
        <v>0</v>
      </c>
      <c r="V2524" s="18">
        <f t="shared" si="46"/>
        <v>47</v>
      </c>
    </row>
    <row r="2525" spans="19:22">
      <c r="S2525" s="26">
        <v>4489</v>
      </c>
      <c r="T2525" s="26" t="s">
        <v>2979</v>
      </c>
      <c r="U2525" s="17">
        <f>COUNTIFS(WTG_BD!L:L,'Basic Data'!T2525,WTG_BD!F:F,"&gt;="&amp;O2Summary!$B$6,WTG_BD!F:F,"&lt;="&amp;O2Summary!$B$4)</f>
        <v>0</v>
      </c>
      <c r="V2525" s="18">
        <f t="shared" si="46"/>
        <v>47</v>
      </c>
    </row>
    <row r="2526" spans="19:22">
      <c r="S2526" s="26">
        <v>4490</v>
      </c>
      <c r="T2526" s="26" t="s">
        <v>2980</v>
      </c>
      <c r="U2526" s="17">
        <f>COUNTIFS(WTG_BD!L:L,'Basic Data'!T2526,WTG_BD!F:F,"&gt;="&amp;O2Summary!$B$6,WTG_BD!F:F,"&lt;="&amp;O2Summary!$B$4)</f>
        <v>0</v>
      </c>
      <c r="V2526" s="18">
        <f t="shared" si="46"/>
        <v>47</v>
      </c>
    </row>
    <row r="2527" spans="19:22">
      <c r="S2527" s="26">
        <v>4491</v>
      </c>
      <c r="T2527" s="26" t="s">
        <v>2981</v>
      </c>
      <c r="U2527" s="17">
        <f>COUNTIFS(WTG_BD!L:L,'Basic Data'!T2527,WTG_BD!F:F,"&gt;="&amp;O2Summary!$B$6,WTG_BD!F:F,"&lt;="&amp;O2Summary!$B$4)</f>
        <v>0</v>
      </c>
      <c r="V2527" s="18">
        <f t="shared" si="46"/>
        <v>47</v>
      </c>
    </row>
    <row r="2528" spans="19:22">
      <c r="S2528" s="26">
        <v>4492</v>
      </c>
      <c r="T2528" s="26" t="s">
        <v>2982</v>
      </c>
      <c r="U2528" s="17">
        <f>COUNTIFS(WTG_BD!L:L,'Basic Data'!T2528,WTG_BD!F:F,"&gt;="&amp;O2Summary!$B$6,WTG_BD!F:F,"&lt;="&amp;O2Summary!$B$4)</f>
        <v>0</v>
      </c>
      <c r="V2528" s="18">
        <f t="shared" si="46"/>
        <v>47</v>
      </c>
    </row>
    <row r="2529" spans="19:22">
      <c r="S2529" s="16">
        <v>4493</v>
      </c>
      <c r="T2529" s="16" t="s">
        <v>2983</v>
      </c>
      <c r="U2529" s="17">
        <f>COUNTIFS(WTG_BD!L:L,'Basic Data'!T2529,WTG_BD!F:F,"&gt;="&amp;O2Summary!$B$6,WTG_BD!F:F,"&lt;="&amp;O2Summary!$B$4)</f>
        <v>0</v>
      </c>
      <c r="V2529" s="18">
        <f t="shared" si="46"/>
        <v>47</v>
      </c>
    </row>
    <row r="2530" spans="19:22">
      <c r="S2530" s="16">
        <v>4494</v>
      </c>
      <c r="T2530" s="16" t="s">
        <v>2984</v>
      </c>
      <c r="U2530" s="17">
        <f>COUNTIFS(WTG_BD!L:L,'Basic Data'!T2530,WTG_BD!F:F,"&gt;="&amp;O2Summary!$B$6,WTG_BD!F:F,"&lt;="&amp;O2Summary!$B$4)</f>
        <v>0</v>
      </c>
      <c r="V2530" s="18">
        <f t="shared" si="46"/>
        <v>47</v>
      </c>
    </row>
    <row r="2531" spans="19:22">
      <c r="S2531" s="16">
        <v>4495</v>
      </c>
      <c r="T2531" s="16" t="s">
        <v>2985</v>
      </c>
      <c r="U2531" s="17">
        <f>COUNTIFS(WTG_BD!L:L,'Basic Data'!T2531,WTG_BD!F:F,"&gt;="&amp;O2Summary!$B$6,WTG_BD!F:F,"&lt;="&amp;O2Summary!$B$4)</f>
        <v>0</v>
      </c>
      <c r="V2531" s="18">
        <f t="shared" si="46"/>
        <v>47</v>
      </c>
    </row>
    <row r="2532" spans="19:22">
      <c r="S2532" s="16">
        <v>4496</v>
      </c>
      <c r="T2532" s="16" t="s">
        <v>2986</v>
      </c>
      <c r="U2532" s="17">
        <f>COUNTIFS(WTG_BD!L:L,'Basic Data'!T2532,WTG_BD!F:F,"&gt;="&amp;O2Summary!$B$6,WTG_BD!F:F,"&lt;="&amp;O2Summary!$B$4)</f>
        <v>0</v>
      </c>
      <c r="V2532" s="18">
        <f t="shared" si="46"/>
        <v>47</v>
      </c>
    </row>
    <row r="2533" spans="19:22">
      <c r="S2533" s="16">
        <v>4497</v>
      </c>
      <c r="T2533" s="16" t="s">
        <v>2987</v>
      </c>
      <c r="U2533" s="17">
        <f>COUNTIFS(WTG_BD!L:L,'Basic Data'!T2533,WTG_BD!F:F,"&gt;="&amp;O2Summary!$B$6,WTG_BD!F:F,"&lt;="&amp;O2Summary!$B$4)</f>
        <v>0</v>
      </c>
      <c r="V2533" s="18">
        <f t="shared" si="46"/>
        <v>47</v>
      </c>
    </row>
    <row r="2534" spans="19:22">
      <c r="S2534" s="16">
        <v>4498</v>
      </c>
      <c r="T2534" s="16" t="s">
        <v>2988</v>
      </c>
      <c r="U2534" s="17">
        <f>COUNTIFS(WTG_BD!L:L,'Basic Data'!T2534,WTG_BD!F:F,"&gt;="&amp;O2Summary!$B$6,WTG_BD!F:F,"&lt;="&amp;O2Summary!$B$4)</f>
        <v>0</v>
      </c>
      <c r="V2534" s="18">
        <f t="shared" si="46"/>
        <v>47</v>
      </c>
    </row>
    <row r="2535" spans="19:22">
      <c r="S2535" s="16">
        <v>4499</v>
      </c>
      <c r="T2535" s="16" t="s">
        <v>2989</v>
      </c>
      <c r="U2535" s="17">
        <f>COUNTIFS(WTG_BD!L:L,'Basic Data'!T2535,WTG_BD!F:F,"&gt;="&amp;O2Summary!$B$6,WTG_BD!F:F,"&lt;="&amp;O2Summary!$B$4)</f>
        <v>0</v>
      </c>
      <c r="V2535" s="18">
        <f t="shared" si="46"/>
        <v>47</v>
      </c>
    </row>
    <row r="2536" spans="19:22">
      <c r="S2536" s="16">
        <v>4500</v>
      </c>
      <c r="T2536" s="16" t="s">
        <v>2990</v>
      </c>
      <c r="U2536" s="17">
        <f>COUNTIFS(WTG_BD!L:L,'Basic Data'!T2536,WTG_BD!F:F,"&gt;="&amp;O2Summary!$B$6,WTG_BD!F:F,"&lt;="&amp;O2Summary!$B$4)</f>
        <v>1</v>
      </c>
      <c r="V2536" s="18">
        <f t="shared" si="46"/>
        <v>29</v>
      </c>
    </row>
    <row r="2537" spans="19:22">
      <c r="S2537" s="16">
        <v>4502</v>
      </c>
      <c r="T2537" s="16" t="s">
        <v>2991</v>
      </c>
      <c r="U2537" s="17">
        <f>COUNTIFS(WTG_BD!L:L,'Basic Data'!T2537,WTG_BD!F:F,"&gt;="&amp;O2Summary!$B$6,WTG_BD!F:F,"&lt;="&amp;O2Summary!$B$4)</f>
        <v>0</v>
      </c>
      <c r="V2537" s="18">
        <f t="shared" si="46"/>
        <v>47</v>
      </c>
    </row>
    <row r="2538" spans="19:22">
      <c r="S2538" s="16">
        <v>4503</v>
      </c>
      <c r="T2538" s="16" t="s">
        <v>2992</v>
      </c>
      <c r="U2538" s="17">
        <f>COUNTIFS(WTG_BD!L:L,'Basic Data'!T2538,WTG_BD!F:F,"&gt;="&amp;O2Summary!$B$6,WTG_BD!F:F,"&lt;="&amp;O2Summary!$B$4)</f>
        <v>0</v>
      </c>
      <c r="V2538" s="18">
        <f t="shared" si="46"/>
        <v>47</v>
      </c>
    </row>
    <row r="2539" spans="19:22">
      <c r="S2539" s="16">
        <v>4504</v>
      </c>
      <c r="T2539" s="16" t="s">
        <v>2993</v>
      </c>
      <c r="U2539" s="17">
        <f>COUNTIFS(WTG_BD!L:L,'Basic Data'!T2539,WTG_BD!F:F,"&gt;="&amp;O2Summary!$B$6,WTG_BD!F:F,"&lt;="&amp;O2Summary!$B$4)</f>
        <v>0</v>
      </c>
      <c r="V2539" s="18">
        <f t="shared" si="46"/>
        <v>47</v>
      </c>
    </row>
    <row r="2540" spans="19:22">
      <c r="S2540" s="16">
        <v>4505</v>
      </c>
      <c r="T2540" s="16" t="s">
        <v>2994</v>
      </c>
      <c r="U2540" s="17">
        <f>COUNTIFS(WTG_BD!L:L,'Basic Data'!T2540,WTG_BD!F:F,"&gt;="&amp;O2Summary!$B$6,WTG_BD!F:F,"&lt;="&amp;O2Summary!$B$4)</f>
        <v>0</v>
      </c>
      <c r="V2540" s="18">
        <f t="shared" si="46"/>
        <v>47</v>
      </c>
    </row>
    <row r="2541" spans="19:22">
      <c r="S2541" s="16">
        <v>4506</v>
      </c>
      <c r="T2541" s="16" t="s">
        <v>2995</v>
      </c>
      <c r="U2541" s="17">
        <f>COUNTIFS(WTG_BD!L:L,'Basic Data'!T2541,WTG_BD!F:F,"&gt;="&amp;O2Summary!$B$6,WTG_BD!F:F,"&lt;="&amp;O2Summary!$B$4)</f>
        <v>0</v>
      </c>
      <c r="V2541" s="18">
        <f t="shared" si="46"/>
        <v>47</v>
      </c>
    </row>
    <row r="2542" spans="19:22">
      <c r="S2542" s="16">
        <v>4507</v>
      </c>
      <c r="T2542" s="16" t="s">
        <v>2996</v>
      </c>
      <c r="U2542" s="17">
        <f>COUNTIFS(WTG_BD!L:L,'Basic Data'!T2542,WTG_BD!F:F,"&gt;="&amp;O2Summary!$B$6,WTG_BD!F:F,"&lt;="&amp;O2Summary!$B$4)</f>
        <v>0</v>
      </c>
      <c r="V2542" s="18">
        <f t="shared" si="46"/>
        <v>47</v>
      </c>
    </row>
    <row r="2543" spans="19:22">
      <c r="S2543" s="16">
        <v>4508</v>
      </c>
      <c r="T2543" s="16" t="s">
        <v>2997</v>
      </c>
      <c r="U2543" s="17">
        <f>COUNTIFS(WTG_BD!L:L,'Basic Data'!T2543,WTG_BD!F:F,"&gt;="&amp;O2Summary!$B$6,WTG_BD!F:F,"&lt;="&amp;O2Summary!$B$4)</f>
        <v>0</v>
      </c>
      <c r="V2543" s="18">
        <f t="shared" si="46"/>
        <v>47</v>
      </c>
    </row>
    <row r="2544" spans="19:22">
      <c r="S2544" s="16">
        <v>4509</v>
      </c>
      <c r="T2544" s="16" t="s">
        <v>2998</v>
      </c>
      <c r="U2544" s="17">
        <f>COUNTIFS(WTG_BD!L:L,'Basic Data'!T2544,WTG_BD!F:F,"&gt;="&amp;O2Summary!$B$6,WTG_BD!F:F,"&lt;="&amp;O2Summary!$B$4)</f>
        <v>0</v>
      </c>
      <c r="V2544" s="18">
        <f t="shared" si="46"/>
        <v>47</v>
      </c>
    </row>
    <row r="2545" spans="19:22">
      <c r="S2545" s="16">
        <v>4510</v>
      </c>
      <c r="T2545" s="16" t="s">
        <v>2999</v>
      </c>
      <c r="U2545" s="17">
        <f>COUNTIFS(WTG_BD!L:L,'Basic Data'!T2545,WTG_BD!F:F,"&gt;="&amp;O2Summary!$B$6,WTG_BD!F:F,"&lt;="&amp;O2Summary!$B$4)</f>
        <v>0</v>
      </c>
      <c r="V2545" s="18">
        <f t="shared" si="46"/>
        <v>47</v>
      </c>
    </row>
    <row r="2546" spans="19:22">
      <c r="S2546" s="16">
        <v>4511</v>
      </c>
      <c r="T2546" s="16" t="s">
        <v>3000</v>
      </c>
      <c r="U2546" s="17">
        <f>COUNTIFS(WTG_BD!L:L,'Basic Data'!T2546,WTG_BD!F:F,"&gt;="&amp;O2Summary!$B$6,WTG_BD!F:F,"&lt;="&amp;O2Summary!$B$4)</f>
        <v>0</v>
      </c>
      <c r="V2546" s="18">
        <f t="shared" si="46"/>
        <v>47</v>
      </c>
    </row>
    <row r="2547" spans="19:22">
      <c r="S2547" s="16">
        <v>4512</v>
      </c>
      <c r="T2547" s="16" t="s">
        <v>3001</v>
      </c>
      <c r="U2547" s="17">
        <f>COUNTIFS(WTG_BD!L:L,'Basic Data'!T2547,WTG_BD!F:F,"&gt;="&amp;O2Summary!$B$6,WTG_BD!F:F,"&lt;="&amp;O2Summary!$B$4)</f>
        <v>0</v>
      </c>
      <c r="V2547" s="18">
        <f t="shared" si="46"/>
        <v>47</v>
      </c>
    </row>
    <row r="2548" spans="19:22">
      <c r="S2548" s="16">
        <v>4513</v>
      </c>
      <c r="T2548" s="16" t="s">
        <v>3002</v>
      </c>
      <c r="U2548" s="17">
        <f>COUNTIFS(WTG_BD!L:L,'Basic Data'!T2548,WTG_BD!F:F,"&gt;="&amp;O2Summary!$B$6,WTG_BD!F:F,"&lt;="&amp;O2Summary!$B$4)</f>
        <v>0</v>
      </c>
      <c r="V2548" s="18">
        <f t="shared" si="46"/>
        <v>47</v>
      </c>
    </row>
    <row r="2549" spans="19:22">
      <c r="S2549" s="16">
        <v>4514</v>
      </c>
      <c r="T2549" s="16" t="s">
        <v>3003</v>
      </c>
      <c r="U2549" s="17">
        <f>COUNTIFS(WTG_BD!L:L,'Basic Data'!T2549,WTG_BD!F:F,"&gt;="&amp;O2Summary!$B$6,WTG_BD!F:F,"&lt;="&amp;O2Summary!$B$4)</f>
        <v>0</v>
      </c>
      <c r="V2549" s="18">
        <f t="shared" si="46"/>
        <v>47</v>
      </c>
    </row>
    <row r="2550" spans="19:22">
      <c r="S2550" s="16">
        <v>4515</v>
      </c>
      <c r="T2550" s="16" t="s">
        <v>3004</v>
      </c>
      <c r="U2550" s="17">
        <f>COUNTIFS(WTG_BD!L:L,'Basic Data'!T2550,WTG_BD!F:F,"&gt;="&amp;O2Summary!$B$6,WTG_BD!F:F,"&lt;="&amp;O2Summary!$B$4)</f>
        <v>0</v>
      </c>
      <c r="V2550" s="18">
        <f t="shared" si="46"/>
        <v>47</v>
      </c>
    </row>
    <row r="2551" spans="19:22">
      <c r="S2551" s="16">
        <v>4516</v>
      </c>
      <c r="T2551" s="16" t="s">
        <v>369</v>
      </c>
      <c r="U2551" s="17">
        <f>COUNTIFS(WTG_BD!L:L,'Basic Data'!T2551,WTG_BD!F:F,"&gt;="&amp;O2Summary!$B$6,WTG_BD!F:F,"&lt;="&amp;O2Summary!$B$4)</f>
        <v>0</v>
      </c>
      <c r="V2551" s="18">
        <f t="shared" si="46"/>
        <v>47</v>
      </c>
    </row>
    <row r="2552" spans="19:22">
      <c r="S2552" s="16">
        <v>4517</v>
      </c>
      <c r="T2552" s="16" t="s">
        <v>3005</v>
      </c>
      <c r="U2552" s="17">
        <f>COUNTIFS(WTG_BD!L:L,'Basic Data'!T2552,WTG_BD!F:F,"&gt;="&amp;O2Summary!$B$6,WTG_BD!F:F,"&lt;="&amp;O2Summary!$B$4)</f>
        <v>0</v>
      </c>
      <c r="V2552" s="18">
        <f t="shared" si="46"/>
        <v>47</v>
      </c>
    </row>
    <row r="2553" spans="19:22">
      <c r="S2553" s="16">
        <v>4518</v>
      </c>
      <c r="T2553" s="16" t="s">
        <v>3006</v>
      </c>
      <c r="U2553" s="17">
        <f>COUNTIFS(WTG_BD!L:L,'Basic Data'!T2553,WTG_BD!F:F,"&gt;="&amp;O2Summary!$B$6,WTG_BD!F:F,"&lt;="&amp;O2Summary!$B$4)</f>
        <v>0</v>
      </c>
      <c r="V2553" s="18">
        <f t="shared" si="46"/>
        <v>47</v>
      </c>
    </row>
    <row r="2554" spans="19:22">
      <c r="S2554" s="16">
        <v>4519</v>
      </c>
      <c r="T2554" s="16" t="s">
        <v>146</v>
      </c>
      <c r="U2554" s="17">
        <f>COUNTIFS(WTG_BD!L:L,'Basic Data'!T2554,WTG_BD!F:F,"&gt;="&amp;O2Summary!$B$6,WTG_BD!F:F,"&lt;="&amp;O2Summary!$B$4)</f>
        <v>0</v>
      </c>
      <c r="V2554" s="18">
        <f t="shared" si="46"/>
        <v>47</v>
      </c>
    </row>
    <row r="2555" spans="19:22">
      <c r="S2555" s="16">
        <v>4520</v>
      </c>
      <c r="T2555" s="16" t="s">
        <v>3007</v>
      </c>
      <c r="U2555" s="17">
        <f>COUNTIFS(WTG_BD!L:L,'Basic Data'!T2555,WTG_BD!F:F,"&gt;="&amp;O2Summary!$B$6,WTG_BD!F:F,"&lt;="&amp;O2Summary!$B$4)</f>
        <v>0</v>
      </c>
      <c r="V2555" s="18">
        <f t="shared" si="46"/>
        <v>47</v>
      </c>
    </row>
    <row r="2556" spans="19:22">
      <c r="S2556" s="16">
        <v>4521</v>
      </c>
      <c r="T2556" s="16" t="s">
        <v>3008</v>
      </c>
      <c r="U2556" s="17">
        <f>COUNTIFS(WTG_BD!L:L,'Basic Data'!T2556,WTG_BD!F:F,"&gt;="&amp;O2Summary!$B$6,WTG_BD!F:F,"&lt;="&amp;O2Summary!$B$4)</f>
        <v>0</v>
      </c>
      <c r="V2556" s="18">
        <f t="shared" si="46"/>
        <v>47</v>
      </c>
    </row>
    <row r="2557" spans="19:22">
      <c r="S2557" s="16">
        <v>4522</v>
      </c>
      <c r="T2557" s="16" t="s">
        <v>3009</v>
      </c>
      <c r="U2557" s="17">
        <f>COUNTIFS(WTG_BD!L:L,'Basic Data'!T2557,WTG_BD!F:F,"&gt;="&amp;O2Summary!$B$6,WTG_BD!F:F,"&lt;="&amp;O2Summary!$B$4)</f>
        <v>0</v>
      </c>
      <c r="V2557" s="18">
        <f t="shared" si="46"/>
        <v>47</v>
      </c>
    </row>
    <row r="2558" spans="19:22">
      <c r="S2558" s="16">
        <v>4523</v>
      </c>
      <c r="T2558" s="16" t="s">
        <v>3010</v>
      </c>
      <c r="U2558" s="17">
        <f>COUNTIFS(WTG_BD!L:L,'Basic Data'!T2558,WTG_BD!F:F,"&gt;="&amp;O2Summary!$B$6,WTG_BD!F:F,"&lt;="&amp;O2Summary!$B$4)</f>
        <v>0</v>
      </c>
      <c r="V2558" s="18">
        <f t="shared" si="46"/>
        <v>47</v>
      </c>
    </row>
    <row r="2559" spans="19:22">
      <c r="S2559" s="16">
        <v>4524</v>
      </c>
      <c r="T2559" s="16" t="s">
        <v>3011</v>
      </c>
      <c r="U2559" s="17">
        <f>COUNTIFS(WTG_BD!L:L,'Basic Data'!T2559,WTG_BD!F:F,"&gt;="&amp;O2Summary!$B$6,WTG_BD!F:F,"&lt;="&amp;O2Summary!$B$4)</f>
        <v>0</v>
      </c>
      <c r="V2559" s="18">
        <f t="shared" si="46"/>
        <v>47</v>
      </c>
    </row>
    <row r="2560" spans="19:22">
      <c r="S2560" s="16">
        <v>4525</v>
      </c>
      <c r="T2560" s="16" t="s">
        <v>3012</v>
      </c>
      <c r="U2560" s="17">
        <f>COUNTIFS(WTG_BD!L:L,'Basic Data'!T2560,WTG_BD!F:F,"&gt;="&amp;O2Summary!$B$6,WTG_BD!F:F,"&lt;="&amp;O2Summary!$B$4)</f>
        <v>0</v>
      </c>
      <c r="V2560" s="18">
        <f t="shared" si="46"/>
        <v>47</v>
      </c>
    </row>
    <row r="2561" spans="19:22">
      <c r="S2561" s="16">
        <v>4526</v>
      </c>
      <c r="T2561" s="16" t="s">
        <v>3013</v>
      </c>
      <c r="U2561" s="17">
        <f>COUNTIFS(WTG_BD!L:L,'Basic Data'!T2561,WTG_BD!F:F,"&gt;="&amp;O2Summary!$B$6,WTG_BD!F:F,"&lt;="&amp;O2Summary!$B$4)</f>
        <v>0</v>
      </c>
      <c r="V2561" s="18">
        <f t="shared" si="46"/>
        <v>47</v>
      </c>
    </row>
    <row r="2562" spans="19:22">
      <c r="S2562" s="16">
        <v>4527</v>
      </c>
      <c r="T2562" s="16" t="s">
        <v>3014</v>
      </c>
      <c r="U2562" s="17">
        <f>COUNTIFS(WTG_BD!L:L,'Basic Data'!T2562,WTG_BD!F:F,"&gt;="&amp;O2Summary!$B$6,WTG_BD!F:F,"&lt;="&amp;O2Summary!$B$4)</f>
        <v>0</v>
      </c>
      <c r="V2562" s="18">
        <f t="shared" si="46"/>
        <v>47</v>
      </c>
    </row>
    <row r="2563" spans="19:22">
      <c r="S2563" s="16">
        <v>4528</v>
      </c>
      <c r="T2563" s="16" t="s">
        <v>3015</v>
      </c>
      <c r="U2563" s="17">
        <f>COUNTIFS(WTG_BD!L:L,'Basic Data'!T2563,WTG_BD!F:F,"&gt;="&amp;O2Summary!$B$6,WTG_BD!F:F,"&lt;="&amp;O2Summary!$B$4)</f>
        <v>0</v>
      </c>
      <c r="V2563" s="18">
        <f t="shared" ref="V2563:V2626" si="47">RANK(U2563,$U$2:$U$3975)</f>
        <v>47</v>
      </c>
    </row>
    <row r="2564" spans="19:22">
      <c r="S2564" s="16">
        <v>4530</v>
      </c>
      <c r="T2564" s="16" t="s">
        <v>3016</v>
      </c>
      <c r="U2564" s="17">
        <f>COUNTIFS(WTG_BD!L:L,'Basic Data'!T2564,WTG_BD!F:F,"&gt;="&amp;O2Summary!$B$6,WTG_BD!F:F,"&lt;="&amp;O2Summary!$B$4)</f>
        <v>0</v>
      </c>
      <c r="V2564" s="18">
        <f t="shared" si="47"/>
        <v>47</v>
      </c>
    </row>
    <row r="2565" spans="19:22">
      <c r="S2565" s="16">
        <v>4531</v>
      </c>
      <c r="T2565" s="16" t="s">
        <v>3017</v>
      </c>
      <c r="U2565" s="17">
        <f>COUNTIFS(WTG_BD!L:L,'Basic Data'!T2565,WTG_BD!F:F,"&gt;="&amp;O2Summary!$B$6,WTG_BD!F:F,"&lt;="&amp;O2Summary!$B$4)</f>
        <v>0</v>
      </c>
      <c r="V2565" s="18">
        <f t="shared" si="47"/>
        <v>47</v>
      </c>
    </row>
    <row r="2566" spans="19:22">
      <c r="S2566" s="16">
        <v>4532</v>
      </c>
      <c r="T2566" s="16" t="s">
        <v>3018</v>
      </c>
      <c r="U2566" s="17">
        <f>COUNTIFS(WTG_BD!L:L,'Basic Data'!T2566,WTG_BD!F:F,"&gt;="&amp;O2Summary!$B$6,WTG_BD!F:F,"&lt;="&amp;O2Summary!$B$4)</f>
        <v>0</v>
      </c>
      <c r="V2566" s="18">
        <f t="shared" si="47"/>
        <v>47</v>
      </c>
    </row>
    <row r="2567" spans="19:22">
      <c r="S2567" s="16">
        <v>4533</v>
      </c>
      <c r="T2567" s="16" t="s">
        <v>3019</v>
      </c>
      <c r="U2567" s="17">
        <f>COUNTIFS(WTG_BD!L:L,'Basic Data'!T2567,WTG_BD!F:F,"&gt;="&amp;O2Summary!$B$6,WTG_BD!F:F,"&lt;="&amp;O2Summary!$B$4)</f>
        <v>0</v>
      </c>
      <c r="V2567" s="18">
        <f t="shared" si="47"/>
        <v>47</v>
      </c>
    </row>
    <row r="2568" spans="19:22">
      <c r="S2568" s="16">
        <v>4534</v>
      </c>
      <c r="T2568" s="16" t="s">
        <v>3020</v>
      </c>
      <c r="U2568" s="17">
        <f>COUNTIFS(WTG_BD!L:L,'Basic Data'!T2568,WTG_BD!F:F,"&gt;="&amp;O2Summary!$B$6,WTG_BD!F:F,"&lt;="&amp;O2Summary!$B$4)</f>
        <v>0</v>
      </c>
      <c r="V2568" s="18">
        <f t="shared" si="47"/>
        <v>47</v>
      </c>
    </row>
    <row r="2569" spans="19:22">
      <c r="S2569" s="16">
        <v>4535</v>
      </c>
      <c r="T2569" s="16" t="s">
        <v>3021</v>
      </c>
      <c r="U2569" s="17">
        <f>COUNTIFS(WTG_BD!L:L,'Basic Data'!T2569,WTG_BD!F:F,"&gt;="&amp;O2Summary!$B$6,WTG_BD!F:F,"&lt;="&amp;O2Summary!$B$4)</f>
        <v>0</v>
      </c>
      <c r="V2569" s="18">
        <f t="shared" si="47"/>
        <v>47</v>
      </c>
    </row>
    <row r="2570" spans="19:22">
      <c r="S2570" s="16">
        <v>4536</v>
      </c>
      <c r="T2570" s="16" t="s">
        <v>3022</v>
      </c>
      <c r="U2570" s="17">
        <f>COUNTIFS(WTG_BD!L:L,'Basic Data'!T2570,WTG_BD!F:F,"&gt;="&amp;O2Summary!$B$6,WTG_BD!F:F,"&lt;="&amp;O2Summary!$B$4)</f>
        <v>0</v>
      </c>
      <c r="V2570" s="18">
        <f t="shared" si="47"/>
        <v>47</v>
      </c>
    </row>
    <row r="2571" spans="19:22">
      <c r="S2571" s="16">
        <v>4537</v>
      </c>
      <c r="T2571" s="16" t="s">
        <v>3023</v>
      </c>
      <c r="U2571" s="17">
        <f>COUNTIFS(WTG_BD!L:L,'Basic Data'!T2571,WTG_BD!F:F,"&gt;="&amp;O2Summary!$B$6,WTG_BD!F:F,"&lt;="&amp;O2Summary!$B$4)</f>
        <v>0</v>
      </c>
      <c r="V2571" s="18">
        <f t="shared" si="47"/>
        <v>47</v>
      </c>
    </row>
    <row r="2572" spans="19:22">
      <c r="S2572" s="16">
        <v>4538</v>
      </c>
      <c r="T2572" s="16" t="s">
        <v>3024</v>
      </c>
      <c r="U2572" s="17">
        <f>COUNTIFS(WTG_BD!L:L,'Basic Data'!T2572,WTG_BD!F:F,"&gt;="&amp;O2Summary!$B$6,WTG_BD!F:F,"&lt;="&amp;O2Summary!$B$4)</f>
        <v>0</v>
      </c>
      <c r="V2572" s="18">
        <f t="shared" si="47"/>
        <v>47</v>
      </c>
    </row>
    <row r="2573" spans="19:22">
      <c r="S2573" s="16">
        <v>4539</v>
      </c>
      <c r="T2573" s="16" t="s">
        <v>3025</v>
      </c>
      <c r="U2573" s="17">
        <f>COUNTIFS(WTG_BD!L:L,'Basic Data'!T2573,WTG_BD!F:F,"&gt;="&amp;O2Summary!$B$6,WTG_BD!F:F,"&lt;="&amp;O2Summary!$B$4)</f>
        <v>0</v>
      </c>
      <c r="V2573" s="18">
        <f t="shared" si="47"/>
        <v>47</v>
      </c>
    </row>
    <row r="2574" spans="19:22">
      <c r="S2574" s="16">
        <v>4540</v>
      </c>
      <c r="T2574" s="16" t="s">
        <v>3026</v>
      </c>
      <c r="U2574" s="17">
        <f>COUNTIFS(WTG_BD!L:L,'Basic Data'!T2574,WTG_BD!F:F,"&gt;="&amp;O2Summary!$B$6,WTG_BD!F:F,"&lt;="&amp;O2Summary!$B$4)</f>
        <v>0</v>
      </c>
      <c r="V2574" s="18">
        <f t="shared" si="47"/>
        <v>47</v>
      </c>
    </row>
    <row r="2575" spans="19:22">
      <c r="S2575" s="16">
        <v>4541</v>
      </c>
      <c r="T2575" s="16" t="s">
        <v>3027</v>
      </c>
      <c r="U2575" s="17">
        <f>COUNTIFS(WTG_BD!L:L,'Basic Data'!T2575,WTG_BD!F:F,"&gt;="&amp;O2Summary!$B$6,WTG_BD!F:F,"&lt;="&amp;O2Summary!$B$4)</f>
        <v>0</v>
      </c>
      <c r="V2575" s="18">
        <f t="shared" si="47"/>
        <v>47</v>
      </c>
    </row>
    <row r="2576" spans="19:22">
      <c r="S2576" s="16">
        <v>4542</v>
      </c>
      <c r="T2576" s="16" t="s">
        <v>3028</v>
      </c>
      <c r="U2576" s="17">
        <f>COUNTIFS(WTG_BD!L:L,'Basic Data'!T2576,WTG_BD!F:F,"&gt;="&amp;O2Summary!$B$6,WTG_BD!F:F,"&lt;="&amp;O2Summary!$B$4)</f>
        <v>0</v>
      </c>
      <c r="V2576" s="18">
        <f t="shared" si="47"/>
        <v>47</v>
      </c>
    </row>
    <row r="2577" spans="19:22">
      <c r="S2577" s="16">
        <v>4543</v>
      </c>
      <c r="T2577" s="16" t="s">
        <v>3029</v>
      </c>
      <c r="U2577" s="17">
        <f>COUNTIFS(WTG_BD!L:L,'Basic Data'!T2577,WTG_BD!F:F,"&gt;="&amp;O2Summary!$B$6,WTG_BD!F:F,"&lt;="&amp;O2Summary!$B$4)</f>
        <v>0</v>
      </c>
      <c r="V2577" s="18">
        <f t="shared" si="47"/>
        <v>47</v>
      </c>
    </row>
    <row r="2578" spans="19:22">
      <c r="S2578" s="16">
        <v>4544</v>
      </c>
      <c r="T2578" s="16" t="s">
        <v>3030</v>
      </c>
      <c r="U2578" s="17">
        <f>COUNTIFS(WTG_BD!L:L,'Basic Data'!T2578,WTG_BD!F:F,"&gt;="&amp;O2Summary!$B$6,WTG_BD!F:F,"&lt;="&amp;O2Summary!$B$4)</f>
        <v>0</v>
      </c>
      <c r="V2578" s="18">
        <f t="shared" si="47"/>
        <v>47</v>
      </c>
    </row>
    <row r="2579" spans="19:22">
      <c r="S2579" s="16">
        <v>4545</v>
      </c>
      <c r="T2579" s="16" t="s">
        <v>3031</v>
      </c>
      <c r="U2579" s="17">
        <f>COUNTIFS(WTG_BD!L:L,'Basic Data'!T2579,WTG_BD!F:F,"&gt;="&amp;O2Summary!$B$6,WTG_BD!F:F,"&lt;="&amp;O2Summary!$B$4)</f>
        <v>0</v>
      </c>
      <c r="V2579" s="18">
        <f t="shared" si="47"/>
        <v>47</v>
      </c>
    </row>
    <row r="2580" spans="19:22">
      <c r="S2580" s="16">
        <v>4546</v>
      </c>
      <c r="T2580" s="16" t="s">
        <v>3032</v>
      </c>
      <c r="U2580" s="17">
        <f>COUNTIFS(WTG_BD!L:L,'Basic Data'!T2580,WTG_BD!F:F,"&gt;="&amp;O2Summary!$B$6,WTG_BD!F:F,"&lt;="&amp;O2Summary!$B$4)</f>
        <v>0</v>
      </c>
      <c r="V2580" s="18">
        <f t="shared" si="47"/>
        <v>47</v>
      </c>
    </row>
    <row r="2581" spans="19:22">
      <c r="S2581" s="16">
        <v>4547</v>
      </c>
      <c r="T2581" s="16" t="s">
        <v>3033</v>
      </c>
      <c r="U2581" s="17">
        <f>COUNTIFS(WTG_BD!L:L,'Basic Data'!T2581,WTG_BD!F:F,"&gt;="&amp;O2Summary!$B$6,WTG_BD!F:F,"&lt;="&amp;O2Summary!$B$4)</f>
        <v>0</v>
      </c>
      <c r="V2581" s="18">
        <f t="shared" si="47"/>
        <v>47</v>
      </c>
    </row>
    <row r="2582" spans="19:22">
      <c r="S2582" s="16">
        <v>4548</v>
      </c>
      <c r="T2582" s="16" t="s">
        <v>3034</v>
      </c>
      <c r="U2582" s="17">
        <f>COUNTIFS(WTG_BD!L:L,'Basic Data'!T2582,WTG_BD!F:F,"&gt;="&amp;O2Summary!$B$6,WTG_BD!F:F,"&lt;="&amp;O2Summary!$B$4)</f>
        <v>0</v>
      </c>
      <c r="V2582" s="18">
        <f t="shared" si="47"/>
        <v>47</v>
      </c>
    </row>
    <row r="2583" spans="19:22">
      <c r="S2583" s="16">
        <v>4549</v>
      </c>
      <c r="T2583" s="16" t="s">
        <v>3035</v>
      </c>
      <c r="U2583" s="17">
        <f>COUNTIFS(WTG_BD!L:L,'Basic Data'!T2583,WTG_BD!F:F,"&gt;="&amp;O2Summary!$B$6,WTG_BD!F:F,"&lt;="&amp;O2Summary!$B$4)</f>
        <v>0</v>
      </c>
      <c r="V2583" s="18">
        <f t="shared" si="47"/>
        <v>47</v>
      </c>
    </row>
    <row r="2584" spans="19:22">
      <c r="S2584" s="16">
        <v>4550</v>
      </c>
      <c r="T2584" s="16" t="s">
        <v>3036</v>
      </c>
      <c r="U2584" s="17">
        <f>COUNTIFS(WTG_BD!L:L,'Basic Data'!T2584,WTG_BD!F:F,"&gt;="&amp;O2Summary!$B$6,WTG_BD!F:F,"&lt;="&amp;O2Summary!$B$4)</f>
        <v>0</v>
      </c>
      <c r="V2584" s="18">
        <f t="shared" si="47"/>
        <v>47</v>
      </c>
    </row>
    <row r="2585" spans="19:22">
      <c r="S2585" s="16">
        <v>4551</v>
      </c>
      <c r="T2585" s="16" t="s">
        <v>3037</v>
      </c>
      <c r="U2585" s="17">
        <f>COUNTIFS(WTG_BD!L:L,'Basic Data'!T2585,WTG_BD!F:F,"&gt;="&amp;O2Summary!$B$6,WTG_BD!F:F,"&lt;="&amp;O2Summary!$B$4)</f>
        <v>0</v>
      </c>
      <c r="V2585" s="18">
        <f t="shared" si="47"/>
        <v>47</v>
      </c>
    </row>
    <row r="2586" spans="19:22">
      <c r="S2586" s="16">
        <v>4552</v>
      </c>
      <c r="T2586" s="16" t="s">
        <v>3038</v>
      </c>
      <c r="U2586" s="17">
        <f>COUNTIFS(WTG_BD!L:L,'Basic Data'!T2586,WTG_BD!F:F,"&gt;="&amp;O2Summary!$B$6,WTG_BD!F:F,"&lt;="&amp;O2Summary!$B$4)</f>
        <v>0</v>
      </c>
      <c r="V2586" s="18">
        <f t="shared" si="47"/>
        <v>47</v>
      </c>
    </row>
    <row r="2587" spans="19:22">
      <c r="S2587" s="16">
        <v>4553</v>
      </c>
      <c r="T2587" s="16" t="s">
        <v>3039</v>
      </c>
      <c r="U2587" s="17">
        <f>COUNTIFS(WTG_BD!L:L,'Basic Data'!T2587,WTG_BD!F:F,"&gt;="&amp;O2Summary!$B$6,WTG_BD!F:F,"&lt;="&amp;O2Summary!$B$4)</f>
        <v>0</v>
      </c>
      <c r="V2587" s="18">
        <f t="shared" si="47"/>
        <v>47</v>
      </c>
    </row>
    <row r="2588" spans="19:22">
      <c r="S2588" s="16">
        <v>4558</v>
      </c>
      <c r="T2588" s="16" t="s">
        <v>3040</v>
      </c>
      <c r="U2588" s="17">
        <f>COUNTIFS(WTG_BD!L:L,'Basic Data'!T2588,WTG_BD!F:F,"&gt;="&amp;O2Summary!$B$6,WTG_BD!F:F,"&lt;="&amp;O2Summary!$B$4)</f>
        <v>0</v>
      </c>
      <c r="V2588" s="18">
        <f t="shared" si="47"/>
        <v>47</v>
      </c>
    </row>
    <row r="2589" spans="19:22">
      <c r="S2589" s="16">
        <v>4559</v>
      </c>
      <c r="T2589" s="16" t="s">
        <v>3041</v>
      </c>
      <c r="U2589" s="17">
        <f>COUNTIFS(WTG_BD!L:L,'Basic Data'!T2589,WTG_BD!F:F,"&gt;="&amp;O2Summary!$B$6,WTG_BD!F:F,"&lt;="&amp;O2Summary!$B$4)</f>
        <v>0</v>
      </c>
      <c r="V2589" s="18">
        <f t="shared" si="47"/>
        <v>47</v>
      </c>
    </row>
    <row r="2590" spans="19:22">
      <c r="S2590" s="16">
        <v>4560</v>
      </c>
      <c r="T2590" s="16" t="s">
        <v>3042</v>
      </c>
      <c r="U2590" s="17">
        <f>COUNTIFS(WTG_BD!L:L,'Basic Data'!T2590,WTG_BD!F:F,"&gt;="&amp;O2Summary!$B$6,WTG_BD!F:F,"&lt;="&amp;O2Summary!$B$4)</f>
        <v>1</v>
      </c>
      <c r="V2590" s="18">
        <f t="shared" si="47"/>
        <v>29</v>
      </c>
    </row>
    <row r="2591" spans="19:22">
      <c r="S2591" s="16">
        <v>4561</v>
      </c>
      <c r="T2591" s="16" t="s">
        <v>3043</v>
      </c>
      <c r="U2591" s="17">
        <f>COUNTIFS(WTG_BD!L:L,'Basic Data'!T2591,WTG_BD!F:F,"&gt;="&amp;O2Summary!$B$6,WTG_BD!F:F,"&lt;="&amp;O2Summary!$B$4)</f>
        <v>0</v>
      </c>
      <c r="V2591" s="18">
        <f t="shared" si="47"/>
        <v>47</v>
      </c>
    </row>
    <row r="2592" spans="19:22">
      <c r="S2592" s="16">
        <v>4562</v>
      </c>
      <c r="T2592" s="16" t="s">
        <v>3044</v>
      </c>
      <c r="U2592" s="17">
        <f>COUNTIFS(WTG_BD!L:L,'Basic Data'!T2592,WTG_BD!F:F,"&gt;="&amp;O2Summary!$B$6,WTG_BD!F:F,"&lt;="&amp;O2Summary!$B$4)</f>
        <v>0</v>
      </c>
      <c r="V2592" s="18">
        <f t="shared" si="47"/>
        <v>47</v>
      </c>
    </row>
    <row r="2593" spans="19:22">
      <c r="S2593" s="16">
        <v>4563</v>
      </c>
      <c r="T2593" s="16" t="s">
        <v>3045</v>
      </c>
      <c r="U2593" s="17">
        <f>COUNTIFS(WTG_BD!L:L,'Basic Data'!T2593,WTG_BD!F:F,"&gt;="&amp;O2Summary!$B$6,WTG_BD!F:F,"&lt;="&amp;O2Summary!$B$4)</f>
        <v>0</v>
      </c>
      <c r="V2593" s="18">
        <f t="shared" si="47"/>
        <v>47</v>
      </c>
    </row>
    <row r="2594" spans="19:22">
      <c r="S2594" s="16">
        <v>4564</v>
      </c>
      <c r="T2594" s="16" t="s">
        <v>3046</v>
      </c>
      <c r="U2594" s="17">
        <f>COUNTIFS(WTG_BD!L:L,'Basic Data'!T2594,WTG_BD!F:F,"&gt;="&amp;O2Summary!$B$6,WTG_BD!F:F,"&lt;="&amp;O2Summary!$B$4)</f>
        <v>0</v>
      </c>
      <c r="V2594" s="18">
        <f t="shared" si="47"/>
        <v>47</v>
      </c>
    </row>
    <row r="2595" spans="19:22">
      <c r="S2595" s="16">
        <v>4565</v>
      </c>
      <c r="T2595" s="16" t="s">
        <v>3047</v>
      </c>
      <c r="U2595" s="17">
        <f>COUNTIFS(WTG_BD!L:L,'Basic Data'!T2595,WTG_BD!F:F,"&gt;="&amp;O2Summary!$B$6,WTG_BD!F:F,"&lt;="&amp;O2Summary!$B$4)</f>
        <v>0</v>
      </c>
      <c r="V2595" s="18">
        <f t="shared" si="47"/>
        <v>47</v>
      </c>
    </row>
    <row r="2596" spans="19:22">
      <c r="S2596" s="16">
        <v>4566</v>
      </c>
      <c r="T2596" s="16" t="s">
        <v>3048</v>
      </c>
      <c r="U2596" s="17">
        <f>COUNTIFS(WTG_BD!L:L,'Basic Data'!T2596,WTG_BD!F:F,"&gt;="&amp;O2Summary!$B$6,WTG_BD!F:F,"&lt;="&amp;O2Summary!$B$4)</f>
        <v>0</v>
      </c>
      <c r="V2596" s="18">
        <f t="shared" si="47"/>
        <v>47</v>
      </c>
    </row>
    <row r="2597" spans="19:22">
      <c r="S2597" s="16">
        <v>4567</v>
      </c>
      <c r="T2597" s="16" t="s">
        <v>3049</v>
      </c>
      <c r="U2597" s="17">
        <f>COUNTIFS(WTG_BD!L:L,'Basic Data'!T2597,WTG_BD!F:F,"&gt;="&amp;O2Summary!$B$6,WTG_BD!F:F,"&lt;="&amp;O2Summary!$B$4)</f>
        <v>0</v>
      </c>
      <c r="V2597" s="18">
        <f t="shared" si="47"/>
        <v>47</v>
      </c>
    </row>
    <row r="2598" spans="19:22">
      <c r="S2598" s="16">
        <v>4568</v>
      </c>
      <c r="T2598" s="16" t="s">
        <v>3050</v>
      </c>
      <c r="U2598" s="17">
        <f>COUNTIFS(WTG_BD!L:L,'Basic Data'!T2598,WTG_BD!F:F,"&gt;="&amp;O2Summary!$B$6,WTG_BD!F:F,"&lt;="&amp;O2Summary!$B$4)</f>
        <v>0</v>
      </c>
      <c r="V2598" s="18">
        <f t="shared" si="47"/>
        <v>47</v>
      </c>
    </row>
    <row r="2599" spans="19:22">
      <c r="S2599" s="16">
        <v>4569</v>
      </c>
      <c r="T2599" s="16" t="s">
        <v>3051</v>
      </c>
      <c r="U2599" s="17">
        <f>COUNTIFS(WTG_BD!L:L,'Basic Data'!T2599,WTG_BD!F:F,"&gt;="&amp;O2Summary!$B$6,WTG_BD!F:F,"&lt;="&amp;O2Summary!$B$4)</f>
        <v>0</v>
      </c>
      <c r="V2599" s="18">
        <f t="shared" si="47"/>
        <v>47</v>
      </c>
    </row>
    <row r="2600" spans="19:22">
      <c r="S2600" s="16">
        <v>4570</v>
      </c>
      <c r="T2600" s="16" t="s">
        <v>3052</v>
      </c>
      <c r="U2600" s="17">
        <f>COUNTIFS(WTG_BD!L:L,'Basic Data'!T2600,WTG_BD!F:F,"&gt;="&amp;O2Summary!$B$6,WTG_BD!F:F,"&lt;="&amp;O2Summary!$B$4)</f>
        <v>0</v>
      </c>
      <c r="V2600" s="18">
        <f t="shared" si="47"/>
        <v>47</v>
      </c>
    </row>
    <row r="2601" spans="19:22">
      <c r="S2601" s="26">
        <v>4571</v>
      </c>
      <c r="T2601" s="26" t="s">
        <v>3053</v>
      </c>
      <c r="U2601" s="17">
        <f>COUNTIFS(WTG_BD!L:L,'Basic Data'!T2601,WTG_BD!F:F,"&gt;="&amp;O2Summary!$B$6,WTG_BD!F:F,"&lt;="&amp;O2Summary!$B$4)</f>
        <v>0</v>
      </c>
      <c r="V2601" s="18">
        <f t="shared" si="47"/>
        <v>47</v>
      </c>
    </row>
    <row r="2602" spans="19:22">
      <c r="S2602" s="26">
        <v>4572</v>
      </c>
      <c r="T2602" s="26" t="s">
        <v>3054</v>
      </c>
      <c r="U2602" s="17">
        <f>COUNTIFS(WTG_BD!L:L,'Basic Data'!T2602,WTG_BD!F:F,"&gt;="&amp;O2Summary!$B$6,WTG_BD!F:F,"&lt;="&amp;O2Summary!$B$4)</f>
        <v>0</v>
      </c>
      <c r="V2602" s="18">
        <f t="shared" si="47"/>
        <v>47</v>
      </c>
    </row>
    <row r="2603" spans="19:22">
      <c r="S2603" s="26">
        <v>4573</v>
      </c>
      <c r="T2603" s="26" t="s">
        <v>3055</v>
      </c>
      <c r="U2603" s="17">
        <f>COUNTIFS(WTG_BD!L:L,'Basic Data'!T2603,WTG_BD!F:F,"&gt;="&amp;O2Summary!$B$6,WTG_BD!F:F,"&lt;="&amp;O2Summary!$B$4)</f>
        <v>0</v>
      </c>
      <c r="V2603" s="18">
        <f t="shared" si="47"/>
        <v>47</v>
      </c>
    </row>
    <row r="2604" spans="19:22">
      <c r="S2604" s="26">
        <v>4574</v>
      </c>
      <c r="T2604" s="26" t="s">
        <v>3056</v>
      </c>
      <c r="U2604" s="17">
        <f>COUNTIFS(WTG_BD!L:L,'Basic Data'!T2604,WTG_BD!F:F,"&gt;="&amp;O2Summary!$B$6,WTG_BD!F:F,"&lt;="&amp;O2Summary!$B$4)</f>
        <v>0</v>
      </c>
      <c r="V2604" s="18">
        <f t="shared" si="47"/>
        <v>47</v>
      </c>
    </row>
    <row r="2605" spans="19:22">
      <c r="S2605" s="26">
        <v>4575</v>
      </c>
      <c r="T2605" s="26" t="s">
        <v>3057</v>
      </c>
      <c r="U2605" s="17">
        <f>COUNTIFS(WTG_BD!L:L,'Basic Data'!T2605,WTG_BD!F:F,"&gt;="&amp;O2Summary!$B$6,WTG_BD!F:F,"&lt;="&amp;O2Summary!$B$4)</f>
        <v>0</v>
      </c>
      <c r="V2605" s="18">
        <f t="shared" si="47"/>
        <v>47</v>
      </c>
    </row>
    <row r="2606" spans="19:22">
      <c r="S2606" s="26">
        <v>4576</v>
      </c>
      <c r="T2606" s="26" t="s">
        <v>3058</v>
      </c>
      <c r="U2606" s="17">
        <f>COUNTIFS(WTG_BD!L:L,'Basic Data'!T2606,WTG_BD!F:F,"&gt;="&amp;O2Summary!$B$6,WTG_BD!F:F,"&lt;="&amp;O2Summary!$B$4)</f>
        <v>0</v>
      </c>
      <c r="V2606" s="18">
        <f t="shared" si="47"/>
        <v>47</v>
      </c>
    </row>
    <row r="2607" spans="19:22">
      <c r="S2607" s="26">
        <v>4577</v>
      </c>
      <c r="T2607" s="26" t="s">
        <v>3059</v>
      </c>
      <c r="U2607" s="17">
        <f>COUNTIFS(WTG_BD!L:L,'Basic Data'!T2607,WTG_BD!F:F,"&gt;="&amp;O2Summary!$B$6,WTG_BD!F:F,"&lt;="&amp;O2Summary!$B$4)</f>
        <v>0</v>
      </c>
      <c r="V2607" s="18">
        <f t="shared" si="47"/>
        <v>47</v>
      </c>
    </row>
    <row r="2608" spans="19:22">
      <c r="S2608" s="26">
        <v>4578</v>
      </c>
      <c r="T2608" s="26" t="s">
        <v>3060</v>
      </c>
      <c r="U2608" s="17">
        <f>COUNTIFS(WTG_BD!L:L,'Basic Data'!T2608,WTG_BD!F:F,"&gt;="&amp;O2Summary!$B$6,WTG_BD!F:F,"&lt;="&amp;O2Summary!$B$4)</f>
        <v>0</v>
      </c>
      <c r="V2608" s="18">
        <f t="shared" si="47"/>
        <v>47</v>
      </c>
    </row>
    <row r="2609" spans="19:22">
      <c r="S2609" s="16">
        <v>4592</v>
      </c>
      <c r="T2609" s="16" t="s">
        <v>3061</v>
      </c>
      <c r="U2609" s="17">
        <f>COUNTIFS(WTG_BD!L:L,'Basic Data'!T2609,WTG_BD!F:F,"&gt;="&amp;O2Summary!$B$6,WTG_BD!F:F,"&lt;="&amp;O2Summary!$B$4)</f>
        <v>0</v>
      </c>
      <c r="V2609" s="18">
        <f t="shared" si="47"/>
        <v>47</v>
      </c>
    </row>
    <row r="2610" spans="19:22">
      <c r="S2610" s="16">
        <v>4593</v>
      </c>
      <c r="T2610" s="16" t="s">
        <v>3062</v>
      </c>
      <c r="U2610" s="17">
        <f>COUNTIFS(WTG_BD!L:L,'Basic Data'!T2610,WTG_BD!F:F,"&gt;="&amp;O2Summary!$B$6,WTG_BD!F:F,"&lt;="&amp;O2Summary!$B$4)</f>
        <v>0</v>
      </c>
      <c r="V2610" s="18">
        <f t="shared" si="47"/>
        <v>47</v>
      </c>
    </row>
    <row r="2611" spans="19:22">
      <c r="S2611" s="16">
        <v>4594</v>
      </c>
      <c r="T2611" s="16" t="s">
        <v>1840</v>
      </c>
      <c r="U2611" s="17">
        <f>COUNTIFS(WTG_BD!L:L,'Basic Data'!T2611,WTG_BD!F:F,"&gt;="&amp;O2Summary!$B$6,WTG_BD!F:F,"&lt;="&amp;O2Summary!$B$4)</f>
        <v>0</v>
      </c>
      <c r="V2611" s="18">
        <f t="shared" si="47"/>
        <v>47</v>
      </c>
    </row>
    <row r="2612" spans="19:22">
      <c r="S2612" s="16">
        <v>4595</v>
      </c>
      <c r="T2612" s="16" t="s">
        <v>1840</v>
      </c>
      <c r="U2612" s="17">
        <f>COUNTIFS(WTG_BD!L:L,'Basic Data'!T2612,WTG_BD!F:F,"&gt;="&amp;O2Summary!$B$6,WTG_BD!F:F,"&lt;="&amp;O2Summary!$B$4)</f>
        <v>0</v>
      </c>
      <c r="V2612" s="18">
        <f t="shared" si="47"/>
        <v>47</v>
      </c>
    </row>
    <row r="2613" spans="19:22">
      <c r="S2613" s="16">
        <v>4596</v>
      </c>
      <c r="T2613" s="16" t="s">
        <v>1858</v>
      </c>
      <c r="U2613" s="17">
        <f>COUNTIFS(WTG_BD!L:L,'Basic Data'!T2613,WTG_BD!F:F,"&gt;="&amp;O2Summary!$B$6,WTG_BD!F:F,"&lt;="&amp;O2Summary!$B$4)</f>
        <v>0</v>
      </c>
      <c r="V2613" s="18">
        <f t="shared" si="47"/>
        <v>47</v>
      </c>
    </row>
    <row r="2614" spans="19:22">
      <c r="S2614" s="16">
        <v>4597</v>
      </c>
      <c r="T2614" s="16" t="s">
        <v>2099</v>
      </c>
      <c r="U2614" s="17">
        <f>COUNTIFS(WTG_BD!L:L,'Basic Data'!T2614,WTG_BD!F:F,"&gt;="&amp;O2Summary!$B$6,WTG_BD!F:F,"&lt;="&amp;O2Summary!$B$4)</f>
        <v>0</v>
      </c>
      <c r="V2614" s="18">
        <f t="shared" si="47"/>
        <v>47</v>
      </c>
    </row>
    <row r="2615" spans="19:22">
      <c r="S2615" s="16">
        <v>4598</v>
      </c>
      <c r="T2615" s="16" t="s">
        <v>3063</v>
      </c>
      <c r="U2615" s="17">
        <f>COUNTIFS(WTG_BD!L:L,'Basic Data'!T2615,WTG_BD!F:F,"&gt;="&amp;O2Summary!$B$6,WTG_BD!F:F,"&lt;="&amp;O2Summary!$B$4)</f>
        <v>0</v>
      </c>
      <c r="V2615" s="18">
        <f t="shared" si="47"/>
        <v>47</v>
      </c>
    </row>
    <row r="2616" spans="19:22">
      <c r="S2616" s="16">
        <v>4599</v>
      </c>
      <c r="T2616" s="16" t="s">
        <v>3064</v>
      </c>
      <c r="U2616" s="17">
        <f>COUNTIFS(WTG_BD!L:L,'Basic Data'!T2616,WTG_BD!F:F,"&gt;="&amp;O2Summary!$B$6,WTG_BD!F:F,"&lt;="&amp;O2Summary!$B$4)</f>
        <v>0</v>
      </c>
      <c r="V2616" s="18">
        <f t="shared" si="47"/>
        <v>47</v>
      </c>
    </row>
    <row r="2617" spans="19:22">
      <c r="S2617" s="26">
        <v>4600</v>
      </c>
      <c r="T2617" s="26" t="s">
        <v>2264</v>
      </c>
      <c r="U2617" s="17">
        <f>COUNTIFS(WTG_BD!L:L,'Basic Data'!T2617,WTG_BD!F:F,"&gt;="&amp;O2Summary!$B$6,WTG_BD!F:F,"&lt;="&amp;O2Summary!$B$4)</f>
        <v>0</v>
      </c>
      <c r="V2617" s="18">
        <f t="shared" si="47"/>
        <v>47</v>
      </c>
    </row>
    <row r="2618" spans="19:22">
      <c r="S2618" s="16">
        <v>4601</v>
      </c>
      <c r="T2618" s="16" t="s">
        <v>3065</v>
      </c>
      <c r="U2618" s="17">
        <f>COUNTIFS(WTG_BD!L:L,'Basic Data'!T2618,WTG_BD!F:F,"&gt;="&amp;O2Summary!$B$6,WTG_BD!F:F,"&lt;="&amp;O2Summary!$B$4)</f>
        <v>0</v>
      </c>
      <c r="V2618" s="18">
        <f t="shared" si="47"/>
        <v>47</v>
      </c>
    </row>
    <row r="2619" spans="19:22">
      <c r="S2619" s="26">
        <v>4602</v>
      </c>
      <c r="T2619" s="26" t="s">
        <v>3066</v>
      </c>
      <c r="U2619" s="17">
        <f>COUNTIFS(WTG_BD!L:L,'Basic Data'!T2619,WTG_BD!F:F,"&gt;="&amp;O2Summary!$B$6,WTG_BD!F:F,"&lt;="&amp;O2Summary!$B$4)</f>
        <v>0</v>
      </c>
      <c r="V2619" s="18">
        <f t="shared" si="47"/>
        <v>47</v>
      </c>
    </row>
    <row r="2620" spans="19:22">
      <c r="S2620" s="26">
        <v>4603</v>
      </c>
      <c r="T2620" s="26" t="s">
        <v>3067</v>
      </c>
      <c r="U2620" s="17">
        <f>COUNTIFS(WTG_BD!L:L,'Basic Data'!T2620,WTG_BD!F:F,"&gt;="&amp;O2Summary!$B$6,WTG_BD!F:F,"&lt;="&amp;O2Summary!$B$4)</f>
        <v>0</v>
      </c>
      <c r="V2620" s="18">
        <f t="shared" si="47"/>
        <v>47</v>
      </c>
    </row>
    <row r="2621" spans="19:22">
      <c r="S2621" s="16">
        <v>4604</v>
      </c>
      <c r="T2621" s="16" t="s">
        <v>3068</v>
      </c>
      <c r="U2621" s="17">
        <f>COUNTIFS(WTG_BD!L:L,'Basic Data'!T2621,WTG_BD!F:F,"&gt;="&amp;O2Summary!$B$6,WTG_BD!F:F,"&lt;="&amp;O2Summary!$B$4)</f>
        <v>0</v>
      </c>
      <c r="V2621" s="18">
        <f t="shared" si="47"/>
        <v>47</v>
      </c>
    </row>
    <row r="2622" spans="19:22">
      <c r="S2622" s="16">
        <v>4605</v>
      </c>
      <c r="T2622" s="16" t="s">
        <v>3069</v>
      </c>
      <c r="U2622" s="17">
        <f>COUNTIFS(WTG_BD!L:L,'Basic Data'!T2622,WTG_BD!F:F,"&gt;="&amp;O2Summary!$B$6,WTG_BD!F:F,"&lt;="&amp;O2Summary!$B$4)</f>
        <v>0</v>
      </c>
      <c r="V2622" s="18">
        <f t="shared" si="47"/>
        <v>47</v>
      </c>
    </row>
    <row r="2623" spans="19:22">
      <c r="S2623" s="16">
        <v>4606</v>
      </c>
      <c r="T2623" s="16" t="s">
        <v>3070</v>
      </c>
      <c r="U2623" s="17">
        <f>COUNTIFS(WTG_BD!L:L,'Basic Data'!T2623,WTG_BD!F:F,"&gt;="&amp;O2Summary!$B$6,WTG_BD!F:F,"&lt;="&amp;O2Summary!$B$4)</f>
        <v>0</v>
      </c>
      <c r="V2623" s="18">
        <f t="shared" si="47"/>
        <v>47</v>
      </c>
    </row>
    <row r="2624" spans="19:22">
      <c r="S2624" s="16">
        <v>4607</v>
      </c>
      <c r="T2624" s="16" t="s">
        <v>3071</v>
      </c>
      <c r="U2624" s="17">
        <f>COUNTIFS(WTG_BD!L:L,'Basic Data'!T2624,WTG_BD!F:F,"&gt;="&amp;O2Summary!$B$6,WTG_BD!F:F,"&lt;="&amp;O2Summary!$B$4)</f>
        <v>0</v>
      </c>
      <c r="V2624" s="18">
        <f t="shared" si="47"/>
        <v>47</v>
      </c>
    </row>
    <row r="2625" spans="19:22">
      <c r="S2625" s="16">
        <v>4608</v>
      </c>
      <c r="T2625" s="16" t="s">
        <v>3072</v>
      </c>
      <c r="U2625" s="17">
        <f>COUNTIFS(WTG_BD!L:L,'Basic Data'!T2625,WTG_BD!F:F,"&gt;="&amp;O2Summary!$B$6,WTG_BD!F:F,"&lt;="&amp;O2Summary!$B$4)</f>
        <v>0</v>
      </c>
      <c r="V2625" s="18">
        <f t="shared" si="47"/>
        <v>47</v>
      </c>
    </row>
    <row r="2626" spans="19:22">
      <c r="S2626" s="16">
        <v>4609</v>
      </c>
      <c r="T2626" s="16" t="s">
        <v>1859</v>
      </c>
      <c r="U2626" s="17">
        <f>COUNTIFS(WTG_BD!L:L,'Basic Data'!T2626,WTG_BD!F:F,"&gt;="&amp;O2Summary!$B$6,WTG_BD!F:F,"&lt;="&amp;O2Summary!$B$4)</f>
        <v>0</v>
      </c>
      <c r="V2626" s="18">
        <f t="shared" si="47"/>
        <v>47</v>
      </c>
    </row>
    <row r="2627" spans="19:22">
      <c r="S2627" s="16">
        <v>4610</v>
      </c>
      <c r="T2627" s="16" t="s">
        <v>1859</v>
      </c>
      <c r="U2627" s="17">
        <f>COUNTIFS(WTG_BD!L:L,'Basic Data'!T2627,WTG_BD!F:F,"&gt;="&amp;O2Summary!$B$6,WTG_BD!F:F,"&lt;="&amp;O2Summary!$B$4)</f>
        <v>0</v>
      </c>
      <c r="V2627" s="18">
        <f t="shared" ref="V2627:V2690" si="48">RANK(U2627,$U$2:$U$3975)</f>
        <v>47</v>
      </c>
    </row>
    <row r="2628" spans="19:22">
      <c r="S2628" s="16">
        <v>4611</v>
      </c>
      <c r="T2628" s="16" t="s">
        <v>2254</v>
      </c>
      <c r="U2628" s="17">
        <f>COUNTIFS(WTG_BD!L:L,'Basic Data'!T2628,WTG_BD!F:F,"&gt;="&amp;O2Summary!$B$6,WTG_BD!F:F,"&lt;="&amp;O2Summary!$B$4)</f>
        <v>0</v>
      </c>
      <c r="V2628" s="18">
        <f t="shared" si="48"/>
        <v>47</v>
      </c>
    </row>
    <row r="2629" spans="19:22">
      <c r="S2629" s="16">
        <v>4612</v>
      </c>
      <c r="T2629" s="16" t="s">
        <v>2254</v>
      </c>
      <c r="U2629" s="17">
        <f>COUNTIFS(WTG_BD!L:L,'Basic Data'!T2629,WTG_BD!F:F,"&gt;="&amp;O2Summary!$B$6,WTG_BD!F:F,"&lt;="&amp;O2Summary!$B$4)</f>
        <v>0</v>
      </c>
      <c r="V2629" s="18">
        <f t="shared" si="48"/>
        <v>47</v>
      </c>
    </row>
    <row r="2630" spans="19:22">
      <c r="S2630" s="16">
        <v>4615</v>
      </c>
      <c r="T2630" s="16" t="s">
        <v>1022</v>
      </c>
      <c r="U2630" s="17">
        <f>COUNTIFS(WTG_BD!L:L,'Basic Data'!T2630,WTG_BD!F:F,"&gt;="&amp;O2Summary!$B$6,WTG_BD!F:F,"&lt;="&amp;O2Summary!$B$4)</f>
        <v>0</v>
      </c>
      <c r="V2630" s="18">
        <f t="shared" si="48"/>
        <v>47</v>
      </c>
    </row>
    <row r="2631" spans="19:22">
      <c r="S2631" s="16">
        <v>4616</v>
      </c>
      <c r="T2631" s="16" t="s">
        <v>1022</v>
      </c>
      <c r="U2631" s="17">
        <f>COUNTIFS(WTG_BD!L:L,'Basic Data'!T2631,WTG_BD!F:F,"&gt;="&amp;O2Summary!$B$6,WTG_BD!F:F,"&lt;="&amp;O2Summary!$B$4)</f>
        <v>0</v>
      </c>
      <c r="V2631" s="18">
        <f t="shared" si="48"/>
        <v>47</v>
      </c>
    </row>
    <row r="2632" spans="19:22">
      <c r="S2632" s="16">
        <v>4617</v>
      </c>
      <c r="T2632" s="16" t="s">
        <v>3073</v>
      </c>
      <c r="U2632" s="17">
        <f>COUNTIFS(WTG_BD!L:L,'Basic Data'!T2632,WTG_BD!F:F,"&gt;="&amp;O2Summary!$B$6,WTG_BD!F:F,"&lt;="&amp;O2Summary!$B$4)</f>
        <v>0</v>
      </c>
      <c r="V2632" s="18">
        <f t="shared" si="48"/>
        <v>47</v>
      </c>
    </row>
    <row r="2633" spans="19:22">
      <c r="S2633" s="16">
        <v>4618</v>
      </c>
      <c r="T2633" s="16" t="s">
        <v>3074</v>
      </c>
      <c r="U2633" s="17">
        <f>COUNTIFS(WTG_BD!L:L,'Basic Data'!T2633,WTG_BD!F:F,"&gt;="&amp;O2Summary!$B$6,WTG_BD!F:F,"&lt;="&amp;O2Summary!$B$4)</f>
        <v>0</v>
      </c>
      <c r="V2633" s="18">
        <f t="shared" si="48"/>
        <v>47</v>
      </c>
    </row>
    <row r="2634" spans="19:22">
      <c r="S2634" s="16">
        <v>4619</v>
      </c>
      <c r="T2634" s="16" t="s">
        <v>3075</v>
      </c>
      <c r="U2634" s="17">
        <f>COUNTIFS(WTG_BD!L:L,'Basic Data'!T2634,WTG_BD!F:F,"&gt;="&amp;O2Summary!$B$6,WTG_BD!F:F,"&lt;="&amp;O2Summary!$B$4)</f>
        <v>0</v>
      </c>
      <c r="V2634" s="18">
        <f t="shared" si="48"/>
        <v>47</v>
      </c>
    </row>
    <row r="2635" spans="19:22">
      <c r="S2635" s="16">
        <v>4620</v>
      </c>
      <c r="T2635" s="16" t="s">
        <v>3076</v>
      </c>
      <c r="U2635" s="17">
        <f>COUNTIFS(WTG_BD!L:L,'Basic Data'!T2635,WTG_BD!F:F,"&gt;="&amp;O2Summary!$B$6,WTG_BD!F:F,"&lt;="&amp;O2Summary!$B$4)</f>
        <v>0</v>
      </c>
      <c r="V2635" s="18">
        <f t="shared" si="48"/>
        <v>47</v>
      </c>
    </row>
    <row r="2636" spans="19:22">
      <c r="S2636" s="16">
        <v>4621</v>
      </c>
      <c r="T2636" s="16" t="s">
        <v>3077</v>
      </c>
      <c r="U2636" s="17">
        <f>COUNTIFS(WTG_BD!L:L,'Basic Data'!T2636,WTG_BD!F:F,"&gt;="&amp;O2Summary!$B$6,WTG_BD!F:F,"&lt;="&amp;O2Summary!$B$4)</f>
        <v>0</v>
      </c>
      <c r="V2636" s="18">
        <f t="shared" si="48"/>
        <v>47</v>
      </c>
    </row>
    <row r="2637" spans="19:22">
      <c r="S2637" s="16">
        <v>4622</v>
      </c>
      <c r="T2637" s="16" t="s">
        <v>3078</v>
      </c>
      <c r="U2637" s="17">
        <f>COUNTIFS(WTG_BD!L:L,'Basic Data'!T2637,WTG_BD!F:F,"&gt;="&amp;O2Summary!$B$6,WTG_BD!F:F,"&lt;="&amp;O2Summary!$B$4)</f>
        <v>0</v>
      </c>
      <c r="V2637" s="18">
        <f t="shared" si="48"/>
        <v>47</v>
      </c>
    </row>
    <row r="2638" spans="19:22">
      <c r="S2638" s="16">
        <v>4623</v>
      </c>
      <c r="T2638" s="16" t="s">
        <v>3079</v>
      </c>
      <c r="U2638" s="17">
        <f>COUNTIFS(WTG_BD!L:L,'Basic Data'!T2638,WTG_BD!F:F,"&gt;="&amp;O2Summary!$B$6,WTG_BD!F:F,"&lt;="&amp;O2Summary!$B$4)</f>
        <v>0</v>
      </c>
      <c r="V2638" s="18">
        <f t="shared" si="48"/>
        <v>47</v>
      </c>
    </row>
    <row r="2639" spans="19:22">
      <c r="S2639" s="16">
        <v>4624</v>
      </c>
      <c r="T2639" s="16" t="s">
        <v>367</v>
      </c>
      <c r="U2639" s="17">
        <f>COUNTIFS(WTG_BD!L:L,'Basic Data'!T2639,WTG_BD!F:F,"&gt;="&amp;O2Summary!$B$6,WTG_BD!F:F,"&lt;="&amp;O2Summary!$B$4)</f>
        <v>0</v>
      </c>
      <c r="V2639" s="18">
        <f t="shared" si="48"/>
        <v>47</v>
      </c>
    </row>
    <row r="2640" spans="19:22">
      <c r="S2640" s="16">
        <v>4625</v>
      </c>
      <c r="T2640" s="16" t="s">
        <v>3080</v>
      </c>
      <c r="U2640" s="17">
        <f>COUNTIFS(WTG_BD!L:L,'Basic Data'!T2640,WTG_BD!F:F,"&gt;="&amp;O2Summary!$B$6,WTG_BD!F:F,"&lt;="&amp;O2Summary!$B$4)</f>
        <v>0</v>
      </c>
      <c r="V2640" s="18">
        <f t="shared" si="48"/>
        <v>47</v>
      </c>
    </row>
    <row r="2641" spans="19:22">
      <c r="S2641" s="16">
        <v>4626</v>
      </c>
      <c r="T2641" s="16" t="s">
        <v>3081</v>
      </c>
      <c r="U2641" s="17">
        <f>COUNTIFS(WTG_BD!L:L,'Basic Data'!T2641,WTG_BD!F:F,"&gt;="&amp;O2Summary!$B$6,WTG_BD!F:F,"&lt;="&amp;O2Summary!$B$4)</f>
        <v>0</v>
      </c>
      <c r="V2641" s="18">
        <f t="shared" si="48"/>
        <v>47</v>
      </c>
    </row>
    <row r="2642" spans="19:22">
      <c r="S2642" s="16">
        <v>4627</v>
      </c>
      <c r="T2642" s="16" t="s">
        <v>3082</v>
      </c>
      <c r="U2642" s="17">
        <f>COUNTIFS(WTG_BD!L:L,'Basic Data'!T2642,WTG_BD!F:F,"&gt;="&amp;O2Summary!$B$6,WTG_BD!F:F,"&lt;="&amp;O2Summary!$B$4)</f>
        <v>0</v>
      </c>
      <c r="V2642" s="18">
        <f t="shared" si="48"/>
        <v>47</v>
      </c>
    </row>
    <row r="2643" spans="19:22">
      <c r="S2643" s="16">
        <v>4628</v>
      </c>
      <c r="T2643" s="16" t="s">
        <v>3083</v>
      </c>
      <c r="U2643" s="17">
        <f>COUNTIFS(WTG_BD!L:L,'Basic Data'!T2643,WTG_BD!F:F,"&gt;="&amp;O2Summary!$B$6,WTG_BD!F:F,"&lt;="&amp;O2Summary!$B$4)</f>
        <v>0</v>
      </c>
      <c r="V2643" s="18">
        <f t="shared" si="48"/>
        <v>47</v>
      </c>
    </row>
    <row r="2644" spans="19:22">
      <c r="S2644" s="16">
        <v>4629</v>
      </c>
      <c r="T2644" s="16" t="s">
        <v>3084</v>
      </c>
      <c r="U2644" s="17">
        <f>COUNTIFS(WTG_BD!L:L,'Basic Data'!T2644,WTG_BD!F:F,"&gt;="&amp;O2Summary!$B$6,WTG_BD!F:F,"&lt;="&amp;O2Summary!$B$4)</f>
        <v>0</v>
      </c>
      <c r="V2644" s="18">
        <f t="shared" si="48"/>
        <v>47</v>
      </c>
    </row>
    <row r="2645" spans="19:22">
      <c r="S2645" s="16">
        <v>4630</v>
      </c>
      <c r="T2645" s="16" t="s">
        <v>3085</v>
      </c>
      <c r="U2645" s="17">
        <f>COUNTIFS(WTG_BD!L:L,'Basic Data'!T2645,WTG_BD!F:F,"&gt;="&amp;O2Summary!$B$6,WTG_BD!F:F,"&lt;="&amp;O2Summary!$B$4)</f>
        <v>0</v>
      </c>
      <c r="V2645" s="18">
        <f t="shared" si="48"/>
        <v>47</v>
      </c>
    </row>
    <row r="2646" spans="19:22">
      <c r="S2646" s="16">
        <v>4631</v>
      </c>
      <c r="T2646" s="16" t="s">
        <v>3086</v>
      </c>
      <c r="U2646" s="17">
        <f>COUNTIFS(WTG_BD!L:L,'Basic Data'!T2646,WTG_BD!F:F,"&gt;="&amp;O2Summary!$B$6,WTG_BD!F:F,"&lt;="&amp;O2Summary!$B$4)</f>
        <v>0</v>
      </c>
      <c r="V2646" s="18">
        <f t="shared" si="48"/>
        <v>47</v>
      </c>
    </row>
    <row r="2647" spans="19:22">
      <c r="S2647" s="16">
        <v>4632</v>
      </c>
      <c r="T2647" s="16" t="s">
        <v>3087</v>
      </c>
      <c r="U2647" s="17">
        <f>COUNTIFS(WTG_BD!L:L,'Basic Data'!T2647,WTG_BD!F:F,"&gt;="&amp;O2Summary!$B$6,WTG_BD!F:F,"&lt;="&amp;O2Summary!$B$4)</f>
        <v>0</v>
      </c>
      <c r="V2647" s="18">
        <f t="shared" si="48"/>
        <v>47</v>
      </c>
    </row>
    <row r="2648" spans="19:22">
      <c r="S2648" s="16">
        <v>4633</v>
      </c>
      <c r="T2648" s="16" t="s">
        <v>3088</v>
      </c>
      <c r="U2648" s="17">
        <f>COUNTIFS(WTG_BD!L:L,'Basic Data'!T2648,WTG_BD!F:F,"&gt;="&amp;O2Summary!$B$6,WTG_BD!F:F,"&lt;="&amp;O2Summary!$B$4)</f>
        <v>0</v>
      </c>
      <c r="V2648" s="18">
        <f t="shared" si="48"/>
        <v>47</v>
      </c>
    </row>
    <row r="2649" spans="19:22">
      <c r="S2649" s="16">
        <v>4634</v>
      </c>
      <c r="T2649" s="16" t="s">
        <v>3089</v>
      </c>
      <c r="U2649" s="17">
        <f>COUNTIFS(WTG_BD!L:L,'Basic Data'!T2649,WTG_BD!F:F,"&gt;="&amp;O2Summary!$B$6,WTG_BD!F:F,"&lt;="&amp;O2Summary!$B$4)</f>
        <v>0</v>
      </c>
      <c r="V2649" s="18">
        <f t="shared" si="48"/>
        <v>47</v>
      </c>
    </row>
    <row r="2650" spans="19:22">
      <c r="S2650" s="16">
        <v>4635</v>
      </c>
      <c r="T2650" s="16" t="s">
        <v>3090</v>
      </c>
      <c r="U2650" s="17">
        <f>COUNTIFS(WTG_BD!L:L,'Basic Data'!T2650,WTG_BD!F:F,"&gt;="&amp;O2Summary!$B$6,WTG_BD!F:F,"&lt;="&amp;O2Summary!$B$4)</f>
        <v>0</v>
      </c>
      <c r="V2650" s="18">
        <f t="shared" si="48"/>
        <v>47</v>
      </c>
    </row>
    <row r="2651" spans="19:22">
      <c r="S2651" s="16">
        <v>4636</v>
      </c>
      <c r="T2651" s="16" t="s">
        <v>2821</v>
      </c>
      <c r="U2651" s="17">
        <f>COUNTIFS(WTG_BD!L:L,'Basic Data'!T2651,WTG_BD!F:F,"&gt;="&amp;O2Summary!$B$6,WTG_BD!F:F,"&lt;="&amp;O2Summary!$B$4)</f>
        <v>0</v>
      </c>
      <c r="V2651" s="18">
        <f t="shared" si="48"/>
        <v>47</v>
      </c>
    </row>
    <row r="2652" spans="19:22">
      <c r="S2652" s="16">
        <v>4637</v>
      </c>
      <c r="T2652" s="16" t="s">
        <v>3091</v>
      </c>
      <c r="U2652" s="17">
        <f>COUNTIFS(WTG_BD!L:L,'Basic Data'!T2652,WTG_BD!F:F,"&gt;="&amp;O2Summary!$B$6,WTG_BD!F:F,"&lt;="&amp;O2Summary!$B$4)</f>
        <v>0</v>
      </c>
      <c r="V2652" s="18">
        <f t="shared" si="48"/>
        <v>47</v>
      </c>
    </row>
    <row r="2653" spans="19:22">
      <c r="S2653" s="16">
        <v>4638</v>
      </c>
      <c r="T2653" s="16" t="s">
        <v>3092</v>
      </c>
      <c r="U2653" s="17">
        <f>COUNTIFS(WTG_BD!L:L,'Basic Data'!T2653,WTG_BD!F:F,"&gt;="&amp;O2Summary!$B$6,WTG_BD!F:F,"&lt;="&amp;O2Summary!$B$4)</f>
        <v>0</v>
      </c>
      <c r="V2653" s="18">
        <f t="shared" si="48"/>
        <v>47</v>
      </c>
    </row>
    <row r="2654" spans="19:22">
      <c r="S2654" s="16">
        <v>4639</v>
      </c>
      <c r="T2654" s="16" t="s">
        <v>3093</v>
      </c>
      <c r="U2654" s="17">
        <f>COUNTIFS(WTG_BD!L:L,'Basic Data'!T2654,WTG_BD!F:F,"&gt;="&amp;O2Summary!$B$6,WTG_BD!F:F,"&lt;="&amp;O2Summary!$B$4)</f>
        <v>0</v>
      </c>
      <c r="V2654" s="18">
        <f t="shared" si="48"/>
        <v>47</v>
      </c>
    </row>
    <row r="2655" spans="19:22">
      <c r="S2655" s="16">
        <v>4640</v>
      </c>
      <c r="T2655" s="16" t="s">
        <v>3094</v>
      </c>
      <c r="U2655" s="17">
        <f>COUNTIFS(WTG_BD!L:L,'Basic Data'!T2655,WTG_BD!F:F,"&gt;="&amp;O2Summary!$B$6,WTG_BD!F:F,"&lt;="&amp;O2Summary!$B$4)</f>
        <v>0</v>
      </c>
      <c r="V2655" s="18">
        <f t="shared" si="48"/>
        <v>47</v>
      </c>
    </row>
    <row r="2656" spans="19:22">
      <c r="S2656" s="16">
        <v>4641</v>
      </c>
      <c r="T2656" s="16" t="s">
        <v>3095</v>
      </c>
      <c r="U2656" s="17">
        <f>COUNTIFS(WTG_BD!L:L,'Basic Data'!T2656,WTG_BD!F:F,"&gt;="&amp;O2Summary!$B$6,WTG_BD!F:F,"&lt;="&amp;O2Summary!$B$4)</f>
        <v>0</v>
      </c>
      <c r="V2656" s="18">
        <f t="shared" si="48"/>
        <v>47</v>
      </c>
    </row>
    <row r="2657" spans="19:22">
      <c r="S2657" s="16">
        <v>4642</v>
      </c>
      <c r="T2657" s="16" t="s">
        <v>3096</v>
      </c>
      <c r="U2657" s="17">
        <f>COUNTIFS(WTG_BD!L:L,'Basic Data'!T2657,WTG_BD!F:F,"&gt;="&amp;O2Summary!$B$6,WTG_BD!F:F,"&lt;="&amp;O2Summary!$B$4)</f>
        <v>0</v>
      </c>
      <c r="V2657" s="18">
        <f t="shared" si="48"/>
        <v>47</v>
      </c>
    </row>
    <row r="2658" spans="19:22">
      <c r="S2658" s="16">
        <v>4643</v>
      </c>
      <c r="T2658" s="16" t="s">
        <v>3097</v>
      </c>
      <c r="U2658" s="17">
        <f>COUNTIFS(WTG_BD!L:L,'Basic Data'!T2658,WTG_BD!F:F,"&gt;="&amp;O2Summary!$B$6,WTG_BD!F:F,"&lt;="&amp;O2Summary!$B$4)</f>
        <v>0</v>
      </c>
      <c r="V2658" s="18">
        <f t="shared" si="48"/>
        <v>47</v>
      </c>
    </row>
    <row r="2659" spans="19:22">
      <c r="S2659" s="16">
        <v>4644</v>
      </c>
      <c r="T2659" s="16" t="s">
        <v>3098</v>
      </c>
      <c r="U2659" s="17">
        <f>COUNTIFS(WTG_BD!L:L,'Basic Data'!T2659,WTG_BD!F:F,"&gt;="&amp;O2Summary!$B$6,WTG_BD!F:F,"&lt;="&amp;O2Summary!$B$4)</f>
        <v>0</v>
      </c>
      <c r="V2659" s="18">
        <f t="shared" si="48"/>
        <v>47</v>
      </c>
    </row>
    <row r="2660" spans="19:22">
      <c r="S2660" s="16">
        <v>4645</v>
      </c>
      <c r="T2660" s="16" t="s">
        <v>3099</v>
      </c>
      <c r="U2660" s="17">
        <f>COUNTIFS(WTG_BD!L:L,'Basic Data'!T2660,WTG_BD!F:F,"&gt;="&amp;O2Summary!$B$6,WTG_BD!F:F,"&lt;="&amp;O2Summary!$B$4)</f>
        <v>0</v>
      </c>
      <c r="V2660" s="18">
        <f t="shared" si="48"/>
        <v>47</v>
      </c>
    </row>
    <row r="2661" spans="19:22">
      <c r="S2661" s="16">
        <v>4646</v>
      </c>
      <c r="T2661" s="16" t="s">
        <v>3100</v>
      </c>
      <c r="U2661" s="17">
        <f>COUNTIFS(WTG_BD!L:L,'Basic Data'!T2661,WTG_BD!F:F,"&gt;="&amp;O2Summary!$B$6,WTG_BD!F:F,"&lt;="&amp;O2Summary!$B$4)</f>
        <v>0</v>
      </c>
      <c r="V2661" s="18">
        <f t="shared" si="48"/>
        <v>47</v>
      </c>
    </row>
    <row r="2662" spans="19:22">
      <c r="S2662" s="16">
        <v>4647</v>
      </c>
      <c r="T2662" s="16" t="s">
        <v>3101</v>
      </c>
      <c r="U2662" s="17">
        <f>COUNTIFS(WTG_BD!L:L,'Basic Data'!T2662,WTG_BD!F:F,"&gt;="&amp;O2Summary!$B$6,WTG_BD!F:F,"&lt;="&amp;O2Summary!$B$4)</f>
        <v>0</v>
      </c>
      <c r="V2662" s="18">
        <f t="shared" si="48"/>
        <v>47</v>
      </c>
    </row>
    <row r="2663" spans="19:22">
      <c r="S2663" s="16">
        <v>4648</v>
      </c>
      <c r="T2663" s="16" t="s">
        <v>3102</v>
      </c>
      <c r="U2663" s="17">
        <f>COUNTIFS(WTG_BD!L:L,'Basic Data'!T2663,WTG_BD!F:F,"&gt;="&amp;O2Summary!$B$6,WTG_BD!F:F,"&lt;="&amp;O2Summary!$B$4)</f>
        <v>0</v>
      </c>
      <c r="V2663" s="18">
        <f t="shared" si="48"/>
        <v>47</v>
      </c>
    </row>
    <row r="2664" spans="19:22">
      <c r="S2664" s="16">
        <v>4649</v>
      </c>
      <c r="T2664" s="16" t="s">
        <v>3103</v>
      </c>
      <c r="U2664" s="17">
        <f>COUNTIFS(WTG_BD!L:L,'Basic Data'!T2664,WTG_BD!F:F,"&gt;="&amp;O2Summary!$B$6,WTG_BD!F:F,"&lt;="&amp;O2Summary!$B$4)</f>
        <v>0</v>
      </c>
      <c r="V2664" s="18">
        <f t="shared" si="48"/>
        <v>47</v>
      </c>
    </row>
    <row r="2665" spans="19:22">
      <c r="S2665" s="16">
        <v>4650</v>
      </c>
      <c r="T2665" s="16" t="s">
        <v>3104</v>
      </c>
      <c r="U2665" s="17">
        <f>COUNTIFS(WTG_BD!L:L,'Basic Data'!T2665,WTG_BD!F:F,"&gt;="&amp;O2Summary!$B$6,WTG_BD!F:F,"&lt;="&amp;O2Summary!$B$4)</f>
        <v>0</v>
      </c>
      <c r="V2665" s="18">
        <f t="shared" si="48"/>
        <v>47</v>
      </c>
    </row>
    <row r="2666" spans="19:22">
      <c r="S2666" s="16">
        <v>4651</v>
      </c>
      <c r="T2666" s="16" t="s">
        <v>3105</v>
      </c>
      <c r="U2666" s="17">
        <f>COUNTIFS(WTG_BD!L:L,'Basic Data'!T2666,WTG_BD!F:F,"&gt;="&amp;O2Summary!$B$6,WTG_BD!F:F,"&lt;="&amp;O2Summary!$B$4)</f>
        <v>0</v>
      </c>
      <c r="V2666" s="18">
        <f t="shared" si="48"/>
        <v>47</v>
      </c>
    </row>
    <row r="2667" spans="19:22">
      <c r="S2667" s="16">
        <v>4652</v>
      </c>
      <c r="T2667" s="16" t="s">
        <v>3106</v>
      </c>
      <c r="U2667" s="17">
        <f>COUNTIFS(WTG_BD!L:L,'Basic Data'!T2667,WTG_BD!F:F,"&gt;="&amp;O2Summary!$B$6,WTG_BD!F:F,"&lt;="&amp;O2Summary!$B$4)</f>
        <v>0</v>
      </c>
      <c r="V2667" s="18">
        <f t="shared" si="48"/>
        <v>47</v>
      </c>
    </row>
    <row r="2668" spans="19:22">
      <c r="S2668" s="16">
        <v>4656</v>
      </c>
      <c r="T2668" s="16" t="s">
        <v>3107</v>
      </c>
      <c r="U2668" s="17">
        <f>COUNTIFS(WTG_BD!L:L,'Basic Data'!T2668,WTG_BD!F:F,"&gt;="&amp;O2Summary!$B$6,WTG_BD!F:F,"&lt;="&amp;O2Summary!$B$4)</f>
        <v>0</v>
      </c>
      <c r="V2668" s="18">
        <f t="shared" si="48"/>
        <v>47</v>
      </c>
    </row>
    <row r="2669" spans="19:22">
      <c r="S2669" s="16">
        <v>4657</v>
      </c>
      <c r="T2669" s="16" t="s">
        <v>3108</v>
      </c>
      <c r="U2669" s="17">
        <f>COUNTIFS(WTG_BD!L:L,'Basic Data'!T2669,WTG_BD!F:F,"&gt;="&amp;O2Summary!$B$6,WTG_BD!F:F,"&lt;="&amp;O2Summary!$B$4)</f>
        <v>0</v>
      </c>
      <c r="V2669" s="18">
        <f t="shared" si="48"/>
        <v>47</v>
      </c>
    </row>
    <row r="2670" spans="19:22">
      <c r="S2670" s="16">
        <v>4658</v>
      </c>
      <c r="T2670" s="16" t="s">
        <v>3109</v>
      </c>
      <c r="U2670" s="17">
        <f>COUNTIFS(WTG_BD!L:L,'Basic Data'!T2670,WTG_BD!F:F,"&gt;="&amp;O2Summary!$B$6,WTG_BD!F:F,"&lt;="&amp;O2Summary!$B$4)</f>
        <v>0</v>
      </c>
      <c r="V2670" s="18">
        <f t="shared" si="48"/>
        <v>47</v>
      </c>
    </row>
    <row r="2671" spans="19:22">
      <c r="S2671" s="16">
        <v>4659</v>
      </c>
      <c r="T2671" s="16" t="s">
        <v>3110</v>
      </c>
      <c r="U2671" s="17">
        <f>COUNTIFS(WTG_BD!L:L,'Basic Data'!T2671,WTG_BD!F:F,"&gt;="&amp;O2Summary!$B$6,WTG_BD!F:F,"&lt;="&amp;O2Summary!$B$4)</f>
        <v>0</v>
      </c>
      <c r="V2671" s="18">
        <f t="shared" si="48"/>
        <v>47</v>
      </c>
    </row>
    <row r="2672" spans="19:22">
      <c r="S2672" s="16">
        <v>4660</v>
      </c>
      <c r="T2672" s="16" t="s">
        <v>2415</v>
      </c>
      <c r="U2672" s="17">
        <f>COUNTIFS(WTG_BD!L:L,'Basic Data'!T2672,WTG_BD!F:F,"&gt;="&amp;O2Summary!$B$6,WTG_BD!F:F,"&lt;="&amp;O2Summary!$B$4)</f>
        <v>0</v>
      </c>
      <c r="V2672" s="18">
        <f t="shared" si="48"/>
        <v>47</v>
      </c>
    </row>
    <row r="2673" spans="19:22">
      <c r="S2673" s="16">
        <v>4661</v>
      </c>
      <c r="T2673" s="16" t="s">
        <v>3110</v>
      </c>
      <c r="U2673" s="17">
        <f>COUNTIFS(WTG_BD!L:L,'Basic Data'!T2673,WTG_BD!F:F,"&gt;="&amp;O2Summary!$B$6,WTG_BD!F:F,"&lt;="&amp;O2Summary!$B$4)</f>
        <v>0</v>
      </c>
      <c r="V2673" s="18">
        <f t="shared" si="48"/>
        <v>47</v>
      </c>
    </row>
    <row r="2674" spans="19:22">
      <c r="S2674" s="16">
        <v>4662</v>
      </c>
      <c r="T2674" s="16" t="s">
        <v>3111</v>
      </c>
      <c r="U2674" s="17">
        <f>COUNTIFS(WTG_BD!L:L,'Basic Data'!T2674,WTG_BD!F:F,"&gt;="&amp;O2Summary!$B$6,WTG_BD!F:F,"&lt;="&amp;O2Summary!$B$4)</f>
        <v>0</v>
      </c>
      <c r="V2674" s="18">
        <f t="shared" si="48"/>
        <v>47</v>
      </c>
    </row>
    <row r="2675" spans="19:22">
      <c r="S2675" s="16">
        <v>4663</v>
      </c>
      <c r="T2675" s="16" t="s">
        <v>3112</v>
      </c>
      <c r="U2675" s="17">
        <f>COUNTIFS(WTG_BD!L:L,'Basic Data'!T2675,WTG_BD!F:F,"&gt;="&amp;O2Summary!$B$6,WTG_BD!F:F,"&lt;="&amp;O2Summary!$B$4)</f>
        <v>0</v>
      </c>
      <c r="V2675" s="18">
        <f t="shared" si="48"/>
        <v>47</v>
      </c>
    </row>
    <row r="2676" spans="19:22">
      <c r="S2676" s="16">
        <v>4664</v>
      </c>
      <c r="T2676" s="16" t="s">
        <v>3113</v>
      </c>
      <c r="U2676" s="17">
        <f>COUNTIFS(WTG_BD!L:L,'Basic Data'!T2676,WTG_BD!F:F,"&gt;="&amp;O2Summary!$B$6,WTG_BD!F:F,"&lt;="&amp;O2Summary!$B$4)</f>
        <v>0</v>
      </c>
      <c r="V2676" s="18">
        <f t="shared" si="48"/>
        <v>47</v>
      </c>
    </row>
    <row r="2677" spans="19:22">
      <c r="S2677" s="16">
        <v>4665</v>
      </c>
      <c r="T2677" s="16" t="s">
        <v>3114</v>
      </c>
      <c r="U2677" s="17">
        <f>COUNTIFS(WTG_BD!L:L,'Basic Data'!T2677,WTG_BD!F:F,"&gt;="&amp;O2Summary!$B$6,WTG_BD!F:F,"&lt;="&amp;O2Summary!$B$4)</f>
        <v>0</v>
      </c>
      <c r="V2677" s="18">
        <f t="shared" si="48"/>
        <v>47</v>
      </c>
    </row>
    <row r="2678" spans="19:22">
      <c r="S2678" s="16">
        <v>4666</v>
      </c>
      <c r="T2678" s="16" t="s">
        <v>3115</v>
      </c>
      <c r="U2678" s="17">
        <f>COUNTIFS(WTG_BD!L:L,'Basic Data'!T2678,WTG_BD!F:F,"&gt;="&amp;O2Summary!$B$6,WTG_BD!F:F,"&lt;="&amp;O2Summary!$B$4)</f>
        <v>0</v>
      </c>
      <c r="V2678" s="18">
        <f t="shared" si="48"/>
        <v>47</v>
      </c>
    </row>
    <row r="2679" spans="19:22">
      <c r="S2679" s="16">
        <v>4667</v>
      </c>
      <c r="T2679" s="16" t="s">
        <v>3116</v>
      </c>
      <c r="U2679" s="17">
        <f>COUNTIFS(WTG_BD!L:L,'Basic Data'!T2679,WTG_BD!F:F,"&gt;="&amp;O2Summary!$B$6,WTG_BD!F:F,"&lt;="&amp;O2Summary!$B$4)</f>
        <v>0</v>
      </c>
      <c r="V2679" s="18">
        <f t="shared" si="48"/>
        <v>47</v>
      </c>
    </row>
    <row r="2680" spans="19:22">
      <c r="S2680" s="16">
        <v>4668</v>
      </c>
      <c r="T2680" s="16" t="s">
        <v>3117</v>
      </c>
      <c r="U2680" s="17">
        <f>COUNTIFS(WTG_BD!L:L,'Basic Data'!T2680,WTG_BD!F:F,"&gt;="&amp;O2Summary!$B$6,WTG_BD!F:F,"&lt;="&amp;O2Summary!$B$4)</f>
        <v>0</v>
      </c>
      <c r="V2680" s="18">
        <f t="shared" si="48"/>
        <v>47</v>
      </c>
    </row>
    <row r="2681" spans="19:22">
      <c r="S2681" s="16">
        <v>4669</v>
      </c>
      <c r="T2681" s="16" t="s">
        <v>3118</v>
      </c>
      <c r="U2681" s="17">
        <f>COUNTIFS(WTG_BD!L:L,'Basic Data'!T2681,WTG_BD!F:F,"&gt;="&amp;O2Summary!$B$6,WTG_BD!F:F,"&lt;="&amp;O2Summary!$B$4)</f>
        <v>0</v>
      </c>
      <c r="V2681" s="18">
        <f t="shared" si="48"/>
        <v>47</v>
      </c>
    </row>
    <row r="2682" spans="19:22">
      <c r="S2682" s="16">
        <v>4670</v>
      </c>
      <c r="T2682" s="16" t="s">
        <v>3119</v>
      </c>
      <c r="U2682" s="17">
        <f>COUNTIFS(WTG_BD!L:L,'Basic Data'!T2682,WTG_BD!F:F,"&gt;="&amp;O2Summary!$B$6,WTG_BD!F:F,"&lt;="&amp;O2Summary!$B$4)</f>
        <v>0</v>
      </c>
      <c r="V2682" s="18">
        <f t="shared" si="48"/>
        <v>47</v>
      </c>
    </row>
    <row r="2683" spans="19:22">
      <c r="S2683" s="16">
        <v>4671</v>
      </c>
      <c r="T2683" s="16" t="s">
        <v>3120</v>
      </c>
      <c r="U2683" s="17">
        <f>COUNTIFS(WTG_BD!L:L,'Basic Data'!T2683,WTG_BD!F:F,"&gt;="&amp;O2Summary!$B$6,WTG_BD!F:F,"&lt;="&amp;O2Summary!$B$4)</f>
        <v>0</v>
      </c>
      <c r="V2683" s="18">
        <f t="shared" si="48"/>
        <v>47</v>
      </c>
    </row>
    <row r="2684" spans="19:22">
      <c r="S2684" s="16">
        <v>4672</v>
      </c>
      <c r="T2684" s="16" t="s">
        <v>3121</v>
      </c>
      <c r="U2684" s="17">
        <f>COUNTIFS(WTG_BD!L:L,'Basic Data'!T2684,WTG_BD!F:F,"&gt;="&amp;O2Summary!$B$6,WTG_BD!F:F,"&lt;="&amp;O2Summary!$B$4)</f>
        <v>0</v>
      </c>
      <c r="V2684" s="18">
        <f t="shared" si="48"/>
        <v>47</v>
      </c>
    </row>
    <row r="2685" spans="19:22">
      <c r="S2685" s="16">
        <v>4673</v>
      </c>
      <c r="T2685" s="16" t="s">
        <v>3122</v>
      </c>
      <c r="U2685" s="17">
        <f>COUNTIFS(WTG_BD!L:L,'Basic Data'!T2685,WTG_BD!F:F,"&gt;="&amp;O2Summary!$B$6,WTG_BD!F:F,"&lt;="&amp;O2Summary!$B$4)</f>
        <v>0</v>
      </c>
      <c r="V2685" s="18">
        <f t="shared" si="48"/>
        <v>47</v>
      </c>
    </row>
    <row r="2686" spans="19:22">
      <c r="S2686" s="16">
        <v>4674</v>
      </c>
      <c r="T2686" s="16" t="s">
        <v>3123</v>
      </c>
      <c r="U2686" s="17">
        <f>COUNTIFS(WTG_BD!L:L,'Basic Data'!T2686,WTG_BD!F:F,"&gt;="&amp;O2Summary!$B$6,WTG_BD!F:F,"&lt;="&amp;O2Summary!$B$4)</f>
        <v>0</v>
      </c>
      <c r="V2686" s="18">
        <f t="shared" si="48"/>
        <v>47</v>
      </c>
    </row>
    <row r="2687" spans="19:22">
      <c r="S2687" s="16">
        <v>4675</v>
      </c>
      <c r="T2687" s="16" t="s">
        <v>3124</v>
      </c>
      <c r="U2687" s="17">
        <f>COUNTIFS(WTG_BD!L:L,'Basic Data'!T2687,WTG_BD!F:F,"&gt;="&amp;O2Summary!$B$6,WTG_BD!F:F,"&lt;="&amp;O2Summary!$B$4)</f>
        <v>0</v>
      </c>
      <c r="V2687" s="18">
        <f t="shared" si="48"/>
        <v>47</v>
      </c>
    </row>
    <row r="2688" spans="19:22">
      <c r="S2688" s="16">
        <v>4676</v>
      </c>
      <c r="T2688" s="16" t="s">
        <v>3125</v>
      </c>
      <c r="U2688" s="17">
        <f>COUNTIFS(WTG_BD!L:L,'Basic Data'!T2688,WTG_BD!F:F,"&gt;="&amp;O2Summary!$B$6,WTG_BD!F:F,"&lt;="&amp;O2Summary!$B$4)</f>
        <v>0</v>
      </c>
      <c r="V2688" s="18">
        <f t="shared" si="48"/>
        <v>47</v>
      </c>
    </row>
    <row r="2689" spans="19:22">
      <c r="S2689" s="16">
        <v>4677</v>
      </c>
      <c r="T2689" s="16" t="s">
        <v>3126</v>
      </c>
      <c r="U2689" s="17">
        <f>COUNTIFS(WTG_BD!L:L,'Basic Data'!T2689,WTG_BD!F:F,"&gt;="&amp;O2Summary!$B$6,WTG_BD!F:F,"&lt;="&amp;O2Summary!$B$4)</f>
        <v>0</v>
      </c>
      <c r="V2689" s="18">
        <f t="shared" si="48"/>
        <v>47</v>
      </c>
    </row>
    <row r="2690" spans="19:22">
      <c r="S2690" s="16">
        <v>4678</v>
      </c>
      <c r="T2690" s="16" t="s">
        <v>3127</v>
      </c>
      <c r="U2690" s="17">
        <f>COUNTIFS(WTG_BD!L:L,'Basic Data'!T2690,WTG_BD!F:F,"&gt;="&amp;O2Summary!$B$6,WTG_BD!F:F,"&lt;="&amp;O2Summary!$B$4)</f>
        <v>0</v>
      </c>
      <c r="V2690" s="18">
        <f t="shared" si="48"/>
        <v>47</v>
      </c>
    </row>
    <row r="2691" spans="19:22">
      <c r="S2691" s="16">
        <v>4679</v>
      </c>
      <c r="T2691" s="16" t="s">
        <v>3128</v>
      </c>
      <c r="U2691" s="17">
        <f>COUNTIFS(WTG_BD!L:L,'Basic Data'!T2691,WTG_BD!F:F,"&gt;="&amp;O2Summary!$B$6,WTG_BD!F:F,"&lt;="&amp;O2Summary!$B$4)</f>
        <v>0</v>
      </c>
      <c r="V2691" s="18">
        <f t="shared" ref="V2691:V2754" si="49">RANK(U2691,$U$2:$U$3975)</f>
        <v>47</v>
      </c>
    </row>
    <row r="2692" spans="19:22">
      <c r="S2692" s="16">
        <v>4680</v>
      </c>
      <c r="T2692" s="16" t="s">
        <v>3129</v>
      </c>
      <c r="U2692" s="17">
        <f>COUNTIFS(WTG_BD!L:L,'Basic Data'!T2692,WTG_BD!F:F,"&gt;="&amp;O2Summary!$B$6,WTG_BD!F:F,"&lt;="&amp;O2Summary!$B$4)</f>
        <v>0</v>
      </c>
      <c r="V2692" s="18">
        <f t="shared" si="49"/>
        <v>47</v>
      </c>
    </row>
    <row r="2693" spans="19:22">
      <c r="S2693" s="16">
        <v>4681</v>
      </c>
      <c r="T2693" s="16" t="s">
        <v>3130</v>
      </c>
      <c r="U2693" s="17">
        <f>COUNTIFS(WTG_BD!L:L,'Basic Data'!T2693,WTG_BD!F:F,"&gt;="&amp;O2Summary!$B$6,WTG_BD!F:F,"&lt;="&amp;O2Summary!$B$4)</f>
        <v>0</v>
      </c>
      <c r="V2693" s="18">
        <f t="shared" si="49"/>
        <v>47</v>
      </c>
    </row>
    <row r="2694" spans="19:22">
      <c r="S2694" s="16">
        <v>4682</v>
      </c>
      <c r="T2694" s="16" t="s">
        <v>3131</v>
      </c>
      <c r="U2694" s="17">
        <f>COUNTIFS(WTG_BD!L:L,'Basic Data'!T2694,WTG_BD!F:F,"&gt;="&amp;O2Summary!$B$6,WTG_BD!F:F,"&lt;="&amp;O2Summary!$B$4)</f>
        <v>0</v>
      </c>
      <c r="V2694" s="18">
        <f t="shared" si="49"/>
        <v>47</v>
      </c>
    </row>
    <row r="2695" spans="19:22">
      <c r="S2695" s="16">
        <v>4683</v>
      </c>
      <c r="T2695" s="16" t="s">
        <v>3132</v>
      </c>
      <c r="U2695" s="17">
        <f>COUNTIFS(WTG_BD!L:L,'Basic Data'!T2695,WTG_BD!F:F,"&gt;="&amp;O2Summary!$B$6,WTG_BD!F:F,"&lt;="&amp;O2Summary!$B$4)</f>
        <v>0</v>
      </c>
      <c r="V2695" s="18">
        <f t="shared" si="49"/>
        <v>47</v>
      </c>
    </row>
    <row r="2696" spans="19:22">
      <c r="S2696" s="16">
        <v>4684</v>
      </c>
      <c r="T2696" s="16" t="s">
        <v>3133</v>
      </c>
      <c r="U2696" s="17">
        <f>COUNTIFS(WTG_BD!L:L,'Basic Data'!T2696,WTG_BD!F:F,"&gt;="&amp;O2Summary!$B$6,WTG_BD!F:F,"&lt;="&amp;O2Summary!$B$4)</f>
        <v>0</v>
      </c>
      <c r="V2696" s="18">
        <f t="shared" si="49"/>
        <v>47</v>
      </c>
    </row>
    <row r="2697" spans="19:22">
      <c r="S2697" s="16">
        <v>4685</v>
      </c>
      <c r="T2697" s="16" t="s">
        <v>3134</v>
      </c>
      <c r="U2697" s="17">
        <f>COUNTIFS(WTG_BD!L:L,'Basic Data'!T2697,WTG_BD!F:F,"&gt;="&amp;O2Summary!$B$6,WTG_BD!F:F,"&lt;="&amp;O2Summary!$B$4)</f>
        <v>0</v>
      </c>
      <c r="V2697" s="18">
        <f t="shared" si="49"/>
        <v>47</v>
      </c>
    </row>
    <row r="2698" spans="19:22">
      <c r="S2698" s="16">
        <v>4686</v>
      </c>
      <c r="T2698" s="16" t="s">
        <v>3135</v>
      </c>
      <c r="U2698" s="17">
        <f>COUNTIFS(WTG_BD!L:L,'Basic Data'!T2698,WTG_BD!F:F,"&gt;="&amp;O2Summary!$B$6,WTG_BD!F:F,"&lt;="&amp;O2Summary!$B$4)</f>
        <v>0</v>
      </c>
      <c r="V2698" s="18">
        <f t="shared" si="49"/>
        <v>47</v>
      </c>
    </row>
    <row r="2699" spans="19:22">
      <c r="S2699" s="16">
        <v>4687</v>
      </c>
      <c r="T2699" s="16" t="s">
        <v>3136</v>
      </c>
      <c r="U2699" s="17">
        <f>COUNTIFS(WTG_BD!L:L,'Basic Data'!T2699,WTG_BD!F:F,"&gt;="&amp;O2Summary!$B$6,WTG_BD!F:F,"&lt;="&amp;O2Summary!$B$4)</f>
        <v>0</v>
      </c>
      <c r="V2699" s="18">
        <f t="shared" si="49"/>
        <v>47</v>
      </c>
    </row>
    <row r="2700" spans="19:22">
      <c r="S2700" s="16">
        <v>4688</v>
      </c>
      <c r="T2700" s="16" t="s">
        <v>3137</v>
      </c>
      <c r="U2700" s="17">
        <f>COUNTIFS(WTG_BD!L:L,'Basic Data'!T2700,WTG_BD!F:F,"&gt;="&amp;O2Summary!$B$6,WTG_BD!F:F,"&lt;="&amp;O2Summary!$B$4)</f>
        <v>0</v>
      </c>
      <c r="V2700" s="18">
        <f t="shared" si="49"/>
        <v>47</v>
      </c>
    </row>
    <row r="2701" spans="19:22">
      <c r="S2701" s="16">
        <v>4692</v>
      </c>
      <c r="T2701" s="16" t="s">
        <v>3138</v>
      </c>
      <c r="U2701" s="17">
        <f>COUNTIFS(WTG_BD!L:L,'Basic Data'!T2701,WTG_BD!F:F,"&gt;="&amp;O2Summary!$B$6,WTG_BD!F:F,"&lt;="&amp;O2Summary!$B$4)</f>
        <v>0</v>
      </c>
      <c r="V2701" s="18">
        <f t="shared" si="49"/>
        <v>47</v>
      </c>
    </row>
    <row r="2702" spans="19:22">
      <c r="S2702" s="16">
        <v>4693</v>
      </c>
      <c r="T2702" s="16" t="s">
        <v>3139</v>
      </c>
      <c r="U2702" s="17">
        <f>COUNTIFS(WTG_BD!L:L,'Basic Data'!T2702,WTG_BD!F:F,"&gt;="&amp;O2Summary!$B$6,WTG_BD!F:F,"&lt;="&amp;O2Summary!$B$4)</f>
        <v>0</v>
      </c>
      <c r="V2702" s="18">
        <f t="shared" si="49"/>
        <v>47</v>
      </c>
    </row>
    <row r="2703" spans="19:22">
      <c r="S2703" s="16">
        <v>4694</v>
      </c>
      <c r="T2703" s="16" t="s">
        <v>3140</v>
      </c>
      <c r="U2703" s="17">
        <f>COUNTIFS(WTG_BD!L:L,'Basic Data'!T2703,WTG_BD!F:F,"&gt;="&amp;O2Summary!$B$6,WTG_BD!F:F,"&lt;="&amp;O2Summary!$B$4)</f>
        <v>0</v>
      </c>
      <c r="V2703" s="18">
        <f t="shared" si="49"/>
        <v>47</v>
      </c>
    </row>
    <row r="2704" spans="19:22">
      <c r="S2704" s="16">
        <v>4696</v>
      </c>
      <c r="T2704" s="16" t="s">
        <v>3141</v>
      </c>
      <c r="U2704" s="17">
        <f>COUNTIFS(WTG_BD!L:L,'Basic Data'!T2704,WTG_BD!F:F,"&gt;="&amp;O2Summary!$B$6,WTG_BD!F:F,"&lt;="&amp;O2Summary!$B$4)</f>
        <v>0</v>
      </c>
      <c r="V2704" s="18">
        <f t="shared" si="49"/>
        <v>47</v>
      </c>
    </row>
    <row r="2705" spans="19:22">
      <c r="S2705" s="16">
        <v>4697</v>
      </c>
      <c r="T2705" s="16" t="s">
        <v>3142</v>
      </c>
      <c r="U2705" s="17">
        <f>COUNTIFS(WTG_BD!L:L,'Basic Data'!T2705,WTG_BD!F:F,"&gt;="&amp;O2Summary!$B$6,WTG_BD!F:F,"&lt;="&amp;O2Summary!$B$4)</f>
        <v>0</v>
      </c>
      <c r="V2705" s="18">
        <f t="shared" si="49"/>
        <v>47</v>
      </c>
    </row>
    <row r="2706" spans="19:22">
      <c r="S2706" s="16">
        <v>4698</v>
      </c>
      <c r="T2706" s="16" t="s">
        <v>3143</v>
      </c>
      <c r="U2706" s="17">
        <f>COUNTIFS(WTG_BD!L:L,'Basic Data'!T2706,WTG_BD!F:F,"&gt;="&amp;O2Summary!$B$6,WTG_BD!F:F,"&lt;="&amp;O2Summary!$B$4)</f>
        <v>0</v>
      </c>
      <c r="V2706" s="18">
        <f t="shared" si="49"/>
        <v>47</v>
      </c>
    </row>
    <row r="2707" spans="19:22">
      <c r="S2707" s="16">
        <v>4699</v>
      </c>
      <c r="T2707" s="16" t="s">
        <v>3144</v>
      </c>
      <c r="U2707" s="17">
        <f>COUNTIFS(WTG_BD!L:L,'Basic Data'!T2707,WTG_BD!F:F,"&gt;="&amp;O2Summary!$B$6,WTG_BD!F:F,"&lt;="&amp;O2Summary!$B$4)</f>
        <v>0</v>
      </c>
      <c r="V2707" s="18">
        <f t="shared" si="49"/>
        <v>47</v>
      </c>
    </row>
    <row r="2708" spans="19:22">
      <c r="S2708" s="16">
        <v>4700</v>
      </c>
      <c r="T2708" s="16" t="s">
        <v>3141</v>
      </c>
      <c r="U2708" s="17">
        <f>COUNTIFS(WTG_BD!L:L,'Basic Data'!T2708,WTG_BD!F:F,"&gt;="&amp;O2Summary!$B$6,WTG_BD!F:F,"&lt;="&amp;O2Summary!$B$4)</f>
        <v>0</v>
      </c>
      <c r="V2708" s="18">
        <f t="shared" si="49"/>
        <v>47</v>
      </c>
    </row>
    <row r="2709" spans="19:22">
      <c r="S2709" s="26">
        <v>4701</v>
      </c>
      <c r="T2709" s="26" t="s">
        <v>3145</v>
      </c>
      <c r="U2709" s="17">
        <f>COUNTIFS(WTG_BD!L:L,'Basic Data'!T2709,WTG_BD!F:F,"&gt;="&amp;O2Summary!$B$6,WTG_BD!F:F,"&lt;="&amp;O2Summary!$B$4)</f>
        <v>0</v>
      </c>
      <c r="V2709" s="18">
        <f t="shared" si="49"/>
        <v>47</v>
      </c>
    </row>
    <row r="2710" spans="19:22">
      <c r="S2710" s="26">
        <v>4702</v>
      </c>
      <c r="T2710" s="26" t="s">
        <v>3146</v>
      </c>
      <c r="U2710" s="17">
        <f>COUNTIFS(WTG_BD!L:L,'Basic Data'!T2710,WTG_BD!F:F,"&gt;="&amp;O2Summary!$B$6,WTG_BD!F:F,"&lt;="&amp;O2Summary!$B$4)</f>
        <v>0</v>
      </c>
      <c r="V2710" s="18">
        <f t="shared" si="49"/>
        <v>47</v>
      </c>
    </row>
    <row r="2711" spans="19:22">
      <c r="S2711" s="26">
        <v>4703</v>
      </c>
      <c r="T2711" s="26" t="s">
        <v>3147</v>
      </c>
      <c r="U2711" s="17">
        <f>COUNTIFS(WTG_BD!L:L,'Basic Data'!T2711,WTG_BD!F:F,"&gt;="&amp;O2Summary!$B$6,WTG_BD!F:F,"&lt;="&amp;O2Summary!$B$4)</f>
        <v>0</v>
      </c>
      <c r="V2711" s="18">
        <f t="shared" si="49"/>
        <v>47</v>
      </c>
    </row>
    <row r="2712" spans="19:22">
      <c r="S2712" s="26">
        <v>4704</v>
      </c>
      <c r="T2712" s="26" t="s">
        <v>3148</v>
      </c>
      <c r="U2712" s="17">
        <f>COUNTIFS(WTG_BD!L:L,'Basic Data'!T2712,WTG_BD!F:F,"&gt;="&amp;O2Summary!$B$6,WTG_BD!F:F,"&lt;="&amp;O2Summary!$B$4)</f>
        <v>0</v>
      </c>
      <c r="V2712" s="18">
        <f t="shared" si="49"/>
        <v>47</v>
      </c>
    </row>
    <row r="2713" spans="19:22">
      <c r="S2713" s="16">
        <v>4705</v>
      </c>
      <c r="T2713" s="16" t="s">
        <v>3149</v>
      </c>
      <c r="U2713" s="17">
        <f>COUNTIFS(WTG_BD!L:L,'Basic Data'!T2713,WTG_BD!F:F,"&gt;="&amp;O2Summary!$B$6,WTG_BD!F:F,"&lt;="&amp;O2Summary!$B$4)</f>
        <v>0</v>
      </c>
      <c r="V2713" s="18">
        <f t="shared" si="49"/>
        <v>47</v>
      </c>
    </row>
    <row r="2714" spans="19:22">
      <c r="S2714" s="16">
        <v>4706</v>
      </c>
      <c r="T2714" s="16" t="s">
        <v>3150</v>
      </c>
      <c r="U2714" s="17">
        <f>COUNTIFS(WTG_BD!L:L,'Basic Data'!T2714,WTG_BD!F:F,"&gt;="&amp;O2Summary!$B$6,WTG_BD!F:F,"&lt;="&amp;O2Summary!$B$4)</f>
        <v>0</v>
      </c>
      <c r="V2714" s="18">
        <f t="shared" si="49"/>
        <v>47</v>
      </c>
    </row>
    <row r="2715" spans="19:22">
      <c r="S2715" s="16">
        <v>4707</v>
      </c>
      <c r="T2715" s="16" t="s">
        <v>3151</v>
      </c>
      <c r="U2715" s="17">
        <f>COUNTIFS(WTG_BD!L:L,'Basic Data'!T2715,WTG_BD!F:F,"&gt;="&amp;O2Summary!$B$6,WTG_BD!F:F,"&lt;="&amp;O2Summary!$B$4)</f>
        <v>0</v>
      </c>
      <c r="V2715" s="18">
        <f t="shared" si="49"/>
        <v>47</v>
      </c>
    </row>
    <row r="2716" spans="19:22">
      <c r="S2716" s="16">
        <v>4708</v>
      </c>
      <c r="T2716" s="16" t="s">
        <v>3152</v>
      </c>
      <c r="U2716" s="17">
        <f>COUNTIFS(WTG_BD!L:L,'Basic Data'!T2716,WTG_BD!F:F,"&gt;="&amp;O2Summary!$B$6,WTG_BD!F:F,"&lt;="&amp;O2Summary!$B$4)</f>
        <v>0</v>
      </c>
      <c r="V2716" s="18">
        <f t="shared" si="49"/>
        <v>47</v>
      </c>
    </row>
    <row r="2717" spans="19:22">
      <c r="S2717" s="16">
        <v>4709</v>
      </c>
      <c r="T2717" s="16" t="s">
        <v>3153</v>
      </c>
      <c r="U2717" s="17">
        <f>COUNTIFS(WTG_BD!L:L,'Basic Data'!T2717,WTG_BD!F:F,"&gt;="&amp;O2Summary!$B$6,WTG_BD!F:F,"&lt;="&amp;O2Summary!$B$4)</f>
        <v>0</v>
      </c>
      <c r="V2717" s="18">
        <f t="shared" si="49"/>
        <v>47</v>
      </c>
    </row>
    <row r="2718" spans="19:22">
      <c r="S2718" s="16">
        <v>4710</v>
      </c>
      <c r="T2718" s="16" t="s">
        <v>3154</v>
      </c>
      <c r="U2718" s="17">
        <f>COUNTIFS(WTG_BD!L:L,'Basic Data'!T2718,WTG_BD!F:F,"&gt;="&amp;O2Summary!$B$6,WTG_BD!F:F,"&lt;="&amp;O2Summary!$B$4)</f>
        <v>0</v>
      </c>
      <c r="V2718" s="18">
        <f t="shared" si="49"/>
        <v>47</v>
      </c>
    </row>
    <row r="2719" spans="19:22">
      <c r="S2719" s="16">
        <v>4711</v>
      </c>
      <c r="T2719" s="16" t="s">
        <v>3155</v>
      </c>
      <c r="U2719" s="17">
        <f>COUNTIFS(WTG_BD!L:L,'Basic Data'!T2719,WTG_BD!F:F,"&gt;="&amp;O2Summary!$B$6,WTG_BD!F:F,"&lt;="&amp;O2Summary!$B$4)</f>
        <v>0</v>
      </c>
      <c r="V2719" s="18">
        <f t="shared" si="49"/>
        <v>47</v>
      </c>
    </row>
    <row r="2720" spans="19:22">
      <c r="S2720" s="16">
        <v>4712</v>
      </c>
      <c r="T2720" s="16" t="s">
        <v>3156</v>
      </c>
      <c r="U2720" s="17">
        <f>COUNTIFS(WTG_BD!L:L,'Basic Data'!T2720,WTG_BD!F:F,"&gt;="&amp;O2Summary!$B$6,WTG_BD!F:F,"&lt;="&amp;O2Summary!$B$4)</f>
        <v>0</v>
      </c>
      <c r="V2720" s="18">
        <f t="shared" si="49"/>
        <v>47</v>
      </c>
    </row>
    <row r="2721" spans="19:22">
      <c r="S2721" s="16">
        <v>4713</v>
      </c>
      <c r="T2721" s="16" t="s">
        <v>3157</v>
      </c>
      <c r="U2721" s="17">
        <f>COUNTIFS(WTG_BD!L:L,'Basic Data'!T2721,WTG_BD!F:F,"&gt;="&amp;O2Summary!$B$6,WTG_BD!F:F,"&lt;="&amp;O2Summary!$B$4)</f>
        <v>0</v>
      </c>
      <c r="V2721" s="18">
        <f t="shared" si="49"/>
        <v>47</v>
      </c>
    </row>
    <row r="2722" spans="19:22">
      <c r="S2722" s="16">
        <v>4714</v>
      </c>
      <c r="T2722" s="16" t="s">
        <v>3158</v>
      </c>
      <c r="U2722" s="17">
        <f>COUNTIFS(WTG_BD!L:L,'Basic Data'!T2722,WTG_BD!F:F,"&gt;="&amp;O2Summary!$B$6,WTG_BD!F:F,"&lt;="&amp;O2Summary!$B$4)</f>
        <v>0</v>
      </c>
      <c r="V2722" s="18">
        <f t="shared" si="49"/>
        <v>47</v>
      </c>
    </row>
    <row r="2723" spans="19:22">
      <c r="S2723" s="16">
        <v>4715</v>
      </c>
      <c r="T2723" s="16" t="s">
        <v>3159</v>
      </c>
      <c r="U2723" s="17">
        <f>COUNTIFS(WTG_BD!L:L,'Basic Data'!T2723,WTG_BD!F:F,"&gt;="&amp;O2Summary!$B$6,WTG_BD!F:F,"&lt;="&amp;O2Summary!$B$4)</f>
        <v>0</v>
      </c>
      <c r="V2723" s="18">
        <f t="shared" si="49"/>
        <v>47</v>
      </c>
    </row>
    <row r="2724" spans="19:22">
      <c r="S2724" s="16">
        <v>4716</v>
      </c>
      <c r="T2724" s="16" t="s">
        <v>3160</v>
      </c>
      <c r="U2724" s="17">
        <f>COUNTIFS(WTG_BD!L:L,'Basic Data'!T2724,WTG_BD!F:F,"&gt;="&amp;O2Summary!$B$6,WTG_BD!F:F,"&lt;="&amp;O2Summary!$B$4)</f>
        <v>0</v>
      </c>
      <c r="V2724" s="18">
        <f t="shared" si="49"/>
        <v>47</v>
      </c>
    </row>
    <row r="2725" spans="19:22">
      <c r="S2725" s="26">
        <v>4717</v>
      </c>
      <c r="T2725" s="26" t="s">
        <v>3161</v>
      </c>
      <c r="U2725" s="17">
        <f>COUNTIFS(WTG_BD!L:L,'Basic Data'!T2725,WTG_BD!F:F,"&gt;="&amp;O2Summary!$B$6,WTG_BD!F:F,"&lt;="&amp;O2Summary!$B$4)</f>
        <v>0</v>
      </c>
      <c r="V2725" s="18">
        <f t="shared" si="49"/>
        <v>47</v>
      </c>
    </row>
    <row r="2726" spans="19:22">
      <c r="S2726" s="26">
        <v>4718</v>
      </c>
      <c r="T2726" s="26" t="s">
        <v>3162</v>
      </c>
      <c r="U2726" s="17">
        <f>COUNTIFS(WTG_BD!L:L,'Basic Data'!T2726,WTG_BD!F:F,"&gt;="&amp;O2Summary!$B$6,WTG_BD!F:F,"&lt;="&amp;O2Summary!$B$4)</f>
        <v>0</v>
      </c>
      <c r="V2726" s="18">
        <f t="shared" si="49"/>
        <v>47</v>
      </c>
    </row>
    <row r="2727" spans="19:22">
      <c r="S2727" s="26">
        <v>4719</v>
      </c>
      <c r="T2727" s="26" t="s">
        <v>3163</v>
      </c>
      <c r="U2727" s="17">
        <f>COUNTIFS(WTG_BD!L:L,'Basic Data'!T2727,WTG_BD!F:F,"&gt;="&amp;O2Summary!$B$6,WTG_BD!F:F,"&lt;="&amp;O2Summary!$B$4)</f>
        <v>0</v>
      </c>
      <c r="V2727" s="18">
        <f t="shared" si="49"/>
        <v>47</v>
      </c>
    </row>
    <row r="2728" spans="19:22">
      <c r="S2728" s="26">
        <v>4720</v>
      </c>
      <c r="T2728" s="26" t="s">
        <v>3164</v>
      </c>
      <c r="U2728" s="17">
        <f>COUNTIFS(WTG_BD!L:L,'Basic Data'!T2728,WTG_BD!F:F,"&gt;="&amp;O2Summary!$B$6,WTG_BD!F:F,"&lt;="&amp;O2Summary!$B$4)</f>
        <v>0</v>
      </c>
      <c r="V2728" s="18">
        <f t="shared" si="49"/>
        <v>47</v>
      </c>
    </row>
    <row r="2729" spans="19:22">
      <c r="S2729" s="26">
        <v>4721</v>
      </c>
      <c r="T2729" s="26" t="s">
        <v>3165</v>
      </c>
      <c r="U2729" s="17">
        <f>COUNTIFS(WTG_BD!L:L,'Basic Data'!T2729,WTG_BD!F:F,"&gt;="&amp;O2Summary!$B$6,WTG_BD!F:F,"&lt;="&amp;O2Summary!$B$4)</f>
        <v>0</v>
      </c>
      <c r="V2729" s="18">
        <f t="shared" si="49"/>
        <v>47</v>
      </c>
    </row>
    <row r="2730" spans="19:22">
      <c r="S2730" s="26">
        <v>4722</v>
      </c>
      <c r="T2730" s="26" t="s">
        <v>3166</v>
      </c>
      <c r="U2730" s="17">
        <f>COUNTIFS(WTG_BD!L:L,'Basic Data'!T2730,WTG_BD!F:F,"&gt;="&amp;O2Summary!$B$6,WTG_BD!F:F,"&lt;="&amp;O2Summary!$B$4)</f>
        <v>0</v>
      </c>
      <c r="V2730" s="18">
        <f t="shared" si="49"/>
        <v>47</v>
      </c>
    </row>
    <row r="2731" spans="19:22">
      <c r="S2731" s="26">
        <v>4723</v>
      </c>
      <c r="T2731" s="26" t="s">
        <v>3167</v>
      </c>
      <c r="U2731" s="17">
        <f>COUNTIFS(WTG_BD!L:L,'Basic Data'!T2731,WTG_BD!F:F,"&gt;="&amp;O2Summary!$B$6,WTG_BD!F:F,"&lt;="&amp;O2Summary!$B$4)</f>
        <v>0</v>
      </c>
      <c r="V2731" s="18">
        <f t="shared" si="49"/>
        <v>47</v>
      </c>
    </row>
    <row r="2732" spans="19:22">
      <c r="S2732" s="26">
        <v>4724</v>
      </c>
      <c r="T2732" s="26" t="s">
        <v>3168</v>
      </c>
      <c r="U2732" s="17">
        <f>COUNTIFS(WTG_BD!L:L,'Basic Data'!T2732,WTG_BD!F:F,"&gt;="&amp;O2Summary!$B$6,WTG_BD!F:F,"&lt;="&amp;O2Summary!$B$4)</f>
        <v>0</v>
      </c>
      <c r="V2732" s="18">
        <f t="shared" si="49"/>
        <v>47</v>
      </c>
    </row>
    <row r="2733" spans="19:22">
      <c r="S2733" s="16">
        <v>4725</v>
      </c>
      <c r="T2733" s="16" t="s">
        <v>3169</v>
      </c>
      <c r="U2733" s="17">
        <f>COUNTIFS(WTG_BD!L:L,'Basic Data'!T2733,WTG_BD!F:F,"&gt;="&amp;O2Summary!$B$6,WTG_BD!F:F,"&lt;="&amp;O2Summary!$B$4)</f>
        <v>0</v>
      </c>
      <c r="V2733" s="18">
        <f t="shared" si="49"/>
        <v>47</v>
      </c>
    </row>
    <row r="2734" spans="19:22">
      <c r="S2734" s="16">
        <v>4726</v>
      </c>
      <c r="T2734" s="16" t="s">
        <v>3170</v>
      </c>
      <c r="U2734" s="17">
        <f>COUNTIFS(WTG_BD!L:L,'Basic Data'!T2734,WTG_BD!F:F,"&gt;="&amp;O2Summary!$B$6,WTG_BD!F:F,"&lt;="&amp;O2Summary!$B$4)</f>
        <v>0</v>
      </c>
      <c r="V2734" s="18">
        <f t="shared" si="49"/>
        <v>47</v>
      </c>
    </row>
    <row r="2735" spans="19:22">
      <c r="S2735" s="16">
        <v>4727</v>
      </c>
      <c r="T2735" s="16" t="s">
        <v>3171</v>
      </c>
      <c r="U2735" s="17">
        <f>COUNTIFS(WTG_BD!L:L,'Basic Data'!T2735,WTG_BD!F:F,"&gt;="&amp;O2Summary!$B$6,WTG_BD!F:F,"&lt;="&amp;O2Summary!$B$4)</f>
        <v>0</v>
      </c>
      <c r="V2735" s="18">
        <f t="shared" si="49"/>
        <v>47</v>
      </c>
    </row>
    <row r="2736" spans="19:22">
      <c r="S2736" s="16">
        <v>4728</v>
      </c>
      <c r="T2736" s="16" t="s">
        <v>3172</v>
      </c>
      <c r="U2736" s="17">
        <f>COUNTIFS(WTG_BD!L:L,'Basic Data'!T2736,WTG_BD!F:F,"&gt;="&amp;O2Summary!$B$6,WTG_BD!F:F,"&lt;="&amp;O2Summary!$B$4)</f>
        <v>0</v>
      </c>
      <c r="V2736" s="18">
        <f t="shared" si="49"/>
        <v>47</v>
      </c>
    </row>
    <row r="2737" spans="19:22">
      <c r="S2737" s="16">
        <v>4729</v>
      </c>
      <c r="T2737" s="16" t="s">
        <v>3173</v>
      </c>
      <c r="U2737" s="17">
        <f>COUNTIFS(WTG_BD!L:L,'Basic Data'!T2737,WTG_BD!F:F,"&gt;="&amp;O2Summary!$B$6,WTG_BD!F:F,"&lt;="&amp;O2Summary!$B$4)</f>
        <v>0</v>
      </c>
      <c r="V2737" s="18">
        <f t="shared" si="49"/>
        <v>47</v>
      </c>
    </row>
    <row r="2738" spans="19:22">
      <c r="S2738" s="16">
        <v>4730</v>
      </c>
      <c r="T2738" s="16" t="s">
        <v>3174</v>
      </c>
      <c r="U2738" s="17">
        <f>COUNTIFS(WTG_BD!L:L,'Basic Data'!T2738,WTG_BD!F:F,"&gt;="&amp;O2Summary!$B$6,WTG_BD!F:F,"&lt;="&amp;O2Summary!$B$4)</f>
        <v>0</v>
      </c>
      <c r="V2738" s="18">
        <f t="shared" si="49"/>
        <v>47</v>
      </c>
    </row>
    <row r="2739" spans="19:22">
      <c r="S2739" s="16">
        <v>4731</v>
      </c>
      <c r="T2739" s="16" t="s">
        <v>3175</v>
      </c>
      <c r="U2739" s="17">
        <f>COUNTIFS(WTG_BD!L:L,'Basic Data'!T2739,WTG_BD!F:F,"&gt;="&amp;O2Summary!$B$6,WTG_BD!F:F,"&lt;="&amp;O2Summary!$B$4)</f>
        <v>0</v>
      </c>
      <c r="V2739" s="18">
        <f t="shared" si="49"/>
        <v>47</v>
      </c>
    </row>
    <row r="2740" spans="19:22">
      <c r="S2740" s="16">
        <v>4732</v>
      </c>
      <c r="T2740" s="16" t="s">
        <v>3176</v>
      </c>
      <c r="U2740" s="17">
        <f>COUNTIFS(WTG_BD!L:L,'Basic Data'!T2740,WTG_BD!F:F,"&gt;="&amp;O2Summary!$B$6,WTG_BD!F:F,"&lt;="&amp;O2Summary!$B$4)</f>
        <v>0</v>
      </c>
      <c r="V2740" s="18">
        <f t="shared" si="49"/>
        <v>47</v>
      </c>
    </row>
    <row r="2741" spans="19:22">
      <c r="S2741" s="16">
        <v>4733</v>
      </c>
      <c r="T2741" s="16" t="s">
        <v>3177</v>
      </c>
      <c r="U2741" s="17">
        <f>COUNTIFS(WTG_BD!L:L,'Basic Data'!T2741,WTG_BD!F:F,"&gt;="&amp;O2Summary!$B$6,WTG_BD!F:F,"&lt;="&amp;O2Summary!$B$4)</f>
        <v>0</v>
      </c>
      <c r="V2741" s="18">
        <f t="shared" si="49"/>
        <v>47</v>
      </c>
    </row>
    <row r="2742" spans="19:22">
      <c r="S2742" s="16">
        <v>4734</v>
      </c>
      <c r="T2742" s="16" t="s">
        <v>3178</v>
      </c>
      <c r="U2742" s="17">
        <f>COUNTIFS(WTG_BD!L:L,'Basic Data'!T2742,WTG_BD!F:F,"&gt;="&amp;O2Summary!$B$6,WTG_BD!F:F,"&lt;="&amp;O2Summary!$B$4)</f>
        <v>0</v>
      </c>
      <c r="V2742" s="18">
        <f t="shared" si="49"/>
        <v>47</v>
      </c>
    </row>
    <row r="2743" spans="19:22">
      <c r="S2743" s="16">
        <v>4735</v>
      </c>
      <c r="T2743" s="16" t="s">
        <v>3179</v>
      </c>
      <c r="U2743" s="17">
        <f>COUNTIFS(WTG_BD!L:L,'Basic Data'!T2743,WTG_BD!F:F,"&gt;="&amp;O2Summary!$B$6,WTG_BD!F:F,"&lt;="&amp;O2Summary!$B$4)</f>
        <v>0</v>
      </c>
      <c r="V2743" s="18">
        <f t="shared" si="49"/>
        <v>47</v>
      </c>
    </row>
    <row r="2744" spans="19:22">
      <c r="S2744" s="16">
        <v>4736</v>
      </c>
      <c r="T2744" s="16" t="s">
        <v>3180</v>
      </c>
      <c r="U2744" s="17">
        <f>COUNTIFS(WTG_BD!L:L,'Basic Data'!T2744,WTG_BD!F:F,"&gt;="&amp;O2Summary!$B$6,WTG_BD!F:F,"&lt;="&amp;O2Summary!$B$4)</f>
        <v>0</v>
      </c>
      <c r="V2744" s="18">
        <f t="shared" si="49"/>
        <v>47</v>
      </c>
    </row>
    <row r="2745" spans="19:22">
      <c r="S2745" s="16">
        <v>4737</v>
      </c>
      <c r="T2745" s="16" t="s">
        <v>3181</v>
      </c>
      <c r="U2745" s="17">
        <f>COUNTIFS(WTG_BD!L:L,'Basic Data'!T2745,WTG_BD!F:F,"&gt;="&amp;O2Summary!$B$6,WTG_BD!F:F,"&lt;="&amp;O2Summary!$B$4)</f>
        <v>0</v>
      </c>
      <c r="V2745" s="18">
        <f t="shared" si="49"/>
        <v>47</v>
      </c>
    </row>
    <row r="2746" spans="19:22">
      <c r="S2746" s="16">
        <v>4738</v>
      </c>
      <c r="T2746" s="16" t="s">
        <v>3182</v>
      </c>
      <c r="U2746" s="17">
        <f>COUNTIFS(WTG_BD!L:L,'Basic Data'!T2746,WTG_BD!F:F,"&gt;="&amp;O2Summary!$B$6,WTG_BD!F:F,"&lt;="&amp;O2Summary!$B$4)</f>
        <v>0</v>
      </c>
      <c r="V2746" s="18">
        <f t="shared" si="49"/>
        <v>47</v>
      </c>
    </row>
    <row r="2747" spans="19:22">
      <c r="S2747" s="16">
        <v>4739</v>
      </c>
      <c r="T2747" s="16" t="s">
        <v>3183</v>
      </c>
      <c r="U2747" s="17">
        <f>COUNTIFS(WTG_BD!L:L,'Basic Data'!T2747,WTG_BD!F:F,"&gt;="&amp;O2Summary!$B$6,WTG_BD!F:F,"&lt;="&amp;O2Summary!$B$4)</f>
        <v>0</v>
      </c>
      <c r="V2747" s="18">
        <f t="shared" si="49"/>
        <v>47</v>
      </c>
    </row>
    <row r="2748" spans="19:22">
      <c r="S2748" s="16">
        <v>4740</v>
      </c>
      <c r="T2748" s="16" t="s">
        <v>3184</v>
      </c>
      <c r="U2748" s="17">
        <f>COUNTIFS(WTG_BD!L:L,'Basic Data'!T2748,WTG_BD!F:F,"&gt;="&amp;O2Summary!$B$6,WTG_BD!F:F,"&lt;="&amp;O2Summary!$B$4)</f>
        <v>0</v>
      </c>
      <c r="V2748" s="18">
        <f t="shared" si="49"/>
        <v>47</v>
      </c>
    </row>
    <row r="2749" spans="19:22">
      <c r="S2749" s="16">
        <v>4742</v>
      </c>
      <c r="T2749" s="16" t="s">
        <v>3185</v>
      </c>
      <c r="U2749" s="17">
        <f>COUNTIFS(WTG_BD!L:L,'Basic Data'!T2749,WTG_BD!F:F,"&gt;="&amp;O2Summary!$B$6,WTG_BD!F:F,"&lt;="&amp;O2Summary!$B$4)</f>
        <v>0</v>
      </c>
      <c r="V2749" s="18">
        <f t="shared" si="49"/>
        <v>47</v>
      </c>
    </row>
    <row r="2750" spans="19:22">
      <c r="S2750" s="16">
        <v>4743</v>
      </c>
      <c r="T2750" s="16" t="s">
        <v>3186</v>
      </c>
      <c r="U2750" s="17">
        <f>COUNTIFS(WTG_BD!L:L,'Basic Data'!T2750,WTG_BD!F:F,"&gt;="&amp;O2Summary!$B$6,WTG_BD!F:F,"&lt;="&amp;O2Summary!$B$4)</f>
        <v>0</v>
      </c>
      <c r="V2750" s="18">
        <f t="shared" si="49"/>
        <v>47</v>
      </c>
    </row>
    <row r="2751" spans="19:22">
      <c r="S2751" s="16">
        <v>4749</v>
      </c>
      <c r="T2751" s="16" t="s">
        <v>3187</v>
      </c>
      <c r="U2751" s="17">
        <f>COUNTIFS(WTG_BD!L:L,'Basic Data'!T2751,WTG_BD!F:F,"&gt;="&amp;O2Summary!$B$6,WTG_BD!F:F,"&lt;="&amp;O2Summary!$B$4)</f>
        <v>0</v>
      </c>
      <c r="V2751" s="18">
        <f t="shared" si="49"/>
        <v>47</v>
      </c>
    </row>
    <row r="2752" spans="19:22">
      <c r="S2752" s="16">
        <v>4750</v>
      </c>
      <c r="T2752" s="16" t="s">
        <v>3188</v>
      </c>
      <c r="U2752" s="17">
        <f>COUNTIFS(WTG_BD!L:L,'Basic Data'!T2752,WTG_BD!F:F,"&gt;="&amp;O2Summary!$B$6,WTG_BD!F:F,"&lt;="&amp;O2Summary!$B$4)</f>
        <v>0</v>
      </c>
      <c r="V2752" s="18">
        <f t="shared" si="49"/>
        <v>47</v>
      </c>
    </row>
    <row r="2753" spans="19:22">
      <c r="S2753" s="16">
        <v>4751</v>
      </c>
      <c r="T2753" s="16" t="s">
        <v>3189</v>
      </c>
      <c r="U2753" s="17">
        <f>COUNTIFS(WTG_BD!L:L,'Basic Data'!T2753,WTG_BD!F:F,"&gt;="&amp;O2Summary!$B$6,WTG_BD!F:F,"&lt;="&amp;O2Summary!$B$4)</f>
        <v>0</v>
      </c>
      <c r="V2753" s="18">
        <f t="shared" si="49"/>
        <v>47</v>
      </c>
    </row>
    <row r="2754" spans="19:22">
      <c r="S2754" s="16">
        <v>4752</v>
      </c>
      <c r="T2754" s="16" t="s">
        <v>3190</v>
      </c>
      <c r="U2754" s="17">
        <f>COUNTIFS(WTG_BD!L:L,'Basic Data'!T2754,WTG_BD!F:F,"&gt;="&amp;O2Summary!$B$6,WTG_BD!F:F,"&lt;="&amp;O2Summary!$B$4)</f>
        <v>0</v>
      </c>
      <c r="V2754" s="18">
        <f t="shared" si="49"/>
        <v>47</v>
      </c>
    </row>
    <row r="2755" spans="19:22">
      <c r="S2755" s="16">
        <v>4757</v>
      </c>
      <c r="T2755" s="16" t="s">
        <v>3191</v>
      </c>
      <c r="U2755" s="17">
        <f>COUNTIFS(WTG_BD!L:L,'Basic Data'!T2755,WTG_BD!F:F,"&gt;="&amp;O2Summary!$B$6,WTG_BD!F:F,"&lt;="&amp;O2Summary!$B$4)</f>
        <v>0</v>
      </c>
      <c r="V2755" s="18">
        <f t="shared" ref="V2755:V2818" si="50">RANK(U2755,$U$2:$U$3975)</f>
        <v>47</v>
      </c>
    </row>
    <row r="2756" spans="19:22">
      <c r="S2756" s="16">
        <v>4758</v>
      </c>
      <c r="T2756" s="16" t="s">
        <v>3192</v>
      </c>
      <c r="U2756" s="17">
        <f>COUNTIFS(WTG_BD!L:L,'Basic Data'!T2756,WTG_BD!F:F,"&gt;="&amp;O2Summary!$B$6,WTG_BD!F:F,"&lt;="&amp;O2Summary!$B$4)</f>
        <v>0</v>
      </c>
      <c r="V2756" s="18">
        <f t="shared" si="50"/>
        <v>47</v>
      </c>
    </row>
    <row r="2757" spans="19:22">
      <c r="S2757" s="16">
        <v>4759</v>
      </c>
      <c r="T2757" s="16" t="s">
        <v>3193</v>
      </c>
      <c r="U2757" s="17">
        <f>COUNTIFS(WTG_BD!L:L,'Basic Data'!T2757,WTG_BD!F:F,"&gt;="&amp;O2Summary!$B$6,WTG_BD!F:F,"&lt;="&amp;O2Summary!$B$4)</f>
        <v>0</v>
      </c>
      <c r="V2757" s="18">
        <f t="shared" si="50"/>
        <v>47</v>
      </c>
    </row>
    <row r="2758" spans="19:22">
      <c r="S2758" s="16">
        <v>4761</v>
      </c>
      <c r="T2758" s="16" t="s">
        <v>3194</v>
      </c>
      <c r="U2758" s="17">
        <f>COUNTIFS(WTG_BD!L:L,'Basic Data'!T2758,WTG_BD!F:F,"&gt;="&amp;O2Summary!$B$6,WTG_BD!F:F,"&lt;="&amp;O2Summary!$B$4)</f>
        <v>0</v>
      </c>
      <c r="V2758" s="18">
        <f t="shared" si="50"/>
        <v>47</v>
      </c>
    </row>
    <row r="2759" spans="19:22">
      <c r="S2759" s="16">
        <v>4762</v>
      </c>
      <c r="T2759" s="16" t="s">
        <v>377</v>
      </c>
      <c r="U2759" s="17">
        <f>COUNTIFS(WTG_BD!L:L,'Basic Data'!T2759,WTG_BD!F:F,"&gt;="&amp;O2Summary!$B$6,WTG_BD!F:F,"&lt;="&amp;O2Summary!$B$4)</f>
        <v>0</v>
      </c>
      <c r="V2759" s="18">
        <f t="shared" si="50"/>
        <v>47</v>
      </c>
    </row>
    <row r="2760" spans="19:22">
      <c r="S2760" s="16">
        <v>4763</v>
      </c>
      <c r="T2760" s="16" t="s">
        <v>3195</v>
      </c>
      <c r="U2760" s="17">
        <f>COUNTIFS(WTG_BD!L:L,'Basic Data'!T2760,WTG_BD!F:F,"&gt;="&amp;O2Summary!$B$6,WTG_BD!F:F,"&lt;="&amp;O2Summary!$B$4)</f>
        <v>0</v>
      </c>
      <c r="V2760" s="18">
        <f t="shared" si="50"/>
        <v>47</v>
      </c>
    </row>
    <row r="2761" spans="19:22">
      <c r="S2761" s="16">
        <v>4764</v>
      </c>
      <c r="T2761" s="16" t="s">
        <v>3196</v>
      </c>
      <c r="U2761" s="17">
        <f>COUNTIFS(WTG_BD!L:L,'Basic Data'!T2761,WTG_BD!F:F,"&gt;="&amp;O2Summary!$B$6,WTG_BD!F:F,"&lt;="&amp;O2Summary!$B$4)</f>
        <v>0</v>
      </c>
      <c r="V2761" s="18">
        <f t="shared" si="50"/>
        <v>47</v>
      </c>
    </row>
    <row r="2762" spans="19:22">
      <c r="S2762" s="16">
        <v>4765</v>
      </c>
      <c r="T2762" s="16" t="s">
        <v>3197</v>
      </c>
      <c r="U2762" s="17">
        <f>COUNTIFS(WTG_BD!L:L,'Basic Data'!T2762,WTG_BD!F:F,"&gt;="&amp;O2Summary!$B$6,WTG_BD!F:F,"&lt;="&amp;O2Summary!$B$4)</f>
        <v>0</v>
      </c>
      <c r="V2762" s="18">
        <f t="shared" si="50"/>
        <v>47</v>
      </c>
    </row>
    <row r="2763" spans="19:22">
      <c r="S2763" s="16">
        <v>4766</v>
      </c>
      <c r="T2763" s="16" t="s">
        <v>3111</v>
      </c>
      <c r="U2763" s="17">
        <f>COUNTIFS(WTG_BD!L:L,'Basic Data'!T2763,WTG_BD!F:F,"&gt;="&amp;O2Summary!$B$6,WTG_BD!F:F,"&lt;="&amp;O2Summary!$B$4)</f>
        <v>0</v>
      </c>
      <c r="V2763" s="18">
        <f t="shared" si="50"/>
        <v>47</v>
      </c>
    </row>
    <row r="2764" spans="19:22">
      <c r="S2764" s="16">
        <v>4767</v>
      </c>
      <c r="T2764" s="16" t="s">
        <v>3198</v>
      </c>
      <c r="U2764" s="17">
        <f>COUNTIFS(WTG_BD!L:L,'Basic Data'!T2764,WTG_BD!F:F,"&gt;="&amp;O2Summary!$B$6,WTG_BD!F:F,"&lt;="&amp;O2Summary!$B$4)</f>
        <v>0</v>
      </c>
      <c r="V2764" s="18">
        <f t="shared" si="50"/>
        <v>47</v>
      </c>
    </row>
    <row r="2765" spans="19:22">
      <c r="S2765" s="16">
        <v>4768</v>
      </c>
      <c r="T2765" s="16" t="s">
        <v>3199</v>
      </c>
      <c r="U2765" s="17">
        <f>COUNTIFS(WTG_BD!L:L,'Basic Data'!T2765,WTG_BD!F:F,"&gt;="&amp;O2Summary!$B$6,WTG_BD!F:F,"&lt;="&amp;O2Summary!$B$4)</f>
        <v>0</v>
      </c>
      <c r="V2765" s="18">
        <f t="shared" si="50"/>
        <v>47</v>
      </c>
    </row>
    <row r="2766" spans="19:22">
      <c r="S2766" s="16">
        <v>4769</v>
      </c>
      <c r="T2766" s="16" t="s">
        <v>3200</v>
      </c>
      <c r="U2766" s="17">
        <f>COUNTIFS(WTG_BD!L:L,'Basic Data'!T2766,WTG_BD!F:F,"&gt;="&amp;O2Summary!$B$6,WTG_BD!F:F,"&lt;="&amp;O2Summary!$B$4)</f>
        <v>0</v>
      </c>
      <c r="V2766" s="18">
        <f t="shared" si="50"/>
        <v>47</v>
      </c>
    </row>
    <row r="2767" spans="19:22">
      <c r="S2767" s="16">
        <v>4770</v>
      </c>
      <c r="T2767" s="16" t="s">
        <v>3201</v>
      </c>
      <c r="U2767" s="17">
        <f>COUNTIFS(WTG_BD!L:L,'Basic Data'!T2767,WTG_BD!F:F,"&gt;="&amp;O2Summary!$B$6,WTG_BD!F:F,"&lt;="&amp;O2Summary!$B$4)</f>
        <v>0</v>
      </c>
      <c r="V2767" s="18">
        <f t="shared" si="50"/>
        <v>47</v>
      </c>
    </row>
    <row r="2768" spans="19:22">
      <c r="S2768" s="16">
        <v>4771</v>
      </c>
      <c r="T2768" s="16" t="s">
        <v>3202</v>
      </c>
      <c r="U2768" s="17">
        <f>COUNTIFS(WTG_BD!L:L,'Basic Data'!T2768,WTG_BD!F:F,"&gt;="&amp;O2Summary!$B$6,WTG_BD!F:F,"&lt;="&amp;O2Summary!$B$4)</f>
        <v>0</v>
      </c>
      <c r="V2768" s="18">
        <f t="shared" si="50"/>
        <v>47</v>
      </c>
    </row>
    <row r="2769" spans="19:22">
      <c r="S2769" s="16">
        <v>4772</v>
      </c>
      <c r="T2769" s="16" t="s">
        <v>3203</v>
      </c>
      <c r="U2769" s="17">
        <f>COUNTIFS(WTG_BD!L:L,'Basic Data'!T2769,WTG_BD!F:F,"&gt;="&amp;O2Summary!$B$6,WTG_BD!F:F,"&lt;="&amp;O2Summary!$B$4)</f>
        <v>0</v>
      </c>
      <c r="V2769" s="18">
        <f t="shared" si="50"/>
        <v>47</v>
      </c>
    </row>
    <row r="2770" spans="19:22">
      <c r="S2770" s="16">
        <v>4773</v>
      </c>
      <c r="T2770" s="16" t="s">
        <v>3204</v>
      </c>
      <c r="U2770" s="17">
        <f>COUNTIFS(WTG_BD!L:L,'Basic Data'!T2770,WTG_BD!F:F,"&gt;="&amp;O2Summary!$B$6,WTG_BD!F:F,"&lt;="&amp;O2Summary!$B$4)</f>
        <v>0</v>
      </c>
      <c r="V2770" s="18">
        <f t="shared" si="50"/>
        <v>47</v>
      </c>
    </row>
    <row r="2771" spans="19:22">
      <c r="S2771" s="16">
        <v>4774</v>
      </c>
      <c r="T2771" s="16" t="s">
        <v>3205</v>
      </c>
      <c r="U2771" s="17">
        <f>COUNTIFS(WTG_BD!L:L,'Basic Data'!T2771,WTG_BD!F:F,"&gt;="&amp;O2Summary!$B$6,WTG_BD!F:F,"&lt;="&amp;O2Summary!$B$4)</f>
        <v>0</v>
      </c>
      <c r="V2771" s="18">
        <f t="shared" si="50"/>
        <v>47</v>
      </c>
    </row>
    <row r="2772" spans="19:22">
      <c r="S2772" s="16">
        <v>4775</v>
      </c>
      <c r="T2772" s="16" t="s">
        <v>3206</v>
      </c>
      <c r="U2772" s="17">
        <f>COUNTIFS(WTG_BD!L:L,'Basic Data'!T2772,WTG_BD!F:F,"&gt;="&amp;O2Summary!$B$6,WTG_BD!F:F,"&lt;="&amp;O2Summary!$B$4)</f>
        <v>0</v>
      </c>
      <c r="V2772" s="18">
        <f t="shared" si="50"/>
        <v>47</v>
      </c>
    </row>
    <row r="2773" spans="19:22">
      <c r="S2773" s="16">
        <v>4776</v>
      </c>
      <c r="T2773" s="16" t="s">
        <v>3207</v>
      </c>
      <c r="U2773" s="17">
        <f>COUNTIFS(WTG_BD!L:L,'Basic Data'!T2773,WTG_BD!F:F,"&gt;="&amp;O2Summary!$B$6,WTG_BD!F:F,"&lt;="&amp;O2Summary!$B$4)</f>
        <v>0</v>
      </c>
      <c r="V2773" s="18">
        <f t="shared" si="50"/>
        <v>47</v>
      </c>
    </row>
    <row r="2774" spans="19:22">
      <c r="S2774" s="16">
        <v>4777</v>
      </c>
      <c r="T2774" s="16" t="s">
        <v>3208</v>
      </c>
      <c r="U2774" s="17">
        <f>COUNTIFS(WTG_BD!L:L,'Basic Data'!T2774,WTG_BD!F:F,"&gt;="&amp;O2Summary!$B$6,WTG_BD!F:F,"&lt;="&amp;O2Summary!$B$4)</f>
        <v>0</v>
      </c>
      <c r="V2774" s="18">
        <f t="shared" si="50"/>
        <v>47</v>
      </c>
    </row>
    <row r="2775" spans="19:22">
      <c r="S2775" s="16">
        <v>4778</v>
      </c>
      <c r="T2775" s="16" t="s">
        <v>3209</v>
      </c>
      <c r="U2775" s="17">
        <f>COUNTIFS(WTG_BD!L:L,'Basic Data'!T2775,WTG_BD!F:F,"&gt;="&amp;O2Summary!$B$6,WTG_BD!F:F,"&lt;="&amp;O2Summary!$B$4)</f>
        <v>0</v>
      </c>
      <c r="V2775" s="18">
        <f t="shared" si="50"/>
        <v>47</v>
      </c>
    </row>
    <row r="2776" spans="19:22">
      <c r="S2776" s="16">
        <v>4779</v>
      </c>
      <c r="T2776" s="16" t="s">
        <v>3210</v>
      </c>
      <c r="U2776" s="17">
        <f>COUNTIFS(WTG_BD!L:L,'Basic Data'!T2776,WTG_BD!F:F,"&gt;="&amp;O2Summary!$B$6,WTG_BD!F:F,"&lt;="&amp;O2Summary!$B$4)</f>
        <v>0</v>
      </c>
      <c r="V2776" s="18">
        <f t="shared" si="50"/>
        <v>47</v>
      </c>
    </row>
    <row r="2777" spans="19:22">
      <c r="S2777" s="16">
        <v>4780</v>
      </c>
      <c r="T2777" s="16" t="s">
        <v>3211</v>
      </c>
      <c r="U2777" s="17">
        <f>COUNTIFS(WTG_BD!L:L,'Basic Data'!T2777,WTG_BD!F:F,"&gt;="&amp;O2Summary!$B$6,WTG_BD!F:F,"&lt;="&amp;O2Summary!$B$4)</f>
        <v>0</v>
      </c>
      <c r="V2777" s="18">
        <f t="shared" si="50"/>
        <v>47</v>
      </c>
    </row>
    <row r="2778" spans="19:22">
      <c r="S2778" s="16">
        <v>4781</v>
      </c>
      <c r="T2778" s="16" t="s">
        <v>3212</v>
      </c>
      <c r="U2778" s="17">
        <f>COUNTIFS(WTG_BD!L:L,'Basic Data'!T2778,WTG_BD!F:F,"&gt;="&amp;O2Summary!$B$6,WTG_BD!F:F,"&lt;="&amp;O2Summary!$B$4)</f>
        <v>0</v>
      </c>
      <c r="V2778" s="18">
        <f t="shared" si="50"/>
        <v>47</v>
      </c>
    </row>
    <row r="2779" spans="19:22">
      <c r="S2779" s="16">
        <v>4782</v>
      </c>
      <c r="T2779" s="16" t="s">
        <v>3213</v>
      </c>
      <c r="U2779" s="17">
        <f>COUNTIFS(WTG_BD!L:L,'Basic Data'!T2779,WTG_BD!F:F,"&gt;="&amp;O2Summary!$B$6,WTG_BD!F:F,"&lt;="&amp;O2Summary!$B$4)</f>
        <v>0</v>
      </c>
      <c r="V2779" s="18">
        <f t="shared" si="50"/>
        <v>47</v>
      </c>
    </row>
    <row r="2780" spans="19:22">
      <c r="S2780" s="16">
        <v>4783</v>
      </c>
      <c r="T2780" s="16" t="s">
        <v>3214</v>
      </c>
      <c r="U2780" s="17">
        <f>COUNTIFS(WTG_BD!L:L,'Basic Data'!T2780,WTG_BD!F:F,"&gt;="&amp;O2Summary!$B$6,WTG_BD!F:F,"&lt;="&amp;O2Summary!$B$4)</f>
        <v>0</v>
      </c>
      <c r="V2780" s="18">
        <f t="shared" si="50"/>
        <v>47</v>
      </c>
    </row>
    <row r="2781" spans="19:22">
      <c r="S2781" s="16">
        <v>4784</v>
      </c>
      <c r="T2781" s="16" t="s">
        <v>3215</v>
      </c>
      <c r="U2781" s="17">
        <f>COUNTIFS(WTG_BD!L:L,'Basic Data'!T2781,WTG_BD!F:F,"&gt;="&amp;O2Summary!$B$6,WTG_BD!F:F,"&lt;="&amp;O2Summary!$B$4)</f>
        <v>0</v>
      </c>
      <c r="V2781" s="18">
        <f t="shared" si="50"/>
        <v>47</v>
      </c>
    </row>
    <row r="2782" spans="19:22">
      <c r="S2782" s="16">
        <v>4785</v>
      </c>
      <c r="T2782" s="16" t="s">
        <v>3216</v>
      </c>
      <c r="U2782" s="17">
        <f>COUNTIFS(WTG_BD!L:L,'Basic Data'!T2782,WTG_BD!F:F,"&gt;="&amp;O2Summary!$B$6,WTG_BD!F:F,"&lt;="&amp;O2Summary!$B$4)</f>
        <v>0</v>
      </c>
      <c r="V2782" s="18">
        <f t="shared" si="50"/>
        <v>47</v>
      </c>
    </row>
    <row r="2783" spans="19:22">
      <c r="S2783" s="16">
        <v>4786</v>
      </c>
      <c r="T2783" s="16" t="s">
        <v>3217</v>
      </c>
      <c r="U2783" s="17">
        <f>COUNTIFS(WTG_BD!L:L,'Basic Data'!T2783,WTG_BD!F:F,"&gt;="&amp;O2Summary!$B$6,WTG_BD!F:F,"&lt;="&amp;O2Summary!$B$4)</f>
        <v>0</v>
      </c>
      <c r="V2783" s="18">
        <f t="shared" si="50"/>
        <v>47</v>
      </c>
    </row>
    <row r="2784" spans="19:22">
      <c r="S2784" s="16">
        <v>4787</v>
      </c>
      <c r="T2784" s="16" t="s">
        <v>3218</v>
      </c>
      <c r="U2784" s="17">
        <f>COUNTIFS(WTG_BD!L:L,'Basic Data'!T2784,WTG_BD!F:F,"&gt;="&amp;O2Summary!$B$6,WTG_BD!F:F,"&lt;="&amp;O2Summary!$B$4)</f>
        <v>0</v>
      </c>
      <c r="V2784" s="18">
        <f t="shared" si="50"/>
        <v>47</v>
      </c>
    </row>
    <row r="2785" spans="19:22">
      <c r="S2785" s="16">
        <v>4788</v>
      </c>
      <c r="T2785" s="16" t="s">
        <v>3219</v>
      </c>
      <c r="U2785" s="17">
        <f>COUNTIFS(WTG_BD!L:L,'Basic Data'!T2785,WTG_BD!F:F,"&gt;="&amp;O2Summary!$B$6,WTG_BD!F:F,"&lt;="&amp;O2Summary!$B$4)</f>
        <v>0</v>
      </c>
      <c r="V2785" s="18">
        <f t="shared" si="50"/>
        <v>47</v>
      </c>
    </row>
    <row r="2786" spans="19:22">
      <c r="S2786" s="16">
        <v>4789</v>
      </c>
      <c r="T2786" s="16" t="s">
        <v>3220</v>
      </c>
      <c r="U2786" s="17">
        <f>COUNTIFS(WTG_BD!L:L,'Basic Data'!T2786,WTG_BD!F:F,"&gt;="&amp;O2Summary!$B$6,WTG_BD!F:F,"&lt;="&amp;O2Summary!$B$4)</f>
        <v>0</v>
      </c>
      <c r="V2786" s="18">
        <f t="shared" si="50"/>
        <v>47</v>
      </c>
    </row>
    <row r="2787" spans="19:22">
      <c r="S2787" s="16">
        <v>4790</v>
      </c>
      <c r="T2787" s="16" t="s">
        <v>3221</v>
      </c>
      <c r="U2787" s="17">
        <f>COUNTIFS(WTG_BD!L:L,'Basic Data'!T2787,WTG_BD!F:F,"&gt;="&amp;O2Summary!$B$6,WTG_BD!F:F,"&lt;="&amp;O2Summary!$B$4)</f>
        <v>0</v>
      </c>
      <c r="V2787" s="18">
        <f t="shared" si="50"/>
        <v>47</v>
      </c>
    </row>
    <row r="2788" spans="19:22">
      <c r="S2788" s="16">
        <v>4791</v>
      </c>
      <c r="T2788" s="16" t="s">
        <v>3222</v>
      </c>
      <c r="U2788" s="17">
        <f>COUNTIFS(WTG_BD!L:L,'Basic Data'!T2788,WTG_BD!F:F,"&gt;="&amp;O2Summary!$B$6,WTG_BD!F:F,"&lt;="&amp;O2Summary!$B$4)</f>
        <v>0</v>
      </c>
      <c r="V2788" s="18">
        <f t="shared" si="50"/>
        <v>47</v>
      </c>
    </row>
    <row r="2789" spans="19:22">
      <c r="S2789" s="16">
        <v>4792</v>
      </c>
      <c r="T2789" s="16" t="s">
        <v>3223</v>
      </c>
      <c r="U2789" s="17">
        <f>COUNTIFS(WTG_BD!L:L,'Basic Data'!T2789,WTG_BD!F:F,"&gt;="&amp;O2Summary!$B$6,WTG_BD!F:F,"&lt;="&amp;O2Summary!$B$4)</f>
        <v>0</v>
      </c>
      <c r="V2789" s="18">
        <f t="shared" si="50"/>
        <v>47</v>
      </c>
    </row>
    <row r="2790" spans="19:22">
      <c r="S2790" s="16">
        <v>4793</v>
      </c>
      <c r="T2790" s="16" t="s">
        <v>3224</v>
      </c>
      <c r="U2790" s="17">
        <f>COUNTIFS(WTG_BD!L:L,'Basic Data'!T2790,WTG_BD!F:F,"&gt;="&amp;O2Summary!$B$6,WTG_BD!F:F,"&lt;="&amp;O2Summary!$B$4)</f>
        <v>0</v>
      </c>
      <c r="V2790" s="18">
        <f t="shared" si="50"/>
        <v>47</v>
      </c>
    </row>
    <row r="2791" spans="19:22">
      <c r="S2791" s="16">
        <v>4794</v>
      </c>
      <c r="T2791" s="16" t="s">
        <v>3225</v>
      </c>
      <c r="U2791" s="17">
        <f>COUNTIFS(WTG_BD!L:L,'Basic Data'!T2791,WTG_BD!F:F,"&gt;="&amp;O2Summary!$B$6,WTG_BD!F:F,"&lt;="&amp;O2Summary!$B$4)</f>
        <v>0</v>
      </c>
      <c r="V2791" s="18">
        <f t="shared" si="50"/>
        <v>47</v>
      </c>
    </row>
    <row r="2792" spans="19:22">
      <c r="S2792" s="16">
        <v>4795</v>
      </c>
      <c r="T2792" s="16" t="s">
        <v>2904</v>
      </c>
      <c r="U2792" s="17">
        <f>COUNTIFS(WTG_BD!L:L,'Basic Data'!T2792,WTG_BD!F:F,"&gt;="&amp;O2Summary!$B$6,WTG_BD!F:F,"&lt;="&amp;O2Summary!$B$4)</f>
        <v>0</v>
      </c>
      <c r="V2792" s="18">
        <f t="shared" si="50"/>
        <v>47</v>
      </c>
    </row>
    <row r="2793" spans="19:22">
      <c r="S2793" s="16">
        <v>4796</v>
      </c>
      <c r="T2793" s="16" t="s">
        <v>2905</v>
      </c>
      <c r="U2793" s="17">
        <f>COUNTIFS(WTG_BD!L:L,'Basic Data'!T2793,WTG_BD!F:F,"&gt;="&amp;O2Summary!$B$6,WTG_BD!F:F,"&lt;="&amp;O2Summary!$B$4)</f>
        <v>0</v>
      </c>
      <c r="V2793" s="18">
        <f t="shared" si="50"/>
        <v>47</v>
      </c>
    </row>
    <row r="2794" spans="19:22">
      <c r="S2794" s="16">
        <v>4797</v>
      </c>
      <c r="T2794" s="16" t="s">
        <v>3226</v>
      </c>
      <c r="U2794" s="17">
        <f>COUNTIFS(WTG_BD!L:L,'Basic Data'!T2794,WTG_BD!F:F,"&gt;="&amp;O2Summary!$B$6,WTG_BD!F:F,"&lt;="&amp;O2Summary!$B$4)</f>
        <v>0</v>
      </c>
      <c r="V2794" s="18">
        <f t="shared" si="50"/>
        <v>47</v>
      </c>
    </row>
    <row r="2795" spans="19:22">
      <c r="S2795" s="16">
        <v>4798</v>
      </c>
      <c r="T2795" s="16" t="s">
        <v>3227</v>
      </c>
      <c r="U2795" s="17">
        <f>COUNTIFS(WTG_BD!L:L,'Basic Data'!T2795,WTG_BD!F:F,"&gt;="&amp;O2Summary!$B$6,WTG_BD!F:F,"&lt;="&amp;O2Summary!$B$4)</f>
        <v>0</v>
      </c>
      <c r="V2795" s="18">
        <f t="shared" si="50"/>
        <v>47</v>
      </c>
    </row>
    <row r="2796" spans="19:22">
      <c r="S2796" s="16">
        <v>4799</v>
      </c>
      <c r="T2796" s="16" t="s">
        <v>3228</v>
      </c>
      <c r="U2796" s="17">
        <f>COUNTIFS(WTG_BD!L:L,'Basic Data'!T2796,WTG_BD!F:F,"&gt;="&amp;O2Summary!$B$6,WTG_BD!F:F,"&lt;="&amp;O2Summary!$B$4)</f>
        <v>0</v>
      </c>
      <c r="V2796" s="18">
        <f t="shared" si="50"/>
        <v>47</v>
      </c>
    </row>
    <row r="2797" spans="19:22">
      <c r="S2797" s="16">
        <v>4800</v>
      </c>
      <c r="T2797" s="16" t="s">
        <v>3229</v>
      </c>
      <c r="U2797" s="17">
        <f>COUNTIFS(WTG_BD!L:L,'Basic Data'!T2797,WTG_BD!F:F,"&gt;="&amp;O2Summary!$B$6,WTG_BD!F:F,"&lt;="&amp;O2Summary!$B$4)</f>
        <v>0</v>
      </c>
      <c r="V2797" s="18">
        <f t="shared" si="50"/>
        <v>47</v>
      </c>
    </row>
    <row r="2798" spans="19:22">
      <c r="S2798" s="16">
        <v>4801</v>
      </c>
      <c r="T2798" s="16" t="s">
        <v>3230</v>
      </c>
      <c r="U2798" s="17">
        <f>COUNTIFS(WTG_BD!L:L,'Basic Data'!T2798,WTG_BD!F:F,"&gt;="&amp;O2Summary!$B$6,WTG_BD!F:F,"&lt;="&amp;O2Summary!$B$4)</f>
        <v>0</v>
      </c>
      <c r="V2798" s="18">
        <f t="shared" si="50"/>
        <v>47</v>
      </c>
    </row>
    <row r="2799" spans="19:22">
      <c r="S2799" s="16">
        <v>4802</v>
      </c>
      <c r="T2799" s="16" t="s">
        <v>3231</v>
      </c>
      <c r="U2799" s="17">
        <f>COUNTIFS(WTG_BD!L:L,'Basic Data'!T2799,WTG_BD!F:F,"&gt;="&amp;O2Summary!$B$6,WTG_BD!F:F,"&lt;="&amp;O2Summary!$B$4)</f>
        <v>0</v>
      </c>
      <c r="V2799" s="18">
        <f t="shared" si="50"/>
        <v>47</v>
      </c>
    </row>
    <row r="2800" spans="19:22">
      <c r="S2800" s="16">
        <v>4803</v>
      </c>
      <c r="T2800" s="16" t="s">
        <v>3232</v>
      </c>
      <c r="U2800" s="17">
        <f>COUNTIFS(WTG_BD!L:L,'Basic Data'!T2800,WTG_BD!F:F,"&gt;="&amp;O2Summary!$B$6,WTG_BD!F:F,"&lt;="&amp;O2Summary!$B$4)</f>
        <v>0</v>
      </c>
      <c r="V2800" s="18">
        <f t="shared" si="50"/>
        <v>47</v>
      </c>
    </row>
    <row r="2801" spans="19:22">
      <c r="S2801" s="16">
        <v>4804</v>
      </c>
      <c r="T2801" s="16" t="s">
        <v>3233</v>
      </c>
      <c r="U2801" s="17">
        <f>COUNTIFS(WTG_BD!L:L,'Basic Data'!T2801,WTG_BD!F:F,"&gt;="&amp;O2Summary!$B$6,WTG_BD!F:F,"&lt;="&amp;O2Summary!$B$4)</f>
        <v>0</v>
      </c>
      <c r="V2801" s="18">
        <f t="shared" si="50"/>
        <v>47</v>
      </c>
    </row>
    <row r="2802" spans="19:22">
      <c r="S2802" s="16">
        <v>4805</v>
      </c>
      <c r="T2802" s="16" t="s">
        <v>3113</v>
      </c>
      <c r="U2802" s="17">
        <f>COUNTIFS(WTG_BD!L:L,'Basic Data'!T2802,WTG_BD!F:F,"&gt;="&amp;O2Summary!$B$6,WTG_BD!F:F,"&lt;="&amp;O2Summary!$B$4)</f>
        <v>0</v>
      </c>
      <c r="V2802" s="18">
        <f t="shared" si="50"/>
        <v>47</v>
      </c>
    </row>
    <row r="2803" spans="19:22">
      <c r="S2803" s="16">
        <v>4806</v>
      </c>
      <c r="T2803" s="16" t="s">
        <v>3226</v>
      </c>
      <c r="U2803" s="17">
        <f>COUNTIFS(WTG_BD!L:L,'Basic Data'!T2803,WTG_BD!F:F,"&gt;="&amp;O2Summary!$B$6,WTG_BD!F:F,"&lt;="&amp;O2Summary!$B$4)</f>
        <v>0</v>
      </c>
      <c r="V2803" s="18">
        <f t="shared" si="50"/>
        <v>47</v>
      </c>
    </row>
    <row r="2804" spans="19:22">
      <c r="S2804" s="16">
        <v>4807</v>
      </c>
      <c r="T2804" s="16" t="s">
        <v>3226</v>
      </c>
      <c r="U2804" s="17">
        <f>COUNTIFS(WTG_BD!L:L,'Basic Data'!T2804,WTG_BD!F:F,"&gt;="&amp;O2Summary!$B$6,WTG_BD!F:F,"&lt;="&amp;O2Summary!$B$4)</f>
        <v>0</v>
      </c>
      <c r="V2804" s="18">
        <f t="shared" si="50"/>
        <v>47</v>
      </c>
    </row>
    <row r="2805" spans="19:22">
      <c r="S2805" s="16">
        <v>4808</v>
      </c>
      <c r="T2805" s="16" t="s">
        <v>3234</v>
      </c>
      <c r="U2805" s="17">
        <f>COUNTIFS(WTG_BD!L:L,'Basic Data'!T2805,WTG_BD!F:F,"&gt;="&amp;O2Summary!$B$6,WTG_BD!F:F,"&lt;="&amp;O2Summary!$B$4)</f>
        <v>0</v>
      </c>
      <c r="V2805" s="18">
        <f t="shared" si="50"/>
        <v>47</v>
      </c>
    </row>
    <row r="2806" spans="19:22">
      <c r="S2806" s="16">
        <v>4809</v>
      </c>
      <c r="T2806" s="16" t="s">
        <v>3235</v>
      </c>
      <c r="U2806" s="17">
        <f>COUNTIFS(WTG_BD!L:L,'Basic Data'!T2806,WTG_BD!F:F,"&gt;="&amp;O2Summary!$B$6,WTG_BD!F:F,"&lt;="&amp;O2Summary!$B$4)</f>
        <v>0</v>
      </c>
      <c r="V2806" s="18">
        <f t="shared" si="50"/>
        <v>47</v>
      </c>
    </row>
    <row r="2807" spans="19:22">
      <c r="S2807" s="16">
        <v>4810</v>
      </c>
      <c r="T2807" s="16" t="s">
        <v>3235</v>
      </c>
      <c r="U2807" s="17">
        <f>COUNTIFS(WTG_BD!L:L,'Basic Data'!T2807,WTG_BD!F:F,"&gt;="&amp;O2Summary!$B$6,WTG_BD!F:F,"&lt;="&amp;O2Summary!$B$4)</f>
        <v>0</v>
      </c>
      <c r="V2807" s="18">
        <f t="shared" si="50"/>
        <v>47</v>
      </c>
    </row>
    <row r="2808" spans="19:22">
      <c r="S2808" s="16">
        <v>4811</v>
      </c>
      <c r="T2808" s="16" t="s">
        <v>3236</v>
      </c>
      <c r="U2808" s="17">
        <f>COUNTIFS(WTG_BD!L:L,'Basic Data'!T2808,WTG_BD!F:F,"&gt;="&amp;O2Summary!$B$6,WTG_BD!F:F,"&lt;="&amp;O2Summary!$B$4)</f>
        <v>0</v>
      </c>
      <c r="V2808" s="18">
        <f t="shared" si="50"/>
        <v>47</v>
      </c>
    </row>
    <row r="2809" spans="19:22">
      <c r="S2809" s="16">
        <v>4812</v>
      </c>
      <c r="T2809" s="16" t="s">
        <v>3237</v>
      </c>
      <c r="U2809" s="17">
        <f>COUNTIFS(WTG_BD!L:L,'Basic Data'!T2809,WTG_BD!F:F,"&gt;="&amp;O2Summary!$B$6,WTG_BD!F:F,"&lt;="&amp;O2Summary!$B$4)</f>
        <v>0</v>
      </c>
      <c r="V2809" s="18">
        <f t="shared" si="50"/>
        <v>47</v>
      </c>
    </row>
    <row r="2810" spans="19:22">
      <c r="S2810" s="16">
        <v>4813</v>
      </c>
      <c r="T2810" s="16" t="s">
        <v>3237</v>
      </c>
      <c r="U2810" s="17">
        <f>COUNTIFS(WTG_BD!L:L,'Basic Data'!T2810,WTG_BD!F:F,"&gt;="&amp;O2Summary!$B$6,WTG_BD!F:F,"&lt;="&amp;O2Summary!$B$4)</f>
        <v>0</v>
      </c>
      <c r="V2810" s="18">
        <f t="shared" si="50"/>
        <v>47</v>
      </c>
    </row>
    <row r="2811" spans="19:22">
      <c r="S2811" s="16">
        <v>4814</v>
      </c>
      <c r="T2811" s="16" t="s">
        <v>3238</v>
      </c>
      <c r="U2811" s="17">
        <f>COUNTIFS(WTG_BD!L:L,'Basic Data'!T2811,WTG_BD!F:F,"&gt;="&amp;O2Summary!$B$6,WTG_BD!F:F,"&lt;="&amp;O2Summary!$B$4)</f>
        <v>0</v>
      </c>
      <c r="V2811" s="18">
        <f t="shared" si="50"/>
        <v>47</v>
      </c>
    </row>
    <row r="2812" spans="19:22">
      <c r="S2812" s="16">
        <v>4815</v>
      </c>
      <c r="T2812" s="16" t="s">
        <v>3239</v>
      </c>
      <c r="U2812" s="17">
        <f>COUNTIFS(WTG_BD!L:L,'Basic Data'!T2812,WTG_BD!F:F,"&gt;="&amp;O2Summary!$B$6,WTG_BD!F:F,"&lt;="&amp;O2Summary!$B$4)</f>
        <v>0</v>
      </c>
      <c r="V2812" s="18">
        <f t="shared" si="50"/>
        <v>47</v>
      </c>
    </row>
    <row r="2813" spans="19:22">
      <c r="S2813" s="16">
        <v>4816</v>
      </c>
      <c r="T2813" s="16" t="s">
        <v>3240</v>
      </c>
      <c r="U2813" s="17">
        <f>COUNTIFS(WTG_BD!L:L,'Basic Data'!T2813,WTG_BD!F:F,"&gt;="&amp;O2Summary!$B$6,WTG_BD!F:F,"&lt;="&amp;O2Summary!$B$4)</f>
        <v>0</v>
      </c>
      <c r="V2813" s="18">
        <f t="shared" si="50"/>
        <v>47</v>
      </c>
    </row>
    <row r="2814" spans="19:22">
      <c r="S2814" s="16">
        <v>4817</v>
      </c>
      <c r="T2814" s="16" t="s">
        <v>3241</v>
      </c>
      <c r="U2814" s="17">
        <f>COUNTIFS(WTG_BD!L:L,'Basic Data'!T2814,WTG_BD!F:F,"&gt;="&amp;O2Summary!$B$6,WTG_BD!F:F,"&lt;="&amp;O2Summary!$B$4)</f>
        <v>0</v>
      </c>
      <c r="V2814" s="18">
        <f t="shared" si="50"/>
        <v>47</v>
      </c>
    </row>
    <row r="2815" spans="19:22">
      <c r="S2815" s="16">
        <v>4818</v>
      </c>
      <c r="T2815" s="16" t="s">
        <v>3242</v>
      </c>
      <c r="U2815" s="17">
        <f>COUNTIFS(WTG_BD!L:L,'Basic Data'!T2815,WTG_BD!F:F,"&gt;="&amp;O2Summary!$B$6,WTG_BD!F:F,"&lt;="&amp;O2Summary!$B$4)</f>
        <v>0</v>
      </c>
      <c r="V2815" s="18">
        <f t="shared" si="50"/>
        <v>47</v>
      </c>
    </row>
    <row r="2816" spans="19:22">
      <c r="S2816" s="16">
        <v>4819</v>
      </c>
      <c r="T2816" s="16" t="s">
        <v>3243</v>
      </c>
      <c r="U2816" s="17">
        <f>COUNTIFS(WTG_BD!L:L,'Basic Data'!T2816,WTG_BD!F:F,"&gt;="&amp;O2Summary!$B$6,WTG_BD!F:F,"&lt;="&amp;O2Summary!$B$4)</f>
        <v>0</v>
      </c>
      <c r="V2816" s="18">
        <f t="shared" si="50"/>
        <v>47</v>
      </c>
    </row>
    <row r="2817" spans="19:22">
      <c r="S2817" s="16">
        <v>4820</v>
      </c>
      <c r="T2817" s="16" t="s">
        <v>3244</v>
      </c>
      <c r="U2817" s="17">
        <f>COUNTIFS(WTG_BD!L:L,'Basic Data'!T2817,WTG_BD!F:F,"&gt;="&amp;O2Summary!$B$6,WTG_BD!F:F,"&lt;="&amp;O2Summary!$B$4)</f>
        <v>0</v>
      </c>
      <c r="V2817" s="18">
        <f t="shared" si="50"/>
        <v>47</v>
      </c>
    </row>
    <row r="2818" spans="19:22">
      <c r="S2818" s="16">
        <v>4821</v>
      </c>
      <c r="T2818" s="16" t="s">
        <v>3245</v>
      </c>
      <c r="U2818" s="17">
        <f>COUNTIFS(WTG_BD!L:L,'Basic Data'!T2818,WTG_BD!F:F,"&gt;="&amp;O2Summary!$B$6,WTG_BD!F:F,"&lt;="&amp;O2Summary!$B$4)</f>
        <v>0</v>
      </c>
      <c r="V2818" s="18">
        <f t="shared" si="50"/>
        <v>47</v>
      </c>
    </row>
    <row r="2819" spans="19:22">
      <c r="S2819" s="16">
        <v>4822</v>
      </c>
      <c r="T2819" s="16" t="s">
        <v>3246</v>
      </c>
      <c r="U2819" s="17">
        <f>COUNTIFS(WTG_BD!L:L,'Basic Data'!T2819,WTG_BD!F:F,"&gt;="&amp;O2Summary!$B$6,WTG_BD!F:F,"&lt;="&amp;O2Summary!$B$4)</f>
        <v>0</v>
      </c>
      <c r="V2819" s="18">
        <f t="shared" ref="V2819:V2882" si="51">RANK(U2819,$U$2:$U$3975)</f>
        <v>47</v>
      </c>
    </row>
    <row r="2820" spans="19:22">
      <c r="S2820" s="16">
        <v>4823</v>
      </c>
      <c r="T2820" s="16" t="s">
        <v>3247</v>
      </c>
      <c r="U2820" s="17">
        <f>COUNTIFS(WTG_BD!L:L,'Basic Data'!T2820,WTG_BD!F:F,"&gt;="&amp;O2Summary!$B$6,WTG_BD!F:F,"&lt;="&amp;O2Summary!$B$4)</f>
        <v>0</v>
      </c>
      <c r="V2820" s="18">
        <f t="shared" si="51"/>
        <v>47</v>
      </c>
    </row>
    <row r="2821" spans="19:22">
      <c r="S2821" s="16">
        <v>4824</v>
      </c>
      <c r="T2821" s="16" t="s">
        <v>3248</v>
      </c>
      <c r="U2821" s="17">
        <f>COUNTIFS(WTG_BD!L:L,'Basic Data'!T2821,WTG_BD!F:F,"&gt;="&amp;O2Summary!$B$6,WTG_BD!F:F,"&lt;="&amp;O2Summary!$B$4)</f>
        <v>0</v>
      </c>
      <c r="V2821" s="18">
        <f t="shared" si="51"/>
        <v>47</v>
      </c>
    </row>
    <row r="2822" spans="19:22">
      <c r="S2822" s="16">
        <v>4825</v>
      </c>
      <c r="T2822" s="16" t="s">
        <v>3249</v>
      </c>
      <c r="U2822" s="17">
        <f>COUNTIFS(WTG_BD!L:L,'Basic Data'!T2822,WTG_BD!F:F,"&gt;="&amp;O2Summary!$B$6,WTG_BD!F:F,"&lt;="&amp;O2Summary!$B$4)</f>
        <v>0</v>
      </c>
      <c r="V2822" s="18">
        <f t="shared" si="51"/>
        <v>47</v>
      </c>
    </row>
    <row r="2823" spans="19:22">
      <c r="S2823" s="16">
        <v>4826</v>
      </c>
      <c r="T2823" s="16" t="s">
        <v>3250</v>
      </c>
      <c r="U2823" s="17">
        <f>COUNTIFS(WTG_BD!L:L,'Basic Data'!T2823,WTG_BD!F:F,"&gt;="&amp;O2Summary!$B$6,WTG_BD!F:F,"&lt;="&amp;O2Summary!$B$4)</f>
        <v>0</v>
      </c>
      <c r="V2823" s="18">
        <f t="shared" si="51"/>
        <v>47</v>
      </c>
    </row>
    <row r="2824" spans="19:22">
      <c r="S2824" s="26">
        <v>4827</v>
      </c>
      <c r="T2824" s="26" t="s">
        <v>3251</v>
      </c>
      <c r="U2824" s="17">
        <f>COUNTIFS(WTG_BD!L:L,'Basic Data'!T2824,WTG_BD!F:F,"&gt;="&amp;O2Summary!$B$6,WTG_BD!F:F,"&lt;="&amp;O2Summary!$B$4)</f>
        <v>0</v>
      </c>
      <c r="V2824" s="18">
        <f t="shared" si="51"/>
        <v>47</v>
      </c>
    </row>
    <row r="2825" spans="19:22">
      <c r="S2825" s="26">
        <v>4828</v>
      </c>
      <c r="T2825" s="26" t="s">
        <v>3252</v>
      </c>
      <c r="U2825" s="17">
        <f>COUNTIFS(WTG_BD!L:L,'Basic Data'!T2825,WTG_BD!F:F,"&gt;="&amp;O2Summary!$B$6,WTG_BD!F:F,"&lt;="&amp;O2Summary!$B$4)</f>
        <v>0</v>
      </c>
      <c r="V2825" s="18">
        <f t="shared" si="51"/>
        <v>47</v>
      </c>
    </row>
    <row r="2826" spans="19:22">
      <c r="S2826" s="26">
        <v>4829</v>
      </c>
      <c r="T2826" s="26" t="s">
        <v>3253</v>
      </c>
      <c r="U2826" s="17">
        <f>COUNTIFS(WTG_BD!L:L,'Basic Data'!T2826,WTG_BD!F:F,"&gt;="&amp;O2Summary!$B$6,WTG_BD!F:F,"&lt;="&amp;O2Summary!$B$4)</f>
        <v>0</v>
      </c>
      <c r="V2826" s="18">
        <f t="shared" si="51"/>
        <v>47</v>
      </c>
    </row>
    <row r="2827" spans="19:22">
      <c r="S2827" s="26">
        <v>4830</v>
      </c>
      <c r="T2827" s="26" t="s">
        <v>3254</v>
      </c>
      <c r="U2827" s="17">
        <f>COUNTIFS(WTG_BD!L:L,'Basic Data'!T2827,WTG_BD!F:F,"&gt;="&amp;O2Summary!$B$6,WTG_BD!F:F,"&lt;="&amp;O2Summary!$B$4)</f>
        <v>0</v>
      </c>
      <c r="V2827" s="18">
        <f t="shared" si="51"/>
        <v>47</v>
      </c>
    </row>
    <row r="2828" spans="19:22">
      <c r="S2828" s="26">
        <v>4831</v>
      </c>
      <c r="T2828" s="26" t="s">
        <v>3255</v>
      </c>
      <c r="U2828" s="17">
        <f>COUNTIFS(WTG_BD!L:L,'Basic Data'!T2828,WTG_BD!F:F,"&gt;="&amp;O2Summary!$B$6,WTG_BD!F:F,"&lt;="&amp;O2Summary!$B$4)</f>
        <v>0</v>
      </c>
      <c r="V2828" s="18">
        <f t="shared" si="51"/>
        <v>47</v>
      </c>
    </row>
    <row r="2829" spans="19:22">
      <c r="S2829" s="26">
        <v>4832</v>
      </c>
      <c r="T2829" s="26" t="s">
        <v>3256</v>
      </c>
      <c r="U2829" s="17">
        <f>COUNTIFS(WTG_BD!L:L,'Basic Data'!T2829,WTG_BD!F:F,"&gt;="&amp;O2Summary!$B$6,WTG_BD!F:F,"&lt;="&amp;O2Summary!$B$4)</f>
        <v>0</v>
      </c>
      <c r="V2829" s="18">
        <f t="shared" si="51"/>
        <v>47</v>
      </c>
    </row>
    <row r="2830" spans="19:22">
      <c r="S2830" s="16">
        <v>4833</v>
      </c>
      <c r="T2830" s="16" t="s">
        <v>3257</v>
      </c>
      <c r="U2830" s="17">
        <f>COUNTIFS(WTG_BD!L:L,'Basic Data'!T2830,WTG_BD!F:F,"&gt;="&amp;O2Summary!$B$6,WTG_BD!F:F,"&lt;="&amp;O2Summary!$B$4)</f>
        <v>0</v>
      </c>
      <c r="V2830" s="18">
        <f t="shared" si="51"/>
        <v>47</v>
      </c>
    </row>
    <row r="2831" spans="19:22">
      <c r="S2831" s="16">
        <v>4834</v>
      </c>
      <c r="T2831" s="16" t="s">
        <v>3258</v>
      </c>
      <c r="U2831" s="17">
        <f>COUNTIFS(WTG_BD!L:L,'Basic Data'!T2831,WTG_BD!F:F,"&gt;="&amp;O2Summary!$B$6,WTG_BD!F:F,"&lt;="&amp;O2Summary!$B$4)</f>
        <v>0</v>
      </c>
      <c r="V2831" s="18">
        <f t="shared" si="51"/>
        <v>47</v>
      </c>
    </row>
    <row r="2832" spans="19:22">
      <c r="S2832" s="16">
        <v>4835</v>
      </c>
      <c r="T2832" s="16" t="s">
        <v>3259</v>
      </c>
      <c r="U2832" s="17">
        <f>COUNTIFS(WTG_BD!L:L,'Basic Data'!T2832,WTG_BD!F:F,"&gt;="&amp;O2Summary!$B$6,WTG_BD!F:F,"&lt;="&amp;O2Summary!$B$4)</f>
        <v>0</v>
      </c>
      <c r="V2832" s="18">
        <f t="shared" si="51"/>
        <v>47</v>
      </c>
    </row>
    <row r="2833" spans="19:22">
      <c r="S2833" s="16">
        <v>4836</v>
      </c>
      <c r="T2833" s="16" t="s">
        <v>3260</v>
      </c>
      <c r="U2833" s="17">
        <f>COUNTIFS(WTG_BD!L:L,'Basic Data'!T2833,WTG_BD!F:F,"&gt;="&amp;O2Summary!$B$6,WTG_BD!F:F,"&lt;="&amp;O2Summary!$B$4)</f>
        <v>0</v>
      </c>
      <c r="V2833" s="18">
        <f t="shared" si="51"/>
        <v>47</v>
      </c>
    </row>
    <row r="2834" spans="19:22">
      <c r="S2834" s="16">
        <v>4837</v>
      </c>
      <c r="T2834" s="16" t="s">
        <v>3261</v>
      </c>
      <c r="U2834" s="17">
        <f>COUNTIFS(WTG_BD!L:L,'Basic Data'!T2834,WTG_BD!F:F,"&gt;="&amp;O2Summary!$B$6,WTG_BD!F:F,"&lt;="&amp;O2Summary!$B$4)</f>
        <v>0</v>
      </c>
      <c r="V2834" s="18">
        <f t="shared" si="51"/>
        <v>47</v>
      </c>
    </row>
    <row r="2835" spans="19:22">
      <c r="S2835" s="16">
        <v>4838</v>
      </c>
      <c r="T2835" s="16" t="s">
        <v>3262</v>
      </c>
      <c r="U2835" s="17">
        <f>COUNTIFS(WTG_BD!L:L,'Basic Data'!T2835,WTG_BD!F:F,"&gt;="&amp;O2Summary!$B$6,WTG_BD!F:F,"&lt;="&amp;O2Summary!$B$4)</f>
        <v>0</v>
      </c>
      <c r="V2835" s="18">
        <f t="shared" si="51"/>
        <v>47</v>
      </c>
    </row>
    <row r="2836" spans="19:22">
      <c r="S2836" s="16">
        <v>4839</v>
      </c>
      <c r="T2836" s="16" t="s">
        <v>3263</v>
      </c>
      <c r="U2836" s="17">
        <f>COUNTIFS(WTG_BD!L:L,'Basic Data'!T2836,WTG_BD!F:F,"&gt;="&amp;O2Summary!$B$6,WTG_BD!F:F,"&lt;="&amp;O2Summary!$B$4)</f>
        <v>0</v>
      </c>
      <c r="V2836" s="18">
        <f t="shared" si="51"/>
        <v>47</v>
      </c>
    </row>
    <row r="2837" spans="19:22">
      <c r="S2837" s="16">
        <v>4840</v>
      </c>
      <c r="T2837" s="16" t="s">
        <v>3264</v>
      </c>
      <c r="U2837" s="17">
        <f>COUNTIFS(WTG_BD!L:L,'Basic Data'!T2837,WTG_BD!F:F,"&gt;="&amp;O2Summary!$B$6,WTG_BD!F:F,"&lt;="&amp;O2Summary!$B$4)</f>
        <v>0</v>
      </c>
      <c r="V2837" s="18">
        <f t="shared" si="51"/>
        <v>47</v>
      </c>
    </row>
    <row r="2838" spans="19:22">
      <c r="S2838" s="16">
        <v>4841</v>
      </c>
      <c r="T2838" s="16" t="s">
        <v>3265</v>
      </c>
      <c r="U2838" s="17">
        <f>COUNTIFS(WTG_BD!L:L,'Basic Data'!T2838,WTG_BD!F:F,"&gt;="&amp;O2Summary!$B$6,WTG_BD!F:F,"&lt;="&amp;O2Summary!$B$4)</f>
        <v>0</v>
      </c>
      <c r="V2838" s="18">
        <f t="shared" si="51"/>
        <v>47</v>
      </c>
    </row>
    <row r="2839" spans="19:22">
      <c r="S2839" s="16">
        <v>4842</v>
      </c>
      <c r="T2839" s="16" t="s">
        <v>3266</v>
      </c>
      <c r="U2839" s="17">
        <f>COUNTIFS(WTG_BD!L:L,'Basic Data'!T2839,WTG_BD!F:F,"&gt;="&amp;O2Summary!$B$6,WTG_BD!F:F,"&lt;="&amp;O2Summary!$B$4)</f>
        <v>0</v>
      </c>
      <c r="V2839" s="18">
        <f t="shared" si="51"/>
        <v>47</v>
      </c>
    </row>
    <row r="2840" spans="19:22">
      <c r="S2840" s="16">
        <v>4843</v>
      </c>
      <c r="T2840" s="16" t="s">
        <v>3267</v>
      </c>
      <c r="U2840" s="17">
        <f>COUNTIFS(WTG_BD!L:L,'Basic Data'!T2840,WTG_BD!F:F,"&gt;="&amp;O2Summary!$B$6,WTG_BD!F:F,"&lt;="&amp;O2Summary!$B$4)</f>
        <v>0</v>
      </c>
      <c r="V2840" s="18">
        <f t="shared" si="51"/>
        <v>47</v>
      </c>
    </row>
    <row r="2841" spans="19:22">
      <c r="S2841" s="16">
        <v>4844</v>
      </c>
      <c r="T2841" s="16" t="s">
        <v>3268</v>
      </c>
      <c r="U2841" s="17">
        <f>COUNTIFS(WTG_BD!L:L,'Basic Data'!T2841,WTG_BD!F:F,"&gt;="&amp;O2Summary!$B$6,WTG_BD!F:F,"&lt;="&amp;O2Summary!$B$4)</f>
        <v>0</v>
      </c>
      <c r="V2841" s="18">
        <f t="shared" si="51"/>
        <v>47</v>
      </c>
    </row>
    <row r="2842" spans="19:22">
      <c r="S2842" s="16">
        <v>4845</v>
      </c>
      <c r="T2842" s="16" t="s">
        <v>3269</v>
      </c>
      <c r="U2842" s="17">
        <f>COUNTIFS(WTG_BD!L:L,'Basic Data'!T2842,WTG_BD!F:F,"&gt;="&amp;O2Summary!$B$6,WTG_BD!F:F,"&lt;="&amp;O2Summary!$B$4)</f>
        <v>0</v>
      </c>
      <c r="V2842" s="18">
        <f t="shared" si="51"/>
        <v>47</v>
      </c>
    </row>
    <row r="2843" spans="19:22">
      <c r="S2843" s="16">
        <v>4846</v>
      </c>
      <c r="T2843" s="16" t="s">
        <v>3270</v>
      </c>
      <c r="U2843" s="17">
        <f>COUNTIFS(WTG_BD!L:L,'Basic Data'!T2843,WTG_BD!F:F,"&gt;="&amp;O2Summary!$B$6,WTG_BD!F:F,"&lt;="&amp;O2Summary!$B$4)</f>
        <v>0</v>
      </c>
      <c r="V2843" s="18">
        <f t="shared" si="51"/>
        <v>47</v>
      </c>
    </row>
    <row r="2844" spans="19:22">
      <c r="S2844" s="16">
        <v>4847</v>
      </c>
      <c r="T2844" s="16" t="s">
        <v>3271</v>
      </c>
      <c r="U2844" s="17">
        <f>COUNTIFS(WTG_BD!L:L,'Basic Data'!T2844,WTG_BD!F:F,"&gt;="&amp;O2Summary!$B$6,WTG_BD!F:F,"&lt;="&amp;O2Summary!$B$4)</f>
        <v>0</v>
      </c>
      <c r="V2844" s="18">
        <f t="shared" si="51"/>
        <v>47</v>
      </c>
    </row>
    <row r="2845" spans="19:22">
      <c r="S2845" s="16">
        <v>4848</v>
      </c>
      <c r="T2845" s="16" t="s">
        <v>3272</v>
      </c>
      <c r="U2845" s="17">
        <f>COUNTIFS(WTG_BD!L:L,'Basic Data'!T2845,WTG_BD!F:F,"&gt;="&amp;O2Summary!$B$6,WTG_BD!F:F,"&lt;="&amp;O2Summary!$B$4)</f>
        <v>0</v>
      </c>
      <c r="V2845" s="18">
        <f t="shared" si="51"/>
        <v>47</v>
      </c>
    </row>
    <row r="2846" spans="19:22">
      <c r="S2846" s="16">
        <v>4849</v>
      </c>
      <c r="T2846" s="16" t="s">
        <v>3273</v>
      </c>
      <c r="U2846" s="17">
        <f>COUNTIFS(WTG_BD!L:L,'Basic Data'!T2846,WTG_BD!F:F,"&gt;="&amp;O2Summary!$B$6,WTG_BD!F:F,"&lt;="&amp;O2Summary!$B$4)</f>
        <v>0</v>
      </c>
      <c r="V2846" s="18">
        <f t="shared" si="51"/>
        <v>47</v>
      </c>
    </row>
    <row r="2847" spans="19:22">
      <c r="S2847" s="16">
        <v>4850</v>
      </c>
      <c r="T2847" s="16" t="s">
        <v>3274</v>
      </c>
      <c r="U2847" s="17">
        <f>COUNTIFS(WTG_BD!L:L,'Basic Data'!T2847,WTG_BD!F:F,"&gt;="&amp;O2Summary!$B$6,WTG_BD!F:F,"&lt;="&amp;O2Summary!$B$4)</f>
        <v>0</v>
      </c>
      <c r="V2847" s="18">
        <f t="shared" si="51"/>
        <v>47</v>
      </c>
    </row>
    <row r="2848" spans="19:22">
      <c r="S2848" s="16">
        <v>4851</v>
      </c>
      <c r="T2848" s="16" t="s">
        <v>3275</v>
      </c>
      <c r="U2848" s="17">
        <f>COUNTIFS(WTG_BD!L:L,'Basic Data'!T2848,WTG_BD!F:F,"&gt;="&amp;O2Summary!$B$6,WTG_BD!F:F,"&lt;="&amp;O2Summary!$B$4)</f>
        <v>0</v>
      </c>
      <c r="V2848" s="18">
        <f t="shared" si="51"/>
        <v>47</v>
      </c>
    </row>
    <row r="2849" spans="19:22">
      <c r="S2849" s="16">
        <v>4852</v>
      </c>
      <c r="T2849" s="16" t="s">
        <v>3276</v>
      </c>
      <c r="U2849" s="17">
        <f>COUNTIFS(WTG_BD!L:L,'Basic Data'!T2849,WTG_BD!F:F,"&gt;="&amp;O2Summary!$B$6,WTG_BD!F:F,"&lt;="&amp;O2Summary!$B$4)</f>
        <v>0</v>
      </c>
      <c r="V2849" s="18">
        <f t="shared" si="51"/>
        <v>47</v>
      </c>
    </row>
    <row r="2850" spans="19:22">
      <c r="S2850" s="16">
        <v>4853</v>
      </c>
      <c r="T2850" s="16" t="s">
        <v>3277</v>
      </c>
      <c r="U2850" s="17">
        <f>COUNTIFS(WTG_BD!L:L,'Basic Data'!T2850,WTG_BD!F:F,"&gt;="&amp;O2Summary!$B$6,WTG_BD!F:F,"&lt;="&amp;O2Summary!$B$4)</f>
        <v>0</v>
      </c>
      <c r="V2850" s="18">
        <f t="shared" si="51"/>
        <v>47</v>
      </c>
    </row>
    <row r="2851" spans="19:22">
      <c r="S2851" s="16">
        <v>4854</v>
      </c>
      <c r="T2851" s="16" t="s">
        <v>3278</v>
      </c>
      <c r="U2851" s="17">
        <f>COUNTIFS(WTG_BD!L:L,'Basic Data'!T2851,WTG_BD!F:F,"&gt;="&amp;O2Summary!$B$6,WTG_BD!F:F,"&lt;="&amp;O2Summary!$B$4)</f>
        <v>0</v>
      </c>
      <c r="V2851" s="18">
        <f t="shared" si="51"/>
        <v>47</v>
      </c>
    </row>
    <row r="2852" spans="19:22">
      <c r="S2852" s="16">
        <v>4855</v>
      </c>
      <c r="T2852" s="16" t="s">
        <v>3279</v>
      </c>
      <c r="U2852" s="17">
        <f>COUNTIFS(WTG_BD!L:L,'Basic Data'!T2852,WTG_BD!F:F,"&gt;="&amp;O2Summary!$B$6,WTG_BD!F:F,"&lt;="&amp;O2Summary!$B$4)</f>
        <v>0</v>
      </c>
      <c r="V2852" s="18">
        <f t="shared" si="51"/>
        <v>47</v>
      </c>
    </row>
    <row r="2853" spans="19:22">
      <c r="S2853" s="16">
        <v>4856</v>
      </c>
      <c r="T2853" s="16" t="s">
        <v>3280</v>
      </c>
      <c r="U2853" s="17">
        <f>COUNTIFS(WTG_BD!L:L,'Basic Data'!T2853,WTG_BD!F:F,"&gt;="&amp;O2Summary!$B$6,WTG_BD!F:F,"&lt;="&amp;O2Summary!$B$4)</f>
        <v>0</v>
      </c>
      <c r="V2853" s="18">
        <f t="shared" si="51"/>
        <v>47</v>
      </c>
    </row>
    <row r="2854" spans="19:22">
      <c r="S2854" s="16">
        <v>4857</v>
      </c>
      <c r="T2854" s="16" t="s">
        <v>3281</v>
      </c>
      <c r="U2854" s="17">
        <f>COUNTIFS(WTG_BD!L:L,'Basic Data'!T2854,WTG_BD!F:F,"&gt;="&amp;O2Summary!$B$6,WTG_BD!F:F,"&lt;="&amp;O2Summary!$B$4)</f>
        <v>0</v>
      </c>
      <c r="V2854" s="18">
        <f t="shared" si="51"/>
        <v>47</v>
      </c>
    </row>
    <row r="2855" spans="19:22">
      <c r="S2855" s="16">
        <v>4858</v>
      </c>
      <c r="T2855" s="16" t="s">
        <v>3282</v>
      </c>
      <c r="U2855" s="17">
        <f>COUNTIFS(WTG_BD!L:L,'Basic Data'!T2855,WTG_BD!F:F,"&gt;="&amp;O2Summary!$B$6,WTG_BD!F:F,"&lt;="&amp;O2Summary!$B$4)</f>
        <v>0</v>
      </c>
      <c r="V2855" s="18">
        <f t="shared" si="51"/>
        <v>47</v>
      </c>
    </row>
    <row r="2856" spans="19:22">
      <c r="S2856" s="16">
        <v>4859</v>
      </c>
      <c r="T2856" s="16" t="s">
        <v>3283</v>
      </c>
      <c r="U2856" s="17">
        <f>COUNTIFS(WTG_BD!L:L,'Basic Data'!T2856,WTG_BD!F:F,"&gt;="&amp;O2Summary!$B$6,WTG_BD!F:F,"&lt;="&amp;O2Summary!$B$4)</f>
        <v>0</v>
      </c>
      <c r="V2856" s="18">
        <f t="shared" si="51"/>
        <v>47</v>
      </c>
    </row>
    <row r="2857" spans="19:22">
      <c r="S2857" s="16">
        <v>4860</v>
      </c>
      <c r="T2857" s="16" t="s">
        <v>3284</v>
      </c>
      <c r="U2857" s="17">
        <f>COUNTIFS(WTG_BD!L:L,'Basic Data'!T2857,WTG_BD!F:F,"&gt;="&amp;O2Summary!$B$6,WTG_BD!F:F,"&lt;="&amp;O2Summary!$B$4)</f>
        <v>0</v>
      </c>
      <c r="V2857" s="18">
        <f t="shared" si="51"/>
        <v>47</v>
      </c>
    </row>
    <row r="2858" spans="19:22">
      <c r="S2858" s="16">
        <v>4861</v>
      </c>
      <c r="T2858" s="16" t="s">
        <v>3285</v>
      </c>
      <c r="U2858" s="17">
        <f>COUNTIFS(WTG_BD!L:L,'Basic Data'!T2858,WTG_BD!F:F,"&gt;="&amp;O2Summary!$B$6,WTG_BD!F:F,"&lt;="&amp;O2Summary!$B$4)</f>
        <v>0</v>
      </c>
      <c r="V2858" s="18">
        <f t="shared" si="51"/>
        <v>47</v>
      </c>
    </row>
    <row r="2859" spans="19:22">
      <c r="S2859" s="16">
        <v>4862</v>
      </c>
      <c r="T2859" s="16" t="s">
        <v>3286</v>
      </c>
      <c r="U2859" s="17">
        <f>COUNTIFS(WTG_BD!L:L,'Basic Data'!T2859,WTG_BD!F:F,"&gt;="&amp;O2Summary!$B$6,WTG_BD!F:F,"&lt;="&amp;O2Summary!$B$4)</f>
        <v>0</v>
      </c>
      <c r="V2859" s="18">
        <f t="shared" si="51"/>
        <v>47</v>
      </c>
    </row>
    <row r="2860" spans="19:22">
      <c r="S2860" s="16">
        <v>4863</v>
      </c>
      <c r="T2860" s="16" t="s">
        <v>3287</v>
      </c>
      <c r="U2860" s="17">
        <f>COUNTIFS(WTG_BD!L:L,'Basic Data'!T2860,WTG_BD!F:F,"&gt;="&amp;O2Summary!$B$6,WTG_BD!F:F,"&lt;="&amp;O2Summary!$B$4)</f>
        <v>0</v>
      </c>
      <c r="V2860" s="18">
        <f t="shared" si="51"/>
        <v>47</v>
      </c>
    </row>
    <row r="2861" spans="19:22">
      <c r="S2861" s="16">
        <v>4864</v>
      </c>
      <c r="T2861" s="16" t="s">
        <v>3288</v>
      </c>
      <c r="U2861" s="17">
        <f>COUNTIFS(WTG_BD!L:L,'Basic Data'!T2861,WTG_BD!F:F,"&gt;="&amp;O2Summary!$B$6,WTG_BD!F:F,"&lt;="&amp;O2Summary!$B$4)</f>
        <v>0</v>
      </c>
      <c r="V2861" s="18">
        <f t="shared" si="51"/>
        <v>47</v>
      </c>
    </row>
    <row r="2862" spans="19:22">
      <c r="S2862" s="26">
        <v>4865</v>
      </c>
      <c r="T2862" s="26" t="s">
        <v>3289</v>
      </c>
      <c r="U2862" s="17">
        <f>COUNTIFS(WTG_BD!L:L,'Basic Data'!T2862,WTG_BD!F:F,"&gt;="&amp;O2Summary!$B$6,WTG_BD!F:F,"&lt;="&amp;O2Summary!$B$4)</f>
        <v>0</v>
      </c>
      <c r="V2862" s="18">
        <f t="shared" si="51"/>
        <v>47</v>
      </c>
    </row>
    <row r="2863" spans="19:22">
      <c r="S2863" s="16">
        <v>4866</v>
      </c>
      <c r="T2863" s="16" t="s">
        <v>3290</v>
      </c>
      <c r="U2863" s="17">
        <f>COUNTIFS(WTG_BD!L:L,'Basic Data'!T2863,WTG_BD!F:F,"&gt;="&amp;O2Summary!$B$6,WTG_BD!F:F,"&lt;="&amp;O2Summary!$B$4)</f>
        <v>0</v>
      </c>
      <c r="V2863" s="18">
        <f t="shared" si="51"/>
        <v>47</v>
      </c>
    </row>
    <row r="2864" spans="19:22">
      <c r="S2864" s="16">
        <v>4867</v>
      </c>
      <c r="T2864" s="16" t="s">
        <v>3291</v>
      </c>
      <c r="U2864" s="17">
        <f>COUNTIFS(WTG_BD!L:L,'Basic Data'!T2864,WTG_BD!F:F,"&gt;="&amp;O2Summary!$B$6,WTG_BD!F:F,"&lt;="&amp;O2Summary!$B$4)</f>
        <v>0</v>
      </c>
      <c r="V2864" s="18">
        <f t="shared" si="51"/>
        <v>47</v>
      </c>
    </row>
    <row r="2865" spans="19:22">
      <c r="S2865" s="16">
        <v>4868</v>
      </c>
      <c r="T2865" s="16" t="s">
        <v>3292</v>
      </c>
      <c r="U2865" s="17">
        <f>COUNTIFS(WTG_BD!L:L,'Basic Data'!T2865,WTG_BD!F:F,"&gt;="&amp;O2Summary!$B$6,WTG_BD!F:F,"&lt;="&amp;O2Summary!$B$4)</f>
        <v>0</v>
      </c>
      <c r="V2865" s="18">
        <f t="shared" si="51"/>
        <v>47</v>
      </c>
    </row>
    <row r="2866" spans="19:22">
      <c r="S2866" s="16">
        <v>4869</v>
      </c>
      <c r="T2866" s="16" t="s">
        <v>3293</v>
      </c>
      <c r="U2866" s="17">
        <f>COUNTIFS(WTG_BD!L:L,'Basic Data'!T2866,WTG_BD!F:F,"&gt;="&amp;O2Summary!$B$6,WTG_BD!F:F,"&lt;="&amp;O2Summary!$B$4)</f>
        <v>0</v>
      </c>
      <c r="V2866" s="18">
        <f t="shared" si="51"/>
        <v>47</v>
      </c>
    </row>
    <row r="2867" spans="19:22">
      <c r="S2867" s="16">
        <v>4870</v>
      </c>
      <c r="T2867" s="16" t="s">
        <v>3294</v>
      </c>
      <c r="U2867" s="17">
        <f>COUNTIFS(WTG_BD!L:L,'Basic Data'!T2867,WTG_BD!F:F,"&gt;="&amp;O2Summary!$B$6,WTG_BD!F:F,"&lt;="&amp;O2Summary!$B$4)</f>
        <v>0</v>
      </c>
      <c r="V2867" s="18">
        <f t="shared" si="51"/>
        <v>47</v>
      </c>
    </row>
    <row r="2868" spans="19:22">
      <c r="S2868" s="16">
        <v>4871</v>
      </c>
      <c r="T2868" s="16" t="s">
        <v>3295</v>
      </c>
      <c r="U2868" s="17">
        <f>COUNTIFS(WTG_BD!L:L,'Basic Data'!T2868,WTG_BD!F:F,"&gt;="&amp;O2Summary!$B$6,WTG_BD!F:F,"&lt;="&amp;O2Summary!$B$4)</f>
        <v>0</v>
      </c>
      <c r="V2868" s="18">
        <f t="shared" si="51"/>
        <v>47</v>
      </c>
    </row>
    <row r="2869" spans="19:22">
      <c r="S2869" s="16">
        <v>4872</v>
      </c>
      <c r="T2869" s="16" t="s">
        <v>3296</v>
      </c>
      <c r="U2869" s="17">
        <f>COUNTIFS(WTG_BD!L:L,'Basic Data'!T2869,WTG_BD!F:F,"&gt;="&amp;O2Summary!$B$6,WTG_BD!F:F,"&lt;="&amp;O2Summary!$B$4)</f>
        <v>0</v>
      </c>
      <c r="V2869" s="18">
        <f t="shared" si="51"/>
        <v>47</v>
      </c>
    </row>
    <row r="2870" spans="19:22">
      <c r="S2870" s="16">
        <v>4873</v>
      </c>
      <c r="T2870" s="16" t="s">
        <v>3297</v>
      </c>
      <c r="U2870" s="17">
        <f>COUNTIFS(WTG_BD!L:L,'Basic Data'!T2870,WTG_BD!F:F,"&gt;="&amp;O2Summary!$B$6,WTG_BD!F:F,"&lt;="&amp;O2Summary!$B$4)</f>
        <v>0</v>
      </c>
      <c r="V2870" s="18">
        <f t="shared" si="51"/>
        <v>47</v>
      </c>
    </row>
    <row r="2871" spans="19:22">
      <c r="S2871" s="16">
        <v>4874</v>
      </c>
      <c r="T2871" s="16" t="s">
        <v>3298</v>
      </c>
      <c r="U2871" s="17">
        <f>COUNTIFS(WTG_BD!L:L,'Basic Data'!T2871,WTG_BD!F:F,"&gt;="&amp;O2Summary!$B$6,WTG_BD!F:F,"&lt;="&amp;O2Summary!$B$4)</f>
        <v>0</v>
      </c>
      <c r="V2871" s="18">
        <f t="shared" si="51"/>
        <v>47</v>
      </c>
    </row>
    <row r="2872" spans="19:22">
      <c r="S2872" s="16">
        <v>4875</v>
      </c>
      <c r="T2872" s="16" t="s">
        <v>3299</v>
      </c>
      <c r="U2872" s="17">
        <f>COUNTIFS(WTG_BD!L:L,'Basic Data'!T2872,WTG_BD!F:F,"&gt;="&amp;O2Summary!$B$6,WTG_BD!F:F,"&lt;="&amp;O2Summary!$B$4)</f>
        <v>0</v>
      </c>
      <c r="V2872" s="18">
        <f t="shared" si="51"/>
        <v>47</v>
      </c>
    </row>
    <row r="2873" spans="19:22">
      <c r="S2873" s="16">
        <v>4876</v>
      </c>
      <c r="T2873" s="16" t="s">
        <v>2368</v>
      </c>
      <c r="U2873" s="17">
        <f>COUNTIFS(WTG_BD!L:L,'Basic Data'!T2873,WTG_BD!F:F,"&gt;="&amp;O2Summary!$B$6,WTG_BD!F:F,"&lt;="&amp;O2Summary!$B$4)</f>
        <v>0</v>
      </c>
      <c r="V2873" s="18">
        <f t="shared" si="51"/>
        <v>47</v>
      </c>
    </row>
    <row r="2874" spans="19:22">
      <c r="S2874" s="16">
        <v>4877</v>
      </c>
      <c r="T2874" s="16" t="s">
        <v>2369</v>
      </c>
      <c r="U2874" s="17">
        <f>COUNTIFS(WTG_BD!L:L,'Basic Data'!T2874,WTG_BD!F:F,"&gt;="&amp;O2Summary!$B$6,WTG_BD!F:F,"&lt;="&amp;O2Summary!$B$4)</f>
        <v>0</v>
      </c>
      <c r="V2874" s="18">
        <f t="shared" si="51"/>
        <v>47</v>
      </c>
    </row>
    <row r="2875" spans="19:22">
      <c r="S2875" s="16">
        <v>4878</v>
      </c>
      <c r="T2875" s="16" t="s">
        <v>2370</v>
      </c>
      <c r="U2875" s="17">
        <f>COUNTIFS(WTG_BD!L:L,'Basic Data'!T2875,WTG_BD!F:F,"&gt;="&amp;O2Summary!$B$6,WTG_BD!F:F,"&lt;="&amp;O2Summary!$B$4)</f>
        <v>0</v>
      </c>
      <c r="V2875" s="18">
        <f t="shared" si="51"/>
        <v>47</v>
      </c>
    </row>
    <row r="2876" spans="19:22">
      <c r="S2876" s="16">
        <v>4879</v>
      </c>
      <c r="T2876" s="16" t="s">
        <v>3300</v>
      </c>
      <c r="U2876" s="17">
        <f>COUNTIFS(WTG_BD!L:L,'Basic Data'!T2876,WTG_BD!F:F,"&gt;="&amp;O2Summary!$B$6,WTG_BD!F:F,"&lt;="&amp;O2Summary!$B$4)</f>
        <v>0</v>
      </c>
      <c r="V2876" s="18">
        <f t="shared" si="51"/>
        <v>47</v>
      </c>
    </row>
    <row r="2877" spans="19:22">
      <c r="S2877" s="16">
        <v>4880</v>
      </c>
      <c r="T2877" s="16" t="s">
        <v>3301</v>
      </c>
      <c r="U2877" s="17">
        <f>COUNTIFS(WTG_BD!L:L,'Basic Data'!T2877,WTG_BD!F:F,"&gt;="&amp;O2Summary!$B$6,WTG_BD!F:F,"&lt;="&amp;O2Summary!$B$4)</f>
        <v>0</v>
      </c>
      <c r="V2877" s="18">
        <f t="shared" si="51"/>
        <v>47</v>
      </c>
    </row>
    <row r="2878" spans="19:22">
      <c r="S2878" s="16">
        <v>4882</v>
      </c>
      <c r="T2878" s="16" t="s">
        <v>3302</v>
      </c>
      <c r="U2878" s="17">
        <f>COUNTIFS(WTG_BD!L:L,'Basic Data'!T2878,WTG_BD!F:F,"&gt;="&amp;O2Summary!$B$6,WTG_BD!F:F,"&lt;="&amp;O2Summary!$B$4)</f>
        <v>0</v>
      </c>
      <c r="V2878" s="18">
        <f t="shared" si="51"/>
        <v>47</v>
      </c>
    </row>
    <row r="2879" spans="19:22">
      <c r="S2879" s="16">
        <v>4885</v>
      </c>
      <c r="T2879" s="16" t="s">
        <v>3303</v>
      </c>
      <c r="U2879" s="17">
        <f>COUNTIFS(WTG_BD!L:L,'Basic Data'!T2879,WTG_BD!F:F,"&gt;="&amp;O2Summary!$B$6,WTG_BD!F:F,"&lt;="&amp;O2Summary!$B$4)</f>
        <v>0</v>
      </c>
      <c r="V2879" s="18">
        <f t="shared" si="51"/>
        <v>47</v>
      </c>
    </row>
    <row r="2880" spans="19:22">
      <c r="S2880" s="16">
        <v>4886</v>
      </c>
      <c r="T2880" s="16" t="s">
        <v>3304</v>
      </c>
      <c r="U2880" s="17">
        <f>COUNTIFS(WTG_BD!L:L,'Basic Data'!T2880,WTG_BD!F:F,"&gt;="&amp;O2Summary!$B$6,WTG_BD!F:F,"&lt;="&amp;O2Summary!$B$4)</f>
        <v>0</v>
      </c>
      <c r="V2880" s="18">
        <f t="shared" si="51"/>
        <v>47</v>
      </c>
    </row>
    <row r="2881" spans="19:22">
      <c r="S2881" s="16">
        <v>4887</v>
      </c>
      <c r="T2881" s="16" t="s">
        <v>3305</v>
      </c>
      <c r="U2881" s="17">
        <f>COUNTIFS(WTG_BD!L:L,'Basic Data'!T2881,WTG_BD!F:F,"&gt;="&amp;O2Summary!$B$6,WTG_BD!F:F,"&lt;="&amp;O2Summary!$B$4)</f>
        <v>0</v>
      </c>
      <c r="V2881" s="18">
        <f t="shared" si="51"/>
        <v>47</v>
      </c>
    </row>
    <row r="2882" spans="19:22">
      <c r="S2882" s="16">
        <v>4888</v>
      </c>
      <c r="T2882" s="16" t="s">
        <v>3306</v>
      </c>
      <c r="U2882" s="17">
        <f>COUNTIFS(WTG_BD!L:L,'Basic Data'!T2882,WTG_BD!F:F,"&gt;="&amp;O2Summary!$B$6,WTG_BD!F:F,"&lt;="&amp;O2Summary!$B$4)</f>
        <v>0</v>
      </c>
      <c r="V2882" s="18">
        <f t="shared" si="51"/>
        <v>47</v>
      </c>
    </row>
    <row r="2883" spans="19:22">
      <c r="S2883" s="16">
        <v>4889</v>
      </c>
      <c r="T2883" s="16" t="s">
        <v>3307</v>
      </c>
      <c r="U2883" s="17">
        <f>COUNTIFS(WTG_BD!L:L,'Basic Data'!T2883,WTG_BD!F:F,"&gt;="&amp;O2Summary!$B$6,WTG_BD!F:F,"&lt;="&amp;O2Summary!$B$4)</f>
        <v>0</v>
      </c>
      <c r="V2883" s="18">
        <f t="shared" ref="V2883:V2946" si="52">RANK(U2883,$U$2:$U$3975)</f>
        <v>47</v>
      </c>
    </row>
    <row r="2884" spans="19:22">
      <c r="S2884" s="16">
        <v>4890</v>
      </c>
      <c r="T2884" s="16" t="s">
        <v>3308</v>
      </c>
      <c r="U2884" s="17">
        <f>COUNTIFS(WTG_BD!L:L,'Basic Data'!T2884,WTG_BD!F:F,"&gt;="&amp;O2Summary!$B$6,WTG_BD!F:F,"&lt;="&amp;O2Summary!$B$4)</f>
        <v>0</v>
      </c>
      <c r="V2884" s="18">
        <f t="shared" si="52"/>
        <v>47</v>
      </c>
    </row>
    <row r="2885" spans="19:22">
      <c r="S2885" s="16">
        <v>4891</v>
      </c>
      <c r="T2885" s="16" t="s">
        <v>3309</v>
      </c>
      <c r="U2885" s="17">
        <f>COUNTIFS(WTG_BD!L:L,'Basic Data'!T2885,WTG_BD!F:F,"&gt;="&amp;O2Summary!$B$6,WTG_BD!F:F,"&lt;="&amp;O2Summary!$B$4)</f>
        <v>0</v>
      </c>
      <c r="V2885" s="18">
        <f t="shared" si="52"/>
        <v>47</v>
      </c>
    </row>
    <row r="2886" spans="19:22">
      <c r="S2886" s="16">
        <v>4892</v>
      </c>
      <c r="T2886" s="16" t="s">
        <v>3310</v>
      </c>
      <c r="U2886" s="17">
        <f>COUNTIFS(WTG_BD!L:L,'Basic Data'!T2886,WTG_BD!F:F,"&gt;="&amp;O2Summary!$B$6,WTG_BD!F:F,"&lt;="&amp;O2Summary!$B$4)</f>
        <v>0</v>
      </c>
      <c r="V2886" s="18">
        <f t="shared" si="52"/>
        <v>47</v>
      </c>
    </row>
    <row r="2887" spans="19:22">
      <c r="S2887" s="16">
        <v>4893</v>
      </c>
      <c r="T2887" s="16" t="s">
        <v>3311</v>
      </c>
      <c r="U2887" s="17">
        <f>COUNTIFS(WTG_BD!L:L,'Basic Data'!T2887,WTG_BD!F:F,"&gt;="&amp;O2Summary!$B$6,WTG_BD!F:F,"&lt;="&amp;O2Summary!$B$4)</f>
        <v>0</v>
      </c>
      <c r="V2887" s="18">
        <f t="shared" si="52"/>
        <v>47</v>
      </c>
    </row>
    <row r="2888" spans="19:22">
      <c r="S2888" s="16">
        <v>4894</v>
      </c>
      <c r="T2888" s="16" t="s">
        <v>3312</v>
      </c>
      <c r="U2888" s="17">
        <f>COUNTIFS(WTG_BD!L:L,'Basic Data'!T2888,WTG_BD!F:F,"&gt;="&amp;O2Summary!$B$6,WTG_BD!F:F,"&lt;="&amp;O2Summary!$B$4)</f>
        <v>0</v>
      </c>
      <c r="V2888" s="18">
        <f t="shared" si="52"/>
        <v>47</v>
      </c>
    </row>
    <row r="2889" spans="19:22">
      <c r="S2889" s="16">
        <v>4895</v>
      </c>
      <c r="T2889" s="16" t="s">
        <v>3313</v>
      </c>
      <c r="U2889" s="17">
        <f>COUNTIFS(WTG_BD!L:L,'Basic Data'!T2889,WTG_BD!F:F,"&gt;="&amp;O2Summary!$B$6,WTG_BD!F:F,"&lt;="&amp;O2Summary!$B$4)</f>
        <v>0</v>
      </c>
      <c r="V2889" s="18">
        <f t="shared" si="52"/>
        <v>47</v>
      </c>
    </row>
    <row r="2890" spans="19:22">
      <c r="S2890" s="16">
        <v>4896</v>
      </c>
      <c r="T2890" s="16" t="s">
        <v>3314</v>
      </c>
      <c r="U2890" s="17">
        <f>COUNTIFS(WTG_BD!L:L,'Basic Data'!T2890,WTG_BD!F:F,"&gt;="&amp;O2Summary!$B$6,WTG_BD!F:F,"&lt;="&amp;O2Summary!$B$4)</f>
        <v>0</v>
      </c>
      <c r="V2890" s="18">
        <f t="shared" si="52"/>
        <v>47</v>
      </c>
    </row>
    <row r="2891" spans="19:22">
      <c r="S2891" s="16">
        <v>4897</v>
      </c>
      <c r="T2891" s="16" t="s">
        <v>3315</v>
      </c>
      <c r="U2891" s="17">
        <f>COUNTIFS(WTG_BD!L:L,'Basic Data'!T2891,WTG_BD!F:F,"&gt;="&amp;O2Summary!$B$6,WTG_BD!F:F,"&lt;="&amp;O2Summary!$B$4)</f>
        <v>0</v>
      </c>
      <c r="V2891" s="18">
        <f t="shared" si="52"/>
        <v>47</v>
      </c>
    </row>
    <row r="2892" spans="19:22">
      <c r="S2892" s="16">
        <v>4898</v>
      </c>
      <c r="T2892" s="16" t="s">
        <v>3316</v>
      </c>
      <c r="U2892" s="17">
        <f>COUNTIFS(WTG_BD!L:L,'Basic Data'!T2892,WTG_BD!F:F,"&gt;="&amp;O2Summary!$B$6,WTG_BD!F:F,"&lt;="&amp;O2Summary!$B$4)</f>
        <v>0</v>
      </c>
      <c r="V2892" s="18">
        <f t="shared" si="52"/>
        <v>47</v>
      </c>
    </row>
    <row r="2893" spans="19:22">
      <c r="S2893" s="16">
        <v>4899</v>
      </c>
      <c r="T2893" s="16" t="s">
        <v>3317</v>
      </c>
      <c r="U2893" s="17">
        <f>COUNTIFS(WTG_BD!L:L,'Basic Data'!T2893,WTG_BD!F:F,"&gt;="&amp;O2Summary!$B$6,WTG_BD!F:F,"&lt;="&amp;O2Summary!$B$4)</f>
        <v>0</v>
      </c>
      <c r="V2893" s="18">
        <f t="shared" si="52"/>
        <v>47</v>
      </c>
    </row>
    <row r="2894" spans="19:22">
      <c r="S2894" s="16">
        <v>4900</v>
      </c>
      <c r="T2894" s="16" t="s">
        <v>3318</v>
      </c>
      <c r="U2894" s="17">
        <f>COUNTIFS(WTG_BD!L:L,'Basic Data'!T2894,WTG_BD!F:F,"&gt;="&amp;O2Summary!$B$6,WTG_BD!F:F,"&lt;="&amp;O2Summary!$B$4)</f>
        <v>0</v>
      </c>
      <c r="V2894" s="18">
        <f t="shared" si="52"/>
        <v>47</v>
      </c>
    </row>
    <row r="2895" spans="19:22">
      <c r="S2895" s="26">
        <v>4901</v>
      </c>
      <c r="T2895" s="26" t="s">
        <v>3319</v>
      </c>
      <c r="U2895" s="17">
        <f>COUNTIFS(WTG_BD!L:L,'Basic Data'!T2895,WTG_BD!F:F,"&gt;="&amp;O2Summary!$B$6,WTG_BD!F:F,"&lt;="&amp;O2Summary!$B$4)</f>
        <v>0</v>
      </c>
      <c r="V2895" s="18">
        <f t="shared" si="52"/>
        <v>47</v>
      </c>
    </row>
    <row r="2896" spans="19:22">
      <c r="S2896" s="26">
        <v>4902</v>
      </c>
      <c r="T2896" s="26" t="s">
        <v>3320</v>
      </c>
      <c r="U2896" s="17">
        <f>COUNTIFS(WTG_BD!L:L,'Basic Data'!T2896,WTG_BD!F:F,"&gt;="&amp;O2Summary!$B$6,WTG_BD!F:F,"&lt;="&amp;O2Summary!$B$4)</f>
        <v>0</v>
      </c>
      <c r="V2896" s="18">
        <f t="shared" si="52"/>
        <v>47</v>
      </c>
    </row>
    <row r="2897" spans="19:22">
      <c r="S2897" s="26">
        <v>4903</v>
      </c>
      <c r="T2897" s="26" t="s">
        <v>3321</v>
      </c>
      <c r="U2897" s="17">
        <f>COUNTIFS(WTG_BD!L:L,'Basic Data'!T2897,WTG_BD!F:F,"&gt;="&amp;O2Summary!$B$6,WTG_BD!F:F,"&lt;="&amp;O2Summary!$B$4)</f>
        <v>0</v>
      </c>
      <c r="V2897" s="18">
        <f t="shared" si="52"/>
        <v>47</v>
      </c>
    </row>
    <row r="2898" spans="19:22">
      <c r="S2898" s="26">
        <v>4904</v>
      </c>
      <c r="T2898" s="26" t="s">
        <v>3322</v>
      </c>
      <c r="U2898" s="17">
        <f>COUNTIFS(WTG_BD!L:L,'Basic Data'!T2898,WTG_BD!F:F,"&gt;="&amp;O2Summary!$B$6,WTG_BD!F:F,"&lt;="&amp;O2Summary!$B$4)</f>
        <v>0</v>
      </c>
      <c r="V2898" s="18">
        <f t="shared" si="52"/>
        <v>47</v>
      </c>
    </row>
    <row r="2899" spans="19:22">
      <c r="S2899" s="26">
        <v>4905</v>
      </c>
      <c r="T2899" s="26" t="s">
        <v>3323</v>
      </c>
      <c r="U2899" s="17">
        <f>COUNTIFS(WTG_BD!L:L,'Basic Data'!T2899,WTG_BD!F:F,"&gt;="&amp;O2Summary!$B$6,WTG_BD!F:F,"&lt;="&amp;O2Summary!$B$4)</f>
        <v>0</v>
      </c>
      <c r="V2899" s="18">
        <f t="shared" si="52"/>
        <v>47</v>
      </c>
    </row>
    <row r="2900" spans="19:22">
      <c r="S2900" s="26">
        <v>4906</v>
      </c>
      <c r="T2900" s="26" t="s">
        <v>3324</v>
      </c>
      <c r="U2900" s="17">
        <f>COUNTIFS(WTG_BD!L:L,'Basic Data'!T2900,WTG_BD!F:F,"&gt;="&amp;O2Summary!$B$6,WTG_BD!F:F,"&lt;="&amp;O2Summary!$B$4)</f>
        <v>0</v>
      </c>
      <c r="V2900" s="18">
        <f t="shared" si="52"/>
        <v>47</v>
      </c>
    </row>
    <row r="2901" spans="19:22">
      <c r="S2901" s="26">
        <v>4907</v>
      </c>
      <c r="T2901" s="26" t="s">
        <v>3325</v>
      </c>
      <c r="U2901" s="17">
        <f>COUNTIFS(WTG_BD!L:L,'Basic Data'!T2901,WTG_BD!F:F,"&gt;="&amp;O2Summary!$B$6,WTG_BD!F:F,"&lt;="&amp;O2Summary!$B$4)</f>
        <v>0</v>
      </c>
      <c r="V2901" s="18">
        <f t="shared" si="52"/>
        <v>47</v>
      </c>
    </row>
    <row r="2902" spans="19:22">
      <c r="S2902" s="26">
        <v>4908</v>
      </c>
      <c r="T2902" s="26" t="s">
        <v>3326</v>
      </c>
      <c r="U2902" s="17">
        <f>COUNTIFS(WTG_BD!L:L,'Basic Data'!T2902,WTG_BD!F:F,"&gt;="&amp;O2Summary!$B$6,WTG_BD!F:F,"&lt;="&amp;O2Summary!$B$4)</f>
        <v>0</v>
      </c>
      <c r="V2902" s="18">
        <f t="shared" si="52"/>
        <v>47</v>
      </c>
    </row>
    <row r="2903" spans="19:22">
      <c r="S2903" s="26">
        <v>4909</v>
      </c>
      <c r="T2903" s="26" t="s">
        <v>3327</v>
      </c>
      <c r="U2903" s="17">
        <f>COUNTIFS(WTG_BD!L:L,'Basic Data'!T2903,WTG_BD!F:F,"&gt;="&amp;O2Summary!$B$6,WTG_BD!F:F,"&lt;="&amp;O2Summary!$B$4)</f>
        <v>0</v>
      </c>
      <c r="V2903" s="18">
        <f t="shared" si="52"/>
        <v>47</v>
      </c>
    </row>
    <row r="2904" spans="19:22">
      <c r="S2904" s="26">
        <v>4910</v>
      </c>
      <c r="T2904" s="26" t="s">
        <v>3328</v>
      </c>
      <c r="U2904" s="17">
        <f>COUNTIFS(WTG_BD!L:L,'Basic Data'!T2904,WTG_BD!F:F,"&gt;="&amp;O2Summary!$B$6,WTG_BD!F:F,"&lt;="&amp;O2Summary!$B$4)</f>
        <v>0</v>
      </c>
      <c r="V2904" s="18">
        <f t="shared" si="52"/>
        <v>47</v>
      </c>
    </row>
    <row r="2905" spans="19:22">
      <c r="S2905" s="26">
        <v>4911</v>
      </c>
      <c r="T2905" s="26" t="s">
        <v>3329</v>
      </c>
      <c r="U2905" s="17">
        <f>COUNTIFS(WTG_BD!L:L,'Basic Data'!T2905,WTG_BD!F:F,"&gt;="&amp;O2Summary!$B$6,WTG_BD!F:F,"&lt;="&amp;O2Summary!$B$4)</f>
        <v>0</v>
      </c>
      <c r="V2905" s="18">
        <f t="shared" si="52"/>
        <v>47</v>
      </c>
    </row>
    <row r="2906" spans="19:22">
      <c r="S2906" s="16">
        <v>4912</v>
      </c>
      <c r="T2906" s="16" t="s">
        <v>3330</v>
      </c>
      <c r="U2906" s="17">
        <f>COUNTIFS(WTG_BD!L:L,'Basic Data'!T2906,WTG_BD!F:F,"&gt;="&amp;O2Summary!$B$6,WTG_BD!F:F,"&lt;="&amp;O2Summary!$B$4)</f>
        <v>0</v>
      </c>
      <c r="V2906" s="18">
        <f t="shared" si="52"/>
        <v>47</v>
      </c>
    </row>
    <row r="2907" spans="19:22">
      <c r="S2907" s="16">
        <v>4913</v>
      </c>
      <c r="T2907" s="16" t="s">
        <v>3331</v>
      </c>
      <c r="U2907" s="17">
        <f>COUNTIFS(WTG_BD!L:L,'Basic Data'!T2907,WTG_BD!F:F,"&gt;="&amp;O2Summary!$B$6,WTG_BD!F:F,"&lt;="&amp;O2Summary!$B$4)</f>
        <v>0</v>
      </c>
      <c r="V2907" s="18">
        <f t="shared" si="52"/>
        <v>47</v>
      </c>
    </row>
    <row r="2908" spans="19:22">
      <c r="S2908" s="16">
        <v>4914</v>
      </c>
      <c r="T2908" s="16" t="s">
        <v>3332</v>
      </c>
      <c r="U2908" s="17">
        <f>COUNTIFS(WTG_BD!L:L,'Basic Data'!T2908,WTG_BD!F:F,"&gt;="&amp;O2Summary!$B$6,WTG_BD!F:F,"&lt;="&amp;O2Summary!$B$4)</f>
        <v>0</v>
      </c>
      <c r="V2908" s="18">
        <f t="shared" si="52"/>
        <v>47</v>
      </c>
    </row>
    <row r="2909" spans="19:22">
      <c r="S2909" s="16">
        <v>4915</v>
      </c>
      <c r="T2909" s="16" t="s">
        <v>3333</v>
      </c>
      <c r="U2909" s="17">
        <f>COUNTIFS(WTG_BD!L:L,'Basic Data'!T2909,WTG_BD!F:F,"&gt;="&amp;O2Summary!$B$6,WTG_BD!F:F,"&lt;="&amp;O2Summary!$B$4)</f>
        <v>0</v>
      </c>
      <c r="V2909" s="18">
        <f t="shared" si="52"/>
        <v>47</v>
      </c>
    </row>
    <row r="2910" spans="19:22">
      <c r="S2910" s="16">
        <v>4916</v>
      </c>
      <c r="T2910" s="16" t="s">
        <v>3334</v>
      </c>
      <c r="U2910" s="17">
        <f>COUNTIFS(WTG_BD!L:L,'Basic Data'!T2910,WTG_BD!F:F,"&gt;="&amp;O2Summary!$B$6,WTG_BD!F:F,"&lt;="&amp;O2Summary!$B$4)</f>
        <v>0</v>
      </c>
      <c r="V2910" s="18">
        <f t="shared" si="52"/>
        <v>47</v>
      </c>
    </row>
    <row r="2911" spans="19:22">
      <c r="S2911" s="16">
        <v>4917</v>
      </c>
      <c r="T2911" s="16" t="s">
        <v>3335</v>
      </c>
      <c r="U2911" s="17">
        <f>COUNTIFS(WTG_BD!L:L,'Basic Data'!T2911,WTG_BD!F:F,"&gt;="&amp;O2Summary!$B$6,WTG_BD!F:F,"&lt;="&amp;O2Summary!$B$4)</f>
        <v>0</v>
      </c>
      <c r="V2911" s="18">
        <f t="shared" si="52"/>
        <v>47</v>
      </c>
    </row>
    <row r="2912" spans="19:22">
      <c r="S2912" s="16">
        <v>4918</v>
      </c>
      <c r="T2912" s="16" t="s">
        <v>3336</v>
      </c>
      <c r="U2912" s="17">
        <f>COUNTIFS(WTG_BD!L:L,'Basic Data'!T2912,WTG_BD!F:F,"&gt;="&amp;O2Summary!$B$6,WTG_BD!F:F,"&lt;="&amp;O2Summary!$B$4)</f>
        <v>0</v>
      </c>
      <c r="V2912" s="18">
        <f t="shared" si="52"/>
        <v>47</v>
      </c>
    </row>
    <row r="2913" spans="19:22">
      <c r="S2913" s="16">
        <v>4919</v>
      </c>
      <c r="T2913" s="16" t="s">
        <v>3337</v>
      </c>
      <c r="U2913" s="17">
        <f>COUNTIFS(WTG_BD!L:L,'Basic Data'!T2913,WTG_BD!F:F,"&gt;="&amp;O2Summary!$B$6,WTG_BD!F:F,"&lt;="&amp;O2Summary!$B$4)</f>
        <v>0</v>
      </c>
      <c r="V2913" s="18">
        <f t="shared" si="52"/>
        <v>47</v>
      </c>
    </row>
    <row r="2914" spans="19:22">
      <c r="S2914" s="16">
        <v>4920</v>
      </c>
      <c r="T2914" s="16" t="s">
        <v>3338</v>
      </c>
      <c r="U2914" s="17">
        <f>COUNTIFS(WTG_BD!L:L,'Basic Data'!T2914,WTG_BD!F:F,"&gt;="&amp;O2Summary!$B$6,WTG_BD!F:F,"&lt;="&amp;O2Summary!$B$4)</f>
        <v>0</v>
      </c>
      <c r="V2914" s="18">
        <f t="shared" si="52"/>
        <v>47</v>
      </c>
    </row>
    <row r="2915" spans="19:22">
      <c r="S2915" s="16">
        <v>4921</v>
      </c>
      <c r="T2915" s="16" t="s">
        <v>3339</v>
      </c>
      <c r="U2915" s="17">
        <f>COUNTIFS(WTG_BD!L:L,'Basic Data'!T2915,WTG_BD!F:F,"&gt;="&amp;O2Summary!$B$6,WTG_BD!F:F,"&lt;="&amp;O2Summary!$B$4)</f>
        <v>0</v>
      </c>
      <c r="V2915" s="18">
        <f t="shared" si="52"/>
        <v>47</v>
      </c>
    </row>
    <row r="2916" spans="19:22">
      <c r="S2916" s="16">
        <v>4922</v>
      </c>
      <c r="T2916" s="16" t="s">
        <v>3340</v>
      </c>
      <c r="U2916" s="17">
        <f>COUNTIFS(WTG_BD!L:L,'Basic Data'!T2916,WTG_BD!F:F,"&gt;="&amp;O2Summary!$B$6,WTG_BD!F:F,"&lt;="&amp;O2Summary!$B$4)</f>
        <v>0</v>
      </c>
      <c r="V2916" s="18">
        <f t="shared" si="52"/>
        <v>47</v>
      </c>
    </row>
    <row r="2917" spans="19:22">
      <c r="S2917" s="16">
        <v>4923</v>
      </c>
      <c r="T2917" s="16" t="s">
        <v>3341</v>
      </c>
      <c r="U2917" s="17">
        <f>COUNTIFS(WTG_BD!L:L,'Basic Data'!T2917,WTG_BD!F:F,"&gt;="&amp;O2Summary!$B$6,WTG_BD!F:F,"&lt;="&amp;O2Summary!$B$4)</f>
        <v>0</v>
      </c>
      <c r="V2917" s="18">
        <f t="shared" si="52"/>
        <v>47</v>
      </c>
    </row>
    <row r="2918" spans="19:22">
      <c r="S2918" s="16">
        <v>4924</v>
      </c>
      <c r="T2918" s="16" t="s">
        <v>3342</v>
      </c>
      <c r="U2918" s="17">
        <f>COUNTIFS(WTG_BD!L:L,'Basic Data'!T2918,WTG_BD!F:F,"&gt;="&amp;O2Summary!$B$6,WTG_BD!F:F,"&lt;="&amp;O2Summary!$B$4)</f>
        <v>0</v>
      </c>
      <c r="V2918" s="18">
        <f t="shared" si="52"/>
        <v>47</v>
      </c>
    </row>
    <row r="2919" spans="19:22">
      <c r="S2919" s="16">
        <v>4925</v>
      </c>
      <c r="T2919" s="16" t="s">
        <v>3342</v>
      </c>
      <c r="U2919" s="17">
        <f>COUNTIFS(WTG_BD!L:L,'Basic Data'!T2919,WTG_BD!F:F,"&gt;="&amp;O2Summary!$B$6,WTG_BD!F:F,"&lt;="&amp;O2Summary!$B$4)</f>
        <v>0</v>
      </c>
      <c r="V2919" s="18">
        <f t="shared" si="52"/>
        <v>47</v>
      </c>
    </row>
    <row r="2920" spans="19:22">
      <c r="S2920" s="16">
        <v>4926</v>
      </c>
      <c r="T2920" s="16" t="s">
        <v>3342</v>
      </c>
      <c r="U2920" s="17">
        <f>COUNTIFS(WTG_BD!L:L,'Basic Data'!T2920,WTG_BD!F:F,"&gt;="&amp;O2Summary!$B$6,WTG_BD!F:F,"&lt;="&amp;O2Summary!$B$4)</f>
        <v>0</v>
      </c>
      <c r="V2920" s="18">
        <f t="shared" si="52"/>
        <v>47</v>
      </c>
    </row>
    <row r="2921" spans="19:22">
      <c r="S2921" s="16">
        <v>4927</v>
      </c>
      <c r="T2921" s="16" t="s">
        <v>3342</v>
      </c>
      <c r="U2921" s="17">
        <f>COUNTIFS(WTG_BD!L:L,'Basic Data'!T2921,WTG_BD!F:F,"&gt;="&amp;O2Summary!$B$6,WTG_BD!F:F,"&lt;="&amp;O2Summary!$B$4)</f>
        <v>0</v>
      </c>
      <c r="V2921" s="18">
        <f t="shared" si="52"/>
        <v>47</v>
      </c>
    </row>
    <row r="2922" spans="19:22">
      <c r="S2922" s="16">
        <v>4928</v>
      </c>
      <c r="T2922" s="16" t="s">
        <v>3343</v>
      </c>
      <c r="U2922" s="17">
        <f>COUNTIFS(WTG_BD!L:L,'Basic Data'!T2922,WTG_BD!F:F,"&gt;="&amp;O2Summary!$B$6,WTG_BD!F:F,"&lt;="&amp;O2Summary!$B$4)</f>
        <v>0</v>
      </c>
      <c r="V2922" s="18">
        <f t="shared" si="52"/>
        <v>47</v>
      </c>
    </row>
    <row r="2923" spans="19:22">
      <c r="S2923" s="16">
        <v>4929</v>
      </c>
      <c r="T2923" s="16" t="s">
        <v>3343</v>
      </c>
      <c r="U2923" s="17">
        <f>COUNTIFS(WTG_BD!L:L,'Basic Data'!T2923,WTG_BD!F:F,"&gt;="&amp;O2Summary!$B$6,WTG_BD!F:F,"&lt;="&amp;O2Summary!$B$4)</f>
        <v>0</v>
      </c>
      <c r="V2923" s="18">
        <f t="shared" si="52"/>
        <v>47</v>
      </c>
    </row>
    <row r="2924" spans="19:22">
      <c r="S2924" s="16">
        <v>4930</v>
      </c>
      <c r="T2924" s="16" t="s">
        <v>3343</v>
      </c>
      <c r="U2924" s="17">
        <f>COUNTIFS(WTG_BD!L:L,'Basic Data'!T2924,WTG_BD!F:F,"&gt;="&amp;O2Summary!$B$6,WTG_BD!F:F,"&lt;="&amp;O2Summary!$B$4)</f>
        <v>0</v>
      </c>
      <c r="V2924" s="18">
        <f t="shared" si="52"/>
        <v>47</v>
      </c>
    </row>
    <row r="2925" spans="19:22">
      <c r="S2925" s="16">
        <v>4931</v>
      </c>
      <c r="T2925" s="16" t="s">
        <v>3343</v>
      </c>
      <c r="U2925" s="17">
        <f>COUNTIFS(WTG_BD!L:L,'Basic Data'!T2925,WTG_BD!F:F,"&gt;="&amp;O2Summary!$B$6,WTG_BD!F:F,"&lt;="&amp;O2Summary!$B$4)</f>
        <v>0</v>
      </c>
      <c r="V2925" s="18">
        <f t="shared" si="52"/>
        <v>47</v>
      </c>
    </row>
    <row r="2926" spans="19:22">
      <c r="S2926" s="16">
        <v>4932</v>
      </c>
      <c r="T2926" s="16" t="s">
        <v>3344</v>
      </c>
      <c r="U2926" s="17">
        <f>COUNTIFS(WTG_BD!L:L,'Basic Data'!T2926,WTG_BD!F:F,"&gt;="&amp;O2Summary!$B$6,WTG_BD!F:F,"&lt;="&amp;O2Summary!$B$4)</f>
        <v>0</v>
      </c>
      <c r="V2926" s="18">
        <f t="shared" si="52"/>
        <v>47</v>
      </c>
    </row>
    <row r="2927" spans="19:22">
      <c r="S2927" s="16">
        <v>4933</v>
      </c>
      <c r="T2927" s="16" t="s">
        <v>3342</v>
      </c>
      <c r="U2927" s="17">
        <f>COUNTIFS(WTG_BD!L:L,'Basic Data'!T2927,WTG_BD!F:F,"&gt;="&amp;O2Summary!$B$6,WTG_BD!F:F,"&lt;="&amp;O2Summary!$B$4)</f>
        <v>0</v>
      </c>
      <c r="V2927" s="18">
        <f t="shared" si="52"/>
        <v>47</v>
      </c>
    </row>
    <row r="2928" spans="19:22">
      <c r="S2928" s="16">
        <v>4934</v>
      </c>
      <c r="T2928" s="16" t="s">
        <v>3342</v>
      </c>
      <c r="U2928" s="17">
        <f>COUNTIFS(WTG_BD!L:L,'Basic Data'!T2928,WTG_BD!F:F,"&gt;="&amp;O2Summary!$B$6,WTG_BD!F:F,"&lt;="&amp;O2Summary!$B$4)</f>
        <v>0</v>
      </c>
      <c r="V2928" s="18">
        <f t="shared" si="52"/>
        <v>47</v>
      </c>
    </row>
    <row r="2929" spans="19:22">
      <c r="S2929" s="16">
        <v>4935</v>
      </c>
      <c r="T2929" s="16" t="s">
        <v>3342</v>
      </c>
      <c r="U2929" s="17">
        <f>COUNTIFS(WTG_BD!L:L,'Basic Data'!T2929,WTG_BD!F:F,"&gt;="&amp;O2Summary!$B$6,WTG_BD!F:F,"&lt;="&amp;O2Summary!$B$4)</f>
        <v>0</v>
      </c>
      <c r="V2929" s="18">
        <f t="shared" si="52"/>
        <v>47</v>
      </c>
    </row>
    <row r="2930" spans="19:22">
      <c r="S2930" s="16">
        <v>4936</v>
      </c>
      <c r="T2930" s="16" t="s">
        <v>3342</v>
      </c>
      <c r="U2930" s="17">
        <f>COUNTIFS(WTG_BD!L:L,'Basic Data'!T2930,WTG_BD!F:F,"&gt;="&amp;O2Summary!$B$6,WTG_BD!F:F,"&lt;="&amp;O2Summary!$B$4)</f>
        <v>0</v>
      </c>
      <c r="V2930" s="18">
        <f t="shared" si="52"/>
        <v>47</v>
      </c>
    </row>
    <row r="2931" spans="19:22">
      <c r="S2931" s="16">
        <v>4937</v>
      </c>
      <c r="T2931" s="16" t="s">
        <v>3343</v>
      </c>
      <c r="U2931" s="17">
        <f>COUNTIFS(WTG_BD!L:L,'Basic Data'!T2931,WTG_BD!F:F,"&gt;="&amp;O2Summary!$B$6,WTG_BD!F:F,"&lt;="&amp;O2Summary!$B$4)</f>
        <v>0</v>
      </c>
      <c r="V2931" s="18">
        <f t="shared" si="52"/>
        <v>47</v>
      </c>
    </row>
    <row r="2932" spans="19:22">
      <c r="S2932" s="16">
        <v>4938</v>
      </c>
      <c r="T2932" s="16" t="s">
        <v>3343</v>
      </c>
      <c r="U2932" s="17">
        <f>COUNTIFS(WTG_BD!L:L,'Basic Data'!T2932,WTG_BD!F:F,"&gt;="&amp;O2Summary!$B$6,WTG_BD!F:F,"&lt;="&amp;O2Summary!$B$4)</f>
        <v>0</v>
      </c>
      <c r="V2932" s="18">
        <f t="shared" si="52"/>
        <v>47</v>
      </c>
    </row>
    <row r="2933" spans="19:22">
      <c r="S2933" s="16">
        <v>4939</v>
      </c>
      <c r="T2933" s="16" t="s">
        <v>3343</v>
      </c>
      <c r="U2933" s="17">
        <f>COUNTIFS(WTG_BD!L:L,'Basic Data'!T2933,WTG_BD!F:F,"&gt;="&amp;O2Summary!$B$6,WTG_BD!F:F,"&lt;="&amp;O2Summary!$B$4)</f>
        <v>0</v>
      </c>
      <c r="V2933" s="18">
        <f t="shared" si="52"/>
        <v>47</v>
      </c>
    </row>
    <row r="2934" spans="19:22">
      <c r="S2934" s="16">
        <v>4940</v>
      </c>
      <c r="T2934" s="16" t="s">
        <v>3343</v>
      </c>
      <c r="U2934" s="17">
        <f>COUNTIFS(WTG_BD!L:L,'Basic Data'!T2934,WTG_BD!F:F,"&gt;="&amp;O2Summary!$B$6,WTG_BD!F:F,"&lt;="&amp;O2Summary!$B$4)</f>
        <v>0</v>
      </c>
      <c r="V2934" s="18">
        <f t="shared" si="52"/>
        <v>47</v>
      </c>
    </row>
    <row r="2935" spans="19:22">
      <c r="S2935" s="16">
        <v>4941</v>
      </c>
      <c r="T2935" s="16" t="s">
        <v>3342</v>
      </c>
      <c r="U2935" s="17">
        <f>COUNTIFS(WTG_BD!L:L,'Basic Data'!T2935,WTG_BD!F:F,"&gt;="&amp;O2Summary!$B$6,WTG_BD!F:F,"&lt;="&amp;O2Summary!$B$4)</f>
        <v>0</v>
      </c>
      <c r="V2935" s="18">
        <f t="shared" si="52"/>
        <v>47</v>
      </c>
    </row>
    <row r="2936" spans="19:22">
      <c r="S2936" s="16">
        <v>4942</v>
      </c>
      <c r="T2936" s="16" t="s">
        <v>3342</v>
      </c>
      <c r="U2936" s="17">
        <f>COUNTIFS(WTG_BD!L:L,'Basic Data'!T2936,WTG_BD!F:F,"&gt;="&amp;O2Summary!$B$6,WTG_BD!F:F,"&lt;="&amp;O2Summary!$B$4)</f>
        <v>0</v>
      </c>
      <c r="V2936" s="18">
        <f t="shared" si="52"/>
        <v>47</v>
      </c>
    </row>
    <row r="2937" spans="19:22">
      <c r="S2937" s="16">
        <v>4943</v>
      </c>
      <c r="T2937" s="16" t="s">
        <v>3342</v>
      </c>
      <c r="U2937" s="17">
        <f>COUNTIFS(WTG_BD!L:L,'Basic Data'!T2937,WTG_BD!F:F,"&gt;="&amp;O2Summary!$B$6,WTG_BD!F:F,"&lt;="&amp;O2Summary!$B$4)</f>
        <v>0</v>
      </c>
      <c r="V2937" s="18">
        <f t="shared" si="52"/>
        <v>47</v>
      </c>
    </row>
    <row r="2938" spans="19:22">
      <c r="S2938" s="16">
        <v>4944</v>
      </c>
      <c r="T2938" s="16" t="s">
        <v>3342</v>
      </c>
      <c r="U2938" s="17">
        <f>COUNTIFS(WTG_BD!L:L,'Basic Data'!T2938,WTG_BD!F:F,"&gt;="&amp;O2Summary!$B$6,WTG_BD!F:F,"&lt;="&amp;O2Summary!$B$4)</f>
        <v>0</v>
      </c>
      <c r="V2938" s="18">
        <f t="shared" si="52"/>
        <v>47</v>
      </c>
    </row>
    <row r="2939" spans="19:22">
      <c r="S2939" s="16">
        <v>4945</v>
      </c>
      <c r="T2939" s="16" t="s">
        <v>3343</v>
      </c>
      <c r="U2939" s="17">
        <f>COUNTIFS(WTG_BD!L:L,'Basic Data'!T2939,WTG_BD!F:F,"&gt;="&amp;O2Summary!$B$6,WTG_BD!F:F,"&lt;="&amp;O2Summary!$B$4)</f>
        <v>0</v>
      </c>
      <c r="V2939" s="18">
        <f t="shared" si="52"/>
        <v>47</v>
      </c>
    </row>
    <row r="2940" spans="19:22">
      <c r="S2940" s="16">
        <v>4946</v>
      </c>
      <c r="T2940" s="16" t="s">
        <v>3343</v>
      </c>
      <c r="U2940" s="17">
        <f>COUNTIFS(WTG_BD!L:L,'Basic Data'!T2940,WTG_BD!F:F,"&gt;="&amp;O2Summary!$B$6,WTG_BD!F:F,"&lt;="&amp;O2Summary!$B$4)</f>
        <v>0</v>
      </c>
      <c r="V2940" s="18">
        <f t="shared" si="52"/>
        <v>47</v>
      </c>
    </row>
    <row r="2941" spans="19:22">
      <c r="S2941" s="16">
        <v>4947</v>
      </c>
      <c r="T2941" s="16" t="s">
        <v>3343</v>
      </c>
      <c r="U2941" s="17">
        <f>COUNTIFS(WTG_BD!L:L,'Basic Data'!T2941,WTG_BD!F:F,"&gt;="&amp;O2Summary!$B$6,WTG_BD!F:F,"&lt;="&amp;O2Summary!$B$4)</f>
        <v>0</v>
      </c>
      <c r="V2941" s="18">
        <f t="shared" si="52"/>
        <v>47</v>
      </c>
    </row>
    <row r="2942" spans="19:22">
      <c r="S2942" s="16">
        <v>4948</v>
      </c>
      <c r="T2942" s="16" t="s">
        <v>3343</v>
      </c>
      <c r="U2942" s="17">
        <f>COUNTIFS(WTG_BD!L:L,'Basic Data'!T2942,WTG_BD!F:F,"&gt;="&amp;O2Summary!$B$6,WTG_BD!F:F,"&lt;="&amp;O2Summary!$B$4)</f>
        <v>0</v>
      </c>
      <c r="V2942" s="18">
        <f t="shared" si="52"/>
        <v>47</v>
      </c>
    </row>
    <row r="2943" spans="19:22">
      <c r="S2943" s="16">
        <v>4949</v>
      </c>
      <c r="T2943" s="16" t="s">
        <v>2314</v>
      </c>
      <c r="U2943" s="17">
        <f>COUNTIFS(WTG_BD!L:L,'Basic Data'!T2943,WTG_BD!F:F,"&gt;="&amp;O2Summary!$B$6,WTG_BD!F:F,"&lt;="&amp;O2Summary!$B$4)</f>
        <v>0</v>
      </c>
      <c r="V2943" s="18">
        <f t="shared" si="52"/>
        <v>47</v>
      </c>
    </row>
    <row r="2944" spans="19:22">
      <c r="S2944" s="16">
        <v>4950</v>
      </c>
      <c r="T2944" s="16" t="s">
        <v>3345</v>
      </c>
      <c r="U2944" s="17">
        <f>COUNTIFS(WTG_BD!L:L,'Basic Data'!T2944,WTG_BD!F:F,"&gt;="&amp;O2Summary!$B$6,WTG_BD!F:F,"&lt;="&amp;O2Summary!$B$4)</f>
        <v>0</v>
      </c>
      <c r="V2944" s="18">
        <f t="shared" si="52"/>
        <v>47</v>
      </c>
    </row>
    <row r="2945" spans="19:22">
      <c r="S2945" s="16">
        <v>4951</v>
      </c>
      <c r="T2945" s="16" t="s">
        <v>3346</v>
      </c>
      <c r="U2945" s="17">
        <f>COUNTIFS(WTG_BD!L:L,'Basic Data'!T2945,WTG_BD!F:F,"&gt;="&amp;O2Summary!$B$6,WTG_BD!F:F,"&lt;="&amp;O2Summary!$B$4)</f>
        <v>0</v>
      </c>
      <c r="V2945" s="18">
        <f t="shared" si="52"/>
        <v>47</v>
      </c>
    </row>
    <row r="2946" spans="19:22">
      <c r="S2946" s="16">
        <v>4952</v>
      </c>
      <c r="T2946" s="16" t="s">
        <v>3347</v>
      </c>
      <c r="U2946" s="17">
        <f>COUNTIFS(WTG_BD!L:L,'Basic Data'!T2946,WTG_BD!F:F,"&gt;="&amp;O2Summary!$B$6,WTG_BD!F:F,"&lt;="&amp;O2Summary!$B$4)</f>
        <v>0</v>
      </c>
      <c r="V2946" s="18">
        <f t="shared" si="52"/>
        <v>47</v>
      </c>
    </row>
    <row r="2947" spans="19:22">
      <c r="S2947" s="16">
        <v>4953</v>
      </c>
      <c r="T2947" s="16" t="s">
        <v>3348</v>
      </c>
      <c r="U2947" s="17">
        <f>COUNTIFS(WTG_BD!L:L,'Basic Data'!T2947,WTG_BD!F:F,"&gt;="&amp;O2Summary!$B$6,WTG_BD!F:F,"&lt;="&amp;O2Summary!$B$4)</f>
        <v>0</v>
      </c>
      <c r="V2947" s="18">
        <f t="shared" ref="V2947:V3010" si="53">RANK(U2947,$U$2:$U$3975)</f>
        <v>47</v>
      </c>
    </row>
    <row r="2948" spans="19:22">
      <c r="S2948" s="16">
        <v>4954</v>
      </c>
      <c r="T2948" s="16" t="s">
        <v>3349</v>
      </c>
      <c r="U2948" s="17">
        <f>COUNTIFS(WTG_BD!L:L,'Basic Data'!T2948,WTG_BD!F:F,"&gt;="&amp;O2Summary!$B$6,WTG_BD!F:F,"&lt;="&amp;O2Summary!$B$4)</f>
        <v>0</v>
      </c>
      <c r="V2948" s="18">
        <f t="shared" si="53"/>
        <v>47</v>
      </c>
    </row>
    <row r="2949" spans="19:22">
      <c r="S2949" s="16">
        <v>4955</v>
      </c>
      <c r="T2949" s="16" t="s">
        <v>3350</v>
      </c>
      <c r="U2949" s="17">
        <f>COUNTIFS(WTG_BD!L:L,'Basic Data'!T2949,WTG_BD!F:F,"&gt;="&amp;O2Summary!$B$6,WTG_BD!F:F,"&lt;="&amp;O2Summary!$B$4)</f>
        <v>0</v>
      </c>
      <c r="V2949" s="18">
        <f t="shared" si="53"/>
        <v>47</v>
      </c>
    </row>
    <row r="2950" spans="19:22">
      <c r="S2950" s="16">
        <v>4956</v>
      </c>
      <c r="T2950" s="16" t="s">
        <v>3351</v>
      </c>
      <c r="U2950" s="17">
        <f>COUNTIFS(WTG_BD!L:L,'Basic Data'!T2950,WTG_BD!F:F,"&gt;="&amp;O2Summary!$B$6,WTG_BD!F:F,"&lt;="&amp;O2Summary!$B$4)</f>
        <v>0</v>
      </c>
      <c r="V2950" s="18">
        <f t="shared" si="53"/>
        <v>47</v>
      </c>
    </row>
    <row r="2951" spans="19:22">
      <c r="S2951" s="16">
        <v>4957</v>
      </c>
      <c r="T2951" s="16" t="s">
        <v>3352</v>
      </c>
      <c r="U2951" s="17">
        <f>COUNTIFS(WTG_BD!L:L,'Basic Data'!T2951,WTG_BD!F:F,"&gt;="&amp;O2Summary!$B$6,WTG_BD!F:F,"&lt;="&amp;O2Summary!$B$4)</f>
        <v>0</v>
      </c>
      <c r="V2951" s="18">
        <f t="shared" si="53"/>
        <v>47</v>
      </c>
    </row>
    <row r="2952" spans="19:22">
      <c r="S2952" s="16">
        <v>4958</v>
      </c>
      <c r="T2952" s="16" t="s">
        <v>3353</v>
      </c>
      <c r="U2952" s="17">
        <f>COUNTIFS(WTG_BD!L:L,'Basic Data'!T2952,WTG_BD!F:F,"&gt;="&amp;O2Summary!$B$6,WTG_BD!F:F,"&lt;="&amp;O2Summary!$B$4)</f>
        <v>0</v>
      </c>
      <c r="V2952" s="18">
        <f t="shared" si="53"/>
        <v>47</v>
      </c>
    </row>
    <row r="2953" spans="19:22">
      <c r="S2953" s="16">
        <v>4959</v>
      </c>
      <c r="T2953" s="16" t="s">
        <v>3354</v>
      </c>
      <c r="U2953" s="17">
        <f>COUNTIFS(WTG_BD!L:L,'Basic Data'!T2953,WTG_BD!F:F,"&gt;="&amp;O2Summary!$B$6,WTG_BD!F:F,"&lt;="&amp;O2Summary!$B$4)</f>
        <v>0</v>
      </c>
      <c r="V2953" s="18">
        <f t="shared" si="53"/>
        <v>47</v>
      </c>
    </row>
    <row r="2954" spans="19:22">
      <c r="S2954" s="16">
        <v>4960</v>
      </c>
      <c r="T2954" s="16" t="s">
        <v>3355</v>
      </c>
      <c r="U2954" s="17">
        <f>COUNTIFS(WTG_BD!L:L,'Basic Data'!T2954,WTG_BD!F:F,"&gt;="&amp;O2Summary!$B$6,WTG_BD!F:F,"&lt;="&amp;O2Summary!$B$4)</f>
        <v>0</v>
      </c>
      <c r="V2954" s="18">
        <f t="shared" si="53"/>
        <v>47</v>
      </c>
    </row>
    <row r="2955" spans="19:22">
      <c r="S2955" s="16">
        <v>4961</v>
      </c>
      <c r="T2955" s="16" t="s">
        <v>3356</v>
      </c>
      <c r="U2955" s="17">
        <f>COUNTIFS(WTG_BD!L:L,'Basic Data'!T2955,WTG_BD!F:F,"&gt;="&amp;O2Summary!$B$6,WTG_BD!F:F,"&lt;="&amp;O2Summary!$B$4)</f>
        <v>0</v>
      </c>
      <c r="V2955" s="18">
        <f t="shared" si="53"/>
        <v>47</v>
      </c>
    </row>
    <row r="2956" spans="19:22">
      <c r="S2956" s="16">
        <v>4962</v>
      </c>
      <c r="T2956" s="16" t="s">
        <v>3357</v>
      </c>
      <c r="U2956" s="17">
        <f>COUNTIFS(WTG_BD!L:L,'Basic Data'!T2956,WTG_BD!F:F,"&gt;="&amp;O2Summary!$B$6,WTG_BD!F:F,"&lt;="&amp;O2Summary!$B$4)</f>
        <v>0</v>
      </c>
      <c r="V2956" s="18">
        <f t="shared" si="53"/>
        <v>47</v>
      </c>
    </row>
    <row r="2957" spans="19:22">
      <c r="S2957" s="16">
        <v>4963</v>
      </c>
      <c r="T2957" s="16" t="s">
        <v>3358</v>
      </c>
      <c r="U2957" s="17">
        <f>COUNTIFS(WTG_BD!L:L,'Basic Data'!T2957,WTG_BD!F:F,"&gt;="&amp;O2Summary!$B$6,WTG_BD!F:F,"&lt;="&amp;O2Summary!$B$4)</f>
        <v>0</v>
      </c>
      <c r="V2957" s="18">
        <f t="shared" si="53"/>
        <v>47</v>
      </c>
    </row>
    <row r="2958" spans="19:22">
      <c r="S2958" s="16">
        <v>4964</v>
      </c>
      <c r="T2958" s="16" t="s">
        <v>3359</v>
      </c>
      <c r="U2958" s="17">
        <f>COUNTIFS(WTG_BD!L:L,'Basic Data'!T2958,WTG_BD!F:F,"&gt;="&amp;O2Summary!$B$6,WTG_BD!F:F,"&lt;="&amp;O2Summary!$B$4)</f>
        <v>0</v>
      </c>
      <c r="V2958" s="18">
        <f t="shared" si="53"/>
        <v>47</v>
      </c>
    </row>
    <row r="2959" spans="19:22">
      <c r="S2959" s="16">
        <v>4965</v>
      </c>
      <c r="T2959" s="16" t="s">
        <v>3360</v>
      </c>
      <c r="U2959" s="17">
        <f>COUNTIFS(WTG_BD!L:L,'Basic Data'!T2959,WTG_BD!F:F,"&gt;="&amp;O2Summary!$B$6,WTG_BD!F:F,"&lt;="&amp;O2Summary!$B$4)</f>
        <v>0</v>
      </c>
      <c r="V2959" s="18">
        <f t="shared" si="53"/>
        <v>47</v>
      </c>
    </row>
    <row r="2960" spans="19:22">
      <c r="S2960" s="16">
        <v>4966</v>
      </c>
      <c r="T2960" s="16" t="s">
        <v>3361</v>
      </c>
      <c r="U2960" s="17">
        <f>COUNTIFS(WTG_BD!L:L,'Basic Data'!T2960,WTG_BD!F:F,"&gt;="&amp;O2Summary!$B$6,WTG_BD!F:F,"&lt;="&amp;O2Summary!$B$4)</f>
        <v>0</v>
      </c>
      <c r="V2960" s="18">
        <f t="shared" si="53"/>
        <v>47</v>
      </c>
    </row>
    <row r="2961" spans="19:22">
      <c r="S2961" s="16">
        <v>4967</v>
      </c>
      <c r="T2961" s="16" t="s">
        <v>3362</v>
      </c>
      <c r="U2961" s="17">
        <f>COUNTIFS(WTG_BD!L:L,'Basic Data'!T2961,WTG_BD!F:F,"&gt;="&amp;O2Summary!$B$6,WTG_BD!F:F,"&lt;="&amp;O2Summary!$B$4)</f>
        <v>0</v>
      </c>
      <c r="V2961" s="18">
        <f t="shared" si="53"/>
        <v>47</v>
      </c>
    </row>
    <row r="2962" spans="19:22">
      <c r="S2962" s="16">
        <v>4968</v>
      </c>
      <c r="T2962" s="16" t="s">
        <v>3363</v>
      </c>
      <c r="U2962" s="17">
        <f>COUNTIFS(WTG_BD!L:L,'Basic Data'!T2962,WTG_BD!F:F,"&gt;="&amp;O2Summary!$B$6,WTG_BD!F:F,"&lt;="&amp;O2Summary!$B$4)</f>
        <v>0</v>
      </c>
      <c r="V2962" s="18">
        <f t="shared" si="53"/>
        <v>47</v>
      </c>
    </row>
    <row r="2963" spans="19:22">
      <c r="S2963" s="16">
        <v>4969</v>
      </c>
      <c r="T2963" s="16" t="s">
        <v>3364</v>
      </c>
      <c r="U2963" s="17">
        <f>COUNTIFS(WTG_BD!L:L,'Basic Data'!T2963,WTG_BD!F:F,"&gt;="&amp;O2Summary!$B$6,WTG_BD!F:F,"&lt;="&amp;O2Summary!$B$4)</f>
        <v>0</v>
      </c>
      <c r="V2963" s="18">
        <f t="shared" si="53"/>
        <v>47</v>
      </c>
    </row>
    <row r="2964" spans="19:22">
      <c r="S2964" s="16">
        <v>4978</v>
      </c>
      <c r="T2964" s="16" t="s">
        <v>3365</v>
      </c>
      <c r="U2964" s="17">
        <f>COUNTIFS(WTG_BD!L:L,'Basic Data'!T2964,WTG_BD!F:F,"&gt;="&amp;O2Summary!$B$6,WTG_BD!F:F,"&lt;="&amp;O2Summary!$B$4)</f>
        <v>0</v>
      </c>
      <c r="V2964" s="18">
        <f t="shared" si="53"/>
        <v>47</v>
      </c>
    </row>
    <row r="2965" spans="19:22">
      <c r="S2965" s="16">
        <v>4979</v>
      </c>
      <c r="T2965" s="16" t="s">
        <v>3366</v>
      </c>
      <c r="U2965" s="17">
        <f>COUNTIFS(WTG_BD!L:L,'Basic Data'!T2965,WTG_BD!F:F,"&gt;="&amp;O2Summary!$B$6,WTG_BD!F:F,"&lt;="&amp;O2Summary!$B$4)</f>
        <v>0</v>
      </c>
      <c r="V2965" s="18">
        <f t="shared" si="53"/>
        <v>47</v>
      </c>
    </row>
    <row r="2966" spans="19:22">
      <c r="S2966" s="16">
        <v>4980</v>
      </c>
      <c r="T2966" s="16" t="s">
        <v>3367</v>
      </c>
      <c r="U2966" s="17">
        <f>COUNTIFS(WTG_BD!L:L,'Basic Data'!T2966,WTG_BD!F:F,"&gt;="&amp;O2Summary!$B$6,WTG_BD!F:F,"&lt;="&amp;O2Summary!$B$4)</f>
        <v>0</v>
      </c>
      <c r="V2966" s="18">
        <f t="shared" si="53"/>
        <v>47</v>
      </c>
    </row>
    <row r="2967" spans="19:22">
      <c r="S2967" s="16">
        <v>4981</v>
      </c>
      <c r="T2967" s="16" t="s">
        <v>3368</v>
      </c>
      <c r="U2967" s="17">
        <f>COUNTIFS(WTG_BD!L:L,'Basic Data'!T2967,WTG_BD!F:F,"&gt;="&amp;O2Summary!$B$6,WTG_BD!F:F,"&lt;="&amp;O2Summary!$B$4)</f>
        <v>0</v>
      </c>
      <c r="V2967" s="18">
        <f t="shared" si="53"/>
        <v>47</v>
      </c>
    </row>
    <row r="2968" spans="19:22">
      <c r="S2968" s="16">
        <v>4982</v>
      </c>
      <c r="T2968" s="16" t="s">
        <v>3369</v>
      </c>
      <c r="U2968" s="17">
        <f>COUNTIFS(WTG_BD!L:L,'Basic Data'!T2968,WTG_BD!F:F,"&gt;="&amp;O2Summary!$B$6,WTG_BD!F:F,"&lt;="&amp;O2Summary!$B$4)</f>
        <v>0</v>
      </c>
      <c r="V2968" s="18">
        <f t="shared" si="53"/>
        <v>47</v>
      </c>
    </row>
    <row r="2969" spans="19:22">
      <c r="S2969" s="16">
        <v>4983</v>
      </c>
      <c r="T2969" s="16" t="s">
        <v>3370</v>
      </c>
      <c r="U2969" s="17">
        <f>COUNTIFS(WTG_BD!L:L,'Basic Data'!T2969,WTG_BD!F:F,"&gt;="&amp;O2Summary!$B$6,WTG_BD!F:F,"&lt;="&amp;O2Summary!$B$4)</f>
        <v>0</v>
      </c>
      <c r="V2969" s="18">
        <f t="shared" si="53"/>
        <v>47</v>
      </c>
    </row>
    <row r="2970" spans="19:22">
      <c r="S2970" s="16">
        <v>4984</v>
      </c>
      <c r="T2970" s="16" t="s">
        <v>3371</v>
      </c>
      <c r="U2970" s="17">
        <f>COUNTIFS(WTG_BD!L:L,'Basic Data'!T2970,WTG_BD!F:F,"&gt;="&amp;O2Summary!$B$6,WTG_BD!F:F,"&lt;="&amp;O2Summary!$B$4)</f>
        <v>0</v>
      </c>
      <c r="V2970" s="18">
        <f t="shared" si="53"/>
        <v>47</v>
      </c>
    </row>
    <row r="2971" spans="19:22">
      <c r="S2971" s="16">
        <v>4985</v>
      </c>
      <c r="T2971" s="16" t="s">
        <v>3372</v>
      </c>
      <c r="U2971" s="17">
        <f>COUNTIFS(WTG_BD!L:L,'Basic Data'!T2971,WTG_BD!F:F,"&gt;="&amp;O2Summary!$B$6,WTG_BD!F:F,"&lt;="&amp;O2Summary!$B$4)</f>
        <v>0</v>
      </c>
      <c r="V2971" s="18">
        <f t="shared" si="53"/>
        <v>47</v>
      </c>
    </row>
    <row r="2972" spans="19:22">
      <c r="S2972" s="16">
        <v>4986</v>
      </c>
      <c r="T2972" s="16" t="s">
        <v>3373</v>
      </c>
      <c r="U2972" s="17">
        <f>COUNTIFS(WTG_BD!L:L,'Basic Data'!T2972,WTG_BD!F:F,"&gt;="&amp;O2Summary!$B$6,WTG_BD!F:F,"&lt;="&amp;O2Summary!$B$4)</f>
        <v>0</v>
      </c>
      <c r="V2972" s="18">
        <f t="shared" si="53"/>
        <v>47</v>
      </c>
    </row>
    <row r="2973" spans="19:22">
      <c r="S2973" s="16">
        <v>4987</v>
      </c>
      <c r="T2973" s="16" t="s">
        <v>3374</v>
      </c>
      <c r="U2973" s="17">
        <f>COUNTIFS(WTG_BD!L:L,'Basic Data'!T2973,WTG_BD!F:F,"&gt;="&amp;O2Summary!$B$6,WTG_BD!F:F,"&lt;="&amp;O2Summary!$B$4)</f>
        <v>0</v>
      </c>
      <c r="V2973" s="18">
        <f t="shared" si="53"/>
        <v>47</v>
      </c>
    </row>
    <row r="2974" spans="19:22">
      <c r="S2974" s="16">
        <v>5000</v>
      </c>
      <c r="T2974" s="16" t="s">
        <v>3375</v>
      </c>
      <c r="U2974" s="17">
        <f>COUNTIFS(WTG_BD!L:L,'Basic Data'!T2974,WTG_BD!F:F,"&gt;="&amp;O2Summary!$B$6,WTG_BD!F:F,"&lt;="&amp;O2Summary!$B$4)</f>
        <v>0</v>
      </c>
      <c r="V2974" s="18">
        <f t="shared" si="53"/>
        <v>47</v>
      </c>
    </row>
    <row r="2975" spans="19:22">
      <c r="S2975" s="16">
        <v>5001</v>
      </c>
      <c r="T2975" s="16" t="s">
        <v>909</v>
      </c>
      <c r="U2975" s="17">
        <f>COUNTIFS(WTG_BD!L:L,'Basic Data'!T2975,WTG_BD!F:F,"&gt;="&amp;O2Summary!$B$6,WTG_BD!F:F,"&lt;="&amp;O2Summary!$B$4)</f>
        <v>1</v>
      </c>
      <c r="V2975" s="18">
        <f t="shared" si="53"/>
        <v>29</v>
      </c>
    </row>
    <row r="2976" spans="19:22">
      <c r="S2976" s="16">
        <v>5002</v>
      </c>
      <c r="T2976" s="16" t="s">
        <v>3376</v>
      </c>
      <c r="U2976" s="17">
        <f>COUNTIFS(WTG_BD!L:L,'Basic Data'!T2976,WTG_BD!F:F,"&gt;="&amp;O2Summary!$B$6,WTG_BD!F:F,"&lt;="&amp;O2Summary!$B$4)</f>
        <v>0</v>
      </c>
      <c r="V2976" s="18">
        <f t="shared" si="53"/>
        <v>47</v>
      </c>
    </row>
    <row r="2977" spans="19:22">
      <c r="S2977" s="16">
        <v>5003</v>
      </c>
      <c r="T2977" s="16" t="s">
        <v>3377</v>
      </c>
      <c r="U2977" s="17">
        <f>COUNTIFS(WTG_BD!L:L,'Basic Data'!T2977,WTG_BD!F:F,"&gt;="&amp;O2Summary!$B$6,WTG_BD!F:F,"&lt;="&amp;O2Summary!$B$4)</f>
        <v>0</v>
      </c>
      <c r="V2977" s="18">
        <f t="shared" si="53"/>
        <v>47</v>
      </c>
    </row>
    <row r="2978" spans="19:22">
      <c r="S2978" s="16">
        <v>5004</v>
      </c>
      <c r="T2978" s="16" t="s">
        <v>3378</v>
      </c>
      <c r="U2978" s="17">
        <f>COUNTIFS(WTG_BD!L:L,'Basic Data'!T2978,WTG_BD!F:F,"&gt;="&amp;O2Summary!$B$6,WTG_BD!F:F,"&lt;="&amp;O2Summary!$B$4)</f>
        <v>0</v>
      </c>
      <c r="V2978" s="18">
        <f t="shared" si="53"/>
        <v>47</v>
      </c>
    </row>
    <row r="2979" spans="19:22">
      <c r="S2979" s="16">
        <v>5005</v>
      </c>
      <c r="T2979" s="16" t="s">
        <v>3379</v>
      </c>
      <c r="U2979" s="17">
        <f>COUNTIFS(WTG_BD!L:L,'Basic Data'!T2979,WTG_BD!F:F,"&gt;="&amp;O2Summary!$B$6,WTG_BD!F:F,"&lt;="&amp;O2Summary!$B$4)</f>
        <v>0</v>
      </c>
      <c r="V2979" s="18">
        <f t="shared" si="53"/>
        <v>47</v>
      </c>
    </row>
    <row r="2980" spans="19:22">
      <c r="S2980" s="16">
        <v>5006</v>
      </c>
      <c r="T2980" s="16" t="s">
        <v>3380</v>
      </c>
      <c r="U2980" s="17">
        <f>COUNTIFS(WTG_BD!L:L,'Basic Data'!T2980,WTG_BD!F:F,"&gt;="&amp;O2Summary!$B$6,WTG_BD!F:F,"&lt;="&amp;O2Summary!$B$4)</f>
        <v>0</v>
      </c>
      <c r="V2980" s="18">
        <f t="shared" si="53"/>
        <v>47</v>
      </c>
    </row>
    <row r="2981" spans="19:22">
      <c r="S2981" s="16">
        <v>5007</v>
      </c>
      <c r="T2981" s="16" t="s">
        <v>3381</v>
      </c>
      <c r="U2981" s="17">
        <f>COUNTIFS(WTG_BD!L:L,'Basic Data'!T2981,WTG_BD!F:F,"&gt;="&amp;O2Summary!$B$6,WTG_BD!F:F,"&lt;="&amp;O2Summary!$B$4)</f>
        <v>0</v>
      </c>
      <c r="V2981" s="18">
        <f t="shared" si="53"/>
        <v>47</v>
      </c>
    </row>
    <row r="2982" spans="19:22">
      <c r="S2982" s="16">
        <v>5008</v>
      </c>
      <c r="T2982" s="16" t="s">
        <v>3382</v>
      </c>
      <c r="U2982" s="17">
        <f>COUNTIFS(WTG_BD!L:L,'Basic Data'!T2982,WTG_BD!F:F,"&gt;="&amp;O2Summary!$B$6,WTG_BD!F:F,"&lt;="&amp;O2Summary!$B$4)</f>
        <v>0</v>
      </c>
      <c r="V2982" s="18">
        <f t="shared" si="53"/>
        <v>47</v>
      </c>
    </row>
    <row r="2983" spans="19:22">
      <c r="S2983" s="16">
        <v>5009</v>
      </c>
      <c r="T2983" s="16" t="s">
        <v>3383</v>
      </c>
      <c r="U2983" s="17">
        <f>COUNTIFS(WTG_BD!L:L,'Basic Data'!T2983,WTG_BD!F:F,"&gt;="&amp;O2Summary!$B$6,WTG_BD!F:F,"&lt;="&amp;O2Summary!$B$4)</f>
        <v>0</v>
      </c>
      <c r="V2983" s="18">
        <f t="shared" si="53"/>
        <v>47</v>
      </c>
    </row>
    <row r="2984" spans="19:22">
      <c r="S2984" s="16">
        <v>5010</v>
      </c>
      <c r="T2984" s="16" t="s">
        <v>3384</v>
      </c>
      <c r="U2984" s="17">
        <f>COUNTIFS(WTG_BD!L:L,'Basic Data'!T2984,WTG_BD!F:F,"&gt;="&amp;O2Summary!$B$6,WTG_BD!F:F,"&lt;="&amp;O2Summary!$B$4)</f>
        <v>0</v>
      </c>
      <c r="V2984" s="18">
        <f t="shared" si="53"/>
        <v>47</v>
      </c>
    </row>
    <row r="2985" spans="19:22">
      <c r="S2985" s="26">
        <v>5011</v>
      </c>
      <c r="T2985" s="26" t="s">
        <v>3385</v>
      </c>
      <c r="U2985" s="17">
        <f>COUNTIFS(WTG_BD!L:L,'Basic Data'!T2985,WTG_BD!F:F,"&gt;="&amp;O2Summary!$B$6,WTG_BD!F:F,"&lt;="&amp;O2Summary!$B$4)</f>
        <v>0</v>
      </c>
      <c r="V2985" s="18">
        <f t="shared" si="53"/>
        <v>47</v>
      </c>
    </row>
    <row r="2986" spans="19:22">
      <c r="S2986" s="16">
        <v>5012</v>
      </c>
      <c r="T2986" s="16" t="s">
        <v>2938</v>
      </c>
      <c r="U2986" s="17">
        <f>COUNTIFS(WTG_BD!L:L,'Basic Data'!T2986,WTG_BD!F:F,"&gt;="&amp;O2Summary!$B$6,WTG_BD!F:F,"&lt;="&amp;O2Summary!$B$4)</f>
        <v>0</v>
      </c>
      <c r="V2986" s="18">
        <f t="shared" si="53"/>
        <v>47</v>
      </c>
    </row>
    <row r="2987" spans="19:22">
      <c r="S2987" s="26">
        <v>5013</v>
      </c>
      <c r="T2987" s="26" t="s">
        <v>3386</v>
      </c>
      <c r="U2987" s="17">
        <f>COUNTIFS(WTG_BD!L:L,'Basic Data'!T2987,WTG_BD!F:F,"&gt;="&amp;O2Summary!$B$6,WTG_BD!F:F,"&lt;="&amp;O2Summary!$B$4)</f>
        <v>0</v>
      </c>
      <c r="V2987" s="18">
        <f t="shared" si="53"/>
        <v>47</v>
      </c>
    </row>
    <row r="2988" spans="19:22">
      <c r="S2988" s="26">
        <v>5014</v>
      </c>
      <c r="T2988" s="26" t="s">
        <v>3387</v>
      </c>
      <c r="U2988" s="17">
        <f>COUNTIFS(WTG_BD!L:L,'Basic Data'!T2988,WTG_BD!F:F,"&gt;="&amp;O2Summary!$B$6,WTG_BD!F:F,"&lt;="&amp;O2Summary!$B$4)</f>
        <v>0</v>
      </c>
      <c r="V2988" s="18">
        <f t="shared" si="53"/>
        <v>47</v>
      </c>
    </row>
    <row r="2989" spans="19:22">
      <c r="S2989" s="26">
        <v>5015</v>
      </c>
      <c r="T2989" s="26" t="s">
        <v>3388</v>
      </c>
      <c r="U2989" s="17">
        <f>COUNTIFS(WTG_BD!L:L,'Basic Data'!T2989,WTG_BD!F:F,"&gt;="&amp;O2Summary!$B$6,WTG_BD!F:F,"&lt;="&amp;O2Summary!$B$4)</f>
        <v>0</v>
      </c>
      <c r="V2989" s="18">
        <f t="shared" si="53"/>
        <v>47</v>
      </c>
    </row>
    <row r="2990" spans="19:22">
      <c r="S2990" s="26">
        <v>5016</v>
      </c>
      <c r="T2990" s="26" t="s">
        <v>3389</v>
      </c>
      <c r="U2990" s="17">
        <f>COUNTIFS(WTG_BD!L:L,'Basic Data'!T2990,WTG_BD!F:F,"&gt;="&amp;O2Summary!$B$6,WTG_BD!F:F,"&lt;="&amp;O2Summary!$B$4)</f>
        <v>0</v>
      </c>
      <c r="V2990" s="18">
        <f t="shared" si="53"/>
        <v>47</v>
      </c>
    </row>
    <row r="2991" spans="19:22">
      <c r="S2991" s="16">
        <v>5017</v>
      </c>
      <c r="T2991" s="16" t="s">
        <v>3390</v>
      </c>
      <c r="U2991" s="17">
        <f>COUNTIFS(WTG_BD!L:L,'Basic Data'!T2991,WTG_BD!F:F,"&gt;="&amp;O2Summary!$B$6,WTG_BD!F:F,"&lt;="&amp;O2Summary!$B$4)</f>
        <v>0</v>
      </c>
      <c r="V2991" s="18">
        <f t="shared" si="53"/>
        <v>47</v>
      </c>
    </row>
    <row r="2992" spans="19:22">
      <c r="S2992" s="16">
        <v>5018</v>
      </c>
      <c r="T2992" s="16" t="s">
        <v>3391</v>
      </c>
      <c r="U2992" s="17">
        <f>COUNTIFS(WTG_BD!L:L,'Basic Data'!T2992,WTG_BD!F:F,"&gt;="&amp;O2Summary!$B$6,WTG_BD!F:F,"&lt;="&amp;O2Summary!$B$4)</f>
        <v>0</v>
      </c>
      <c r="V2992" s="18">
        <f t="shared" si="53"/>
        <v>47</v>
      </c>
    </row>
    <row r="2993" spans="19:22">
      <c r="S2993" s="16">
        <v>5019</v>
      </c>
      <c r="T2993" s="16" t="s">
        <v>3392</v>
      </c>
      <c r="U2993" s="17">
        <f>COUNTIFS(WTG_BD!L:L,'Basic Data'!T2993,WTG_BD!F:F,"&gt;="&amp;O2Summary!$B$6,WTG_BD!F:F,"&lt;="&amp;O2Summary!$B$4)</f>
        <v>0</v>
      </c>
      <c r="V2993" s="18">
        <f t="shared" si="53"/>
        <v>47</v>
      </c>
    </row>
    <row r="2994" spans="19:22">
      <c r="S2994" s="16">
        <v>5020</v>
      </c>
      <c r="T2994" s="16" t="s">
        <v>3393</v>
      </c>
      <c r="U2994" s="17">
        <f>COUNTIFS(WTG_BD!L:L,'Basic Data'!T2994,WTG_BD!F:F,"&gt;="&amp;O2Summary!$B$6,WTG_BD!F:F,"&lt;="&amp;O2Summary!$B$4)</f>
        <v>0</v>
      </c>
      <c r="V2994" s="18">
        <f t="shared" si="53"/>
        <v>47</v>
      </c>
    </row>
    <row r="2995" spans="19:22">
      <c r="S2995" s="16">
        <v>5021</v>
      </c>
      <c r="T2995" s="16" t="s">
        <v>3394</v>
      </c>
      <c r="U2995" s="17">
        <f>COUNTIFS(WTG_BD!L:L,'Basic Data'!T2995,WTG_BD!F:F,"&gt;="&amp;O2Summary!$B$6,WTG_BD!F:F,"&lt;="&amp;O2Summary!$B$4)</f>
        <v>0</v>
      </c>
      <c r="V2995" s="18">
        <f t="shared" si="53"/>
        <v>47</v>
      </c>
    </row>
    <row r="2996" spans="19:22">
      <c r="S2996" s="16">
        <v>5022</v>
      </c>
      <c r="T2996" s="16" t="s">
        <v>3395</v>
      </c>
      <c r="U2996" s="17">
        <f>COUNTIFS(WTG_BD!L:L,'Basic Data'!T2996,WTG_BD!F:F,"&gt;="&amp;O2Summary!$B$6,WTG_BD!F:F,"&lt;="&amp;O2Summary!$B$4)</f>
        <v>0</v>
      </c>
      <c r="V2996" s="18">
        <f t="shared" si="53"/>
        <v>47</v>
      </c>
    </row>
    <row r="2997" spans="19:22">
      <c r="S2997" s="16">
        <v>5023</v>
      </c>
      <c r="T2997" s="16" t="s">
        <v>3396</v>
      </c>
      <c r="U2997" s="17">
        <f>COUNTIFS(WTG_BD!L:L,'Basic Data'!T2997,WTG_BD!F:F,"&gt;="&amp;O2Summary!$B$6,WTG_BD!F:F,"&lt;="&amp;O2Summary!$B$4)</f>
        <v>0</v>
      </c>
      <c r="V2997" s="18">
        <f t="shared" si="53"/>
        <v>47</v>
      </c>
    </row>
    <row r="2998" spans="19:22">
      <c r="S2998" s="16">
        <v>5024</v>
      </c>
      <c r="T2998" s="16" t="s">
        <v>3397</v>
      </c>
      <c r="U2998" s="17">
        <f>COUNTIFS(WTG_BD!L:L,'Basic Data'!T2998,WTG_BD!F:F,"&gt;="&amp;O2Summary!$B$6,WTG_BD!F:F,"&lt;="&amp;O2Summary!$B$4)</f>
        <v>0</v>
      </c>
      <c r="V2998" s="18">
        <f t="shared" si="53"/>
        <v>47</v>
      </c>
    </row>
    <row r="2999" spans="19:22">
      <c r="S2999" s="16">
        <v>5025</v>
      </c>
      <c r="T2999" s="16" t="s">
        <v>3398</v>
      </c>
      <c r="U2999" s="17">
        <f>COUNTIFS(WTG_BD!L:L,'Basic Data'!T2999,WTG_BD!F:F,"&gt;="&amp;O2Summary!$B$6,WTG_BD!F:F,"&lt;="&amp;O2Summary!$B$4)</f>
        <v>0</v>
      </c>
      <c r="V2999" s="18">
        <f t="shared" si="53"/>
        <v>47</v>
      </c>
    </row>
    <row r="3000" spans="19:22">
      <c r="S3000" s="16">
        <v>5027</v>
      </c>
      <c r="T3000" s="16" t="s">
        <v>3399</v>
      </c>
      <c r="U3000" s="17">
        <f>COUNTIFS(WTG_BD!L:L,'Basic Data'!T3000,WTG_BD!F:F,"&gt;="&amp;O2Summary!$B$6,WTG_BD!F:F,"&lt;="&amp;O2Summary!$B$4)</f>
        <v>0</v>
      </c>
      <c r="V3000" s="18">
        <f t="shared" si="53"/>
        <v>47</v>
      </c>
    </row>
    <row r="3001" spans="19:22">
      <c r="S3001" s="16">
        <v>5028</v>
      </c>
      <c r="T3001" s="16" t="s">
        <v>3400</v>
      </c>
      <c r="U3001" s="17">
        <f>COUNTIFS(WTG_BD!L:L,'Basic Data'!T3001,WTG_BD!F:F,"&gt;="&amp;O2Summary!$B$6,WTG_BD!F:F,"&lt;="&amp;O2Summary!$B$4)</f>
        <v>0</v>
      </c>
      <c r="V3001" s="18">
        <f t="shared" si="53"/>
        <v>47</v>
      </c>
    </row>
    <row r="3002" spans="19:22">
      <c r="S3002" s="16">
        <v>5029</v>
      </c>
      <c r="T3002" s="16" t="s">
        <v>3401</v>
      </c>
      <c r="U3002" s="17">
        <f>COUNTIFS(WTG_BD!L:L,'Basic Data'!T3002,WTG_BD!F:F,"&gt;="&amp;O2Summary!$B$6,WTG_BD!F:F,"&lt;="&amp;O2Summary!$B$4)</f>
        <v>0</v>
      </c>
      <c r="V3002" s="18">
        <f t="shared" si="53"/>
        <v>47</v>
      </c>
    </row>
    <row r="3003" spans="19:22">
      <c r="S3003" s="16">
        <v>5030</v>
      </c>
      <c r="T3003" s="16" t="s">
        <v>3402</v>
      </c>
      <c r="U3003" s="17">
        <f>COUNTIFS(WTG_BD!L:L,'Basic Data'!T3003,WTG_BD!F:F,"&gt;="&amp;O2Summary!$B$6,WTG_BD!F:F,"&lt;="&amp;O2Summary!$B$4)</f>
        <v>0</v>
      </c>
      <c r="V3003" s="18">
        <f t="shared" si="53"/>
        <v>47</v>
      </c>
    </row>
    <row r="3004" spans="19:22">
      <c r="S3004" s="26">
        <v>5031</v>
      </c>
      <c r="T3004" s="26" t="s">
        <v>3403</v>
      </c>
      <c r="U3004" s="17">
        <f>COUNTIFS(WTG_BD!L:L,'Basic Data'!T3004,WTG_BD!F:F,"&gt;="&amp;O2Summary!$B$6,WTG_BD!F:F,"&lt;="&amp;O2Summary!$B$4)</f>
        <v>0</v>
      </c>
      <c r="V3004" s="18">
        <f t="shared" si="53"/>
        <v>47</v>
      </c>
    </row>
    <row r="3005" spans="19:22">
      <c r="S3005" s="26">
        <v>5032</v>
      </c>
      <c r="T3005" s="26" t="s">
        <v>3404</v>
      </c>
      <c r="U3005" s="17">
        <f>COUNTIFS(WTG_BD!L:L,'Basic Data'!T3005,WTG_BD!F:F,"&gt;="&amp;O2Summary!$B$6,WTG_BD!F:F,"&lt;="&amp;O2Summary!$B$4)</f>
        <v>0</v>
      </c>
      <c r="V3005" s="18">
        <f t="shared" si="53"/>
        <v>47</v>
      </c>
    </row>
    <row r="3006" spans="19:22">
      <c r="S3006" s="26">
        <v>5033</v>
      </c>
      <c r="T3006" s="26" t="s">
        <v>3405</v>
      </c>
      <c r="U3006" s="17">
        <f>COUNTIFS(WTG_BD!L:L,'Basic Data'!T3006,WTG_BD!F:F,"&gt;="&amp;O2Summary!$B$6,WTG_BD!F:F,"&lt;="&amp;O2Summary!$B$4)</f>
        <v>0</v>
      </c>
      <c r="V3006" s="18">
        <f t="shared" si="53"/>
        <v>47</v>
      </c>
    </row>
    <row r="3007" spans="19:22">
      <c r="S3007" s="16">
        <v>5035</v>
      </c>
      <c r="T3007" s="16" t="s">
        <v>2151</v>
      </c>
      <c r="U3007" s="17">
        <f>COUNTIFS(WTG_BD!L:L,'Basic Data'!T3007,WTG_BD!F:F,"&gt;="&amp;O2Summary!$B$6,WTG_BD!F:F,"&lt;="&amp;O2Summary!$B$4)</f>
        <v>0</v>
      </c>
      <c r="V3007" s="18">
        <f t="shared" si="53"/>
        <v>47</v>
      </c>
    </row>
    <row r="3008" spans="19:22">
      <c r="S3008" s="26">
        <v>5036</v>
      </c>
      <c r="T3008" s="26" t="s">
        <v>3406</v>
      </c>
      <c r="U3008" s="17">
        <f>COUNTIFS(WTG_BD!L:L,'Basic Data'!T3008,WTG_BD!F:F,"&gt;="&amp;O2Summary!$B$6,WTG_BD!F:F,"&lt;="&amp;O2Summary!$B$4)</f>
        <v>0</v>
      </c>
      <c r="V3008" s="18">
        <f t="shared" si="53"/>
        <v>47</v>
      </c>
    </row>
    <row r="3009" spans="19:22">
      <c r="S3009" s="26">
        <v>5037</v>
      </c>
      <c r="T3009" s="26" t="s">
        <v>3407</v>
      </c>
      <c r="U3009" s="17">
        <f>COUNTIFS(WTG_BD!L:L,'Basic Data'!T3009,WTG_BD!F:F,"&gt;="&amp;O2Summary!$B$6,WTG_BD!F:F,"&lt;="&amp;O2Summary!$B$4)</f>
        <v>0</v>
      </c>
      <c r="V3009" s="18">
        <f t="shared" si="53"/>
        <v>47</v>
      </c>
    </row>
    <row r="3010" spans="19:22">
      <c r="S3010" s="26">
        <v>5038</v>
      </c>
      <c r="T3010" s="26" t="s">
        <v>3408</v>
      </c>
      <c r="U3010" s="17">
        <f>COUNTIFS(WTG_BD!L:L,'Basic Data'!T3010,WTG_BD!F:F,"&gt;="&amp;O2Summary!$B$6,WTG_BD!F:F,"&lt;="&amp;O2Summary!$B$4)</f>
        <v>0</v>
      </c>
      <c r="V3010" s="18">
        <f t="shared" si="53"/>
        <v>47</v>
      </c>
    </row>
    <row r="3011" spans="19:22">
      <c r="S3011" s="26">
        <v>5039</v>
      </c>
      <c r="T3011" s="26" t="s">
        <v>3409</v>
      </c>
      <c r="U3011" s="17">
        <f>COUNTIFS(WTG_BD!L:L,'Basic Data'!T3011,WTG_BD!F:F,"&gt;="&amp;O2Summary!$B$6,WTG_BD!F:F,"&lt;="&amp;O2Summary!$B$4)</f>
        <v>0</v>
      </c>
      <c r="V3011" s="18">
        <f t="shared" ref="V3011:V3074" si="54">RANK(U3011,$U$2:$U$3975)</f>
        <v>47</v>
      </c>
    </row>
    <row r="3012" spans="19:22">
      <c r="S3012" s="26">
        <v>5040</v>
      </c>
      <c r="T3012" s="26" t="s">
        <v>3410</v>
      </c>
      <c r="U3012" s="17">
        <f>COUNTIFS(WTG_BD!L:L,'Basic Data'!T3012,WTG_BD!F:F,"&gt;="&amp;O2Summary!$B$6,WTG_BD!F:F,"&lt;="&amp;O2Summary!$B$4)</f>
        <v>0</v>
      </c>
      <c r="V3012" s="18">
        <f t="shared" si="54"/>
        <v>47</v>
      </c>
    </row>
    <row r="3013" spans="19:22">
      <c r="S3013" s="16">
        <v>5041</v>
      </c>
      <c r="T3013" s="16" t="s">
        <v>3411</v>
      </c>
      <c r="U3013" s="17">
        <f>COUNTIFS(WTG_BD!L:L,'Basic Data'!T3013,WTG_BD!F:F,"&gt;="&amp;O2Summary!$B$6,WTG_BD!F:F,"&lt;="&amp;O2Summary!$B$4)</f>
        <v>0</v>
      </c>
      <c r="V3013" s="18">
        <f t="shared" si="54"/>
        <v>47</v>
      </c>
    </row>
    <row r="3014" spans="19:22">
      <c r="S3014" s="16">
        <v>5042</v>
      </c>
      <c r="T3014" s="16" t="s">
        <v>3412</v>
      </c>
      <c r="U3014" s="17">
        <f>COUNTIFS(WTG_BD!L:L,'Basic Data'!T3014,WTG_BD!F:F,"&gt;="&amp;O2Summary!$B$6,WTG_BD!F:F,"&lt;="&amp;O2Summary!$B$4)</f>
        <v>0</v>
      </c>
      <c r="V3014" s="18">
        <f t="shared" si="54"/>
        <v>47</v>
      </c>
    </row>
    <row r="3015" spans="19:22">
      <c r="S3015" s="16">
        <v>5043</v>
      </c>
      <c r="T3015" s="16" t="s">
        <v>3413</v>
      </c>
      <c r="U3015" s="17">
        <f>COUNTIFS(WTG_BD!L:L,'Basic Data'!T3015,WTG_BD!F:F,"&gt;="&amp;O2Summary!$B$6,WTG_BD!F:F,"&lt;="&amp;O2Summary!$B$4)</f>
        <v>0</v>
      </c>
      <c r="V3015" s="18">
        <f t="shared" si="54"/>
        <v>47</v>
      </c>
    </row>
    <row r="3016" spans="19:22">
      <c r="S3016" s="16">
        <v>5044</v>
      </c>
      <c r="T3016" s="16" t="s">
        <v>3414</v>
      </c>
      <c r="U3016" s="17">
        <f>COUNTIFS(WTG_BD!L:L,'Basic Data'!T3016,WTG_BD!F:F,"&gt;="&amp;O2Summary!$B$6,WTG_BD!F:F,"&lt;="&amp;O2Summary!$B$4)</f>
        <v>0</v>
      </c>
      <c r="V3016" s="18">
        <f t="shared" si="54"/>
        <v>47</v>
      </c>
    </row>
    <row r="3017" spans="19:22">
      <c r="S3017" s="16">
        <v>5045</v>
      </c>
      <c r="T3017" s="16" t="s">
        <v>3415</v>
      </c>
      <c r="U3017" s="17">
        <f>COUNTIFS(WTG_BD!L:L,'Basic Data'!T3017,WTG_BD!F:F,"&gt;="&amp;O2Summary!$B$6,WTG_BD!F:F,"&lt;="&amp;O2Summary!$B$4)</f>
        <v>0</v>
      </c>
      <c r="V3017" s="18">
        <f t="shared" si="54"/>
        <v>47</v>
      </c>
    </row>
    <row r="3018" spans="19:22">
      <c r="S3018" s="16">
        <v>5046</v>
      </c>
      <c r="T3018" s="16" t="s">
        <v>3416</v>
      </c>
      <c r="U3018" s="17">
        <f>COUNTIFS(WTG_BD!L:L,'Basic Data'!T3018,WTG_BD!F:F,"&gt;="&amp;O2Summary!$B$6,WTG_BD!F:F,"&lt;="&amp;O2Summary!$B$4)</f>
        <v>0</v>
      </c>
      <c r="V3018" s="18">
        <f t="shared" si="54"/>
        <v>47</v>
      </c>
    </row>
    <row r="3019" spans="19:22">
      <c r="S3019" s="16">
        <v>5047</v>
      </c>
      <c r="T3019" s="16" t="s">
        <v>3417</v>
      </c>
      <c r="U3019" s="17">
        <f>COUNTIFS(WTG_BD!L:L,'Basic Data'!T3019,WTG_BD!F:F,"&gt;="&amp;O2Summary!$B$6,WTG_BD!F:F,"&lt;="&amp;O2Summary!$B$4)</f>
        <v>0</v>
      </c>
      <c r="V3019" s="18">
        <f t="shared" si="54"/>
        <v>47</v>
      </c>
    </row>
    <row r="3020" spans="19:22">
      <c r="S3020" s="16">
        <v>5048</v>
      </c>
      <c r="T3020" s="16" t="s">
        <v>3418</v>
      </c>
      <c r="U3020" s="17">
        <f>COUNTIFS(WTG_BD!L:L,'Basic Data'!T3020,WTG_BD!F:F,"&gt;="&amp;O2Summary!$B$6,WTG_BD!F:F,"&lt;="&amp;O2Summary!$B$4)</f>
        <v>0</v>
      </c>
      <c r="V3020" s="18">
        <f t="shared" si="54"/>
        <v>47</v>
      </c>
    </row>
    <row r="3021" spans="19:22">
      <c r="S3021" s="16">
        <v>5050</v>
      </c>
      <c r="T3021" s="16" t="s">
        <v>3419</v>
      </c>
      <c r="U3021" s="17">
        <f>COUNTIFS(WTG_BD!L:L,'Basic Data'!T3021,WTG_BD!F:F,"&gt;="&amp;O2Summary!$B$6,WTG_BD!F:F,"&lt;="&amp;O2Summary!$B$4)</f>
        <v>0</v>
      </c>
      <c r="V3021" s="18">
        <f t="shared" si="54"/>
        <v>47</v>
      </c>
    </row>
    <row r="3022" spans="19:22">
      <c r="S3022" s="16">
        <v>5051</v>
      </c>
      <c r="T3022" s="16" t="s">
        <v>3420</v>
      </c>
      <c r="U3022" s="17">
        <f>COUNTIFS(WTG_BD!L:L,'Basic Data'!T3022,WTG_BD!F:F,"&gt;="&amp;O2Summary!$B$6,WTG_BD!F:F,"&lt;="&amp;O2Summary!$B$4)</f>
        <v>0</v>
      </c>
      <c r="V3022" s="18">
        <f t="shared" si="54"/>
        <v>47</v>
      </c>
    </row>
    <row r="3023" spans="19:22">
      <c r="S3023" s="16">
        <v>5052</v>
      </c>
      <c r="T3023" s="16" t="s">
        <v>3421</v>
      </c>
      <c r="U3023" s="17">
        <f>COUNTIFS(WTG_BD!L:L,'Basic Data'!T3023,WTG_BD!F:F,"&gt;="&amp;O2Summary!$B$6,WTG_BD!F:F,"&lt;="&amp;O2Summary!$B$4)</f>
        <v>0</v>
      </c>
      <c r="V3023" s="18">
        <f t="shared" si="54"/>
        <v>47</v>
      </c>
    </row>
    <row r="3024" spans="19:22">
      <c r="S3024" s="16">
        <v>5053</v>
      </c>
      <c r="T3024" s="16" t="s">
        <v>3422</v>
      </c>
      <c r="U3024" s="17">
        <f>COUNTIFS(WTG_BD!L:L,'Basic Data'!T3024,WTG_BD!F:F,"&gt;="&amp;O2Summary!$B$6,WTG_BD!F:F,"&lt;="&amp;O2Summary!$B$4)</f>
        <v>0</v>
      </c>
      <c r="V3024" s="18">
        <f t="shared" si="54"/>
        <v>47</v>
      </c>
    </row>
    <row r="3025" spans="19:22">
      <c r="S3025" s="16">
        <v>5054</v>
      </c>
      <c r="T3025" s="16" t="s">
        <v>3422</v>
      </c>
      <c r="U3025" s="17">
        <f>COUNTIFS(WTG_BD!L:L,'Basic Data'!T3025,WTG_BD!F:F,"&gt;="&amp;O2Summary!$B$6,WTG_BD!F:F,"&lt;="&amp;O2Summary!$B$4)</f>
        <v>0</v>
      </c>
      <c r="V3025" s="18">
        <f t="shared" si="54"/>
        <v>47</v>
      </c>
    </row>
    <row r="3026" spans="19:22">
      <c r="S3026" s="16">
        <v>5055</v>
      </c>
      <c r="T3026" s="16" t="s">
        <v>3423</v>
      </c>
      <c r="U3026" s="17">
        <f>COUNTIFS(WTG_BD!L:L,'Basic Data'!T3026,WTG_BD!F:F,"&gt;="&amp;O2Summary!$B$6,WTG_BD!F:F,"&lt;="&amp;O2Summary!$B$4)</f>
        <v>0</v>
      </c>
      <c r="V3026" s="18">
        <f t="shared" si="54"/>
        <v>47</v>
      </c>
    </row>
    <row r="3027" spans="19:22">
      <c r="S3027" s="16">
        <v>5056</v>
      </c>
      <c r="T3027" s="16" t="s">
        <v>3424</v>
      </c>
      <c r="U3027" s="17">
        <f>COUNTIFS(WTG_BD!L:L,'Basic Data'!T3027,WTG_BD!F:F,"&gt;="&amp;O2Summary!$B$6,WTG_BD!F:F,"&lt;="&amp;O2Summary!$B$4)</f>
        <v>0</v>
      </c>
      <c r="V3027" s="18">
        <f t="shared" si="54"/>
        <v>47</v>
      </c>
    </row>
    <row r="3028" spans="19:22">
      <c r="S3028" s="16">
        <v>5057</v>
      </c>
      <c r="T3028" s="16" t="s">
        <v>3425</v>
      </c>
      <c r="U3028" s="17">
        <f>COUNTIFS(WTG_BD!L:L,'Basic Data'!T3028,WTG_BD!F:F,"&gt;="&amp;O2Summary!$B$6,WTG_BD!F:F,"&lt;="&amp;O2Summary!$B$4)</f>
        <v>0</v>
      </c>
      <c r="V3028" s="18">
        <f t="shared" si="54"/>
        <v>47</v>
      </c>
    </row>
    <row r="3029" spans="19:22">
      <c r="S3029" s="16">
        <v>5058</v>
      </c>
      <c r="T3029" s="16" t="s">
        <v>3426</v>
      </c>
      <c r="U3029" s="17">
        <f>COUNTIFS(WTG_BD!L:L,'Basic Data'!T3029,WTG_BD!F:F,"&gt;="&amp;O2Summary!$B$6,WTG_BD!F:F,"&lt;="&amp;O2Summary!$B$4)</f>
        <v>0</v>
      </c>
      <c r="V3029" s="18">
        <f t="shared" si="54"/>
        <v>47</v>
      </c>
    </row>
    <row r="3030" spans="19:22">
      <c r="S3030" s="16">
        <v>5059</v>
      </c>
      <c r="T3030" s="16" t="s">
        <v>3427</v>
      </c>
      <c r="U3030" s="17">
        <f>COUNTIFS(WTG_BD!L:L,'Basic Data'!T3030,WTG_BD!F:F,"&gt;="&amp;O2Summary!$B$6,WTG_BD!F:F,"&lt;="&amp;O2Summary!$B$4)</f>
        <v>0</v>
      </c>
      <c r="V3030" s="18">
        <f t="shared" si="54"/>
        <v>47</v>
      </c>
    </row>
    <row r="3031" spans="19:22">
      <c r="S3031" s="16">
        <v>5060</v>
      </c>
      <c r="T3031" s="16" t="s">
        <v>3428</v>
      </c>
      <c r="U3031" s="17">
        <f>COUNTIFS(WTG_BD!L:L,'Basic Data'!T3031,WTG_BD!F:F,"&gt;="&amp;O2Summary!$B$6,WTG_BD!F:F,"&lt;="&amp;O2Summary!$B$4)</f>
        <v>0</v>
      </c>
      <c r="V3031" s="18">
        <f t="shared" si="54"/>
        <v>47</v>
      </c>
    </row>
    <row r="3032" spans="19:22">
      <c r="S3032" s="16">
        <v>5061</v>
      </c>
      <c r="T3032" s="16" t="s">
        <v>3429</v>
      </c>
      <c r="U3032" s="17">
        <f>COUNTIFS(WTG_BD!L:L,'Basic Data'!T3032,WTG_BD!F:F,"&gt;="&amp;O2Summary!$B$6,WTG_BD!F:F,"&lt;="&amp;O2Summary!$B$4)</f>
        <v>0</v>
      </c>
      <c r="V3032" s="18">
        <f t="shared" si="54"/>
        <v>47</v>
      </c>
    </row>
    <row r="3033" spans="19:22">
      <c r="S3033" s="16">
        <v>5062</v>
      </c>
      <c r="T3033" s="16" t="s">
        <v>3430</v>
      </c>
      <c r="U3033" s="17">
        <f>COUNTIFS(WTG_BD!L:L,'Basic Data'!T3033,WTG_BD!F:F,"&gt;="&amp;O2Summary!$B$6,WTG_BD!F:F,"&lt;="&amp;O2Summary!$B$4)</f>
        <v>0</v>
      </c>
      <c r="V3033" s="18">
        <f t="shared" si="54"/>
        <v>47</v>
      </c>
    </row>
    <row r="3034" spans="19:22">
      <c r="S3034" s="16">
        <v>5063</v>
      </c>
      <c r="T3034" s="16" t="s">
        <v>3431</v>
      </c>
      <c r="U3034" s="17">
        <f>COUNTIFS(WTG_BD!L:L,'Basic Data'!T3034,WTG_BD!F:F,"&gt;="&amp;O2Summary!$B$6,WTG_BD!F:F,"&lt;="&amp;O2Summary!$B$4)</f>
        <v>0</v>
      </c>
      <c r="V3034" s="18">
        <f t="shared" si="54"/>
        <v>47</v>
      </c>
    </row>
    <row r="3035" spans="19:22">
      <c r="S3035" s="16">
        <v>5064</v>
      </c>
      <c r="T3035" s="16" t="s">
        <v>3432</v>
      </c>
      <c r="U3035" s="17">
        <f>COUNTIFS(WTG_BD!L:L,'Basic Data'!T3035,WTG_BD!F:F,"&gt;="&amp;O2Summary!$B$6,WTG_BD!F:F,"&lt;="&amp;O2Summary!$B$4)</f>
        <v>0</v>
      </c>
      <c r="V3035" s="18">
        <f t="shared" si="54"/>
        <v>47</v>
      </c>
    </row>
    <row r="3036" spans="19:22">
      <c r="S3036" s="16">
        <v>5065</v>
      </c>
      <c r="T3036" s="16" t="s">
        <v>3433</v>
      </c>
      <c r="U3036" s="17">
        <f>COUNTIFS(WTG_BD!L:L,'Basic Data'!T3036,WTG_BD!F:F,"&gt;="&amp;O2Summary!$B$6,WTG_BD!F:F,"&lt;="&amp;O2Summary!$B$4)</f>
        <v>0</v>
      </c>
      <c r="V3036" s="18">
        <f t="shared" si="54"/>
        <v>47</v>
      </c>
    </row>
    <row r="3037" spans="19:22">
      <c r="S3037" s="16">
        <v>5066</v>
      </c>
      <c r="T3037" s="16" t="s">
        <v>3434</v>
      </c>
      <c r="U3037" s="17">
        <f>COUNTIFS(WTG_BD!L:L,'Basic Data'!T3037,WTG_BD!F:F,"&gt;="&amp;O2Summary!$B$6,WTG_BD!F:F,"&lt;="&amp;O2Summary!$B$4)</f>
        <v>0</v>
      </c>
      <c r="V3037" s="18">
        <f t="shared" si="54"/>
        <v>47</v>
      </c>
    </row>
    <row r="3038" spans="19:22">
      <c r="S3038" s="16">
        <v>5067</v>
      </c>
      <c r="T3038" s="16" t="s">
        <v>357</v>
      </c>
      <c r="U3038" s="17">
        <f>COUNTIFS(WTG_BD!L:L,'Basic Data'!T3038,WTG_BD!F:F,"&gt;="&amp;O2Summary!$B$6,WTG_BD!F:F,"&lt;="&amp;O2Summary!$B$4)</f>
        <v>1</v>
      </c>
      <c r="V3038" s="18">
        <f t="shared" si="54"/>
        <v>29</v>
      </c>
    </row>
    <row r="3039" spans="19:22">
      <c r="S3039" s="16">
        <v>5068</v>
      </c>
      <c r="T3039" s="16" t="s">
        <v>366</v>
      </c>
      <c r="U3039" s="17">
        <f>COUNTIFS(WTG_BD!L:L,'Basic Data'!T3039,WTG_BD!F:F,"&gt;="&amp;O2Summary!$B$6,WTG_BD!F:F,"&lt;="&amp;O2Summary!$B$4)</f>
        <v>0</v>
      </c>
      <c r="V3039" s="18">
        <f t="shared" si="54"/>
        <v>47</v>
      </c>
    </row>
    <row r="3040" spans="19:22">
      <c r="S3040" s="16">
        <v>5069</v>
      </c>
      <c r="T3040" s="16" t="s">
        <v>365</v>
      </c>
      <c r="U3040" s="17">
        <f>COUNTIFS(WTG_BD!L:L,'Basic Data'!T3040,WTG_BD!F:F,"&gt;="&amp;O2Summary!$B$6,WTG_BD!F:F,"&lt;="&amp;O2Summary!$B$4)</f>
        <v>1</v>
      </c>
      <c r="V3040" s="18">
        <f t="shared" si="54"/>
        <v>29</v>
      </c>
    </row>
    <row r="3041" spans="19:22">
      <c r="S3041" s="16">
        <v>5070</v>
      </c>
      <c r="T3041" s="16" t="s">
        <v>3435</v>
      </c>
      <c r="U3041" s="17">
        <f>COUNTIFS(WTG_BD!L:L,'Basic Data'!T3041,WTG_BD!F:F,"&gt;="&amp;O2Summary!$B$6,WTG_BD!F:F,"&lt;="&amp;O2Summary!$B$4)</f>
        <v>0</v>
      </c>
      <c r="V3041" s="18">
        <f t="shared" si="54"/>
        <v>47</v>
      </c>
    </row>
    <row r="3042" spans="19:22">
      <c r="S3042" s="16">
        <v>5072</v>
      </c>
      <c r="T3042" s="16" t="s">
        <v>3436</v>
      </c>
      <c r="U3042" s="17">
        <f>COUNTIFS(WTG_BD!L:L,'Basic Data'!T3042,WTG_BD!F:F,"&gt;="&amp;O2Summary!$B$6,WTG_BD!F:F,"&lt;="&amp;O2Summary!$B$4)</f>
        <v>0</v>
      </c>
      <c r="V3042" s="18">
        <f t="shared" si="54"/>
        <v>47</v>
      </c>
    </row>
    <row r="3043" spans="19:22">
      <c r="S3043" s="16">
        <v>5076</v>
      </c>
      <c r="T3043" s="16" t="s">
        <v>3437</v>
      </c>
      <c r="U3043" s="17">
        <f>COUNTIFS(WTG_BD!L:L,'Basic Data'!T3043,WTG_BD!F:F,"&gt;="&amp;O2Summary!$B$6,WTG_BD!F:F,"&lt;="&amp;O2Summary!$B$4)</f>
        <v>0</v>
      </c>
      <c r="V3043" s="18">
        <f t="shared" si="54"/>
        <v>47</v>
      </c>
    </row>
    <row r="3044" spans="19:22">
      <c r="S3044" s="16">
        <v>5077</v>
      </c>
      <c r="T3044" s="16" t="s">
        <v>3438</v>
      </c>
      <c r="U3044" s="17">
        <f>COUNTIFS(WTG_BD!L:L,'Basic Data'!T3044,WTG_BD!F:F,"&gt;="&amp;O2Summary!$B$6,WTG_BD!F:F,"&lt;="&amp;O2Summary!$B$4)</f>
        <v>0</v>
      </c>
      <c r="V3044" s="18">
        <f t="shared" si="54"/>
        <v>47</v>
      </c>
    </row>
    <row r="3045" spans="19:22">
      <c r="S3045" s="16">
        <v>5079</v>
      </c>
      <c r="T3045" s="16" t="s">
        <v>3439</v>
      </c>
      <c r="U3045" s="17">
        <f>COUNTIFS(WTG_BD!L:L,'Basic Data'!T3045,WTG_BD!F:F,"&gt;="&amp;O2Summary!$B$6,WTG_BD!F:F,"&lt;="&amp;O2Summary!$B$4)</f>
        <v>0</v>
      </c>
      <c r="V3045" s="18">
        <f t="shared" si="54"/>
        <v>47</v>
      </c>
    </row>
    <row r="3046" spans="19:22">
      <c r="S3046" s="16">
        <v>5080</v>
      </c>
      <c r="T3046" s="16" t="s">
        <v>3440</v>
      </c>
      <c r="U3046" s="17">
        <f>COUNTIFS(WTG_BD!L:L,'Basic Data'!T3046,WTG_BD!F:F,"&gt;="&amp;O2Summary!$B$6,WTG_BD!F:F,"&lt;="&amp;O2Summary!$B$4)</f>
        <v>0</v>
      </c>
      <c r="V3046" s="18">
        <f t="shared" si="54"/>
        <v>47</v>
      </c>
    </row>
    <row r="3047" spans="19:22">
      <c r="S3047" s="16">
        <v>5081</v>
      </c>
      <c r="T3047" s="16" t="s">
        <v>3441</v>
      </c>
      <c r="U3047" s="17">
        <f>COUNTIFS(WTG_BD!L:L,'Basic Data'!T3047,WTG_BD!F:F,"&gt;="&amp;O2Summary!$B$6,WTG_BD!F:F,"&lt;="&amp;O2Summary!$B$4)</f>
        <v>0</v>
      </c>
      <c r="V3047" s="18">
        <f t="shared" si="54"/>
        <v>47</v>
      </c>
    </row>
    <row r="3048" spans="19:22">
      <c r="S3048" s="16">
        <v>5084</v>
      </c>
      <c r="T3048" s="16" t="s">
        <v>3442</v>
      </c>
      <c r="U3048" s="17">
        <f>COUNTIFS(WTG_BD!L:L,'Basic Data'!T3048,WTG_BD!F:F,"&gt;="&amp;O2Summary!$B$6,WTG_BD!F:F,"&lt;="&amp;O2Summary!$B$4)</f>
        <v>0</v>
      </c>
      <c r="V3048" s="18">
        <f t="shared" si="54"/>
        <v>47</v>
      </c>
    </row>
    <row r="3049" spans="19:22">
      <c r="S3049" s="16">
        <v>5085</v>
      </c>
      <c r="T3049" s="16" t="s">
        <v>3443</v>
      </c>
      <c r="U3049" s="17">
        <f>COUNTIFS(WTG_BD!L:L,'Basic Data'!T3049,WTG_BD!F:F,"&gt;="&amp;O2Summary!$B$6,WTG_BD!F:F,"&lt;="&amp;O2Summary!$B$4)</f>
        <v>0</v>
      </c>
      <c r="V3049" s="18">
        <f t="shared" si="54"/>
        <v>47</v>
      </c>
    </row>
    <row r="3050" spans="19:22">
      <c r="S3050" s="16">
        <v>5086</v>
      </c>
      <c r="T3050" s="16" t="s">
        <v>3444</v>
      </c>
      <c r="U3050" s="17">
        <f>COUNTIFS(WTG_BD!L:L,'Basic Data'!T3050,WTG_BD!F:F,"&gt;="&amp;O2Summary!$B$6,WTG_BD!F:F,"&lt;="&amp;O2Summary!$B$4)</f>
        <v>0</v>
      </c>
      <c r="V3050" s="18">
        <f t="shared" si="54"/>
        <v>47</v>
      </c>
    </row>
    <row r="3051" spans="19:22">
      <c r="S3051" s="16">
        <v>5087</v>
      </c>
      <c r="T3051" s="16" t="s">
        <v>3445</v>
      </c>
      <c r="U3051" s="17">
        <f>COUNTIFS(WTG_BD!L:L,'Basic Data'!T3051,WTG_BD!F:F,"&gt;="&amp;O2Summary!$B$6,WTG_BD!F:F,"&lt;="&amp;O2Summary!$B$4)</f>
        <v>0</v>
      </c>
      <c r="V3051" s="18">
        <f t="shared" si="54"/>
        <v>47</v>
      </c>
    </row>
    <row r="3052" spans="19:22">
      <c r="S3052" s="16">
        <v>5088</v>
      </c>
      <c r="T3052" s="16" t="s">
        <v>3446</v>
      </c>
      <c r="U3052" s="17">
        <f>COUNTIFS(WTG_BD!L:L,'Basic Data'!T3052,WTG_BD!F:F,"&gt;="&amp;O2Summary!$B$6,WTG_BD!F:F,"&lt;="&amp;O2Summary!$B$4)</f>
        <v>0</v>
      </c>
      <c r="V3052" s="18">
        <f t="shared" si="54"/>
        <v>47</v>
      </c>
    </row>
    <row r="3053" spans="19:22">
      <c r="S3053" s="16">
        <v>5089</v>
      </c>
      <c r="T3053" s="16" t="s">
        <v>3351</v>
      </c>
      <c r="U3053" s="17">
        <f>COUNTIFS(WTG_BD!L:L,'Basic Data'!T3053,WTG_BD!F:F,"&gt;="&amp;O2Summary!$B$6,WTG_BD!F:F,"&lt;="&amp;O2Summary!$B$4)</f>
        <v>0</v>
      </c>
      <c r="V3053" s="18">
        <f t="shared" si="54"/>
        <v>47</v>
      </c>
    </row>
    <row r="3054" spans="19:22">
      <c r="S3054" s="16">
        <v>5090</v>
      </c>
      <c r="T3054" s="16" t="s">
        <v>3447</v>
      </c>
      <c r="U3054" s="17">
        <f>COUNTIFS(WTG_BD!L:L,'Basic Data'!T3054,WTG_BD!F:F,"&gt;="&amp;O2Summary!$B$6,WTG_BD!F:F,"&lt;="&amp;O2Summary!$B$4)</f>
        <v>0</v>
      </c>
      <c r="V3054" s="18">
        <f t="shared" si="54"/>
        <v>47</v>
      </c>
    </row>
    <row r="3055" spans="19:22">
      <c r="S3055" s="16">
        <v>5091</v>
      </c>
      <c r="T3055" s="16" t="s">
        <v>3448</v>
      </c>
      <c r="U3055" s="17">
        <f>COUNTIFS(WTG_BD!L:L,'Basic Data'!T3055,WTG_BD!F:F,"&gt;="&amp;O2Summary!$B$6,WTG_BD!F:F,"&lt;="&amp;O2Summary!$B$4)</f>
        <v>0</v>
      </c>
      <c r="V3055" s="18">
        <f t="shared" si="54"/>
        <v>47</v>
      </c>
    </row>
    <row r="3056" spans="19:22">
      <c r="S3056" s="16">
        <v>5092</v>
      </c>
      <c r="T3056" s="16" t="s">
        <v>3449</v>
      </c>
      <c r="U3056" s="17">
        <f>COUNTIFS(WTG_BD!L:L,'Basic Data'!T3056,WTG_BD!F:F,"&gt;="&amp;O2Summary!$B$6,WTG_BD!F:F,"&lt;="&amp;O2Summary!$B$4)</f>
        <v>0</v>
      </c>
      <c r="V3056" s="18">
        <f t="shared" si="54"/>
        <v>47</v>
      </c>
    </row>
    <row r="3057" spans="19:22">
      <c r="S3057" s="16">
        <v>5093</v>
      </c>
      <c r="T3057" s="16" t="s">
        <v>3450</v>
      </c>
      <c r="U3057" s="17">
        <f>COUNTIFS(WTG_BD!L:L,'Basic Data'!T3057,WTG_BD!F:F,"&gt;="&amp;O2Summary!$B$6,WTG_BD!F:F,"&lt;="&amp;O2Summary!$B$4)</f>
        <v>0</v>
      </c>
      <c r="V3057" s="18">
        <f t="shared" si="54"/>
        <v>47</v>
      </c>
    </row>
    <row r="3058" spans="19:22">
      <c r="S3058" s="16">
        <v>5094</v>
      </c>
      <c r="T3058" s="16" t="s">
        <v>3451</v>
      </c>
      <c r="U3058" s="17">
        <f>COUNTIFS(WTG_BD!L:L,'Basic Data'!T3058,WTG_BD!F:F,"&gt;="&amp;O2Summary!$B$6,WTG_BD!F:F,"&lt;="&amp;O2Summary!$B$4)</f>
        <v>0</v>
      </c>
      <c r="V3058" s="18">
        <f t="shared" si="54"/>
        <v>47</v>
      </c>
    </row>
    <row r="3059" spans="19:22">
      <c r="S3059" s="16">
        <v>5095</v>
      </c>
      <c r="T3059" s="16" t="s">
        <v>3452</v>
      </c>
      <c r="U3059" s="17">
        <f>COUNTIFS(WTG_BD!L:L,'Basic Data'!T3059,WTG_BD!F:F,"&gt;="&amp;O2Summary!$B$6,WTG_BD!F:F,"&lt;="&amp;O2Summary!$B$4)</f>
        <v>0</v>
      </c>
      <c r="V3059" s="18">
        <f t="shared" si="54"/>
        <v>47</v>
      </c>
    </row>
    <row r="3060" spans="19:22">
      <c r="S3060" s="16">
        <v>5096</v>
      </c>
      <c r="T3060" s="16" t="s">
        <v>3453</v>
      </c>
      <c r="U3060" s="17">
        <f>COUNTIFS(WTG_BD!L:L,'Basic Data'!T3060,WTG_BD!F:F,"&gt;="&amp;O2Summary!$B$6,WTG_BD!F:F,"&lt;="&amp;O2Summary!$B$4)</f>
        <v>0</v>
      </c>
      <c r="V3060" s="18">
        <f t="shared" si="54"/>
        <v>47</v>
      </c>
    </row>
    <row r="3061" spans="19:22">
      <c r="S3061" s="16">
        <v>5097</v>
      </c>
      <c r="T3061" s="16" t="s">
        <v>3454</v>
      </c>
      <c r="U3061" s="17">
        <f>COUNTIFS(WTG_BD!L:L,'Basic Data'!T3061,WTG_BD!F:F,"&gt;="&amp;O2Summary!$B$6,WTG_BD!F:F,"&lt;="&amp;O2Summary!$B$4)</f>
        <v>0</v>
      </c>
      <c r="V3061" s="18">
        <f t="shared" si="54"/>
        <v>47</v>
      </c>
    </row>
    <row r="3062" spans="19:22">
      <c r="S3062" s="16">
        <v>5098</v>
      </c>
      <c r="T3062" s="16" t="s">
        <v>3455</v>
      </c>
      <c r="U3062" s="17">
        <f>COUNTIFS(WTG_BD!L:L,'Basic Data'!T3062,WTG_BD!F:F,"&gt;="&amp;O2Summary!$B$6,WTG_BD!F:F,"&lt;="&amp;O2Summary!$B$4)</f>
        <v>0</v>
      </c>
      <c r="V3062" s="18">
        <f t="shared" si="54"/>
        <v>47</v>
      </c>
    </row>
    <row r="3063" spans="19:22">
      <c r="S3063" s="16">
        <v>5099</v>
      </c>
      <c r="T3063" s="16" t="s">
        <v>3456</v>
      </c>
      <c r="U3063" s="17">
        <f>COUNTIFS(WTG_BD!L:L,'Basic Data'!T3063,WTG_BD!F:F,"&gt;="&amp;O2Summary!$B$6,WTG_BD!F:F,"&lt;="&amp;O2Summary!$B$4)</f>
        <v>0</v>
      </c>
      <c r="V3063" s="18">
        <f t="shared" si="54"/>
        <v>47</v>
      </c>
    </row>
    <row r="3064" spans="19:22">
      <c r="S3064" s="16">
        <v>5100</v>
      </c>
      <c r="T3064" s="16" t="s">
        <v>3457</v>
      </c>
      <c r="U3064" s="17">
        <f>COUNTIFS(WTG_BD!L:L,'Basic Data'!T3064,WTG_BD!F:F,"&gt;="&amp;O2Summary!$B$6,WTG_BD!F:F,"&lt;="&amp;O2Summary!$B$4)</f>
        <v>0</v>
      </c>
      <c r="V3064" s="18">
        <f t="shared" si="54"/>
        <v>47</v>
      </c>
    </row>
    <row r="3065" spans="19:22">
      <c r="S3065" s="16">
        <v>5101</v>
      </c>
      <c r="T3065" s="16" t="s">
        <v>3458</v>
      </c>
      <c r="U3065" s="17">
        <f>COUNTIFS(WTG_BD!L:L,'Basic Data'!T3065,WTG_BD!F:F,"&gt;="&amp;O2Summary!$B$6,WTG_BD!F:F,"&lt;="&amp;O2Summary!$B$4)</f>
        <v>0</v>
      </c>
      <c r="V3065" s="18">
        <f t="shared" si="54"/>
        <v>47</v>
      </c>
    </row>
    <row r="3066" spans="19:22">
      <c r="S3066" s="16">
        <v>5102</v>
      </c>
      <c r="T3066" s="16" t="s">
        <v>3459</v>
      </c>
      <c r="U3066" s="17">
        <f>COUNTIFS(WTG_BD!L:L,'Basic Data'!T3066,WTG_BD!F:F,"&gt;="&amp;O2Summary!$B$6,WTG_BD!F:F,"&lt;="&amp;O2Summary!$B$4)</f>
        <v>0</v>
      </c>
      <c r="V3066" s="18">
        <f t="shared" si="54"/>
        <v>47</v>
      </c>
    </row>
    <row r="3067" spans="19:22">
      <c r="S3067" s="16">
        <v>5103</v>
      </c>
      <c r="T3067" s="16" t="s">
        <v>3460</v>
      </c>
      <c r="U3067" s="17">
        <f>COUNTIFS(WTG_BD!L:L,'Basic Data'!T3067,WTG_BD!F:F,"&gt;="&amp;O2Summary!$B$6,WTG_BD!F:F,"&lt;="&amp;O2Summary!$B$4)</f>
        <v>0</v>
      </c>
      <c r="V3067" s="18">
        <f t="shared" si="54"/>
        <v>47</v>
      </c>
    </row>
    <row r="3068" spans="19:22">
      <c r="S3068" s="16">
        <v>5104</v>
      </c>
      <c r="T3068" s="16" t="s">
        <v>3461</v>
      </c>
      <c r="U3068" s="17">
        <f>COUNTIFS(WTG_BD!L:L,'Basic Data'!T3068,WTG_BD!F:F,"&gt;="&amp;O2Summary!$B$6,WTG_BD!F:F,"&lt;="&amp;O2Summary!$B$4)</f>
        <v>0</v>
      </c>
      <c r="V3068" s="18">
        <f t="shared" si="54"/>
        <v>47</v>
      </c>
    </row>
    <row r="3069" spans="19:22">
      <c r="S3069" s="16">
        <v>5105</v>
      </c>
      <c r="T3069" s="16" t="s">
        <v>3462</v>
      </c>
      <c r="U3069" s="17">
        <f>COUNTIFS(WTG_BD!L:L,'Basic Data'!T3069,WTG_BD!F:F,"&gt;="&amp;O2Summary!$B$6,WTG_BD!F:F,"&lt;="&amp;O2Summary!$B$4)</f>
        <v>0</v>
      </c>
      <c r="V3069" s="18">
        <f t="shared" si="54"/>
        <v>47</v>
      </c>
    </row>
    <row r="3070" spans="19:22">
      <c r="S3070" s="16">
        <v>5106</v>
      </c>
      <c r="T3070" s="16" t="s">
        <v>3463</v>
      </c>
      <c r="U3070" s="17">
        <f>COUNTIFS(WTG_BD!L:L,'Basic Data'!T3070,WTG_BD!F:F,"&gt;="&amp;O2Summary!$B$6,WTG_BD!F:F,"&lt;="&amp;O2Summary!$B$4)</f>
        <v>0</v>
      </c>
      <c r="V3070" s="18">
        <f t="shared" si="54"/>
        <v>47</v>
      </c>
    </row>
    <row r="3071" spans="19:22">
      <c r="S3071" s="16">
        <v>5107</v>
      </c>
      <c r="T3071" s="16" t="s">
        <v>3464</v>
      </c>
      <c r="U3071" s="17">
        <f>COUNTIFS(WTG_BD!L:L,'Basic Data'!T3071,WTG_BD!F:F,"&gt;="&amp;O2Summary!$B$6,WTG_BD!F:F,"&lt;="&amp;O2Summary!$B$4)</f>
        <v>0</v>
      </c>
      <c r="V3071" s="18">
        <f t="shared" si="54"/>
        <v>47</v>
      </c>
    </row>
    <row r="3072" spans="19:22">
      <c r="S3072" s="16">
        <v>5108</v>
      </c>
      <c r="T3072" s="16" t="s">
        <v>3465</v>
      </c>
      <c r="U3072" s="17">
        <f>COUNTIFS(WTG_BD!L:L,'Basic Data'!T3072,WTG_BD!F:F,"&gt;="&amp;O2Summary!$B$6,WTG_BD!F:F,"&lt;="&amp;O2Summary!$B$4)</f>
        <v>0</v>
      </c>
      <c r="V3072" s="18">
        <f t="shared" si="54"/>
        <v>47</v>
      </c>
    </row>
    <row r="3073" spans="19:22">
      <c r="S3073" s="16">
        <v>5109</v>
      </c>
      <c r="T3073" s="16" t="s">
        <v>3466</v>
      </c>
      <c r="U3073" s="17">
        <f>COUNTIFS(WTG_BD!L:L,'Basic Data'!T3073,WTG_BD!F:F,"&gt;="&amp;O2Summary!$B$6,WTG_BD!F:F,"&lt;="&amp;O2Summary!$B$4)</f>
        <v>0</v>
      </c>
      <c r="V3073" s="18">
        <f t="shared" si="54"/>
        <v>47</v>
      </c>
    </row>
    <row r="3074" spans="19:22">
      <c r="S3074" s="16">
        <v>5110</v>
      </c>
      <c r="T3074" s="16" t="s">
        <v>3467</v>
      </c>
      <c r="U3074" s="17">
        <f>COUNTIFS(WTG_BD!L:L,'Basic Data'!T3074,WTG_BD!F:F,"&gt;="&amp;O2Summary!$B$6,WTG_BD!F:F,"&lt;="&amp;O2Summary!$B$4)</f>
        <v>0</v>
      </c>
      <c r="V3074" s="18">
        <f t="shared" si="54"/>
        <v>47</v>
      </c>
    </row>
    <row r="3075" spans="19:22">
      <c r="S3075" s="16">
        <v>5111</v>
      </c>
      <c r="T3075" s="16" t="s">
        <v>3468</v>
      </c>
      <c r="U3075" s="17">
        <f>COUNTIFS(WTG_BD!L:L,'Basic Data'!T3075,WTG_BD!F:F,"&gt;="&amp;O2Summary!$B$6,WTG_BD!F:F,"&lt;="&amp;O2Summary!$B$4)</f>
        <v>0</v>
      </c>
      <c r="V3075" s="18">
        <f t="shared" ref="V3075:V3138" si="55">RANK(U3075,$U$2:$U$3975)</f>
        <v>47</v>
      </c>
    </row>
    <row r="3076" spans="19:22">
      <c r="S3076" s="16">
        <v>5112</v>
      </c>
      <c r="T3076" s="16" t="s">
        <v>3469</v>
      </c>
      <c r="U3076" s="17">
        <f>COUNTIFS(WTG_BD!L:L,'Basic Data'!T3076,WTG_BD!F:F,"&gt;="&amp;O2Summary!$B$6,WTG_BD!F:F,"&lt;="&amp;O2Summary!$B$4)</f>
        <v>0</v>
      </c>
      <c r="V3076" s="18">
        <f t="shared" si="55"/>
        <v>47</v>
      </c>
    </row>
    <row r="3077" spans="19:22">
      <c r="S3077" s="16">
        <v>5113</v>
      </c>
      <c r="T3077" s="16" t="s">
        <v>3470</v>
      </c>
      <c r="U3077" s="17">
        <f>COUNTIFS(WTG_BD!L:L,'Basic Data'!T3077,WTG_BD!F:F,"&gt;="&amp;O2Summary!$B$6,WTG_BD!F:F,"&lt;="&amp;O2Summary!$B$4)</f>
        <v>0</v>
      </c>
      <c r="V3077" s="18">
        <f t="shared" si="55"/>
        <v>47</v>
      </c>
    </row>
    <row r="3078" spans="19:22">
      <c r="S3078" s="16">
        <v>5114</v>
      </c>
      <c r="T3078" s="16" t="s">
        <v>3471</v>
      </c>
      <c r="U3078" s="17">
        <f>COUNTIFS(WTG_BD!L:L,'Basic Data'!T3078,WTG_BD!F:F,"&gt;="&amp;O2Summary!$B$6,WTG_BD!F:F,"&lt;="&amp;O2Summary!$B$4)</f>
        <v>0</v>
      </c>
      <c r="V3078" s="18">
        <f t="shared" si="55"/>
        <v>47</v>
      </c>
    </row>
    <row r="3079" spans="19:22">
      <c r="S3079" s="16">
        <v>5115</v>
      </c>
      <c r="T3079" s="16" t="s">
        <v>3472</v>
      </c>
      <c r="U3079" s="17">
        <f>COUNTIFS(WTG_BD!L:L,'Basic Data'!T3079,WTG_BD!F:F,"&gt;="&amp;O2Summary!$B$6,WTG_BD!F:F,"&lt;="&amp;O2Summary!$B$4)</f>
        <v>0</v>
      </c>
      <c r="V3079" s="18">
        <f t="shared" si="55"/>
        <v>47</v>
      </c>
    </row>
    <row r="3080" spans="19:22">
      <c r="S3080" s="16">
        <v>5116</v>
      </c>
      <c r="T3080" s="16" t="s">
        <v>3473</v>
      </c>
      <c r="U3080" s="17">
        <f>COUNTIFS(WTG_BD!L:L,'Basic Data'!T3080,WTG_BD!F:F,"&gt;="&amp;O2Summary!$B$6,WTG_BD!F:F,"&lt;="&amp;O2Summary!$B$4)</f>
        <v>0</v>
      </c>
      <c r="V3080" s="18">
        <f t="shared" si="55"/>
        <v>47</v>
      </c>
    </row>
    <row r="3081" spans="19:22">
      <c r="S3081" s="16">
        <v>5117</v>
      </c>
      <c r="T3081" s="16" t="s">
        <v>3474</v>
      </c>
      <c r="U3081" s="17">
        <f>COUNTIFS(WTG_BD!L:L,'Basic Data'!T3081,WTG_BD!F:F,"&gt;="&amp;O2Summary!$B$6,WTG_BD!F:F,"&lt;="&amp;O2Summary!$B$4)</f>
        <v>0</v>
      </c>
      <c r="V3081" s="18">
        <f t="shared" si="55"/>
        <v>47</v>
      </c>
    </row>
    <row r="3082" spans="19:22">
      <c r="S3082" s="16">
        <v>5118</v>
      </c>
      <c r="T3082" s="16" t="s">
        <v>3475</v>
      </c>
      <c r="U3082" s="17">
        <f>COUNTIFS(WTG_BD!L:L,'Basic Data'!T3082,WTG_BD!F:F,"&gt;="&amp;O2Summary!$B$6,WTG_BD!F:F,"&lt;="&amp;O2Summary!$B$4)</f>
        <v>0</v>
      </c>
      <c r="V3082" s="18">
        <f t="shared" si="55"/>
        <v>47</v>
      </c>
    </row>
    <row r="3083" spans="19:22">
      <c r="S3083" s="16">
        <v>5119</v>
      </c>
      <c r="T3083" s="16" t="s">
        <v>3476</v>
      </c>
      <c r="U3083" s="17">
        <f>COUNTIFS(WTG_BD!L:L,'Basic Data'!T3083,WTG_BD!F:F,"&gt;="&amp;O2Summary!$B$6,WTG_BD!F:F,"&lt;="&amp;O2Summary!$B$4)</f>
        <v>0</v>
      </c>
      <c r="V3083" s="18">
        <f t="shared" si="55"/>
        <v>47</v>
      </c>
    </row>
    <row r="3084" spans="19:22">
      <c r="S3084" s="16">
        <v>5120</v>
      </c>
      <c r="T3084" s="16" t="s">
        <v>3477</v>
      </c>
      <c r="U3084" s="17">
        <f>COUNTIFS(WTG_BD!L:L,'Basic Data'!T3084,WTG_BD!F:F,"&gt;="&amp;O2Summary!$B$6,WTG_BD!F:F,"&lt;="&amp;O2Summary!$B$4)</f>
        <v>0</v>
      </c>
      <c r="V3084" s="18">
        <f t="shared" si="55"/>
        <v>47</v>
      </c>
    </row>
    <row r="3085" spans="19:22">
      <c r="S3085" s="16">
        <v>5121</v>
      </c>
      <c r="T3085" s="16" t="s">
        <v>3478</v>
      </c>
      <c r="U3085" s="17">
        <f>COUNTIFS(WTG_BD!L:L,'Basic Data'!T3085,WTG_BD!F:F,"&gt;="&amp;O2Summary!$B$6,WTG_BD!F:F,"&lt;="&amp;O2Summary!$B$4)</f>
        <v>0</v>
      </c>
      <c r="V3085" s="18">
        <f t="shared" si="55"/>
        <v>47</v>
      </c>
    </row>
    <row r="3086" spans="19:22">
      <c r="S3086" s="16">
        <v>5122</v>
      </c>
      <c r="T3086" s="16" t="s">
        <v>3479</v>
      </c>
      <c r="U3086" s="17">
        <f>COUNTIFS(WTG_BD!L:L,'Basic Data'!T3086,WTG_BD!F:F,"&gt;="&amp;O2Summary!$B$6,WTG_BD!F:F,"&lt;="&amp;O2Summary!$B$4)</f>
        <v>0</v>
      </c>
      <c r="V3086" s="18">
        <f t="shared" si="55"/>
        <v>47</v>
      </c>
    </row>
    <row r="3087" spans="19:22">
      <c r="S3087" s="16">
        <v>5123</v>
      </c>
      <c r="T3087" s="16" t="s">
        <v>3480</v>
      </c>
      <c r="U3087" s="17">
        <f>COUNTIFS(WTG_BD!L:L,'Basic Data'!T3087,WTG_BD!F:F,"&gt;="&amp;O2Summary!$B$6,WTG_BD!F:F,"&lt;="&amp;O2Summary!$B$4)</f>
        <v>0</v>
      </c>
      <c r="V3087" s="18">
        <f t="shared" si="55"/>
        <v>47</v>
      </c>
    </row>
    <row r="3088" spans="19:22">
      <c r="S3088" s="16">
        <v>5124</v>
      </c>
      <c r="T3088" s="16" t="s">
        <v>3481</v>
      </c>
      <c r="U3088" s="17">
        <f>COUNTIFS(WTG_BD!L:L,'Basic Data'!T3088,WTG_BD!F:F,"&gt;="&amp;O2Summary!$B$6,WTG_BD!F:F,"&lt;="&amp;O2Summary!$B$4)</f>
        <v>0</v>
      </c>
      <c r="V3088" s="18">
        <f t="shared" si="55"/>
        <v>47</v>
      </c>
    </row>
    <row r="3089" spans="19:22">
      <c r="S3089" s="16">
        <v>5125</v>
      </c>
      <c r="T3089" s="16" t="s">
        <v>3482</v>
      </c>
      <c r="U3089" s="17">
        <f>COUNTIFS(WTG_BD!L:L,'Basic Data'!T3089,WTG_BD!F:F,"&gt;="&amp;O2Summary!$B$6,WTG_BD!F:F,"&lt;="&amp;O2Summary!$B$4)</f>
        <v>0</v>
      </c>
      <c r="V3089" s="18">
        <f t="shared" si="55"/>
        <v>47</v>
      </c>
    </row>
    <row r="3090" spans="19:22">
      <c r="S3090" s="16">
        <v>5126</v>
      </c>
      <c r="T3090" s="16" t="s">
        <v>3483</v>
      </c>
      <c r="U3090" s="17">
        <f>COUNTIFS(WTG_BD!L:L,'Basic Data'!T3090,WTG_BD!F:F,"&gt;="&amp;O2Summary!$B$6,WTG_BD!F:F,"&lt;="&amp;O2Summary!$B$4)</f>
        <v>0</v>
      </c>
      <c r="V3090" s="18">
        <f t="shared" si="55"/>
        <v>47</v>
      </c>
    </row>
    <row r="3091" spans="19:22">
      <c r="S3091" s="16">
        <v>5127</v>
      </c>
      <c r="T3091" s="16" t="s">
        <v>3484</v>
      </c>
      <c r="U3091" s="17">
        <f>COUNTIFS(WTG_BD!L:L,'Basic Data'!T3091,WTG_BD!F:F,"&gt;="&amp;O2Summary!$B$6,WTG_BD!F:F,"&lt;="&amp;O2Summary!$B$4)</f>
        <v>0</v>
      </c>
      <c r="V3091" s="18">
        <f t="shared" si="55"/>
        <v>47</v>
      </c>
    </row>
    <row r="3092" spans="19:22">
      <c r="S3092" s="16">
        <v>5128</v>
      </c>
      <c r="T3092" s="16" t="s">
        <v>3485</v>
      </c>
      <c r="U3092" s="17">
        <f>COUNTIFS(WTG_BD!L:L,'Basic Data'!T3092,WTG_BD!F:F,"&gt;="&amp;O2Summary!$B$6,WTG_BD!F:F,"&lt;="&amp;O2Summary!$B$4)</f>
        <v>0</v>
      </c>
      <c r="V3092" s="18">
        <f t="shared" si="55"/>
        <v>47</v>
      </c>
    </row>
    <row r="3093" spans="19:22">
      <c r="S3093" s="16">
        <v>5129</v>
      </c>
      <c r="T3093" s="16" t="s">
        <v>3486</v>
      </c>
      <c r="U3093" s="17">
        <f>COUNTIFS(WTG_BD!L:L,'Basic Data'!T3093,WTG_BD!F:F,"&gt;="&amp;O2Summary!$B$6,WTG_BD!F:F,"&lt;="&amp;O2Summary!$B$4)</f>
        <v>0</v>
      </c>
      <c r="V3093" s="18">
        <f t="shared" si="55"/>
        <v>47</v>
      </c>
    </row>
    <row r="3094" spans="19:22">
      <c r="S3094" s="16">
        <v>5130</v>
      </c>
      <c r="T3094" s="16" t="s">
        <v>3487</v>
      </c>
      <c r="U3094" s="17">
        <f>COUNTIFS(WTG_BD!L:L,'Basic Data'!T3094,WTG_BD!F:F,"&gt;="&amp;O2Summary!$B$6,WTG_BD!F:F,"&lt;="&amp;O2Summary!$B$4)</f>
        <v>0</v>
      </c>
      <c r="V3094" s="18">
        <f t="shared" si="55"/>
        <v>47</v>
      </c>
    </row>
    <row r="3095" spans="19:22">
      <c r="S3095" s="16">
        <v>5131</v>
      </c>
      <c r="T3095" s="16" t="s">
        <v>3488</v>
      </c>
      <c r="U3095" s="17">
        <f>COUNTIFS(WTG_BD!L:L,'Basic Data'!T3095,WTG_BD!F:F,"&gt;="&amp;O2Summary!$B$6,WTG_BD!F:F,"&lt;="&amp;O2Summary!$B$4)</f>
        <v>0</v>
      </c>
      <c r="V3095" s="18">
        <f t="shared" si="55"/>
        <v>47</v>
      </c>
    </row>
    <row r="3096" spans="19:22">
      <c r="S3096" s="16">
        <v>5132</v>
      </c>
      <c r="T3096" s="16" t="s">
        <v>3489</v>
      </c>
      <c r="U3096" s="17">
        <f>COUNTIFS(WTG_BD!L:L,'Basic Data'!T3096,WTG_BD!F:F,"&gt;="&amp;O2Summary!$B$6,WTG_BD!F:F,"&lt;="&amp;O2Summary!$B$4)</f>
        <v>0</v>
      </c>
      <c r="V3096" s="18">
        <f t="shared" si="55"/>
        <v>47</v>
      </c>
    </row>
    <row r="3097" spans="19:22">
      <c r="S3097" s="16">
        <v>5133</v>
      </c>
      <c r="T3097" s="16" t="s">
        <v>3490</v>
      </c>
      <c r="U3097" s="17">
        <f>COUNTIFS(WTG_BD!L:L,'Basic Data'!T3097,WTG_BD!F:F,"&gt;="&amp;O2Summary!$B$6,WTG_BD!F:F,"&lt;="&amp;O2Summary!$B$4)</f>
        <v>0</v>
      </c>
      <c r="V3097" s="18">
        <f t="shared" si="55"/>
        <v>47</v>
      </c>
    </row>
    <row r="3098" spans="19:22">
      <c r="S3098" s="16">
        <v>5134</v>
      </c>
      <c r="T3098" s="16" t="s">
        <v>3491</v>
      </c>
      <c r="U3098" s="17">
        <f>COUNTIFS(WTG_BD!L:L,'Basic Data'!T3098,WTG_BD!F:F,"&gt;="&amp;O2Summary!$B$6,WTG_BD!F:F,"&lt;="&amp;O2Summary!$B$4)</f>
        <v>0</v>
      </c>
      <c r="V3098" s="18">
        <f t="shared" si="55"/>
        <v>47</v>
      </c>
    </row>
    <row r="3099" spans="19:22">
      <c r="S3099" s="16">
        <v>5135</v>
      </c>
      <c r="T3099" s="16" t="s">
        <v>3492</v>
      </c>
      <c r="U3099" s="17">
        <f>COUNTIFS(WTG_BD!L:L,'Basic Data'!T3099,WTG_BD!F:F,"&gt;="&amp;O2Summary!$B$6,WTG_BD!F:F,"&lt;="&amp;O2Summary!$B$4)</f>
        <v>0</v>
      </c>
      <c r="V3099" s="18">
        <f t="shared" si="55"/>
        <v>47</v>
      </c>
    </row>
    <row r="3100" spans="19:22">
      <c r="S3100" s="16">
        <v>5136</v>
      </c>
      <c r="T3100" s="16" t="s">
        <v>3493</v>
      </c>
      <c r="U3100" s="17">
        <f>COUNTIFS(WTG_BD!L:L,'Basic Data'!T3100,WTG_BD!F:F,"&gt;="&amp;O2Summary!$B$6,WTG_BD!F:F,"&lt;="&amp;O2Summary!$B$4)</f>
        <v>0</v>
      </c>
      <c r="V3100" s="18">
        <f t="shared" si="55"/>
        <v>47</v>
      </c>
    </row>
    <row r="3101" spans="19:22">
      <c r="S3101" s="16">
        <v>5137</v>
      </c>
      <c r="T3101" s="16" t="s">
        <v>3494</v>
      </c>
      <c r="U3101" s="17">
        <f>COUNTIFS(WTG_BD!L:L,'Basic Data'!T3101,WTG_BD!F:F,"&gt;="&amp;O2Summary!$B$6,WTG_BD!F:F,"&lt;="&amp;O2Summary!$B$4)</f>
        <v>0</v>
      </c>
      <c r="V3101" s="18">
        <f t="shared" si="55"/>
        <v>47</v>
      </c>
    </row>
    <row r="3102" spans="19:22">
      <c r="S3102" s="16">
        <v>5138</v>
      </c>
      <c r="T3102" s="16" t="s">
        <v>3495</v>
      </c>
      <c r="U3102" s="17">
        <f>COUNTIFS(WTG_BD!L:L,'Basic Data'!T3102,WTG_BD!F:F,"&gt;="&amp;O2Summary!$B$6,WTG_BD!F:F,"&lt;="&amp;O2Summary!$B$4)</f>
        <v>0</v>
      </c>
      <c r="V3102" s="18">
        <f t="shared" si="55"/>
        <v>47</v>
      </c>
    </row>
    <row r="3103" spans="19:22">
      <c r="S3103" s="16">
        <v>5139</v>
      </c>
      <c r="T3103" s="16" t="s">
        <v>3496</v>
      </c>
      <c r="U3103" s="17">
        <f>COUNTIFS(WTG_BD!L:L,'Basic Data'!T3103,WTG_BD!F:F,"&gt;="&amp;O2Summary!$B$6,WTG_BD!F:F,"&lt;="&amp;O2Summary!$B$4)</f>
        <v>0</v>
      </c>
      <c r="V3103" s="18">
        <f t="shared" si="55"/>
        <v>47</v>
      </c>
    </row>
    <row r="3104" spans="19:22">
      <c r="S3104" s="16">
        <v>5140</v>
      </c>
      <c r="T3104" s="16" t="s">
        <v>3497</v>
      </c>
      <c r="U3104" s="17">
        <f>COUNTIFS(WTG_BD!L:L,'Basic Data'!T3104,WTG_BD!F:F,"&gt;="&amp;O2Summary!$B$6,WTG_BD!F:F,"&lt;="&amp;O2Summary!$B$4)</f>
        <v>0</v>
      </c>
      <c r="V3104" s="18">
        <f t="shared" si="55"/>
        <v>47</v>
      </c>
    </row>
    <row r="3105" spans="19:22">
      <c r="S3105" s="16">
        <v>5141</v>
      </c>
      <c r="T3105" s="16" t="s">
        <v>3498</v>
      </c>
      <c r="U3105" s="17">
        <f>COUNTIFS(WTG_BD!L:L,'Basic Data'!T3105,WTG_BD!F:F,"&gt;="&amp;O2Summary!$B$6,WTG_BD!F:F,"&lt;="&amp;O2Summary!$B$4)</f>
        <v>0</v>
      </c>
      <c r="V3105" s="18">
        <f t="shared" si="55"/>
        <v>47</v>
      </c>
    </row>
    <row r="3106" spans="19:22">
      <c r="S3106" s="16">
        <v>5142</v>
      </c>
      <c r="T3106" s="16" t="s">
        <v>3446</v>
      </c>
      <c r="U3106" s="17">
        <f>COUNTIFS(WTG_BD!L:L,'Basic Data'!T3106,WTG_BD!F:F,"&gt;="&amp;O2Summary!$B$6,WTG_BD!F:F,"&lt;="&amp;O2Summary!$B$4)</f>
        <v>0</v>
      </c>
      <c r="V3106" s="18">
        <f t="shared" si="55"/>
        <v>47</v>
      </c>
    </row>
    <row r="3107" spans="19:22">
      <c r="S3107" s="16">
        <v>5143</v>
      </c>
      <c r="T3107" s="16" t="s">
        <v>3351</v>
      </c>
      <c r="U3107" s="17">
        <f>COUNTIFS(WTG_BD!L:L,'Basic Data'!T3107,WTG_BD!F:F,"&gt;="&amp;O2Summary!$B$6,WTG_BD!F:F,"&lt;="&amp;O2Summary!$B$4)</f>
        <v>0</v>
      </c>
      <c r="V3107" s="18">
        <f t="shared" si="55"/>
        <v>47</v>
      </c>
    </row>
    <row r="3108" spans="19:22">
      <c r="S3108" s="16">
        <v>5144</v>
      </c>
      <c r="T3108" s="16" t="s">
        <v>3447</v>
      </c>
      <c r="U3108" s="17">
        <f>COUNTIFS(WTG_BD!L:L,'Basic Data'!T3108,WTG_BD!F:F,"&gt;="&amp;O2Summary!$B$6,WTG_BD!F:F,"&lt;="&amp;O2Summary!$B$4)</f>
        <v>0</v>
      </c>
      <c r="V3108" s="18">
        <f t="shared" si="55"/>
        <v>47</v>
      </c>
    </row>
    <row r="3109" spans="19:22">
      <c r="S3109" s="16">
        <v>5145</v>
      </c>
      <c r="T3109" s="16" t="s">
        <v>3499</v>
      </c>
      <c r="U3109" s="17">
        <f>COUNTIFS(WTG_BD!L:L,'Basic Data'!T3109,WTG_BD!F:F,"&gt;="&amp;O2Summary!$B$6,WTG_BD!F:F,"&lt;="&amp;O2Summary!$B$4)</f>
        <v>0</v>
      </c>
      <c r="V3109" s="18">
        <f t="shared" si="55"/>
        <v>47</v>
      </c>
    </row>
    <row r="3110" spans="19:22">
      <c r="S3110" s="16">
        <v>5146</v>
      </c>
      <c r="T3110" s="16" t="s">
        <v>3500</v>
      </c>
      <c r="U3110" s="17">
        <f>COUNTIFS(WTG_BD!L:L,'Basic Data'!T3110,WTG_BD!F:F,"&gt;="&amp;O2Summary!$B$6,WTG_BD!F:F,"&lt;="&amp;O2Summary!$B$4)</f>
        <v>0</v>
      </c>
      <c r="V3110" s="18">
        <f t="shared" si="55"/>
        <v>47</v>
      </c>
    </row>
    <row r="3111" spans="19:22">
      <c r="S3111" s="16">
        <v>5147</v>
      </c>
      <c r="T3111" s="16" t="s">
        <v>3501</v>
      </c>
      <c r="U3111" s="17">
        <f>COUNTIFS(WTG_BD!L:L,'Basic Data'!T3111,WTG_BD!F:F,"&gt;="&amp;O2Summary!$B$6,WTG_BD!F:F,"&lt;="&amp;O2Summary!$B$4)</f>
        <v>0</v>
      </c>
      <c r="V3111" s="18">
        <f t="shared" si="55"/>
        <v>47</v>
      </c>
    </row>
    <row r="3112" spans="19:22">
      <c r="S3112" s="16">
        <v>5148</v>
      </c>
      <c r="T3112" s="16" t="s">
        <v>3502</v>
      </c>
      <c r="U3112" s="17">
        <f>COUNTIFS(WTG_BD!L:L,'Basic Data'!T3112,WTG_BD!F:F,"&gt;="&amp;O2Summary!$B$6,WTG_BD!F:F,"&lt;="&amp;O2Summary!$B$4)</f>
        <v>0</v>
      </c>
      <c r="V3112" s="18">
        <f t="shared" si="55"/>
        <v>47</v>
      </c>
    </row>
    <row r="3113" spans="19:22">
      <c r="S3113" s="16">
        <v>5149</v>
      </c>
      <c r="T3113" s="16" t="s">
        <v>2128</v>
      </c>
      <c r="U3113" s="17">
        <f>COUNTIFS(WTG_BD!L:L,'Basic Data'!T3113,WTG_BD!F:F,"&gt;="&amp;O2Summary!$B$6,WTG_BD!F:F,"&lt;="&amp;O2Summary!$B$4)</f>
        <v>0</v>
      </c>
      <c r="V3113" s="18">
        <f t="shared" si="55"/>
        <v>47</v>
      </c>
    </row>
    <row r="3114" spans="19:22">
      <c r="S3114" s="16">
        <v>5150</v>
      </c>
      <c r="T3114" s="16" t="s">
        <v>2129</v>
      </c>
      <c r="U3114" s="17">
        <f>COUNTIFS(WTG_BD!L:L,'Basic Data'!T3114,WTG_BD!F:F,"&gt;="&amp;O2Summary!$B$6,WTG_BD!F:F,"&lt;="&amp;O2Summary!$B$4)</f>
        <v>0</v>
      </c>
      <c r="V3114" s="18">
        <f t="shared" si="55"/>
        <v>47</v>
      </c>
    </row>
    <row r="3115" spans="19:22">
      <c r="S3115" s="16">
        <v>5151</v>
      </c>
      <c r="T3115" s="16" t="s">
        <v>2130</v>
      </c>
      <c r="U3115" s="17">
        <f>COUNTIFS(WTG_BD!L:L,'Basic Data'!T3115,WTG_BD!F:F,"&gt;="&amp;O2Summary!$B$6,WTG_BD!F:F,"&lt;="&amp;O2Summary!$B$4)</f>
        <v>0</v>
      </c>
      <c r="V3115" s="18">
        <f t="shared" si="55"/>
        <v>47</v>
      </c>
    </row>
    <row r="3116" spans="19:22">
      <c r="S3116" s="16">
        <v>5153</v>
      </c>
      <c r="T3116" s="16" t="s">
        <v>3503</v>
      </c>
      <c r="U3116" s="17">
        <f>COUNTIFS(WTG_BD!L:L,'Basic Data'!T3116,WTG_BD!F:F,"&gt;="&amp;O2Summary!$B$6,WTG_BD!F:F,"&lt;="&amp;O2Summary!$B$4)</f>
        <v>0</v>
      </c>
      <c r="V3116" s="18">
        <f t="shared" si="55"/>
        <v>47</v>
      </c>
    </row>
    <row r="3117" spans="19:22">
      <c r="S3117" s="16">
        <v>5154</v>
      </c>
      <c r="T3117" s="16" t="s">
        <v>3504</v>
      </c>
      <c r="U3117" s="17">
        <f>COUNTIFS(WTG_BD!L:L,'Basic Data'!T3117,WTG_BD!F:F,"&gt;="&amp;O2Summary!$B$6,WTG_BD!F:F,"&lt;="&amp;O2Summary!$B$4)</f>
        <v>0</v>
      </c>
      <c r="V3117" s="18">
        <f t="shared" si="55"/>
        <v>47</v>
      </c>
    </row>
    <row r="3118" spans="19:22">
      <c r="S3118" s="16">
        <v>5155</v>
      </c>
      <c r="T3118" s="16" t="s">
        <v>3505</v>
      </c>
      <c r="U3118" s="17">
        <f>COUNTIFS(WTG_BD!L:L,'Basic Data'!T3118,WTG_BD!F:F,"&gt;="&amp;O2Summary!$B$6,WTG_BD!F:F,"&lt;="&amp;O2Summary!$B$4)</f>
        <v>0</v>
      </c>
      <c r="V3118" s="18">
        <f t="shared" si="55"/>
        <v>47</v>
      </c>
    </row>
    <row r="3119" spans="19:22">
      <c r="S3119" s="16">
        <v>5156</v>
      </c>
      <c r="T3119" s="16" t="s">
        <v>3506</v>
      </c>
      <c r="U3119" s="17">
        <f>COUNTIFS(WTG_BD!L:L,'Basic Data'!T3119,WTG_BD!F:F,"&gt;="&amp;O2Summary!$B$6,WTG_BD!F:F,"&lt;="&amp;O2Summary!$B$4)</f>
        <v>0</v>
      </c>
      <c r="V3119" s="18">
        <f t="shared" si="55"/>
        <v>47</v>
      </c>
    </row>
    <row r="3120" spans="19:22">
      <c r="S3120" s="16">
        <v>5157</v>
      </c>
      <c r="T3120" s="16" t="s">
        <v>3507</v>
      </c>
      <c r="U3120" s="17">
        <f>COUNTIFS(WTG_BD!L:L,'Basic Data'!T3120,WTG_BD!F:F,"&gt;="&amp;O2Summary!$B$6,WTG_BD!F:F,"&lt;="&amp;O2Summary!$B$4)</f>
        <v>0</v>
      </c>
      <c r="V3120" s="18">
        <f t="shared" si="55"/>
        <v>47</v>
      </c>
    </row>
    <row r="3121" spans="19:22">
      <c r="S3121" s="16">
        <v>5158</v>
      </c>
      <c r="T3121" s="16" t="s">
        <v>3508</v>
      </c>
      <c r="U3121" s="17">
        <f>COUNTIFS(WTG_BD!L:L,'Basic Data'!T3121,WTG_BD!F:F,"&gt;="&amp;O2Summary!$B$6,WTG_BD!F:F,"&lt;="&amp;O2Summary!$B$4)</f>
        <v>0</v>
      </c>
      <c r="V3121" s="18">
        <f t="shared" si="55"/>
        <v>47</v>
      </c>
    </row>
    <row r="3122" spans="19:22">
      <c r="S3122" s="16">
        <v>5159</v>
      </c>
      <c r="T3122" s="16" t="s">
        <v>3509</v>
      </c>
      <c r="U3122" s="17">
        <f>COUNTIFS(WTG_BD!L:L,'Basic Data'!T3122,WTG_BD!F:F,"&gt;="&amp;O2Summary!$B$6,WTG_BD!F:F,"&lt;="&amp;O2Summary!$B$4)</f>
        <v>0</v>
      </c>
      <c r="V3122" s="18">
        <f t="shared" si="55"/>
        <v>47</v>
      </c>
    </row>
    <row r="3123" spans="19:22">
      <c r="S3123" s="16">
        <v>5160</v>
      </c>
      <c r="T3123" s="16" t="s">
        <v>3510</v>
      </c>
      <c r="U3123" s="17">
        <f>COUNTIFS(WTG_BD!L:L,'Basic Data'!T3123,WTG_BD!F:F,"&gt;="&amp;O2Summary!$B$6,WTG_BD!F:F,"&lt;="&amp;O2Summary!$B$4)</f>
        <v>0</v>
      </c>
      <c r="V3123" s="18">
        <f t="shared" si="55"/>
        <v>47</v>
      </c>
    </row>
    <row r="3124" spans="19:22">
      <c r="S3124" s="16">
        <v>5161</v>
      </c>
      <c r="T3124" s="16" t="s">
        <v>3511</v>
      </c>
      <c r="U3124" s="17">
        <f>COUNTIFS(WTG_BD!L:L,'Basic Data'!T3124,WTG_BD!F:F,"&gt;="&amp;O2Summary!$B$6,WTG_BD!F:F,"&lt;="&amp;O2Summary!$B$4)</f>
        <v>0</v>
      </c>
      <c r="V3124" s="18">
        <f t="shared" si="55"/>
        <v>47</v>
      </c>
    </row>
    <row r="3125" spans="19:22">
      <c r="S3125" s="16">
        <v>5162</v>
      </c>
      <c r="T3125" s="16" t="s">
        <v>3512</v>
      </c>
      <c r="U3125" s="17">
        <f>COUNTIFS(WTG_BD!L:L,'Basic Data'!T3125,WTG_BD!F:F,"&gt;="&amp;O2Summary!$B$6,WTG_BD!F:F,"&lt;="&amp;O2Summary!$B$4)</f>
        <v>0</v>
      </c>
      <c r="V3125" s="18">
        <f t="shared" si="55"/>
        <v>47</v>
      </c>
    </row>
    <row r="3126" spans="19:22">
      <c r="S3126" s="16">
        <v>5163</v>
      </c>
      <c r="T3126" s="16" t="s">
        <v>3513</v>
      </c>
      <c r="U3126" s="17">
        <f>COUNTIFS(WTG_BD!L:L,'Basic Data'!T3126,WTG_BD!F:F,"&gt;="&amp;O2Summary!$B$6,WTG_BD!F:F,"&lt;="&amp;O2Summary!$B$4)</f>
        <v>0</v>
      </c>
      <c r="V3126" s="18">
        <f t="shared" si="55"/>
        <v>47</v>
      </c>
    </row>
    <row r="3127" spans="19:22">
      <c r="S3127" s="16">
        <v>5164</v>
      </c>
      <c r="T3127" s="16" t="s">
        <v>3514</v>
      </c>
      <c r="U3127" s="17">
        <f>COUNTIFS(WTG_BD!L:L,'Basic Data'!T3127,WTG_BD!F:F,"&gt;="&amp;O2Summary!$B$6,WTG_BD!F:F,"&lt;="&amp;O2Summary!$B$4)</f>
        <v>0</v>
      </c>
      <c r="V3127" s="18">
        <f t="shared" si="55"/>
        <v>47</v>
      </c>
    </row>
    <row r="3128" spans="19:22">
      <c r="S3128" s="16">
        <v>5165</v>
      </c>
      <c r="T3128" s="16" t="s">
        <v>3515</v>
      </c>
      <c r="U3128" s="17">
        <f>COUNTIFS(WTG_BD!L:L,'Basic Data'!T3128,WTG_BD!F:F,"&gt;="&amp;O2Summary!$B$6,WTG_BD!F:F,"&lt;="&amp;O2Summary!$B$4)</f>
        <v>0</v>
      </c>
      <c r="V3128" s="18">
        <f t="shared" si="55"/>
        <v>47</v>
      </c>
    </row>
    <row r="3129" spans="19:22">
      <c r="S3129" s="16">
        <v>5166</v>
      </c>
      <c r="T3129" s="16" t="s">
        <v>722</v>
      </c>
      <c r="U3129" s="17">
        <f>COUNTIFS(WTG_BD!L:L,'Basic Data'!T3129,WTG_BD!F:F,"&gt;="&amp;O2Summary!$B$6,WTG_BD!F:F,"&lt;="&amp;O2Summary!$B$4)</f>
        <v>0</v>
      </c>
      <c r="V3129" s="18">
        <f t="shared" si="55"/>
        <v>47</v>
      </c>
    </row>
    <row r="3130" spans="19:22">
      <c r="S3130" s="16">
        <v>5167</v>
      </c>
      <c r="T3130" s="16" t="s">
        <v>3516</v>
      </c>
      <c r="U3130" s="17">
        <f>COUNTIFS(WTG_BD!L:L,'Basic Data'!T3130,WTG_BD!F:F,"&gt;="&amp;O2Summary!$B$6,WTG_BD!F:F,"&lt;="&amp;O2Summary!$B$4)</f>
        <v>0</v>
      </c>
      <c r="V3130" s="18">
        <f t="shared" si="55"/>
        <v>47</v>
      </c>
    </row>
    <row r="3131" spans="19:22">
      <c r="S3131" s="16">
        <v>5168</v>
      </c>
      <c r="T3131" s="16" t="s">
        <v>3517</v>
      </c>
      <c r="U3131" s="17">
        <f>COUNTIFS(WTG_BD!L:L,'Basic Data'!T3131,WTG_BD!F:F,"&gt;="&amp;O2Summary!$B$6,WTG_BD!F:F,"&lt;="&amp;O2Summary!$B$4)</f>
        <v>0</v>
      </c>
      <c r="V3131" s="18">
        <f t="shared" si="55"/>
        <v>47</v>
      </c>
    </row>
    <row r="3132" spans="19:22">
      <c r="S3132" s="16">
        <v>5169</v>
      </c>
      <c r="T3132" s="16" t="s">
        <v>3518</v>
      </c>
      <c r="U3132" s="17">
        <f>COUNTIFS(WTG_BD!L:L,'Basic Data'!T3132,WTG_BD!F:F,"&gt;="&amp;O2Summary!$B$6,WTG_BD!F:F,"&lt;="&amp;O2Summary!$B$4)</f>
        <v>0</v>
      </c>
      <c r="V3132" s="18">
        <f t="shared" si="55"/>
        <v>47</v>
      </c>
    </row>
    <row r="3133" spans="19:22">
      <c r="S3133" s="16">
        <v>5170</v>
      </c>
      <c r="T3133" s="16" t="s">
        <v>3519</v>
      </c>
      <c r="U3133" s="17">
        <f>COUNTIFS(WTG_BD!L:L,'Basic Data'!T3133,WTG_BD!F:F,"&gt;="&amp;O2Summary!$B$6,WTG_BD!F:F,"&lt;="&amp;O2Summary!$B$4)</f>
        <v>0</v>
      </c>
      <c r="V3133" s="18">
        <f t="shared" si="55"/>
        <v>47</v>
      </c>
    </row>
    <row r="3134" spans="19:22">
      <c r="S3134" s="16">
        <v>5171</v>
      </c>
      <c r="T3134" s="16" t="s">
        <v>3520</v>
      </c>
      <c r="U3134" s="17">
        <f>COUNTIFS(WTG_BD!L:L,'Basic Data'!T3134,WTG_BD!F:F,"&gt;="&amp;O2Summary!$B$6,WTG_BD!F:F,"&lt;="&amp;O2Summary!$B$4)</f>
        <v>0</v>
      </c>
      <c r="V3134" s="18">
        <f t="shared" si="55"/>
        <v>47</v>
      </c>
    </row>
    <row r="3135" spans="19:22">
      <c r="S3135" s="16">
        <v>5172</v>
      </c>
      <c r="T3135" s="16" t="s">
        <v>3521</v>
      </c>
      <c r="U3135" s="17">
        <f>COUNTIFS(WTG_BD!L:L,'Basic Data'!T3135,WTG_BD!F:F,"&gt;="&amp;O2Summary!$B$6,WTG_BD!F:F,"&lt;="&amp;O2Summary!$B$4)</f>
        <v>0</v>
      </c>
      <c r="V3135" s="18">
        <f t="shared" si="55"/>
        <v>47</v>
      </c>
    </row>
    <row r="3136" spans="19:22">
      <c r="S3136" s="16">
        <v>5173</v>
      </c>
      <c r="T3136" s="16" t="s">
        <v>3522</v>
      </c>
      <c r="U3136" s="17">
        <f>COUNTIFS(WTG_BD!L:L,'Basic Data'!T3136,WTG_BD!F:F,"&gt;="&amp;O2Summary!$B$6,WTG_BD!F:F,"&lt;="&amp;O2Summary!$B$4)</f>
        <v>0</v>
      </c>
      <c r="V3136" s="18">
        <f t="shared" si="55"/>
        <v>47</v>
      </c>
    </row>
    <row r="3137" spans="19:22">
      <c r="S3137" s="16">
        <v>5174</v>
      </c>
      <c r="T3137" s="16" t="s">
        <v>3523</v>
      </c>
      <c r="U3137" s="17">
        <f>COUNTIFS(WTG_BD!L:L,'Basic Data'!T3137,WTG_BD!F:F,"&gt;="&amp;O2Summary!$B$6,WTG_BD!F:F,"&lt;="&amp;O2Summary!$B$4)</f>
        <v>0</v>
      </c>
      <c r="V3137" s="18">
        <f t="shared" si="55"/>
        <v>47</v>
      </c>
    </row>
    <row r="3138" spans="19:22">
      <c r="S3138" s="16">
        <v>5175</v>
      </c>
      <c r="T3138" s="16" t="s">
        <v>3524</v>
      </c>
      <c r="U3138" s="17">
        <f>COUNTIFS(WTG_BD!L:L,'Basic Data'!T3138,WTG_BD!F:F,"&gt;="&amp;O2Summary!$B$6,WTG_BD!F:F,"&lt;="&amp;O2Summary!$B$4)</f>
        <v>0</v>
      </c>
      <c r="V3138" s="18">
        <f t="shared" si="55"/>
        <v>47</v>
      </c>
    </row>
    <row r="3139" spans="19:22">
      <c r="S3139" s="16">
        <v>5176</v>
      </c>
      <c r="T3139" s="16" t="s">
        <v>3525</v>
      </c>
      <c r="U3139" s="17">
        <f>COUNTIFS(WTG_BD!L:L,'Basic Data'!T3139,WTG_BD!F:F,"&gt;="&amp;O2Summary!$B$6,WTG_BD!F:F,"&lt;="&amp;O2Summary!$B$4)</f>
        <v>0</v>
      </c>
      <c r="V3139" s="18">
        <f t="shared" ref="V3139:V3202" si="56">RANK(U3139,$U$2:$U$3975)</f>
        <v>47</v>
      </c>
    </row>
    <row r="3140" spans="19:22">
      <c r="S3140" s="16">
        <v>5177</v>
      </c>
      <c r="T3140" s="16" t="s">
        <v>3526</v>
      </c>
      <c r="U3140" s="17">
        <f>COUNTIFS(WTG_BD!L:L,'Basic Data'!T3140,WTG_BD!F:F,"&gt;="&amp;O2Summary!$B$6,WTG_BD!F:F,"&lt;="&amp;O2Summary!$B$4)</f>
        <v>0</v>
      </c>
      <c r="V3140" s="18">
        <f t="shared" si="56"/>
        <v>47</v>
      </c>
    </row>
    <row r="3141" spans="19:22">
      <c r="S3141" s="16">
        <v>5178</v>
      </c>
      <c r="T3141" s="16" t="s">
        <v>3527</v>
      </c>
      <c r="U3141" s="17">
        <f>COUNTIFS(WTG_BD!L:L,'Basic Data'!T3141,WTG_BD!F:F,"&gt;="&amp;O2Summary!$B$6,WTG_BD!F:F,"&lt;="&amp;O2Summary!$B$4)</f>
        <v>0</v>
      </c>
      <c r="V3141" s="18">
        <f t="shared" si="56"/>
        <v>47</v>
      </c>
    </row>
    <row r="3142" spans="19:22">
      <c r="S3142" s="16">
        <v>5179</v>
      </c>
      <c r="T3142" s="16" t="s">
        <v>3528</v>
      </c>
      <c r="U3142" s="17">
        <f>COUNTIFS(WTG_BD!L:L,'Basic Data'!T3142,WTG_BD!F:F,"&gt;="&amp;O2Summary!$B$6,WTG_BD!F:F,"&lt;="&amp;O2Summary!$B$4)</f>
        <v>0</v>
      </c>
      <c r="V3142" s="18">
        <f t="shared" si="56"/>
        <v>47</v>
      </c>
    </row>
    <row r="3143" spans="19:22">
      <c r="S3143" s="16">
        <v>5180</v>
      </c>
      <c r="T3143" s="16" t="s">
        <v>3529</v>
      </c>
      <c r="U3143" s="17">
        <f>COUNTIFS(WTG_BD!L:L,'Basic Data'!T3143,WTG_BD!F:F,"&gt;="&amp;O2Summary!$B$6,WTG_BD!F:F,"&lt;="&amp;O2Summary!$B$4)</f>
        <v>0</v>
      </c>
      <c r="V3143" s="18">
        <f t="shared" si="56"/>
        <v>47</v>
      </c>
    </row>
    <row r="3144" spans="19:22">
      <c r="S3144" s="16">
        <v>5181</v>
      </c>
      <c r="T3144" s="16" t="s">
        <v>3530</v>
      </c>
      <c r="U3144" s="17">
        <f>COUNTIFS(WTG_BD!L:L,'Basic Data'!T3144,WTG_BD!F:F,"&gt;="&amp;O2Summary!$B$6,WTG_BD!F:F,"&lt;="&amp;O2Summary!$B$4)</f>
        <v>0</v>
      </c>
      <c r="V3144" s="18">
        <f t="shared" si="56"/>
        <v>47</v>
      </c>
    </row>
    <row r="3145" spans="19:22">
      <c r="S3145" s="16">
        <v>5182</v>
      </c>
      <c r="T3145" s="16" t="s">
        <v>3531</v>
      </c>
      <c r="U3145" s="17">
        <f>COUNTIFS(WTG_BD!L:L,'Basic Data'!T3145,WTG_BD!F:F,"&gt;="&amp;O2Summary!$B$6,WTG_BD!F:F,"&lt;="&amp;O2Summary!$B$4)</f>
        <v>0</v>
      </c>
      <c r="V3145" s="18">
        <f t="shared" si="56"/>
        <v>47</v>
      </c>
    </row>
    <row r="3146" spans="19:22">
      <c r="S3146" s="16">
        <v>5183</v>
      </c>
      <c r="T3146" s="16" t="s">
        <v>3532</v>
      </c>
      <c r="U3146" s="17">
        <f>COUNTIFS(WTG_BD!L:L,'Basic Data'!T3146,WTG_BD!F:F,"&gt;="&amp;O2Summary!$B$6,WTG_BD!F:F,"&lt;="&amp;O2Summary!$B$4)</f>
        <v>0</v>
      </c>
      <c r="V3146" s="18">
        <f t="shared" si="56"/>
        <v>47</v>
      </c>
    </row>
    <row r="3147" spans="19:22">
      <c r="S3147" s="16">
        <v>5184</v>
      </c>
      <c r="T3147" s="16" t="s">
        <v>3533</v>
      </c>
      <c r="U3147" s="17">
        <f>COUNTIFS(WTG_BD!L:L,'Basic Data'!T3147,WTG_BD!F:F,"&gt;="&amp;O2Summary!$B$6,WTG_BD!F:F,"&lt;="&amp;O2Summary!$B$4)</f>
        <v>0</v>
      </c>
      <c r="V3147" s="18">
        <f t="shared" si="56"/>
        <v>47</v>
      </c>
    </row>
    <row r="3148" spans="19:22">
      <c r="S3148" s="16">
        <v>5185</v>
      </c>
      <c r="T3148" s="16" t="s">
        <v>3534</v>
      </c>
      <c r="U3148" s="17">
        <f>COUNTIFS(WTG_BD!L:L,'Basic Data'!T3148,WTG_BD!F:F,"&gt;="&amp;O2Summary!$B$6,WTG_BD!F:F,"&lt;="&amp;O2Summary!$B$4)</f>
        <v>0</v>
      </c>
      <c r="V3148" s="18">
        <f t="shared" si="56"/>
        <v>47</v>
      </c>
    </row>
    <row r="3149" spans="19:22">
      <c r="S3149" s="16">
        <v>5186</v>
      </c>
      <c r="T3149" s="16" t="s">
        <v>3535</v>
      </c>
      <c r="U3149" s="17">
        <f>COUNTIFS(WTG_BD!L:L,'Basic Data'!T3149,WTG_BD!F:F,"&gt;="&amp;O2Summary!$B$6,WTG_BD!F:F,"&lt;="&amp;O2Summary!$B$4)</f>
        <v>0</v>
      </c>
      <c r="V3149" s="18">
        <f t="shared" si="56"/>
        <v>47</v>
      </c>
    </row>
    <row r="3150" spans="19:22">
      <c r="S3150" s="16">
        <v>5187</v>
      </c>
      <c r="T3150" s="16" t="s">
        <v>3536</v>
      </c>
      <c r="U3150" s="17">
        <f>COUNTIFS(WTG_BD!L:L,'Basic Data'!T3150,WTG_BD!F:F,"&gt;="&amp;O2Summary!$B$6,WTG_BD!F:F,"&lt;="&amp;O2Summary!$B$4)</f>
        <v>0</v>
      </c>
      <c r="V3150" s="18">
        <f t="shared" si="56"/>
        <v>47</v>
      </c>
    </row>
    <row r="3151" spans="19:22">
      <c r="S3151" s="16">
        <v>5188</v>
      </c>
      <c r="T3151" s="16" t="s">
        <v>3537</v>
      </c>
      <c r="U3151" s="17">
        <f>COUNTIFS(WTG_BD!L:L,'Basic Data'!T3151,WTG_BD!F:F,"&gt;="&amp;O2Summary!$B$6,WTG_BD!F:F,"&lt;="&amp;O2Summary!$B$4)</f>
        <v>0</v>
      </c>
      <c r="V3151" s="18">
        <f t="shared" si="56"/>
        <v>47</v>
      </c>
    </row>
    <row r="3152" spans="19:22">
      <c r="S3152" s="16">
        <v>5189</v>
      </c>
      <c r="T3152" s="16" t="s">
        <v>3538</v>
      </c>
      <c r="U3152" s="17">
        <f>COUNTIFS(WTG_BD!L:L,'Basic Data'!T3152,WTG_BD!F:F,"&gt;="&amp;O2Summary!$B$6,WTG_BD!F:F,"&lt;="&amp;O2Summary!$B$4)</f>
        <v>0</v>
      </c>
      <c r="V3152" s="18">
        <f t="shared" si="56"/>
        <v>47</v>
      </c>
    </row>
    <row r="3153" spans="19:22">
      <c r="S3153" s="16">
        <v>5190</v>
      </c>
      <c r="T3153" s="16" t="s">
        <v>3539</v>
      </c>
      <c r="U3153" s="17">
        <f>COUNTIFS(WTG_BD!L:L,'Basic Data'!T3153,WTG_BD!F:F,"&gt;="&amp;O2Summary!$B$6,WTG_BD!F:F,"&lt;="&amp;O2Summary!$B$4)</f>
        <v>0</v>
      </c>
      <c r="V3153" s="18">
        <f t="shared" si="56"/>
        <v>47</v>
      </c>
    </row>
    <row r="3154" spans="19:22">
      <c r="S3154" s="16">
        <v>5191</v>
      </c>
      <c r="T3154" s="16" t="s">
        <v>3540</v>
      </c>
      <c r="U3154" s="17">
        <f>COUNTIFS(WTG_BD!L:L,'Basic Data'!T3154,WTG_BD!F:F,"&gt;="&amp;O2Summary!$B$6,WTG_BD!F:F,"&lt;="&amp;O2Summary!$B$4)</f>
        <v>0</v>
      </c>
      <c r="V3154" s="18">
        <f t="shared" si="56"/>
        <v>47</v>
      </c>
    </row>
    <row r="3155" spans="19:22">
      <c r="S3155" s="16">
        <v>5192</v>
      </c>
      <c r="T3155" s="16" t="s">
        <v>3541</v>
      </c>
      <c r="U3155" s="17">
        <f>COUNTIFS(WTG_BD!L:L,'Basic Data'!T3155,WTG_BD!F:F,"&gt;="&amp;O2Summary!$B$6,WTG_BD!F:F,"&lt;="&amp;O2Summary!$B$4)</f>
        <v>0</v>
      </c>
      <c r="V3155" s="18">
        <f t="shared" si="56"/>
        <v>47</v>
      </c>
    </row>
    <row r="3156" spans="19:22">
      <c r="S3156" s="16">
        <v>5193</v>
      </c>
      <c r="T3156" s="16" t="s">
        <v>3542</v>
      </c>
      <c r="U3156" s="17">
        <f>COUNTIFS(WTG_BD!L:L,'Basic Data'!T3156,WTG_BD!F:F,"&gt;="&amp;O2Summary!$B$6,WTG_BD!F:F,"&lt;="&amp;O2Summary!$B$4)</f>
        <v>0</v>
      </c>
      <c r="V3156" s="18">
        <f t="shared" si="56"/>
        <v>47</v>
      </c>
    </row>
    <row r="3157" spans="19:22">
      <c r="S3157" s="16">
        <v>5194</v>
      </c>
      <c r="T3157" s="16" t="s">
        <v>3543</v>
      </c>
      <c r="U3157" s="17">
        <f>COUNTIFS(WTG_BD!L:L,'Basic Data'!T3157,WTG_BD!F:F,"&gt;="&amp;O2Summary!$B$6,WTG_BD!F:F,"&lt;="&amp;O2Summary!$B$4)</f>
        <v>0</v>
      </c>
      <c r="V3157" s="18">
        <f t="shared" si="56"/>
        <v>47</v>
      </c>
    </row>
    <row r="3158" spans="19:22">
      <c r="S3158" s="16">
        <v>5195</v>
      </c>
      <c r="T3158" s="16" t="s">
        <v>139</v>
      </c>
      <c r="U3158" s="17">
        <f>COUNTIFS(WTG_BD!L:L,'Basic Data'!T3158,WTG_BD!F:F,"&gt;="&amp;O2Summary!$B$6,WTG_BD!F:F,"&lt;="&amp;O2Summary!$B$4)</f>
        <v>0</v>
      </c>
      <c r="V3158" s="18">
        <f t="shared" si="56"/>
        <v>47</v>
      </c>
    </row>
    <row r="3159" spans="19:22">
      <c r="S3159" s="16">
        <v>5196</v>
      </c>
      <c r="T3159" s="16" t="s">
        <v>364</v>
      </c>
      <c r="U3159" s="17">
        <f>COUNTIFS(WTG_BD!L:L,'Basic Data'!T3159,WTG_BD!F:F,"&gt;="&amp;O2Summary!$B$6,WTG_BD!F:F,"&lt;="&amp;O2Summary!$B$4)</f>
        <v>1</v>
      </c>
      <c r="V3159" s="18">
        <f t="shared" si="56"/>
        <v>29</v>
      </c>
    </row>
    <row r="3160" spans="19:22">
      <c r="S3160" s="16">
        <v>5197</v>
      </c>
      <c r="T3160" s="16" t="s">
        <v>307</v>
      </c>
      <c r="U3160" s="17">
        <f>COUNTIFS(WTG_BD!L:L,'Basic Data'!T3160,WTG_BD!F:F,"&gt;="&amp;O2Summary!$B$6,WTG_BD!F:F,"&lt;="&amp;O2Summary!$B$4)</f>
        <v>5</v>
      </c>
      <c r="V3160" s="18">
        <f t="shared" si="56"/>
        <v>16</v>
      </c>
    </row>
    <row r="3161" spans="19:22">
      <c r="S3161" s="16">
        <v>5198</v>
      </c>
      <c r="T3161" s="16" t="s">
        <v>3544</v>
      </c>
      <c r="U3161" s="17">
        <f>COUNTIFS(WTG_BD!L:L,'Basic Data'!T3161,WTG_BD!F:F,"&gt;="&amp;O2Summary!$B$6,WTG_BD!F:F,"&lt;="&amp;O2Summary!$B$4)</f>
        <v>0</v>
      </c>
      <c r="V3161" s="18">
        <f t="shared" si="56"/>
        <v>47</v>
      </c>
    </row>
    <row r="3162" spans="19:22">
      <c r="S3162" s="16">
        <v>5199</v>
      </c>
      <c r="T3162" s="16" t="s">
        <v>3545</v>
      </c>
      <c r="U3162" s="17">
        <f>COUNTIFS(WTG_BD!L:L,'Basic Data'!T3162,WTG_BD!F:F,"&gt;="&amp;O2Summary!$B$6,WTG_BD!F:F,"&lt;="&amp;O2Summary!$B$4)</f>
        <v>0</v>
      </c>
      <c r="V3162" s="18">
        <f t="shared" si="56"/>
        <v>47</v>
      </c>
    </row>
    <row r="3163" spans="19:22">
      <c r="S3163" s="16">
        <v>5200</v>
      </c>
      <c r="T3163" s="16" t="s">
        <v>3545</v>
      </c>
      <c r="U3163" s="17">
        <f>COUNTIFS(WTG_BD!L:L,'Basic Data'!T3163,WTG_BD!F:F,"&gt;="&amp;O2Summary!$B$6,WTG_BD!F:F,"&lt;="&amp;O2Summary!$B$4)</f>
        <v>0</v>
      </c>
      <c r="V3163" s="18">
        <f t="shared" si="56"/>
        <v>47</v>
      </c>
    </row>
    <row r="3164" spans="19:22">
      <c r="S3164" s="16">
        <v>5201</v>
      </c>
      <c r="T3164" s="16" t="s">
        <v>3545</v>
      </c>
      <c r="U3164" s="17">
        <f>COUNTIFS(WTG_BD!L:L,'Basic Data'!T3164,WTG_BD!F:F,"&gt;="&amp;O2Summary!$B$6,WTG_BD!F:F,"&lt;="&amp;O2Summary!$B$4)</f>
        <v>0</v>
      </c>
      <c r="V3164" s="18">
        <f t="shared" si="56"/>
        <v>47</v>
      </c>
    </row>
    <row r="3165" spans="19:22">
      <c r="S3165" s="16">
        <v>5202</v>
      </c>
      <c r="T3165" s="16" t="s">
        <v>3546</v>
      </c>
      <c r="U3165" s="17">
        <f>COUNTIFS(WTG_BD!L:L,'Basic Data'!T3165,WTG_BD!F:F,"&gt;="&amp;O2Summary!$B$6,WTG_BD!F:F,"&lt;="&amp;O2Summary!$B$4)</f>
        <v>0</v>
      </c>
      <c r="V3165" s="18">
        <f t="shared" si="56"/>
        <v>47</v>
      </c>
    </row>
    <row r="3166" spans="19:22">
      <c r="S3166" s="16">
        <v>5203</v>
      </c>
      <c r="T3166" s="16" t="s">
        <v>3547</v>
      </c>
      <c r="U3166" s="17">
        <f>COUNTIFS(WTG_BD!L:L,'Basic Data'!T3166,WTG_BD!F:F,"&gt;="&amp;O2Summary!$B$6,WTG_BD!F:F,"&lt;="&amp;O2Summary!$B$4)</f>
        <v>0</v>
      </c>
      <c r="V3166" s="18">
        <f t="shared" si="56"/>
        <v>47</v>
      </c>
    </row>
    <row r="3167" spans="19:22">
      <c r="S3167" s="16">
        <v>5204</v>
      </c>
      <c r="T3167" s="16" t="s">
        <v>3382</v>
      </c>
      <c r="U3167" s="17">
        <f>COUNTIFS(WTG_BD!L:L,'Basic Data'!T3167,WTG_BD!F:F,"&gt;="&amp;O2Summary!$B$6,WTG_BD!F:F,"&lt;="&amp;O2Summary!$B$4)</f>
        <v>0</v>
      </c>
      <c r="V3167" s="18">
        <f t="shared" si="56"/>
        <v>47</v>
      </c>
    </row>
    <row r="3168" spans="19:22">
      <c r="S3168" s="16">
        <v>5205</v>
      </c>
      <c r="T3168" s="16" t="s">
        <v>3548</v>
      </c>
      <c r="U3168" s="17">
        <f>COUNTIFS(WTG_BD!L:L,'Basic Data'!T3168,WTG_BD!F:F,"&gt;="&amp;O2Summary!$B$6,WTG_BD!F:F,"&lt;="&amp;O2Summary!$B$4)</f>
        <v>0</v>
      </c>
      <c r="V3168" s="18">
        <f t="shared" si="56"/>
        <v>47</v>
      </c>
    </row>
    <row r="3169" spans="19:22">
      <c r="S3169" s="16">
        <v>5206</v>
      </c>
      <c r="T3169" s="16" t="s">
        <v>3549</v>
      </c>
      <c r="U3169" s="17">
        <f>COUNTIFS(WTG_BD!L:L,'Basic Data'!T3169,WTG_BD!F:F,"&gt;="&amp;O2Summary!$B$6,WTG_BD!F:F,"&lt;="&amp;O2Summary!$B$4)</f>
        <v>0</v>
      </c>
      <c r="V3169" s="18">
        <f t="shared" si="56"/>
        <v>47</v>
      </c>
    </row>
    <row r="3170" spans="19:22">
      <c r="S3170" s="16">
        <v>5207</v>
      </c>
      <c r="T3170" s="16" t="s">
        <v>3550</v>
      </c>
      <c r="U3170" s="17">
        <f>COUNTIFS(WTG_BD!L:L,'Basic Data'!T3170,WTG_BD!F:F,"&gt;="&amp;O2Summary!$B$6,WTG_BD!F:F,"&lt;="&amp;O2Summary!$B$4)</f>
        <v>0</v>
      </c>
      <c r="V3170" s="18">
        <f t="shared" si="56"/>
        <v>47</v>
      </c>
    </row>
    <row r="3171" spans="19:22">
      <c r="S3171" s="16">
        <v>5208</v>
      </c>
      <c r="T3171" s="16" t="s">
        <v>3551</v>
      </c>
      <c r="U3171" s="17">
        <f>COUNTIFS(WTG_BD!L:L,'Basic Data'!T3171,WTG_BD!F:F,"&gt;="&amp;O2Summary!$B$6,WTG_BD!F:F,"&lt;="&amp;O2Summary!$B$4)</f>
        <v>0</v>
      </c>
      <c r="V3171" s="18">
        <f t="shared" si="56"/>
        <v>47</v>
      </c>
    </row>
    <row r="3172" spans="19:22">
      <c r="S3172" s="16">
        <v>5209</v>
      </c>
      <c r="T3172" s="16" t="s">
        <v>3552</v>
      </c>
      <c r="U3172" s="17">
        <f>COUNTIFS(WTG_BD!L:L,'Basic Data'!T3172,WTG_BD!F:F,"&gt;="&amp;O2Summary!$B$6,WTG_BD!F:F,"&lt;="&amp;O2Summary!$B$4)</f>
        <v>0</v>
      </c>
      <c r="V3172" s="18">
        <f t="shared" si="56"/>
        <v>47</v>
      </c>
    </row>
    <row r="3173" spans="19:22">
      <c r="S3173" s="16">
        <v>5210</v>
      </c>
      <c r="T3173" s="16" t="s">
        <v>3553</v>
      </c>
      <c r="U3173" s="17">
        <f>COUNTIFS(WTG_BD!L:L,'Basic Data'!T3173,WTG_BD!F:F,"&gt;="&amp;O2Summary!$B$6,WTG_BD!F:F,"&lt;="&amp;O2Summary!$B$4)</f>
        <v>0</v>
      </c>
      <c r="V3173" s="18">
        <f t="shared" si="56"/>
        <v>47</v>
      </c>
    </row>
    <row r="3174" spans="19:22">
      <c r="S3174" s="16">
        <v>5211</v>
      </c>
      <c r="T3174" s="16" t="s">
        <v>3554</v>
      </c>
      <c r="U3174" s="17">
        <f>COUNTIFS(WTG_BD!L:L,'Basic Data'!T3174,WTG_BD!F:F,"&gt;="&amp;O2Summary!$B$6,WTG_BD!F:F,"&lt;="&amp;O2Summary!$B$4)</f>
        <v>0</v>
      </c>
      <c r="V3174" s="18">
        <f t="shared" si="56"/>
        <v>47</v>
      </c>
    </row>
    <row r="3175" spans="19:22">
      <c r="S3175" s="16">
        <v>5212</v>
      </c>
      <c r="T3175" s="16" t="s">
        <v>3555</v>
      </c>
      <c r="U3175" s="17">
        <f>COUNTIFS(WTG_BD!L:L,'Basic Data'!T3175,WTG_BD!F:F,"&gt;="&amp;O2Summary!$B$6,WTG_BD!F:F,"&lt;="&amp;O2Summary!$B$4)</f>
        <v>0</v>
      </c>
      <c r="V3175" s="18">
        <f t="shared" si="56"/>
        <v>47</v>
      </c>
    </row>
    <row r="3176" spans="19:22">
      <c r="S3176" s="16">
        <v>5213</v>
      </c>
      <c r="T3176" s="16" t="s">
        <v>3556</v>
      </c>
      <c r="U3176" s="17">
        <f>COUNTIFS(WTG_BD!L:L,'Basic Data'!T3176,WTG_BD!F:F,"&gt;="&amp;O2Summary!$B$6,WTG_BD!F:F,"&lt;="&amp;O2Summary!$B$4)</f>
        <v>0</v>
      </c>
      <c r="V3176" s="18">
        <f t="shared" si="56"/>
        <v>47</v>
      </c>
    </row>
    <row r="3177" spans="19:22">
      <c r="S3177" s="16">
        <v>5214</v>
      </c>
      <c r="T3177" s="16" t="s">
        <v>3557</v>
      </c>
      <c r="U3177" s="17">
        <f>COUNTIFS(WTG_BD!L:L,'Basic Data'!T3177,WTG_BD!F:F,"&gt;="&amp;O2Summary!$B$6,WTG_BD!F:F,"&lt;="&amp;O2Summary!$B$4)</f>
        <v>0</v>
      </c>
      <c r="V3177" s="18">
        <f t="shared" si="56"/>
        <v>47</v>
      </c>
    </row>
    <row r="3178" spans="19:22">
      <c r="S3178" s="16">
        <v>5215</v>
      </c>
      <c r="T3178" s="16" t="s">
        <v>3558</v>
      </c>
      <c r="U3178" s="17">
        <f>COUNTIFS(WTG_BD!L:L,'Basic Data'!T3178,WTG_BD!F:F,"&gt;="&amp;O2Summary!$B$6,WTG_BD!F:F,"&lt;="&amp;O2Summary!$B$4)</f>
        <v>0</v>
      </c>
      <c r="V3178" s="18">
        <f t="shared" si="56"/>
        <v>47</v>
      </c>
    </row>
    <row r="3179" spans="19:22">
      <c r="S3179" s="16">
        <v>5216</v>
      </c>
      <c r="T3179" s="16" t="s">
        <v>3559</v>
      </c>
      <c r="U3179" s="17">
        <f>COUNTIFS(WTG_BD!L:L,'Basic Data'!T3179,WTG_BD!F:F,"&gt;="&amp;O2Summary!$B$6,WTG_BD!F:F,"&lt;="&amp;O2Summary!$B$4)</f>
        <v>0</v>
      </c>
      <c r="V3179" s="18">
        <f t="shared" si="56"/>
        <v>47</v>
      </c>
    </row>
    <row r="3180" spans="19:22">
      <c r="S3180" s="16">
        <v>5217</v>
      </c>
      <c r="T3180" s="16" t="s">
        <v>3560</v>
      </c>
      <c r="U3180" s="17">
        <f>COUNTIFS(WTG_BD!L:L,'Basic Data'!T3180,WTG_BD!F:F,"&gt;="&amp;O2Summary!$B$6,WTG_BD!F:F,"&lt;="&amp;O2Summary!$B$4)</f>
        <v>0</v>
      </c>
      <c r="V3180" s="18">
        <f t="shared" si="56"/>
        <v>47</v>
      </c>
    </row>
    <row r="3181" spans="19:22">
      <c r="S3181" s="16">
        <v>5218</v>
      </c>
      <c r="T3181" s="16" t="s">
        <v>3561</v>
      </c>
      <c r="U3181" s="17">
        <f>COUNTIFS(WTG_BD!L:L,'Basic Data'!T3181,WTG_BD!F:F,"&gt;="&amp;O2Summary!$B$6,WTG_BD!F:F,"&lt;="&amp;O2Summary!$B$4)</f>
        <v>0</v>
      </c>
      <c r="V3181" s="18">
        <f t="shared" si="56"/>
        <v>47</v>
      </c>
    </row>
    <row r="3182" spans="19:22">
      <c r="S3182" s="16">
        <v>5219</v>
      </c>
      <c r="T3182" s="16" t="s">
        <v>3562</v>
      </c>
      <c r="U3182" s="17">
        <f>COUNTIFS(WTG_BD!L:L,'Basic Data'!T3182,WTG_BD!F:F,"&gt;="&amp;O2Summary!$B$6,WTG_BD!F:F,"&lt;="&amp;O2Summary!$B$4)</f>
        <v>0</v>
      </c>
      <c r="V3182" s="18">
        <f t="shared" si="56"/>
        <v>47</v>
      </c>
    </row>
    <row r="3183" spans="19:22">
      <c r="S3183" s="16">
        <v>5220</v>
      </c>
      <c r="T3183" s="16" t="s">
        <v>3563</v>
      </c>
      <c r="U3183" s="17">
        <f>COUNTIFS(WTG_BD!L:L,'Basic Data'!T3183,WTG_BD!F:F,"&gt;="&amp;O2Summary!$B$6,WTG_BD!F:F,"&lt;="&amp;O2Summary!$B$4)</f>
        <v>0</v>
      </c>
      <c r="V3183" s="18">
        <f t="shared" si="56"/>
        <v>47</v>
      </c>
    </row>
    <row r="3184" spans="19:22">
      <c r="S3184" s="16">
        <v>5221</v>
      </c>
      <c r="T3184" s="16" t="s">
        <v>3564</v>
      </c>
      <c r="U3184" s="17">
        <f>COUNTIFS(WTG_BD!L:L,'Basic Data'!T3184,WTG_BD!F:F,"&gt;="&amp;O2Summary!$B$6,WTG_BD!F:F,"&lt;="&amp;O2Summary!$B$4)</f>
        <v>0</v>
      </c>
      <c r="V3184" s="18">
        <f t="shared" si="56"/>
        <v>47</v>
      </c>
    </row>
    <row r="3185" spans="19:22">
      <c r="S3185" s="16">
        <v>5222</v>
      </c>
      <c r="T3185" s="16" t="s">
        <v>3565</v>
      </c>
      <c r="U3185" s="17">
        <f>COUNTIFS(WTG_BD!L:L,'Basic Data'!T3185,WTG_BD!F:F,"&gt;="&amp;O2Summary!$B$6,WTG_BD!F:F,"&lt;="&amp;O2Summary!$B$4)</f>
        <v>0</v>
      </c>
      <c r="V3185" s="18">
        <f t="shared" si="56"/>
        <v>47</v>
      </c>
    </row>
    <row r="3186" spans="19:22">
      <c r="S3186" s="16">
        <v>5223</v>
      </c>
      <c r="T3186" s="16" t="s">
        <v>3566</v>
      </c>
      <c r="U3186" s="17">
        <f>COUNTIFS(WTG_BD!L:L,'Basic Data'!T3186,WTG_BD!F:F,"&gt;="&amp;O2Summary!$B$6,WTG_BD!F:F,"&lt;="&amp;O2Summary!$B$4)</f>
        <v>0</v>
      </c>
      <c r="V3186" s="18">
        <f t="shared" si="56"/>
        <v>47</v>
      </c>
    </row>
    <row r="3187" spans="19:22">
      <c r="S3187" s="16">
        <v>5224</v>
      </c>
      <c r="T3187" s="16" t="s">
        <v>2485</v>
      </c>
      <c r="U3187" s="17">
        <f>COUNTIFS(WTG_BD!L:L,'Basic Data'!T3187,WTG_BD!F:F,"&gt;="&amp;O2Summary!$B$6,WTG_BD!F:F,"&lt;="&amp;O2Summary!$B$4)</f>
        <v>0</v>
      </c>
      <c r="V3187" s="18">
        <f t="shared" si="56"/>
        <v>47</v>
      </c>
    </row>
    <row r="3188" spans="19:22">
      <c r="S3188" s="16">
        <v>5225</v>
      </c>
      <c r="T3188" s="16" t="s">
        <v>3567</v>
      </c>
      <c r="U3188" s="17">
        <f>COUNTIFS(WTG_BD!L:L,'Basic Data'!T3188,WTG_BD!F:F,"&gt;="&amp;O2Summary!$B$6,WTG_BD!F:F,"&lt;="&amp;O2Summary!$B$4)</f>
        <v>0</v>
      </c>
      <c r="V3188" s="18">
        <f t="shared" si="56"/>
        <v>47</v>
      </c>
    </row>
    <row r="3189" spans="19:22">
      <c r="S3189" s="16">
        <v>5226</v>
      </c>
      <c r="T3189" s="16" t="s">
        <v>3568</v>
      </c>
      <c r="U3189" s="17">
        <f>COUNTIFS(WTG_BD!L:L,'Basic Data'!T3189,WTG_BD!F:F,"&gt;="&amp;O2Summary!$B$6,WTG_BD!F:F,"&lt;="&amp;O2Summary!$B$4)</f>
        <v>0</v>
      </c>
      <c r="V3189" s="18">
        <f t="shared" si="56"/>
        <v>47</v>
      </c>
    </row>
    <row r="3190" spans="19:22">
      <c r="S3190" s="16">
        <v>5227</v>
      </c>
      <c r="T3190" s="16" t="s">
        <v>3569</v>
      </c>
      <c r="U3190" s="17">
        <f>COUNTIFS(WTG_BD!L:L,'Basic Data'!T3190,WTG_BD!F:F,"&gt;="&amp;O2Summary!$B$6,WTG_BD!F:F,"&lt;="&amp;O2Summary!$B$4)</f>
        <v>0</v>
      </c>
      <c r="V3190" s="18">
        <f t="shared" si="56"/>
        <v>47</v>
      </c>
    </row>
    <row r="3191" spans="19:22">
      <c r="S3191" s="16">
        <v>5228</v>
      </c>
      <c r="T3191" s="16" t="s">
        <v>3570</v>
      </c>
      <c r="U3191" s="17">
        <f>COUNTIFS(WTG_BD!L:L,'Basic Data'!T3191,WTG_BD!F:F,"&gt;="&amp;O2Summary!$B$6,WTG_BD!F:F,"&lt;="&amp;O2Summary!$B$4)</f>
        <v>0</v>
      </c>
      <c r="V3191" s="18">
        <f t="shared" si="56"/>
        <v>47</v>
      </c>
    </row>
    <row r="3192" spans="19:22">
      <c r="S3192" s="16">
        <v>5229</v>
      </c>
      <c r="T3192" s="16" t="s">
        <v>3571</v>
      </c>
      <c r="U3192" s="17">
        <f>COUNTIFS(WTG_BD!L:L,'Basic Data'!T3192,WTG_BD!F:F,"&gt;="&amp;O2Summary!$B$6,WTG_BD!F:F,"&lt;="&amp;O2Summary!$B$4)</f>
        <v>0</v>
      </c>
      <c r="V3192" s="18">
        <f t="shared" si="56"/>
        <v>47</v>
      </c>
    </row>
    <row r="3193" spans="19:22">
      <c r="S3193" s="16">
        <v>5230</v>
      </c>
      <c r="T3193" s="16" t="s">
        <v>3572</v>
      </c>
      <c r="U3193" s="17">
        <f>COUNTIFS(WTG_BD!L:L,'Basic Data'!T3193,WTG_BD!F:F,"&gt;="&amp;O2Summary!$B$6,WTG_BD!F:F,"&lt;="&amp;O2Summary!$B$4)</f>
        <v>0</v>
      </c>
      <c r="V3193" s="18">
        <f t="shared" si="56"/>
        <v>47</v>
      </c>
    </row>
    <row r="3194" spans="19:22">
      <c r="S3194" s="16">
        <v>5231</v>
      </c>
      <c r="T3194" s="16" t="s">
        <v>3573</v>
      </c>
      <c r="U3194" s="17">
        <f>COUNTIFS(WTG_BD!L:L,'Basic Data'!T3194,WTG_BD!F:F,"&gt;="&amp;O2Summary!$B$6,WTG_BD!F:F,"&lt;="&amp;O2Summary!$B$4)</f>
        <v>0</v>
      </c>
      <c r="V3194" s="18">
        <f t="shared" si="56"/>
        <v>47</v>
      </c>
    </row>
    <row r="3195" spans="19:22">
      <c r="S3195" s="16">
        <v>5232</v>
      </c>
      <c r="T3195" s="16" t="s">
        <v>3574</v>
      </c>
      <c r="U3195" s="17">
        <f>COUNTIFS(WTG_BD!L:L,'Basic Data'!T3195,WTG_BD!F:F,"&gt;="&amp;O2Summary!$B$6,WTG_BD!F:F,"&lt;="&amp;O2Summary!$B$4)</f>
        <v>0</v>
      </c>
      <c r="V3195" s="18">
        <f t="shared" si="56"/>
        <v>47</v>
      </c>
    </row>
    <row r="3196" spans="19:22">
      <c r="S3196" s="16">
        <v>5233</v>
      </c>
      <c r="T3196" s="16" t="s">
        <v>3575</v>
      </c>
      <c r="U3196" s="17">
        <f>COUNTIFS(WTG_BD!L:L,'Basic Data'!T3196,WTG_BD!F:F,"&gt;="&amp;O2Summary!$B$6,WTG_BD!F:F,"&lt;="&amp;O2Summary!$B$4)</f>
        <v>0</v>
      </c>
      <c r="V3196" s="18">
        <f t="shared" si="56"/>
        <v>47</v>
      </c>
    </row>
    <row r="3197" spans="19:22">
      <c r="S3197" s="16">
        <v>5234</v>
      </c>
      <c r="T3197" s="16" t="s">
        <v>3576</v>
      </c>
      <c r="U3197" s="17">
        <f>COUNTIFS(WTG_BD!L:L,'Basic Data'!T3197,WTG_BD!F:F,"&gt;="&amp;O2Summary!$B$6,WTG_BD!F:F,"&lt;="&amp;O2Summary!$B$4)</f>
        <v>0</v>
      </c>
      <c r="V3197" s="18">
        <f t="shared" si="56"/>
        <v>47</v>
      </c>
    </row>
    <row r="3198" spans="19:22">
      <c r="S3198" s="16">
        <v>5236</v>
      </c>
      <c r="T3198" s="16" t="s">
        <v>3577</v>
      </c>
      <c r="U3198" s="17">
        <f>COUNTIFS(WTG_BD!L:L,'Basic Data'!T3198,WTG_BD!F:F,"&gt;="&amp;O2Summary!$B$6,WTG_BD!F:F,"&lt;="&amp;O2Summary!$B$4)</f>
        <v>0</v>
      </c>
      <c r="V3198" s="18">
        <f t="shared" si="56"/>
        <v>47</v>
      </c>
    </row>
    <row r="3199" spans="19:22">
      <c r="S3199" s="16">
        <v>5237</v>
      </c>
      <c r="T3199" s="16" t="s">
        <v>3578</v>
      </c>
      <c r="U3199" s="17">
        <f>COUNTIFS(WTG_BD!L:L,'Basic Data'!T3199,WTG_BD!F:F,"&gt;="&amp;O2Summary!$B$6,WTG_BD!F:F,"&lt;="&amp;O2Summary!$B$4)</f>
        <v>0</v>
      </c>
      <c r="V3199" s="18">
        <f t="shared" si="56"/>
        <v>47</v>
      </c>
    </row>
    <row r="3200" spans="19:22">
      <c r="S3200" s="16">
        <v>5238</v>
      </c>
      <c r="T3200" s="16" t="s">
        <v>3579</v>
      </c>
      <c r="U3200" s="17">
        <f>COUNTIFS(WTG_BD!L:L,'Basic Data'!T3200,WTG_BD!F:F,"&gt;="&amp;O2Summary!$B$6,WTG_BD!F:F,"&lt;="&amp;O2Summary!$B$4)</f>
        <v>0</v>
      </c>
      <c r="V3200" s="18">
        <f t="shared" si="56"/>
        <v>47</v>
      </c>
    </row>
    <row r="3201" spans="19:22">
      <c r="S3201" s="16">
        <v>5239</v>
      </c>
      <c r="T3201" s="16" t="s">
        <v>3580</v>
      </c>
      <c r="U3201" s="17">
        <f>COUNTIFS(WTG_BD!L:L,'Basic Data'!T3201,WTG_BD!F:F,"&gt;="&amp;O2Summary!$B$6,WTG_BD!F:F,"&lt;="&amp;O2Summary!$B$4)</f>
        <v>0</v>
      </c>
      <c r="V3201" s="18">
        <f t="shared" si="56"/>
        <v>47</v>
      </c>
    </row>
    <row r="3202" spans="19:22">
      <c r="S3202" s="16">
        <v>5240</v>
      </c>
      <c r="T3202" s="16" t="s">
        <v>3581</v>
      </c>
      <c r="U3202" s="17">
        <f>COUNTIFS(WTG_BD!L:L,'Basic Data'!T3202,WTG_BD!F:F,"&gt;="&amp;O2Summary!$B$6,WTG_BD!F:F,"&lt;="&amp;O2Summary!$B$4)</f>
        <v>0</v>
      </c>
      <c r="V3202" s="18">
        <f t="shared" si="56"/>
        <v>47</v>
      </c>
    </row>
    <row r="3203" spans="19:22">
      <c r="S3203" s="16">
        <v>5244</v>
      </c>
      <c r="T3203" s="16" t="s">
        <v>3582</v>
      </c>
      <c r="U3203" s="17">
        <f>COUNTIFS(WTG_BD!L:L,'Basic Data'!T3203,WTG_BD!F:F,"&gt;="&amp;O2Summary!$B$6,WTG_BD!F:F,"&lt;="&amp;O2Summary!$B$4)</f>
        <v>0</v>
      </c>
      <c r="V3203" s="18">
        <f t="shared" ref="V3203:V3266" si="57">RANK(U3203,$U$2:$U$3975)</f>
        <v>47</v>
      </c>
    </row>
    <row r="3204" spans="19:22">
      <c r="S3204" s="16">
        <v>5245</v>
      </c>
      <c r="T3204" s="16" t="s">
        <v>3583</v>
      </c>
      <c r="U3204" s="17">
        <f>COUNTIFS(WTG_BD!L:L,'Basic Data'!T3204,WTG_BD!F:F,"&gt;="&amp;O2Summary!$B$6,WTG_BD!F:F,"&lt;="&amp;O2Summary!$B$4)</f>
        <v>0</v>
      </c>
      <c r="V3204" s="18">
        <f t="shared" si="57"/>
        <v>47</v>
      </c>
    </row>
    <row r="3205" spans="19:22">
      <c r="S3205" s="16">
        <v>5246</v>
      </c>
      <c r="T3205" s="16" t="s">
        <v>3584</v>
      </c>
      <c r="U3205" s="17">
        <f>COUNTIFS(WTG_BD!L:L,'Basic Data'!T3205,WTG_BD!F:F,"&gt;="&amp;O2Summary!$B$6,WTG_BD!F:F,"&lt;="&amp;O2Summary!$B$4)</f>
        <v>0</v>
      </c>
      <c r="V3205" s="18">
        <f t="shared" si="57"/>
        <v>47</v>
      </c>
    </row>
    <row r="3206" spans="19:22">
      <c r="S3206" s="16">
        <v>5247</v>
      </c>
      <c r="T3206" s="16" t="s">
        <v>3585</v>
      </c>
      <c r="U3206" s="17">
        <f>COUNTIFS(WTG_BD!L:L,'Basic Data'!T3206,WTG_BD!F:F,"&gt;="&amp;O2Summary!$B$6,WTG_BD!F:F,"&lt;="&amp;O2Summary!$B$4)</f>
        <v>0</v>
      </c>
      <c r="V3206" s="18">
        <f t="shared" si="57"/>
        <v>47</v>
      </c>
    </row>
    <row r="3207" spans="19:22">
      <c r="S3207" s="16">
        <v>5248</v>
      </c>
      <c r="T3207" s="16" t="s">
        <v>3586</v>
      </c>
      <c r="U3207" s="17">
        <f>COUNTIFS(WTG_BD!L:L,'Basic Data'!T3207,WTG_BD!F:F,"&gt;="&amp;O2Summary!$B$6,WTG_BD!F:F,"&lt;="&amp;O2Summary!$B$4)</f>
        <v>0</v>
      </c>
      <c r="V3207" s="18">
        <f t="shared" si="57"/>
        <v>47</v>
      </c>
    </row>
    <row r="3208" spans="19:22">
      <c r="S3208" s="16">
        <v>5249</v>
      </c>
      <c r="T3208" s="16" t="s">
        <v>3587</v>
      </c>
      <c r="U3208" s="17">
        <f>COUNTIFS(WTG_BD!L:L,'Basic Data'!T3208,WTG_BD!F:F,"&gt;="&amp;O2Summary!$B$6,WTG_BD!F:F,"&lt;="&amp;O2Summary!$B$4)</f>
        <v>0</v>
      </c>
      <c r="V3208" s="18">
        <f t="shared" si="57"/>
        <v>47</v>
      </c>
    </row>
    <row r="3209" spans="19:22">
      <c r="S3209" s="16">
        <v>5250</v>
      </c>
      <c r="T3209" s="16" t="s">
        <v>3588</v>
      </c>
      <c r="U3209" s="17">
        <f>COUNTIFS(WTG_BD!L:L,'Basic Data'!T3209,WTG_BD!F:F,"&gt;="&amp;O2Summary!$B$6,WTG_BD!F:F,"&lt;="&amp;O2Summary!$B$4)</f>
        <v>0</v>
      </c>
      <c r="V3209" s="18">
        <f t="shared" si="57"/>
        <v>47</v>
      </c>
    </row>
    <row r="3210" spans="19:22">
      <c r="S3210" s="16">
        <v>5251</v>
      </c>
      <c r="T3210" s="16" t="s">
        <v>3589</v>
      </c>
      <c r="U3210" s="17">
        <f>COUNTIFS(WTG_BD!L:L,'Basic Data'!T3210,WTG_BD!F:F,"&gt;="&amp;O2Summary!$B$6,WTG_BD!F:F,"&lt;="&amp;O2Summary!$B$4)</f>
        <v>0</v>
      </c>
      <c r="V3210" s="18">
        <f t="shared" si="57"/>
        <v>47</v>
      </c>
    </row>
    <row r="3211" spans="19:22">
      <c r="S3211" s="16">
        <v>5252</v>
      </c>
      <c r="T3211" s="16" t="s">
        <v>3590</v>
      </c>
      <c r="U3211" s="17">
        <f>COUNTIFS(WTG_BD!L:L,'Basic Data'!T3211,WTG_BD!F:F,"&gt;="&amp;O2Summary!$B$6,WTG_BD!F:F,"&lt;="&amp;O2Summary!$B$4)</f>
        <v>0</v>
      </c>
      <c r="V3211" s="18">
        <f t="shared" si="57"/>
        <v>47</v>
      </c>
    </row>
    <row r="3212" spans="19:22">
      <c r="S3212" s="16">
        <v>5253</v>
      </c>
      <c r="T3212" s="16" t="s">
        <v>3591</v>
      </c>
      <c r="U3212" s="17">
        <f>COUNTIFS(WTG_BD!L:L,'Basic Data'!T3212,WTG_BD!F:F,"&gt;="&amp;O2Summary!$B$6,WTG_BD!F:F,"&lt;="&amp;O2Summary!$B$4)</f>
        <v>0</v>
      </c>
      <c r="V3212" s="18">
        <f t="shared" si="57"/>
        <v>47</v>
      </c>
    </row>
    <row r="3213" spans="19:22">
      <c r="S3213" s="16">
        <v>5254</v>
      </c>
      <c r="T3213" s="16" t="s">
        <v>3592</v>
      </c>
      <c r="U3213" s="17">
        <f>COUNTIFS(WTG_BD!L:L,'Basic Data'!T3213,WTG_BD!F:F,"&gt;="&amp;O2Summary!$B$6,WTG_BD!F:F,"&lt;="&amp;O2Summary!$B$4)</f>
        <v>0</v>
      </c>
      <c r="V3213" s="18">
        <f t="shared" si="57"/>
        <v>47</v>
      </c>
    </row>
    <row r="3214" spans="19:22">
      <c r="S3214" s="16">
        <v>5255</v>
      </c>
      <c r="T3214" s="16" t="s">
        <v>3593</v>
      </c>
      <c r="U3214" s="17">
        <f>COUNTIFS(WTG_BD!L:L,'Basic Data'!T3214,WTG_BD!F:F,"&gt;="&amp;O2Summary!$B$6,WTG_BD!F:F,"&lt;="&amp;O2Summary!$B$4)</f>
        <v>0</v>
      </c>
      <c r="V3214" s="18">
        <f t="shared" si="57"/>
        <v>47</v>
      </c>
    </row>
    <row r="3215" spans="19:22">
      <c r="S3215" s="16">
        <v>5256</v>
      </c>
      <c r="T3215" s="16" t="s">
        <v>2342</v>
      </c>
      <c r="U3215" s="17">
        <f>COUNTIFS(WTG_BD!L:L,'Basic Data'!T3215,WTG_BD!F:F,"&gt;="&amp;O2Summary!$B$6,WTG_BD!F:F,"&lt;="&amp;O2Summary!$B$4)</f>
        <v>0</v>
      </c>
      <c r="V3215" s="18">
        <f t="shared" si="57"/>
        <v>47</v>
      </c>
    </row>
    <row r="3216" spans="19:22">
      <c r="S3216" s="16">
        <v>5257</v>
      </c>
      <c r="T3216" s="16" t="s">
        <v>3594</v>
      </c>
      <c r="U3216" s="17">
        <f>COUNTIFS(WTG_BD!L:L,'Basic Data'!T3216,WTG_BD!F:F,"&gt;="&amp;O2Summary!$B$6,WTG_BD!F:F,"&lt;="&amp;O2Summary!$B$4)</f>
        <v>0</v>
      </c>
      <c r="V3216" s="18">
        <f t="shared" si="57"/>
        <v>47</v>
      </c>
    </row>
    <row r="3217" spans="19:22">
      <c r="S3217" s="16">
        <v>5258</v>
      </c>
      <c r="T3217" s="16" t="s">
        <v>3595</v>
      </c>
      <c r="U3217" s="17">
        <f>COUNTIFS(WTG_BD!L:L,'Basic Data'!T3217,WTG_BD!F:F,"&gt;="&amp;O2Summary!$B$6,WTG_BD!F:F,"&lt;="&amp;O2Summary!$B$4)</f>
        <v>0</v>
      </c>
      <c r="V3217" s="18">
        <f t="shared" si="57"/>
        <v>47</v>
      </c>
    </row>
    <row r="3218" spans="19:22">
      <c r="S3218" s="16">
        <v>5259</v>
      </c>
      <c r="T3218" s="16" t="s">
        <v>3596</v>
      </c>
      <c r="U3218" s="17">
        <f>COUNTIFS(WTG_BD!L:L,'Basic Data'!T3218,WTG_BD!F:F,"&gt;="&amp;O2Summary!$B$6,WTG_BD!F:F,"&lt;="&amp;O2Summary!$B$4)</f>
        <v>0</v>
      </c>
      <c r="V3218" s="18">
        <f t="shared" si="57"/>
        <v>47</v>
      </c>
    </row>
    <row r="3219" spans="19:22">
      <c r="S3219" s="16">
        <v>5260</v>
      </c>
      <c r="T3219" s="16" t="s">
        <v>3597</v>
      </c>
      <c r="U3219" s="17">
        <f>COUNTIFS(WTG_BD!L:L,'Basic Data'!T3219,WTG_BD!F:F,"&gt;="&amp;O2Summary!$B$6,WTG_BD!F:F,"&lt;="&amp;O2Summary!$B$4)</f>
        <v>0</v>
      </c>
      <c r="V3219" s="18">
        <f t="shared" si="57"/>
        <v>47</v>
      </c>
    </row>
    <row r="3220" spans="19:22">
      <c r="S3220" s="16">
        <v>5261</v>
      </c>
      <c r="T3220" s="16" t="s">
        <v>3598</v>
      </c>
      <c r="U3220" s="17">
        <f>COUNTIFS(WTG_BD!L:L,'Basic Data'!T3220,WTG_BD!F:F,"&gt;="&amp;O2Summary!$B$6,WTG_BD!F:F,"&lt;="&amp;O2Summary!$B$4)</f>
        <v>0</v>
      </c>
      <c r="V3220" s="18">
        <f t="shared" si="57"/>
        <v>47</v>
      </c>
    </row>
    <row r="3221" spans="19:22">
      <c r="S3221" s="16">
        <v>5262</v>
      </c>
      <c r="T3221" s="16" t="s">
        <v>3599</v>
      </c>
      <c r="U3221" s="17">
        <f>COUNTIFS(WTG_BD!L:L,'Basic Data'!T3221,WTG_BD!F:F,"&gt;="&amp;O2Summary!$B$6,WTG_BD!F:F,"&lt;="&amp;O2Summary!$B$4)</f>
        <v>0</v>
      </c>
      <c r="V3221" s="18">
        <f t="shared" si="57"/>
        <v>47</v>
      </c>
    </row>
    <row r="3222" spans="19:22">
      <c r="S3222" s="16">
        <v>5263</v>
      </c>
      <c r="T3222" s="16" t="s">
        <v>3600</v>
      </c>
      <c r="U3222" s="17">
        <f>COUNTIFS(WTG_BD!L:L,'Basic Data'!T3222,WTG_BD!F:F,"&gt;="&amp;O2Summary!$B$6,WTG_BD!F:F,"&lt;="&amp;O2Summary!$B$4)</f>
        <v>0</v>
      </c>
      <c r="V3222" s="18">
        <f t="shared" si="57"/>
        <v>47</v>
      </c>
    </row>
    <row r="3223" spans="19:22">
      <c r="S3223" s="16">
        <v>5264</v>
      </c>
      <c r="T3223" s="16" t="s">
        <v>3601</v>
      </c>
      <c r="U3223" s="17">
        <f>COUNTIFS(WTG_BD!L:L,'Basic Data'!T3223,WTG_BD!F:F,"&gt;="&amp;O2Summary!$B$6,WTG_BD!F:F,"&lt;="&amp;O2Summary!$B$4)</f>
        <v>0</v>
      </c>
      <c r="V3223" s="18">
        <f t="shared" si="57"/>
        <v>47</v>
      </c>
    </row>
    <row r="3224" spans="19:22">
      <c r="S3224" s="16">
        <v>5265</v>
      </c>
      <c r="T3224" s="16" t="s">
        <v>3602</v>
      </c>
      <c r="U3224" s="17">
        <f>COUNTIFS(WTG_BD!L:L,'Basic Data'!T3224,WTG_BD!F:F,"&gt;="&amp;O2Summary!$B$6,WTG_BD!F:F,"&lt;="&amp;O2Summary!$B$4)</f>
        <v>0</v>
      </c>
      <c r="V3224" s="18">
        <f t="shared" si="57"/>
        <v>47</v>
      </c>
    </row>
    <row r="3225" spans="19:22">
      <c r="S3225" s="16">
        <v>5266</v>
      </c>
      <c r="T3225" s="16" t="s">
        <v>3603</v>
      </c>
      <c r="U3225" s="17">
        <f>COUNTIFS(WTG_BD!L:L,'Basic Data'!T3225,WTG_BD!F:F,"&gt;="&amp;O2Summary!$B$6,WTG_BD!F:F,"&lt;="&amp;O2Summary!$B$4)</f>
        <v>0</v>
      </c>
      <c r="V3225" s="18">
        <f t="shared" si="57"/>
        <v>47</v>
      </c>
    </row>
    <row r="3226" spans="19:22">
      <c r="S3226" s="16">
        <v>5267</v>
      </c>
      <c r="T3226" s="16" t="s">
        <v>3604</v>
      </c>
      <c r="U3226" s="17">
        <f>COUNTIFS(WTG_BD!L:L,'Basic Data'!T3226,WTG_BD!F:F,"&gt;="&amp;O2Summary!$B$6,WTG_BD!F:F,"&lt;="&amp;O2Summary!$B$4)</f>
        <v>0</v>
      </c>
      <c r="V3226" s="18">
        <f t="shared" si="57"/>
        <v>47</v>
      </c>
    </row>
    <row r="3227" spans="19:22">
      <c r="S3227" s="16">
        <v>5268</v>
      </c>
      <c r="T3227" s="16" t="s">
        <v>3605</v>
      </c>
      <c r="U3227" s="17">
        <f>COUNTIFS(WTG_BD!L:L,'Basic Data'!T3227,WTG_BD!F:F,"&gt;="&amp;O2Summary!$B$6,WTG_BD!F:F,"&lt;="&amp;O2Summary!$B$4)</f>
        <v>0</v>
      </c>
      <c r="V3227" s="18">
        <f t="shared" si="57"/>
        <v>47</v>
      </c>
    </row>
    <row r="3228" spans="19:22">
      <c r="S3228" s="16">
        <v>5269</v>
      </c>
      <c r="T3228" s="16" t="s">
        <v>3606</v>
      </c>
      <c r="U3228" s="17">
        <f>COUNTIFS(WTG_BD!L:L,'Basic Data'!T3228,WTG_BD!F:F,"&gt;="&amp;O2Summary!$B$6,WTG_BD!F:F,"&lt;="&amp;O2Summary!$B$4)</f>
        <v>0</v>
      </c>
      <c r="V3228" s="18">
        <f t="shared" si="57"/>
        <v>47</v>
      </c>
    </row>
    <row r="3229" spans="19:22">
      <c r="S3229" s="16">
        <v>5270</v>
      </c>
      <c r="T3229" s="16" t="s">
        <v>3607</v>
      </c>
      <c r="U3229" s="17">
        <f>COUNTIFS(WTG_BD!L:L,'Basic Data'!T3229,WTG_BD!F:F,"&gt;="&amp;O2Summary!$B$6,WTG_BD!F:F,"&lt;="&amp;O2Summary!$B$4)</f>
        <v>0</v>
      </c>
      <c r="V3229" s="18">
        <f t="shared" si="57"/>
        <v>47</v>
      </c>
    </row>
    <row r="3230" spans="19:22">
      <c r="S3230" s="16">
        <v>5271</v>
      </c>
      <c r="T3230" s="16" t="s">
        <v>3608</v>
      </c>
      <c r="U3230" s="17">
        <f>COUNTIFS(WTG_BD!L:L,'Basic Data'!T3230,WTG_BD!F:F,"&gt;="&amp;O2Summary!$B$6,WTG_BD!F:F,"&lt;="&amp;O2Summary!$B$4)</f>
        <v>0</v>
      </c>
      <c r="V3230" s="18">
        <f t="shared" si="57"/>
        <v>47</v>
      </c>
    </row>
    <row r="3231" spans="19:22">
      <c r="S3231" s="16">
        <v>5272</v>
      </c>
      <c r="T3231" s="16" t="s">
        <v>3609</v>
      </c>
      <c r="U3231" s="17">
        <f>COUNTIFS(WTG_BD!L:L,'Basic Data'!T3231,WTG_BD!F:F,"&gt;="&amp;O2Summary!$B$6,WTG_BD!F:F,"&lt;="&amp;O2Summary!$B$4)</f>
        <v>0</v>
      </c>
      <c r="V3231" s="18">
        <f t="shared" si="57"/>
        <v>47</v>
      </c>
    </row>
    <row r="3232" spans="19:22">
      <c r="S3232" s="16">
        <v>5273</v>
      </c>
      <c r="T3232" s="16" t="s">
        <v>3610</v>
      </c>
      <c r="U3232" s="17">
        <f>COUNTIFS(WTG_BD!L:L,'Basic Data'!T3232,WTG_BD!F:F,"&gt;="&amp;O2Summary!$B$6,WTG_BD!F:F,"&lt;="&amp;O2Summary!$B$4)</f>
        <v>0</v>
      </c>
      <c r="V3232" s="18">
        <f t="shared" si="57"/>
        <v>47</v>
      </c>
    </row>
    <row r="3233" spans="19:22">
      <c r="S3233" s="16">
        <v>5274</v>
      </c>
      <c r="T3233" s="16" t="s">
        <v>3611</v>
      </c>
      <c r="U3233" s="17">
        <f>COUNTIFS(WTG_BD!L:L,'Basic Data'!T3233,WTG_BD!F:F,"&gt;="&amp;O2Summary!$B$6,WTG_BD!F:F,"&lt;="&amp;O2Summary!$B$4)</f>
        <v>0</v>
      </c>
      <c r="V3233" s="18">
        <f t="shared" si="57"/>
        <v>47</v>
      </c>
    </row>
    <row r="3234" spans="19:22">
      <c r="S3234" s="16">
        <v>5275</v>
      </c>
      <c r="T3234" s="16" t="s">
        <v>3612</v>
      </c>
      <c r="U3234" s="17">
        <f>COUNTIFS(WTG_BD!L:L,'Basic Data'!T3234,WTG_BD!F:F,"&gt;="&amp;O2Summary!$B$6,WTG_BD!F:F,"&lt;="&amp;O2Summary!$B$4)</f>
        <v>0</v>
      </c>
      <c r="V3234" s="18">
        <f t="shared" si="57"/>
        <v>47</v>
      </c>
    </row>
    <row r="3235" spans="19:22">
      <c r="S3235" s="16">
        <v>5276</v>
      </c>
      <c r="T3235" s="16" t="s">
        <v>3613</v>
      </c>
      <c r="U3235" s="17">
        <f>COUNTIFS(WTG_BD!L:L,'Basic Data'!T3235,WTG_BD!F:F,"&gt;="&amp;O2Summary!$B$6,WTG_BD!F:F,"&lt;="&amp;O2Summary!$B$4)</f>
        <v>0</v>
      </c>
      <c r="V3235" s="18">
        <f t="shared" si="57"/>
        <v>47</v>
      </c>
    </row>
    <row r="3236" spans="19:22">
      <c r="S3236" s="16">
        <v>5277</v>
      </c>
      <c r="T3236" s="16" t="s">
        <v>3614</v>
      </c>
      <c r="U3236" s="17">
        <f>COUNTIFS(WTG_BD!L:L,'Basic Data'!T3236,WTG_BD!F:F,"&gt;="&amp;O2Summary!$B$6,WTG_BD!F:F,"&lt;="&amp;O2Summary!$B$4)</f>
        <v>0</v>
      </c>
      <c r="V3236" s="18">
        <f t="shared" si="57"/>
        <v>47</v>
      </c>
    </row>
    <row r="3237" spans="19:22">
      <c r="S3237" s="16">
        <v>5278</v>
      </c>
      <c r="T3237" s="16" t="s">
        <v>3615</v>
      </c>
      <c r="U3237" s="17">
        <f>COUNTIFS(WTG_BD!L:L,'Basic Data'!T3237,WTG_BD!F:F,"&gt;="&amp;O2Summary!$B$6,WTG_BD!F:F,"&lt;="&amp;O2Summary!$B$4)</f>
        <v>0</v>
      </c>
      <c r="V3237" s="18">
        <f t="shared" si="57"/>
        <v>47</v>
      </c>
    </row>
    <row r="3238" spans="19:22">
      <c r="S3238" s="16">
        <v>5279</v>
      </c>
      <c r="T3238" s="16" t="s">
        <v>3616</v>
      </c>
      <c r="U3238" s="17">
        <f>COUNTIFS(WTG_BD!L:L,'Basic Data'!T3238,WTG_BD!F:F,"&gt;="&amp;O2Summary!$B$6,WTG_BD!F:F,"&lt;="&amp;O2Summary!$B$4)</f>
        <v>0</v>
      </c>
      <c r="V3238" s="18">
        <f t="shared" si="57"/>
        <v>47</v>
      </c>
    </row>
    <row r="3239" spans="19:22">
      <c r="S3239" s="16">
        <v>5280</v>
      </c>
      <c r="T3239" s="16" t="s">
        <v>3617</v>
      </c>
      <c r="U3239" s="17">
        <f>COUNTIFS(WTG_BD!L:L,'Basic Data'!T3239,WTG_BD!F:F,"&gt;="&amp;O2Summary!$B$6,WTG_BD!F:F,"&lt;="&amp;O2Summary!$B$4)</f>
        <v>0</v>
      </c>
      <c r="V3239" s="18">
        <f t="shared" si="57"/>
        <v>47</v>
      </c>
    </row>
    <row r="3240" spans="19:22">
      <c r="S3240" s="16">
        <v>5281</v>
      </c>
      <c r="T3240" s="16" t="s">
        <v>3618</v>
      </c>
      <c r="U3240" s="17">
        <f>COUNTIFS(WTG_BD!L:L,'Basic Data'!T3240,WTG_BD!F:F,"&gt;="&amp;O2Summary!$B$6,WTG_BD!F:F,"&lt;="&amp;O2Summary!$B$4)</f>
        <v>0</v>
      </c>
      <c r="V3240" s="18">
        <f t="shared" si="57"/>
        <v>47</v>
      </c>
    </row>
    <row r="3241" spans="19:22">
      <c r="S3241" s="26">
        <v>5282</v>
      </c>
      <c r="T3241" s="26" t="s">
        <v>3619</v>
      </c>
      <c r="U3241" s="17">
        <f>COUNTIFS(WTG_BD!L:L,'Basic Data'!T3241,WTG_BD!F:F,"&gt;="&amp;O2Summary!$B$6,WTG_BD!F:F,"&lt;="&amp;O2Summary!$B$4)</f>
        <v>0</v>
      </c>
      <c r="V3241" s="18">
        <f t="shared" si="57"/>
        <v>47</v>
      </c>
    </row>
    <row r="3242" spans="19:22">
      <c r="S3242" s="26">
        <v>5283</v>
      </c>
      <c r="T3242" s="26" t="s">
        <v>3620</v>
      </c>
      <c r="U3242" s="17">
        <f>COUNTIFS(WTG_BD!L:L,'Basic Data'!T3242,WTG_BD!F:F,"&gt;="&amp;O2Summary!$B$6,WTG_BD!F:F,"&lt;="&amp;O2Summary!$B$4)</f>
        <v>0</v>
      </c>
      <c r="V3242" s="18">
        <f t="shared" si="57"/>
        <v>47</v>
      </c>
    </row>
    <row r="3243" spans="19:22">
      <c r="S3243" s="26">
        <v>5284</v>
      </c>
      <c r="T3243" s="26" t="s">
        <v>3621</v>
      </c>
      <c r="U3243" s="17">
        <f>COUNTIFS(WTG_BD!L:L,'Basic Data'!T3243,WTG_BD!F:F,"&gt;="&amp;O2Summary!$B$6,WTG_BD!F:F,"&lt;="&amp;O2Summary!$B$4)</f>
        <v>0</v>
      </c>
      <c r="V3243" s="18">
        <f t="shared" si="57"/>
        <v>47</v>
      </c>
    </row>
    <row r="3244" spans="19:22">
      <c r="S3244" s="26">
        <v>5285</v>
      </c>
      <c r="T3244" s="26" t="s">
        <v>3622</v>
      </c>
      <c r="U3244" s="17">
        <f>COUNTIFS(WTG_BD!L:L,'Basic Data'!T3244,WTG_BD!F:F,"&gt;="&amp;O2Summary!$B$6,WTG_BD!F:F,"&lt;="&amp;O2Summary!$B$4)</f>
        <v>0</v>
      </c>
      <c r="V3244" s="18">
        <f t="shared" si="57"/>
        <v>47</v>
      </c>
    </row>
    <row r="3245" spans="19:22">
      <c r="S3245" s="26">
        <v>5286</v>
      </c>
      <c r="T3245" s="26" t="s">
        <v>3623</v>
      </c>
      <c r="U3245" s="17">
        <f>COUNTIFS(WTG_BD!L:L,'Basic Data'!T3245,WTG_BD!F:F,"&gt;="&amp;O2Summary!$B$6,WTG_BD!F:F,"&lt;="&amp;O2Summary!$B$4)</f>
        <v>0</v>
      </c>
      <c r="V3245" s="18">
        <f t="shared" si="57"/>
        <v>47</v>
      </c>
    </row>
    <row r="3246" spans="19:22">
      <c r="S3246" s="26">
        <v>5287</v>
      </c>
      <c r="T3246" s="26" t="s">
        <v>3624</v>
      </c>
      <c r="U3246" s="17">
        <f>COUNTIFS(WTG_BD!L:L,'Basic Data'!T3246,WTG_BD!F:F,"&gt;="&amp;O2Summary!$B$6,WTG_BD!F:F,"&lt;="&amp;O2Summary!$B$4)</f>
        <v>0</v>
      </c>
      <c r="V3246" s="18">
        <f t="shared" si="57"/>
        <v>47</v>
      </c>
    </row>
    <row r="3247" spans="19:22">
      <c r="S3247" s="16">
        <v>5288</v>
      </c>
      <c r="T3247" s="16" t="s">
        <v>3625</v>
      </c>
      <c r="U3247" s="17">
        <f>COUNTIFS(WTG_BD!L:L,'Basic Data'!T3247,WTG_BD!F:F,"&gt;="&amp;O2Summary!$B$6,WTG_BD!F:F,"&lt;="&amp;O2Summary!$B$4)</f>
        <v>0</v>
      </c>
      <c r="V3247" s="18">
        <f t="shared" si="57"/>
        <v>47</v>
      </c>
    </row>
    <row r="3248" spans="19:22">
      <c r="S3248" s="16">
        <v>5289</v>
      </c>
      <c r="T3248" s="16" t="s">
        <v>3626</v>
      </c>
      <c r="U3248" s="17">
        <f>COUNTIFS(WTG_BD!L:L,'Basic Data'!T3248,WTG_BD!F:F,"&gt;="&amp;O2Summary!$B$6,WTG_BD!F:F,"&lt;="&amp;O2Summary!$B$4)</f>
        <v>0</v>
      </c>
      <c r="V3248" s="18">
        <f t="shared" si="57"/>
        <v>47</v>
      </c>
    </row>
    <row r="3249" spans="19:22">
      <c r="S3249" s="26">
        <v>5290</v>
      </c>
      <c r="T3249" s="26" t="s">
        <v>3627</v>
      </c>
      <c r="U3249" s="17">
        <f>COUNTIFS(WTG_BD!L:L,'Basic Data'!T3249,WTG_BD!F:F,"&gt;="&amp;O2Summary!$B$6,WTG_BD!F:F,"&lt;="&amp;O2Summary!$B$4)</f>
        <v>0</v>
      </c>
      <c r="V3249" s="18">
        <f t="shared" si="57"/>
        <v>47</v>
      </c>
    </row>
    <row r="3250" spans="19:22">
      <c r="S3250" s="26">
        <v>5291</v>
      </c>
      <c r="T3250" s="26" t="s">
        <v>3628</v>
      </c>
      <c r="U3250" s="17">
        <f>COUNTIFS(WTG_BD!L:L,'Basic Data'!T3250,WTG_BD!F:F,"&gt;="&amp;O2Summary!$B$6,WTG_BD!F:F,"&lt;="&amp;O2Summary!$B$4)</f>
        <v>0</v>
      </c>
      <c r="V3250" s="18">
        <f t="shared" si="57"/>
        <v>47</v>
      </c>
    </row>
    <row r="3251" spans="19:22">
      <c r="S3251" s="16">
        <v>5292</v>
      </c>
      <c r="T3251" s="16" t="s">
        <v>3629</v>
      </c>
      <c r="U3251" s="17">
        <f>COUNTIFS(WTG_BD!L:L,'Basic Data'!T3251,WTG_BD!F:F,"&gt;="&amp;O2Summary!$B$6,WTG_BD!F:F,"&lt;="&amp;O2Summary!$B$4)</f>
        <v>0</v>
      </c>
      <c r="V3251" s="18">
        <f t="shared" si="57"/>
        <v>47</v>
      </c>
    </row>
    <row r="3252" spans="19:22">
      <c r="S3252" s="16">
        <v>5293</v>
      </c>
      <c r="T3252" s="16" t="s">
        <v>3630</v>
      </c>
      <c r="U3252" s="17">
        <f>COUNTIFS(WTG_BD!L:L,'Basic Data'!T3252,WTG_BD!F:F,"&gt;="&amp;O2Summary!$B$6,WTG_BD!F:F,"&lt;="&amp;O2Summary!$B$4)</f>
        <v>0</v>
      </c>
      <c r="V3252" s="18">
        <f t="shared" si="57"/>
        <v>47</v>
      </c>
    </row>
    <row r="3253" spans="19:22">
      <c r="S3253" s="16">
        <v>5294</v>
      </c>
      <c r="T3253" s="16" t="s">
        <v>3631</v>
      </c>
      <c r="U3253" s="17">
        <f>COUNTIFS(WTG_BD!L:L,'Basic Data'!T3253,WTG_BD!F:F,"&gt;="&amp;O2Summary!$B$6,WTG_BD!F:F,"&lt;="&amp;O2Summary!$B$4)</f>
        <v>0</v>
      </c>
      <c r="V3253" s="18">
        <f t="shared" si="57"/>
        <v>47</v>
      </c>
    </row>
    <row r="3254" spans="19:22">
      <c r="S3254" s="16">
        <v>5295</v>
      </c>
      <c r="T3254" s="16" t="s">
        <v>3632</v>
      </c>
      <c r="U3254" s="17">
        <f>COUNTIFS(WTG_BD!L:L,'Basic Data'!T3254,WTG_BD!F:F,"&gt;="&amp;O2Summary!$B$6,WTG_BD!F:F,"&lt;="&amp;O2Summary!$B$4)</f>
        <v>0</v>
      </c>
      <c r="V3254" s="18">
        <f t="shared" si="57"/>
        <v>47</v>
      </c>
    </row>
    <row r="3255" spans="19:22">
      <c r="S3255" s="16">
        <v>5296</v>
      </c>
      <c r="T3255" s="16" t="s">
        <v>3633</v>
      </c>
      <c r="U3255" s="17">
        <f>COUNTIFS(WTG_BD!L:L,'Basic Data'!T3255,WTG_BD!F:F,"&gt;="&amp;O2Summary!$B$6,WTG_BD!F:F,"&lt;="&amp;O2Summary!$B$4)</f>
        <v>0</v>
      </c>
      <c r="V3255" s="18">
        <f t="shared" si="57"/>
        <v>47</v>
      </c>
    </row>
    <row r="3256" spans="19:22">
      <c r="S3256" s="16">
        <v>5297</v>
      </c>
      <c r="T3256" s="16" t="s">
        <v>3634</v>
      </c>
      <c r="U3256" s="17">
        <f>COUNTIFS(WTG_BD!L:L,'Basic Data'!T3256,WTG_BD!F:F,"&gt;="&amp;O2Summary!$B$6,WTG_BD!F:F,"&lt;="&amp;O2Summary!$B$4)</f>
        <v>0</v>
      </c>
      <c r="V3256" s="18">
        <f t="shared" si="57"/>
        <v>47</v>
      </c>
    </row>
    <row r="3257" spans="19:22">
      <c r="S3257" s="16">
        <v>5298</v>
      </c>
      <c r="T3257" s="16" t="s">
        <v>3635</v>
      </c>
      <c r="U3257" s="17">
        <f>COUNTIFS(WTG_BD!L:L,'Basic Data'!T3257,WTG_BD!F:F,"&gt;="&amp;O2Summary!$B$6,WTG_BD!F:F,"&lt;="&amp;O2Summary!$B$4)</f>
        <v>0</v>
      </c>
      <c r="V3257" s="18">
        <f t="shared" si="57"/>
        <v>47</v>
      </c>
    </row>
    <row r="3258" spans="19:22">
      <c r="S3258" s="16">
        <v>5299</v>
      </c>
      <c r="T3258" s="16" t="s">
        <v>3630</v>
      </c>
      <c r="U3258" s="17">
        <f>COUNTIFS(WTG_BD!L:L,'Basic Data'!T3258,WTG_BD!F:F,"&gt;="&amp;O2Summary!$B$6,WTG_BD!F:F,"&lt;="&amp;O2Summary!$B$4)</f>
        <v>0</v>
      </c>
      <c r="V3258" s="18">
        <f t="shared" si="57"/>
        <v>47</v>
      </c>
    </row>
    <row r="3259" spans="19:22">
      <c r="S3259" s="16">
        <v>5300</v>
      </c>
      <c r="T3259" s="16" t="s">
        <v>3631</v>
      </c>
      <c r="U3259" s="17">
        <f>COUNTIFS(WTG_BD!L:L,'Basic Data'!T3259,WTG_BD!F:F,"&gt;="&amp;O2Summary!$B$6,WTG_BD!F:F,"&lt;="&amp;O2Summary!$B$4)</f>
        <v>0</v>
      </c>
      <c r="V3259" s="18">
        <f t="shared" si="57"/>
        <v>47</v>
      </c>
    </row>
    <row r="3260" spans="19:22">
      <c r="S3260" s="16">
        <v>5301</v>
      </c>
      <c r="T3260" s="16" t="s">
        <v>3632</v>
      </c>
      <c r="U3260" s="17">
        <f>COUNTIFS(WTG_BD!L:L,'Basic Data'!T3260,WTG_BD!F:F,"&gt;="&amp;O2Summary!$B$6,WTG_BD!F:F,"&lt;="&amp;O2Summary!$B$4)</f>
        <v>0</v>
      </c>
      <c r="V3260" s="18">
        <f t="shared" si="57"/>
        <v>47</v>
      </c>
    </row>
    <row r="3261" spans="19:22">
      <c r="S3261" s="16">
        <v>5302</v>
      </c>
      <c r="T3261" s="16" t="s">
        <v>3633</v>
      </c>
      <c r="U3261" s="17">
        <f>COUNTIFS(WTG_BD!L:L,'Basic Data'!T3261,WTG_BD!F:F,"&gt;="&amp;O2Summary!$B$6,WTG_BD!F:F,"&lt;="&amp;O2Summary!$B$4)</f>
        <v>0</v>
      </c>
      <c r="V3261" s="18">
        <f t="shared" si="57"/>
        <v>47</v>
      </c>
    </row>
    <row r="3262" spans="19:22">
      <c r="S3262" s="16">
        <v>5303</v>
      </c>
      <c r="T3262" s="16" t="s">
        <v>3634</v>
      </c>
      <c r="U3262" s="17">
        <f>COUNTIFS(WTG_BD!L:L,'Basic Data'!T3262,WTG_BD!F:F,"&gt;="&amp;O2Summary!$B$6,WTG_BD!F:F,"&lt;="&amp;O2Summary!$B$4)</f>
        <v>0</v>
      </c>
      <c r="V3262" s="18">
        <f t="shared" si="57"/>
        <v>47</v>
      </c>
    </row>
    <row r="3263" spans="19:22">
      <c r="S3263" s="16">
        <v>5304</v>
      </c>
      <c r="T3263" s="16" t="s">
        <v>3635</v>
      </c>
      <c r="U3263" s="17">
        <f>COUNTIFS(WTG_BD!L:L,'Basic Data'!T3263,WTG_BD!F:F,"&gt;="&amp;O2Summary!$B$6,WTG_BD!F:F,"&lt;="&amp;O2Summary!$B$4)</f>
        <v>0</v>
      </c>
      <c r="V3263" s="18">
        <f t="shared" si="57"/>
        <v>47</v>
      </c>
    </row>
    <row r="3264" spans="19:22">
      <c r="S3264" s="16">
        <v>5305</v>
      </c>
      <c r="T3264" s="16" t="s">
        <v>3636</v>
      </c>
      <c r="U3264" s="17">
        <f>COUNTIFS(WTG_BD!L:L,'Basic Data'!T3264,WTG_BD!F:F,"&gt;="&amp;O2Summary!$B$6,WTG_BD!F:F,"&lt;="&amp;O2Summary!$B$4)</f>
        <v>0</v>
      </c>
      <c r="V3264" s="18">
        <f t="shared" si="57"/>
        <v>47</v>
      </c>
    </row>
    <row r="3265" spans="19:22">
      <c r="S3265" s="16">
        <v>5306</v>
      </c>
      <c r="T3265" s="16" t="s">
        <v>3637</v>
      </c>
      <c r="U3265" s="17">
        <f>COUNTIFS(WTG_BD!L:L,'Basic Data'!T3265,WTG_BD!F:F,"&gt;="&amp;O2Summary!$B$6,WTG_BD!F:F,"&lt;="&amp;O2Summary!$B$4)</f>
        <v>0</v>
      </c>
      <c r="V3265" s="18">
        <f t="shared" si="57"/>
        <v>47</v>
      </c>
    </row>
    <row r="3266" spans="19:22">
      <c r="S3266" s="16">
        <v>5307</v>
      </c>
      <c r="T3266" s="16" t="s">
        <v>3638</v>
      </c>
      <c r="U3266" s="17">
        <f>COUNTIFS(WTG_BD!L:L,'Basic Data'!T3266,WTG_BD!F:F,"&gt;="&amp;O2Summary!$B$6,WTG_BD!F:F,"&lt;="&amp;O2Summary!$B$4)</f>
        <v>0</v>
      </c>
      <c r="V3266" s="18">
        <f t="shared" si="57"/>
        <v>47</v>
      </c>
    </row>
    <row r="3267" spans="19:22">
      <c r="S3267" s="16">
        <v>5308</v>
      </c>
      <c r="T3267" s="16" t="s">
        <v>3639</v>
      </c>
      <c r="U3267" s="17">
        <f>COUNTIFS(WTG_BD!L:L,'Basic Data'!T3267,WTG_BD!F:F,"&gt;="&amp;O2Summary!$B$6,WTG_BD!F:F,"&lt;="&amp;O2Summary!$B$4)</f>
        <v>0</v>
      </c>
      <c r="V3267" s="18">
        <f t="shared" ref="V3267:V3330" si="58">RANK(U3267,$U$2:$U$3975)</f>
        <v>47</v>
      </c>
    </row>
    <row r="3268" spans="19:22">
      <c r="S3268" s="16">
        <v>5309</v>
      </c>
      <c r="T3268" s="16" t="s">
        <v>3640</v>
      </c>
      <c r="U3268" s="17">
        <f>COUNTIFS(WTG_BD!L:L,'Basic Data'!T3268,WTG_BD!F:F,"&gt;="&amp;O2Summary!$B$6,WTG_BD!F:F,"&lt;="&amp;O2Summary!$B$4)</f>
        <v>0</v>
      </c>
      <c r="V3268" s="18">
        <f t="shared" si="58"/>
        <v>47</v>
      </c>
    </row>
    <row r="3269" spans="19:22">
      <c r="S3269" s="16">
        <v>5310</v>
      </c>
      <c r="T3269" s="16" t="s">
        <v>3641</v>
      </c>
      <c r="U3269" s="17">
        <f>COUNTIFS(WTG_BD!L:L,'Basic Data'!T3269,WTG_BD!F:F,"&gt;="&amp;O2Summary!$B$6,WTG_BD!F:F,"&lt;="&amp;O2Summary!$B$4)</f>
        <v>0</v>
      </c>
      <c r="V3269" s="18">
        <f t="shared" si="58"/>
        <v>47</v>
      </c>
    </row>
    <row r="3270" spans="19:22">
      <c r="S3270" s="16">
        <v>5311</v>
      </c>
      <c r="T3270" s="16" t="s">
        <v>3642</v>
      </c>
      <c r="U3270" s="17">
        <f>COUNTIFS(WTG_BD!L:L,'Basic Data'!T3270,WTG_BD!F:F,"&gt;="&amp;O2Summary!$B$6,WTG_BD!F:F,"&lt;="&amp;O2Summary!$B$4)</f>
        <v>0</v>
      </c>
      <c r="V3270" s="18">
        <f t="shared" si="58"/>
        <v>47</v>
      </c>
    </row>
    <row r="3271" spans="19:22">
      <c r="S3271" s="16">
        <v>5312</v>
      </c>
      <c r="T3271" s="16" t="s">
        <v>3643</v>
      </c>
      <c r="U3271" s="17">
        <f>COUNTIFS(WTG_BD!L:L,'Basic Data'!T3271,WTG_BD!F:F,"&gt;="&amp;O2Summary!$B$6,WTG_BD!F:F,"&lt;="&amp;O2Summary!$B$4)</f>
        <v>0</v>
      </c>
      <c r="V3271" s="18">
        <f t="shared" si="58"/>
        <v>47</v>
      </c>
    </row>
    <row r="3272" spans="19:22">
      <c r="S3272" s="16">
        <v>5313</v>
      </c>
      <c r="T3272" s="16" t="s">
        <v>3644</v>
      </c>
      <c r="U3272" s="17">
        <f>COUNTIFS(WTG_BD!L:L,'Basic Data'!T3272,WTG_BD!F:F,"&gt;="&amp;O2Summary!$B$6,WTG_BD!F:F,"&lt;="&amp;O2Summary!$B$4)</f>
        <v>0</v>
      </c>
      <c r="V3272" s="18">
        <f t="shared" si="58"/>
        <v>47</v>
      </c>
    </row>
    <row r="3273" spans="19:22">
      <c r="S3273" s="16">
        <v>5314</v>
      </c>
      <c r="T3273" s="16" t="s">
        <v>3645</v>
      </c>
      <c r="U3273" s="17">
        <f>COUNTIFS(WTG_BD!L:L,'Basic Data'!T3273,WTG_BD!F:F,"&gt;="&amp;O2Summary!$B$6,WTG_BD!F:F,"&lt;="&amp;O2Summary!$B$4)</f>
        <v>0</v>
      </c>
      <c r="V3273" s="18">
        <f t="shared" si="58"/>
        <v>47</v>
      </c>
    </row>
    <row r="3274" spans="19:22">
      <c r="S3274" s="16">
        <v>5315</v>
      </c>
      <c r="T3274" s="16" t="s">
        <v>3646</v>
      </c>
      <c r="U3274" s="17">
        <f>COUNTIFS(WTG_BD!L:L,'Basic Data'!T3274,WTG_BD!F:F,"&gt;="&amp;O2Summary!$B$6,WTG_BD!F:F,"&lt;="&amp;O2Summary!$B$4)</f>
        <v>0</v>
      </c>
      <c r="V3274" s="18">
        <f t="shared" si="58"/>
        <v>47</v>
      </c>
    </row>
    <row r="3275" spans="19:22">
      <c r="S3275" s="16">
        <v>5316</v>
      </c>
      <c r="T3275" s="16" t="s">
        <v>3647</v>
      </c>
      <c r="U3275" s="17">
        <f>COUNTIFS(WTG_BD!L:L,'Basic Data'!T3275,WTG_BD!F:F,"&gt;="&amp;O2Summary!$B$6,WTG_BD!F:F,"&lt;="&amp;O2Summary!$B$4)</f>
        <v>0</v>
      </c>
      <c r="V3275" s="18">
        <f t="shared" si="58"/>
        <v>47</v>
      </c>
    </row>
    <row r="3276" spans="19:22">
      <c r="S3276" s="16">
        <v>5317</v>
      </c>
      <c r="T3276" s="16" t="s">
        <v>3648</v>
      </c>
      <c r="U3276" s="17">
        <f>COUNTIFS(WTG_BD!L:L,'Basic Data'!T3276,WTG_BD!F:F,"&gt;="&amp;O2Summary!$B$6,WTG_BD!F:F,"&lt;="&amp;O2Summary!$B$4)</f>
        <v>0</v>
      </c>
      <c r="V3276" s="18">
        <f t="shared" si="58"/>
        <v>47</v>
      </c>
    </row>
    <row r="3277" spans="19:22">
      <c r="S3277" s="16">
        <v>5318</v>
      </c>
      <c r="T3277" s="16" t="s">
        <v>3649</v>
      </c>
      <c r="U3277" s="17">
        <f>COUNTIFS(WTG_BD!L:L,'Basic Data'!T3277,WTG_BD!F:F,"&gt;="&amp;O2Summary!$B$6,WTG_BD!F:F,"&lt;="&amp;O2Summary!$B$4)</f>
        <v>0</v>
      </c>
      <c r="V3277" s="18">
        <f t="shared" si="58"/>
        <v>47</v>
      </c>
    </row>
    <row r="3278" spans="19:22">
      <c r="S3278" s="16">
        <v>5319</v>
      </c>
      <c r="T3278" s="16" t="s">
        <v>3650</v>
      </c>
      <c r="U3278" s="17">
        <f>COUNTIFS(WTG_BD!L:L,'Basic Data'!T3278,WTG_BD!F:F,"&gt;="&amp;O2Summary!$B$6,WTG_BD!F:F,"&lt;="&amp;O2Summary!$B$4)</f>
        <v>0</v>
      </c>
      <c r="V3278" s="18">
        <f t="shared" si="58"/>
        <v>47</v>
      </c>
    </row>
    <row r="3279" spans="19:22">
      <c r="S3279" s="16">
        <v>5320</v>
      </c>
      <c r="T3279" s="16" t="s">
        <v>3651</v>
      </c>
      <c r="U3279" s="17">
        <f>COUNTIFS(WTG_BD!L:L,'Basic Data'!T3279,WTG_BD!F:F,"&gt;="&amp;O2Summary!$B$6,WTG_BD!F:F,"&lt;="&amp;O2Summary!$B$4)</f>
        <v>0</v>
      </c>
      <c r="V3279" s="18">
        <f t="shared" si="58"/>
        <v>47</v>
      </c>
    </row>
    <row r="3280" spans="19:22">
      <c r="S3280" s="16">
        <v>5321</v>
      </c>
      <c r="T3280" s="16" t="s">
        <v>3652</v>
      </c>
      <c r="U3280" s="17">
        <f>COUNTIFS(WTG_BD!L:L,'Basic Data'!T3280,WTG_BD!F:F,"&gt;="&amp;O2Summary!$B$6,WTG_BD!F:F,"&lt;="&amp;O2Summary!$B$4)</f>
        <v>0</v>
      </c>
      <c r="V3280" s="18">
        <f t="shared" si="58"/>
        <v>47</v>
      </c>
    </row>
    <row r="3281" spans="19:22">
      <c r="S3281" s="16">
        <v>5322</v>
      </c>
      <c r="T3281" s="16" t="s">
        <v>3653</v>
      </c>
      <c r="U3281" s="17">
        <f>COUNTIFS(WTG_BD!L:L,'Basic Data'!T3281,WTG_BD!F:F,"&gt;="&amp;O2Summary!$B$6,WTG_BD!F:F,"&lt;="&amp;O2Summary!$B$4)</f>
        <v>0</v>
      </c>
      <c r="V3281" s="18">
        <f t="shared" si="58"/>
        <v>47</v>
      </c>
    </row>
    <row r="3282" spans="19:22">
      <c r="S3282" s="16">
        <v>5323</v>
      </c>
      <c r="T3282" s="16" t="s">
        <v>3654</v>
      </c>
      <c r="U3282" s="17">
        <f>COUNTIFS(WTG_BD!L:L,'Basic Data'!T3282,WTG_BD!F:F,"&gt;="&amp;O2Summary!$B$6,WTG_BD!F:F,"&lt;="&amp;O2Summary!$B$4)</f>
        <v>0</v>
      </c>
      <c r="V3282" s="18">
        <f t="shared" si="58"/>
        <v>47</v>
      </c>
    </row>
    <row r="3283" spans="19:22">
      <c r="S3283" s="16">
        <v>5324</v>
      </c>
      <c r="T3283" s="16" t="s">
        <v>3655</v>
      </c>
      <c r="U3283" s="17">
        <f>COUNTIFS(WTG_BD!L:L,'Basic Data'!T3283,WTG_BD!F:F,"&gt;="&amp;O2Summary!$B$6,WTG_BD!F:F,"&lt;="&amp;O2Summary!$B$4)</f>
        <v>0</v>
      </c>
      <c r="V3283" s="18">
        <f t="shared" si="58"/>
        <v>47</v>
      </c>
    </row>
    <row r="3284" spans="19:22">
      <c r="S3284" s="16">
        <v>5325</v>
      </c>
      <c r="T3284" s="16" t="s">
        <v>3656</v>
      </c>
      <c r="U3284" s="17">
        <f>COUNTIFS(WTG_BD!L:L,'Basic Data'!T3284,WTG_BD!F:F,"&gt;="&amp;O2Summary!$B$6,WTG_BD!F:F,"&lt;="&amp;O2Summary!$B$4)</f>
        <v>0</v>
      </c>
      <c r="V3284" s="18">
        <f t="shared" si="58"/>
        <v>47</v>
      </c>
    </row>
    <row r="3285" spans="19:22">
      <c r="S3285" s="16">
        <v>5326</v>
      </c>
      <c r="T3285" s="16" t="s">
        <v>3657</v>
      </c>
      <c r="U3285" s="17">
        <f>COUNTIFS(WTG_BD!L:L,'Basic Data'!T3285,WTG_BD!F:F,"&gt;="&amp;O2Summary!$B$6,WTG_BD!F:F,"&lt;="&amp;O2Summary!$B$4)</f>
        <v>0</v>
      </c>
      <c r="V3285" s="18">
        <f t="shared" si="58"/>
        <v>47</v>
      </c>
    </row>
    <row r="3286" spans="19:22">
      <c r="S3286" s="16">
        <v>5327</v>
      </c>
      <c r="T3286" s="16" t="s">
        <v>3658</v>
      </c>
      <c r="U3286" s="17">
        <f>COUNTIFS(WTG_BD!L:L,'Basic Data'!T3286,WTG_BD!F:F,"&gt;="&amp;O2Summary!$B$6,WTG_BD!F:F,"&lt;="&amp;O2Summary!$B$4)</f>
        <v>0</v>
      </c>
      <c r="V3286" s="18">
        <f t="shared" si="58"/>
        <v>47</v>
      </c>
    </row>
    <row r="3287" spans="19:22">
      <c r="S3287" s="16">
        <v>5328</v>
      </c>
      <c r="T3287" s="16" t="s">
        <v>3659</v>
      </c>
      <c r="U3287" s="17">
        <f>COUNTIFS(WTG_BD!L:L,'Basic Data'!T3287,WTG_BD!F:F,"&gt;="&amp;O2Summary!$B$6,WTG_BD!F:F,"&lt;="&amp;O2Summary!$B$4)</f>
        <v>0</v>
      </c>
      <c r="V3287" s="18">
        <f t="shared" si="58"/>
        <v>47</v>
      </c>
    </row>
    <row r="3288" spans="19:22">
      <c r="S3288" s="16">
        <v>5329</v>
      </c>
      <c r="T3288" s="16" t="s">
        <v>3660</v>
      </c>
      <c r="U3288" s="17">
        <f>COUNTIFS(WTG_BD!L:L,'Basic Data'!T3288,WTG_BD!F:F,"&gt;="&amp;O2Summary!$B$6,WTG_BD!F:F,"&lt;="&amp;O2Summary!$B$4)</f>
        <v>0</v>
      </c>
      <c r="V3288" s="18">
        <f t="shared" si="58"/>
        <v>47</v>
      </c>
    </row>
    <row r="3289" spans="19:22">
      <c r="S3289" s="16">
        <v>5330</v>
      </c>
      <c r="T3289" s="16" t="s">
        <v>3661</v>
      </c>
      <c r="U3289" s="17">
        <f>COUNTIFS(WTG_BD!L:L,'Basic Data'!T3289,WTG_BD!F:F,"&gt;="&amp;O2Summary!$B$6,WTG_BD!F:F,"&lt;="&amp;O2Summary!$B$4)</f>
        <v>0</v>
      </c>
      <c r="V3289" s="18">
        <f t="shared" si="58"/>
        <v>47</v>
      </c>
    </row>
    <row r="3290" spans="19:22">
      <c r="S3290" s="16">
        <v>5331</v>
      </c>
      <c r="T3290" s="16" t="s">
        <v>3662</v>
      </c>
      <c r="U3290" s="17">
        <f>COUNTIFS(WTG_BD!L:L,'Basic Data'!T3290,WTG_BD!F:F,"&gt;="&amp;O2Summary!$B$6,WTG_BD!F:F,"&lt;="&amp;O2Summary!$B$4)</f>
        <v>0</v>
      </c>
      <c r="V3290" s="18">
        <f t="shared" si="58"/>
        <v>47</v>
      </c>
    </row>
    <row r="3291" spans="19:22">
      <c r="S3291" s="16">
        <v>5332</v>
      </c>
      <c r="T3291" s="16" t="s">
        <v>3663</v>
      </c>
      <c r="U3291" s="17">
        <f>COUNTIFS(WTG_BD!L:L,'Basic Data'!T3291,WTG_BD!F:F,"&gt;="&amp;O2Summary!$B$6,WTG_BD!F:F,"&lt;="&amp;O2Summary!$B$4)</f>
        <v>0</v>
      </c>
      <c r="V3291" s="18">
        <f t="shared" si="58"/>
        <v>47</v>
      </c>
    </row>
    <row r="3292" spans="19:22">
      <c r="S3292" s="16">
        <v>5333</v>
      </c>
      <c r="T3292" s="16" t="s">
        <v>3664</v>
      </c>
      <c r="U3292" s="17">
        <f>COUNTIFS(WTG_BD!L:L,'Basic Data'!T3292,WTG_BD!F:F,"&gt;="&amp;O2Summary!$B$6,WTG_BD!F:F,"&lt;="&amp;O2Summary!$B$4)</f>
        <v>0</v>
      </c>
      <c r="V3292" s="18">
        <f t="shared" si="58"/>
        <v>47</v>
      </c>
    </row>
    <row r="3293" spans="19:22">
      <c r="S3293" s="16">
        <v>5334</v>
      </c>
      <c r="T3293" s="16" t="s">
        <v>3665</v>
      </c>
      <c r="U3293" s="17">
        <f>COUNTIFS(WTG_BD!L:L,'Basic Data'!T3293,WTG_BD!F:F,"&gt;="&amp;O2Summary!$B$6,WTG_BD!F:F,"&lt;="&amp;O2Summary!$B$4)</f>
        <v>0</v>
      </c>
      <c r="V3293" s="18">
        <f t="shared" si="58"/>
        <v>47</v>
      </c>
    </row>
    <row r="3294" spans="19:22">
      <c r="S3294" s="16">
        <v>5335</v>
      </c>
      <c r="T3294" s="16" t="s">
        <v>3666</v>
      </c>
      <c r="U3294" s="17">
        <f>COUNTIFS(WTG_BD!L:L,'Basic Data'!T3294,WTG_BD!F:F,"&gt;="&amp;O2Summary!$B$6,WTG_BD!F:F,"&lt;="&amp;O2Summary!$B$4)</f>
        <v>0</v>
      </c>
      <c r="V3294" s="18">
        <f t="shared" si="58"/>
        <v>47</v>
      </c>
    </row>
    <row r="3295" spans="19:22">
      <c r="S3295" s="16">
        <v>5336</v>
      </c>
      <c r="T3295" s="16" t="s">
        <v>3667</v>
      </c>
      <c r="U3295" s="17">
        <f>COUNTIFS(WTG_BD!L:L,'Basic Data'!T3295,WTG_BD!F:F,"&gt;="&amp;O2Summary!$B$6,WTG_BD!F:F,"&lt;="&amp;O2Summary!$B$4)</f>
        <v>0</v>
      </c>
      <c r="V3295" s="18">
        <f t="shared" si="58"/>
        <v>47</v>
      </c>
    </row>
    <row r="3296" spans="19:22">
      <c r="S3296" s="16">
        <v>5337</v>
      </c>
      <c r="T3296" s="16" t="s">
        <v>3668</v>
      </c>
      <c r="U3296" s="17">
        <f>COUNTIFS(WTG_BD!L:L,'Basic Data'!T3296,WTG_BD!F:F,"&gt;="&amp;O2Summary!$B$6,WTG_BD!F:F,"&lt;="&amp;O2Summary!$B$4)</f>
        <v>0</v>
      </c>
      <c r="V3296" s="18">
        <f t="shared" si="58"/>
        <v>47</v>
      </c>
    </row>
    <row r="3297" spans="19:22">
      <c r="S3297" s="16">
        <v>5338</v>
      </c>
      <c r="T3297" s="16" t="s">
        <v>3669</v>
      </c>
      <c r="U3297" s="17">
        <f>COUNTIFS(WTG_BD!L:L,'Basic Data'!T3297,WTG_BD!F:F,"&gt;="&amp;O2Summary!$B$6,WTG_BD!F:F,"&lt;="&amp;O2Summary!$B$4)</f>
        <v>0</v>
      </c>
      <c r="V3297" s="18">
        <f t="shared" si="58"/>
        <v>47</v>
      </c>
    </row>
    <row r="3298" spans="19:22">
      <c r="S3298" s="16">
        <v>5339</v>
      </c>
      <c r="T3298" s="16" t="s">
        <v>3670</v>
      </c>
      <c r="U3298" s="17">
        <f>COUNTIFS(WTG_BD!L:L,'Basic Data'!T3298,WTG_BD!F:F,"&gt;="&amp;O2Summary!$B$6,WTG_BD!F:F,"&lt;="&amp;O2Summary!$B$4)</f>
        <v>0</v>
      </c>
      <c r="V3298" s="18">
        <f t="shared" si="58"/>
        <v>47</v>
      </c>
    </row>
    <row r="3299" spans="19:22">
      <c r="S3299" s="16">
        <v>5340</v>
      </c>
      <c r="T3299" s="16" t="s">
        <v>3671</v>
      </c>
      <c r="U3299" s="17">
        <f>COUNTIFS(WTG_BD!L:L,'Basic Data'!T3299,WTG_BD!F:F,"&gt;="&amp;O2Summary!$B$6,WTG_BD!F:F,"&lt;="&amp;O2Summary!$B$4)</f>
        <v>0</v>
      </c>
      <c r="V3299" s="18">
        <f t="shared" si="58"/>
        <v>47</v>
      </c>
    </row>
    <row r="3300" spans="19:22">
      <c r="S3300" s="16">
        <v>5341</v>
      </c>
      <c r="T3300" s="16" t="s">
        <v>3672</v>
      </c>
      <c r="U3300" s="17">
        <f>COUNTIFS(WTG_BD!L:L,'Basic Data'!T3300,WTG_BD!F:F,"&gt;="&amp;O2Summary!$B$6,WTG_BD!F:F,"&lt;="&amp;O2Summary!$B$4)</f>
        <v>0</v>
      </c>
      <c r="V3300" s="18">
        <f t="shared" si="58"/>
        <v>47</v>
      </c>
    </row>
    <row r="3301" spans="19:22">
      <c r="S3301" s="16">
        <v>5342</v>
      </c>
      <c r="T3301" s="16" t="s">
        <v>3673</v>
      </c>
      <c r="U3301" s="17">
        <f>COUNTIFS(WTG_BD!L:L,'Basic Data'!T3301,WTG_BD!F:F,"&gt;="&amp;O2Summary!$B$6,WTG_BD!F:F,"&lt;="&amp;O2Summary!$B$4)</f>
        <v>0</v>
      </c>
      <c r="V3301" s="18">
        <f t="shared" si="58"/>
        <v>47</v>
      </c>
    </row>
    <row r="3302" spans="19:22">
      <c r="S3302" s="16">
        <v>5343</v>
      </c>
      <c r="T3302" s="16" t="s">
        <v>3674</v>
      </c>
      <c r="U3302" s="17">
        <f>COUNTIFS(WTG_BD!L:L,'Basic Data'!T3302,WTG_BD!F:F,"&gt;="&amp;O2Summary!$B$6,WTG_BD!F:F,"&lt;="&amp;O2Summary!$B$4)</f>
        <v>0</v>
      </c>
      <c r="V3302" s="18">
        <f t="shared" si="58"/>
        <v>47</v>
      </c>
    </row>
    <row r="3303" spans="19:22">
      <c r="S3303" s="16">
        <v>5344</v>
      </c>
      <c r="T3303" s="16" t="s">
        <v>3675</v>
      </c>
      <c r="U3303" s="17">
        <f>COUNTIFS(WTG_BD!L:L,'Basic Data'!T3303,WTG_BD!F:F,"&gt;="&amp;O2Summary!$B$6,WTG_BD!F:F,"&lt;="&amp;O2Summary!$B$4)</f>
        <v>0</v>
      </c>
      <c r="V3303" s="18">
        <f t="shared" si="58"/>
        <v>47</v>
      </c>
    </row>
    <row r="3304" spans="19:22">
      <c r="S3304" s="16">
        <v>5345</v>
      </c>
      <c r="T3304" s="16" t="s">
        <v>3676</v>
      </c>
      <c r="U3304" s="17">
        <f>COUNTIFS(WTG_BD!L:L,'Basic Data'!T3304,WTG_BD!F:F,"&gt;="&amp;O2Summary!$B$6,WTG_BD!F:F,"&lt;="&amp;O2Summary!$B$4)</f>
        <v>0</v>
      </c>
      <c r="V3304" s="18">
        <f t="shared" si="58"/>
        <v>47</v>
      </c>
    </row>
    <row r="3305" spans="19:22">
      <c r="S3305" s="26">
        <v>5346</v>
      </c>
      <c r="T3305" s="26" t="s">
        <v>3677</v>
      </c>
      <c r="U3305" s="17">
        <f>COUNTIFS(WTG_BD!L:L,'Basic Data'!T3305,WTG_BD!F:F,"&gt;="&amp;O2Summary!$B$6,WTG_BD!F:F,"&lt;="&amp;O2Summary!$B$4)</f>
        <v>0</v>
      </c>
      <c r="V3305" s="18">
        <f t="shared" si="58"/>
        <v>47</v>
      </c>
    </row>
    <row r="3306" spans="19:22">
      <c r="S3306" s="16">
        <v>5347</v>
      </c>
      <c r="T3306" s="16" t="s">
        <v>3678</v>
      </c>
      <c r="U3306" s="17">
        <f>COUNTIFS(WTG_BD!L:L,'Basic Data'!T3306,WTG_BD!F:F,"&gt;="&amp;O2Summary!$B$6,WTG_BD!F:F,"&lt;="&amp;O2Summary!$B$4)</f>
        <v>0</v>
      </c>
      <c r="V3306" s="18">
        <f t="shared" si="58"/>
        <v>47</v>
      </c>
    </row>
    <row r="3307" spans="19:22">
      <c r="S3307" s="16">
        <v>5348</v>
      </c>
      <c r="T3307" s="16" t="s">
        <v>3679</v>
      </c>
      <c r="U3307" s="17">
        <f>COUNTIFS(WTG_BD!L:L,'Basic Data'!T3307,WTG_BD!F:F,"&gt;="&amp;O2Summary!$B$6,WTG_BD!F:F,"&lt;="&amp;O2Summary!$B$4)</f>
        <v>0</v>
      </c>
      <c r="V3307" s="18">
        <f t="shared" si="58"/>
        <v>47</v>
      </c>
    </row>
    <row r="3308" spans="19:22">
      <c r="S3308" s="16">
        <v>5349</v>
      </c>
      <c r="T3308" s="16" t="s">
        <v>3680</v>
      </c>
      <c r="U3308" s="17">
        <f>COUNTIFS(WTG_BD!L:L,'Basic Data'!T3308,WTG_BD!F:F,"&gt;="&amp;O2Summary!$B$6,WTG_BD!F:F,"&lt;="&amp;O2Summary!$B$4)</f>
        <v>0</v>
      </c>
      <c r="V3308" s="18">
        <f t="shared" si="58"/>
        <v>47</v>
      </c>
    </row>
    <row r="3309" spans="19:22">
      <c r="S3309" s="16">
        <v>5350</v>
      </c>
      <c r="T3309" s="16" t="s">
        <v>3681</v>
      </c>
      <c r="U3309" s="17">
        <f>COUNTIFS(WTG_BD!L:L,'Basic Data'!T3309,WTG_BD!F:F,"&gt;="&amp;O2Summary!$B$6,WTG_BD!F:F,"&lt;="&amp;O2Summary!$B$4)</f>
        <v>0</v>
      </c>
      <c r="V3309" s="18">
        <f t="shared" si="58"/>
        <v>47</v>
      </c>
    </row>
    <row r="3310" spans="19:22">
      <c r="S3310" s="16">
        <v>5351</v>
      </c>
      <c r="T3310" s="16" t="s">
        <v>3682</v>
      </c>
      <c r="U3310" s="17">
        <f>COUNTIFS(WTG_BD!L:L,'Basic Data'!T3310,WTG_BD!F:F,"&gt;="&amp;O2Summary!$B$6,WTG_BD!F:F,"&lt;="&amp;O2Summary!$B$4)</f>
        <v>0</v>
      </c>
      <c r="V3310" s="18">
        <f t="shared" si="58"/>
        <v>47</v>
      </c>
    </row>
    <row r="3311" spans="19:22">
      <c r="S3311" s="16">
        <v>5352</v>
      </c>
      <c r="T3311" s="16" t="s">
        <v>3683</v>
      </c>
      <c r="U3311" s="17">
        <f>COUNTIFS(WTG_BD!L:L,'Basic Data'!T3311,WTG_BD!F:F,"&gt;="&amp;O2Summary!$B$6,WTG_BD!F:F,"&lt;="&amp;O2Summary!$B$4)</f>
        <v>0</v>
      </c>
      <c r="V3311" s="18">
        <f t="shared" si="58"/>
        <v>47</v>
      </c>
    </row>
    <row r="3312" spans="19:22">
      <c r="S3312" s="16">
        <v>5353</v>
      </c>
      <c r="T3312" s="16" t="s">
        <v>3684</v>
      </c>
      <c r="U3312" s="17">
        <f>COUNTIFS(WTG_BD!L:L,'Basic Data'!T3312,WTG_BD!F:F,"&gt;="&amp;O2Summary!$B$6,WTG_BD!F:F,"&lt;="&amp;O2Summary!$B$4)</f>
        <v>0</v>
      </c>
      <c r="V3312" s="18">
        <f t="shared" si="58"/>
        <v>47</v>
      </c>
    </row>
    <row r="3313" spans="19:22">
      <c r="S3313" s="16">
        <v>5354</v>
      </c>
      <c r="T3313" s="16" t="s">
        <v>3685</v>
      </c>
      <c r="U3313" s="17">
        <f>COUNTIFS(WTG_BD!L:L,'Basic Data'!T3313,WTG_BD!F:F,"&gt;="&amp;O2Summary!$B$6,WTG_BD!F:F,"&lt;="&amp;O2Summary!$B$4)</f>
        <v>0</v>
      </c>
      <c r="V3313" s="18">
        <f t="shared" si="58"/>
        <v>47</v>
      </c>
    </row>
    <row r="3314" spans="19:22">
      <c r="S3314" s="16">
        <v>5355</v>
      </c>
      <c r="T3314" s="16" t="s">
        <v>3686</v>
      </c>
      <c r="U3314" s="17">
        <f>COUNTIFS(WTG_BD!L:L,'Basic Data'!T3314,WTG_BD!F:F,"&gt;="&amp;O2Summary!$B$6,WTG_BD!F:F,"&lt;="&amp;O2Summary!$B$4)</f>
        <v>0</v>
      </c>
      <c r="V3314" s="18">
        <f t="shared" si="58"/>
        <v>47</v>
      </c>
    </row>
    <row r="3315" spans="19:22">
      <c r="S3315" s="16">
        <v>5356</v>
      </c>
      <c r="T3315" s="16" t="s">
        <v>3687</v>
      </c>
      <c r="U3315" s="17">
        <f>COUNTIFS(WTG_BD!L:L,'Basic Data'!T3315,WTG_BD!F:F,"&gt;="&amp;O2Summary!$B$6,WTG_BD!F:F,"&lt;="&amp;O2Summary!$B$4)</f>
        <v>0</v>
      </c>
      <c r="V3315" s="18">
        <f t="shared" si="58"/>
        <v>47</v>
      </c>
    </row>
    <row r="3316" spans="19:22">
      <c r="S3316" s="16">
        <v>5357</v>
      </c>
      <c r="T3316" s="16" t="s">
        <v>3688</v>
      </c>
      <c r="U3316" s="17">
        <f>COUNTIFS(WTG_BD!L:L,'Basic Data'!T3316,WTG_BD!F:F,"&gt;="&amp;O2Summary!$B$6,WTG_BD!F:F,"&lt;="&amp;O2Summary!$B$4)</f>
        <v>0</v>
      </c>
      <c r="V3316" s="18">
        <f t="shared" si="58"/>
        <v>47</v>
      </c>
    </row>
    <row r="3317" spans="19:22">
      <c r="S3317" s="16">
        <v>5358</v>
      </c>
      <c r="T3317" s="16" t="s">
        <v>3689</v>
      </c>
      <c r="U3317" s="17">
        <f>COUNTIFS(WTG_BD!L:L,'Basic Data'!T3317,WTG_BD!F:F,"&gt;="&amp;O2Summary!$B$6,WTG_BD!F:F,"&lt;="&amp;O2Summary!$B$4)</f>
        <v>0</v>
      </c>
      <c r="V3317" s="18">
        <f t="shared" si="58"/>
        <v>47</v>
      </c>
    </row>
    <row r="3318" spans="19:22">
      <c r="S3318" s="16">
        <v>5359</v>
      </c>
      <c r="T3318" s="16" t="s">
        <v>3690</v>
      </c>
      <c r="U3318" s="17">
        <f>COUNTIFS(WTG_BD!L:L,'Basic Data'!T3318,WTG_BD!F:F,"&gt;="&amp;O2Summary!$B$6,WTG_BD!F:F,"&lt;="&amp;O2Summary!$B$4)</f>
        <v>0</v>
      </c>
      <c r="V3318" s="18">
        <f t="shared" si="58"/>
        <v>47</v>
      </c>
    </row>
    <row r="3319" spans="19:22">
      <c r="S3319" s="16">
        <v>5360</v>
      </c>
      <c r="T3319" s="16" t="s">
        <v>3691</v>
      </c>
      <c r="U3319" s="17">
        <f>COUNTIFS(WTG_BD!L:L,'Basic Data'!T3319,WTG_BD!F:F,"&gt;="&amp;O2Summary!$B$6,WTG_BD!F:F,"&lt;="&amp;O2Summary!$B$4)</f>
        <v>0</v>
      </c>
      <c r="V3319" s="18">
        <f t="shared" si="58"/>
        <v>47</v>
      </c>
    </row>
    <row r="3320" spans="19:22">
      <c r="S3320" s="16">
        <v>5361</v>
      </c>
      <c r="T3320" s="16" t="s">
        <v>3692</v>
      </c>
      <c r="U3320" s="17">
        <f>COUNTIFS(WTG_BD!L:L,'Basic Data'!T3320,WTG_BD!F:F,"&gt;="&amp;O2Summary!$B$6,WTG_BD!F:F,"&lt;="&amp;O2Summary!$B$4)</f>
        <v>0</v>
      </c>
      <c r="V3320" s="18">
        <f t="shared" si="58"/>
        <v>47</v>
      </c>
    </row>
    <row r="3321" spans="19:22">
      <c r="S3321" s="16">
        <v>5362</v>
      </c>
      <c r="T3321" s="16" t="s">
        <v>3693</v>
      </c>
      <c r="U3321" s="17">
        <f>COUNTIFS(WTG_BD!L:L,'Basic Data'!T3321,WTG_BD!F:F,"&gt;="&amp;O2Summary!$B$6,WTG_BD!F:F,"&lt;="&amp;O2Summary!$B$4)</f>
        <v>0</v>
      </c>
      <c r="V3321" s="18">
        <f t="shared" si="58"/>
        <v>47</v>
      </c>
    </row>
    <row r="3322" spans="19:22">
      <c r="S3322" s="16">
        <v>5363</v>
      </c>
      <c r="T3322" s="16" t="s">
        <v>3694</v>
      </c>
      <c r="U3322" s="17">
        <f>COUNTIFS(WTG_BD!L:L,'Basic Data'!T3322,WTG_BD!F:F,"&gt;="&amp;O2Summary!$B$6,WTG_BD!F:F,"&lt;="&amp;O2Summary!$B$4)</f>
        <v>0</v>
      </c>
      <c r="V3322" s="18">
        <f t="shared" si="58"/>
        <v>47</v>
      </c>
    </row>
    <row r="3323" spans="19:22">
      <c r="S3323" s="26">
        <v>5364</v>
      </c>
      <c r="T3323" s="26" t="s">
        <v>3695</v>
      </c>
      <c r="U3323" s="17">
        <f>COUNTIFS(WTG_BD!L:L,'Basic Data'!T3323,WTG_BD!F:F,"&gt;="&amp;O2Summary!$B$6,WTG_BD!F:F,"&lt;="&amp;O2Summary!$B$4)</f>
        <v>0</v>
      </c>
      <c r="V3323" s="18">
        <f t="shared" si="58"/>
        <v>47</v>
      </c>
    </row>
    <row r="3324" spans="19:22">
      <c r="S3324" s="26">
        <v>5365</v>
      </c>
      <c r="T3324" s="26" t="s">
        <v>3696</v>
      </c>
      <c r="U3324" s="17">
        <f>COUNTIFS(WTG_BD!L:L,'Basic Data'!T3324,WTG_BD!F:F,"&gt;="&amp;O2Summary!$B$6,WTG_BD!F:F,"&lt;="&amp;O2Summary!$B$4)</f>
        <v>0</v>
      </c>
      <c r="V3324" s="18">
        <f t="shared" si="58"/>
        <v>47</v>
      </c>
    </row>
    <row r="3325" spans="19:22">
      <c r="S3325" s="16">
        <v>5366</v>
      </c>
      <c r="T3325" s="16" t="s">
        <v>3697</v>
      </c>
      <c r="U3325" s="17">
        <f>COUNTIFS(WTG_BD!L:L,'Basic Data'!T3325,WTG_BD!F:F,"&gt;="&amp;O2Summary!$B$6,WTG_BD!F:F,"&lt;="&amp;O2Summary!$B$4)</f>
        <v>0</v>
      </c>
      <c r="V3325" s="18">
        <f t="shared" si="58"/>
        <v>47</v>
      </c>
    </row>
    <row r="3326" spans="19:22">
      <c r="S3326" s="26">
        <v>5367</v>
      </c>
      <c r="T3326" s="26" t="s">
        <v>3698</v>
      </c>
      <c r="U3326" s="17">
        <f>COUNTIFS(WTG_BD!L:L,'Basic Data'!T3326,WTG_BD!F:F,"&gt;="&amp;O2Summary!$B$6,WTG_BD!F:F,"&lt;="&amp;O2Summary!$B$4)</f>
        <v>0</v>
      </c>
      <c r="V3326" s="18">
        <f t="shared" si="58"/>
        <v>47</v>
      </c>
    </row>
    <row r="3327" spans="19:22">
      <c r="S3327" s="26">
        <v>5368</v>
      </c>
      <c r="T3327" s="26" t="s">
        <v>3699</v>
      </c>
      <c r="U3327" s="17">
        <f>COUNTIFS(WTG_BD!L:L,'Basic Data'!T3327,WTG_BD!F:F,"&gt;="&amp;O2Summary!$B$6,WTG_BD!F:F,"&lt;="&amp;O2Summary!$B$4)</f>
        <v>0</v>
      </c>
      <c r="V3327" s="18">
        <f t="shared" si="58"/>
        <v>47</v>
      </c>
    </row>
    <row r="3328" spans="19:22">
      <c r="S3328" s="16">
        <v>5369</v>
      </c>
      <c r="T3328" s="16" t="s">
        <v>3700</v>
      </c>
      <c r="U3328" s="17">
        <f>COUNTIFS(WTG_BD!L:L,'Basic Data'!T3328,WTG_BD!F:F,"&gt;="&amp;O2Summary!$B$6,WTG_BD!F:F,"&lt;="&amp;O2Summary!$B$4)</f>
        <v>0</v>
      </c>
      <c r="V3328" s="18">
        <f t="shared" si="58"/>
        <v>47</v>
      </c>
    </row>
    <row r="3329" spans="19:22">
      <c r="S3329" s="16">
        <v>5370</v>
      </c>
      <c r="T3329" s="16" t="s">
        <v>1789</v>
      </c>
      <c r="U3329" s="17">
        <f>COUNTIFS(WTG_BD!L:L,'Basic Data'!T3329,WTG_BD!F:F,"&gt;="&amp;O2Summary!$B$6,WTG_BD!F:F,"&lt;="&amp;O2Summary!$B$4)</f>
        <v>0</v>
      </c>
      <c r="V3329" s="18">
        <f t="shared" si="58"/>
        <v>47</v>
      </c>
    </row>
    <row r="3330" spans="19:22">
      <c r="S3330" s="16">
        <v>5371</v>
      </c>
      <c r="T3330" s="16" t="s">
        <v>3701</v>
      </c>
      <c r="U3330" s="17">
        <f>COUNTIFS(WTG_BD!L:L,'Basic Data'!T3330,WTG_BD!F:F,"&gt;="&amp;O2Summary!$B$6,WTG_BD!F:F,"&lt;="&amp;O2Summary!$B$4)</f>
        <v>0</v>
      </c>
      <c r="V3330" s="18">
        <f t="shared" si="58"/>
        <v>47</v>
      </c>
    </row>
    <row r="3331" spans="19:22">
      <c r="S3331" s="16">
        <v>5372</v>
      </c>
      <c r="T3331" s="16" t="s">
        <v>1790</v>
      </c>
      <c r="U3331" s="17">
        <f>COUNTIFS(WTG_BD!L:L,'Basic Data'!T3331,WTG_BD!F:F,"&gt;="&amp;O2Summary!$B$6,WTG_BD!F:F,"&lt;="&amp;O2Summary!$B$4)</f>
        <v>0</v>
      </c>
      <c r="V3331" s="18">
        <f t="shared" ref="V3331:V3394" si="59">RANK(U3331,$U$2:$U$3975)</f>
        <v>47</v>
      </c>
    </row>
    <row r="3332" spans="19:22">
      <c r="S3332" s="16">
        <v>5373</v>
      </c>
      <c r="T3332" s="16" t="s">
        <v>1791</v>
      </c>
      <c r="U3332" s="17">
        <f>COUNTIFS(WTG_BD!L:L,'Basic Data'!T3332,WTG_BD!F:F,"&gt;="&amp;O2Summary!$B$6,WTG_BD!F:F,"&lt;="&amp;O2Summary!$B$4)</f>
        <v>0</v>
      </c>
      <c r="V3332" s="18">
        <f t="shared" si="59"/>
        <v>47</v>
      </c>
    </row>
    <row r="3333" spans="19:22">
      <c r="S3333" s="16">
        <v>5374</v>
      </c>
      <c r="T3333" s="16" t="s">
        <v>1792</v>
      </c>
      <c r="U3333" s="17">
        <f>COUNTIFS(WTG_BD!L:L,'Basic Data'!T3333,WTG_BD!F:F,"&gt;="&amp;O2Summary!$B$6,WTG_BD!F:F,"&lt;="&amp;O2Summary!$B$4)</f>
        <v>0</v>
      </c>
      <c r="V3333" s="18">
        <f t="shared" si="59"/>
        <v>47</v>
      </c>
    </row>
    <row r="3334" spans="19:22">
      <c r="S3334" s="16">
        <v>5375</v>
      </c>
      <c r="T3334" s="16" t="s">
        <v>3702</v>
      </c>
      <c r="U3334" s="17">
        <f>COUNTIFS(WTG_BD!L:L,'Basic Data'!T3334,WTG_BD!F:F,"&gt;="&amp;O2Summary!$B$6,WTG_BD!F:F,"&lt;="&amp;O2Summary!$B$4)</f>
        <v>0</v>
      </c>
      <c r="V3334" s="18">
        <f t="shared" si="59"/>
        <v>47</v>
      </c>
    </row>
    <row r="3335" spans="19:22">
      <c r="S3335" s="16">
        <v>5376</v>
      </c>
      <c r="T3335" s="16" t="s">
        <v>3703</v>
      </c>
      <c r="U3335" s="17">
        <f>COUNTIFS(WTG_BD!L:L,'Basic Data'!T3335,WTG_BD!F:F,"&gt;="&amp;O2Summary!$B$6,WTG_BD!F:F,"&lt;="&amp;O2Summary!$B$4)</f>
        <v>0</v>
      </c>
      <c r="V3335" s="18">
        <f t="shared" si="59"/>
        <v>47</v>
      </c>
    </row>
    <row r="3336" spans="19:22">
      <c r="S3336" s="16">
        <v>5377</v>
      </c>
      <c r="T3336" s="16" t="s">
        <v>3704</v>
      </c>
      <c r="U3336" s="17">
        <f>COUNTIFS(WTG_BD!L:L,'Basic Data'!T3336,WTG_BD!F:F,"&gt;="&amp;O2Summary!$B$6,WTG_BD!F:F,"&lt;="&amp;O2Summary!$B$4)</f>
        <v>0</v>
      </c>
      <c r="V3336" s="18">
        <f t="shared" si="59"/>
        <v>47</v>
      </c>
    </row>
    <row r="3337" spans="19:22">
      <c r="S3337" s="16">
        <v>5378</v>
      </c>
      <c r="T3337" s="16" t="s">
        <v>3705</v>
      </c>
      <c r="U3337" s="17">
        <f>COUNTIFS(WTG_BD!L:L,'Basic Data'!T3337,WTG_BD!F:F,"&gt;="&amp;O2Summary!$B$6,WTG_BD!F:F,"&lt;="&amp;O2Summary!$B$4)</f>
        <v>0</v>
      </c>
      <c r="V3337" s="18">
        <f t="shared" si="59"/>
        <v>47</v>
      </c>
    </row>
    <row r="3338" spans="19:22">
      <c r="S3338" s="16">
        <v>5379</v>
      </c>
      <c r="T3338" s="16" t="s">
        <v>3706</v>
      </c>
      <c r="U3338" s="17">
        <f>COUNTIFS(WTG_BD!L:L,'Basic Data'!T3338,WTG_BD!F:F,"&gt;="&amp;O2Summary!$B$6,WTG_BD!F:F,"&lt;="&amp;O2Summary!$B$4)</f>
        <v>0</v>
      </c>
      <c r="V3338" s="18">
        <f t="shared" si="59"/>
        <v>47</v>
      </c>
    </row>
    <row r="3339" spans="19:22">
      <c r="S3339" s="16">
        <v>5380</v>
      </c>
      <c r="T3339" s="16" t="s">
        <v>3707</v>
      </c>
      <c r="U3339" s="17">
        <f>COUNTIFS(WTG_BD!L:L,'Basic Data'!T3339,WTG_BD!F:F,"&gt;="&amp;O2Summary!$B$6,WTG_BD!F:F,"&lt;="&amp;O2Summary!$B$4)</f>
        <v>0</v>
      </c>
      <c r="V3339" s="18">
        <f t="shared" si="59"/>
        <v>47</v>
      </c>
    </row>
    <row r="3340" spans="19:22">
      <c r="S3340" s="16">
        <v>5381</v>
      </c>
      <c r="T3340" s="16" t="s">
        <v>3708</v>
      </c>
      <c r="U3340" s="17">
        <f>COUNTIFS(WTG_BD!L:L,'Basic Data'!T3340,WTG_BD!F:F,"&gt;="&amp;O2Summary!$B$6,WTG_BD!F:F,"&lt;="&amp;O2Summary!$B$4)</f>
        <v>0</v>
      </c>
      <c r="V3340" s="18">
        <f t="shared" si="59"/>
        <v>47</v>
      </c>
    </row>
    <row r="3341" spans="19:22">
      <c r="S3341" s="16">
        <v>5382</v>
      </c>
      <c r="T3341" s="16" t="s">
        <v>3706</v>
      </c>
      <c r="U3341" s="17">
        <f>COUNTIFS(WTG_BD!L:L,'Basic Data'!T3341,WTG_BD!F:F,"&gt;="&amp;O2Summary!$B$6,WTG_BD!F:F,"&lt;="&amp;O2Summary!$B$4)</f>
        <v>0</v>
      </c>
      <c r="V3341" s="18">
        <f t="shared" si="59"/>
        <v>47</v>
      </c>
    </row>
    <row r="3342" spans="19:22">
      <c r="S3342" s="16">
        <v>5383</v>
      </c>
      <c r="T3342" s="16" t="s">
        <v>3709</v>
      </c>
      <c r="U3342" s="17">
        <f>COUNTIFS(WTG_BD!L:L,'Basic Data'!T3342,WTG_BD!F:F,"&gt;="&amp;O2Summary!$B$6,WTG_BD!F:F,"&lt;="&amp;O2Summary!$B$4)</f>
        <v>0</v>
      </c>
      <c r="V3342" s="18">
        <f t="shared" si="59"/>
        <v>47</v>
      </c>
    </row>
    <row r="3343" spans="19:22">
      <c r="S3343" s="16">
        <v>5384</v>
      </c>
      <c r="T3343" s="16" t="s">
        <v>3710</v>
      </c>
      <c r="U3343" s="17">
        <f>COUNTIFS(WTG_BD!L:L,'Basic Data'!T3343,WTG_BD!F:F,"&gt;="&amp;O2Summary!$B$6,WTG_BD!F:F,"&lt;="&amp;O2Summary!$B$4)</f>
        <v>0</v>
      </c>
      <c r="V3343" s="18">
        <f t="shared" si="59"/>
        <v>47</v>
      </c>
    </row>
    <row r="3344" spans="19:22">
      <c r="S3344" s="16">
        <v>5385</v>
      </c>
      <c r="T3344" s="16" t="s">
        <v>3711</v>
      </c>
      <c r="U3344" s="17">
        <f>COUNTIFS(WTG_BD!L:L,'Basic Data'!T3344,WTG_BD!F:F,"&gt;="&amp;O2Summary!$B$6,WTG_BD!F:F,"&lt;="&amp;O2Summary!$B$4)</f>
        <v>0</v>
      </c>
      <c r="V3344" s="18">
        <f t="shared" si="59"/>
        <v>47</v>
      </c>
    </row>
    <row r="3345" spans="19:22">
      <c r="S3345" s="16">
        <v>5386</v>
      </c>
      <c r="T3345" s="16" t="s">
        <v>3712</v>
      </c>
      <c r="U3345" s="17">
        <f>COUNTIFS(WTG_BD!L:L,'Basic Data'!T3345,WTG_BD!F:F,"&gt;="&amp;O2Summary!$B$6,WTG_BD!F:F,"&lt;="&amp;O2Summary!$B$4)</f>
        <v>0</v>
      </c>
      <c r="V3345" s="18">
        <f t="shared" si="59"/>
        <v>47</v>
      </c>
    </row>
    <row r="3346" spans="19:22">
      <c r="S3346" s="16">
        <v>5387</v>
      </c>
      <c r="T3346" s="16" t="s">
        <v>3713</v>
      </c>
      <c r="U3346" s="17">
        <f>COUNTIFS(WTG_BD!L:L,'Basic Data'!T3346,WTG_BD!F:F,"&gt;="&amp;O2Summary!$B$6,WTG_BD!F:F,"&lt;="&amp;O2Summary!$B$4)</f>
        <v>0</v>
      </c>
      <c r="V3346" s="18">
        <f t="shared" si="59"/>
        <v>47</v>
      </c>
    </row>
    <row r="3347" spans="19:22">
      <c r="S3347" s="16">
        <v>5388</v>
      </c>
      <c r="T3347" s="16" t="s">
        <v>3714</v>
      </c>
      <c r="U3347" s="17">
        <f>COUNTIFS(WTG_BD!L:L,'Basic Data'!T3347,WTG_BD!F:F,"&gt;="&amp;O2Summary!$B$6,WTG_BD!F:F,"&lt;="&amp;O2Summary!$B$4)</f>
        <v>0</v>
      </c>
      <c r="V3347" s="18">
        <f t="shared" si="59"/>
        <v>47</v>
      </c>
    </row>
    <row r="3348" spans="19:22">
      <c r="S3348" s="16">
        <v>5389</v>
      </c>
      <c r="T3348" s="16" t="s">
        <v>3715</v>
      </c>
      <c r="U3348" s="17">
        <f>COUNTIFS(WTG_BD!L:L,'Basic Data'!T3348,WTG_BD!F:F,"&gt;="&amp;O2Summary!$B$6,WTG_BD!F:F,"&lt;="&amp;O2Summary!$B$4)</f>
        <v>0</v>
      </c>
      <c r="V3348" s="18">
        <f t="shared" si="59"/>
        <v>47</v>
      </c>
    </row>
    <row r="3349" spans="19:22">
      <c r="S3349" s="16">
        <v>5390</v>
      </c>
      <c r="T3349" s="16" t="s">
        <v>3716</v>
      </c>
      <c r="U3349" s="17">
        <f>COUNTIFS(WTG_BD!L:L,'Basic Data'!T3349,WTG_BD!F:F,"&gt;="&amp;O2Summary!$B$6,WTG_BD!F:F,"&lt;="&amp;O2Summary!$B$4)</f>
        <v>0</v>
      </c>
      <c r="V3349" s="18">
        <f t="shared" si="59"/>
        <v>47</v>
      </c>
    </row>
    <row r="3350" spans="19:22">
      <c r="S3350" s="16">
        <v>5391</v>
      </c>
      <c r="T3350" s="16" t="s">
        <v>729</v>
      </c>
      <c r="U3350" s="17">
        <f>COUNTIFS(WTG_BD!L:L,'Basic Data'!T3350,WTG_BD!F:F,"&gt;="&amp;O2Summary!$B$6,WTG_BD!F:F,"&lt;="&amp;O2Summary!$B$4)</f>
        <v>0</v>
      </c>
      <c r="V3350" s="18">
        <f t="shared" si="59"/>
        <v>47</v>
      </c>
    </row>
    <row r="3351" spans="19:22">
      <c r="S3351" s="16">
        <v>5392</v>
      </c>
      <c r="T3351" s="16" t="s">
        <v>3717</v>
      </c>
      <c r="U3351" s="17">
        <f>COUNTIFS(WTG_BD!L:L,'Basic Data'!T3351,WTG_BD!F:F,"&gt;="&amp;O2Summary!$B$6,WTG_BD!F:F,"&lt;="&amp;O2Summary!$B$4)</f>
        <v>0</v>
      </c>
      <c r="V3351" s="18">
        <f t="shared" si="59"/>
        <v>47</v>
      </c>
    </row>
    <row r="3352" spans="19:22">
      <c r="S3352" s="16">
        <v>5393</v>
      </c>
      <c r="T3352" s="16" t="s">
        <v>3718</v>
      </c>
      <c r="U3352" s="17">
        <f>COUNTIFS(WTG_BD!L:L,'Basic Data'!T3352,WTG_BD!F:F,"&gt;="&amp;O2Summary!$B$6,WTG_BD!F:F,"&lt;="&amp;O2Summary!$B$4)</f>
        <v>0</v>
      </c>
      <c r="V3352" s="18">
        <f t="shared" si="59"/>
        <v>47</v>
      </c>
    </row>
    <row r="3353" spans="19:22">
      <c r="S3353" s="16">
        <v>5394</v>
      </c>
      <c r="T3353" s="16" t="s">
        <v>3719</v>
      </c>
      <c r="U3353" s="17">
        <f>COUNTIFS(WTG_BD!L:L,'Basic Data'!T3353,WTG_BD!F:F,"&gt;="&amp;O2Summary!$B$6,WTG_BD!F:F,"&lt;="&amp;O2Summary!$B$4)</f>
        <v>0</v>
      </c>
      <c r="V3353" s="18">
        <f t="shared" si="59"/>
        <v>47</v>
      </c>
    </row>
    <row r="3354" spans="19:22">
      <c r="S3354" s="16">
        <v>5395</v>
      </c>
      <c r="T3354" s="16" t="s">
        <v>3720</v>
      </c>
      <c r="U3354" s="17">
        <f>COUNTIFS(WTG_BD!L:L,'Basic Data'!T3354,WTG_BD!F:F,"&gt;="&amp;O2Summary!$B$6,WTG_BD!F:F,"&lt;="&amp;O2Summary!$B$4)</f>
        <v>0</v>
      </c>
      <c r="V3354" s="18">
        <f t="shared" si="59"/>
        <v>47</v>
      </c>
    </row>
    <row r="3355" spans="19:22">
      <c r="S3355" s="16">
        <v>5396</v>
      </c>
      <c r="T3355" s="16" t="s">
        <v>3721</v>
      </c>
      <c r="U3355" s="17">
        <f>COUNTIFS(WTG_BD!L:L,'Basic Data'!T3355,WTG_BD!F:F,"&gt;="&amp;O2Summary!$B$6,WTG_BD!F:F,"&lt;="&amp;O2Summary!$B$4)</f>
        <v>0</v>
      </c>
      <c r="V3355" s="18">
        <f t="shared" si="59"/>
        <v>47</v>
      </c>
    </row>
    <row r="3356" spans="19:22">
      <c r="S3356" s="16">
        <v>5397</v>
      </c>
      <c r="T3356" s="16" t="s">
        <v>3722</v>
      </c>
      <c r="U3356" s="17">
        <f>COUNTIFS(WTG_BD!L:L,'Basic Data'!T3356,WTG_BD!F:F,"&gt;="&amp;O2Summary!$B$6,WTG_BD!F:F,"&lt;="&amp;O2Summary!$B$4)</f>
        <v>0</v>
      </c>
      <c r="V3356" s="18">
        <f t="shared" si="59"/>
        <v>47</v>
      </c>
    </row>
    <row r="3357" spans="19:22">
      <c r="S3357" s="16">
        <v>5398</v>
      </c>
      <c r="T3357" s="16" t="s">
        <v>3723</v>
      </c>
      <c r="U3357" s="17">
        <f>COUNTIFS(WTG_BD!L:L,'Basic Data'!T3357,WTG_BD!F:F,"&gt;="&amp;O2Summary!$B$6,WTG_BD!F:F,"&lt;="&amp;O2Summary!$B$4)</f>
        <v>0</v>
      </c>
      <c r="V3357" s="18">
        <f t="shared" si="59"/>
        <v>47</v>
      </c>
    </row>
    <row r="3358" spans="19:22">
      <c r="S3358" s="16">
        <v>5399</v>
      </c>
      <c r="T3358" s="16" t="s">
        <v>3724</v>
      </c>
      <c r="U3358" s="17">
        <f>COUNTIFS(WTG_BD!L:L,'Basic Data'!T3358,WTG_BD!F:F,"&gt;="&amp;O2Summary!$B$6,WTG_BD!F:F,"&lt;="&amp;O2Summary!$B$4)</f>
        <v>0</v>
      </c>
      <c r="V3358" s="18">
        <f t="shared" si="59"/>
        <v>47</v>
      </c>
    </row>
    <row r="3359" spans="19:22">
      <c r="S3359" s="16">
        <v>5400</v>
      </c>
      <c r="T3359" s="16" t="s">
        <v>3725</v>
      </c>
      <c r="U3359" s="17">
        <f>COUNTIFS(WTG_BD!L:L,'Basic Data'!T3359,WTG_BD!F:F,"&gt;="&amp;O2Summary!$B$6,WTG_BD!F:F,"&lt;="&amp;O2Summary!$B$4)</f>
        <v>0</v>
      </c>
      <c r="V3359" s="18">
        <f t="shared" si="59"/>
        <v>47</v>
      </c>
    </row>
    <row r="3360" spans="19:22">
      <c r="S3360" s="26">
        <v>5401</v>
      </c>
      <c r="T3360" s="26" t="s">
        <v>3726</v>
      </c>
      <c r="U3360" s="17">
        <f>COUNTIFS(WTG_BD!L:L,'Basic Data'!T3360,WTG_BD!F:F,"&gt;="&amp;O2Summary!$B$6,WTG_BD!F:F,"&lt;="&amp;O2Summary!$B$4)</f>
        <v>0</v>
      </c>
      <c r="V3360" s="18">
        <f t="shared" si="59"/>
        <v>47</v>
      </c>
    </row>
    <row r="3361" spans="19:22">
      <c r="S3361" s="26">
        <v>5402</v>
      </c>
      <c r="T3361" s="26" t="s">
        <v>3727</v>
      </c>
      <c r="U3361" s="17">
        <f>COUNTIFS(WTG_BD!L:L,'Basic Data'!T3361,WTG_BD!F:F,"&gt;="&amp;O2Summary!$B$6,WTG_BD!F:F,"&lt;="&amp;O2Summary!$B$4)</f>
        <v>0</v>
      </c>
      <c r="V3361" s="18">
        <f t="shared" si="59"/>
        <v>47</v>
      </c>
    </row>
    <row r="3362" spans="19:22">
      <c r="S3362" s="26">
        <v>5403</v>
      </c>
      <c r="T3362" s="26" t="s">
        <v>3728</v>
      </c>
      <c r="U3362" s="17">
        <f>COUNTIFS(WTG_BD!L:L,'Basic Data'!T3362,WTG_BD!F:F,"&gt;="&amp;O2Summary!$B$6,WTG_BD!F:F,"&lt;="&amp;O2Summary!$B$4)</f>
        <v>0</v>
      </c>
      <c r="V3362" s="18">
        <f t="shared" si="59"/>
        <v>47</v>
      </c>
    </row>
    <row r="3363" spans="19:22">
      <c r="S3363" s="16">
        <v>5404</v>
      </c>
      <c r="T3363" s="16" t="s">
        <v>3729</v>
      </c>
      <c r="U3363" s="17">
        <f>COUNTIFS(WTG_BD!L:L,'Basic Data'!T3363,WTG_BD!F:F,"&gt;="&amp;O2Summary!$B$6,WTG_BD!F:F,"&lt;="&amp;O2Summary!$B$4)</f>
        <v>0</v>
      </c>
      <c r="V3363" s="18">
        <f t="shared" si="59"/>
        <v>47</v>
      </c>
    </row>
    <row r="3364" spans="19:22">
      <c r="S3364" s="16">
        <v>5405</v>
      </c>
      <c r="T3364" s="16" t="s">
        <v>3730</v>
      </c>
      <c r="U3364" s="17">
        <f>COUNTIFS(WTG_BD!L:L,'Basic Data'!T3364,WTG_BD!F:F,"&gt;="&amp;O2Summary!$B$6,WTG_BD!F:F,"&lt;="&amp;O2Summary!$B$4)</f>
        <v>0</v>
      </c>
      <c r="V3364" s="18">
        <f t="shared" si="59"/>
        <v>47</v>
      </c>
    </row>
    <row r="3365" spans="19:22">
      <c r="S3365" s="16">
        <v>5406</v>
      </c>
      <c r="T3365" s="16" t="s">
        <v>3731</v>
      </c>
      <c r="U3365" s="17">
        <f>COUNTIFS(WTG_BD!L:L,'Basic Data'!T3365,WTG_BD!F:F,"&gt;="&amp;O2Summary!$B$6,WTG_BD!F:F,"&lt;="&amp;O2Summary!$B$4)</f>
        <v>0</v>
      </c>
      <c r="V3365" s="18">
        <f t="shared" si="59"/>
        <v>47</v>
      </c>
    </row>
    <row r="3366" spans="19:22">
      <c r="S3366" s="16">
        <v>5407</v>
      </c>
      <c r="T3366" s="16" t="s">
        <v>3732</v>
      </c>
      <c r="U3366" s="17">
        <f>COUNTIFS(WTG_BD!L:L,'Basic Data'!T3366,WTG_BD!F:F,"&gt;="&amp;O2Summary!$B$6,WTG_BD!F:F,"&lt;="&amp;O2Summary!$B$4)</f>
        <v>0</v>
      </c>
      <c r="V3366" s="18">
        <f t="shared" si="59"/>
        <v>47</v>
      </c>
    </row>
    <row r="3367" spans="19:22">
      <c r="S3367" s="16">
        <v>5408</v>
      </c>
      <c r="T3367" s="16" t="s">
        <v>3733</v>
      </c>
      <c r="U3367" s="17">
        <f>COUNTIFS(WTG_BD!L:L,'Basic Data'!T3367,WTG_BD!F:F,"&gt;="&amp;O2Summary!$B$6,WTG_BD!F:F,"&lt;="&amp;O2Summary!$B$4)</f>
        <v>0</v>
      </c>
      <c r="V3367" s="18">
        <f t="shared" si="59"/>
        <v>47</v>
      </c>
    </row>
    <row r="3368" spans="19:22">
      <c r="S3368" s="16">
        <v>5409</v>
      </c>
      <c r="T3368" s="16" t="s">
        <v>3734</v>
      </c>
      <c r="U3368" s="17">
        <f>COUNTIFS(WTG_BD!L:L,'Basic Data'!T3368,WTG_BD!F:F,"&gt;="&amp;O2Summary!$B$6,WTG_BD!F:F,"&lt;="&amp;O2Summary!$B$4)</f>
        <v>0</v>
      </c>
      <c r="V3368" s="18">
        <f t="shared" si="59"/>
        <v>47</v>
      </c>
    </row>
    <row r="3369" spans="19:22">
      <c r="S3369" s="16">
        <v>5410</v>
      </c>
      <c r="T3369" s="16" t="s">
        <v>3735</v>
      </c>
      <c r="U3369" s="17">
        <f>COUNTIFS(WTG_BD!L:L,'Basic Data'!T3369,WTG_BD!F:F,"&gt;="&amp;O2Summary!$B$6,WTG_BD!F:F,"&lt;="&amp;O2Summary!$B$4)</f>
        <v>0</v>
      </c>
      <c r="V3369" s="18">
        <f t="shared" si="59"/>
        <v>47</v>
      </c>
    </row>
    <row r="3370" spans="19:22">
      <c r="S3370" s="16">
        <v>5411</v>
      </c>
      <c r="T3370" s="16" t="s">
        <v>3736</v>
      </c>
      <c r="U3370" s="17">
        <f>COUNTIFS(WTG_BD!L:L,'Basic Data'!T3370,WTG_BD!F:F,"&gt;="&amp;O2Summary!$B$6,WTG_BD!F:F,"&lt;="&amp;O2Summary!$B$4)</f>
        <v>0</v>
      </c>
      <c r="V3370" s="18">
        <f t="shared" si="59"/>
        <v>47</v>
      </c>
    </row>
    <row r="3371" spans="19:22">
      <c r="S3371" s="16">
        <v>5412</v>
      </c>
      <c r="T3371" s="16" t="s">
        <v>3737</v>
      </c>
      <c r="U3371" s="17">
        <f>COUNTIFS(WTG_BD!L:L,'Basic Data'!T3371,WTG_BD!F:F,"&gt;="&amp;O2Summary!$B$6,WTG_BD!F:F,"&lt;="&amp;O2Summary!$B$4)</f>
        <v>0</v>
      </c>
      <c r="V3371" s="18">
        <f t="shared" si="59"/>
        <v>47</v>
      </c>
    </row>
    <row r="3372" spans="19:22">
      <c r="S3372" s="16">
        <v>5413</v>
      </c>
      <c r="T3372" s="16" t="s">
        <v>3738</v>
      </c>
      <c r="U3372" s="17">
        <f>COUNTIFS(WTG_BD!L:L,'Basic Data'!T3372,WTG_BD!F:F,"&gt;="&amp;O2Summary!$B$6,WTG_BD!F:F,"&lt;="&amp;O2Summary!$B$4)</f>
        <v>0</v>
      </c>
      <c r="V3372" s="18">
        <f t="shared" si="59"/>
        <v>47</v>
      </c>
    </row>
    <row r="3373" spans="19:22">
      <c r="S3373" s="16">
        <v>5414</v>
      </c>
      <c r="T3373" s="16" t="s">
        <v>3739</v>
      </c>
      <c r="U3373" s="17">
        <f>COUNTIFS(WTG_BD!L:L,'Basic Data'!T3373,WTG_BD!F:F,"&gt;="&amp;O2Summary!$B$6,WTG_BD!F:F,"&lt;="&amp;O2Summary!$B$4)</f>
        <v>0</v>
      </c>
      <c r="V3373" s="18">
        <f t="shared" si="59"/>
        <v>47</v>
      </c>
    </row>
    <row r="3374" spans="19:22">
      <c r="S3374" s="16">
        <v>5415</v>
      </c>
      <c r="T3374" s="16" t="s">
        <v>3740</v>
      </c>
      <c r="U3374" s="17">
        <f>COUNTIFS(WTG_BD!L:L,'Basic Data'!T3374,WTG_BD!F:F,"&gt;="&amp;O2Summary!$B$6,WTG_BD!F:F,"&lt;="&amp;O2Summary!$B$4)</f>
        <v>0</v>
      </c>
      <c r="V3374" s="18">
        <f t="shared" si="59"/>
        <v>47</v>
      </c>
    </row>
    <row r="3375" spans="19:22">
      <c r="S3375" s="16">
        <v>5416</v>
      </c>
      <c r="T3375" s="16" t="s">
        <v>3741</v>
      </c>
      <c r="U3375" s="17">
        <f>COUNTIFS(WTG_BD!L:L,'Basic Data'!T3375,WTG_BD!F:F,"&gt;="&amp;O2Summary!$B$6,WTG_BD!F:F,"&lt;="&amp;O2Summary!$B$4)</f>
        <v>0</v>
      </c>
      <c r="V3375" s="18">
        <f t="shared" si="59"/>
        <v>47</v>
      </c>
    </row>
    <row r="3376" spans="19:22">
      <c r="S3376" s="16">
        <v>5417</v>
      </c>
      <c r="T3376" s="16" t="s">
        <v>3742</v>
      </c>
      <c r="U3376" s="17">
        <f>COUNTIFS(WTG_BD!L:L,'Basic Data'!T3376,WTG_BD!F:F,"&gt;="&amp;O2Summary!$B$6,WTG_BD!F:F,"&lt;="&amp;O2Summary!$B$4)</f>
        <v>0</v>
      </c>
      <c r="V3376" s="18">
        <f t="shared" si="59"/>
        <v>47</v>
      </c>
    </row>
    <row r="3377" spans="19:22">
      <c r="S3377" s="16">
        <v>5418</v>
      </c>
      <c r="T3377" s="16" t="s">
        <v>3743</v>
      </c>
      <c r="U3377" s="17">
        <f>COUNTIFS(WTG_BD!L:L,'Basic Data'!T3377,WTG_BD!F:F,"&gt;="&amp;O2Summary!$B$6,WTG_BD!F:F,"&lt;="&amp;O2Summary!$B$4)</f>
        <v>0</v>
      </c>
      <c r="V3377" s="18">
        <f t="shared" si="59"/>
        <v>47</v>
      </c>
    </row>
    <row r="3378" spans="19:22">
      <c r="S3378" s="16">
        <v>5419</v>
      </c>
      <c r="T3378" s="16" t="s">
        <v>3744</v>
      </c>
      <c r="U3378" s="17">
        <f>COUNTIFS(WTG_BD!L:L,'Basic Data'!T3378,WTG_BD!F:F,"&gt;="&amp;O2Summary!$B$6,WTG_BD!F:F,"&lt;="&amp;O2Summary!$B$4)</f>
        <v>0</v>
      </c>
      <c r="V3378" s="18">
        <f t="shared" si="59"/>
        <v>47</v>
      </c>
    </row>
    <row r="3379" spans="19:22">
      <c r="S3379" s="26">
        <v>5420</v>
      </c>
      <c r="T3379" s="26" t="s">
        <v>3745</v>
      </c>
      <c r="U3379" s="17">
        <f>COUNTIFS(WTG_BD!L:L,'Basic Data'!T3379,WTG_BD!F:F,"&gt;="&amp;O2Summary!$B$6,WTG_BD!F:F,"&lt;="&amp;O2Summary!$B$4)</f>
        <v>0</v>
      </c>
      <c r="V3379" s="18">
        <f t="shared" si="59"/>
        <v>47</v>
      </c>
    </row>
    <row r="3380" spans="19:22">
      <c r="S3380" s="26">
        <v>5421</v>
      </c>
      <c r="T3380" s="26" t="s">
        <v>3746</v>
      </c>
      <c r="U3380" s="17">
        <f>COUNTIFS(WTG_BD!L:L,'Basic Data'!T3380,WTG_BD!F:F,"&gt;="&amp;O2Summary!$B$6,WTG_BD!F:F,"&lt;="&amp;O2Summary!$B$4)</f>
        <v>0</v>
      </c>
      <c r="V3380" s="18">
        <f t="shared" si="59"/>
        <v>47</v>
      </c>
    </row>
    <row r="3381" spans="19:22">
      <c r="S3381" s="26">
        <v>5422</v>
      </c>
      <c r="T3381" s="26" t="s">
        <v>3747</v>
      </c>
      <c r="U3381" s="17">
        <f>COUNTIFS(WTG_BD!L:L,'Basic Data'!T3381,WTG_BD!F:F,"&gt;="&amp;O2Summary!$B$6,WTG_BD!F:F,"&lt;="&amp;O2Summary!$B$4)</f>
        <v>0</v>
      </c>
      <c r="V3381" s="18">
        <f t="shared" si="59"/>
        <v>47</v>
      </c>
    </row>
    <row r="3382" spans="19:22">
      <c r="S3382" s="26">
        <v>5423</v>
      </c>
      <c r="T3382" s="26" t="s">
        <v>3748</v>
      </c>
      <c r="U3382" s="17">
        <f>COUNTIFS(WTG_BD!L:L,'Basic Data'!T3382,WTG_BD!F:F,"&gt;="&amp;O2Summary!$B$6,WTG_BD!F:F,"&lt;="&amp;O2Summary!$B$4)</f>
        <v>0</v>
      </c>
      <c r="V3382" s="18">
        <f t="shared" si="59"/>
        <v>47</v>
      </c>
    </row>
    <row r="3383" spans="19:22">
      <c r="S3383" s="26">
        <v>5424</v>
      </c>
      <c r="T3383" s="26" t="s">
        <v>3749</v>
      </c>
      <c r="U3383" s="17">
        <f>COUNTIFS(WTG_BD!L:L,'Basic Data'!T3383,WTG_BD!F:F,"&gt;="&amp;O2Summary!$B$6,WTG_BD!F:F,"&lt;="&amp;O2Summary!$B$4)</f>
        <v>0</v>
      </c>
      <c r="V3383" s="18">
        <f t="shared" si="59"/>
        <v>47</v>
      </c>
    </row>
    <row r="3384" spans="19:22">
      <c r="S3384" s="26">
        <v>5425</v>
      </c>
      <c r="T3384" s="26" t="s">
        <v>3750</v>
      </c>
      <c r="U3384" s="17">
        <f>COUNTIFS(WTG_BD!L:L,'Basic Data'!T3384,WTG_BD!F:F,"&gt;="&amp;O2Summary!$B$6,WTG_BD!F:F,"&lt;="&amp;O2Summary!$B$4)</f>
        <v>0</v>
      </c>
      <c r="V3384" s="18">
        <f t="shared" si="59"/>
        <v>47</v>
      </c>
    </row>
    <row r="3385" spans="19:22">
      <c r="S3385" s="16">
        <v>5426</v>
      </c>
      <c r="T3385" s="16" t="s">
        <v>3751</v>
      </c>
      <c r="U3385" s="17">
        <f>COUNTIFS(WTG_BD!L:L,'Basic Data'!T3385,WTG_BD!F:F,"&gt;="&amp;O2Summary!$B$6,WTG_BD!F:F,"&lt;="&amp;O2Summary!$B$4)</f>
        <v>0</v>
      </c>
      <c r="V3385" s="18">
        <f t="shared" si="59"/>
        <v>47</v>
      </c>
    </row>
    <row r="3386" spans="19:22">
      <c r="S3386" s="16">
        <v>5427</v>
      </c>
      <c r="T3386" s="16" t="s">
        <v>3752</v>
      </c>
      <c r="U3386" s="17">
        <f>COUNTIFS(WTG_BD!L:L,'Basic Data'!T3386,WTG_BD!F:F,"&gt;="&amp;O2Summary!$B$6,WTG_BD!F:F,"&lt;="&amp;O2Summary!$B$4)</f>
        <v>0</v>
      </c>
      <c r="V3386" s="18">
        <f t="shared" si="59"/>
        <v>47</v>
      </c>
    </row>
    <row r="3387" spans="19:22">
      <c r="S3387" s="16">
        <v>5428</v>
      </c>
      <c r="T3387" s="16" t="s">
        <v>3753</v>
      </c>
      <c r="U3387" s="17">
        <f>COUNTIFS(WTG_BD!L:L,'Basic Data'!T3387,WTG_BD!F:F,"&gt;="&amp;O2Summary!$B$6,WTG_BD!F:F,"&lt;="&amp;O2Summary!$B$4)</f>
        <v>0</v>
      </c>
      <c r="V3387" s="18">
        <f t="shared" si="59"/>
        <v>47</v>
      </c>
    </row>
    <row r="3388" spans="19:22">
      <c r="S3388" s="16">
        <v>5429</v>
      </c>
      <c r="T3388" s="16" t="s">
        <v>3688</v>
      </c>
      <c r="U3388" s="17">
        <f>COUNTIFS(WTG_BD!L:L,'Basic Data'!T3388,WTG_BD!F:F,"&gt;="&amp;O2Summary!$B$6,WTG_BD!F:F,"&lt;="&amp;O2Summary!$B$4)</f>
        <v>0</v>
      </c>
      <c r="V3388" s="18">
        <f t="shared" si="59"/>
        <v>47</v>
      </c>
    </row>
    <row r="3389" spans="19:22">
      <c r="S3389" s="16">
        <v>5430</v>
      </c>
      <c r="T3389" s="16" t="s">
        <v>3754</v>
      </c>
      <c r="U3389" s="17">
        <f>COUNTIFS(WTG_BD!L:L,'Basic Data'!T3389,WTG_BD!F:F,"&gt;="&amp;O2Summary!$B$6,WTG_BD!F:F,"&lt;="&amp;O2Summary!$B$4)</f>
        <v>0</v>
      </c>
      <c r="V3389" s="18">
        <f t="shared" si="59"/>
        <v>47</v>
      </c>
    </row>
    <row r="3390" spans="19:22">
      <c r="S3390" s="16">
        <v>5431</v>
      </c>
      <c r="T3390" s="16" t="s">
        <v>3755</v>
      </c>
      <c r="U3390" s="17">
        <f>COUNTIFS(WTG_BD!L:L,'Basic Data'!T3390,WTG_BD!F:F,"&gt;="&amp;O2Summary!$B$6,WTG_BD!F:F,"&lt;="&amp;O2Summary!$B$4)</f>
        <v>0</v>
      </c>
      <c r="V3390" s="18">
        <f t="shared" si="59"/>
        <v>47</v>
      </c>
    </row>
    <row r="3391" spans="19:22">
      <c r="S3391" s="16">
        <v>5432</v>
      </c>
      <c r="T3391" s="16" t="s">
        <v>3756</v>
      </c>
      <c r="U3391" s="17">
        <f>COUNTIFS(WTG_BD!L:L,'Basic Data'!T3391,WTG_BD!F:F,"&gt;="&amp;O2Summary!$B$6,WTG_BD!F:F,"&lt;="&amp;O2Summary!$B$4)</f>
        <v>0</v>
      </c>
      <c r="V3391" s="18">
        <f t="shared" si="59"/>
        <v>47</v>
      </c>
    </row>
    <row r="3392" spans="19:22">
      <c r="S3392" s="16">
        <v>5433</v>
      </c>
      <c r="T3392" s="16" t="s">
        <v>923</v>
      </c>
      <c r="U3392" s="17">
        <f>COUNTIFS(WTG_BD!L:L,'Basic Data'!T3392,WTG_BD!F:F,"&gt;="&amp;O2Summary!$B$6,WTG_BD!F:F,"&lt;="&amp;O2Summary!$B$4)</f>
        <v>0</v>
      </c>
      <c r="V3392" s="18">
        <f t="shared" si="59"/>
        <v>47</v>
      </c>
    </row>
    <row r="3393" spans="19:22">
      <c r="S3393" s="16">
        <v>5434</v>
      </c>
      <c r="T3393" s="16" t="s">
        <v>924</v>
      </c>
      <c r="U3393" s="17">
        <f>COUNTIFS(WTG_BD!L:L,'Basic Data'!T3393,WTG_BD!F:F,"&gt;="&amp;O2Summary!$B$6,WTG_BD!F:F,"&lt;="&amp;O2Summary!$B$4)</f>
        <v>0</v>
      </c>
      <c r="V3393" s="18">
        <f t="shared" si="59"/>
        <v>47</v>
      </c>
    </row>
    <row r="3394" spans="19:22">
      <c r="S3394" s="16">
        <v>5435</v>
      </c>
      <c r="T3394" s="16" t="s">
        <v>3757</v>
      </c>
      <c r="U3394" s="17">
        <f>COUNTIFS(WTG_BD!L:L,'Basic Data'!T3394,WTG_BD!F:F,"&gt;="&amp;O2Summary!$B$6,WTG_BD!F:F,"&lt;="&amp;O2Summary!$B$4)</f>
        <v>0</v>
      </c>
      <c r="V3394" s="18">
        <f t="shared" si="59"/>
        <v>47</v>
      </c>
    </row>
    <row r="3395" spans="19:22">
      <c r="S3395" s="16">
        <v>5436</v>
      </c>
      <c r="T3395" s="16" t="s">
        <v>3758</v>
      </c>
      <c r="U3395" s="17">
        <f>COUNTIFS(WTG_BD!L:L,'Basic Data'!T3395,WTG_BD!F:F,"&gt;="&amp;O2Summary!$B$6,WTG_BD!F:F,"&lt;="&amp;O2Summary!$B$4)</f>
        <v>0</v>
      </c>
      <c r="V3395" s="18">
        <f t="shared" ref="V3395:V3458" si="60">RANK(U3395,$U$2:$U$3975)</f>
        <v>47</v>
      </c>
    </row>
    <row r="3396" spans="19:22">
      <c r="S3396" s="16">
        <v>5437</v>
      </c>
      <c r="T3396" s="16" t="s">
        <v>3759</v>
      </c>
      <c r="U3396" s="17">
        <f>COUNTIFS(WTG_BD!L:L,'Basic Data'!T3396,WTG_BD!F:F,"&gt;="&amp;O2Summary!$B$6,WTG_BD!F:F,"&lt;="&amp;O2Summary!$B$4)</f>
        <v>0</v>
      </c>
      <c r="V3396" s="18">
        <f t="shared" si="60"/>
        <v>47</v>
      </c>
    </row>
    <row r="3397" spans="19:22">
      <c r="S3397" s="16">
        <v>5438</v>
      </c>
      <c r="T3397" s="16" t="s">
        <v>3760</v>
      </c>
      <c r="U3397" s="17">
        <f>COUNTIFS(WTG_BD!L:L,'Basic Data'!T3397,WTG_BD!F:F,"&gt;="&amp;O2Summary!$B$6,WTG_BD!F:F,"&lt;="&amp;O2Summary!$B$4)</f>
        <v>0</v>
      </c>
      <c r="V3397" s="18">
        <f t="shared" si="60"/>
        <v>47</v>
      </c>
    </row>
    <row r="3398" spans="19:22">
      <c r="S3398" s="16">
        <v>5439</v>
      </c>
      <c r="T3398" s="16" t="s">
        <v>3761</v>
      </c>
      <c r="U3398" s="17">
        <f>COUNTIFS(WTG_BD!L:L,'Basic Data'!T3398,WTG_BD!F:F,"&gt;="&amp;O2Summary!$B$6,WTG_BD!F:F,"&lt;="&amp;O2Summary!$B$4)</f>
        <v>0</v>
      </c>
      <c r="V3398" s="18">
        <f t="shared" si="60"/>
        <v>47</v>
      </c>
    </row>
    <row r="3399" spans="19:22">
      <c r="S3399" s="16">
        <v>5440</v>
      </c>
      <c r="T3399" s="16" t="s">
        <v>1560</v>
      </c>
      <c r="U3399" s="17">
        <f>COUNTIFS(WTG_BD!L:L,'Basic Data'!T3399,WTG_BD!F:F,"&gt;="&amp;O2Summary!$B$6,WTG_BD!F:F,"&lt;="&amp;O2Summary!$B$4)</f>
        <v>0</v>
      </c>
      <c r="V3399" s="18">
        <f t="shared" si="60"/>
        <v>47</v>
      </c>
    </row>
    <row r="3400" spans="19:22">
      <c r="S3400" s="16">
        <v>5441</v>
      </c>
      <c r="T3400" s="16" t="s">
        <v>1559</v>
      </c>
      <c r="U3400" s="17">
        <f>COUNTIFS(WTG_BD!L:L,'Basic Data'!T3400,WTG_BD!F:F,"&gt;="&amp;O2Summary!$B$6,WTG_BD!F:F,"&lt;="&amp;O2Summary!$B$4)</f>
        <v>0</v>
      </c>
      <c r="V3400" s="18">
        <f t="shared" si="60"/>
        <v>47</v>
      </c>
    </row>
    <row r="3401" spans="19:22">
      <c r="S3401" s="16">
        <v>5442</v>
      </c>
      <c r="T3401" s="16" t="s">
        <v>3762</v>
      </c>
      <c r="U3401" s="17">
        <f>COUNTIFS(WTG_BD!L:L,'Basic Data'!T3401,WTG_BD!F:F,"&gt;="&amp;O2Summary!$B$6,WTG_BD!F:F,"&lt;="&amp;O2Summary!$B$4)</f>
        <v>0</v>
      </c>
      <c r="V3401" s="18">
        <f t="shared" si="60"/>
        <v>47</v>
      </c>
    </row>
    <row r="3402" spans="19:22">
      <c r="S3402" s="16">
        <v>5443</v>
      </c>
      <c r="T3402" s="16" t="s">
        <v>3763</v>
      </c>
      <c r="U3402" s="17">
        <f>COUNTIFS(WTG_BD!L:L,'Basic Data'!T3402,WTG_BD!F:F,"&gt;="&amp;O2Summary!$B$6,WTG_BD!F:F,"&lt;="&amp;O2Summary!$B$4)</f>
        <v>0</v>
      </c>
      <c r="V3402" s="18">
        <f t="shared" si="60"/>
        <v>47</v>
      </c>
    </row>
    <row r="3403" spans="19:22">
      <c r="S3403" s="16">
        <v>5444</v>
      </c>
      <c r="T3403" s="16" t="s">
        <v>3764</v>
      </c>
      <c r="U3403" s="17">
        <f>COUNTIFS(WTG_BD!L:L,'Basic Data'!T3403,WTG_BD!F:F,"&gt;="&amp;O2Summary!$B$6,WTG_BD!F:F,"&lt;="&amp;O2Summary!$B$4)</f>
        <v>0</v>
      </c>
      <c r="V3403" s="18">
        <f t="shared" si="60"/>
        <v>47</v>
      </c>
    </row>
    <row r="3404" spans="19:22">
      <c r="S3404" s="16">
        <v>5445</v>
      </c>
      <c r="T3404" s="16" t="s">
        <v>3765</v>
      </c>
      <c r="U3404" s="17">
        <f>COUNTIFS(WTG_BD!L:L,'Basic Data'!T3404,WTG_BD!F:F,"&gt;="&amp;O2Summary!$B$6,WTG_BD!F:F,"&lt;="&amp;O2Summary!$B$4)</f>
        <v>0</v>
      </c>
      <c r="V3404" s="18">
        <f t="shared" si="60"/>
        <v>47</v>
      </c>
    </row>
    <row r="3405" spans="19:22">
      <c r="S3405" s="16">
        <v>5446</v>
      </c>
      <c r="T3405" s="16" t="s">
        <v>1722</v>
      </c>
      <c r="U3405" s="17">
        <f>COUNTIFS(WTG_BD!L:L,'Basic Data'!T3405,WTG_BD!F:F,"&gt;="&amp;O2Summary!$B$6,WTG_BD!F:F,"&lt;="&amp;O2Summary!$B$4)</f>
        <v>0</v>
      </c>
      <c r="V3405" s="18">
        <f t="shared" si="60"/>
        <v>47</v>
      </c>
    </row>
    <row r="3406" spans="19:22">
      <c r="S3406" s="26">
        <v>5447</v>
      </c>
      <c r="T3406" s="26" t="s">
        <v>3766</v>
      </c>
      <c r="U3406" s="17">
        <f>COUNTIFS(WTG_BD!L:L,'Basic Data'!T3406,WTG_BD!F:F,"&gt;="&amp;O2Summary!$B$6,WTG_BD!F:F,"&lt;="&amp;O2Summary!$B$4)</f>
        <v>0</v>
      </c>
      <c r="V3406" s="18">
        <f t="shared" si="60"/>
        <v>47</v>
      </c>
    </row>
    <row r="3407" spans="19:22">
      <c r="S3407" s="16">
        <v>5448</v>
      </c>
      <c r="T3407" s="16" t="s">
        <v>3767</v>
      </c>
      <c r="U3407" s="17">
        <f>COUNTIFS(WTG_BD!L:L,'Basic Data'!T3407,WTG_BD!F:F,"&gt;="&amp;O2Summary!$B$6,WTG_BD!F:F,"&lt;="&amp;O2Summary!$B$4)</f>
        <v>0</v>
      </c>
      <c r="V3407" s="18">
        <f t="shared" si="60"/>
        <v>47</v>
      </c>
    </row>
    <row r="3408" spans="19:22">
      <c r="S3408" s="26">
        <v>5449</v>
      </c>
      <c r="T3408" s="26" t="s">
        <v>2340</v>
      </c>
      <c r="U3408" s="17">
        <f>COUNTIFS(WTG_BD!L:L,'Basic Data'!T3408,WTG_BD!F:F,"&gt;="&amp;O2Summary!$B$6,WTG_BD!F:F,"&lt;="&amp;O2Summary!$B$4)</f>
        <v>0</v>
      </c>
      <c r="V3408" s="18">
        <f t="shared" si="60"/>
        <v>47</v>
      </c>
    </row>
    <row r="3409" spans="19:22">
      <c r="S3409" s="16">
        <v>5450</v>
      </c>
      <c r="T3409" s="16" t="s">
        <v>2341</v>
      </c>
      <c r="U3409" s="17">
        <f>COUNTIFS(WTG_BD!L:L,'Basic Data'!T3409,WTG_BD!F:F,"&gt;="&amp;O2Summary!$B$6,WTG_BD!F:F,"&lt;="&amp;O2Summary!$B$4)</f>
        <v>0</v>
      </c>
      <c r="V3409" s="18">
        <f t="shared" si="60"/>
        <v>47</v>
      </c>
    </row>
    <row r="3410" spans="19:22">
      <c r="S3410" s="26">
        <v>5451</v>
      </c>
      <c r="T3410" s="26" t="s">
        <v>1721</v>
      </c>
      <c r="U3410" s="17">
        <f>COUNTIFS(WTG_BD!L:L,'Basic Data'!T3410,WTG_BD!F:F,"&gt;="&amp;O2Summary!$B$6,WTG_BD!F:F,"&lt;="&amp;O2Summary!$B$4)</f>
        <v>0</v>
      </c>
      <c r="V3410" s="18">
        <f t="shared" si="60"/>
        <v>47</v>
      </c>
    </row>
    <row r="3411" spans="19:22">
      <c r="S3411" s="16">
        <v>5452</v>
      </c>
      <c r="T3411" s="16" t="s">
        <v>1720</v>
      </c>
      <c r="U3411" s="17">
        <f>COUNTIFS(WTG_BD!L:L,'Basic Data'!T3411,WTG_BD!F:F,"&gt;="&amp;O2Summary!$B$6,WTG_BD!F:F,"&lt;="&amp;O2Summary!$B$4)</f>
        <v>0</v>
      </c>
      <c r="V3411" s="18">
        <f t="shared" si="60"/>
        <v>47</v>
      </c>
    </row>
    <row r="3412" spans="19:22">
      <c r="S3412" s="16">
        <v>5453</v>
      </c>
      <c r="T3412" s="16" t="s">
        <v>1725</v>
      </c>
      <c r="U3412" s="17">
        <f>COUNTIFS(WTG_BD!L:L,'Basic Data'!T3412,WTG_BD!F:F,"&gt;="&amp;O2Summary!$B$6,WTG_BD!F:F,"&lt;="&amp;O2Summary!$B$4)</f>
        <v>0</v>
      </c>
      <c r="V3412" s="18">
        <f t="shared" si="60"/>
        <v>47</v>
      </c>
    </row>
    <row r="3413" spans="19:22">
      <c r="S3413" s="16">
        <v>5454</v>
      </c>
      <c r="T3413" s="16" t="s">
        <v>3768</v>
      </c>
      <c r="U3413" s="17">
        <f>COUNTIFS(WTG_BD!L:L,'Basic Data'!T3413,WTG_BD!F:F,"&gt;="&amp;O2Summary!$B$6,WTG_BD!F:F,"&lt;="&amp;O2Summary!$B$4)</f>
        <v>0</v>
      </c>
      <c r="V3413" s="18">
        <f t="shared" si="60"/>
        <v>47</v>
      </c>
    </row>
    <row r="3414" spans="19:22">
      <c r="S3414" s="16">
        <v>5455</v>
      </c>
      <c r="T3414" s="16" t="s">
        <v>2342</v>
      </c>
      <c r="U3414" s="17">
        <f>COUNTIFS(WTG_BD!L:L,'Basic Data'!T3414,WTG_BD!F:F,"&gt;="&amp;O2Summary!$B$6,WTG_BD!F:F,"&lt;="&amp;O2Summary!$B$4)</f>
        <v>0</v>
      </c>
      <c r="V3414" s="18">
        <f t="shared" si="60"/>
        <v>47</v>
      </c>
    </row>
    <row r="3415" spans="19:22">
      <c r="S3415" s="16">
        <v>5456</v>
      </c>
      <c r="T3415" s="16" t="s">
        <v>3769</v>
      </c>
      <c r="U3415" s="17">
        <f>COUNTIFS(WTG_BD!L:L,'Basic Data'!T3415,WTG_BD!F:F,"&gt;="&amp;O2Summary!$B$6,WTG_BD!F:F,"&lt;="&amp;O2Summary!$B$4)</f>
        <v>0</v>
      </c>
      <c r="V3415" s="18">
        <f t="shared" si="60"/>
        <v>47</v>
      </c>
    </row>
    <row r="3416" spans="19:22">
      <c r="S3416" s="26">
        <v>5457</v>
      </c>
      <c r="T3416" s="26" t="s">
        <v>3770</v>
      </c>
      <c r="U3416" s="17">
        <f>COUNTIFS(WTG_BD!L:L,'Basic Data'!T3416,WTG_BD!F:F,"&gt;="&amp;O2Summary!$B$6,WTG_BD!F:F,"&lt;="&amp;O2Summary!$B$4)</f>
        <v>0</v>
      </c>
      <c r="V3416" s="18">
        <f t="shared" si="60"/>
        <v>47</v>
      </c>
    </row>
    <row r="3417" spans="19:22">
      <c r="S3417" s="16">
        <v>5458</v>
      </c>
      <c r="T3417" s="16" t="s">
        <v>3771</v>
      </c>
      <c r="U3417" s="17">
        <f>COUNTIFS(WTG_BD!L:L,'Basic Data'!T3417,WTG_BD!F:F,"&gt;="&amp;O2Summary!$B$6,WTG_BD!F:F,"&lt;="&amp;O2Summary!$B$4)</f>
        <v>0</v>
      </c>
      <c r="V3417" s="18">
        <f t="shared" si="60"/>
        <v>47</v>
      </c>
    </row>
    <row r="3418" spans="19:22">
      <c r="S3418" s="26">
        <v>5459</v>
      </c>
      <c r="T3418" s="26" t="s">
        <v>3772</v>
      </c>
      <c r="U3418" s="17">
        <f>COUNTIFS(WTG_BD!L:L,'Basic Data'!T3418,WTG_BD!F:F,"&gt;="&amp;O2Summary!$B$6,WTG_BD!F:F,"&lt;="&amp;O2Summary!$B$4)</f>
        <v>0</v>
      </c>
      <c r="V3418" s="18">
        <f t="shared" si="60"/>
        <v>47</v>
      </c>
    </row>
    <row r="3419" spans="19:22">
      <c r="S3419" s="16">
        <v>5460</v>
      </c>
      <c r="T3419" s="16" t="s">
        <v>3773</v>
      </c>
      <c r="U3419" s="17">
        <f>COUNTIFS(WTG_BD!L:L,'Basic Data'!T3419,WTG_BD!F:F,"&gt;="&amp;O2Summary!$B$6,WTG_BD!F:F,"&lt;="&amp;O2Summary!$B$4)</f>
        <v>0</v>
      </c>
      <c r="V3419" s="18">
        <f t="shared" si="60"/>
        <v>47</v>
      </c>
    </row>
    <row r="3420" spans="19:22">
      <c r="S3420" s="16">
        <v>5461</v>
      </c>
      <c r="T3420" s="16" t="s">
        <v>3774</v>
      </c>
      <c r="U3420" s="17">
        <f>COUNTIFS(WTG_BD!L:L,'Basic Data'!T3420,WTG_BD!F:F,"&gt;="&amp;O2Summary!$B$6,WTG_BD!F:F,"&lt;="&amp;O2Summary!$B$4)</f>
        <v>0</v>
      </c>
      <c r="V3420" s="18">
        <f t="shared" si="60"/>
        <v>47</v>
      </c>
    </row>
    <row r="3421" spans="19:22">
      <c r="S3421" s="26">
        <v>5462</v>
      </c>
      <c r="T3421" s="26" t="s">
        <v>3775</v>
      </c>
      <c r="U3421" s="17">
        <f>COUNTIFS(WTG_BD!L:L,'Basic Data'!T3421,WTG_BD!F:F,"&gt;="&amp;O2Summary!$B$6,WTG_BD!F:F,"&lt;="&amp;O2Summary!$B$4)</f>
        <v>0</v>
      </c>
      <c r="V3421" s="18">
        <f t="shared" si="60"/>
        <v>47</v>
      </c>
    </row>
    <row r="3422" spans="19:22">
      <c r="S3422" s="16">
        <v>5463</v>
      </c>
      <c r="T3422" s="16" t="s">
        <v>3776</v>
      </c>
      <c r="U3422" s="17">
        <f>COUNTIFS(WTG_BD!L:L,'Basic Data'!T3422,WTG_BD!F:F,"&gt;="&amp;O2Summary!$B$6,WTG_BD!F:F,"&lt;="&amp;O2Summary!$B$4)</f>
        <v>0</v>
      </c>
      <c r="V3422" s="18">
        <f t="shared" si="60"/>
        <v>47</v>
      </c>
    </row>
    <row r="3423" spans="19:22">
      <c r="S3423" s="16">
        <v>5464</v>
      </c>
      <c r="T3423" s="16" t="s">
        <v>3777</v>
      </c>
      <c r="U3423" s="17">
        <f>COUNTIFS(WTG_BD!L:L,'Basic Data'!T3423,WTG_BD!F:F,"&gt;="&amp;O2Summary!$B$6,WTG_BD!F:F,"&lt;="&amp;O2Summary!$B$4)</f>
        <v>0</v>
      </c>
      <c r="V3423" s="18">
        <f t="shared" si="60"/>
        <v>47</v>
      </c>
    </row>
    <row r="3424" spans="19:22">
      <c r="S3424" s="16">
        <v>5465</v>
      </c>
      <c r="T3424" s="16" t="s">
        <v>3778</v>
      </c>
      <c r="U3424" s="17">
        <f>COUNTIFS(WTG_BD!L:L,'Basic Data'!T3424,WTG_BD!F:F,"&gt;="&amp;O2Summary!$B$6,WTG_BD!F:F,"&lt;="&amp;O2Summary!$B$4)</f>
        <v>0</v>
      </c>
      <c r="V3424" s="18">
        <f t="shared" si="60"/>
        <v>47</v>
      </c>
    </row>
    <row r="3425" spans="19:22">
      <c r="S3425" s="16">
        <v>5466</v>
      </c>
      <c r="T3425" s="16" t="s">
        <v>3779</v>
      </c>
      <c r="U3425" s="17">
        <f>COUNTIFS(WTG_BD!L:L,'Basic Data'!T3425,WTG_BD!F:F,"&gt;="&amp;O2Summary!$B$6,WTG_BD!F:F,"&lt;="&amp;O2Summary!$B$4)</f>
        <v>0</v>
      </c>
      <c r="V3425" s="18">
        <f t="shared" si="60"/>
        <v>47</v>
      </c>
    </row>
    <row r="3426" spans="19:22">
      <c r="S3426" s="16">
        <v>5467</v>
      </c>
      <c r="T3426" s="16" t="s">
        <v>3780</v>
      </c>
      <c r="U3426" s="17">
        <f>COUNTIFS(WTG_BD!L:L,'Basic Data'!T3426,WTG_BD!F:F,"&gt;="&amp;O2Summary!$B$6,WTG_BD!F:F,"&lt;="&amp;O2Summary!$B$4)</f>
        <v>0</v>
      </c>
      <c r="V3426" s="18">
        <f t="shared" si="60"/>
        <v>47</v>
      </c>
    </row>
    <row r="3427" spans="19:22">
      <c r="S3427" s="16">
        <v>5468</v>
      </c>
      <c r="T3427" s="16" t="s">
        <v>3781</v>
      </c>
      <c r="U3427" s="17">
        <f>COUNTIFS(WTG_BD!L:L,'Basic Data'!T3427,WTG_BD!F:F,"&gt;="&amp;O2Summary!$B$6,WTG_BD!F:F,"&lt;="&amp;O2Summary!$B$4)</f>
        <v>0</v>
      </c>
      <c r="V3427" s="18">
        <f t="shared" si="60"/>
        <v>47</v>
      </c>
    </row>
    <row r="3428" spans="19:22">
      <c r="S3428" s="16">
        <v>5469</v>
      </c>
      <c r="T3428" s="16" t="s">
        <v>3782</v>
      </c>
      <c r="U3428" s="17">
        <f>COUNTIFS(WTG_BD!L:L,'Basic Data'!T3428,WTG_BD!F:F,"&gt;="&amp;O2Summary!$B$6,WTG_BD!F:F,"&lt;="&amp;O2Summary!$B$4)</f>
        <v>0</v>
      </c>
      <c r="V3428" s="18">
        <f t="shared" si="60"/>
        <v>47</v>
      </c>
    </row>
    <row r="3429" spans="19:22">
      <c r="S3429" s="16">
        <v>5470</v>
      </c>
      <c r="T3429" s="16" t="s">
        <v>291</v>
      </c>
      <c r="U3429" s="17">
        <f>COUNTIFS(WTG_BD!L:L,'Basic Data'!T3429,WTG_BD!F:F,"&gt;="&amp;O2Summary!$B$6,WTG_BD!F:F,"&lt;="&amp;O2Summary!$B$4)</f>
        <v>6</v>
      </c>
      <c r="V3429" s="18">
        <f t="shared" si="60"/>
        <v>13</v>
      </c>
    </row>
    <row r="3430" spans="19:22">
      <c r="S3430" s="16">
        <v>5471</v>
      </c>
      <c r="T3430" s="16" t="s">
        <v>370</v>
      </c>
      <c r="U3430" s="17">
        <f>COUNTIFS(WTG_BD!L:L,'Basic Data'!T3430,WTG_BD!F:F,"&gt;="&amp;O2Summary!$B$6,WTG_BD!F:F,"&lt;="&amp;O2Summary!$B$4)</f>
        <v>9</v>
      </c>
      <c r="V3430" s="18">
        <f t="shared" si="60"/>
        <v>11</v>
      </c>
    </row>
    <row r="3431" spans="19:22">
      <c r="S3431" s="16">
        <v>5472</v>
      </c>
      <c r="T3431" s="16" t="s">
        <v>297</v>
      </c>
      <c r="U3431" s="17">
        <f>COUNTIFS(WTG_BD!L:L,'Basic Data'!T3431,WTG_BD!F:F,"&gt;="&amp;O2Summary!$B$6,WTG_BD!F:F,"&lt;="&amp;O2Summary!$B$4)</f>
        <v>0</v>
      </c>
      <c r="V3431" s="18">
        <f t="shared" si="60"/>
        <v>47</v>
      </c>
    </row>
    <row r="3432" spans="19:22">
      <c r="S3432" s="16">
        <v>5473</v>
      </c>
      <c r="T3432" s="16" t="s">
        <v>3783</v>
      </c>
      <c r="U3432" s="17">
        <f>COUNTIFS(WTG_BD!L:L,'Basic Data'!T3432,WTG_BD!F:F,"&gt;="&amp;O2Summary!$B$6,WTG_BD!F:F,"&lt;="&amp;O2Summary!$B$4)</f>
        <v>0</v>
      </c>
      <c r="V3432" s="18">
        <f t="shared" si="60"/>
        <v>47</v>
      </c>
    </row>
    <row r="3433" spans="19:22">
      <c r="S3433" s="16">
        <v>5474</v>
      </c>
      <c r="T3433" s="16" t="s">
        <v>3784</v>
      </c>
      <c r="U3433" s="17">
        <f>COUNTIFS(WTG_BD!L:L,'Basic Data'!T3433,WTG_BD!F:F,"&gt;="&amp;O2Summary!$B$6,WTG_BD!F:F,"&lt;="&amp;O2Summary!$B$4)</f>
        <v>0</v>
      </c>
      <c r="V3433" s="18">
        <f t="shared" si="60"/>
        <v>47</v>
      </c>
    </row>
    <row r="3434" spans="19:22">
      <c r="S3434" s="16">
        <v>5475</v>
      </c>
      <c r="T3434" s="16" t="s">
        <v>3785</v>
      </c>
      <c r="U3434" s="17">
        <f>COUNTIFS(WTG_BD!L:L,'Basic Data'!T3434,WTG_BD!F:F,"&gt;="&amp;O2Summary!$B$6,WTG_BD!F:F,"&lt;="&amp;O2Summary!$B$4)</f>
        <v>0</v>
      </c>
      <c r="V3434" s="18">
        <f t="shared" si="60"/>
        <v>47</v>
      </c>
    </row>
    <row r="3435" spans="19:22">
      <c r="S3435" s="16">
        <v>5476</v>
      </c>
      <c r="T3435" s="16" t="s">
        <v>3786</v>
      </c>
      <c r="U3435" s="17">
        <f>COUNTIFS(WTG_BD!L:L,'Basic Data'!T3435,WTG_BD!F:F,"&gt;="&amp;O2Summary!$B$6,WTG_BD!F:F,"&lt;="&amp;O2Summary!$B$4)</f>
        <v>0</v>
      </c>
      <c r="V3435" s="18">
        <f t="shared" si="60"/>
        <v>47</v>
      </c>
    </row>
    <row r="3436" spans="19:22">
      <c r="S3436" s="16">
        <v>5477</v>
      </c>
      <c r="T3436" s="16" t="s">
        <v>3787</v>
      </c>
      <c r="U3436" s="17">
        <f>COUNTIFS(WTG_BD!L:L,'Basic Data'!T3436,WTG_BD!F:F,"&gt;="&amp;O2Summary!$B$6,WTG_BD!F:F,"&lt;="&amp;O2Summary!$B$4)</f>
        <v>0</v>
      </c>
      <c r="V3436" s="18">
        <f t="shared" si="60"/>
        <v>47</v>
      </c>
    </row>
    <row r="3437" spans="19:22">
      <c r="S3437" s="26">
        <v>5478</v>
      </c>
      <c r="T3437" s="26" t="s">
        <v>3788</v>
      </c>
      <c r="U3437" s="17">
        <f>COUNTIFS(WTG_BD!L:L,'Basic Data'!T3437,WTG_BD!F:F,"&gt;="&amp;O2Summary!$B$6,WTG_BD!F:F,"&lt;="&amp;O2Summary!$B$4)</f>
        <v>0</v>
      </c>
      <c r="V3437" s="18">
        <f t="shared" si="60"/>
        <v>47</v>
      </c>
    </row>
    <row r="3438" spans="19:22">
      <c r="S3438" s="16">
        <v>5479</v>
      </c>
      <c r="T3438" s="16" t="s">
        <v>2767</v>
      </c>
      <c r="U3438" s="17">
        <f>COUNTIFS(WTG_BD!L:L,'Basic Data'!T3438,WTG_BD!F:F,"&gt;="&amp;O2Summary!$B$6,WTG_BD!F:F,"&lt;="&amp;O2Summary!$B$4)</f>
        <v>0</v>
      </c>
      <c r="V3438" s="18">
        <f t="shared" si="60"/>
        <v>47</v>
      </c>
    </row>
    <row r="3439" spans="19:22">
      <c r="S3439" s="16">
        <v>5480</v>
      </c>
      <c r="T3439" s="16" t="s">
        <v>3789</v>
      </c>
      <c r="U3439" s="17">
        <f>COUNTIFS(WTG_BD!L:L,'Basic Data'!T3439,WTG_BD!F:F,"&gt;="&amp;O2Summary!$B$6,WTG_BD!F:F,"&lt;="&amp;O2Summary!$B$4)</f>
        <v>0</v>
      </c>
      <c r="V3439" s="18">
        <f t="shared" si="60"/>
        <v>47</v>
      </c>
    </row>
    <row r="3440" spans="19:22">
      <c r="S3440" s="16">
        <v>5481</v>
      </c>
      <c r="T3440" s="16" t="s">
        <v>3790</v>
      </c>
      <c r="U3440" s="17">
        <f>COUNTIFS(WTG_BD!L:L,'Basic Data'!T3440,WTG_BD!F:F,"&gt;="&amp;O2Summary!$B$6,WTG_BD!F:F,"&lt;="&amp;O2Summary!$B$4)</f>
        <v>0</v>
      </c>
      <c r="V3440" s="18">
        <f t="shared" si="60"/>
        <v>47</v>
      </c>
    </row>
    <row r="3441" spans="19:22">
      <c r="S3441" s="16">
        <v>5482</v>
      </c>
      <c r="T3441" s="16" t="s">
        <v>3791</v>
      </c>
      <c r="U3441" s="17">
        <f>COUNTIFS(WTG_BD!L:L,'Basic Data'!T3441,WTG_BD!F:F,"&gt;="&amp;O2Summary!$B$6,WTG_BD!F:F,"&lt;="&amp;O2Summary!$B$4)</f>
        <v>0</v>
      </c>
      <c r="V3441" s="18">
        <f t="shared" si="60"/>
        <v>47</v>
      </c>
    </row>
    <row r="3442" spans="19:22">
      <c r="S3442" s="16">
        <v>5483</v>
      </c>
      <c r="T3442" s="16" t="s">
        <v>3792</v>
      </c>
      <c r="U3442" s="17">
        <f>COUNTIFS(WTG_BD!L:L,'Basic Data'!T3442,WTG_BD!F:F,"&gt;="&amp;O2Summary!$B$6,WTG_BD!F:F,"&lt;="&amp;O2Summary!$B$4)</f>
        <v>0</v>
      </c>
      <c r="V3442" s="18">
        <f t="shared" si="60"/>
        <v>47</v>
      </c>
    </row>
    <row r="3443" spans="19:22">
      <c r="S3443" s="16">
        <v>5484</v>
      </c>
      <c r="T3443" s="16" t="s">
        <v>3793</v>
      </c>
      <c r="U3443" s="17">
        <f>COUNTIFS(WTG_BD!L:L,'Basic Data'!T3443,WTG_BD!F:F,"&gt;="&amp;O2Summary!$B$6,WTG_BD!F:F,"&lt;="&amp;O2Summary!$B$4)</f>
        <v>0</v>
      </c>
      <c r="V3443" s="18">
        <f t="shared" si="60"/>
        <v>47</v>
      </c>
    </row>
    <row r="3444" spans="19:22">
      <c r="S3444" s="16">
        <v>5485</v>
      </c>
      <c r="T3444" s="16" t="s">
        <v>3794</v>
      </c>
      <c r="U3444" s="17">
        <f>COUNTIFS(WTG_BD!L:L,'Basic Data'!T3444,WTG_BD!F:F,"&gt;="&amp;O2Summary!$B$6,WTG_BD!F:F,"&lt;="&amp;O2Summary!$B$4)</f>
        <v>0</v>
      </c>
      <c r="V3444" s="18">
        <f t="shared" si="60"/>
        <v>47</v>
      </c>
    </row>
    <row r="3445" spans="19:22">
      <c r="S3445" s="26">
        <v>5486</v>
      </c>
      <c r="T3445" s="26" t="s">
        <v>3795</v>
      </c>
      <c r="U3445" s="17">
        <f>COUNTIFS(WTG_BD!L:L,'Basic Data'!T3445,WTG_BD!F:F,"&gt;="&amp;O2Summary!$B$6,WTG_BD!F:F,"&lt;="&amp;O2Summary!$B$4)</f>
        <v>0</v>
      </c>
      <c r="V3445" s="18">
        <f t="shared" si="60"/>
        <v>47</v>
      </c>
    </row>
    <row r="3446" spans="19:22">
      <c r="S3446" s="26">
        <v>5487</v>
      </c>
      <c r="T3446" s="26" t="s">
        <v>3796</v>
      </c>
      <c r="U3446" s="17">
        <f>COUNTIFS(WTG_BD!L:L,'Basic Data'!T3446,WTG_BD!F:F,"&gt;="&amp;O2Summary!$B$6,WTG_BD!F:F,"&lt;="&amp;O2Summary!$B$4)</f>
        <v>0</v>
      </c>
      <c r="V3446" s="18">
        <f t="shared" si="60"/>
        <v>47</v>
      </c>
    </row>
    <row r="3447" spans="19:22">
      <c r="S3447" s="26">
        <v>5488</v>
      </c>
      <c r="T3447" s="26" t="s">
        <v>3797</v>
      </c>
      <c r="U3447" s="17">
        <f>COUNTIFS(WTG_BD!L:L,'Basic Data'!T3447,WTG_BD!F:F,"&gt;="&amp;O2Summary!$B$6,WTG_BD!F:F,"&lt;="&amp;O2Summary!$B$4)</f>
        <v>0</v>
      </c>
      <c r="V3447" s="18">
        <f t="shared" si="60"/>
        <v>47</v>
      </c>
    </row>
    <row r="3448" spans="19:22">
      <c r="S3448" s="26">
        <v>5489</v>
      </c>
      <c r="T3448" s="26" t="s">
        <v>3798</v>
      </c>
      <c r="U3448" s="17">
        <f>COUNTIFS(WTG_BD!L:L,'Basic Data'!T3448,WTG_BD!F:F,"&gt;="&amp;O2Summary!$B$6,WTG_BD!F:F,"&lt;="&amp;O2Summary!$B$4)</f>
        <v>0</v>
      </c>
      <c r="V3448" s="18">
        <f t="shared" si="60"/>
        <v>47</v>
      </c>
    </row>
    <row r="3449" spans="19:22">
      <c r="S3449" s="26">
        <v>5490</v>
      </c>
      <c r="T3449" s="26" t="s">
        <v>3799</v>
      </c>
      <c r="U3449" s="17">
        <f>COUNTIFS(WTG_BD!L:L,'Basic Data'!T3449,WTG_BD!F:F,"&gt;="&amp;O2Summary!$B$6,WTG_BD!F:F,"&lt;="&amp;O2Summary!$B$4)</f>
        <v>0</v>
      </c>
      <c r="V3449" s="18">
        <f t="shared" si="60"/>
        <v>47</v>
      </c>
    </row>
    <row r="3450" spans="19:22">
      <c r="S3450" s="26">
        <v>5491</v>
      </c>
      <c r="T3450" s="26" t="s">
        <v>3800</v>
      </c>
      <c r="U3450" s="17">
        <f>COUNTIFS(WTG_BD!L:L,'Basic Data'!T3450,WTG_BD!F:F,"&gt;="&amp;O2Summary!$B$6,WTG_BD!F:F,"&lt;="&amp;O2Summary!$B$4)</f>
        <v>0</v>
      </c>
      <c r="V3450" s="18">
        <f t="shared" si="60"/>
        <v>47</v>
      </c>
    </row>
    <row r="3451" spans="19:22">
      <c r="S3451" s="26">
        <v>5492</v>
      </c>
      <c r="T3451" s="26" t="s">
        <v>3801</v>
      </c>
      <c r="U3451" s="17">
        <f>COUNTIFS(WTG_BD!L:L,'Basic Data'!T3451,WTG_BD!F:F,"&gt;="&amp;O2Summary!$B$6,WTG_BD!F:F,"&lt;="&amp;O2Summary!$B$4)</f>
        <v>0</v>
      </c>
      <c r="V3451" s="18">
        <f t="shared" si="60"/>
        <v>47</v>
      </c>
    </row>
    <row r="3452" spans="19:22">
      <c r="S3452" s="26">
        <v>5493</v>
      </c>
      <c r="T3452" s="26" t="s">
        <v>3802</v>
      </c>
      <c r="U3452" s="17">
        <f>COUNTIFS(WTG_BD!L:L,'Basic Data'!T3452,WTG_BD!F:F,"&gt;="&amp;O2Summary!$B$6,WTG_BD!F:F,"&lt;="&amp;O2Summary!$B$4)</f>
        <v>0</v>
      </c>
      <c r="V3452" s="18">
        <f t="shared" si="60"/>
        <v>47</v>
      </c>
    </row>
    <row r="3453" spans="19:22">
      <c r="S3453" s="26">
        <v>5494</v>
      </c>
      <c r="T3453" s="26" t="s">
        <v>3803</v>
      </c>
      <c r="U3453" s="17">
        <f>COUNTIFS(WTG_BD!L:L,'Basic Data'!T3453,WTG_BD!F:F,"&gt;="&amp;O2Summary!$B$6,WTG_BD!F:F,"&lt;="&amp;O2Summary!$B$4)</f>
        <v>0</v>
      </c>
      <c r="V3453" s="18">
        <f t="shared" si="60"/>
        <v>47</v>
      </c>
    </row>
    <row r="3454" spans="19:22">
      <c r="S3454" s="26">
        <v>5495</v>
      </c>
      <c r="T3454" s="26" t="s">
        <v>3804</v>
      </c>
      <c r="U3454" s="17">
        <f>COUNTIFS(WTG_BD!L:L,'Basic Data'!T3454,WTG_BD!F:F,"&gt;="&amp;O2Summary!$B$6,WTG_BD!F:F,"&lt;="&amp;O2Summary!$B$4)</f>
        <v>0</v>
      </c>
      <c r="V3454" s="18">
        <f t="shared" si="60"/>
        <v>47</v>
      </c>
    </row>
    <row r="3455" spans="19:22">
      <c r="S3455" s="26">
        <v>5496</v>
      </c>
      <c r="T3455" s="26" t="s">
        <v>3805</v>
      </c>
      <c r="U3455" s="17">
        <f>COUNTIFS(WTG_BD!L:L,'Basic Data'!T3455,WTG_BD!F:F,"&gt;="&amp;O2Summary!$B$6,WTG_BD!F:F,"&lt;="&amp;O2Summary!$B$4)</f>
        <v>0</v>
      </c>
      <c r="V3455" s="18">
        <f t="shared" si="60"/>
        <v>47</v>
      </c>
    </row>
    <row r="3456" spans="19:22">
      <c r="S3456" s="26">
        <v>5497</v>
      </c>
      <c r="T3456" s="26" t="s">
        <v>3806</v>
      </c>
      <c r="U3456" s="17">
        <f>COUNTIFS(WTG_BD!L:L,'Basic Data'!T3456,WTG_BD!F:F,"&gt;="&amp;O2Summary!$B$6,WTG_BD!F:F,"&lt;="&amp;O2Summary!$B$4)</f>
        <v>0</v>
      </c>
      <c r="V3456" s="18">
        <f t="shared" si="60"/>
        <v>47</v>
      </c>
    </row>
    <row r="3457" spans="19:22">
      <c r="S3457" s="26">
        <v>5498</v>
      </c>
      <c r="T3457" s="26" t="s">
        <v>3807</v>
      </c>
      <c r="U3457" s="17">
        <f>COUNTIFS(WTG_BD!L:L,'Basic Data'!T3457,WTG_BD!F:F,"&gt;="&amp;O2Summary!$B$6,WTG_BD!F:F,"&lt;="&amp;O2Summary!$B$4)</f>
        <v>0</v>
      </c>
      <c r="V3457" s="18">
        <f t="shared" si="60"/>
        <v>47</v>
      </c>
    </row>
    <row r="3458" spans="19:22">
      <c r="S3458" s="26">
        <v>5499</v>
      </c>
      <c r="T3458" s="26" t="s">
        <v>3808</v>
      </c>
      <c r="U3458" s="17">
        <f>COUNTIFS(WTG_BD!L:L,'Basic Data'!T3458,WTG_BD!F:F,"&gt;="&amp;O2Summary!$B$6,WTG_BD!F:F,"&lt;="&amp;O2Summary!$B$4)</f>
        <v>0</v>
      </c>
      <c r="V3458" s="18">
        <f t="shared" si="60"/>
        <v>47</v>
      </c>
    </row>
    <row r="3459" spans="19:22">
      <c r="S3459" s="16">
        <v>5500</v>
      </c>
      <c r="T3459" s="16" t="s">
        <v>3809</v>
      </c>
      <c r="U3459" s="17">
        <f>COUNTIFS(WTG_BD!L:L,'Basic Data'!T3459,WTG_BD!F:F,"&gt;="&amp;O2Summary!$B$6,WTG_BD!F:F,"&lt;="&amp;O2Summary!$B$4)</f>
        <v>0</v>
      </c>
      <c r="V3459" s="18">
        <f t="shared" ref="V3459:V3522" si="61">RANK(U3459,$U$2:$U$3975)</f>
        <v>47</v>
      </c>
    </row>
    <row r="3460" spans="19:22">
      <c r="S3460" s="16">
        <v>5501</v>
      </c>
      <c r="T3460" s="16" t="s">
        <v>3810</v>
      </c>
      <c r="U3460" s="17">
        <f>COUNTIFS(WTG_BD!L:L,'Basic Data'!T3460,WTG_BD!F:F,"&gt;="&amp;O2Summary!$B$6,WTG_BD!F:F,"&lt;="&amp;O2Summary!$B$4)</f>
        <v>0</v>
      </c>
      <c r="V3460" s="18">
        <f t="shared" si="61"/>
        <v>47</v>
      </c>
    </row>
    <row r="3461" spans="19:22">
      <c r="S3461" s="16">
        <v>5502</v>
      </c>
      <c r="T3461" s="16" t="s">
        <v>3811</v>
      </c>
      <c r="U3461" s="17">
        <f>COUNTIFS(WTG_BD!L:L,'Basic Data'!T3461,WTG_BD!F:F,"&gt;="&amp;O2Summary!$B$6,WTG_BD!F:F,"&lt;="&amp;O2Summary!$B$4)</f>
        <v>0</v>
      </c>
      <c r="V3461" s="18">
        <f t="shared" si="61"/>
        <v>47</v>
      </c>
    </row>
    <row r="3462" spans="19:22">
      <c r="S3462" s="16">
        <v>5503</v>
      </c>
      <c r="T3462" s="16" t="s">
        <v>3812</v>
      </c>
      <c r="U3462" s="17">
        <f>COUNTIFS(WTG_BD!L:L,'Basic Data'!T3462,WTG_BD!F:F,"&gt;="&amp;O2Summary!$B$6,WTG_BD!F:F,"&lt;="&amp;O2Summary!$B$4)</f>
        <v>0</v>
      </c>
      <c r="V3462" s="18">
        <f t="shared" si="61"/>
        <v>47</v>
      </c>
    </row>
    <row r="3463" spans="19:22">
      <c r="S3463" s="16">
        <v>5504</v>
      </c>
      <c r="T3463" s="16" t="s">
        <v>3813</v>
      </c>
      <c r="U3463" s="17">
        <f>COUNTIFS(WTG_BD!L:L,'Basic Data'!T3463,WTG_BD!F:F,"&gt;="&amp;O2Summary!$B$6,WTG_BD!F:F,"&lt;="&amp;O2Summary!$B$4)</f>
        <v>0</v>
      </c>
      <c r="V3463" s="18">
        <f t="shared" si="61"/>
        <v>47</v>
      </c>
    </row>
    <row r="3464" spans="19:22">
      <c r="S3464" s="16">
        <v>5505</v>
      </c>
      <c r="T3464" s="16" t="s">
        <v>3814</v>
      </c>
      <c r="U3464" s="17">
        <f>COUNTIFS(WTG_BD!L:L,'Basic Data'!T3464,WTG_BD!F:F,"&gt;="&amp;O2Summary!$B$6,WTG_BD!F:F,"&lt;="&amp;O2Summary!$B$4)</f>
        <v>0</v>
      </c>
      <c r="V3464" s="18">
        <f t="shared" si="61"/>
        <v>47</v>
      </c>
    </row>
    <row r="3465" spans="19:22">
      <c r="S3465" s="16">
        <v>5506</v>
      </c>
      <c r="T3465" s="16" t="s">
        <v>3815</v>
      </c>
      <c r="U3465" s="17">
        <f>COUNTIFS(WTG_BD!L:L,'Basic Data'!T3465,WTG_BD!F:F,"&gt;="&amp;O2Summary!$B$6,WTG_BD!F:F,"&lt;="&amp;O2Summary!$B$4)</f>
        <v>0</v>
      </c>
      <c r="V3465" s="18">
        <f t="shared" si="61"/>
        <v>47</v>
      </c>
    </row>
    <row r="3466" spans="19:22">
      <c r="S3466" s="16">
        <v>5507</v>
      </c>
      <c r="T3466" s="16" t="s">
        <v>3816</v>
      </c>
      <c r="U3466" s="17">
        <f>COUNTIFS(WTG_BD!L:L,'Basic Data'!T3466,WTG_BD!F:F,"&gt;="&amp;O2Summary!$B$6,WTG_BD!F:F,"&lt;="&amp;O2Summary!$B$4)</f>
        <v>0</v>
      </c>
      <c r="V3466" s="18">
        <f t="shared" si="61"/>
        <v>47</v>
      </c>
    </row>
    <row r="3467" spans="19:22">
      <c r="S3467" s="16">
        <v>5508</v>
      </c>
      <c r="T3467" s="16" t="s">
        <v>3817</v>
      </c>
      <c r="U3467" s="17">
        <f>COUNTIFS(WTG_BD!L:L,'Basic Data'!T3467,WTG_BD!F:F,"&gt;="&amp;O2Summary!$B$6,WTG_BD!F:F,"&lt;="&amp;O2Summary!$B$4)</f>
        <v>0</v>
      </c>
      <c r="V3467" s="18">
        <f t="shared" si="61"/>
        <v>47</v>
      </c>
    </row>
    <row r="3468" spans="19:22">
      <c r="S3468" s="16">
        <v>5509</v>
      </c>
      <c r="T3468" s="16" t="s">
        <v>3818</v>
      </c>
      <c r="U3468" s="17">
        <f>COUNTIFS(WTG_BD!L:L,'Basic Data'!T3468,WTG_BD!F:F,"&gt;="&amp;O2Summary!$B$6,WTG_BD!F:F,"&lt;="&amp;O2Summary!$B$4)</f>
        <v>0</v>
      </c>
      <c r="V3468" s="18">
        <f t="shared" si="61"/>
        <v>47</v>
      </c>
    </row>
    <row r="3469" spans="19:22">
      <c r="S3469" s="16">
        <v>5510</v>
      </c>
      <c r="T3469" s="16" t="s">
        <v>3819</v>
      </c>
      <c r="U3469" s="17">
        <f>COUNTIFS(WTG_BD!L:L,'Basic Data'!T3469,WTG_BD!F:F,"&gt;="&amp;O2Summary!$B$6,WTG_BD!F:F,"&lt;="&amp;O2Summary!$B$4)</f>
        <v>0</v>
      </c>
      <c r="V3469" s="18">
        <f t="shared" si="61"/>
        <v>47</v>
      </c>
    </row>
    <row r="3470" spans="19:22">
      <c r="S3470" s="16">
        <v>5511</v>
      </c>
      <c r="T3470" s="16" t="s">
        <v>3820</v>
      </c>
      <c r="U3470" s="17">
        <f>COUNTIFS(WTG_BD!L:L,'Basic Data'!T3470,WTG_BD!F:F,"&gt;="&amp;O2Summary!$B$6,WTG_BD!F:F,"&lt;="&amp;O2Summary!$B$4)</f>
        <v>0</v>
      </c>
      <c r="V3470" s="18">
        <f t="shared" si="61"/>
        <v>47</v>
      </c>
    </row>
    <row r="3471" spans="19:22">
      <c r="S3471" s="16">
        <v>5512</v>
      </c>
      <c r="T3471" s="16" t="s">
        <v>3821</v>
      </c>
      <c r="U3471" s="17">
        <f>COUNTIFS(WTG_BD!L:L,'Basic Data'!T3471,WTG_BD!F:F,"&gt;="&amp;O2Summary!$B$6,WTG_BD!F:F,"&lt;="&amp;O2Summary!$B$4)</f>
        <v>0</v>
      </c>
      <c r="V3471" s="18">
        <f t="shared" si="61"/>
        <v>47</v>
      </c>
    </row>
    <row r="3472" spans="19:22">
      <c r="S3472" s="16">
        <v>5513</v>
      </c>
      <c r="T3472" s="16" t="s">
        <v>3822</v>
      </c>
      <c r="U3472" s="17">
        <f>COUNTIFS(WTG_BD!L:L,'Basic Data'!T3472,WTG_BD!F:F,"&gt;="&amp;O2Summary!$B$6,WTG_BD!F:F,"&lt;="&amp;O2Summary!$B$4)</f>
        <v>0</v>
      </c>
      <c r="V3472" s="18">
        <f t="shared" si="61"/>
        <v>47</v>
      </c>
    </row>
    <row r="3473" spans="19:22">
      <c r="S3473" s="16">
        <v>5514</v>
      </c>
      <c r="T3473" s="16" t="s">
        <v>3823</v>
      </c>
      <c r="U3473" s="17">
        <f>COUNTIFS(WTG_BD!L:L,'Basic Data'!T3473,WTG_BD!F:F,"&gt;="&amp;O2Summary!$B$6,WTG_BD!F:F,"&lt;="&amp;O2Summary!$B$4)</f>
        <v>0</v>
      </c>
      <c r="V3473" s="18">
        <f t="shared" si="61"/>
        <v>47</v>
      </c>
    </row>
    <row r="3474" spans="19:22">
      <c r="S3474" s="16">
        <v>5515</v>
      </c>
      <c r="T3474" s="16" t="s">
        <v>3824</v>
      </c>
      <c r="U3474" s="17">
        <f>COUNTIFS(WTG_BD!L:L,'Basic Data'!T3474,WTG_BD!F:F,"&gt;="&amp;O2Summary!$B$6,WTG_BD!F:F,"&lt;="&amp;O2Summary!$B$4)</f>
        <v>0</v>
      </c>
      <c r="V3474" s="18">
        <f t="shared" si="61"/>
        <v>47</v>
      </c>
    </row>
    <row r="3475" spans="19:22">
      <c r="S3475" s="16">
        <v>5516</v>
      </c>
      <c r="T3475" s="16" t="s">
        <v>3825</v>
      </c>
      <c r="U3475" s="17">
        <f>COUNTIFS(WTG_BD!L:L,'Basic Data'!T3475,WTG_BD!F:F,"&gt;="&amp;O2Summary!$B$6,WTG_BD!F:F,"&lt;="&amp;O2Summary!$B$4)</f>
        <v>0</v>
      </c>
      <c r="V3475" s="18">
        <f t="shared" si="61"/>
        <v>47</v>
      </c>
    </row>
    <row r="3476" spans="19:22">
      <c r="S3476" s="16">
        <v>5517</v>
      </c>
      <c r="T3476" s="16" t="s">
        <v>3826</v>
      </c>
      <c r="U3476" s="17">
        <f>COUNTIFS(WTG_BD!L:L,'Basic Data'!T3476,WTG_BD!F:F,"&gt;="&amp;O2Summary!$B$6,WTG_BD!F:F,"&lt;="&amp;O2Summary!$B$4)</f>
        <v>0</v>
      </c>
      <c r="V3476" s="18">
        <f t="shared" si="61"/>
        <v>47</v>
      </c>
    </row>
    <row r="3477" spans="19:22">
      <c r="S3477" s="16">
        <v>5518</v>
      </c>
      <c r="T3477" s="16" t="s">
        <v>3827</v>
      </c>
      <c r="U3477" s="17">
        <f>COUNTIFS(WTG_BD!L:L,'Basic Data'!T3477,WTG_BD!F:F,"&gt;="&amp;O2Summary!$B$6,WTG_BD!F:F,"&lt;="&amp;O2Summary!$B$4)</f>
        <v>0</v>
      </c>
      <c r="V3477" s="18">
        <f t="shared" si="61"/>
        <v>47</v>
      </c>
    </row>
    <row r="3478" spans="19:22">
      <c r="S3478" s="16">
        <v>5519</v>
      </c>
      <c r="T3478" s="16" t="s">
        <v>3828</v>
      </c>
      <c r="U3478" s="17">
        <f>COUNTIFS(WTG_BD!L:L,'Basic Data'!T3478,WTG_BD!F:F,"&gt;="&amp;O2Summary!$B$6,WTG_BD!F:F,"&lt;="&amp;O2Summary!$B$4)</f>
        <v>0</v>
      </c>
      <c r="V3478" s="18">
        <f t="shared" si="61"/>
        <v>47</v>
      </c>
    </row>
    <row r="3479" spans="19:22">
      <c r="S3479" s="16">
        <v>5520</v>
      </c>
      <c r="T3479" s="16" t="s">
        <v>3829</v>
      </c>
      <c r="U3479" s="17">
        <f>COUNTIFS(WTG_BD!L:L,'Basic Data'!T3479,WTG_BD!F:F,"&gt;="&amp;O2Summary!$B$6,WTG_BD!F:F,"&lt;="&amp;O2Summary!$B$4)</f>
        <v>0</v>
      </c>
      <c r="V3479" s="18">
        <f t="shared" si="61"/>
        <v>47</v>
      </c>
    </row>
    <row r="3480" spans="19:22">
      <c r="S3480" s="16">
        <v>5521</v>
      </c>
      <c r="T3480" s="16" t="s">
        <v>3830</v>
      </c>
      <c r="U3480" s="17">
        <f>COUNTIFS(WTG_BD!L:L,'Basic Data'!T3480,WTG_BD!F:F,"&gt;="&amp;O2Summary!$B$6,WTG_BD!F:F,"&lt;="&amp;O2Summary!$B$4)</f>
        <v>0</v>
      </c>
      <c r="V3480" s="18">
        <f t="shared" si="61"/>
        <v>47</v>
      </c>
    </row>
    <row r="3481" spans="19:22">
      <c r="S3481" s="16">
        <v>5522</v>
      </c>
      <c r="T3481" s="16" t="s">
        <v>3830</v>
      </c>
      <c r="U3481" s="17">
        <f>COUNTIFS(WTG_BD!L:L,'Basic Data'!T3481,WTG_BD!F:F,"&gt;="&amp;O2Summary!$B$6,WTG_BD!F:F,"&lt;="&amp;O2Summary!$B$4)</f>
        <v>0</v>
      </c>
      <c r="V3481" s="18">
        <f t="shared" si="61"/>
        <v>47</v>
      </c>
    </row>
    <row r="3482" spans="19:22">
      <c r="S3482" s="16">
        <v>5523</v>
      </c>
      <c r="T3482" s="16" t="s">
        <v>3831</v>
      </c>
      <c r="U3482" s="17">
        <f>COUNTIFS(WTG_BD!L:L,'Basic Data'!T3482,WTG_BD!F:F,"&gt;="&amp;O2Summary!$B$6,WTG_BD!F:F,"&lt;="&amp;O2Summary!$B$4)</f>
        <v>0</v>
      </c>
      <c r="V3482" s="18">
        <f t="shared" si="61"/>
        <v>47</v>
      </c>
    </row>
    <row r="3483" spans="19:22">
      <c r="S3483" s="16">
        <v>5524</v>
      </c>
      <c r="T3483" s="16" t="s">
        <v>3832</v>
      </c>
      <c r="U3483" s="17">
        <f>COUNTIFS(WTG_BD!L:L,'Basic Data'!T3483,WTG_BD!F:F,"&gt;="&amp;O2Summary!$B$6,WTG_BD!F:F,"&lt;="&amp;O2Summary!$B$4)</f>
        <v>0</v>
      </c>
      <c r="V3483" s="18">
        <f t="shared" si="61"/>
        <v>47</v>
      </c>
    </row>
    <row r="3484" spans="19:22">
      <c r="S3484" s="16">
        <v>5525</v>
      </c>
      <c r="T3484" s="16" t="s">
        <v>3833</v>
      </c>
      <c r="U3484" s="17">
        <f>COUNTIFS(WTG_BD!L:L,'Basic Data'!T3484,WTG_BD!F:F,"&gt;="&amp;O2Summary!$B$6,WTG_BD!F:F,"&lt;="&amp;O2Summary!$B$4)</f>
        <v>0</v>
      </c>
      <c r="V3484" s="18">
        <f t="shared" si="61"/>
        <v>47</v>
      </c>
    </row>
    <row r="3485" spans="19:22">
      <c r="S3485" s="16">
        <v>5526</v>
      </c>
      <c r="T3485" s="16" t="s">
        <v>3834</v>
      </c>
      <c r="U3485" s="17">
        <f>COUNTIFS(WTG_BD!L:L,'Basic Data'!T3485,WTG_BD!F:F,"&gt;="&amp;O2Summary!$B$6,WTG_BD!F:F,"&lt;="&amp;O2Summary!$B$4)</f>
        <v>0</v>
      </c>
      <c r="V3485" s="18">
        <f t="shared" si="61"/>
        <v>47</v>
      </c>
    </row>
    <row r="3486" spans="19:22">
      <c r="S3486" s="16">
        <v>5527</v>
      </c>
      <c r="T3486" s="16" t="s">
        <v>3835</v>
      </c>
      <c r="U3486" s="17">
        <f>COUNTIFS(WTG_BD!L:L,'Basic Data'!T3486,WTG_BD!F:F,"&gt;="&amp;O2Summary!$B$6,WTG_BD!F:F,"&lt;="&amp;O2Summary!$B$4)</f>
        <v>0</v>
      </c>
      <c r="V3486" s="18">
        <f t="shared" si="61"/>
        <v>47</v>
      </c>
    </row>
    <row r="3487" spans="19:22">
      <c r="S3487" s="16">
        <v>5528</v>
      </c>
      <c r="T3487" s="16" t="s">
        <v>3836</v>
      </c>
      <c r="U3487" s="17">
        <f>COUNTIFS(WTG_BD!L:L,'Basic Data'!T3487,WTG_BD!F:F,"&gt;="&amp;O2Summary!$B$6,WTG_BD!F:F,"&lt;="&amp;O2Summary!$B$4)</f>
        <v>0</v>
      </c>
      <c r="V3487" s="18">
        <f t="shared" si="61"/>
        <v>47</v>
      </c>
    </row>
    <row r="3488" spans="19:22">
      <c r="S3488" s="16">
        <v>5529</v>
      </c>
      <c r="T3488" s="16" t="s">
        <v>3837</v>
      </c>
      <c r="U3488" s="17">
        <f>COUNTIFS(WTG_BD!L:L,'Basic Data'!T3488,WTG_BD!F:F,"&gt;="&amp;O2Summary!$B$6,WTG_BD!F:F,"&lt;="&amp;O2Summary!$B$4)</f>
        <v>0</v>
      </c>
      <c r="V3488" s="18">
        <f t="shared" si="61"/>
        <v>47</v>
      </c>
    </row>
    <row r="3489" spans="19:22">
      <c r="S3489" s="16">
        <v>5530</v>
      </c>
      <c r="T3489" s="16" t="s">
        <v>3838</v>
      </c>
      <c r="U3489" s="17">
        <f>COUNTIFS(WTG_BD!L:L,'Basic Data'!T3489,WTG_BD!F:F,"&gt;="&amp;O2Summary!$B$6,WTG_BD!F:F,"&lt;="&amp;O2Summary!$B$4)</f>
        <v>0</v>
      </c>
      <c r="V3489" s="18">
        <f t="shared" si="61"/>
        <v>47</v>
      </c>
    </row>
    <row r="3490" spans="19:22">
      <c r="S3490" s="16">
        <v>5531</v>
      </c>
      <c r="T3490" s="16" t="s">
        <v>3688</v>
      </c>
      <c r="U3490" s="17">
        <f>COUNTIFS(WTG_BD!L:L,'Basic Data'!T3490,WTG_BD!F:F,"&gt;="&amp;O2Summary!$B$6,WTG_BD!F:F,"&lt;="&amp;O2Summary!$B$4)</f>
        <v>0</v>
      </c>
      <c r="V3490" s="18">
        <f t="shared" si="61"/>
        <v>47</v>
      </c>
    </row>
    <row r="3491" spans="19:22">
      <c r="S3491" s="16">
        <v>5532</v>
      </c>
      <c r="T3491" s="16" t="s">
        <v>3839</v>
      </c>
      <c r="U3491" s="17">
        <f>COUNTIFS(WTG_BD!L:L,'Basic Data'!T3491,WTG_BD!F:F,"&gt;="&amp;O2Summary!$B$6,WTG_BD!F:F,"&lt;="&amp;O2Summary!$B$4)</f>
        <v>0</v>
      </c>
      <c r="V3491" s="18">
        <f t="shared" si="61"/>
        <v>47</v>
      </c>
    </row>
    <row r="3492" spans="19:22">
      <c r="S3492" s="16">
        <v>5533</v>
      </c>
      <c r="T3492" s="16" t="s">
        <v>3840</v>
      </c>
      <c r="U3492" s="17">
        <f>COUNTIFS(WTG_BD!L:L,'Basic Data'!T3492,WTG_BD!F:F,"&gt;="&amp;O2Summary!$B$6,WTG_BD!F:F,"&lt;="&amp;O2Summary!$B$4)</f>
        <v>0</v>
      </c>
      <c r="V3492" s="18">
        <f t="shared" si="61"/>
        <v>47</v>
      </c>
    </row>
    <row r="3493" spans="19:22">
      <c r="S3493" s="16">
        <v>5534</v>
      </c>
      <c r="T3493" s="16" t="s">
        <v>3841</v>
      </c>
      <c r="U3493" s="17">
        <f>COUNTIFS(WTG_BD!L:L,'Basic Data'!T3493,WTG_BD!F:F,"&gt;="&amp;O2Summary!$B$6,WTG_BD!F:F,"&lt;="&amp;O2Summary!$B$4)</f>
        <v>0</v>
      </c>
      <c r="V3493" s="18">
        <f t="shared" si="61"/>
        <v>47</v>
      </c>
    </row>
    <row r="3494" spans="19:22">
      <c r="S3494" s="16">
        <v>5535</v>
      </c>
      <c r="T3494" s="16" t="s">
        <v>3842</v>
      </c>
      <c r="U3494" s="17">
        <f>COUNTIFS(WTG_BD!L:L,'Basic Data'!T3494,WTG_BD!F:F,"&gt;="&amp;O2Summary!$B$6,WTG_BD!F:F,"&lt;="&amp;O2Summary!$B$4)</f>
        <v>0</v>
      </c>
      <c r="V3494" s="18">
        <f t="shared" si="61"/>
        <v>47</v>
      </c>
    </row>
    <row r="3495" spans="19:22">
      <c r="S3495" s="16">
        <v>5536</v>
      </c>
      <c r="T3495" s="16" t="s">
        <v>3843</v>
      </c>
      <c r="U3495" s="17">
        <f>COUNTIFS(WTG_BD!L:L,'Basic Data'!T3495,WTG_BD!F:F,"&gt;="&amp;O2Summary!$B$6,WTG_BD!F:F,"&lt;="&amp;O2Summary!$B$4)</f>
        <v>0</v>
      </c>
      <c r="V3495" s="18">
        <f t="shared" si="61"/>
        <v>47</v>
      </c>
    </row>
    <row r="3496" spans="19:22">
      <c r="S3496" s="16">
        <v>5537</v>
      </c>
      <c r="T3496" s="16" t="s">
        <v>3844</v>
      </c>
      <c r="U3496" s="17">
        <f>COUNTIFS(WTG_BD!L:L,'Basic Data'!T3496,WTG_BD!F:F,"&gt;="&amp;O2Summary!$B$6,WTG_BD!F:F,"&lt;="&amp;O2Summary!$B$4)</f>
        <v>0</v>
      </c>
      <c r="V3496" s="18">
        <f t="shared" si="61"/>
        <v>47</v>
      </c>
    </row>
    <row r="3497" spans="19:22">
      <c r="S3497" s="16">
        <v>5538</v>
      </c>
      <c r="T3497" s="16" t="s">
        <v>3845</v>
      </c>
      <c r="U3497" s="17">
        <f>COUNTIFS(WTG_BD!L:L,'Basic Data'!T3497,WTG_BD!F:F,"&gt;="&amp;O2Summary!$B$6,WTG_BD!F:F,"&lt;="&amp;O2Summary!$B$4)</f>
        <v>0</v>
      </c>
      <c r="V3497" s="18">
        <f t="shared" si="61"/>
        <v>47</v>
      </c>
    </row>
    <row r="3498" spans="19:22">
      <c r="S3498" s="16">
        <v>5539</v>
      </c>
      <c r="T3498" s="16" t="s">
        <v>3846</v>
      </c>
      <c r="U3498" s="17">
        <f>COUNTIFS(WTG_BD!L:L,'Basic Data'!T3498,WTG_BD!F:F,"&gt;="&amp;O2Summary!$B$6,WTG_BD!F:F,"&lt;="&amp;O2Summary!$B$4)</f>
        <v>0</v>
      </c>
      <c r="V3498" s="18">
        <f t="shared" si="61"/>
        <v>47</v>
      </c>
    </row>
    <row r="3499" spans="19:22">
      <c r="S3499" s="16">
        <v>5540</v>
      </c>
      <c r="T3499" s="16" t="s">
        <v>3847</v>
      </c>
      <c r="U3499" s="17">
        <f>COUNTIFS(WTG_BD!L:L,'Basic Data'!T3499,WTG_BD!F:F,"&gt;="&amp;O2Summary!$B$6,WTG_BD!F:F,"&lt;="&amp;O2Summary!$B$4)</f>
        <v>0</v>
      </c>
      <c r="V3499" s="18">
        <f t="shared" si="61"/>
        <v>47</v>
      </c>
    </row>
    <row r="3500" spans="19:22">
      <c r="S3500" s="16">
        <v>5541</v>
      </c>
      <c r="T3500" s="16" t="s">
        <v>3848</v>
      </c>
      <c r="U3500" s="17">
        <f>COUNTIFS(WTG_BD!L:L,'Basic Data'!T3500,WTG_BD!F:F,"&gt;="&amp;O2Summary!$B$6,WTG_BD!F:F,"&lt;="&amp;O2Summary!$B$4)</f>
        <v>0</v>
      </c>
      <c r="V3500" s="18">
        <f t="shared" si="61"/>
        <v>47</v>
      </c>
    </row>
    <row r="3501" spans="19:22">
      <c r="S3501" s="16">
        <v>5542</v>
      </c>
      <c r="T3501" s="16" t="s">
        <v>3849</v>
      </c>
      <c r="U3501" s="17">
        <f>COUNTIFS(WTG_BD!L:L,'Basic Data'!T3501,WTG_BD!F:F,"&gt;="&amp;O2Summary!$B$6,WTG_BD!F:F,"&lt;="&amp;O2Summary!$B$4)</f>
        <v>0</v>
      </c>
      <c r="V3501" s="18">
        <f t="shared" si="61"/>
        <v>47</v>
      </c>
    </row>
    <row r="3502" spans="19:22">
      <c r="S3502" s="16">
        <v>5543</v>
      </c>
      <c r="T3502" s="16" t="s">
        <v>3850</v>
      </c>
      <c r="U3502" s="17">
        <f>COUNTIFS(WTG_BD!L:L,'Basic Data'!T3502,WTG_BD!F:F,"&gt;="&amp;O2Summary!$B$6,WTG_BD!F:F,"&lt;="&amp;O2Summary!$B$4)</f>
        <v>0</v>
      </c>
      <c r="V3502" s="18">
        <f t="shared" si="61"/>
        <v>47</v>
      </c>
    </row>
    <row r="3503" spans="19:22">
      <c r="S3503" s="16">
        <v>5544</v>
      </c>
      <c r="T3503" s="16" t="s">
        <v>3851</v>
      </c>
      <c r="U3503" s="17">
        <f>COUNTIFS(WTG_BD!L:L,'Basic Data'!T3503,WTG_BD!F:F,"&gt;="&amp;O2Summary!$B$6,WTG_BD!F:F,"&lt;="&amp;O2Summary!$B$4)</f>
        <v>0</v>
      </c>
      <c r="V3503" s="18">
        <f t="shared" si="61"/>
        <v>47</v>
      </c>
    </row>
    <row r="3504" spans="19:22">
      <c r="S3504" s="16">
        <v>5545</v>
      </c>
      <c r="T3504" s="16" t="s">
        <v>3852</v>
      </c>
      <c r="U3504" s="17">
        <f>COUNTIFS(WTG_BD!L:L,'Basic Data'!T3504,WTG_BD!F:F,"&gt;="&amp;O2Summary!$B$6,WTG_BD!F:F,"&lt;="&amp;O2Summary!$B$4)</f>
        <v>0</v>
      </c>
      <c r="V3504" s="18">
        <f t="shared" si="61"/>
        <v>47</v>
      </c>
    </row>
    <row r="3505" spans="19:22">
      <c r="S3505" s="16">
        <v>5546</v>
      </c>
      <c r="T3505" s="16" t="s">
        <v>3853</v>
      </c>
      <c r="U3505" s="17">
        <f>COUNTIFS(WTG_BD!L:L,'Basic Data'!T3505,WTG_BD!F:F,"&gt;="&amp;O2Summary!$B$6,WTG_BD!F:F,"&lt;="&amp;O2Summary!$B$4)</f>
        <v>0</v>
      </c>
      <c r="V3505" s="18">
        <f t="shared" si="61"/>
        <v>47</v>
      </c>
    </row>
    <row r="3506" spans="19:22">
      <c r="S3506" s="16">
        <v>5547</v>
      </c>
      <c r="T3506" s="16" t="s">
        <v>3854</v>
      </c>
      <c r="U3506" s="17">
        <f>COUNTIFS(WTG_BD!L:L,'Basic Data'!T3506,WTG_BD!F:F,"&gt;="&amp;O2Summary!$B$6,WTG_BD!F:F,"&lt;="&amp;O2Summary!$B$4)</f>
        <v>0</v>
      </c>
      <c r="V3506" s="18">
        <f t="shared" si="61"/>
        <v>47</v>
      </c>
    </row>
    <row r="3507" spans="19:22">
      <c r="S3507" s="16">
        <v>5548</v>
      </c>
      <c r="T3507" s="16" t="s">
        <v>3855</v>
      </c>
      <c r="U3507" s="17">
        <f>COUNTIFS(WTG_BD!L:L,'Basic Data'!T3507,WTG_BD!F:F,"&gt;="&amp;O2Summary!$B$6,WTG_BD!F:F,"&lt;="&amp;O2Summary!$B$4)</f>
        <v>0</v>
      </c>
      <c r="V3507" s="18">
        <f t="shared" si="61"/>
        <v>47</v>
      </c>
    </row>
    <row r="3508" spans="19:22">
      <c r="S3508" s="16">
        <v>5549</v>
      </c>
      <c r="T3508" s="16" t="s">
        <v>3856</v>
      </c>
      <c r="U3508" s="17">
        <f>COUNTIFS(WTG_BD!L:L,'Basic Data'!T3508,WTG_BD!F:F,"&gt;="&amp;O2Summary!$B$6,WTG_BD!F:F,"&lt;="&amp;O2Summary!$B$4)</f>
        <v>0</v>
      </c>
      <c r="V3508" s="18">
        <f t="shared" si="61"/>
        <v>47</v>
      </c>
    </row>
    <row r="3509" spans="19:22">
      <c r="S3509" s="16">
        <v>5550</v>
      </c>
      <c r="T3509" s="16" t="s">
        <v>3857</v>
      </c>
      <c r="U3509" s="17">
        <f>COUNTIFS(WTG_BD!L:L,'Basic Data'!T3509,WTG_BD!F:F,"&gt;="&amp;O2Summary!$B$6,WTG_BD!F:F,"&lt;="&amp;O2Summary!$B$4)</f>
        <v>0</v>
      </c>
      <c r="V3509" s="18">
        <f t="shared" si="61"/>
        <v>47</v>
      </c>
    </row>
    <row r="3510" spans="19:22">
      <c r="S3510" s="16">
        <v>5551</v>
      </c>
      <c r="T3510" s="16" t="s">
        <v>2418</v>
      </c>
      <c r="U3510" s="17">
        <f>COUNTIFS(WTG_BD!L:L,'Basic Data'!T3510,WTG_BD!F:F,"&gt;="&amp;O2Summary!$B$6,WTG_BD!F:F,"&lt;="&amp;O2Summary!$B$4)</f>
        <v>0</v>
      </c>
      <c r="V3510" s="18">
        <f t="shared" si="61"/>
        <v>47</v>
      </c>
    </row>
    <row r="3511" spans="19:22">
      <c r="S3511" s="16">
        <v>5552</v>
      </c>
      <c r="T3511" s="16" t="s">
        <v>3858</v>
      </c>
      <c r="U3511" s="17">
        <f>COUNTIFS(WTG_BD!L:L,'Basic Data'!T3511,WTG_BD!F:F,"&gt;="&amp;O2Summary!$B$6,WTG_BD!F:F,"&lt;="&amp;O2Summary!$B$4)</f>
        <v>0</v>
      </c>
      <c r="V3511" s="18">
        <f t="shared" si="61"/>
        <v>47</v>
      </c>
    </row>
    <row r="3512" spans="19:22">
      <c r="S3512" s="16">
        <v>5553</v>
      </c>
      <c r="T3512" s="16" t="s">
        <v>3859</v>
      </c>
      <c r="U3512" s="17">
        <f>COUNTIFS(WTG_BD!L:L,'Basic Data'!T3512,WTG_BD!F:F,"&gt;="&amp;O2Summary!$B$6,WTG_BD!F:F,"&lt;="&amp;O2Summary!$B$4)</f>
        <v>0</v>
      </c>
      <c r="V3512" s="18">
        <f t="shared" si="61"/>
        <v>47</v>
      </c>
    </row>
    <row r="3513" spans="19:22">
      <c r="S3513" s="16">
        <v>5554</v>
      </c>
      <c r="T3513" s="16" t="s">
        <v>3860</v>
      </c>
      <c r="U3513" s="17">
        <f>COUNTIFS(WTG_BD!L:L,'Basic Data'!T3513,WTG_BD!F:F,"&gt;="&amp;O2Summary!$B$6,WTG_BD!F:F,"&lt;="&amp;O2Summary!$B$4)</f>
        <v>0</v>
      </c>
      <c r="V3513" s="18">
        <f t="shared" si="61"/>
        <v>47</v>
      </c>
    </row>
    <row r="3514" spans="19:22">
      <c r="S3514" s="16">
        <v>5555</v>
      </c>
      <c r="T3514" s="16" t="s">
        <v>3861</v>
      </c>
      <c r="U3514" s="17">
        <f>COUNTIFS(WTG_BD!L:L,'Basic Data'!T3514,WTG_BD!F:F,"&gt;="&amp;O2Summary!$B$6,WTG_BD!F:F,"&lt;="&amp;O2Summary!$B$4)</f>
        <v>0</v>
      </c>
      <c r="V3514" s="18">
        <f t="shared" si="61"/>
        <v>47</v>
      </c>
    </row>
    <row r="3515" spans="19:22">
      <c r="S3515" s="16">
        <v>5556</v>
      </c>
      <c r="T3515" s="16" t="s">
        <v>3862</v>
      </c>
      <c r="U3515" s="17">
        <f>COUNTIFS(WTG_BD!L:L,'Basic Data'!T3515,WTG_BD!F:F,"&gt;="&amp;O2Summary!$B$6,WTG_BD!F:F,"&lt;="&amp;O2Summary!$B$4)</f>
        <v>0</v>
      </c>
      <c r="V3515" s="18">
        <f t="shared" si="61"/>
        <v>47</v>
      </c>
    </row>
    <row r="3516" spans="19:22">
      <c r="S3516" s="16">
        <v>5557</v>
      </c>
      <c r="T3516" s="16" t="s">
        <v>3863</v>
      </c>
      <c r="U3516" s="17">
        <f>COUNTIFS(WTG_BD!L:L,'Basic Data'!T3516,WTG_BD!F:F,"&gt;="&amp;O2Summary!$B$6,WTG_BD!F:F,"&lt;="&amp;O2Summary!$B$4)</f>
        <v>0</v>
      </c>
      <c r="V3516" s="18">
        <f t="shared" si="61"/>
        <v>47</v>
      </c>
    </row>
    <row r="3517" spans="19:22">
      <c r="S3517" s="16">
        <v>5558</v>
      </c>
      <c r="T3517" s="16" t="s">
        <v>3864</v>
      </c>
      <c r="U3517" s="17">
        <f>COUNTIFS(WTG_BD!L:L,'Basic Data'!T3517,WTG_BD!F:F,"&gt;="&amp;O2Summary!$B$6,WTG_BD!F:F,"&lt;="&amp;O2Summary!$B$4)</f>
        <v>0</v>
      </c>
      <c r="V3517" s="18">
        <f t="shared" si="61"/>
        <v>47</v>
      </c>
    </row>
    <row r="3518" spans="19:22">
      <c r="S3518" s="16">
        <v>5559</v>
      </c>
      <c r="T3518" s="16" t="s">
        <v>3865</v>
      </c>
      <c r="U3518" s="17">
        <f>COUNTIFS(WTG_BD!L:L,'Basic Data'!T3518,WTG_BD!F:F,"&gt;="&amp;O2Summary!$B$6,WTG_BD!F:F,"&lt;="&amp;O2Summary!$B$4)</f>
        <v>0</v>
      </c>
      <c r="V3518" s="18">
        <f t="shared" si="61"/>
        <v>47</v>
      </c>
    </row>
    <row r="3519" spans="19:22">
      <c r="S3519" s="16">
        <v>5560</v>
      </c>
      <c r="T3519" s="16" t="s">
        <v>3866</v>
      </c>
      <c r="U3519" s="17">
        <f>COUNTIFS(WTG_BD!L:L,'Basic Data'!T3519,WTG_BD!F:F,"&gt;="&amp;O2Summary!$B$6,WTG_BD!F:F,"&lt;="&amp;O2Summary!$B$4)</f>
        <v>0</v>
      </c>
      <c r="V3519" s="18">
        <f t="shared" si="61"/>
        <v>47</v>
      </c>
    </row>
    <row r="3520" spans="19:22">
      <c r="S3520" s="16">
        <v>5561</v>
      </c>
      <c r="T3520" s="16" t="s">
        <v>3867</v>
      </c>
      <c r="U3520" s="17">
        <f>COUNTIFS(WTG_BD!L:L,'Basic Data'!T3520,WTG_BD!F:F,"&gt;="&amp;O2Summary!$B$6,WTG_BD!F:F,"&lt;="&amp;O2Summary!$B$4)</f>
        <v>0</v>
      </c>
      <c r="V3520" s="18">
        <f t="shared" si="61"/>
        <v>47</v>
      </c>
    </row>
    <row r="3521" spans="19:22">
      <c r="S3521" s="16">
        <v>5562</v>
      </c>
      <c r="T3521" s="16" t="s">
        <v>3868</v>
      </c>
      <c r="U3521" s="17">
        <f>COUNTIFS(WTG_BD!L:L,'Basic Data'!T3521,WTG_BD!F:F,"&gt;="&amp;O2Summary!$B$6,WTG_BD!F:F,"&lt;="&amp;O2Summary!$B$4)</f>
        <v>0</v>
      </c>
      <c r="V3521" s="18">
        <f t="shared" si="61"/>
        <v>47</v>
      </c>
    </row>
    <row r="3522" spans="19:22">
      <c r="S3522" s="16">
        <v>5563</v>
      </c>
      <c r="T3522" s="16" t="s">
        <v>3869</v>
      </c>
      <c r="U3522" s="17">
        <f>COUNTIFS(WTG_BD!L:L,'Basic Data'!T3522,WTG_BD!F:F,"&gt;="&amp;O2Summary!$B$6,WTG_BD!F:F,"&lt;="&amp;O2Summary!$B$4)</f>
        <v>0</v>
      </c>
      <c r="V3522" s="18">
        <f t="shared" si="61"/>
        <v>47</v>
      </c>
    </row>
    <row r="3523" spans="19:22">
      <c r="S3523" s="16">
        <v>5564</v>
      </c>
      <c r="T3523" s="16" t="s">
        <v>3870</v>
      </c>
      <c r="U3523" s="17">
        <f>COUNTIFS(WTG_BD!L:L,'Basic Data'!T3523,WTG_BD!F:F,"&gt;="&amp;O2Summary!$B$6,WTG_BD!F:F,"&lt;="&amp;O2Summary!$B$4)</f>
        <v>0</v>
      </c>
      <c r="V3523" s="18">
        <f t="shared" ref="V3523:V3586" si="62">RANK(U3523,$U$2:$U$3975)</f>
        <v>47</v>
      </c>
    </row>
    <row r="3524" spans="19:22">
      <c r="S3524" s="16">
        <v>5565</v>
      </c>
      <c r="T3524" s="16" t="s">
        <v>3871</v>
      </c>
      <c r="U3524" s="17">
        <f>COUNTIFS(WTG_BD!L:L,'Basic Data'!T3524,WTG_BD!F:F,"&gt;="&amp;O2Summary!$B$6,WTG_BD!F:F,"&lt;="&amp;O2Summary!$B$4)</f>
        <v>0</v>
      </c>
      <c r="V3524" s="18">
        <f t="shared" si="62"/>
        <v>47</v>
      </c>
    </row>
    <row r="3525" spans="19:22">
      <c r="S3525" s="16">
        <v>5566</v>
      </c>
      <c r="T3525" s="16" t="s">
        <v>3872</v>
      </c>
      <c r="U3525" s="17">
        <f>COUNTIFS(WTG_BD!L:L,'Basic Data'!T3525,WTG_BD!F:F,"&gt;="&amp;O2Summary!$B$6,WTG_BD!F:F,"&lt;="&amp;O2Summary!$B$4)</f>
        <v>0</v>
      </c>
      <c r="V3525" s="18">
        <f t="shared" si="62"/>
        <v>47</v>
      </c>
    </row>
    <row r="3526" spans="19:22">
      <c r="S3526" s="16">
        <v>5567</v>
      </c>
      <c r="T3526" s="16" t="s">
        <v>3873</v>
      </c>
      <c r="U3526" s="17">
        <f>COUNTIFS(WTG_BD!L:L,'Basic Data'!T3526,WTG_BD!F:F,"&gt;="&amp;O2Summary!$B$6,WTG_BD!F:F,"&lt;="&amp;O2Summary!$B$4)</f>
        <v>0</v>
      </c>
      <c r="V3526" s="18">
        <f t="shared" si="62"/>
        <v>47</v>
      </c>
    </row>
    <row r="3527" spans="19:22">
      <c r="S3527" s="16">
        <v>5568</v>
      </c>
      <c r="T3527" s="16" t="s">
        <v>3874</v>
      </c>
      <c r="U3527" s="17">
        <f>COUNTIFS(WTG_BD!L:L,'Basic Data'!T3527,WTG_BD!F:F,"&gt;="&amp;O2Summary!$B$6,WTG_BD!F:F,"&lt;="&amp;O2Summary!$B$4)</f>
        <v>0</v>
      </c>
      <c r="V3527" s="18">
        <f t="shared" si="62"/>
        <v>47</v>
      </c>
    </row>
    <row r="3528" spans="19:22">
      <c r="S3528" s="16">
        <v>5569</v>
      </c>
      <c r="T3528" s="16" t="s">
        <v>3875</v>
      </c>
      <c r="U3528" s="17">
        <f>COUNTIFS(WTG_BD!L:L,'Basic Data'!T3528,WTG_BD!F:F,"&gt;="&amp;O2Summary!$B$6,WTG_BD!F:F,"&lt;="&amp;O2Summary!$B$4)</f>
        <v>0</v>
      </c>
      <c r="V3528" s="18">
        <f t="shared" si="62"/>
        <v>47</v>
      </c>
    </row>
    <row r="3529" spans="19:22">
      <c r="S3529" s="16">
        <v>5570</v>
      </c>
      <c r="T3529" s="16" t="s">
        <v>3876</v>
      </c>
      <c r="U3529" s="17">
        <f>COUNTIFS(WTG_BD!L:L,'Basic Data'!T3529,WTG_BD!F:F,"&gt;="&amp;O2Summary!$B$6,WTG_BD!F:F,"&lt;="&amp;O2Summary!$B$4)</f>
        <v>0</v>
      </c>
      <c r="V3529" s="18">
        <f t="shared" si="62"/>
        <v>47</v>
      </c>
    </row>
    <row r="3530" spans="19:22">
      <c r="S3530" s="16">
        <v>5571</v>
      </c>
      <c r="T3530" s="16" t="s">
        <v>3877</v>
      </c>
      <c r="U3530" s="17">
        <f>COUNTIFS(WTG_BD!L:L,'Basic Data'!T3530,WTG_BD!F:F,"&gt;="&amp;O2Summary!$B$6,WTG_BD!F:F,"&lt;="&amp;O2Summary!$B$4)</f>
        <v>0</v>
      </c>
      <c r="V3530" s="18">
        <f t="shared" si="62"/>
        <v>47</v>
      </c>
    </row>
    <row r="3531" spans="19:22">
      <c r="S3531" s="16">
        <v>5572</v>
      </c>
      <c r="T3531" s="16" t="s">
        <v>3878</v>
      </c>
      <c r="U3531" s="17">
        <f>COUNTIFS(WTG_BD!L:L,'Basic Data'!T3531,WTG_BD!F:F,"&gt;="&amp;O2Summary!$B$6,WTG_BD!F:F,"&lt;="&amp;O2Summary!$B$4)</f>
        <v>0</v>
      </c>
      <c r="V3531" s="18">
        <f t="shared" si="62"/>
        <v>47</v>
      </c>
    </row>
    <row r="3532" spans="19:22">
      <c r="S3532" s="16">
        <v>5573</v>
      </c>
      <c r="T3532" s="16" t="s">
        <v>3879</v>
      </c>
      <c r="U3532" s="17">
        <f>COUNTIFS(WTG_BD!L:L,'Basic Data'!T3532,WTG_BD!F:F,"&gt;="&amp;O2Summary!$B$6,WTG_BD!F:F,"&lt;="&amp;O2Summary!$B$4)</f>
        <v>0</v>
      </c>
      <c r="V3532" s="18">
        <f t="shared" si="62"/>
        <v>47</v>
      </c>
    </row>
    <row r="3533" spans="19:22">
      <c r="S3533" s="16">
        <v>5574</v>
      </c>
      <c r="T3533" s="16" t="s">
        <v>3880</v>
      </c>
      <c r="U3533" s="17">
        <f>COUNTIFS(WTG_BD!L:L,'Basic Data'!T3533,WTG_BD!F:F,"&gt;="&amp;O2Summary!$B$6,WTG_BD!F:F,"&lt;="&amp;O2Summary!$B$4)</f>
        <v>0</v>
      </c>
      <c r="V3533" s="18">
        <f t="shared" si="62"/>
        <v>47</v>
      </c>
    </row>
    <row r="3534" spans="19:22">
      <c r="S3534" s="16">
        <v>5575</v>
      </c>
      <c r="T3534" s="16" t="s">
        <v>3881</v>
      </c>
      <c r="U3534" s="17">
        <f>COUNTIFS(WTG_BD!L:L,'Basic Data'!T3534,WTG_BD!F:F,"&gt;="&amp;O2Summary!$B$6,WTG_BD!F:F,"&lt;="&amp;O2Summary!$B$4)</f>
        <v>0</v>
      </c>
      <c r="V3534" s="18">
        <f t="shared" si="62"/>
        <v>47</v>
      </c>
    </row>
    <row r="3535" spans="19:22">
      <c r="S3535" s="16">
        <v>5576</v>
      </c>
      <c r="T3535" s="16" t="s">
        <v>3882</v>
      </c>
      <c r="U3535" s="17">
        <f>COUNTIFS(WTG_BD!L:L,'Basic Data'!T3535,WTG_BD!F:F,"&gt;="&amp;O2Summary!$B$6,WTG_BD!F:F,"&lt;="&amp;O2Summary!$B$4)</f>
        <v>0</v>
      </c>
      <c r="V3535" s="18">
        <f t="shared" si="62"/>
        <v>47</v>
      </c>
    </row>
    <row r="3536" spans="19:22">
      <c r="S3536" s="16">
        <v>5577</v>
      </c>
      <c r="T3536" s="16" t="s">
        <v>3883</v>
      </c>
      <c r="U3536" s="17">
        <f>COUNTIFS(WTG_BD!L:L,'Basic Data'!T3536,WTG_BD!F:F,"&gt;="&amp;O2Summary!$B$6,WTG_BD!F:F,"&lt;="&amp;O2Summary!$B$4)</f>
        <v>0</v>
      </c>
      <c r="V3536" s="18">
        <f t="shared" si="62"/>
        <v>47</v>
      </c>
    </row>
    <row r="3537" spans="19:22">
      <c r="S3537" s="16">
        <v>5578</v>
      </c>
      <c r="T3537" s="16" t="s">
        <v>3884</v>
      </c>
      <c r="U3537" s="17">
        <f>COUNTIFS(WTG_BD!L:L,'Basic Data'!T3537,WTG_BD!F:F,"&gt;="&amp;O2Summary!$B$6,WTG_BD!F:F,"&lt;="&amp;O2Summary!$B$4)</f>
        <v>0</v>
      </c>
      <c r="V3537" s="18">
        <f t="shared" si="62"/>
        <v>47</v>
      </c>
    </row>
    <row r="3538" spans="19:22">
      <c r="S3538" s="16">
        <v>5579</v>
      </c>
      <c r="T3538" s="16" t="s">
        <v>3885</v>
      </c>
      <c r="U3538" s="17">
        <f>COUNTIFS(WTG_BD!L:L,'Basic Data'!T3538,WTG_BD!F:F,"&gt;="&amp;O2Summary!$B$6,WTG_BD!F:F,"&lt;="&amp;O2Summary!$B$4)</f>
        <v>0</v>
      </c>
      <c r="V3538" s="18">
        <f t="shared" si="62"/>
        <v>47</v>
      </c>
    </row>
    <row r="3539" spans="19:22">
      <c r="S3539" s="16">
        <v>5580</v>
      </c>
      <c r="T3539" s="16" t="s">
        <v>3886</v>
      </c>
      <c r="U3539" s="17">
        <f>COUNTIFS(WTG_BD!L:L,'Basic Data'!T3539,WTG_BD!F:F,"&gt;="&amp;O2Summary!$B$6,WTG_BD!F:F,"&lt;="&amp;O2Summary!$B$4)</f>
        <v>0</v>
      </c>
      <c r="V3539" s="18">
        <f t="shared" si="62"/>
        <v>47</v>
      </c>
    </row>
    <row r="3540" spans="19:22">
      <c r="S3540" s="16">
        <v>5581</v>
      </c>
      <c r="T3540" s="16" t="s">
        <v>3887</v>
      </c>
      <c r="U3540" s="17">
        <f>COUNTIFS(WTG_BD!L:L,'Basic Data'!T3540,WTG_BD!F:F,"&gt;="&amp;O2Summary!$B$6,WTG_BD!F:F,"&lt;="&amp;O2Summary!$B$4)</f>
        <v>0</v>
      </c>
      <c r="V3540" s="18">
        <f t="shared" si="62"/>
        <v>47</v>
      </c>
    </row>
    <row r="3541" spans="19:22">
      <c r="S3541" s="16">
        <v>5582</v>
      </c>
      <c r="T3541" s="16" t="s">
        <v>3888</v>
      </c>
      <c r="U3541" s="17">
        <f>COUNTIFS(WTG_BD!L:L,'Basic Data'!T3541,WTG_BD!F:F,"&gt;="&amp;O2Summary!$B$6,WTG_BD!F:F,"&lt;="&amp;O2Summary!$B$4)</f>
        <v>0</v>
      </c>
      <c r="V3541" s="18">
        <f t="shared" si="62"/>
        <v>47</v>
      </c>
    </row>
    <row r="3542" spans="19:22">
      <c r="S3542" s="16">
        <v>5583</v>
      </c>
      <c r="T3542" s="16" t="s">
        <v>3889</v>
      </c>
      <c r="U3542" s="17">
        <f>COUNTIFS(WTG_BD!L:L,'Basic Data'!T3542,WTG_BD!F:F,"&gt;="&amp;O2Summary!$B$6,WTG_BD!F:F,"&lt;="&amp;O2Summary!$B$4)</f>
        <v>0</v>
      </c>
      <c r="V3542" s="18">
        <f t="shared" si="62"/>
        <v>47</v>
      </c>
    </row>
    <row r="3543" spans="19:22">
      <c r="S3543" s="16">
        <v>5584</v>
      </c>
      <c r="T3543" s="16" t="s">
        <v>3890</v>
      </c>
      <c r="U3543" s="17">
        <f>COUNTIFS(WTG_BD!L:L,'Basic Data'!T3543,WTG_BD!F:F,"&gt;="&amp;O2Summary!$B$6,WTG_BD!F:F,"&lt;="&amp;O2Summary!$B$4)</f>
        <v>0</v>
      </c>
      <c r="V3543" s="18">
        <f t="shared" si="62"/>
        <v>47</v>
      </c>
    </row>
    <row r="3544" spans="19:22">
      <c r="S3544" s="26">
        <v>5585</v>
      </c>
      <c r="T3544" s="26" t="s">
        <v>3891</v>
      </c>
      <c r="U3544" s="17">
        <f>COUNTIFS(WTG_BD!L:L,'Basic Data'!T3544,WTG_BD!F:F,"&gt;="&amp;O2Summary!$B$6,WTG_BD!F:F,"&lt;="&amp;O2Summary!$B$4)</f>
        <v>0</v>
      </c>
      <c r="V3544" s="18">
        <f t="shared" si="62"/>
        <v>47</v>
      </c>
    </row>
    <row r="3545" spans="19:22">
      <c r="S3545" s="26">
        <v>5586</v>
      </c>
      <c r="T3545" s="26" t="s">
        <v>3892</v>
      </c>
      <c r="U3545" s="17">
        <f>COUNTIFS(WTG_BD!L:L,'Basic Data'!T3545,WTG_BD!F:F,"&gt;="&amp;O2Summary!$B$6,WTG_BD!F:F,"&lt;="&amp;O2Summary!$B$4)</f>
        <v>0</v>
      </c>
      <c r="V3545" s="18">
        <f t="shared" si="62"/>
        <v>47</v>
      </c>
    </row>
    <row r="3546" spans="19:22">
      <c r="S3546" s="26">
        <v>5587</v>
      </c>
      <c r="T3546" s="26" t="s">
        <v>3893</v>
      </c>
      <c r="U3546" s="17">
        <f>COUNTIFS(WTG_BD!L:L,'Basic Data'!T3546,WTG_BD!F:F,"&gt;="&amp;O2Summary!$B$6,WTG_BD!F:F,"&lt;="&amp;O2Summary!$B$4)</f>
        <v>0</v>
      </c>
      <c r="V3546" s="18">
        <f t="shared" si="62"/>
        <v>47</v>
      </c>
    </row>
    <row r="3547" spans="19:22">
      <c r="S3547" s="26">
        <v>5588</v>
      </c>
      <c r="T3547" s="26" t="s">
        <v>3894</v>
      </c>
      <c r="U3547" s="17">
        <f>COUNTIFS(WTG_BD!L:L,'Basic Data'!T3547,WTG_BD!F:F,"&gt;="&amp;O2Summary!$B$6,WTG_BD!F:F,"&lt;="&amp;O2Summary!$B$4)</f>
        <v>0</v>
      </c>
      <c r="V3547" s="18">
        <f t="shared" si="62"/>
        <v>47</v>
      </c>
    </row>
    <row r="3548" spans="19:22">
      <c r="S3548" s="26">
        <v>5589</v>
      </c>
      <c r="T3548" s="26" t="s">
        <v>3895</v>
      </c>
      <c r="U3548" s="17">
        <f>COUNTIFS(WTG_BD!L:L,'Basic Data'!T3548,WTG_BD!F:F,"&gt;="&amp;O2Summary!$B$6,WTG_BD!F:F,"&lt;="&amp;O2Summary!$B$4)</f>
        <v>0</v>
      </c>
      <c r="V3548" s="18">
        <f t="shared" si="62"/>
        <v>47</v>
      </c>
    </row>
    <row r="3549" spans="19:22">
      <c r="S3549" s="26">
        <v>5590</v>
      </c>
      <c r="T3549" s="26" t="s">
        <v>3896</v>
      </c>
      <c r="U3549" s="17">
        <f>COUNTIFS(WTG_BD!L:L,'Basic Data'!T3549,WTG_BD!F:F,"&gt;="&amp;O2Summary!$B$6,WTG_BD!F:F,"&lt;="&amp;O2Summary!$B$4)</f>
        <v>0</v>
      </c>
      <c r="V3549" s="18">
        <f t="shared" si="62"/>
        <v>47</v>
      </c>
    </row>
    <row r="3550" spans="19:22">
      <c r="S3550" s="26">
        <v>5591</v>
      </c>
      <c r="T3550" s="26" t="s">
        <v>3897</v>
      </c>
      <c r="U3550" s="17">
        <f>COUNTIFS(WTG_BD!L:L,'Basic Data'!T3550,WTG_BD!F:F,"&gt;="&amp;O2Summary!$B$6,WTG_BD!F:F,"&lt;="&amp;O2Summary!$B$4)</f>
        <v>0</v>
      </c>
      <c r="V3550" s="18">
        <f t="shared" si="62"/>
        <v>47</v>
      </c>
    </row>
    <row r="3551" spans="19:22">
      <c r="S3551" s="26">
        <v>5592</v>
      </c>
      <c r="T3551" s="26" t="s">
        <v>3898</v>
      </c>
      <c r="U3551" s="17">
        <f>COUNTIFS(WTG_BD!L:L,'Basic Data'!T3551,WTG_BD!F:F,"&gt;="&amp;O2Summary!$B$6,WTG_BD!F:F,"&lt;="&amp;O2Summary!$B$4)</f>
        <v>0</v>
      </c>
      <c r="V3551" s="18">
        <f t="shared" si="62"/>
        <v>47</v>
      </c>
    </row>
    <row r="3552" spans="19:22">
      <c r="S3552" s="26">
        <v>5593</v>
      </c>
      <c r="T3552" s="26" t="s">
        <v>3899</v>
      </c>
      <c r="U3552" s="17">
        <f>COUNTIFS(WTG_BD!L:L,'Basic Data'!T3552,WTG_BD!F:F,"&gt;="&amp;O2Summary!$B$6,WTG_BD!F:F,"&lt;="&amp;O2Summary!$B$4)</f>
        <v>0</v>
      </c>
      <c r="V3552" s="18">
        <f t="shared" si="62"/>
        <v>47</v>
      </c>
    </row>
    <row r="3553" spans="19:22">
      <c r="S3553" s="26">
        <v>5594</v>
      </c>
      <c r="T3553" s="26" t="s">
        <v>3900</v>
      </c>
      <c r="U3553" s="17">
        <f>COUNTIFS(WTG_BD!L:L,'Basic Data'!T3553,WTG_BD!F:F,"&gt;="&amp;O2Summary!$B$6,WTG_BD!F:F,"&lt;="&amp;O2Summary!$B$4)</f>
        <v>0</v>
      </c>
      <c r="V3553" s="18">
        <f t="shared" si="62"/>
        <v>47</v>
      </c>
    </row>
    <row r="3554" spans="19:22">
      <c r="S3554" s="26">
        <v>5595</v>
      </c>
      <c r="T3554" s="26" t="s">
        <v>3901</v>
      </c>
      <c r="U3554" s="17">
        <f>COUNTIFS(WTG_BD!L:L,'Basic Data'!T3554,WTG_BD!F:F,"&gt;="&amp;O2Summary!$B$6,WTG_BD!F:F,"&lt;="&amp;O2Summary!$B$4)</f>
        <v>0</v>
      </c>
      <c r="V3554" s="18">
        <f t="shared" si="62"/>
        <v>47</v>
      </c>
    </row>
    <row r="3555" spans="19:22">
      <c r="S3555" s="26">
        <v>5596</v>
      </c>
      <c r="T3555" s="26" t="s">
        <v>3902</v>
      </c>
      <c r="U3555" s="17">
        <f>COUNTIFS(WTG_BD!L:L,'Basic Data'!T3555,WTG_BD!F:F,"&gt;="&amp;O2Summary!$B$6,WTG_BD!F:F,"&lt;="&amp;O2Summary!$B$4)</f>
        <v>0</v>
      </c>
      <c r="V3555" s="18">
        <f t="shared" si="62"/>
        <v>47</v>
      </c>
    </row>
    <row r="3556" spans="19:22">
      <c r="S3556" s="26">
        <v>5597</v>
      </c>
      <c r="T3556" s="26" t="s">
        <v>3903</v>
      </c>
      <c r="U3556" s="17">
        <f>COUNTIFS(WTG_BD!L:L,'Basic Data'!T3556,WTG_BD!F:F,"&gt;="&amp;O2Summary!$B$6,WTG_BD!F:F,"&lt;="&amp;O2Summary!$B$4)</f>
        <v>0</v>
      </c>
      <c r="V3556" s="18">
        <f t="shared" si="62"/>
        <v>47</v>
      </c>
    </row>
    <row r="3557" spans="19:22">
      <c r="S3557" s="16">
        <v>5598</v>
      </c>
      <c r="T3557" s="16" t="s">
        <v>3904</v>
      </c>
      <c r="U3557" s="17">
        <f>COUNTIFS(WTG_BD!L:L,'Basic Data'!T3557,WTG_BD!F:F,"&gt;="&amp;O2Summary!$B$6,WTG_BD!F:F,"&lt;="&amp;O2Summary!$B$4)</f>
        <v>0</v>
      </c>
      <c r="V3557" s="18">
        <f t="shared" si="62"/>
        <v>47</v>
      </c>
    </row>
    <row r="3558" spans="19:22">
      <c r="S3558" s="16">
        <v>5599</v>
      </c>
      <c r="T3558" s="16" t="s">
        <v>3905</v>
      </c>
      <c r="U3558" s="17">
        <f>COUNTIFS(WTG_BD!L:L,'Basic Data'!T3558,WTG_BD!F:F,"&gt;="&amp;O2Summary!$B$6,WTG_BD!F:F,"&lt;="&amp;O2Summary!$B$4)</f>
        <v>0</v>
      </c>
      <c r="V3558" s="18">
        <f t="shared" si="62"/>
        <v>47</v>
      </c>
    </row>
    <row r="3559" spans="19:22">
      <c r="S3559" s="16">
        <v>5600</v>
      </c>
      <c r="T3559" s="16" t="s">
        <v>3906</v>
      </c>
      <c r="U3559" s="17">
        <f>COUNTIFS(WTG_BD!L:L,'Basic Data'!T3559,WTG_BD!F:F,"&gt;="&amp;O2Summary!$B$6,WTG_BD!F:F,"&lt;="&amp;O2Summary!$B$4)</f>
        <v>0</v>
      </c>
      <c r="V3559" s="18">
        <f t="shared" si="62"/>
        <v>47</v>
      </c>
    </row>
    <row r="3560" spans="19:22">
      <c r="S3560" s="16">
        <v>5601</v>
      </c>
      <c r="T3560" s="16" t="s">
        <v>3907</v>
      </c>
      <c r="U3560" s="17">
        <f>COUNTIFS(WTG_BD!L:L,'Basic Data'!T3560,WTG_BD!F:F,"&gt;="&amp;O2Summary!$B$6,WTG_BD!F:F,"&lt;="&amp;O2Summary!$B$4)</f>
        <v>0</v>
      </c>
      <c r="V3560" s="18">
        <f t="shared" si="62"/>
        <v>47</v>
      </c>
    </row>
    <row r="3561" spans="19:22">
      <c r="S3561" s="16">
        <v>5602</v>
      </c>
      <c r="T3561" s="16" t="s">
        <v>3908</v>
      </c>
      <c r="U3561" s="17">
        <f>COUNTIFS(WTG_BD!L:L,'Basic Data'!T3561,WTG_BD!F:F,"&gt;="&amp;O2Summary!$B$6,WTG_BD!F:F,"&lt;="&amp;O2Summary!$B$4)</f>
        <v>0</v>
      </c>
      <c r="V3561" s="18">
        <f t="shared" si="62"/>
        <v>47</v>
      </c>
    </row>
    <row r="3562" spans="19:22">
      <c r="S3562" s="16">
        <v>5603</v>
      </c>
      <c r="T3562" s="16" t="s">
        <v>3908</v>
      </c>
      <c r="U3562" s="17">
        <f>COUNTIFS(WTG_BD!L:L,'Basic Data'!T3562,WTG_BD!F:F,"&gt;="&amp;O2Summary!$B$6,WTG_BD!F:F,"&lt;="&amp;O2Summary!$B$4)</f>
        <v>0</v>
      </c>
      <c r="V3562" s="18">
        <f t="shared" si="62"/>
        <v>47</v>
      </c>
    </row>
    <row r="3563" spans="19:22">
      <c r="S3563" s="16">
        <v>5604</v>
      </c>
      <c r="T3563" s="16" t="s">
        <v>3909</v>
      </c>
      <c r="U3563" s="17">
        <f>COUNTIFS(WTG_BD!L:L,'Basic Data'!T3563,WTG_BD!F:F,"&gt;="&amp;O2Summary!$B$6,WTG_BD!F:F,"&lt;="&amp;O2Summary!$B$4)</f>
        <v>0</v>
      </c>
      <c r="V3563" s="18">
        <f t="shared" si="62"/>
        <v>47</v>
      </c>
    </row>
    <row r="3564" spans="19:22">
      <c r="S3564" s="26">
        <v>5605</v>
      </c>
      <c r="T3564" s="26" t="s">
        <v>3910</v>
      </c>
      <c r="U3564" s="17">
        <f>COUNTIFS(WTG_BD!L:L,'Basic Data'!T3564,WTG_BD!F:F,"&gt;="&amp;O2Summary!$B$6,WTG_BD!F:F,"&lt;="&amp;O2Summary!$B$4)</f>
        <v>0</v>
      </c>
      <c r="V3564" s="18">
        <f t="shared" si="62"/>
        <v>47</v>
      </c>
    </row>
    <row r="3565" spans="19:22">
      <c r="S3565" s="26">
        <v>5606</v>
      </c>
      <c r="T3565" s="26" t="s">
        <v>3911</v>
      </c>
      <c r="U3565" s="17">
        <f>COUNTIFS(WTG_BD!L:L,'Basic Data'!T3565,WTG_BD!F:F,"&gt;="&amp;O2Summary!$B$6,WTG_BD!F:F,"&lt;="&amp;O2Summary!$B$4)</f>
        <v>0</v>
      </c>
      <c r="V3565" s="18">
        <f t="shared" si="62"/>
        <v>47</v>
      </c>
    </row>
    <row r="3566" spans="19:22">
      <c r="S3566" s="16">
        <v>5607</v>
      </c>
      <c r="T3566" s="16" t="s">
        <v>3912</v>
      </c>
      <c r="U3566" s="17">
        <f>COUNTIFS(WTG_BD!L:L,'Basic Data'!T3566,WTG_BD!F:F,"&gt;="&amp;O2Summary!$B$6,WTG_BD!F:F,"&lt;="&amp;O2Summary!$B$4)</f>
        <v>0</v>
      </c>
      <c r="V3566" s="18">
        <f t="shared" si="62"/>
        <v>47</v>
      </c>
    </row>
    <row r="3567" spans="19:22">
      <c r="S3567" s="26">
        <v>5608</v>
      </c>
      <c r="T3567" s="26" t="s">
        <v>3913</v>
      </c>
      <c r="U3567" s="17">
        <f>COUNTIFS(WTG_BD!L:L,'Basic Data'!T3567,WTG_BD!F:F,"&gt;="&amp;O2Summary!$B$6,WTG_BD!F:F,"&lt;="&amp;O2Summary!$B$4)</f>
        <v>0</v>
      </c>
      <c r="V3567" s="18">
        <f t="shared" si="62"/>
        <v>47</v>
      </c>
    </row>
    <row r="3568" spans="19:22">
      <c r="S3568" s="26">
        <v>5609</v>
      </c>
      <c r="T3568" s="26" t="s">
        <v>3914</v>
      </c>
      <c r="U3568" s="17">
        <f>COUNTIFS(WTG_BD!L:L,'Basic Data'!T3568,WTG_BD!F:F,"&gt;="&amp;O2Summary!$B$6,WTG_BD!F:F,"&lt;="&amp;O2Summary!$B$4)</f>
        <v>0</v>
      </c>
      <c r="V3568" s="18">
        <f t="shared" si="62"/>
        <v>47</v>
      </c>
    </row>
    <row r="3569" spans="19:22">
      <c r="S3569" s="16">
        <v>5610</v>
      </c>
      <c r="T3569" s="16" t="s">
        <v>3915</v>
      </c>
      <c r="U3569" s="17">
        <f>COUNTIFS(WTG_BD!L:L,'Basic Data'!T3569,WTG_BD!F:F,"&gt;="&amp;O2Summary!$B$6,WTG_BD!F:F,"&lt;="&amp;O2Summary!$B$4)</f>
        <v>0</v>
      </c>
      <c r="V3569" s="18">
        <f t="shared" si="62"/>
        <v>47</v>
      </c>
    </row>
    <row r="3570" spans="19:22">
      <c r="S3570" s="16">
        <v>5611</v>
      </c>
      <c r="T3570" s="16" t="s">
        <v>3916</v>
      </c>
      <c r="U3570" s="17">
        <f>COUNTIFS(WTG_BD!L:L,'Basic Data'!T3570,WTG_BD!F:F,"&gt;="&amp;O2Summary!$B$6,WTG_BD!F:F,"&lt;="&amp;O2Summary!$B$4)</f>
        <v>0</v>
      </c>
      <c r="V3570" s="18">
        <f t="shared" si="62"/>
        <v>47</v>
      </c>
    </row>
    <row r="3571" spans="19:22">
      <c r="S3571" s="16">
        <v>5612</v>
      </c>
      <c r="T3571" s="16" t="s">
        <v>3917</v>
      </c>
      <c r="U3571" s="17">
        <f>COUNTIFS(WTG_BD!L:L,'Basic Data'!T3571,WTG_BD!F:F,"&gt;="&amp;O2Summary!$B$6,WTG_BD!F:F,"&lt;="&amp;O2Summary!$B$4)</f>
        <v>0</v>
      </c>
      <c r="V3571" s="18">
        <f t="shared" si="62"/>
        <v>47</v>
      </c>
    </row>
    <row r="3572" spans="19:22">
      <c r="S3572" s="26">
        <v>5613</v>
      </c>
      <c r="T3572" s="26" t="s">
        <v>3918</v>
      </c>
      <c r="U3572" s="17">
        <f>COUNTIFS(WTG_BD!L:L,'Basic Data'!T3572,WTG_BD!F:F,"&gt;="&amp;O2Summary!$B$6,WTG_BD!F:F,"&lt;="&amp;O2Summary!$B$4)</f>
        <v>0</v>
      </c>
      <c r="V3572" s="18">
        <f t="shared" si="62"/>
        <v>47</v>
      </c>
    </row>
    <row r="3573" spans="19:22">
      <c r="S3573" s="26">
        <v>5614</v>
      </c>
      <c r="T3573" s="26" t="s">
        <v>3919</v>
      </c>
      <c r="U3573" s="17">
        <f>COUNTIFS(WTG_BD!L:L,'Basic Data'!T3573,WTG_BD!F:F,"&gt;="&amp;O2Summary!$B$6,WTG_BD!F:F,"&lt;="&amp;O2Summary!$B$4)</f>
        <v>0</v>
      </c>
      <c r="V3573" s="18">
        <f t="shared" si="62"/>
        <v>47</v>
      </c>
    </row>
    <row r="3574" spans="19:22">
      <c r="S3574" s="16">
        <v>5615</v>
      </c>
      <c r="T3574" s="16" t="s">
        <v>3920</v>
      </c>
      <c r="U3574" s="17">
        <f>COUNTIFS(WTG_BD!L:L,'Basic Data'!T3574,WTG_BD!F:F,"&gt;="&amp;O2Summary!$B$6,WTG_BD!F:F,"&lt;="&amp;O2Summary!$B$4)</f>
        <v>0</v>
      </c>
      <c r="V3574" s="18">
        <f t="shared" si="62"/>
        <v>47</v>
      </c>
    </row>
    <row r="3575" spans="19:22">
      <c r="S3575" s="16">
        <v>5616</v>
      </c>
      <c r="T3575" s="16" t="s">
        <v>3921</v>
      </c>
      <c r="U3575" s="17">
        <f>COUNTIFS(WTG_BD!L:L,'Basic Data'!T3575,WTG_BD!F:F,"&gt;="&amp;O2Summary!$B$6,WTG_BD!F:F,"&lt;="&amp;O2Summary!$B$4)</f>
        <v>0</v>
      </c>
      <c r="V3575" s="18">
        <f t="shared" si="62"/>
        <v>47</v>
      </c>
    </row>
    <row r="3576" spans="19:22">
      <c r="S3576" s="16">
        <v>5617</v>
      </c>
      <c r="T3576" s="16" t="s">
        <v>3922</v>
      </c>
      <c r="U3576" s="17">
        <f>COUNTIFS(WTG_BD!L:L,'Basic Data'!T3576,WTG_BD!F:F,"&gt;="&amp;O2Summary!$B$6,WTG_BD!F:F,"&lt;="&amp;O2Summary!$B$4)</f>
        <v>0</v>
      </c>
      <c r="V3576" s="18">
        <f t="shared" si="62"/>
        <v>47</v>
      </c>
    </row>
    <row r="3577" spans="19:22">
      <c r="S3577" s="16">
        <v>5618</v>
      </c>
      <c r="T3577" s="16" t="s">
        <v>3923</v>
      </c>
      <c r="U3577" s="17">
        <f>COUNTIFS(WTG_BD!L:L,'Basic Data'!T3577,WTG_BD!F:F,"&gt;="&amp;O2Summary!$B$6,WTG_BD!F:F,"&lt;="&amp;O2Summary!$B$4)</f>
        <v>0</v>
      </c>
      <c r="V3577" s="18">
        <f t="shared" si="62"/>
        <v>47</v>
      </c>
    </row>
    <row r="3578" spans="19:22">
      <c r="S3578" s="26">
        <v>5619</v>
      </c>
      <c r="T3578" s="26" t="s">
        <v>3924</v>
      </c>
      <c r="U3578" s="17">
        <f>COUNTIFS(WTG_BD!L:L,'Basic Data'!T3578,WTG_BD!F:F,"&gt;="&amp;O2Summary!$B$6,WTG_BD!F:F,"&lt;="&amp;O2Summary!$B$4)</f>
        <v>0</v>
      </c>
      <c r="V3578" s="18">
        <f t="shared" si="62"/>
        <v>47</v>
      </c>
    </row>
    <row r="3579" spans="19:22">
      <c r="S3579" s="26">
        <v>5620</v>
      </c>
      <c r="T3579" s="26" t="s">
        <v>3925</v>
      </c>
      <c r="U3579" s="17">
        <f>COUNTIFS(WTG_BD!L:L,'Basic Data'!T3579,WTG_BD!F:F,"&gt;="&amp;O2Summary!$B$6,WTG_BD!F:F,"&lt;="&amp;O2Summary!$B$4)</f>
        <v>0</v>
      </c>
      <c r="V3579" s="18">
        <f t="shared" si="62"/>
        <v>47</v>
      </c>
    </row>
    <row r="3580" spans="19:22">
      <c r="S3580" s="26">
        <v>5621</v>
      </c>
      <c r="T3580" s="26" t="s">
        <v>3926</v>
      </c>
      <c r="U3580" s="17">
        <f>COUNTIFS(WTG_BD!L:L,'Basic Data'!T3580,WTG_BD!F:F,"&gt;="&amp;O2Summary!$B$6,WTG_BD!F:F,"&lt;="&amp;O2Summary!$B$4)</f>
        <v>0</v>
      </c>
      <c r="V3580" s="18">
        <f t="shared" si="62"/>
        <v>47</v>
      </c>
    </row>
    <row r="3581" spans="19:22">
      <c r="S3581" s="26">
        <v>5622</v>
      </c>
      <c r="T3581" s="26" t="s">
        <v>3927</v>
      </c>
      <c r="U3581" s="17">
        <f>COUNTIFS(WTG_BD!L:L,'Basic Data'!T3581,WTG_BD!F:F,"&gt;="&amp;O2Summary!$B$6,WTG_BD!F:F,"&lt;="&amp;O2Summary!$B$4)</f>
        <v>0</v>
      </c>
      <c r="V3581" s="18">
        <f t="shared" si="62"/>
        <v>47</v>
      </c>
    </row>
    <row r="3582" spans="19:22">
      <c r="S3582" s="26">
        <v>5623</v>
      </c>
      <c r="T3582" s="26" t="s">
        <v>3928</v>
      </c>
      <c r="U3582" s="17">
        <f>COUNTIFS(WTG_BD!L:L,'Basic Data'!T3582,WTG_BD!F:F,"&gt;="&amp;O2Summary!$B$6,WTG_BD!F:F,"&lt;="&amp;O2Summary!$B$4)</f>
        <v>0</v>
      </c>
      <c r="V3582" s="18">
        <f t="shared" si="62"/>
        <v>47</v>
      </c>
    </row>
    <row r="3583" spans="19:22">
      <c r="S3583" s="26">
        <v>5624</v>
      </c>
      <c r="T3583" s="26" t="s">
        <v>3929</v>
      </c>
      <c r="U3583" s="17">
        <f>COUNTIFS(WTG_BD!L:L,'Basic Data'!T3583,WTG_BD!F:F,"&gt;="&amp;O2Summary!$B$6,WTG_BD!F:F,"&lt;="&amp;O2Summary!$B$4)</f>
        <v>0</v>
      </c>
      <c r="V3583" s="18">
        <f t="shared" si="62"/>
        <v>47</v>
      </c>
    </row>
    <row r="3584" spans="19:22">
      <c r="S3584" s="16">
        <v>5625</v>
      </c>
      <c r="T3584" s="16" t="s">
        <v>3930</v>
      </c>
      <c r="U3584" s="17">
        <f>COUNTIFS(WTG_BD!L:L,'Basic Data'!T3584,WTG_BD!F:F,"&gt;="&amp;O2Summary!$B$6,WTG_BD!F:F,"&lt;="&amp;O2Summary!$B$4)</f>
        <v>0</v>
      </c>
      <c r="V3584" s="18">
        <f t="shared" si="62"/>
        <v>47</v>
      </c>
    </row>
    <row r="3585" spans="19:22">
      <c r="S3585" s="16">
        <v>5626</v>
      </c>
      <c r="T3585" s="16" t="s">
        <v>3931</v>
      </c>
      <c r="U3585" s="17">
        <f>COUNTIFS(WTG_BD!L:L,'Basic Data'!T3585,WTG_BD!F:F,"&gt;="&amp;O2Summary!$B$6,WTG_BD!F:F,"&lt;="&amp;O2Summary!$B$4)</f>
        <v>0</v>
      </c>
      <c r="V3585" s="18">
        <f t="shared" si="62"/>
        <v>47</v>
      </c>
    </row>
    <row r="3586" spans="19:22">
      <c r="S3586" s="16">
        <v>5627</v>
      </c>
      <c r="T3586" s="16" t="s">
        <v>3932</v>
      </c>
      <c r="U3586" s="17">
        <f>COUNTIFS(WTG_BD!L:L,'Basic Data'!T3586,WTG_BD!F:F,"&gt;="&amp;O2Summary!$B$6,WTG_BD!F:F,"&lt;="&amp;O2Summary!$B$4)</f>
        <v>0</v>
      </c>
      <c r="V3586" s="18">
        <f t="shared" si="62"/>
        <v>47</v>
      </c>
    </row>
    <row r="3587" spans="19:22">
      <c r="S3587" s="16">
        <v>5628</v>
      </c>
      <c r="T3587" s="16" t="s">
        <v>3933</v>
      </c>
      <c r="U3587" s="17">
        <f>COUNTIFS(WTG_BD!L:L,'Basic Data'!T3587,WTG_BD!F:F,"&gt;="&amp;O2Summary!$B$6,WTG_BD!F:F,"&lt;="&amp;O2Summary!$B$4)</f>
        <v>0</v>
      </c>
      <c r="V3587" s="18">
        <f t="shared" ref="V3587:V3650" si="63">RANK(U3587,$U$2:$U$3975)</f>
        <v>47</v>
      </c>
    </row>
    <row r="3588" spans="19:22">
      <c r="S3588" s="16">
        <v>5629</v>
      </c>
      <c r="T3588" s="16" t="s">
        <v>3934</v>
      </c>
      <c r="U3588" s="17">
        <f>COUNTIFS(WTG_BD!L:L,'Basic Data'!T3588,WTG_BD!F:F,"&gt;="&amp;O2Summary!$B$6,WTG_BD!F:F,"&lt;="&amp;O2Summary!$B$4)</f>
        <v>0</v>
      </c>
      <c r="V3588" s="18">
        <f t="shared" si="63"/>
        <v>47</v>
      </c>
    </row>
    <row r="3589" spans="19:22">
      <c r="S3589" s="16">
        <v>5630</v>
      </c>
      <c r="T3589" s="16" t="s">
        <v>3935</v>
      </c>
      <c r="U3589" s="17">
        <f>COUNTIFS(WTG_BD!L:L,'Basic Data'!T3589,WTG_BD!F:F,"&gt;="&amp;O2Summary!$B$6,WTG_BD!F:F,"&lt;="&amp;O2Summary!$B$4)</f>
        <v>0</v>
      </c>
      <c r="V3589" s="18">
        <f t="shared" si="63"/>
        <v>47</v>
      </c>
    </row>
    <row r="3590" spans="19:22">
      <c r="S3590" s="16">
        <v>5631</v>
      </c>
      <c r="T3590" s="16" t="s">
        <v>3936</v>
      </c>
      <c r="U3590" s="17">
        <f>COUNTIFS(WTG_BD!L:L,'Basic Data'!T3590,WTG_BD!F:F,"&gt;="&amp;O2Summary!$B$6,WTG_BD!F:F,"&lt;="&amp;O2Summary!$B$4)</f>
        <v>0</v>
      </c>
      <c r="V3590" s="18">
        <f t="shared" si="63"/>
        <v>47</v>
      </c>
    </row>
    <row r="3591" spans="19:22">
      <c r="S3591" s="16">
        <v>5635</v>
      </c>
      <c r="T3591" s="16" t="s">
        <v>3937</v>
      </c>
      <c r="U3591" s="17">
        <f>COUNTIFS(WTG_BD!L:L,'Basic Data'!T3591,WTG_BD!F:F,"&gt;="&amp;O2Summary!$B$6,WTG_BD!F:F,"&lt;="&amp;O2Summary!$B$4)</f>
        <v>0</v>
      </c>
      <c r="V3591" s="18">
        <f t="shared" si="63"/>
        <v>47</v>
      </c>
    </row>
    <row r="3592" spans="19:22">
      <c r="S3592" s="16">
        <v>5636</v>
      </c>
      <c r="T3592" s="16" t="s">
        <v>3938</v>
      </c>
      <c r="U3592" s="17">
        <f>COUNTIFS(WTG_BD!L:L,'Basic Data'!T3592,WTG_BD!F:F,"&gt;="&amp;O2Summary!$B$6,WTG_BD!F:F,"&lt;="&amp;O2Summary!$B$4)</f>
        <v>0</v>
      </c>
      <c r="V3592" s="18">
        <f t="shared" si="63"/>
        <v>47</v>
      </c>
    </row>
    <row r="3593" spans="19:22">
      <c r="S3593" s="16">
        <v>5637</v>
      </c>
      <c r="T3593" s="16" t="s">
        <v>3939</v>
      </c>
      <c r="U3593" s="17">
        <f>COUNTIFS(WTG_BD!L:L,'Basic Data'!T3593,WTG_BD!F:F,"&gt;="&amp;O2Summary!$B$6,WTG_BD!F:F,"&lt;="&amp;O2Summary!$B$4)</f>
        <v>0</v>
      </c>
      <c r="V3593" s="18">
        <f t="shared" si="63"/>
        <v>47</v>
      </c>
    </row>
    <row r="3594" spans="19:22">
      <c r="S3594" s="26">
        <v>5638</v>
      </c>
      <c r="T3594" s="26" t="s">
        <v>3940</v>
      </c>
      <c r="U3594" s="17">
        <f>COUNTIFS(WTG_BD!L:L,'Basic Data'!T3594,WTG_BD!F:F,"&gt;="&amp;O2Summary!$B$6,WTG_BD!F:F,"&lt;="&amp;O2Summary!$B$4)</f>
        <v>0</v>
      </c>
      <c r="V3594" s="18">
        <f t="shared" si="63"/>
        <v>47</v>
      </c>
    </row>
    <row r="3595" spans="19:22">
      <c r="S3595" s="26">
        <v>5639</v>
      </c>
      <c r="T3595" s="26" t="s">
        <v>3941</v>
      </c>
      <c r="U3595" s="17">
        <f>COUNTIFS(WTG_BD!L:L,'Basic Data'!T3595,WTG_BD!F:F,"&gt;="&amp;O2Summary!$B$6,WTG_BD!F:F,"&lt;="&amp;O2Summary!$B$4)</f>
        <v>0</v>
      </c>
      <c r="V3595" s="18">
        <f t="shared" si="63"/>
        <v>47</v>
      </c>
    </row>
    <row r="3596" spans="19:22">
      <c r="S3596" s="16">
        <v>5640</v>
      </c>
      <c r="T3596" s="16" t="s">
        <v>3942</v>
      </c>
      <c r="U3596" s="17">
        <f>COUNTIFS(WTG_BD!L:L,'Basic Data'!T3596,WTG_BD!F:F,"&gt;="&amp;O2Summary!$B$6,WTG_BD!F:F,"&lt;="&amp;O2Summary!$B$4)</f>
        <v>0</v>
      </c>
      <c r="V3596" s="18">
        <f t="shared" si="63"/>
        <v>47</v>
      </c>
    </row>
    <row r="3597" spans="19:22">
      <c r="S3597" s="26">
        <v>5641</v>
      </c>
      <c r="T3597" s="26" t="s">
        <v>2516</v>
      </c>
      <c r="U3597" s="17">
        <f>COUNTIFS(WTG_BD!L:L,'Basic Data'!T3597,WTG_BD!F:F,"&gt;="&amp;O2Summary!$B$6,WTG_BD!F:F,"&lt;="&amp;O2Summary!$B$4)</f>
        <v>0</v>
      </c>
      <c r="V3597" s="18">
        <f t="shared" si="63"/>
        <v>47</v>
      </c>
    </row>
    <row r="3598" spans="19:22">
      <c r="S3598" s="16">
        <v>5642</v>
      </c>
      <c r="T3598" s="16" t="s">
        <v>2517</v>
      </c>
      <c r="U3598" s="17">
        <f>COUNTIFS(WTG_BD!L:L,'Basic Data'!T3598,WTG_BD!F:F,"&gt;="&amp;O2Summary!$B$6,WTG_BD!F:F,"&lt;="&amp;O2Summary!$B$4)</f>
        <v>0</v>
      </c>
      <c r="V3598" s="18">
        <f t="shared" si="63"/>
        <v>47</v>
      </c>
    </row>
    <row r="3599" spans="19:22">
      <c r="S3599" s="16">
        <v>5643</v>
      </c>
      <c r="T3599" s="16" t="s">
        <v>3943</v>
      </c>
      <c r="U3599" s="17">
        <f>COUNTIFS(WTG_BD!L:L,'Basic Data'!T3599,WTG_BD!F:F,"&gt;="&amp;O2Summary!$B$6,WTG_BD!F:F,"&lt;="&amp;O2Summary!$B$4)</f>
        <v>0</v>
      </c>
      <c r="V3599" s="18">
        <f t="shared" si="63"/>
        <v>47</v>
      </c>
    </row>
    <row r="3600" spans="19:22">
      <c r="S3600" s="16">
        <v>5644</v>
      </c>
      <c r="T3600" s="16" t="s">
        <v>3944</v>
      </c>
      <c r="U3600" s="17">
        <f>COUNTIFS(WTG_BD!L:L,'Basic Data'!T3600,WTG_BD!F:F,"&gt;="&amp;O2Summary!$B$6,WTG_BD!F:F,"&lt;="&amp;O2Summary!$B$4)</f>
        <v>0</v>
      </c>
      <c r="V3600" s="18">
        <f t="shared" si="63"/>
        <v>47</v>
      </c>
    </row>
    <row r="3601" spans="19:22">
      <c r="S3601" s="16">
        <v>5645</v>
      </c>
      <c r="T3601" s="16" t="s">
        <v>3945</v>
      </c>
      <c r="U3601" s="17">
        <f>COUNTIFS(WTG_BD!L:L,'Basic Data'!T3601,WTG_BD!F:F,"&gt;="&amp;O2Summary!$B$6,WTG_BD!F:F,"&lt;="&amp;O2Summary!$B$4)</f>
        <v>0</v>
      </c>
      <c r="V3601" s="18">
        <f t="shared" si="63"/>
        <v>47</v>
      </c>
    </row>
    <row r="3602" spans="19:22">
      <c r="S3602" s="16">
        <v>5646</v>
      </c>
      <c r="T3602" s="16" t="s">
        <v>3946</v>
      </c>
      <c r="U3602" s="17">
        <f>COUNTIFS(WTG_BD!L:L,'Basic Data'!T3602,WTG_BD!F:F,"&gt;="&amp;O2Summary!$B$6,WTG_BD!F:F,"&lt;="&amp;O2Summary!$B$4)</f>
        <v>0</v>
      </c>
      <c r="V3602" s="18">
        <f t="shared" si="63"/>
        <v>47</v>
      </c>
    </row>
    <row r="3603" spans="19:22">
      <c r="S3603" s="16">
        <v>5647</v>
      </c>
      <c r="T3603" s="16" t="s">
        <v>3947</v>
      </c>
      <c r="U3603" s="17">
        <f>COUNTIFS(WTG_BD!L:L,'Basic Data'!T3603,WTG_BD!F:F,"&gt;="&amp;O2Summary!$B$6,WTG_BD!F:F,"&lt;="&amp;O2Summary!$B$4)</f>
        <v>0</v>
      </c>
      <c r="V3603" s="18">
        <f t="shared" si="63"/>
        <v>47</v>
      </c>
    </row>
    <row r="3604" spans="19:22">
      <c r="S3604" s="16">
        <v>5648</v>
      </c>
      <c r="T3604" s="16" t="s">
        <v>3948</v>
      </c>
      <c r="U3604" s="17">
        <f>COUNTIFS(WTG_BD!L:L,'Basic Data'!T3604,WTG_BD!F:F,"&gt;="&amp;O2Summary!$B$6,WTG_BD!F:F,"&lt;="&amp;O2Summary!$B$4)</f>
        <v>0</v>
      </c>
      <c r="V3604" s="18">
        <f t="shared" si="63"/>
        <v>47</v>
      </c>
    </row>
    <row r="3605" spans="19:22">
      <c r="S3605" s="26">
        <v>5649</v>
      </c>
      <c r="T3605" s="26" t="s">
        <v>3949</v>
      </c>
      <c r="U3605" s="17">
        <f>COUNTIFS(WTG_BD!L:L,'Basic Data'!T3605,WTG_BD!F:F,"&gt;="&amp;O2Summary!$B$6,WTG_BD!F:F,"&lt;="&amp;O2Summary!$B$4)</f>
        <v>0</v>
      </c>
      <c r="V3605" s="18">
        <f t="shared" si="63"/>
        <v>47</v>
      </c>
    </row>
    <row r="3606" spans="19:22">
      <c r="S3606" s="16">
        <v>5650</v>
      </c>
      <c r="T3606" s="16" t="s">
        <v>3950</v>
      </c>
      <c r="U3606" s="17">
        <f>COUNTIFS(WTG_BD!L:L,'Basic Data'!T3606,WTG_BD!F:F,"&gt;="&amp;O2Summary!$B$6,WTG_BD!F:F,"&lt;="&amp;O2Summary!$B$4)</f>
        <v>0</v>
      </c>
      <c r="V3606" s="18">
        <f t="shared" si="63"/>
        <v>47</v>
      </c>
    </row>
    <row r="3607" spans="19:22">
      <c r="S3607" s="16">
        <v>5651</v>
      </c>
      <c r="T3607" s="16" t="s">
        <v>3951</v>
      </c>
      <c r="U3607" s="17">
        <f>COUNTIFS(WTG_BD!L:L,'Basic Data'!T3607,WTG_BD!F:F,"&gt;="&amp;O2Summary!$B$6,WTG_BD!F:F,"&lt;="&amp;O2Summary!$B$4)</f>
        <v>0</v>
      </c>
      <c r="V3607" s="18">
        <f t="shared" si="63"/>
        <v>47</v>
      </c>
    </row>
    <row r="3608" spans="19:22">
      <c r="S3608" s="16">
        <v>5652</v>
      </c>
      <c r="T3608" s="16" t="s">
        <v>3952</v>
      </c>
      <c r="U3608" s="17">
        <f>COUNTIFS(WTG_BD!L:L,'Basic Data'!T3608,WTG_BD!F:F,"&gt;="&amp;O2Summary!$B$6,WTG_BD!F:F,"&lt;="&amp;O2Summary!$B$4)</f>
        <v>0</v>
      </c>
      <c r="V3608" s="18">
        <f t="shared" si="63"/>
        <v>47</v>
      </c>
    </row>
    <row r="3609" spans="19:22">
      <c r="S3609" s="16">
        <v>5653</v>
      </c>
      <c r="T3609" s="16" t="s">
        <v>3953</v>
      </c>
      <c r="U3609" s="17">
        <f>COUNTIFS(WTG_BD!L:L,'Basic Data'!T3609,WTG_BD!F:F,"&gt;="&amp;O2Summary!$B$6,WTG_BD!F:F,"&lt;="&amp;O2Summary!$B$4)</f>
        <v>0</v>
      </c>
      <c r="V3609" s="18">
        <f t="shared" si="63"/>
        <v>47</v>
      </c>
    </row>
    <row r="3610" spans="19:22">
      <c r="S3610" s="16">
        <v>5654</v>
      </c>
      <c r="T3610" s="16" t="s">
        <v>3954</v>
      </c>
      <c r="U3610" s="17">
        <f>COUNTIFS(WTG_BD!L:L,'Basic Data'!T3610,WTG_BD!F:F,"&gt;="&amp;O2Summary!$B$6,WTG_BD!F:F,"&lt;="&amp;O2Summary!$B$4)</f>
        <v>0</v>
      </c>
      <c r="V3610" s="18">
        <f t="shared" si="63"/>
        <v>47</v>
      </c>
    </row>
    <row r="3611" spans="19:22">
      <c r="S3611" s="16">
        <v>5655</v>
      </c>
      <c r="T3611" s="16" t="s">
        <v>3955</v>
      </c>
      <c r="U3611" s="17">
        <f>COUNTIFS(WTG_BD!L:L,'Basic Data'!T3611,WTG_BD!F:F,"&gt;="&amp;O2Summary!$B$6,WTG_BD!F:F,"&lt;="&amp;O2Summary!$B$4)</f>
        <v>0</v>
      </c>
      <c r="V3611" s="18">
        <f t="shared" si="63"/>
        <v>47</v>
      </c>
    </row>
    <row r="3612" spans="19:22">
      <c r="S3612" s="16">
        <v>5656</v>
      </c>
      <c r="T3612" s="16" t="s">
        <v>3956</v>
      </c>
      <c r="U3612" s="17">
        <f>COUNTIFS(WTG_BD!L:L,'Basic Data'!T3612,WTG_BD!F:F,"&gt;="&amp;O2Summary!$B$6,WTG_BD!F:F,"&lt;="&amp;O2Summary!$B$4)</f>
        <v>0</v>
      </c>
      <c r="V3612" s="18">
        <f t="shared" si="63"/>
        <v>47</v>
      </c>
    </row>
    <row r="3613" spans="19:22">
      <c r="S3613" s="16">
        <v>5657</v>
      </c>
      <c r="T3613" s="16" t="s">
        <v>3957</v>
      </c>
      <c r="U3613" s="17">
        <f>COUNTIFS(WTG_BD!L:L,'Basic Data'!T3613,WTG_BD!F:F,"&gt;="&amp;O2Summary!$B$6,WTG_BD!F:F,"&lt;="&amp;O2Summary!$B$4)</f>
        <v>0</v>
      </c>
      <c r="V3613" s="18">
        <f t="shared" si="63"/>
        <v>47</v>
      </c>
    </row>
    <row r="3614" spans="19:22">
      <c r="S3614" s="16">
        <v>5658</v>
      </c>
      <c r="T3614" s="16" t="s">
        <v>3958</v>
      </c>
      <c r="U3614" s="17">
        <f>COUNTIFS(WTG_BD!L:L,'Basic Data'!T3614,WTG_BD!F:F,"&gt;="&amp;O2Summary!$B$6,WTG_BD!F:F,"&lt;="&amp;O2Summary!$B$4)</f>
        <v>0</v>
      </c>
      <c r="V3614" s="18">
        <f t="shared" si="63"/>
        <v>47</v>
      </c>
    </row>
    <row r="3615" spans="19:22">
      <c r="S3615" s="16">
        <v>5659</v>
      </c>
      <c r="T3615" s="16" t="s">
        <v>3959</v>
      </c>
      <c r="U3615" s="17">
        <f>COUNTIFS(WTG_BD!L:L,'Basic Data'!T3615,WTG_BD!F:F,"&gt;="&amp;O2Summary!$B$6,WTG_BD!F:F,"&lt;="&amp;O2Summary!$B$4)</f>
        <v>0</v>
      </c>
      <c r="V3615" s="18">
        <f t="shared" si="63"/>
        <v>47</v>
      </c>
    </row>
    <row r="3616" spans="19:22">
      <c r="S3616" s="16">
        <v>5660</v>
      </c>
      <c r="T3616" s="16" t="s">
        <v>3960</v>
      </c>
      <c r="U3616" s="17">
        <f>COUNTIFS(WTG_BD!L:L,'Basic Data'!T3616,WTG_BD!F:F,"&gt;="&amp;O2Summary!$B$6,WTG_BD!F:F,"&lt;="&amp;O2Summary!$B$4)</f>
        <v>0</v>
      </c>
      <c r="V3616" s="18">
        <f t="shared" si="63"/>
        <v>47</v>
      </c>
    </row>
    <row r="3617" spans="19:22">
      <c r="S3617" s="16">
        <v>5661</v>
      </c>
      <c r="T3617" s="16" t="s">
        <v>3961</v>
      </c>
      <c r="U3617" s="17">
        <f>COUNTIFS(WTG_BD!L:L,'Basic Data'!T3617,WTG_BD!F:F,"&gt;="&amp;O2Summary!$B$6,WTG_BD!F:F,"&lt;="&amp;O2Summary!$B$4)</f>
        <v>0</v>
      </c>
      <c r="V3617" s="18">
        <f t="shared" si="63"/>
        <v>47</v>
      </c>
    </row>
    <row r="3618" spans="19:22">
      <c r="S3618" s="16">
        <v>5662</v>
      </c>
      <c r="T3618" s="16" t="s">
        <v>3962</v>
      </c>
      <c r="U3618" s="17">
        <f>COUNTIFS(WTG_BD!L:L,'Basic Data'!T3618,WTG_BD!F:F,"&gt;="&amp;O2Summary!$B$6,WTG_BD!F:F,"&lt;="&amp;O2Summary!$B$4)</f>
        <v>0</v>
      </c>
      <c r="V3618" s="18">
        <f t="shared" si="63"/>
        <v>47</v>
      </c>
    </row>
    <row r="3619" spans="19:22">
      <c r="S3619" s="16">
        <v>5663</v>
      </c>
      <c r="T3619" s="16" t="s">
        <v>3963</v>
      </c>
      <c r="U3619" s="17">
        <f>COUNTIFS(WTG_BD!L:L,'Basic Data'!T3619,WTG_BD!F:F,"&gt;="&amp;O2Summary!$B$6,WTG_BD!F:F,"&lt;="&amp;O2Summary!$B$4)</f>
        <v>0</v>
      </c>
      <c r="V3619" s="18">
        <f t="shared" si="63"/>
        <v>47</v>
      </c>
    </row>
    <row r="3620" spans="19:22">
      <c r="S3620" s="26">
        <v>5664</v>
      </c>
      <c r="T3620" s="26" t="s">
        <v>3964</v>
      </c>
      <c r="U3620" s="17">
        <f>COUNTIFS(WTG_BD!L:L,'Basic Data'!T3620,WTG_BD!F:F,"&gt;="&amp;O2Summary!$B$6,WTG_BD!F:F,"&lt;="&amp;O2Summary!$B$4)</f>
        <v>0</v>
      </c>
      <c r="V3620" s="18">
        <f t="shared" si="63"/>
        <v>47</v>
      </c>
    </row>
    <row r="3621" spans="19:22">
      <c r="S3621" s="16">
        <v>5665</v>
      </c>
      <c r="T3621" s="16" t="s">
        <v>3965</v>
      </c>
      <c r="U3621" s="17">
        <f>COUNTIFS(WTG_BD!L:L,'Basic Data'!T3621,WTG_BD!F:F,"&gt;="&amp;O2Summary!$B$6,WTG_BD!F:F,"&lt;="&amp;O2Summary!$B$4)</f>
        <v>0</v>
      </c>
      <c r="V3621" s="18">
        <f t="shared" si="63"/>
        <v>47</v>
      </c>
    </row>
    <row r="3622" spans="19:22">
      <c r="S3622" s="16">
        <v>5666</v>
      </c>
      <c r="T3622" s="16" t="s">
        <v>3966</v>
      </c>
      <c r="U3622" s="17">
        <f>COUNTIFS(WTG_BD!L:L,'Basic Data'!T3622,WTG_BD!F:F,"&gt;="&amp;O2Summary!$B$6,WTG_BD!F:F,"&lt;="&amp;O2Summary!$B$4)</f>
        <v>0</v>
      </c>
      <c r="V3622" s="18">
        <f t="shared" si="63"/>
        <v>47</v>
      </c>
    </row>
    <row r="3623" spans="19:22">
      <c r="S3623" s="16">
        <v>5667</v>
      </c>
      <c r="T3623" s="16" t="s">
        <v>3967</v>
      </c>
      <c r="U3623" s="17">
        <f>COUNTIFS(WTG_BD!L:L,'Basic Data'!T3623,WTG_BD!F:F,"&gt;="&amp;O2Summary!$B$6,WTG_BD!F:F,"&lt;="&amp;O2Summary!$B$4)</f>
        <v>0</v>
      </c>
      <c r="V3623" s="18">
        <f t="shared" si="63"/>
        <v>47</v>
      </c>
    </row>
    <row r="3624" spans="19:22">
      <c r="S3624" s="16">
        <v>5668</v>
      </c>
      <c r="T3624" s="16" t="s">
        <v>3968</v>
      </c>
      <c r="U3624" s="17">
        <f>COUNTIFS(WTG_BD!L:L,'Basic Data'!T3624,WTG_BD!F:F,"&gt;="&amp;O2Summary!$B$6,WTG_BD!F:F,"&lt;="&amp;O2Summary!$B$4)</f>
        <v>0</v>
      </c>
      <c r="V3624" s="18">
        <f t="shared" si="63"/>
        <v>47</v>
      </c>
    </row>
    <row r="3625" spans="19:22">
      <c r="S3625" s="16">
        <v>5669</v>
      </c>
      <c r="T3625" s="16" t="s">
        <v>3969</v>
      </c>
      <c r="U3625" s="17">
        <f>COUNTIFS(WTG_BD!L:L,'Basic Data'!T3625,WTG_BD!F:F,"&gt;="&amp;O2Summary!$B$6,WTG_BD!F:F,"&lt;="&amp;O2Summary!$B$4)</f>
        <v>0</v>
      </c>
      <c r="V3625" s="18">
        <f t="shared" si="63"/>
        <v>47</v>
      </c>
    </row>
    <row r="3626" spans="19:22">
      <c r="S3626" s="16">
        <v>5670</v>
      </c>
      <c r="T3626" s="16" t="s">
        <v>3970</v>
      </c>
      <c r="U3626" s="17">
        <f>COUNTIFS(WTG_BD!L:L,'Basic Data'!T3626,WTG_BD!F:F,"&gt;="&amp;O2Summary!$B$6,WTG_BD!F:F,"&lt;="&amp;O2Summary!$B$4)</f>
        <v>0</v>
      </c>
      <c r="V3626" s="18">
        <f t="shared" si="63"/>
        <v>47</v>
      </c>
    </row>
    <row r="3627" spans="19:22">
      <c r="S3627" s="16">
        <v>5671</v>
      </c>
      <c r="T3627" s="16" t="s">
        <v>3971</v>
      </c>
      <c r="U3627" s="17">
        <f>COUNTIFS(WTG_BD!L:L,'Basic Data'!T3627,WTG_BD!F:F,"&gt;="&amp;O2Summary!$B$6,WTG_BD!F:F,"&lt;="&amp;O2Summary!$B$4)</f>
        <v>0</v>
      </c>
      <c r="V3627" s="18">
        <f t="shared" si="63"/>
        <v>47</v>
      </c>
    </row>
    <row r="3628" spans="19:22">
      <c r="S3628" s="16">
        <v>5672</v>
      </c>
      <c r="T3628" s="16" t="s">
        <v>2635</v>
      </c>
      <c r="U3628" s="17">
        <f>COUNTIFS(WTG_BD!L:L,'Basic Data'!T3628,WTG_BD!F:F,"&gt;="&amp;O2Summary!$B$6,WTG_BD!F:F,"&lt;="&amp;O2Summary!$B$4)</f>
        <v>0</v>
      </c>
      <c r="V3628" s="18">
        <f t="shared" si="63"/>
        <v>47</v>
      </c>
    </row>
    <row r="3629" spans="19:22">
      <c r="S3629" s="16">
        <v>5673</v>
      </c>
      <c r="T3629" s="16" t="s">
        <v>3972</v>
      </c>
      <c r="U3629" s="17">
        <f>COUNTIFS(WTG_BD!L:L,'Basic Data'!T3629,WTG_BD!F:F,"&gt;="&amp;O2Summary!$B$6,WTG_BD!F:F,"&lt;="&amp;O2Summary!$B$4)</f>
        <v>0</v>
      </c>
      <c r="V3629" s="18">
        <f t="shared" si="63"/>
        <v>47</v>
      </c>
    </row>
    <row r="3630" spans="19:22">
      <c r="S3630" s="16">
        <v>5674</v>
      </c>
      <c r="T3630" s="16" t="s">
        <v>3973</v>
      </c>
      <c r="U3630" s="17">
        <f>COUNTIFS(WTG_BD!L:L,'Basic Data'!T3630,WTG_BD!F:F,"&gt;="&amp;O2Summary!$B$6,WTG_BD!F:F,"&lt;="&amp;O2Summary!$B$4)</f>
        <v>0</v>
      </c>
      <c r="V3630" s="18">
        <f t="shared" si="63"/>
        <v>47</v>
      </c>
    </row>
    <row r="3631" spans="19:22">
      <c r="S3631" s="16">
        <v>5675</v>
      </c>
      <c r="T3631" s="16" t="s">
        <v>3974</v>
      </c>
      <c r="U3631" s="17">
        <f>COUNTIFS(WTG_BD!L:L,'Basic Data'!T3631,WTG_BD!F:F,"&gt;="&amp;O2Summary!$B$6,WTG_BD!F:F,"&lt;="&amp;O2Summary!$B$4)</f>
        <v>0</v>
      </c>
      <c r="V3631" s="18">
        <f t="shared" si="63"/>
        <v>47</v>
      </c>
    </row>
    <row r="3632" spans="19:22">
      <c r="S3632" s="16">
        <v>5676</v>
      </c>
      <c r="T3632" s="16" t="s">
        <v>3975</v>
      </c>
      <c r="U3632" s="17">
        <f>COUNTIFS(WTG_BD!L:L,'Basic Data'!T3632,WTG_BD!F:F,"&gt;="&amp;O2Summary!$B$6,WTG_BD!F:F,"&lt;="&amp;O2Summary!$B$4)</f>
        <v>0</v>
      </c>
      <c r="V3632" s="18">
        <f t="shared" si="63"/>
        <v>47</v>
      </c>
    </row>
    <row r="3633" spans="19:22">
      <c r="S3633" s="16">
        <v>5677</v>
      </c>
      <c r="T3633" s="16" t="s">
        <v>3976</v>
      </c>
      <c r="U3633" s="17">
        <f>COUNTIFS(WTG_BD!L:L,'Basic Data'!T3633,WTG_BD!F:F,"&gt;="&amp;O2Summary!$B$6,WTG_BD!F:F,"&lt;="&amp;O2Summary!$B$4)</f>
        <v>0</v>
      </c>
      <c r="V3633" s="18">
        <f t="shared" si="63"/>
        <v>47</v>
      </c>
    </row>
    <row r="3634" spans="19:22">
      <c r="S3634" s="16">
        <v>5678</v>
      </c>
      <c r="T3634" s="16" t="s">
        <v>3977</v>
      </c>
      <c r="U3634" s="17">
        <f>COUNTIFS(WTG_BD!L:L,'Basic Data'!T3634,WTG_BD!F:F,"&gt;="&amp;O2Summary!$B$6,WTG_BD!F:F,"&lt;="&amp;O2Summary!$B$4)</f>
        <v>0</v>
      </c>
      <c r="V3634" s="18">
        <f t="shared" si="63"/>
        <v>47</v>
      </c>
    </row>
    <row r="3635" spans="19:22">
      <c r="S3635" s="16">
        <v>5679</v>
      </c>
      <c r="T3635" s="16" t="s">
        <v>3978</v>
      </c>
      <c r="U3635" s="17">
        <f>COUNTIFS(WTG_BD!L:L,'Basic Data'!T3635,WTG_BD!F:F,"&gt;="&amp;O2Summary!$B$6,WTG_BD!F:F,"&lt;="&amp;O2Summary!$B$4)</f>
        <v>0</v>
      </c>
      <c r="V3635" s="18">
        <f t="shared" si="63"/>
        <v>47</v>
      </c>
    </row>
    <row r="3636" spans="19:22">
      <c r="S3636" s="16">
        <v>5680</v>
      </c>
      <c r="T3636" s="16" t="s">
        <v>3979</v>
      </c>
      <c r="U3636" s="17">
        <f>COUNTIFS(WTG_BD!L:L,'Basic Data'!T3636,WTG_BD!F:F,"&gt;="&amp;O2Summary!$B$6,WTG_BD!F:F,"&lt;="&amp;O2Summary!$B$4)</f>
        <v>0</v>
      </c>
      <c r="V3636" s="18">
        <f t="shared" si="63"/>
        <v>47</v>
      </c>
    </row>
    <row r="3637" spans="19:22">
      <c r="S3637" s="16">
        <v>5681</v>
      </c>
      <c r="T3637" s="16" t="s">
        <v>3980</v>
      </c>
      <c r="U3637" s="17">
        <f>COUNTIFS(WTG_BD!L:L,'Basic Data'!T3637,WTG_BD!F:F,"&gt;="&amp;O2Summary!$B$6,WTG_BD!F:F,"&lt;="&amp;O2Summary!$B$4)</f>
        <v>0</v>
      </c>
      <c r="V3637" s="18">
        <f t="shared" si="63"/>
        <v>47</v>
      </c>
    </row>
    <row r="3638" spans="19:22">
      <c r="S3638" s="16">
        <v>5682</v>
      </c>
      <c r="T3638" s="16" t="s">
        <v>3981</v>
      </c>
      <c r="U3638" s="17">
        <f>COUNTIFS(WTG_BD!L:L,'Basic Data'!T3638,WTG_BD!F:F,"&gt;="&amp;O2Summary!$B$6,WTG_BD!F:F,"&lt;="&amp;O2Summary!$B$4)</f>
        <v>0</v>
      </c>
      <c r="V3638" s="18">
        <f t="shared" si="63"/>
        <v>47</v>
      </c>
    </row>
    <row r="3639" spans="19:22">
      <c r="S3639" s="16">
        <v>5683</v>
      </c>
      <c r="T3639" s="16" t="s">
        <v>3982</v>
      </c>
      <c r="U3639" s="17">
        <f>COUNTIFS(WTG_BD!L:L,'Basic Data'!T3639,WTG_BD!F:F,"&gt;="&amp;O2Summary!$B$6,WTG_BD!F:F,"&lt;="&amp;O2Summary!$B$4)</f>
        <v>0</v>
      </c>
      <c r="V3639" s="18">
        <f t="shared" si="63"/>
        <v>47</v>
      </c>
    </row>
    <row r="3640" spans="19:22">
      <c r="S3640" s="16">
        <v>5684</v>
      </c>
      <c r="T3640" s="16" t="s">
        <v>3983</v>
      </c>
      <c r="U3640" s="17">
        <f>COUNTIFS(WTG_BD!L:L,'Basic Data'!T3640,WTG_BD!F:F,"&gt;="&amp;O2Summary!$B$6,WTG_BD!F:F,"&lt;="&amp;O2Summary!$B$4)</f>
        <v>0</v>
      </c>
      <c r="V3640" s="18">
        <f t="shared" si="63"/>
        <v>47</v>
      </c>
    </row>
    <row r="3641" spans="19:22">
      <c r="S3641" s="16">
        <v>5685</v>
      </c>
      <c r="T3641" s="16" t="s">
        <v>292</v>
      </c>
      <c r="U3641" s="17">
        <f>COUNTIFS(WTG_BD!L:L,'Basic Data'!T3641,WTG_BD!F:F,"&gt;="&amp;O2Summary!$B$6,WTG_BD!F:F,"&lt;="&amp;O2Summary!$B$4)</f>
        <v>0</v>
      </c>
      <c r="V3641" s="18">
        <f t="shared" si="63"/>
        <v>47</v>
      </c>
    </row>
    <row r="3642" spans="19:22">
      <c r="S3642" s="16">
        <v>5686</v>
      </c>
      <c r="T3642" s="16" t="s">
        <v>3984</v>
      </c>
      <c r="U3642" s="17">
        <f>COUNTIFS(WTG_BD!L:L,'Basic Data'!T3642,WTG_BD!F:F,"&gt;="&amp;O2Summary!$B$6,WTG_BD!F:F,"&lt;="&amp;O2Summary!$B$4)</f>
        <v>0</v>
      </c>
      <c r="V3642" s="18">
        <f t="shared" si="63"/>
        <v>47</v>
      </c>
    </row>
    <row r="3643" spans="19:22">
      <c r="S3643" s="16">
        <v>5687</v>
      </c>
      <c r="T3643" s="16" t="s">
        <v>3985</v>
      </c>
      <c r="U3643" s="17">
        <f>COUNTIFS(WTG_BD!L:L,'Basic Data'!T3643,WTG_BD!F:F,"&gt;="&amp;O2Summary!$B$6,WTG_BD!F:F,"&lt;="&amp;O2Summary!$B$4)</f>
        <v>0</v>
      </c>
      <c r="V3643" s="18">
        <f t="shared" si="63"/>
        <v>47</v>
      </c>
    </row>
    <row r="3644" spans="19:22">
      <c r="S3644" s="16">
        <v>5688</v>
      </c>
      <c r="T3644" s="16" t="s">
        <v>3986</v>
      </c>
      <c r="U3644" s="17">
        <f>COUNTIFS(WTG_BD!L:L,'Basic Data'!T3644,WTG_BD!F:F,"&gt;="&amp;O2Summary!$B$6,WTG_BD!F:F,"&lt;="&amp;O2Summary!$B$4)</f>
        <v>0</v>
      </c>
      <c r="V3644" s="18">
        <f t="shared" si="63"/>
        <v>47</v>
      </c>
    </row>
    <row r="3645" spans="19:22">
      <c r="S3645" s="16">
        <v>5689</v>
      </c>
      <c r="T3645" s="16" t="s">
        <v>3987</v>
      </c>
      <c r="U3645" s="17">
        <f>COUNTIFS(WTG_BD!L:L,'Basic Data'!T3645,WTG_BD!F:F,"&gt;="&amp;O2Summary!$B$6,WTG_BD!F:F,"&lt;="&amp;O2Summary!$B$4)</f>
        <v>0</v>
      </c>
      <c r="V3645" s="18">
        <f t="shared" si="63"/>
        <v>47</v>
      </c>
    </row>
    <row r="3646" spans="19:22">
      <c r="S3646" s="16">
        <v>5690</v>
      </c>
      <c r="T3646" s="16" t="s">
        <v>3921</v>
      </c>
      <c r="U3646" s="17">
        <f>COUNTIFS(WTG_BD!L:L,'Basic Data'!T3646,WTG_BD!F:F,"&gt;="&amp;O2Summary!$B$6,WTG_BD!F:F,"&lt;="&amp;O2Summary!$B$4)</f>
        <v>0</v>
      </c>
      <c r="V3646" s="18">
        <f t="shared" si="63"/>
        <v>47</v>
      </c>
    </row>
    <row r="3647" spans="19:22">
      <c r="S3647" s="16">
        <v>5691</v>
      </c>
      <c r="T3647" s="16" t="s">
        <v>3922</v>
      </c>
      <c r="U3647" s="17">
        <f>COUNTIFS(WTG_BD!L:L,'Basic Data'!T3647,WTG_BD!F:F,"&gt;="&amp;O2Summary!$B$6,WTG_BD!F:F,"&lt;="&amp;O2Summary!$B$4)</f>
        <v>0</v>
      </c>
      <c r="V3647" s="18">
        <f t="shared" si="63"/>
        <v>47</v>
      </c>
    </row>
    <row r="3648" spans="19:22">
      <c r="S3648" s="26">
        <v>5692</v>
      </c>
      <c r="T3648" s="26" t="s">
        <v>3988</v>
      </c>
      <c r="U3648" s="17">
        <f>COUNTIFS(WTG_BD!L:L,'Basic Data'!T3648,WTG_BD!F:F,"&gt;="&amp;O2Summary!$B$6,WTG_BD!F:F,"&lt;="&amp;O2Summary!$B$4)</f>
        <v>0</v>
      </c>
      <c r="V3648" s="18">
        <f t="shared" si="63"/>
        <v>47</v>
      </c>
    </row>
    <row r="3649" spans="19:22">
      <c r="S3649" s="16">
        <v>5693</v>
      </c>
      <c r="T3649" s="16" t="s">
        <v>3989</v>
      </c>
      <c r="U3649" s="17">
        <f>COUNTIFS(WTG_BD!L:L,'Basic Data'!T3649,WTG_BD!F:F,"&gt;="&amp;O2Summary!$B$6,WTG_BD!F:F,"&lt;="&amp;O2Summary!$B$4)</f>
        <v>0</v>
      </c>
      <c r="V3649" s="18">
        <f t="shared" si="63"/>
        <v>47</v>
      </c>
    </row>
    <row r="3650" spans="19:22">
      <c r="S3650" s="16">
        <v>5694</v>
      </c>
      <c r="T3650" s="16" t="s">
        <v>3990</v>
      </c>
      <c r="U3650" s="17">
        <f>COUNTIFS(WTG_BD!L:L,'Basic Data'!T3650,WTG_BD!F:F,"&gt;="&amp;O2Summary!$B$6,WTG_BD!F:F,"&lt;="&amp;O2Summary!$B$4)</f>
        <v>0</v>
      </c>
      <c r="V3650" s="18">
        <f t="shared" si="63"/>
        <v>47</v>
      </c>
    </row>
    <row r="3651" spans="19:22">
      <c r="S3651" s="16">
        <v>5695</v>
      </c>
      <c r="T3651" s="16" t="s">
        <v>3991</v>
      </c>
      <c r="U3651" s="17">
        <f>COUNTIFS(WTG_BD!L:L,'Basic Data'!T3651,WTG_BD!F:F,"&gt;="&amp;O2Summary!$B$6,WTG_BD!F:F,"&lt;="&amp;O2Summary!$B$4)</f>
        <v>0</v>
      </c>
      <c r="V3651" s="18">
        <f t="shared" ref="V3651:V3714" si="64">RANK(U3651,$U$2:$U$3975)</f>
        <v>47</v>
      </c>
    </row>
    <row r="3652" spans="19:22">
      <c r="S3652" s="16">
        <v>5696</v>
      </c>
      <c r="T3652" s="16" t="s">
        <v>3992</v>
      </c>
      <c r="U3652" s="17">
        <f>COUNTIFS(WTG_BD!L:L,'Basic Data'!T3652,WTG_BD!F:F,"&gt;="&amp;O2Summary!$B$6,WTG_BD!F:F,"&lt;="&amp;O2Summary!$B$4)</f>
        <v>0</v>
      </c>
      <c r="V3652" s="18">
        <f t="shared" si="64"/>
        <v>47</v>
      </c>
    </row>
    <row r="3653" spans="19:22">
      <c r="S3653" s="16">
        <v>5697</v>
      </c>
      <c r="T3653" s="16" t="s">
        <v>3993</v>
      </c>
      <c r="U3653" s="17">
        <f>COUNTIFS(WTG_BD!L:L,'Basic Data'!T3653,WTG_BD!F:F,"&gt;="&amp;O2Summary!$B$6,WTG_BD!F:F,"&lt;="&amp;O2Summary!$B$4)</f>
        <v>0</v>
      </c>
      <c r="V3653" s="18">
        <f t="shared" si="64"/>
        <v>47</v>
      </c>
    </row>
    <row r="3654" spans="19:22">
      <c r="S3654" s="26">
        <v>5698</v>
      </c>
      <c r="T3654" s="26" t="s">
        <v>3994</v>
      </c>
      <c r="U3654" s="17">
        <f>COUNTIFS(WTG_BD!L:L,'Basic Data'!T3654,WTG_BD!F:F,"&gt;="&amp;O2Summary!$B$6,WTG_BD!F:F,"&lt;="&amp;O2Summary!$B$4)</f>
        <v>0</v>
      </c>
      <c r="V3654" s="18">
        <f t="shared" si="64"/>
        <v>47</v>
      </c>
    </row>
    <row r="3655" spans="19:22">
      <c r="S3655" s="26">
        <v>5699</v>
      </c>
      <c r="T3655" s="26" t="s">
        <v>3995</v>
      </c>
      <c r="U3655" s="17">
        <f>COUNTIFS(WTG_BD!L:L,'Basic Data'!T3655,WTG_BD!F:F,"&gt;="&amp;O2Summary!$B$6,WTG_BD!F:F,"&lt;="&amp;O2Summary!$B$4)</f>
        <v>0</v>
      </c>
      <c r="V3655" s="18">
        <f t="shared" si="64"/>
        <v>47</v>
      </c>
    </row>
    <row r="3656" spans="19:22">
      <c r="S3656" s="26">
        <v>5700</v>
      </c>
      <c r="T3656" s="26" t="s">
        <v>3996</v>
      </c>
      <c r="U3656" s="17">
        <f>COUNTIFS(WTG_BD!L:L,'Basic Data'!T3656,WTG_BD!F:F,"&gt;="&amp;O2Summary!$B$6,WTG_BD!F:F,"&lt;="&amp;O2Summary!$B$4)</f>
        <v>0</v>
      </c>
      <c r="V3656" s="18">
        <f t="shared" si="64"/>
        <v>47</v>
      </c>
    </row>
    <row r="3657" spans="19:22">
      <c r="S3657" s="26">
        <v>5701</v>
      </c>
      <c r="T3657" s="26" t="s">
        <v>3997</v>
      </c>
      <c r="U3657" s="17">
        <f>COUNTIFS(WTG_BD!L:L,'Basic Data'!T3657,WTG_BD!F:F,"&gt;="&amp;O2Summary!$B$6,WTG_BD!F:F,"&lt;="&amp;O2Summary!$B$4)</f>
        <v>0</v>
      </c>
      <c r="V3657" s="18">
        <f t="shared" si="64"/>
        <v>47</v>
      </c>
    </row>
    <row r="3658" spans="19:22">
      <c r="S3658" s="26">
        <v>5702</v>
      </c>
      <c r="T3658" s="26" t="s">
        <v>3998</v>
      </c>
      <c r="U3658" s="17">
        <f>COUNTIFS(WTG_BD!L:L,'Basic Data'!T3658,WTG_BD!F:F,"&gt;="&amp;O2Summary!$B$6,WTG_BD!F:F,"&lt;="&amp;O2Summary!$B$4)</f>
        <v>0</v>
      </c>
      <c r="V3658" s="18">
        <f t="shared" si="64"/>
        <v>47</v>
      </c>
    </row>
    <row r="3659" spans="19:22">
      <c r="S3659" s="26">
        <v>5703</v>
      </c>
      <c r="T3659" s="26" t="s">
        <v>3999</v>
      </c>
      <c r="U3659" s="17">
        <f>COUNTIFS(WTG_BD!L:L,'Basic Data'!T3659,WTG_BD!F:F,"&gt;="&amp;O2Summary!$B$6,WTG_BD!F:F,"&lt;="&amp;O2Summary!$B$4)</f>
        <v>0</v>
      </c>
      <c r="V3659" s="18">
        <f t="shared" si="64"/>
        <v>47</v>
      </c>
    </row>
    <row r="3660" spans="19:22">
      <c r="S3660" s="26">
        <v>5704</v>
      </c>
      <c r="T3660" s="26" t="s">
        <v>4000</v>
      </c>
      <c r="U3660" s="17">
        <f>COUNTIFS(WTG_BD!L:L,'Basic Data'!T3660,WTG_BD!F:F,"&gt;="&amp;O2Summary!$B$6,WTG_BD!F:F,"&lt;="&amp;O2Summary!$B$4)</f>
        <v>0</v>
      </c>
      <c r="V3660" s="18">
        <f t="shared" si="64"/>
        <v>47</v>
      </c>
    </row>
    <row r="3661" spans="19:22">
      <c r="S3661" s="26">
        <v>5705</v>
      </c>
      <c r="T3661" s="26" t="s">
        <v>4001</v>
      </c>
      <c r="U3661" s="17">
        <f>COUNTIFS(WTG_BD!L:L,'Basic Data'!T3661,WTG_BD!F:F,"&gt;="&amp;O2Summary!$B$6,WTG_BD!F:F,"&lt;="&amp;O2Summary!$B$4)</f>
        <v>0</v>
      </c>
      <c r="V3661" s="18">
        <f t="shared" si="64"/>
        <v>47</v>
      </c>
    </row>
    <row r="3662" spans="19:22">
      <c r="S3662" s="26">
        <v>5706</v>
      </c>
      <c r="T3662" s="26" t="s">
        <v>4002</v>
      </c>
      <c r="U3662" s="17">
        <f>COUNTIFS(WTG_BD!L:L,'Basic Data'!T3662,WTG_BD!F:F,"&gt;="&amp;O2Summary!$B$6,WTG_BD!F:F,"&lt;="&amp;O2Summary!$B$4)</f>
        <v>0</v>
      </c>
      <c r="V3662" s="18">
        <f t="shared" si="64"/>
        <v>47</v>
      </c>
    </row>
    <row r="3663" spans="19:22">
      <c r="S3663" s="16">
        <v>5707</v>
      </c>
      <c r="T3663" s="16" t="s">
        <v>4003</v>
      </c>
      <c r="U3663" s="17">
        <f>COUNTIFS(WTG_BD!L:L,'Basic Data'!T3663,WTG_BD!F:F,"&gt;="&amp;O2Summary!$B$6,WTG_BD!F:F,"&lt;="&amp;O2Summary!$B$4)</f>
        <v>0</v>
      </c>
      <c r="V3663" s="18">
        <f t="shared" si="64"/>
        <v>47</v>
      </c>
    </row>
    <row r="3664" spans="19:22">
      <c r="S3664" s="16">
        <v>5708</v>
      </c>
      <c r="T3664" s="16" t="s">
        <v>4004</v>
      </c>
      <c r="U3664" s="17">
        <f>COUNTIFS(WTG_BD!L:L,'Basic Data'!T3664,WTG_BD!F:F,"&gt;="&amp;O2Summary!$B$6,WTG_BD!F:F,"&lt;="&amp;O2Summary!$B$4)</f>
        <v>0</v>
      </c>
      <c r="V3664" s="18">
        <f t="shared" si="64"/>
        <v>47</v>
      </c>
    </row>
    <row r="3665" spans="19:22">
      <c r="S3665" s="16">
        <v>5709</v>
      </c>
      <c r="T3665" s="16" t="s">
        <v>4005</v>
      </c>
      <c r="U3665" s="17">
        <f>COUNTIFS(WTG_BD!L:L,'Basic Data'!T3665,WTG_BD!F:F,"&gt;="&amp;O2Summary!$B$6,WTG_BD!F:F,"&lt;="&amp;O2Summary!$B$4)</f>
        <v>0</v>
      </c>
      <c r="V3665" s="18">
        <f t="shared" si="64"/>
        <v>47</v>
      </c>
    </row>
    <row r="3666" spans="19:22">
      <c r="S3666" s="16">
        <v>5710</v>
      </c>
      <c r="T3666" s="16" t="s">
        <v>4006</v>
      </c>
      <c r="U3666" s="17">
        <f>COUNTIFS(WTG_BD!L:L,'Basic Data'!T3666,WTG_BD!F:F,"&gt;="&amp;O2Summary!$B$6,WTG_BD!F:F,"&lt;="&amp;O2Summary!$B$4)</f>
        <v>0</v>
      </c>
      <c r="V3666" s="18">
        <f t="shared" si="64"/>
        <v>47</v>
      </c>
    </row>
    <row r="3667" spans="19:22">
      <c r="S3667" s="16">
        <v>5711</v>
      </c>
      <c r="T3667" s="16" t="s">
        <v>4007</v>
      </c>
      <c r="U3667" s="17">
        <f>COUNTIFS(WTG_BD!L:L,'Basic Data'!T3667,WTG_BD!F:F,"&gt;="&amp;O2Summary!$B$6,WTG_BD!F:F,"&lt;="&amp;O2Summary!$B$4)</f>
        <v>0</v>
      </c>
      <c r="V3667" s="18">
        <f t="shared" si="64"/>
        <v>47</v>
      </c>
    </row>
    <row r="3668" spans="19:22">
      <c r="S3668" s="16">
        <v>5712</v>
      </c>
      <c r="T3668" s="16" t="s">
        <v>4008</v>
      </c>
      <c r="U3668" s="17">
        <f>COUNTIFS(WTG_BD!L:L,'Basic Data'!T3668,WTG_BD!F:F,"&gt;="&amp;O2Summary!$B$6,WTG_BD!F:F,"&lt;="&amp;O2Summary!$B$4)</f>
        <v>0</v>
      </c>
      <c r="V3668" s="18">
        <f t="shared" si="64"/>
        <v>47</v>
      </c>
    </row>
    <row r="3669" spans="19:22">
      <c r="S3669" s="16">
        <v>5713</v>
      </c>
      <c r="T3669" s="16" t="s">
        <v>4009</v>
      </c>
      <c r="U3669" s="17">
        <f>COUNTIFS(WTG_BD!L:L,'Basic Data'!T3669,WTG_BD!F:F,"&gt;="&amp;O2Summary!$B$6,WTG_BD!F:F,"&lt;="&amp;O2Summary!$B$4)</f>
        <v>0</v>
      </c>
      <c r="V3669" s="18">
        <f t="shared" si="64"/>
        <v>47</v>
      </c>
    </row>
    <row r="3670" spans="19:22">
      <c r="S3670" s="16">
        <v>5714</v>
      </c>
      <c r="T3670" s="16" t="s">
        <v>4010</v>
      </c>
      <c r="U3670" s="17">
        <f>COUNTIFS(WTG_BD!L:L,'Basic Data'!T3670,WTG_BD!F:F,"&gt;="&amp;O2Summary!$B$6,WTG_BD!F:F,"&lt;="&amp;O2Summary!$B$4)</f>
        <v>0</v>
      </c>
      <c r="V3670" s="18">
        <f t="shared" si="64"/>
        <v>47</v>
      </c>
    </row>
    <row r="3671" spans="19:22">
      <c r="S3671" s="16">
        <v>5715</v>
      </c>
      <c r="T3671" s="16" t="s">
        <v>4011</v>
      </c>
      <c r="U3671" s="17">
        <f>COUNTIFS(WTG_BD!L:L,'Basic Data'!T3671,WTG_BD!F:F,"&gt;="&amp;O2Summary!$B$6,WTG_BD!F:F,"&lt;="&amp;O2Summary!$B$4)</f>
        <v>0</v>
      </c>
      <c r="V3671" s="18">
        <f t="shared" si="64"/>
        <v>47</v>
      </c>
    </row>
    <row r="3672" spans="19:22">
      <c r="S3672" s="16">
        <v>5716</v>
      </c>
      <c r="T3672" s="16" t="s">
        <v>4012</v>
      </c>
      <c r="U3672" s="17">
        <f>COUNTIFS(WTG_BD!L:L,'Basic Data'!T3672,WTG_BD!F:F,"&gt;="&amp;O2Summary!$B$6,WTG_BD!F:F,"&lt;="&amp;O2Summary!$B$4)</f>
        <v>0</v>
      </c>
      <c r="V3672" s="18">
        <f t="shared" si="64"/>
        <v>47</v>
      </c>
    </row>
    <row r="3673" spans="19:22">
      <c r="S3673" s="16">
        <v>5717</v>
      </c>
      <c r="T3673" s="16" t="s">
        <v>4013</v>
      </c>
      <c r="U3673" s="17">
        <f>COUNTIFS(WTG_BD!L:L,'Basic Data'!T3673,WTG_BD!F:F,"&gt;="&amp;O2Summary!$B$6,WTG_BD!F:F,"&lt;="&amp;O2Summary!$B$4)</f>
        <v>0</v>
      </c>
      <c r="V3673" s="18">
        <f t="shared" si="64"/>
        <v>47</v>
      </c>
    </row>
    <row r="3674" spans="19:22">
      <c r="S3674" s="16">
        <v>5718</v>
      </c>
      <c r="T3674" s="16" t="s">
        <v>4014</v>
      </c>
      <c r="U3674" s="17">
        <f>COUNTIFS(WTG_BD!L:L,'Basic Data'!T3674,WTG_BD!F:F,"&gt;="&amp;O2Summary!$B$6,WTG_BD!F:F,"&lt;="&amp;O2Summary!$B$4)</f>
        <v>0</v>
      </c>
      <c r="V3674" s="18">
        <f t="shared" si="64"/>
        <v>47</v>
      </c>
    </row>
    <row r="3675" spans="19:22">
      <c r="S3675" s="16">
        <v>5719</v>
      </c>
      <c r="T3675" s="16" t="s">
        <v>4015</v>
      </c>
      <c r="U3675" s="17">
        <f>COUNTIFS(WTG_BD!L:L,'Basic Data'!T3675,WTG_BD!F:F,"&gt;="&amp;O2Summary!$B$6,WTG_BD!F:F,"&lt;="&amp;O2Summary!$B$4)</f>
        <v>0</v>
      </c>
      <c r="V3675" s="18">
        <f t="shared" si="64"/>
        <v>47</v>
      </c>
    </row>
    <row r="3676" spans="19:22">
      <c r="S3676" s="16">
        <v>5720</v>
      </c>
      <c r="T3676" s="16" t="s">
        <v>4016</v>
      </c>
      <c r="U3676" s="17">
        <f>COUNTIFS(WTG_BD!L:L,'Basic Data'!T3676,WTG_BD!F:F,"&gt;="&amp;O2Summary!$B$6,WTG_BD!F:F,"&lt;="&amp;O2Summary!$B$4)</f>
        <v>0</v>
      </c>
      <c r="V3676" s="18">
        <f t="shared" si="64"/>
        <v>47</v>
      </c>
    </row>
    <row r="3677" spans="19:22">
      <c r="S3677" s="16">
        <v>5721</v>
      </c>
      <c r="T3677" s="16" t="s">
        <v>4017</v>
      </c>
      <c r="U3677" s="17">
        <f>COUNTIFS(WTG_BD!L:L,'Basic Data'!T3677,WTG_BD!F:F,"&gt;="&amp;O2Summary!$B$6,WTG_BD!F:F,"&lt;="&amp;O2Summary!$B$4)</f>
        <v>0</v>
      </c>
      <c r="V3677" s="18">
        <f t="shared" si="64"/>
        <v>47</v>
      </c>
    </row>
    <row r="3678" spans="19:22">
      <c r="S3678" s="16">
        <v>5722</v>
      </c>
      <c r="T3678" s="16" t="s">
        <v>4018</v>
      </c>
      <c r="U3678" s="17">
        <f>COUNTIFS(WTG_BD!L:L,'Basic Data'!T3678,WTG_BD!F:F,"&gt;="&amp;O2Summary!$B$6,WTG_BD!F:F,"&lt;="&amp;O2Summary!$B$4)</f>
        <v>0</v>
      </c>
      <c r="V3678" s="18">
        <f t="shared" si="64"/>
        <v>47</v>
      </c>
    </row>
    <row r="3679" spans="19:22">
      <c r="S3679" s="16">
        <v>5723</v>
      </c>
      <c r="T3679" s="16" t="s">
        <v>4019</v>
      </c>
      <c r="U3679" s="17">
        <f>COUNTIFS(WTG_BD!L:L,'Basic Data'!T3679,WTG_BD!F:F,"&gt;="&amp;O2Summary!$B$6,WTG_BD!F:F,"&lt;="&amp;O2Summary!$B$4)</f>
        <v>0</v>
      </c>
      <c r="V3679" s="18">
        <f t="shared" si="64"/>
        <v>47</v>
      </c>
    </row>
    <row r="3680" spans="19:22">
      <c r="S3680" s="16">
        <v>5724</v>
      </c>
      <c r="T3680" s="16" t="s">
        <v>4020</v>
      </c>
      <c r="U3680" s="17">
        <f>COUNTIFS(WTG_BD!L:L,'Basic Data'!T3680,WTG_BD!F:F,"&gt;="&amp;O2Summary!$B$6,WTG_BD!F:F,"&lt;="&amp;O2Summary!$B$4)</f>
        <v>0</v>
      </c>
      <c r="V3680" s="18">
        <f t="shared" si="64"/>
        <v>47</v>
      </c>
    </row>
    <row r="3681" spans="19:22">
      <c r="S3681" s="16">
        <v>5725</v>
      </c>
      <c r="T3681" s="16" t="s">
        <v>4021</v>
      </c>
      <c r="U3681" s="17">
        <f>COUNTIFS(WTG_BD!L:L,'Basic Data'!T3681,WTG_BD!F:F,"&gt;="&amp;O2Summary!$B$6,WTG_BD!F:F,"&lt;="&amp;O2Summary!$B$4)</f>
        <v>0</v>
      </c>
      <c r="V3681" s="18">
        <f t="shared" si="64"/>
        <v>47</v>
      </c>
    </row>
    <row r="3682" spans="19:22">
      <c r="S3682" s="16">
        <v>5726</v>
      </c>
      <c r="T3682" s="16" t="s">
        <v>4022</v>
      </c>
      <c r="U3682" s="17">
        <f>COUNTIFS(WTG_BD!L:L,'Basic Data'!T3682,WTG_BD!F:F,"&gt;="&amp;O2Summary!$B$6,WTG_BD!F:F,"&lt;="&amp;O2Summary!$B$4)</f>
        <v>0</v>
      </c>
      <c r="V3682" s="18">
        <f t="shared" si="64"/>
        <v>47</v>
      </c>
    </row>
    <row r="3683" spans="19:22">
      <c r="S3683" s="16">
        <v>5727</v>
      </c>
      <c r="T3683" s="16" t="s">
        <v>4023</v>
      </c>
      <c r="U3683" s="17">
        <f>COUNTIFS(WTG_BD!L:L,'Basic Data'!T3683,WTG_BD!F:F,"&gt;="&amp;O2Summary!$B$6,WTG_BD!F:F,"&lt;="&amp;O2Summary!$B$4)</f>
        <v>0</v>
      </c>
      <c r="V3683" s="18">
        <f t="shared" si="64"/>
        <v>47</v>
      </c>
    </row>
    <row r="3684" spans="19:22">
      <c r="S3684" s="16">
        <v>5728</v>
      </c>
      <c r="T3684" s="16" t="s">
        <v>4024</v>
      </c>
      <c r="U3684" s="17">
        <f>COUNTIFS(WTG_BD!L:L,'Basic Data'!T3684,WTG_BD!F:F,"&gt;="&amp;O2Summary!$B$6,WTG_BD!F:F,"&lt;="&amp;O2Summary!$B$4)</f>
        <v>0</v>
      </c>
      <c r="V3684" s="18">
        <f t="shared" si="64"/>
        <v>47</v>
      </c>
    </row>
    <row r="3685" spans="19:22">
      <c r="S3685" s="16">
        <v>5729</v>
      </c>
      <c r="T3685" s="16" t="s">
        <v>4025</v>
      </c>
      <c r="U3685" s="17">
        <f>COUNTIFS(WTG_BD!L:L,'Basic Data'!T3685,WTG_BD!F:F,"&gt;="&amp;O2Summary!$B$6,WTG_BD!F:F,"&lt;="&amp;O2Summary!$B$4)</f>
        <v>0</v>
      </c>
      <c r="V3685" s="18">
        <f t="shared" si="64"/>
        <v>47</v>
      </c>
    </row>
    <row r="3686" spans="19:22">
      <c r="S3686" s="16">
        <v>5730</v>
      </c>
      <c r="T3686" s="16" t="s">
        <v>4026</v>
      </c>
      <c r="U3686" s="17">
        <f>COUNTIFS(WTG_BD!L:L,'Basic Data'!T3686,WTG_BD!F:F,"&gt;="&amp;O2Summary!$B$6,WTG_BD!F:F,"&lt;="&amp;O2Summary!$B$4)</f>
        <v>0</v>
      </c>
      <c r="V3686" s="18">
        <f t="shared" si="64"/>
        <v>47</v>
      </c>
    </row>
    <row r="3687" spans="19:22">
      <c r="S3687" s="16">
        <v>5731</v>
      </c>
      <c r="T3687" s="16" t="s">
        <v>4027</v>
      </c>
      <c r="U3687" s="17">
        <f>COUNTIFS(WTG_BD!L:L,'Basic Data'!T3687,WTG_BD!F:F,"&gt;="&amp;O2Summary!$B$6,WTG_BD!F:F,"&lt;="&amp;O2Summary!$B$4)</f>
        <v>0</v>
      </c>
      <c r="V3687" s="18">
        <f t="shared" si="64"/>
        <v>47</v>
      </c>
    </row>
    <row r="3688" spans="19:22">
      <c r="S3688" s="16">
        <v>5732</v>
      </c>
      <c r="T3688" s="16" t="s">
        <v>4028</v>
      </c>
      <c r="U3688" s="17">
        <f>COUNTIFS(WTG_BD!L:L,'Basic Data'!T3688,WTG_BD!F:F,"&gt;="&amp;O2Summary!$B$6,WTG_BD!F:F,"&lt;="&amp;O2Summary!$B$4)</f>
        <v>0</v>
      </c>
      <c r="V3688" s="18">
        <f t="shared" si="64"/>
        <v>47</v>
      </c>
    </row>
    <row r="3689" spans="19:22">
      <c r="S3689" s="16">
        <v>5733</v>
      </c>
      <c r="T3689" s="16" t="s">
        <v>4029</v>
      </c>
      <c r="U3689" s="17">
        <f>COUNTIFS(WTG_BD!L:L,'Basic Data'!T3689,WTG_BD!F:F,"&gt;="&amp;O2Summary!$B$6,WTG_BD!F:F,"&lt;="&amp;O2Summary!$B$4)</f>
        <v>0</v>
      </c>
      <c r="V3689" s="18">
        <f t="shared" si="64"/>
        <v>47</v>
      </c>
    </row>
    <row r="3690" spans="19:22">
      <c r="S3690" s="16">
        <v>5734</v>
      </c>
      <c r="T3690" s="16" t="s">
        <v>4030</v>
      </c>
      <c r="U3690" s="17">
        <f>COUNTIFS(WTG_BD!L:L,'Basic Data'!T3690,WTG_BD!F:F,"&gt;="&amp;O2Summary!$B$6,WTG_BD!F:F,"&lt;="&amp;O2Summary!$B$4)</f>
        <v>0</v>
      </c>
      <c r="V3690" s="18">
        <f t="shared" si="64"/>
        <v>47</v>
      </c>
    </row>
    <row r="3691" spans="19:22">
      <c r="S3691" s="16">
        <v>5735</v>
      </c>
      <c r="T3691" s="16" t="s">
        <v>4031</v>
      </c>
      <c r="U3691" s="17">
        <f>COUNTIFS(WTG_BD!L:L,'Basic Data'!T3691,WTG_BD!F:F,"&gt;="&amp;O2Summary!$B$6,WTG_BD!F:F,"&lt;="&amp;O2Summary!$B$4)</f>
        <v>0</v>
      </c>
      <c r="V3691" s="18">
        <f t="shared" si="64"/>
        <v>47</v>
      </c>
    </row>
    <row r="3692" spans="19:22">
      <c r="S3692" s="16">
        <v>5736</v>
      </c>
      <c r="T3692" s="16" t="s">
        <v>4032</v>
      </c>
      <c r="U3692" s="17">
        <f>COUNTIFS(WTG_BD!L:L,'Basic Data'!T3692,WTG_BD!F:F,"&gt;="&amp;O2Summary!$B$6,WTG_BD!F:F,"&lt;="&amp;O2Summary!$B$4)</f>
        <v>0</v>
      </c>
      <c r="V3692" s="18">
        <f t="shared" si="64"/>
        <v>47</v>
      </c>
    </row>
    <row r="3693" spans="19:22">
      <c r="S3693" s="16">
        <v>5737</v>
      </c>
      <c r="T3693" s="16" t="s">
        <v>4033</v>
      </c>
      <c r="U3693" s="17">
        <f>COUNTIFS(WTG_BD!L:L,'Basic Data'!T3693,WTG_BD!F:F,"&gt;="&amp;O2Summary!$B$6,WTG_BD!F:F,"&lt;="&amp;O2Summary!$B$4)</f>
        <v>0</v>
      </c>
      <c r="V3693" s="18">
        <f t="shared" si="64"/>
        <v>47</v>
      </c>
    </row>
    <row r="3694" spans="19:22">
      <c r="S3694" s="16">
        <v>5738</v>
      </c>
      <c r="T3694" s="16" t="s">
        <v>4034</v>
      </c>
      <c r="U3694" s="17">
        <f>COUNTIFS(WTG_BD!L:L,'Basic Data'!T3694,WTG_BD!F:F,"&gt;="&amp;O2Summary!$B$6,WTG_BD!F:F,"&lt;="&amp;O2Summary!$B$4)</f>
        <v>0</v>
      </c>
      <c r="V3694" s="18">
        <f t="shared" si="64"/>
        <v>47</v>
      </c>
    </row>
    <row r="3695" spans="19:22">
      <c r="S3695" s="16">
        <v>5739</v>
      </c>
      <c r="T3695" s="16" t="s">
        <v>4035</v>
      </c>
      <c r="U3695" s="17">
        <f>COUNTIFS(WTG_BD!L:L,'Basic Data'!T3695,WTG_BD!F:F,"&gt;="&amp;O2Summary!$B$6,WTG_BD!F:F,"&lt;="&amp;O2Summary!$B$4)</f>
        <v>0</v>
      </c>
      <c r="V3695" s="18">
        <f t="shared" si="64"/>
        <v>47</v>
      </c>
    </row>
    <row r="3696" spans="19:22">
      <c r="S3696" s="16">
        <v>5740</v>
      </c>
      <c r="T3696" s="16" t="s">
        <v>928</v>
      </c>
      <c r="U3696" s="17">
        <f>COUNTIFS(WTG_BD!L:L,'Basic Data'!T3696,WTG_BD!F:F,"&gt;="&amp;O2Summary!$B$6,WTG_BD!F:F,"&lt;="&amp;O2Summary!$B$4)</f>
        <v>0</v>
      </c>
      <c r="V3696" s="18">
        <f t="shared" si="64"/>
        <v>47</v>
      </c>
    </row>
    <row r="3697" spans="19:22">
      <c r="S3697" s="16">
        <v>5741</v>
      </c>
      <c r="T3697" s="16" t="s">
        <v>928</v>
      </c>
      <c r="U3697" s="17">
        <f>COUNTIFS(WTG_BD!L:L,'Basic Data'!T3697,WTG_BD!F:F,"&gt;="&amp;O2Summary!$B$6,WTG_BD!F:F,"&lt;="&amp;O2Summary!$B$4)</f>
        <v>0</v>
      </c>
      <c r="V3697" s="18">
        <f t="shared" si="64"/>
        <v>47</v>
      </c>
    </row>
    <row r="3698" spans="19:22">
      <c r="S3698" s="16">
        <v>5742</v>
      </c>
      <c r="T3698" s="16" t="s">
        <v>928</v>
      </c>
      <c r="U3698" s="17">
        <f>COUNTIFS(WTG_BD!L:L,'Basic Data'!T3698,WTG_BD!F:F,"&gt;="&amp;O2Summary!$B$6,WTG_BD!F:F,"&lt;="&amp;O2Summary!$B$4)</f>
        <v>0</v>
      </c>
      <c r="V3698" s="18">
        <f t="shared" si="64"/>
        <v>47</v>
      </c>
    </row>
    <row r="3699" spans="19:22">
      <c r="S3699" s="16">
        <v>5743</v>
      </c>
      <c r="T3699" s="16" t="s">
        <v>4036</v>
      </c>
      <c r="U3699" s="17">
        <f>COUNTIFS(WTG_BD!L:L,'Basic Data'!T3699,WTG_BD!F:F,"&gt;="&amp;O2Summary!$B$6,WTG_BD!F:F,"&lt;="&amp;O2Summary!$B$4)</f>
        <v>0</v>
      </c>
      <c r="V3699" s="18">
        <f t="shared" si="64"/>
        <v>47</v>
      </c>
    </row>
    <row r="3700" spans="19:22">
      <c r="S3700" s="16">
        <v>5744</v>
      </c>
      <c r="T3700" s="16" t="s">
        <v>4037</v>
      </c>
      <c r="U3700" s="17">
        <f>COUNTIFS(WTG_BD!L:L,'Basic Data'!T3700,WTG_BD!F:F,"&gt;="&amp;O2Summary!$B$6,WTG_BD!F:F,"&lt;="&amp;O2Summary!$B$4)</f>
        <v>0</v>
      </c>
      <c r="V3700" s="18">
        <f t="shared" si="64"/>
        <v>47</v>
      </c>
    </row>
    <row r="3701" spans="19:22">
      <c r="S3701" s="16">
        <v>5745</v>
      </c>
      <c r="T3701" s="16" t="s">
        <v>4038</v>
      </c>
      <c r="U3701" s="17">
        <f>COUNTIFS(WTG_BD!L:L,'Basic Data'!T3701,WTG_BD!F:F,"&gt;="&amp;O2Summary!$B$6,WTG_BD!F:F,"&lt;="&amp;O2Summary!$B$4)</f>
        <v>0</v>
      </c>
      <c r="V3701" s="18">
        <f t="shared" si="64"/>
        <v>47</v>
      </c>
    </row>
    <row r="3702" spans="19:22">
      <c r="S3702" s="16">
        <v>5746</v>
      </c>
      <c r="T3702" s="16" t="s">
        <v>4039</v>
      </c>
      <c r="U3702" s="17">
        <f>COUNTIFS(WTG_BD!L:L,'Basic Data'!T3702,WTG_BD!F:F,"&gt;="&amp;O2Summary!$B$6,WTG_BD!F:F,"&lt;="&amp;O2Summary!$B$4)</f>
        <v>0</v>
      </c>
      <c r="V3702" s="18">
        <f t="shared" si="64"/>
        <v>47</v>
      </c>
    </row>
    <row r="3703" spans="19:22">
      <c r="S3703" s="16">
        <v>5747</v>
      </c>
      <c r="T3703" s="16" t="s">
        <v>4040</v>
      </c>
      <c r="U3703" s="17">
        <f>COUNTIFS(WTG_BD!L:L,'Basic Data'!T3703,WTG_BD!F:F,"&gt;="&amp;O2Summary!$B$6,WTG_BD!F:F,"&lt;="&amp;O2Summary!$B$4)</f>
        <v>0</v>
      </c>
      <c r="V3703" s="18">
        <f t="shared" si="64"/>
        <v>47</v>
      </c>
    </row>
    <row r="3704" spans="19:22">
      <c r="S3704" s="16">
        <v>5748</v>
      </c>
      <c r="T3704" s="16" t="s">
        <v>4041</v>
      </c>
      <c r="U3704" s="17">
        <f>COUNTIFS(WTG_BD!L:L,'Basic Data'!T3704,WTG_BD!F:F,"&gt;="&amp;O2Summary!$B$6,WTG_BD!F:F,"&lt;="&amp;O2Summary!$B$4)</f>
        <v>0</v>
      </c>
      <c r="V3704" s="18">
        <f t="shared" si="64"/>
        <v>47</v>
      </c>
    </row>
    <row r="3705" spans="19:22">
      <c r="S3705" s="16">
        <v>5749</v>
      </c>
      <c r="T3705" s="16" t="s">
        <v>4042</v>
      </c>
      <c r="U3705" s="17">
        <f>COUNTIFS(WTG_BD!L:L,'Basic Data'!T3705,WTG_BD!F:F,"&gt;="&amp;O2Summary!$B$6,WTG_BD!F:F,"&lt;="&amp;O2Summary!$B$4)</f>
        <v>0</v>
      </c>
      <c r="V3705" s="18">
        <f t="shared" si="64"/>
        <v>47</v>
      </c>
    </row>
    <row r="3706" spans="19:22">
      <c r="S3706" s="16">
        <v>5750</v>
      </c>
      <c r="T3706" s="16" t="s">
        <v>4043</v>
      </c>
      <c r="U3706" s="17">
        <f>COUNTIFS(WTG_BD!L:L,'Basic Data'!T3706,WTG_BD!F:F,"&gt;="&amp;O2Summary!$B$6,WTG_BD!F:F,"&lt;="&amp;O2Summary!$B$4)</f>
        <v>0</v>
      </c>
      <c r="V3706" s="18">
        <f t="shared" si="64"/>
        <v>47</v>
      </c>
    </row>
    <row r="3707" spans="19:22">
      <c r="S3707" s="16">
        <v>5751</v>
      </c>
      <c r="T3707" s="16" t="s">
        <v>4044</v>
      </c>
      <c r="U3707" s="17">
        <f>COUNTIFS(WTG_BD!L:L,'Basic Data'!T3707,WTG_BD!F:F,"&gt;="&amp;O2Summary!$B$6,WTG_BD!F:F,"&lt;="&amp;O2Summary!$B$4)</f>
        <v>0</v>
      </c>
      <c r="V3707" s="18">
        <f t="shared" si="64"/>
        <v>47</v>
      </c>
    </row>
    <row r="3708" spans="19:22">
      <c r="S3708" s="16">
        <v>5752</v>
      </c>
      <c r="T3708" s="16" t="s">
        <v>4045</v>
      </c>
      <c r="U3708" s="17">
        <f>COUNTIFS(WTG_BD!L:L,'Basic Data'!T3708,WTG_BD!F:F,"&gt;="&amp;O2Summary!$B$6,WTG_BD!F:F,"&lt;="&amp;O2Summary!$B$4)</f>
        <v>0</v>
      </c>
      <c r="V3708" s="18">
        <f t="shared" si="64"/>
        <v>47</v>
      </c>
    </row>
    <row r="3709" spans="19:22">
      <c r="S3709" s="16">
        <v>5753</v>
      </c>
      <c r="T3709" s="16" t="s">
        <v>4046</v>
      </c>
      <c r="U3709" s="17">
        <f>COUNTIFS(WTG_BD!L:L,'Basic Data'!T3709,WTG_BD!F:F,"&gt;="&amp;O2Summary!$B$6,WTG_BD!F:F,"&lt;="&amp;O2Summary!$B$4)</f>
        <v>0</v>
      </c>
      <c r="V3709" s="18">
        <f t="shared" si="64"/>
        <v>47</v>
      </c>
    </row>
    <row r="3710" spans="19:22">
      <c r="S3710" s="16">
        <v>5754</v>
      </c>
      <c r="T3710" s="16" t="s">
        <v>4047</v>
      </c>
      <c r="U3710" s="17">
        <f>COUNTIFS(WTG_BD!L:L,'Basic Data'!T3710,WTG_BD!F:F,"&gt;="&amp;O2Summary!$B$6,WTG_BD!F:F,"&lt;="&amp;O2Summary!$B$4)</f>
        <v>0</v>
      </c>
      <c r="V3710" s="18">
        <f t="shared" si="64"/>
        <v>47</v>
      </c>
    </row>
    <row r="3711" spans="19:22">
      <c r="S3711" s="16">
        <v>5755</v>
      </c>
      <c r="T3711" s="16" t="s">
        <v>4047</v>
      </c>
      <c r="U3711" s="17">
        <f>COUNTIFS(WTG_BD!L:L,'Basic Data'!T3711,WTG_BD!F:F,"&gt;="&amp;O2Summary!$B$6,WTG_BD!F:F,"&lt;="&amp;O2Summary!$B$4)</f>
        <v>0</v>
      </c>
      <c r="V3711" s="18">
        <f t="shared" si="64"/>
        <v>47</v>
      </c>
    </row>
    <row r="3712" spans="19:22">
      <c r="S3712" s="16">
        <v>5756</v>
      </c>
      <c r="T3712" s="16" t="s">
        <v>4047</v>
      </c>
      <c r="U3712" s="17">
        <f>COUNTIFS(WTG_BD!L:L,'Basic Data'!T3712,WTG_BD!F:F,"&gt;="&amp;O2Summary!$B$6,WTG_BD!F:F,"&lt;="&amp;O2Summary!$B$4)</f>
        <v>0</v>
      </c>
      <c r="V3712" s="18">
        <f t="shared" si="64"/>
        <v>47</v>
      </c>
    </row>
    <row r="3713" spans="19:22">
      <c r="S3713" s="16">
        <v>5757</v>
      </c>
      <c r="T3713" s="16" t="s">
        <v>4047</v>
      </c>
      <c r="U3713" s="17">
        <f>COUNTIFS(WTG_BD!L:L,'Basic Data'!T3713,WTG_BD!F:F,"&gt;="&amp;O2Summary!$B$6,WTG_BD!F:F,"&lt;="&amp;O2Summary!$B$4)</f>
        <v>0</v>
      </c>
      <c r="V3713" s="18">
        <f t="shared" si="64"/>
        <v>47</v>
      </c>
    </row>
    <row r="3714" spans="19:22">
      <c r="S3714" s="16">
        <v>5758</v>
      </c>
      <c r="T3714" s="16" t="s">
        <v>4047</v>
      </c>
      <c r="U3714" s="17">
        <f>COUNTIFS(WTG_BD!L:L,'Basic Data'!T3714,WTG_BD!F:F,"&gt;="&amp;O2Summary!$B$6,WTG_BD!F:F,"&lt;="&amp;O2Summary!$B$4)</f>
        <v>0</v>
      </c>
      <c r="V3714" s="18">
        <f t="shared" si="64"/>
        <v>47</v>
      </c>
    </row>
    <row r="3715" spans="19:22">
      <c r="S3715" s="16">
        <v>5759</v>
      </c>
      <c r="T3715" s="16" t="s">
        <v>4047</v>
      </c>
      <c r="U3715" s="17">
        <f>COUNTIFS(WTG_BD!L:L,'Basic Data'!T3715,WTG_BD!F:F,"&gt;="&amp;O2Summary!$B$6,WTG_BD!F:F,"&lt;="&amp;O2Summary!$B$4)</f>
        <v>0</v>
      </c>
      <c r="V3715" s="18">
        <f t="shared" ref="V3715:V3778" si="65">RANK(U3715,$U$2:$U$3975)</f>
        <v>47</v>
      </c>
    </row>
    <row r="3716" spans="19:22">
      <c r="S3716" s="16">
        <v>5760</v>
      </c>
      <c r="T3716" s="16" t="s">
        <v>4047</v>
      </c>
      <c r="U3716" s="17">
        <f>COUNTIFS(WTG_BD!L:L,'Basic Data'!T3716,WTG_BD!F:F,"&gt;="&amp;O2Summary!$B$6,WTG_BD!F:F,"&lt;="&amp;O2Summary!$B$4)</f>
        <v>0</v>
      </c>
      <c r="V3716" s="18">
        <f t="shared" si="65"/>
        <v>47</v>
      </c>
    </row>
    <row r="3717" spans="19:22">
      <c r="S3717" s="16">
        <v>5761</v>
      </c>
      <c r="T3717" s="16" t="s">
        <v>4047</v>
      </c>
      <c r="U3717" s="17">
        <f>COUNTIFS(WTG_BD!L:L,'Basic Data'!T3717,WTG_BD!F:F,"&gt;="&amp;O2Summary!$B$6,WTG_BD!F:F,"&lt;="&amp;O2Summary!$B$4)</f>
        <v>0</v>
      </c>
      <c r="V3717" s="18">
        <f t="shared" si="65"/>
        <v>47</v>
      </c>
    </row>
    <row r="3718" spans="19:22">
      <c r="S3718" s="16">
        <v>5762</v>
      </c>
      <c r="T3718" s="16" t="s">
        <v>4047</v>
      </c>
      <c r="U3718" s="17">
        <f>COUNTIFS(WTG_BD!L:L,'Basic Data'!T3718,WTG_BD!F:F,"&gt;="&amp;O2Summary!$B$6,WTG_BD!F:F,"&lt;="&amp;O2Summary!$B$4)</f>
        <v>0</v>
      </c>
      <c r="V3718" s="18">
        <f t="shared" si="65"/>
        <v>47</v>
      </c>
    </row>
    <row r="3719" spans="19:22">
      <c r="S3719" s="16">
        <v>5763</v>
      </c>
      <c r="T3719" s="16" t="s">
        <v>4047</v>
      </c>
      <c r="U3719" s="17">
        <f>COUNTIFS(WTG_BD!L:L,'Basic Data'!T3719,WTG_BD!F:F,"&gt;="&amp;O2Summary!$B$6,WTG_BD!F:F,"&lt;="&amp;O2Summary!$B$4)</f>
        <v>0</v>
      </c>
      <c r="V3719" s="18">
        <f t="shared" si="65"/>
        <v>47</v>
      </c>
    </row>
    <row r="3720" spans="19:22">
      <c r="S3720" s="16">
        <v>5764</v>
      </c>
      <c r="T3720" s="16" t="s">
        <v>4047</v>
      </c>
      <c r="U3720" s="17">
        <f>COUNTIFS(WTG_BD!L:L,'Basic Data'!T3720,WTG_BD!F:F,"&gt;="&amp;O2Summary!$B$6,WTG_BD!F:F,"&lt;="&amp;O2Summary!$B$4)</f>
        <v>0</v>
      </c>
      <c r="V3720" s="18">
        <f t="shared" si="65"/>
        <v>47</v>
      </c>
    </row>
    <row r="3721" spans="19:22">
      <c r="S3721" s="16">
        <v>5765</v>
      </c>
      <c r="T3721" s="16" t="s">
        <v>4047</v>
      </c>
      <c r="U3721" s="17">
        <f>COUNTIFS(WTG_BD!L:L,'Basic Data'!T3721,WTG_BD!F:F,"&gt;="&amp;O2Summary!$B$6,WTG_BD!F:F,"&lt;="&amp;O2Summary!$B$4)</f>
        <v>0</v>
      </c>
      <c r="V3721" s="18">
        <f t="shared" si="65"/>
        <v>47</v>
      </c>
    </row>
    <row r="3722" spans="19:22">
      <c r="S3722" s="16">
        <v>5766</v>
      </c>
      <c r="T3722" s="16" t="s">
        <v>4047</v>
      </c>
      <c r="U3722" s="17">
        <f>COUNTIFS(WTG_BD!L:L,'Basic Data'!T3722,WTG_BD!F:F,"&gt;="&amp;O2Summary!$B$6,WTG_BD!F:F,"&lt;="&amp;O2Summary!$B$4)</f>
        <v>0</v>
      </c>
      <c r="V3722" s="18">
        <f t="shared" si="65"/>
        <v>47</v>
      </c>
    </row>
    <row r="3723" spans="19:22">
      <c r="S3723" s="16">
        <v>5767</v>
      </c>
      <c r="T3723" s="16" t="s">
        <v>4047</v>
      </c>
      <c r="U3723" s="17">
        <f>COUNTIFS(WTG_BD!L:L,'Basic Data'!T3723,WTG_BD!F:F,"&gt;="&amp;O2Summary!$B$6,WTG_BD!F:F,"&lt;="&amp;O2Summary!$B$4)</f>
        <v>0</v>
      </c>
      <c r="V3723" s="18">
        <f t="shared" si="65"/>
        <v>47</v>
      </c>
    </row>
    <row r="3724" spans="19:22">
      <c r="S3724" s="16">
        <v>5768</v>
      </c>
      <c r="T3724" s="16" t="s">
        <v>4047</v>
      </c>
      <c r="U3724" s="17">
        <f>COUNTIFS(WTG_BD!L:L,'Basic Data'!T3724,WTG_BD!F:F,"&gt;="&amp;O2Summary!$B$6,WTG_BD!F:F,"&lt;="&amp;O2Summary!$B$4)</f>
        <v>0</v>
      </c>
      <c r="V3724" s="18">
        <f t="shared" si="65"/>
        <v>47</v>
      </c>
    </row>
    <row r="3725" spans="19:22">
      <c r="S3725" s="16">
        <v>5769</v>
      </c>
      <c r="T3725" s="16" t="s">
        <v>4047</v>
      </c>
      <c r="U3725" s="17">
        <f>COUNTIFS(WTG_BD!L:L,'Basic Data'!T3725,WTG_BD!F:F,"&gt;="&amp;O2Summary!$B$6,WTG_BD!F:F,"&lt;="&amp;O2Summary!$B$4)</f>
        <v>0</v>
      </c>
      <c r="V3725" s="18">
        <f t="shared" si="65"/>
        <v>47</v>
      </c>
    </row>
    <row r="3726" spans="19:22">
      <c r="S3726" s="16">
        <v>5770</v>
      </c>
      <c r="T3726" s="16" t="s">
        <v>4047</v>
      </c>
      <c r="U3726" s="17">
        <f>COUNTIFS(WTG_BD!L:L,'Basic Data'!T3726,WTG_BD!F:F,"&gt;="&amp;O2Summary!$B$6,WTG_BD!F:F,"&lt;="&amp;O2Summary!$B$4)</f>
        <v>0</v>
      </c>
      <c r="V3726" s="18">
        <f t="shared" si="65"/>
        <v>47</v>
      </c>
    </row>
    <row r="3727" spans="19:22">
      <c r="S3727" s="16">
        <v>5771</v>
      </c>
      <c r="T3727" s="16" t="s">
        <v>4047</v>
      </c>
      <c r="U3727" s="17">
        <f>COUNTIFS(WTG_BD!L:L,'Basic Data'!T3727,WTG_BD!F:F,"&gt;="&amp;O2Summary!$B$6,WTG_BD!F:F,"&lt;="&amp;O2Summary!$B$4)</f>
        <v>0</v>
      </c>
      <c r="V3727" s="18">
        <f t="shared" si="65"/>
        <v>47</v>
      </c>
    </row>
    <row r="3728" spans="19:22">
      <c r="S3728" s="16">
        <v>5772</v>
      </c>
      <c r="T3728" s="16" t="s">
        <v>4047</v>
      </c>
      <c r="U3728" s="17">
        <f>COUNTIFS(WTG_BD!L:L,'Basic Data'!T3728,WTG_BD!F:F,"&gt;="&amp;O2Summary!$B$6,WTG_BD!F:F,"&lt;="&amp;O2Summary!$B$4)</f>
        <v>0</v>
      </c>
      <c r="V3728" s="18">
        <f t="shared" si="65"/>
        <v>47</v>
      </c>
    </row>
    <row r="3729" spans="19:22">
      <c r="S3729" s="16">
        <v>5773</v>
      </c>
      <c r="T3729" s="16" t="s">
        <v>4047</v>
      </c>
      <c r="U3729" s="17">
        <f>COUNTIFS(WTG_BD!L:L,'Basic Data'!T3729,WTG_BD!F:F,"&gt;="&amp;O2Summary!$B$6,WTG_BD!F:F,"&lt;="&amp;O2Summary!$B$4)</f>
        <v>0</v>
      </c>
      <c r="V3729" s="18">
        <f t="shared" si="65"/>
        <v>47</v>
      </c>
    </row>
    <row r="3730" spans="19:22">
      <c r="S3730" s="16">
        <v>5774</v>
      </c>
      <c r="T3730" s="16" t="s">
        <v>4047</v>
      </c>
      <c r="U3730" s="17">
        <f>COUNTIFS(WTG_BD!L:L,'Basic Data'!T3730,WTG_BD!F:F,"&gt;="&amp;O2Summary!$B$6,WTG_BD!F:F,"&lt;="&amp;O2Summary!$B$4)</f>
        <v>0</v>
      </c>
      <c r="V3730" s="18">
        <f t="shared" si="65"/>
        <v>47</v>
      </c>
    </row>
    <row r="3731" spans="19:22">
      <c r="S3731" s="16">
        <v>5775</v>
      </c>
      <c r="T3731" s="16" t="s">
        <v>4047</v>
      </c>
      <c r="U3731" s="17">
        <f>COUNTIFS(WTG_BD!L:L,'Basic Data'!T3731,WTG_BD!F:F,"&gt;="&amp;O2Summary!$B$6,WTG_BD!F:F,"&lt;="&amp;O2Summary!$B$4)</f>
        <v>0</v>
      </c>
      <c r="V3731" s="18">
        <f t="shared" si="65"/>
        <v>47</v>
      </c>
    </row>
    <row r="3732" spans="19:22">
      <c r="S3732" s="16">
        <v>5776</v>
      </c>
      <c r="T3732" s="16" t="s">
        <v>4047</v>
      </c>
      <c r="U3732" s="17">
        <f>COUNTIFS(WTG_BD!L:L,'Basic Data'!T3732,WTG_BD!F:F,"&gt;="&amp;O2Summary!$B$6,WTG_BD!F:F,"&lt;="&amp;O2Summary!$B$4)</f>
        <v>0</v>
      </c>
      <c r="V3732" s="18">
        <f t="shared" si="65"/>
        <v>47</v>
      </c>
    </row>
    <row r="3733" spans="19:22">
      <c r="S3733" s="16">
        <v>5777</v>
      </c>
      <c r="T3733" s="16" t="s">
        <v>4047</v>
      </c>
      <c r="U3733" s="17">
        <f>COUNTIFS(WTG_BD!L:L,'Basic Data'!T3733,WTG_BD!F:F,"&gt;="&amp;O2Summary!$B$6,WTG_BD!F:F,"&lt;="&amp;O2Summary!$B$4)</f>
        <v>0</v>
      </c>
      <c r="V3733" s="18">
        <f t="shared" si="65"/>
        <v>47</v>
      </c>
    </row>
    <row r="3734" spans="19:22">
      <c r="S3734" s="16">
        <v>5778</v>
      </c>
      <c r="T3734" s="16" t="s">
        <v>4047</v>
      </c>
      <c r="U3734" s="17">
        <f>COUNTIFS(WTG_BD!L:L,'Basic Data'!T3734,WTG_BD!F:F,"&gt;="&amp;O2Summary!$B$6,WTG_BD!F:F,"&lt;="&amp;O2Summary!$B$4)</f>
        <v>0</v>
      </c>
      <c r="V3734" s="18">
        <f t="shared" si="65"/>
        <v>47</v>
      </c>
    </row>
    <row r="3735" spans="19:22">
      <c r="S3735" s="16">
        <v>5779</v>
      </c>
      <c r="T3735" s="16" t="s">
        <v>4047</v>
      </c>
      <c r="U3735" s="17">
        <f>COUNTIFS(WTG_BD!L:L,'Basic Data'!T3735,WTG_BD!F:F,"&gt;="&amp;O2Summary!$B$6,WTG_BD!F:F,"&lt;="&amp;O2Summary!$B$4)</f>
        <v>0</v>
      </c>
      <c r="V3735" s="18">
        <f t="shared" si="65"/>
        <v>47</v>
      </c>
    </row>
    <row r="3736" spans="19:22">
      <c r="S3736" s="16">
        <v>5780</v>
      </c>
      <c r="T3736" s="16" t="s">
        <v>4047</v>
      </c>
      <c r="U3736" s="17">
        <f>COUNTIFS(WTG_BD!L:L,'Basic Data'!T3736,WTG_BD!F:F,"&gt;="&amp;O2Summary!$B$6,WTG_BD!F:F,"&lt;="&amp;O2Summary!$B$4)</f>
        <v>0</v>
      </c>
      <c r="V3736" s="18">
        <f t="shared" si="65"/>
        <v>47</v>
      </c>
    </row>
    <row r="3737" spans="19:22">
      <c r="S3737" s="16">
        <v>5781</v>
      </c>
      <c r="T3737" s="16" t="s">
        <v>4047</v>
      </c>
      <c r="U3737" s="17">
        <f>COUNTIFS(WTG_BD!L:L,'Basic Data'!T3737,WTG_BD!F:F,"&gt;="&amp;O2Summary!$B$6,WTG_BD!F:F,"&lt;="&amp;O2Summary!$B$4)</f>
        <v>0</v>
      </c>
      <c r="V3737" s="18">
        <f t="shared" si="65"/>
        <v>47</v>
      </c>
    </row>
    <row r="3738" spans="19:22">
      <c r="S3738" s="16">
        <v>5782</v>
      </c>
      <c r="T3738" s="16" t="s">
        <v>4047</v>
      </c>
      <c r="U3738" s="17">
        <f>COUNTIFS(WTG_BD!L:L,'Basic Data'!T3738,WTG_BD!F:F,"&gt;="&amp;O2Summary!$B$6,WTG_BD!F:F,"&lt;="&amp;O2Summary!$B$4)</f>
        <v>0</v>
      </c>
      <c r="V3738" s="18">
        <f t="shared" si="65"/>
        <v>47</v>
      </c>
    </row>
    <row r="3739" spans="19:22">
      <c r="S3739" s="16">
        <v>5783</v>
      </c>
      <c r="T3739" s="16" t="s">
        <v>4047</v>
      </c>
      <c r="U3739" s="17">
        <f>COUNTIFS(WTG_BD!L:L,'Basic Data'!T3739,WTG_BD!F:F,"&gt;="&amp;O2Summary!$B$6,WTG_BD!F:F,"&lt;="&amp;O2Summary!$B$4)</f>
        <v>0</v>
      </c>
      <c r="V3739" s="18">
        <f t="shared" si="65"/>
        <v>47</v>
      </c>
    </row>
    <row r="3740" spans="19:22">
      <c r="S3740" s="16">
        <v>5784</v>
      </c>
      <c r="T3740" s="16" t="s">
        <v>4047</v>
      </c>
      <c r="U3740" s="17">
        <f>COUNTIFS(WTG_BD!L:L,'Basic Data'!T3740,WTG_BD!F:F,"&gt;="&amp;O2Summary!$B$6,WTG_BD!F:F,"&lt;="&amp;O2Summary!$B$4)</f>
        <v>0</v>
      </c>
      <c r="V3740" s="18">
        <f t="shared" si="65"/>
        <v>47</v>
      </c>
    </row>
    <row r="3741" spans="19:22">
      <c r="S3741" s="16">
        <v>5785</v>
      </c>
      <c r="T3741" s="16" t="s">
        <v>4047</v>
      </c>
      <c r="U3741" s="17">
        <f>COUNTIFS(WTG_BD!L:L,'Basic Data'!T3741,WTG_BD!F:F,"&gt;="&amp;O2Summary!$B$6,WTG_BD!F:F,"&lt;="&amp;O2Summary!$B$4)</f>
        <v>0</v>
      </c>
      <c r="V3741" s="18">
        <f t="shared" si="65"/>
        <v>47</v>
      </c>
    </row>
    <row r="3742" spans="19:22">
      <c r="S3742" s="16">
        <v>5786</v>
      </c>
      <c r="T3742" s="16" t="s">
        <v>4047</v>
      </c>
      <c r="U3742" s="17">
        <f>COUNTIFS(WTG_BD!L:L,'Basic Data'!T3742,WTG_BD!F:F,"&gt;="&amp;O2Summary!$B$6,WTG_BD!F:F,"&lt;="&amp;O2Summary!$B$4)</f>
        <v>0</v>
      </c>
      <c r="V3742" s="18">
        <f t="shared" si="65"/>
        <v>47</v>
      </c>
    </row>
    <row r="3743" spans="19:22">
      <c r="S3743" s="16">
        <v>5787</v>
      </c>
      <c r="T3743" s="16" t="s">
        <v>4047</v>
      </c>
      <c r="U3743" s="17">
        <f>COUNTIFS(WTG_BD!L:L,'Basic Data'!T3743,WTG_BD!F:F,"&gt;="&amp;O2Summary!$B$6,WTG_BD!F:F,"&lt;="&amp;O2Summary!$B$4)</f>
        <v>0</v>
      </c>
      <c r="V3743" s="18">
        <f t="shared" si="65"/>
        <v>47</v>
      </c>
    </row>
    <row r="3744" spans="19:22">
      <c r="S3744" s="16">
        <v>5788</v>
      </c>
      <c r="T3744" s="16" t="s">
        <v>4047</v>
      </c>
      <c r="U3744" s="17">
        <f>COUNTIFS(WTG_BD!L:L,'Basic Data'!T3744,WTG_BD!F:F,"&gt;="&amp;O2Summary!$B$6,WTG_BD!F:F,"&lt;="&amp;O2Summary!$B$4)</f>
        <v>0</v>
      </c>
      <c r="V3744" s="18">
        <f t="shared" si="65"/>
        <v>47</v>
      </c>
    </row>
    <row r="3745" spans="19:22">
      <c r="S3745" s="16">
        <v>5789</v>
      </c>
      <c r="T3745" s="16" t="s">
        <v>4047</v>
      </c>
      <c r="U3745" s="17">
        <f>COUNTIFS(WTG_BD!L:L,'Basic Data'!T3745,WTG_BD!F:F,"&gt;="&amp;O2Summary!$B$6,WTG_BD!F:F,"&lt;="&amp;O2Summary!$B$4)</f>
        <v>0</v>
      </c>
      <c r="V3745" s="18">
        <f t="shared" si="65"/>
        <v>47</v>
      </c>
    </row>
    <row r="3746" spans="19:22">
      <c r="S3746" s="16">
        <v>5790</v>
      </c>
      <c r="T3746" s="16" t="s">
        <v>4047</v>
      </c>
      <c r="U3746" s="17">
        <f>COUNTIFS(WTG_BD!L:L,'Basic Data'!T3746,WTG_BD!F:F,"&gt;="&amp;O2Summary!$B$6,WTG_BD!F:F,"&lt;="&amp;O2Summary!$B$4)</f>
        <v>0</v>
      </c>
      <c r="V3746" s="18">
        <f t="shared" si="65"/>
        <v>47</v>
      </c>
    </row>
    <row r="3747" spans="19:22">
      <c r="S3747" s="16">
        <v>5791</v>
      </c>
      <c r="T3747" s="16" t="s">
        <v>4047</v>
      </c>
      <c r="U3747" s="17">
        <f>COUNTIFS(WTG_BD!L:L,'Basic Data'!T3747,WTG_BD!F:F,"&gt;="&amp;O2Summary!$B$6,WTG_BD!F:F,"&lt;="&amp;O2Summary!$B$4)</f>
        <v>0</v>
      </c>
      <c r="V3747" s="18">
        <f t="shared" si="65"/>
        <v>47</v>
      </c>
    </row>
    <row r="3748" spans="19:22">
      <c r="S3748" s="16">
        <v>5792</v>
      </c>
      <c r="T3748" s="16" t="s">
        <v>4047</v>
      </c>
      <c r="U3748" s="17">
        <f>COUNTIFS(WTG_BD!L:L,'Basic Data'!T3748,WTG_BD!F:F,"&gt;="&amp;O2Summary!$B$6,WTG_BD!F:F,"&lt;="&amp;O2Summary!$B$4)</f>
        <v>0</v>
      </c>
      <c r="V3748" s="18">
        <f t="shared" si="65"/>
        <v>47</v>
      </c>
    </row>
    <row r="3749" spans="19:22">
      <c r="S3749" s="16">
        <v>5793</v>
      </c>
      <c r="T3749" s="16" t="s">
        <v>4048</v>
      </c>
      <c r="U3749" s="17">
        <f>COUNTIFS(WTG_BD!L:L,'Basic Data'!T3749,WTG_BD!F:F,"&gt;="&amp;O2Summary!$B$6,WTG_BD!F:F,"&lt;="&amp;O2Summary!$B$4)</f>
        <v>0</v>
      </c>
      <c r="V3749" s="18">
        <f t="shared" si="65"/>
        <v>47</v>
      </c>
    </row>
    <row r="3750" spans="19:22">
      <c r="S3750" s="16">
        <v>5794</v>
      </c>
      <c r="T3750" s="16" t="s">
        <v>4048</v>
      </c>
      <c r="U3750" s="17">
        <f>COUNTIFS(WTG_BD!L:L,'Basic Data'!T3750,WTG_BD!F:F,"&gt;="&amp;O2Summary!$B$6,WTG_BD!F:F,"&lt;="&amp;O2Summary!$B$4)</f>
        <v>0</v>
      </c>
      <c r="V3750" s="18">
        <f t="shared" si="65"/>
        <v>47</v>
      </c>
    </row>
    <row r="3751" spans="19:22">
      <c r="S3751" s="16">
        <v>5795</v>
      </c>
      <c r="T3751" s="16" t="s">
        <v>4048</v>
      </c>
      <c r="U3751" s="17">
        <f>COUNTIFS(WTG_BD!L:L,'Basic Data'!T3751,WTG_BD!F:F,"&gt;="&amp;O2Summary!$B$6,WTG_BD!F:F,"&lt;="&amp;O2Summary!$B$4)</f>
        <v>0</v>
      </c>
      <c r="V3751" s="18">
        <f t="shared" si="65"/>
        <v>47</v>
      </c>
    </row>
    <row r="3752" spans="19:22">
      <c r="S3752" s="16">
        <v>5796</v>
      </c>
      <c r="T3752" s="16" t="s">
        <v>4048</v>
      </c>
      <c r="U3752" s="17">
        <f>COUNTIFS(WTG_BD!L:L,'Basic Data'!T3752,WTG_BD!F:F,"&gt;="&amp;O2Summary!$B$6,WTG_BD!F:F,"&lt;="&amp;O2Summary!$B$4)</f>
        <v>0</v>
      </c>
      <c r="V3752" s="18">
        <f t="shared" si="65"/>
        <v>47</v>
      </c>
    </row>
    <row r="3753" spans="19:22">
      <c r="S3753" s="16">
        <v>5797</v>
      </c>
      <c r="T3753" s="16" t="s">
        <v>4048</v>
      </c>
      <c r="U3753" s="17">
        <f>COUNTIFS(WTG_BD!L:L,'Basic Data'!T3753,WTG_BD!F:F,"&gt;="&amp;O2Summary!$B$6,WTG_BD!F:F,"&lt;="&amp;O2Summary!$B$4)</f>
        <v>0</v>
      </c>
      <c r="V3753" s="18">
        <f t="shared" si="65"/>
        <v>47</v>
      </c>
    </row>
    <row r="3754" spans="19:22">
      <c r="S3754" s="16">
        <v>5798</v>
      </c>
      <c r="T3754" s="16" t="s">
        <v>4048</v>
      </c>
      <c r="U3754" s="17">
        <f>COUNTIFS(WTG_BD!L:L,'Basic Data'!T3754,WTG_BD!F:F,"&gt;="&amp;O2Summary!$B$6,WTG_BD!F:F,"&lt;="&amp;O2Summary!$B$4)</f>
        <v>0</v>
      </c>
      <c r="V3754" s="18">
        <f t="shared" si="65"/>
        <v>47</v>
      </c>
    </row>
    <row r="3755" spans="19:22">
      <c r="S3755" s="16">
        <v>5799</v>
      </c>
      <c r="T3755" s="16" t="s">
        <v>4049</v>
      </c>
      <c r="U3755" s="17">
        <f>COUNTIFS(WTG_BD!L:L,'Basic Data'!T3755,WTG_BD!F:F,"&gt;="&amp;O2Summary!$B$6,WTG_BD!F:F,"&lt;="&amp;O2Summary!$B$4)</f>
        <v>0</v>
      </c>
      <c r="V3755" s="18">
        <f t="shared" si="65"/>
        <v>47</v>
      </c>
    </row>
    <row r="3756" spans="19:22">
      <c r="S3756" s="16">
        <v>5800</v>
      </c>
      <c r="T3756" s="16" t="s">
        <v>4050</v>
      </c>
      <c r="U3756" s="17">
        <f>COUNTIFS(WTG_BD!L:L,'Basic Data'!T3756,WTG_BD!F:F,"&gt;="&amp;O2Summary!$B$6,WTG_BD!F:F,"&lt;="&amp;O2Summary!$B$4)</f>
        <v>0</v>
      </c>
      <c r="V3756" s="18">
        <f t="shared" si="65"/>
        <v>47</v>
      </c>
    </row>
    <row r="3757" spans="19:22">
      <c r="S3757" s="16">
        <v>5801</v>
      </c>
      <c r="T3757" s="16" t="s">
        <v>4051</v>
      </c>
      <c r="U3757" s="17">
        <f>COUNTIFS(WTG_BD!L:L,'Basic Data'!T3757,WTG_BD!F:F,"&gt;="&amp;O2Summary!$B$6,WTG_BD!F:F,"&lt;="&amp;O2Summary!$B$4)</f>
        <v>0</v>
      </c>
      <c r="V3757" s="18">
        <f t="shared" si="65"/>
        <v>47</v>
      </c>
    </row>
    <row r="3758" spans="19:22">
      <c r="S3758" s="16">
        <v>5802</v>
      </c>
      <c r="T3758" s="16" t="s">
        <v>4052</v>
      </c>
      <c r="U3758" s="17">
        <f>COUNTIFS(WTG_BD!L:L,'Basic Data'!T3758,WTG_BD!F:F,"&gt;="&amp;O2Summary!$B$6,WTG_BD!F:F,"&lt;="&amp;O2Summary!$B$4)</f>
        <v>0</v>
      </c>
      <c r="V3758" s="18">
        <f t="shared" si="65"/>
        <v>47</v>
      </c>
    </row>
    <row r="3759" spans="19:22">
      <c r="S3759" s="16">
        <v>5803</v>
      </c>
      <c r="T3759" s="16" t="s">
        <v>4053</v>
      </c>
      <c r="U3759" s="17">
        <f>COUNTIFS(WTG_BD!L:L,'Basic Data'!T3759,WTG_BD!F:F,"&gt;="&amp;O2Summary!$B$6,WTG_BD!F:F,"&lt;="&amp;O2Summary!$B$4)</f>
        <v>0</v>
      </c>
      <c r="V3759" s="18">
        <f t="shared" si="65"/>
        <v>47</v>
      </c>
    </row>
    <row r="3760" spans="19:22">
      <c r="S3760" s="16">
        <v>5804</v>
      </c>
      <c r="T3760" s="16" t="s">
        <v>4054</v>
      </c>
      <c r="U3760" s="17">
        <f>COUNTIFS(WTG_BD!L:L,'Basic Data'!T3760,WTG_BD!F:F,"&gt;="&amp;O2Summary!$B$6,WTG_BD!F:F,"&lt;="&amp;O2Summary!$B$4)</f>
        <v>0</v>
      </c>
      <c r="V3760" s="18">
        <f t="shared" si="65"/>
        <v>47</v>
      </c>
    </row>
    <row r="3761" spans="19:22">
      <c r="S3761" s="16">
        <v>5805</v>
      </c>
      <c r="T3761" s="16" t="s">
        <v>4055</v>
      </c>
      <c r="U3761" s="17">
        <f>COUNTIFS(WTG_BD!L:L,'Basic Data'!T3761,WTG_BD!F:F,"&gt;="&amp;O2Summary!$B$6,WTG_BD!F:F,"&lt;="&amp;O2Summary!$B$4)</f>
        <v>0</v>
      </c>
      <c r="V3761" s="18">
        <f t="shared" si="65"/>
        <v>47</v>
      </c>
    </row>
    <row r="3762" spans="19:22">
      <c r="S3762" s="16">
        <v>5806</v>
      </c>
      <c r="T3762" s="16" t="s">
        <v>4056</v>
      </c>
      <c r="U3762" s="17">
        <f>COUNTIFS(WTG_BD!L:L,'Basic Data'!T3762,WTG_BD!F:F,"&gt;="&amp;O2Summary!$B$6,WTG_BD!F:F,"&lt;="&amp;O2Summary!$B$4)</f>
        <v>0</v>
      </c>
      <c r="V3762" s="18">
        <f t="shared" si="65"/>
        <v>47</v>
      </c>
    </row>
    <row r="3763" spans="19:22">
      <c r="S3763" s="16">
        <v>5807</v>
      </c>
      <c r="T3763" s="16" t="s">
        <v>4057</v>
      </c>
      <c r="U3763" s="17">
        <f>COUNTIFS(WTG_BD!L:L,'Basic Data'!T3763,WTG_BD!F:F,"&gt;="&amp;O2Summary!$B$6,WTG_BD!F:F,"&lt;="&amp;O2Summary!$B$4)</f>
        <v>0</v>
      </c>
      <c r="V3763" s="18">
        <f t="shared" si="65"/>
        <v>47</v>
      </c>
    </row>
    <row r="3764" spans="19:22">
      <c r="S3764" s="16">
        <v>5808</v>
      </c>
      <c r="T3764" s="16" t="s">
        <v>4058</v>
      </c>
      <c r="U3764" s="17">
        <f>COUNTIFS(WTG_BD!L:L,'Basic Data'!T3764,WTG_BD!F:F,"&gt;="&amp;O2Summary!$B$6,WTG_BD!F:F,"&lt;="&amp;O2Summary!$B$4)</f>
        <v>0</v>
      </c>
      <c r="V3764" s="18">
        <f t="shared" si="65"/>
        <v>47</v>
      </c>
    </row>
    <row r="3765" spans="19:22">
      <c r="S3765" s="16">
        <v>5809</v>
      </c>
      <c r="T3765" s="16" t="s">
        <v>4059</v>
      </c>
      <c r="U3765" s="17">
        <f>COUNTIFS(WTG_BD!L:L,'Basic Data'!T3765,WTG_BD!F:F,"&gt;="&amp;O2Summary!$B$6,WTG_BD!F:F,"&lt;="&amp;O2Summary!$B$4)</f>
        <v>0</v>
      </c>
      <c r="V3765" s="18">
        <f t="shared" si="65"/>
        <v>47</v>
      </c>
    </row>
    <row r="3766" spans="19:22">
      <c r="S3766" s="16">
        <v>5810</v>
      </c>
      <c r="T3766" s="16" t="s">
        <v>4060</v>
      </c>
      <c r="U3766" s="17">
        <f>COUNTIFS(WTG_BD!L:L,'Basic Data'!T3766,WTG_BD!F:F,"&gt;="&amp;O2Summary!$B$6,WTG_BD!F:F,"&lt;="&amp;O2Summary!$B$4)</f>
        <v>0</v>
      </c>
      <c r="V3766" s="18">
        <f t="shared" si="65"/>
        <v>47</v>
      </c>
    </row>
    <row r="3767" spans="19:22">
      <c r="S3767" s="16">
        <v>5811</v>
      </c>
      <c r="T3767" s="16" t="s">
        <v>4061</v>
      </c>
      <c r="U3767" s="17">
        <f>COUNTIFS(WTG_BD!L:L,'Basic Data'!T3767,WTG_BD!F:F,"&gt;="&amp;O2Summary!$B$6,WTG_BD!F:F,"&lt;="&amp;O2Summary!$B$4)</f>
        <v>0</v>
      </c>
      <c r="V3767" s="18">
        <f t="shared" si="65"/>
        <v>47</v>
      </c>
    </row>
    <row r="3768" spans="19:22">
      <c r="S3768" s="16">
        <v>5812</v>
      </c>
      <c r="T3768" s="16" t="s">
        <v>4062</v>
      </c>
      <c r="U3768" s="17">
        <f>COUNTIFS(WTG_BD!L:L,'Basic Data'!T3768,WTG_BD!F:F,"&gt;="&amp;O2Summary!$B$6,WTG_BD!F:F,"&lt;="&amp;O2Summary!$B$4)</f>
        <v>0</v>
      </c>
      <c r="V3768" s="18">
        <f t="shared" si="65"/>
        <v>47</v>
      </c>
    </row>
    <row r="3769" spans="19:22">
      <c r="S3769" s="16">
        <v>5813</v>
      </c>
      <c r="T3769" s="16" t="s">
        <v>4063</v>
      </c>
      <c r="U3769" s="17">
        <f>COUNTIFS(WTG_BD!L:L,'Basic Data'!T3769,WTG_BD!F:F,"&gt;="&amp;O2Summary!$B$6,WTG_BD!F:F,"&lt;="&amp;O2Summary!$B$4)</f>
        <v>0</v>
      </c>
      <c r="V3769" s="18">
        <f t="shared" si="65"/>
        <v>47</v>
      </c>
    </row>
    <row r="3770" spans="19:22">
      <c r="S3770" s="16">
        <v>5814</v>
      </c>
      <c r="T3770" s="16" t="s">
        <v>4064</v>
      </c>
      <c r="U3770" s="17">
        <f>COUNTIFS(WTG_BD!L:L,'Basic Data'!T3770,WTG_BD!F:F,"&gt;="&amp;O2Summary!$B$6,WTG_BD!F:F,"&lt;="&amp;O2Summary!$B$4)</f>
        <v>0</v>
      </c>
      <c r="V3770" s="18">
        <f t="shared" si="65"/>
        <v>47</v>
      </c>
    </row>
    <row r="3771" spans="19:22">
      <c r="S3771" s="16">
        <v>5815</v>
      </c>
      <c r="T3771" s="16" t="s">
        <v>4065</v>
      </c>
      <c r="U3771" s="17">
        <f>COUNTIFS(WTG_BD!L:L,'Basic Data'!T3771,WTG_BD!F:F,"&gt;="&amp;O2Summary!$B$6,WTG_BD!F:F,"&lt;="&amp;O2Summary!$B$4)</f>
        <v>0</v>
      </c>
      <c r="V3771" s="18">
        <f t="shared" si="65"/>
        <v>47</v>
      </c>
    </row>
    <row r="3772" spans="19:22">
      <c r="S3772" s="16">
        <v>5816</v>
      </c>
      <c r="T3772" s="16" t="s">
        <v>4066</v>
      </c>
      <c r="U3772" s="17">
        <f>COUNTIFS(WTG_BD!L:L,'Basic Data'!T3772,WTG_BD!F:F,"&gt;="&amp;O2Summary!$B$6,WTG_BD!F:F,"&lt;="&amp;O2Summary!$B$4)</f>
        <v>0</v>
      </c>
      <c r="V3772" s="18">
        <f t="shared" si="65"/>
        <v>47</v>
      </c>
    </row>
    <row r="3773" spans="19:22">
      <c r="S3773" s="16">
        <v>5817</v>
      </c>
      <c r="T3773" s="16" t="s">
        <v>4067</v>
      </c>
      <c r="U3773" s="17">
        <f>COUNTIFS(WTG_BD!L:L,'Basic Data'!T3773,WTG_BD!F:F,"&gt;="&amp;O2Summary!$B$6,WTG_BD!F:F,"&lt;="&amp;O2Summary!$B$4)</f>
        <v>0</v>
      </c>
      <c r="V3773" s="18">
        <f t="shared" si="65"/>
        <v>47</v>
      </c>
    </row>
    <row r="3774" spans="19:22">
      <c r="S3774" s="16">
        <v>5818</v>
      </c>
      <c r="T3774" s="16" t="s">
        <v>4068</v>
      </c>
      <c r="U3774" s="17">
        <f>COUNTIFS(WTG_BD!L:L,'Basic Data'!T3774,WTG_BD!F:F,"&gt;="&amp;O2Summary!$B$6,WTG_BD!F:F,"&lt;="&amp;O2Summary!$B$4)</f>
        <v>0</v>
      </c>
      <c r="V3774" s="18">
        <f t="shared" si="65"/>
        <v>47</v>
      </c>
    </row>
    <row r="3775" spans="19:22">
      <c r="S3775" s="16">
        <v>5819</v>
      </c>
      <c r="T3775" s="16" t="s">
        <v>4069</v>
      </c>
      <c r="U3775" s="17">
        <f>COUNTIFS(WTG_BD!L:L,'Basic Data'!T3775,WTG_BD!F:F,"&gt;="&amp;O2Summary!$B$6,WTG_BD!F:F,"&lt;="&amp;O2Summary!$B$4)</f>
        <v>0</v>
      </c>
      <c r="V3775" s="18">
        <f t="shared" si="65"/>
        <v>47</v>
      </c>
    </row>
    <row r="3776" spans="19:22">
      <c r="S3776" s="16">
        <v>5820</v>
      </c>
      <c r="T3776" s="16" t="s">
        <v>4070</v>
      </c>
      <c r="U3776" s="17">
        <f>COUNTIFS(WTG_BD!L:L,'Basic Data'!T3776,WTG_BD!F:F,"&gt;="&amp;O2Summary!$B$6,WTG_BD!F:F,"&lt;="&amp;O2Summary!$B$4)</f>
        <v>0</v>
      </c>
      <c r="V3776" s="18">
        <f t="shared" si="65"/>
        <v>47</v>
      </c>
    </row>
    <row r="3777" spans="19:22">
      <c r="S3777" s="16">
        <v>5821</v>
      </c>
      <c r="T3777" s="16" t="s">
        <v>4071</v>
      </c>
      <c r="U3777" s="17">
        <f>COUNTIFS(WTG_BD!L:L,'Basic Data'!T3777,WTG_BD!F:F,"&gt;="&amp;O2Summary!$B$6,WTG_BD!F:F,"&lt;="&amp;O2Summary!$B$4)</f>
        <v>0</v>
      </c>
      <c r="V3777" s="18">
        <f t="shared" si="65"/>
        <v>47</v>
      </c>
    </row>
    <row r="3778" spans="19:22">
      <c r="S3778" s="16">
        <v>5822</v>
      </c>
      <c r="T3778" s="16" t="s">
        <v>4072</v>
      </c>
      <c r="U3778" s="17">
        <f>COUNTIFS(WTG_BD!L:L,'Basic Data'!T3778,WTG_BD!F:F,"&gt;="&amp;O2Summary!$B$6,WTG_BD!F:F,"&lt;="&amp;O2Summary!$B$4)</f>
        <v>0</v>
      </c>
      <c r="V3778" s="18">
        <f t="shared" si="65"/>
        <v>47</v>
      </c>
    </row>
    <row r="3779" spans="19:22">
      <c r="S3779" s="16">
        <v>5823</v>
      </c>
      <c r="T3779" s="16" t="s">
        <v>4073</v>
      </c>
      <c r="U3779" s="17">
        <f>COUNTIFS(WTG_BD!L:L,'Basic Data'!T3779,WTG_BD!F:F,"&gt;="&amp;O2Summary!$B$6,WTG_BD!F:F,"&lt;="&amp;O2Summary!$B$4)</f>
        <v>0</v>
      </c>
      <c r="V3779" s="18">
        <f t="shared" ref="V3779:V3842" si="66">RANK(U3779,$U$2:$U$3975)</f>
        <v>47</v>
      </c>
    </row>
    <row r="3780" spans="19:22">
      <c r="S3780" s="16">
        <v>5824</v>
      </c>
      <c r="T3780" s="16" t="s">
        <v>4074</v>
      </c>
      <c r="U3780" s="17">
        <f>COUNTIFS(WTG_BD!L:L,'Basic Data'!T3780,WTG_BD!F:F,"&gt;="&amp;O2Summary!$B$6,WTG_BD!F:F,"&lt;="&amp;O2Summary!$B$4)</f>
        <v>0</v>
      </c>
      <c r="V3780" s="18">
        <f t="shared" si="66"/>
        <v>47</v>
      </c>
    </row>
    <row r="3781" spans="19:22">
      <c r="S3781" s="16">
        <v>5825</v>
      </c>
      <c r="T3781" s="16" t="s">
        <v>4075</v>
      </c>
      <c r="U3781" s="17">
        <f>COUNTIFS(WTG_BD!L:L,'Basic Data'!T3781,WTG_BD!F:F,"&gt;="&amp;O2Summary!$B$6,WTG_BD!F:F,"&lt;="&amp;O2Summary!$B$4)</f>
        <v>0</v>
      </c>
      <c r="V3781" s="18">
        <f t="shared" si="66"/>
        <v>47</v>
      </c>
    </row>
    <row r="3782" spans="19:22">
      <c r="S3782" s="16">
        <v>5826</v>
      </c>
      <c r="T3782" s="16" t="s">
        <v>4073</v>
      </c>
      <c r="U3782" s="17">
        <f>COUNTIFS(WTG_BD!L:L,'Basic Data'!T3782,WTG_BD!F:F,"&gt;="&amp;O2Summary!$B$6,WTG_BD!F:F,"&lt;="&amp;O2Summary!$B$4)</f>
        <v>0</v>
      </c>
      <c r="V3782" s="18">
        <f t="shared" si="66"/>
        <v>47</v>
      </c>
    </row>
    <row r="3783" spans="19:22">
      <c r="S3783" s="16">
        <v>5827</v>
      </c>
      <c r="T3783" s="16" t="s">
        <v>4074</v>
      </c>
      <c r="U3783" s="17">
        <f>COUNTIFS(WTG_BD!L:L,'Basic Data'!T3783,WTG_BD!F:F,"&gt;="&amp;O2Summary!$B$6,WTG_BD!F:F,"&lt;="&amp;O2Summary!$B$4)</f>
        <v>0</v>
      </c>
      <c r="V3783" s="18">
        <f t="shared" si="66"/>
        <v>47</v>
      </c>
    </row>
    <row r="3784" spans="19:22">
      <c r="S3784" s="16">
        <v>5828</v>
      </c>
      <c r="T3784" s="16" t="s">
        <v>4075</v>
      </c>
      <c r="U3784" s="17">
        <f>COUNTIFS(WTG_BD!L:L,'Basic Data'!T3784,WTG_BD!F:F,"&gt;="&amp;O2Summary!$B$6,WTG_BD!F:F,"&lt;="&amp;O2Summary!$B$4)</f>
        <v>0</v>
      </c>
      <c r="V3784" s="18">
        <f t="shared" si="66"/>
        <v>47</v>
      </c>
    </row>
    <row r="3785" spans="19:22">
      <c r="S3785" s="16">
        <v>5829</v>
      </c>
      <c r="T3785" s="16" t="s">
        <v>4076</v>
      </c>
      <c r="U3785" s="17">
        <f>COUNTIFS(WTG_BD!L:L,'Basic Data'!T3785,WTG_BD!F:F,"&gt;="&amp;O2Summary!$B$6,WTG_BD!F:F,"&lt;="&amp;O2Summary!$B$4)</f>
        <v>0</v>
      </c>
      <c r="V3785" s="18">
        <f t="shared" si="66"/>
        <v>47</v>
      </c>
    </row>
    <row r="3786" spans="19:22">
      <c r="S3786" s="16">
        <v>5830</v>
      </c>
      <c r="T3786" s="16" t="s">
        <v>4077</v>
      </c>
      <c r="U3786" s="17">
        <f>COUNTIFS(WTG_BD!L:L,'Basic Data'!T3786,WTG_BD!F:F,"&gt;="&amp;O2Summary!$B$6,WTG_BD!F:F,"&lt;="&amp;O2Summary!$B$4)</f>
        <v>0</v>
      </c>
      <c r="V3786" s="18">
        <f t="shared" si="66"/>
        <v>47</v>
      </c>
    </row>
    <row r="3787" spans="19:22">
      <c r="S3787" s="16">
        <v>5831</v>
      </c>
      <c r="T3787" s="16" t="s">
        <v>4078</v>
      </c>
      <c r="U3787" s="17">
        <f>COUNTIFS(WTG_BD!L:L,'Basic Data'!T3787,WTG_BD!F:F,"&gt;="&amp;O2Summary!$B$6,WTG_BD!F:F,"&lt;="&amp;O2Summary!$B$4)</f>
        <v>0</v>
      </c>
      <c r="V3787" s="18">
        <f t="shared" si="66"/>
        <v>47</v>
      </c>
    </row>
    <row r="3788" spans="19:22">
      <c r="S3788" s="16">
        <v>5832</v>
      </c>
      <c r="T3788" s="16" t="s">
        <v>4079</v>
      </c>
      <c r="U3788" s="17">
        <f>COUNTIFS(WTG_BD!L:L,'Basic Data'!T3788,WTG_BD!F:F,"&gt;="&amp;O2Summary!$B$6,WTG_BD!F:F,"&lt;="&amp;O2Summary!$B$4)</f>
        <v>0</v>
      </c>
      <c r="V3788" s="18">
        <f t="shared" si="66"/>
        <v>47</v>
      </c>
    </row>
    <row r="3789" spans="19:22">
      <c r="S3789" s="16">
        <v>5833</v>
      </c>
      <c r="T3789" s="16" t="s">
        <v>4080</v>
      </c>
      <c r="U3789" s="17">
        <f>COUNTIFS(WTG_BD!L:L,'Basic Data'!T3789,WTG_BD!F:F,"&gt;="&amp;O2Summary!$B$6,WTG_BD!F:F,"&lt;="&amp;O2Summary!$B$4)</f>
        <v>0</v>
      </c>
      <c r="V3789" s="18">
        <f t="shared" si="66"/>
        <v>47</v>
      </c>
    </row>
    <row r="3790" spans="19:22">
      <c r="S3790" s="16">
        <v>5834</v>
      </c>
      <c r="T3790" s="16" t="s">
        <v>4081</v>
      </c>
      <c r="U3790" s="17">
        <f>COUNTIFS(WTG_BD!L:L,'Basic Data'!T3790,WTG_BD!F:F,"&gt;="&amp;O2Summary!$B$6,WTG_BD!F:F,"&lt;="&amp;O2Summary!$B$4)</f>
        <v>0</v>
      </c>
      <c r="V3790" s="18">
        <f t="shared" si="66"/>
        <v>47</v>
      </c>
    </row>
    <row r="3791" spans="19:22">
      <c r="S3791" s="16">
        <v>5835</v>
      </c>
      <c r="T3791" s="16" t="s">
        <v>4082</v>
      </c>
      <c r="U3791" s="17">
        <f>COUNTIFS(WTG_BD!L:L,'Basic Data'!T3791,WTG_BD!F:F,"&gt;="&amp;O2Summary!$B$6,WTG_BD!F:F,"&lt;="&amp;O2Summary!$B$4)</f>
        <v>0</v>
      </c>
      <c r="V3791" s="18">
        <f t="shared" si="66"/>
        <v>47</v>
      </c>
    </row>
    <row r="3792" spans="19:22">
      <c r="S3792" s="16">
        <v>5836</v>
      </c>
      <c r="T3792" s="16" t="s">
        <v>4083</v>
      </c>
      <c r="U3792" s="17">
        <f>COUNTIFS(WTG_BD!L:L,'Basic Data'!T3792,WTG_BD!F:F,"&gt;="&amp;O2Summary!$B$6,WTG_BD!F:F,"&lt;="&amp;O2Summary!$B$4)</f>
        <v>0</v>
      </c>
      <c r="V3792" s="18">
        <f t="shared" si="66"/>
        <v>47</v>
      </c>
    </row>
    <row r="3793" spans="19:22">
      <c r="S3793" s="26">
        <v>5837</v>
      </c>
      <c r="T3793" s="26" t="s">
        <v>4084</v>
      </c>
      <c r="U3793" s="17">
        <f>COUNTIFS(WTG_BD!L:L,'Basic Data'!T3793,WTG_BD!F:F,"&gt;="&amp;O2Summary!$B$6,WTG_BD!F:F,"&lt;="&amp;O2Summary!$B$4)</f>
        <v>0</v>
      </c>
      <c r="V3793" s="18">
        <f t="shared" si="66"/>
        <v>47</v>
      </c>
    </row>
    <row r="3794" spans="19:22">
      <c r="S3794" s="16">
        <v>5838</v>
      </c>
      <c r="T3794" s="16" t="s">
        <v>4085</v>
      </c>
      <c r="U3794" s="17">
        <f>COUNTIFS(WTG_BD!L:L,'Basic Data'!T3794,WTG_BD!F:F,"&gt;="&amp;O2Summary!$B$6,WTG_BD!F:F,"&lt;="&amp;O2Summary!$B$4)</f>
        <v>0</v>
      </c>
      <c r="V3794" s="18">
        <f t="shared" si="66"/>
        <v>47</v>
      </c>
    </row>
    <row r="3795" spans="19:22">
      <c r="S3795" s="16">
        <v>5839</v>
      </c>
      <c r="T3795" s="16" t="s">
        <v>4086</v>
      </c>
      <c r="U3795" s="17">
        <f>COUNTIFS(WTG_BD!L:L,'Basic Data'!T3795,WTG_BD!F:F,"&gt;="&amp;O2Summary!$B$6,WTG_BD!F:F,"&lt;="&amp;O2Summary!$B$4)</f>
        <v>0</v>
      </c>
      <c r="V3795" s="18">
        <f t="shared" si="66"/>
        <v>47</v>
      </c>
    </row>
    <row r="3796" spans="19:22">
      <c r="S3796" s="16">
        <v>5840</v>
      </c>
      <c r="T3796" s="16" t="s">
        <v>4087</v>
      </c>
      <c r="U3796" s="17">
        <f>COUNTIFS(WTG_BD!L:L,'Basic Data'!T3796,WTG_BD!F:F,"&gt;="&amp;O2Summary!$B$6,WTG_BD!F:F,"&lt;="&amp;O2Summary!$B$4)</f>
        <v>0</v>
      </c>
      <c r="V3796" s="18">
        <f t="shared" si="66"/>
        <v>47</v>
      </c>
    </row>
    <row r="3797" spans="19:22">
      <c r="S3797" s="16">
        <v>5841</v>
      </c>
      <c r="T3797" s="16" t="s">
        <v>4088</v>
      </c>
      <c r="U3797" s="17">
        <f>COUNTIFS(WTG_BD!L:L,'Basic Data'!T3797,WTG_BD!F:F,"&gt;="&amp;O2Summary!$B$6,WTG_BD!F:F,"&lt;="&amp;O2Summary!$B$4)</f>
        <v>0</v>
      </c>
      <c r="V3797" s="18">
        <f t="shared" si="66"/>
        <v>47</v>
      </c>
    </row>
    <row r="3798" spans="19:22">
      <c r="S3798" s="16">
        <v>5842</v>
      </c>
      <c r="T3798" s="16" t="s">
        <v>4089</v>
      </c>
      <c r="U3798" s="17">
        <f>COUNTIFS(WTG_BD!L:L,'Basic Data'!T3798,WTG_BD!F:F,"&gt;="&amp;O2Summary!$B$6,WTG_BD!F:F,"&lt;="&amp;O2Summary!$B$4)</f>
        <v>0</v>
      </c>
      <c r="V3798" s="18">
        <f t="shared" si="66"/>
        <v>47</v>
      </c>
    </row>
    <row r="3799" spans="19:22">
      <c r="S3799" s="16">
        <v>5843</v>
      </c>
      <c r="T3799" s="16" t="s">
        <v>4090</v>
      </c>
      <c r="U3799" s="17">
        <f>COUNTIFS(WTG_BD!L:L,'Basic Data'!T3799,WTG_BD!F:F,"&gt;="&amp;O2Summary!$B$6,WTG_BD!F:F,"&lt;="&amp;O2Summary!$B$4)</f>
        <v>0</v>
      </c>
      <c r="V3799" s="18">
        <f t="shared" si="66"/>
        <v>47</v>
      </c>
    </row>
    <row r="3800" spans="19:22">
      <c r="S3800" s="16">
        <v>5844</v>
      </c>
      <c r="T3800" s="16" t="s">
        <v>4091</v>
      </c>
      <c r="U3800" s="17">
        <f>COUNTIFS(WTG_BD!L:L,'Basic Data'!T3800,WTG_BD!F:F,"&gt;="&amp;O2Summary!$B$6,WTG_BD!F:F,"&lt;="&amp;O2Summary!$B$4)</f>
        <v>0</v>
      </c>
      <c r="V3800" s="18">
        <f t="shared" si="66"/>
        <v>47</v>
      </c>
    </row>
    <row r="3801" spans="19:22">
      <c r="S3801" s="16">
        <v>5845</v>
      </c>
      <c r="T3801" s="16" t="s">
        <v>4092</v>
      </c>
      <c r="U3801" s="17">
        <f>COUNTIFS(WTG_BD!L:L,'Basic Data'!T3801,WTG_BD!F:F,"&gt;="&amp;O2Summary!$B$6,WTG_BD!F:F,"&lt;="&amp;O2Summary!$B$4)</f>
        <v>0</v>
      </c>
      <c r="V3801" s="18">
        <f t="shared" si="66"/>
        <v>47</v>
      </c>
    </row>
    <row r="3802" spans="19:22">
      <c r="S3802" s="16">
        <v>5846</v>
      </c>
      <c r="T3802" s="16" t="s">
        <v>4093</v>
      </c>
      <c r="U3802" s="17">
        <f>COUNTIFS(WTG_BD!L:L,'Basic Data'!T3802,WTG_BD!F:F,"&gt;="&amp;O2Summary!$B$6,WTG_BD!F:F,"&lt;="&amp;O2Summary!$B$4)</f>
        <v>0</v>
      </c>
      <c r="V3802" s="18">
        <f t="shared" si="66"/>
        <v>47</v>
      </c>
    </row>
    <row r="3803" spans="19:22">
      <c r="S3803" s="16">
        <v>5847</v>
      </c>
      <c r="T3803" s="16" t="s">
        <v>4094</v>
      </c>
      <c r="U3803" s="17">
        <f>COUNTIFS(WTG_BD!L:L,'Basic Data'!T3803,WTG_BD!F:F,"&gt;="&amp;O2Summary!$B$6,WTG_BD!F:F,"&lt;="&amp;O2Summary!$B$4)</f>
        <v>0</v>
      </c>
      <c r="V3803" s="18">
        <f t="shared" si="66"/>
        <v>47</v>
      </c>
    </row>
    <row r="3804" spans="19:22">
      <c r="S3804" s="16">
        <v>5848</v>
      </c>
      <c r="T3804" s="16" t="s">
        <v>4095</v>
      </c>
      <c r="U3804" s="17">
        <f>COUNTIFS(WTG_BD!L:L,'Basic Data'!T3804,WTG_BD!F:F,"&gt;="&amp;O2Summary!$B$6,WTG_BD!F:F,"&lt;="&amp;O2Summary!$B$4)</f>
        <v>0</v>
      </c>
      <c r="V3804" s="18">
        <f t="shared" si="66"/>
        <v>47</v>
      </c>
    </row>
    <row r="3805" spans="19:22">
      <c r="S3805" s="16">
        <v>5849</v>
      </c>
      <c r="T3805" s="16" t="s">
        <v>4096</v>
      </c>
      <c r="U3805" s="17">
        <f>COUNTIFS(WTG_BD!L:L,'Basic Data'!T3805,WTG_BD!F:F,"&gt;="&amp;O2Summary!$B$6,WTG_BD!F:F,"&lt;="&amp;O2Summary!$B$4)</f>
        <v>0</v>
      </c>
      <c r="V3805" s="18">
        <f t="shared" si="66"/>
        <v>47</v>
      </c>
    </row>
    <row r="3806" spans="19:22">
      <c r="S3806" s="16">
        <v>5850</v>
      </c>
      <c r="T3806" s="16" t="s">
        <v>4097</v>
      </c>
      <c r="U3806" s="17">
        <f>COUNTIFS(WTG_BD!L:L,'Basic Data'!T3806,WTG_BD!F:F,"&gt;="&amp;O2Summary!$B$6,WTG_BD!F:F,"&lt;="&amp;O2Summary!$B$4)</f>
        <v>0</v>
      </c>
      <c r="V3806" s="18">
        <f t="shared" si="66"/>
        <v>47</v>
      </c>
    </row>
    <row r="3807" spans="19:22">
      <c r="S3807" s="16">
        <v>5851</v>
      </c>
      <c r="T3807" s="16" t="s">
        <v>4098</v>
      </c>
      <c r="U3807" s="17">
        <f>COUNTIFS(WTG_BD!L:L,'Basic Data'!T3807,WTG_BD!F:F,"&gt;="&amp;O2Summary!$B$6,WTG_BD!F:F,"&lt;="&amp;O2Summary!$B$4)</f>
        <v>0</v>
      </c>
      <c r="V3807" s="18">
        <f t="shared" si="66"/>
        <v>47</v>
      </c>
    </row>
    <row r="3808" spans="19:22">
      <c r="S3808" s="16">
        <v>5852</v>
      </c>
      <c r="T3808" s="16" t="s">
        <v>4099</v>
      </c>
      <c r="U3808" s="17">
        <f>COUNTIFS(WTG_BD!L:L,'Basic Data'!T3808,WTG_BD!F:F,"&gt;="&amp;O2Summary!$B$6,WTG_BD!F:F,"&lt;="&amp;O2Summary!$B$4)</f>
        <v>0</v>
      </c>
      <c r="V3808" s="18">
        <f t="shared" si="66"/>
        <v>47</v>
      </c>
    </row>
    <row r="3809" spans="19:22">
      <c r="S3809" s="16">
        <v>5853</v>
      </c>
      <c r="T3809" s="16" t="s">
        <v>4100</v>
      </c>
      <c r="U3809" s="17">
        <f>COUNTIFS(WTG_BD!L:L,'Basic Data'!T3809,WTG_BD!F:F,"&gt;="&amp;O2Summary!$B$6,WTG_BD!F:F,"&lt;="&amp;O2Summary!$B$4)</f>
        <v>0</v>
      </c>
      <c r="V3809" s="18">
        <f t="shared" si="66"/>
        <v>47</v>
      </c>
    </row>
    <row r="3810" spans="19:22">
      <c r="S3810" s="16">
        <v>5854</v>
      </c>
      <c r="T3810" s="16" t="s">
        <v>4101</v>
      </c>
      <c r="U3810" s="17">
        <f>COUNTIFS(WTG_BD!L:L,'Basic Data'!T3810,WTG_BD!F:F,"&gt;="&amp;O2Summary!$B$6,WTG_BD!F:F,"&lt;="&amp;O2Summary!$B$4)</f>
        <v>0</v>
      </c>
      <c r="V3810" s="18">
        <f t="shared" si="66"/>
        <v>47</v>
      </c>
    </row>
    <row r="3811" spans="19:22">
      <c r="S3811" s="16">
        <v>5855</v>
      </c>
      <c r="T3811" s="16" t="s">
        <v>4102</v>
      </c>
      <c r="U3811" s="17">
        <f>COUNTIFS(WTG_BD!L:L,'Basic Data'!T3811,WTG_BD!F:F,"&gt;="&amp;O2Summary!$B$6,WTG_BD!F:F,"&lt;="&amp;O2Summary!$B$4)</f>
        <v>0</v>
      </c>
      <c r="V3811" s="18">
        <f t="shared" si="66"/>
        <v>47</v>
      </c>
    </row>
    <row r="3812" spans="19:22">
      <c r="S3812" s="16">
        <v>5856</v>
      </c>
      <c r="T3812" s="16" t="s">
        <v>4103</v>
      </c>
      <c r="U3812" s="17">
        <f>COUNTIFS(WTG_BD!L:L,'Basic Data'!T3812,WTG_BD!F:F,"&gt;="&amp;O2Summary!$B$6,WTG_BD!F:F,"&lt;="&amp;O2Summary!$B$4)</f>
        <v>0</v>
      </c>
      <c r="V3812" s="18">
        <f t="shared" si="66"/>
        <v>47</v>
      </c>
    </row>
    <row r="3813" spans="19:22">
      <c r="S3813" s="16">
        <v>5857</v>
      </c>
      <c r="T3813" s="16" t="s">
        <v>4104</v>
      </c>
      <c r="U3813" s="17">
        <f>COUNTIFS(WTG_BD!L:L,'Basic Data'!T3813,WTG_BD!F:F,"&gt;="&amp;O2Summary!$B$6,WTG_BD!F:F,"&lt;="&amp;O2Summary!$B$4)</f>
        <v>0</v>
      </c>
      <c r="V3813" s="18">
        <f t="shared" si="66"/>
        <v>47</v>
      </c>
    </row>
    <row r="3814" spans="19:22">
      <c r="S3814" s="16">
        <v>5858</v>
      </c>
      <c r="T3814" s="16" t="s">
        <v>4105</v>
      </c>
      <c r="U3814" s="17">
        <f>COUNTIFS(WTG_BD!L:L,'Basic Data'!T3814,WTG_BD!F:F,"&gt;="&amp;O2Summary!$B$6,WTG_BD!F:F,"&lt;="&amp;O2Summary!$B$4)</f>
        <v>0</v>
      </c>
      <c r="V3814" s="18">
        <f t="shared" si="66"/>
        <v>47</v>
      </c>
    </row>
    <row r="3815" spans="19:22">
      <c r="S3815" s="16">
        <v>5859</v>
      </c>
      <c r="T3815" s="16" t="s">
        <v>4106</v>
      </c>
      <c r="U3815" s="17">
        <f>COUNTIFS(WTG_BD!L:L,'Basic Data'!T3815,WTG_BD!F:F,"&gt;="&amp;O2Summary!$B$6,WTG_BD!F:F,"&lt;="&amp;O2Summary!$B$4)</f>
        <v>0</v>
      </c>
      <c r="V3815" s="18">
        <f t="shared" si="66"/>
        <v>47</v>
      </c>
    </row>
    <row r="3816" spans="19:22">
      <c r="S3816" s="16">
        <v>5860</v>
      </c>
      <c r="T3816" s="16" t="s">
        <v>4107</v>
      </c>
      <c r="U3816" s="17">
        <f>COUNTIFS(WTG_BD!L:L,'Basic Data'!T3816,WTG_BD!F:F,"&gt;="&amp;O2Summary!$B$6,WTG_BD!F:F,"&lt;="&amp;O2Summary!$B$4)</f>
        <v>0</v>
      </c>
      <c r="V3816" s="18">
        <f t="shared" si="66"/>
        <v>47</v>
      </c>
    </row>
    <row r="3817" spans="19:22">
      <c r="S3817" s="16">
        <v>5861</v>
      </c>
      <c r="T3817" s="16" t="s">
        <v>4108</v>
      </c>
      <c r="U3817" s="17">
        <f>COUNTIFS(WTG_BD!L:L,'Basic Data'!T3817,WTG_BD!F:F,"&gt;="&amp;O2Summary!$B$6,WTG_BD!F:F,"&lt;="&amp;O2Summary!$B$4)</f>
        <v>0</v>
      </c>
      <c r="V3817" s="18">
        <f t="shared" si="66"/>
        <v>47</v>
      </c>
    </row>
    <row r="3818" spans="19:22">
      <c r="S3818" s="16">
        <v>5862</v>
      </c>
      <c r="T3818" s="16" t="s">
        <v>4109</v>
      </c>
      <c r="U3818" s="17">
        <f>COUNTIFS(WTG_BD!L:L,'Basic Data'!T3818,WTG_BD!F:F,"&gt;="&amp;O2Summary!$B$6,WTG_BD!F:F,"&lt;="&amp;O2Summary!$B$4)</f>
        <v>0</v>
      </c>
      <c r="V3818" s="18">
        <f t="shared" si="66"/>
        <v>47</v>
      </c>
    </row>
    <row r="3819" spans="19:22">
      <c r="S3819" s="16">
        <v>5863</v>
      </c>
      <c r="T3819" s="16" t="s">
        <v>4110</v>
      </c>
      <c r="U3819" s="17">
        <f>COUNTIFS(WTG_BD!L:L,'Basic Data'!T3819,WTG_BD!F:F,"&gt;="&amp;O2Summary!$B$6,WTG_BD!F:F,"&lt;="&amp;O2Summary!$B$4)</f>
        <v>0</v>
      </c>
      <c r="V3819" s="18">
        <f t="shared" si="66"/>
        <v>47</v>
      </c>
    </row>
    <row r="3820" spans="19:22">
      <c r="S3820" s="16">
        <v>5864</v>
      </c>
      <c r="T3820" s="16" t="s">
        <v>4111</v>
      </c>
      <c r="U3820" s="17">
        <f>COUNTIFS(WTG_BD!L:L,'Basic Data'!T3820,WTG_BD!F:F,"&gt;="&amp;O2Summary!$B$6,WTG_BD!F:F,"&lt;="&amp;O2Summary!$B$4)</f>
        <v>0</v>
      </c>
      <c r="V3820" s="18">
        <f t="shared" si="66"/>
        <v>47</v>
      </c>
    </row>
    <row r="3821" spans="19:22">
      <c r="S3821" s="16">
        <v>5865</v>
      </c>
      <c r="T3821" s="16" t="s">
        <v>4112</v>
      </c>
      <c r="U3821" s="17">
        <f>COUNTIFS(WTG_BD!L:L,'Basic Data'!T3821,WTG_BD!F:F,"&gt;="&amp;O2Summary!$B$6,WTG_BD!F:F,"&lt;="&amp;O2Summary!$B$4)</f>
        <v>0</v>
      </c>
      <c r="V3821" s="18">
        <f t="shared" si="66"/>
        <v>47</v>
      </c>
    </row>
    <row r="3822" spans="19:22">
      <c r="S3822" s="16">
        <v>5866</v>
      </c>
      <c r="T3822" s="16" t="s">
        <v>4113</v>
      </c>
      <c r="U3822" s="17">
        <f>COUNTIFS(WTG_BD!L:L,'Basic Data'!T3822,WTG_BD!F:F,"&gt;="&amp;O2Summary!$B$6,WTG_BD!F:F,"&lt;="&amp;O2Summary!$B$4)</f>
        <v>0</v>
      </c>
      <c r="V3822" s="18">
        <f t="shared" si="66"/>
        <v>47</v>
      </c>
    </row>
    <row r="3823" spans="19:22">
      <c r="S3823" s="16">
        <v>5867</v>
      </c>
      <c r="T3823" s="16" t="s">
        <v>4114</v>
      </c>
      <c r="U3823" s="17">
        <f>COUNTIFS(WTG_BD!L:L,'Basic Data'!T3823,WTG_BD!F:F,"&gt;="&amp;O2Summary!$B$6,WTG_BD!F:F,"&lt;="&amp;O2Summary!$B$4)</f>
        <v>0</v>
      </c>
      <c r="V3823" s="18">
        <f t="shared" si="66"/>
        <v>47</v>
      </c>
    </row>
    <row r="3824" spans="19:22">
      <c r="S3824" s="16">
        <v>5868</v>
      </c>
      <c r="T3824" s="16" t="s">
        <v>4115</v>
      </c>
      <c r="U3824" s="17">
        <f>COUNTIFS(WTG_BD!L:L,'Basic Data'!T3824,WTG_BD!F:F,"&gt;="&amp;O2Summary!$B$6,WTG_BD!F:F,"&lt;="&amp;O2Summary!$B$4)</f>
        <v>0</v>
      </c>
      <c r="V3824" s="18">
        <f t="shared" si="66"/>
        <v>47</v>
      </c>
    </row>
    <row r="3825" spans="19:22">
      <c r="S3825" s="16">
        <v>5869</v>
      </c>
      <c r="T3825" s="16" t="s">
        <v>4116</v>
      </c>
      <c r="U3825" s="17">
        <f>COUNTIFS(WTG_BD!L:L,'Basic Data'!T3825,WTG_BD!F:F,"&gt;="&amp;O2Summary!$B$6,WTG_BD!F:F,"&lt;="&amp;O2Summary!$B$4)</f>
        <v>0</v>
      </c>
      <c r="V3825" s="18">
        <f t="shared" si="66"/>
        <v>47</v>
      </c>
    </row>
    <row r="3826" spans="19:22">
      <c r="S3826" s="16">
        <v>5870</v>
      </c>
      <c r="T3826" s="16" t="s">
        <v>4117</v>
      </c>
      <c r="U3826" s="17">
        <f>COUNTIFS(WTG_BD!L:L,'Basic Data'!T3826,WTG_BD!F:F,"&gt;="&amp;O2Summary!$B$6,WTG_BD!F:F,"&lt;="&amp;O2Summary!$B$4)</f>
        <v>0</v>
      </c>
      <c r="V3826" s="18">
        <f t="shared" si="66"/>
        <v>47</v>
      </c>
    </row>
    <row r="3827" spans="19:22">
      <c r="S3827" s="16">
        <v>5871</v>
      </c>
      <c r="T3827" s="16" t="s">
        <v>4118</v>
      </c>
      <c r="U3827" s="17">
        <f>COUNTIFS(WTG_BD!L:L,'Basic Data'!T3827,WTG_BD!F:F,"&gt;="&amp;O2Summary!$B$6,WTG_BD!F:F,"&lt;="&amp;O2Summary!$B$4)</f>
        <v>0</v>
      </c>
      <c r="V3827" s="18">
        <f t="shared" si="66"/>
        <v>47</v>
      </c>
    </row>
    <row r="3828" spans="19:22">
      <c r="S3828" s="16">
        <v>5872</v>
      </c>
      <c r="T3828" s="16" t="s">
        <v>4119</v>
      </c>
      <c r="U3828" s="17">
        <f>COUNTIFS(WTG_BD!L:L,'Basic Data'!T3828,WTG_BD!F:F,"&gt;="&amp;O2Summary!$B$6,WTG_BD!F:F,"&lt;="&amp;O2Summary!$B$4)</f>
        <v>0</v>
      </c>
      <c r="V3828" s="18">
        <f t="shared" si="66"/>
        <v>47</v>
      </c>
    </row>
    <row r="3829" spans="19:22">
      <c r="S3829" s="16">
        <v>5873</v>
      </c>
      <c r="T3829" s="16" t="s">
        <v>4120</v>
      </c>
      <c r="U3829" s="17">
        <f>COUNTIFS(WTG_BD!L:L,'Basic Data'!T3829,WTG_BD!F:F,"&gt;="&amp;O2Summary!$B$6,WTG_BD!F:F,"&lt;="&amp;O2Summary!$B$4)</f>
        <v>0</v>
      </c>
      <c r="V3829" s="18">
        <f t="shared" si="66"/>
        <v>47</v>
      </c>
    </row>
    <row r="3830" spans="19:22">
      <c r="S3830" s="16">
        <v>5874</v>
      </c>
      <c r="T3830" s="16" t="s">
        <v>4121</v>
      </c>
      <c r="U3830" s="17">
        <f>COUNTIFS(WTG_BD!L:L,'Basic Data'!T3830,WTG_BD!F:F,"&gt;="&amp;O2Summary!$B$6,WTG_BD!F:F,"&lt;="&amp;O2Summary!$B$4)</f>
        <v>0</v>
      </c>
      <c r="V3830" s="18">
        <f t="shared" si="66"/>
        <v>47</v>
      </c>
    </row>
    <row r="3831" spans="19:22">
      <c r="S3831" s="16">
        <v>5875</v>
      </c>
      <c r="T3831" s="16" t="s">
        <v>4122</v>
      </c>
      <c r="U3831" s="17">
        <f>COUNTIFS(WTG_BD!L:L,'Basic Data'!T3831,WTG_BD!F:F,"&gt;="&amp;O2Summary!$B$6,WTG_BD!F:F,"&lt;="&amp;O2Summary!$B$4)</f>
        <v>0</v>
      </c>
      <c r="V3831" s="18">
        <f t="shared" si="66"/>
        <v>47</v>
      </c>
    </row>
    <row r="3832" spans="19:22">
      <c r="S3832" s="16">
        <v>5876</v>
      </c>
      <c r="T3832" s="16" t="s">
        <v>4123</v>
      </c>
      <c r="U3832" s="17">
        <f>COUNTIFS(WTG_BD!L:L,'Basic Data'!T3832,WTG_BD!F:F,"&gt;="&amp;O2Summary!$B$6,WTG_BD!F:F,"&lt;="&amp;O2Summary!$B$4)</f>
        <v>0</v>
      </c>
      <c r="V3832" s="18">
        <f t="shared" si="66"/>
        <v>47</v>
      </c>
    </row>
    <row r="3833" spans="19:22">
      <c r="S3833" s="16">
        <v>5877</v>
      </c>
      <c r="T3833" s="16" t="s">
        <v>4124</v>
      </c>
      <c r="U3833" s="17">
        <f>COUNTIFS(WTG_BD!L:L,'Basic Data'!T3833,WTG_BD!F:F,"&gt;="&amp;O2Summary!$B$6,WTG_BD!F:F,"&lt;="&amp;O2Summary!$B$4)</f>
        <v>0</v>
      </c>
      <c r="V3833" s="18">
        <f t="shared" si="66"/>
        <v>47</v>
      </c>
    </row>
    <row r="3834" spans="19:22">
      <c r="S3834" s="16">
        <v>5878</v>
      </c>
      <c r="T3834" s="16" t="s">
        <v>4125</v>
      </c>
      <c r="U3834" s="17">
        <f>COUNTIFS(WTG_BD!L:L,'Basic Data'!T3834,WTG_BD!F:F,"&gt;="&amp;O2Summary!$B$6,WTG_BD!F:F,"&lt;="&amp;O2Summary!$B$4)</f>
        <v>0</v>
      </c>
      <c r="V3834" s="18">
        <f t="shared" si="66"/>
        <v>47</v>
      </c>
    </row>
    <row r="3835" spans="19:22">
      <c r="S3835" s="16">
        <v>5879</v>
      </c>
      <c r="T3835" s="16" t="s">
        <v>4126</v>
      </c>
      <c r="U3835" s="17">
        <f>COUNTIFS(WTG_BD!L:L,'Basic Data'!T3835,WTG_BD!F:F,"&gt;="&amp;O2Summary!$B$6,WTG_BD!F:F,"&lt;="&amp;O2Summary!$B$4)</f>
        <v>0</v>
      </c>
      <c r="V3835" s="18">
        <f t="shared" si="66"/>
        <v>47</v>
      </c>
    </row>
    <row r="3836" spans="19:22">
      <c r="S3836" s="16">
        <v>5880</v>
      </c>
      <c r="T3836" s="16" t="s">
        <v>4127</v>
      </c>
      <c r="U3836" s="17">
        <f>COUNTIFS(WTG_BD!L:L,'Basic Data'!T3836,WTG_BD!F:F,"&gt;="&amp;O2Summary!$B$6,WTG_BD!F:F,"&lt;="&amp;O2Summary!$B$4)</f>
        <v>0</v>
      </c>
      <c r="V3836" s="18">
        <f t="shared" si="66"/>
        <v>47</v>
      </c>
    </row>
    <row r="3837" spans="19:22">
      <c r="S3837" s="16">
        <v>5881</v>
      </c>
      <c r="T3837" s="16" t="s">
        <v>4128</v>
      </c>
      <c r="U3837" s="17">
        <f>COUNTIFS(WTG_BD!L:L,'Basic Data'!T3837,WTG_BD!F:F,"&gt;="&amp;O2Summary!$B$6,WTG_BD!F:F,"&lt;="&amp;O2Summary!$B$4)</f>
        <v>0</v>
      </c>
      <c r="V3837" s="18">
        <f t="shared" si="66"/>
        <v>47</v>
      </c>
    </row>
    <row r="3838" spans="19:22">
      <c r="S3838" s="16">
        <v>5882</v>
      </c>
      <c r="T3838" s="16" t="s">
        <v>4129</v>
      </c>
      <c r="U3838" s="17">
        <f>COUNTIFS(WTG_BD!L:L,'Basic Data'!T3838,WTG_BD!F:F,"&gt;="&amp;O2Summary!$B$6,WTG_BD!F:F,"&lt;="&amp;O2Summary!$B$4)</f>
        <v>0</v>
      </c>
      <c r="V3838" s="18">
        <f t="shared" si="66"/>
        <v>47</v>
      </c>
    </row>
    <row r="3839" spans="19:22">
      <c r="S3839" s="16">
        <v>5883</v>
      </c>
      <c r="T3839" s="16" t="s">
        <v>4130</v>
      </c>
      <c r="U3839" s="17">
        <f>COUNTIFS(WTG_BD!L:L,'Basic Data'!T3839,WTG_BD!F:F,"&gt;="&amp;O2Summary!$B$6,WTG_BD!F:F,"&lt;="&amp;O2Summary!$B$4)</f>
        <v>0</v>
      </c>
      <c r="V3839" s="18">
        <f t="shared" si="66"/>
        <v>47</v>
      </c>
    </row>
    <row r="3840" spans="19:22">
      <c r="S3840" s="16">
        <v>5884</v>
      </c>
      <c r="T3840" s="16" t="s">
        <v>4131</v>
      </c>
      <c r="U3840" s="17">
        <f>COUNTIFS(WTG_BD!L:L,'Basic Data'!T3840,WTG_BD!F:F,"&gt;="&amp;O2Summary!$B$6,WTG_BD!F:F,"&lt;="&amp;O2Summary!$B$4)</f>
        <v>0</v>
      </c>
      <c r="V3840" s="18">
        <f t="shared" si="66"/>
        <v>47</v>
      </c>
    </row>
    <row r="3841" spans="19:22">
      <c r="S3841" s="16">
        <v>5885</v>
      </c>
      <c r="T3841" s="16" t="s">
        <v>4132</v>
      </c>
      <c r="U3841" s="17">
        <f>COUNTIFS(WTG_BD!L:L,'Basic Data'!T3841,WTG_BD!F:F,"&gt;="&amp;O2Summary!$B$6,WTG_BD!F:F,"&lt;="&amp;O2Summary!$B$4)</f>
        <v>0</v>
      </c>
      <c r="V3841" s="18">
        <f t="shared" si="66"/>
        <v>47</v>
      </c>
    </row>
    <row r="3842" spans="19:22">
      <c r="S3842" s="16">
        <v>5886</v>
      </c>
      <c r="T3842" s="16" t="s">
        <v>4133</v>
      </c>
      <c r="U3842" s="17">
        <f>COUNTIFS(WTG_BD!L:L,'Basic Data'!T3842,WTG_BD!F:F,"&gt;="&amp;O2Summary!$B$6,WTG_BD!F:F,"&lt;="&amp;O2Summary!$B$4)</f>
        <v>0</v>
      </c>
      <c r="V3842" s="18">
        <f t="shared" si="66"/>
        <v>47</v>
      </c>
    </row>
    <row r="3843" spans="19:22">
      <c r="S3843" s="16">
        <v>5887</v>
      </c>
      <c r="T3843" s="16" t="s">
        <v>4134</v>
      </c>
      <c r="U3843" s="17">
        <f>COUNTIFS(WTG_BD!L:L,'Basic Data'!T3843,WTG_BD!F:F,"&gt;="&amp;O2Summary!$B$6,WTG_BD!F:F,"&lt;="&amp;O2Summary!$B$4)</f>
        <v>0</v>
      </c>
      <c r="V3843" s="18">
        <f t="shared" ref="V3843:V3906" si="67">RANK(U3843,$U$2:$U$3975)</f>
        <v>47</v>
      </c>
    </row>
    <row r="3844" spans="19:22">
      <c r="S3844" s="16">
        <v>5888</v>
      </c>
      <c r="T3844" s="16" t="s">
        <v>4135</v>
      </c>
      <c r="U3844" s="17">
        <f>COUNTIFS(WTG_BD!L:L,'Basic Data'!T3844,WTG_BD!F:F,"&gt;="&amp;O2Summary!$B$6,WTG_BD!F:F,"&lt;="&amp;O2Summary!$B$4)</f>
        <v>0</v>
      </c>
      <c r="V3844" s="18">
        <f t="shared" si="67"/>
        <v>47</v>
      </c>
    </row>
    <row r="3845" spans="19:22">
      <c r="S3845" s="16">
        <v>5889</v>
      </c>
      <c r="T3845" s="16" t="s">
        <v>4136</v>
      </c>
      <c r="U3845" s="17">
        <f>COUNTIFS(WTG_BD!L:L,'Basic Data'!T3845,WTG_BD!F:F,"&gt;="&amp;O2Summary!$B$6,WTG_BD!F:F,"&lt;="&amp;O2Summary!$B$4)</f>
        <v>0</v>
      </c>
      <c r="V3845" s="18">
        <f t="shared" si="67"/>
        <v>47</v>
      </c>
    </row>
    <row r="3846" spans="19:22">
      <c r="S3846" s="16">
        <v>5890</v>
      </c>
      <c r="T3846" s="16" t="s">
        <v>4137</v>
      </c>
      <c r="U3846" s="17">
        <f>COUNTIFS(WTG_BD!L:L,'Basic Data'!T3846,WTG_BD!F:F,"&gt;="&amp;O2Summary!$B$6,WTG_BD!F:F,"&lt;="&amp;O2Summary!$B$4)</f>
        <v>0</v>
      </c>
      <c r="V3846" s="18">
        <f t="shared" si="67"/>
        <v>47</v>
      </c>
    </row>
    <row r="3847" spans="19:22">
      <c r="S3847" s="16">
        <v>5891</v>
      </c>
      <c r="T3847" s="16" t="s">
        <v>4138</v>
      </c>
      <c r="U3847" s="17">
        <f>COUNTIFS(WTG_BD!L:L,'Basic Data'!T3847,WTG_BD!F:F,"&gt;="&amp;O2Summary!$B$6,WTG_BD!F:F,"&lt;="&amp;O2Summary!$B$4)</f>
        <v>0</v>
      </c>
      <c r="V3847" s="18">
        <f t="shared" si="67"/>
        <v>47</v>
      </c>
    </row>
    <row r="3848" spans="19:22">
      <c r="S3848" s="16">
        <v>5892</v>
      </c>
      <c r="T3848" s="16" t="s">
        <v>4139</v>
      </c>
      <c r="U3848" s="17">
        <f>COUNTIFS(WTG_BD!L:L,'Basic Data'!T3848,WTG_BD!F:F,"&gt;="&amp;O2Summary!$B$6,WTG_BD!F:F,"&lt;="&amp;O2Summary!$B$4)</f>
        <v>0</v>
      </c>
      <c r="V3848" s="18">
        <f t="shared" si="67"/>
        <v>47</v>
      </c>
    </row>
    <row r="3849" spans="19:22">
      <c r="S3849" s="16">
        <v>5893</v>
      </c>
      <c r="T3849" s="16" t="s">
        <v>4140</v>
      </c>
      <c r="U3849" s="17">
        <f>COUNTIFS(WTG_BD!L:L,'Basic Data'!T3849,WTG_BD!F:F,"&gt;="&amp;O2Summary!$B$6,WTG_BD!F:F,"&lt;="&amp;O2Summary!$B$4)</f>
        <v>0</v>
      </c>
      <c r="V3849" s="18">
        <f t="shared" si="67"/>
        <v>47</v>
      </c>
    </row>
    <row r="3850" spans="19:22">
      <c r="S3850" s="16">
        <v>5894</v>
      </c>
      <c r="T3850" s="16" t="s">
        <v>4141</v>
      </c>
      <c r="U3850" s="17">
        <f>COUNTIFS(WTG_BD!L:L,'Basic Data'!T3850,WTG_BD!F:F,"&gt;="&amp;O2Summary!$B$6,WTG_BD!F:F,"&lt;="&amp;O2Summary!$B$4)</f>
        <v>0</v>
      </c>
      <c r="V3850" s="18">
        <f t="shared" si="67"/>
        <v>47</v>
      </c>
    </row>
    <row r="3851" spans="19:22">
      <c r="S3851" s="16">
        <v>5895</v>
      </c>
      <c r="T3851" s="16" t="s">
        <v>4142</v>
      </c>
      <c r="U3851" s="17">
        <f>COUNTIFS(WTG_BD!L:L,'Basic Data'!T3851,WTG_BD!F:F,"&gt;="&amp;O2Summary!$B$6,WTG_BD!F:F,"&lt;="&amp;O2Summary!$B$4)</f>
        <v>0</v>
      </c>
      <c r="V3851" s="18">
        <f t="shared" si="67"/>
        <v>47</v>
      </c>
    </row>
    <row r="3852" spans="19:22">
      <c r="S3852" s="16">
        <v>5896</v>
      </c>
      <c r="T3852" s="16" t="s">
        <v>4143</v>
      </c>
      <c r="U3852" s="17">
        <f>COUNTIFS(WTG_BD!L:L,'Basic Data'!T3852,WTG_BD!F:F,"&gt;="&amp;O2Summary!$B$6,WTG_BD!F:F,"&lt;="&amp;O2Summary!$B$4)</f>
        <v>0</v>
      </c>
      <c r="V3852" s="18">
        <f t="shared" si="67"/>
        <v>47</v>
      </c>
    </row>
    <row r="3853" spans="19:22">
      <c r="S3853" s="16">
        <v>5897</v>
      </c>
      <c r="T3853" s="16" t="s">
        <v>4144</v>
      </c>
      <c r="U3853" s="17">
        <f>COUNTIFS(WTG_BD!L:L,'Basic Data'!T3853,WTG_BD!F:F,"&gt;="&amp;O2Summary!$B$6,WTG_BD!F:F,"&lt;="&amp;O2Summary!$B$4)</f>
        <v>0</v>
      </c>
      <c r="V3853" s="18">
        <f t="shared" si="67"/>
        <v>47</v>
      </c>
    </row>
    <row r="3854" spans="19:22">
      <c r="S3854" s="16">
        <v>5898</v>
      </c>
      <c r="T3854" s="16" t="s">
        <v>4145</v>
      </c>
      <c r="U3854" s="17">
        <f>COUNTIFS(WTG_BD!L:L,'Basic Data'!T3854,WTG_BD!F:F,"&gt;="&amp;O2Summary!$B$6,WTG_BD!F:F,"&lt;="&amp;O2Summary!$B$4)</f>
        <v>0</v>
      </c>
      <c r="V3854" s="18">
        <f t="shared" si="67"/>
        <v>47</v>
      </c>
    </row>
    <row r="3855" spans="19:22">
      <c r="S3855" s="16">
        <v>5899</v>
      </c>
      <c r="T3855" s="16" t="s">
        <v>4146</v>
      </c>
      <c r="U3855" s="17">
        <f>COUNTIFS(WTG_BD!L:L,'Basic Data'!T3855,WTG_BD!F:F,"&gt;="&amp;O2Summary!$B$6,WTG_BD!F:F,"&lt;="&amp;O2Summary!$B$4)</f>
        <v>0</v>
      </c>
      <c r="V3855" s="18">
        <f t="shared" si="67"/>
        <v>47</v>
      </c>
    </row>
    <row r="3856" spans="19:22">
      <c r="S3856" s="16">
        <v>5900</v>
      </c>
      <c r="T3856" s="16" t="s">
        <v>4147</v>
      </c>
      <c r="U3856" s="17">
        <f>COUNTIFS(WTG_BD!L:L,'Basic Data'!T3856,WTG_BD!F:F,"&gt;="&amp;O2Summary!$B$6,WTG_BD!F:F,"&lt;="&amp;O2Summary!$B$4)</f>
        <v>0</v>
      </c>
      <c r="V3856" s="18">
        <f t="shared" si="67"/>
        <v>47</v>
      </c>
    </row>
    <row r="3857" spans="19:22">
      <c r="S3857" s="16">
        <v>5901</v>
      </c>
      <c r="T3857" s="16" t="s">
        <v>4148</v>
      </c>
      <c r="U3857" s="17">
        <f>COUNTIFS(WTG_BD!L:L,'Basic Data'!T3857,WTG_BD!F:F,"&gt;="&amp;O2Summary!$B$6,WTG_BD!F:F,"&lt;="&amp;O2Summary!$B$4)</f>
        <v>0</v>
      </c>
      <c r="V3857" s="18">
        <f t="shared" si="67"/>
        <v>47</v>
      </c>
    </row>
    <row r="3858" spans="19:22">
      <c r="S3858" s="16">
        <v>5902</v>
      </c>
      <c r="T3858" s="16" t="s">
        <v>4149</v>
      </c>
      <c r="U3858" s="17">
        <f>COUNTIFS(WTG_BD!L:L,'Basic Data'!T3858,WTG_BD!F:F,"&gt;="&amp;O2Summary!$B$6,WTG_BD!F:F,"&lt;="&amp;O2Summary!$B$4)</f>
        <v>0</v>
      </c>
      <c r="V3858" s="18">
        <f t="shared" si="67"/>
        <v>47</v>
      </c>
    </row>
    <row r="3859" spans="19:22">
      <c r="S3859" s="16">
        <v>5903</v>
      </c>
      <c r="T3859" s="16" t="s">
        <v>4150</v>
      </c>
      <c r="U3859" s="17">
        <f>COUNTIFS(WTG_BD!L:L,'Basic Data'!T3859,WTG_BD!F:F,"&gt;="&amp;O2Summary!$B$6,WTG_BD!F:F,"&lt;="&amp;O2Summary!$B$4)</f>
        <v>0</v>
      </c>
      <c r="V3859" s="18">
        <f t="shared" si="67"/>
        <v>47</v>
      </c>
    </row>
    <row r="3860" spans="19:22">
      <c r="S3860" s="16">
        <v>5904</v>
      </c>
      <c r="T3860" s="16" t="s">
        <v>4151</v>
      </c>
      <c r="U3860" s="17">
        <f>COUNTIFS(WTG_BD!L:L,'Basic Data'!T3860,WTG_BD!F:F,"&gt;="&amp;O2Summary!$B$6,WTG_BD!F:F,"&lt;="&amp;O2Summary!$B$4)</f>
        <v>0</v>
      </c>
      <c r="V3860" s="18">
        <f t="shared" si="67"/>
        <v>47</v>
      </c>
    </row>
    <row r="3861" spans="19:22">
      <c r="S3861" s="16">
        <v>5905</v>
      </c>
      <c r="T3861" s="16" t="s">
        <v>4152</v>
      </c>
      <c r="U3861" s="17">
        <f>COUNTIFS(WTG_BD!L:L,'Basic Data'!T3861,WTG_BD!F:F,"&gt;="&amp;O2Summary!$B$6,WTG_BD!F:F,"&lt;="&amp;O2Summary!$B$4)</f>
        <v>0</v>
      </c>
      <c r="V3861" s="18">
        <f t="shared" si="67"/>
        <v>47</v>
      </c>
    </row>
    <row r="3862" spans="19:22">
      <c r="S3862" s="16">
        <v>5906</v>
      </c>
      <c r="T3862" s="16" t="s">
        <v>4153</v>
      </c>
      <c r="U3862" s="17">
        <f>COUNTIFS(WTG_BD!L:L,'Basic Data'!T3862,WTG_BD!F:F,"&gt;="&amp;O2Summary!$B$6,WTG_BD!F:F,"&lt;="&amp;O2Summary!$B$4)</f>
        <v>0</v>
      </c>
      <c r="V3862" s="18">
        <f t="shared" si="67"/>
        <v>47</v>
      </c>
    </row>
    <row r="3863" spans="19:22">
      <c r="S3863" s="16">
        <v>5907</v>
      </c>
      <c r="T3863" s="16" t="s">
        <v>4154</v>
      </c>
      <c r="U3863" s="17">
        <f>COUNTIFS(WTG_BD!L:L,'Basic Data'!T3863,WTG_BD!F:F,"&gt;="&amp;O2Summary!$B$6,WTG_BD!F:F,"&lt;="&amp;O2Summary!$B$4)</f>
        <v>0</v>
      </c>
      <c r="V3863" s="18">
        <f t="shared" si="67"/>
        <v>47</v>
      </c>
    </row>
    <row r="3864" spans="19:22">
      <c r="S3864" s="16">
        <v>5908</v>
      </c>
      <c r="T3864" s="16" t="s">
        <v>4155</v>
      </c>
      <c r="U3864" s="17">
        <f>COUNTIFS(WTG_BD!L:L,'Basic Data'!T3864,WTG_BD!F:F,"&gt;="&amp;O2Summary!$B$6,WTG_BD!F:F,"&lt;="&amp;O2Summary!$B$4)</f>
        <v>0</v>
      </c>
      <c r="V3864" s="18">
        <f t="shared" si="67"/>
        <v>47</v>
      </c>
    </row>
    <row r="3865" spans="19:22">
      <c r="S3865" s="26">
        <v>5909</v>
      </c>
      <c r="T3865" s="26" t="s">
        <v>4156</v>
      </c>
      <c r="U3865" s="17">
        <f>COUNTIFS(WTG_BD!L:L,'Basic Data'!T3865,WTG_BD!F:F,"&gt;="&amp;O2Summary!$B$6,WTG_BD!F:F,"&lt;="&amp;O2Summary!$B$4)</f>
        <v>0</v>
      </c>
      <c r="V3865" s="18">
        <f t="shared" si="67"/>
        <v>47</v>
      </c>
    </row>
    <row r="3866" spans="19:22">
      <c r="S3866" s="26">
        <v>5910</v>
      </c>
      <c r="T3866" s="26" t="s">
        <v>4157</v>
      </c>
      <c r="U3866" s="17">
        <f>COUNTIFS(WTG_BD!L:L,'Basic Data'!T3866,WTG_BD!F:F,"&gt;="&amp;O2Summary!$B$6,WTG_BD!F:F,"&lt;="&amp;O2Summary!$B$4)</f>
        <v>0</v>
      </c>
      <c r="V3866" s="18">
        <f t="shared" si="67"/>
        <v>47</v>
      </c>
    </row>
    <row r="3867" spans="19:22">
      <c r="S3867" s="16">
        <v>5911</v>
      </c>
      <c r="T3867" s="16" t="s">
        <v>4158</v>
      </c>
      <c r="U3867" s="17">
        <f>COUNTIFS(WTG_BD!L:L,'Basic Data'!T3867,WTG_BD!F:F,"&gt;="&amp;O2Summary!$B$6,WTG_BD!F:F,"&lt;="&amp;O2Summary!$B$4)</f>
        <v>0</v>
      </c>
      <c r="V3867" s="18">
        <f t="shared" si="67"/>
        <v>47</v>
      </c>
    </row>
    <row r="3868" spans="19:22">
      <c r="S3868" s="16">
        <v>5912</v>
      </c>
      <c r="T3868" s="16" t="s">
        <v>4159</v>
      </c>
      <c r="U3868" s="17">
        <f>COUNTIFS(WTG_BD!L:L,'Basic Data'!T3868,WTG_BD!F:F,"&gt;="&amp;O2Summary!$B$6,WTG_BD!F:F,"&lt;="&amp;O2Summary!$B$4)</f>
        <v>0</v>
      </c>
      <c r="V3868" s="18">
        <f t="shared" si="67"/>
        <v>47</v>
      </c>
    </row>
    <row r="3869" spans="19:22">
      <c r="S3869" s="16">
        <v>5913</v>
      </c>
      <c r="T3869" s="16" t="s">
        <v>4160</v>
      </c>
      <c r="U3869" s="17">
        <f>COUNTIFS(WTG_BD!L:L,'Basic Data'!T3869,WTG_BD!F:F,"&gt;="&amp;O2Summary!$B$6,WTG_BD!F:F,"&lt;="&amp;O2Summary!$B$4)</f>
        <v>0</v>
      </c>
      <c r="V3869" s="18">
        <f t="shared" si="67"/>
        <v>47</v>
      </c>
    </row>
    <row r="3870" spans="19:22">
      <c r="S3870" s="16">
        <v>5914</v>
      </c>
      <c r="T3870" s="16" t="s">
        <v>4161</v>
      </c>
      <c r="U3870" s="17">
        <f>COUNTIFS(WTG_BD!L:L,'Basic Data'!T3870,WTG_BD!F:F,"&gt;="&amp;O2Summary!$B$6,WTG_BD!F:F,"&lt;="&amp;O2Summary!$B$4)</f>
        <v>0</v>
      </c>
      <c r="V3870" s="18">
        <f t="shared" si="67"/>
        <v>47</v>
      </c>
    </row>
    <row r="3871" spans="19:22">
      <c r="S3871" s="16">
        <v>5915</v>
      </c>
      <c r="T3871" s="16" t="s">
        <v>4162</v>
      </c>
      <c r="U3871" s="17">
        <f>COUNTIFS(WTG_BD!L:L,'Basic Data'!T3871,WTG_BD!F:F,"&gt;="&amp;O2Summary!$B$6,WTG_BD!F:F,"&lt;="&amp;O2Summary!$B$4)</f>
        <v>0</v>
      </c>
      <c r="V3871" s="18">
        <f t="shared" si="67"/>
        <v>47</v>
      </c>
    </row>
    <row r="3872" spans="19:22">
      <c r="S3872" s="16">
        <v>5916</v>
      </c>
      <c r="T3872" s="16" t="s">
        <v>4163</v>
      </c>
      <c r="U3872" s="17">
        <f>COUNTIFS(WTG_BD!L:L,'Basic Data'!T3872,WTG_BD!F:F,"&gt;="&amp;O2Summary!$B$6,WTG_BD!F:F,"&lt;="&amp;O2Summary!$B$4)</f>
        <v>0</v>
      </c>
      <c r="V3872" s="18">
        <f t="shared" si="67"/>
        <v>47</v>
      </c>
    </row>
    <row r="3873" spans="19:22">
      <c r="S3873" s="16">
        <v>5917</v>
      </c>
      <c r="T3873" s="16" t="s">
        <v>4164</v>
      </c>
      <c r="U3873" s="17">
        <f>COUNTIFS(WTG_BD!L:L,'Basic Data'!T3873,WTG_BD!F:F,"&gt;="&amp;O2Summary!$B$6,WTG_BD!F:F,"&lt;="&amp;O2Summary!$B$4)</f>
        <v>0</v>
      </c>
      <c r="V3873" s="18">
        <f t="shared" si="67"/>
        <v>47</v>
      </c>
    </row>
    <row r="3874" spans="19:22">
      <c r="S3874" s="16">
        <v>5918</v>
      </c>
      <c r="T3874" s="16" t="s">
        <v>4165</v>
      </c>
      <c r="U3874" s="17">
        <f>COUNTIFS(WTG_BD!L:L,'Basic Data'!T3874,WTG_BD!F:F,"&gt;="&amp;O2Summary!$B$6,WTG_BD!F:F,"&lt;="&amp;O2Summary!$B$4)</f>
        <v>0</v>
      </c>
      <c r="V3874" s="18">
        <f t="shared" si="67"/>
        <v>47</v>
      </c>
    </row>
    <row r="3875" spans="19:22">
      <c r="S3875" s="16">
        <v>5919</v>
      </c>
      <c r="T3875" s="16" t="s">
        <v>4166</v>
      </c>
      <c r="U3875" s="17">
        <f>COUNTIFS(WTG_BD!L:L,'Basic Data'!T3875,WTG_BD!F:F,"&gt;="&amp;O2Summary!$B$6,WTG_BD!F:F,"&lt;="&amp;O2Summary!$B$4)</f>
        <v>0</v>
      </c>
      <c r="V3875" s="18">
        <f t="shared" si="67"/>
        <v>47</v>
      </c>
    </row>
    <row r="3876" spans="19:22">
      <c r="S3876" s="16">
        <v>5920</v>
      </c>
      <c r="T3876" s="16" t="s">
        <v>4167</v>
      </c>
      <c r="U3876" s="17">
        <f>COUNTIFS(WTG_BD!L:L,'Basic Data'!T3876,WTG_BD!F:F,"&gt;="&amp;O2Summary!$B$6,WTG_BD!F:F,"&lt;="&amp;O2Summary!$B$4)</f>
        <v>0</v>
      </c>
      <c r="V3876" s="18">
        <f t="shared" si="67"/>
        <v>47</v>
      </c>
    </row>
    <row r="3877" spans="19:22">
      <c r="S3877" s="16">
        <v>5921</v>
      </c>
      <c r="T3877" s="16" t="s">
        <v>4168</v>
      </c>
      <c r="U3877" s="17">
        <f>COUNTIFS(WTG_BD!L:L,'Basic Data'!T3877,WTG_BD!F:F,"&gt;="&amp;O2Summary!$B$6,WTG_BD!F:F,"&lt;="&amp;O2Summary!$B$4)</f>
        <v>0</v>
      </c>
      <c r="V3877" s="18">
        <f t="shared" si="67"/>
        <v>47</v>
      </c>
    </row>
    <row r="3878" spans="19:22">
      <c r="S3878" s="16">
        <v>5922</v>
      </c>
      <c r="T3878" s="16" t="s">
        <v>4168</v>
      </c>
      <c r="U3878" s="17">
        <f>COUNTIFS(WTG_BD!L:L,'Basic Data'!T3878,WTG_BD!F:F,"&gt;="&amp;O2Summary!$B$6,WTG_BD!F:F,"&lt;="&amp;O2Summary!$B$4)</f>
        <v>0</v>
      </c>
      <c r="V3878" s="18">
        <f t="shared" si="67"/>
        <v>47</v>
      </c>
    </row>
    <row r="3879" spans="19:22">
      <c r="S3879" s="16">
        <v>5923</v>
      </c>
      <c r="T3879" s="16" t="s">
        <v>4169</v>
      </c>
      <c r="U3879" s="17">
        <f>COUNTIFS(WTG_BD!L:L,'Basic Data'!T3879,WTG_BD!F:F,"&gt;="&amp;O2Summary!$B$6,WTG_BD!F:F,"&lt;="&amp;O2Summary!$B$4)</f>
        <v>0</v>
      </c>
      <c r="V3879" s="18">
        <f t="shared" si="67"/>
        <v>47</v>
      </c>
    </row>
    <row r="3880" spans="19:22">
      <c r="S3880" s="16">
        <v>5924</v>
      </c>
      <c r="T3880" s="16" t="s">
        <v>4170</v>
      </c>
      <c r="U3880" s="17">
        <f>COUNTIFS(WTG_BD!L:L,'Basic Data'!T3880,WTG_BD!F:F,"&gt;="&amp;O2Summary!$B$6,WTG_BD!F:F,"&lt;="&amp;O2Summary!$B$4)</f>
        <v>0</v>
      </c>
      <c r="V3880" s="18">
        <f t="shared" si="67"/>
        <v>47</v>
      </c>
    </row>
    <row r="3881" spans="19:22">
      <c r="S3881" s="16">
        <v>5925</v>
      </c>
      <c r="T3881" s="16" t="s">
        <v>4171</v>
      </c>
      <c r="U3881" s="17">
        <f>COUNTIFS(WTG_BD!L:L,'Basic Data'!T3881,WTG_BD!F:F,"&gt;="&amp;O2Summary!$B$6,WTG_BD!F:F,"&lt;="&amp;O2Summary!$B$4)</f>
        <v>0</v>
      </c>
      <c r="V3881" s="18">
        <f t="shared" si="67"/>
        <v>47</v>
      </c>
    </row>
    <row r="3882" spans="19:22">
      <c r="S3882" s="16">
        <v>5926</v>
      </c>
      <c r="T3882" s="16" t="s">
        <v>4172</v>
      </c>
      <c r="U3882" s="17">
        <f>COUNTIFS(WTG_BD!L:L,'Basic Data'!T3882,WTG_BD!F:F,"&gt;="&amp;O2Summary!$B$6,WTG_BD!F:F,"&lt;="&amp;O2Summary!$B$4)</f>
        <v>0</v>
      </c>
      <c r="V3882" s="18">
        <f t="shared" si="67"/>
        <v>47</v>
      </c>
    </row>
    <row r="3883" spans="19:22">
      <c r="S3883" s="16">
        <v>5930</v>
      </c>
      <c r="T3883" s="16" t="s">
        <v>4173</v>
      </c>
      <c r="U3883" s="17">
        <f>COUNTIFS(WTG_BD!L:L,'Basic Data'!T3883,WTG_BD!F:F,"&gt;="&amp;O2Summary!$B$6,WTG_BD!F:F,"&lt;="&amp;O2Summary!$B$4)</f>
        <v>0</v>
      </c>
      <c r="V3883" s="18">
        <f t="shared" si="67"/>
        <v>47</v>
      </c>
    </row>
    <row r="3884" spans="19:22">
      <c r="S3884" s="16">
        <v>5931</v>
      </c>
      <c r="T3884" s="16" t="s">
        <v>4174</v>
      </c>
      <c r="U3884" s="17">
        <f>COUNTIFS(WTG_BD!L:L,'Basic Data'!T3884,WTG_BD!F:F,"&gt;="&amp;O2Summary!$B$6,WTG_BD!F:F,"&lt;="&amp;O2Summary!$B$4)</f>
        <v>0</v>
      </c>
      <c r="V3884" s="18">
        <f t="shared" si="67"/>
        <v>47</v>
      </c>
    </row>
    <row r="3885" spans="19:22">
      <c r="S3885" s="16">
        <v>5933</v>
      </c>
      <c r="T3885" s="16" t="s">
        <v>4175</v>
      </c>
      <c r="U3885" s="17">
        <f>COUNTIFS(WTG_BD!L:L,'Basic Data'!T3885,WTG_BD!F:F,"&gt;="&amp;O2Summary!$B$6,WTG_BD!F:F,"&lt;="&amp;O2Summary!$B$4)</f>
        <v>0</v>
      </c>
      <c r="V3885" s="18">
        <f t="shared" si="67"/>
        <v>47</v>
      </c>
    </row>
    <row r="3886" spans="19:22">
      <c r="S3886" s="16">
        <v>5934</v>
      </c>
      <c r="T3886" s="16" t="s">
        <v>4176</v>
      </c>
      <c r="U3886" s="17">
        <f>COUNTIFS(WTG_BD!L:L,'Basic Data'!T3886,WTG_BD!F:F,"&gt;="&amp;O2Summary!$B$6,WTG_BD!F:F,"&lt;="&amp;O2Summary!$B$4)</f>
        <v>0</v>
      </c>
      <c r="V3886" s="18">
        <f t="shared" si="67"/>
        <v>47</v>
      </c>
    </row>
    <row r="3887" spans="19:22">
      <c r="S3887" s="16">
        <v>5935</v>
      </c>
      <c r="T3887" s="16" t="s">
        <v>4177</v>
      </c>
      <c r="U3887" s="17">
        <f>COUNTIFS(WTG_BD!L:L,'Basic Data'!T3887,WTG_BD!F:F,"&gt;="&amp;O2Summary!$B$6,WTG_BD!F:F,"&lt;="&amp;O2Summary!$B$4)</f>
        <v>0</v>
      </c>
      <c r="V3887" s="18">
        <f t="shared" si="67"/>
        <v>47</v>
      </c>
    </row>
    <row r="3888" spans="19:22">
      <c r="S3888" s="16">
        <v>5936</v>
      </c>
      <c r="T3888" s="16" t="s">
        <v>4178</v>
      </c>
      <c r="U3888" s="17">
        <f>COUNTIFS(WTG_BD!L:L,'Basic Data'!T3888,WTG_BD!F:F,"&gt;="&amp;O2Summary!$B$6,WTG_BD!F:F,"&lt;="&amp;O2Summary!$B$4)</f>
        <v>0</v>
      </c>
      <c r="V3888" s="18">
        <f t="shared" si="67"/>
        <v>47</v>
      </c>
    </row>
    <row r="3889" spans="19:22">
      <c r="S3889" s="16">
        <v>5937</v>
      </c>
      <c r="T3889" s="16" t="s">
        <v>4179</v>
      </c>
      <c r="U3889" s="17">
        <f>COUNTIFS(WTG_BD!L:L,'Basic Data'!T3889,WTG_BD!F:F,"&gt;="&amp;O2Summary!$B$6,WTG_BD!F:F,"&lt;="&amp;O2Summary!$B$4)</f>
        <v>0</v>
      </c>
      <c r="V3889" s="18">
        <f t="shared" si="67"/>
        <v>47</v>
      </c>
    </row>
    <row r="3890" spans="19:22">
      <c r="S3890" s="16">
        <v>5938</v>
      </c>
      <c r="T3890" s="16" t="s">
        <v>4180</v>
      </c>
      <c r="U3890" s="17">
        <f>COUNTIFS(WTG_BD!L:L,'Basic Data'!T3890,WTG_BD!F:F,"&gt;="&amp;O2Summary!$B$6,WTG_BD!F:F,"&lt;="&amp;O2Summary!$B$4)</f>
        <v>0</v>
      </c>
      <c r="V3890" s="18">
        <f t="shared" si="67"/>
        <v>47</v>
      </c>
    </row>
    <row r="3891" spans="19:22">
      <c r="S3891" s="26">
        <v>5939</v>
      </c>
      <c r="T3891" s="26" t="s">
        <v>4181</v>
      </c>
      <c r="U3891" s="17">
        <f>COUNTIFS(WTG_BD!L:L,'Basic Data'!T3891,WTG_BD!F:F,"&gt;="&amp;O2Summary!$B$6,WTG_BD!F:F,"&lt;="&amp;O2Summary!$B$4)</f>
        <v>0</v>
      </c>
      <c r="V3891" s="18">
        <f t="shared" si="67"/>
        <v>47</v>
      </c>
    </row>
    <row r="3892" spans="19:22">
      <c r="S3892" s="26">
        <v>5940</v>
      </c>
      <c r="T3892" s="26" t="s">
        <v>4182</v>
      </c>
      <c r="U3892" s="17">
        <f>COUNTIFS(WTG_BD!L:L,'Basic Data'!T3892,WTG_BD!F:F,"&gt;="&amp;O2Summary!$B$6,WTG_BD!F:F,"&lt;="&amp;O2Summary!$B$4)</f>
        <v>0</v>
      </c>
      <c r="V3892" s="18">
        <f t="shared" si="67"/>
        <v>47</v>
      </c>
    </row>
    <row r="3893" spans="19:22">
      <c r="S3893" s="16">
        <v>5941</v>
      </c>
      <c r="T3893" s="16" t="s">
        <v>4183</v>
      </c>
      <c r="U3893" s="17">
        <f>COUNTIFS(WTG_BD!L:L,'Basic Data'!T3893,WTG_BD!F:F,"&gt;="&amp;O2Summary!$B$6,WTG_BD!F:F,"&lt;="&amp;O2Summary!$B$4)</f>
        <v>0</v>
      </c>
      <c r="V3893" s="18">
        <f t="shared" si="67"/>
        <v>47</v>
      </c>
    </row>
    <row r="3894" spans="19:22">
      <c r="S3894" s="26">
        <v>5942</v>
      </c>
      <c r="T3894" s="26" t="s">
        <v>4184</v>
      </c>
      <c r="U3894" s="17">
        <f>COUNTIFS(WTG_BD!L:L,'Basic Data'!T3894,WTG_BD!F:F,"&gt;="&amp;O2Summary!$B$6,WTG_BD!F:F,"&lt;="&amp;O2Summary!$B$4)</f>
        <v>0</v>
      </c>
      <c r="V3894" s="18">
        <f t="shared" si="67"/>
        <v>47</v>
      </c>
    </row>
    <row r="3895" spans="19:22">
      <c r="S3895" s="16">
        <v>5943</v>
      </c>
      <c r="T3895" s="16" t="s">
        <v>4185</v>
      </c>
      <c r="U3895" s="17">
        <f>COUNTIFS(WTG_BD!L:L,'Basic Data'!T3895,WTG_BD!F:F,"&gt;="&amp;O2Summary!$B$6,WTG_BD!F:F,"&lt;="&amp;O2Summary!$B$4)</f>
        <v>0</v>
      </c>
      <c r="V3895" s="18">
        <f t="shared" si="67"/>
        <v>47</v>
      </c>
    </row>
    <row r="3896" spans="19:22">
      <c r="S3896" s="16">
        <v>5944</v>
      </c>
      <c r="T3896" s="16" t="s">
        <v>4186</v>
      </c>
      <c r="U3896" s="17">
        <f>COUNTIFS(WTG_BD!L:L,'Basic Data'!T3896,WTG_BD!F:F,"&gt;="&amp;O2Summary!$B$6,WTG_BD!F:F,"&lt;="&amp;O2Summary!$B$4)</f>
        <v>0</v>
      </c>
      <c r="V3896" s="18">
        <f t="shared" si="67"/>
        <v>47</v>
      </c>
    </row>
    <row r="3897" spans="19:22">
      <c r="S3897" s="26">
        <v>5945</v>
      </c>
      <c r="T3897" s="26" t="s">
        <v>4187</v>
      </c>
      <c r="U3897" s="17">
        <f>COUNTIFS(WTG_BD!L:L,'Basic Data'!T3897,WTG_BD!F:F,"&gt;="&amp;O2Summary!$B$6,WTG_BD!F:F,"&lt;="&amp;O2Summary!$B$4)</f>
        <v>0</v>
      </c>
      <c r="V3897" s="18">
        <f t="shared" si="67"/>
        <v>47</v>
      </c>
    </row>
    <row r="3898" spans="19:22">
      <c r="S3898" s="16">
        <v>5946</v>
      </c>
      <c r="T3898" s="16" t="s">
        <v>4188</v>
      </c>
      <c r="U3898" s="17">
        <f>COUNTIFS(WTG_BD!L:L,'Basic Data'!T3898,WTG_BD!F:F,"&gt;="&amp;O2Summary!$B$6,WTG_BD!F:F,"&lt;="&amp;O2Summary!$B$4)</f>
        <v>0</v>
      </c>
      <c r="V3898" s="18">
        <f t="shared" si="67"/>
        <v>47</v>
      </c>
    </row>
    <row r="3899" spans="19:22">
      <c r="S3899" s="16">
        <v>5947</v>
      </c>
      <c r="T3899" s="16" t="s">
        <v>4189</v>
      </c>
      <c r="U3899" s="17">
        <f>COUNTIFS(WTG_BD!L:L,'Basic Data'!T3899,WTG_BD!F:F,"&gt;="&amp;O2Summary!$B$6,WTG_BD!F:F,"&lt;="&amp;O2Summary!$B$4)</f>
        <v>0</v>
      </c>
      <c r="V3899" s="18">
        <f t="shared" si="67"/>
        <v>47</v>
      </c>
    </row>
    <row r="3900" spans="19:22">
      <c r="S3900" s="16">
        <v>5948</v>
      </c>
      <c r="T3900" s="16" t="s">
        <v>4190</v>
      </c>
      <c r="U3900" s="17">
        <f>COUNTIFS(WTG_BD!L:L,'Basic Data'!T3900,WTG_BD!F:F,"&gt;="&amp;O2Summary!$B$6,WTG_BD!F:F,"&lt;="&amp;O2Summary!$B$4)</f>
        <v>0</v>
      </c>
      <c r="V3900" s="18">
        <f t="shared" si="67"/>
        <v>47</v>
      </c>
    </row>
    <row r="3901" spans="19:22">
      <c r="S3901" s="26">
        <v>5949</v>
      </c>
      <c r="T3901" s="26" t="s">
        <v>4191</v>
      </c>
      <c r="U3901" s="17">
        <f>COUNTIFS(WTG_BD!L:L,'Basic Data'!T3901,WTG_BD!F:F,"&gt;="&amp;O2Summary!$B$6,WTG_BD!F:F,"&lt;="&amp;O2Summary!$B$4)</f>
        <v>0</v>
      </c>
      <c r="V3901" s="18">
        <f t="shared" si="67"/>
        <v>47</v>
      </c>
    </row>
    <row r="3902" spans="19:22">
      <c r="S3902" s="16">
        <v>5950</v>
      </c>
      <c r="T3902" s="16" t="s">
        <v>4192</v>
      </c>
      <c r="U3902" s="17">
        <f>COUNTIFS(WTG_BD!L:L,'Basic Data'!T3902,WTG_BD!F:F,"&gt;="&amp;O2Summary!$B$6,WTG_BD!F:F,"&lt;="&amp;O2Summary!$B$4)</f>
        <v>0</v>
      </c>
      <c r="V3902" s="18">
        <f t="shared" si="67"/>
        <v>47</v>
      </c>
    </row>
    <row r="3903" spans="19:22">
      <c r="S3903" s="26">
        <v>5951</v>
      </c>
      <c r="T3903" s="26" t="s">
        <v>4193</v>
      </c>
      <c r="U3903" s="17">
        <f>COUNTIFS(WTG_BD!L:L,'Basic Data'!T3903,WTG_BD!F:F,"&gt;="&amp;O2Summary!$B$6,WTG_BD!F:F,"&lt;="&amp;O2Summary!$B$4)</f>
        <v>0</v>
      </c>
      <c r="V3903" s="18">
        <f t="shared" si="67"/>
        <v>47</v>
      </c>
    </row>
    <row r="3904" spans="19:22">
      <c r="S3904" s="16">
        <v>5952</v>
      </c>
      <c r="T3904" s="16" t="s">
        <v>4194</v>
      </c>
      <c r="U3904" s="17">
        <f>COUNTIFS(WTG_BD!L:L,'Basic Data'!T3904,WTG_BD!F:F,"&gt;="&amp;O2Summary!$B$6,WTG_BD!F:F,"&lt;="&amp;O2Summary!$B$4)</f>
        <v>0</v>
      </c>
      <c r="V3904" s="18">
        <f t="shared" si="67"/>
        <v>47</v>
      </c>
    </row>
    <row r="3905" spans="19:22">
      <c r="S3905" s="26">
        <v>5954</v>
      </c>
      <c r="T3905" s="26" t="s">
        <v>4195</v>
      </c>
      <c r="U3905" s="17">
        <f>COUNTIFS(WTG_BD!L:L,'Basic Data'!T3905,WTG_BD!F:F,"&gt;="&amp;O2Summary!$B$6,WTG_BD!F:F,"&lt;="&amp;O2Summary!$B$4)</f>
        <v>0</v>
      </c>
      <c r="V3905" s="18">
        <f t="shared" si="67"/>
        <v>47</v>
      </c>
    </row>
    <row r="3906" spans="19:22">
      <c r="S3906" s="16">
        <v>5955</v>
      </c>
      <c r="T3906" s="16" t="s">
        <v>4196</v>
      </c>
      <c r="U3906" s="17">
        <f>COUNTIFS(WTG_BD!L:L,'Basic Data'!T3906,WTG_BD!F:F,"&gt;="&amp;O2Summary!$B$6,WTG_BD!F:F,"&lt;="&amp;O2Summary!$B$4)</f>
        <v>0</v>
      </c>
      <c r="V3906" s="18">
        <f t="shared" si="67"/>
        <v>47</v>
      </c>
    </row>
    <row r="3907" spans="19:22">
      <c r="S3907" s="16">
        <v>5956</v>
      </c>
      <c r="T3907" s="16" t="s">
        <v>4197</v>
      </c>
      <c r="U3907" s="17">
        <f>COUNTIFS(WTG_BD!L:L,'Basic Data'!T3907,WTG_BD!F:F,"&gt;="&amp;O2Summary!$B$6,WTG_BD!F:F,"&lt;="&amp;O2Summary!$B$4)</f>
        <v>0</v>
      </c>
      <c r="V3907" s="18">
        <f t="shared" ref="V3907:V3970" si="68">RANK(U3907,$U$2:$U$3975)</f>
        <v>47</v>
      </c>
    </row>
    <row r="3908" spans="19:22">
      <c r="S3908" s="16">
        <v>5957</v>
      </c>
      <c r="T3908" s="16" t="s">
        <v>4198</v>
      </c>
      <c r="U3908" s="17">
        <f>COUNTIFS(WTG_BD!L:L,'Basic Data'!T3908,WTG_BD!F:F,"&gt;="&amp;O2Summary!$B$6,WTG_BD!F:F,"&lt;="&amp;O2Summary!$B$4)</f>
        <v>0</v>
      </c>
      <c r="V3908" s="18">
        <f t="shared" si="68"/>
        <v>47</v>
      </c>
    </row>
    <row r="3909" spans="19:22">
      <c r="S3909" s="16">
        <v>5958</v>
      </c>
      <c r="T3909" s="16" t="s">
        <v>4199</v>
      </c>
      <c r="U3909" s="17">
        <f>COUNTIFS(WTG_BD!L:L,'Basic Data'!T3909,WTG_BD!F:F,"&gt;="&amp;O2Summary!$B$6,WTG_BD!F:F,"&lt;="&amp;O2Summary!$B$4)</f>
        <v>0</v>
      </c>
      <c r="V3909" s="18">
        <f t="shared" si="68"/>
        <v>47</v>
      </c>
    </row>
    <row r="3910" spans="19:22">
      <c r="S3910" s="16">
        <v>5959</v>
      </c>
      <c r="T3910" s="16" t="s">
        <v>4200</v>
      </c>
      <c r="U3910" s="17">
        <f>COUNTIFS(WTG_BD!L:L,'Basic Data'!T3910,WTG_BD!F:F,"&gt;="&amp;O2Summary!$B$6,WTG_BD!F:F,"&lt;="&amp;O2Summary!$B$4)</f>
        <v>0</v>
      </c>
      <c r="V3910" s="18">
        <f t="shared" si="68"/>
        <v>47</v>
      </c>
    </row>
    <row r="3911" spans="19:22">
      <c r="S3911" s="16">
        <v>5960</v>
      </c>
      <c r="T3911" s="16" t="s">
        <v>4201</v>
      </c>
      <c r="U3911" s="17">
        <f>COUNTIFS(WTG_BD!L:L,'Basic Data'!T3911,WTG_BD!F:F,"&gt;="&amp;O2Summary!$B$6,WTG_BD!F:F,"&lt;="&amp;O2Summary!$B$4)</f>
        <v>0</v>
      </c>
      <c r="V3911" s="18">
        <f t="shared" si="68"/>
        <v>47</v>
      </c>
    </row>
    <row r="3912" spans="19:22">
      <c r="S3912" s="16">
        <v>5961</v>
      </c>
      <c r="T3912" s="16" t="s">
        <v>4202</v>
      </c>
      <c r="U3912" s="17">
        <f>COUNTIFS(WTG_BD!L:L,'Basic Data'!T3912,WTG_BD!F:F,"&gt;="&amp;O2Summary!$B$6,WTG_BD!F:F,"&lt;="&amp;O2Summary!$B$4)</f>
        <v>0</v>
      </c>
      <c r="V3912" s="18">
        <f t="shared" si="68"/>
        <v>47</v>
      </c>
    </row>
    <row r="3913" spans="19:22">
      <c r="S3913" s="16">
        <v>5962</v>
      </c>
      <c r="T3913" s="16" t="s">
        <v>4203</v>
      </c>
      <c r="U3913" s="17">
        <f>COUNTIFS(WTG_BD!L:L,'Basic Data'!T3913,WTG_BD!F:F,"&gt;="&amp;O2Summary!$B$6,WTG_BD!F:F,"&lt;="&amp;O2Summary!$B$4)</f>
        <v>0</v>
      </c>
      <c r="V3913" s="18">
        <f t="shared" si="68"/>
        <v>47</v>
      </c>
    </row>
    <row r="3914" spans="19:22">
      <c r="S3914" s="16">
        <v>5963</v>
      </c>
      <c r="T3914" s="16" t="s">
        <v>4204</v>
      </c>
      <c r="U3914" s="17">
        <f>COUNTIFS(WTG_BD!L:L,'Basic Data'!T3914,WTG_BD!F:F,"&gt;="&amp;O2Summary!$B$6,WTG_BD!F:F,"&lt;="&amp;O2Summary!$B$4)</f>
        <v>0</v>
      </c>
      <c r="V3914" s="18">
        <f t="shared" si="68"/>
        <v>47</v>
      </c>
    </row>
    <row r="3915" spans="19:22">
      <c r="S3915" s="16">
        <v>5964</v>
      </c>
      <c r="T3915" s="16" t="s">
        <v>4205</v>
      </c>
      <c r="U3915" s="17">
        <f>COUNTIFS(WTG_BD!L:L,'Basic Data'!T3915,WTG_BD!F:F,"&gt;="&amp;O2Summary!$B$6,WTG_BD!F:F,"&lt;="&amp;O2Summary!$B$4)</f>
        <v>0</v>
      </c>
      <c r="V3915" s="18">
        <f t="shared" si="68"/>
        <v>47</v>
      </c>
    </row>
    <row r="3916" spans="19:22">
      <c r="S3916" s="16">
        <v>5965</v>
      </c>
      <c r="T3916" s="16" t="s">
        <v>4206</v>
      </c>
      <c r="U3916" s="17">
        <f>COUNTIFS(WTG_BD!L:L,'Basic Data'!T3916,WTG_BD!F:F,"&gt;="&amp;O2Summary!$B$6,WTG_BD!F:F,"&lt;="&amp;O2Summary!$B$4)</f>
        <v>0</v>
      </c>
      <c r="V3916" s="18">
        <f t="shared" si="68"/>
        <v>47</v>
      </c>
    </row>
    <row r="3917" spans="19:22">
      <c r="S3917" s="16">
        <v>5967</v>
      </c>
      <c r="T3917" s="16" t="s">
        <v>4207</v>
      </c>
      <c r="U3917" s="17">
        <f>COUNTIFS(WTG_BD!L:L,'Basic Data'!T3917,WTG_BD!F:F,"&gt;="&amp;O2Summary!$B$6,WTG_BD!F:F,"&lt;="&amp;O2Summary!$B$4)</f>
        <v>0</v>
      </c>
      <c r="V3917" s="18">
        <f t="shared" si="68"/>
        <v>47</v>
      </c>
    </row>
    <row r="3918" spans="19:22">
      <c r="S3918" s="16">
        <v>5968</v>
      </c>
      <c r="T3918" s="16" t="s">
        <v>4208</v>
      </c>
      <c r="U3918" s="17">
        <f>COUNTIFS(WTG_BD!L:L,'Basic Data'!T3918,WTG_BD!F:F,"&gt;="&amp;O2Summary!$B$6,WTG_BD!F:F,"&lt;="&amp;O2Summary!$B$4)</f>
        <v>0</v>
      </c>
      <c r="V3918" s="18">
        <f t="shared" si="68"/>
        <v>47</v>
      </c>
    </row>
    <row r="3919" spans="19:22">
      <c r="S3919" s="16">
        <v>5969</v>
      </c>
      <c r="T3919" s="16" t="s">
        <v>4209</v>
      </c>
      <c r="U3919" s="17">
        <f>COUNTIFS(WTG_BD!L:L,'Basic Data'!T3919,WTG_BD!F:F,"&gt;="&amp;O2Summary!$B$6,WTG_BD!F:F,"&lt;="&amp;O2Summary!$B$4)</f>
        <v>0</v>
      </c>
      <c r="V3919" s="18">
        <f t="shared" si="68"/>
        <v>47</v>
      </c>
    </row>
    <row r="3920" spans="19:22">
      <c r="S3920" s="16">
        <v>5970</v>
      </c>
      <c r="T3920" s="16" t="s">
        <v>4210</v>
      </c>
      <c r="U3920" s="17">
        <f>COUNTIFS(WTG_BD!L:L,'Basic Data'!T3920,WTG_BD!F:F,"&gt;="&amp;O2Summary!$B$6,WTG_BD!F:F,"&lt;="&amp;O2Summary!$B$4)</f>
        <v>0</v>
      </c>
      <c r="V3920" s="18">
        <f t="shared" si="68"/>
        <v>47</v>
      </c>
    </row>
    <row r="3921" spans="19:22">
      <c r="S3921" s="16">
        <v>5972</v>
      </c>
      <c r="T3921" s="16" t="s">
        <v>4211</v>
      </c>
      <c r="U3921" s="17">
        <f>COUNTIFS(WTG_BD!L:L,'Basic Data'!T3921,WTG_BD!F:F,"&gt;="&amp;O2Summary!$B$6,WTG_BD!F:F,"&lt;="&amp;O2Summary!$B$4)</f>
        <v>0</v>
      </c>
      <c r="V3921" s="18">
        <f t="shared" si="68"/>
        <v>47</v>
      </c>
    </row>
    <row r="3922" spans="19:22">
      <c r="S3922" s="16">
        <v>5973</v>
      </c>
      <c r="T3922" s="16" t="s">
        <v>4212</v>
      </c>
      <c r="U3922" s="17">
        <f>COUNTIFS(WTG_BD!L:L,'Basic Data'!T3922,WTG_BD!F:F,"&gt;="&amp;O2Summary!$B$6,WTG_BD!F:F,"&lt;="&amp;O2Summary!$B$4)</f>
        <v>0</v>
      </c>
      <c r="V3922" s="18">
        <f t="shared" si="68"/>
        <v>47</v>
      </c>
    </row>
    <row r="3923" spans="19:22">
      <c r="S3923" s="16">
        <v>5974</v>
      </c>
      <c r="T3923" s="16" t="s">
        <v>4213</v>
      </c>
      <c r="U3923" s="17">
        <f>COUNTIFS(WTG_BD!L:L,'Basic Data'!T3923,WTG_BD!F:F,"&gt;="&amp;O2Summary!$B$6,WTG_BD!F:F,"&lt;="&amp;O2Summary!$B$4)</f>
        <v>0</v>
      </c>
      <c r="V3923" s="18">
        <f t="shared" si="68"/>
        <v>47</v>
      </c>
    </row>
    <row r="3924" spans="19:22">
      <c r="S3924" s="16">
        <v>5975</v>
      </c>
      <c r="T3924" s="16" t="s">
        <v>4214</v>
      </c>
      <c r="U3924" s="17">
        <f>COUNTIFS(WTG_BD!L:L,'Basic Data'!T3924,WTG_BD!F:F,"&gt;="&amp;O2Summary!$B$6,WTG_BD!F:F,"&lt;="&amp;O2Summary!$B$4)</f>
        <v>0</v>
      </c>
      <c r="V3924" s="18">
        <f t="shared" si="68"/>
        <v>47</v>
      </c>
    </row>
    <row r="3925" spans="19:22">
      <c r="S3925" s="16">
        <v>5984</v>
      </c>
      <c r="T3925" s="16" t="s">
        <v>4215</v>
      </c>
      <c r="U3925" s="17">
        <f>COUNTIFS(WTG_BD!L:L,'Basic Data'!T3925,WTG_BD!F:F,"&gt;="&amp;O2Summary!$B$6,WTG_BD!F:F,"&lt;="&amp;O2Summary!$B$4)</f>
        <v>0</v>
      </c>
      <c r="V3925" s="18">
        <f t="shared" si="68"/>
        <v>47</v>
      </c>
    </row>
    <row r="3926" spans="19:22">
      <c r="S3926" s="16">
        <v>5990</v>
      </c>
      <c r="T3926" s="16" t="s">
        <v>4216</v>
      </c>
      <c r="U3926" s="17">
        <f>COUNTIFS(WTG_BD!L:L,'Basic Data'!T3926,WTG_BD!F:F,"&gt;="&amp;O2Summary!$B$6,WTG_BD!F:F,"&lt;="&amp;O2Summary!$B$4)</f>
        <v>0</v>
      </c>
      <c r="V3926" s="18">
        <f t="shared" si="68"/>
        <v>47</v>
      </c>
    </row>
    <row r="3927" spans="19:22">
      <c r="S3927" s="16">
        <v>5991</v>
      </c>
      <c r="T3927" s="16" t="s">
        <v>4217</v>
      </c>
      <c r="U3927" s="17">
        <f>COUNTIFS(WTG_BD!L:L,'Basic Data'!T3927,WTG_BD!F:F,"&gt;="&amp;O2Summary!$B$6,WTG_BD!F:F,"&lt;="&amp;O2Summary!$B$4)</f>
        <v>0</v>
      </c>
      <c r="V3927" s="18">
        <f t="shared" si="68"/>
        <v>47</v>
      </c>
    </row>
    <row r="3928" spans="19:22">
      <c r="S3928" s="16">
        <v>5993</v>
      </c>
      <c r="T3928" s="16" t="s">
        <v>4218</v>
      </c>
      <c r="U3928" s="17">
        <f>COUNTIFS(WTG_BD!L:L,'Basic Data'!T3928,WTG_BD!F:F,"&gt;="&amp;O2Summary!$B$6,WTG_BD!F:F,"&lt;="&amp;O2Summary!$B$4)</f>
        <v>0</v>
      </c>
      <c r="V3928" s="18">
        <f t="shared" si="68"/>
        <v>47</v>
      </c>
    </row>
    <row r="3929" spans="19:22">
      <c r="S3929" s="16">
        <v>5994</v>
      </c>
      <c r="T3929" s="16" t="s">
        <v>4219</v>
      </c>
      <c r="U3929" s="17">
        <f>COUNTIFS(WTG_BD!L:L,'Basic Data'!T3929,WTG_BD!F:F,"&gt;="&amp;O2Summary!$B$6,WTG_BD!F:F,"&lt;="&amp;O2Summary!$B$4)</f>
        <v>0</v>
      </c>
      <c r="V3929" s="18">
        <f t="shared" si="68"/>
        <v>47</v>
      </c>
    </row>
    <row r="3930" spans="19:22">
      <c r="S3930" s="16">
        <v>5995</v>
      </c>
      <c r="T3930" s="16" t="s">
        <v>4220</v>
      </c>
      <c r="U3930" s="17">
        <f>COUNTIFS(WTG_BD!L:L,'Basic Data'!T3930,WTG_BD!F:F,"&gt;="&amp;O2Summary!$B$6,WTG_BD!F:F,"&lt;="&amp;O2Summary!$B$4)</f>
        <v>0</v>
      </c>
      <c r="V3930" s="18">
        <f t="shared" si="68"/>
        <v>47</v>
      </c>
    </row>
    <row r="3931" spans="19:22">
      <c r="S3931" s="16">
        <v>5996</v>
      </c>
      <c r="T3931" s="16" t="s">
        <v>4221</v>
      </c>
      <c r="U3931" s="17">
        <f>COUNTIFS(WTG_BD!L:L,'Basic Data'!T3931,WTG_BD!F:F,"&gt;="&amp;O2Summary!$B$6,WTG_BD!F:F,"&lt;="&amp;O2Summary!$B$4)</f>
        <v>0</v>
      </c>
      <c r="V3931" s="18">
        <f t="shared" si="68"/>
        <v>47</v>
      </c>
    </row>
    <row r="3932" spans="19:22">
      <c r="S3932" s="26">
        <v>6002</v>
      </c>
      <c r="T3932" s="26" t="s">
        <v>4222</v>
      </c>
      <c r="U3932" s="17">
        <f>COUNTIFS(WTG_BD!L:L,'Basic Data'!T3932,WTG_BD!F:F,"&gt;="&amp;O2Summary!$B$6,WTG_BD!F:F,"&lt;="&amp;O2Summary!$B$4)</f>
        <v>0</v>
      </c>
      <c r="V3932" s="18">
        <f t="shared" si="68"/>
        <v>47</v>
      </c>
    </row>
    <row r="3933" spans="19:22">
      <c r="S3933" s="26">
        <v>6003</v>
      </c>
      <c r="T3933" s="26" t="s">
        <v>4223</v>
      </c>
      <c r="U3933" s="17">
        <f>COUNTIFS(WTG_BD!L:L,'Basic Data'!T3933,WTG_BD!F:F,"&gt;="&amp;O2Summary!$B$6,WTG_BD!F:F,"&lt;="&amp;O2Summary!$B$4)</f>
        <v>0</v>
      </c>
      <c r="V3933" s="18">
        <f t="shared" si="68"/>
        <v>47</v>
      </c>
    </row>
    <row r="3934" spans="19:22">
      <c r="S3934" s="26">
        <v>6004</v>
      </c>
      <c r="T3934" s="26" t="s">
        <v>4224</v>
      </c>
      <c r="U3934" s="17">
        <f>COUNTIFS(WTG_BD!L:L,'Basic Data'!T3934,WTG_BD!F:F,"&gt;="&amp;O2Summary!$B$6,WTG_BD!F:F,"&lt;="&amp;O2Summary!$B$4)</f>
        <v>0</v>
      </c>
      <c r="V3934" s="18">
        <f t="shared" si="68"/>
        <v>47</v>
      </c>
    </row>
    <row r="3935" spans="19:22">
      <c r="S3935" s="16">
        <v>6005</v>
      </c>
      <c r="T3935" s="16" t="s">
        <v>4225</v>
      </c>
      <c r="U3935" s="17">
        <f>COUNTIFS(WTG_BD!L:L,'Basic Data'!T3935,WTG_BD!F:F,"&gt;="&amp;O2Summary!$B$6,WTG_BD!F:F,"&lt;="&amp;O2Summary!$B$4)</f>
        <v>0</v>
      </c>
      <c r="V3935" s="18">
        <f t="shared" si="68"/>
        <v>47</v>
      </c>
    </row>
    <row r="3936" spans="19:22">
      <c r="S3936" s="26">
        <v>6006</v>
      </c>
      <c r="T3936" s="26" t="s">
        <v>4226</v>
      </c>
      <c r="U3936" s="17">
        <f>COUNTIFS(WTG_BD!L:L,'Basic Data'!T3936,WTG_BD!F:F,"&gt;="&amp;O2Summary!$B$6,WTG_BD!F:F,"&lt;="&amp;O2Summary!$B$4)</f>
        <v>0</v>
      </c>
      <c r="V3936" s="18">
        <f t="shared" si="68"/>
        <v>47</v>
      </c>
    </row>
    <row r="3937" spans="19:22">
      <c r="S3937" s="16">
        <v>6007</v>
      </c>
      <c r="T3937" s="16" t="s">
        <v>4227</v>
      </c>
      <c r="U3937" s="17">
        <f>COUNTIFS(WTG_BD!L:L,'Basic Data'!T3937,WTG_BD!F:F,"&gt;="&amp;O2Summary!$B$6,WTG_BD!F:F,"&lt;="&amp;O2Summary!$B$4)</f>
        <v>0</v>
      </c>
      <c r="V3937" s="18">
        <f t="shared" si="68"/>
        <v>47</v>
      </c>
    </row>
    <row r="3938" spans="19:22">
      <c r="S3938" s="16">
        <v>6008</v>
      </c>
      <c r="T3938" s="16" t="s">
        <v>4228</v>
      </c>
      <c r="U3938" s="17">
        <f>COUNTIFS(WTG_BD!L:L,'Basic Data'!T3938,WTG_BD!F:F,"&gt;="&amp;O2Summary!$B$6,WTG_BD!F:F,"&lt;="&amp;O2Summary!$B$4)</f>
        <v>0</v>
      </c>
      <c r="V3938" s="18">
        <f t="shared" si="68"/>
        <v>47</v>
      </c>
    </row>
    <row r="3939" spans="19:22">
      <c r="S3939" s="16">
        <v>6009</v>
      </c>
      <c r="T3939" s="16" t="s">
        <v>4229</v>
      </c>
      <c r="U3939" s="17">
        <f>COUNTIFS(WTG_BD!L:L,'Basic Data'!T3939,WTG_BD!F:F,"&gt;="&amp;O2Summary!$B$6,WTG_BD!F:F,"&lt;="&amp;O2Summary!$B$4)</f>
        <v>0</v>
      </c>
      <c r="V3939" s="18">
        <f t="shared" si="68"/>
        <v>47</v>
      </c>
    </row>
    <row r="3940" spans="19:22">
      <c r="S3940" s="26">
        <v>6011</v>
      </c>
      <c r="T3940" s="26" t="s">
        <v>4230</v>
      </c>
      <c r="U3940" s="17">
        <f>COUNTIFS(WTG_BD!L:L,'Basic Data'!T3940,WTG_BD!F:F,"&gt;="&amp;O2Summary!$B$6,WTG_BD!F:F,"&lt;="&amp;O2Summary!$B$4)</f>
        <v>0</v>
      </c>
      <c r="V3940" s="18">
        <f t="shared" si="68"/>
        <v>47</v>
      </c>
    </row>
    <row r="3941" spans="19:22">
      <c r="S3941" s="16">
        <v>6012</v>
      </c>
      <c r="T3941" s="16" t="s">
        <v>4231</v>
      </c>
      <c r="U3941" s="17">
        <f>COUNTIFS(WTG_BD!L:L,'Basic Data'!T3941,WTG_BD!F:F,"&gt;="&amp;O2Summary!$B$6,WTG_BD!F:F,"&lt;="&amp;O2Summary!$B$4)</f>
        <v>0</v>
      </c>
      <c r="V3941" s="18">
        <f t="shared" si="68"/>
        <v>47</v>
      </c>
    </row>
    <row r="3942" spans="19:22">
      <c r="S3942" s="26">
        <v>6013</v>
      </c>
      <c r="T3942" s="26" t="s">
        <v>4232</v>
      </c>
      <c r="U3942" s="17">
        <f>COUNTIFS(WTG_BD!L:L,'Basic Data'!T3942,WTG_BD!F:F,"&gt;="&amp;O2Summary!$B$6,WTG_BD!F:F,"&lt;="&amp;O2Summary!$B$4)</f>
        <v>0</v>
      </c>
      <c r="V3942" s="18">
        <f t="shared" si="68"/>
        <v>47</v>
      </c>
    </row>
    <row r="3943" spans="19:22">
      <c r="S3943" s="16">
        <v>6026</v>
      </c>
      <c r="T3943" s="16" t="s">
        <v>4233</v>
      </c>
      <c r="U3943" s="17">
        <f>COUNTIFS(WTG_BD!L:L,'Basic Data'!T3943,WTG_BD!F:F,"&gt;="&amp;O2Summary!$B$6,WTG_BD!F:F,"&lt;="&amp;O2Summary!$B$4)</f>
        <v>0</v>
      </c>
      <c r="V3943" s="18">
        <f t="shared" si="68"/>
        <v>47</v>
      </c>
    </row>
    <row r="3944" spans="19:22">
      <c r="S3944" s="16">
        <v>6027</v>
      </c>
      <c r="T3944" s="16" t="s">
        <v>4234</v>
      </c>
      <c r="U3944" s="17">
        <f>COUNTIFS(WTG_BD!L:L,'Basic Data'!T3944,WTG_BD!F:F,"&gt;="&amp;O2Summary!$B$6,WTG_BD!F:F,"&lt;="&amp;O2Summary!$B$4)</f>
        <v>0</v>
      </c>
      <c r="V3944" s="18">
        <f t="shared" si="68"/>
        <v>47</v>
      </c>
    </row>
    <row r="3945" spans="19:22">
      <c r="S3945" s="16">
        <v>6028</v>
      </c>
      <c r="T3945" s="16" t="s">
        <v>4235</v>
      </c>
      <c r="U3945" s="17">
        <f>COUNTIFS(WTG_BD!L:L,'Basic Data'!T3945,WTG_BD!F:F,"&gt;="&amp;O2Summary!$B$6,WTG_BD!F:F,"&lt;="&amp;O2Summary!$B$4)</f>
        <v>0</v>
      </c>
      <c r="V3945" s="18">
        <f t="shared" si="68"/>
        <v>47</v>
      </c>
    </row>
    <row r="3946" spans="19:22">
      <c r="S3946" s="16">
        <v>6030</v>
      </c>
      <c r="T3946" s="16" t="s">
        <v>4236</v>
      </c>
      <c r="U3946" s="17">
        <f>COUNTIFS(WTG_BD!L:L,'Basic Data'!T3946,WTG_BD!F:F,"&gt;="&amp;O2Summary!$B$6,WTG_BD!F:F,"&lt;="&amp;O2Summary!$B$4)</f>
        <v>0</v>
      </c>
      <c r="V3946" s="18">
        <f t="shared" si="68"/>
        <v>47</v>
      </c>
    </row>
    <row r="3947" spans="19:22">
      <c r="S3947" s="26">
        <v>6031</v>
      </c>
      <c r="T3947" s="26" t="s">
        <v>4237</v>
      </c>
      <c r="U3947" s="17">
        <f>COUNTIFS(WTG_BD!L:L,'Basic Data'!T3947,WTG_BD!F:F,"&gt;="&amp;O2Summary!$B$6,WTG_BD!F:F,"&lt;="&amp;O2Summary!$B$4)</f>
        <v>0</v>
      </c>
      <c r="V3947" s="18">
        <f t="shared" si="68"/>
        <v>47</v>
      </c>
    </row>
    <row r="3948" spans="19:22">
      <c r="S3948" s="26">
        <v>6032</v>
      </c>
      <c r="T3948" s="26" t="s">
        <v>4238</v>
      </c>
      <c r="U3948" s="17">
        <f>COUNTIFS(WTG_BD!L:L,'Basic Data'!T3948,WTG_BD!F:F,"&gt;="&amp;O2Summary!$B$6,WTG_BD!F:F,"&lt;="&amp;O2Summary!$B$4)</f>
        <v>0</v>
      </c>
      <c r="V3948" s="18">
        <f t="shared" si="68"/>
        <v>47</v>
      </c>
    </row>
    <row r="3949" spans="19:22">
      <c r="S3949" s="16">
        <v>6033</v>
      </c>
      <c r="T3949" s="16" t="s">
        <v>4239</v>
      </c>
      <c r="U3949" s="17">
        <f>COUNTIFS(WTG_BD!L:L,'Basic Data'!T3949,WTG_BD!F:F,"&gt;="&amp;O2Summary!$B$6,WTG_BD!F:F,"&lt;="&amp;O2Summary!$B$4)</f>
        <v>0</v>
      </c>
      <c r="V3949" s="18">
        <f t="shared" si="68"/>
        <v>47</v>
      </c>
    </row>
    <row r="3950" spans="19:22">
      <c r="S3950" s="16">
        <v>6037</v>
      </c>
      <c r="T3950" s="16" t="s">
        <v>4240</v>
      </c>
      <c r="U3950" s="17">
        <f>COUNTIFS(WTG_BD!L:L,'Basic Data'!T3950,WTG_BD!F:F,"&gt;="&amp;O2Summary!$B$6,WTG_BD!F:F,"&lt;="&amp;O2Summary!$B$4)</f>
        <v>0</v>
      </c>
      <c r="V3950" s="18">
        <f t="shared" si="68"/>
        <v>47</v>
      </c>
    </row>
    <row r="3951" spans="19:22">
      <c r="S3951" s="16">
        <v>6039</v>
      </c>
      <c r="T3951" s="16" t="s">
        <v>4241</v>
      </c>
      <c r="U3951" s="17">
        <f>COUNTIFS(WTG_BD!L:L,'Basic Data'!T3951,WTG_BD!F:F,"&gt;="&amp;O2Summary!$B$6,WTG_BD!F:F,"&lt;="&amp;O2Summary!$B$4)</f>
        <v>0</v>
      </c>
      <c r="V3951" s="18">
        <f t="shared" si="68"/>
        <v>47</v>
      </c>
    </row>
    <row r="3952" spans="19:22">
      <c r="S3952" s="26">
        <v>6056</v>
      </c>
      <c r="T3952" s="26" t="s">
        <v>4242</v>
      </c>
      <c r="U3952" s="17">
        <f>COUNTIFS(WTG_BD!L:L,'Basic Data'!T3952,WTG_BD!F:F,"&gt;="&amp;O2Summary!$B$6,WTG_BD!F:F,"&lt;="&amp;O2Summary!$B$4)</f>
        <v>0</v>
      </c>
      <c r="V3952" s="18">
        <f t="shared" si="68"/>
        <v>47</v>
      </c>
    </row>
    <row r="3953" spans="19:22">
      <c r="S3953" s="26">
        <v>6057</v>
      </c>
      <c r="T3953" s="26" t="s">
        <v>4243</v>
      </c>
      <c r="U3953" s="17">
        <f>COUNTIFS(WTG_BD!L:L,'Basic Data'!T3953,WTG_BD!F:F,"&gt;="&amp;O2Summary!$B$6,WTG_BD!F:F,"&lt;="&amp;O2Summary!$B$4)</f>
        <v>0</v>
      </c>
      <c r="V3953" s="18">
        <f t="shared" si="68"/>
        <v>47</v>
      </c>
    </row>
    <row r="3954" spans="19:22">
      <c r="S3954" s="26">
        <v>6058</v>
      </c>
      <c r="T3954" s="26" t="s">
        <v>4244</v>
      </c>
      <c r="U3954" s="17">
        <f>COUNTIFS(WTG_BD!L:L,'Basic Data'!T3954,WTG_BD!F:F,"&gt;="&amp;O2Summary!$B$6,WTG_BD!F:F,"&lt;="&amp;O2Summary!$B$4)</f>
        <v>0</v>
      </c>
      <c r="V3954" s="18">
        <f t="shared" si="68"/>
        <v>47</v>
      </c>
    </row>
    <row r="3955" spans="19:22">
      <c r="S3955" s="16">
        <v>6059</v>
      </c>
      <c r="T3955" s="16" t="s">
        <v>4245</v>
      </c>
      <c r="U3955" s="17">
        <f>COUNTIFS(WTG_BD!L:L,'Basic Data'!T3955,WTG_BD!F:F,"&gt;="&amp;O2Summary!$B$6,WTG_BD!F:F,"&lt;="&amp;O2Summary!$B$4)</f>
        <v>0</v>
      </c>
      <c r="V3955" s="18">
        <f t="shared" si="68"/>
        <v>47</v>
      </c>
    </row>
    <row r="3956" spans="19:22">
      <c r="S3956" s="16">
        <v>6060</v>
      </c>
      <c r="T3956" s="16" t="s">
        <v>4246</v>
      </c>
      <c r="U3956" s="17">
        <f>COUNTIFS(WTG_BD!L:L,'Basic Data'!T3956,WTG_BD!F:F,"&gt;="&amp;O2Summary!$B$6,WTG_BD!F:F,"&lt;="&amp;O2Summary!$B$4)</f>
        <v>0</v>
      </c>
      <c r="V3956" s="18">
        <f t="shared" si="68"/>
        <v>47</v>
      </c>
    </row>
    <row r="3957" spans="19:22">
      <c r="S3957" s="16">
        <v>6065</v>
      </c>
      <c r="T3957" s="16" t="s">
        <v>4247</v>
      </c>
      <c r="U3957" s="17">
        <f>COUNTIFS(WTG_BD!L:L,'Basic Data'!T3957,WTG_BD!F:F,"&gt;="&amp;O2Summary!$B$6,WTG_BD!F:F,"&lt;="&amp;O2Summary!$B$4)</f>
        <v>0</v>
      </c>
      <c r="V3957" s="18">
        <f t="shared" si="68"/>
        <v>47</v>
      </c>
    </row>
    <row r="3958" spans="19:22">
      <c r="S3958" s="16">
        <v>6066</v>
      </c>
      <c r="T3958" s="16" t="s">
        <v>4248</v>
      </c>
      <c r="U3958" s="17">
        <f>COUNTIFS(WTG_BD!L:L,'Basic Data'!T3958,WTG_BD!F:F,"&gt;="&amp;O2Summary!$B$6,WTG_BD!F:F,"&lt;="&amp;O2Summary!$B$4)</f>
        <v>0</v>
      </c>
      <c r="V3958" s="18">
        <f t="shared" si="68"/>
        <v>47</v>
      </c>
    </row>
    <row r="3959" spans="19:22">
      <c r="S3959" s="16">
        <v>6067</v>
      </c>
      <c r="T3959" s="16" t="s">
        <v>4249</v>
      </c>
      <c r="U3959" s="17">
        <f>COUNTIFS(WTG_BD!L:L,'Basic Data'!T3959,WTG_BD!F:F,"&gt;="&amp;O2Summary!$B$6,WTG_BD!F:F,"&lt;="&amp;O2Summary!$B$4)</f>
        <v>0</v>
      </c>
      <c r="V3959" s="18">
        <f t="shared" si="68"/>
        <v>47</v>
      </c>
    </row>
    <row r="3960" spans="19:22">
      <c r="S3960" s="16">
        <v>6068</v>
      </c>
      <c r="T3960" s="16" t="s">
        <v>4250</v>
      </c>
      <c r="U3960" s="17">
        <f>COUNTIFS(WTG_BD!L:L,'Basic Data'!T3960,WTG_BD!F:F,"&gt;="&amp;O2Summary!$B$6,WTG_BD!F:F,"&lt;="&amp;O2Summary!$B$4)</f>
        <v>0</v>
      </c>
      <c r="V3960" s="18">
        <f t="shared" si="68"/>
        <v>47</v>
      </c>
    </row>
    <row r="3961" spans="19:22">
      <c r="S3961" s="16">
        <v>6069</v>
      </c>
      <c r="T3961" s="16" t="s">
        <v>4251</v>
      </c>
      <c r="U3961" s="17">
        <f>COUNTIFS(WTG_BD!L:L,'Basic Data'!T3961,WTG_BD!F:F,"&gt;="&amp;O2Summary!$B$6,WTG_BD!F:F,"&lt;="&amp;O2Summary!$B$4)</f>
        <v>0</v>
      </c>
      <c r="V3961" s="18">
        <f t="shared" si="68"/>
        <v>47</v>
      </c>
    </row>
    <row r="3962" spans="19:22">
      <c r="S3962" s="16">
        <v>6070</v>
      </c>
      <c r="T3962" s="16" t="s">
        <v>4252</v>
      </c>
      <c r="U3962" s="17">
        <f>COUNTIFS(WTG_BD!L:L,'Basic Data'!T3962,WTG_BD!F:F,"&gt;="&amp;O2Summary!$B$6,WTG_BD!F:F,"&lt;="&amp;O2Summary!$B$4)</f>
        <v>0</v>
      </c>
      <c r="V3962" s="18">
        <f t="shared" si="68"/>
        <v>47</v>
      </c>
    </row>
    <row r="3963" spans="19:22">
      <c r="S3963" s="16">
        <v>6071</v>
      </c>
      <c r="T3963" s="16" t="s">
        <v>4253</v>
      </c>
      <c r="U3963" s="17">
        <f>COUNTIFS(WTG_BD!L:L,'Basic Data'!T3963,WTG_BD!F:F,"&gt;="&amp;O2Summary!$B$6,WTG_BD!F:F,"&lt;="&amp;O2Summary!$B$4)</f>
        <v>0</v>
      </c>
      <c r="V3963" s="18">
        <f t="shared" si="68"/>
        <v>47</v>
      </c>
    </row>
    <row r="3964" spans="19:22">
      <c r="S3964" s="16">
        <v>6072</v>
      </c>
      <c r="T3964" s="16" t="s">
        <v>4254</v>
      </c>
      <c r="U3964" s="17">
        <f>COUNTIFS(WTG_BD!L:L,'Basic Data'!T3964,WTG_BD!F:F,"&gt;="&amp;O2Summary!$B$6,WTG_BD!F:F,"&lt;="&amp;O2Summary!$B$4)</f>
        <v>0</v>
      </c>
      <c r="V3964" s="18">
        <f t="shared" si="68"/>
        <v>47</v>
      </c>
    </row>
    <row r="3965" spans="19:22">
      <c r="S3965" s="16">
        <v>6073</v>
      </c>
      <c r="T3965" s="16" t="s">
        <v>3688</v>
      </c>
      <c r="U3965" s="17">
        <f>COUNTIFS(WTG_BD!L:L,'Basic Data'!T3965,WTG_BD!F:F,"&gt;="&amp;O2Summary!$B$6,WTG_BD!F:F,"&lt;="&amp;O2Summary!$B$4)</f>
        <v>0</v>
      </c>
      <c r="V3965" s="18">
        <f t="shared" si="68"/>
        <v>47</v>
      </c>
    </row>
    <row r="3966" spans="19:22">
      <c r="S3966" s="16">
        <v>6074</v>
      </c>
      <c r="T3966" s="16" t="s">
        <v>3688</v>
      </c>
      <c r="U3966" s="17">
        <f>COUNTIFS(WTG_BD!L:L,'Basic Data'!T3966,WTG_BD!F:F,"&gt;="&amp;O2Summary!$B$6,WTG_BD!F:F,"&lt;="&amp;O2Summary!$B$4)</f>
        <v>0</v>
      </c>
      <c r="V3966" s="18">
        <f t="shared" si="68"/>
        <v>47</v>
      </c>
    </row>
    <row r="3967" spans="19:22">
      <c r="S3967" s="26">
        <v>6075</v>
      </c>
      <c r="T3967" s="26" t="s">
        <v>4255</v>
      </c>
      <c r="U3967" s="17">
        <f>COUNTIFS(WTG_BD!L:L,'Basic Data'!T3967,WTG_BD!F:F,"&gt;="&amp;O2Summary!$B$6,WTG_BD!F:F,"&lt;="&amp;O2Summary!$B$4)</f>
        <v>0</v>
      </c>
      <c r="V3967" s="18">
        <f t="shared" si="68"/>
        <v>47</v>
      </c>
    </row>
    <row r="3968" spans="19:22">
      <c r="S3968" s="26">
        <v>6076</v>
      </c>
      <c r="T3968" s="26" t="s">
        <v>4256</v>
      </c>
      <c r="U3968" s="17">
        <f>COUNTIFS(WTG_BD!L:L,'Basic Data'!T3968,WTG_BD!F:F,"&gt;="&amp;O2Summary!$B$6,WTG_BD!F:F,"&lt;="&amp;O2Summary!$B$4)</f>
        <v>0</v>
      </c>
      <c r="V3968" s="18">
        <f t="shared" si="68"/>
        <v>47</v>
      </c>
    </row>
    <row r="3969" spans="19:22">
      <c r="S3969" s="26">
        <v>6077</v>
      </c>
      <c r="T3969" s="26" t="s">
        <v>4257</v>
      </c>
      <c r="U3969" s="17">
        <f>COUNTIFS(WTG_BD!L:L,'Basic Data'!T3969,WTG_BD!F:F,"&gt;="&amp;O2Summary!$B$6,WTG_BD!F:F,"&lt;="&amp;O2Summary!$B$4)</f>
        <v>0</v>
      </c>
      <c r="V3969" s="18">
        <f t="shared" si="68"/>
        <v>47</v>
      </c>
    </row>
    <row r="3970" spans="19:22">
      <c r="S3970" s="16">
        <v>6078</v>
      </c>
      <c r="T3970" s="16" t="s">
        <v>4258</v>
      </c>
      <c r="U3970" s="17">
        <f>COUNTIFS(WTG_BD!L:L,'Basic Data'!T3970,WTG_BD!F:F,"&gt;="&amp;O2Summary!$B$6,WTG_BD!F:F,"&lt;="&amp;O2Summary!$B$4)</f>
        <v>0</v>
      </c>
      <c r="V3970" s="18">
        <f t="shared" si="68"/>
        <v>47</v>
      </c>
    </row>
    <row r="3971" spans="19:22">
      <c r="S3971" s="16">
        <v>6079</v>
      </c>
      <c r="T3971" s="16" t="s">
        <v>4259</v>
      </c>
      <c r="U3971" s="17">
        <f>COUNTIFS(WTG_BD!L:L,'Basic Data'!T3971,WTG_BD!F:F,"&gt;="&amp;O2Summary!$B$6,WTG_BD!F:F,"&lt;="&amp;O2Summary!$B$4)</f>
        <v>0</v>
      </c>
      <c r="V3971" s="18">
        <f t="shared" ref="V3971:V3975" si="69">RANK(U3971,$U$2:$U$3975)</f>
        <v>47</v>
      </c>
    </row>
    <row r="3972" spans="19:22">
      <c r="S3972" s="16">
        <v>6081</v>
      </c>
      <c r="T3972" s="16" t="s">
        <v>4260</v>
      </c>
      <c r="U3972" s="17">
        <f>COUNTIFS(WTG_BD!L:L,'Basic Data'!T3972,WTG_BD!F:F,"&gt;="&amp;O2Summary!$B$6,WTG_BD!F:F,"&lt;="&amp;O2Summary!$B$4)</f>
        <v>0</v>
      </c>
      <c r="V3972" s="18">
        <f t="shared" si="69"/>
        <v>47</v>
      </c>
    </row>
    <row r="3973" spans="19:22">
      <c r="S3973" s="16">
        <v>6082</v>
      </c>
      <c r="T3973" s="16" t="s">
        <v>4261</v>
      </c>
      <c r="U3973" s="17">
        <f>COUNTIFS(WTG_BD!L:L,'Basic Data'!T3973,WTG_BD!F:F,"&gt;="&amp;O2Summary!$B$6,WTG_BD!F:F,"&lt;="&amp;O2Summary!$B$4)</f>
        <v>0</v>
      </c>
      <c r="V3973" s="18">
        <f t="shared" si="69"/>
        <v>47</v>
      </c>
    </row>
    <row r="3974" spans="19:22">
      <c r="S3974" s="16">
        <v>6083</v>
      </c>
      <c r="T3974" s="16" t="s">
        <v>4262</v>
      </c>
      <c r="U3974" s="17">
        <f>COUNTIFS(WTG_BD!L:L,'Basic Data'!T3974,WTG_BD!F:F,"&gt;="&amp;O2Summary!$B$6,WTG_BD!F:F,"&lt;="&amp;O2Summary!$B$4)</f>
        <v>0</v>
      </c>
      <c r="V3974" s="18">
        <f t="shared" si="69"/>
        <v>47</v>
      </c>
    </row>
    <row r="3975" spans="19:22">
      <c r="S3975" s="16">
        <v>9999</v>
      </c>
      <c r="T3975" s="16" t="s">
        <v>4263</v>
      </c>
      <c r="U3975" s="17">
        <f>COUNTIFS(WTG_BD!L:L,'Basic Data'!T3975,WTG_BD!F:F,"&gt;="&amp;O2Summary!$B$6,WTG_BD!F:F,"&lt;="&amp;O2Summary!$B$4)</f>
        <v>0</v>
      </c>
      <c r="V3975" s="18">
        <f t="shared" si="69"/>
        <v>47</v>
      </c>
    </row>
    <row r="3976" spans="19:22">
      <c r="S3976" s="16">
        <v>6293</v>
      </c>
      <c r="T3976" s="16" t="s">
        <v>4303</v>
      </c>
    </row>
    <row r="3977" spans="19:22">
      <c r="S3977" s="16">
        <v>6290</v>
      </c>
      <c r="T3977" s="16" t="s">
        <v>4304</v>
      </c>
    </row>
    <row r="3978" spans="19:22">
      <c r="S3978" s="16" t="s">
        <v>4269</v>
      </c>
      <c r="T3978" s="16" t="s">
        <v>257</v>
      </c>
    </row>
    <row r="3979" spans="19:22">
      <c r="S3979" s="16" t="s">
        <v>4270</v>
      </c>
      <c r="T3979" s="16" t="s">
        <v>4271</v>
      </c>
    </row>
    <row r="3980" spans="19:22">
      <c r="S3980" s="16" t="s">
        <v>4272</v>
      </c>
      <c r="T3980" s="16" t="s">
        <v>4273</v>
      </c>
    </row>
    <row r="3981" spans="19:22">
      <c r="S3981" s="16" t="s">
        <v>4274</v>
      </c>
      <c r="T3981" s="16" t="s">
        <v>4275</v>
      </c>
    </row>
    <row r="3982" spans="19:22">
      <c r="S3982" s="16" t="s">
        <v>4276</v>
      </c>
      <c r="T3982" s="16" t="s">
        <v>4277</v>
      </c>
    </row>
    <row r="3983" spans="19:22">
      <c r="S3983" s="16" t="s">
        <v>4278</v>
      </c>
      <c r="T3983" s="16" t="s">
        <v>4279</v>
      </c>
    </row>
    <row r="3984" spans="19:22">
      <c r="S3984" s="16" t="s">
        <v>4280</v>
      </c>
      <c r="T3984" s="16" t="s">
        <v>4281</v>
      </c>
    </row>
    <row r="3985" spans="19:20">
      <c r="S3985" s="16" t="s">
        <v>4282</v>
      </c>
      <c r="T3985" s="16" t="s">
        <v>4283</v>
      </c>
    </row>
    <row r="3986" spans="19:20">
      <c r="S3986" s="16" t="s">
        <v>4284</v>
      </c>
      <c r="T3986" s="16" t="s">
        <v>4285</v>
      </c>
    </row>
    <row r="3987" spans="19:20">
      <c r="S3987" s="16" t="s">
        <v>4286</v>
      </c>
      <c r="T3987" s="16" t="s">
        <v>4287</v>
      </c>
    </row>
    <row r="3988" spans="19:20">
      <c r="S3988" s="16" t="s">
        <v>4288</v>
      </c>
      <c r="T3988" s="16" t="s">
        <v>4289</v>
      </c>
    </row>
    <row r="3989" spans="19:20">
      <c r="S3989" s="16" t="s">
        <v>4290</v>
      </c>
      <c r="T3989" s="16" t="s">
        <v>4291</v>
      </c>
    </row>
    <row r="3990" spans="19:20">
      <c r="S3990" s="16" t="s">
        <v>4292</v>
      </c>
      <c r="T3990" s="16" t="s">
        <v>4293</v>
      </c>
    </row>
    <row r="3991" spans="19:20">
      <c r="S3991" s="16" t="s">
        <v>4294</v>
      </c>
      <c r="T3991" s="16" t="s">
        <v>4295</v>
      </c>
    </row>
    <row r="3992" spans="19:20">
      <c r="S3992" s="16" t="s">
        <v>4296</v>
      </c>
      <c r="T3992" s="16" t="s">
        <v>4297</v>
      </c>
    </row>
    <row r="3993" spans="19:20">
      <c r="S3993" s="16" t="s">
        <v>4305</v>
      </c>
      <c r="T3993" s="16" t="s">
        <v>4306</v>
      </c>
    </row>
    <row r="3994" spans="19:20">
      <c r="S3994" s="16" t="s">
        <v>4307</v>
      </c>
      <c r="T3994" s="16" t="s">
        <v>4308</v>
      </c>
    </row>
  </sheetData>
  <mergeCells count="1">
    <mergeCell ref="BP1:BR1"/>
  </mergeCells>
  <hyperlinks>
    <hyperlink ref="B3" r:id="rId1" xr:uid="{00000000-0004-0000-0C00-000000000000}"/>
    <hyperlink ref="B5" r:id="rId2" xr:uid="{00000000-0004-0000-0C00-000001000000}"/>
    <hyperlink ref="B12:B15" r:id="rId3" display="O2R1" xr:uid="{00000000-0004-0000-0C00-000002000000}"/>
    <hyperlink ref="B16:B17" r:id="rId4" display="O2R1" xr:uid="{00000000-0004-0000-0C00-000003000000}"/>
    <hyperlink ref="B21:B22" r:id="rId5" display="O2R1" xr:uid="{00000000-0004-0000-0C00-000004000000}"/>
    <hyperlink ref="BB2" r:id="rId6" xr:uid="{00000000-0004-0000-0C00-000005000000}"/>
    <hyperlink ref="BB3" r:id="rId7" xr:uid="{00000000-0004-0000-0C00-000006000000}"/>
    <hyperlink ref="BB18" r:id="rId8" xr:uid="{00000000-0004-0000-0C00-000007000000}"/>
    <hyperlink ref="BB19" r:id="rId9" xr:uid="{00000000-0004-0000-0C00-000008000000}"/>
    <hyperlink ref="BB20" r:id="rId10" xr:uid="{00000000-0004-0000-0C00-000009000000}"/>
    <hyperlink ref="BB21" r:id="rId11" xr:uid="{00000000-0004-0000-0C00-00000A000000}"/>
    <hyperlink ref="BB22" r:id="rId12" xr:uid="{00000000-0004-0000-0C00-00000B000000}"/>
    <hyperlink ref="BB23" r:id="rId13" xr:uid="{00000000-0004-0000-0C00-00000C000000}"/>
    <hyperlink ref="BB24" r:id="rId14" xr:uid="{00000000-0004-0000-0C00-00000D000000}"/>
    <hyperlink ref="BB25" r:id="rId15" xr:uid="{00000000-0004-0000-0C00-00000E000000}"/>
    <hyperlink ref="BB26" r:id="rId16" xr:uid="{00000000-0004-0000-0C00-00000F000000}"/>
    <hyperlink ref="BB27" r:id="rId17" xr:uid="{00000000-0004-0000-0C00-000010000000}"/>
    <hyperlink ref="BB28" r:id="rId18" xr:uid="{00000000-0004-0000-0C00-000011000000}"/>
    <hyperlink ref="BB29" r:id="rId19" xr:uid="{00000000-0004-0000-0C00-000012000000}"/>
    <hyperlink ref="BB30" r:id="rId20" xr:uid="{00000000-0004-0000-0C00-000013000000}"/>
    <hyperlink ref="BB31" r:id="rId21" xr:uid="{00000000-0004-0000-0C00-000014000000}"/>
    <hyperlink ref="BB32" r:id="rId22" xr:uid="{00000000-0004-0000-0C00-000015000000}"/>
    <hyperlink ref="BB33" r:id="rId23" xr:uid="{00000000-0004-0000-0C00-000016000000}"/>
    <hyperlink ref="BB34" r:id="rId24" xr:uid="{00000000-0004-0000-0C00-000017000000}"/>
    <hyperlink ref="BB35" r:id="rId25" xr:uid="{00000000-0004-0000-0C00-000018000000}"/>
    <hyperlink ref="BB36" r:id="rId26" xr:uid="{00000000-0004-0000-0C00-000019000000}"/>
    <hyperlink ref="BB37" r:id="rId27" xr:uid="{00000000-0004-0000-0C00-00001A000000}"/>
    <hyperlink ref="BB38" r:id="rId28" xr:uid="{00000000-0004-0000-0C00-00001B000000}"/>
    <hyperlink ref="BB43" r:id="rId29" xr:uid="{00000000-0004-0000-0C00-00001C000000}"/>
    <hyperlink ref="BB48" r:id="rId30" xr:uid="{00000000-0004-0000-0C00-00001D000000}"/>
  </hyperlinks>
  <pageMargins left="0.7" right="0.7" top="0.75" bottom="0.75" header="0.3" footer="0.3"/>
  <pageSetup orientation="portrait"/>
  <headerFooter>
    <oddFooter>&amp;C&amp;1#&amp;"Calibri"&amp;8&amp;K000000Classification: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2BB3DC3D7EEBD4E965C95B4B8FA3504" ma:contentTypeVersion="6" ma:contentTypeDescription="Create a new document." ma:contentTypeScope="" ma:versionID="8aa82a68bd214f7d3d0f7f88fc697f2b">
  <xsd:schema xmlns:xsd="http://www.w3.org/2001/XMLSchema" xmlns:xs="http://www.w3.org/2001/XMLSchema" xmlns:p="http://schemas.microsoft.com/office/2006/metadata/properties" xmlns:ns2="fc7a6a76-1c0e-42c8-b8bb-e7dae130d739" xmlns:ns3="d16c97b0-8c68-4a48-9e8f-dd7460dbc509" targetNamespace="http://schemas.microsoft.com/office/2006/metadata/properties" ma:root="true" ma:fieldsID="c7b3109e5368c8001190694a4a849b63" ns2:_="" ns3:_="">
    <xsd:import namespace="fc7a6a76-1c0e-42c8-b8bb-e7dae130d739"/>
    <xsd:import namespace="d16c97b0-8c68-4a48-9e8f-dd7460dbc50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7a6a76-1c0e-42c8-b8bb-e7dae130d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16c97b0-8c68-4a48-9e8f-dd7460dbc50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llowEditUser xmlns="https://web.wps.cn/et/2018/main" xmlns:s="http://schemas.openxmlformats.org/spreadsheetml/2006/main" hasInvisiblePropRange="0">
  <rangeList sheetStid="9" master="">
    <arrUserId title="Range1_1" rangeCreator="" othersAccessPermission="edit"/>
    <arrUserId title="Range1_1_2" rangeCreator="" othersAccessPermission="edit"/>
  </rangeList>
  <rangeList sheetStid="8" master=""/>
  <rangeList sheetStid="7" master=""/>
  <rangeList sheetStid="25" master="">
    <arrUserId title="Range1" rangeCreator="" othersAccessPermission="edit"/>
  </rangeList>
  <rangeList sheetStid="6" master=""/>
  <rangeList sheetStid="20" master=""/>
  <rangeList sheetStid="17" master=""/>
  <rangeList sheetStid="27" master=""/>
  <rangeList sheetStid="29" master=""/>
  <rangeList sheetStid="23" master=""/>
  <rangeList sheetStid="24" master=""/>
  <rangeList sheetStid="26" master=""/>
  <rangeList sheetStid="22" master=""/>
  <rangeList sheetStid="15" master=""/>
  <rangeList sheetStid="28" master=""/>
</allowEditUser>
</file>

<file path=customXml/itemProps1.xml><?xml version="1.0" encoding="utf-8"?>
<ds:datastoreItem xmlns:ds="http://schemas.openxmlformats.org/officeDocument/2006/customXml" ds:itemID="{3C1CDFF9-3EC9-4963-90C2-FF6FAC10FA6B}">
  <ds:schemaRefs>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dcmitype/"/>
    <ds:schemaRef ds:uri="http://purl.org/dc/elements/1.1/"/>
    <ds:schemaRef ds:uri="fc7a6a76-1c0e-42c8-b8bb-e7dae130d739"/>
    <ds:schemaRef ds:uri="d16c97b0-8c68-4a48-9e8f-dd7460dbc509"/>
    <ds:schemaRef ds:uri="http://schemas.microsoft.com/office/2006/metadata/properties"/>
    <ds:schemaRef ds:uri="http://purl.org/dc/terms/"/>
    <ds:schemaRef ds:uri="8c2e6fc8-2c44-4211-8873-18a70be316de"/>
    <ds:schemaRef ds:uri="6a5ba037-5e8a-4734-91d3-a93607cdaec4"/>
  </ds:schemaRefs>
</ds:datastoreItem>
</file>

<file path=customXml/itemProps2.xml><?xml version="1.0" encoding="utf-8"?>
<ds:datastoreItem xmlns:ds="http://schemas.openxmlformats.org/officeDocument/2006/customXml" ds:itemID="{DF737C19-FB6E-401F-9750-628D45A17F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7a6a76-1c0e-42c8-b8bb-e7dae130d739"/>
    <ds:schemaRef ds:uri="d16c97b0-8c68-4a48-9e8f-dd7460dbc5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F464D8B-5073-456B-ABD6-85662900DA90}">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O2Summary</vt:lpstr>
      <vt:lpstr>AnnualKPI</vt:lpstr>
      <vt:lpstr>MonthlyKPI</vt:lpstr>
      <vt:lpstr>Analytics</vt:lpstr>
      <vt:lpstr>Daily KPI</vt:lpstr>
      <vt:lpstr>Input_Raw</vt:lpstr>
      <vt:lpstr>WTG_BD</vt:lpstr>
      <vt:lpstr>WTG Reactive Power</vt:lpstr>
      <vt:lpstr>IGA_BD</vt:lpstr>
      <vt:lpstr>Grid_BD</vt:lpstr>
      <vt:lpstr>PM</vt:lpstr>
      <vt:lpstr>Modelling New</vt:lpstr>
      <vt:lpstr>Basic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Lakshit Chawla</dc:creator>
  <cp:lastModifiedBy>Kiran Kumar</cp:lastModifiedBy>
  <dcterms:created xsi:type="dcterms:W3CDTF">2022-12-28T09:03:00Z</dcterms:created>
  <dcterms:modified xsi:type="dcterms:W3CDTF">2025-07-20T03:48:51Z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0x01010052BB3DC3D7EEBD4E965C95B4B8FA3504</vt:lpwstr>
  </property>
  <property fmtid="{D5CDD505-2E9C-101B-9397-08002B2CF9AE}" pid="3" name="MSIP_Label_35c15001-c8e1-4e59-97bd-905e2080daab_Enabled">
    <vt:lpwstr>true</vt:lpwstr>
  </property>
  <property fmtid="{D5CDD505-2E9C-101B-9397-08002B2CF9AE}" pid="4" name="MSIP_Label_35c15001-c8e1-4e59-97bd-905e2080daab_SetDate">
    <vt:lpwstr>2023-08-01T20:28:29Z</vt:lpwstr>
  </property>
  <property fmtid="{D5CDD505-2E9C-101B-9397-08002B2CF9AE}" pid="5" name="MSIP_Label_35c15001-c8e1-4e59-97bd-905e2080daab_Method">
    <vt:lpwstr>Standard</vt:lpwstr>
  </property>
  <property fmtid="{D5CDD505-2E9C-101B-9397-08002B2CF9AE}" pid="6" name="MSIP_Label_35c15001-c8e1-4e59-97bd-905e2080daab_Name">
    <vt:lpwstr>Confidential</vt:lpwstr>
  </property>
  <property fmtid="{D5CDD505-2E9C-101B-9397-08002B2CF9AE}" pid="7" name="MSIP_Label_35c15001-c8e1-4e59-97bd-905e2080daab_SiteId">
    <vt:lpwstr>c0701940-7b3f-4116-a59f-159078bc3c63</vt:lpwstr>
  </property>
  <property fmtid="{D5CDD505-2E9C-101B-9397-08002B2CF9AE}" pid="8" name="MSIP_Label_35c15001-c8e1-4e59-97bd-905e2080daab_ActionId">
    <vt:lpwstr>bd99d9e1-a3c8-4420-8ac9-45d003a1d6f1</vt:lpwstr>
  </property>
  <property fmtid="{D5CDD505-2E9C-101B-9397-08002B2CF9AE}" pid="9" name="MSIP_Label_35c15001-c8e1-4e59-97bd-905e2080daab_ContentBits">
    <vt:lpwstr>2</vt:lpwstr>
  </property>
  <property fmtid="{D5CDD505-2E9C-101B-9397-08002B2CF9AE}" pid="10" name="ICV">
    <vt:lpwstr>79CAC4D3250F441193FE01FC13EBCD50_12</vt:lpwstr>
  </property>
  <property fmtid="{D5CDD505-2E9C-101B-9397-08002B2CF9AE}" pid="11" name="KSOProductBuildVer">
    <vt:lpwstr>1033-12.2.0.13359</vt:lpwstr>
  </property>
</Properties>
</file>